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Financial Data\Ekush Stable Return Fund\ESRF-NAV\2026\03\2026.03.25\"/>
    </mc:Choice>
  </mc:AlternateContent>
  <xr:revisionPtr revIDLastSave="0" documentId="13_ncr:1_{0290639E-0325-4B83-B7AF-6F4BA6D01C51}" xr6:coauthVersionLast="47" xr6:coauthVersionMax="47" xr10:uidLastSave="{00000000-0000-0000-0000-000000000000}"/>
  <bookViews>
    <workbookView xWindow="-120" yWindow="-120" windowWidth="29040" windowHeight="15840" tabRatio="492" xr2:uid="{00000000-000D-0000-FFFF-FFFF00000000}"/>
  </bookViews>
  <sheets>
    <sheet name="DASHBOARD" sheetId="18" r:id="rId1"/>
    <sheet name="INVESTORS" sheetId="13" r:id="rId2"/>
    <sheet name="LS" sheetId="6" r:id="rId3"/>
    <sheet name="SIP" sheetId="16" r:id="rId4"/>
    <sheet name="TAX CERTIFICATE" sheetId="15" r:id="rId5"/>
    <sheet name="T. History" sheetId="25" r:id="rId6"/>
    <sheet name="Sheet1" sheetId="26" r:id="rId7"/>
  </sheets>
  <externalReferences>
    <externalReference r:id="rId8"/>
    <externalReference r:id="rId9"/>
    <externalReference r:id="rId10"/>
    <externalReference r:id="rId11"/>
  </externalReferences>
  <definedNames>
    <definedName name="_xlcn.WorksheetConnection_2021.10.21INVESTORS.xlsxDivAndTax1" hidden="1">DivAndTax</definedName>
    <definedName name="_xlcn.WorksheetConnection_2021.10.21INVESTORS.xlsxLS1" hidden="1">LS[]</definedName>
    <definedName name="_xlcn.WorksheetConnection_2021.10.21INVESTORS.xlsxSIP1" hidden="1">SIP[]</definedName>
    <definedName name="ExternalData_1" localSheetId="1" hidden="1">INVESTORS!$A$1:$B$726</definedName>
    <definedName name="ExternalData_1" localSheetId="4" hidden="1">'TAX CERTIFICATE'!$A$1:$A$510</definedName>
    <definedName name="NAV_MKT" localSheetId="5">[1]LS!$T$1</definedName>
    <definedName name="NAV_MKT">LS!$S$1</definedName>
    <definedName name="NEW_TCV">[2]Portfolio!$F$38</definedName>
    <definedName name="NEW_TMV">[2]Portfolio!$H$38</definedName>
    <definedName name="_xlnm.Print_Area" localSheetId="6">Sheet1!$A$1:$H$41</definedName>
    <definedName name="TCV_STOCKS">#REF!</definedName>
    <definedName name="TMV_STOCKS" localSheetId="5">#REF!</definedName>
    <definedName name="TMV_STOC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07" i="6" l="1"/>
  <c r="Q1507" i="6" s="1"/>
  <c r="D1507" i="6"/>
  <c r="E1507" i="6" a="1"/>
  <c r="E1507" i="6"/>
  <c r="G1507" i="6"/>
  <c r="H1507" i="6" s="1"/>
  <c r="I1507" i="6"/>
  <c r="M1507" i="6"/>
  <c r="N1507" i="6"/>
  <c r="S1507" i="6"/>
  <c r="U1507" i="6" a="1"/>
  <c r="U1507" i="6" s="1"/>
  <c r="V1507" i="6"/>
  <c r="P1506" i="6"/>
  <c r="N1506" i="6" s="1"/>
  <c r="P1505" i="6"/>
  <c r="Q1505" i="6" s="1"/>
  <c r="D1506" i="6"/>
  <c r="E1506" i="6" a="1"/>
  <c r="E1506" i="6" s="1"/>
  <c r="G1506" i="6"/>
  <c r="H1506" i="6" s="1"/>
  <c r="I1506" i="6"/>
  <c r="S1506" i="6"/>
  <c r="U1506" i="6" a="1"/>
  <c r="U1506" i="6" s="1"/>
  <c r="V1506" i="6"/>
  <c r="D1505" i="6"/>
  <c r="E1505" i="6" a="1"/>
  <c r="E1505" i="6" s="1"/>
  <c r="G1505" i="6"/>
  <c r="H1505" i="6" s="1"/>
  <c r="I1505" i="6"/>
  <c r="S1505" i="6"/>
  <c r="U1505" i="6" a="1"/>
  <c r="U1505" i="6" s="1"/>
  <c r="V1505" i="6"/>
  <c r="P1870" i="16"/>
  <c r="P1871" i="16"/>
  <c r="P1872" i="16"/>
  <c r="P1873" i="16"/>
  <c r="P1874" i="16"/>
  <c r="P1875" i="16"/>
  <c r="P1876" i="16"/>
  <c r="P1877" i="16"/>
  <c r="P1878" i="16"/>
  <c r="P1869" i="16"/>
  <c r="P1503" i="6"/>
  <c r="N1503" i="6" s="1"/>
  <c r="M1503" i="6" s="1"/>
  <c r="P1504" i="6"/>
  <c r="N1504" i="6" s="1"/>
  <c r="D1504" i="6"/>
  <c r="E1504" i="6" a="1"/>
  <c r="E1504" i="6" s="1"/>
  <c r="G1504" i="6"/>
  <c r="H1504" i="6" s="1"/>
  <c r="I1504" i="6"/>
  <c r="Q1504" i="6"/>
  <c r="S1504" i="6"/>
  <c r="U1504" i="6" a="1"/>
  <c r="U1504" i="6" s="1"/>
  <c r="V1504" i="6"/>
  <c r="P1868" i="16"/>
  <c r="P1867" i="16"/>
  <c r="P1500" i="6"/>
  <c r="D1503" i="6"/>
  <c r="E1503" i="6" a="1"/>
  <c r="E1503" i="6" s="1"/>
  <c r="G1503" i="6"/>
  <c r="H1503" i="6" s="1"/>
  <c r="I1503" i="6"/>
  <c r="S1503" i="6"/>
  <c r="U1503" i="6" a="1"/>
  <c r="U1503" i="6" s="1"/>
  <c r="V1503" i="6"/>
  <c r="N1505" i="6" l="1"/>
  <c r="M1505" i="6" s="1"/>
  <c r="Q1506" i="6"/>
  <c r="M1506" i="6"/>
  <c r="Q1503" i="6"/>
  <c r="M1504" i="6"/>
  <c r="D1878" i="16"/>
  <c r="E1878" i="16" a="1"/>
  <c r="E1878" i="16" s="1"/>
  <c r="G1878" i="16"/>
  <c r="H1878" i="16" s="1"/>
  <c r="I1878" i="16"/>
  <c r="N1878" i="16"/>
  <c r="M1878" i="16" s="1"/>
  <c r="Q1878" i="16"/>
  <c r="S1878" i="16"/>
  <c r="U1878" i="16" a="1"/>
  <c r="U1878" i="16" s="1"/>
  <c r="V1878" i="16"/>
  <c r="D1877" i="16"/>
  <c r="E1877" i="16" a="1"/>
  <c r="E1877" i="16" s="1"/>
  <c r="G1877" i="16"/>
  <c r="H1877" i="16" s="1"/>
  <c r="I1877" i="16"/>
  <c r="N1877" i="16"/>
  <c r="Q1877" i="16"/>
  <c r="S1877" i="16"/>
  <c r="U1877" i="16" a="1"/>
  <c r="U1877" i="16" s="1"/>
  <c r="V1877" i="16"/>
  <c r="D1876" i="16"/>
  <c r="E1876" i="16" a="1"/>
  <c r="E1876" i="16" s="1"/>
  <c r="G1876" i="16"/>
  <c r="H1876" i="16" s="1"/>
  <c r="I1876" i="16"/>
  <c r="N1876" i="16"/>
  <c r="Q1876" i="16"/>
  <c r="S1876" i="16"/>
  <c r="U1876" i="16" a="1"/>
  <c r="U1876" i="16" s="1"/>
  <c r="V1876" i="16"/>
  <c r="D1875" i="16"/>
  <c r="E1875" i="16" a="1"/>
  <c r="E1875" i="16" s="1"/>
  <c r="G1875" i="16"/>
  <c r="H1875" i="16" s="1"/>
  <c r="I1875" i="16"/>
  <c r="N1875" i="16"/>
  <c r="Q1875" i="16"/>
  <c r="S1875" i="16"/>
  <c r="U1875" i="16" a="1"/>
  <c r="U1875" i="16" s="1"/>
  <c r="V1875" i="16"/>
  <c r="D1874" i="16"/>
  <c r="E1874" i="16" a="1"/>
  <c r="E1874" i="16" s="1"/>
  <c r="G1874" i="16"/>
  <c r="H1874" i="16" s="1"/>
  <c r="I1874" i="16"/>
  <c r="N1874" i="16"/>
  <c r="Q1874" i="16"/>
  <c r="S1874" i="16"/>
  <c r="U1874" i="16" a="1"/>
  <c r="U1874" i="16" s="1"/>
  <c r="V1874" i="16"/>
  <c r="D1873" i="16"/>
  <c r="E1873" i="16" a="1"/>
  <c r="E1873" i="16" s="1"/>
  <c r="G1873" i="16"/>
  <c r="H1873" i="16" s="1"/>
  <c r="I1873" i="16"/>
  <c r="N1873" i="16"/>
  <c r="Q1873" i="16"/>
  <c r="S1873" i="16"/>
  <c r="U1873" i="16" a="1"/>
  <c r="U1873" i="16" s="1"/>
  <c r="V1873" i="16"/>
  <c r="D1872" i="16"/>
  <c r="E1872" i="16" a="1"/>
  <c r="E1872" i="16" s="1"/>
  <c r="G1872" i="16"/>
  <c r="H1872" i="16" s="1"/>
  <c r="I1872" i="16"/>
  <c r="N1872" i="16"/>
  <c r="M1872" i="16" s="1"/>
  <c r="Q1872" i="16"/>
  <c r="S1872" i="16"/>
  <c r="U1872" i="16" a="1"/>
  <c r="U1872" i="16" s="1"/>
  <c r="V1872" i="16"/>
  <c r="D1871" i="16"/>
  <c r="E1871" i="16" a="1"/>
  <c r="E1871" i="16" s="1"/>
  <c r="G1871" i="16"/>
  <c r="H1871" i="16" s="1"/>
  <c r="I1871" i="16"/>
  <c r="N1871" i="16"/>
  <c r="Q1871" i="16"/>
  <c r="S1871" i="16"/>
  <c r="U1871" i="16" a="1"/>
  <c r="U1871" i="16" s="1"/>
  <c r="V1871" i="16"/>
  <c r="D1870" i="16"/>
  <c r="E1870" i="16" a="1"/>
  <c r="E1870" i="16" s="1"/>
  <c r="G1870" i="16"/>
  <c r="H1870" i="16" s="1"/>
  <c r="I1870" i="16"/>
  <c r="N1870" i="16"/>
  <c r="M1870" i="16" s="1"/>
  <c r="Q1870" i="16"/>
  <c r="S1870" i="16"/>
  <c r="U1870" i="16" a="1"/>
  <c r="U1870" i="16" s="1"/>
  <c r="V1870" i="16"/>
  <c r="D1869" i="16"/>
  <c r="E1869" i="16" a="1"/>
  <c r="E1869" i="16" s="1"/>
  <c r="G1869" i="16"/>
  <c r="H1869" i="16" s="1"/>
  <c r="I1869" i="16"/>
  <c r="N1869" i="16"/>
  <c r="Q1869" i="16"/>
  <c r="S1869" i="16"/>
  <c r="U1869" i="16" a="1"/>
  <c r="U1869" i="16" s="1"/>
  <c r="V1869" i="16"/>
  <c r="D1868" i="16"/>
  <c r="E1868" i="16" a="1"/>
  <c r="E1868" i="16" s="1"/>
  <c r="G1868" i="16"/>
  <c r="H1868" i="16" s="1"/>
  <c r="I1868" i="16"/>
  <c r="N1868" i="16"/>
  <c r="M1868" i="16" s="1"/>
  <c r="Q1868" i="16"/>
  <c r="S1868" i="16"/>
  <c r="V1868" i="16"/>
  <c r="D1867" i="16"/>
  <c r="E1867" i="16" a="1"/>
  <c r="E1867" i="16" s="1"/>
  <c r="G1867" i="16"/>
  <c r="H1867" i="16" s="1"/>
  <c r="I1867" i="16"/>
  <c r="N1867" i="16"/>
  <c r="Q1867" i="16"/>
  <c r="S1867" i="16"/>
  <c r="V1867" i="16"/>
  <c r="D1502" i="6"/>
  <c r="E1502" i="6" a="1"/>
  <c r="E1502" i="6" s="1"/>
  <c r="G1502" i="6"/>
  <c r="H1502" i="6" s="1"/>
  <c r="I1502" i="6"/>
  <c r="N1502" i="6"/>
  <c r="Q1502" i="6"/>
  <c r="S1502" i="6"/>
  <c r="U1502" i="6" a="1"/>
  <c r="U1502" i="6" s="1"/>
  <c r="V1502" i="6"/>
  <c r="D1501" i="6"/>
  <c r="E1501" i="6" a="1"/>
  <c r="E1501" i="6" s="1"/>
  <c r="G1501" i="6"/>
  <c r="H1501" i="6" s="1"/>
  <c r="I1501" i="6"/>
  <c r="N1501" i="6"/>
  <c r="M1501" i="6" s="1"/>
  <c r="Q1501" i="6"/>
  <c r="S1501" i="6"/>
  <c r="V1501" i="6"/>
  <c r="D1866" i="16"/>
  <c r="E1866" i="16" a="1"/>
  <c r="E1866" i="16" s="1"/>
  <c r="G1866" i="16"/>
  <c r="H1866" i="16" s="1"/>
  <c r="I1866" i="16"/>
  <c r="N1866" i="16"/>
  <c r="M1866" i="16" s="1"/>
  <c r="Q1866" i="16"/>
  <c r="S1866" i="16"/>
  <c r="V1866" i="16"/>
  <c r="G1864" i="16"/>
  <c r="G1865" i="16"/>
  <c r="N1500" i="6"/>
  <c r="M1500" i="6" s="1"/>
  <c r="D1500" i="6"/>
  <c r="E1500" i="6" a="1"/>
  <c r="E1500" i="6" s="1"/>
  <c r="G1500" i="6"/>
  <c r="H1500" i="6" s="1"/>
  <c r="I1500" i="6"/>
  <c r="S1500" i="6"/>
  <c r="V1500" i="6"/>
  <c r="M1877" i="16" l="1"/>
  <c r="M1876" i="16"/>
  <c r="M1875" i="16"/>
  <c r="M1874" i="16"/>
  <c r="M1873" i="16"/>
  <c r="M1871" i="16"/>
  <c r="M1869" i="16"/>
  <c r="M1867" i="16"/>
  <c r="M1502" i="6"/>
  <c r="Q1500" i="6"/>
  <c r="P1499" i="6"/>
  <c r="D1499" i="6" l="1"/>
  <c r="E1499" i="6" a="1"/>
  <c r="E1499" i="6" s="1"/>
  <c r="G1499" i="6"/>
  <c r="H1499" i="6" s="1"/>
  <c r="I1499" i="6"/>
  <c r="N1499" i="6"/>
  <c r="M1499" i="6" s="1"/>
  <c r="Q1499" i="6"/>
  <c r="S1499" i="6"/>
  <c r="U1499" i="6" a="1"/>
  <c r="U1499" i="6" s="1"/>
  <c r="V1499" i="6"/>
  <c r="A18" i="26" a="1"/>
  <c r="A18" i="26" s="1"/>
  <c r="F726" i="13"/>
  <c r="L726" i="13"/>
  <c r="N726" i="13" s="1"/>
  <c r="AR726" i="13" s="1"/>
  <c r="M726" i="13"/>
  <c r="P726" i="13" s="1"/>
  <c r="W726" i="13"/>
  <c r="X726" i="13"/>
  <c r="Y726" i="13"/>
  <c r="AC726" i="13"/>
  <c r="AE726" i="13" s="1"/>
  <c r="AD726" i="13"/>
  <c r="AO726" i="13"/>
  <c r="D1498" i="6"/>
  <c r="E1498" i="6" a="1"/>
  <c r="E1498" i="6" s="1"/>
  <c r="G1498" i="6"/>
  <c r="H1498" i="6" s="1"/>
  <c r="I1498" i="6"/>
  <c r="N1498" i="6"/>
  <c r="M1498" i="6" s="1"/>
  <c r="Q1498" i="6"/>
  <c r="S1498" i="6"/>
  <c r="U1498" i="6" a="1"/>
  <c r="U1498" i="6" s="1"/>
  <c r="V1498" i="6"/>
  <c r="W1498" i="6" s="1"/>
  <c r="N1496" i="6"/>
  <c r="N1497" i="6"/>
  <c r="M1497" i="6" s="1"/>
  <c r="Q1495" i="6"/>
  <c r="D1497" i="6"/>
  <c r="E1497" i="6" a="1"/>
  <c r="E1497" i="6" s="1"/>
  <c r="G1497" i="6"/>
  <c r="H1497" i="6" s="1"/>
  <c r="I1497" i="6"/>
  <c r="Q1497" i="6"/>
  <c r="S1497" i="6"/>
  <c r="U1497" i="6" a="1"/>
  <c r="U1497" i="6" s="1"/>
  <c r="V1497" i="6"/>
  <c r="D1496" i="6"/>
  <c r="E1496" i="6" a="1"/>
  <c r="E1496" i="6" s="1"/>
  <c r="G1496" i="6"/>
  <c r="H1496" i="6" s="1"/>
  <c r="I1496" i="6"/>
  <c r="Q1496" i="6"/>
  <c r="S1496" i="6"/>
  <c r="V1496" i="6"/>
  <c r="D1495" i="6"/>
  <c r="E1495" i="6" a="1"/>
  <c r="E1495" i="6" s="1"/>
  <c r="G1495" i="6"/>
  <c r="H1495" i="6" s="1"/>
  <c r="I1495" i="6"/>
  <c r="S1495" i="6"/>
  <c r="V1495" i="6"/>
  <c r="N1865" i="16"/>
  <c r="D1865" i="16"/>
  <c r="E1865" i="16" a="1"/>
  <c r="E1865" i="16" s="1"/>
  <c r="H1865" i="16"/>
  <c r="I1865" i="16"/>
  <c r="Q1865" i="16"/>
  <c r="S1865" i="16"/>
  <c r="U1865" i="16" a="1"/>
  <c r="U1865" i="16" s="1"/>
  <c r="V1865" i="16"/>
  <c r="D1864" i="16"/>
  <c r="E1864" i="16" a="1"/>
  <c r="E1864" i="16" s="1"/>
  <c r="H1864" i="16"/>
  <c r="I1864" i="16"/>
  <c r="N1864" i="16"/>
  <c r="M1864" i="16" s="1"/>
  <c r="Q1864" i="16"/>
  <c r="S1864" i="16"/>
  <c r="U1864" i="16" a="1"/>
  <c r="U1864" i="16" s="1"/>
  <c r="V1864" i="16"/>
  <c r="W1864" i="16" s="1"/>
  <c r="D1494" i="6"/>
  <c r="E1494" i="6" a="1"/>
  <c r="E1494" i="6" s="1"/>
  <c r="G1494" i="6"/>
  <c r="H1494" i="6" s="1"/>
  <c r="I1494" i="6"/>
  <c r="N1494" i="6"/>
  <c r="M1494" i="6" s="1"/>
  <c r="Q1494" i="6"/>
  <c r="S1494" i="6"/>
  <c r="U1494" i="6" a="1"/>
  <c r="U1494" i="6" s="1"/>
  <c r="V1494" i="6"/>
  <c r="Q1493" i="6"/>
  <c r="D1493" i="6"/>
  <c r="E1493" i="6" a="1"/>
  <c r="E1493" i="6" s="1"/>
  <c r="G1493" i="6"/>
  <c r="H1493" i="6" s="1"/>
  <c r="I1493" i="6"/>
  <c r="S1493" i="6"/>
  <c r="V1493" i="6"/>
  <c r="Q1492" i="6"/>
  <c r="D1492" i="6"/>
  <c r="E1492" i="6" a="1"/>
  <c r="E1492" i="6" s="1"/>
  <c r="G1492" i="6"/>
  <c r="H1492" i="6" s="1"/>
  <c r="I1492" i="6"/>
  <c r="S1492" i="6"/>
  <c r="U1492" i="6" a="1"/>
  <c r="U1492" i="6" s="1"/>
  <c r="V1492" i="6"/>
  <c r="O1864" i="16" l="1"/>
  <c r="R726" i="13"/>
  <c r="O726" i="13"/>
  <c r="T726" i="13"/>
  <c r="AM726" i="13" a="1"/>
  <c r="AM726" i="13" s="1"/>
  <c r="O1498" i="6"/>
  <c r="AH726" i="13"/>
  <c r="AG726" i="13"/>
  <c r="AF726" i="13"/>
  <c r="K726" i="13"/>
  <c r="Q726" i="13"/>
  <c r="I726" i="13"/>
  <c r="R1864" i="16"/>
  <c r="N1495" i="6"/>
  <c r="M1495" i="6" s="1"/>
  <c r="M1496" i="6"/>
  <c r="M1865" i="16"/>
  <c r="N1492" i="6"/>
  <c r="M1492" i="6" s="1"/>
  <c r="N1493" i="6"/>
  <c r="N1863" i="16"/>
  <c r="M1863" i="16" s="1"/>
  <c r="V1863" i="16"/>
  <c r="W1863" i="16" s="1"/>
  <c r="U1863" i="16" a="1"/>
  <c r="U1863" i="16" s="1"/>
  <c r="S1863" i="16"/>
  <c r="I1863" i="16"/>
  <c r="G1863" i="16"/>
  <c r="H1863" i="16" s="1"/>
  <c r="E1863" i="16" a="1"/>
  <c r="E1863" i="16" s="1"/>
  <c r="D1863" i="16"/>
  <c r="N1862" i="16"/>
  <c r="D1862" i="16"/>
  <c r="E1862" i="16" a="1"/>
  <c r="E1862" i="16" s="1"/>
  <c r="G1862" i="16"/>
  <c r="H1862" i="16" s="1"/>
  <c r="I1862" i="16"/>
  <c r="S1862" i="16"/>
  <c r="V1862" i="16"/>
  <c r="N1491" i="6"/>
  <c r="D1491" i="6"/>
  <c r="E1491" i="6" a="1"/>
  <c r="E1491" i="6" s="1"/>
  <c r="G1491" i="6"/>
  <c r="H1491" i="6" s="1"/>
  <c r="I1491" i="6"/>
  <c r="S1491" i="6"/>
  <c r="V1491" i="6"/>
  <c r="N1490" i="6"/>
  <c r="D1490" i="6"/>
  <c r="E1490" i="6" a="1"/>
  <c r="E1490" i="6" s="1"/>
  <c r="G1490" i="6"/>
  <c r="H1490" i="6" s="1"/>
  <c r="I1490" i="6"/>
  <c r="S1490" i="6"/>
  <c r="U1490" i="6" a="1"/>
  <c r="U1490" i="6" s="1"/>
  <c r="V1490" i="6"/>
  <c r="V726" i="13" s="1"/>
  <c r="Z726" i="13" s="1"/>
  <c r="N1861" i="16"/>
  <c r="D1861" i="16"/>
  <c r="E1861" i="16" a="1"/>
  <c r="E1861" i="16" s="1"/>
  <c r="G1861" i="16"/>
  <c r="H1861" i="16" s="1"/>
  <c r="I1861" i="16"/>
  <c r="S1861" i="16"/>
  <c r="V1861" i="16"/>
  <c r="N1489" i="6"/>
  <c r="D1489" i="6"/>
  <c r="E1489" i="6" a="1"/>
  <c r="E1489" i="6" s="1"/>
  <c r="G1489" i="6"/>
  <c r="H1489" i="6" s="1"/>
  <c r="I1489" i="6"/>
  <c r="S1489" i="6"/>
  <c r="U1489" i="6" a="1"/>
  <c r="U1489" i="6" s="1"/>
  <c r="V1489" i="6"/>
  <c r="E725" i="13"/>
  <c r="H725" i="13" s="1"/>
  <c r="F725" i="13"/>
  <c r="K725" i="13" s="1"/>
  <c r="L725" i="13"/>
  <c r="O725" i="13" s="1"/>
  <c r="M725" i="13"/>
  <c r="P725" i="13" s="1"/>
  <c r="V725" i="13"/>
  <c r="W725" i="13"/>
  <c r="X725" i="13"/>
  <c r="Y725" i="13"/>
  <c r="AC725" i="13"/>
  <c r="AE725" i="13" s="1"/>
  <c r="AD725" i="13"/>
  <c r="AO725" i="13"/>
  <c r="AU726" i="13" l="1"/>
  <c r="M1490" i="6"/>
  <c r="E726" i="13"/>
  <c r="Q1863" i="16"/>
  <c r="M1493" i="6"/>
  <c r="O1863" i="16"/>
  <c r="R1863" i="16" s="1"/>
  <c r="Q1862" i="16"/>
  <c r="Q1861" i="16"/>
  <c r="M1862" i="16"/>
  <c r="M1491" i="6"/>
  <c r="Q1491" i="6"/>
  <c r="Q1489" i="6"/>
  <c r="Q1490" i="6"/>
  <c r="AM725" i="13" a="1"/>
  <c r="AM725" i="13" s="1"/>
  <c r="N725" i="13"/>
  <c r="AR725" i="13" s="1"/>
  <c r="M1861" i="16"/>
  <c r="AL725" i="13" a="1"/>
  <c r="AL725" i="13" s="1"/>
  <c r="G725" i="13"/>
  <c r="AQ725" i="13" s="1"/>
  <c r="M1489" i="6"/>
  <c r="S725" i="13"/>
  <c r="AH725" i="13"/>
  <c r="AG725" i="13"/>
  <c r="Z725" i="13"/>
  <c r="AF725" i="13"/>
  <c r="T725" i="13"/>
  <c r="R725" i="13"/>
  <c r="AU725" i="13" s="1"/>
  <c r="Q725" i="13"/>
  <c r="I725" i="13"/>
  <c r="D1841" i="16"/>
  <c r="D1842" i="16"/>
  <c r="D1843" i="16"/>
  <c r="D1844" i="16"/>
  <c r="D1845" i="16"/>
  <c r="D1846" i="16"/>
  <c r="D1847" i="16"/>
  <c r="D1848" i="16"/>
  <c r="D1849" i="16"/>
  <c r="D1850" i="16"/>
  <c r="D1851" i="16"/>
  <c r="D1852" i="16"/>
  <c r="D1853" i="16"/>
  <c r="D1854" i="16"/>
  <c r="D1855" i="16"/>
  <c r="D1856" i="16"/>
  <c r="D1857" i="16"/>
  <c r="D1858" i="16"/>
  <c r="D1859" i="16"/>
  <c r="D1860" i="16"/>
  <c r="E1841" i="16" a="1"/>
  <c r="E1841" i="16" s="1"/>
  <c r="E1842" i="16" a="1"/>
  <c r="E1842" i="16" s="1"/>
  <c r="E1843" i="16" a="1"/>
  <c r="E1843" i="16" s="1"/>
  <c r="E1844" i="16" a="1"/>
  <c r="E1844" i="16" s="1"/>
  <c r="E1845" i="16" a="1"/>
  <c r="E1845" i="16" s="1"/>
  <c r="E1846" i="16" a="1"/>
  <c r="E1846" i="16" s="1"/>
  <c r="E1847" i="16" a="1"/>
  <c r="E1847" i="16" s="1"/>
  <c r="E1848" i="16" a="1"/>
  <c r="E1848" i="16" s="1"/>
  <c r="E1849" i="16" a="1"/>
  <c r="E1849" i="16" s="1"/>
  <c r="E1850" i="16" a="1"/>
  <c r="E1850" i="16" s="1"/>
  <c r="E1851" i="16" a="1"/>
  <c r="E1851" i="16" s="1"/>
  <c r="E1852" i="16" a="1"/>
  <c r="E1852" i="16" s="1"/>
  <c r="E1853" i="16" a="1"/>
  <c r="E1853" i="16" s="1"/>
  <c r="E1854" i="16" a="1"/>
  <c r="E1854" i="16" s="1"/>
  <c r="E1855" i="16" a="1"/>
  <c r="E1855" i="16" s="1"/>
  <c r="E1856" i="16" a="1"/>
  <c r="E1856" i="16" s="1"/>
  <c r="E1857" i="16" a="1"/>
  <c r="E1857" i="16" s="1"/>
  <c r="E1858" i="16" a="1"/>
  <c r="E1858" i="16" s="1"/>
  <c r="E1859" i="16" a="1"/>
  <c r="E1859" i="16" s="1"/>
  <c r="E1860" i="16" a="1"/>
  <c r="E1860" i="16" s="1"/>
  <c r="G1841" i="16"/>
  <c r="G1842" i="16"/>
  <c r="H1842" i="16" s="1"/>
  <c r="G1843" i="16"/>
  <c r="H1843" i="16" s="1"/>
  <c r="G1844" i="16"/>
  <c r="H1844" i="16" s="1"/>
  <c r="G1845" i="16"/>
  <c r="H1845" i="16" s="1"/>
  <c r="G1846" i="16"/>
  <c r="H1846" i="16" s="1"/>
  <c r="G1847" i="16"/>
  <c r="H1847" i="16" s="1"/>
  <c r="G1848" i="16"/>
  <c r="H1848" i="16" s="1"/>
  <c r="G1849" i="16"/>
  <c r="H1849" i="16" s="1"/>
  <c r="G1850" i="16"/>
  <c r="H1850" i="16" s="1"/>
  <c r="G1851" i="16"/>
  <c r="H1851" i="16" s="1"/>
  <c r="G1852" i="16"/>
  <c r="H1852" i="16" s="1"/>
  <c r="G1853" i="16"/>
  <c r="H1853" i="16" s="1"/>
  <c r="G1854" i="16"/>
  <c r="H1854" i="16" s="1"/>
  <c r="G1855" i="16"/>
  <c r="H1855" i="16" s="1"/>
  <c r="G1856" i="16"/>
  <c r="H1856" i="16" s="1"/>
  <c r="G1857" i="16"/>
  <c r="H1857" i="16" s="1"/>
  <c r="G1858" i="16"/>
  <c r="H1858" i="16" s="1"/>
  <c r="G1859" i="16"/>
  <c r="H1859" i="16" s="1"/>
  <c r="G1860" i="16"/>
  <c r="H1860" i="16" s="1"/>
  <c r="H1841" i="16"/>
  <c r="I1841" i="16"/>
  <c r="I1842" i="16"/>
  <c r="I1843" i="16"/>
  <c r="I1844" i="16"/>
  <c r="I1845" i="16"/>
  <c r="I1846" i="16"/>
  <c r="I1847" i="16"/>
  <c r="I1848" i="16"/>
  <c r="I1849" i="16"/>
  <c r="I1850" i="16"/>
  <c r="I1851" i="16"/>
  <c r="I1852" i="16"/>
  <c r="I1853" i="16"/>
  <c r="I1854" i="16"/>
  <c r="I1855" i="16"/>
  <c r="I1856" i="16"/>
  <c r="I1857" i="16"/>
  <c r="I1858" i="16"/>
  <c r="I1859" i="16"/>
  <c r="I1860" i="16"/>
  <c r="N1841" i="16"/>
  <c r="M1841" i="16" s="1"/>
  <c r="N1842" i="16"/>
  <c r="M1842" i="16" s="1"/>
  <c r="N1843" i="16"/>
  <c r="M1843" i="16" s="1"/>
  <c r="N1844" i="16"/>
  <c r="M1844" i="16" s="1"/>
  <c r="N1845" i="16"/>
  <c r="M1845" i="16" s="1"/>
  <c r="N1846" i="16"/>
  <c r="M1846" i="16" s="1"/>
  <c r="N1847" i="16"/>
  <c r="M1847" i="16" s="1"/>
  <c r="N1848" i="16"/>
  <c r="M1848" i="16" s="1"/>
  <c r="N1849" i="16"/>
  <c r="M1849" i="16" s="1"/>
  <c r="N1850" i="16"/>
  <c r="M1850" i="16" s="1"/>
  <c r="N1851" i="16"/>
  <c r="M1851" i="16" s="1"/>
  <c r="N1852" i="16"/>
  <c r="M1852" i="16" s="1"/>
  <c r="N1853" i="16"/>
  <c r="M1853" i="16" s="1"/>
  <c r="N1854" i="16"/>
  <c r="M1854" i="16" s="1"/>
  <c r="N1855" i="16"/>
  <c r="M1855" i="16" s="1"/>
  <c r="N1856" i="16"/>
  <c r="M1856" i="16" s="1"/>
  <c r="N1857" i="16"/>
  <c r="M1857" i="16" s="1"/>
  <c r="N1858" i="16"/>
  <c r="M1858" i="16" s="1"/>
  <c r="N1859" i="16"/>
  <c r="M1859" i="16" s="1"/>
  <c r="N1860" i="16"/>
  <c r="M1860" i="16" s="1"/>
  <c r="Q1841" i="16"/>
  <c r="Q1842" i="16"/>
  <c r="Q1843" i="16"/>
  <c r="Q1844" i="16"/>
  <c r="Q1845" i="16"/>
  <c r="Q1846" i="16"/>
  <c r="Q1847" i="16"/>
  <c r="Q1848" i="16"/>
  <c r="Q1849" i="16"/>
  <c r="Q1850" i="16"/>
  <c r="Q1851" i="16"/>
  <c r="Q1852" i="16"/>
  <c r="Q1853" i="16"/>
  <c r="Q1854" i="16"/>
  <c r="Q1855" i="16"/>
  <c r="Q1856" i="16"/>
  <c r="Q1857" i="16"/>
  <c r="Q1858" i="16"/>
  <c r="Q1859" i="16"/>
  <c r="Q1860" i="16"/>
  <c r="S1841" i="16"/>
  <c r="S1842" i="16"/>
  <c r="S1843" i="16"/>
  <c r="S1844" i="16"/>
  <c r="S1845" i="16"/>
  <c r="S1846" i="16"/>
  <c r="S1847" i="16"/>
  <c r="S1848" i="16"/>
  <c r="S1849" i="16"/>
  <c r="S1850" i="16"/>
  <c r="S1851" i="16"/>
  <c r="S1852" i="16"/>
  <c r="S1853" i="16"/>
  <c r="S1854" i="16"/>
  <c r="S1855" i="16"/>
  <c r="S1856" i="16"/>
  <c r="S1857" i="16"/>
  <c r="S1858" i="16"/>
  <c r="S1859" i="16"/>
  <c r="S1860" i="16"/>
  <c r="U1841" i="16" a="1"/>
  <c r="U1841" i="16" s="1"/>
  <c r="U1842" i="16" a="1"/>
  <c r="U1842" i="16" s="1"/>
  <c r="U1843" i="16" a="1"/>
  <c r="U1843" i="16" s="1"/>
  <c r="U1844" i="16" a="1"/>
  <c r="U1844" i="16" s="1"/>
  <c r="U1845" i="16" a="1"/>
  <c r="U1845" i="16" s="1"/>
  <c r="U1846" i="16" a="1"/>
  <c r="U1846" i="16" s="1"/>
  <c r="U1847" i="16" a="1"/>
  <c r="U1847" i="16" s="1"/>
  <c r="U1848" i="16" a="1"/>
  <c r="U1848" i="16" s="1"/>
  <c r="U1849" i="16" a="1"/>
  <c r="U1849" i="16" s="1"/>
  <c r="U1850" i="16" a="1"/>
  <c r="U1850" i="16" s="1"/>
  <c r="U1851" i="16" a="1"/>
  <c r="U1851" i="16" s="1"/>
  <c r="U1852" i="16" a="1"/>
  <c r="U1852" i="16" s="1"/>
  <c r="U1853" i="16" a="1"/>
  <c r="U1853" i="16" s="1"/>
  <c r="U1854" i="16" a="1"/>
  <c r="U1854" i="16" s="1"/>
  <c r="U1855" i="16" a="1"/>
  <c r="U1855" i="16" s="1"/>
  <c r="U1856" i="16" a="1"/>
  <c r="U1856" i="16" s="1"/>
  <c r="U1857" i="16" a="1"/>
  <c r="U1857" i="16" s="1"/>
  <c r="U1858" i="16" a="1"/>
  <c r="U1858" i="16" s="1"/>
  <c r="U1859" i="16" a="1"/>
  <c r="U1859" i="16" s="1"/>
  <c r="U1860" i="16" a="1"/>
  <c r="U1860" i="16" s="1"/>
  <c r="V1841" i="16"/>
  <c r="V1842" i="16"/>
  <c r="V1843" i="16"/>
  <c r="V1844" i="16"/>
  <c r="V1845" i="16"/>
  <c r="V1846" i="16"/>
  <c r="V1847" i="16"/>
  <c r="V1848" i="16"/>
  <c r="V1849" i="16"/>
  <c r="V1850" i="16"/>
  <c r="V1851" i="16"/>
  <c r="V1852" i="16"/>
  <c r="V1853" i="16"/>
  <c r="V1854" i="16"/>
  <c r="V1855" i="16"/>
  <c r="V1856" i="16"/>
  <c r="V1857" i="16"/>
  <c r="V1858" i="16"/>
  <c r="V1859" i="16"/>
  <c r="V1860" i="16"/>
  <c r="D1482" i="6"/>
  <c r="D1483" i="6"/>
  <c r="D1484" i="6"/>
  <c r="D1485" i="6"/>
  <c r="D1486" i="6"/>
  <c r="D1487" i="6"/>
  <c r="D1488" i="6"/>
  <c r="E1482" i="6" a="1"/>
  <c r="E1482" i="6" s="1"/>
  <c r="E1483" i="6" a="1"/>
  <c r="E1483" i="6" s="1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G1482" i="6"/>
  <c r="H1482" i="6" s="1"/>
  <c r="G1483" i="6"/>
  <c r="H1483" i="6" s="1"/>
  <c r="G1484" i="6"/>
  <c r="H1484" i="6" s="1"/>
  <c r="G1485" i="6"/>
  <c r="H1485" i="6" s="1"/>
  <c r="G1486" i="6"/>
  <c r="H1486" i="6" s="1"/>
  <c r="G1487" i="6"/>
  <c r="H1487" i="6" s="1"/>
  <c r="G1488" i="6"/>
  <c r="H1488" i="6" s="1"/>
  <c r="I1482" i="6"/>
  <c r="I1483" i="6"/>
  <c r="I1484" i="6"/>
  <c r="I1485" i="6"/>
  <c r="I1486" i="6"/>
  <c r="I1487" i="6"/>
  <c r="I1488" i="6"/>
  <c r="N1482" i="6"/>
  <c r="M1482" i="6" s="1"/>
  <c r="N1483" i="6"/>
  <c r="M1483" i="6" s="1"/>
  <c r="N1484" i="6"/>
  <c r="M1484" i="6" s="1"/>
  <c r="N1485" i="6"/>
  <c r="M1485" i="6" s="1"/>
  <c r="N1486" i="6"/>
  <c r="M1486" i="6" s="1"/>
  <c r="N1487" i="6"/>
  <c r="M1487" i="6" s="1"/>
  <c r="N1488" i="6"/>
  <c r="M1488" i="6" s="1"/>
  <c r="Q1482" i="6"/>
  <c r="Q1483" i="6"/>
  <c r="Q1484" i="6"/>
  <c r="Q1485" i="6"/>
  <c r="Q1486" i="6"/>
  <c r="Q1487" i="6"/>
  <c r="Q1488" i="6"/>
  <c r="S1482" i="6"/>
  <c r="S1483" i="6"/>
  <c r="S1484" i="6"/>
  <c r="S1485" i="6"/>
  <c r="S1486" i="6"/>
  <c r="S1487" i="6"/>
  <c r="S1488" i="6"/>
  <c r="U1482" i="6" a="1"/>
  <c r="U1482" i="6" s="1"/>
  <c r="V1482" i="6"/>
  <c r="V1483" i="6"/>
  <c r="V1484" i="6"/>
  <c r="V1485" i="6"/>
  <c r="V1486" i="6"/>
  <c r="V1487" i="6"/>
  <c r="V1488" i="6"/>
  <c r="H726" i="13" l="1"/>
  <c r="S726" i="13"/>
  <c r="AA726" i="13" s="1"/>
  <c r="G726" i="13"/>
  <c r="AQ726" i="13" s="1"/>
  <c r="J725" i="13"/>
  <c r="AI725" i="13" s="1"/>
  <c r="AA725" i="13"/>
  <c r="AS725" i="13" s="1"/>
  <c r="AT725" i="13" s="1"/>
  <c r="AS726" i="13" l="1"/>
  <c r="AT726" i="13" s="1"/>
  <c r="AK726" i="13"/>
  <c r="AP726" i="13"/>
  <c r="AB726" i="13"/>
  <c r="AJ726" i="13"/>
  <c r="AP725" i="13"/>
  <c r="AJ725" i="13"/>
  <c r="AN725" i="13" s="1"/>
  <c r="AK725" i="13"/>
  <c r="AB725" i="13"/>
  <c r="AV725" i="13"/>
  <c r="E723" i="13"/>
  <c r="G723" i="13" s="1"/>
  <c r="F723" i="13"/>
  <c r="I723" i="13" s="1"/>
  <c r="F724" i="13"/>
  <c r="L723" i="13"/>
  <c r="L724" i="13"/>
  <c r="O724" i="13" s="1"/>
  <c r="M723" i="13"/>
  <c r="P723" i="13" s="1"/>
  <c r="M724" i="13"/>
  <c r="R724" i="13" s="1"/>
  <c r="V723" i="13"/>
  <c r="W723" i="13"/>
  <c r="W724" i="13"/>
  <c r="X723" i="13"/>
  <c r="X724" i="13"/>
  <c r="Y723" i="13"/>
  <c r="Y724" i="13"/>
  <c r="AC723" i="13"/>
  <c r="AH723" i="13" s="1"/>
  <c r="AC724" i="13"/>
  <c r="AF724" i="13" s="1"/>
  <c r="AD723" i="13"/>
  <c r="AD724" i="13"/>
  <c r="AE723" i="13"/>
  <c r="AO723" i="13"/>
  <c r="AO724" i="13"/>
  <c r="AL723" i="13" l="1" a="1"/>
  <c r="AL723" i="13" s="1"/>
  <c r="AE724" i="13"/>
  <c r="S723" i="13"/>
  <c r="N723" i="13"/>
  <c r="H723" i="13"/>
  <c r="AG724" i="13"/>
  <c r="O723" i="13"/>
  <c r="AM723" i="13" a="1"/>
  <c r="AM723" i="13" s="1"/>
  <c r="K723" i="13"/>
  <c r="AQ723" i="13"/>
  <c r="J723" i="13"/>
  <c r="Z723" i="13"/>
  <c r="R723" i="13"/>
  <c r="P724" i="13"/>
  <c r="AG723" i="13"/>
  <c r="AF723" i="13"/>
  <c r="T723" i="13"/>
  <c r="T724" i="13"/>
  <c r="N724" i="13"/>
  <c r="AM724" i="13" a="1"/>
  <c r="AM724" i="13" s="1"/>
  <c r="AH724" i="13"/>
  <c r="AU723" i="13" l="1"/>
  <c r="AA723" i="13"/>
  <c r="AP723" i="13" s="1"/>
  <c r="Q723" i="13"/>
  <c r="AI723" i="13" s="1"/>
  <c r="AR723" i="13"/>
  <c r="Q724" i="13"/>
  <c r="AR724" i="13"/>
  <c r="AB723" i="13" l="1"/>
  <c r="AK723" i="13"/>
  <c r="AJ723" i="13"/>
  <c r="AN723" i="13"/>
  <c r="AS723" i="13"/>
  <c r="AT723" i="13" s="1"/>
  <c r="AV723" i="13"/>
  <c r="N1481" i="6"/>
  <c r="O1481" i="6" s="1"/>
  <c r="D1481" i="6"/>
  <c r="E1481" i="6" a="1"/>
  <c r="E1481" i="6" s="1"/>
  <c r="G1481" i="6"/>
  <c r="H1481" i="6" s="1"/>
  <c r="I1481" i="6"/>
  <c r="S1481" i="6"/>
  <c r="U1481" i="6" a="1"/>
  <c r="U1481" i="6" s="1"/>
  <c r="V1481" i="6"/>
  <c r="W1481" i="6" s="1"/>
  <c r="E722" i="13"/>
  <c r="G722" i="13" s="1"/>
  <c r="F722" i="13"/>
  <c r="K722" i="13" s="1"/>
  <c r="L722" i="13"/>
  <c r="N722" i="13" s="1"/>
  <c r="M722" i="13"/>
  <c r="R722" i="13" s="1"/>
  <c r="V722" i="13"/>
  <c r="W722" i="13"/>
  <c r="X722" i="13"/>
  <c r="Y722" i="13"/>
  <c r="AC722" i="13"/>
  <c r="AE722" i="13" s="1"/>
  <c r="AD722" i="13"/>
  <c r="AO722" i="13"/>
  <c r="Q1481" i="6" l="1"/>
  <c r="P722" i="13"/>
  <c r="AH722" i="13"/>
  <c r="AG722" i="13"/>
  <c r="AL722" i="13" a="1"/>
  <c r="AL722" i="13" s="1"/>
  <c r="H722" i="13"/>
  <c r="T722" i="13"/>
  <c r="I722" i="13"/>
  <c r="M1481" i="6"/>
  <c r="R1481" i="6" s="1"/>
  <c r="Z722" i="13"/>
  <c r="AU722" i="13"/>
  <c r="Q722" i="13"/>
  <c r="AR722" i="13"/>
  <c r="J722" i="13"/>
  <c r="AQ722" i="13"/>
  <c r="AM722" i="13" a="1"/>
  <c r="AM722" i="13" s="1"/>
  <c r="AF722" i="13"/>
  <c r="S722" i="13"/>
  <c r="O722" i="13"/>
  <c r="AI722" i="13" l="1"/>
  <c r="AA722" i="13"/>
  <c r="AS722" i="13" s="1"/>
  <c r="AT722" i="13" s="1"/>
  <c r="AN722" i="13" l="1"/>
  <c r="AK722" i="13"/>
  <c r="AP722" i="13"/>
  <c r="AV722" i="13" s="1"/>
  <c r="AJ722" i="13"/>
  <c r="AB722" i="13"/>
  <c r="N1480" i="6"/>
  <c r="D1480" i="6"/>
  <c r="E1480" i="6" a="1"/>
  <c r="E1480" i="6" s="1"/>
  <c r="G1480" i="6"/>
  <c r="H1480" i="6" s="1"/>
  <c r="I1480" i="6"/>
  <c r="S1480" i="6"/>
  <c r="V1480" i="6"/>
  <c r="N1479" i="6"/>
  <c r="D1479" i="6"/>
  <c r="E1479" i="6" a="1"/>
  <c r="E1479" i="6" s="1"/>
  <c r="G1479" i="6"/>
  <c r="H1479" i="6" s="1"/>
  <c r="I1479" i="6"/>
  <c r="S1479" i="6"/>
  <c r="V1479" i="6"/>
  <c r="N1478" i="6"/>
  <c r="D1478" i="6"/>
  <c r="E1478" i="6" a="1"/>
  <c r="E1478" i="6" s="1"/>
  <c r="G1478" i="6"/>
  <c r="H1478" i="6" s="1"/>
  <c r="I1478" i="6"/>
  <c r="Q1478" i="6"/>
  <c r="S1478" i="6"/>
  <c r="U1478" i="6" a="1"/>
  <c r="U1478" i="6" s="1"/>
  <c r="V1478" i="6"/>
  <c r="Q1476" i="6"/>
  <c r="D1477" i="6"/>
  <c r="E1477" i="6" a="1"/>
  <c r="E1477" i="6" s="1"/>
  <c r="G1477" i="6"/>
  <c r="H1477" i="6" s="1"/>
  <c r="I1477" i="6"/>
  <c r="N1477" i="6"/>
  <c r="Q1477" i="6"/>
  <c r="S1477" i="6"/>
  <c r="U1477" i="6" a="1"/>
  <c r="U1477" i="6" s="1"/>
  <c r="V1477" i="6"/>
  <c r="D1476" i="6"/>
  <c r="E1476" i="6" a="1"/>
  <c r="E1476" i="6" s="1"/>
  <c r="G1476" i="6"/>
  <c r="H1476" i="6" s="1"/>
  <c r="I1476" i="6"/>
  <c r="N1476" i="6"/>
  <c r="M1476" i="6" s="1"/>
  <c r="S1476" i="6"/>
  <c r="U1476" i="6" a="1"/>
  <c r="U1476" i="6" s="1"/>
  <c r="V1476" i="6"/>
  <c r="Q1479" i="6" l="1"/>
  <c r="Q1480" i="6"/>
  <c r="M1480" i="6"/>
  <c r="M1479" i="6"/>
  <c r="M1478" i="6"/>
  <c r="M1477" i="6"/>
  <c r="E719" i="13"/>
  <c r="G719" i="13" s="1"/>
  <c r="E720" i="13"/>
  <c r="E721" i="13"/>
  <c r="H721" i="13" s="1"/>
  <c r="F719" i="13"/>
  <c r="I719" i="13" s="1"/>
  <c r="F720" i="13"/>
  <c r="K720" i="13" s="1"/>
  <c r="F721" i="13"/>
  <c r="I721" i="13" s="1"/>
  <c r="L719" i="13"/>
  <c r="O719" i="13" s="1"/>
  <c r="L720" i="13"/>
  <c r="O720" i="13" s="1"/>
  <c r="L721" i="13"/>
  <c r="O721" i="13" s="1"/>
  <c r="M719" i="13"/>
  <c r="P719" i="13" s="1"/>
  <c r="M720" i="13"/>
  <c r="R720" i="13" s="1"/>
  <c r="M721" i="13"/>
  <c r="P721" i="13" s="1"/>
  <c r="V719" i="13"/>
  <c r="V720" i="13"/>
  <c r="V721" i="13"/>
  <c r="W719" i="13"/>
  <c r="W720" i="13"/>
  <c r="W721" i="13"/>
  <c r="X719" i="13"/>
  <c r="X720" i="13"/>
  <c r="X721" i="13"/>
  <c r="Y720" i="13"/>
  <c r="Y721" i="13"/>
  <c r="AC719" i="13"/>
  <c r="AH719" i="13" s="1"/>
  <c r="AC720" i="13"/>
  <c r="AH720" i="13" s="1"/>
  <c r="AC721" i="13"/>
  <c r="AE721" i="13" s="1"/>
  <c r="AD719" i="13"/>
  <c r="AD720" i="13"/>
  <c r="AD721" i="13"/>
  <c r="AO719" i="13"/>
  <c r="AO720" i="13"/>
  <c r="AO721" i="13"/>
  <c r="E715" i="13"/>
  <c r="H715" i="13" s="1"/>
  <c r="E716" i="13"/>
  <c r="H716" i="13" s="1"/>
  <c r="E717" i="13"/>
  <c r="H717" i="13" s="1"/>
  <c r="E718" i="13"/>
  <c r="AL718" i="13" s="1" a="1"/>
  <c r="AL718" i="13" s="1"/>
  <c r="F715" i="13"/>
  <c r="F716" i="13"/>
  <c r="F717" i="13"/>
  <c r="K717" i="13" s="1"/>
  <c r="F718" i="13"/>
  <c r="I718" i="13" s="1"/>
  <c r="L715" i="13"/>
  <c r="AM715" i="13" s="1" a="1"/>
  <c r="AM715" i="13" s="1"/>
  <c r="L716" i="13"/>
  <c r="O716" i="13" s="1"/>
  <c r="L717" i="13"/>
  <c r="N717" i="13" s="1"/>
  <c r="L718" i="13"/>
  <c r="AM718" i="13" s="1" a="1"/>
  <c r="AM718" i="13" s="1"/>
  <c r="M715" i="13"/>
  <c r="R715" i="13" s="1"/>
  <c r="M716" i="13"/>
  <c r="P716" i="13" s="1"/>
  <c r="M717" i="13"/>
  <c r="P717" i="13" s="1"/>
  <c r="M718" i="13"/>
  <c r="P718" i="13" s="1"/>
  <c r="V715" i="13"/>
  <c r="V716" i="13"/>
  <c r="V717" i="13"/>
  <c r="V718" i="13"/>
  <c r="W715" i="13"/>
  <c r="W716" i="13"/>
  <c r="W717" i="13"/>
  <c r="W718" i="13"/>
  <c r="X715" i="13"/>
  <c r="X716" i="13"/>
  <c r="X717" i="13"/>
  <c r="X718" i="13"/>
  <c r="Y715" i="13"/>
  <c r="Y716" i="13"/>
  <c r="Y717" i="13"/>
  <c r="Y718" i="13"/>
  <c r="AC715" i="13"/>
  <c r="AF715" i="13" s="1"/>
  <c r="AC716" i="13"/>
  <c r="AF716" i="13" s="1"/>
  <c r="AC717" i="13"/>
  <c r="AE717" i="13" s="1"/>
  <c r="AC718" i="13"/>
  <c r="AE718" i="13" s="1"/>
  <c r="AD715" i="13"/>
  <c r="AD716" i="13"/>
  <c r="AD717" i="13"/>
  <c r="AD718" i="13"/>
  <c r="AO715" i="13"/>
  <c r="AO716" i="13"/>
  <c r="AO717" i="13"/>
  <c r="AO718" i="13"/>
  <c r="E714" i="13"/>
  <c r="G714" i="13" s="1"/>
  <c r="F714" i="13"/>
  <c r="K714" i="13" s="1"/>
  <c r="L714" i="13"/>
  <c r="N714" i="13" s="1"/>
  <c r="M714" i="13"/>
  <c r="R714" i="13" s="1"/>
  <c r="V714" i="13"/>
  <c r="W714" i="13"/>
  <c r="X714" i="13"/>
  <c r="Y714" i="13"/>
  <c r="AC714" i="13"/>
  <c r="AE714" i="13" s="1"/>
  <c r="AD714" i="13"/>
  <c r="AO714" i="13"/>
  <c r="N1475" i="6"/>
  <c r="M1475" i="6" s="1"/>
  <c r="D1475" i="6"/>
  <c r="E1475" i="6" a="1"/>
  <c r="E1475" i="6" s="1"/>
  <c r="G1475" i="6"/>
  <c r="H1475" i="6" s="1"/>
  <c r="I1475" i="6"/>
  <c r="S1475" i="6"/>
  <c r="T1475" i="6"/>
  <c r="U1475" i="6" a="1"/>
  <c r="U1475" i="6" s="1"/>
  <c r="V1475" i="6"/>
  <c r="AE715" i="13" l="1"/>
  <c r="AE716" i="13"/>
  <c r="AF717" i="13"/>
  <c r="AH717" i="13"/>
  <c r="AG717" i="13"/>
  <c r="AG715" i="13"/>
  <c r="AH715" i="13"/>
  <c r="AH716" i="13"/>
  <c r="AG716" i="13"/>
  <c r="AH718" i="13"/>
  <c r="AG718" i="13"/>
  <c r="AF718" i="13"/>
  <c r="N721" i="13"/>
  <c r="Q721" i="13" s="1"/>
  <c r="N715" i="13"/>
  <c r="Q715" i="13" s="1"/>
  <c r="AM720" i="13" a="1"/>
  <c r="AM720" i="13" s="1"/>
  <c r="R718" i="13"/>
  <c r="P715" i="13"/>
  <c r="O715" i="13"/>
  <c r="N720" i="13"/>
  <c r="AR720" i="13" s="1"/>
  <c r="AG719" i="13"/>
  <c r="R716" i="13"/>
  <c r="AH721" i="13"/>
  <c r="AM716" i="13" a="1"/>
  <c r="AM716" i="13" s="1"/>
  <c r="AG721" i="13"/>
  <c r="AM721" i="13" a="1"/>
  <c r="AM721" i="13" s="1"/>
  <c r="AG720" i="13"/>
  <c r="R719" i="13"/>
  <c r="AF719" i="13"/>
  <c r="AE719" i="13"/>
  <c r="G720" i="13"/>
  <c r="AQ720" i="13" s="1"/>
  <c r="N716" i="13"/>
  <c r="T716" i="13"/>
  <c r="T715" i="13"/>
  <c r="AM719" i="13" a="1"/>
  <c r="AM719" i="13" s="1"/>
  <c r="R721" i="13"/>
  <c r="N719" i="13"/>
  <c r="G717" i="13"/>
  <c r="AQ717" i="13" s="1"/>
  <c r="AL715" i="13" a="1"/>
  <c r="AL715" i="13" s="1"/>
  <c r="G715" i="13"/>
  <c r="J715" i="13" s="1"/>
  <c r="S715" i="13"/>
  <c r="T719" i="13"/>
  <c r="Q1475" i="6"/>
  <c r="G716" i="13"/>
  <c r="AL717" i="13" a="1"/>
  <c r="AL717" i="13" s="1"/>
  <c r="K716" i="13"/>
  <c r="AL716" i="13" a="1"/>
  <c r="AL716" i="13" s="1"/>
  <c r="AL719" i="13" a="1"/>
  <c r="AL719" i="13" s="1"/>
  <c r="S716" i="13"/>
  <c r="S719" i="13"/>
  <c r="AA719" i="13" s="1"/>
  <c r="AP719" i="13" s="1"/>
  <c r="I720" i="13"/>
  <c r="Z716" i="13"/>
  <c r="I717" i="13"/>
  <c r="Z721" i="13"/>
  <c r="I716" i="13"/>
  <c r="J719" i="13"/>
  <c r="AQ719" i="13"/>
  <c r="H720" i="13"/>
  <c r="H719" i="13"/>
  <c r="Z715" i="13"/>
  <c r="S720" i="13"/>
  <c r="K715" i="13"/>
  <c r="AU715" i="13" s="1"/>
  <c r="T718" i="13"/>
  <c r="Z717" i="13"/>
  <c r="I715" i="13"/>
  <c r="AU720" i="13"/>
  <c r="Z718" i="13"/>
  <c r="AL721" i="13" a="1"/>
  <c r="AL721" i="13" s="1"/>
  <c r="Z720" i="13"/>
  <c r="K721" i="13"/>
  <c r="G721" i="13"/>
  <c r="Q717" i="13"/>
  <c r="AR717" i="13"/>
  <c r="AF721" i="13"/>
  <c r="AE720" i="13"/>
  <c r="T721" i="13"/>
  <c r="K718" i="13"/>
  <c r="H718" i="13"/>
  <c r="G718" i="13"/>
  <c r="AM717" i="13" a="1"/>
  <c r="AM717" i="13" s="1"/>
  <c r="T717" i="13"/>
  <c r="S717" i="13"/>
  <c r="R717" i="13"/>
  <c r="AU717" i="13" s="1"/>
  <c r="O717" i="13"/>
  <c r="AF720" i="13"/>
  <c r="T720" i="13"/>
  <c r="P720" i="13"/>
  <c r="K719" i="13"/>
  <c r="S718" i="13"/>
  <c r="O718" i="13"/>
  <c r="N718" i="13"/>
  <c r="S721" i="13"/>
  <c r="AG714" i="13"/>
  <c r="I714" i="13"/>
  <c r="AL714" i="13" a="1"/>
  <c r="AL714" i="13" s="1"/>
  <c r="AH714" i="13"/>
  <c r="T714" i="13"/>
  <c r="H714" i="13"/>
  <c r="P714" i="13"/>
  <c r="Z714" i="13"/>
  <c r="AU714" i="13"/>
  <c r="Q714" i="13"/>
  <c r="AR714" i="13"/>
  <c r="J714" i="13"/>
  <c r="AQ714" i="13"/>
  <c r="AM714" i="13" a="1"/>
  <c r="AM714" i="13" s="1"/>
  <c r="AF714" i="13"/>
  <c r="S714" i="13"/>
  <c r="O714" i="13"/>
  <c r="N1474" i="6"/>
  <c r="D1474" i="6"/>
  <c r="E1474" i="6" a="1"/>
  <c r="E1474" i="6" s="1"/>
  <c r="G1474" i="6"/>
  <c r="H1474" i="6" s="1"/>
  <c r="I1474" i="6"/>
  <c r="S1474" i="6"/>
  <c r="V1474" i="6"/>
  <c r="N1473" i="6"/>
  <c r="D1473" i="6"/>
  <c r="E1473" i="6" a="1"/>
  <c r="E1473" i="6" s="1"/>
  <c r="G1473" i="6"/>
  <c r="H1473" i="6" s="1"/>
  <c r="I1473" i="6"/>
  <c r="S1473" i="6"/>
  <c r="V1473" i="6"/>
  <c r="N1472" i="6"/>
  <c r="D1472" i="6"/>
  <c r="E1472" i="6" a="1"/>
  <c r="E1472" i="6" s="1"/>
  <c r="G1472" i="6"/>
  <c r="H1472" i="6" s="1"/>
  <c r="I1472" i="6"/>
  <c r="S1472" i="6"/>
  <c r="V1472" i="6"/>
  <c r="N1840" i="16"/>
  <c r="D1840" i="16"/>
  <c r="E1840" i="16" a="1"/>
  <c r="E1840" i="16" s="1"/>
  <c r="G1840" i="16"/>
  <c r="H1840" i="16" s="1"/>
  <c r="I1840" i="16"/>
  <c r="S1840" i="16"/>
  <c r="U1840" i="16" a="1"/>
  <c r="U1840" i="16" s="1"/>
  <c r="V1840" i="16"/>
  <c r="Q1839" i="16"/>
  <c r="Q1838" i="16"/>
  <c r="N1834" i="16"/>
  <c r="M1834" i="16" s="1"/>
  <c r="N1835" i="16"/>
  <c r="M1835" i="16" s="1"/>
  <c r="N1836" i="16"/>
  <c r="N1837" i="16"/>
  <c r="D1834" i="16"/>
  <c r="D1835" i="16"/>
  <c r="D1836" i="16"/>
  <c r="D1837" i="16"/>
  <c r="D1838" i="16"/>
  <c r="D1839" i="16"/>
  <c r="E1834" i="16" a="1"/>
  <c r="E1834" i="16" s="1"/>
  <c r="E1835" i="16" a="1"/>
  <c r="E1835" i="16" s="1"/>
  <c r="E1836" i="16" a="1"/>
  <c r="E1836" i="16" s="1"/>
  <c r="E1837" i="16" a="1"/>
  <c r="E1837" i="16" s="1"/>
  <c r="E1838" i="16" a="1"/>
  <c r="E1838" i="16" s="1"/>
  <c r="E1839" i="16" a="1"/>
  <c r="E1839" i="16" s="1"/>
  <c r="G1834" i="16"/>
  <c r="H1834" i="16" s="1"/>
  <c r="G1835" i="16"/>
  <c r="H1835" i="16" s="1"/>
  <c r="G1836" i="16"/>
  <c r="H1836" i="16" s="1"/>
  <c r="G1837" i="16"/>
  <c r="H1837" i="16" s="1"/>
  <c r="G1838" i="16"/>
  <c r="H1838" i="16" s="1"/>
  <c r="G1839" i="16"/>
  <c r="H1839" i="16" s="1"/>
  <c r="I1834" i="16"/>
  <c r="I1835" i="16"/>
  <c r="I1836" i="16"/>
  <c r="I1837" i="16"/>
  <c r="I1838" i="16"/>
  <c r="I1839" i="16"/>
  <c r="S1834" i="16"/>
  <c r="S1835" i="16"/>
  <c r="S1836" i="16"/>
  <c r="S1837" i="16"/>
  <c r="S1838" i="16"/>
  <c r="S1839" i="16"/>
  <c r="U1838" i="16" a="1"/>
  <c r="U1838" i="16" s="1"/>
  <c r="U1839" i="16" a="1"/>
  <c r="U1839" i="16" s="1"/>
  <c r="V1834" i="16"/>
  <c r="V1835" i="16"/>
  <c r="V1836" i="16"/>
  <c r="V1837" i="16"/>
  <c r="V1838" i="16"/>
  <c r="V1839" i="16"/>
  <c r="Q1791" i="16"/>
  <c r="Q1792" i="16"/>
  <c r="N1793" i="16"/>
  <c r="M1793" i="16" s="1"/>
  <c r="N1794" i="16"/>
  <c r="M1794" i="16" s="1"/>
  <c r="N1795" i="16"/>
  <c r="M1795" i="16" s="1"/>
  <c r="N1796" i="16"/>
  <c r="M1796" i="16" s="1"/>
  <c r="N1797" i="16"/>
  <c r="M1797" i="16" s="1"/>
  <c r="N1798" i="16"/>
  <c r="M1798" i="16" s="1"/>
  <c r="N1799" i="16"/>
  <c r="M1799" i="16" s="1"/>
  <c r="N1800" i="16"/>
  <c r="M1800" i="16" s="1"/>
  <c r="N1801" i="16"/>
  <c r="M1801" i="16" s="1"/>
  <c r="N1802" i="16"/>
  <c r="M1802" i="16" s="1"/>
  <c r="Q1803" i="16"/>
  <c r="N1804" i="16"/>
  <c r="M1804" i="16" s="1"/>
  <c r="N1805" i="16"/>
  <c r="M1805" i="16" s="1"/>
  <c r="N1806" i="16"/>
  <c r="M1806" i="16" s="1"/>
  <c r="N1807" i="16"/>
  <c r="M1807" i="16" s="1"/>
  <c r="Q1808" i="16"/>
  <c r="N1809" i="16"/>
  <c r="M1809" i="16" s="1"/>
  <c r="N1810" i="16"/>
  <c r="M1810" i="16" s="1"/>
  <c r="N1811" i="16"/>
  <c r="M1811" i="16" s="1"/>
  <c r="N1812" i="16"/>
  <c r="M1812" i="16" s="1"/>
  <c r="Q1813" i="16"/>
  <c r="N1814" i="16"/>
  <c r="M1814" i="16" s="1"/>
  <c r="N1815" i="16"/>
  <c r="M1815" i="16" s="1"/>
  <c r="N1816" i="16"/>
  <c r="M1816" i="16" s="1"/>
  <c r="Q1817" i="16"/>
  <c r="N1818" i="16"/>
  <c r="M1818" i="16" s="1"/>
  <c r="Q1819" i="16"/>
  <c r="N1820" i="16"/>
  <c r="M1820" i="16" s="1"/>
  <c r="N1821" i="16"/>
  <c r="M1821" i="16" s="1"/>
  <c r="N1822" i="16"/>
  <c r="M1822" i="16" s="1"/>
  <c r="N1823" i="16"/>
  <c r="M1823" i="16" s="1"/>
  <c r="Q1824" i="16"/>
  <c r="Q1825" i="16"/>
  <c r="N1826" i="16"/>
  <c r="M1826" i="16" s="1"/>
  <c r="N1827" i="16"/>
  <c r="M1827" i="16" s="1"/>
  <c r="N1828" i="16"/>
  <c r="M1828" i="16" s="1"/>
  <c r="N1829" i="16"/>
  <c r="M1829" i="16" s="1"/>
  <c r="N1830" i="16"/>
  <c r="M1830" i="16" s="1"/>
  <c r="N1831" i="16"/>
  <c r="M1831" i="16" s="1"/>
  <c r="N1832" i="16"/>
  <c r="M1832" i="16" s="1"/>
  <c r="N1833" i="16"/>
  <c r="M1833" i="16" s="1"/>
  <c r="N1790" i="16"/>
  <c r="M1790" i="16" s="1"/>
  <c r="D1790" i="16"/>
  <c r="D1791" i="16"/>
  <c r="D1792" i="16"/>
  <c r="D1793" i="16"/>
  <c r="D1794" i="16"/>
  <c r="D1795" i="16"/>
  <c r="D1796" i="16"/>
  <c r="D1797" i="16"/>
  <c r="D1798" i="16"/>
  <c r="D1799" i="16"/>
  <c r="D1800" i="16"/>
  <c r="D1801" i="16"/>
  <c r="D1802" i="16"/>
  <c r="D1803" i="16"/>
  <c r="D1804" i="16"/>
  <c r="D1805" i="16"/>
  <c r="D1806" i="16"/>
  <c r="D1807" i="16"/>
  <c r="D1808" i="16"/>
  <c r="D1809" i="16"/>
  <c r="D1810" i="16"/>
  <c r="D1811" i="16"/>
  <c r="D1812" i="16"/>
  <c r="D1813" i="16"/>
  <c r="D1814" i="16"/>
  <c r="D1815" i="16"/>
  <c r="D1816" i="16"/>
  <c r="D1817" i="16"/>
  <c r="D1818" i="16"/>
  <c r="D1819" i="16"/>
  <c r="D1820" i="16"/>
  <c r="D1821" i="16"/>
  <c r="D1822" i="16"/>
  <c r="D1823" i="16"/>
  <c r="D1824" i="16"/>
  <c r="D1825" i="16"/>
  <c r="D1826" i="16"/>
  <c r="D1827" i="16"/>
  <c r="D1828" i="16"/>
  <c r="D1829" i="16"/>
  <c r="D1830" i="16"/>
  <c r="D1831" i="16"/>
  <c r="D1832" i="16"/>
  <c r="D1833" i="16"/>
  <c r="E1790" i="16" a="1"/>
  <c r="E1790" i="16" s="1"/>
  <c r="E1791" i="16" a="1"/>
  <c r="E1791" i="16" s="1"/>
  <c r="E1792" i="16" a="1"/>
  <c r="E1792" i="16" s="1"/>
  <c r="E1793" i="16" a="1"/>
  <c r="E1793" i="16" s="1"/>
  <c r="E1794" i="16" a="1"/>
  <c r="E1794" i="16" s="1"/>
  <c r="E1795" i="16" a="1"/>
  <c r="E1795" i="16" s="1"/>
  <c r="E1796" i="16" a="1"/>
  <c r="E1796" i="16" s="1"/>
  <c r="E1797" i="16" a="1"/>
  <c r="E1797" i="16" s="1"/>
  <c r="E1798" i="16" a="1"/>
  <c r="E1798" i="16" s="1"/>
  <c r="E1799" i="16" a="1"/>
  <c r="E1799" i="16" s="1"/>
  <c r="E1800" i="16" a="1"/>
  <c r="E1800" i="16" s="1"/>
  <c r="E1801" i="16" a="1"/>
  <c r="E1801" i="16" s="1"/>
  <c r="E1802" i="16" a="1"/>
  <c r="E1802" i="16" s="1"/>
  <c r="E1803" i="16" a="1"/>
  <c r="E1803" i="16" s="1"/>
  <c r="E1804" i="16" a="1"/>
  <c r="E1804" i="16" s="1"/>
  <c r="E1805" i="16" a="1"/>
  <c r="E1805" i="16" s="1"/>
  <c r="E1806" i="16" a="1"/>
  <c r="E1806" i="16" s="1"/>
  <c r="E1807" i="16" a="1"/>
  <c r="E1807" i="16" s="1"/>
  <c r="E1808" i="16" a="1"/>
  <c r="E1808" i="16" s="1"/>
  <c r="E1809" i="16" a="1"/>
  <c r="E1809" i="16" s="1"/>
  <c r="E1810" i="16" a="1"/>
  <c r="E1810" i="16" s="1"/>
  <c r="E1811" i="16" a="1"/>
  <c r="E1811" i="16" s="1"/>
  <c r="E1812" i="16" a="1"/>
  <c r="E1812" i="16" s="1"/>
  <c r="E1813" i="16" a="1"/>
  <c r="E1813" i="16" s="1"/>
  <c r="E1814" i="16" a="1"/>
  <c r="E1814" i="16" s="1"/>
  <c r="E1815" i="16" a="1"/>
  <c r="E1815" i="16" s="1"/>
  <c r="E1816" i="16" a="1"/>
  <c r="E1816" i="16" s="1"/>
  <c r="E1817" i="16" a="1"/>
  <c r="E1817" i="16" s="1"/>
  <c r="E1818" i="16" a="1"/>
  <c r="E1818" i="16" s="1"/>
  <c r="E1819" i="16" a="1"/>
  <c r="E1819" i="16" s="1"/>
  <c r="E1820" i="16" a="1"/>
  <c r="E1820" i="16" s="1"/>
  <c r="E1821" i="16" a="1"/>
  <c r="E1821" i="16" s="1"/>
  <c r="E1822" i="16" a="1"/>
  <c r="E1822" i="16" s="1"/>
  <c r="E1823" i="16" a="1"/>
  <c r="E1823" i="16" s="1"/>
  <c r="E1824" i="16" a="1"/>
  <c r="E1824" i="16" s="1"/>
  <c r="E1825" i="16" a="1"/>
  <c r="E1825" i="16" s="1"/>
  <c r="E1826" i="16" a="1"/>
  <c r="E1826" i="16" s="1"/>
  <c r="E1827" i="16" a="1"/>
  <c r="E1827" i="16" s="1"/>
  <c r="E1828" i="16" a="1"/>
  <c r="E1828" i="16" s="1"/>
  <c r="E1829" i="16" a="1"/>
  <c r="E1829" i="16" s="1"/>
  <c r="E1830" i="16" a="1"/>
  <c r="E1830" i="16" s="1"/>
  <c r="E1831" i="16" a="1"/>
  <c r="E1831" i="16" s="1"/>
  <c r="E1832" i="16" a="1"/>
  <c r="E1832" i="16" s="1"/>
  <c r="E1833" i="16" a="1"/>
  <c r="E1833" i="16" s="1"/>
  <c r="G1790" i="16"/>
  <c r="H1790" i="16" s="1"/>
  <c r="G1791" i="16"/>
  <c r="H1791" i="16" s="1"/>
  <c r="G1792" i="16"/>
  <c r="H1792" i="16" s="1"/>
  <c r="G1793" i="16"/>
  <c r="G1794" i="16"/>
  <c r="H1794" i="16" s="1"/>
  <c r="G1795" i="16"/>
  <c r="H1795" i="16" s="1"/>
  <c r="G1796" i="16"/>
  <c r="H1796" i="16" s="1"/>
  <c r="G1797" i="16"/>
  <c r="H1797" i="16" s="1"/>
  <c r="G1798" i="16"/>
  <c r="H1798" i="16" s="1"/>
  <c r="G1799" i="16"/>
  <c r="H1799" i="16" s="1"/>
  <c r="G1800" i="16"/>
  <c r="H1800" i="16" s="1"/>
  <c r="G1801" i="16"/>
  <c r="H1801" i="16" s="1"/>
  <c r="G1802" i="16"/>
  <c r="H1802" i="16" s="1"/>
  <c r="G1803" i="16"/>
  <c r="H1803" i="16" s="1"/>
  <c r="G1804" i="16"/>
  <c r="H1804" i="16" s="1"/>
  <c r="G1805" i="16"/>
  <c r="H1805" i="16" s="1"/>
  <c r="G1806" i="16"/>
  <c r="H1806" i="16" s="1"/>
  <c r="G1807" i="16"/>
  <c r="H1807" i="16" s="1"/>
  <c r="G1808" i="16"/>
  <c r="H1808" i="16" s="1"/>
  <c r="G1809" i="16"/>
  <c r="H1809" i="16" s="1"/>
  <c r="G1810" i="16"/>
  <c r="H1810" i="16" s="1"/>
  <c r="G1811" i="16"/>
  <c r="H1811" i="16" s="1"/>
  <c r="G1812" i="16"/>
  <c r="H1812" i="16" s="1"/>
  <c r="G1813" i="16"/>
  <c r="H1813" i="16" s="1"/>
  <c r="G1814" i="16"/>
  <c r="H1814" i="16" s="1"/>
  <c r="G1815" i="16"/>
  <c r="H1815" i="16" s="1"/>
  <c r="G1816" i="16"/>
  <c r="H1816" i="16" s="1"/>
  <c r="G1817" i="16"/>
  <c r="H1817" i="16" s="1"/>
  <c r="G1818" i="16"/>
  <c r="H1818" i="16" s="1"/>
  <c r="G1819" i="16"/>
  <c r="H1819" i="16" s="1"/>
  <c r="G1820" i="16"/>
  <c r="H1820" i="16" s="1"/>
  <c r="G1821" i="16"/>
  <c r="H1821" i="16" s="1"/>
  <c r="G1822" i="16"/>
  <c r="H1822" i="16" s="1"/>
  <c r="G1823" i="16"/>
  <c r="H1823" i="16" s="1"/>
  <c r="G1824" i="16"/>
  <c r="H1824" i="16" s="1"/>
  <c r="G1825" i="16"/>
  <c r="H1825" i="16" s="1"/>
  <c r="G1826" i="16"/>
  <c r="H1826" i="16" s="1"/>
  <c r="G1827" i="16"/>
  <c r="H1827" i="16" s="1"/>
  <c r="G1828" i="16"/>
  <c r="H1828" i="16" s="1"/>
  <c r="G1829" i="16"/>
  <c r="H1829" i="16" s="1"/>
  <c r="G1830" i="16"/>
  <c r="H1830" i="16" s="1"/>
  <c r="G1831" i="16"/>
  <c r="H1831" i="16" s="1"/>
  <c r="G1832" i="16"/>
  <c r="H1832" i="16" s="1"/>
  <c r="G1833" i="16"/>
  <c r="H1833" i="16" s="1"/>
  <c r="H1793" i="16"/>
  <c r="I1790" i="16"/>
  <c r="I1791" i="16"/>
  <c r="I1792" i="16"/>
  <c r="I1793" i="16"/>
  <c r="I1794" i="16"/>
  <c r="I1795" i="16"/>
  <c r="I1796" i="16"/>
  <c r="I1797" i="16"/>
  <c r="I1798" i="16"/>
  <c r="I1799" i="16"/>
  <c r="I1800" i="16"/>
  <c r="I1801" i="16"/>
  <c r="I1802" i="16"/>
  <c r="I1803" i="16"/>
  <c r="I1804" i="16"/>
  <c r="I1805" i="16"/>
  <c r="I1806" i="16"/>
  <c r="I1807" i="16"/>
  <c r="I1808" i="16"/>
  <c r="I1809" i="16"/>
  <c r="I1810" i="16"/>
  <c r="I1811" i="16"/>
  <c r="I1812" i="16"/>
  <c r="I1813" i="16"/>
  <c r="I1814" i="16"/>
  <c r="I1815" i="16"/>
  <c r="I1816" i="16"/>
  <c r="I1817" i="16"/>
  <c r="I1818" i="16"/>
  <c r="I1819" i="16"/>
  <c r="I1820" i="16"/>
  <c r="I1821" i="16"/>
  <c r="I1822" i="16"/>
  <c r="I1823" i="16"/>
  <c r="I1824" i="16"/>
  <c r="I1825" i="16"/>
  <c r="I1826" i="16"/>
  <c r="I1827" i="16"/>
  <c r="I1828" i="16"/>
  <c r="I1829" i="16"/>
  <c r="I1830" i="16"/>
  <c r="I1831" i="16"/>
  <c r="I1832" i="16"/>
  <c r="I1833" i="16"/>
  <c r="S1790" i="16"/>
  <c r="S1791" i="16"/>
  <c r="S1792" i="16"/>
  <c r="S1793" i="16"/>
  <c r="S1794" i="16"/>
  <c r="S1795" i="16"/>
  <c r="S1796" i="16"/>
  <c r="S1797" i="16"/>
  <c r="S1798" i="16"/>
  <c r="S1799" i="16"/>
  <c r="S1800" i="16"/>
  <c r="S1801" i="16"/>
  <c r="S1802" i="16"/>
  <c r="S1803" i="16"/>
  <c r="S1804" i="16"/>
  <c r="S1805" i="16"/>
  <c r="S1806" i="16"/>
  <c r="S1807" i="16"/>
  <c r="S1808" i="16"/>
  <c r="S1809" i="16"/>
  <c r="S1810" i="16"/>
  <c r="S1811" i="16"/>
  <c r="S1812" i="16"/>
  <c r="S1813" i="16"/>
  <c r="S1814" i="16"/>
  <c r="S1815" i="16"/>
  <c r="S1816" i="16"/>
  <c r="S1817" i="16"/>
  <c r="S1818" i="16"/>
  <c r="S1819" i="16"/>
  <c r="S1820" i="16"/>
  <c r="S1821" i="16"/>
  <c r="S1822" i="16"/>
  <c r="S1823" i="16"/>
  <c r="S1824" i="16"/>
  <c r="S1825" i="16"/>
  <c r="S1826" i="16"/>
  <c r="S1827" i="16"/>
  <c r="S1828" i="16"/>
  <c r="S1829" i="16"/>
  <c r="S1830" i="16"/>
  <c r="S1831" i="16"/>
  <c r="S1832" i="16"/>
  <c r="S1833" i="16"/>
  <c r="U1790" i="16" a="1"/>
  <c r="U1790" i="16" s="1"/>
  <c r="U1791" i="16" a="1"/>
  <c r="U1791" i="16" s="1"/>
  <c r="U1792" i="16" a="1"/>
  <c r="U1792" i="16" s="1"/>
  <c r="U1793" i="16" a="1"/>
  <c r="U1793" i="16" s="1"/>
  <c r="U1794" i="16" a="1"/>
  <c r="U1794" i="16" s="1"/>
  <c r="U1795" i="16" a="1"/>
  <c r="U1795" i="16" s="1"/>
  <c r="U1796" i="16" a="1"/>
  <c r="U1796" i="16" s="1"/>
  <c r="U1797" i="16" a="1"/>
  <c r="U1797" i="16" s="1"/>
  <c r="U1798" i="16" a="1"/>
  <c r="U1798" i="16" s="1"/>
  <c r="U1799" i="16" a="1"/>
  <c r="U1799" i="16" s="1"/>
  <c r="U1800" i="16" a="1"/>
  <c r="U1800" i="16" s="1"/>
  <c r="U1801" i="16" a="1"/>
  <c r="U1801" i="16" s="1"/>
  <c r="U1802" i="16" a="1"/>
  <c r="U1802" i="16" s="1"/>
  <c r="U1803" i="16" a="1"/>
  <c r="U1803" i="16" s="1"/>
  <c r="U1804" i="16" a="1"/>
  <c r="U1804" i="16" s="1"/>
  <c r="U1805" i="16" a="1"/>
  <c r="U1805" i="16" s="1"/>
  <c r="U1806" i="16" a="1"/>
  <c r="U1806" i="16" s="1"/>
  <c r="U1807" i="16" a="1"/>
  <c r="U1807" i="16" s="1"/>
  <c r="U1808" i="16" a="1"/>
  <c r="U1808" i="16" s="1"/>
  <c r="U1809" i="16" a="1"/>
  <c r="U1809" i="16" s="1"/>
  <c r="U1810" i="16" a="1"/>
  <c r="U1810" i="16" s="1"/>
  <c r="U1811" i="16" a="1"/>
  <c r="U1811" i="16" s="1"/>
  <c r="U1812" i="16" a="1"/>
  <c r="U1812" i="16" s="1"/>
  <c r="U1813" i="16" a="1"/>
  <c r="U1813" i="16" s="1"/>
  <c r="U1814" i="16" a="1"/>
  <c r="U1814" i="16" s="1"/>
  <c r="U1815" i="16" a="1"/>
  <c r="U1815" i="16" s="1"/>
  <c r="U1816" i="16" a="1"/>
  <c r="U1816" i="16" s="1"/>
  <c r="U1817" i="16" a="1"/>
  <c r="U1817" i="16" s="1"/>
  <c r="U1818" i="16" a="1"/>
  <c r="U1818" i="16" s="1"/>
  <c r="U1819" i="16" a="1"/>
  <c r="U1819" i="16" s="1"/>
  <c r="U1820" i="16" a="1"/>
  <c r="U1820" i="16" s="1"/>
  <c r="U1821" i="16" a="1"/>
  <c r="U1821" i="16" s="1"/>
  <c r="U1822" i="16" a="1"/>
  <c r="U1822" i="16" s="1"/>
  <c r="U1823" i="16" a="1"/>
  <c r="U1823" i="16" s="1"/>
  <c r="U1824" i="16" a="1"/>
  <c r="U1824" i="16" s="1"/>
  <c r="U1825" i="16" a="1"/>
  <c r="U1825" i="16" s="1"/>
  <c r="U1826" i="16" a="1"/>
  <c r="U1826" i="16" s="1"/>
  <c r="U1827" i="16" a="1"/>
  <c r="U1827" i="16" s="1"/>
  <c r="U1828" i="16" a="1"/>
  <c r="U1828" i="16" s="1"/>
  <c r="U1829" i="16" a="1"/>
  <c r="U1829" i="16" s="1"/>
  <c r="U1830" i="16" a="1"/>
  <c r="U1830" i="16" s="1"/>
  <c r="U1831" i="16" a="1"/>
  <c r="U1831" i="16" s="1"/>
  <c r="U1832" i="16" a="1"/>
  <c r="U1832" i="16" s="1"/>
  <c r="U1833" i="16" a="1"/>
  <c r="U1833" i="16" s="1"/>
  <c r="V1790" i="16"/>
  <c r="V1791" i="16"/>
  <c r="V1792" i="16"/>
  <c r="V1793" i="16"/>
  <c r="V1794" i="16"/>
  <c r="V1795" i="16"/>
  <c r="V1796" i="16"/>
  <c r="V1797" i="16"/>
  <c r="V1798" i="16"/>
  <c r="V1799" i="16"/>
  <c r="V1800" i="16"/>
  <c r="V1801" i="16"/>
  <c r="V1802" i="16"/>
  <c r="V1803" i="16"/>
  <c r="V1804" i="16"/>
  <c r="V1805" i="16"/>
  <c r="V1806" i="16"/>
  <c r="V1807" i="16"/>
  <c r="V1808" i="16"/>
  <c r="V1809" i="16"/>
  <c r="V1810" i="16"/>
  <c r="V1811" i="16"/>
  <c r="V1812" i="16"/>
  <c r="V1813" i="16"/>
  <c r="V1814" i="16"/>
  <c r="V1815" i="16"/>
  <c r="V1816" i="16"/>
  <c r="V1817" i="16"/>
  <c r="V1818" i="16"/>
  <c r="V1819" i="16"/>
  <c r="V1820" i="16"/>
  <c r="V1821" i="16"/>
  <c r="V1822" i="16"/>
  <c r="V1823" i="16"/>
  <c r="V1824" i="16"/>
  <c r="V1825" i="16"/>
  <c r="V1826" i="16"/>
  <c r="V1827" i="16"/>
  <c r="V1828" i="16"/>
  <c r="V1829" i="16"/>
  <c r="V1830" i="16"/>
  <c r="V1831" i="16"/>
  <c r="V1832" i="16"/>
  <c r="V1833" i="16"/>
  <c r="N1468" i="6"/>
  <c r="D1471" i="6"/>
  <c r="E1471" i="6" a="1"/>
  <c r="E1471" i="6" s="1"/>
  <c r="G1471" i="6"/>
  <c r="H1471" i="6" s="1"/>
  <c r="I1471" i="6"/>
  <c r="N1471" i="6"/>
  <c r="Q1471" i="6"/>
  <c r="S1471" i="6"/>
  <c r="U1471" i="6" a="1"/>
  <c r="U1471" i="6" s="1"/>
  <c r="V1471" i="6"/>
  <c r="D1470" i="6"/>
  <c r="E1470" i="6" a="1"/>
  <c r="E1470" i="6" s="1"/>
  <c r="G1470" i="6"/>
  <c r="H1470" i="6" s="1"/>
  <c r="I1470" i="6"/>
  <c r="N1470" i="6"/>
  <c r="Q1470" i="6"/>
  <c r="S1470" i="6"/>
  <c r="U1470" i="6" a="1"/>
  <c r="U1470" i="6" s="1"/>
  <c r="V1470" i="6"/>
  <c r="D1469" i="6"/>
  <c r="E1469" i="6" a="1"/>
  <c r="E1469" i="6" s="1"/>
  <c r="G1469" i="6"/>
  <c r="I1469" i="6"/>
  <c r="N1469" i="6"/>
  <c r="M1469" i="6" s="1"/>
  <c r="Q1469" i="6"/>
  <c r="S1469" i="6"/>
  <c r="V1469" i="6"/>
  <c r="D1468" i="6"/>
  <c r="E1468" i="6" a="1"/>
  <c r="E1468" i="6" s="1"/>
  <c r="G1468" i="6"/>
  <c r="H1468" i="6" s="1"/>
  <c r="I1468" i="6"/>
  <c r="S1468" i="6"/>
  <c r="V1468" i="6"/>
  <c r="N1467" i="6"/>
  <c r="D1467" i="6"/>
  <c r="E1467" i="6" a="1"/>
  <c r="E1467" i="6" s="1"/>
  <c r="G1467" i="6"/>
  <c r="H1467" i="6" s="1"/>
  <c r="I1467" i="6"/>
  <c r="Q1467" i="6"/>
  <c r="S1467" i="6"/>
  <c r="U1467" i="6" a="1"/>
  <c r="U1467" i="6" s="1"/>
  <c r="V1467" i="6"/>
  <c r="D1428" i="6"/>
  <c r="E1428" i="6" a="1"/>
  <c r="E1428" i="6" s="1"/>
  <c r="G1428" i="6"/>
  <c r="H1428" i="6" s="1"/>
  <c r="I1428" i="6"/>
  <c r="N1428" i="6"/>
  <c r="M1428" i="6" s="1"/>
  <c r="Q1428" i="6"/>
  <c r="S1428" i="6"/>
  <c r="V1428" i="6"/>
  <c r="U470" i="13"/>
  <c r="U224" i="13"/>
  <c r="D1466" i="6"/>
  <c r="E1466" i="6" a="1"/>
  <c r="E1466" i="6" s="1"/>
  <c r="G1466" i="6"/>
  <c r="H1466" i="6" s="1"/>
  <c r="I1466" i="6"/>
  <c r="N1466" i="6"/>
  <c r="M1466" i="6" s="1"/>
  <c r="Q1466" i="6"/>
  <c r="S1466" i="6"/>
  <c r="T1466" i="6"/>
  <c r="U1466" i="6" a="1"/>
  <c r="U1466" i="6" s="1"/>
  <c r="V1466" i="6"/>
  <c r="W1466" i="6" s="1"/>
  <c r="Q1789" i="16"/>
  <c r="D1789" i="16"/>
  <c r="E1789" i="16" a="1"/>
  <c r="E1789" i="16" s="1"/>
  <c r="G1789" i="16"/>
  <c r="H1789" i="16" s="1"/>
  <c r="I1789" i="16"/>
  <c r="S1789" i="16"/>
  <c r="V1789" i="16"/>
  <c r="N1464" i="6"/>
  <c r="Q1465" i="6"/>
  <c r="D1465" i="6"/>
  <c r="E1465" i="6" a="1"/>
  <c r="E1465" i="6" s="1"/>
  <c r="G1465" i="6"/>
  <c r="H1465" i="6" s="1"/>
  <c r="I1465" i="6"/>
  <c r="S1465" i="6"/>
  <c r="V1465" i="6"/>
  <c r="D1464" i="6"/>
  <c r="E1464" i="6" a="1"/>
  <c r="E1464" i="6" s="1"/>
  <c r="G1464" i="6"/>
  <c r="H1464" i="6" s="1"/>
  <c r="I1464" i="6"/>
  <c r="Q1464" i="6"/>
  <c r="S1464" i="6"/>
  <c r="V1464" i="6"/>
  <c r="D1463" i="6"/>
  <c r="E1463" i="6" a="1"/>
  <c r="E1463" i="6" s="1"/>
  <c r="G1463" i="6"/>
  <c r="H1463" i="6" s="1"/>
  <c r="I1463" i="6"/>
  <c r="N1463" i="6"/>
  <c r="M1463" i="6" s="1"/>
  <c r="Q1463" i="6"/>
  <c r="S1463" i="6"/>
  <c r="V1463" i="6"/>
  <c r="N1460" i="6"/>
  <c r="N1462" i="6"/>
  <c r="Q1459" i="6"/>
  <c r="D1461" i="6"/>
  <c r="D1462" i="6"/>
  <c r="E1461" i="6" a="1"/>
  <c r="E1461" i="6" s="1"/>
  <c r="E1462" i="6" a="1"/>
  <c r="E1462" i="6" s="1"/>
  <c r="G1461" i="6"/>
  <c r="H1461" i="6" s="1"/>
  <c r="G1462" i="6"/>
  <c r="H1462" i="6" s="1"/>
  <c r="I1461" i="6"/>
  <c r="I1462" i="6"/>
  <c r="N1461" i="6"/>
  <c r="M1461" i="6" s="1"/>
  <c r="Q1461" i="6"/>
  <c r="S1461" i="6"/>
  <c r="S1462" i="6"/>
  <c r="U1461" i="6" a="1"/>
  <c r="U1461" i="6" s="1"/>
  <c r="U1462" i="6" a="1"/>
  <c r="U1462" i="6" s="1"/>
  <c r="V1461" i="6"/>
  <c r="V1462" i="6"/>
  <c r="D1460" i="6"/>
  <c r="E1460" i="6" a="1"/>
  <c r="E1460" i="6" s="1"/>
  <c r="G1460" i="6"/>
  <c r="H1460" i="6" s="1"/>
  <c r="I1460" i="6"/>
  <c r="S1460" i="6"/>
  <c r="V1460" i="6"/>
  <c r="D1459" i="6"/>
  <c r="E1459" i="6" a="1"/>
  <c r="E1459" i="6" s="1"/>
  <c r="G1459" i="6"/>
  <c r="H1459" i="6" s="1"/>
  <c r="I1459" i="6"/>
  <c r="N1459" i="6"/>
  <c r="M1459" i="6" s="1"/>
  <c r="S1459" i="6"/>
  <c r="V1459" i="6"/>
  <c r="N1788" i="16"/>
  <c r="D1788" i="16"/>
  <c r="E1788" i="16" a="1"/>
  <c r="E1788" i="16" s="1"/>
  <c r="G1788" i="16"/>
  <c r="H1788" i="16" s="1"/>
  <c r="I1788" i="16"/>
  <c r="Q1788" i="16"/>
  <c r="S1788" i="16"/>
  <c r="V1788" i="16"/>
  <c r="Q1796" i="16" l="1"/>
  <c r="Q1811" i="16"/>
  <c r="N1803" i="16"/>
  <c r="M1803" i="16" s="1"/>
  <c r="AA715" i="13"/>
  <c r="AK715" i="13" s="1"/>
  <c r="Q1807" i="16"/>
  <c r="N1791" i="16"/>
  <c r="M1791" i="16" s="1"/>
  <c r="Q1827" i="16"/>
  <c r="Q1823" i="16"/>
  <c r="Q1795" i="16"/>
  <c r="N1838" i="16"/>
  <c r="M1838" i="16" s="1"/>
  <c r="AR721" i="13"/>
  <c r="N1825" i="16"/>
  <c r="M1825" i="16" s="1"/>
  <c r="Q1821" i="16"/>
  <c r="AI715" i="13"/>
  <c r="Q1801" i="16"/>
  <c r="Q1805" i="16"/>
  <c r="Q1793" i="16"/>
  <c r="Q1829" i="16"/>
  <c r="N1817" i="16"/>
  <c r="M1817" i="16" s="1"/>
  <c r="N1813" i="16"/>
  <c r="M1813" i="16" s="1"/>
  <c r="AR715" i="13"/>
  <c r="AA716" i="13"/>
  <c r="AS716" i="13" s="1"/>
  <c r="AT716" i="13" s="1"/>
  <c r="AU718" i="13"/>
  <c r="AU716" i="13"/>
  <c r="Q720" i="13"/>
  <c r="AU719" i="13"/>
  <c r="AU721" i="13"/>
  <c r="J717" i="13"/>
  <c r="AI717" i="13" s="1"/>
  <c r="Q719" i="13"/>
  <c r="AI719" i="13" s="1"/>
  <c r="AV719" i="13" s="1"/>
  <c r="AR719" i="13"/>
  <c r="AR716" i="13"/>
  <c r="Q716" i="13"/>
  <c r="AQ715" i="13"/>
  <c r="AJ716" i="13"/>
  <c r="AA720" i="13"/>
  <c r="J716" i="13"/>
  <c r="AQ716" i="13"/>
  <c r="AS719" i="13"/>
  <c r="AT719" i="13" s="1"/>
  <c r="AJ719" i="13"/>
  <c r="AK719" i="13"/>
  <c r="AA721" i="13"/>
  <c r="AK721" i="13" s="1"/>
  <c r="AN719" i="13"/>
  <c r="AA718" i="13"/>
  <c r="AB718" i="13" s="1"/>
  <c r="AQ721" i="13"/>
  <c r="J721" i="13"/>
  <c r="AI721" i="13" s="1"/>
  <c r="Q718" i="13"/>
  <c r="AR718" i="13"/>
  <c r="J718" i="13"/>
  <c r="AQ718" i="13"/>
  <c r="AA717" i="13"/>
  <c r="AA714" i="13"/>
  <c r="AN714" i="13" s="1"/>
  <c r="AI714" i="13"/>
  <c r="N1808" i="16"/>
  <c r="M1808" i="16" s="1"/>
  <c r="N1824" i="16"/>
  <c r="M1824" i="16" s="1"/>
  <c r="Q1828" i="16"/>
  <c r="Q1812" i="16"/>
  <c r="N1819" i="16"/>
  <c r="M1819" i="16" s="1"/>
  <c r="N1792" i="16"/>
  <c r="M1792" i="16" s="1"/>
  <c r="Q1809" i="16"/>
  <c r="Q1797" i="16"/>
  <c r="Q1833" i="16"/>
  <c r="Q1837" i="16"/>
  <c r="Q1473" i="6"/>
  <c r="Q1474" i="6"/>
  <c r="M1474" i="6"/>
  <c r="M1473" i="6"/>
  <c r="Q1472" i="6"/>
  <c r="Q1832" i="16"/>
  <c r="Q1816" i="16"/>
  <c r="Q1800" i="16"/>
  <c r="Q1831" i="16"/>
  <c r="Q1820" i="16"/>
  <c r="Q1815" i="16"/>
  <c r="Q1804" i="16"/>
  <c r="Q1799" i="16"/>
  <c r="Q1836" i="16"/>
  <c r="N1839" i="16"/>
  <c r="M1839" i="16" s="1"/>
  <c r="M1472" i="6"/>
  <c r="Q1840" i="16"/>
  <c r="Q1830" i="16"/>
  <c r="Q1826" i="16"/>
  <c r="Q1822" i="16"/>
  <c r="Q1818" i="16"/>
  <c r="Q1814" i="16"/>
  <c r="Q1810" i="16"/>
  <c r="Q1806" i="16"/>
  <c r="Q1802" i="16"/>
  <c r="Q1798" i="16"/>
  <c r="Q1794" i="16"/>
  <c r="Q1790" i="16"/>
  <c r="M1840" i="16"/>
  <c r="Q1835" i="16"/>
  <c r="Q1834" i="16"/>
  <c r="M1837" i="16"/>
  <c r="M1836" i="16"/>
  <c r="Q1468" i="6"/>
  <c r="H1469" i="6"/>
  <c r="M1471" i="6"/>
  <c r="M1470" i="6"/>
  <c r="M1468" i="6"/>
  <c r="M1467" i="6"/>
  <c r="O1466" i="6"/>
  <c r="R1466" i="6" s="1"/>
  <c r="N1789" i="16"/>
  <c r="N1465" i="6"/>
  <c r="M1464" i="6"/>
  <c r="Q1460" i="6"/>
  <c r="M1462" i="6"/>
  <c r="Q1462" i="6"/>
  <c r="M1460" i="6"/>
  <c r="M1788" i="16"/>
  <c r="AK716" i="13" l="1"/>
  <c r="AP715" i="13"/>
  <c r="AV715" i="13" s="1"/>
  <c r="AJ715" i="13"/>
  <c r="AN715" i="13"/>
  <c r="AB715" i="13"/>
  <c r="AS715" i="13"/>
  <c r="AT715" i="13" s="1"/>
  <c r="AN716" i="13"/>
  <c r="AB716" i="13"/>
  <c r="AP716" i="13"/>
  <c r="AI718" i="13"/>
  <c r="AI716" i="13"/>
  <c r="AS721" i="13"/>
  <c r="AT721" i="13" s="1"/>
  <c r="AB720" i="13"/>
  <c r="AS720" i="13"/>
  <c r="AT720" i="13" s="1"/>
  <c r="AK720" i="13"/>
  <c r="AJ720" i="13"/>
  <c r="AP720" i="13"/>
  <c r="AP718" i="13"/>
  <c r="AP721" i="13"/>
  <c r="AV721" i="13" s="1"/>
  <c r="AJ721" i="13"/>
  <c r="AS718" i="13"/>
  <c r="AT718" i="13" s="1"/>
  <c r="AN721" i="13"/>
  <c r="AJ718" i="13"/>
  <c r="AB721" i="13"/>
  <c r="AK718" i="13"/>
  <c r="AN718" i="13"/>
  <c r="AJ717" i="13"/>
  <c r="AK717" i="13"/>
  <c r="AN717" i="13"/>
  <c r="AP717" i="13"/>
  <c r="AV717" i="13" s="1"/>
  <c r="AS717" i="13"/>
  <c r="AT717" i="13" s="1"/>
  <c r="AB717" i="13"/>
  <c r="AB714" i="13"/>
  <c r="AK714" i="13"/>
  <c r="AP714" i="13"/>
  <c r="AV714" i="13" s="1"/>
  <c r="AS714" i="13"/>
  <c r="AT714" i="13" s="1"/>
  <c r="AJ714" i="13"/>
  <c r="M1789" i="16"/>
  <c r="M1465" i="6"/>
  <c r="F713" i="13"/>
  <c r="K713" i="13" s="1"/>
  <c r="L713" i="13"/>
  <c r="N713" i="13" s="1"/>
  <c r="M713" i="13"/>
  <c r="R713" i="13" s="1"/>
  <c r="W713" i="13"/>
  <c r="X713" i="13"/>
  <c r="Y713" i="13"/>
  <c r="AC713" i="13"/>
  <c r="AE713" i="13" s="1"/>
  <c r="AD713" i="13"/>
  <c r="AO713" i="13"/>
  <c r="AV718" i="13" l="1"/>
  <c r="AV716" i="13"/>
  <c r="P713" i="13"/>
  <c r="AH713" i="13"/>
  <c r="AG713" i="13"/>
  <c r="T713" i="13"/>
  <c r="I713" i="13"/>
  <c r="Q713" i="13"/>
  <c r="AR713" i="13"/>
  <c r="AU713" i="13"/>
  <c r="AM713" i="13" a="1"/>
  <c r="AM713" i="13" s="1"/>
  <c r="AF713" i="13"/>
  <c r="O713" i="13"/>
  <c r="D1458" i="6" l="1"/>
  <c r="E1458" i="6" a="1"/>
  <c r="E1458" i="6" s="1"/>
  <c r="G1458" i="6"/>
  <c r="H1458" i="6" s="1"/>
  <c r="I1458" i="6"/>
  <c r="N1458" i="6"/>
  <c r="Q1458" i="6"/>
  <c r="S1458" i="6"/>
  <c r="U1458" i="6" a="1"/>
  <c r="U1458" i="6" s="1"/>
  <c r="D1457" i="6"/>
  <c r="E1457" i="6" a="1"/>
  <c r="E1457" i="6" s="1"/>
  <c r="G1457" i="6"/>
  <c r="H1457" i="6" s="1"/>
  <c r="I1457" i="6"/>
  <c r="N1457" i="6"/>
  <c r="M1457" i="6" s="1"/>
  <c r="Q1457" i="6"/>
  <c r="S1457" i="6"/>
  <c r="E709" i="13"/>
  <c r="E710" i="13"/>
  <c r="H710" i="13" s="1"/>
  <c r="E711" i="13"/>
  <c r="H711" i="13" s="1"/>
  <c r="E712" i="13"/>
  <c r="AL712" i="13" s="1" a="1"/>
  <c r="AL712" i="13" s="1"/>
  <c r="F709" i="13"/>
  <c r="K709" i="13" s="1"/>
  <c r="F710" i="13"/>
  <c r="I710" i="13" s="1"/>
  <c r="F711" i="13"/>
  <c r="I711" i="13" s="1"/>
  <c r="F712" i="13"/>
  <c r="K712" i="13" s="1"/>
  <c r="L709" i="13"/>
  <c r="O709" i="13" s="1"/>
  <c r="L710" i="13"/>
  <c r="L711" i="13"/>
  <c r="AM711" i="13" s="1" a="1"/>
  <c r="AM711" i="13" s="1"/>
  <c r="L712" i="13"/>
  <c r="AM712" i="13" s="1" a="1"/>
  <c r="AM712" i="13" s="1"/>
  <c r="M709" i="13"/>
  <c r="R709" i="13" s="1"/>
  <c r="M710" i="13"/>
  <c r="M711" i="13"/>
  <c r="M712" i="13"/>
  <c r="P712" i="13" s="1"/>
  <c r="V709" i="13"/>
  <c r="V710" i="13"/>
  <c r="V711" i="13"/>
  <c r="V712" i="13"/>
  <c r="W709" i="13"/>
  <c r="W710" i="13"/>
  <c r="W711" i="13"/>
  <c r="W712" i="13"/>
  <c r="X709" i="13"/>
  <c r="X710" i="13"/>
  <c r="X711" i="13"/>
  <c r="X712" i="13"/>
  <c r="Y709" i="13"/>
  <c r="Y710" i="13"/>
  <c r="Y711" i="13"/>
  <c r="Y712" i="13"/>
  <c r="AC709" i="13"/>
  <c r="AF709" i="13" s="1"/>
  <c r="AC710" i="13"/>
  <c r="AE710" i="13" s="1"/>
  <c r="AC711" i="13"/>
  <c r="AG711" i="13" s="1"/>
  <c r="AC712" i="13"/>
  <c r="AE712" i="13" s="1"/>
  <c r="AD709" i="13"/>
  <c r="AD710" i="13"/>
  <c r="AD711" i="13"/>
  <c r="AD712" i="13"/>
  <c r="AO709" i="13"/>
  <c r="AO710" i="13"/>
  <c r="AO711" i="13"/>
  <c r="AO712" i="13"/>
  <c r="O1478" i="6" l="1"/>
  <c r="O1506" i="6"/>
  <c r="AE709" i="13"/>
  <c r="V1458" i="6"/>
  <c r="O1458" i="6"/>
  <c r="AH712" i="13"/>
  <c r="AH709" i="13"/>
  <c r="AG712" i="13"/>
  <c r="AF712" i="13"/>
  <c r="AH711" i="13"/>
  <c r="AG709" i="13"/>
  <c r="AE711" i="13"/>
  <c r="AF711" i="13"/>
  <c r="AH710" i="13"/>
  <c r="AG710" i="13"/>
  <c r="AF710" i="13"/>
  <c r="V713" i="13"/>
  <c r="Z713" i="13" s="1"/>
  <c r="E713" i="13"/>
  <c r="H713" i="13" s="1"/>
  <c r="V1457" i="6"/>
  <c r="O712" i="13"/>
  <c r="N709" i="13"/>
  <c r="Q709" i="13" s="1"/>
  <c r="AM709" i="13" a="1"/>
  <c r="AM709" i="13" s="1"/>
  <c r="N710" i="13"/>
  <c r="AR710" i="13" s="1"/>
  <c r="N712" i="13"/>
  <c r="W1458" i="6"/>
  <c r="P709" i="13"/>
  <c r="S709" i="13"/>
  <c r="G710" i="13"/>
  <c r="I709" i="13"/>
  <c r="G709" i="13"/>
  <c r="AL709" i="13" a="1"/>
  <c r="AL709" i="13" s="1"/>
  <c r="T709" i="13"/>
  <c r="H709" i="13"/>
  <c r="M1458" i="6"/>
  <c r="AL710" i="13" a="1"/>
  <c r="AL710" i="13" s="1"/>
  <c r="R712" i="13"/>
  <c r="AU712" i="13" s="1"/>
  <c r="O710" i="13"/>
  <c r="Z711" i="13"/>
  <c r="Z709" i="13"/>
  <c r="AU709" i="13"/>
  <c r="AL711" i="13" a="1"/>
  <c r="AL711" i="13" s="1"/>
  <c r="G711" i="13"/>
  <c r="K711" i="13"/>
  <c r="S710" i="13"/>
  <c r="T711" i="13"/>
  <c r="K710" i="13"/>
  <c r="Z710" i="13"/>
  <c r="T710" i="13"/>
  <c r="T712" i="13"/>
  <c r="I712" i="13"/>
  <c r="Z712" i="13"/>
  <c r="R710" i="13"/>
  <c r="P710" i="13"/>
  <c r="S711" i="13"/>
  <c r="R711" i="13"/>
  <c r="P711" i="13"/>
  <c r="O711" i="13"/>
  <c r="N711" i="13"/>
  <c r="S712" i="13"/>
  <c r="H712" i="13"/>
  <c r="G712" i="13"/>
  <c r="W1478" i="6" l="1"/>
  <c r="W1506" i="6"/>
  <c r="R1458" i="6"/>
  <c r="G713" i="13"/>
  <c r="AQ713" i="13" s="1"/>
  <c r="S713" i="13"/>
  <c r="AA713" i="13" s="1"/>
  <c r="AP713" i="13" s="1"/>
  <c r="AR709" i="13"/>
  <c r="AR712" i="13"/>
  <c r="Q712" i="13"/>
  <c r="AA709" i="13"/>
  <c r="AS709" i="13" s="1"/>
  <c r="AT709" i="13" s="1"/>
  <c r="AQ710" i="13"/>
  <c r="J710" i="13"/>
  <c r="AQ709" i="13"/>
  <c r="J709" i="13"/>
  <c r="AI709" i="13" s="1"/>
  <c r="AU711" i="13"/>
  <c r="AU710" i="13"/>
  <c r="AA711" i="13"/>
  <c r="AB711" i="13" s="1"/>
  <c r="J711" i="13"/>
  <c r="AQ711" i="13"/>
  <c r="AA712" i="13"/>
  <c r="AN712" i="13" s="1"/>
  <c r="AA710" i="13"/>
  <c r="AR711" i="13"/>
  <c r="Q711" i="13"/>
  <c r="J712" i="13"/>
  <c r="AQ712" i="13"/>
  <c r="AJ713" i="13" l="1"/>
  <c r="AB713" i="13"/>
  <c r="AK713" i="13"/>
  <c r="AS713" i="13"/>
  <c r="AT713" i="13" s="1"/>
  <c r="AI712" i="13"/>
  <c r="AK709" i="13"/>
  <c r="AJ709" i="13"/>
  <c r="AN709" i="13"/>
  <c r="AB709" i="13"/>
  <c r="AP709" i="13"/>
  <c r="AV709" i="13" s="1"/>
  <c r="AS711" i="13"/>
  <c r="AT711" i="13" s="1"/>
  <c r="AI711" i="13"/>
  <c r="AP711" i="13"/>
  <c r="AK711" i="13"/>
  <c r="AK712" i="13"/>
  <c r="AN711" i="13"/>
  <c r="AJ711" i="13"/>
  <c r="AJ712" i="13"/>
  <c r="AS712" i="13"/>
  <c r="AT712" i="13" s="1"/>
  <c r="AB710" i="13"/>
  <c r="AS710" i="13"/>
  <c r="AT710" i="13" s="1"/>
  <c r="AK710" i="13"/>
  <c r="AJ710" i="13"/>
  <c r="AP710" i="13"/>
  <c r="AP712" i="13"/>
  <c r="AB712" i="13"/>
  <c r="AV712" i="13" l="1"/>
  <c r="AV711" i="13"/>
  <c r="Q1456" i="6"/>
  <c r="N1454" i="6"/>
  <c r="N1455" i="6"/>
  <c r="D1456" i="6"/>
  <c r="E1456" i="6" a="1"/>
  <c r="E1456" i="6" s="1"/>
  <c r="G1456" i="6"/>
  <c r="H1456" i="6" s="1"/>
  <c r="I1456" i="6"/>
  <c r="S1456" i="6"/>
  <c r="V1456" i="6"/>
  <c r="D1455" i="6"/>
  <c r="E1455" i="6" a="1"/>
  <c r="E1455" i="6" s="1"/>
  <c r="G1455" i="6"/>
  <c r="H1455" i="6" s="1"/>
  <c r="I1455" i="6"/>
  <c r="S1455" i="6"/>
  <c r="V1455" i="6"/>
  <c r="D1454" i="6"/>
  <c r="E1454" i="6" a="1"/>
  <c r="E1454" i="6" s="1"/>
  <c r="G1454" i="6"/>
  <c r="H1454" i="6" s="1"/>
  <c r="I1454" i="6"/>
  <c r="S1454" i="6"/>
  <c r="V1454" i="6"/>
  <c r="N1452" i="6"/>
  <c r="Q1453" i="6"/>
  <c r="D1453" i="6"/>
  <c r="E1453" i="6" a="1"/>
  <c r="E1453" i="6" s="1"/>
  <c r="G1453" i="6"/>
  <c r="H1453" i="6" s="1"/>
  <c r="I1453" i="6"/>
  <c r="N1453" i="6"/>
  <c r="S1453" i="6"/>
  <c r="V1453" i="6"/>
  <c r="D1452" i="6"/>
  <c r="E1452" i="6" a="1"/>
  <c r="E1452" i="6" s="1"/>
  <c r="G1452" i="6"/>
  <c r="H1452" i="6" s="1"/>
  <c r="I1452" i="6"/>
  <c r="S1452" i="6"/>
  <c r="V1452" i="6"/>
  <c r="N1787" i="16"/>
  <c r="D1787" i="16"/>
  <c r="E1787" i="16" a="1"/>
  <c r="E1787" i="16" s="1"/>
  <c r="G1787" i="16"/>
  <c r="H1787" i="16" s="1"/>
  <c r="I1787" i="16"/>
  <c r="S1787" i="16"/>
  <c r="V1787" i="16"/>
  <c r="D1786" i="16"/>
  <c r="E1786" i="16" a="1"/>
  <c r="E1786" i="16" s="1"/>
  <c r="G1786" i="16"/>
  <c r="H1786" i="16" s="1"/>
  <c r="I1786" i="16"/>
  <c r="S1786" i="16"/>
  <c r="V1786" i="16"/>
  <c r="Q1775" i="16"/>
  <c r="N1776" i="16"/>
  <c r="V1776" i="16" s="1"/>
  <c r="N1777" i="16"/>
  <c r="N1778" i="16"/>
  <c r="N1779" i="16"/>
  <c r="M1779" i="16" s="1"/>
  <c r="Q1780" i="16"/>
  <c r="N1781" i="16"/>
  <c r="N1782" i="16"/>
  <c r="N1783" i="16"/>
  <c r="M1783" i="16" s="1"/>
  <c r="N1784" i="16"/>
  <c r="V1784" i="16" s="1"/>
  <c r="Q1785" i="16"/>
  <c r="Q1774" i="16"/>
  <c r="N1451" i="6"/>
  <c r="D1451" i="6"/>
  <c r="E1451" i="6" a="1"/>
  <c r="E1451" i="6" s="1"/>
  <c r="G1451" i="6"/>
  <c r="H1451" i="6" s="1"/>
  <c r="I1451" i="6"/>
  <c r="S1451" i="6"/>
  <c r="T1451" i="6"/>
  <c r="U1451" i="6" a="1"/>
  <c r="U1451" i="6" s="1"/>
  <c r="V1451" i="6"/>
  <c r="W1487" i="6" s="1"/>
  <c r="D1785" i="16"/>
  <c r="E1785" i="16" a="1"/>
  <c r="E1785" i="16" s="1"/>
  <c r="G1785" i="16"/>
  <c r="H1785" i="16" s="1"/>
  <c r="I1785" i="16"/>
  <c r="S1785" i="16"/>
  <c r="U1785" i="16" a="1"/>
  <c r="U1785" i="16" s="1"/>
  <c r="V1785" i="16"/>
  <c r="D1784" i="16"/>
  <c r="E1784" i="16" a="1"/>
  <c r="E1784" i="16" s="1"/>
  <c r="G1784" i="16"/>
  <c r="H1784" i="16" s="1"/>
  <c r="I1784" i="16"/>
  <c r="S1784" i="16"/>
  <c r="U1784" i="16" a="1"/>
  <c r="U1784" i="16" s="1"/>
  <c r="D1783" i="16"/>
  <c r="E1783" i="16" a="1"/>
  <c r="E1783" i="16" s="1"/>
  <c r="G1783" i="16"/>
  <c r="H1783" i="16" s="1"/>
  <c r="I1783" i="16"/>
  <c r="S1783" i="16"/>
  <c r="U1783" i="16" a="1"/>
  <c r="U1783" i="16" s="1"/>
  <c r="V1783" i="16"/>
  <c r="D1782" i="16"/>
  <c r="E1782" i="16" a="1"/>
  <c r="E1782" i="16" s="1"/>
  <c r="G1782" i="16"/>
  <c r="H1782" i="16" s="1"/>
  <c r="I1782" i="16"/>
  <c r="S1782" i="16"/>
  <c r="U1782" i="16" a="1"/>
  <c r="U1782" i="16" s="1"/>
  <c r="V1782" i="16"/>
  <c r="D1781" i="16"/>
  <c r="E1781" i="16" a="1"/>
  <c r="E1781" i="16" s="1"/>
  <c r="G1781" i="16"/>
  <c r="H1781" i="16" s="1"/>
  <c r="I1781" i="16"/>
  <c r="S1781" i="16"/>
  <c r="U1781" i="16" a="1"/>
  <c r="U1781" i="16" s="1"/>
  <c r="V1781" i="16"/>
  <c r="D1780" i="16"/>
  <c r="E1780" i="16" a="1"/>
  <c r="E1780" i="16" s="1"/>
  <c r="G1780" i="16"/>
  <c r="H1780" i="16" s="1"/>
  <c r="I1780" i="16"/>
  <c r="N1780" i="16"/>
  <c r="S1780" i="16"/>
  <c r="U1780" i="16" a="1"/>
  <c r="U1780" i="16" s="1"/>
  <c r="V1780" i="16"/>
  <c r="D1779" i="16"/>
  <c r="E1779" i="16" a="1"/>
  <c r="E1779" i="16" s="1"/>
  <c r="G1779" i="16"/>
  <c r="H1779" i="16" s="1"/>
  <c r="I1779" i="16"/>
  <c r="Q1779" i="16"/>
  <c r="S1779" i="16"/>
  <c r="U1779" i="16" a="1"/>
  <c r="U1779" i="16" s="1"/>
  <c r="V1779" i="16"/>
  <c r="D1778" i="16"/>
  <c r="E1778" i="16" a="1"/>
  <c r="E1778" i="16" s="1"/>
  <c r="G1778" i="16"/>
  <c r="H1778" i="16" s="1"/>
  <c r="I1778" i="16"/>
  <c r="S1778" i="16"/>
  <c r="U1778" i="16" a="1"/>
  <c r="U1778" i="16" s="1"/>
  <c r="V1778" i="16"/>
  <c r="D1777" i="16"/>
  <c r="E1777" i="16" a="1"/>
  <c r="E1777" i="16" s="1"/>
  <c r="G1777" i="16"/>
  <c r="H1777" i="16" s="1"/>
  <c r="I1777" i="16"/>
  <c r="S1777" i="16"/>
  <c r="U1777" i="16" a="1"/>
  <c r="U1777" i="16" s="1"/>
  <c r="V1777" i="16"/>
  <c r="D1776" i="16"/>
  <c r="E1776" i="16" a="1"/>
  <c r="E1776" i="16" s="1"/>
  <c r="G1776" i="16"/>
  <c r="H1776" i="16" s="1"/>
  <c r="I1776" i="16"/>
  <c r="S1776" i="16"/>
  <c r="U1776" i="16" a="1"/>
  <c r="U1776" i="16" s="1"/>
  <c r="D1775" i="16"/>
  <c r="E1775" i="16" a="1"/>
  <c r="E1775" i="16" s="1"/>
  <c r="G1775" i="16"/>
  <c r="H1775" i="16" s="1"/>
  <c r="I1775" i="16"/>
  <c r="S1775" i="16"/>
  <c r="U1775" i="16" a="1"/>
  <c r="U1775" i="16" s="1"/>
  <c r="V1775" i="16"/>
  <c r="D1774" i="16"/>
  <c r="E1774" i="16" a="1"/>
  <c r="E1774" i="16" s="1"/>
  <c r="G1774" i="16"/>
  <c r="H1774" i="16" s="1"/>
  <c r="I1774" i="16"/>
  <c r="S1774" i="16"/>
  <c r="U1774" i="16" a="1"/>
  <c r="U1774" i="16" s="1"/>
  <c r="V1774" i="16"/>
  <c r="E724" i="13" l="1"/>
  <c r="H724" i="13" s="1"/>
  <c r="O1487" i="6"/>
  <c r="W1451" i="6"/>
  <c r="V724" i="13"/>
  <c r="Z724" i="13" s="1"/>
  <c r="Q1452" i="6"/>
  <c r="Q1778" i="16"/>
  <c r="Q1454" i="6"/>
  <c r="N1456" i="6"/>
  <c r="M1456" i="6" s="1"/>
  <c r="Q1455" i="6"/>
  <c r="M1454" i="6"/>
  <c r="M1455" i="6"/>
  <c r="Q1451" i="6"/>
  <c r="Q1787" i="16"/>
  <c r="N1774" i="16"/>
  <c r="N1775" i="16"/>
  <c r="M1775" i="16" s="1"/>
  <c r="Q1782" i="16"/>
  <c r="M1453" i="6"/>
  <c r="M1452" i="6"/>
  <c r="M1787" i="16"/>
  <c r="Q1783" i="16"/>
  <c r="Q1784" i="16"/>
  <c r="Q1786" i="16"/>
  <c r="N1786" i="16"/>
  <c r="M1786" i="16" s="1"/>
  <c r="Q1781" i="16"/>
  <c r="Q1776" i="16"/>
  <c r="Q1777" i="16"/>
  <c r="N1785" i="16"/>
  <c r="M1785" i="16" s="1"/>
  <c r="M1451" i="6"/>
  <c r="O1451" i="6"/>
  <c r="M1784" i="16"/>
  <c r="M1782" i="16"/>
  <c r="M1781" i="16"/>
  <c r="M1780" i="16"/>
  <c r="M1778" i="16"/>
  <c r="M1777" i="16"/>
  <c r="M1776" i="16"/>
  <c r="M1774" i="16" l="1"/>
  <c r="S724" i="13"/>
  <c r="AA724" i="13" s="1"/>
  <c r="AK724" i="13" s="1"/>
  <c r="G724" i="13"/>
  <c r="AQ724" i="13" s="1"/>
  <c r="R1451" i="6"/>
  <c r="N1450" i="6"/>
  <c r="D1450" i="6"/>
  <c r="E1450" i="6" a="1"/>
  <c r="E1450" i="6" s="1"/>
  <c r="G1450" i="6"/>
  <c r="H1450" i="6" s="1"/>
  <c r="I1450" i="6"/>
  <c r="S1450" i="6"/>
  <c r="V1450" i="6"/>
  <c r="N1449" i="6"/>
  <c r="M1449" i="6" s="1"/>
  <c r="D1449" i="6"/>
  <c r="E1449" i="6" a="1"/>
  <c r="E1449" i="6" s="1"/>
  <c r="G1449" i="6"/>
  <c r="H1449" i="6" s="1"/>
  <c r="I1449" i="6"/>
  <c r="S1449" i="6"/>
  <c r="V1449" i="6"/>
  <c r="N1773" i="16"/>
  <c r="O1849" i="16" s="1"/>
  <c r="D1773" i="16"/>
  <c r="E1773" i="16" a="1"/>
  <c r="E1773" i="16" s="1"/>
  <c r="G1773" i="16"/>
  <c r="H1773" i="16" s="1"/>
  <c r="I1773" i="16"/>
  <c r="Q1773" i="16"/>
  <c r="S1773" i="16"/>
  <c r="U1773" i="16" a="1"/>
  <c r="U1773" i="16" s="1"/>
  <c r="V1773" i="16"/>
  <c r="D1448" i="6"/>
  <c r="E1448" i="6" a="1"/>
  <c r="E1448" i="6" s="1"/>
  <c r="G1448" i="6"/>
  <c r="H1448" i="6" s="1"/>
  <c r="I1448" i="6"/>
  <c r="N1448" i="6"/>
  <c r="M1448" i="6" s="1"/>
  <c r="Q1448" i="6"/>
  <c r="S1448" i="6"/>
  <c r="U1448" i="6" a="1"/>
  <c r="U1448" i="6" s="1"/>
  <c r="V1448" i="6"/>
  <c r="N1772" i="16"/>
  <c r="M1772" i="16" s="1"/>
  <c r="D1772" i="16"/>
  <c r="E1772" i="16" a="1"/>
  <c r="E1772" i="16" s="1"/>
  <c r="G1772" i="16"/>
  <c r="H1772" i="16" s="1"/>
  <c r="I1772" i="16"/>
  <c r="S1772" i="16"/>
  <c r="V1772" i="16"/>
  <c r="W1773" i="16" l="1"/>
  <c r="W1849" i="16"/>
  <c r="AS724" i="13"/>
  <c r="AT724" i="13" s="1"/>
  <c r="AB724" i="13"/>
  <c r="AP724" i="13"/>
  <c r="AJ724" i="13"/>
  <c r="Q1450" i="6"/>
  <c r="M1450" i="6"/>
  <c r="Q1449" i="6"/>
  <c r="M1773" i="16"/>
  <c r="O1773" i="16"/>
  <c r="Q1772" i="16"/>
  <c r="R1773" i="16" l="1"/>
  <c r="E705" i="13"/>
  <c r="AL705" i="13" s="1" a="1"/>
  <c r="AL705" i="13" s="1"/>
  <c r="E706" i="13"/>
  <c r="H706" i="13" s="1"/>
  <c r="E707" i="13"/>
  <c r="G707" i="13" s="1"/>
  <c r="E708" i="13"/>
  <c r="AL708" i="13" s="1" a="1"/>
  <c r="AL708" i="13" s="1"/>
  <c r="F705" i="13"/>
  <c r="I705" i="13" s="1"/>
  <c r="F706" i="13"/>
  <c r="I706" i="13" s="1"/>
  <c r="F707" i="13"/>
  <c r="K707" i="13" s="1"/>
  <c r="F708" i="13"/>
  <c r="I708" i="13" s="1"/>
  <c r="L705" i="13"/>
  <c r="O705" i="13" s="1"/>
  <c r="L706" i="13"/>
  <c r="AM706" i="13" s="1" a="1"/>
  <c r="AM706" i="13" s="1"/>
  <c r="L707" i="13"/>
  <c r="O707" i="13" s="1"/>
  <c r="L708" i="13"/>
  <c r="M705" i="13"/>
  <c r="R705" i="13" s="1"/>
  <c r="M706" i="13"/>
  <c r="P706" i="13" s="1"/>
  <c r="M707" i="13"/>
  <c r="R707" i="13" s="1"/>
  <c r="M708" i="13"/>
  <c r="P708" i="13" s="1"/>
  <c r="V705" i="13"/>
  <c r="V706" i="13"/>
  <c r="V707" i="13"/>
  <c r="V708" i="13"/>
  <c r="W705" i="13"/>
  <c r="W706" i="13"/>
  <c r="W707" i="13"/>
  <c r="W708" i="13"/>
  <c r="X705" i="13"/>
  <c r="X706" i="13"/>
  <c r="X707" i="13"/>
  <c r="X708" i="13"/>
  <c r="Y705" i="13"/>
  <c r="Y706" i="13"/>
  <c r="Y707" i="13"/>
  <c r="Y708" i="13"/>
  <c r="AC705" i="13"/>
  <c r="AF705" i="13" s="1"/>
  <c r="AC706" i="13"/>
  <c r="AE706" i="13" s="1"/>
  <c r="AC707" i="13"/>
  <c r="AE707" i="13" s="1"/>
  <c r="AC708" i="13"/>
  <c r="AE708" i="13" s="1"/>
  <c r="AD705" i="13"/>
  <c r="AD706" i="13"/>
  <c r="AD707" i="13"/>
  <c r="AD708" i="13"/>
  <c r="AO705" i="13"/>
  <c r="AO706" i="13"/>
  <c r="AO707" i="13"/>
  <c r="AO708" i="13"/>
  <c r="AE705" i="13" l="1"/>
  <c r="H705" i="13"/>
  <c r="G705" i="13"/>
  <c r="AH708" i="13"/>
  <c r="AG706" i="13"/>
  <c r="AF708" i="13"/>
  <c r="AH706" i="13"/>
  <c r="AF706" i="13"/>
  <c r="AG708" i="13"/>
  <c r="AH705" i="13"/>
  <c r="AG705" i="13"/>
  <c r="AH707" i="13"/>
  <c r="AG707" i="13"/>
  <c r="AF707" i="13"/>
  <c r="K705" i="13"/>
  <c r="AU705" i="13" s="1"/>
  <c r="AL707" i="13" a="1"/>
  <c r="AL707" i="13" s="1"/>
  <c r="H707" i="13"/>
  <c r="J707" i="13"/>
  <c r="AQ707" i="13"/>
  <c r="I707" i="13"/>
  <c r="N705" i="13"/>
  <c r="S705" i="13"/>
  <c r="AM705" i="13" a="1"/>
  <c r="AM705" i="13" s="1"/>
  <c r="K706" i="13"/>
  <c r="G706" i="13"/>
  <c r="AL706" i="13" a="1"/>
  <c r="AL706" i="13" s="1"/>
  <c r="P705" i="13"/>
  <c r="Z707" i="13"/>
  <c r="Z706" i="13"/>
  <c r="T706" i="13"/>
  <c r="S706" i="13"/>
  <c r="O706" i="13"/>
  <c r="R706" i="13"/>
  <c r="N706" i="13"/>
  <c r="S708" i="13"/>
  <c r="N708" i="13"/>
  <c r="AU707" i="13"/>
  <c r="O708" i="13"/>
  <c r="H708" i="13"/>
  <c r="G708" i="13"/>
  <c r="Z705" i="13"/>
  <c r="T705" i="13"/>
  <c r="R708" i="13"/>
  <c r="Z708" i="13"/>
  <c r="S707" i="13"/>
  <c r="P707" i="13"/>
  <c r="N707" i="13"/>
  <c r="T707" i="13"/>
  <c r="T708" i="13"/>
  <c r="K708" i="13"/>
  <c r="J705" i="13" l="1"/>
  <c r="AQ705" i="13"/>
  <c r="AA705" i="13"/>
  <c r="AJ705" i="13" s="1"/>
  <c r="AU706" i="13"/>
  <c r="Q705" i="13"/>
  <c r="AR705" i="13"/>
  <c r="J706" i="13"/>
  <c r="AQ706" i="13"/>
  <c r="AU708" i="13"/>
  <c r="AA708" i="13"/>
  <c r="AJ708" i="13" s="1"/>
  <c r="Q706" i="13"/>
  <c r="AR706" i="13"/>
  <c r="AA706" i="13"/>
  <c r="J708" i="13"/>
  <c r="AQ708" i="13"/>
  <c r="AR708" i="13"/>
  <c r="AR707" i="13"/>
  <c r="AA707" i="13"/>
  <c r="AI705" i="13" l="1"/>
  <c r="AN705" i="13"/>
  <c r="AK705" i="13"/>
  <c r="AS705" i="13"/>
  <c r="AT705" i="13" s="1"/>
  <c r="AB705" i="13"/>
  <c r="AP705" i="13"/>
  <c r="AB708" i="13"/>
  <c r="AP708" i="13"/>
  <c r="AI706" i="13"/>
  <c r="AK708" i="13"/>
  <c r="AS708" i="13"/>
  <c r="AT708" i="13" s="1"/>
  <c r="AJ706" i="13"/>
  <c r="AB706" i="13"/>
  <c r="AK706" i="13"/>
  <c r="AN706" i="13"/>
  <c r="AP706" i="13"/>
  <c r="AS706" i="13"/>
  <c r="AT706" i="13" s="1"/>
  <c r="AK707" i="13"/>
  <c r="AP707" i="13"/>
  <c r="AJ707" i="13"/>
  <c r="AS707" i="13"/>
  <c r="AT707" i="13" s="1"/>
  <c r="AB707" i="13"/>
  <c r="Q1755" i="16"/>
  <c r="Q1759" i="16"/>
  <c r="Q1763" i="16"/>
  <c r="Q1767" i="16"/>
  <c r="Q1771" i="16"/>
  <c r="D1754" i="16"/>
  <c r="D1755" i="16"/>
  <c r="D1756" i="16"/>
  <c r="D1757" i="16"/>
  <c r="D1758" i="16"/>
  <c r="D1759" i="16"/>
  <c r="D1760" i="16"/>
  <c r="D1761" i="16"/>
  <c r="D1762" i="16"/>
  <c r="D1763" i="16"/>
  <c r="D1764" i="16"/>
  <c r="D1765" i="16"/>
  <c r="D1766" i="16"/>
  <c r="D1767" i="16"/>
  <c r="D1768" i="16"/>
  <c r="D1769" i="16"/>
  <c r="D1770" i="16"/>
  <c r="D1771" i="16"/>
  <c r="E1754" i="16" a="1"/>
  <c r="E1754" i="16" s="1"/>
  <c r="E1755" i="16" a="1"/>
  <c r="E1755" i="16" s="1"/>
  <c r="E1756" i="16" a="1"/>
  <c r="E1756" i="16" s="1"/>
  <c r="E1757" i="16" a="1"/>
  <c r="E1757" i="16" s="1"/>
  <c r="E1758" i="16" a="1"/>
  <c r="E1758" i="16" s="1"/>
  <c r="E1759" i="16" a="1"/>
  <c r="E1759" i="16" s="1"/>
  <c r="E1760" i="16" a="1"/>
  <c r="E1760" i="16" s="1"/>
  <c r="E1761" i="16" a="1"/>
  <c r="E1761" i="16" s="1"/>
  <c r="E1762" i="16" a="1"/>
  <c r="E1762" i="16" s="1"/>
  <c r="E1763" i="16" a="1"/>
  <c r="E1763" i="16" s="1"/>
  <c r="E1764" i="16" a="1"/>
  <c r="E1764" i="16" s="1"/>
  <c r="E1765" i="16" a="1"/>
  <c r="E1765" i="16" s="1"/>
  <c r="E1766" i="16" a="1"/>
  <c r="E1766" i="16" s="1"/>
  <c r="E1767" i="16" a="1"/>
  <c r="E1767" i="16" s="1"/>
  <c r="E1768" i="16" a="1"/>
  <c r="E1768" i="16" s="1"/>
  <c r="E1769" i="16" a="1"/>
  <c r="E1769" i="16" s="1"/>
  <c r="E1770" i="16" a="1"/>
  <c r="E1770" i="16" s="1"/>
  <c r="E1771" i="16" a="1"/>
  <c r="E1771" i="16" s="1"/>
  <c r="G1754" i="16"/>
  <c r="H1754" i="16" s="1"/>
  <c r="G1755" i="16"/>
  <c r="H1755" i="16" s="1"/>
  <c r="G1756" i="16"/>
  <c r="H1756" i="16" s="1"/>
  <c r="G1757" i="16"/>
  <c r="H1757" i="16" s="1"/>
  <c r="G1758" i="16"/>
  <c r="H1758" i="16" s="1"/>
  <c r="G1759" i="16"/>
  <c r="H1759" i="16" s="1"/>
  <c r="G1760" i="16"/>
  <c r="H1760" i="16" s="1"/>
  <c r="G1761" i="16"/>
  <c r="H1761" i="16" s="1"/>
  <c r="G1762" i="16"/>
  <c r="H1762" i="16" s="1"/>
  <c r="G1763" i="16"/>
  <c r="H1763" i="16" s="1"/>
  <c r="G1764" i="16"/>
  <c r="H1764" i="16" s="1"/>
  <c r="G1765" i="16"/>
  <c r="H1765" i="16" s="1"/>
  <c r="G1766" i="16"/>
  <c r="H1766" i="16" s="1"/>
  <c r="G1767" i="16"/>
  <c r="H1767" i="16" s="1"/>
  <c r="G1768" i="16"/>
  <c r="H1768" i="16" s="1"/>
  <c r="G1769" i="16"/>
  <c r="H1769" i="16" s="1"/>
  <c r="G1770" i="16"/>
  <c r="H1770" i="16" s="1"/>
  <c r="G1771" i="16"/>
  <c r="H1771" i="16" s="1"/>
  <c r="I1754" i="16"/>
  <c r="I1755" i="16"/>
  <c r="I1756" i="16"/>
  <c r="I1757" i="16"/>
  <c r="I1758" i="16"/>
  <c r="I1759" i="16"/>
  <c r="I1760" i="16"/>
  <c r="I1761" i="16"/>
  <c r="I1762" i="16"/>
  <c r="I1763" i="16"/>
  <c r="I1764" i="16"/>
  <c r="I1765" i="16"/>
  <c r="I1766" i="16"/>
  <c r="I1767" i="16"/>
  <c r="I1768" i="16"/>
  <c r="I1769" i="16"/>
  <c r="I1770" i="16"/>
  <c r="I1771" i="16"/>
  <c r="N1754" i="16"/>
  <c r="M1754" i="16" s="1"/>
  <c r="N1756" i="16"/>
  <c r="N1757" i="16"/>
  <c r="M1757" i="16" s="1"/>
  <c r="N1758" i="16"/>
  <c r="M1758" i="16" s="1"/>
  <c r="N1760" i="16"/>
  <c r="M1760" i="16" s="1"/>
  <c r="N1761" i="16"/>
  <c r="M1761" i="16" s="1"/>
  <c r="N1762" i="16"/>
  <c r="M1762" i="16" s="1"/>
  <c r="N1764" i="16"/>
  <c r="M1764" i="16" s="1"/>
  <c r="N1765" i="16"/>
  <c r="M1765" i="16" s="1"/>
  <c r="N1766" i="16"/>
  <c r="M1766" i="16" s="1"/>
  <c r="N1768" i="16"/>
  <c r="M1768" i="16" s="1"/>
  <c r="N1769" i="16"/>
  <c r="M1769" i="16" s="1"/>
  <c r="N1770" i="16"/>
  <c r="M1770" i="16" s="1"/>
  <c r="O1756" i="16"/>
  <c r="Q1754" i="16"/>
  <c r="Q1756" i="16"/>
  <c r="Q1757" i="16"/>
  <c r="Q1758" i="16"/>
  <c r="Q1760" i="16"/>
  <c r="Q1761" i="16"/>
  <c r="Q1762" i="16"/>
  <c r="Q1764" i="16"/>
  <c r="Q1765" i="16"/>
  <c r="Q1766" i="16"/>
  <c r="Q1768" i="16"/>
  <c r="Q1769" i="16"/>
  <c r="Q1770" i="16"/>
  <c r="S1754" i="16"/>
  <c r="S1755" i="16"/>
  <c r="S1756" i="16"/>
  <c r="S1757" i="16"/>
  <c r="S1758" i="16"/>
  <c r="S1759" i="16"/>
  <c r="S1760" i="16"/>
  <c r="S1761" i="16"/>
  <c r="S1762" i="16"/>
  <c r="S1763" i="16"/>
  <c r="S1764" i="16"/>
  <c r="S1765" i="16"/>
  <c r="S1766" i="16"/>
  <c r="S1767" i="16"/>
  <c r="S1768" i="16"/>
  <c r="S1769" i="16"/>
  <c r="S1770" i="16"/>
  <c r="S1771" i="16"/>
  <c r="U1754" i="16" a="1"/>
  <c r="U1754" i="16" s="1"/>
  <c r="U1755" i="16" a="1"/>
  <c r="U1755" i="16" s="1"/>
  <c r="U1756" i="16" a="1"/>
  <c r="U1756" i="16" s="1"/>
  <c r="U1757" i="16" a="1"/>
  <c r="U1757" i="16" s="1"/>
  <c r="U1758" i="16" a="1"/>
  <c r="U1758" i="16" s="1"/>
  <c r="U1759" i="16" a="1"/>
  <c r="U1759" i="16" s="1"/>
  <c r="U1760" i="16" a="1"/>
  <c r="U1760" i="16" s="1"/>
  <c r="U1761" i="16" a="1"/>
  <c r="U1761" i="16" s="1"/>
  <c r="U1762" i="16" a="1"/>
  <c r="U1762" i="16" s="1"/>
  <c r="U1763" i="16" a="1"/>
  <c r="U1763" i="16" s="1"/>
  <c r="U1764" i="16" a="1"/>
  <c r="U1764" i="16" s="1"/>
  <c r="U1765" i="16" a="1"/>
  <c r="U1765" i="16" s="1"/>
  <c r="U1766" i="16" a="1"/>
  <c r="U1766" i="16" s="1"/>
  <c r="U1767" i="16" a="1"/>
  <c r="U1767" i="16" s="1"/>
  <c r="U1768" i="16" a="1"/>
  <c r="U1768" i="16" s="1"/>
  <c r="U1769" i="16" a="1"/>
  <c r="U1769" i="16" s="1"/>
  <c r="U1770" i="16" a="1"/>
  <c r="U1770" i="16" s="1"/>
  <c r="U1771" i="16" a="1"/>
  <c r="U1771" i="16" s="1"/>
  <c r="V1754" i="16"/>
  <c r="V1756" i="16"/>
  <c r="V1757" i="16"/>
  <c r="V1758" i="16"/>
  <c r="V1759" i="16"/>
  <c r="V1760" i="16"/>
  <c r="V1761" i="16"/>
  <c r="V1762" i="16"/>
  <c r="V1763" i="16"/>
  <c r="V1764" i="16"/>
  <c r="V1765" i="16"/>
  <c r="V1766" i="16"/>
  <c r="V1767" i="16"/>
  <c r="V1768" i="16"/>
  <c r="V1769" i="16"/>
  <c r="V1770" i="16"/>
  <c r="V1771" i="16"/>
  <c r="D1753" i="16"/>
  <c r="G1753" i="16"/>
  <c r="H1753" i="16" s="1"/>
  <c r="I1753" i="16"/>
  <c r="N1753" i="16"/>
  <c r="M1753" i="16" s="1"/>
  <c r="Q1753" i="16"/>
  <c r="S1753" i="16"/>
  <c r="U1753" i="16" a="1"/>
  <c r="U1753" i="16" s="1"/>
  <c r="V1753" i="16"/>
  <c r="E1753" i="16" a="1"/>
  <c r="E1753" i="16" s="1"/>
  <c r="W1756" i="16" l="1"/>
  <c r="W1842" i="16"/>
  <c r="M1756" i="16"/>
  <c r="O1842" i="16"/>
  <c r="AV705" i="13"/>
  <c r="AV706" i="13"/>
  <c r="R1756" i="16"/>
  <c r="N1771" i="16"/>
  <c r="M1771" i="16" s="1"/>
  <c r="N1767" i="16"/>
  <c r="M1767" i="16" s="1"/>
  <c r="N1763" i="16"/>
  <c r="M1763" i="16" s="1"/>
  <c r="N1759" i="16"/>
  <c r="M1759" i="16" s="1"/>
  <c r="N1755" i="16"/>
  <c r="M1755" i="16" l="1"/>
  <c r="V1755" i="16"/>
  <c r="D1447" i="6"/>
  <c r="E1447" i="6" a="1"/>
  <c r="E1447" i="6" s="1"/>
  <c r="G1447" i="6"/>
  <c r="H1447" i="6" s="1"/>
  <c r="I1447" i="6"/>
  <c r="N1447" i="6"/>
  <c r="M1447" i="6" s="1"/>
  <c r="Q1447" i="6"/>
  <c r="S1447" i="6"/>
  <c r="V1447" i="6"/>
  <c r="E702" i="13"/>
  <c r="H702" i="13" s="1"/>
  <c r="E703" i="13"/>
  <c r="F702" i="13"/>
  <c r="I702" i="13" s="1"/>
  <c r="F703" i="13"/>
  <c r="I703" i="13" s="1"/>
  <c r="F704" i="13"/>
  <c r="I704" i="13" s="1"/>
  <c r="L702" i="13"/>
  <c r="O702" i="13" s="1"/>
  <c r="L703" i="13"/>
  <c r="N703" i="13" s="1"/>
  <c r="L704" i="13"/>
  <c r="O704" i="13" s="1"/>
  <c r="M702" i="13"/>
  <c r="P702" i="13" s="1"/>
  <c r="M703" i="13"/>
  <c r="R703" i="13" s="1"/>
  <c r="M704" i="13"/>
  <c r="R704" i="13" s="1"/>
  <c r="V702" i="13"/>
  <c r="V703" i="13"/>
  <c r="W702" i="13"/>
  <c r="W703" i="13"/>
  <c r="W704" i="13"/>
  <c r="X702" i="13"/>
  <c r="X703" i="13"/>
  <c r="X704" i="13"/>
  <c r="Y702" i="13"/>
  <c r="Y703" i="13"/>
  <c r="Y704" i="13"/>
  <c r="AC702" i="13"/>
  <c r="AH702" i="13" s="1"/>
  <c r="AC703" i="13"/>
  <c r="AE703" i="13" s="1"/>
  <c r="AC704" i="13"/>
  <c r="AF704" i="13" s="1"/>
  <c r="AD702" i="13"/>
  <c r="AD703" i="13"/>
  <c r="AD704" i="13"/>
  <c r="AO702" i="13"/>
  <c r="AO703" i="13"/>
  <c r="AO704" i="13"/>
  <c r="AM702" i="13" l="1" a="1"/>
  <c r="AM702" i="13" s="1"/>
  <c r="AG702" i="13"/>
  <c r="AF702" i="13"/>
  <c r="AG704" i="13"/>
  <c r="AG703" i="13"/>
  <c r="AE702" i="13"/>
  <c r="N702" i="13"/>
  <c r="AR703" i="13"/>
  <c r="Q703" i="13"/>
  <c r="O703" i="13"/>
  <c r="P704" i="13"/>
  <c r="S703" i="13"/>
  <c r="AM703" i="13" a="1"/>
  <c r="AM703" i="13" s="1"/>
  <c r="P703" i="13"/>
  <c r="AF703" i="13"/>
  <c r="R702" i="13"/>
  <c r="G703" i="13"/>
  <c r="J703" i="13" s="1"/>
  <c r="AL703" i="13" a="1"/>
  <c r="AL703" i="13" s="1"/>
  <c r="K703" i="13"/>
  <c r="AU703" i="13" s="1"/>
  <c r="S702" i="13"/>
  <c r="K704" i="13"/>
  <c r="AU704" i="13" s="1"/>
  <c r="AL702" i="13" a="1"/>
  <c r="AL702" i="13" s="1"/>
  <c r="T704" i="13"/>
  <c r="G702" i="13"/>
  <c r="J702" i="13" s="1"/>
  <c r="H703" i="13"/>
  <c r="T703" i="13"/>
  <c r="Z702" i="13"/>
  <c r="Z703" i="13"/>
  <c r="K702" i="13"/>
  <c r="AM704" i="13" a="1"/>
  <c r="AM704" i="13" s="1"/>
  <c r="AH704" i="13"/>
  <c r="AH703" i="13"/>
  <c r="AE704" i="13"/>
  <c r="T702" i="13"/>
  <c r="N704" i="13"/>
  <c r="AI703" i="13" l="1"/>
  <c r="AQ703" i="13"/>
  <c r="Q702" i="13"/>
  <c r="AI702" i="13" s="1"/>
  <c r="AR702" i="13"/>
  <c r="AU702" i="13"/>
  <c r="AA703" i="13"/>
  <c r="AP703" i="13" s="1"/>
  <c r="AA702" i="13"/>
  <c r="AB702" i="13" s="1"/>
  <c r="AQ702" i="13"/>
  <c r="AR704" i="13"/>
  <c r="Q704" i="13"/>
  <c r="AV703" i="13" l="1"/>
  <c r="AK703" i="13"/>
  <c r="AB703" i="13"/>
  <c r="AN703" i="13"/>
  <c r="AS703" i="13"/>
  <c r="AT703" i="13" s="1"/>
  <c r="AJ703" i="13"/>
  <c r="AS702" i="13"/>
  <c r="AT702" i="13" s="1"/>
  <c r="AP702" i="13"/>
  <c r="AV702" i="13" s="1"/>
  <c r="AJ702" i="13"/>
  <c r="AN702" i="13"/>
  <c r="AK702" i="13"/>
  <c r="N1444" i="6"/>
  <c r="D1444" i="6"/>
  <c r="E1444" i="6" a="1"/>
  <c r="E1444" i="6" s="1"/>
  <c r="G1444" i="6"/>
  <c r="H1444" i="6" s="1"/>
  <c r="I1444" i="6"/>
  <c r="Q1444" i="6"/>
  <c r="S1444" i="6"/>
  <c r="V1444" i="6"/>
  <c r="N1438" i="6"/>
  <c r="M1438" i="6" s="1"/>
  <c r="N1439" i="6"/>
  <c r="M1439" i="6" s="1"/>
  <c r="N1442" i="6"/>
  <c r="M1442" i="6" s="1"/>
  <c r="Q1443" i="6"/>
  <c r="Q1445" i="6"/>
  <c r="D1445" i="6"/>
  <c r="D1446" i="6"/>
  <c r="E1445" i="6" a="1"/>
  <c r="E1445" i="6" s="1"/>
  <c r="E1446" i="6" a="1"/>
  <c r="E1446" i="6" s="1"/>
  <c r="G1445" i="6"/>
  <c r="H1445" i="6" s="1"/>
  <c r="G1446" i="6"/>
  <c r="H1446" i="6" s="1"/>
  <c r="I1445" i="6"/>
  <c r="I1446" i="6"/>
  <c r="N1445" i="6"/>
  <c r="N1446" i="6"/>
  <c r="M1446" i="6" s="1"/>
  <c r="Q1446" i="6"/>
  <c r="S1445" i="6"/>
  <c r="S1446" i="6"/>
  <c r="U1445" i="6" a="1"/>
  <c r="U1445" i="6" s="1"/>
  <c r="U1446" i="6" a="1"/>
  <c r="U1446" i="6" s="1"/>
  <c r="V1445" i="6"/>
  <c r="V1446" i="6"/>
  <c r="D1443" i="6"/>
  <c r="E1443" i="6" a="1"/>
  <c r="E1443" i="6" s="1"/>
  <c r="G1443" i="6"/>
  <c r="H1443" i="6" s="1"/>
  <c r="I1443" i="6"/>
  <c r="S1443" i="6"/>
  <c r="V1443" i="6"/>
  <c r="D1442" i="6"/>
  <c r="E1442" i="6" a="1"/>
  <c r="E1442" i="6" s="1"/>
  <c r="G1442" i="6"/>
  <c r="H1442" i="6" s="1"/>
  <c r="I1442" i="6"/>
  <c r="Q1442" i="6"/>
  <c r="S1442" i="6"/>
  <c r="V1442" i="6"/>
  <c r="D1441" i="6"/>
  <c r="E1441" i="6" a="1"/>
  <c r="E1441" i="6" s="1"/>
  <c r="G1441" i="6"/>
  <c r="H1441" i="6" s="1"/>
  <c r="I1441" i="6"/>
  <c r="N1441" i="6"/>
  <c r="Q1441" i="6"/>
  <c r="S1441" i="6"/>
  <c r="V1441" i="6"/>
  <c r="D1440" i="6"/>
  <c r="E1440" i="6" a="1"/>
  <c r="E1440" i="6" s="1"/>
  <c r="G1440" i="6"/>
  <c r="H1440" i="6" s="1"/>
  <c r="I1440" i="6"/>
  <c r="N1440" i="6"/>
  <c r="Q1440" i="6"/>
  <c r="S1440" i="6"/>
  <c r="V1440" i="6"/>
  <c r="D1439" i="6"/>
  <c r="E1439" i="6" a="1"/>
  <c r="E1439" i="6" s="1"/>
  <c r="G1439" i="6"/>
  <c r="H1439" i="6" s="1"/>
  <c r="I1439" i="6"/>
  <c r="S1439" i="6"/>
  <c r="V1439" i="6"/>
  <c r="D1438" i="6"/>
  <c r="E1438" i="6" a="1"/>
  <c r="E1438" i="6" s="1"/>
  <c r="G1438" i="6"/>
  <c r="H1438" i="6" s="1"/>
  <c r="I1438" i="6"/>
  <c r="S1438" i="6"/>
  <c r="V1438" i="6"/>
  <c r="D1437" i="6"/>
  <c r="E1437" i="6" a="1"/>
  <c r="E1437" i="6" s="1"/>
  <c r="G1437" i="6"/>
  <c r="H1437" i="6" s="1"/>
  <c r="I1437" i="6"/>
  <c r="N1437" i="6"/>
  <c r="Q1437" i="6"/>
  <c r="S1437" i="6"/>
  <c r="V1437" i="6"/>
  <c r="D1436" i="6"/>
  <c r="E1436" i="6" a="1"/>
  <c r="E1436" i="6" s="1"/>
  <c r="G1436" i="6"/>
  <c r="H1436" i="6" s="1"/>
  <c r="I1436" i="6"/>
  <c r="N1436" i="6"/>
  <c r="Q1436" i="6"/>
  <c r="S1436" i="6"/>
  <c r="V1436" i="6"/>
  <c r="D1435" i="6"/>
  <c r="E1435" i="6" a="1"/>
  <c r="E1435" i="6" s="1"/>
  <c r="G1435" i="6"/>
  <c r="H1435" i="6" s="1"/>
  <c r="I1435" i="6"/>
  <c r="N1435" i="6"/>
  <c r="M1435" i="6" s="1"/>
  <c r="Q1435" i="6"/>
  <c r="S1435" i="6"/>
  <c r="V1435" i="6"/>
  <c r="W1475" i="6" l="1"/>
  <c r="O1475" i="6"/>
  <c r="W1461" i="6"/>
  <c r="W1462" i="6"/>
  <c r="O1461" i="6"/>
  <c r="O1462" i="6"/>
  <c r="M1445" i="6"/>
  <c r="E704" i="13"/>
  <c r="V704" i="13"/>
  <c r="Z704" i="13" s="1"/>
  <c r="M1444" i="6"/>
  <c r="Q1438" i="6"/>
  <c r="Q1439" i="6"/>
  <c r="N1443" i="6"/>
  <c r="M1443" i="6" s="1"/>
  <c r="W1446" i="6"/>
  <c r="O1446" i="6"/>
  <c r="W1445" i="6"/>
  <c r="O1445" i="6"/>
  <c r="M1441" i="6"/>
  <c r="M1440" i="6"/>
  <c r="M1437" i="6"/>
  <c r="M1436" i="6"/>
  <c r="N1752" i="16"/>
  <c r="D1752" i="16"/>
  <c r="E1752" i="16" a="1"/>
  <c r="E1752" i="16" s="1"/>
  <c r="G1752" i="16"/>
  <c r="H1752" i="16" s="1"/>
  <c r="I1752" i="16"/>
  <c r="Q1752" i="16"/>
  <c r="S1752" i="16"/>
  <c r="U1752" i="16" a="1"/>
  <c r="U1752" i="16" s="1"/>
  <c r="V1752" i="16"/>
  <c r="E1371" i="6" a="1"/>
  <c r="E1371" i="6" s="1"/>
  <c r="E1313" i="6" a="1"/>
  <c r="E1313" i="6" s="1"/>
  <c r="E1305" i="6" a="1"/>
  <c r="E1305" i="6" s="1"/>
  <c r="E1299" i="6" a="1"/>
  <c r="E1299" i="6" s="1"/>
  <c r="E1290" i="6" a="1"/>
  <c r="E1290" i="6" s="1"/>
  <c r="E1271" i="6" a="1"/>
  <c r="E1271" i="6" s="1"/>
  <c r="E1268" i="6" a="1"/>
  <c r="E1268" i="6" s="1"/>
  <c r="E1251" i="6" a="1"/>
  <c r="E1251" i="6" s="1"/>
  <c r="E1233" i="6" a="1"/>
  <c r="E1233" i="6" s="1"/>
  <c r="E1232" i="6" a="1"/>
  <c r="E1232" i="6" s="1"/>
  <c r="E1229" i="6" a="1"/>
  <c r="E1229" i="6" s="1"/>
  <c r="E1219" i="6" a="1"/>
  <c r="E1219" i="6" s="1"/>
  <c r="E1206" i="6" a="1"/>
  <c r="E1206" i="6" s="1"/>
  <c r="E1198" i="6" a="1"/>
  <c r="E1198" i="6" s="1"/>
  <c r="E1153" i="6" a="1"/>
  <c r="E1153" i="6" s="1"/>
  <c r="E1139" i="6" a="1"/>
  <c r="E1139" i="6" s="1"/>
  <c r="E1098" i="6" a="1"/>
  <c r="E1098" i="6" s="1"/>
  <c r="E1092" i="6" a="1"/>
  <c r="E1092" i="6" s="1"/>
  <c r="E749" i="6" a="1"/>
  <c r="E749" i="6" s="1"/>
  <c r="E720" i="6" a="1"/>
  <c r="E720" i="6" s="1"/>
  <c r="E716" i="6" a="1"/>
  <c r="E716" i="6" s="1"/>
  <c r="E652" i="6" a="1"/>
  <c r="E652" i="6" s="1"/>
  <c r="E615" i="6" a="1"/>
  <c r="E615" i="6" s="1"/>
  <c r="E592" i="6" a="1"/>
  <c r="E592" i="6" s="1"/>
  <c r="E591" i="6" a="1"/>
  <c r="E591" i="6" s="1"/>
  <c r="E590" i="6" a="1"/>
  <c r="E590" i="6" s="1"/>
  <c r="E565" i="6" a="1"/>
  <c r="E565" i="6" s="1"/>
  <c r="N1434" i="6"/>
  <c r="M1434" i="6" s="1"/>
  <c r="D1434" i="6"/>
  <c r="E1434" i="6" a="1"/>
  <c r="E1434" i="6" s="1"/>
  <c r="G1434" i="6"/>
  <c r="H1434" i="6" s="1"/>
  <c r="I1434" i="6"/>
  <c r="Q1434" i="6"/>
  <c r="S1434" i="6"/>
  <c r="U1434" i="6" a="1"/>
  <c r="U1434" i="6" s="1"/>
  <c r="V1434" i="6"/>
  <c r="H704" i="13" l="1"/>
  <c r="G704" i="13"/>
  <c r="AQ704" i="13" s="1"/>
  <c r="S704" i="13"/>
  <c r="AA704" i="13" s="1"/>
  <c r="M1752" i="16"/>
  <c r="D1433" i="6"/>
  <c r="E1433" i="6" a="1"/>
  <c r="E1433" i="6" s="1"/>
  <c r="G1433" i="6"/>
  <c r="H1433" i="6" s="1"/>
  <c r="I1433" i="6"/>
  <c r="N1433" i="6"/>
  <c r="Q1433" i="6"/>
  <c r="S1433" i="6"/>
  <c r="U1433" i="6" a="1"/>
  <c r="U1433" i="6" s="1"/>
  <c r="V1433" i="6"/>
  <c r="D1432" i="6"/>
  <c r="E1432" i="6" a="1"/>
  <c r="E1432" i="6" s="1"/>
  <c r="G1432" i="6"/>
  <c r="H1432" i="6" s="1"/>
  <c r="I1432" i="6"/>
  <c r="N1432" i="6"/>
  <c r="M1432" i="6" s="1"/>
  <c r="Q1432" i="6"/>
  <c r="S1432" i="6"/>
  <c r="U1432" i="6" a="1"/>
  <c r="U1432" i="6" s="1"/>
  <c r="V1432" i="6"/>
  <c r="Q1751" i="16"/>
  <c r="N1750" i="16"/>
  <c r="M1750" i="16" s="1"/>
  <c r="D1750" i="16"/>
  <c r="D1751" i="16"/>
  <c r="E1750" i="16" a="1"/>
  <c r="E1750" i="16" s="1"/>
  <c r="E1751" i="16" a="1"/>
  <c r="E1751" i="16" s="1"/>
  <c r="G1750" i="16"/>
  <c r="H1750" i="16" s="1"/>
  <c r="G1751" i="16"/>
  <c r="H1751" i="16" s="1"/>
  <c r="I1750" i="16"/>
  <c r="I1751" i="16"/>
  <c r="N1751" i="16"/>
  <c r="M1751" i="16" s="1"/>
  <c r="Q1750" i="16"/>
  <c r="S1750" i="16"/>
  <c r="S1751" i="16"/>
  <c r="U1750" i="16" a="1"/>
  <c r="U1750" i="16" s="1"/>
  <c r="U1751" i="16" a="1"/>
  <c r="U1751" i="16" s="1"/>
  <c r="V1750" i="16"/>
  <c r="V1751" i="16"/>
  <c r="N1711" i="16"/>
  <c r="M1711" i="16" s="1"/>
  <c r="Q1712" i="16"/>
  <c r="N1715" i="16"/>
  <c r="M1715" i="16" s="1"/>
  <c r="Q1716" i="16"/>
  <c r="N1719" i="16"/>
  <c r="M1719" i="16" s="1"/>
  <c r="Q1720" i="16"/>
  <c r="Q1723" i="16"/>
  <c r="Q1724" i="16"/>
  <c r="N1727" i="16"/>
  <c r="M1727" i="16" s="1"/>
  <c r="Q1728" i="16"/>
  <c r="N1731" i="16"/>
  <c r="M1731" i="16" s="1"/>
  <c r="Q1732" i="16"/>
  <c r="N1735" i="16"/>
  <c r="M1735" i="16" s="1"/>
  <c r="Q1736" i="16"/>
  <c r="Q1739" i="16"/>
  <c r="Q1740" i="16"/>
  <c r="N1743" i="16"/>
  <c r="M1743" i="16" s="1"/>
  <c r="Q1744" i="16"/>
  <c r="N1747" i="16"/>
  <c r="M1747" i="16" s="1"/>
  <c r="Q1748" i="16"/>
  <c r="D1708" i="16"/>
  <c r="D1709" i="16"/>
  <c r="D1710" i="16"/>
  <c r="D1711" i="16"/>
  <c r="D1712" i="16"/>
  <c r="D1713" i="16"/>
  <c r="D1714" i="16"/>
  <c r="D1715" i="16"/>
  <c r="D1716" i="16"/>
  <c r="D1717" i="16"/>
  <c r="D1718" i="16"/>
  <c r="D1719" i="16"/>
  <c r="D1720" i="16"/>
  <c r="D1721" i="16"/>
  <c r="D1722" i="16"/>
  <c r="D1723" i="16"/>
  <c r="D1724" i="16"/>
  <c r="D1725" i="16"/>
  <c r="D1726" i="16"/>
  <c r="D1727" i="16"/>
  <c r="D1728" i="16"/>
  <c r="D1729" i="16"/>
  <c r="D1730" i="16"/>
  <c r="D1731" i="16"/>
  <c r="D1732" i="16"/>
  <c r="D1733" i="16"/>
  <c r="D1734" i="16"/>
  <c r="D1735" i="16"/>
  <c r="D1736" i="16"/>
  <c r="D1737" i="16"/>
  <c r="D1738" i="16"/>
  <c r="D1739" i="16"/>
  <c r="D1740" i="16"/>
  <c r="D1741" i="16"/>
  <c r="D1742" i="16"/>
  <c r="D1743" i="16"/>
  <c r="D1744" i="16"/>
  <c r="D1745" i="16"/>
  <c r="D1746" i="16"/>
  <c r="D1747" i="16"/>
  <c r="D1748" i="16"/>
  <c r="D1749" i="16"/>
  <c r="E1708" i="16" a="1"/>
  <c r="E1708" i="16" s="1"/>
  <c r="E1709" i="16" a="1"/>
  <c r="E1709" i="16" s="1"/>
  <c r="E1710" i="16" a="1"/>
  <c r="E1710" i="16" s="1"/>
  <c r="E1711" i="16" a="1"/>
  <c r="E1711" i="16" s="1"/>
  <c r="E1712" i="16" a="1"/>
  <c r="E1712" i="16" s="1"/>
  <c r="E1713" i="16" a="1"/>
  <c r="E1713" i="16" s="1"/>
  <c r="E1714" i="16" a="1"/>
  <c r="E1714" i="16" s="1"/>
  <c r="E1715" i="16" a="1"/>
  <c r="E1715" i="16" s="1"/>
  <c r="E1716" i="16" a="1"/>
  <c r="E1716" i="16" s="1"/>
  <c r="E1717" i="16" a="1"/>
  <c r="E1717" i="16" s="1"/>
  <c r="E1718" i="16" a="1"/>
  <c r="E1718" i="16" s="1"/>
  <c r="E1719" i="16" a="1"/>
  <c r="E1719" i="16" s="1"/>
  <c r="E1720" i="16" a="1"/>
  <c r="E1720" i="16" s="1"/>
  <c r="E1721" i="16" a="1"/>
  <c r="E1721" i="16" s="1"/>
  <c r="E1722" i="16" a="1"/>
  <c r="E1722" i="16" s="1"/>
  <c r="E1723" i="16" a="1"/>
  <c r="E1723" i="16" s="1"/>
  <c r="E1724" i="16" a="1"/>
  <c r="E1724" i="16" s="1"/>
  <c r="E1725" i="16" a="1"/>
  <c r="E1725" i="16" s="1"/>
  <c r="E1726" i="16" a="1"/>
  <c r="E1726" i="16" s="1"/>
  <c r="E1727" i="16" a="1"/>
  <c r="E1727" i="16" s="1"/>
  <c r="E1728" i="16" a="1"/>
  <c r="E1728" i="16" s="1"/>
  <c r="E1729" i="16" a="1"/>
  <c r="E1729" i="16" s="1"/>
  <c r="E1730" i="16" a="1"/>
  <c r="E1730" i="16" s="1"/>
  <c r="E1731" i="16" a="1"/>
  <c r="E1731" i="16" s="1"/>
  <c r="E1732" i="16" a="1"/>
  <c r="E1732" i="16" s="1"/>
  <c r="E1733" i="16" a="1"/>
  <c r="E1733" i="16" s="1"/>
  <c r="E1734" i="16" a="1"/>
  <c r="E1734" i="16" s="1"/>
  <c r="E1735" i="16" a="1"/>
  <c r="E1735" i="16" s="1"/>
  <c r="E1736" i="16" a="1"/>
  <c r="E1736" i="16" s="1"/>
  <c r="E1737" i="16" a="1"/>
  <c r="E1737" i="16" s="1"/>
  <c r="E1738" i="16" a="1"/>
  <c r="E1738" i="16" s="1"/>
  <c r="E1739" i="16" a="1"/>
  <c r="E1739" i="16" s="1"/>
  <c r="E1740" i="16" a="1"/>
  <c r="E1740" i="16" s="1"/>
  <c r="E1741" i="16" a="1"/>
  <c r="E1741" i="16" s="1"/>
  <c r="E1742" i="16" a="1"/>
  <c r="E1742" i="16" s="1"/>
  <c r="E1743" i="16" a="1"/>
  <c r="E1743" i="16" s="1"/>
  <c r="E1744" i="16" a="1"/>
  <c r="E1744" i="16" s="1"/>
  <c r="E1745" i="16" a="1"/>
  <c r="E1745" i="16" s="1"/>
  <c r="E1746" i="16" a="1"/>
  <c r="E1746" i="16" s="1"/>
  <c r="E1747" i="16" a="1"/>
  <c r="E1747" i="16" s="1"/>
  <c r="E1748" i="16" a="1"/>
  <c r="E1748" i="16" s="1"/>
  <c r="E1749" i="16" a="1"/>
  <c r="E1749" i="16" s="1"/>
  <c r="G1708" i="16"/>
  <c r="H1708" i="16" s="1"/>
  <c r="G1709" i="16"/>
  <c r="H1709" i="16" s="1"/>
  <c r="G1710" i="16"/>
  <c r="G1711" i="16"/>
  <c r="G1712" i="16"/>
  <c r="H1712" i="16" s="1"/>
  <c r="G1713" i="16"/>
  <c r="H1713" i="16" s="1"/>
  <c r="G1714" i="16"/>
  <c r="H1714" i="16" s="1"/>
  <c r="G1715" i="16"/>
  <c r="H1715" i="16" s="1"/>
  <c r="G1716" i="16"/>
  <c r="G1717" i="16"/>
  <c r="H1717" i="16" s="1"/>
  <c r="G1718" i="16"/>
  <c r="H1718" i="16" s="1"/>
  <c r="G1719" i="16"/>
  <c r="H1719" i="16" s="1"/>
  <c r="G1720" i="16"/>
  <c r="H1720" i="16" s="1"/>
  <c r="G1721" i="16"/>
  <c r="H1721" i="16" s="1"/>
  <c r="G1722" i="16"/>
  <c r="H1722" i="16" s="1"/>
  <c r="G1723" i="16"/>
  <c r="H1723" i="16" s="1"/>
  <c r="G1724" i="16"/>
  <c r="H1724" i="16" s="1"/>
  <c r="G1725" i="16"/>
  <c r="H1725" i="16" s="1"/>
  <c r="G1726" i="16"/>
  <c r="H1726" i="16" s="1"/>
  <c r="G1727" i="16"/>
  <c r="H1727" i="16" s="1"/>
  <c r="G1728" i="16"/>
  <c r="H1728" i="16" s="1"/>
  <c r="G1729" i="16"/>
  <c r="H1729" i="16" s="1"/>
  <c r="G1730" i="16"/>
  <c r="H1730" i="16" s="1"/>
  <c r="G1731" i="16"/>
  <c r="H1731" i="16" s="1"/>
  <c r="G1732" i="16"/>
  <c r="H1732" i="16" s="1"/>
  <c r="G1733" i="16"/>
  <c r="H1733" i="16" s="1"/>
  <c r="G1734" i="16"/>
  <c r="H1734" i="16" s="1"/>
  <c r="G1735" i="16"/>
  <c r="H1735" i="16" s="1"/>
  <c r="G1736" i="16"/>
  <c r="H1736" i="16" s="1"/>
  <c r="G1737" i="16"/>
  <c r="H1737" i="16" s="1"/>
  <c r="G1738" i="16"/>
  <c r="H1738" i="16" s="1"/>
  <c r="G1739" i="16"/>
  <c r="H1739" i="16" s="1"/>
  <c r="G1740" i="16"/>
  <c r="H1740" i="16" s="1"/>
  <c r="G1741" i="16"/>
  <c r="H1741" i="16" s="1"/>
  <c r="G1742" i="16"/>
  <c r="H1742" i="16" s="1"/>
  <c r="G1743" i="16"/>
  <c r="H1743" i="16" s="1"/>
  <c r="G1744" i="16"/>
  <c r="H1744" i="16" s="1"/>
  <c r="G1745" i="16"/>
  <c r="H1745" i="16" s="1"/>
  <c r="G1746" i="16"/>
  <c r="H1746" i="16" s="1"/>
  <c r="G1747" i="16"/>
  <c r="H1747" i="16" s="1"/>
  <c r="G1748" i="16"/>
  <c r="H1748" i="16" s="1"/>
  <c r="G1749" i="16"/>
  <c r="H1749" i="16" s="1"/>
  <c r="H1710" i="16"/>
  <c r="H1711" i="16"/>
  <c r="H1716" i="16"/>
  <c r="I1708" i="16"/>
  <c r="I1709" i="16"/>
  <c r="I1710" i="16"/>
  <c r="I1711" i="16"/>
  <c r="I1712" i="16"/>
  <c r="I1713" i="16"/>
  <c r="I1714" i="16"/>
  <c r="I1715" i="16"/>
  <c r="I1716" i="16"/>
  <c r="I1717" i="16"/>
  <c r="I1718" i="16"/>
  <c r="I1719" i="16"/>
  <c r="I1720" i="16"/>
  <c r="I1721" i="16"/>
  <c r="I1722" i="16"/>
  <c r="I1723" i="16"/>
  <c r="I1724" i="16"/>
  <c r="I1725" i="16"/>
  <c r="I1726" i="16"/>
  <c r="I1727" i="16"/>
  <c r="I1728" i="16"/>
  <c r="I1729" i="16"/>
  <c r="I1730" i="16"/>
  <c r="I1731" i="16"/>
  <c r="I1732" i="16"/>
  <c r="I1733" i="16"/>
  <c r="I1734" i="16"/>
  <c r="I1735" i="16"/>
  <c r="I1736" i="16"/>
  <c r="I1737" i="16"/>
  <c r="I1738" i="16"/>
  <c r="I1739" i="16"/>
  <c r="I1740" i="16"/>
  <c r="I1741" i="16"/>
  <c r="I1742" i="16"/>
  <c r="I1743" i="16"/>
  <c r="I1744" i="16"/>
  <c r="I1745" i="16"/>
  <c r="I1746" i="16"/>
  <c r="I1747" i="16"/>
  <c r="I1748" i="16"/>
  <c r="I1749" i="16"/>
  <c r="N1708" i="16"/>
  <c r="M1708" i="16" s="1"/>
  <c r="N1709" i="16"/>
  <c r="N1710" i="16"/>
  <c r="M1710" i="16" s="1"/>
  <c r="N1712" i="16"/>
  <c r="M1712" i="16" s="1"/>
  <c r="N1713" i="16"/>
  <c r="N1714" i="16"/>
  <c r="M1714" i="16" s="1"/>
  <c r="N1716" i="16"/>
  <c r="M1716" i="16" s="1"/>
  <c r="N1717" i="16"/>
  <c r="N1718" i="16"/>
  <c r="M1718" i="16" s="1"/>
  <c r="N1720" i="16"/>
  <c r="M1720" i="16" s="1"/>
  <c r="N1721" i="16"/>
  <c r="N1722" i="16"/>
  <c r="M1722" i="16" s="1"/>
  <c r="N1724" i="16"/>
  <c r="M1724" i="16" s="1"/>
  <c r="N1725" i="16"/>
  <c r="N1726" i="16"/>
  <c r="M1726" i="16" s="1"/>
  <c r="N1728" i="16"/>
  <c r="M1728" i="16" s="1"/>
  <c r="N1729" i="16"/>
  <c r="N1730" i="16"/>
  <c r="M1730" i="16" s="1"/>
  <c r="N1732" i="16"/>
  <c r="M1732" i="16" s="1"/>
  <c r="N1733" i="16"/>
  <c r="N1734" i="16"/>
  <c r="M1734" i="16" s="1"/>
  <c r="N1736" i="16"/>
  <c r="M1736" i="16" s="1"/>
  <c r="N1737" i="16"/>
  <c r="V1737" i="16" s="1"/>
  <c r="N1738" i="16"/>
  <c r="M1738" i="16" s="1"/>
  <c r="N1740" i="16"/>
  <c r="M1740" i="16" s="1"/>
  <c r="N1741" i="16"/>
  <c r="N1742" i="16"/>
  <c r="M1742" i="16" s="1"/>
  <c r="N1744" i="16"/>
  <c r="M1744" i="16" s="1"/>
  <c r="N1745" i="16"/>
  <c r="O1809" i="16" s="1"/>
  <c r="N1746" i="16"/>
  <c r="M1746" i="16" s="1"/>
  <c r="N1748" i="16"/>
  <c r="M1748" i="16" s="1"/>
  <c r="N1749" i="16"/>
  <c r="Q1708" i="16"/>
  <c r="Q1709" i="16"/>
  <c r="Q1710" i="16"/>
  <c r="Q1711" i="16"/>
  <c r="Q1713" i="16"/>
  <c r="Q1714" i="16"/>
  <c r="Q1717" i="16"/>
  <c r="Q1718" i="16"/>
  <c r="Q1721" i="16"/>
  <c r="Q1722" i="16"/>
  <c r="Q1725" i="16"/>
  <c r="Q1726" i="16"/>
  <c r="Q1727" i="16"/>
  <c r="Q1729" i="16"/>
  <c r="Q1730" i="16"/>
  <c r="Q1733" i="16"/>
  <c r="Q1734" i="16"/>
  <c r="Q1737" i="16"/>
  <c r="Q1738" i="16"/>
  <c r="Q1741" i="16"/>
  <c r="Q1742" i="16"/>
  <c r="Q1743" i="16"/>
  <c r="Q1745" i="16"/>
  <c r="Q1746" i="16"/>
  <c r="Q1749" i="16"/>
  <c r="S1708" i="16"/>
  <c r="S1709" i="16"/>
  <c r="S1710" i="16"/>
  <c r="S1711" i="16"/>
  <c r="S1712" i="16"/>
  <c r="S1713" i="16"/>
  <c r="S1714" i="16"/>
  <c r="S1715" i="16"/>
  <c r="S1716" i="16"/>
  <c r="S1717" i="16"/>
  <c r="S1718" i="16"/>
  <c r="S1719" i="16"/>
  <c r="S1720" i="16"/>
  <c r="S1721" i="16"/>
  <c r="S1722" i="16"/>
  <c r="S1723" i="16"/>
  <c r="S1724" i="16"/>
  <c r="S1725" i="16"/>
  <c r="S1726" i="16"/>
  <c r="S1727" i="16"/>
  <c r="S1728" i="16"/>
  <c r="S1729" i="16"/>
  <c r="S1730" i="16"/>
  <c r="S1731" i="16"/>
  <c r="S1732" i="16"/>
  <c r="S1733" i="16"/>
  <c r="S1734" i="16"/>
  <c r="S1735" i="16"/>
  <c r="S1736" i="16"/>
  <c r="S1737" i="16"/>
  <c r="S1738" i="16"/>
  <c r="S1739" i="16"/>
  <c r="S1740" i="16"/>
  <c r="S1741" i="16"/>
  <c r="S1742" i="16"/>
  <c r="S1743" i="16"/>
  <c r="S1744" i="16"/>
  <c r="S1745" i="16"/>
  <c r="S1746" i="16"/>
  <c r="S1747" i="16"/>
  <c r="S1748" i="16"/>
  <c r="S1749" i="16"/>
  <c r="U1708" i="16" a="1"/>
  <c r="U1708" i="16" s="1"/>
  <c r="U1709" i="16" a="1"/>
  <c r="U1709" i="16" s="1"/>
  <c r="U1710" i="16" a="1"/>
  <c r="U1710" i="16" s="1"/>
  <c r="U1711" i="16" a="1"/>
  <c r="U1711" i="16" s="1"/>
  <c r="U1712" i="16" a="1"/>
  <c r="U1712" i="16" s="1"/>
  <c r="U1713" i="16" a="1"/>
  <c r="U1713" i="16" s="1"/>
  <c r="U1714" i="16" a="1"/>
  <c r="U1714" i="16" s="1"/>
  <c r="U1715" i="16" a="1"/>
  <c r="U1715" i="16" s="1"/>
  <c r="U1716" i="16" a="1"/>
  <c r="U1716" i="16" s="1"/>
  <c r="U1717" i="16" a="1"/>
  <c r="U1717" i="16" s="1"/>
  <c r="U1718" i="16" a="1"/>
  <c r="U1718" i="16" s="1"/>
  <c r="U1719" i="16" a="1"/>
  <c r="U1719" i="16" s="1"/>
  <c r="U1720" i="16" a="1"/>
  <c r="U1720" i="16" s="1"/>
  <c r="U1721" i="16" a="1"/>
  <c r="U1721" i="16" s="1"/>
  <c r="U1722" i="16" a="1"/>
  <c r="U1722" i="16" s="1"/>
  <c r="U1723" i="16" a="1"/>
  <c r="U1723" i="16" s="1"/>
  <c r="U1724" i="16" a="1"/>
  <c r="U1724" i="16" s="1"/>
  <c r="U1725" i="16" a="1"/>
  <c r="U1725" i="16" s="1"/>
  <c r="U1726" i="16" a="1"/>
  <c r="U1726" i="16" s="1"/>
  <c r="U1727" i="16" a="1"/>
  <c r="U1727" i="16" s="1"/>
  <c r="U1728" i="16" a="1"/>
  <c r="U1728" i="16" s="1"/>
  <c r="U1729" i="16" a="1"/>
  <c r="U1729" i="16" s="1"/>
  <c r="U1730" i="16" a="1"/>
  <c r="U1730" i="16" s="1"/>
  <c r="U1731" i="16" a="1"/>
  <c r="U1731" i="16" s="1"/>
  <c r="U1732" i="16" a="1"/>
  <c r="U1732" i="16" s="1"/>
  <c r="U1733" i="16" a="1"/>
  <c r="U1733" i="16" s="1"/>
  <c r="U1734" i="16" a="1"/>
  <c r="U1734" i="16" s="1"/>
  <c r="U1735" i="16" a="1"/>
  <c r="U1735" i="16" s="1"/>
  <c r="U1736" i="16" a="1"/>
  <c r="U1736" i="16" s="1"/>
  <c r="U1737" i="16" a="1"/>
  <c r="U1737" i="16" s="1"/>
  <c r="U1738" i="16" a="1"/>
  <c r="U1738" i="16" s="1"/>
  <c r="U1739" i="16" a="1"/>
  <c r="U1739" i="16" s="1"/>
  <c r="U1740" i="16" a="1"/>
  <c r="U1740" i="16" s="1"/>
  <c r="U1741" i="16" a="1"/>
  <c r="U1741" i="16" s="1"/>
  <c r="U1742" i="16" a="1"/>
  <c r="U1742" i="16" s="1"/>
  <c r="U1743" i="16" a="1"/>
  <c r="U1743" i="16" s="1"/>
  <c r="U1744" i="16" a="1"/>
  <c r="U1744" i="16" s="1"/>
  <c r="U1745" i="16" a="1"/>
  <c r="U1745" i="16" s="1"/>
  <c r="U1746" i="16" a="1"/>
  <c r="U1746" i="16" s="1"/>
  <c r="U1747" i="16" a="1"/>
  <c r="U1747" i="16" s="1"/>
  <c r="U1748" i="16" a="1"/>
  <c r="U1748" i="16" s="1"/>
  <c r="U1749" i="16" a="1"/>
  <c r="U1749" i="16" s="1"/>
  <c r="V1708" i="16"/>
  <c r="V1709" i="16"/>
  <c r="V1710" i="16"/>
  <c r="V1711" i="16"/>
  <c r="V1712" i="16"/>
  <c r="V1713" i="16"/>
  <c r="V1714" i="16"/>
  <c r="V1715" i="16"/>
  <c r="V1716" i="16"/>
  <c r="V1717" i="16"/>
  <c r="V1718" i="16"/>
  <c r="V1719" i="16"/>
  <c r="V1720" i="16"/>
  <c r="V1721" i="16"/>
  <c r="V1722" i="16"/>
  <c r="V1723" i="16"/>
  <c r="V1724" i="16"/>
  <c r="V1725" i="16"/>
  <c r="V1726" i="16"/>
  <c r="V1727" i="16"/>
  <c r="V1728" i="16"/>
  <c r="V1729" i="16"/>
  <c r="V1730" i="16"/>
  <c r="V1731" i="16"/>
  <c r="V1732" i="16"/>
  <c r="V1733" i="16"/>
  <c r="V1735" i="16"/>
  <c r="V1736" i="16"/>
  <c r="V1738" i="16"/>
  <c r="V1739" i="16"/>
  <c r="V1740" i="16"/>
  <c r="V1741" i="16"/>
  <c r="V1742" i="16"/>
  <c r="V1743" i="16"/>
  <c r="V1744" i="16"/>
  <c r="V1745" i="16"/>
  <c r="V1747" i="16"/>
  <c r="V1749" i="16"/>
  <c r="D1707" i="16"/>
  <c r="E1707" i="16" a="1"/>
  <c r="E1707" i="16" s="1"/>
  <c r="G1707" i="16"/>
  <c r="H1707" i="16" s="1"/>
  <c r="I1707" i="16"/>
  <c r="N1707" i="16"/>
  <c r="Q1707" i="16"/>
  <c r="S1707" i="16"/>
  <c r="V1707" i="16"/>
  <c r="D1426" i="6"/>
  <c r="E1426" i="6" a="1"/>
  <c r="E1426" i="6" s="1"/>
  <c r="G1426" i="6"/>
  <c r="H1426" i="6" s="1"/>
  <c r="I1426" i="6"/>
  <c r="N1426" i="6"/>
  <c r="M1426" i="6" s="1"/>
  <c r="Q1426" i="6"/>
  <c r="S1426" i="6"/>
  <c r="T1426" i="6"/>
  <c r="U1426" i="6" a="1"/>
  <c r="U1426" i="6" s="1"/>
  <c r="V1426" i="6"/>
  <c r="W1426" i="6" s="1"/>
  <c r="D1427" i="6"/>
  <c r="E1427" i="6" a="1"/>
  <c r="E1427" i="6" s="1"/>
  <c r="G1427" i="6"/>
  <c r="H1427" i="6" s="1"/>
  <c r="I1427" i="6"/>
  <c r="N1427" i="6"/>
  <c r="O1427" i="6" s="1"/>
  <c r="Q1427" i="6"/>
  <c r="S1427" i="6"/>
  <c r="T1427" i="6"/>
  <c r="U1427" i="6" a="1"/>
  <c r="U1427" i="6" s="1"/>
  <c r="D1429" i="6"/>
  <c r="E1429" i="6" a="1"/>
  <c r="E1429" i="6" s="1"/>
  <c r="G1429" i="6"/>
  <c r="H1429" i="6" s="1"/>
  <c r="I1429" i="6"/>
  <c r="N1429" i="6"/>
  <c r="M1429" i="6" s="1"/>
  <c r="Q1429" i="6"/>
  <c r="S1429" i="6"/>
  <c r="T1429" i="6"/>
  <c r="U1429" i="6" a="1"/>
  <c r="U1429" i="6" s="1"/>
  <c r="V1429" i="6"/>
  <c r="D1430" i="6"/>
  <c r="E1430" i="6" a="1"/>
  <c r="E1430" i="6" s="1"/>
  <c r="G1430" i="6"/>
  <c r="H1430" i="6" s="1"/>
  <c r="I1430" i="6"/>
  <c r="N1430" i="6"/>
  <c r="M1430" i="6" s="1"/>
  <c r="Q1430" i="6"/>
  <c r="S1430" i="6"/>
  <c r="V1430" i="6"/>
  <c r="D1431" i="6"/>
  <c r="E1431" i="6" a="1"/>
  <c r="E1431" i="6" s="1"/>
  <c r="G1431" i="6"/>
  <c r="H1431" i="6" s="1"/>
  <c r="I1431" i="6"/>
  <c r="N1431" i="6"/>
  <c r="M1431" i="6" s="1"/>
  <c r="Q1431" i="6"/>
  <c r="S1431" i="6"/>
  <c r="V1431" i="6"/>
  <c r="D1706" i="16"/>
  <c r="E1706" i="16" a="1"/>
  <c r="E1706" i="16" s="1"/>
  <c r="G1706" i="16"/>
  <c r="H1706" i="16" s="1"/>
  <c r="I1706" i="16"/>
  <c r="N1706" i="16"/>
  <c r="M1706" i="16" s="1"/>
  <c r="Q1706" i="16"/>
  <c r="S1706" i="16"/>
  <c r="V1706" i="16"/>
  <c r="W1745" i="16" l="1"/>
  <c r="W1809" i="16"/>
  <c r="V1748" i="16"/>
  <c r="V1734" i="16"/>
  <c r="V1746" i="16"/>
  <c r="V1427" i="6"/>
  <c r="W1427" i="6" s="1"/>
  <c r="AP704" i="13"/>
  <c r="AK704" i="13"/>
  <c r="AB704" i="13"/>
  <c r="AS704" i="13"/>
  <c r="AT704" i="13" s="1"/>
  <c r="AJ704" i="13"/>
  <c r="O1426" i="6"/>
  <c r="R1426" i="6" s="1"/>
  <c r="M1433" i="6"/>
  <c r="Q1747" i="16"/>
  <c r="Q1731" i="16"/>
  <c r="Q1715" i="16"/>
  <c r="Q1735" i="16"/>
  <c r="Q1719" i="16"/>
  <c r="N1739" i="16"/>
  <c r="M1739" i="16" s="1"/>
  <c r="N1723" i="16"/>
  <c r="M1723" i="16" s="1"/>
  <c r="M1749" i="16"/>
  <c r="M1745" i="16"/>
  <c r="O1745" i="16"/>
  <c r="M1741" i="16"/>
  <c r="M1737" i="16"/>
  <c r="M1733" i="16"/>
  <c r="M1729" i="16"/>
  <c r="M1725" i="16"/>
  <c r="M1721" i="16"/>
  <c r="M1717" i="16"/>
  <c r="M1713" i="16"/>
  <c r="M1709" i="16"/>
  <c r="M1707" i="16"/>
  <c r="M1427" i="6"/>
  <c r="R1427" i="6" s="1"/>
  <c r="V701" i="13"/>
  <c r="F701" i="13"/>
  <c r="K701" i="13" s="1"/>
  <c r="L701" i="13"/>
  <c r="N701" i="13" s="1"/>
  <c r="M701" i="13"/>
  <c r="R701" i="13" s="1"/>
  <c r="W701" i="13"/>
  <c r="X701" i="13"/>
  <c r="Y701" i="13"/>
  <c r="AC701" i="13"/>
  <c r="AE701" i="13" s="1"/>
  <c r="AD701" i="13"/>
  <c r="AO701" i="13"/>
  <c r="R1745" i="16" l="1"/>
  <c r="P701" i="13"/>
  <c r="AH701" i="13"/>
  <c r="AG701" i="13"/>
  <c r="E701" i="13"/>
  <c r="G701" i="13" s="1"/>
  <c r="T701" i="13"/>
  <c r="I701" i="13"/>
  <c r="Z701" i="13"/>
  <c r="AU701" i="13"/>
  <c r="Q701" i="13"/>
  <c r="AR701" i="13"/>
  <c r="AM701" i="13" a="1"/>
  <c r="AM701" i="13" s="1"/>
  <c r="AF701" i="13"/>
  <c r="O701" i="13"/>
  <c r="H701" i="13" l="1"/>
  <c r="AQ701" i="13"/>
  <c r="S701" i="13"/>
  <c r="AA701" i="13" s="1"/>
  <c r="AP701" i="13" s="1"/>
  <c r="AJ701" i="13" l="1"/>
  <c r="AS701" i="13"/>
  <c r="AT701" i="13" s="1"/>
  <c r="AB701" i="13"/>
  <c r="AK701" i="13"/>
  <c r="E699" i="13" l="1"/>
  <c r="H699" i="13" s="1"/>
  <c r="E700" i="13"/>
  <c r="H700" i="13" s="1"/>
  <c r="F699" i="13"/>
  <c r="K699" i="13" s="1"/>
  <c r="F700" i="13"/>
  <c r="I700" i="13" s="1"/>
  <c r="L699" i="13"/>
  <c r="O699" i="13" s="1"/>
  <c r="L700" i="13"/>
  <c r="O700" i="13" s="1"/>
  <c r="M699" i="13"/>
  <c r="P699" i="13" s="1"/>
  <c r="M700" i="13"/>
  <c r="P700" i="13" s="1"/>
  <c r="V699" i="13"/>
  <c r="V700" i="13"/>
  <c r="W699" i="13"/>
  <c r="W700" i="13"/>
  <c r="X699" i="13"/>
  <c r="X700" i="13"/>
  <c r="Y699" i="13"/>
  <c r="Y700" i="13"/>
  <c r="AC699" i="13"/>
  <c r="AF699" i="13" s="1"/>
  <c r="AC700" i="13"/>
  <c r="AF700" i="13" s="1"/>
  <c r="AD699" i="13"/>
  <c r="AD700" i="13"/>
  <c r="AE699" i="13"/>
  <c r="AO699" i="13"/>
  <c r="AO700" i="13"/>
  <c r="E698" i="13"/>
  <c r="G698" i="13" s="1"/>
  <c r="F698" i="13"/>
  <c r="I698" i="13" s="1"/>
  <c r="L698" i="13"/>
  <c r="N698" i="13" s="1"/>
  <c r="M698" i="13"/>
  <c r="R698" i="13" s="1"/>
  <c r="V698" i="13"/>
  <c r="W698" i="13"/>
  <c r="X698" i="13"/>
  <c r="Y698" i="13"/>
  <c r="AC698" i="13"/>
  <c r="AH698" i="13" s="1"/>
  <c r="AD698" i="13"/>
  <c r="AO698" i="13"/>
  <c r="E697" i="13"/>
  <c r="AL697" i="13" s="1" a="1"/>
  <c r="AL697" i="13" s="1"/>
  <c r="F697" i="13"/>
  <c r="L696" i="13"/>
  <c r="O696" i="13" s="1"/>
  <c r="L697" i="13"/>
  <c r="N697" i="13" s="1"/>
  <c r="M696" i="13"/>
  <c r="R696" i="13" s="1"/>
  <c r="M697" i="13"/>
  <c r="P697" i="13" s="1"/>
  <c r="V697" i="13"/>
  <c r="W696" i="13"/>
  <c r="W697" i="13"/>
  <c r="X697" i="13"/>
  <c r="Y696" i="13"/>
  <c r="Y697" i="13"/>
  <c r="AC696" i="13"/>
  <c r="AG696" i="13" s="1"/>
  <c r="AC697" i="13"/>
  <c r="AF697" i="13" s="1"/>
  <c r="AD696" i="13"/>
  <c r="AD697" i="13"/>
  <c r="AO696" i="13"/>
  <c r="AO697" i="13"/>
  <c r="AE700" i="13" l="1"/>
  <c r="G699" i="13"/>
  <c r="J699" i="13" s="1"/>
  <c r="AE696" i="13"/>
  <c r="AE697" i="13"/>
  <c r="AM699" i="13" a="1"/>
  <c r="AM699" i="13" s="1"/>
  <c r="N699" i="13"/>
  <c r="AH699" i="13"/>
  <c r="N700" i="13"/>
  <c r="R700" i="13"/>
  <c r="N696" i="13"/>
  <c r="AR696" i="13" s="1"/>
  <c r="AG699" i="13"/>
  <c r="R699" i="13"/>
  <c r="AU699" i="13" s="1"/>
  <c r="AG700" i="13"/>
  <c r="Z699" i="13"/>
  <c r="I699" i="13"/>
  <c r="G700" i="13"/>
  <c r="T699" i="13"/>
  <c r="AL699" i="13" a="1"/>
  <c r="AL699" i="13" s="1"/>
  <c r="S699" i="13"/>
  <c r="AL698" i="13" a="1"/>
  <c r="AL698" i="13" s="1"/>
  <c r="Z700" i="13"/>
  <c r="T700" i="13"/>
  <c r="H698" i="13"/>
  <c r="P698" i="13"/>
  <c r="AH700" i="13"/>
  <c r="S700" i="13"/>
  <c r="K700" i="13"/>
  <c r="AH696" i="13"/>
  <c r="P696" i="13"/>
  <c r="Z698" i="13"/>
  <c r="T698" i="13"/>
  <c r="AM696" i="13" a="1"/>
  <c r="AM696" i="13" s="1"/>
  <c r="AF696" i="13"/>
  <c r="R697" i="13"/>
  <c r="AG698" i="13"/>
  <c r="Q698" i="13"/>
  <c r="AR698" i="13"/>
  <c r="AQ698" i="13"/>
  <c r="J698" i="13"/>
  <c r="AG697" i="13"/>
  <c r="Z697" i="13"/>
  <c r="AM698" i="13" a="1"/>
  <c r="AM698" i="13" s="1"/>
  <c r="AF698" i="13"/>
  <c r="S698" i="13"/>
  <c r="O698" i="13"/>
  <c r="K698" i="13"/>
  <c r="AU698" i="13" s="1"/>
  <c r="G697" i="13"/>
  <c r="H697" i="13"/>
  <c r="T697" i="13"/>
  <c r="AE698" i="13"/>
  <c r="Q697" i="13"/>
  <c r="AR697" i="13"/>
  <c r="AM697" i="13" a="1"/>
  <c r="AM697" i="13" s="1"/>
  <c r="AH697" i="13"/>
  <c r="S697" i="13"/>
  <c r="O697" i="13"/>
  <c r="K697" i="13"/>
  <c r="I697" i="13"/>
  <c r="AQ699" i="13" l="1"/>
  <c r="Q699" i="13"/>
  <c r="AI699" i="13" s="1"/>
  <c r="AR699" i="13"/>
  <c r="AU700" i="13"/>
  <c r="AA699" i="13"/>
  <c r="AP699" i="13" s="1"/>
  <c r="AR700" i="13"/>
  <c r="Q696" i="13"/>
  <c r="AQ700" i="13"/>
  <c r="AA700" i="13"/>
  <c r="AA698" i="13"/>
  <c r="AK698" i="13" s="1"/>
  <c r="AU697" i="13"/>
  <c r="AA697" i="13"/>
  <c r="AN697" i="13" s="1"/>
  <c r="AI698" i="13"/>
  <c r="J697" i="13"/>
  <c r="AI697" i="13" s="1"/>
  <c r="AQ697" i="13"/>
  <c r="AV699" i="13" l="1"/>
  <c r="AB700" i="13"/>
  <c r="AJ700" i="13"/>
  <c r="AK699" i="13"/>
  <c r="AS699" i="13"/>
  <c r="AT699" i="13" s="1"/>
  <c r="AB699" i="13"/>
  <c r="AJ699" i="13"/>
  <c r="AN699" i="13"/>
  <c r="AP700" i="13"/>
  <c r="AS700" i="13"/>
  <c r="AT700" i="13" s="1"/>
  <c r="AK700" i="13"/>
  <c r="AJ698" i="13"/>
  <c r="AB698" i="13"/>
  <c r="AN698" i="13"/>
  <c r="AS698" i="13"/>
  <c r="AT698" i="13" s="1"/>
  <c r="AB697" i="13"/>
  <c r="AP698" i="13"/>
  <c r="AV698" i="13" s="1"/>
  <c r="AS697" i="13"/>
  <c r="AT697" i="13" s="1"/>
  <c r="AK697" i="13"/>
  <c r="AJ697" i="13"/>
  <c r="AP697" i="13"/>
  <c r="AV697" i="13" s="1"/>
  <c r="N1423" i="6"/>
  <c r="M1423" i="6" s="1"/>
  <c r="D1423" i="6"/>
  <c r="E1423" i="6" a="1"/>
  <c r="E1423" i="6" s="1"/>
  <c r="G1423" i="6"/>
  <c r="H1423" i="6" s="1"/>
  <c r="I1423" i="6"/>
  <c r="Q1423" i="6"/>
  <c r="S1423" i="6"/>
  <c r="U1423" i="6" a="1"/>
  <c r="U1423" i="6" s="1"/>
  <c r="V1423" i="6"/>
  <c r="W1423" i="6" s="1"/>
  <c r="N1705" i="16"/>
  <c r="D1705" i="16"/>
  <c r="E1705" i="16" a="1"/>
  <c r="E1705" i="16" s="1"/>
  <c r="G1705" i="16"/>
  <c r="H1705" i="16" s="1"/>
  <c r="I1705" i="16"/>
  <c r="Q1705" i="16"/>
  <c r="S1705" i="16"/>
  <c r="V1705" i="16"/>
  <c r="N1704" i="16"/>
  <c r="M1704" i="16" s="1"/>
  <c r="D1704" i="16"/>
  <c r="E1704" i="16" a="1"/>
  <c r="E1704" i="16" s="1"/>
  <c r="G1704" i="16"/>
  <c r="H1704" i="16" s="1"/>
  <c r="I1704" i="16"/>
  <c r="Q1704" i="16"/>
  <c r="S1704" i="16"/>
  <c r="U1704" i="16" a="1"/>
  <c r="U1704" i="16" s="1"/>
  <c r="V1704" i="16"/>
  <c r="N1425" i="6"/>
  <c r="M1425" i="6" s="1"/>
  <c r="Q1424" i="6"/>
  <c r="D1425" i="6"/>
  <c r="E1425" i="6" a="1"/>
  <c r="E1425" i="6" s="1"/>
  <c r="G1425" i="6"/>
  <c r="H1425" i="6" s="1"/>
  <c r="I1425" i="6"/>
  <c r="S1425" i="6"/>
  <c r="V1425" i="6"/>
  <c r="D1424" i="6"/>
  <c r="E1424" i="6" a="1"/>
  <c r="E1424" i="6" s="1"/>
  <c r="G1424" i="6"/>
  <c r="H1424" i="6" s="1"/>
  <c r="I1424" i="6"/>
  <c r="S1424" i="6"/>
  <c r="V1424" i="6"/>
  <c r="O1423" i="6" l="1"/>
  <c r="R1423" i="6" s="1"/>
  <c r="Q1425" i="6"/>
  <c r="N1424" i="6"/>
  <c r="M1424" i="6" s="1"/>
  <c r="M1705" i="16"/>
  <c r="E685" i="13"/>
  <c r="AL685" i="13" s="1" a="1"/>
  <c r="AL685" i="13" s="1"/>
  <c r="E686" i="13"/>
  <c r="AL686" i="13" s="1" a="1"/>
  <c r="AL686" i="13" s="1"/>
  <c r="E687" i="13"/>
  <c r="H687" i="13" s="1"/>
  <c r="E691" i="13"/>
  <c r="G691" i="13" s="1"/>
  <c r="E692" i="13"/>
  <c r="H692" i="13" s="1"/>
  <c r="F685" i="13"/>
  <c r="I685" i="13" s="1"/>
  <c r="F686" i="13"/>
  <c r="I686" i="13" s="1"/>
  <c r="F687" i="13"/>
  <c r="I687" i="13" s="1"/>
  <c r="F690" i="13"/>
  <c r="I690" i="13" s="1"/>
  <c r="F691" i="13"/>
  <c r="I691" i="13" s="1"/>
  <c r="F692" i="13"/>
  <c r="I692" i="13" s="1"/>
  <c r="L685" i="13"/>
  <c r="O685" i="13" s="1"/>
  <c r="L690" i="13"/>
  <c r="AM690" i="13" s="1" a="1"/>
  <c r="AM690" i="13" s="1"/>
  <c r="L691" i="13"/>
  <c r="O691" i="13" s="1"/>
  <c r="L692" i="13"/>
  <c r="O692" i="13" s="1"/>
  <c r="M685" i="13"/>
  <c r="P685" i="13" s="1"/>
  <c r="M686" i="13"/>
  <c r="M687" i="13"/>
  <c r="M690" i="13"/>
  <c r="P690" i="13" s="1"/>
  <c r="M691" i="13"/>
  <c r="R691" i="13" s="1"/>
  <c r="M692" i="13"/>
  <c r="P692" i="13" s="1"/>
  <c r="V685" i="13"/>
  <c r="V686" i="13"/>
  <c r="V687" i="13"/>
  <c r="V691" i="13"/>
  <c r="V692" i="13"/>
  <c r="W685" i="13"/>
  <c r="W690" i="13"/>
  <c r="W691" i="13"/>
  <c r="W692" i="13"/>
  <c r="X685" i="13"/>
  <c r="X686" i="13"/>
  <c r="X687" i="13"/>
  <c r="X690" i="13"/>
  <c r="X691" i="13"/>
  <c r="X692" i="13"/>
  <c r="Y685" i="13"/>
  <c r="Y686" i="13"/>
  <c r="Y687" i="13"/>
  <c r="Y690" i="13"/>
  <c r="Y691" i="13"/>
  <c r="Y692" i="13"/>
  <c r="AC685" i="13"/>
  <c r="AF685" i="13" s="1"/>
  <c r="AC686" i="13"/>
  <c r="AF686" i="13" s="1"/>
  <c r="AC687" i="13"/>
  <c r="AF687" i="13" s="1"/>
  <c r="AC690" i="13"/>
  <c r="AF690" i="13" s="1"/>
  <c r="AC691" i="13"/>
  <c r="AF691" i="13" s="1"/>
  <c r="AC692" i="13"/>
  <c r="AF692" i="13" s="1"/>
  <c r="AD685" i="13"/>
  <c r="AD686" i="13"/>
  <c r="AD687" i="13"/>
  <c r="AD690" i="13"/>
  <c r="AD691" i="13"/>
  <c r="AD692" i="13"/>
  <c r="AE685" i="13"/>
  <c r="AO685" i="13"/>
  <c r="AO686" i="13"/>
  <c r="AO687" i="13"/>
  <c r="AO690" i="13"/>
  <c r="AO691" i="13"/>
  <c r="AO692" i="13"/>
  <c r="AE687" i="13" l="1"/>
  <c r="AE686" i="13"/>
  <c r="Z691" i="13"/>
  <c r="N691" i="13"/>
  <c r="Q691" i="13" s="1"/>
  <c r="AG692" i="13"/>
  <c r="AG686" i="13"/>
  <c r="AE691" i="13"/>
  <c r="AE690" i="13"/>
  <c r="AG691" i="13"/>
  <c r="AG685" i="13"/>
  <c r="AG690" i="13"/>
  <c r="AH690" i="13"/>
  <c r="AH687" i="13"/>
  <c r="AG687" i="13"/>
  <c r="AE692" i="13"/>
  <c r="G687" i="13"/>
  <c r="G685" i="13"/>
  <c r="AQ685" i="13" s="1"/>
  <c r="G686" i="13"/>
  <c r="J686" i="13" s="1"/>
  <c r="AM691" i="13" a="1"/>
  <c r="AM691" i="13" s="1"/>
  <c r="AM685" i="13" a="1"/>
  <c r="AM685" i="13" s="1"/>
  <c r="R685" i="13"/>
  <c r="O690" i="13"/>
  <c r="T685" i="13"/>
  <c r="H686" i="13"/>
  <c r="AL691" i="13" a="1"/>
  <c r="AL691" i="13" s="1"/>
  <c r="K690" i="13"/>
  <c r="G692" i="13"/>
  <c r="AQ692" i="13" s="1"/>
  <c r="AL692" i="13" a="1"/>
  <c r="AL692" i="13" s="1"/>
  <c r="K687" i="13"/>
  <c r="AQ691" i="13"/>
  <c r="J691" i="13"/>
  <c r="H685" i="13"/>
  <c r="H691" i="13"/>
  <c r="T692" i="13"/>
  <c r="T691" i="13"/>
  <c r="R692" i="13"/>
  <c r="N690" i="13"/>
  <c r="T686" i="13"/>
  <c r="N685" i="13"/>
  <c r="Z692" i="13"/>
  <c r="P691" i="13"/>
  <c r="N692" i="13"/>
  <c r="AR692" i="13" s="1"/>
  <c r="Z685" i="13"/>
  <c r="AM692" i="13" a="1"/>
  <c r="AM692" i="13" s="1"/>
  <c r="T690" i="13"/>
  <c r="S692" i="13"/>
  <c r="R690" i="13"/>
  <c r="K692" i="13"/>
  <c r="K686" i="13"/>
  <c r="AH692" i="13"/>
  <c r="AH686" i="13"/>
  <c r="AH691" i="13"/>
  <c r="AH685" i="13"/>
  <c r="T687" i="13"/>
  <c r="S691" i="13"/>
  <c r="S685" i="13"/>
  <c r="R687" i="13"/>
  <c r="P687" i="13"/>
  <c r="K691" i="13"/>
  <c r="AU691" i="13" s="1"/>
  <c r="K685" i="13"/>
  <c r="Q1696" i="16"/>
  <c r="Q1697" i="16"/>
  <c r="Q1700" i="16"/>
  <c r="Q1701" i="16"/>
  <c r="D1694" i="16"/>
  <c r="D1695" i="16"/>
  <c r="D1696" i="16"/>
  <c r="D1697" i="16"/>
  <c r="D1698" i="16"/>
  <c r="D1699" i="16"/>
  <c r="D1700" i="16"/>
  <c r="D1701" i="16"/>
  <c r="D1702" i="16"/>
  <c r="D1703" i="16"/>
  <c r="E1694" i="16" a="1"/>
  <c r="E1694" i="16" s="1"/>
  <c r="E1695" i="16" a="1"/>
  <c r="E1695" i="16" s="1"/>
  <c r="E1696" i="16" a="1"/>
  <c r="E1696" i="16" s="1"/>
  <c r="E1697" i="16" a="1"/>
  <c r="E1697" i="16" s="1"/>
  <c r="E1698" i="16" a="1"/>
  <c r="E1698" i="16" s="1"/>
  <c r="E1699" i="16" a="1"/>
  <c r="E1699" i="16" s="1"/>
  <c r="E1700" i="16" a="1"/>
  <c r="E1700" i="16" s="1"/>
  <c r="E1701" i="16" a="1"/>
  <c r="E1701" i="16" s="1"/>
  <c r="E1702" i="16" a="1"/>
  <c r="E1702" i="16" s="1"/>
  <c r="E1703" i="16" a="1"/>
  <c r="E1703" i="16" s="1"/>
  <c r="G1694" i="16"/>
  <c r="H1694" i="16" s="1"/>
  <c r="G1695" i="16"/>
  <c r="H1695" i="16" s="1"/>
  <c r="G1696" i="16"/>
  <c r="H1696" i="16" s="1"/>
  <c r="G1697" i="16"/>
  <c r="H1697" i="16" s="1"/>
  <c r="G1698" i="16"/>
  <c r="H1698" i="16" s="1"/>
  <c r="G1699" i="16"/>
  <c r="H1699" i="16" s="1"/>
  <c r="G1700" i="16"/>
  <c r="H1700" i="16" s="1"/>
  <c r="G1701" i="16"/>
  <c r="H1701" i="16" s="1"/>
  <c r="G1702" i="16"/>
  <c r="H1702" i="16" s="1"/>
  <c r="G1703" i="16"/>
  <c r="H1703" i="16" s="1"/>
  <c r="I1694" i="16"/>
  <c r="I1695" i="16"/>
  <c r="I1696" i="16"/>
  <c r="I1697" i="16"/>
  <c r="I1698" i="16"/>
  <c r="I1699" i="16"/>
  <c r="I1700" i="16"/>
  <c r="I1701" i="16"/>
  <c r="I1702" i="16"/>
  <c r="I1703" i="16"/>
  <c r="N1694" i="16"/>
  <c r="M1694" i="16" s="1"/>
  <c r="N1695" i="16"/>
  <c r="M1695" i="16" s="1"/>
  <c r="N1696" i="16"/>
  <c r="M1696" i="16" s="1"/>
  <c r="N1697" i="16"/>
  <c r="M1697" i="16" s="1"/>
  <c r="N1698" i="16"/>
  <c r="N1699" i="16"/>
  <c r="M1699" i="16" s="1"/>
  <c r="N1700" i="16"/>
  <c r="M1700" i="16" s="1"/>
  <c r="N1701" i="16"/>
  <c r="M1701" i="16" s="1"/>
  <c r="N1702" i="16"/>
  <c r="M1702" i="16" s="1"/>
  <c r="N1703" i="16"/>
  <c r="M1703" i="16" s="1"/>
  <c r="Q1694" i="16"/>
  <c r="Q1695" i="16"/>
  <c r="Q1698" i="16"/>
  <c r="Q1699" i="16"/>
  <c r="Q1702" i="16"/>
  <c r="Q1703" i="16"/>
  <c r="S1694" i="16"/>
  <c r="S1695" i="16"/>
  <c r="S1696" i="16"/>
  <c r="S1697" i="16"/>
  <c r="S1698" i="16"/>
  <c r="S1699" i="16"/>
  <c r="S1700" i="16"/>
  <c r="S1701" i="16"/>
  <c r="S1702" i="16"/>
  <c r="S1703" i="16"/>
  <c r="U1694" i="16" a="1"/>
  <c r="U1694" i="16" s="1"/>
  <c r="U1695" i="16" a="1"/>
  <c r="U1695" i="16" s="1"/>
  <c r="U1696" i="16" a="1"/>
  <c r="U1696" i="16" s="1"/>
  <c r="U1697" i="16" a="1"/>
  <c r="U1697" i="16" s="1"/>
  <c r="U1698" i="16" a="1"/>
  <c r="U1698" i="16" s="1"/>
  <c r="U1699" i="16" a="1"/>
  <c r="U1699" i="16" s="1"/>
  <c r="U1700" i="16" a="1"/>
  <c r="U1700" i="16" s="1"/>
  <c r="U1701" i="16" a="1"/>
  <c r="U1701" i="16" s="1"/>
  <c r="U1702" i="16" a="1"/>
  <c r="U1702" i="16" s="1"/>
  <c r="U1703" i="16" a="1"/>
  <c r="U1703" i="16" s="1"/>
  <c r="V1694" i="16"/>
  <c r="V1695" i="16"/>
  <c r="V1696" i="16"/>
  <c r="V1697" i="16"/>
  <c r="V1698" i="16"/>
  <c r="V1699" i="16"/>
  <c r="V1700" i="16"/>
  <c r="V1701" i="16"/>
  <c r="V1702" i="16"/>
  <c r="V1703" i="16"/>
  <c r="D1422" i="6"/>
  <c r="E1422" i="6" a="1"/>
  <c r="E1422" i="6" s="1"/>
  <c r="G1422" i="6"/>
  <c r="H1422" i="6" s="1"/>
  <c r="I1422" i="6"/>
  <c r="N1422" i="6"/>
  <c r="Q1422" i="6"/>
  <c r="S1422" i="6"/>
  <c r="U1422" i="6" a="1"/>
  <c r="U1422" i="6" s="1"/>
  <c r="V1422" i="6"/>
  <c r="D1693" i="16"/>
  <c r="E1693" i="16" a="1"/>
  <c r="E1693" i="16" s="1"/>
  <c r="G1693" i="16"/>
  <c r="H1693" i="16" s="1"/>
  <c r="I1693" i="16"/>
  <c r="N1693" i="16"/>
  <c r="M1693" i="16" s="1"/>
  <c r="Q1693" i="16"/>
  <c r="S1693" i="16"/>
  <c r="U1693" i="16" a="1"/>
  <c r="U1693" i="16" s="1"/>
  <c r="V1693" i="16"/>
  <c r="N1421" i="6"/>
  <c r="D1421" i="6"/>
  <c r="E1421" i="6" a="1"/>
  <c r="E1421" i="6" s="1"/>
  <c r="G1421" i="6"/>
  <c r="H1421" i="6" s="1"/>
  <c r="I1421" i="6"/>
  <c r="S1421" i="6"/>
  <c r="U1421" i="6" a="1"/>
  <c r="U1421" i="6" s="1"/>
  <c r="V1421" i="6"/>
  <c r="Q1420" i="6"/>
  <c r="N1692" i="16"/>
  <c r="O1868" i="16" s="1"/>
  <c r="D1692" i="16"/>
  <c r="E1692" i="16" a="1"/>
  <c r="E1692" i="16" s="1"/>
  <c r="G1692" i="16"/>
  <c r="H1692" i="16" s="1"/>
  <c r="I1692" i="16"/>
  <c r="Q1692" i="16"/>
  <c r="S1692" i="16"/>
  <c r="U1692" i="16" a="1"/>
  <c r="U1692" i="16" s="1"/>
  <c r="V1692" i="16"/>
  <c r="W1868" i="16" s="1"/>
  <c r="D1420" i="6"/>
  <c r="E1420" i="6" a="1"/>
  <c r="E1420" i="6" s="1"/>
  <c r="G1420" i="6"/>
  <c r="H1420" i="6" s="1"/>
  <c r="I1420" i="6"/>
  <c r="N1420" i="6"/>
  <c r="M1420" i="6" s="1"/>
  <c r="S1420" i="6"/>
  <c r="U1420" i="6" a="1"/>
  <c r="U1420" i="6" s="1"/>
  <c r="D1419" i="6"/>
  <c r="E1419" i="6" a="1"/>
  <c r="E1419" i="6" s="1"/>
  <c r="G1419" i="6"/>
  <c r="H1419" i="6" s="1"/>
  <c r="I1419" i="6"/>
  <c r="N1419" i="6"/>
  <c r="Q1419" i="6"/>
  <c r="S1419" i="6"/>
  <c r="U1419" i="6" a="1"/>
  <c r="U1419" i="6" s="1"/>
  <c r="V1419" i="6"/>
  <c r="N1415" i="6"/>
  <c r="N1416" i="6"/>
  <c r="M1416" i="6" s="1"/>
  <c r="N1417" i="6"/>
  <c r="N1418" i="6"/>
  <c r="M1418" i="6" s="1"/>
  <c r="N1413" i="6"/>
  <c r="D1413" i="6"/>
  <c r="E1413" i="6" a="1"/>
  <c r="E1413" i="6" s="1"/>
  <c r="G1413" i="6"/>
  <c r="H1413" i="6" s="1"/>
  <c r="I1413" i="6"/>
  <c r="S1413" i="6"/>
  <c r="V1413" i="6"/>
  <c r="D1414" i="6"/>
  <c r="E1414" i="6" a="1"/>
  <c r="E1414" i="6" s="1"/>
  <c r="G1414" i="6"/>
  <c r="H1414" i="6" s="1"/>
  <c r="I1414" i="6"/>
  <c r="N1414" i="6"/>
  <c r="Q1414" i="6"/>
  <c r="S1414" i="6"/>
  <c r="V1414" i="6"/>
  <c r="D1415" i="6"/>
  <c r="E1415" i="6" a="1"/>
  <c r="E1415" i="6" s="1"/>
  <c r="G1415" i="6"/>
  <c r="H1415" i="6" s="1"/>
  <c r="I1415" i="6"/>
  <c r="S1415" i="6"/>
  <c r="V1415" i="6"/>
  <c r="D1416" i="6"/>
  <c r="E1416" i="6" a="1"/>
  <c r="E1416" i="6" s="1"/>
  <c r="G1416" i="6"/>
  <c r="H1416" i="6" s="1"/>
  <c r="I1416" i="6"/>
  <c r="S1416" i="6"/>
  <c r="V1416" i="6"/>
  <c r="D1418" i="6"/>
  <c r="E1418" i="6" a="1"/>
  <c r="E1418" i="6" s="1"/>
  <c r="G1418" i="6"/>
  <c r="H1418" i="6" s="1"/>
  <c r="I1418" i="6"/>
  <c r="Q1418" i="6"/>
  <c r="S1418" i="6"/>
  <c r="V1418" i="6"/>
  <c r="D1417" i="6"/>
  <c r="E1417" i="6" a="1"/>
  <c r="E1417" i="6" s="1"/>
  <c r="G1417" i="6"/>
  <c r="H1417" i="6" s="1"/>
  <c r="I1417" i="6"/>
  <c r="S1417" i="6"/>
  <c r="V1417" i="6"/>
  <c r="O1782" i="16" l="1"/>
  <c r="O1874" i="16"/>
  <c r="W1782" i="16"/>
  <c r="W1874" i="16"/>
  <c r="V1420" i="6"/>
  <c r="W1704" i="16"/>
  <c r="W1780" i="16"/>
  <c r="O1704" i="16"/>
  <c r="O1780" i="16"/>
  <c r="AI691" i="13"/>
  <c r="AR691" i="13"/>
  <c r="AQ686" i="13"/>
  <c r="AQ687" i="13"/>
  <c r="AA691" i="13"/>
  <c r="AP691" i="13" s="1"/>
  <c r="J692" i="13"/>
  <c r="AU687" i="13"/>
  <c r="J685" i="13"/>
  <c r="AA692" i="13"/>
  <c r="AB692" i="13" s="1"/>
  <c r="AU685" i="13"/>
  <c r="AA685" i="13"/>
  <c r="AP685" i="13" s="1"/>
  <c r="L686" i="13"/>
  <c r="S686" i="13" s="1"/>
  <c r="AA686" i="13" s="1"/>
  <c r="AP686" i="13" s="1"/>
  <c r="AU692" i="13"/>
  <c r="AU690" i="13"/>
  <c r="AR690" i="13"/>
  <c r="Q690" i="13"/>
  <c r="Q692" i="13"/>
  <c r="Q685" i="13"/>
  <c r="AR685" i="13"/>
  <c r="W1692" i="16"/>
  <c r="W686" i="13"/>
  <c r="Z686" i="13" s="1"/>
  <c r="W1698" i="16"/>
  <c r="W687" i="13"/>
  <c r="Z687" i="13" s="1"/>
  <c r="M1698" i="16"/>
  <c r="L687" i="13"/>
  <c r="O1698" i="16"/>
  <c r="M1422" i="6"/>
  <c r="Q1421" i="6"/>
  <c r="M1421" i="6"/>
  <c r="M1692" i="16"/>
  <c r="O1692" i="16"/>
  <c r="Q1416" i="6"/>
  <c r="M1419" i="6"/>
  <c r="Q1417" i="6"/>
  <c r="Q1415" i="6"/>
  <c r="Q1413" i="6"/>
  <c r="M1417" i="6"/>
  <c r="M1413" i="6"/>
  <c r="M1414" i="6"/>
  <c r="M1415" i="6"/>
  <c r="D1628" i="16"/>
  <c r="E1628" i="16" a="1"/>
  <c r="E1628" i="16" s="1"/>
  <c r="G1628" i="16"/>
  <c r="H1628" i="16" s="1"/>
  <c r="I1628" i="16"/>
  <c r="N1628" i="16"/>
  <c r="M1628" i="16" s="1"/>
  <c r="Q1628" i="16"/>
  <c r="S1628" i="16"/>
  <c r="T1628" i="16"/>
  <c r="U1628" i="16" a="1"/>
  <c r="U1628" i="16" s="1"/>
  <c r="D1629" i="16"/>
  <c r="E1629" i="16" a="1"/>
  <c r="E1629" i="16" s="1"/>
  <c r="G1629" i="16"/>
  <c r="H1629" i="16" s="1"/>
  <c r="I1629" i="16"/>
  <c r="N1629" i="16"/>
  <c r="M1629" i="16" s="1"/>
  <c r="Q1629" i="16"/>
  <c r="S1629" i="16"/>
  <c r="T1629" i="16"/>
  <c r="U1629" i="16" a="1"/>
  <c r="U1629" i="16" s="1"/>
  <c r="V1629" i="16"/>
  <c r="D1630" i="16"/>
  <c r="E1630" i="16" a="1"/>
  <c r="E1630" i="16" s="1"/>
  <c r="G1630" i="16"/>
  <c r="H1630" i="16" s="1"/>
  <c r="I1630" i="16"/>
  <c r="N1630" i="16"/>
  <c r="M1630" i="16" s="1"/>
  <c r="Q1630" i="16"/>
  <c r="S1630" i="16"/>
  <c r="T1630" i="16"/>
  <c r="U1630" i="16" a="1"/>
  <c r="U1630" i="16" s="1"/>
  <c r="V1630" i="16"/>
  <c r="D1631" i="16"/>
  <c r="E1631" i="16" a="1"/>
  <c r="E1631" i="16" s="1"/>
  <c r="G1631" i="16"/>
  <c r="H1631" i="16" s="1"/>
  <c r="I1631" i="16"/>
  <c r="N1631" i="16"/>
  <c r="M1631" i="16" s="1"/>
  <c r="Q1631" i="16"/>
  <c r="S1631" i="16"/>
  <c r="T1631" i="16"/>
  <c r="U1631" i="16" a="1"/>
  <c r="U1631" i="16" s="1"/>
  <c r="V1631" i="16"/>
  <c r="D1632" i="16"/>
  <c r="E1632" i="16" a="1"/>
  <c r="E1632" i="16" s="1"/>
  <c r="G1632" i="16"/>
  <c r="H1632" i="16" s="1"/>
  <c r="I1632" i="16"/>
  <c r="N1632" i="16"/>
  <c r="M1632" i="16" s="1"/>
  <c r="Q1632" i="16"/>
  <c r="S1632" i="16"/>
  <c r="T1632" i="16"/>
  <c r="U1632" i="16" a="1"/>
  <c r="U1632" i="16" s="1"/>
  <c r="V1632" i="16"/>
  <c r="D1633" i="16"/>
  <c r="E1633" i="16" a="1"/>
  <c r="E1633" i="16" s="1"/>
  <c r="G1633" i="16"/>
  <c r="H1633" i="16" s="1"/>
  <c r="I1633" i="16"/>
  <c r="N1633" i="16"/>
  <c r="M1633" i="16" s="1"/>
  <c r="Q1633" i="16"/>
  <c r="S1633" i="16"/>
  <c r="T1633" i="16"/>
  <c r="U1633" i="16" a="1"/>
  <c r="U1633" i="16" s="1"/>
  <c r="V1633" i="16"/>
  <c r="D1634" i="16"/>
  <c r="E1634" i="16" a="1"/>
  <c r="E1634" i="16" s="1"/>
  <c r="G1634" i="16"/>
  <c r="H1634" i="16" s="1"/>
  <c r="I1634" i="16"/>
  <c r="N1634" i="16"/>
  <c r="M1634" i="16" s="1"/>
  <c r="Q1634" i="16"/>
  <c r="S1634" i="16"/>
  <c r="T1634" i="16"/>
  <c r="U1634" i="16" a="1"/>
  <c r="U1634" i="16" s="1"/>
  <c r="D1635" i="16"/>
  <c r="E1635" i="16" a="1"/>
  <c r="E1635" i="16" s="1"/>
  <c r="G1635" i="16"/>
  <c r="H1635" i="16" s="1"/>
  <c r="I1635" i="16"/>
  <c r="N1635" i="16"/>
  <c r="M1635" i="16" s="1"/>
  <c r="Q1635" i="16"/>
  <c r="S1635" i="16"/>
  <c r="T1635" i="16"/>
  <c r="U1635" i="16" a="1"/>
  <c r="U1635" i="16" s="1"/>
  <c r="V1635" i="16"/>
  <c r="D1636" i="16"/>
  <c r="E1636" i="16" a="1"/>
  <c r="E1636" i="16" s="1"/>
  <c r="G1636" i="16"/>
  <c r="H1636" i="16" s="1"/>
  <c r="I1636" i="16"/>
  <c r="N1636" i="16"/>
  <c r="M1636" i="16" s="1"/>
  <c r="Q1636" i="16"/>
  <c r="S1636" i="16"/>
  <c r="T1636" i="16"/>
  <c r="U1636" i="16" a="1"/>
  <c r="U1636" i="16" s="1"/>
  <c r="D1637" i="16"/>
  <c r="E1637" i="16" a="1"/>
  <c r="E1637" i="16" s="1"/>
  <c r="G1637" i="16"/>
  <c r="H1637" i="16" s="1"/>
  <c r="I1637" i="16"/>
  <c r="N1637" i="16"/>
  <c r="M1637" i="16" s="1"/>
  <c r="Q1637" i="16"/>
  <c r="S1637" i="16"/>
  <c r="T1637" i="16"/>
  <c r="U1637" i="16" a="1"/>
  <c r="U1637" i="16" s="1"/>
  <c r="V1637" i="16"/>
  <c r="D1638" i="16"/>
  <c r="E1638" i="16" a="1"/>
  <c r="E1638" i="16" s="1"/>
  <c r="G1638" i="16"/>
  <c r="H1638" i="16" s="1"/>
  <c r="I1638" i="16"/>
  <c r="N1638" i="16"/>
  <c r="M1638" i="16" s="1"/>
  <c r="Q1638" i="16"/>
  <c r="S1638" i="16"/>
  <c r="T1638" i="16"/>
  <c r="U1638" i="16" a="1"/>
  <c r="U1638" i="16" s="1"/>
  <c r="V1638" i="16"/>
  <c r="D1639" i="16"/>
  <c r="E1639" i="16" a="1"/>
  <c r="E1639" i="16" s="1"/>
  <c r="G1639" i="16"/>
  <c r="H1639" i="16" s="1"/>
  <c r="I1639" i="16"/>
  <c r="N1639" i="16"/>
  <c r="M1639" i="16" s="1"/>
  <c r="Q1639" i="16"/>
  <c r="S1639" i="16"/>
  <c r="T1639" i="16"/>
  <c r="U1639" i="16" a="1"/>
  <c r="U1639" i="16" s="1"/>
  <c r="V1639" i="16"/>
  <c r="D1640" i="16"/>
  <c r="E1640" i="16" a="1"/>
  <c r="E1640" i="16" s="1"/>
  <c r="G1640" i="16"/>
  <c r="H1640" i="16" s="1"/>
  <c r="I1640" i="16"/>
  <c r="N1640" i="16"/>
  <c r="M1640" i="16" s="1"/>
  <c r="Q1640" i="16"/>
  <c r="S1640" i="16"/>
  <c r="T1640" i="16"/>
  <c r="U1640" i="16" a="1"/>
  <c r="U1640" i="16" s="1"/>
  <c r="V1640" i="16"/>
  <c r="D1641" i="16"/>
  <c r="E1641" i="16" a="1"/>
  <c r="E1641" i="16" s="1"/>
  <c r="G1641" i="16"/>
  <c r="H1641" i="16" s="1"/>
  <c r="I1641" i="16"/>
  <c r="N1641" i="16"/>
  <c r="M1641" i="16" s="1"/>
  <c r="Q1641" i="16"/>
  <c r="S1641" i="16"/>
  <c r="T1641" i="16"/>
  <c r="U1641" i="16" a="1"/>
  <c r="U1641" i="16" s="1"/>
  <c r="V1641" i="16"/>
  <c r="D1642" i="16"/>
  <c r="E1642" i="16" a="1"/>
  <c r="E1642" i="16" s="1"/>
  <c r="G1642" i="16"/>
  <c r="H1642" i="16" s="1"/>
  <c r="I1642" i="16"/>
  <c r="N1642" i="16"/>
  <c r="M1642" i="16" s="1"/>
  <c r="Q1642" i="16"/>
  <c r="S1642" i="16"/>
  <c r="T1642" i="16"/>
  <c r="U1642" i="16" a="1"/>
  <c r="U1642" i="16" s="1"/>
  <c r="V1642" i="16"/>
  <c r="D1643" i="16"/>
  <c r="E1643" i="16" a="1"/>
  <c r="E1643" i="16" s="1"/>
  <c r="G1643" i="16"/>
  <c r="H1643" i="16" s="1"/>
  <c r="I1643" i="16"/>
  <c r="N1643" i="16"/>
  <c r="M1643" i="16" s="1"/>
  <c r="Q1643" i="16"/>
  <c r="S1643" i="16"/>
  <c r="T1643" i="16"/>
  <c r="U1643" i="16" a="1"/>
  <c r="U1643" i="16" s="1"/>
  <c r="V1643" i="16"/>
  <c r="D1644" i="16"/>
  <c r="E1644" i="16" a="1"/>
  <c r="E1644" i="16" s="1"/>
  <c r="G1644" i="16"/>
  <c r="H1644" i="16" s="1"/>
  <c r="I1644" i="16"/>
  <c r="N1644" i="16"/>
  <c r="M1644" i="16" s="1"/>
  <c r="Q1644" i="16"/>
  <c r="S1644" i="16"/>
  <c r="T1644" i="16"/>
  <c r="U1644" i="16" a="1"/>
  <c r="U1644" i="16" s="1"/>
  <c r="V1644" i="16"/>
  <c r="D1645" i="16"/>
  <c r="E1645" i="16" a="1"/>
  <c r="E1645" i="16" s="1"/>
  <c r="G1645" i="16"/>
  <c r="H1645" i="16" s="1"/>
  <c r="I1645" i="16"/>
  <c r="N1645" i="16"/>
  <c r="M1645" i="16" s="1"/>
  <c r="Q1645" i="16"/>
  <c r="S1645" i="16"/>
  <c r="T1645" i="16"/>
  <c r="U1645" i="16" a="1"/>
  <c r="U1645" i="16" s="1"/>
  <c r="V1645" i="16"/>
  <c r="D1646" i="16"/>
  <c r="E1646" i="16" a="1"/>
  <c r="E1646" i="16" s="1"/>
  <c r="G1646" i="16"/>
  <c r="H1646" i="16" s="1"/>
  <c r="I1646" i="16"/>
  <c r="N1646" i="16"/>
  <c r="M1646" i="16" s="1"/>
  <c r="Q1646" i="16"/>
  <c r="S1646" i="16"/>
  <c r="T1646" i="16"/>
  <c r="U1646" i="16" a="1"/>
  <c r="U1646" i="16" s="1"/>
  <c r="V1646" i="16"/>
  <c r="D1647" i="16"/>
  <c r="E1647" i="16" a="1"/>
  <c r="E1647" i="16" s="1"/>
  <c r="G1647" i="16"/>
  <c r="H1647" i="16" s="1"/>
  <c r="I1647" i="16"/>
  <c r="N1647" i="16"/>
  <c r="M1647" i="16" s="1"/>
  <c r="Q1647" i="16"/>
  <c r="S1647" i="16"/>
  <c r="T1647" i="16"/>
  <c r="U1647" i="16" a="1"/>
  <c r="U1647" i="16" s="1"/>
  <c r="V1647" i="16"/>
  <c r="D1648" i="16"/>
  <c r="E1648" i="16" a="1"/>
  <c r="E1648" i="16" s="1"/>
  <c r="G1648" i="16"/>
  <c r="H1648" i="16" s="1"/>
  <c r="I1648" i="16"/>
  <c r="N1648" i="16"/>
  <c r="M1648" i="16" s="1"/>
  <c r="Q1648" i="16"/>
  <c r="S1648" i="16"/>
  <c r="T1648" i="16"/>
  <c r="U1648" i="16" a="1"/>
  <c r="U1648" i="16" s="1"/>
  <c r="V1648" i="16"/>
  <c r="D1649" i="16"/>
  <c r="E1649" i="16" a="1"/>
  <c r="E1649" i="16" s="1"/>
  <c r="G1649" i="16"/>
  <c r="H1649" i="16" s="1"/>
  <c r="I1649" i="16"/>
  <c r="N1649" i="16"/>
  <c r="M1649" i="16" s="1"/>
  <c r="Q1649" i="16"/>
  <c r="S1649" i="16"/>
  <c r="T1649" i="16"/>
  <c r="U1649" i="16" a="1"/>
  <c r="U1649" i="16" s="1"/>
  <c r="V1649" i="16"/>
  <c r="D1650" i="16"/>
  <c r="E1650" i="16" a="1"/>
  <c r="E1650" i="16" s="1"/>
  <c r="G1650" i="16"/>
  <c r="H1650" i="16" s="1"/>
  <c r="I1650" i="16"/>
  <c r="N1650" i="16"/>
  <c r="M1650" i="16" s="1"/>
  <c r="Q1650" i="16"/>
  <c r="S1650" i="16"/>
  <c r="T1650" i="16"/>
  <c r="U1650" i="16" a="1"/>
  <c r="U1650" i="16" s="1"/>
  <c r="V1650" i="16"/>
  <c r="D1651" i="16"/>
  <c r="E1651" i="16" a="1"/>
  <c r="E1651" i="16" s="1"/>
  <c r="G1651" i="16"/>
  <c r="H1651" i="16" s="1"/>
  <c r="I1651" i="16"/>
  <c r="N1651" i="16"/>
  <c r="M1651" i="16" s="1"/>
  <c r="Q1651" i="16"/>
  <c r="S1651" i="16"/>
  <c r="T1651" i="16"/>
  <c r="U1651" i="16" a="1"/>
  <c r="U1651" i="16" s="1"/>
  <c r="V1651" i="16"/>
  <c r="D1652" i="16"/>
  <c r="E1652" i="16" a="1"/>
  <c r="E1652" i="16" s="1"/>
  <c r="G1652" i="16"/>
  <c r="H1652" i="16" s="1"/>
  <c r="I1652" i="16"/>
  <c r="N1652" i="16"/>
  <c r="M1652" i="16" s="1"/>
  <c r="Q1652" i="16"/>
  <c r="S1652" i="16"/>
  <c r="T1652" i="16"/>
  <c r="U1652" i="16" a="1"/>
  <c r="U1652" i="16" s="1"/>
  <c r="V1652" i="16"/>
  <c r="D1653" i="16"/>
  <c r="E1653" i="16" a="1"/>
  <c r="E1653" i="16" s="1"/>
  <c r="G1653" i="16"/>
  <c r="H1653" i="16" s="1"/>
  <c r="I1653" i="16"/>
  <c r="N1653" i="16"/>
  <c r="M1653" i="16" s="1"/>
  <c r="Q1653" i="16"/>
  <c r="S1653" i="16"/>
  <c r="T1653" i="16"/>
  <c r="U1653" i="16" a="1"/>
  <c r="U1653" i="16" s="1"/>
  <c r="V1653" i="16"/>
  <c r="D1654" i="16"/>
  <c r="E1654" i="16" a="1"/>
  <c r="E1654" i="16" s="1"/>
  <c r="G1654" i="16"/>
  <c r="H1654" i="16" s="1"/>
  <c r="I1654" i="16"/>
  <c r="N1654" i="16"/>
  <c r="M1654" i="16" s="1"/>
  <c r="Q1654" i="16"/>
  <c r="S1654" i="16"/>
  <c r="T1654" i="16"/>
  <c r="U1654" i="16" a="1"/>
  <c r="U1654" i="16" s="1"/>
  <c r="V1654" i="16"/>
  <c r="D1655" i="16"/>
  <c r="E1655" i="16" a="1"/>
  <c r="E1655" i="16" s="1"/>
  <c r="G1655" i="16"/>
  <c r="H1655" i="16" s="1"/>
  <c r="I1655" i="16"/>
  <c r="N1655" i="16"/>
  <c r="M1655" i="16" s="1"/>
  <c r="Q1655" i="16"/>
  <c r="S1655" i="16"/>
  <c r="T1655" i="16"/>
  <c r="U1655" i="16" a="1"/>
  <c r="U1655" i="16" s="1"/>
  <c r="D1656" i="16"/>
  <c r="E1656" i="16" a="1"/>
  <c r="E1656" i="16" s="1"/>
  <c r="G1656" i="16"/>
  <c r="H1656" i="16" s="1"/>
  <c r="I1656" i="16"/>
  <c r="N1656" i="16"/>
  <c r="M1656" i="16" s="1"/>
  <c r="Q1656" i="16"/>
  <c r="S1656" i="16"/>
  <c r="T1656" i="16"/>
  <c r="U1656" i="16" a="1"/>
  <c r="U1656" i="16" s="1"/>
  <c r="V1656" i="16"/>
  <c r="D1657" i="16"/>
  <c r="E1657" i="16" a="1"/>
  <c r="E1657" i="16" s="1"/>
  <c r="G1657" i="16"/>
  <c r="H1657" i="16" s="1"/>
  <c r="I1657" i="16"/>
  <c r="N1657" i="16"/>
  <c r="M1657" i="16" s="1"/>
  <c r="Q1657" i="16"/>
  <c r="S1657" i="16"/>
  <c r="T1657" i="16"/>
  <c r="U1657" i="16" a="1"/>
  <c r="U1657" i="16" s="1"/>
  <c r="V1657" i="16"/>
  <c r="D1658" i="16"/>
  <c r="E1658" i="16" a="1"/>
  <c r="E1658" i="16" s="1"/>
  <c r="G1658" i="16"/>
  <c r="H1658" i="16" s="1"/>
  <c r="I1658" i="16"/>
  <c r="N1658" i="16"/>
  <c r="M1658" i="16" s="1"/>
  <c r="Q1658" i="16"/>
  <c r="S1658" i="16"/>
  <c r="T1658" i="16"/>
  <c r="U1658" i="16" a="1"/>
  <c r="U1658" i="16" s="1"/>
  <c r="V1658" i="16"/>
  <c r="D1659" i="16"/>
  <c r="E1659" i="16" a="1"/>
  <c r="E1659" i="16" s="1"/>
  <c r="G1659" i="16"/>
  <c r="H1659" i="16" s="1"/>
  <c r="I1659" i="16"/>
  <c r="N1659" i="16"/>
  <c r="M1659" i="16" s="1"/>
  <c r="Q1659" i="16"/>
  <c r="S1659" i="16"/>
  <c r="T1659" i="16"/>
  <c r="U1659" i="16" a="1"/>
  <c r="U1659" i="16" s="1"/>
  <c r="D1660" i="16"/>
  <c r="E1660" i="16" a="1"/>
  <c r="E1660" i="16" s="1"/>
  <c r="G1660" i="16"/>
  <c r="H1660" i="16" s="1"/>
  <c r="I1660" i="16"/>
  <c r="N1660" i="16"/>
  <c r="M1660" i="16" s="1"/>
  <c r="Q1660" i="16"/>
  <c r="S1660" i="16"/>
  <c r="T1660" i="16"/>
  <c r="U1660" i="16" a="1"/>
  <c r="U1660" i="16" s="1"/>
  <c r="V1660" i="16"/>
  <c r="D1661" i="16"/>
  <c r="E1661" i="16" a="1"/>
  <c r="E1661" i="16" s="1"/>
  <c r="G1661" i="16"/>
  <c r="H1661" i="16" s="1"/>
  <c r="I1661" i="16"/>
  <c r="N1661" i="16"/>
  <c r="M1661" i="16" s="1"/>
  <c r="Q1661" i="16"/>
  <c r="S1661" i="16"/>
  <c r="T1661" i="16"/>
  <c r="U1661" i="16" a="1"/>
  <c r="U1661" i="16" s="1"/>
  <c r="V1661" i="16"/>
  <c r="D1662" i="16"/>
  <c r="E1662" i="16" a="1"/>
  <c r="E1662" i="16" s="1"/>
  <c r="G1662" i="16"/>
  <c r="H1662" i="16" s="1"/>
  <c r="I1662" i="16"/>
  <c r="N1662" i="16"/>
  <c r="M1662" i="16" s="1"/>
  <c r="Q1662" i="16"/>
  <c r="S1662" i="16"/>
  <c r="T1662" i="16"/>
  <c r="U1662" i="16" a="1"/>
  <c r="U1662" i="16" s="1"/>
  <c r="V1662" i="16"/>
  <c r="D1663" i="16"/>
  <c r="E1663" i="16" a="1"/>
  <c r="E1663" i="16" s="1"/>
  <c r="G1663" i="16"/>
  <c r="H1663" i="16" s="1"/>
  <c r="I1663" i="16"/>
  <c r="N1663" i="16"/>
  <c r="M1663" i="16" s="1"/>
  <c r="Q1663" i="16"/>
  <c r="S1663" i="16"/>
  <c r="T1663" i="16"/>
  <c r="U1663" i="16" a="1"/>
  <c r="U1663" i="16" s="1"/>
  <c r="V1663" i="16"/>
  <c r="D1664" i="16"/>
  <c r="E1664" i="16" a="1"/>
  <c r="E1664" i="16" s="1"/>
  <c r="G1664" i="16"/>
  <c r="H1664" i="16" s="1"/>
  <c r="I1664" i="16"/>
  <c r="N1664" i="16"/>
  <c r="M1664" i="16" s="1"/>
  <c r="Q1664" i="16"/>
  <c r="S1664" i="16"/>
  <c r="T1664" i="16"/>
  <c r="U1664" i="16" a="1"/>
  <c r="U1664" i="16" s="1"/>
  <c r="V1664" i="16"/>
  <c r="D1665" i="16"/>
  <c r="E1665" i="16" a="1"/>
  <c r="E1665" i="16" s="1"/>
  <c r="G1665" i="16"/>
  <c r="H1665" i="16" s="1"/>
  <c r="I1665" i="16"/>
  <c r="N1665" i="16"/>
  <c r="M1665" i="16" s="1"/>
  <c r="Q1665" i="16"/>
  <c r="S1665" i="16"/>
  <c r="T1665" i="16"/>
  <c r="U1665" i="16" a="1"/>
  <c r="U1665" i="16" s="1"/>
  <c r="V1665" i="16"/>
  <c r="D1666" i="16"/>
  <c r="E1666" i="16" a="1"/>
  <c r="E1666" i="16" s="1"/>
  <c r="G1666" i="16"/>
  <c r="H1666" i="16" s="1"/>
  <c r="I1666" i="16"/>
  <c r="N1666" i="16"/>
  <c r="M1666" i="16" s="1"/>
  <c r="Q1666" i="16"/>
  <c r="S1666" i="16"/>
  <c r="T1666" i="16"/>
  <c r="U1666" i="16" a="1"/>
  <c r="U1666" i="16" s="1"/>
  <c r="V1666" i="16"/>
  <c r="D1667" i="16"/>
  <c r="E1667" i="16" a="1"/>
  <c r="E1667" i="16" s="1"/>
  <c r="G1667" i="16"/>
  <c r="H1667" i="16" s="1"/>
  <c r="I1667" i="16"/>
  <c r="N1667" i="16"/>
  <c r="M1667" i="16" s="1"/>
  <c r="Q1667" i="16"/>
  <c r="S1667" i="16"/>
  <c r="T1667" i="16"/>
  <c r="U1667" i="16" a="1"/>
  <c r="U1667" i="16" s="1"/>
  <c r="V1667" i="16"/>
  <c r="D1668" i="16"/>
  <c r="E1668" i="16" a="1"/>
  <c r="E1668" i="16" s="1"/>
  <c r="G1668" i="16"/>
  <c r="H1668" i="16" s="1"/>
  <c r="I1668" i="16"/>
  <c r="N1668" i="16"/>
  <c r="M1668" i="16" s="1"/>
  <c r="Q1668" i="16"/>
  <c r="S1668" i="16"/>
  <c r="T1668" i="16"/>
  <c r="U1668" i="16" a="1"/>
  <c r="U1668" i="16" s="1"/>
  <c r="V1668" i="16"/>
  <c r="D1669" i="16"/>
  <c r="E1669" i="16" a="1"/>
  <c r="E1669" i="16" s="1"/>
  <c r="G1669" i="16"/>
  <c r="H1669" i="16" s="1"/>
  <c r="I1669" i="16"/>
  <c r="N1669" i="16"/>
  <c r="Q1669" i="16"/>
  <c r="S1669" i="16"/>
  <c r="V1669" i="16"/>
  <c r="D1670" i="16"/>
  <c r="E1670" i="16" a="1"/>
  <c r="E1670" i="16" s="1"/>
  <c r="G1670" i="16"/>
  <c r="H1670" i="16" s="1"/>
  <c r="I1670" i="16"/>
  <c r="N1670" i="16"/>
  <c r="M1670" i="16" s="1"/>
  <c r="Q1670" i="16"/>
  <c r="S1670" i="16"/>
  <c r="V1670" i="16"/>
  <c r="D1671" i="16"/>
  <c r="E1671" i="16" a="1"/>
  <c r="E1671" i="16" s="1"/>
  <c r="G1671" i="16"/>
  <c r="H1671" i="16" s="1"/>
  <c r="I1671" i="16"/>
  <c r="N1671" i="16"/>
  <c r="Q1671" i="16"/>
  <c r="S1671" i="16"/>
  <c r="T1671" i="16"/>
  <c r="U1671" i="16" a="1"/>
  <c r="U1671" i="16" s="1"/>
  <c r="V1671" i="16"/>
  <c r="W1838" i="16" s="1"/>
  <c r="D1672" i="16"/>
  <c r="E1672" i="16" a="1"/>
  <c r="E1672" i="16" s="1"/>
  <c r="G1672" i="16"/>
  <c r="H1672" i="16" s="1"/>
  <c r="I1672" i="16"/>
  <c r="N1672" i="16"/>
  <c r="O1839" i="16" s="1"/>
  <c r="Q1672" i="16"/>
  <c r="S1672" i="16"/>
  <c r="T1672" i="16"/>
  <c r="U1672" i="16" a="1"/>
  <c r="U1672" i="16" s="1"/>
  <c r="V1672" i="16"/>
  <c r="W1839" i="16" s="1"/>
  <c r="D1673" i="16"/>
  <c r="E1673" i="16" a="1"/>
  <c r="E1673" i="16" s="1"/>
  <c r="G1673" i="16"/>
  <c r="H1673" i="16" s="1"/>
  <c r="I1673" i="16"/>
  <c r="N1673" i="16"/>
  <c r="Q1673" i="16"/>
  <c r="S1673" i="16"/>
  <c r="V1673" i="16"/>
  <c r="D1674" i="16"/>
  <c r="E1674" i="16" a="1"/>
  <c r="E1674" i="16" s="1"/>
  <c r="G1674" i="16"/>
  <c r="H1674" i="16" s="1"/>
  <c r="I1674" i="16"/>
  <c r="N1674" i="16"/>
  <c r="M1674" i="16" s="1"/>
  <c r="Q1674" i="16"/>
  <c r="S1674" i="16"/>
  <c r="T1674" i="16"/>
  <c r="U1674" i="16" a="1"/>
  <c r="U1674" i="16" s="1"/>
  <c r="V1674" i="16"/>
  <c r="D1675" i="16"/>
  <c r="E1675" i="16" a="1"/>
  <c r="E1675" i="16" s="1"/>
  <c r="G1675" i="16"/>
  <c r="H1675" i="16" s="1"/>
  <c r="I1675" i="16"/>
  <c r="N1675" i="16"/>
  <c r="M1675" i="16" s="1"/>
  <c r="Q1675" i="16"/>
  <c r="S1675" i="16"/>
  <c r="T1675" i="16"/>
  <c r="U1675" i="16" a="1"/>
  <c r="U1675" i="16" s="1"/>
  <c r="D1676" i="16"/>
  <c r="E1676" i="16" a="1"/>
  <c r="E1676" i="16" s="1"/>
  <c r="G1676" i="16"/>
  <c r="H1676" i="16" s="1"/>
  <c r="I1676" i="16"/>
  <c r="N1676" i="16"/>
  <c r="M1676" i="16" s="1"/>
  <c r="Q1676" i="16"/>
  <c r="S1676" i="16"/>
  <c r="T1676" i="16"/>
  <c r="U1676" i="16" a="1"/>
  <c r="U1676" i="16" s="1"/>
  <c r="V1676" i="16"/>
  <c r="D1677" i="16"/>
  <c r="E1677" i="16" a="1"/>
  <c r="E1677" i="16" s="1"/>
  <c r="G1677" i="16"/>
  <c r="H1677" i="16" s="1"/>
  <c r="I1677" i="16"/>
  <c r="N1677" i="16"/>
  <c r="M1677" i="16" s="1"/>
  <c r="Q1677" i="16"/>
  <c r="S1677" i="16"/>
  <c r="T1677" i="16"/>
  <c r="U1677" i="16" a="1"/>
  <c r="U1677" i="16" s="1"/>
  <c r="V1677" i="16"/>
  <c r="D1678" i="16"/>
  <c r="E1678" i="16" a="1"/>
  <c r="E1678" i="16" s="1"/>
  <c r="G1678" i="16"/>
  <c r="H1678" i="16" s="1"/>
  <c r="I1678" i="16"/>
  <c r="N1678" i="16"/>
  <c r="M1678" i="16" s="1"/>
  <c r="Q1678" i="16"/>
  <c r="S1678" i="16"/>
  <c r="T1678" i="16"/>
  <c r="U1678" i="16" a="1"/>
  <c r="U1678" i="16" s="1"/>
  <c r="V1678" i="16"/>
  <c r="D1679" i="16"/>
  <c r="E1679" i="16" a="1"/>
  <c r="E1679" i="16" s="1"/>
  <c r="G1679" i="16"/>
  <c r="H1679" i="16" s="1"/>
  <c r="I1679" i="16"/>
  <c r="N1679" i="16"/>
  <c r="M1679" i="16" s="1"/>
  <c r="Q1679" i="16"/>
  <c r="S1679" i="16"/>
  <c r="T1679" i="16"/>
  <c r="U1679" i="16" a="1"/>
  <c r="U1679" i="16" s="1"/>
  <c r="V1679" i="16"/>
  <c r="D1680" i="16"/>
  <c r="E1680" i="16" a="1"/>
  <c r="E1680" i="16" s="1"/>
  <c r="G1680" i="16"/>
  <c r="H1680" i="16" s="1"/>
  <c r="I1680" i="16"/>
  <c r="N1680" i="16"/>
  <c r="M1680" i="16" s="1"/>
  <c r="Q1680" i="16"/>
  <c r="S1680" i="16"/>
  <c r="T1680" i="16"/>
  <c r="U1680" i="16" a="1"/>
  <c r="U1680" i="16" s="1"/>
  <c r="V1680" i="16"/>
  <c r="D1681" i="16"/>
  <c r="E1681" i="16" a="1"/>
  <c r="E1681" i="16" s="1"/>
  <c r="G1681" i="16"/>
  <c r="H1681" i="16" s="1"/>
  <c r="I1681" i="16"/>
  <c r="N1681" i="16"/>
  <c r="M1681" i="16" s="1"/>
  <c r="Q1681" i="16"/>
  <c r="S1681" i="16"/>
  <c r="T1681" i="16"/>
  <c r="U1681" i="16" a="1"/>
  <c r="U1681" i="16" s="1"/>
  <c r="V1681" i="16"/>
  <c r="D1682" i="16"/>
  <c r="E1682" i="16" a="1"/>
  <c r="E1682" i="16" s="1"/>
  <c r="G1682" i="16"/>
  <c r="H1682" i="16" s="1"/>
  <c r="I1682" i="16"/>
  <c r="N1682" i="16"/>
  <c r="M1682" i="16" s="1"/>
  <c r="Q1682" i="16"/>
  <c r="S1682" i="16"/>
  <c r="T1682" i="16"/>
  <c r="U1682" i="16" a="1"/>
  <c r="U1682" i="16" s="1"/>
  <c r="V1682" i="16"/>
  <c r="D1683" i="16"/>
  <c r="E1683" i="16" a="1"/>
  <c r="E1683" i="16" s="1"/>
  <c r="G1683" i="16"/>
  <c r="H1683" i="16" s="1"/>
  <c r="I1683" i="16"/>
  <c r="N1683" i="16"/>
  <c r="M1683" i="16" s="1"/>
  <c r="Q1683" i="16"/>
  <c r="S1683" i="16"/>
  <c r="T1683" i="16"/>
  <c r="U1683" i="16" a="1"/>
  <c r="U1683" i="16" s="1"/>
  <c r="V1683" i="16"/>
  <c r="D1684" i="16"/>
  <c r="E1684" i="16" a="1"/>
  <c r="E1684" i="16" s="1"/>
  <c r="G1684" i="16"/>
  <c r="H1684" i="16" s="1"/>
  <c r="I1684" i="16"/>
  <c r="N1684" i="16"/>
  <c r="M1684" i="16" s="1"/>
  <c r="Q1684" i="16"/>
  <c r="S1684" i="16"/>
  <c r="T1684" i="16"/>
  <c r="U1684" i="16" a="1"/>
  <c r="U1684" i="16" s="1"/>
  <c r="V1684" i="16"/>
  <c r="D1685" i="16"/>
  <c r="E1685" i="16" a="1"/>
  <c r="E1685" i="16" s="1"/>
  <c r="G1685" i="16"/>
  <c r="H1685" i="16" s="1"/>
  <c r="I1685" i="16"/>
  <c r="N1685" i="16"/>
  <c r="M1685" i="16" s="1"/>
  <c r="Q1685" i="16"/>
  <c r="S1685" i="16"/>
  <c r="T1685" i="16"/>
  <c r="U1685" i="16" a="1"/>
  <c r="U1685" i="16" s="1"/>
  <c r="V1685" i="16"/>
  <c r="D1686" i="16"/>
  <c r="E1686" i="16" a="1"/>
  <c r="E1686" i="16" s="1"/>
  <c r="G1686" i="16"/>
  <c r="H1686" i="16" s="1"/>
  <c r="I1686" i="16"/>
  <c r="N1686" i="16"/>
  <c r="M1686" i="16" s="1"/>
  <c r="Q1686" i="16"/>
  <c r="S1686" i="16"/>
  <c r="T1686" i="16"/>
  <c r="U1686" i="16" a="1"/>
  <c r="U1686" i="16" s="1"/>
  <c r="V1686" i="16"/>
  <c r="D1687" i="16"/>
  <c r="E1687" i="16" a="1"/>
  <c r="E1687" i="16" s="1"/>
  <c r="G1687" i="16"/>
  <c r="H1687" i="16" s="1"/>
  <c r="I1687" i="16"/>
  <c r="N1687" i="16"/>
  <c r="M1687" i="16" s="1"/>
  <c r="Q1687" i="16"/>
  <c r="S1687" i="16"/>
  <c r="T1687" i="16"/>
  <c r="U1687" i="16" a="1"/>
  <c r="U1687" i="16" s="1"/>
  <c r="V1687" i="16"/>
  <c r="D1688" i="16"/>
  <c r="E1688" i="16" a="1"/>
  <c r="E1688" i="16" s="1"/>
  <c r="G1688" i="16"/>
  <c r="H1688" i="16" s="1"/>
  <c r="I1688" i="16"/>
  <c r="N1688" i="16"/>
  <c r="M1688" i="16" s="1"/>
  <c r="Q1688" i="16"/>
  <c r="S1688" i="16"/>
  <c r="T1688" i="16"/>
  <c r="U1688" i="16" a="1"/>
  <c r="U1688" i="16" s="1"/>
  <c r="V1688" i="16"/>
  <c r="D1689" i="16"/>
  <c r="E1689" i="16" a="1"/>
  <c r="E1689" i="16" s="1"/>
  <c r="G1689" i="16"/>
  <c r="H1689" i="16" s="1"/>
  <c r="I1689" i="16"/>
  <c r="N1689" i="16"/>
  <c r="M1689" i="16" s="1"/>
  <c r="Q1689" i="16"/>
  <c r="S1689" i="16"/>
  <c r="T1689" i="16"/>
  <c r="U1689" i="16" a="1"/>
  <c r="U1689" i="16" s="1"/>
  <c r="V1689" i="16"/>
  <c r="D1690" i="16"/>
  <c r="E1690" i="16" a="1"/>
  <c r="E1690" i="16" s="1"/>
  <c r="G1690" i="16"/>
  <c r="H1690" i="16" s="1"/>
  <c r="I1690" i="16"/>
  <c r="N1690" i="16"/>
  <c r="M1690" i="16" s="1"/>
  <c r="Q1690" i="16"/>
  <c r="S1690" i="16"/>
  <c r="T1690" i="16"/>
  <c r="U1690" i="16" a="1"/>
  <c r="U1690" i="16" s="1"/>
  <c r="V1690" i="16"/>
  <c r="D1691" i="16"/>
  <c r="E1691" i="16" a="1"/>
  <c r="E1691" i="16" s="1"/>
  <c r="G1691" i="16"/>
  <c r="H1691" i="16" s="1"/>
  <c r="I1691" i="16"/>
  <c r="N1691" i="16"/>
  <c r="M1691" i="16" s="1"/>
  <c r="Q1691" i="16"/>
  <c r="S1691" i="16"/>
  <c r="T1691" i="16"/>
  <c r="U1691" i="16" a="1"/>
  <c r="U1691" i="16" s="1"/>
  <c r="V1691" i="16"/>
  <c r="D1407" i="6"/>
  <c r="E1407" i="6" a="1"/>
  <c r="E1407" i="6" s="1"/>
  <c r="G1407" i="6"/>
  <c r="H1407" i="6" s="1"/>
  <c r="I1407" i="6"/>
  <c r="N1407" i="6"/>
  <c r="V1407" i="6" s="1"/>
  <c r="Q1407" i="6"/>
  <c r="S1407" i="6"/>
  <c r="D1408" i="6"/>
  <c r="E1408" i="6" a="1"/>
  <c r="E1408" i="6" s="1"/>
  <c r="G1408" i="6"/>
  <c r="H1408" i="6" s="1"/>
  <c r="I1408" i="6"/>
  <c r="N1408" i="6"/>
  <c r="M1408" i="6" s="1"/>
  <c r="Q1408" i="6"/>
  <c r="S1408" i="6"/>
  <c r="T1408" i="6"/>
  <c r="U1408" i="6" a="1"/>
  <c r="U1408" i="6" s="1"/>
  <c r="V1408" i="6"/>
  <c r="D1409" i="6"/>
  <c r="E1409" i="6" a="1"/>
  <c r="E1409" i="6" s="1"/>
  <c r="G1409" i="6"/>
  <c r="H1409" i="6" s="1"/>
  <c r="I1409" i="6"/>
  <c r="N1409" i="6"/>
  <c r="M1409" i="6" s="1"/>
  <c r="Q1409" i="6"/>
  <c r="S1409" i="6"/>
  <c r="V1409" i="6"/>
  <c r="D1410" i="6"/>
  <c r="E1410" i="6" a="1"/>
  <c r="E1410" i="6" s="1"/>
  <c r="G1410" i="6"/>
  <c r="H1410" i="6" s="1"/>
  <c r="I1410" i="6"/>
  <c r="N1410" i="6"/>
  <c r="M1410" i="6" s="1"/>
  <c r="Q1410" i="6"/>
  <c r="S1410" i="6"/>
  <c r="T1410" i="6"/>
  <c r="U1410" i="6" a="1"/>
  <c r="U1410" i="6" s="1"/>
  <c r="D1411" i="6"/>
  <c r="E1411" i="6" a="1"/>
  <c r="E1411" i="6" s="1"/>
  <c r="G1411" i="6"/>
  <c r="H1411" i="6" s="1"/>
  <c r="I1411" i="6"/>
  <c r="N1411" i="6"/>
  <c r="M1411" i="6" s="1"/>
  <c r="Q1411" i="6"/>
  <c r="S1411" i="6"/>
  <c r="T1411" i="6"/>
  <c r="U1411" i="6" a="1"/>
  <c r="U1411" i="6" s="1"/>
  <c r="V1411" i="6"/>
  <c r="D1412" i="6"/>
  <c r="E1412" i="6" a="1"/>
  <c r="E1412" i="6" s="1"/>
  <c r="G1412" i="6"/>
  <c r="H1412" i="6" s="1"/>
  <c r="I1412" i="6"/>
  <c r="N1412" i="6"/>
  <c r="M1412" i="6" s="1"/>
  <c r="Q1412" i="6"/>
  <c r="S1412" i="6"/>
  <c r="V1412" i="6"/>
  <c r="D1624" i="16"/>
  <c r="E1624" i="16" a="1"/>
  <c r="E1624" i="16" s="1"/>
  <c r="G1624" i="16"/>
  <c r="H1624" i="16" s="1"/>
  <c r="I1624" i="16"/>
  <c r="N1624" i="16"/>
  <c r="Q1624" i="16"/>
  <c r="S1624" i="16"/>
  <c r="V1624" i="16"/>
  <c r="D1625" i="16"/>
  <c r="E1625" i="16" a="1"/>
  <c r="E1625" i="16" s="1"/>
  <c r="G1625" i="16"/>
  <c r="H1625" i="16" s="1"/>
  <c r="I1625" i="16"/>
  <c r="N1625" i="16"/>
  <c r="M1625" i="16" s="1"/>
  <c r="Q1625" i="16"/>
  <c r="S1625" i="16"/>
  <c r="V1625" i="16"/>
  <c r="D1626" i="16"/>
  <c r="E1626" i="16" a="1"/>
  <c r="E1626" i="16" s="1"/>
  <c r="G1626" i="16"/>
  <c r="H1626" i="16" s="1"/>
  <c r="I1626" i="16"/>
  <c r="N1626" i="16"/>
  <c r="M1626" i="16" s="1"/>
  <c r="Q1626" i="16"/>
  <c r="S1626" i="16"/>
  <c r="V1626" i="16"/>
  <c r="D1627" i="16"/>
  <c r="E1627" i="16" a="1"/>
  <c r="E1627" i="16" s="1"/>
  <c r="G1627" i="16"/>
  <c r="H1627" i="16" s="1"/>
  <c r="I1627" i="16"/>
  <c r="N1627" i="16"/>
  <c r="M1627" i="16" s="1"/>
  <c r="Q1627" i="16"/>
  <c r="S1627" i="16"/>
  <c r="V1627" i="16"/>
  <c r="D1401" i="6"/>
  <c r="E1401" i="6" a="1"/>
  <c r="E1401" i="6" s="1"/>
  <c r="G1401" i="6"/>
  <c r="H1401" i="6" s="1"/>
  <c r="I1401" i="6"/>
  <c r="N1401" i="6"/>
  <c r="Q1401" i="6"/>
  <c r="S1401" i="6"/>
  <c r="V1401" i="6"/>
  <c r="D1402" i="6"/>
  <c r="E1402" i="6" a="1"/>
  <c r="E1402" i="6" s="1"/>
  <c r="G1402" i="6"/>
  <c r="H1402" i="6" s="1"/>
  <c r="I1402" i="6"/>
  <c r="N1402" i="6"/>
  <c r="M1402" i="6" s="1"/>
  <c r="Q1402" i="6"/>
  <c r="S1402" i="6"/>
  <c r="V1402" i="6"/>
  <c r="D1403" i="6"/>
  <c r="E1403" i="6" a="1"/>
  <c r="E1403" i="6" s="1"/>
  <c r="G1403" i="6"/>
  <c r="H1403" i="6" s="1"/>
  <c r="I1403" i="6"/>
  <c r="N1403" i="6"/>
  <c r="M1403" i="6" s="1"/>
  <c r="Q1403" i="6"/>
  <c r="S1403" i="6"/>
  <c r="V1403" i="6"/>
  <c r="D1404" i="6"/>
  <c r="E1404" i="6" a="1"/>
  <c r="E1404" i="6" s="1"/>
  <c r="G1404" i="6"/>
  <c r="H1404" i="6" s="1"/>
  <c r="I1404" i="6"/>
  <c r="N1404" i="6"/>
  <c r="Q1404" i="6"/>
  <c r="S1404" i="6"/>
  <c r="V1404" i="6"/>
  <c r="D1405" i="6"/>
  <c r="E1405" i="6" a="1"/>
  <c r="E1405" i="6" s="1"/>
  <c r="G1405" i="6"/>
  <c r="H1405" i="6" s="1"/>
  <c r="I1405" i="6"/>
  <c r="N1405" i="6"/>
  <c r="Q1405" i="6"/>
  <c r="S1405" i="6"/>
  <c r="V1405" i="6"/>
  <c r="D1406" i="6"/>
  <c r="E1406" i="6" a="1"/>
  <c r="E1406" i="6" s="1"/>
  <c r="G1406" i="6"/>
  <c r="H1406" i="6" s="1"/>
  <c r="I1406" i="6"/>
  <c r="N1406" i="6"/>
  <c r="M1406" i="6" s="1"/>
  <c r="Q1406" i="6"/>
  <c r="S1406" i="6"/>
  <c r="AV691" i="13" l="1"/>
  <c r="V1628" i="16"/>
  <c r="O1751" i="16"/>
  <c r="O1838" i="16"/>
  <c r="V1634" i="16"/>
  <c r="V1675" i="16"/>
  <c r="V1406" i="6"/>
  <c r="V1655" i="16"/>
  <c r="V1659" i="16"/>
  <c r="V1636" i="16"/>
  <c r="V1410" i="6"/>
  <c r="W1672" i="16"/>
  <c r="W1750" i="16"/>
  <c r="O1672" i="16"/>
  <c r="O1750" i="16"/>
  <c r="W1671" i="16"/>
  <c r="W1751" i="16"/>
  <c r="AS691" i="13"/>
  <c r="AT691" i="13" s="1"/>
  <c r="AN691" i="13"/>
  <c r="AJ691" i="13"/>
  <c r="AI685" i="13"/>
  <c r="AV685" i="13" s="1"/>
  <c r="AK691" i="13"/>
  <c r="AB691" i="13"/>
  <c r="AI692" i="13"/>
  <c r="AB685" i="13"/>
  <c r="AJ685" i="13"/>
  <c r="AP692" i="13"/>
  <c r="AN692" i="13"/>
  <c r="AS692" i="13"/>
  <c r="AT692" i="13" s="1"/>
  <c r="AJ692" i="13"/>
  <c r="AK692" i="13"/>
  <c r="AN685" i="13"/>
  <c r="AK685" i="13"/>
  <c r="AS685" i="13"/>
  <c r="AT685" i="13" s="1"/>
  <c r="N686" i="13"/>
  <c r="AR686" i="13" s="1"/>
  <c r="R1698" i="16"/>
  <c r="O686" i="13"/>
  <c r="AJ686" i="13"/>
  <c r="AB686" i="13"/>
  <c r="AS686" i="13"/>
  <c r="AT686" i="13" s="1"/>
  <c r="O687" i="13"/>
  <c r="S687" i="13"/>
  <c r="AA687" i="13" s="1"/>
  <c r="N687" i="13"/>
  <c r="M1672" i="16"/>
  <c r="R1692" i="16"/>
  <c r="O1671" i="16"/>
  <c r="M1671" i="16"/>
  <c r="M1673" i="16"/>
  <c r="M1669" i="16"/>
  <c r="M1407" i="6"/>
  <c r="M1624" i="16"/>
  <c r="M1405" i="6"/>
  <c r="M1401" i="6"/>
  <c r="M1404" i="6"/>
  <c r="E684" i="13"/>
  <c r="G684" i="13" s="1"/>
  <c r="F684" i="13"/>
  <c r="K684" i="13" s="1"/>
  <c r="L684" i="13"/>
  <c r="N684" i="13" s="1"/>
  <c r="M684" i="13"/>
  <c r="R684" i="13" s="1"/>
  <c r="V684" i="13"/>
  <c r="W684" i="13"/>
  <c r="X684" i="13"/>
  <c r="Y684" i="13"/>
  <c r="AC684" i="13"/>
  <c r="AE684" i="13" s="1"/>
  <c r="AD684" i="13"/>
  <c r="AO684" i="13"/>
  <c r="R1672" i="16" l="1"/>
  <c r="R1671" i="16"/>
  <c r="AV692" i="13"/>
  <c r="AK686" i="13"/>
  <c r="AR687" i="13"/>
  <c r="AK687" i="13"/>
  <c r="AP687" i="13"/>
  <c r="AS687" i="13"/>
  <c r="AT687" i="13" s="1"/>
  <c r="AB687" i="13"/>
  <c r="AJ687" i="13"/>
  <c r="AL684" i="13" a="1"/>
  <c r="AL684" i="13" s="1"/>
  <c r="I684" i="13"/>
  <c r="H684" i="13"/>
  <c r="AH684" i="13"/>
  <c r="AG684" i="13"/>
  <c r="Z684" i="13"/>
  <c r="T684" i="13"/>
  <c r="AU684" i="13"/>
  <c r="Q684" i="13"/>
  <c r="AR684" i="13"/>
  <c r="J684" i="13"/>
  <c r="AQ684" i="13"/>
  <c r="P684" i="13"/>
  <c r="AM684" i="13" a="1"/>
  <c r="AM684" i="13" s="1"/>
  <c r="AF684" i="13"/>
  <c r="S684" i="13"/>
  <c r="O684" i="13"/>
  <c r="AA684" i="13" l="1"/>
  <c r="AB684" i="13" s="1"/>
  <c r="AI684" i="13"/>
  <c r="AK684" i="13" l="1"/>
  <c r="AS684" i="13"/>
  <c r="AT684" i="13" s="1"/>
  <c r="AN684" i="13"/>
  <c r="AP684" i="13"/>
  <c r="AV684" i="13" s="1"/>
  <c r="AJ684" i="13"/>
  <c r="E680" i="13" l="1"/>
  <c r="E681" i="13"/>
  <c r="E682" i="13"/>
  <c r="G682" i="13" s="1"/>
  <c r="E683" i="13"/>
  <c r="H683" i="13" s="1"/>
  <c r="F680" i="13"/>
  <c r="K680" i="13" s="1"/>
  <c r="F681" i="13"/>
  <c r="I681" i="13" s="1"/>
  <c r="F682" i="13"/>
  <c r="K682" i="13" s="1"/>
  <c r="F683" i="13"/>
  <c r="I683" i="13" s="1"/>
  <c r="L680" i="13"/>
  <c r="AM680" i="13" s="1" a="1"/>
  <c r="AM680" i="13" s="1"/>
  <c r="L681" i="13"/>
  <c r="N681" i="13" s="1"/>
  <c r="M680" i="13"/>
  <c r="R680" i="13" s="1"/>
  <c r="M681" i="13"/>
  <c r="R681" i="13" s="1"/>
  <c r="M682" i="13"/>
  <c r="P682" i="13" s="1"/>
  <c r="M683" i="13"/>
  <c r="R683" i="13" s="1"/>
  <c r="V680" i="13"/>
  <c r="V681" i="13"/>
  <c r="V682" i="13"/>
  <c r="V683" i="13"/>
  <c r="W680" i="13"/>
  <c r="W681" i="13"/>
  <c r="X680" i="13"/>
  <c r="X681" i="13"/>
  <c r="X682" i="13"/>
  <c r="X683" i="13"/>
  <c r="Y680" i="13"/>
  <c r="Y681" i="13"/>
  <c r="Y682" i="13"/>
  <c r="Y683" i="13"/>
  <c r="AC680" i="13"/>
  <c r="AF680" i="13" s="1"/>
  <c r="AC681" i="13"/>
  <c r="AE681" i="13" s="1"/>
  <c r="AC682" i="13"/>
  <c r="AG682" i="13" s="1"/>
  <c r="AC683" i="13"/>
  <c r="AE683" i="13" s="1"/>
  <c r="AD680" i="13"/>
  <c r="AD681" i="13"/>
  <c r="AD682" i="13"/>
  <c r="AD683" i="13"/>
  <c r="AO680" i="13"/>
  <c r="AO681" i="13"/>
  <c r="AO682" i="13"/>
  <c r="AO683" i="13"/>
  <c r="AE680" i="13" l="1"/>
  <c r="AF682" i="13"/>
  <c r="AE682" i="13"/>
  <c r="AH682" i="13"/>
  <c r="AH681" i="13"/>
  <c r="AG681" i="13"/>
  <c r="AF681" i="13"/>
  <c r="AH680" i="13"/>
  <c r="AG680" i="13"/>
  <c r="AH683" i="13"/>
  <c r="AG683" i="13"/>
  <c r="AF683" i="13"/>
  <c r="Q681" i="13"/>
  <c r="AR681" i="13"/>
  <c r="O681" i="13"/>
  <c r="AM681" i="13" a="1"/>
  <c r="AM681" i="13" s="1"/>
  <c r="N680" i="13"/>
  <c r="AR680" i="13" s="1"/>
  <c r="P680" i="13"/>
  <c r="S681" i="13"/>
  <c r="G681" i="13"/>
  <c r="J681" i="13" s="1"/>
  <c r="S680" i="13"/>
  <c r="O680" i="13"/>
  <c r="P683" i="13"/>
  <c r="AL680" i="13" a="1"/>
  <c r="AL680" i="13" s="1"/>
  <c r="I680" i="13"/>
  <c r="G680" i="13"/>
  <c r="T680" i="13"/>
  <c r="K681" i="13"/>
  <c r="AU681" i="13" s="1"/>
  <c r="H680" i="13"/>
  <c r="K683" i="13"/>
  <c r="AU683" i="13" s="1"/>
  <c r="G683" i="13"/>
  <c r="AQ683" i="13" s="1"/>
  <c r="AL683" i="13" a="1"/>
  <c r="AL683" i="13" s="1"/>
  <c r="AU680" i="13"/>
  <c r="H681" i="13"/>
  <c r="Z681" i="13"/>
  <c r="I682" i="13"/>
  <c r="Z680" i="13"/>
  <c r="J682" i="13"/>
  <c r="AQ682" i="13"/>
  <c r="AL682" i="13" a="1"/>
  <c r="AL682" i="13" s="1"/>
  <c r="H682" i="13"/>
  <c r="AL681" i="13" a="1"/>
  <c r="AL681" i="13" s="1"/>
  <c r="R682" i="13"/>
  <c r="AU682" i="13" s="1"/>
  <c r="T682" i="13"/>
  <c r="P681" i="13"/>
  <c r="T683" i="13"/>
  <c r="T681" i="13"/>
  <c r="AI681" i="13" l="1"/>
  <c r="AA680" i="13"/>
  <c r="AP680" i="13" s="1"/>
  <c r="Q680" i="13"/>
  <c r="AA681" i="13"/>
  <c r="AB681" i="13" s="1"/>
  <c r="AQ681" i="13"/>
  <c r="AQ680" i="13"/>
  <c r="J680" i="13"/>
  <c r="J683" i="13"/>
  <c r="AJ680" i="13" l="1"/>
  <c r="AN680" i="13"/>
  <c r="AB680" i="13"/>
  <c r="AK680" i="13"/>
  <c r="AS680" i="13"/>
  <c r="AT680" i="13" s="1"/>
  <c r="AI680" i="13"/>
  <c r="AV680" i="13" s="1"/>
  <c r="AN681" i="13"/>
  <c r="AS681" i="13"/>
  <c r="AT681" i="13" s="1"/>
  <c r="AP681" i="13"/>
  <c r="AV681" i="13" s="1"/>
  <c r="AK681" i="13"/>
  <c r="AJ681" i="13"/>
  <c r="W683" i="13"/>
  <c r="Z683" i="13" s="1"/>
  <c r="N1400" i="6"/>
  <c r="D1400" i="6"/>
  <c r="E1400" i="6" a="1"/>
  <c r="E1400" i="6" s="1"/>
  <c r="G1400" i="6"/>
  <c r="H1400" i="6" s="1"/>
  <c r="I1400" i="6"/>
  <c r="Q1400" i="6"/>
  <c r="S1400" i="6"/>
  <c r="U1400" i="6" a="1"/>
  <c r="U1400" i="6" s="1"/>
  <c r="V1400" i="6"/>
  <c r="Q1618" i="16"/>
  <c r="Q1622" i="16"/>
  <c r="D1615" i="16"/>
  <c r="D1616" i="16"/>
  <c r="D1617" i="16"/>
  <c r="D1618" i="16"/>
  <c r="D1619" i="16"/>
  <c r="D1620" i="16"/>
  <c r="D1621" i="16"/>
  <c r="D1622" i="16"/>
  <c r="D1623" i="16"/>
  <c r="E1615" i="16" a="1"/>
  <c r="E1615" i="16" s="1"/>
  <c r="E1616" i="16" a="1"/>
  <c r="E1616" i="16" s="1"/>
  <c r="E1617" i="16" a="1"/>
  <c r="E1617" i="16" s="1"/>
  <c r="E1618" i="16" a="1"/>
  <c r="E1618" i="16" s="1"/>
  <c r="E1619" i="16" a="1"/>
  <c r="E1619" i="16" s="1"/>
  <c r="E1620" i="16" a="1"/>
  <c r="E1620" i="16" s="1"/>
  <c r="E1621" i="16" a="1"/>
  <c r="E1621" i="16" s="1"/>
  <c r="E1622" i="16" a="1"/>
  <c r="E1622" i="16" s="1"/>
  <c r="E1623" i="16" a="1"/>
  <c r="E1623" i="16" s="1"/>
  <c r="G1615" i="16"/>
  <c r="H1615" i="16" s="1"/>
  <c r="G1616" i="16"/>
  <c r="H1616" i="16" s="1"/>
  <c r="G1617" i="16"/>
  <c r="H1617" i="16" s="1"/>
  <c r="G1618" i="16"/>
  <c r="H1618" i="16" s="1"/>
  <c r="G1619" i="16"/>
  <c r="H1619" i="16" s="1"/>
  <c r="G1620" i="16"/>
  <c r="H1620" i="16" s="1"/>
  <c r="G1621" i="16"/>
  <c r="H1621" i="16" s="1"/>
  <c r="G1622" i="16"/>
  <c r="H1622" i="16" s="1"/>
  <c r="G1623" i="16"/>
  <c r="H1623" i="16" s="1"/>
  <c r="I1615" i="16"/>
  <c r="I1616" i="16"/>
  <c r="I1617" i="16"/>
  <c r="I1618" i="16"/>
  <c r="I1619" i="16"/>
  <c r="I1620" i="16"/>
  <c r="I1621" i="16"/>
  <c r="I1622" i="16"/>
  <c r="I1623" i="16"/>
  <c r="N1615" i="16"/>
  <c r="N1616" i="16"/>
  <c r="M1616" i="16" s="1"/>
  <c r="N1617" i="16"/>
  <c r="M1617" i="16" s="1"/>
  <c r="N1619" i="16"/>
  <c r="N1620" i="16"/>
  <c r="M1620" i="16" s="1"/>
  <c r="N1621" i="16"/>
  <c r="M1621" i="16" s="1"/>
  <c r="N1623" i="16"/>
  <c r="Q1615" i="16"/>
  <c r="Q1616" i="16"/>
  <c r="Q1617" i="16"/>
  <c r="Q1619" i="16"/>
  <c r="Q1620" i="16"/>
  <c r="Q1621" i="16"/>
  <c r="Q1623" i="16"/>
  <c r="S1615" i="16"/>
  <c r="S1616" i="16"/>
  <c r="S1617" i="16"/>
  <c r="S1618" i="16"/>
  <c r="S1619" i="16"/>
  <c r="S1620" i="16"/>
  <c r="S1621" i="16"/>
  <c r="S1622" i="16"/>
  <c r="S1623" i="16"/>
  <c r="U1615" i="16" a="1"/>
  <c r="U1615" i="16" s="1"/>
  <c r="U1616" i="16" a="1"/>
  <c r="U1616" i="16" s="1"/>
  <c r="U1617" i="16" a="1"/>
  <c r="U1617" i="16" s="1"/>
  <c r="U1618" i="16" a="1"/>
  <c r="U1618" i="16" s="1"/>
  <c r="U1619" i="16" a="1"/>
  <c r="U1619" i="16" s="1"/>
  <c r="U1620" i="16" a="1"/>
  <c r="U1620" i="16" s="1"/>
  <c r="U1621" i="16" a="1"/>
  <c r="U1621" i="16" s="1"/>
  <c r="U1622" i="16" a="1"/>
  <c r="U1622" i="16" s="1"/>
  <c r="U1623" i="16" a="1"/>
  <c r="U1623" i="16" s="1"/>
  <c r="V1615" i="16"/>
  <c r="V1616" i="16"/>
  <c r="V1617" i="16"/>
  <c r="V1618" i="16"/>
  <c r="V1619" i="16"/>
  <c r="V1620" i="16"/>
  <c r="V1622" i="16"/>
  <c r="V1623" i="16"/>
  <c r="N1614" i="16"/>
  <c r="D1614" i="16"/>
  <c r="E1614" i="16" a="1"/>
  <c r="E1614" i="16" s="1"/>
  <c r="G1614" i="16"/>
  <c r="H1614" i="16" s="1"/>
  <c r="I1614" i="16"/>
  <c r="S1614" i="16"/>
  <c r="V1614" i="16"/>
  <c r="D1399" i="6"/>
  <c r="E1399" i="6" a="1"/>
  <c r="E1399" i="6" s="1"/>
  <c r="G1399" i="6"/>
  <c r="H1399" i="6" s="1"/>
  <c r="I1399" i="6"/>
  <c r="N1399" i="6"/>
  <c r="M1399" i="6" s="1"/>
  <c r="Q1399" i="6"/>
  <c r="S1399" i="6"/>
  <c r="V1399" i="6"/>
  <c r="D1397" i="6"/>
  <c r="E1397" i="6" a="1"/>
  <c r="E1397" i="6" s="1"/>
  <c r="G1397" i="6"/>
  <c r="H1397" i="6" s="1"/>
  <c r="I1397" i="6"/>
  <c r="N1397" i="6"/>
  <c r="M1397" i="6" s="1"/>
  <c r="Q1397" i="6"/>
  <c r="S1397" i="6"/>
  <c r="U1397" i="6" a="1"/>
  <c r="U1397" i="6" s="1"/>
  <c r="E679" i="13"/>
  <c r="AL679" i="13" s="1" a="1"/>
  <c r="AL679" i="13" s="1"/>
  <c r="E689" i="13"/>
  <c r="G689" i="13" s="1"/>
  <c r="F679" i="13"/>
  <c r="K679" i="13" s="1"/>
  <c r="F689" i="13"/>
  <c r="I689" i="13" s="1"/>
  <c r="L678" i="13"/>
  <c r="N678" i="13" s="1"/>
  <c r="L679" i="13"/>
  <c r="O679" i="13" s="1"/>
  <c r="L689" i="13"/>
  <c r="O689" i="13" s="1"/>
  <c r="M678" i="13"/>
  <c r="R678" i="13" s="1"/>
  <c r="M679" i="13"/>
  <c r="R679" i="13" s="1"/>
  <c r="M689" i="13"/>
  <c r="P689" i="13" s="1"/>
  <c r="V679" i="13"/>
  <c r="V689" i="13"/>
  <c r="W678" i="13"/>
  <c r="W679" i="13"/>
  <c r="W689" i="13"/>
  <c r="X679" i="13"/>
  <c r="X689" i="13"/>
  <c r="Y678" i="13"/>
  <c r="Y679" i="13"/>
  <c r="Y689" i="13"/>
  <c r="AC678" i="13"/>
  <c r="AH678" i="13" s="1"/>
  <c r="AC679" i="13"/>
  <c r="AE679" i="13" s="1"/>
  <c r="AC689" i="13"/>
  <c r="AH689" i="13" s="1"/>
  <c r="AD678" i="13"/>
  <c r="AD679" i="13"/>
  <c r="AD689" i="13"/>
  <c r="AO678" i="13"/>
  <c r="AO679" i="13"/>
  <c r="AO689" i="13"/>
  <c r="O1778" i="16" l="1"/>
  <c r="O1876" i="16"/>
  <c r="W1778" i="16"/>
  <c r="W1876" i="16"/>
  <c r="V1397" i="6"/>
  <c r="O1623" i="16"/>
  <c r="O1696" i="16"/>
  <c r="W1623" i="16"/>
  <c r="W1696" i="16"/>
  <c r="L683" i="13"/>
  <c r="W682" i="13"/>
  <c r="Z682" i="13" s="1"/>
  <c r="L682" i="13"/>
  <c r="AF689" i="13"/>
  <c r="AG689" i="13"/>
  <c r="V1621" i="16"/>
  <c r="AG678" i="13"/>
  <c r="AG679" i="13"/>
  <c r="AH679" i="13"/>
  <c r="M1400" i="6"/>
  <c r="N689" i="13"/>
  <c r="AM689" i="13" a="1"/>
  <c r="AM689" i="13" s="1"/>
  <c r="N1622" i="16"/>
  <c r="N1618" i="16"/>
  <c r="M1623" i="16"/>
  <c r="M1619" i="16"/>
  <c r="M1615" i="16"/>
  <c r="Q1614" i="16"/>
  <c r="O678" i="13"/>
  <c r="M1614" i="16"/>
  <c r="AM678" i="13" a="1"/>
  <c r="AM678" i="13" s="1"/>
  <c r="H679" i="13"/>
  <c r="G679" i="13"/>
  <c r="AQ679" i="13" s="1"/>
  <c r="J689" i="13"/>
  <c r="AQ689" i="13"/>
  <c r="H689" i="13"/>
  <c r="AL689" i="13" a="1"/>
  <c r="AL689" i="13" s="1"/>
  <c r="K689" i="13"/>
  <c r="S689" i="13"/>
  <c r="I679" i="13"/>
  <c r="Z679" i="13"/>
  <c r="Z689" i="13"/>
  <c r="R689" i="13"/>
  <c r="AE689" i="13"/>
  <c r="AM679" i="13" a="1"/>
  <c r="AM679" i="13" s="1"/>
  <c r="P678" i="13"/>
  <c r="N679" i="13"/>
  <c r="AU679" i="13"/>
  <c r="Q678" i="13"/>
  <c r="AR678" i="13"/>
  <c r="AF679" i="13"/>
  <c r="AE678" i="13"/>
  <c r="T689" i="13"/>
  <c r="S679" i="13"/>
  <c r="AF678" i="13"/>
  <c r="T679" i="13"/>
  <c r="P679" i="13"/>
  <c r="R1623" i="16" l="1"/>
  <c r="N682" i="13"/>
  <c r="AR682" i="13" s="1"/>
  <c r="S682" i="13"/>
  <c r="AA682" i="13" s="1"/>
  <c r="O682" i="13"/>
  <c r="N683" i="13"/>
  <c r="AR683" i="13" s="1"/>
  <c r="S683" i="13"/>
  <c r="AA683" i="13" s="1"/>
  <c r="O683" i="13"/>
  <c r="M1618" i="16"/>
  <c r="M1622" i="16"/>
  <c r="Q689" i="13"/>
  <c r="AI689" i="13" s="1"/>
  <c r="AR689" i="13"/>
  <c r="AA689" i="13"/>
  <c r="AP689" i="13" s="1"/>
  <c r="J679" i="13"/>
  <c r="AU689" i="13"/>
  <c r="Q679" i="13"/>
  <c r="AR679" i="13"/>
  <c r="AA679" i="13"/>
  <c r="AN679" i="13" s="1"/>
  <c r="AJ683" i="13" l="1"/>
  <c r="AB683" i="13"/>
  <c r="AK683" i="13"/>
  <c r="AP683" i="13"/>
  <c r="AS683" i="13"/>
  <c r="AT683" i="13" s="1"/>
  <c r="AP682" i="13"/>
  <c r="AS682" i="13"/>
  <c r="AT682" i="13" s="1"/>
  <c r="AB682" i="13"/>
  <c r="AJ682" i="13"/>
  <c r="AK682" i="13"/>
  <c r="AV689" i="13"/>
  <c r="AN689" i="13"/>
  <c r="AB689" i="13"/>
  <c r="AJ689" i="13"/>
  <c r="AK689" i="13"/>
  <c r="AS689" i="13"/>
  <c r="AT689" i="13" s="1"/>
  <c r="AI679" i="13"/>
  <c r="AP679" i="13"/>
  <c r="AS679" i="13"/>
  <c r="AT679" i="13" s="1"/>
  <c r="AJ679" i="13"/>
  <c r="AK679" i="13"/>
  <c r="AB679" i="13"/>
  <c r="AV679" i="13" l="1"/>
  <c r="D1398" i="6"/>
  <c r="E1398" i="6" a="1"/>
  <c r="E1398" i="6" s="1"/>
  <c r="G1398" i="6"/>
  <c r="H1398" i="6" s="1"/>
  <c r="I1398" i="6"/>
  <c r="N1398" i="6"/>
  <c r="M1398" i="6" s="1"/>
  <c r="Q1398" i="6"/>
  <c r="S1398" i="6"/>
  <c r="U1398" i="6" a="1"/>
  <c r="U1398" i="6" s="1"/>
  <c r="N1396" i="6"/>
  <c r="N1393" i="6"/>
  <c r="M1393" i="6" s="1"/>
  <c r="D1396" i="6"/>
  <c r="E1396" i="6" a="1"/>
  <c r="E1396" i="6" s="1"/>
  <c r="G1396" i="6"/>
  <c r="H1396" i="6" s="1"/>
  <c r="I1396" i="6"/>
  <c r="Q1396" i="6"/>
  <c r="S1396" i="6"/>
  <c r="V1396" i="6"/>
  <c r="D1395" i="6"/>
  <c r="E1395" i="6" a="1"/>
  <c r="E1395" i="6" s="1"/>
  <c r="G1395" i="6"/>
  <c r="H1395" i="6" s="1"/>
  <c r="I1395" i="6"/>
  <c r="N1395" i="6"/>
  <c r="Q1395" i="6"/>
  <c r="S1395" i="6"/>
  <c r="U1395" i="6" a="1"/>
  <c r="U1395" i="6" s="1"/>
  <c r="V1395" i="6"/>
  <c r="D1394" i="6"/>
  <c r="E1394" i="6" a="1"/>
  <c r="E1394" i="6" s="1"/>
  <c r="G1394" i="6"/>
  <c r="H1394" i="6" s="1"/>
  <c r="I1394" i="6"/>
  <c r="N1394" i="6"/>
  <c r="Q1394" i="6"/>
  <c r="S1394" i="6"/>
  <c r="U1394" i="6" a="1"/>
  <c r="U1394" i="6" s="1"/>
  <c r="V1394" i="6"/>
  <c r="D1393" i="6"/>
  <c r="E1393" i="6" a="1"/>
  <c r="E1393" i="6" s="1"/>
  <c r="G1393" i="6"/>
  <c r="H1393" i="6" s="1"/>
  <c r="I1393" i="6"/>
  <c r="S1393" i="6"/>
  <c r="V1393" i="6"/>
  <c r="D1392" i="6"/>
  <c r="E1392" i="6" a="1"/>
  <c r="E1392" i="6" s="1"/>
  <c r="G1392" i="6"/>
  <c r="H1392" i="6" s="1"/>
  <c r="I1392" i="6"/>
  <c r="N1392" i="6"/>
  <c r="Q1392" i="6"/>
  <c r="S1392" i="6"/>
  <c r="U1392" i="6" a="1"/>
  <c r="U1392" i="6" s="1"/>
  <c r="V1392" i="6"/>
  <c r="N1613" i="16"/>
  <c r="D1613" i="16"/>
  <c r="E1613" i="16" a="1"/>
  <c r="E1613" i="16" s="1"/>
  <c r="G1613" i="16"/>
  <c r="H1613" i="16" s="1"/>
  <c r="I1613" i="16"/>
  <c r="Q1613" i="16"/>
  <c r="S1613" i="16"/>
  <c r="U1613" i="16" a="1"/>
  <c r="U1613" i="16" s="1"/>
  <c r="V1613" i="16"/>
  <c r="L677" i="13"/>
  <c r="N677" i="13" s="1"/>
  <c r="M677" i="13"/>
  <c r="R677" i="13" s="1"/>
  <c r="W677" i="13"/>
  <c r="Y677" i="13"/>
  <c r="AC677" i="13"/>
  <c r="AF677" i="13" s="1"/>
  <c r="AD677" i="13"/>
  <c r="AO677" i="13"/>
  <c r="V1398" i="6" l="1"/>
  <c r="W1398" i="6" s="1"/>
  <c r="O1398" i="6"/>
  <c r="R1398" i="6" s="1"/>
  <c r="W1392" i="6"/>
  <c r="W1434" i="6"/>
  <c r="M1392" i="6"/>
  <c r="O1434" i="6"/>
  <c r="Q1393" i="6"/>
  <c r="M1396" i="6"/>
  <c r="M1395" i="6"/>
  <c r="M1394" i="6"/>
  <c r="O1392" i="6"/>
  <c r="R1392" i="6" s="1"/>
  <c r="AH677" i="13"/>
  <c r="AG677" i="13"/>
  <c r="M1613" i="16"/>
  <c r="AE677" i="13"/>
  <c r="AR677" i="13"/>
  <c r="Q677" i="13"/>
  <c r="P677" i="13"/>
  <c r="AM677" i="13" a="1"/>
  <c r="AM677" i="13" s="1"/>
  <c r="O677" i="13"/>
  <c r="N1612" i="16" l="1"/>
  <c r="D1612" i="16"/>
  <c r="E1612" i="16" a="1"/>
  <c r="E1612" i="16" s="1"/>
  <c r="G1612" i="16"/>
  <c r="H1612" i="16" s="1"/>
  <c r="I1612" i="16"/>
  <c r="S1612" i="16"/>
  <c r="V1612" i="16"/>
  <c r="N1391" i="6"/>
  <c r="M1391" i="6" s="1"/>
  <c r="D1391" i="6"/>
  <c r="E1391" i="6" a="1"/>
  <c r="E1391" i="6" s="1"/>
  <c r="G1391" i="6"/>
  <c r="H1391" i="6" s="1"/>
  <c r="I1391" i="6"/>
  <c r="S1391" i="6"/>
  <c r="U1391" i="6" a="1"/>
  <c r="U1391" i="6" s="1"/>
  <c r="V1391" i="6"/>
  <c r="Q1603" i="16"/>
  <c r="Q1607" i="16"/>
  <c r="Q1611" i="16"/>
  <c r="D1599" i="16"/>
  <c r="D1600" i="16"/>
  <c r="D1601" i="16"/>
  <c r="D1602" i="16"/>
  <c r="D1603" i="16"/>
  <c r="D1604" i="16"/>
  <c r="D1605" i="16"/>
  <c r="D1606" i="16"/>
  <c r="D1607" i="16"/>
  <c r="D1608" i="16"/>
  <c r="D1609" i="16"/>
  <c r="D1610" i="16"/>
  <c r="D1611" i="16"/>
  <c r="E1599" i="16" a="1"/>
  <c r="E1599" i="16" s="1"/>
  <c r="E1600" i="16" a="1"/>
  <c r="E1600" i="16" s="1"/>
  <c r="E1601" i="16" a="1"/>
  <c r="E1601" i="16" s="1"/>
  <c r="E1602" i="16" a="1"/>
  <c r="E1602" i="16" s="1"/>
  <c r="E1603" i="16" a="1"/>
  <c r="E1603" i="16" s="1"/>
  <c r="E1604" i="16" a="1"/>
  <c r="E1604" i="16" s="1"/>
  <c r="E1605" i="16" a="1"/>
  <c r="E1605" i="16" s="1"/>
  <c r="E1606" i="16" a="1"/>
  <c r="E1606" i="16" s="1"/>
  <c r="E1607" i="16" a="1"/>
  <c r="E1607" i="16" s="1"/>
  <c r="E1608" i="16" a="1"/>
  <c r="E1608" i="16" s="1"/>
  <c r="E1609" i="16" a="1"/>
  <c r="E1609" i="16" s="1"/>
  <c r="E1610" i="16" a="1"/>
  <c r="E1610" i="16" s="1"/>
  <c r="E1611" i="16" a="1"/>
  <c r="E1611" i="16" s="1"/>
  <c r="G1599" i="16"/>
  <c r="H1599" i="16" s="1"/>
  <c r="G1600" i="16"/>
  <c r="G1601" i="16"/>
  <c r="G1602" i="16"/>
  <c r="H1602" i="16" s="1"/>
  <c r="G1603" i="16"/>
  <c r="H1603" i="16" s="1"/>
  <c r="G1604" i="16"/>
  <c r="H1604" i="16" s="1"/>
  <c r="G1605" i="16"/>
  <c r="H1605" i="16" s="1"/>
  <c r="G1606" i="16"/>
  <c r="H1606" i="16" s="1"/>
  <c r="G1607" i="16"/>
  <c r="H1607" i="16" s="1"/>
  <c r="G1608" i="16"/>
  <c r="H1608" i="16" s="1"/>
  <c r="G1609" i="16"/>
  <c r="H1609" i="16" s="1"/>
  <c r="G1610" i="16"/>
  <c r="H1610" i="16" s="1"/>
  <c r="G1611" i="16"/>
  <c r="H1611" i="16" s="1"/>
  <c r="H1600" i="16"/>
  <c r="H1601" i="16"/>
  <c r="I1599" i="16"/>
  <c r="I1600" i="16"/>
  <c r="I1601" i="16"/>
  <c r="I1602" i="16"/>
  <c r="I1603" i="16"/>
  <c r="I1604" i="16"/>
  <c r="I1605" i="16"/>
  <c r="I1606" i="16"/>
  <c r="I1607" i="16"/>
  <c r="I1608" i="16"/>
  <c r="I1609" i="16"/>
  <c r="I1610" i="16"/>
  <c r="I1611" i="16"/>
  <c r="N1599" i="16"/>
  <c r="N1600" i="16"/>
  <c r="M1600" i="16" s="1"/>
  <c r="N1601" i="16"/>
  <c r="M1601" i="16" s="1"/>
  <c r="N1602" i="16"/>
  <c r="M1602" i="16" s="1"/>
  <c r="N1603" i="16"/>
  <c r="N1604" i="16"/>
  <c r="M1604" i="16" s="1"/>
  <c r="N1605" i="16"/>
  <c r="M1605" i="16" s="1"/>
  <c r="N1606" i="16"/>
  <c r="M1606" i="16" s="1"/>
  <c r="N1607" i="16"/>
  <c r="V1607" i="16" s="1"/>
  <c r="N1608" i="16"/>
  <c r="M1608" i="16" s="1"/>
  <c r="N1609" i="16"/>
  <c r="M1609" i="16" s="1"/>
  <c r="N1610" i="16"/>
  <c r="M1610" i="16" s="1"/>
  <c r="N1611" i="16"/>
  <c r="Q1599" i="16"/>
  <c r="Q1600" i="16"/>
  <c r="Q1601" i="16"/>
  <c r="Q1602" i="16"/>
  <c r="Q1604" i="16"/>
  <c r="Q1605" i="16"/>
  <c r="Q1606" i="16"/>
  <c r="Q1608" i="16"/>
  <c r="Q1609" i="16"/>
  <c r="Q1610" i="16"/>
  <c r="S1599" i="16"/>
  <c r="S1600" i="16"/>
  <c r="S1601" i="16"/>
  <c r="S1602" i="16"/>
  <c r="S1603" i="16"/>
  <c r="S1604" i="16"/>
  <c r="S1605" i="16"/>
  <c r="S1606" i="16"/>
  <c r="S1607" i="16"/>
  <c r="S1608" i="16"/>
  <c r="S1609" i="16"/>
  <c r="S1610" i="16"/>
  <c r="S1611" i="16"/>
  <c r="U1599" i="16" a="1"/>
  <c r="U1599" i="16" s="1"/>
  <c r="U1600" i="16" a="1"/>
  <c r="U1600" i="16" s="1"/>
  <c r="U1601" i="16" a="1"/>
  <c r="U1601" i="16" s="1"/>
  <c r="U1602" i="16" a="1"/>
  <c r="U1602" i="16" s="1"/>
  <c r="U1603" i="16" a="1"/>
  <c r="U1603" i="16" s="1"/>
  <c r="U1604" i="16" a="1"/>
  <c r="U1604" i="16" s="1"/>
  <c r="U1605" i="16" a="1"/>
  <c r="U1605" i="16" s="1"/>
  <c r="U1606" i="16" a="1"/>
  <c r="U1606" i="16" s="1"/>
  <c r="U1607" i="16" a="1"/>
  <c r="U1607" i="16" s="1"/>
  <c r="U1608" i="16" a="1"/>
  <c r="U1608" i="16" s="1"/>
  <c r="U1609" i="16" a="1"/>
  <c r="U1609" i="16" s="1"/>
  <c r="U1610" i="16" a="1"/>
  <c r="U1610" i="16" s="1"/>
  <c r="U1611" i="16" a="1"/>
  <c r="U1611" i="16" s="1"/>
  <c r="V1599" i="16"/>
  <c r="V1600" i="16"/>
  <c r="V1601" i="16"/>
  <c r="V1603" i="16"/>
  <c r="V1604" i="16"/>
  <c r="V1605" i="16"/>
  <c r="V1606" i="16"/>
  <c r="V1608" i="16"/>
  <c r="V1609" i="16"/>
  <c r="V1610" i="16"/>
  <c r="V1611" i="16"/>
  <c r="N1389" i="6"/>
  <c r="N1390" i="6"/>
  <c r="D1390" i="6"/>
  <c r="E1390" i="6" a="1"/>
  <c r="E1390" i="6" s="1"/>
  <c r="G1390" i="6"/>
  <c r="H1390" i="6" s="1"/>
  <c r="I1390" i="6"/>
  <c r="S1390" i="6"/>
  <c r="V1390" i="6"/>
  <c r="D1389" i="6"/>
  <c r="E1389" i="6" a="1"/>
  <c r="E1389" i="6" s="1"/>
  <c r="G1389" i="6"/>
  <c r="H1389" i="6" s="1"/>
  <c r="I1389" i="6"/>
  <c r="S1389" i="6"/>
  <c r="V1389" i="6"/>
  <c r="D1388" i="6"/>
  <c r="E1388" i="6" a="1"/>
  <c r="E1388" i="6" s="1"/>
  <c r="G1388" i="6"/>
  <c r="H1388" i="6" s="1"/>
  <c r="I1388" i="6"/>
  <c r="N1388" i="6"/>
  <c r="Q1388" i="6"/>
  <c r="S1388" i="6"/>
  <c r="V1388" i="6"/>
  <c r="D1387" i="6"/>
  <c r="E1387" i="6" a="1"/>
  <c r="E1387" i="6" s="1"/>
  <c r="G1387" i="6"/>
  <c r="H1387" i="6" s="1"/>
  <c r="I1387" i="6"/>
  <c r="N1387" i="6"/>
  <c r="Q1387" i="6"/>
  <c r="S1387" i="6"/>
  <c r="V1387" i="6"/>
  <c r="Q1595" i="16"/>
  <c r="Q1596" i="16"/>
  <c r="D1592" i="16"/>
  <c r="D1593" i="16"/>
  <c r="D1594" i="16"/>
  <c r="D1595" i="16"/>
  <c r="D1596" i="16"/>
  <c r="D1597" i="16"/>
  <c r="D1598" i="16"/>
  <c r="E1592" i="16" a="1"/>
  <c r="E1592" i="16" s="1"/>
  <c r="E1593" i="16" a="1"/>
  <c r="E1593" i="16" s="1"/>
  <c r="E1594" i="16" a="1"/>
  <c r="E1594" i="16" s="1"/>
  <c r="E1595" i="16" a="1"/>
  <c r="E1595" i="16" s="1"/>
  <c r="E1596" i="16" a="1"/>
  <c r="E1596" i="16" s="1"/>
  <c r="E1597" i="16" a="1"/>
  <c r="E1597" i="16" s="1"/>
  <c r="E1598" i="16" a="1"/>
  <c r="E1598" i="16" s="1"/>
  <c r="G1592" i="16"/>
  <c r="H1592" i="16" s="1"/>
  <c r="G1593" i="16"/>
  <c r="H1593" i="16" s="1"/>
  <c r="G1594" i="16"/>
  <c r="H1594" i="16" s="1"/>
  <c r="G1595" i="16"/>
  <c r="H1595" i="16" s="1"/>
  <c r="G1596" i="16"/>
  <c r="H1596" i="16" s="1"/>
  <c r="G1597" i="16"/>
  <c r="H1597" i="16" s="1"/>
  <c r="G1598" i="16"/>
  <c r="H1598" i="16" s="1"/>
  <c r="I1592" i="16"/>
  <c r="I1593" i="16"/>
  <c r="I1594" i="16"/>
  <c r="I1595" i="16"/>
  <c r="I1596" i="16"/>
  <c r="I1597" i="16"/>
  <c r="I1598" i="16"/>
  <c r="N1592" i="16"/>
  <c r="N1593" i="16"/>
  <c r="M1593" i="16" s="1"/>
  <c r="N1594" i="16"/>
  <c r="M1594" i="16" s="1"/>
  <c r="N1597" i="16"/>
  <c r="M1597" i="16" s="1"/>
  <c r="N1598" i="16"/>
  <c r="M1598" i="16" s="1"/>
  <c r="Q1592" i="16"/>
  <c r="Q1593" i="16"/>
  <c r="Q1594" i="16"/>
  <c r="Q1597" i="16"/>
  <c r="Q1598" i="16"/>
  <c r="S1592" i="16"/>
  <c r="S1593" i="16"/>
  <c r="S1594" i="16"/>
  <c r="S1595" i="16"/>
  <c r="S1596" i="16"/>
  <c r="S1597" i="16"/>
  <c r="S1598" i="16"/>
  <c r="U1592" i="16" a="1"/>
  <c r="U1592" i="16" s="1"/>
  <c r="U1593" i="16" a="1"/>
  <c r="U1593" i="16" s="1"/>
  <c r="U1594" i="16" a="1"/>
  <c r="U1594" i="16" s="1"/>
  <c r="U1595" i="16" a="1"/>
  <c r="U1595" i="16" s="1"/>
  <c r="U1596" i="16" a="1"/>
  <c r="U1596" i="16" s="1"/>
  <c r="U1597" i="16" a="1"/>
  <c r="U1597" i="16" s="1"/>
  <c r="U1598" i="16" a="1"/>
  <c r="U1598" i="16" s="1"/>
  <c r="V1592" i="16"/>
  <c r="V1593" i="16"/>
  <c r="V1594" i="16"/>
  <c r="V1595" i="16"/>
  <c r="V1596" i="16"/>
  <c r="V1597" i="16"/>
  <c r="Q1381" i="6"/>
  <c r="N1386" i="6"/>
  <c r="D1386" i="6"/>
  <c r="E1386" i="6" a="1"/>
  <c r="E1386" i="6" s="1"/>
  <c r="G1386" i="6"/>
  <c r="H1386" i="6" s="1"/>
  <c r="I1386" i="6"/>
  <c r="Q1386" i="6"/>
  <c r="S1386" i="6"/>
  <c r="U1386" i="6" a="1"/>
  <c r="U1386" i="6" s="1"/>
  <c r="V1386" i="6"/>
  <c r="D1385" i="6"/>
  <c r="E1385" i="6" a="1"/>
  <c r="E1385" i="6" s="1"/>
  <c r="G1385" i="6"/>
  <c r="H1385" i="6" s="1"/>
  <c r="I1385" i="6"/>
  <c r="S1385" i="6"/>
  <c r="U1385" i="6" a="1"/>
  <c r="U1385" i="6" s="1"/>
  <c r="Q1384" i="6"/>
  <c r="N1591" i="16"/>
  <c r="D1591" i="16"/>
  <c r="E1591" i="16" a="1"/>
  <c r="E1591" i="16" s="1"/>
  <c r="G1591" i="16"/>
  <c r="H1591" i="16" s="1"/>
  <c r="I1591" i="16"/>
  <c r="Q1591" i="16"/>
  <c r="S1591" i="16"/>
  <c r="U1591" i="16" a="1"/>
  <c r="U1591" i="16" s="1"/>
  <c r="V1591" i="16"/>
  <c r="D1384" i="6"/>
  <c r="E1384" i="6" a="1"/>
  <c r="E1384" i="6" s="1"/>
  <c r="G1384" i="6"/>
  <c r="H1384" i="6" s="1"/>
  <c r="I1384" i="6"/>
  <c r="N1384" i="6"/>
  <c r="M1384" i="6" s="1"/>
  <c r="S1384" i="6"/>
  <c r="U1384" i="6" a="1"/>
  <c r="U1384" i="6" s="1"/>
  <c r="V1384" i="6"/>
  <c r="F676" i="13"/>
  <c r="K676" i="13" s="1"/>
  <c r="L676" i="13"/>
  <c r="N676" i="13" s="1"/>
  <c r="M676" i="13"/>
  <c r="R676" i="13" s="1"/>
  <c r="W676" i="13"/>
  <c r="X676" i="13"/>
  <c r="Y676" i="13"/>
  <c r="AC676" i="13"/>
  <c r="AH676" i="13" s="1"/>
  <c r="AD676" i="13"/>
  <c r="AO676" i="13"/>
  <c r="D1381" i="6"/>
  <c r="E1381" i="6" a="1"/>
  <c r="E1381" i="6" s="1"/>
  <c r="G1381" i="6"/>
  <c r="H1381" i="6" s="1"/>
  <c r="I1381" i="6"/>
  <c r="N1381" i="6"/>
  <c r="M1381" i="6" s="1"/>
  <c r="S1381" i="6"/>
  <c r="U1381" i="6" a="1"/>
  <c r="U1381" i="6" s="1"/>
  <c r="V1381" i="6"/>
  <c r="W1381" i="6" s="1"/>
  <c r="N1382" i="6"/>
  <c r="M1382" i="6" s="1"/>
  <c r="D1383" i="6"/>
  <c r="E1383" i="6" a="1"/>
  <c r="E1383" i="6" s="1"/>
  <c r="G1383" i="6"/>
  <c r="H1383" i="6" s="1"/>
  <c r="I1383" i="6"/>
  <c r="N1383" i="6"/>
  <c r="Q1383" i="6"/>
  <c r="S1383" i="6"/>
  <c r="V1383" i="6"/>
  <c r="D1382" i="6"/>
  <c r="E1382" i="6" a="1"/>
  <c r="E1382" i="6" s="1"/>
  <c r="G1382" i="6"/>
  <c r="H1382" i="6" s="1"/>
  <c r="I1382" i="6"/>
  <c r="Q1382" i="6"/>
  <c r="S1382" i="6"/>
  <c r="V1382" i="6"/>
  <c r="D1377" i="6"/>
  <c r="E1377" i="6" a="1"/>
  <c r="E1377" i="6" s="1"/>
  <c r="G1377" i="6"/>
  <c r="H1377" i="6" s="1"/>
  <c r="I1377" i="6"/>
  <c r="N1377" i="6"/>
  <c r="M1377" i="6" s="1"/>
  <c r="Q1377" i="6"/>
  <c r="S1377" i="6"/>
  <c r="U1377" i="6" a="1"/>
  <c r="U1377" i="6" s="1"/>
  <c r="V1377" i="6"/>
  <c r="Q1380" i="6"/>
  <c r="D1380" i="6"/>
  <c r="E1380" i="6" a="1"/>
  <c r="E1380" i="6" s="1"/>
  <c r="G1380" i="6"/>
  <c r="H1380" i="6" s="1"/>
  <c r="I1380" i="6"/>
  <c r="N1380" i="6"/>
  <c r="M1380" i="6" s="1"/>
  <c r="S1380" i="6"/>
  <c r="V1380" i="6"/>
  <c r="Q1554" i="16"/>
  <c r="Q1555" i="16"/>
  <c r="Q1558" i="16"/>
  <c r="Q1559" i="16"/>
  <c r="Q1562" i="16"/>
  <c r="Q1563" i="16"/>
  <c r="Q1566" i="16"/>
  <c r="Q1567" i="16"/>
  <c r="Q1570" i="16"/>
  <c r="Q1571" i="16"/>
  <c r="Q1574" i="16"/>
  <c r="Q1575" i="16"/>
  <c r="Q1578" i="16"/>
  <c r="Q1579" i="16"/>
  <c r="Q1582" i="16"/>
  <c r="Q1583" i="16"/>
  <c r="Q1586" i="16"/>
  <c r="Q1587" i="16"/>
  <c r="Q1590" i="16"/>
  <c r="D1551" i="16"/>
  <c r="D1552" i="16"/>
  <c r="D1553" i="16"/>
  <c r="D1554" i="16"/>
  <c r="D1555" i="16"/>
  <c r="D1556" i="16"/>
  <c r="D1557" i="16"/>
  <c r="D1558" i="16"/>
  <c r="D1559" i="16"/>
  <c r="D1560" i="16"/>
  <c r="D1561" i="16"/>
  <c r="D1562" i="16"/>
  <c r="D1563" i="16"/>
  <c r="D1564" i="16"/>
  <c r="D1565" i="16"/>
  <c r="D1566" i="16"/>
  <c r="D1567" i="16"/>
  <c r="D1568" i="16"/>
  <c r="D1569" i="16"/>
  <c r="D1570" i="16"/>
  <c r="D1571" i="16"/>
  <c r="D1572" i="16"/>
  <c r="D1573" i="16"/>
  <c r="D1574" i="16"/>
  <c r="D1575" i="16"/>
  <c r="D1576" i="16"/>
  <c r="D1577" i="16"/>
  <c r="D1578" i="16"/>
  <c r="D1579" i="16"/>
  <c r="D1580" i="16"/>
  <c r="D1581" i="16"/>
  <c r="D1582" i="16"/>
  <c r="D1583" i="16"/>
  <c r="D1584" i="16"/>
  <c r="D1585" i="16"/>
  <c r="D1586" i="16"/>
  <c r="D1587" i="16"/>
  <c r="D1588" i="16"/>
  <c r="D1589" i="16"/>
  <c r="D1590" i="16"/>
  <c r="E1551" i="16" a="1"/>
  <c r="E1551" i="16" s="1"/>
  <c r="E1552" i="16" a="1"/>
  <c r="E1552" i="16" s="1"/>
  <c r="E1553" i="16" a="1"/>
  <c r="E1553" i="16" s="1"/>
  <c r="E1554" i="16" a="1"/>
  <c r="E1554" i="16" s="1"/>
  <c r="E1555" i="16" a="1"/>
  <c r="E1555" i="16" s="1"/>
  <c r="E1556" i="16" a="1"/>
  <c r="E1556" i="16" s="1"/>
  <c r="E1557" i="16" a="1"/>
  <c r="E1557" i="16" s="1"/>
  <c r="E1558" i="16" a="1"/>
  <c r="E1558" i="16" s="1"/>
  <c r="E1559" i="16" a="1"/>
  <c r="E1559" i="16" s="1"/>
  <c r="E1560" i="16" a="1"/>
  <c r="E1560" i="16" s="1"/>
  <c r="E1561" i="16" a="1"/>
  <c r="E1561" i="16" s="1"/>
  <c r="E1562" i="16" a="1"/>
  <c r="E1562" i="16" s="1"/>
  <c r="E1563" i="16" a="1"/>
  <c r="E1563" i="16" s="1"/>
  <c r="E1564" i="16" a="1"/>
  <c r="E1564" i="16" s="1"/>
  <c r="E1565" i="16" a="1"/>
  <c r="E1565" i="16" s="1"/>
  <c r="E1566" i="16" a="1"/>
  <c r="E1566" i="16" s="1"/>
  <c r="E1567" i="16" a="1"/>
  <c r="E1567" i="16" s="1"/>
  <c r="E1568" i="16" a="1"/>
  <c r="E1568" i="16" s="1"/>
  <c r="E1569" i="16" a="1"/>
  <c r="E1569" i="16" s="1"/>
  <c r="E1570" i="16" a="1"/>
  <c r="E1570" i="16" s="1"/>
  <c r="E1571" i="16" a="1"/>
  <c r="E1571" i="16" s="1"/>
  <c r="E1572" i="16" a="1"/>
  <c r="E1572" i="16" s="1"/>
  <c r="E1573" i="16" a="1"/>
  <c r="E1573" i="16" s="1"/>
  <c r="E1574" i="16" a="1"/>
  <c r="E1574" i="16" s="1"/>
  <c r="E1575" i="16" a="1"/>
  <c r="E1575" i="16" s="1"/>
  <c r="E1576" i="16" a="1"/>
  <c r="E1576" i="16" s="1"/>
  <c r="E1577" i="16" a="1"/>
  <c r="E1577" i="16" s="1"/>
  <c r="E1578" i="16" a="1"/>
  <c r="E1578" i="16" s="1"/>
  <c r="E1579" i="16" a="1"/>
  <c r="E1579" i="16" s="1"/>
  <c r="E1580" i="16" a="1"/>
  <c r="E1580" i="16" s="1"/>
  <c r="E1581" i="16" a="1"/>
  <c r="E1581" i="16" s="1"/>
  <c r="E1582" i="16" a="1"/>
  <c r="E1582" i="16" s="1"/>
  <c r="E1583" i="16" a="1"/>
  <c r="E1583" i="16" s="1"/>
  <c r="E1584" i="16" a="1"/>
  <c r="E1584" i="16" s="1"/>
  <c r="E1585" i="16" a="1"/>
  <c r="E1585" i="16" s="1"/>
  <c r="E1586" i="16" a="1"/>
  <c r="E1586" i="16" s="1"/>
  <c r="E1587" i="16" a="1"/>
  <c r="E1587" i="16" s="1"/>
  <c r="E1588" i="16" a="1"/>
  <c r="E1588" i="16" s="1"/>
  <c r="E1589" i="16" a="1"/>
  <c r="E1589" i="16" s="1"/>
  <c r="E1590" i="16" a="1"/>
  <c r="E1590" i="16" s="1"/>
  <c r="G1551" i="16"/>
  <c r="H1551" i="16" s="1"/>
  <c r="G1552" i="16"/>
  <c r="H1552" i="16" s="1"/>
  <c r="G1553" i="16"/>
  <c r="H1553" i="16" s="1"/>
  <c r="G1554" i="16"/>
  <c r="H1554" i="16" s="1"/>
  <c r="G1555" i="16"/>
  <c r="H1555" i="16" s="1"/>
  <c r="G1556" i="16"/>
  <c r="H1556" i="16" s="1"/>
  <c r="G1557" i="16"/>
  <c r="H1557" i="16" s="1"/>
  <c r="G1558" i="16"/>
  <c r="H1558" i="16" s="1"/>
  <c r="G1559" i="16"/>
  <c r="H1559" i="16" s="1"/>
  <c r="G1560" i="16"/>
  <c r="H1560" i="16" s="1"/>
  <c r="G1561" i="16"/>
  <c r="H1561" i="16" s="1"/>
  <c r="G1562" i="16"/>
  <c r="H1562" i="16" s="1"/>
  <c r="G1563" i="16"/>
  <c r="H1563" i="16" s="1"/>
  <c r="G1564" i="16"/>
  <c r="H1564" i="16" s="1"/>
  <c r="G1565" i="16"/>
  <c r="H1565" i="16" s="1"/>
  <c r="G1566" i="16"/>
  <c r="H1566" i="16" s="1"/>
  <c r="G1567" i="16"/>
  <c r="H1567" i="16" s="1"/>
  <c r="G1568" i="16"/>
  <c r="H1568" i="16" s="1"/>
  <c r="G1569" i="16"/>
  <c r="H1569" i="16" s="1"/>
  <c r="G1570" i="16"/>
  <c r="H1570" i="16" s="1"/>
  <c r="G1571" i="16"/>
  <c r="H1571" i="16" s="1"/>
  <c r="G1572" i="16"/>
  <c r="H1572" i="16" s="1"/>
  <c r="G1573" i="16"/>
  <c r="H1573" i="16" s="1"/>
  <c r="G1574" i="16"/>
  <c r="H1574" i="16" s="1"/>
  <c r="G1575" i="16"/>
  <c r="H1575" i="16" s="1"/>
  <c r="G1576" i="16"/>
  <c r="H1576" i="16" s="1"/>
  <c r="G1577" i="16"/>
  <c r="H1577" i="16" s="1"/>
  <c r="G1578" i="16"/>
  <c r="H1578" i="16" s="1"/>
  <c r="G1579" i="16"/>
  <c r="H1579" i="16" s="1"/>
  <c r="G1580" i="16"/>
  <c r="H1580" i="16" s="1"/>
  <c r="G1581" i="16"/>
  <c r="H1581" i="16" s="1"/>
  <c r="G1582" i="16"/>
  <c r="H1582" i="16" s="1"/>
  <c r="G1583" i="16"/>
  <c r="H1583" i="16" s="1"/>
  <c r="G1584" i="16"/>
  <c r="H1584" i="16" s="1"/>
  <c r="G1585" i="16"/>
  <c r="H1585" i="16" s="1"/>
  <c r="G1586" i="16"/>
  <c r="H1586" i="16" s="1"/>
  <c r="G1587" i="16"/>
  <c r="H1587" i="16" s="1"/>
  <c r="G1588" i="16"/>
  <c r="H1588" i="16" s="1"/>
  <c r="G1589" i="16"/>
  <c r="H1589" i="16" s="1"/>
  <c r="G1590" i="16"/>
  <c r="H1590" i="16" s="1"/>
  <c r="I1551" i="16"/>
  <c r="I1552" i="16"/>
  <c r="I1553" i="16"/>
  <c r="I1554" i="16"/>
  <c r="I1555" i="16"/>
  <c r="I1556" i="16"/>
  <c r="I1557" i="16"/>
  <c r="I1558" i="16"/>
  <c r="I1559" i="16"/>
  <c r="I1560" i="16"/>
  <c r="I1561" i="16"/>
  <c r="I1562" i="16"/>
  <c r="I1563" i="16"/>
  <c r="I1564" i="16"/>
  <c r="I1565" i="16"/>
  <c r="I1566" i="16"/>
  <c r="I1567" i="16"/>
  <c r="I1568" i="16"/>
  <c r="I1569" i="16"/>
  <c r="I1570" i="16"/>
  <c r="I1571" i="16"/>
  <c r="I1572" i="16"/>
  <c r="I1573" i="16"/>
  <c r="I1574" i="16"/>
  <c r="I1575" i="16"/>
  <c r="I1576" i="16"/>
  <c r="I1577" i="16"/>
  <c r="I1578" i="16"/>
  <c r="I1579" i="16"/>
  <c r="I1580" i="16"/>
  <c r="I1581" i="16"/>
  <c r="I1582" i="16"/>
  <c r="I1583" i="16"/>
  <c r="I1584" i="16"/>
  <c r="I1585" i="16"/>
  <c r="I1586" i="16"/>
  <c r="I1587" i="16"/>
  <c r="I1588" i="16"/>
  <c r="I1589" i="16"/>
  <c r="I1590" i="16"/>
  <c r="N1551" i="16"/>
  <c r="M1551" i="16" s="1"/>
  <c r="N1552" i="16"/>
  <c r="M1552" i="16" s="1"/>
  <c r="N1553" i="16"/>
  <c r="M1553" i="16" s="1"/>
  <c r="N1554" i="16"/>
  <c r="M1554" i="16" s="1"/>
  <c r="N1555" i="16"/>
  <c r="M1555" i="16" s="1"/>
  <c r="N1556" i="16"/>
  <c r="M1556" i="16" s="1"/>
  <c r="N1557" i="16"/>
  <c r="M1557" i="16" s="1"/>
  <c r="N1558" i="16"/>
  <c r="M1558" i="16" s="1"/>
  <c r="N1559" i="16"/>
  <c r="M1559" i="16" s="1"/>
  <c r="N1560" i="16"/>
  <c r="M1560" i="16" s="1"/>
  <c r="N1561" i="16"/>
  <c r="M1561" i="16" s="1"/>
  <c r="N1562" i="16"/>
  <c r="M1562" i="16" s="1"/>
  <c r="N1563" i="16"/>
  <c r="M1563" i="16" s="1"/>
  <c r="N1564" i="16"/>
  <c r="M1564" i="16" s="1"/>
  <c r="N1565" i="16"/>
  <c r="M1565" i="16" s="1"/>
  <c r="N1566" i="16"/>
  <c r="M1566" i="16" s="1"/>
  <c r="N1567" i="16"/>
  <c r="M1567" i="16" s="1"/>
  <c r="N1568" i="16"/>
  <c r="M1568" i="16" s="1"/>
  <c r="N1569" i="16"/>
  <c r="M1569" i="16" s="1"/>
  <c r="N1570" i="16"/>
  <c r="M1570" i="16" s="1"/>
  <c r="N1571" i="16"/>
  <c r="M1571" i="16" s="1"/>
  <c r="N1572" i="16"/>
  <c r="M1572" i="16" s="1"/>
  <c r="N1573" i="16"/>
  <c r="M1573" i="16" s="1"/>
  <c r="N1574" i="16"/>
  <c r="O1830" i="16" s="1"/>
  <c r="N1575" i="16"/>
  <c r="O1831" i="16" s="1"/>
  <c r="N1576" i="16"/>
  <c r="M1576" i="16" s="1"/>
  <c r="N1577" i="16"/>
  <c r="N1578" i="16"/>
  <c r="M1578" i="16" s="1"/>
  <c r="N1579" i="16"/>
  <c r="M1579" i="16" s="1"/>
  <c r="N1580" i="16"/>
  <c r="M1580" i="16" s="1"/>
  <c r="N1581" i="16"/>
  <c r="M1581" i="16" s="1"/>
  <c r="N1582" i="16"/>
  <c r="M1582" i="16" s="1"/>
  <c r="N1583" i="16"/>
  <c r="M1583" i="16" s="1"/>
  <c r="N1584" i="16"/>
  <c r="M1584" i="16" s="1"/>
  <c r="N1585" i="16"/>
  <c r="M1585" i="16" s="1"/>
  <c r="N1586" i="16"/>
  <c r="M1586" i="16" s="1"/>
  <c r="N1587" i="16"/>
  <c r="M1587" i="16" s="1"/>
  <c r="N1588" i="16"/>
  <c r="M1588" i="16" s="1"/>
  <c r="N1589" i="16"/>
  <c r="M1589" i="16" s="1"/>
  <c r="N1590" i="16"/>
  <c r="M1590" i="16" s="1"/>
  <c r="Q1551" i="16"/>
  <c r="Q1552" i="16"/>
  <c r="Q1553" i="16"/>
  <c r="Q1556" i="16"/>
  <c r="Q1557" i="16"/>
  <c r="Q1560" i="16"/>
  <c r="Q1561" i="16"/>
  <c r="Q1564" i="16"/>
  <c r="Q1565" i="16"/>
  <c r="Q1568" i="16"/>
  <c r="Q1569" i="16"/>
  <c r="Q1572" i="16"/>
  <c r="Q1573" i="16"/>
  <c r="Q1576" i="16"/>
  <c r="Q1577" i="16"/>
  <c r="Q1580" i="16"/>
  <c r="Q1581" i="16"/>
  <c r="Q1584" i="16"/>
  <c r="Q1585" i="16"/>
  <c r="Q1588" i="16"/>
  <c r="Q1589" i="16"/>
  <c r="S1551" i="16"/>
  <c r="S1552" i="16"/>
  <c r="S1553" i="16"/>
  <c r="S1554" i="16"/>
  <c r="S1555" i="16"/>
  <c r="S1556" i="16"/>
  <c r="S1557" i="16"/>
  <c r="S1558" i="16"/>
  <c r="S1559" i="16"/>
  <c r="S1560" i="16"/>
  <c r="S1561" i="16"/>
  <c r="S1562" i="16"/>
  <c r="S1563" i="16"/>
  <c r="S1564" i="16"/>
  <c r="S1565" i="16"/>
  <c r="S1566" i="16"/>
  <c r="S1567" i="16"/>
  <c r="S1568" i="16"/>
  <c r="S1569" i="16"/>
  <c r="S1570" i="16"/>
  <c r="S1571" i="16"/>
  <c r="S1572" i="16"/>
  <c r="S1573" i="16"/>
  <c r="S1574" i="16"/>
  <c r="S1575" i="16"/>
  <c r="S1576" i="16"/>
  <c r="S1577" i="16"/>
  <c r="S1578" i="16"/>
  <c r="S1579" i="16"/>
  <c r="S1580" i="16"/>
  <c r="S1581" i="16"/>
  <c r="S1582" i="16"/>
  <c r="S1583" i="16"/>
  <c r="S1584" i="16"/>
  <c r="S1585" i="16"/>
  <c r="S1586" i="16"/>
  <c r="S1587" i="16"/>
  <c r="S1588" i="16"/>
  <c r="S1589" i="16"/>
  <c r="S1590" i="16"/>
  <c r="U1551" i="16" a="1"/>
  <c r="U1551" i="16" s="1"/>
  <c r="U1552" i="16" a="1"/>
  <c r="U1552" i="16" s="1"/>
  <c r="U1553" i="16" a="1"/>
  <c r="U1553" i="16" s="1"/>
  <c r="U1554" i="16" a="1"/>
  <c r="U1554" i="16" s="1"/>
  <c r="U1555" i="16" a="1"/>
  <c r="U1555" i="16" s="1"/>
  <c r="U1556" i="16" a="1"/>
  <c r="U1556" i="16" s="1"/>
  <c r="U1557" i="16" a="1"/>
  <c r="U1557" i="16" s="1"/>
  <c r="U1558" i="16" a="1"/>
  <c r="U1558" i="16" s="1"/>
  <c r="U1559" i="16" a="1"/>
  <c r="U1559" i="16" s="1"/>
  <c r="U1560" i="16" a="1"/>
  <c r="U1560" i="16" s="1"/>
  <c r="U1561" i="16" a="1"/>
  <c r="U1561" i="16" s="1"/>
  <c r="U1562" i="16" a="1"/>
  <c r="U1562" i="16" s="1"/>
  <c r="U1563" i="16" a="1"/>
  <c r="U1563" i="16" s="1"/>
  <c r="U1564" i="16" a="1"/>
  <c r="U1564" i="16" s="1"/>
  <c r="U1565" i="16" a="1"/>
  <c r="U1565" i="16" s="1"/>
  <c r="U1566" i="16" a="1"/>
  <c r="U1566" i="16" s="1"/>
  <c r="U1567" i="16" a="1"/>
  <c r="U1567" i="16" s="1"/>
  <c r="U1568" i="16" a="1"/>
  <c r="U1568" i="16" s="1"/>
  <c r="U1569" i="16" a="1"/>
  <c r="U1569" i="16" s="1"/>
  <c r="U1570" i="16" a="1"/>
  <c r="U1570" i="16" s="1"/>
  <c r="U1571" i="16" a="1"/>
  <c r="U1571" i="16" s="1"/>
  <c r="U1572" i="16" a="1"/>
  <c r="U1572" i="16" s="1"/>
  <c r="U1573" i="16" a="1"/>
  <c r="U1573" i="16" s="1"/>
  <c r="U1574" i="16" a="1"/>
  <c r="U1574" i="16" s="1"/>
  <c r="U1575" i="16" a="1"/>
  <c r="U1575" i="16" s="1"/>
  <c r="U1576" i="16" a="1"/>
  <c r="U1576" i="16" s="1"/>
  <c r="U1577" i="16" a="1"/>
  <c r="U1577" i="16" s="1"/>
  <c r="U1578" i="16" a="1"/>
  <c r="U1578" i="16" s="1"/>
  <c r="U1579" i="16" a="1"/>
  <c r="U1579" i="16" s="1"/>
  <c r="U1580" i="16" a="1"/>
  <c r="U1580" i="16" s="1"/>
  <c r="U1581" i="16" a="1"/>
  <c r="U1581" i="16" s="1"/>
  <c r="U1582" i="16" a="1"/>
  <c r="U1582" i="16" s="1"/>
  <c r="U1583" i="16" a="1"/>
  <c r="U1583" i="16" s="1"/>
  <c r="U1584" i="16" a="1"/>
  <c r="U1584" i="16" s="1"/>
  <c r="U1585" i="16" a="1"/>
  <c r="U1585" i="16" s="1"/>
  <c r="U1586" i="16" a="1"/>
  <c r="U1586" i="16" s="1"/>
  <c r="U1587" i="16" a="1"/>
  <c r="U1587" i="16" s="1"/>
  <c r="U1588" i="16" a="1"/>
  <c r="U1588" i="16" s="1"/>
  <c r="U1589" i="16" a="1"/>
  <c r="U1589" i="16" s="1"/>
  <c r="U1590" i="16" a="1"/>
  <c r="U1590" i="16" s="1"/>
  <c r="V1552" i="16"/>
  <c r="V1553" i="16"/>
  <c r="V1554" i="16"/>
  <c r="V1555" i="16"/>
  <c r="V1556" i="16"/>
  <c r="V1557" i="16"/>
  <c r="V1558" i="16"/>
  <c r="V1559" i="16"/>
  <c r="V1560" i="16"/>
  <c r="V1561" i="16"/>
  <c r="V1562" i="16"/>
  <c r="V1563" i="16"/>
  <c r="V1564" i="16"/>
  <c r="V1565" i="16"/>
  <c r="V1566" i="16"/>
  <c r="V1568" i="16"/>
  <c r="V1569" i="16"/>
  <c r="V1570" i="16"/>
  <c r="V1571" i="16"/>
  <c r="V1572" i="16"/>
  <c r="V1573" i="16"/>
  <c r="V1574" i="16"/>
  <c r="W1830" i="16" s="1"/>
  <c r="V1575" i="16"/>
  <c r="W1831" i="16" s="1"/>
  <c r="V1576" i="16"/>
  <c r="V1578" i="16"/>
  <c r="V1579" i="16"/>
  <c r="V1580" i="16"/>
  <c r="V1581" i="16"/>
  <c r="V1582" i="16"/>
  <c r="V1583" i="16"/>
  <c r="V1584" i="16"/>
  <c r="V1586" i="16"/>
  <c r="V1587" i="16"/>
  <c r="V1588" i="16"/>
  <c r="V1589" i="16"/>
  <c r="V1590" i="16"/>
  <c r="D1379" i="6"/>
  <c r="E1379" i="6" a="1"/>
  <c r="E1379" i="6" s="1"/>
  <c r="G1379" i="6"/>
  <c r="H1379" i="6" s="1"/>
  <c r="I1379" i="6"/>
  <c r="N1379" i="6"/>
  <c r="Q1379" i="6"/>
  <c r="S1379" i="6"/>
  <c r="V1379" i="6"/>
  <c r="D1378" i="6"/>
  <c r="E1378" i="6" a="1"/>
  <c r="E1378" i="6" s="1"/>
  <c r="G1378" i="6"/>
  <c r="H1378" i="6" s="1"/>
  <c r="I1378" i="6"/>
  <c r="N1378" i="6"/>
  <c r="M1378" i="6" s="1"/>
  <c r="Q1378" i="6"/>
  <c r="S1378" i="6"/>
  <c r="U1378" i="6" a="1"/>
  <c r="U1378" i="6" s="1"/>
  <c r="V1378" i="6"/>
  <c r="N1376" i="6"/>
  <c r="D1376" i="6"/>
  <c r="E1376" i="6" a="1"/>
  <c r="E1376" i="6" s="1"/>
  <c r="G1376" i="6"/>
  <c r="H1376" i="6" s="1"/>
  <c r="I1376" i="6"/>
  <c r="S1376" i="6"/>
  <c r="V1376" i="6"/>
  <c r="E673" i="13"/>
  <c r="G673" i="13" s="1"/>
  <c r="E675" i="13"/>
  <c r="G675" i="13" s="1"/>
  <c r="F673" i="13"/>
  <c r="I673" i="13" s="1"/>
  <c r="F674" i="13"/>
  <c r="F675" i="13"/>
  <c r="K675" i="13" s="1"/>
  <c r="L673" i="13"/>
  <c r="N673" i="13" s="1"/>
  <c r="Q673" i="13" s="1"/>
  <c r="L674" i="13"/>
  <c r="N674" i="13" s="1"/>
  <c r="M673" i="13"/>
  <c r="R673" i="13" s="1"/>
  <c r="M674" i="13"/>
  <c r="R674" i="13" s="1"/>
  <c r="M675" i="13"/>
  <c r="P675" i="13" s="1"/>
  <c r="V673" i="13"/>
  <c r="V675" i="13"/>
  <c r="W673" i="13"/>
  <c r="W674" i="13"/>
  <c r="X673" i="13"/>
  <c r="X674" i="13"/>
  <c r="X675" i="13"/>
  <c r="Y673" i="13"/>
  <c r="Y674" i="13"/>
  <c r="Y675" i="13"/>
  <c r="AC673" i="13"/>
  <c r="AH673" i="13" s="1"/>
  <c r="AC674" i="13"/>
  <c r="AE674" i="13" s="1"/>
  <c r="AC675" i="13"/>
  <c r="AF675" i="13" s="1"/>
  <c r="AD673" i="13"/>
  <c r="AD674" i="13"/>
  <c r="AD675" i="13"/>
  <c r="AO673" i="13"/>
  <c r="AO674" i="13"/>
  <c r="AO675" i="13"/>
  <c r="V1567" i="16" l="1"/>
  <c r="V1551" i="16"/>
  <c r="V1577" i="16"/>
  <c r="W1811" i="16" s="1"/>
  <c r="O1811" i="16"/>
  <c r="V1602" i="16"/>
  <c r="W1574" i="16"/>
  <c r="W1743" i="16"/>
  <c r="M1574" i="16"/>
  <c r="O1743" i="16"/>
  <c r="O1658" i="16"/>
  <c r="O1744" i="16"/>
  <c r="W1636" i="16"/>
  <c r="O1636" i="16"/>
  <c r="O1746" i="16"/>
  <c r="W1658" i="16"/>
  <c r="W1744" i="16"/>
  <c r="V1598" i="16"/>
  <c r="W1575" i="16"/>
  <c r="M1575" i="16"/>
  <c r="M1577" i="16"/>
  <c r="L675" i="13"/>
  <c r="O675" i="13" s="1"/>
  <c r="V1585" i="16"/>
  <c r="O1577" i="16"/>
  <c r="Q1391" i="6"/>
  <c r="Q1612" i="16"/>
  <c r="M1612" i="16"/>
  <c r="W675" i="13"/>
  <c r="Z675" i="13" s="1"/>
  <c r="M1611" i="16"/>
  <c r="M1607" i="16"/>
  <c r="M1603" i="16"/>
  <c r="M1599" i="16"/>
  <c r="Q1390" i="6"/>
  <c r="M1389" i="6"/>
  <c r="Q1389" i="6"/>
  <c r="M1388" i="6"/>
  <c r="M1390" i="6"/>
  <c r="M1387" i="6"/>
  <c r="N1596" i="16"/>
  <c r="M1596" i="16" s="1"/>
  <c r="N1595" i="16"/>
  <c r="M1595" i="16" s="1"/>
  <c r="M1592" i="16"/>
  <c r="AG676" i="13"/>
  <c r="M1386" i="6"/>
  <c r="Q1385" i="6"/>
  <c r="N1385" i="6"/>
  <c r="V1385" i="6" s="1"/>
  <c r="M1591" i="16"/>
  <c r="P676" i="13"/>
  <c r="O1381" i="6"/>
  <c r="R1381" i="6" s="1"/>
  <c r="V676" i="13"/>
  <c r="Z676" i="13" s="1"/>
  <c r="E676" i="13"/>
  <c r="G676" i="13" s="1"/>
  <c r="T676" i="13"/>
  <c r="I676" i="13"/>
  <c r="AU676" i="13"/>
  <c r="Q676" i="13"/>
  <c r="AR676" i="13"/>
  <c r="AM676" i="13" a="1"/>
  <c r="AM676" i="13" s="1"/>
  <c r="AF676" i="13"/>
  <c r="O676" i="13"/>
  <c r="AE676" i="13"/>
  <c r="M1383" i="6"/>
  <c r="AG673" i="13"/>
  <c r="O1574" i="16"/>
  <c r="AM674" i="13" a="1"/>
  <c r="AM674" i="13" s="1"/>
  <c r="P673" i="13"/>
  <c r="O1575" i="16"/>
  <c r="T674" i="13"/>
  <c r="H675" i="13"/>
  <c r="AM673" i="13" a="1"/>
  <c r="AM673" i="13" s="1"/>
  <c r="AF674" i="13"/>
  <c r="R675" i="13"/>
  <c r="AU675" i="13" s="1"/>
  <c r="O674" i="13"/>
  <c r="AG675" i="13"/>
  <c r="AF673" i="13"/>
  <c r="O673" i="13"/>
  <c r="AG674" i="13"/>
  <c r="AE673" i="13"/>
  <c r="M1379" i="6"/>
  <c r="AL675" i="13" a="1"/>
  <c r="AL675" i="13" s="1"/>
  <c r="Q1376" i="6"/>
  <c r="M1376" i="6"/>
  <c r="I674" i="13"/>
  <c r="J673" i="13"/>
  <c r="AI673" i="13" s="1"/>
  <c r="AQ673" i="13"/>
  <c r="AL673" i="13" a="1"/>
  <c r="AL673" i="13" s="1"/>
  <c r="T675" i="13"/>
  <c r="K674" i="13"/>
  <c r="AU674" i="13" s="1"/>
  <c r="H673" i="13"/>
  <c r="S673" i="13"/>
  <c r="I675" i="13"/>
  <c r="J675" i="13"/>
  <c r="AQ675" i="13"/>
  <c r="Z673" i="13"/>
  <c r="Q674" i="13"/>
  <c r="AR674" i="13"/>
  <c r="P674" i="13"/>
  <c r="K673" i="13"/>
  <c r="AU673" i="13" s="1"/>
  <c r="AH675" i="13"/>
  <c r="AH674" i="13"/>
  <c r="AE675" i="13"/>
  <c r="T673" i="13"/>
  <c r="AR673" i="13"/>
  <c r="W1577" i="16" l="1"/>
  <c r="W1746" i="16"/>
  <c r="R1574" i="16"/>
  <c r="R1575" i="16"/>
  <c r="R1577" i="16"/>
  <c r="N675" i="13"/>
  <c r="AR675" i="13" s="1"/>
  <c r="S675" i="13"/>
  <c r="AA675" i="13" s="1"/>
  <c r="AJ675" i="13" s="1"/>
  <c r="M1385" i="6"/>
  <c r="AQ676" i="13"/>
  <c r="S676" i="13"/>
  <c r="AA676" i="13" s="1"/>
  <c r="AK676" i="13" s="1"/>
  <c r="H676" i="13"/>
  <c r="AA673" i="13"/>
  <c r="AP673" i="13" s="1"/>
  <c r="AV673" i="13" s="1"/>
  <c r="AS676" i="13" l="1"/>
  <c r="AT676" i="13" s="1"/>
  <c r="AP676" i="13"/>
  <c r="AJ676" i="13"/>
  <c r="AB676" i="13"/>
  <c r="AN673" i="13"/>
  <c r="AP675" i="13"/>
  <c r="AB675" i="13"/>
  <c r="AS675" i="13"/>
  <c r="AT675" i="13" s="1"/>
  <c r="AK673" i="13"/>
  <c r="AK675" i="13"/>
  <c r="AS673" i="13"/>
  <c r="AT673" i="13" s="1"/>
  <c r="AJ673" i="13"/>
  <c r="AB673" i="13"/>
  <c r="Q1371" i="6"/>
  <c r="N1373" i="6"/>
  <c r="Q1374" i="6"/>
  <c r="N1375" i="6"/>
  <c r="M1375" i="6" s="1"/>
  <c r="N1370" i="6"/>
  <c r="M1370" i="6" s="1"/>
  <c r="D1375" i="6"/>
  <c r="E1375" i="6" a="1"/>
  <c r="E1375" i="6" s="1"/>
  <c r="G1375" i="6"/>
  <c r="H1375" i="6" s="1"/>
  <c r="I1375" i="6"/>
  <c r="Q1375" i="6"/>
  <c r="S1375" i="6"/>
  <c r="U1375" i="6" a="1"/>
  <c r="U1375" i="6" s="1"/>
  <c r="D1374" i="6"/>
  <c r="E1374" i="6" a="1"/>
  <c r="E1374" i="6" s="1"/>
  <c r="G1374" i="6"/>
  <c r="H1374" i="6" s="1"/>
  <c r="I1374" i="6"/>
  <c r="S1374" i="6"/>
  <c r="U1374" i="6" a="1"/>
  <c r="U1374" i="6" s="1"/>
  <c r="D1373" i="6"/>
  <c r="E1373" i="6" a="1"/>
  <c r="E1373" i="6" s="1"/>
  <c r="G1373" i="6"/>
  <c r="H1373" i="6" s="1"/>
  <c r="I1373" i="6"/>
  <c r="S1373" i="6"/>
  <c r="V1373" i="6"/>
  <c r="D1372" i="6"/>
  <c r="E1372" i="6" a="1"/>
  <c r="E1372" i="6" s="1"/>
  <c r="G1372" i="6"/>
  <c r="H1372" i="6" s="1"/>
  <c r="I1372" i="6"/>
  <c r="N1372" i="6"/>
  <c r="M1372" i="6" s="1"/>
  <c r="Q1372" i="6"/>
  <c r="S1372" i="6"/>
  <c r="V1372" i="6"/>
  <c r="D1371" i="6"/>
  <c r="G1371" i="6"/>
  <c r="H1371" i="6" s="1"/>
  <c r="I1371" i="6"/>
  <c r="S1371" i="6"/>
  <c r="U1371" i="6" a="1"/>
  <c r="U1371" i="6" s="1"/>
  <c r="V1371" i="6"/>
  <c r="D1370" i="6"/>
  <c r="E1370" i="6" a="1"/>
  <c r="E1370" i="6" s="1"/>
  <c r="G1370" i="6"/>
  <c r="H1370" i="6" s="1"/>
  <c r="I1370" i="6"/>
  <c r="S1370" i="6"/>
  <c r="V1370" i="6"/>
  <c r="N1369" i="6"/>
  <c r="D1369" i="6"/>
  <c r="E1369" i="6" a="1"/>
  <c r="E1369" i="6" s="1"/>
  <c r="G1369" i="6"/>
  <c r="H1369" i="6" s="1"/>
  <c r="I1369" i="6"/>
  <c r="S1369" i="6"/>
  <c r="U1369" i="6" a="1"/>
  <c r="U1369" i="6" s="1"/>
  <c r="V1369" i="6"/>
  <c r="D1368" i="6"/>
  <c r="E1368" i="6" a="1"/>
  <c r="E1368" i="6" s="1"/>
  <c r="G1368" i="6"/>
  <c r="H1368" i="6" s="1"/>
  <c r="I1368" i="6"/>
  <c r="N1368" i="6"/>
  <c r="Q1368" i="6"/>
  <c r="S1368" i="6"/>
  <c r="V1368" i="6"/>
  <c r="D1367" i="6"/>
  <c r="E1367" i="6" a="1"/>
  <c r="E1367" i="6" s="1"/>
  <c r="G1367" i="6"/>
  <c r="H1367" i="6" s="1"/>
  <c r="I1367" i="6"/>
  <c r="N1367" i="6"/>
  <c r="Q1367" i="6"/>
  <c r="S1367" i="6"/>
  <c r="V1367" i="6"/>
  <c r="D1366" i="6"/>
  <c r="E1366" i="6" a="1"/>
  <c r="E1366" i="6" s="1"/>
  <c r="G1366" i="6"/>
  <c r="H1366" i="6" s="1"/>
  <c r="I1366" i="6"/>
  <c r="N1366" i="6"/>
  <c r="Q1366" i="6"/>
  <c r="S1366" i="6"/>
  <c r="V1366" i="6"/>
  <c r="D1365" i="6"/>
  <c r="E1365" i="6" a="1"/>
  <c r="E1365" i="6" s="1"/>
  <c r="G1365" i="6"/>
  <c r="H1365" i="6" s="1"/>
  <c r="I1365" i="6"/>
  <c r="N1365" i="6"/>
  <c r="M1365" i="6" s="1"/>
  <c r="Q1365" i="6"/>
  <c r="S1365" i="6"/>
  <c r="V1365" i="6"/>
  <c r="E670" i="13"/>
  <c r="E671" i="13"/>
  <c r="G671" i="13" s="1"/>
  <c r="J671" i="13" s="1"/>
  <c r="E672" i="13"/>
  <c r="G672" i="13" s="1"/>
  <c r="F670" i="13"/>
  <c r="I670" i="13" s="1"/>
  <c r="F671" i="13"/>
  <c r="I671" i="13" s="1"/>
  <c r="F672" i="13"/>
  <c r="K672" i="13" s="1"/>
  <c r="L670" i="13"/>
  <c r="L671" i="13"/>
  <c r="N671" i="13" s="1"/>
  <c r="L672" i="13"/>
  <c r="O672" i="13" s="1"/>
  <c r="M670" i="13"/>
  <c r="P670" i="13" s="1"/>
  <c r="M671" i="13"/>
  <c r="R671" i="13" s="1"/>
  <c r="M672" i="13"/>
  <c r="P672" i="13" s="1"/>
  <c r="V670" i="13"/>
  <c r="V671" i="13"/>
  <c r="V672" i="13"/>
  <c r="W670" i="13"/>
  <c r="W671" i="13"/>
  <c r="W672" i="13"/>
  <c r="X670" i="13"/>
  <c r="X671" i="13"/>
  <c r="X672" i="13"/>
  <c r="Y670" i="13"/>
  <c r="Y671" i="13"/>
  <c r="Y672" i="13"/>
  <c r="AC670" i="13"/>
  <c r="AH670" i="13" s="1"/>
  <c r="AC671" i="13"/>
  <c r="AE671" i="13" s="1"/>
  <c r="AC672" i="13"/>
  <c r="AF672" i="13" s="1"/>
  <c r="AD670" i="13"/>
  <c r="AD671" i="13"/>
  <c r="AD672" i="13"/>
  <c r="AO670" i="13"/>
  <c r="AO671" i="13"/>
  <c r="AO672" i="13"/>
  <c r="N1357" i="6"/>
  <c r="D1357" i="6"/>
  <c r="E1357" i="6" a="1"/>
  <c r="E1357" i="6" s="1"/>
  <c r="G1357" i="6"/>
  <c r="H1357" i="6" s="1"/>
  <c r="I1357" i="6"/>
  <c r="Q1357" i="6"/>
  <c r="S1357" i="6"/>
  <c r="U1357" i="6" a="1"/>
  <c r="U1357" i="6" s="1"/>
  <c r="V1357" i="6"/>
  <c r="D1355" i="6"/>
  <c r="E1355" i="6" a="1"/>
  <c r="E1355" i="6" s="1"/>
  <c r="G1355" i="6"/>
  <c r="H1355" i="6" s="1"/>
  <c r="I1355" i="6"/>
  <c r="S1355" i="6"/>
  <c r="U1355" i="6" a="1"/>
  <c r="U1355" i="6" s="1"/>
  <c r="V1355" i="6"/>
  <c r="Q1364" i="6"/>
  <c r="D1364" i="6"/>
  <c r="E1364" i="6" a="1"/>
  <c r="E1364" i="6" s="1"/>
  <c r="G1364" i="6"/>
  <c r="H1364" i="6" s="1"/>
  <c r="I1364" i="6"/>
  <c r="N1364" i="6"/>
  <c r="V1364" i="6" s="1"/>
  <c r="S1364" i="6"/>
  <c r="U1364" i="6" a="1"/>
  <c r="U1364" i="6" s="1"/>
  <c r="D1363" i="6"/>
  <c r="E1363" i="6" a="1"/>
  <c r="E1363" i="6" s="1"/>
  <c r="G1363" i="6"/>
  <c r="H1363" i="6" s="1"/>
  <c r="I1363" i="6"/>
  <c r="N1363" i="6"/>
  <c r="M1363" i="6" s="1"/>
  <c r="Q1363" i="6"/>
  <c r="S1363" i="6"/>
  <c r="U1363" i="6" a="1"/>
  <c r="U1363" i="6" s="1"/>
  <c r="V1363" i="6"/>
  <c r="D1362" i="6"/>
  <c r="E1362" i="6" a="1"/>
  <c r="E1362" i="6" s="1"/>
  <c r="G1362" i="6"/>
  <c r="H1362" i="6" s="1"/>
  <c r="I1362" i="6"/>
  <c r="N1362" i="6"/>
  <c r="M1362" i="6" s="1"/>
  <c r="Q1362" i="6"/>
  <c r="S1362" i="6"/>
  <c r="U1362" i="6" a="1"/>
  <c r="U1362" i="6" s="1"/>
  <c r="V1362" i="6"/>
  <c r="D1550" i="16"/>
  <c r="E1550" i="16" a="1"/>
  <c r="E1550" i="16" s="1"/>
  <c r="G1550" i="16"/>
  <c r="H1550" i="16" s="1"/>
  <c r="I1550" i="16"/>
  <c r="N1550" i="16"/>
  <c r="Q1550" i="16"/>
  <c r="S1550" i="16"/>
  <c r="V1550" i="16"/>
  <c r="Q1543" i="16"/>
  <c r="N1544" i="16"/>
  <c r="M1544" i="16" s="1"/>
  <c r="N1545" i="16"/>
  <c r="N1546" i="16"/>
  <c r="M1546" i="16" s="1"/>
  <c r="Q1547" i="16"/>
  <c r="N1548" i="16"/>
  <c r="M1548" i="16" s="1"/>
  <c r="N1549" i="16"/>
  <c r="N1541" i="16"/>
  <c r="V1541" i="16" s="1"/>
  <c r="D1541" i="16"/>
  <c r="D1542" i="16"/>
  <c r="D1543" i="16"/>
  <c r="D1544" i="16"/>
  <c r="D1545" i="16"/>
  <c r="D1546" i="16"/>
  <c r="D1547" i="16"/>
  <c r="D1548" i="16"/>
  <c r="D1549" i="16"/>
  <c r="E1541" i="16" a="1"/>
  <c r="E1541" i="16" s="1"/>
  <c r="E1542" i="16" a="1"/>
  <c r="E1542" i="16" s="1"/>
  <c r="E1543" i="16" a="1"/>
  <c r="E1543" i="16" s="1"/>
  <c r="E1544" i="16" a="1"/>
  <c r="E1544" i="16" s="1"/>
  <c r="E1545" i="16" a="1"/>
  <c r="E1545" i="16" s="1"/>
  <c r="E1546" i="16" a="1"/>
  <c r="E1546" i="16" s="1"/>
  <c r="E1547" i="16" a="1"/>
  <c r="E1547" i="16" s="1"/>
  <c r="E1548" i="16" a="1"/>
  <c r="E1548" i="16" s="1"/>
  <c r="E1549" i="16" a="1"/>
  <c r="E1549" i="16" s="1"/>
  <c r="G1541" i="16"/>
  <c r="H1541" i="16" s="1"/>
  <c r="G1542" i="16"/>
  <c r="H1542" i="16" s="1"/>
  <c r="G1543" i="16"/>
  <c r="H1543" i="16" s="1"/>
  <c r="G1544" i="16"/>
  <c r="H1544" i="16" s="1"/>
  <c r="G1545" i="16"/>
  <c r="H1545" i="16" s="1"/>
  <c r="G1546" i="16"/>
  <c r="H1546" i="16" s="1"/>
  <c r="G1547" i="16"/>
  <c r="H1547" i="16" s="1"/>
  <c r="G1548" i="16"/>
  <c r="H1548" i="16" s="1"/>
  <c r="G1549" i="16"/>
  <c r="H1549" i="16" s="1"/>
  <c r="I1541" i="16"/>
  <c r="I1542" i="16"/>
  <c r="I1543" i="16"/>
  <c r="I1544" i="16"/>
  <c r="I1545" i="16"/>
  <c r="I1546" i="16"/>
  <c r="I1547" i="16"/>
  <c r="I1548" i="16"/>
  <c r="I1549" i="16"/>
  <c r="N1542" i="16"/>
  <c r="M1542" i="16" s="1"/>
  <c r="N1543" i="16"/>
  <c r="M1543" i="16" s="1"/>
  <c r="Q1541" i="16"/>
  <c r="Q1542" i="16"/>
  <c r="S1541" i="16"/>
  <c r="S1542" i="16"/>
  <c r="S1543" i="16"/>
  <c r="S1544" i="16"/>
  <c r="S1545" i="16"/>
  <c r="S1546" i="16"/>
  <c r="S1547" i="16"/>
  <c r="S1548" i="16"/>
  <c r="S1549" i="16"/>
  <c r="U1541" i="16" a="1"/>
  <c r="U1541" i="16" s="1"/>
  <c r="U1542" i="16" a="1"/>
  <c r="U1542" i="16" s="1"/>
  <c r="U1543" i="16" a="1"/>
  <c r="U1543" i="16" s="1"/>
  <c r="U1544" i="16" a="1"/>
  <c r="U1544" i="16" s="1"/>
  <c r="U1545" i="16" a="1"/>
  <c r="U1545" i="16" s="1"/>
  <c r="U1546" i="16" a="1"/>
  <c r="U1546" i="16" s="1"/>
  <c r="U1547" i="16" a="1"/>
  <c r="U1547" i="16" s="1"/>
  <c r="U1548" i="16" a="1"/>
  <c r="U1548" i="16" s="1"/>
  <c r="U1549" i="16" a="1"/>
  <c r="U1549" i="16" s="1"/>
  <c r="V1542" i="16"/>
  <c r="V1543" i="16"/>
  <c r="V1544" i="16"/>
  <c r="V1545" i="16"/>
  <c r="V1546" i="16"/>
  <c r="V1547" i="16"/>
  <c r="V1549" i="16"/>
  <c r="Q1358" i="6"/>
  <c r="Q1360" i="6"/>
  <c r="N1361" i="6"/>
  <c r="Q1356" i="6"/>
  <c r="D1361" i="6"/>
  <c r="E1361" i="6" a="1"/>
  <c r="E1361" i="6" s="1"/>
  <c r="G1361" i="6"/>
  <c r="H1361" i="6" s="1"/>
  <c r="I1361" i="6"/>
  <c r="S1361" i="6"/>
  <c r="V1361" i="6"/>
  <c r="D1360" i="6"/>
  <c r="E1360" i="6" a="1"/>
  <c r="E1360" i="6" s="1"/>
  <c r="G1360" i="6"/>
  <c r="H1360" i="6" s="1"/>
  <c r="I1360" i="6"/>
  <c r="S1360" i="6"/>
  <c r="V1360" i="6"/>
  <c r="D1359" i="6"/>
  <c r="E1359" i="6" a="1"/>
  <c r="E1359" i="6" s="1"/>
  <c r="G1359" i="6"/>
  <c r="H1359" i="6" s="1"/>
  <c r="I1359" i="6"/>
  <c r="S1359" i="6"/>
  <c r="V1359" i="6"/>
  <c r="D1358" i="6"/>
  <c r="E1358" i="6" a="1"/>
  <c r="E1358" i="6" s="1"/>
  <c r="G1358" i="6"/>
  <c r="H1358" i="6" s="1"/>
  <c r="I1358" i="6"/>
  <c r="S1358" i="6"/>
  <c r="V1358" i="6"/>
  <c r="D1356" i="6"/>
  <c r="E1356" i="6" a="1"/>
  <c r="E1356" i="6" s="1"/>
  <c r="G1356" i="6"/>
  <c r="H1356" i="6" s="1"/>
  <c r="I1356" i="6"/>
  <c r="S1356" i="6"/>
  <c r="V1356" i="6"/>
  <c r="D1540" i="16"/>
  <c r="E1540" i="16" a="1"/>
  <c r="E1540" i="16" s="1"/>
  <c r="G1540" i="16"/>
  <c r="H1540" i="16" s="1"/>
  <c r="I1540" i="16"/>
  <c r="N1540" i="16"/>
  <c r="M1540" i="16" s="1"/>
  <c r="Q1540" i="16"/>
  <c r="S1540" i="16"/>
  <c r="U1540" i="16" a="1"/>
  <c r="U1540" i="16" s="1"/>
  <c r="V1540" i="16"/>
  <c r="D1539" i="16"/>
  <c r="E1539" i="16" a="1"/>
  <c r="E1539" i="16" s="1"/>
  <c r="G1539" i="16"/>
  <c r="H1539" i="16" s="1"/>
  <c r="I1539" i="16"/>
  <c r="S1539" i="16"/>
  <c r="U1539" i="16" a="1"/>
  <c r="U1539" i="16" s="1"/>
  <c r="V1539" i="16"/>
  <c r="N1349" i="6"/>
  <c r="M1349" i="6" s="1"/>
  <c r="N1353" i="6"/>
  <c r="D1354" i="6"/>
  <c r="E1354" i="6" a="1"/>
  <c r="E1354" i="6" s="1"/>
  <c r="G1354" i="6"/>
  <c r="H1354" i="6" s="1"/>
  <c r="I1354" i="6"/>
  <c r="N1354" i="6"/>
  <c r="Q1354" i="6"/>
  <c r="S1354" i="6"/>
  <c r="U1354" i="6" a="1"/>
  <c r="U1354" i="6" s="1"/>
  <c r="V1354" i="6"/>
  <c r="D1353" i="6"/>
  <c r="E1353" i="6" a="1"/>
  <c r="E1353" i="6" s="1"/>
  <c r="G1353" i="6"/>
  <c r="H1353" i="6" s="1"/>
  <c r="I1353" i="6"/>
  <c r="S1353" i="6"/>
  <c r="V1353" i="6"/>
  <c r="D1352" i="6"/>
  <c r="E1352" i="6" a="1"/>
  <c r="E1352" i="6" s="1"/>
  <c r="G1352" i="6"/>
  <c r="H1352" i="6" s="1"/>
  <c r="I1352" i="6"/>
  <c r="N1352" i="6"/>
  <c r="Q1352" i="6"/>
  <c r="S1352" i="6"/>
  <c r="V1352" i="6"/>
  <c r="D1351" i="6"/>
  <c r="E1351" i="6" a="1"/>
  <c r="E1351" i="6" s="1"/>
  <c r="G1351" i="6"/>
  <c r="H1351" i="6" s="1"/>
  <c r="I1351" i="6"/>
  <c r="N1351" i="6"/>
  <c r="Q1351" i="6"/>
  <c r="S1351" i="6"/>
  <c r="V1351" i="6"/>
  <c r="D1350" i="6"/>
  <c r="E1350" i="6" a="1"/>
  <c r="E1350" i="6" s="1"/>
  <c r="G1350" i="6"/>
  <c r="H1350" i="6" s="1"/>
  <c r="I1350" i="6"/>
  <c r="N1350" i="6"/>
  <c r="Q1350" i="6"/>
  <c r="S1350" i="6"/>
  <c r="U1350" i="6" a="1"/>
  <c r="U1350" i="6" s="1"/>
  <c r="V1350" i="6"/>
  <c r="D1349" i="6"/>
  <c r="E1349" i="6" a="1"/>
  <c r="E1349" i="6" s="1"/>
  <c r="G1349" i="6"/>
  <c r="H1349" i="6" s="1"/>
  <c r="I1349" i="6"/>
  <c r="Q1349" i="6"/>
  <c r="S1349" i="6"/>
  <c r="U1349" i="6" a="1"/>
  <c r="U1349" i="6" s="1"/>
  <c r="D1348" i="6"/>
  <c r="E1348" i="6" a="1"/>
  <c r="E1348" i="6" s="1"/>
  <c r="G1348" i="6"/>
  <c r="H1348" i="6" s="1"/>
  <c r="I1348" i="6"/>
  <c r="N1348" i="6"/>
  <c r="Q1348" i="6"/>
  <c r="S1348" i="6"/>
  <c r="V1348" i="6"/>
  <c r="D1347" i="6"/>
  <c r="E1347" i="6" a="1"/>
  <c r="E1347" i="6" s="1"/>
  <c r="G1347" i="6"/>
  <c r="H1347" i="6" s="1"/>
  <c r="I1347" i="6"/>
  <c r="N1347" i="6"/>
  <c r="M1347" i="6" s="1"/>
  <c r="Q1347" i="6"/>
  <c r="S1347" i="6"/>
  <c r="U1347" i="6" a="1"/>
  <c r="U1347" i="6" s="1"/>
  <c r="V1347" i="6"/>
  <c r="W1347" i="6" s="1"/>
  <c r="D1346" i="6"/>
  <c r="E1346" i="6" a="1"/>
  <c r="E1346" i="6" s="1"/>
  <c r="G1346" i="6"/>
  <c r="H1346" i="6" s="1"/>
  <c r="I1346" i="6"/>
  <c r="N1346" i="6"/>
  <c r="M1346" i="6" s="1"/>
  <c r="Q1346" i="6"/>
  <c r="S1346" i="6"/>
  <c r="V1346" i="6"/>
  <c r="G670" i="13" l="1"/>
  <c r="AQ670" i="13" s="1"/>
  <c r="V1548" i="16"/>
  <c r="V1375" i="6"/>
  <c r="AG672" i="13"/>
  <c r="N670" i="13"/>
  <c r="AR670" i="13" s="1"/>
  <c r="R672" i="13"/>
  <c r="AU672" i="13" s="1"/>
  <c r="O671" i="13"/>
  <c r="O670" i="13"/>
  <c r="N1371" i="6"/>
  <c r="M1371" i="6" s="1"/>
  <c r="AG671" i="13"/>
  <c r="AG670" i="13"/>
  <c r="AH671" i="13"/>
  <c r="AF671" i="13"/>
  <c r="AE670" i="13"/>
  <c r="R670" i="13"/>
  <c r="Q1373" i="6"/>
  <c r="Q1370" i="6"/>
  <c r="M1373" i="6"/>
  <c r="N1374" i="6"/>
  <c r="V1374" i="6" s="1"/>
  <c r="W1375" i="6" s="1"/>
  <c r="Q671" i="13"/>
  <c r="AI671" i="13" s="1"/>
  <c r="AR671" i="13"/>
  <c r="AM671" i="13" a="1"/>
  <c r="AM671" i="13" s="1"/>
  <c r="AL671" i="13" a="1"/>
  <c r="AL671" i="13" s="1"/>
  <c r="Q1369" i="6"/>
  <c r="M1369" i="6"/>
  <c r="AL672" i="13" a="1"/>
  <c r="AL672" i="13" s="1"/>
  <c r="T672" i="13"/>
  <c r="M1368" i="6"/>
  <c r="S671" i="13"/>
  <c r="H672" i="13"/>
  <c r="H671" i="13"/>
  <c r="S670" i="13"/>
  <c r="K671" i="13"/>
  <c r="AU671" i="13" s="1"/>
  <c r="H670" i="13"/>
  <c r="M1367" i="6"/>
  <c r="M1366" i="6"/>
  <c r="AQ672" i="13"/>
  <c r="J672" i="13"/>
  <c r="Z672" i="13"/>
  <c r="Z671" i="13"/>
  <c r="Z670" i="13"/>
  <c r="AQ671" i="13"/>
  <c r="AM672" i="13" a="1"/>
  <c r="AM672" i="13" s="1"/>
  <c r="AH672" i="13"/>
  <c r="AF670" i="13"/>
  <c r="T671" i="13"/>
  <c r="P671" i="13"/>
  <c r="K670" i="13"/>
  <c r="I672" i="13"/>
  <c r="T670" i="13"/>
  <c r="N672" i="13"/>
  <c r="AE672" i="13"/>
  <c r="S672" i="13"/>
  <c r="M1357" i="6"/>
  <c r="M1364" i="6"/>
  <c r="Q1361" i="6"/>
  <c r="N1358" i="6"/>
  <c r="M1358" i="6" s="1"/>
  <c r="N1356" i="6"/>
  <c r="M1356" i="6" s="1"/>
  <c r="V1349" i="6"/>
  <c r="M1550" i="16"/>
  <c r="Q1546" i="16"/>
  <c r="N1547" i="16"/>
  <c r="M1547" i="16" s="1"/>
  <c r="Q1549" i="16"/>
  <c r="Q1545" i="16"/>
  <c r="Q1548" i="16"/>
  <c r="Q1544" i="16"/>
  <c r="M1549" i="16"/>
  <c r="M1541" i="16"/>
  <c r="M1545" i="16"/>
  <c r="N1360" i="6"/>
  <c r="M1361" i="6"/>
  <c r="O1347" i="6"/>
  <c r="R1347" i="6" s="1"/>
  <c r="N1539" i="16"/>
  <c r="Q1539" i="16"/>
  <c r="Q1353" i="6"/>
  <c r="M1354" i="6"/>
  <c r="M1353" i="6"/>
  <c r="M1352" i="6"/>
  <c r="M1351" i="6"/>
  <c r="M1350" i="6"/>
  <c r="M1348" i="6"/>
  <c r="V674" i="13" l="1"/>
  <c r="Z674" i="13" s="1"/>
  <c r="W1385" i="6"/>
  <c r="W1374" i="6"/>
  <c r="E674" i="13"/>
  <c r="H674" i="13" s="1"/>
  <c r="O1385" i="6"/>
  <c r="AU670" i="13"/>
  <c r="O1374" i="6"/>
  <c r="O1375" i="6"/>
  <c r="M1374" i="6"/>
  <c r="AA672" i="13"/>
  <c r="AJ672" i="13" s="1"/>
  <c r="AA670" i="13"/>
  <c r="AB670" i="13" s="1"/>
  <c r="AA671" i="13"/>
  <c r="AB671" i="13" s="1"/>
  <c r="Q672" i="13"/>
  <c r="AI672" i="13" s="1"/>
  <c r="AR672" i="13"/>
  <c r="N1355" i="6"/>
  <c r="Q1355" i="6"/>
  <c r="M1360" i="6"/>
  <c r="M1539" i="16"/>
  <c r="G674" i="13" l="1"/>
  <c r="AQ674" i="13" s="1"/>
  <c r="S674" i="13"/>
  <c r="AA674" i="13" s="1"/>
  <c r="AS674" i="13" s="1"/>
  <c r="AT674" i="13" s="1"/>
  <c r="R1374" i="6"/>
  <c r="AK672" i="13"/>
  <c r="AS672" i="13"/>
  <c r="AT672" i="13" s="1"/>
  <c r="AB672" i="13"/>
  <c r="AP672" i="13"/>
  <c r="AV672" i="13" s="1"/>
  <c r="AN672" i="13"/>
  <c r="AS670" i="13"/>
  <c r="AT670" i="13" s="1"/>
  <c r="AP670" i="13"/>
  <c r="AK670" i="13"/>
  <c r="AP671" i="13"/>
  <c r="AV671" i="13" s="1"/>
  <c r="AJ670" i="13"/>
  <c r="AN671" i="13"/>
  <c r="AJ671" i="13"/>
  <c r="AK671" i="13"/>
  <c r="AS671" i="13"/>
  <c r="AT671" i="13" s="1"/>
  <c r="M1355" i="6"/>
  <c r="D1345" i="6"/>
  <c r="E1345" i="6" a="1"/>
  <c r="E1345" i="6" s="1"/>
  <c r="G1345" i="6"/>
  <c r="H1345" i="6" s="1"/>
  <c r="I1345" i="6"/>
  <c r="N1345" i="6"/>
  <c r="Q1345" i="6"/>
  <c r="S1345" i="6"/>
  <c r="V1345" i="6"/>
  <c r="D1344" i="6"/>
  <c r="E1344" i="6" a="1"/>
  <c r="E1344" i="6" s="1"/>
  <c r="G1344" i="6"/>
  <c r="H1344" i="6" s="1"/>
  <c r="I1344" i="6"/>
  <c r="N1344" i="6"/>
  <c r="Q1344" i="6"/>
  <c r="S1344" i="6"/>
  <c r="V1344" i="6"/>
  <c r="D1343" i="6"/>
  <c r="E1343" i="6" a="1"/>
  <c r="E1343" i="6" s="1"/>
  <c r="G1343" i="6"/>
  <c r="H1343" i="6" s="1"/>
  <c r="I1343" i="6"/>
  <c r="N1343" i="6"/>
  <c r="M1343" i="6" s="1"/>
  <c r="Q1343" i="6"/>
  <c r="S1343" i="6"/>
  <c r="V1343" i="6"/>
  <c r="D1342" i="6"/>
  <c r="E1342" i="6" a="1"/>
  <c r="E1342" i="6" s="1"/>
  <c r="G1342" i="6"/>
  <c r="H1342" i="6" s="1"/>
  <c r="I1342" i="6"/>
  <c r="N1342" i="6"/>
  <c r="Q1342" i="6"/>
  <c r="S1342" i="6"/>
  <c r="V1342" i="6"/>
  <c r="D1341" i="6"/>
  <c r="E1341" i="6" a="1"/>
  <c r="E1341" i="6" s="1"/>
  <c r="G1341" i="6"/>
  <c r="H1341" i="6" s="1"/>
  <c r="I1341" i="6"/>
  <c r="N1341" i="6"/>
  <c r="Q1341" i="6"/>
  <c r="S1341" i="6"/>
  <c r="V1341" i="6"/>
  <c r="D1340" i="6"/>
  <c r="E1340" i="6" a="1"/>
  <c r="E1340" i="6" s="1"/>
  <c r="G1340" i="6"/>
  <c r="H1340" i="6" s="1"/>
  <c r="I1340" i="6"/>
  <c r="N1340" i="6"/>
  <c r="M1340" i="6" s="1"/>
  <c r="Q1340" i="6"/>
  <c r="S1340" i="6"/>
  <c r="V1340" i="6"/>
  <c r="D1339" i="6"/>
  <c r="E1339" i="6" a="1"/>
  <c r="E1339" i="6" s="1"/>
  <c r="G1339" i="6"/>
  <c r="H1339" i="6" s="1"/>
  <c r="I1339" i="6"/>
  <c r="N1339" i="6"/>
  <c r="Q1339" i="6"/>
  <c r="S1339" i="6"/>
  <c r="V1339" i="6"/>
  <c r="N1519" i="16"/>
  <c r="D1519" i="16"/>
  <c r="E1519" i="16" a="1"/>
  <c r="E1519" i="16" s="1"/>
  <c r="G1519" i="16"/>
  <c r="H1519" i="16" s="1"/>
  <c r="I1519" i="16"/>
  <c r="Q1519" i="16"/>
  <c r="S1519" i="16"/>
  <c r="U1519" i="16" a="1"/>
  <c r="U1519" i="16" s="1"/>
  <c r="V1519" i="16"/>
  <c r="Q1522" i="16"/>
  <c r="Q1523" i="16"/>
  <c r="N1524" i="16"/>
  <c r="M1524" i="16" s="1"/>
  <c r="Q1527" i="16"/>
  <c r="N1528" i="16"/>
  <c r="M1528" i="16" s="1"/>
  <c r="N1530" i="16"/>
  <c r="M1530" i="16" s="1"/>
  <c r="Q1531" i="16"/>
  <c r="N1532" i="16"/>
  <c r="M1532" i="16" s="1"/>
  <c r="N1534" i="16"/>
  <c r="M1534" i="16" s="1"/>
  <c r="Q1535" i="16"/>
  <c r="N1536" i="16"/>
  <c r="M1536" i="16" s="1"/>
  <c r="Q1538" i="16"/>
  <c r="Q1520" i="16"/>
  <c r="D1520" i="16"/>
  <c r="D1521" i="16"/>
  <c r="D1522" i="16"/>
  <c r="D1523" i="16"/>
  <c r="D1524" i="16"/>
  <c r="D1525" i="16"/>
  <c r="D1526" i="16"/>
  <c r="D1527" i="16"/>
  <c r="D1528" i="16"/>
  <c r="D1529" i="16"/>
  <c r="D1530" i="16"/>
  <c r="D1531" i="16"/>
  <c r="D1532" i="16"/>
  <c r="D1533" i="16"/>
  <c r="D1534" i="16"/>
  <c r="D1535" i="16"/>
  <c r="D1536" i="16"/>
  <c r="D1537" i="16"/>
  <c r="D1538" i="16"/>
  <c r="E1520" i="16" a="1"/>
  <c r="E1520" i="16" s="1"/>
  <c r="E1521" i="16" a="1"/>
  <c r="E1521" i="16" s="1"/>
  <c r="E1522" i="16" a="1"/>
  <c r="E1522" i="16" s="1"/>
  <c r="E1523" i="16" a="1"/>
  <c r="E1523" i="16" s="1"/>
  <c r="E1524" i="16" a="1"/>
  <c r="E1524" i="16" s="1"/>
  <c r="E1525" i="16" a="1"/>
  <c r="E1525" i="16" s="1"/>
  <c r="E1526" i="16" a="1"/>
  <c r="E1526" i="16" s="1"/>
  <c r="E1527" i="16" a="1"/>
  <c r="E1527" i="16" s="1"/>
  <c r="E1528" i="16" a="1"/>
  <c r="E1528" i="16" s="1"/>
  <c r="E1529" i="16" a="1"/>
  <c r="E1529" i="16" s="1"/>
  <c r="E1530" i="16" a="1"/>
  <c r="E1530" i="16" s="1"/>
  <c r="E1531" i="16" a="1"/>
  <c r="E1531" i="16" s="1"/>
  <c r="E1532" i="16" a="1"/>
  <c r="E1532" i="16" s="1"/>
  <c r="E1533" i="16" a="1"/>
  <c r="E1533" i="16" s="1"/>
  <c r="E1534" i="16" a="1"/>
  <c r="E1534" i="16" s="1"/>
  <c r="E1535" i="16" a="1"/>
  <c r="E1535" i="16" s="1"/>
  <c r="E1536" i="16" a="1"/>
  <c r="E1536" i="16" s="1"/>
  <c r="E1537" i="16" a="1"/>
  <c r="E1537" i="16" s="1"/>
  <c r="E1538" i="16" a="1"/>
  <c r="E1538" i="16" s="1"/>
  <c r="G1520" i="16"/>
  <c r="H1520" i="16" s="1"/>
  <c r="G1521" i="16"/>
  <c r="H1521" i="16" s="1"/>
  <c r="G1522" i="16"/>
  <c r="H1522" i="16" s="1"/>
  <c r="G1523" i="16"/>
  <c r="H1523" i="16" s="1"/>
  <c r="G1524" i="16"/>
  <c r="H1524" i="16" s="1"/>
  <c r="G1525" i="16"/>
  <c r="H1525" i="16" s="1"/>
  <c r="G1526" i="16"/>
  <c r="H1526" i="16" s="1"/>
  <c r="G1527" i="16"/>
  <c r="H1527" i="16" s="1"/>
  <c r="G1528" i="16"/>
  <c r="H1528" i="16" s="1"/>
  <c r="G1529" i="16"/>
  <c r="H1529" i="16" s="1"/>
  <c r="G1530" i="16"/>
  <c r="H1530" i="16" s="1"/>
  <c r="G1531" i="16"/>
  <c r="H1531" i="16" s="1"/>
  <c r="G1532" i="16"/>
  <c r="H1532" i="16" s="1"/>
  <c r="G1533" i="16"/>
  <c r="H1533" i="16" s="1"/>
  <c r="G1534" i="16"/>
  <c r="H1534" i="16" s="1"/>
  <c r="G1535" i="16"/>
  <c r="H1535" i="16" s="1"/>
  <c r="G1536" i="16"/>
  <c r="H1536" i="16" s="1"/>
  <c r="G1537" i="16"/>
  <c r="H1537" i="16" s="1"/>
  <c r="G1538" i="16"/>
  <c r="H1538" i="16" s="1"/>
  <c r="I1520" i="16"/>
  <c r="I1521" i="16"/>
  <c r="I1522" i="16"/>
  <c r="I1523" i="16"/>
  <c r="I1524" i="16"/>
  <c r="I1525" i="16"/>
  <c r="I1526" i="16"/>
  <c r="I1527" i="16"/>
  <c r="I1528" i="16"/>
  <c r="I1529" i="16"/>
  <c r="I1530" i="16"/>
  <c r="I1531" i="16"/>
  <c r="I1532" i="16"/>
  <c r="I1533" i="16"/>
  <c r="I1534" i="16"/>
  <c r="I1535" i="16"/>
  <c r="I1536" i="16"/>
  <c r="I1537" i="16"/>
  <c r="I1538" i="16"/>
  <c r="N1521" i="16"/>
  <c r="M1521" i="16" s="1"/>
  <c r="N1522" i="16"/>
  <c r="M1522" i="16" s="1"/>
  <c r="N1525" i="16"/>
  <c r="M1525" i="16" s="1"/>
  <c r="N1526" i="16"/>
  <c r="M1526" i="16" s="1"/>
  <c r="N1527" i="16"/>
  <c r="M1527" i="16" s="1"/>
  <c r="N1529" i="16"/>
  <c r="M1529" i="16" s="1"/>
  <c r="N1533" i="16"/>
  <c r="M1533" i="16" s="1"/>
  <c r="N1537" i="16"/>
  <c r="M1537" i="16" s="1"/>
  <c r="N1538" i="16"/>
  <c r="M1538" i="16" s="1"/>
  <c r="Q1521" i="16"/>
  <c r="Q1525" i="16"/>
  <c r="Q1526" i="16"/>
  <c r="Q1529" i="16"/>
  <c r="Q1533" i="16"/>
  <c r="Q1534" i="16"/>
  <c r="Q1537" i="16"/>
  <c r="S1520" i="16"/>
  <c r="S1521" i="16"/>
  <c r="S1522" i="16"/>
  <c r="S1523" i="16"/>
  <c r="S1524" i="16"/>
  <c r="S1525" i="16"/>
  <c r="S1526" i="16"/>
  <c r="S1527" i="16"/>
  <c r="S1528" i="16"/>
  <c r="S1529" i="16"/>
  <c r="S1530" i="16"/>
  <c r="S1531" i="16"/>
  <c r="S1532" i="16"/>
  <c r="S1533" i="16"/>
  <c r="S1534" i="16"/>
  <c r="S1535" i="16"/>
  <c r="S1536" i="16"/>
  <c r="S1537" i="16"/>
  <c r="S1538" i="16"/>
  <c r="U1520" i="16" a="1"/>
  <c r="U1520" i="16" s="1"/>
  <c r="U1521" i="16" a="1"/>
  <c r="U1521" i="16" s="1"/>
  <c r="U1522" i="16" a="1"/>
  <c r="U1522" i="16" s="1"/>
  <c r="U1523" i="16" a="1"/>
  <c r="U1523" i="16" s="1"/>
  <c r="U1524" i="16" a="1"/>
  <c r="U1524" i="16" s="1"/>
  <c r="U1525" i="16" a="1"/>
  <c r="U1525" i="16" s="1"/>
  <c r="U1526" i="16" a="1"/>
  <c r="U1526" i="16" s="1"/>
  <c r="U1527" i="16" a="1"/>
  <c r="U1527" i="16" s="1"/>
  <c r="U1528" i="16" a="1"/>
  <c r="U1528" i="16" s="1"/>
  <c r="U1529" i="16" a="1"/>
  <c r="U1529" i="16" s="1"/>
  <c r="U1530" i="16" a="1"/>
  <c r="U1530" i="16" s="1"/>
  <c r="U1531" i="16" a="1"/>
  <c r="U1531" i="16" s="1"/>
  <c r="U1532" i="16" a="1"/>
  <c r="U1532" i="16" s="1"/>
  <c r="U1533" i="16" a="1"/>
  <c r="U1533" i="16" s="1"/>
  <c r="U1534" i="16" a="1"/>
  <c r="U1534" i="16" s="1"/>
  <c r="U1535" i="16" a="1"/>
  <c r="U1535" i="16" s="1"/>
  <c r="U1536" i="16" a="1"/>
  <c r="U1536" i="16" s="1"/>
  <c r="U1537" i="16" a="1"/>
  <c r="U1537" i="16" s="1"/>
  <c r="U1538" i="16" a="1"/>
  <c r="U1538" i="16" s="1"/>
  <c r="V1520" i="16"/>
  <c r="V1521" i="16"/>
  <c r="V1522" i="16"/>
  <c r="V1523" i="16"/>
  <c r="V1524" i="16"/>
  <c r="V1525" i="16"/>
  <c r="V1527" i="16"/>
  <c r="V1528" i="16"/>
  <c r="V1529" i="16"/>
  <c r="V1530" i="16"/>
  <c r="V1531" i="16"/>
  <c r="V1532" i="16"/>
  <c r="V1533" i="16"/>
  <c r="V1534" i="16"/>
  <c r="V1535" i="16"/>
  <c r="V1536" i="16"/>
  <c r="V1537" i="16"/>
  <c r="E667" i="13"/>
  <c r="G667" i="13" s="1"/>
  <c r="J667" i="13" s="1"/>
  <c r="E668" i="13"/>
  <c r="H668" i="13" s="1"/>
  <c r="F667" i="13"/>
  <c r="F668" i="13"/>
  <c r="K668" i="13" s="1"/>
  <c r="F669" i="13"/>
  <c r="K669" i="13" s="1"/>
  <c r="L667" i="13"/>
  <c r="O667" i="13" s="1"/>
  <c r="L668" i="13"/>
  <c r="N668" i="13" s="1"/>
  <c r="L669" i="13"/>
  <c r="M667" i="13"/>
  <c r="R667" i="13" s="1"/>
  <c r="M668" i="13"/>
  <c r="R668" i="13" s="1"/>
  <c r="M669" i="13"/>
  <c r="P669" i="13" s="1"/>
  <c r="V667" i="13"/>
  <c r="V668" i="13"/>
  <c r="W667" i="13"/>
  <c r="W668" i="13"/>
  <c r="W669" i="13"/>
  <c r="X667" i="13"/>
  <c r="X668" i="13"/>
  <c r="X669" i="13"/>
  <c r="Y667" i="13"/>
  <c r="Y668" i="13"/>
  <c r="Y669" i="13"/>
  <c r="AC667" i="13"/>
  <c r="AF667" i="13" s="1"/>
  <c r="AC668" i="13"/>
  <c r="AF668" i="13" s="1"/>
  <c r="AC669" i="13"/>
  <c r="AF669" i="13" s="1"/>
  <c r="AD667" i="13"/>
  <c r="AD668" i="13"/>
  <c r="AD669" i="13"/>
  <c r="AO667" i="13"/>
  <c r="AO668" i="13"/>
  <c r="AO669" i="13"/>
  <c r="Q1337" i="6"/>
  <c r="D1338" i="6"/>
  <c r="E1338" i="6" a="1"/>
  <c r="E1338" i="6" s="1"/>
  <c r="G1338" i="6"/>
  <c r="H1338" i="6" s="1"/>
  <c r="I1338" i="6"/>
  <c r="N1338" i="6"/>
  <c r="E669" i="13" s="1"/>
  <c r="H669" i="13" s="1"/>
  <c r="Q1338" i="6"/>
  <c r="S1338" i="6"/>
  <c r="U1338" i="6" a="1"/>
  <c r="U1338" i="6" s="1"/>
  <c r="D1337" i="6"/>
  <c r="E1337" i="6" a="1"/>
  <c r="E1337" i="6" s="1"/>
  <c r="G1337" i="6"/>
  <c r="H1337" i="6" s="1"/>
  <c r="I1337" i="6"/>
  <c r="S1337" i="6"/>
  <c r="V1337" i="6"/>
  <c r="D1336" i="6"/>
  <c r="E1336" i="6" a="1"/>
  <c r="E1336" i="6" s="1"/>
  <c r="G1336" i="6"/>
  <c r="H1336" i="6" s="1"/>
  <c r="I1336" i="6"/>
  <c r="N1336" i="6"/>
  <c r="Q1336" i="6"/>
  <c r="S1336" i="6"/>
  <c r="V1336" i="6"/>
  <c r="D1335" i="6"/>
  <c r="E1335" i="6" a="1"/>
  <c r="E1335" i="6" s="1"/>
  <c r="G1335" i="6"/>
  <c r="H1335" i="6" s="1"/>
  <c r="I1335" i="6"/>
  <c r="N1335" i="6"/>
  <c r="Q1335" i="6"/>
  <c r="S1335" i="6"/>
  <c r="V1335" i="6"/>
  <c r="D1334" i="6"/>
  <c r="E1334" i="6" a="1"/>
  <c r="E1334" i="6" s="1"/>
  <c r="G1334" i="6"/>
  <c r="H1334" i="6" s="1"/>
  <c r="I1334" i="6"/>
  <c r="N1334" i="6"/>
  <c r="M1334" i="6" s="1"/>
  <c r="Q1334" i="6"/>
  <c r="S1334" i="6"/>
  <c r="V1334" i="6"/>
  <c r="D1333" i="6"/>
  <c r="E1333" i="6" a="1"/>
  <c r="E1333" i="6" s="1"/>
  <c r="G1333" i="6"/>
  <c r="H1333" i="6" s="1"/>
  <c r="I1333" i="6"/>
  <c r="N1333" i="6"/>
  <c r="M1333" i="6" s="1"/>
  <c r="Q1333" i="6"/>
  <c r="S1333" i="6"/>
  <c r="D1332" i="6"/>
  <c r="E1332" i="6" a="1"/>
  <c r="E1332" i="6" s="1"/>
  <c r="G1332" i="6"/>
  <c r="H1332" i="6" s="1"/>
  <c r="I1332" i="6"/>
  <c r="N1332" i="6"/>
  <c r="Q1332" i="6"/>
  <c r="S1332" i="6"/>
  <c r="V1332" i="6"/>
  <c r="D1331" i="6"/>
  <c r="E1331" i="6" a="1"/>
  <c r="E1331" i="6" s="1"/>
  <c r="G1331" i="6"/>
  <c r="H1331" i="6" s="1"/>
  <c r="I1331" i="6"/>
  <c r="N1331" i="6"/>
  <c r="Q1331" i="6"/>
  <c r="S1331" i="6"/>
  <c r="V1331" i="6"/>
  <c r="D1330" i="6"/>
  <c r="E1330" i="6" a="1"/>
  <c r="E1330" i="6" s="1"/>
  <c r="G1330" i="6"/>
  <c r="H1330" i="6" s="1"/>
  <c r="I1330" i="6"/>
  <c r="N1330" i="6"/>
  <c r="Q1330" i="6"/>
  <c r="S1330" i="6"/>
  <c r="V1330" i="6"/>
  <c r="D1329" i="6"/>
  <c r="E1329" i="6" a="1"/>
  <c r="E1329" i="6" s="1"/>
  <c r="G1329" i="6"/>
  <c r="H1329" i="6" s="1"/>
  <c r="I1329" i="6"/>
  <c r="N1329" i="6"/>
  <c r="M1329" i="6" s="1"/>
  <c r="Q1329" i="6"/>
  <c r="S1329" i="6"/>
  <c r="V1329" i="6"/>
  <c r="D1518" i="16"/>
  <c r="E1518" i="16" a="1"/>
  <c r="E1518" i="16" s="1"/>
  <c r="G1518" i="16"/>
  <c r="H1518" i="16" s="1"/>
  <c r="I1518" i="16"/>
  <c r="N1518" i="16"/>
  <c r="O1865" i="16" s="1"/>
  <c r="Q1518" i="16"/>
  <c r="S1518" i="16"/>
  <c r="T1518" i="16"/>
  <c r="U1518" i="16" a="1"/>
  <c r="U1518" i="16" s="1"/>
  <c r="V1518" i="16"/>
  <c r="W1865" i="16" s="1"/>
  <c r="V1338" i="6" l="1"/>
  <c r="V669" i="13" s="1"/>
  <c r="Z669" i="13" s="1"/>
  <c r="N669" i="13"/>
  <c r="AR669" i="13" s="1"/>
  <c r="M1339" i="6"/>
  <c r="W1691" i="16"/>
  <c r="W1774" i="16"/>
  <c r="O1691" i="16"/>
  <c r="O1774" i="16"/>
  <c r="V1333" i="6"/>
  <c r="V1538" i="16"/>
  <c r="O1613" i="16"/>
  <c r="W1613" i="16"/>
  <c r="V1526" i="16"/>
  <c r="AK674" i="13"/>
  <c r="AE669" i="13"/>
  <c r="AP674" i="13"/>
  <c r="AB674" i="13"/>
  <c r="AJ674" i="13"/>
  <c r="AH668" i="13"/>
  <c r="W1518" i="16"/>
  <c r="W1540" i="16"/>
  <c r="O1518" i="16"/>
  <c r="O1540" i="16"/>
  <c r="O1338" i="6"/>
  <c r="AG667" i="13"/>
  <c r="M1344" i="6"/>
  <c r="AL668" i="13" a="1"/>
  <c r="AL668" i="13" s="1"/>
  <c r="H667" i="13"/>
  <c r="M1345" i="6"/>
  <c r="W1338" i="6"/>
  <c r="AL667" i="13" a="1"/>
  <c r="AL667" i="13" s="1"/>
  <c r="G669" i="13"/>
  <c r="AQ669" i="13" s="1"/>
  <c r="M1342" i="6"/>
  <c r="M1341" i="6"/>
  <c r="AQ667" i="13"/>
  <c r="AG669" i="13"/>
  <c r="AG668" i="13"/>
  <c r="AH669" i="13"/>
  <c r="I668" i="13"/>
  <c r="M1518" i="16"/>
  <c r="O669" i="13"/>
  <c r="Q1530" i="16"/>
  <c r="N1535" i="16"/>
  <c r="M1535" i="16" s="1"/>
  <c r="N1520" i="16"/>
  <c r="M1520" i="16" s="1"/>
  <c r="M1519" i="16"/>
  <c r="N1531" i="16"/>
  <c r="M1531" i="16" s="1"/>
  <c r="AM668" i="13" a="1"/>
  <c r="AM668" i="13" s="1"/>
  <c r="O668" i="13"/>
  <c r="N1523" i="16"/>
  <c r="M1523" i="16" s="1"/>
  <c r="AR668" i="13"/>
  <c r="Q668" i="13"/>
  <c r="Q1536" i="16"/>
  <c r="Q1532" i="16"/>
  <c r="Q1528" i="16"/>
  <c r="Q1524" i="16"/>
  <c r="Z667" i="13"/>
  <c r="Z668" i="13"/>
  <c r="P667" i="13"/>
  <c r="R669" i="13"/>
  <c r="AU669" i="13" s="1"/>
  <c r="T667" i="13"/>
  <c r="S669" i="13"/>
  <c r="K667" i="13"/>
  <c r="AU667" i="13" s="1"/>
  <c r="I667" i="13"/>
  <c r="AU668" i="13"/>
  <c r="AH667" i="13"/>
  <c r="AE668" i="13"/>
  <c r="AE667" i="13"/>
  <c r="T669" i="13"/>
  <c r="S668" i="13"/>
  <c r="N667" i="13"/>
  <c r="G668" i="13"/>
  <c r="AM667" i="13" a="1"/>
  <c r="AM667" i="13" s="1"/>
  <c r="T668" i="13"/>
  <c r="S667" i="13"/>
  <c r="P668" i="13"/>
  <c r="I669" i="13"/>
  <c r="N1337" i="6"/>
  <c r="M1338" i="6"/>
  <c r="M1336" i="6"/>
  <c r="M1335" i="6"/>
  <c r="M1332" i="6"/>
  <c r="M1331" i="6"/>
  <c r="M1330" i="6"/>
  <c r="N1327" i="6"/>
  <c r="N1328" i="6"/>
  <c r="D1328" i="6"/>
  <c r="E1328" i="6" a="1"/>
  <c r="E1328" i="6" s="1"/>
  <c r="G1328" i="6"/>
  <c r="H1328" i="6" s="1"/>
  <c r="I1328" i="6"/>
  <c r="Q1328" i="6"/>
  <c r="S1328" i="6"/>
  <c r="U1328" i="6" a="1"/>
  <c r="U1328" i="6" s="1"/>
  <c r="V1328" i="6"/>
  <c r="D1327" i="6"/>
  <c r="E1327" i="6" a="1"/>
  <c r="E1327" i="6" s="1"/>
  <c r="G1327" i="6"/>
  <c r="H1327" i="6" s="1"/>
  <c r="I1327" i="6"/>
  <c r="Q1327" i="6"/>
  <c r="S1327" i="6"/>
  <c r="V1327" i="6"/>
  <c r="D1517" i="16"/>
  <c r="E1517" i="16" a="1"/>
  <c r="E1517" i="16" s="1"/>
  <c r="G1517" i="16"/>
  <c r="H1517" i="16" s="1"/>
  <c r="I1517" i="16"/>
  <c r="N1517" i="16"/>
  <c r="Q1517" i="16"/>
  <c r="S1517" i="16"/>
  <c r="V1517" i="16"/>
  <c r="R1518" i="16" l="1"/>
  <c r="R1338" i="6"/>
  <c r="M1328" i="6"/>
  <c r="AA669" i="13"/>
  <c r="AS669" i="13" s="1"/>
  <c r="AT669" i="13" s="1"/>
  <c r="AA667" i="13"/>
  <c r="AB667" i="13" s="1"/>
  <c r="J668" i="13"/>
  <c r="AI668" i="13" s="1"/>
  <c r="AQ668" i="13"/>
  <c r="Q667" i="13"/>
  <c r="AI667" i="13" s="1"/>
  <c r="AR667" i="13"/>
  <c r="AA668" i="13"/>
  <c r="M1337" i="6"/>
  <c r="M1327" i="6"/>
  <c r="M1517" i="16"/>
  <c r="Q1324" i="6"/>
  <c r="N1325" i="6"/>
  <c r="M1325" i="6" s="1"/>
  <c r="N1326" i="6"/>
  <c r="V1326" i="6" s="1"/>
  <c r="D1326" i="6"/>
  <c r="E1326" i="6" a="1"/>
  <c r="E1326" i="6" s="1"/>
  <c r="G1326" i="6"/>
  <c r="H1326" i="6" s="1"/>
  <c r="I1326" i="6"/>
  <c r="S1326" i="6"/>
  <c r="U1326" i="6" a="1"/>
  <c r="U1326" i="6" s="1"/>
  <c r="D1325" i="6"/>
  <c r="E1325" i="6" a="1"/>
  <c r="E1325" i="6" s="1"/>
  <c r="G1325" i="6"/>
  <c r="H1325" i="6" s="1"/>
  <c r="I1325" i="6"/>
  <c r="S1325" i="6"/>
  <c r="V1325" i="6"/>
  <c r="D1324" i="6"/>
  <c r="E1324" i="6" a="1"/>
  <c r="E1324" i="6" s="1"/>
  <c r="G1324" i="6"/>
  <c r="H1324" i="6" s="1"/>
  <c r="I1324" i="6"/>
  <c r="S1324" i="6"/>
  <c r="V1324" i="6"/>
  <c r="N1516" i="16"/>
  <c r="D1516" i="16"/>
  <c r="E1516" i="16" a="1"/>
  <c r="E1516" i="16" s="1"/>
  <c r="G1516" i="16"/>
  <c r="H1516" i="16" s="1"/>
  <c r="I1516" i="16"/>
  <c r="Q1516" i="16"/>
  <c r="S1516" i="16"/>
  <c r="U1516" i="16" a="1"/>
  <c r="U1516" i="16" s="1"/>
  <c r="V1516" i="16"/>
  <c r="N1481" i="16"/>
  <c r="N1482" i="16"/>
  <c r="M1482" i="16" s="1"/>
  <c r="N1483" i="16"/>
  <c r="M1483" i="16" s="1"/>
  <c r="N1485" i="16"/>
  <c r="N1486" i="16"/>
  <c r="M1486" i="16" s="1"/>
  <c r="N1487" i="16"/>
  <c r="M1487" i="16" s="1"/>
  <c r="N1489" i="16"/>
  <c r="N1490" i="16"/>
  <c r="M1490" i="16" s="1"/>
  <c r="N1491" i="16"/>
  <c r="M1491" i="16" s="1"/>
  <c r="N1493" i="16"/>
  <c r="N1494" i="16"/>
  <c r="M1494" i="16" s="1"/>
  <c r="N1495" i="16"/>
  <c r="M1495" i="16" s="1"/>
  <c r="N1497" i="16"/>
  <c r="N1498" i="16"/>
  <c r="M1498" i="16" s="1"/>
  <c r="N1499" i="16"/>
  <c r="M1499" i="16" s="1"/>
  <c r="N1501" i="16"/>
  <c r="V1501" i="16" s="1"/>
  <c r="N1502" i="16"/>
  <c r="M1502" i="16" s="1"/>
  <c r="N1503" i="16"/>
  <c r="M1503" i="16" s="1"/>
  <c r="N1505" i="16"/>
  <c r="N1506" i="16"/>
  <c r="M1506" i="16" s="1"/>
  <c r="N1507" i="16"/>
  <c r="M1507" i="16" s="1"/>
  <c r="N1509" i="16"/>
  <c r="N1510" i="16"/>
  <c r="M1510" i="16" s="1"/>
  <c r="N1511" i="16"/>
  <c r="M1511" i="16" s="1"/>
  <c r="N1513" i="16"/>
  <c r="N1514" i="16"/>
  <c r="M1514" i="16" s="1"/>
  <c r="N1515" i="16"/>
  <c r="M1515" i="16" s="1"/>
  <c r="D1479" i="16"/>
  <c r="D1480" i="16"/>
  <c r="D1481" i="16"/>
  <c r="D1482" i="16"/>
  <c r="D1483" i="16"/>
  <c r="D1484" i="16"/>
  <c r="D1485" i="16"/>
  <c r="D1486" i="16"/>
  <c r="D1487" i="16"/>
  <c r="D1488" i="16"/>
  <c r="D1489" i="16"/>
  <c r="D1490" i="16"/>
  <c r="D1491" i="16"/>
  <c r="D1492" i="16"/>
  <c r="D1493" i="16"/>
  <c r="D1494" i="16"/>
  <c r="D1495" i="16"/>
  <c r="D1496" i="16"/>
  <c r="D1497" i="16"/>
  <c r="D1498" i="16"/>
  <c r="D1499" i="16"/>
  <c r="D1500" i="16"/>
  <c r="D1501" i="16"/>
  <c r="D1502" i="16"/>
  <c r="D1503" i="16"/>
  <c r="D1504" i="16"/>
  <c r="D1505" i="16"/>
  <c r="D1506" i="16"/>
  <c r="D1507" i="16"/>
  <c r="D1508" i="16"/>
  <c r="D1509" i="16"/>
  <c r="D1510" i="16"/>
  <c r="D1511" i="16"/>
  <c r="D1512" i="16"/>
  <c r="D1513" i="16"/>
  <c r="D1514" i="16"/>
  <c r="D1515" i="16"/>
  <c r="E1479" i="16" a="1"/>
  <c r="E1479" i="16" s="1"/>
  <c r="E1480" i="16" a="1"/>
  <c r="E1480" i="16" s="1"/>
  <c r="E1481" i="16" a="1"/>
  <c r="E1481" i="16" s="1"/>
  <c r="E1482" i="16" a="1"/>
  <c r="E1482" i="16" s="1"/>
  <c r="E1483" i="16" a="1"/>
  <c r="E1483" i="16" s="1"/>
  <c r="E1484" i="16" a="1"/>
  <c r="E1484" i="16" s="1"/>
  <c r="E1485" i="16" a="1"/>
  <c r="E1485" i="16" s="1"/>
  <c r="E1486" i="16" a="1"/>
  <c r="E1486" i="16" s="1"/>
  <c r="E1487" i="16" a="1"/>
  <c r="E1487" i="16" s="1"/>
  <c r="E1488" i="16" a="1"/>
  <c r="E1488" i="16" s="1"/>
  <c r="E1489" i="16" a="1"/>
  <c r="E1489" i="16" s="1"/>
  <c r="E1490" i="16" a="1"/>
  <c r="E1490" i="16" s="1"/>
  <c r="E1491" i="16" a="1"/>
  <c r="E1491" i="16" s="1"/>
  <c r="E1492" i="16" a="1"/>
  <c r="E1492" i="16" s="1"/>
  <c r="E1493" i="16" a="1"/>
  <c r="E1493" i="16" s="1"/>
  <c r="E1494" i="16" a="1"/>
  <c r="E1494" i="16" s="1"/>
  <c r="E1495" i="16" a="1"/>
  <c r="E1495" i="16" s="1"/>
  <c r="E1496" i="16" a="1"/>
  <c r="E1496" i="16" s="1"/>
  <c r="E1497" i="16" a="1"/>
  <c r="E1497" i="16" s="1"/>
  <c r="E1498" i="16" a="1"/>
  <c r="E1498" i="16" s="1"/>
  <c r="E1499" i="16" a="1"/>
  <c r="E1499" i="16" s="1"/>
  <c r="E1500" i="16" a="1"/>
  <c r="E1500" i="16" s="1"/>
  <c r="E1501" i="16" a="1"/>
  <c r="E1501" i="16" s="1"/>
  <c r="E1502" i="16" a="1"/>
  <c r="E1502" i="16" s="1"/>
  <c r="E1503" i="16" a="1"/>
  <c r="E1503" i="16" s="1"/>
  <c r="E1504" i="16" a="1"/>
  <c r="E1504" i="16" s="1"/>
  <c r="E1505" i="16" a="1"/>
  <c r="E1505" i="16" s="1"/>
  <c r="E1506" i="16" a="1"/>
  <c r="E1506" i="16" s="1"/>
  <c r="E1507" i="16" a="1"/>
  <c r="E1507" i="16" s="1"/>
  <c r="E1508" i="16" a="1"/>
  <c r="E1508" i="16" s="1"/>
  <c r="E1509" i="16" a="1"/>
  <c r="E1509" i="16" s="1"/>
  <c r="E1510" i="16" a="1"/>
  <c r="E1510" i="16" s="1"/>
  <c r="E1511" i="16" a="1"/>
  <c r="E1511" i="16" s="1"/>
  <c r="E1512" i="16" a="1"/>
  <c r="E1512" i="16" s="1"/>
  <c r="E1513" i="16" a="1"/>
  <c r="E1513" i="16" s="1"/>
  <c r="E1514" i="16" a="1"/>
  <c r="E1514" i="16" s="1"/>
  <c r="E1515" i="16" a="1"/>
  <c r="E1515" i="16" s="1"/>
  <c r="G1479" i="16"/>
  <c r="H1479" i="16" s="1"/>
  <c r="G1480" i="16"/>
  <c r="G1481" i="16"/>
  <c r="H1481" i="16" s="1"/>
  <c r="G1482" i="16"/>
  <c r="H1482" i="16" s="1"/>
  <c r="G1483" i="16"/>
  <c r="H1483" i="16" s="1"/>
  <c r="G1484" i="16"/>
  <c r="H1484" i="16" s="1"/>
  <c r="G1485" i="16"/>
  <c r="H1485" i="16" s="1"/>
  <c r="G1486" i="16"/>
  <c r="H1486" i="16" s="1"/>
  <c r="G1487" i="16"/>
  <c r="H1487" i="16" s="1"/>
  <c r="G1488" i="16"/>
  <c r="H1488" i="16" s="1"/>
  <c r="G1489" i="16"/>
  <c r="H1489" i="16" s="1"/>
  <c r="G1490" i="16"/>
  <c r="H1490" i="16" s="1"/>
  <c r="G1491" i="16"/>
  <c r="H1491" i="16" s="1"/>
  <c r="G1492" i="16"/>
  <c r="H1492" i="16" s="1"/>
  <c r="G1493" i="16"/>
  <c r="H1493" i="16" s="1"/>
  <c r="G1494" i="16"/>
  <c r="H1494" i="16" s="1"/>
  <c r="G1495" i="16"/>
  <c r="H1495" i="16" s="1"/>
  <c r="G1496" i="16"/>
  <c r="H1496" i="16" s="1"/>
  <c r="G1497" i="16"/>
  <c r="H1497" i="16" s="1"/>
  <c r="G1498" i="16"/>
  <c r="H1498" i="16" s="1"/>
  <c r="G1499" i="16"/>
  <c r="H1499" i="16" s="1"/>
  <c r="G1500" i="16"/>
  <c r="H1500" i="16" s="1"/>
  <c r="G1501" i="16"/>
  <c r="H1501" i="16" s="1"/>
  <c r="G1502" i="16"/>
  <c r="H1502" i="16" s="1"/>
  <c r="G1503" i="16"/>
  <c r="H1503" i="16" s="1"/>
  <c r="G1504" i="16"/>
  <c r="H1504" i="16" s="1"/>
  <c r="G1505" i="16"/>
  <c r="H1505" i="16" s="1"/>
  <c r="G1506" i="16"/>
  <c r="H1506" i="16" s="1"/>
  <c r="G1507" i="16"/>
  <c r="H1507" i="16" s="1"/>
  <c r="G1508" i="16"/>
  <c r="H1508" i="16" s="1"/>
  <c r="G1509" i="16"/>
  <c r="H1509" i="16" s="1"/>
  <c r="G1510" i="16"/>
  <c r="H1510" i="16" s="1"/>
  <c r="G1511" i="16"/>
  <c r="H1511" i="16" s="1"/>
  <c r="G1512" i="16"/>
  <c r="H1512" i="16" s="1"/>
  <c r="G1513" i="16"/>
  <c r="H1513" i="16" s="1"/>
  <c r="G1514" i="16"/>
  <c r="H1514" i="16" s="1"/>
  <c r="G1515" i="16"/>
  <c r="H1515" i="16" s="1"/>
  <c r="H1480" i="16"/>
  <c r="I1479" i="16"/>
  <c r="I1480" i="16"/>
  <c r="I1481" i="16"/>
  <c r="I1482" i="16"/>
  <c r="I1483" i="16"/>
  <c r="I1484" i="16"/>
  <c r="I1485" i="16"/>
  <c r="I1486" i="16"/>
  <c r="I1487" i="16"/>
  <c r="I1488" i="16"/>
  <c r="I1489" i="16"/>
  <c r="I1490" i="16"/>
  <c r="I1491" i="16"/>
  <c r="I1492" i="16"/>
  <c r="I1493" i="16"/>
  <c r="I1494" i="16"/>
  <c r="I1495" i="16"/>
  <c r="I1496" i="16"/>
  <c r="I1497" i="16"/>
  <c r="I1498" i="16"/>
  <c r="I1499" i="16"/>
  <c r="I1500" i="16"/>
  <c r="I1501" i="16"/>
  <c r="I1502" i="16"/>
  <c r="I1503" i="16"/>
  <c r="I1504" i="16"/>
  <c r="I1505" i="16"/>
  <c r="I1506" i="16"/>
  <c r="I1507" i="16"/>
  <c r="I1508" i="16"/>
  <c r="I1509" i="16"/>
  <c r="I1510" i="16"/>
  <c r="I1511" i="16"/>
  <c r="I1512" i="16"/>
  <c r="I1513" i="16"/>
  <c r="I1514" i="16"/>
  <c r="I1515" i="16"/>
  <c r="N1479" i="16"/>
  <c r="M1479" i="16" s="1"/>
  <c r="N1480" i="16"/>
  <c r="M1480" i="16" s="1"/>
  <c r="N1484" i="16"/>
  <c r="M1484" i="16" s="1"/>
  <c r="N1488" i="16"/>
  <c r="M1488" i="16" s="1"/>
  <c r="N1492" i="16"/>
  <c r="M1492" i="16" s="1"/>
  <c r="N1496" i="16"/>
  <c r="M1496" i="16" s="1"/>
  <c r="N1500" i="16"/>
  <c r="M1500" i="16" s="1"/>
  <c r="N1504" i="16"/>
  <c r="M1504" i="16" s="1"/>
  <c r="N1508" i="16"/>
  <c r="M1508" i="16" s="1"/>
  <c r="N1512" i="16"/>
  <c r="M1512" i="16" s="1"/>
  <c r="Q1479" i="16"/>
  <c r="Q1480" i="16"/>
  <c r="Q1483" i="16"/>
  <c r="Q1484" i="16"/>
  <c r="Q1487" i="16"/>
  <c r="Q1488" i="16"/>
  <c r="Q1491" i="16"/>
  <c r="Q1492" i="16"/>
  <c r="Q1495" i="16"/>
  <c r="Q1496" i="16"/>
  <c r="Q1499" i="16"/>
  <c r="Q1500" i="16"/>
  <c r="Q1503" i="16"/>
  <c r="Q1504" i="16"/>
  <c r="Q1507" i="16"/>
  <c r="Q1508" i="16"/>
  <c r="Q1511" i="16"/>
  <c r="Q1512" i="16"/>
  <c r="Q1515" i="16"/>
  <c r="S1479" i="16"/>
  <c r="S1480" i="16"/>
  <c r="S1481" i="16"/>
  <c r="S1482" i="16"/>
  <c r="S1483" i="16"/>
  <c r="S1484" i="16"/>
  <c r="S1485" i="16"/>
  <c r="S1486" i="16"/>
  <c r="S1487" i="16"/>
  <c r="S1488" i="16"/>
  <c r="S1489" i="16"/>
  <c r="S1490" i="16"/>
  <c r="S1491" i="16"/>
  <c r="S1492" i="16"/>
  <c r="S1493" i="16"/>
  <c r="S1494" i="16"/>
  <c r="S1495" i="16"/>
  <c r="S1496" i="16"/>
  <c r="S1497" i="16"/>
  <c r="S1498" i="16"/>
  <c r="S1499" i="16"/>
  <c r="S1500" i="16"/>
  <c r="S1501" i="16"/>
  <c r="S1502" i="16"/>
  <c r="S1503" i="16"/>
  <c r="S1504" i="16"/>
  <c r="S1505" i="16"/>
  <c r="S1506" i="16"/>
  <c r="S1507" i="16"/>
  <c r="S1508" i="16"/>
  <c r="S1509" i="16"/>
  <c r="S1510" i="16"/>
  <c r="S1511" i="16"/>
  <c r="S1512" i="16"/>
  <c r="S1513" i="16"/>
  <c r="S1514" i="16"/>
  <c r="S1515" i="16"/>
  <c r="U1479" i="16" a="1"/>
  <c r="U1479" i="16" s="1"/>
  <c r="U1480" i="16" a="1"/>
  <c r="U1480" i="16" s="1"/>
  <c r="U1481" i="16" a="1"/>
  <c r="U1481" i="16" s="1"/>
  <c r="U1482" i="16" a="1"/>
  <c r="U1482" i="16" s="1"/>
  <c r="U1483" i="16" a="1"/>
  <c r="U1483" i="16" s="1"/>
  <c r="U1484" i="16" a="1"/>
  <c r="U1484" i="16" s="1"/>
  <c r="U1485" i="16" a="1"/>
  <c r="U1485" i="16" s="1"/>
  <c r="U1486" i="16" a="1"/>
  <c r="U1486" i="16" s="1"/>
  <c r="U1487" i="16" a="1"/>
  <c r="U1487" i="16" s="1"/>
  <c r="U1488" i="16" a="1"/>
  <c r="U1488" i="16" s="1"/>
  <c r="U1489" i="16" a="1"/>
  <c r="U1489" i="16" s="1"/>
  <c r="U1490" i="16" a="1"/>
  <c r="U1490" i="16" s="1"/>
  <c r="U1491" i="16" a="1"/>
  <c r="U1491" i="16" s="1"/>
  <c r="U1492" i="16" a="1"/>
  <c r="U1492" i="16" s="1"/>
  <c r="U1493" i="16" a="1"/>
  <c r="U1493" i="16" s="1"/>
  <c r="U1494" i="16" a="1"/>
  <c r="U1494" i="16" s="1"/>
  <c r="U1495" i="16" a="1"/>
  <c r="U1495" i="16" s="1"/>
  <c r="U1496" i="16" a="1"/>
  <c r="U1496" i="16" s="1"/>
  <c r="U1497" i="16" a="1"/>
  <c r="U1497" i="16" s="1"/>
  <c r="U1498" i="16" a="1"/>
  <c r="U1498" i="16" s="1"/>
  <c r="U1499" i="16" a="1"/>
  <c r="U1499" i="16" s="1"/>
  <c r="U1500" i="16" a="1"/>
  <c r="U1500" i="16" s="1"/>
  <c r="U1501" i="16" a="1"/>
  <c r="U1501" i="16" s="1"/>
  <c r="U1502" i="16" a="1"/>
  <c r="U1502" i="16" s="1"/>
  <c r="U1503" i="16" a="1"/>
  <c r="U1503" i="16" s="1"/>
  <c r="U1504" i="16" a="1"/>
  <c r="U1504" i="16" s="1"/>
  <c r="U1505" i="16" a="1"/>
  <c r="U1505" i="16" s="1"/>
  <c r="U1506" i="16" a="1"/>
  <c r="U1506" i="16" s="1"/>
  <c r="U1507" i="16" a="1"/>
  <c r="U1507" i="16" s="1"/>
  <c r="U1508" i="16" a="1"/>
  <c r="U1508" i="16" s="1"/>
  <c r="U1509" i="16" a="1"/>
  <c r="U1509" i="16" s="1"/>
  <c r="U1510" i="16" a="1"/>
  <c r="U1510" i="16" s="1"/>
  <c r="U1511" i="16" a="1"/>
  <c r="U1511" i="16" s="1"/>
  <c r="U1512" i="16" a="1"/>
  <c r="U1512" i="16" s="1"/>
  <c r="U1513" i="16" a="1"/>
  <c r="U1513" i="16" s="1"/>
  <c r="U1514" i="16" a="1"/>
  <c r="U1514" i="16" s="1"/>
  <c r="U1515" i="16" a="1"/>
  <c r="U1515" i="16" s="1"/>
  <c r="V1479" i="16"/>
  <c r="V1480" i="16"/>
  <c r="V1481" i="16"/>
  <c r="V1482" i="16"/>
  <c r="V1483" i="16"/>
  <c r="V1484" i="16"/>
  <c r="V1485" i="16"/>
  <c r="V1486" i="16"/>
  <c r="V1487" i="16"/>
  <c r="V1488" i="16"/>
  <c r="V1489" i="16"/>
  <c r="V1490" i="16"/>
  <c r="V1491" i="16"/>
  <c r="V1492" i="16"/>
  <c r="V1493" i="16"/>
  <c r="V1494" i="16"/>
  <c r="V1495" i="16"/>
  <c r="V1496" i="16"/>
  <c r="V1497" i="16"/>
  <c r="V1498" i="16"/>
  <c r="V1499" i="16"/>
  <c r="V1500" i="16"/>
  <c r="V1502" i="16"/>
  <c r="V1503" i="16"/>
  <c r="V1504" i="16"/>
  <c r="V1505" i="16"/>
  <c r="V1506" i="16"/>
  <c r="V1507" i="16"/>
  <c r="V1509" i="16"/>
  <c r="V1510" i="16"/>
  <c r="V1511" i="16"/>
  <c r="V1512" i="16"/>
  <c r="V1513" i="16"/>
  <c r="V1514" i="16"/>
  <c r="V1515" i="16"/>
  <c r="N1323" i="6"/>
  <c r="D1323" i="6"/>
  <c r="E1323" i="6" a="1"/>
  <c r="E1323" i="6" s="1"/>
  <c r="G1323" i="6"/>
  <c r="H1323" i="6" s="1"/>
  <c r="I1323" i="6"/>
  <c r="S1323" i="6"/>
  <c r="V1323" i="6"/>
  <c r="D1322" i="6"/>
  <c r="E1322" i="6" a="1"/>
  <c r="E1322" i="6" s="1"/>
  <c r="G1322" i="6"/>
  <c r="H1322" i="6" s="1"/>
  <c r="I1322" i="6"/>
  <c r="N1322" i="6"/>
  <c r="M1322" i="6" s="1"/>
  <c r="Q1322" i="6"/>
  <c r="S1322" i="6"/>
  <c r="U1322" i="6" a="1"/>
  <c r="U1322" i="6" s="1"/>
  <c r="V1322" i="6"/>
  <c r="D1321" i="6"/>
  <c r="E1321" i="6" a="1"/>
  <c r="E1321" i="6" s="1"/>
  <c r="G1321" i="6"/>
  <c r="H1321" i="6" s="1"/>
  <c r="I1321" i="6"/>
  <c r="N1321" i="6"/>
  <c r="Q1321" i="6"/>
  <c r="S1321" i="6"/>
  <c r="T1321" i="6"/>
  <c r="U1321" i="6" a="1"/>
  <c r="U1321" i="6" s="1"/>
  <c r="V1321" i="6"/>
  <c r="V1508" i="16" l="1"/>
  <c r="AP669" i="13"/>
  <c r="AB669" i="13"/>
  <c r="AK669" i="13"/>
  <c r="AJ669" i="13"/>
  <c r="AN667" i="13"/>
  <c r="AS667" i="13"/>
  <c r="AT667" i="13" s="1"/>
  <c r="AJ667" i="13"/>
  <c r="AK667" i="13"/>
  <c r="AP667" i="13"/>
  <c r="AV667" i="13" s="1"/>
  <c r="AK668" i="13"/>
  <c r="AN668" i="13"/>
  <c r="AB668" i="13"/>
  <c r="AJ668" i="13"/>
  <c r="AP668" i="13"/>
  <c r="AV668" i="13" s="1"/>
  <c r="AS668" i="13"/>
  <c r="AT668" i="13" s="1"/>
  <c r="M1321" i="6"/>
  <c r="Q1325" i="6"/>
  <c r="N1324" i="6"/>
  <c r="M1324" i="6" s="1"/>
  <c r="Q1326" i="6"/>
  <c r="M1326" i="6"/>
  <c r="Q1323" i="6"/>
  <c r="Q1514" i="16"/>
  <c r="Q1510" i="16"/>
  <c r="Q1506" i="16"/>
  <c r="Q1502" i="16"/>
  <c r="Q1498" i="16"/>
  <c r="Q1494" i="16"/>
  <c r="Q1490" i="16"/>
  <c r="Q1486" i="16"/>
  <c r="Q1482" i="16"/>
  <c r="M1516" i="16"/>
  <c r="Q1513" i="16"/>
  <c r="Q1509" i="16"/>
  <c r="Q1505" i="16"/>
  <c r="Q1501" i="16"/>
  <c r="Q1497" i="16"/>
  <c r="Q1493" i="16"/>
  <c r="Q1489" i="16"/>
  <c r="Q1485" i="16"/>
  <c r="Q1481" i="16"/>
  <c r="M1513" i="16"/>
  <c r="M1509" i="16"/>
  <c r="M1505" i="16"/>
  <c r="M1501" i="16"/>
  <c r="M1497" i="16"/>
  <c r="M1493" i="16"/>
  <c r="M1489" i="16"/>
  <c r="M1485" i="16"/>
  <c r="M1481" i="16"/>
  <c r="M1323" i="6"/>
  <c r="D1309" i="6"/>
  <c r="E1309" i="6" a="1"/>
  <c r="E1309" i="6" s="1"/>
  <c r="G1309" i="6"/>
  <c r="H1309" i="6" s="1"/>
  <c r="I1309" i="6"/>
  <c r="N1309" i="6"/>
  <c r="Q1309" i="6"/>
  <c r="S1309" i="6"/>
  <c r="V1309" i="6"/>
  <c r="D1310" i="6"/>
  <c r="E1310" i="6" a="1"/>
  <c r="E1310" i="6" s="1"/>
  <c r="G1310" i="6"/>
  <c r="H1310" i="6" s="1"/>
  <c r="I1310" i="6"/>
  <c r="Q1310" i="6"/>
  <c r="S1310" i="6"/>
  <c r="V1310" i="6"/>
  <c r="D1311" i="6"/>
  <c r="E1311" i="6" a="1"/>
  <c r="E1311" i="6" s="1"/>
  <c r="G1311" i="6"/>
  <c r="H1311" i="6" s="1"/>
  <c r="I1311" i="6"/>
  <c r="N1311" i="6"/>
  <c r="M1311" i="6" s="1"/>
  <c r="Q1311" i="6"/>
  <c r="S1311" i="6"/>
  <c r="T1311" i="6"/>
  <c r="U1311" i="6" a="1"/>
  <c r="U1311" i="6" s="1"/>
  <c r="V1311" i="6"/>
  <c r="D1312" i="6"/>
  <c r="E1312" i="6" a="1"/>
  <c r="E1312" i="6" s="1"/>
  <c r="G1312" i="6"/>
  <c r="H1312" i="6" s="1"/>
  <c r="I1312" i="6"/>
  <c r="Q1312" i="6"/>
  <c r="S1312" i="6"/>
  <c r="T1312" i="6"/>
  <c r="U1312" i="6" a="1"/>
  <c r="U1312" i="6" s="1"/>
  <c r="V1312" i="6"/>
  <c r="D1313" i="6"/>
  <c r="G1313" i="6"/>
  <c r="H1313" i="6" s="1"/>
  <c r="I1313" i="6"/>
  <c r="N1313" i="6"/>
  <c r="M1313" i="6" s="1"/>
  <c r="Q1313" i="6"/>
  <c r="S1313" i="6"/>
  <c r="T1313" i="6"/>
  <c r="U1313" i="6" a="1"/>
  <c r="U1313" i="6" s="1"/>
  <c r="V1313" i="6"/>
  <c r="D1314" i="6"/>
  <c r="E1314" i="6" a="1"/>
  <c r="E1314" i="6" s="1"/>
  <c r="G1314" i="6"/>
  <c r="H1314" i="6" s="1"/>
  <c r="I1314" i="6"/>
  <c r="Q1314" i="6"/>
  <c r="S1314" i="6"/>
  <c r="V1314" i="6"/>
  <c r="D1315" i="6"/>
  <c r="E1315" i="6" a="1"/>
  <c r="E1315" i="6" s="1"/>
  <c r="G1315" i="6"/>
  <c r="H1315" i="6" s="1"/>
  <c r="I1315" i="6"/>
  <c r="N1315" i="6"/>
  <c r="Q1315" i="6"/>
  <c r="S1315" i="6"/>
  <c r="V1315" i="6"/>
  <c r="D1316" i="6"/>
  <c r="E1316" i="6" a="1"/>
  <c r="E1316" i="6" s="1"/>
  <c r="G1316" i="6"/>
  <c r="H1316" i="6" s="1"/>
  <c r="I1316" i="6"/>
  <c r="Q1316" i="6"/>
  <c r="S1316" i="6"/>
  <c r="V1316" i="6"/>
  <c r="D1317" i="6"/>
  <c r="E1317" i="6" a="1"/>
  <c r="E1317" i="6" s="1"/>
  <c r="G1317" i="6"/>
  <c r="H1317" i="6" s="1"/>
  <c r="I1317" i="6"/>
  <c r="N1317" i="6"/>
  <c r="Q1317" i="6"/>
  <c r="S1317" i="6"/>
  <c r="V1317" i="6"/>
  <c r="D1318" i="6"/>
  <c r="E1318" i="6" a="1"/>
  <c r="E1318" i="6" s="1"/>
  <c r="G1318" i="6"/>
  <c r="H1318" i="6" s="1"/>
  <c r="I1318" i="6"/>
  <c r="Q1318" i="6"/>
  <c r="S1318" i="6"/>
  <c r="T1318" i="6"/>
  <c r="U1318" i="6" a="1"/>
  <c r="U1318" i="6" s="1"/>
  <c r="D1319" i="6"/>
  <c r="E1319" i="6" a="1"/>
  <c r="E1319" i="6" s="1"/>
  <c r="G1319" i="6"/>
  <c r="H1319" i="6" s="1"/>
  <c r="I1319" i="6"/>
  <c r="N1319" i="6"/>
  <c r="Q1319" i="6"/>
  <c r="S1319" i="6"/>
  <c r="V1319" i="6"/>
  <c r="D1320" i="6"/>
  <c r="E1320" i="6" a="1"/>
  <c r="E1320" i="6" s="1"/>
  <c r="G1320" i="6"/>
  <c r="H1320" i="6" s="1"/>
  <c r="I1320" i="6"/>
  <c r="Q1320" i="6"/>
  <c r="S1320" i="6"/>
  <c r="V1320" i="6"/>
  <c r="N1305" i="6"/>
  <c r="D1305" i="6"/>
  <c r="G1305" i="6"/>
  <c r="H1305" i="6" s="1"/>
  <c r="I1305" i="6"/>
  <c r="Q1305" i="6"/>
  <c r="S1305" i="6"/>
  <c r="V1305" i="6"/>
  <c r="N1308" i="6"/>
  <c r="D1308" i="6"/>
  <c r="E1308" i="6" a="1"/>
  <c r="E1308" i="6" s="1"/>
  <c r="G1308" i="6"/>
  <c r="H1308" i="6" s="1"/>
  <c r="I1308" i="6"/>
  <c r="Q1308" i="6"/>
  <c r="S1308" i="6"/>
  <c r="U1308" i="6" a="1"/>
  <c r="U1308" i="6" s="1"/>
  <c r="V1308" i="6"/>
  <c r="N1473" i="16"/>
  <c r="N1477" i="16"/>
  <c r="D1469" i="16"/>
  <c r="D1470" i="16"/>
  <c r="D1471" i="16"/>
  <c r="D1472" i="16"/>
  <c r="D1473" i="16"/>
  <c r="D1474" i="16"/>
  <c r="D1475" i="16"/>
  <c r="D1476" i="16"/>
  <c r="D1477" i="16"/>
  <c r="D1478" i="16"/>
  <c r="E1469" i="16" a="1"/>
  <c r="E1469" i="16" s="1"/>
  <c r="E1470" i="16" a="1"/>
  <c r="E1470" i="16" s="1"/>
  <c r="E1471" i="16" a="1"/>
  <c r="E1471" i="16" s="1"/>
  <c r="E1472" i="16" a="1"/>
  <c r="E1472" i="16" s="1"/>
  <c r="E1473" i="16" a="1"/>
  <c r="E1473" i="16" s="1"/>
  <c r="E1474" i="16" a="1"/>
  <c r="E1474" i="16" s="1"/>
  <c r="E1475" i="16" a="1"/>
  <c r="E1475" i="16" s="1"/>
  <c r="E1476" i="16" a="1"/>
  <c r="E1476" i="16" s="1"/>
  <c r="E1477" i="16" a="1"/>
  <c r="E1477" i="16" s="1"/>
  <c r="E1478" i="16" a="1"/>
  <c r="E1478" i="16" s="1"/>
  <c r="G1469" i="16"/>
  <c r="H1469" i="16" s="1"/>
  <c r="G1470" i="16"/>
  <c r="H1470" i="16" s="1"/>
  <c r="G1471" i="16"/>
  <c r="H1471" i="16" s="1"/>
  <c r="G1472" i="16"/>
  <c r="H1472" i="16" s="1"/>
  <c r="G1473" i="16"/>
  <c r="H1473" i="16" s="1"/>
  <c r="G1474" i="16"/>
  <c r="H1474" i="16" s="1"/>
  <c r="G1475" i="16"/>
  <c r="H1475" i="16" s="1"/>
  <c r="G1476" i="16"/>
  <c r="H1476" i="16" s="1"/>
  <c r="G1477" i="16"/>
  <c r="H1477" i="16" s="1"/>
  <c r="G1478" i="16"/>
  <c r="H1478" i="16" s="1"/>
  <c r="I1469" i="16"/>
  <c r="I1470" i="16"/>
  <c r="I1471" i="16"/>
  <c r="I1472" i="16"/>
  <c r="I1473" i="16"/>
  <c r="I1474" i="16"/>
  <c r="I1475" i="16"/>
  <c r="I1476" i="16"/>
  <c r="I1477" i="16"/>
  <c r="I1478" i="16"/>
  <c r="N1469" i="16"/>
  <c r="M1469" i="16" s="1"/>
  <c r="N1470" i="16"/>
  <c r="M1470" i="16" s="1"/>
  <c r="N1471" i="16"/>
  <c r="N1472" i="16"/>
  <c r="N1474" i="16"/>
  <c r="M1474" i="16" s="1"/>
  <c r="N1475" i="16"/>
  <c r="M1475" i="16" s="1"/>
  <c r="N1476" i="16"/>
  <c r="M1476" i="16" s="1"/>
  <c r="N1478" i="16"/>
  <c r="M1478" i="16" s="1"/>
  <c r="Q1469" i="16"/>
  <c r="Q1470" i="16"/>
  <c r="Q1471" i="16"/>
  <c r="Q1472" i="16"/>
  <c r="Q1474" i="16"/>
  <c r="Q1475" i="16"/>
  <c r="Q1476" i="16"/>
  <c r="Q1478" i="16"/>
  <c r="S1469" i="16"/>
  <c r="S1470" i="16"/>
  <c r="S1471" i="16"/>
  <c r="S1472" i="16"/>
  <c r="S1473" i="16"/>
  <c r="S1474" i="16"/>
  <c r="S1475" i="16"/>
  <c r="S1476" i="16"/>
  <c r="S1477" i="16"/>
  <c r="S1478" i="16"/>
  <c r="U1469" i="16" a="1"/>
  <c r="U1469" i="16" s="1"/>
  <c r="U1470" i="16" a="1"/>
  <c r="U1470" i="16" s="1"/>
  <c r="U1471" i="16" a="1"/>
  <c r="U1471" i="16" s="1"/>
  <c r="U1472" i="16" a="1"/>
  <c r="U1472" i="16" s="1"/>
  <c r="U1473" i="16" a="1"/>
  <c r="U1473" i="16" s="1"/>
  <c r="U1474" i="16" a="1"/>
  <c r="U1474" i="16" s="1"/>
  <c r="U1475" i="16" a="1"/>
  <c r="U1475" i="16" s="1"/>
  <c r="U1476" i="16" a="1"/>
  <c r="U1476" i="16" s="1"/>
  <c r="U1477" i="16" a="1"/>
  <c r="U1477" i="16" s="1"/>
  <c r="U1478" i="16" a="1"/>
  <c r="U1478" i="16" s="1"/>
  <c r="V1469" i="16"/>
  <c r="V1470" i="16"/>
  <c r="V1471" i="16"/>
  <c r="V1472" i="16"/>
  <c r="V1473" i="16"/>
  <c r="V1475" i="16"/>
  <c r="V1476" i="16"/>
  <c r="V1477" i="16"/>
  <c r="V1478" i="16"/>
  <c r="D1307" i="6"/>
  <c r="E1307" i="6" a="1"/>
  <c r="E1307" i="6" s="1"/>
  <c r="G1307" i="6"/>
  <c r="H1307" i="6" s="1"/>
  <c r="I1307" i="6"/>
  <c r="N1307" i="6"/>
  <c r="M1307" i="6" s="1"/>
  <c r="Q1307" i="6"/>
  <c r="S1307" i="6"/>
  <c r="V1307" i="6"/>
  <c r="F666" i="13"/>
  <c r="I666" i="13" s="1"/>
  <c r="L666" i="13"/>
  <c r="N666" i="13" s="1"/>
  <c r="M666" i="13"/>
  <c r="R666" i="13" s="1"/>
  <c r="W666" i="13"/>
  <c r="X666" i="13"/>
  <c r="Y666" i="13"/>
  <c r="AC666" i="13"/>
  <c r="AH666" i="13" s="1"/>
  <c r="AD666" i="13"/>
  <c r="AO666" i="13"/>
  <c r="W1785" i="16" l="1"/>
  <c r="W1878" i="16"/>
  <c r="O1785" i="16"/>
  <c r="O1878" i="16"/>
  <c r="V1474" i="16"/>
  <c r="W1622" i="16"/>
  <c r="W1703" i="16"/>
  <c r="O1622" i="16"/>
  <c r="O1703" i="16"/>
  <c r="W1472" i="16"/>
  <c r="W1542" i="16"/>
  <c r="M1472" i="16"/>
  <c r="O1542" i="16"/>
  <c r="O1472" i="16"/>
  <c r="M1319" i="6"/>
  <c r="M1317" i="6"/>
  <c r="M1315" i="6"/>
  <c r="M1309" i="6"/>
  <c r="N1318" i="6"/>
  <c r="N1312" i="6"/>
  <c r="M1312" i="6" s="1"/>
  <c r="N1320" i="6"/>
  <c r="N1316" i="6"/>
  <c r="N1314" i="6"/>
  <c r="N1310" i="6"/>
  <c r="AG666" i="13"/>
  <c r="M1305" i="6"/>
  <c r="M1308" i="6"/>
  <c r="M1477" i="16"/>
  <c r="M1473" i="16"/>
  <c r="Q1477" i="16"/>
  <c r="Q1473" i="16"/>
  <c r="M1471" i="16"/>
  <c r="P666" i="13"/>
  <c r="T666" i="13"/>
  <c r="K666" i="13"/>
  <c r="AU666" i="13" s="1"/>
  <c r="Q666" i="13"/>
  <c r="AR666" i="13"/>
  <c r="AM666" i="13" a="1"/>
  <c r="AM666" i="13" s="1"/>
  <c r="AF666" i="13"/>
  <c r="O666" i="13"/>
  <c r="AE666" i="13"/>
  <c r="M1318" i="6" l="1"/>
  <c r="V1318" i="6"/>
  <c r="R1472" i="16"/>
  <c r="M1316" i="6"/>
  <c r="M1320" i="6"/>
  <c r="M1310" i="6"/>
  <c r="M1314" i="6"/>
  <c r="N1301" i="6"/>
  <c r="D1301" i="6"/>
  <c r="E1301" i="6" a="1"/>
  <c r="E1301" i="6" s="1"/>
  <c r="G1301" i="6"/>
  <c r="H1301" i="6" s="1"/>
  <c r="I1301" i="6"/>
  <c r="Q1301" i="6"/>
  <c r="S1301" i="6"/>
  <c r="V1301" i="6"/>
  <c r="N1468" i="16"/>
  <c r="D1468" i="16"/>
  <c r="E1468" i="16" a="1"/>
  <c r="E1468" i="16" s="1"/>
  <c r="G1468" i="16"/>
  <c r="H1468" i="16" s="1"/>
  <c r="I1468" i="16"/>
  <c r="S1468" i="16"/>
  <c r="V1468" i="16"/>
  <c r="Q1303" i="6"/>
  <c r="N1302" i="6"/>
  <c r="V1302" i="6" s="1"/>
  <c r="N1304" i="6"/>
  <c r="M1304" i="6" s="1"/>
  <c r="Q1306" i="6"/>
  <c r="D1306" i="6"/>
  <c r="E1306" i="6" a="1"/>
  <c r="E1306" i="6" s="1"/>
  <c r="G1306" i="6"/>
  <c r="H1306" i="6" s="1"/>
  <c r="I1306" i="6"/>
  <c r="S1306" i="6"/>
  <c r="U1306" i="6" a="1"/>
  <c r="U1306" i="6" s="1"/>
  <c r="V1306" i="6"/>
  <c r="V666" i="13" s="1"/>
  <c r="Z666" i="13" s="1"/>
  <c r="D1304" i="6"/>
  <c r="E1304" i="6" a="1"/>
  <c r="E1304" i="6" s="1"/>
  <c r="G1304" i="6"/>
  <c r="H1304" i="6" s="1"/>
  <c r="I1304" i="6"/>
  <c r="S1304" i="6"/>
  <c r="V1304" i="6"/>
  <c r="D1303" i="6"/>
  <c r="E1303" i="6" a="1"/>
  <c r="E1303" i="6" s="1"/>
  <c r="G1303" i="6"/>
  <c r="H1303" i="6" s="1"/>
  <c r="I1303" i="6"/>
  <c r="N1303" i="6"/>
  <c r="V1303" i="6" s="1"/>
  <c r="S1303" i="6"/>
  <c r="D1302" i="6"/>
  <c r="E1302" i="6" a="1"/>
  <c r="E1302" i="6" s="1"/>
  <c r="G1302" i="6"/>
  <c r="H1302" i="6" s="1"/>
  <c r="I1302" i="6"/>
  <c r="Q1302" i="6"/>
  <c r="S1302" i="6"/>
  <c r="D1300" i="6"/>
  <c r="E1300" i="6" a="1"/>
  <c r="E1300" i="6" s="1"/>
  <c r="G1300" i="6"/>
  <c r="H1300" i="6" s="1"/>
  <c r="I1300" i="6"/>
  <c r="N1300" i="6"/>
  <c r="M1300" i="6" s="1"/>
  <c r="Q1300" i="6"/>
  <c r="S1300" i="6"/>
  <c r="U1300" i="6" a="1"/>
  <c r="U1300" i="6" s="1"/>
  <c r="V1300" i="6"/>
  <c r="W1306" i="6" l="1"/>
  <c r="U1301" i="6" a="1"/>
  <c r="U1301" i="6" s="1"/>
  <c r="M1301" i="6"/>
  <c r="Q1304" i="6"/>
  <c r="Q1468" i="16"/>
  <c r="M1468" i="16"/>
  <c r="N1306" i="6"/>
  <c r="M1303" i="6"/>
  <c r="M1302" i="6"/>
  <c r="N1453" i="16"/>
  <c r="M1453" i="16" s="1"/>
  <c r="Q1454" i="16"/>
  <c r="N1457" i="16"/>
  <c r="M1457" i="16" s="1"/>
  <c r="Q1458" i="16"/>
  <c r="N1461" i="16"/>
  <c r="M1461" i="16" s="1"/>
  <c r="Q1462" i="16"/>
  <c r="N1465" i="16"/>
  <c r="M1465" i="16" s="1"/>
  <c r="Q1466" i="16"/>
  <c r="Q1450" i="16"/>
  <c r="D1450" i="16"/>
  <c r="D1451" i="16"/>
  <c r="D1452" i="16"/>
  <c r="D1453" i="16"/>
  <c r="D1454" i="16"/>
  <c r="D1455" i="16"/>
  <c r="D1456" i="16"/>
  <c r="D1457" i="16"/>
  <c r="D1458" i="16"/>
  <c r="D1459" i="16"/>
  <c r="D1460" i="16"/>
  <c r="D1461" i="16"/>
  <c r="D1462" i="16"/>
  <c r="D1463" i="16"/>
  <c r="D1464" i="16"/>
  <c r="D1465" i="16"/>
  <c r="D1466" i="16"/>
  <c r="D1467" i="16"/>
  <c r="E1450" i="16" a="1"/>
  <c r="E1450" i="16" s="1"/>
  <c r="E1451" i="16" a="1"/>
  <c r="E1451" i="16" s="1"/>
  <c r="E1452" i="16" a="1"/>
  <c r="E1452" i="16" s="1"/>
  <c r="E1453" i="16" a="1"/>
  <c r="E1453" i="16" s="1"/>
  <c r="E1454" i="16" a="1"/>
  <c r="E1454" i="16" s="1"/>
  <c r="E1455" i="16" a="1"/>
  <c r="E1455" i="16" s="1"/>
  <c r="E1456" i="16" a="1"/>
  <c r="E1456" i="16" s="1"/>
  <c r="E1457" i="16" a="1"/>
  <c r="E1457" i="16" s="1"/>
  <c r="E1458" i="16" a="1"/>
  <c r="E1458" i="16" s="1"/>
  <c r="E1459" i="16" a="1"/>
  <c r="E1459" i="16" s="1"/>
  <c r="E1460" i="16" a="1"/>
  <c r="E1460" i="16" s="1"/>
  <c r="E1461" i="16" a="1"/>
  <c r="E1461" i="16" s="1"/>
  <c r="E1462" i="16" a="1"/>
  <c r="E1462" i="16" s="1"/>
  <c r="E1463" i="16" a="1"/>
  <c r="E1463" i="16" s="1"/>
  <c r="E1464" i="16" a="1"/>
  <c r="E1464" i="16" s="1"/>
  <c r="E1465" i="16" a="1"/>
  <c r="E1465" i="16" s="1"/>
  <c r="E1466" i="16" a="1"/>
  <c r="E1466" i="16" s="1"/>
  <c r="E1467" i="16" a="1"/>
  <c r="E1467" i="16" s="1"/>
  <c r="G1450" i="16"/>
  <c r="H1450" i="16" s="1"/>
  <c r="G1451" i="16"/>
  <c r="H1451" i="16" s="1"/>
  <c r="G1452" i="16"/>
  <c r="H1452" i="16" s="1"/>
  <c r="G1453" i="16"/>
  <c r="H1453" i="16" s="1"/>
  <c r="G1454" i="16"/>
  <c r="H1454" i="16" s="1"/>
  <c r="G1455" i="16"/>
  <c r="H1455" i="16" s="1"/>
  <c r="G1456" i="16"/>
  <c r="H1456" i="16" s="1"/>
  <c r="G1457" i="16"/>
  <c r="H1457" i="16" s="1"/>
  <c r="G1458" i="16"/>
  <c r="H1458" i="16" s="1"/>
  <c r="G1459" i="16"/>
  <c r="H1459" i="16" s="1"/>
  <c r="G1460" i="16"/>
  <c r="H1460" i="16" s="1"/>
  <c r="G1461" i="16"/>
  <c r="H1461" i="16" s="1"/>
  <c r="G1462" i="16"/>
  <c r="H1462" i="16" s="1"/>
  <c r="G1463" i="16"/>
  <c r="H1463" i="16" s="1"/>
  <c r="G1464" i="16"/>
  <c r="H1464" i="16" s="1"/>
  <c r="G1465" i="16"/>
  <c r="H1465" i="16" s="1"/>
  <c r="G1466" i="16"/>
  <c r="H1466" i="16" s="1"/>
  <c r="G1467" i="16"/>
  <c r="H1467" i="16" s="1"/>
  <c r="I1450" i="16"/>
  <c r="I1451" i="16"/>
  <c r="I1452" i="16"/>
  <c r="I1453" i="16"/>
  <c r="I1454" i="16"/>
  <c r="I1455" i="16"/>
  <c r="I1456" i="16"/>
  <c r="I1457" i="16"/>
  <c r="I1458" i="16"/>
  <c r="I1459" i="16"/>
  <c r="I1460" i="16"/>
  <c r="I1461" i="16"/>
  <c r="I1462" i="16"/>
  <c r="I1463" i="16"/>
  <c r="I1464" i="16"/>
  <c r="I1465" i="16"/>
  <c r="I1466" i="16"/>
  <c r="I1467" i="16"/>
  <c r="N1451" i="16"/>
  <c r="M1451" i="16" s="1"/>
  <c r="N1452" i="16"/>
  <c r="M1452" i="16" s="1"/>
  <c r="N1455" i="16"/>
  <c r="M1455" i="16" s="1"/>
  <c r="N1456" i="16"/>
  <c r="O1860" i="16" s="1"/>
  <c r="N1459" i="16"/>
  <c r="M1459" i="16" s="1"/>
  <c r="N1460" i="16"/>
  <c r="M1460" i="16" s="1"/>
  <c r="N1463" i="16"/>
  <c r="M1463" i="16" s="1"/>
  <c r="N1464" i="16"/>
  <c r="M1464" i="16" s="1"/>
  <c r="N1467" i="16"/>
  <c r="O1840" i="16" s="1"/>
  <c r="Q1451" i="16"/>
  <c r="Q1452" i="16"/>
  <c r="Q1453" i="16"/>
  <c r="Q1455" i="16"/>
  <c r="Q1456" i="16"/>
  <c r="Q1457" i="16"/>
  <c r="Q1459" i="16"/>
  <c r="Q1460" i="16"/>
  <c r="Q1461" i="16"/>
  <c r="Q1463" i="16"/>
  <c r="Q1464" i="16"/>
  <c r="Q1465" i="16"/>
  <c r="Q1467" i="16"/>
  <c r="S1450" i="16"/>
  <c r="S1451" i="16"/>
  <c r="S1452" i="16"/>
  <c r="S1453" i="16"/>
  <c r="S1454" i="16"/>
  <c r="S1455" i="16"/>
  <c r="S1456" i="16"/>
  <c r="S1457" i="16"/>
  <c r="S1458" i="16"/>
  <c r="S1459" i="16"/>
  <c r="S1460" i="16"/>
  <c r="S1461" i="16"/>
  <c r="S1462" i="16"/>
  <c r="S1463" i="16"/>
  <c r="S1464" i="16"/>
  <c r="S1465" i="16"/>
  <c r="S1466" i="16"/>
  <c r="S1467" i="16"/>
  <c r="U1450" i="16" a="1"/>
  <c r="U1450" i="16" s="1"/>
  <c r="U1451" i="16" a="1"/>
  <c r="U1451" i="16" s="1"/>
  <c r="U1452" i="16" a="1"/>
  <c r="U1452" i="16" s="1"/>
  <c r="U1453" i="16" a="1"/>
  <c r="U1453" i="16" s="1"/>
  <c r="U1454" i="16" a="1"/>
  <c r="U1454" i="16" s="1"/>
  <c r="U1455" i="16" a="1"/>
  <c r="U1455" i="16" s="1"/>
  <c r="U1456" i="16" a="1"/>
  <c r="U1456" i="16" s="1"/>
  <c r="U1457" i="16" a="1"/>
  <c r="U1457" i="16" s="1"/>
  <c r="U1458" i="16" a="1"/>
  <c r="U1458" i="16" s="1"/>
  <c r="U1459" i="16" a="1"/>
  <c r="U1459" i="16" s="1"/>
  <c r="U1460" i="16" a="1"/>
  <c r="U1460" i="16" s="1"/>
  <c r="U1461" i="16" a="1"/>
  <c r="U1461" i="16" s="1"/>
  <c r="U1462" i="16" a="1"/>
  <c r="U1462" i="16" s="1"/>
  <c r="U1463" i="16" a="1"/>
  <c r="U1463" i="16" s="1"/>
  <c r="U1464" i="16" a="1"/>
  <c r="U1464" i="16" s="1"/>
  <c r="U1465" i="16" a="1"/>
  <c r="U1465" i="16" s="1"/>
  <c r="U1466" i="16" a="1"/>
  <c r="U1466" i="16" s="1"/>
  <c r="U1467" i="16" a="1"/>
  <c r="U1467" i="16" s="1"/>
  <c r="V1450" i="16"/>
  <c r="V1451" i="16"/>
  <c r="V1452" i="16"/>
  <c r="V1453" i="16"/>
  <c r="V1454" i="16"/>
  <c r="V1455" i="16"/>
  <c r="V1457" i="16"/>
  <c r="V1458" i="16"/>
  <c r="V1459" i="16"/>
  <c r="V1460" i="16"/>
  <c r="V1461" i="16"/>
  <c r="V1462" i="16"/>
  <c r="V1463" i="16"/>
  <c r="V1465" i="16"/>
  <c r="V1466" i="16"/>
  <c r="N1284" i="6"/>
  <c r="D1284" i="6"/>
  <c r="E1284" i="6" a="1"/>
  <c r="E1284" i="6" s="1"/>
  <c r="G1284" i="6"/>
  <c r="H1284" i="6" s="1"/>
  <c r="I1284" i="6"/>
  <c r="Q1284" i="6"/>
  <c r="S1284" i="6"/>
  <c r="U1284" i="6" a="1"/>
  <c r="U1284" i="6" s="1"/>
  <c r="V1284" i="6"/>
  <c r="N1283" i="6"/>
  <c r="D1283" i="6"/>
  <c r="E1283" i="6" a="1"/>
  <c r="E1283" i="6" s="1"/>
  <c r="G1283" i="6"/>
  <c r="H1283" i="6" s="1"/>
  <c r="I1283" i="6"/>
  <c r="Q1283" i="6"/>
  <c r="S1283" i="6"/>
  <c r="U1283" i="6" a="1"/>
  <c r="U1283" i="6" s="1"/>
  <c r="V1283" i="6"/>
  <c r="N1293" i="6"/>
  <c r="N1294" i="6"/>
  <c r="N1295" i="6"/>
  <c r="N1296" i="6"/>
  <c r="N1297" i="6"/>
  <c r="N1298" i="6"/>
  <c r="V1298" i="6" s="1"/>
  <c r="N1299" i="6"/>
  <c r="D1299" i="6"/>
  <c r="G1299" i="6"/>
  <c r="H1299" i="6" s="1"/>
  <c r="I1299" i="6"/>
  <c r="S1299" i="6"/>
  <c r="V1299" i="6"/>
  <c r="D1298" i="6"/>
  <c r="E1298" i="6" a="1"/>
  <c r="E1298" i="6" s="1"/>
  <c r="G1298" i="6"/>
  <c r="H1298" i="6" s="1"/>
  <c r="I1298" i="6"/>
  <c r="Q1298" i="6"/>
  <c r="S1298" i="6"/>
  <c r="U1298" i="6" a="1"/>
  <c r="U1298" i="6" s="1"/>
  <c r="D1297" i="6"/>
  <c r="E1297" i="6" a="1"/>
  <c r="E1297" i="6" s="1"/>
  <c r="G1297" i="6"/>
  <c r="H1297" i="6" s="1"/>
  <c r="I1297" i="6"/>
  <c r="Q1297" i="6"/>
  <c r="S1297" i="6"/>
  <c r="U1297" i="6" a="1"/>
  <c r="U1297" i="6" s="1"/>
  <c r="V1297" i="6"/>
  <c r="D1296" i="6"/>
  <c r="E1296" i="6" a="1"/>
  <c r="E1296" i="6" s="1"/>
  <c r="G1296" i="6"/>
  <c r="H1296" i="6" s="1"/>
  <c r="I1296" i="6"/>
  <c r="S1296" i="6"/>
  <c r="V1296" i="6"/>
  <c r="D1295" i="6"/>
  <c r="E1295" i="6" a="1"/>
  <c r="E1295" i="6" s="1"/>
  <c r="G1295" i="6"/>
  <c r="H1295" i="6" s="1"/>
  <c r="I1295" i="6"/>
  <c r="S1295" i="6"/>
  <c r="U1295" i="6" a="1"/>
  <c r="U1295" i="6" s="1"/>
  <c r="V1295" i="6"/>
  <c r="D1294" i="6"/>
  <c r="E1294" i="6" a="1"/>
  <c r="E1294" i="6" s="1"/>
  <c r="G1294" i="6"/>
  <c r="H1294" i="6" s="1"/>
  <c r="I1294" i="6"/>
  <c r="S1294" i="6"/>
  <c r="V1294" i="6"/>
  <c r="D1293" i="6"/>
  <c r="E1293" i="6" a="1"/>
  <c r="E1293" i="6" s="1"/>
  <c r="G1293" i="6"/>
  <c r="H1293" i="6" s="1"/>
  <c r="I1293" i="6"/>
  <c r="Q1293" i="6"/>
  <c r="S1293" i="6"/>
  <c r="V1293" i="6"/>
  <c r="Q1286" i="6"/>
  <c r="N1287" i="6"/>
  <c r="M1287" i="6" s="1"/>
  <c r="N1288" i="6"/>
  <c r="M1288" i="6" s="1"/>
  <c r="N1289" i="6"/>
  <c r="N1290" i="6"/>
  <c r="N1291" i="6"/>
  <c r="N1292" i="6"/>
  <c r="N1285" i="6"/>
  <c r="M1285" i="6" s="1"/>
  <c r="D1292" i="6"/>
  <c r="E1292" i="6" a="1"/>
  <c r="E1292" i="6" s="1"/>
  <c r="G1292" i="6"/>
  <c r="H1292" i="6" s="1"/>
  <c r="I1292" i="6"/>
  <c r="S1292" i="6"/>
  <c r="V1292" i="6"/>
  <c r="D1291" i="6"/>
  <c r="E1291" i="6" a="1"/>
  <c r="E1291" i="6" s="1"/>
  <c r="G1291" i="6"/>
  <c r="H1291" i="6" s="1"/>
  <c r="I1291" i="6"/>
  <c r="S1291" i="6"/>
  <c r="V1291" i="6"/>
  <c r="D1290" i="6"/>
  <c r="G1290" i="6"/>
  <c r="H1290" i="6" s="1"/>
  <c r="I1290" i="6"/>
  <c r="S1290" i="6"/>
  <c r="V1290" i="6"/>
  <c r="D1289" i="6"/>
  <c r="E1289" i="6" a="1"/>
  <c r="E1289" i="6" s="1"/>
  <c r="G1289" i="6"/>
  <c r="H1289" i="6" s="1"/>
  <c r="I1289" i="6"/>
  <c r="S1289" i="6"/>
  <c r="U1289" i="6" a="1"/>
  <c r="U1289" i="6" s="1"/>
  <c r="V1289" i="6"/>
  <c r="D1288" i="6"/>
  <c r="E1288" i="6" a="1"/>
  <c r="E1288" i="6" s="1"/>
  <c r="G1288" i="6"/>
  <c r="H1288" i="6" s="1"/>
  <c r="I1288" i="6"/>
  <c r="S1288" i="6"/>
  <c r="U1288" i="6" a="1"/>
  <c r="U1288" i="6" s="1"/>
  <c r="V1288" i="6"/>
  <c r="D1287" i="6"/>
  <c r="E1287" i="6" a="1"/>
  <c r="E1287" i="6" s="1"/>
  <c r="G1287" i="6"/>
  <c r="H1287" i="6" s="1"/>
  <c r="I1287" i="6"/>
  <c r="S1287" i="6"/>
  <c r="D1286" i="6"/>
  <c r="E1286" i="6" a="1"/>
  <c r="E1286" i="6" s="1"/>
  <c r="G1286" i="6"/>
  <c r="H1286" i="6" s="1"/>
  <c r="I1286" i="6"/>
  <c r="S1286" i="6"/>
  <c r="V1286" i="6"/>
  <c r="D1285" i="6"/>
  <c r="E1285" i="6" a="1"/>
  <c r="E1285" i="6" s="1"/>
  <c r="G1285" i="6"/>
  <c r="H1285" i="6" s="1"/>
  <c r="I1285" i="6"/>
  <c r="S1285" i="6"/>
  <c r="V1285" i="6"/>
  <c r="F665" i="13"/>
  <c r="L665" i="13"/>
  <c r="N665" i="13" s="1"/>
  <c r="M665" i="13"/>
  <c r="W665" i="13"/>
  <c r="X665" i="13"/>
  <c r="Y665" i="13"/>
  <c r="AC665" i="13"/>
  <c r="AH665" i="13" s="1"/>
  <c r="AD665" i="13"/>
  <c r="AO665" i="13"/>
  <c r="Q1282" i="6"/>
  <c r="D1282" i="6"/>
  <c r="E1282" i="6" a="1"/>
  <c r="E1282" i="6" s="1"/>
  <c r="G1282" i="6"/>
  <c r="H1282" i="6" s="1"/>
  <c r="I1282" i="6"/>
  <c r="N1282" i="6"/>
  <c r="S1282" i="6"/>
  <c r="U1282" i="6" a="1"/>
  <c r="U1282" i="6" s="1"/>
  <c r="V1282" i="6"/>
  <c r="D1281" i="6"/>
  <c r="E1281" i="6" a="1"/>
  <c r="E1281" i="6" s="1"/>
  <c r="G1281" i="6"/>
  <c r="H1281" i="6" s="1"/>
  <c r="I1281" i="6"/>
  <c r="N1281" i="6"/>
  <c r="M1281" i="6" s="1"/>
  <c r="Q1281" i="6"/>
  <c r="S1281" i="6"/>
  <c r="U1281" i="6" a="1"/>
  <c r="U1281" i="6" s="1"/>
  <c r="V1281" i="6"/>
  <c r="N1418" i="16"/>
  <c r="M1418" i="16" s="1"/>
  <c r="N1422" i="16"/>
  <c r="M1422" i="16" s="1"/>
  <c r="N1426" i="16"/>
  <c r="M1426" i="16" s="1"/>
  <c r="N1430" i="16"/>
  <c r="M1430" i="16" s="1"/>
  <c r="N1434" i="16"/>
  <c r="M1434" i="16" s="1"/>
  <c r="N1438" i="16"/>
  <c r="M1438" i="16" s="1"/>
  <c r="N1442" i="16"/>
  <c r="M1442" i="16" s="1"/>
  <c r="N1446" i="16"/>
  <c r="M1446" i="16" s="1"/>
  <c r="D1415" i="16"/>
  <c r="D1416" i="16"/>
  <c r="D1417" i="16"/>
  <c r="D1418" i="16"/>
  <c r="D1419" i="16"/>
  <c r="D1420" i="16"/>
  <c r="D1421" i="16"/>
  <c r="D1422" i="16"/>
  <c r="D1423" i="16"/>
  <c r="D1424" i="16"/>
  <c r="D1425" i="16"/>
  <c r="D1426" i="16"/>
  <c r="D1427" i="16"/>
  <c r="D1428" i="16"/>
  <c r="D1429" i="16"/>
  <c r="D1430" i="16"/>
  <c r="D1431" i="16"/>
  <c r="D1432" i="16"/>
  <c r="D1433" i="16"/>
  <c r="D1434" i="16"/>
  <c r="D1435" i="16"/>
  <c r="D1436" i="16"/>
  <c r="D1437" i="16"/>
  <c r="D1438" i="16"/>
  <c r="D1439" i="16"/>
  <c r="D1440" i="16"/>
  <c r="D1441" i="16"/>
  <c r="D1442" i="16"/>
  <c r="D1443" i="16"/>
  <c r="D1444" i="16"/>
  <c r="D1445" i="16"/>
  <c r="D1446" i="16"/>
  <c r="D1447" i="16"/>
  <c r="D1448" i="16"/>
  <c r="D1449" i="16"/>
  <c r="E1415" i="16" a="1"/>
  <c r="E1415" i="16" s="1"/>
  <c r="E1416" i="16" a="1"/>
  <c r="E1416" i="16" s="1"/>
  <c r="E1417" i="16" a="1"/>
  <c r="E1417" i="16" s="1"/>
  <c r="E1418" i="16" a="1"/>
  <c r="E1418" i="16" s="1"/>
  <c r="E1419" i="16" a="1"/>
  <c r="E1419" i="16" s="1"/>
  <c r="E1420" i="16" a="1"/>
  <c r="E1420" i="16" s="1"/>
  <c r="E1421" i="16" a="1"/>
  <c r="E1421" i="16" s="1"/>
  <c r="E1422" i="16" a="1"/>
  <c r="E1422" i="16" s="1"/>
  <c r="E1423" i="16" a="1"/>
  <c r="E1423" i="16" s="1"/>
  <c r="E1424" i="16" a="1"/>
  <c r="E1424" i="16" s="1"/>
  <c r="E1425" i="16" a="1"/>
  <c r="E1425" i="16" s="1"/>
  <c r="E1426" i="16" a="1"/>
  <c r="E1426" i="16" s="1"/>
  <c r="E1427" i="16" a="1"/>
  <c r="E1427" i="16" s="1"/>
  <c r="E1428" i="16" a="1"/>
  <c r="E1428" i="16" s="1"/>
  <c r="E1429" i="16" a="1"/>
  <c r="E1429" i="16" s="1"/>
  <c r="E1430" i="16" a="1"/>
  <c r="E1430" i="16" s="1"/>
  <c r="E1431" i="16" a="1"/>
  <c r="E1431" i="16" s="1"/>
  <c r="E1432" i="16" a="1"/>
  <c r="E1432" i="16" s="1"/>
  <c r="E1433" i="16" a="1"/>
  <c r="E1433" i="16" s="1"/>
  <c r="E1434" i="16" a="1"/>
  <c r="E1434" i="16" s="1"/>
  <c r="E1435" i="16" a="1"/>
  <c r="E1435" i="16" s="1"/>
  <c r="E1436" i="16" a="1"/>
  <c r="E1436" i="16" s="1"/>
  <c r="E1437" i="16" a="1"/>
  <c r="E1437" i="16" s="1"/>
  <c r="E1438" i="16" a="1"/>
  <c r="E1438" i="16" s="1"/>
  <c r="E1439" i="16" a="1"/>
  <c r="E1439" i="16" s="1"/>
  <c r="E1440" i="16" a="1"/>
  <c r="E1440" i="16" s="1"/>
  <c r="E1441" i="16" a="1"/>
  <c r="E1441" i="16" s="1"/>
  <c r="E1442" i="16" a="1"/>
  <c r="E1442" i="16" s="1"/>
  <c r="E1443" i="16" a="1"/>
  <c r="E1443" i="16" s="1"/>
  <c r="E1444" i="16" a="1"/>
  <c r="E1444" i="16" s="1"/>
  <c r="E1445" i="16" a="1"/>
  <c r="E1445" i="16" s="1"/>
  <c r="E1446" i="16" a="1"/>
  <c r="E1446" i="16" s="1"/>
  <c r="E1447" i="16" a="1"/>
  <c r="E1447" i="16" s="1"/>
  <c r="E1448" i="16" a="1"/>
  <c r="E1448" i="16" s="1"/>
  <c r="E1449" i="16" a="1"/>
  <c r="E1449" i="16" s="1"/>
  <c r="G1415" i="16"/>
  <c r="H1415" i="16" s="1"/>
  <c r="G1416" i="16"/>
  <c r="H1416" i="16" s="1"/>
  <c r="G1417" i="16"/>
  <c r="H1417" i="16" s="1"/>
  <c r="G1418" i="16"/>
  <c r="G1419" i="16"/>
  <c r="H1419" i="16" s="1"/>
  <c r="G1420" i="16"/>
  <c r="H1420" i="16" s="1"/>
  <c r="G1421" i="16"/>
  <c r="H1421" i="16" s="1"/>
  <c r="G1422" i="16"/>
  <c r="H1422" i="16" s="1"/>
  <c r="G1423" i="16"/>
  <c r="H1423" i="16" s="1"/>
  <c r="G1424" i="16"/>
  <c r="H1424" i="16" s="1"/>
  <c r="G1425" i="16"/>
  <c r="H1425" i="16" s="1"/>
  <c r="G1426" i="16"/>
  <c r="H1426" i="16" s="1"/>
  <c r="G1427" i="16"/>
  <c r="H1427" i="16" s="1"/>
  <c r="G1428" i="16"/>
  <c r="H1428" i="16" s="1"/>
  <c r="G1429" i="16"/>
  <c r="H1429" i="16" s="1"/>
  <c r="G1430" i="16"/>
  <c r="H1430" i="16" s="1"/>
  <c r="G1431" i="16"/>
  <c r="H1431" i="16" s="1"/>
  <c r="G1432" i="16"/>
  <c r="H1432" i="16" s="1"/>
  <c r="G1433" i="16"/>
  <c r="H1433" i="16" s="1"/>
  <c r="G1434" i="16"/>
  <c r="H1434" i="16" s="1"/>
  <c r="G1435" i="16"/>
  <c r="H1435" i="16" s="1"/>
  <c r="G1436" i="16"/>
  <c r="H1436" i="16" s="1"/>
  <c r="G1437" i="16"/>
  <c r="H1437" i="16" s="1"/>
  <c r="G1438" i="16"/>
  <c r="H1438" i="16" s="1"/>
  <c r="G1439" i="16"/>
  <c r="H1439" i="16" s="1"/>
  <c r="G1440" i="16"/>
  <c r="H1440" i="16" s="1"/>
  <c r="G1441" i="16"/>
  <c r="H1441" i="16" s="1"/>
  <c r="G1442" i="16"/>
  <c r="H1442" i="16" s="1"/>
  <c r="G1443" i="16"/>
  <c r="H1443" i="16" s="1"/>
  <c r="G1444" i="16"/>
  <c r="H1444" i="16" s="1"/>
  <c r="G1445" i="16"/>
  <c r="H1445" i="16" s="1"/>
  <c r="G1446" i="16"/>
  <c r="H1446" i="16" s="1"/>
  <c r="G1447" i="16"/>
  <c r="H1447" i="16" s="1"/>
  <c r="G1448" i="16"/>
  <c r="H1448" i="16" s="1"/>
  <c r="G1449" i="16"/>
  <c r="H1449" i="16" s="1"/>
  <c r="H1418" i="16"/>
  <c r="I1415" i="16"/>
  <c r="I1416" i="16"/>
  <c r="I1417" i="16"/>
  <c r="I1418" i="16"/>
  <c r="I1419" i="16"/>
  <c r="I1420" i="16"/>
  <c r="I1421" i="16"/>
  <c r="I1422" i="16"/>
  <c r="I1423" i="16"/>
  <c r="I1424" i="16"/>
  <c r="I1425" i="16"/>
  <c r="I1426" i="16"/>
  <c r="I1427" i="16"/>
  <c r="I1428" i="16"/>
  <c r="I1429" i="16"/>
  <c r="I1430" i="16"/>
  <c r="I1431" i="16"/>
  <c r="I1432" i="16"/>
  <c r="I1433" i="16"/>
  <c r="I1434" i="16"/>
  <c r="I1435" i="16"/>
  <c r="I1436" i="16"/>
  <c r="I1437" i="16"/>
  <c r="I1438" i="16"/>
  <c r="I1439" i="16"/>
  <c r="I1440" i="16"/>
  <c r="I1441" i="16"/>
  <c r="I1442" i="16"/>
  <c r="I1443" i="16"/>
  <c r="I1444" i="16"/>
  <c r="I1445" i="16"/>
  <c r="I1446" i="16"/>
  <c r="I1447" i="16"/>
  <c r="I1448" i="16"/>
  <c r="I1449" i="16"/>
  <c r="N1415" i="16"/>
  <c r="M1415" i="16" s="1"/>
  <c r="N1416" i="16"/>
  <c r="M1416" i="16" s="1"/>
  <c r="N1417" i="16"/>
  <c r="N1419" i="16"/>
  <c r="M1419" i="16" s="1"/>
  <c r="N1420" i="16"/>
  <c r="M1420" i="16" s="1"/>
  <c r="N1421" i="16"/>
  <c r="N1423" i="16"/>
  <c r="M1423" i="16" s="1"/>
  <c r="N1424" i="16"/>
  <c r="M1424" i="16" s="1"/>
  <c r="N1425" i="16"/>
  <c r="N1427" i="16"/>
  <c r="M1427" i="16" s="1"/>
  <c r="N1428" i="16"/>
  <c r="M1428" i="16" s="1"/>
  <c r="N1429" i="16"/>
  <c r="N1431" i="16"/>
  <c r="M1431" i="16" s="1"/>
  <c r="N1432" i="16"/>
  <c r="M1432" i="16" s="1"/>
  <c r="N1433" i="16"/>
  <c r="N1435" i="16"/>
  <c r="M1435" i="16" s="1"/>
  <c r="N1436" i="16"/>
  <c r="M1436" i="16" s="1"/>
  <c r="N1437" i="16"/>
  <c r="N1439" i="16"/>
  <c r="M1439" i="16" s="1"/>
  <c r="N1440" i="16"/>
  <c r="M1440" i="16" s="1"/>
  <c r="N1441" i="16"/>
  <c r="N1443" i="16"/>
  <c r="M1443" i="16" s="1"/>
  <c r="N1444" i="16"/>
  <c r="M1444" i="16" s="1"/>
  <c r="N1445" i="16"/>
  <c r="N1447" i="16"/>
  <c r="M1447" i="16" s="1"/>
  <c r="N1448" i="16"/>
  <c r="M1448" i="16" s="1"/>
  <c r="N1449" i="16"/>
  <c r="Q1415" i="16"/>
  <c r="Q1416" i="16"/>
  <c r="Q1417" i="16"/>
  <c r="Q1418" i="16"/>
  <c r="Q1419" i="16"/>
  <c r="Q1420" i="16"/>
  <c r="Q1421" i="16"/>
  <c r="Q1422" i="16"/>
  <c r="Q1423" i="16"/>
  <c r="Q1424" i="16"/>
  <c r="Q1425" i="16"/>
  <c r="Q1426" i="16"/>
  <c r="Q1427" i="16"/>
  <c r="Q1428" i="16"/>
  <c r="Q1429" i="16"/>
  <c r="Q1430" i="16"/>
  <c r="Q1431" i="16"/>
  <c r="Q1432" i="16"/>
  <c r="Q1433" i="16"/>
  <c r="Q1434" i="16"/>
  <c r="Q1435" i="16"/>
  <c r="Q1436" i="16"/>
  <c r="Q1437" i="16"/>
  <c r="Q1438" i="16"/>
  <c r="Q1439" i="16"/>
  <c r="Q1440" i="16"/>
  <c r="Q1441" i="16"/>
  <c r="Q1442" i="16"/>
  <c r="Q1443" i="16"/>
  <c r="Q1444" i="16"/>
  <c r="Q1445" i="16"/>
  <c r="Q1446" i="16"/>
  <c r="Q1447" i="16"/>
  <c r="Q1448" i="16"/>
  <c r="Q1449" i="16"/>
  <c r="S1415" i="16"/>
  <c r="S1416" i="16"/>
  <c r="S1417" i="16"/>
  <c r="S1418" i="16"/>
  <c r="S1419" i="16"/>
  <c r="S1420" i="16"/>
  <c r="S1421" i="16"/>
  <c r="S1422" i="16"/>
  <c r="S1423" i="16"/>
  <c r="S1424" i="16"/>
  <c r="S1425" i="16"/>
  <c r="S1426" i="16"/>
  <c r="S1427" i="16"/>
  <c r="S1428" i="16"/>
  <c r="S1429" i="16"/>
  <c r="S1430" i="16"/>
  <c r="S1431" i="16"/>
  <c r="S1432" i="16"/>
  <c r="S1433" i="16"/>
  <c r="S1434" i="16"/>
  <c r="S1435" i="16"/>
  <c r="S1436" i="16"/>
  <c r="S1437" i="16"/>
  <c r="S1438" i="16"/>
  <c r="S1439" i="16"/>
  <c r="S1440" i="16"/>
  <c r="S1441" i="16"/>
  <c r="S1442" i="16"/>
  <c r="S1443" i="16"/>
  <c r="S1444" i="16"/>
  <c r="S1445" i="16"/>
  <c r="S1446" i="16"/>
  <c r="S1447" i="16"/>
  <c r="S1448" i="16"/>
  <c r="S1449" i="16"/>
  <c r="U1415" i="16" a="1"/>
  <c r="U1415" i="16" s="1"/>
  <c r="U1416" i="16" a="1"/>
  <c r="U1416" i="16" s="1"/>
  <c r="U1417" i="16" a="1"/>
  <c r="U1417" i="16" s="1"/>
  <c r="U1418" i="16" a="1"/>
  <c r="U1418" i="16" s="1"/>
  <c r="U1419" i="16" a="1"/>
  <c r="U1419" i="16" s="1"/>
  <c r="U1420" i="16" a="1"/>
  <c r="U1420" i="16" s="1"/>
  <c r="U1421" i="16" a="1"/>
  <c r="U1421" i="16" s="1"/>
  <c r="U1422" i="16" a="1"/>
  <c r="U1422" i="16" s="1"/>
  <c r="U1423" i="16" a="1"/>
  <c r="U1423" i="16" s="1"/>
  <c r="U1424" i="16" a="1"/>
  <c r="U1424" i="16" s="1"/>
  <c r="U1425" i="16" a="1"/>
  <c r="U1425" i="16" s="1"/>
  <c r="U1426" i="16" a="1"/>
  <c r="U1426" i="16" s="1"/>
  <c r="U1427" i="16" a="1"/>
  <c r="U1427" i="16" s="1"/>
  <c r="U1428" i="16" a="1"/>
  <c r="U1428" i="16" s="1"/>
  <c r="U1429" i="16" a="1"/>
  <c r="U1429" i="16" s="1"/>
  <c r="U1430" i="16" a="1"/>
  <c r="U1430" i="16" s="1"/>
  <c r="U1431" i="16" a="1"/>
  <c r="U1431" i="16" s="1"/>
  <c r="U1432" i="16" a="1"/>
  <c r="U1432" i="16" s="1"/>
  <c r="U1433" i="16" a="1"/>
  <c r="U1433" i="16" s="1"/>
  <c r="U1434" i="16" a="1"/>
  <c r="U1434" i="16" s="1"/>
  <c r="U1435" i="16" a="1"/>
  <c r="U1435" i="16" s="1"/>
  <c r="U1436" i="16" a="1"/>
  <c r="U1436" i="16" s="1"/>
  <c r="U1437" i="16" a="1"/>
  <c r="U1437" i="16" s="1"/>
  <c r="U1438" i="16" a="1"/>
  <c r="U1438" i="16" s="1"/>
  <c r="U1439" i="16" a="1"/>
  <c r="U1439" i="16" s="1"/>
  <c r="U1440" i="16" a="1"/>
  <c r="U1440" i="16" s="1"/>
  <c r="U1441" i="16" a="1"/>
  <c r="U1441" i="16" s="1"/>
  <c r="U1442" i="16" a="1"/>
  <c r="U1442" i="16" s="1"/>
  <c r="U1443" i="16" a="1"/>
  <c r="U1443" i="16" s="1"/>
  <c r="U1444" i="16" a="1"/>
  <c r="U1444" i="16" s="1"/>
  <c r="U1445" i="16" a="1"/>
  <c r="U1445" i="16" s="1"/>
  <c r="U1446" i="16" a="1"/>
  <c r="U1446" i="16" s="1"/>
  <c r="U1447" i="16" a="1"/>
  <c r="U1447" i="16" s="1"/>
  <c r="U1448" i="16" a="1"/>
  <c r="U1448" i="16" s="1"/>
  <c r="U1449" i="16" a="1"/>
  <c r="U1449" i="16" s="1"/>
  <c r="V1415" i="16"/>
  <c r="V1416" i="16"/>
  <c r="V1417" i="16"/>
  <c r="V1418" i="16"/>
  <c r="V1419" i="16"/>
  <c r="V1421" i="16"/>
  <c r="V1422" i="16"/>
  <c r="V1423" i="16"/>
  <c r="V1424" i="16"/>
  <c r="V1425" i="16"/>
  <c r="V1426" i="16"/>
  <c r="V1427" i="16"/>
  <c r="V1428" i="16"/>
  <c r="V1429" i="16"/>
  <c r="V1430" i="16"/>
  <c r="V1431" i="16"/>
  <c r="V1432" i="16"/>
  <c r="V1433" i="16"/>
  <c r="V1434" i="16"/>
  <c r="V1435" i="16"/>
  <c r="V1436" i="16"/>
  <c r="V1437" i="16"/>
  <c r="V1439" i="16"/>
  <c r="V1440" i="16"/>
  <c r="V1441" i="16"/>
  <c r="V1442" i="16"/>
  <c r="V1443" i="16"/>
  <c r="V1445" i="16"/>
  <c r="V1446" i="16"/>
  <c r="V1447" i="16"/>
  <c r="V1448" i="16"/>
  <c r="V1449" i="16"/>
  <c r="N1413" i="16"/>
  <c r="M1413" i="16" s="1"/>
  <c r="N1414" i="16"/>
  <c r="M1414" i="16" s="1"/>
  <c r="Q1412" i="16"/>
  <c r="D1412" i="16"/>
  <c r="D1413" i="16"/>
  <c r="D1414" i="16"/>
  <c r="E1412" i="16" a="1"/>
  <c r="E1412" i="16" s="1"/>
  <c r="E1413" i="16" a="1"/>
  <c r="E1413" i="16" s="1"/>
  <c r="E1414" i="16" a="1"/>
  <c r="E1414" i="16" s="1"/>
  <c r="G1412" i="16"/>
  <c r="H1412" i="16" s="1"/>
  <c r="G1413" i="16"/>
  <c r="H1413" i="16" s="1"/>
  <c r="G1414" i="16"/>
  <c r="H1414" i="16" s="1"/>
  <c r="I1412" i="16"/>
  <c r="I1413" i="16"/>
  <c r="I1414" i="16"/>
  <c r="N1412" i="16"/>
  <c r="M1412" i="16" s="1"/>
  <c r="Q1414" i="16"/>
  <c r="S1412" i="16"/>
  <c r="S1413" i="16"/>
  <c r="S1414" i="16"/>
  <c r="U1412" i="16" a="1"/>
  <c r="U1412" i="16" s="1"/>
  <c r="U1413" i="16" a="1"/>
  <c r="U1413" i="16" s="1"/>
  <c r="U1414" i="16" a="1"/>
  <c r="U1414" i="16" s="1"/>
  <c r="V1412" i="16"/>
  <c r="V1413" i="16"/>
  <c r="V1414" i="16"/>
  <c r="Q1279" i="6"/>
  <c r="D1280" i="6"/>
  <c r="E1280" i="6" a="1"/>
  <c r="E1280" i="6" s="1"/>
  <c r="G1280" i="6"/>
  <c r="H1280" i="6" s="1"/>
  <c r="I1280" i="6"/>
  <c r="N1280" i="6"/>
  <c r="Q1280" i="6"/>
  <c r="S1280" i="6"/>
  <c r="U1280" i="6" a="1"/>
  <c r="U1280" i="6" s="1"/>
  <c r="V1280" i="6"/>
  <c r="D1279" i="6"/>
  <c r="E1279" i="6" a="1"/>
  <c r="E1279" i="6" s="1"/>
  <c r="G1279" i="6"/>
  <c r="H1279" i="6" s="1"/>
  <c r="I1279" i="6"/>
  <c r="N1279" i="6"/>
  <c r="M1279" i="6" s="1"/>
  <c r="S1279" i="6"/>
  <c r="U1279" i="6" a="1"/>
  <c r="U1279" i="6" s="1"/>
  <c r="V1279" i="6"/>
  <c r="N1276" i="6"/>
  <c r="N1277" i="6"/>
  <c r="N1278" i="6"/>
  <c r="Q1275" i="6"/>
  <c r="D1278" i="6"/>
  <c r="E1278" i="6" a="1"/>
  <c r="E1278" i="6" s="1"/>
  <c r="G1278" i="6"/>
  <c r="H1278" i="6" s="1"/>
  <c r="I1278" i="6"/>
  <c r="Q1278" i="6"/>
  <c r="S1278" i="6"/>
  <c r="V1278" i="6"/>
  <c r="D1277" i="6"/>
  <c r="E1277" i="6" a="1"/>
  <c r="E1277" i="6" s="1"/>
  <c r="G1277" i="6"/>
  <c r="H1277" i="6" s="1"/>
  <c r="I1277" i="6"/>
  <c r="Q1277" i="6"/>
  <c r="S1277" i="6"/>
  <c r="V1277" i="6"/>
  <c r="D1276" i="6"/>
  <c r="E1276" i="6" a="1"/>
  <c r="E1276" i="6" s="1"/>
  <c r="G1276" i="6"/>
  <c r="H1276" i="6" s="1"/>
  <c r="I1276" i="6"/>
  <c r="S1276" i="6"/>
  <c r="V1276" i="6"/>
  <c r="D1275" i="6"/>
  <c r="E1275" i="6" a="1"/>
  <c r="E1275" i="6" s="1"/>
  <c r="G1275" i="6"/>
  <c r="H1275" i="6" s="1"/>
  <c r="I1275" i="6"/>
  <c r="S1275" i="6"/>
  <c r="V1275" i="6"/>
  <c r="D1274" i="6"/>
  <c r="E1274" i="6" a="1"/>
  <c r="E1274" i="6" s="1"/>
  <c r="G1274" i="6"/>
  <c r="H1274" i="6" s="1"/>
  <c r="I1274" i="6"/>
  <c r="N1274" i="6"/>
  <c r="Q1274" i="6"/>
  <c r="S1274" i="6"/>
  <c r="U1274" i="6" a="1"/>
  <c r="U1274" i="6" s="1"/>
  <c r="V1274" i="6"/>
  <c r="D1273" i="6"/>
  <c r="E1273" i="6" a="1"/>
  <c r="E1273" i="6" s="1"/>
  <c r="G1273" i="6"/>
  <c r="H1273" i="6" s="1"/>
  <c r="I1273" i="6"/>
  <c r="N1273" i="6"/>
  <c r="Q1273" i="6"/>
  <c r="S1273" i="6"/>
  <c r="U1273" i="6" a="1"/>
  <c r="U1273" i="6" s="1"/>
  <c r="V1273" i="6"/>
  <c r="D1272" i="6"/>
  <c r="E1272" i="6" a="1"/>
  <c r="E1272" i="6" s="1"/>
  <c r="G1272" i="6"/>
  <c r="H1272" i="6" s="1"/>
  <c r="I1272" i="6"/>
  <c r="N1272" i="6"/>
  <c r="Q1272" i="6"/>
  <c r="S1272" i="6"/>
  <c r="U1272" i="6" a="1"/>
  <c r="U1272" i="6" s="1"/>
  <c r="V1272" i="6"/>
  <c r="Q1271" i="6"/>
  <c r="D1271" i="6"/>
  <c r="G1271" i="6"/>
  <c r="H1271" i="6" s="1"/>
  <c r="I1271" i="6"/>
  <c r="S1271" i="6"/>
  <c r="V1271" i="6"/>
  <c r="D1270" i="6"/>
  <c r="E1270" i="6" a="1"/>
  <c r="E1270" i="6" s="1"/>
  <c r="G1270" i="6"/>
  <c r="H1270" i="6" s="1"/>
  <c r="I1270" i="6"/>
  <c r="N1270" i="6"/>
  <c r="M1270" i="6" s="1"/>
  <c r="Q1270" i="6"/>
  <c r="S1270" i="6"/>
  <c r="U1270" i="6" a="1"/>
  <c r="U1270" i="6" s="1"/>
  <c r="V1270" i="6"/>
  <c r="F664" i="13"/>
  <c r="K664" i="13" s="1"/>
  <c r="L664" i="13"/>
  <c r="M664" i="13"/>
  <c r="R664" i="13" s="1"/>
  <c r="W664" i="13"/>
  <c r="X664" i="13"/>
  <c r="Y664" i="13"/>
  <c r="AC664" i="13"/>
  <c r="AE664" i="13" s="1"/>
  <c r="AD664" i="13"/>
  <c r="AO664" i="13"/>
  <c r="W1393" i="6" l="1"/>
  <c r="W1500" i="6"/>
  <c r="O1393" i="6"/>
  <c r="O1500" i="6"/>
  <c r="V1438" i="16"/>
  <c r="V1287" i="6"/>
  <c r="V1420" i="16"/>
  <c r="O1690" i="16"/>
  <c r="O1771" i="16"/>
  <c r="O1674" i="16"/>
  <c r="O1752" i="16"/>
  <c r="O1598" i="16"/>
  <c r="O1591" i="16"/>
  <c r="V1467" i="16"/>
  <c r="V1456" i="16"/>
  <c r="W1860" i="16" s="1"/>
  <c r="V1464" i="16"/>
  <c r="V1444" i="16"/>
  <c r="M1282" i="6"/>
  <c r="O1362" i="6"/>
  <c r="V665" i="13"/>
  <c r="Z665" i="13" s="1"/>
  <c r="W1362" i="6"/>
  <c r="W1467" i="16"/>
  <c r="M1467" i="16"/>
  <c r="O1519" i="16"/>
  <c r="M1456" i="16"/>
  <c r="O1526" i="16"/>
  <c r="O1456" i="16"/>
  <c r="N664" i="13"/>
  <c r="AR664" i="13" s="1"/>
  <c r="M1306" i="6"/>
  <c r="E666" i="13"/>
  <c r="O1306" i="6"/>
  <c r="N1466" i="16"/>
  <c r="M1466" i="16" s="1"/>
  <c r="N1462" i="16"/>
  <c r="M1462" i="16" s="1"/>
  <c r="N1458" i="16"/>
  <c r="M1458" i="16" s="1"/>
  <c r="N1454" i="16"/>
  <c r="M1454" i="16" s="1"/>
  <c r="N1450" i="16"/>
  <c r="M1450" i="16" s="1"/>
  <c r="O1467" i="16"/>
  <c r="M1284" i="6"/>
  <c r="Q1295" i="6"/>
  <c r="Q1299" i="6"/>
  <c r="M1283" i="6"/>
  <c r="Q1294" i="6"/>
  <c r="Q1296" i="6"/>
  <c r="M1299" i="6"/>
  <c r="M1298" i="6"/>
  <c r="M1297" i="6"/>
  <c r="N1286" i="6"/>
  <c r="M1286" i="6" s="1"/>
  <c r="M1296" i="6"/>
  <c r="Q1285" i="6"/>
  <c r="M1295" i="6"/>
  <c r="Q1287" i="6"/>
  <c r="Q1291" i="6"/>
  <c r="M1294" i="6"/>
  <c r="Q1290" i="6"/>
  <c r="Q1289" i="6"/>
  <c r="M1293" i="6"/>
  <c r="Q1288" i="6"/>
  <c r="Q1292" i="6"/>
  <c r="P665" i="13"/>
  <c r="M1292" i="6"/>
  <c r="M1291" i="6"/>
  <c r="M1290" i="6"/>
  <c r="M1289" i="6"/>
  <c r="W1282" i="6"/>
  <c r="AG665" i="13"/>
  <c r="E665" i="13"/>
  <c r="S665" i="13" s="1"/>
  <c r="O1282" i="6"/>
  <c r="T665" i="13"/>
  <c r="AR665" i="13"/>
  <c r="AM665" i="13" a="1"/>
  <c r="AM665" i="13" s="1"/>
  <c r="Q665" i="13" s="1"/>
  <c r="AF665" i="13"/>
  <c r="O665" i="13"/>
  <c r="AE665" i="13"/>
  <c r="Q1276" i="6"/>
  <c r="Q1413" i="16"/>
  <c r="M1449" i="16"/>
  <c r="M1445" i="16"/>
  <c r="M1441" i="16"/>
  <c r="M1437" i="16"/>
  <c r="M1433" i="16"/>
  <c r="M1429" i="16"/>
  <c r="M1425" i="16"/>
  <c r="M1421" i="16"/>
  <c r="M1417" i="16"/>
  <c r="M1280" i="6"/>
  <c r="N1275" i="6"/>
  <c r="M1275" i="6" s="1"/>
  <c r="M1278" i="6"/>
  <c r="M1277" i="6"/>
  <c r="M1276" i="6"/>
  <c r="P664" i="13"/>
  <c r="AH664" i="13"/>
  <c r="AG664" i="13"/>
  <c r="M1274" i="6"/>
  <c r="M1273" i="6"/>
  <c r="M1272" i="6"/>
  <c r="N1271" i="6"/>
  <c r="M1271" i="6" s="1"/>
  <c r="T664" i="13"/>
  <c r="I664" i="13"/>
  <c r="AU664" i="13"/>
  <c r="AF664" i="13"/>
  <c r="O664" i="13"/>
  <c r="W1519" i="16" l="1"/>
  <c r="W1840" i="16"/>
  <c r="W1690" i="16"/>
  <c r="W1771" i="16"/>
  <c r="W1674" i="16"/>
  <c r="W1752" i="16"/>
  <c r="W1598" i="16"/>
  <c r="W1456" i="16"/>
  <c r="W1591" i="16"/>
  <c r="W1526" i="16"/>
  <c r="R1282" i="6"/>
  <c r="R1467" i="16"/>
  <c r="R1456" i="16"/>
  <c r="R1306" i="6"/>
  <c r="G666" i="13"/>
  <c r="H666" i="13"/>
  <c r="S666" i="13"/>
  <c r="AA666" i="13" s="1"/>
  <c r="AA665" i="13"/>
  <c r="AK665" i="13" s="1"/>
  <c r="G665" i="13"/>
  <c r="H665" i="13"/>
  <c r="D1411" i="16"/>
  <c r="E1411" i="16" a="1"/>
  <c r="E1411" i="16" s="1"/>
  <c r="G1411" i="16"/>
  <c r="H1411" i="16" s="1"/>
  <c r="I1411" i="16"/>
  <c r="N1411" i="16"/>
  <c r="M1411" i="16" s="1"/>
  <c r="Q1411" i="16"/>
  <c r="S1411" i="16"/>
  <c r="V1411" i="16"/>
  <c r="N1269" i="6"/>
  <c r="M1269" i="6" s="1"/>
  <c r="N1268" i="6"/>
  <c r="D1268" i="6"/>
  <c r="G1268" i="6"/>
  <c r="H1268" i="6" s="1"/>
  <c r="I1268" i="6"/>
  <c r="S1268" i="6"/>
  <c r="V1268" i="6"/>
  <c r="D1269" i="6"/>
  <c r="E1269" i="6" a="1"/>
  <c r="E1269" i="6" s="1"/>
  <c r="G1269" i="6"/>
  <c r="H1269" i="6" s="1"/>
  <c r="I1269" i="6"/>
  <c r="S1269" i="6"/>
  <c r="V1269" i="6"/>
  <c r="F663" i="13"/>
  <c r="K663" i="13" s="1"/>
  <c r="L663" i="13"/>
  <c r="N663" i="13" s="1"/>
  <c r="M663" i="13"/>
  <c r="R663" i="13" s="1"/>
  <c r="W663" i="13"/>
  <c r="X663" i="13"/>
  <c r="Y663" i="13"/>
  <c r="AC663" i="13"/>
  <c r="AE663" i="13" s="1"/>
  <c r="AD663" i="13"/>
  <c r="AO663" i="13"/>
  <c r="AS666" i="13" l="1"/>
  <c r="AT666" i="13" s="1"/>
  <c r="AB666" i="13"/>
  <c r="AJ666" i="13"/>
  <c r="AP666" i="13"/>
  <c r="AK666" i="13"/>
  <c r="AQ666" i="13"/>
  <c r="AB665" i="13"/>
  <c r="AS665" i="13"/>
  <c r="AT665" i="13" s="1"/>
  <c r="AJ665" i="13"/>
  <c r="AP665" i="13"/>
  <c r="AQ665" i="13"/>
  <c r="AH663" i="13"/>
  <c r="Q1269" i="6"/>
  <c r="AG663" i="13"/>
  <c r="Q1268" i="6"/>
  <c r="M1268" i="6"/>
  <c r="T663" i="13"/>
  <c r="I663" i="13"/>
  <c r="AU663" i="13"/>
  <c r="Q663" i="13"/>
  <c r="AR663" i="13"/>
  <c r="P663" i="13"/>
  <c r="AM663" i="13" a="1"/>
  <c r="AM663" i="13" s="1"/>
  <c r="AF663" i="13"/>
  <c r="O663" i="13"/>
  <c r="N1267" i="6" l="1"/>
  <c r="E663" i="13" s="1"/>
  <c r="D1267" i="6"/>
  <c r="E1267" i="6" a="1"/>
  <c r="E1267" i="6" s="1"/>
  <c r="G1267" i="6"/>
  <c r="H1267" i="6" s="1"/>
  <c r="I1267" i="6"/>
  <c r="S1267" i="6"/>
  <c r="U1267" i="6" a="1"/>
  <c r="U1267" i="6" s="1"/>
  <c r="V1267" i="6"/>
  <c r="V663" i="13" s="1"/>
  <c r="Z663" i="13" s="1"/>
  <c r="N1266" i="6"/>
  <c r="Q1265" i="6"/>
  <c r="D1266" i="6"/>
  <c r="E1266" i="6" a="1"/>
  <c r="E1266" i="6" s="1"/>
  <c r="G1266" i="6"/>
  <c r="H1266" i="6" s="1"/>
  <c r="I1266" i="6"/>
  <c r="S1266" i="6"/>
  <c r="V1266" i="6"/>
  <c r="D1265" i="6"/>
  <c r="E1265" i="6" a="1"/>
  <c r="E1265" i="6" s="1"/>
  <c r="G1265" i="6"/>
  <c r="H1265" i="6" s="1"/>
  <c r="I1265" i="6"/>
  <c r="S1265" i="6"/>
  <c r="V1265" i="6"/>
  <c r="G663" i="13" l="1"/>
  <c r="AQ663" i="13" s="1"/>
  <c r="H663" i="13"/>
  <c r="S663" i="13"/>
  <c r="AA663" i="13" s="1"/>
  <c r="Q1267" i="6"/>
  <c r="M1267" i="6"/>
  <c r="Q1266" i="6"/>
  <c r="N1265" i="6"/>
  <c r="M1266" i="6"/>
  <c r="AS663" i="13" l="1"/>
  <c r="AT663" i="13" s="1"/>
  <c r="AP663" i="13"/>
  <c r="AJ663" i="13"/>
  <c r="AK663" i="13"/>
  <c r="AB663" i="13"/>
  <c r="M1265" i="6"/>
  <c r="N1250" i="6" l="1"/>
  <c r="D1250" i="6"/>
  <c r="E1250" i="6" a="1"/>
  <c r="E1250" i="6" s="1"/>
  <c r="G1250" i="6"/>
  <c r="H1250" i="6" s="1"/>
  <c r="I1250" i="6"/>
  <c r="Q1250" i="6"/>
  <c r="S1250" i="6"/>
  <c r="U1250" i="6" a="1"/>
  <c r="U1250" i="6" s="1"/>
  <c r="V1250" i="6"/>
  <c r="Q1257" i="6"/>
  <c r="Q1406" i="16"/>
  <c r="Q1408" i="16"/>
  <c r="Q1410" i="16"/>
  <c r="D1404" i="16"/>
  <c r="D1405" i="16"/>
  <c r="D1406" i="16"/>
  <c r="D1407" i="16"/>
  <c r="D1408" i="16"/>
  <c r="D1409" i="16"/>
  <c r="D1410" i="16"/>
  <c r="E1404" i="16" a="1"/>
  <c r="E1404" i="16" s="1"/>
  <c r="E1405" i="16" a="1"/>
  <c r="E1405" i="16" s="1"/>
  <c r="E1406" i="16" a="1"/>
  <c r="E1406" i="16" s="1"/>
  <c r="E1407" i="16" a="1"/>
  <c r="E1407" i="16" s="1"/>
  <c r="E1408" i="16" a="1"/>
  <c r="E1408" i="16" s="1"/>
  <c r="E1409" i="16" a="1"/>
  <c r="E1409" i="16" s="1"/>
  <c r="E1410" i="16" a="1"/>
  <c r="E1410" i="16" s="1"/>
  <c r="G1404" i="16"/>
  <c r="H1404" i="16" s="1"/>
  <c r="G1405" i="16"/>
  <c r="H1405" i="16" s="1"/>
  <c r="G1406" i="16"/>
  <c r="H1406" i="16" s="1"/>
  <c r="G1407" i="16"/>
  <c r="H1407" i="16" s="1"/>
  <c r="G1408" i="16"/>
  <c r="H1408" i="16" s="1"/>
  <c r="G1409" i="16"/>
  <c r="H1409" i="16" s="1"/>
  <c r="G1410" i="16"/>
  <c r="H1410" i="16" s="1"/>
  <c r="I1404" i="16"/>
  <c r="I1405" i="16"/>
  <c r="I1406" i="16"/>
  <c r="I1407" i="16"/>
  <c r="I1408" i="16"/>
  <c r="I1409" i="16"/>
  <c r="I1410" i="16"/>
  <c r="N1404" i="16"/>
  <c r="N1405" i="16"/>
  <c r="M1405" i="16" s="1"/>
  <c r="N1406" i="16"/>
  <c r="M1406" i="16" s="1"/>
  <c r="N1407" i="16"/>
  <c r="M1407" i="16" s="1"/>
  <c r="N1409" i="16"/>
  <c r="M1409" i="16" s="1"/>
  <c r="N1410" i="16"/>
  <c r="M1410" i="16" s="1"/>
  <c r="Q1404" i="16"/>
  <c r="Q1405" i="16"/>
  <c r="Q1407" i="16"/>
  <c r="Q1409" i="16"/>
  <c r="S1404" i="16"/>
  <c r="S1405" i="16"/>
  <c r="S1406" i="16"/>
  <c r="S1407" i="16"/>
  <c r="S1408" i="16"/>
  <c r="S1409" i="16"/>
  <c r="S1410" i="16"/>
  <c r="U1404" i="16" a="1"/>
  <c r="U1404" i="16" s="1"/>
  <c r="U1405" i="16" a="1"/>
  <c r="U1405" i="16" s="1"/>
  <c r="U1406" i="16" a="1"/>
  <c r="U1406" i="16" s="1"/>
  <c r="U1407" i="16" a="1"/>
  <c r="U1407" i="16" s="1"/>
  <c r="U1408" i="16" a="1"/>
  <c r="U1408" i="16" s="1"/>
  <c r="U1409" i="16" a="1"/>
  <c r="U1409" i="16" s="1"/>
  <c r="U1410" i="16" a="1"/>
  <c r="U1410" i="16" s="1"/>
  <c r="V1404" i="16"/>
  <c r="V1405" i="16"/>
  <c r="V1406" i="16"/>
  <c r="V1407" i="16"/>
  <c r="V1408" i="16"/>
  <c r="V1409" i="16"/>
  <c r="V1410" i="16"/>
  <c r="D1258" i="6"/>
  <c r="E1258" i="6" a="1"/>
  <c r="E1258" i="6" s="1"/>
  <c r="G1258" i="6"/>
  <c r="H1258" i="6" s="1"/>
  <c r="I1258" i="6"/>
  <c r="N1258" i="6"/>
  <c r="Q1258" i="6"/>
  <c r="S1258" i="6"/>
  <c r="U1258" i="6" a="1"/>
  <c r="U1258" i="6" s="1"/>
  <c r="V1258" i="6"/>
  <c r="D1257" i="6"/>
  <c r="E1257" i="6" a="1"/>
  <c r="E1257" i="6" s="1"/>
  <c r="G1257" i="6"/>
  <c r="H1257" i="6" s="1"/>
  <c r="I1257" i="6"/>
  <c r="N1257" i="6"/>
  <c r="S1257" i="6"/>
  <c r="U1257" i="6" a="1"/>
  <c r="U1257" i="6" s="1"/>
  <c r="V1257" i="6"/>
  <c r="D1253" i="6"/>
  <c r="E1253" i="6" a="1"/>
  <c r="E1253" i="6" s="1"/>
  <c r="G1253" i="6"/>
  <c r="H1253" i="6" s="1"/>
  <c r="I1253" i="6"/>
  <c r="N1253" i="6"/>
  <c r="O1253" i="6" s="1"/>
  <c r="Q1253" i="6"/>
  <c r="S1253" i="6"/>
  <c r="U1253" i="6" a="1"/>
  <c r="U1253" i="6" s="1"/>
  <c r="V1253" i="6"/>
  <c r="V664" i="13" s="1"/>
  <c r="Z664" i="13" s="1"/>
  <c r="E660" i="13"/>
  <c r="G660" i="13" s="1"/>
  <c r="J660" i="13" s="1"/>
  <c r="E661" i="13"/>
  <c r="H661" i="13" s="1"/>
  <c r="F660" i="13"/>
  <c r="I660" i="13" s="1"/>
  <c r="F661" i="13"/>
  <c r="I661" i="13" s="1"/>
  <c r="F662" i="13"/>
  <c r="I662" i="13" s="1"/>
  <c r="L660" i="13"/>
  <c r="O660" i="13" s="1"/>
  <c r="L661" i="13"/>
  <c r="AM661" i="13" s="1" a="1"/>
  <c r="AM661" i="13" s="1"/>
  <c r="L662" i="13"/>
  <c r="O662" i="13" s="1"/>
  <c r="M660" i="13"/>
  <c r="P660" i="13" s="1"/>
  <c r="M661" i="13"/>
  <c r="R661" i="13" s="1"/>
  <c r="M662" i="13"/>
  <c r="R662" i="13" s="1"/>
  <c r="V660" i="13"/>
  <c r="V661" i="13"/>
  <c r="W660" i="13"/>
  <c r="W661" i="13"/>
  <c r="W662" i="13"/>
  <c r="X660" i="13"/>
  <c r="X661" i="13"/>
  <c r="X662" i="13"/>
  <c r="Y660" i="13"/>
  <c r="Y661" i="13"/>
  <c r="Y662" i="13"/>
  <c r="AC660" i="13"/>
  <c r="AE660" i="13" s="1"/>
  <c r="AC661" i="13"/>
  <c r="AE661" i="13" s="1"/>
  <c r="AC662" i="13"/>
  <c r="AF662" i="13" s="1"/>
  <c r="AD660" i="13"/>
  <c r="AD661" i="13"/>
  <c r="AD662" i="13"/>
  <c r="AO660" i="13"/>
  <c r="AO661" i="13"/>
  <c r="AO662" i="13"/>
  <c r="W1258" i="6" l="1"/>
  <c r="W1364" i="6"/>
  <c r="E662" i="13"/>
  <c r="S662" i="13" s="1"/>
  <c r="O1364" i="6"/>
  <c r="O1258" i="6"/>
  <c r="M1253" i="6"/>
  <c r="E664" i="13"/>
  <c r="AG661" i="13"/>
  <c r="W1253" i="6"/>
  <c r="R1253" i="6"/>
  <c r="AG660" i="13"/>
  <c r="AG662" i="13"/>
  <c r="AH660" i="13"/>
  <c r="AF660" i="13"/>
  <c r="AF661" i="13"/>
  <c r="M1250" i="6"/>
  <c r="M1258" i="6"/>
  <c r="V662" i="13"/>
  <c r="Z662" i="13" s="1"/>
  <c r="N1408" i="16"/>
  <c r="M1408" i="16" s="1"/>
  <c r="N660" i="13"/>
  <c r="N661" i="13"/>
  <c r="Q661" i="13" s="1"/>
  <c r="O661" i="13"/>
  <c r="P661" i="13"/>
  <c r="R660" i="13"/>
  <c r="M1404" i="16"/>
  <c r="P662" i="13"/>
  <c r="S661" i="13"/>
  <c r="G661" i="13"/>
  <c r="J661" i="13" s="1"/>
  <c r="K662" i="13"/>
  <c r="AU662" i="13" s="1"/>
  <c r="AL661" i="13" a="1"/>
  <c r="AL661" i="13" s="1"/>
  <c r="AL660" i="13" a="1"/>
  <c r="AL660" i="13" s="1"/>
  <c r="H660" i="13"/>
  <c r="M1257" i="6"/>
  <c r="S660" i="13"/>
  <c r="T662" i="13"/>
  <c r="T661" i="13"/>
  <c r="Z661" i="13"/>
  <c r="Z660" i="13"/>
  <c r="K661" i="13"/>
  <c r="AU661" i="13" s="1"/>
  <c r="AQ660" i="13"/>
  <c r="K660" i="13"/>
  <c r="AH662" i="13"/>
  <c r="AH661" i="13"/>
  <c r="AE662" i="13"/>
  <c r="T660" i="13"/>
  <c r="N662" i="13"/>
  <c r="H662" i="13" l="1"/>
  <c r="G662" i="13"/>
  <c r="AQ662" i="13" s="1"/>
  <c r="R1258" i="6"/>
  <c r="G664" i="13"/>
  <c r="AQ664" i="13" s="1"/>
  <c r="H664" i="13"/>
  <c r="S664" i="13"/>
  <c r="AA664" i="13" s="1"/>
  <c r="AR660" i="13"/>
  <c r="AQ661" i="13"/>
  <c r="AA662" i="13"/>
  <c r="AR661" i="13"/>
  <c r="AU660" i="13"/>
  <c r="AI661" i="13"/>
  <c r="AA661" i="13"/>
  <c r="AP661" i="13" s="1"/>
  <c r="AA660" i="13"/>
  <c r="AP660" i="13" s="1"/>
  <c r="AR662" i="13"/>
  <c r="AJ662" i="13" l="1"/>
  <c r="AS664" i="13"/>
  <c r="AT664" i="13" s="1"/>
  <c r="AJ664" i="13"/>
  <c r="AP664" i="13"/>
  <c r="AK664" i="13"/>
  <c r="AB664" i="13"/>
  <c r="AK662" i="13"/>
  <c r="AB662" i="13"/>
  <c r="AS662" i="13"/>
  <c r="AT662" i="13" s="1"/>
  <c r="AP662" i="13"/>
  <c r="AV661" i="13"/>
  <c r="AK661" i="13"/>
  <c r="AN661" i="13"/>
  <c r="AS661" i="13"/>
  <c r="AT661" i="13" s="1"/>
  <c r="AB661" i="13"/>
  <c r="AJ661" i="13"/>
  <c r="AJ660" i="13"/>
  <c r="AB660" i="13"/>
  <c r="AK660" i="13"/>
  <c r="AS660" i="13"/>
  <c r="AT660" i="13" s="1"/>
  <c r="D1264" i="6" l="1"/>
  <c r="E1264" i="6" a="1"/>
  <c r="E1264" i="6" s="1"/>
  <c r="G1264" i="6"/>
  <c r="H1264" i="6" s="1"/>
  <c r="I1264" i="6"/>
  <c r="N1264" i="6"/>
  <c r="Q1264" i="6"/>
  <c r="S1264" i="6"/>
  <c r="U1264" i="6" a="1"/>
  <c r="U1264" i="6" s="1"/>
  <c r="V1264" i="6"/>
  <c r="D1263" i="6"/>
  <c r="E1263" i="6" a="1"/>
  <c r="E1263" i="6" s="1"/>
  <c r="G1263" i="6"/>
  <c r="H1263" i="6" s="1"/>
  <c r="I1263" i="6"/>
  <c r="N1263" i="6"/>
  <c r="M1263" i="6" s="1"/>
  <c r="Q1263" i="6"/>
  <c r="S1263" i="6"/>
  <c r="U1263" i="6" a="1"/>
  <c r="U1263" i="6" s="1"/>
  <c r="V1263" i="6"/>
  <c r="D1262" i="6"/>
  <c r="E1262" i="6" a="1"/>
  <c r="E1262" i="6" s="1"/>
  <c r="G1262" i="6"/>
  <c r="H1262" i="6" s="1"/>
  <c r="I1262" i="6"/>
  <c r="N1262" i="6"/>
  <c r="Q1262" i="6"/>
  <c r="S1262" i="6"/>
  <c r="V1262" i="6"/>
  <c r="D1261" i="6"/>
  <c r="E1261" i="6" a="1"/>
  <c r="E1261" i="6" s="1"/>
  <c r="G1261" i="6"/>
  <c r="H1261" i="6" s="1"/>
  <c r="I1261" i="6"/>
  <c r="N1261" i="6"/>
  <c r="Q1261" i="6"/>
  <c r="S1261" i="6"/>
  <c r="U1261" i="6" a="1"/>
  <c r="U1261" i="6" s="1"/>
  <c r="V1261" i="6"/>
  <c r="D1260" i="6"/>
  <c r="E1260" i="6" a="1"/>
  <c r="E1260" i="6" s="1"/>
  <c r="G1260" i="6"/>
  <c r="H1260" i="6" s="1"/>
  <c r="I1260" i="6"/>
  <c r="N1260" i="6"/>
  <c r="M1260" i="6" s="1"/>
  <c r="Q1260" i="6"/>
  <c r="S1260" i="6"/>
  <c r="U1260" i="6" a="1"/>
  <c r="U1260" i="6" s="1"/>
  <c r="V1260" i="6"/>
  <c r="D1259" i="6"/>
  <c r="E1259" i="6" a="1"/>
  <c r="E1259" i="6" s="1"/>
  <c r="G1259" i="6"/>
  <c r="H1259" i="6" s="1"/>
  <c r="I1259" i="6"/>
  <c r="N1259" i="6"/>
  <c r="M1259" i="6" s="1"/>
  <c r="Q1259" i="6"/>
  <c r="S1259" i="6"/>
  <c r="U1259" i="6" a="1"/>
  <c r="U1259" i="6" s="1"/>
  <c r="V1259" i="6"/>
  <c r="D1256" i="6"/>
  <c r="E1256" i="6" a="1"/>
  <c r="E1256" i="6" s="1"/>
  <c r="G1256" i="6"/>
  <c r="H1256" i="6" s="1"/>
  <c r="I1256" i="6"/>
  <c r="N1256" i="6"/>
  <c r="M1256" i="6" s="1"/>
  <c r="Q1256" i="6"/>
  <c r="S1256" i="6"/>
  <c r="U1256" i="6" a="1"/>
  <c r="U1256" i="6" s="1"/>
  <c r="V1256" i="6"/>
  <c r="D1255" i="6"/>
  <c r="E1255" i="6" a="1"/>
  <c r="E1255" i="6" s="1"/>
  <c r="G1255" i="6"/>
  <c r="H1255" i="6" s="1"/>
  <c r="I1255" i="6"/>
  <c r="N1255" i="6"/>
  <c r="M1255" i="6" s="1"/>
  <c r="Q1255" i="6"/>
  <c r="S1255" i="6"/>
  <c r="U1255" i="6" a="1"/>
  <c r="U1255" i="6" s="1"/>
  <c r="V1255" i="6"/>
  <c r="D1254" i="6"/>
  <c r="E1254" i="6" a="1"/>
  <c r="E1254" i="6" s="1"/>
  <c r="G1254" i="6"/>
  <c r="H1254" i="6" s="1"/>
  <c r="I1254" i="6"/>
  <c r="N1254" i="6"/>
  <c r="M1254" i="6" s="1"/>
  <c r="Q1254" i="6"/>
  <c r="S1254" i="6"/>
  <c r="U1254" i="6" a="1"/>
  <c r="U1254" i="6" s="1"/>
  <c r="V1254" i="6"/>
  <c r="N1252" i="6"/>
  <c r="D1252" i="6"/>
  <c r="E1252" i="6" a="1"/>
  <c r="E1252" i="6" s="1"/>
  <c r="G1252" i="6"/>
  <c r="H1252" i="6" s="1"/>
  <c r="I1252" i="6"/>
  <c r="Q1252" i="6"/>
  <c r="S1252" i="6"/>
  <c r="V1252" i="6"/>
  <c r="D1251" i="6"/>
  <c r="G1251" i="6"/>
  <c r="H1251" i="6" s="1"/>
  <c r="I1251" i="6"/>
  <c r="N1251" i="6"/>
  <c r="M1251" i="6" s="1"/>
  <c r="Q1251" i="6"/>
  <c r="S1251" i="6"/>
  <c r="V1251" i="6"/>
  <c r="V1337" i="16"/>
  <c r="S1337" i="16"/>
  <c r="Q1337" i="16"/>
  <c r="N1337" i="16"/>
  <c r="I1337" i="16"/>
  <c r="G1337" i="16"/>
  <c r="H1337" i="16" s="1"/>
  <c r="E1337" i="16" a="1"/>
  <c r="E1337" i="16" s="1"/>
  <c r="D1337" i="16"/>
  <c r="M1264" i="6" l="1"/>
  <c r="M1262" i="6"/>
  <c r="M1261" i="6"/>
  <c r="M1252" i="6"/>
  <c r="M1337" i="16"/>
  <c r="D1403" i="16" l="1"/>
  <c r="E1403" i="16" a="1"/>
  <c r="E1403" i="16" s="1"/>
  <c r="G1403" i="16"/>
  <c r="H1403" i="16" s="1"/>
  <c r="I1403" i="16"/>
  <c r="N1403" i="16"/>
  <c r="M1403" i="16" s="1"/>
  <c r="Q1403" i="16"/>
  <c r="S1403" i="16"/>
  <c r="U1403" i="16" a="1"/>
  <c r="U1403" i="16" s="1"/>
  <c r="V1403" i="16"/>
  <c r="N1402" i="16"/>
  <c r="D1402" i="16"/>
  <c r="E1402" i="16" a="1"/>
  <c r="E1402" i="16" s="1"/>
  <c r="G1402" i="16"/>
  <c r="H1402" i="16" s="1"/>
  <c r="I1402" i="16"/>
  <c r="Q1402" i="16"/>
  <c r="S1402" i="16"/>
  <c r="V1402" i="16"/>
  <c r="N1248" i="6"/>
  <c r="N1249" i="6"/>
  <c r="D1249" i="6"/>
  <c r="E1249" i="6" a="1"/>
  <c r="E1249" i="6" s="1"/>
  <c r="G1249" i="6"/>
  <c r="H1249" i="6" s="1"/>
  <c r="I1249" i="6"/>
  <c r="S1249" i="6"/>
  <c r="U1249" i="6" a="1"/>
  <c r="U1249" i="6" s="1"/>
  <c r="V1249" i="6"/>
  <c r="D1248" i="6"/>
  <c r="E1248" i="6" a="1"/>
  <c r="E1248" i="6" s="1"/>
  <c r="G1248" i="6"/>
  <c r="H1248" i="6" s="1"/>
  <c r="I1248" i="6"/>
  <c r="S1248" i="6"/>
  <c r="U1248" i="6" a="1"/>
  <c r="U1248" i="6" s="1"/>
  <c r="V1248" i="6"/>
  <c r="D1247" i="6"/>
  <c r="E1247" i="6" a="1"/>
  <c r="E1247" i="6" s="1"/>
  <c r="G1247" i="6"/>
  <c r="H1247" i="6" s="1"/>
  <c r="I1247" i="6"/>
  <c r="N1247" i="6"/>
  <c r="Q1247" i="6"/>
  <c r="S1247" i="6"/>
  <c r="U1247" i="6" a="1"/>
  <c r="U1247" i="6" s="1"/>
  <c r="V1247" i="6"/>
  <c r="D1246" i="6"/>
  <c r="E1246" i="6" a="1"/>
  <c r="E1246" i="6" s="1"/>
  <c r="G1246" i="6"/>
  <c r="H1246" i="6" s="1"/>
  <c r="I1246" i="6"/>
  <c r="N1246" i="6"/>
  <c r="Q1246" i="6"/>
  <c r="S1246" i="6"/>
  <c r="U1246" i="6" a="1"/>
  <c r="U1246" i="6" s="1"/>
  <c r="V1246" i="6"/>
  <c r="N1240" i="6"/>
  <c r="M1240" i="6" s="1"/>
  <c r="N1241" i="6"/>
  <c r="N1243" i="6"/>
  <c r="M1243" i="6" s="1"/>
  <c r="N1244" i="6"/>
  <c r="Q1245" i="6"/>
  <c r="D1390" i="16"/>
  <c r="D1391" i="16"/>
  <c r="D1392" i="16"/>
  <c r="D1393" i="16"/>
  <c r="D1394" i="16"/>
  <c r="D1395" i="16"/>
  <c r="D1396" i="16"/>
  <c r="D1397" i="16"/>
  <c r="D1398" i="16"/>
  <c r="D1399" i="16"/>
  <c r="D1400" i="16"/>
  <c r="D1401" i="16"/>
  <c r="E1390" i="16" a="1"/>
  <c r="E1390" i="16" s="1"/>
  <c r="E1391" i="16" a="1"/>
  <c r="E1391" i="16" s="1"/>
  <c r="E1392" i="16" a="1"/>
  <c r="E1392" i="16" s="1"/>
  <c r="E1393" i="16" a="1"/>
  <c r="E1393" i="16" s="1"/>
  <c r="E1394" i="16" a="1"/>
  <c r="E1394" i="16" s="1"/>
  <c r="E1395" i="16" a="1"/>
  <c r="E1395" i="16" s="1"/>
  <c r="E1396" i="16" a="1"/>
  <c r="E1396" i="16" s="1"/>
  <c r="E1397" i="16" a="1"/>
  <c r="E1397" i="16" s="1"/>
  <c r="E1398" i="16" a="1"/>
  <c r="E1398" i="16" s="1"/>
  <c r="E1399" i="16" a="1"/>
  <c r="E1399" i="16" s="1"/>
  <c r="E1400" i="16" a="1"/>
  <c r="E1400" i="16" s="1"/>
  <c r="E1401" i="16" a="1"/>
  <c r="E1401" i="16" s="1"/>
  <c r="G1390" i="16"/>
  <c r="H1390" i="16" s="1"/>
  <c r="G1391" i="16"/>
  <c r="H1391" i="16" s="1"/>
  <c r="G1392" i="16"/>
  <c r="H1392" i="16" s="1"/>
  <c r="G1393" i="16"/>
  <c r="H1393" i="16" s="1"/>
  <c r="G1394" i="16"/>
  <c r="H1394" i="16" s="1"/>
  <c r="G1395" i="16"/>
  <c r="H1395" i="16" s="1"/>
  <c r="G1396" i="16"/>
  <c r="H1396" i="16" s="1"/>
  <c r="G1397" i="16"/>
  <c r="H1397" i="16" s="1"/>
  <c r="G1398" i="16"/>
  <c r="H1398" i="16" s="1"/>
  <c r="G1399" i="16"/>
  <c r="H1399" i="16" s="1"/>
  <c r="G1400" i="16"/>
  <c r="H1400" i="16" s="1"/>
  <c r="G1401" i="16"/>
  <c r="H1401" i="16" s="1"/>
  <c r="I1390" i="16"/>
  <c r="I1391" i="16"/>
  <c r="I1392" i="16"/>
  <c r="I1393" i="16"/>
  <c r="I1394" i="16"/>
  <c r="I1395" i="16"/>
  <c r="I1396" i="16"/>
  <c r="I1397" i="16"/>
  <c r="I1398" i="16"/>
  <c r="I1399" i="16"/>
  <c r="I1400" i="16"/>
  <c r="I1401" i="16"/>
  <c r="N1390" i="16"/>
  <c r="M1390" i="16" s="1"/>
  <c r="N1391" i="16"/>
  <c r="M1391" i="16" s="1"/>
  <c r="N1392" i="16"/>
  <c r="M1392" i="16" s="1"/>
  <c r="N1393" i="16"/>
  <c r="M1393" i="16" s="1"/>
  <c r="N1394" i="16"/>
  <c r="M1394" i="16" s="1"/>
  <c r="N1395" i="16"/>
  <c r="M1395" i="16" s="1"/>
  <c r="N1396" i="16"/>
  <c r="M1396" i="16" s="1"/>
  <c r="N1397" i="16"/>
  <c r="M1397" i="16" s="1"/>
  <c r="N1398" i="16"/>
  <c r="M1398" i="16" s="1"/>
  <c r="N1399" i="16"/>
  <c r="M1399" i="16" s="1"/>
  <c r="N1400" i="16"/>
  <c r="M1400" i="16" s="1"/>
  <c r="N1401" i="16"/>
  <c r="M1401" i="16" s="1"/>
  <c r="Q1390" i="16"/>
  <c r="Q1391" i="16"/>
  <c r="Q1392" i="16"/>
  <c r="Q1393" i="16"/>
  <c r="Q1394" i="16"/>
  <c r="Q1395" i="16"/>
  <c r="Q1396" i="16"/>
  <c r="Q1397" i="16"/>
  <c r="Q1398" i="16"/>
  <c r="Q1399" i="16"/>
  <c r="Q1400" i="16"/>
  <c r="Q1401" i="16"/>
  <c r="S1390" i="16"/>
  <c r="S1391" i="16"/>
  <c r="S1392" i="16"/>
  <c r="S1393" i="16"/>
  <c r="S1394" i="16"/>
  <c r="S1395" i="16"/>
  <c r="S1396" i="16"/>
  <c r="S1397" i="16"/>
  <c r="S1398" i="16"/>
  <c r="S1399" i="16"/>
  <c r="S1400" i="16"/>
  <c r="S1401" i="16"/>
  <c r="U1390" i="16" a="1"/>
  <c r="U1390" i="16" s="1"/>
  <c r="U1391" i="16" a="1"/>
  <c r="U1391" i="16" s="1"/>
  <c r="U1392" i="16" a="1"/>
  <c r="U1392" i="16" s="1"/>
  <c r="U1393" i="16" a="1"/>
  <c r="U1393" i="16" s="1"/>
  <c r="U1394" i="16" a="1"/>
  <c r="U1394" i="16" s="1"/>
  <c r="U1395" i="16" a="1"/>
  <c r="U1395" i="16" s="1"/>
  <c r="U1396" i="16" a="1"/>
  <c r="U1396" i="16" s="1"/>
  <c r="U1397" i="16" a="1"/>
  <c r="U1397" i="16" s="1"/>
  <c r="U1398" i="16" a="1"/>
  <c r="U1398" i="16" s="1"/>
  <c r="U1399" i="16" a="1"/>
  <c r="U1399" i="16" s="1"/>
  <c r="U1400" i="16" a="1"/>
  <c r="U1400" i="16" s="1"/>
  <c r="U1401" i="16" a="1"/>
  <c r="U1401" i="16" s="1"/>
  <c r="V1390" i="16"/>
  <c r="V1391" i="16"/>
  <c r="V1392" i="16"/>
  <c r="V1393" i="16"/>
  <c r="V1394" i="16"/>
  <c r="V1395" i="16"/>
  <c r="V1396" i="16"/>
  <c r="V1397" i="16"/>
  <c r="V1398" i="16"/>
  <c r="V1399" i="16"/>
  <c r="V1400" i="16"/>
  <c r="V1401" i="16"/>
  <c r="N1387" i="16"/>
  <c r="M1387" i="16" s="1"/>
  <c r="Q1388" i="16"/>
  <c r="Q1389" i="16"/>
  <c r="N1386" i="16"/>
  <c r="M1386" i="16" s="1"/>
  <c r="D1386" i="16"/>
  <c r="D1387" i="16"/>
  <c r="D1388" i="16"/>
  <c r="D1389" i="16"/>
  <c r="E1386" i="16" a="1"/>
  <c r="E1386" i="16" s="1"/>
  <c r="E1387" i="16" a="1"/>
  <c r="E1387" i="16" s="1"/>
  <c r="E1388" i="16" a="1"/>
  <c r="E1388" i="16" s="1"/>
  <c r="E1389" i="16" a="1"/>
  <c r="E1389" i="16" s="1"/>
  <c r="G1386" i="16"/>
  <c r="H1386" i="16" s="1"/>
  <c r="G1387" i="16"/>
  <c r="H1387" i="16" s="1"/>
  <c r="G1388" i="16"/>
  <c r="H1388" i="16" s="1"/>
  <c r="G1389" i="16"/>
  <c r="H1389" i="16" s="1"/>
  <c r="I1386" i="16"/>
  <c r="I1387" i="16"/>
  <c r="I1388" i="16"/>
  <c r="I1389" i="16"/>
  <c r="N1388" i="16"/>
  <c r="M1388" i="16" s="1"/>
  <c r="N1389" i="16"/>
  <c r="O1788" i="16" s="1"/>
  <c r="R1788" i="16" s="1"/>
  <c r="Q1386" i="16"/>
  <c r="S1386" i="16"/>
  <c r="S1387" i="16"/>
  <c r="S1388" i="16"/>
  <c r="S1389" i="16"/>
  <c r="U1386" i="16" a="1"/>
  <c r="U1386" i="16" s="1"/>
  <c r="U1387" i="16" a="1"/>
  <c r="U1387" i="16" s="1"/>
  <c r="U1388" i="16" a="1"/>
  <c r="U1388" i="16" s="1"/>
  <c r="U1389" i="16" a="1"/>
  <c r="U1389" i="16" s="1"/>
  <c r="V1386" i="16"/>
  <c r="V1387" i="16"/>
  <c r="V1388" i="16"/>
  <c r="V1389" i="16"/>
  <c r="W1788" i="16" s="1"/>
  <c r="D1245" i="6"/>
  <c r="E1245" i="6" a="1"/>
  <c r="E1245" i="6" s="1"/>
  <c r="G1245" i="6"/>
  <c r="H1245" i="6" s="1"/>
  <c r="I1245" i="6"/>
  <c r="N1245" i="6"/>
  <c r="V1245" i="6" s="1"/>
  <c r="S1245" i="6"/>
  <c r="U1245" i="6" a="1"/>
  <c r="U1245" i="6" s="1"/>
  <c r="D1244" i="6"/>
  <c r="E1244" i="6" a="1"/>
  <c r="E1244" i="6" s="1"/>
  <c r="G1244" i="6"/>
  <c r="H1244" i="6" s="1"/>
  <c r="I1244" i="6"/>
  <c r="S1244" i="6"/>
  <c r="V1244" i="6"/>
  <c r="D1243" i="6"/>
  <c r="E1243" i="6" a="1"/>
  <c r="E1243" i="6" s="1"/>
  <c r="G1243" i="6"/>
  <c r="H1243" i="6" s="1"/>
  <c r="I1243" i="6"/>
  <c r="Q1243" i="6"/>
  <c r="S1243" i="6"/>
  <c r="U1243" i="6" a="1"/>
  <c r="U1243" i="6" s="1"/>
  <c r="V1243" i="6"/>
  <c r="D1242" i="6"/>
  <c r="E1242" i="6" a="1"/>
  <c r="E1242" i="6" s="1"/>
  <c r="G1242" i="6"/>
  <c r="H1242" i="6" s="1"/>
  <c r="I1242" i="6"/>
  <c r="N1242" i="6"/>
  <c r="M1242" i="6" s="1"/>
  <c r="Q1242" i="6"/>
  <c r="S1242" i="6"/>
  <c r="V1242" i="6"/>
  <c r="D1241" i="6"/>
  <c r="E1241" i="6" a="1"/>
  <c r="E1241" i="6" s="1"/>
  <c r="G1241" i="6"/>
  <c r="H1241" i="6" s="1"/>
  <c r="I1241" i="6"/>
  <c r="Q1241" i="6"/>
  <c r="S1241" i="6"/>
  <c r="V1241" i="6"/>
  <c r="D1240" i="6"/>
  <c r="E1240" i="6" a="1"/>
  <c r="E1240" i="6" s="1"/>
  <c r="G1240" i="6"/>
  <c r="H1240" i="6" s="1"/>
  <c r="I1240" i="6"/>
  <c r="Q1240" i="6"/>
  <c r="S1240" i="6"/>
  <c r="V1240" i="6"/>
  <c r="D1239" i="6"/>
  <c r="E1239" i="6" a="1"/>
  <c r="E1239" i="6" s="1"/>
  <c r="G1239" i="6"/>
  <c r="H1239" i="6" s="1"/>
  <c r="I1239" i="6"/>
  <c r="N1239" i="6"/>
  <c r="M1239" i="6" s="1"/>
  <c r="Q1239" i="6"/>
  <c r="S1239" i="6"/>
  <c r="U1239" i="6" a="1"/>
  <c r="U1239" i="6" s="1"/>
  <c r="V1239" i="6"/>
  <c r="N1237" i="6"/>
  <c r="D1238" i="6"/>
  <c r="E1238" i="6" a="1"/>
  <c r="E1238" i="6" s="1"/>
  <c r="G1238" i="6"/>
  <c r="H1238" i="6" s="1"/>
  <c r="I1238" i="6"/>
  <c r="N1238" i="6"/>
  <c r="Q1238" i="6"/>
  <c r="S1238" i="6"/>
  <c r="V1238" i="6"/>
  <c r="D1237" i="6"/>
  <c r="E1237" i="6" a="1"/>
  <c r="E1237" i="6" s="1"/>
  <c r="G1237" i="6"/>
  <c r="H1237" i="6" s="1"/>
  <c r="I1237" i="6"/>
  <c r="Q1237" i="6"/>
  <c r="S1237" i="6"/>
  <c r="V1237" i="6"/>
  <c r="D1236" i="6"/>
  <c r="E1236" i="6" a="1"/>
  <c r="E1236" i="6" s="1"/>
  <c r="G1236" i="6"/>
  <c r="H1236" i="6" s="1"/>
  <c r="I1236" i="6"/>
  <c r="N1236" i="6"/>
  <c r="M1236" i="6" s="1"/>
  <c r="Q1236" i="6"/>
  <c r="S1236" i="6"/>
  <c r="V1236" i="6"/>
  <c r="D1231" i="6"/>
  <c r="E1231" i="6" a="1"/>
  <c r="E1231" i="6" s="1"/>
  <c r="G1231" i="6"/>
  <c r="H1231" i="6" s="1"/>
  <c r="I1231" i="6"/>
  <c r="N1231" i="6"/>
  <c r="Q1231" i="6"/>
  <c r="S1231" i="6"/>
  <c r="U1231" i="6" a="1"/>
  <c r="U1231" i="6" s="1"/>
  <c r="V1231" i="6"/>
  <c r="E656" i="13"/>
  <c r="AL656" i="13" s="1" a="1"/>
  <c r="AL656" i="13" s="1"/>
  <c r="E658" i="13"/>
  <c r="H658" i="13" s="1"/>
  <c r="E659" i="13"/>
  <c r="F656" i="13"/>
  <c r="K656" i="13" s="1"/>
  <c r="F657" i="13"/>
  <c r="F658" i="13"/>
  <c r="I658" i="13" s="1"/>
  <c r="F659" i="13"/>
  <c r="I659" i="13" s="1"/>
  <c r="L656" i="13"/>
  <c r="O656" i="13" s="1"/>
  <c r="L657" i="13"/>
  <c r="L658" i="13"/>
  <c r="O658" i="13" s="1"/>
  <c r="L659" i="13"/>
  <c r="N659" i="13" s="1"/>
  <c r="M656" i="13"/>
  <c r="P656" i="13" s="1"/>
  <c r="M657" i="13"/>
  <c r="P657" i="13" s="1"/>
  <c r="M658" i="13"/>
  <c r="R658" i="13" s="1"/>
  <c r="M659" i="13"/>
  <c r="R659" i="13" s="1"/>
  <c r="V656" i="13"/>
  <c r="V658" i="13"/>
  <c r="V659" i="13"/>
  <c r="W656" i="13"/>
  <c r="W657" i="13"/>
  <c r="W658" i="13"/>
  <c r="W659" i="13"/>
  <c r="X656" i="13"/>
  <c r="X657" i="13"/>
  <c r="X658" i="13"/>
  <c r="X659" i="13"/>
  <c r="Y656" i="13"/>
  <c r="Y657" i="13"/>
  <c r="Y658" i="13"/>
  <c r="Y659" i="13"/>
  <c r="AC656" i="13"/>
  <c r="AG656" i="13" s="1"/>
  <c r="AC657" i="13"/>
  <c r="AH657" i="13" s="1"/>
  <c r="AC658" i="13"/>
  <c r="AE658" i="13" s="1"/>
  <c r="AC659" i="13"/>
  <c r="AE659" i="13" s="1"/>
  <c r="AD656" i="13"/>
  <c r="AD657" i="13"/>
  <c r="AD658" i="13"/>
  <c r="AD659" i="13"/>
  <c r="AO656" i="13"/>
  <c r="AO657" i="13"/>
  <c r="AO658" i="13"/>
  <c r="AO659" i="13"/>
  <c r="W1437" i="6" l="1"/>
  <c r="W1459" i="6"/>
  <c r="O1437" i="6"/>
  <c r="O1459" i="6"/>
  <c r="W1689" i="16"/>
  <c r="W1770" i="16"/>
  <c r="O1689" i="16"/>
  <c r="O1770" i="16"/>
  <c r="AE656" i="13"/>
  <c r="W1525" i="16"/>
  <c r="W1597" i="16"/>
  <c r="O1525" i="16"/>
  <c r="O1597" i="16"/>
  <c r="W1363" i="6"/>
  <c r="W1384" i="6"/>
  <c r="O1363" i="6"/>
  <c r="O1384" i="6"/>
  <c r="M1389" i="16"/>
  <c r="O1469" i="16"/>
  <c r="W1389" i="16"/>
  <c r="W1469" i="16"/>
  <c r="AH656" i="13"/>
  <c r="W1231" i="6"/>
  <c r="W1281" i="6"/>
  <c r="M1231" i="6"/>
  <c r="O1281" i="6"/>
  <c r="AF659" i="13"/>
  <c r="AE657" i="13"/>
  <c r="AF656" i="13"/>
  <c r="AH659" i="13"/>
  <c r="AG659" i="13"/>
  <c r="AF657" i="13"/>
  <c r="AG657" i="13"/>
  <c r="AH658" i="13"/>
  <c r="AF658" i="13"/>
  <c r="AG658" i="13"/>
  <c r="Q1248" i="6"/>
  <c r="M1402" i="16"/>
  <c r="Q1249" i="6"/>
  <c r="AM659" i="13" a="1"/>
  <c r="AM659" i="13" s="1"/>
  <c r="O659" i="13"/>
  <c r="M1249" i="6"/>
  <c r="M1248" i="6"/>
  <c r="M1247" i="6"/>
  <c r="M1246" i="6"/>
  <c r="Q1244" i="6"/>
  <c r="Q1387" i="16"/>
  <c r="O1389" i="16"/>
  <c r="N656" i="13"/>
  <c r="AM656" i="13" a="1"/>
  <c r="AM656" i="13" s="1"/>
  <c r="M1245" i="6"/>
  <c r="M1244" i="6"/>
  <c r="M1241" i="6"/>
  <c r="V657" i="13"/>
  <c r="Z657" i="13" s="1"/>
  <c r="E657" i="13"/>
  <c r="H657" i="13" s="1"/>
  <c r="G656" i="13"/>
  <c r="AQ656" i="13" s="1"/>
  <c r="M1238" i="6"/>
  <c r="S658" i="13"/>
  <c r="M1237" i="6"/>
  <c r="O1231" i="6"/>
  <c r="I656" i="13"/>
  <c r="H656" i="13"/>
  <c r="S656" i="13"/>
  <c r="AM658" i="13" a="1"/>
  <c r="AM658" i="13" s="1"/>
  <c r="P658" i="13"/>
  <c r="N658" i="13"/>
  <c r="Q658" i="13" s="1"/>
  <c r="R656" i="13"/>
  <c r="AU656" i="13" s="1"/>
  <c r="Q659" i="13"/>
  <c r="AR659" i="13"/>
  <c r="P659" i="13"/>
  <c r="R657" i="13"/>
  <c r="O657" i="13"/>
  <c r="N657" i="13"/>
  <c r="G658" i="13"/>
  <c r="T657" i="13"/>
  <c r="Z656" i="13"/>
  <c r="T656" i="13"/>
  <c r="AL658" i="13" a="1"/>
  <c r="AL658" i="13" s="1"/>
  <c r="Z659" i="13"/>
  <c r="Z658" i="13"/>
  <c r="T659" i="13"/>
  <c r="S659" i="13"/>
  <c r="K659" i="13"/>
  <c r="AU659" i="13" s="1"/>
  <c r="H659" i="13"/>
  <c r="G659" i="13"/>
  <c r="T658" i="13"/>
  <c r="K658" i="13"/>
  <c r="AU658" i="13" s="1"/>
  <c r="R1389" i="16" l="1"/>
  <c r="R1231" i="6"/>
  <c r="AR658" i="13"/>
  <c r="AR656" i="13"/>
  <c r="Q656" i="13"/>
  <c r="S657" i="13"/>
  <c r="AA657" i="13" s="1"/>
  <c r="AP657" i="13" s="1"/>
  <c r="G657" i="13"/>
  <c r="AQ657" i="13" s="1"/>
  <c r="J656" i="13"/>
  <c r="AA658" i="13"/>
  <c r="AJ658" i="13" s="1"/>
  <c r="AA656" i="13"/>
  <c r="AN656" i="13" s="1"/>
  <c r="AR657" i="13"/>
  <c r="AQ658" i="13"/>
  <c r="J658" i="13"/>
  <c r="AI658" i="13" s="1"/>
  <c r="AA659" i="13"/>
  <c r="AK659" i="13" s="1"/>
  <c r="AQ659" i="13"/>
  <c r="AK658" i="13" l="1"/>
  <c r="AI656" i="13"/>
  <c r="AN658" i="13"/>
  <c r="AP658" i="13"/>
  <c r="AV658" i="13" s="1"/>
  <c r="AB656" i="13"/>
  <c r="AB657" i="13"/>
  <c r="AP656" i="13"/>
  <c r="AB658" i="13"/>
  <c r="AK657" i="13"/>
  <c r="AJ656" i="13"/>
  <c r="AK656" i="13"/>
  <c r="AS657" i="13"/>
  <c r="AT657" i="13" s="1"/>
  <c r="AS658" i="13"/>
  <c r="AT658" i="13" s="1"/>
  <c r="AS656" i="13"/>
  <c r="AT656" i="13" s="1"/>
  <c r="AJ657" i="13"/>
  <c r="AS659" i="13"/>
  <c r="AT659" i="13" s="1"/>
  <c r="AJ659" i="13"/>
  <c r="AB659" i="13"/>
  <c r="AP659" i="13"/>
  <c r="AV656" i="13" l="1"/>
  <c r="Q1235" i="6"/>
  <c r="D1235" i="6"/>
  <c r="E1235" i="6" a="1"/>
  <c r="E1235" i="6" s="1"/>
  <c r="G1235" i="6"/>
  <c r="H1235" i="6" s="1"/>
  <c r="I1235" i="6"/>
  <c r="S1235" i="6"/>
  <c r="V1235" i="6"/>
  <c r="N1384" i="16"/>
  <c r="D1384" i="16"/>
  <c r="E1384" i="16" a="1"/>
  <c r="E1384" i="16" s="1"/>
  <c r="G1384" i="16"/>
  <c r="H1384" i="16" s="1"/>
  <c r="I1384" i="16"/>
  <c r="Q1384" i="16"/>
  <c r="S1384" i="16"/>
  <c r="U1384" i="16" a="1"/>
  <c r="U1384" i="16" s="1"/>
  <c r="V1384" i="16"/>
  <c r="D1385" i="16"/>
  <c r="E1385" i="16" a="1"/>
  <c r="E1385" i="16" s="1"/>
  <c r="G1385" i="16"/>
  <c r="H1385" i="16" s="1"/>
  <c r="I1385" i="16"/>
  <c r="N1385" i="16"/>
  <c r="M1385" i="16" s="1"/>
  <c r="Q1385" i="16"/>
  <c r="S1385" i="16"/>
  <c r="V1385" i="16"/>
  <c r="Q1232" i="6"/>
  <c r="N1234" i="6"/>
  <c r="M1234" i="6" s="1"/>
  <c r="D1234" i="6"/>
  <c r="E1234" i="6" a="1"/>
  <c r="E1234" i="6" s="1"/>
  <c r="G1234" i="6"/>
  <c r="H1234" i="6" s="1"/>
  <c r="I1234" i="6"/>
  <c r="Q1234" i="6"/>
  <c r="S1234" i="6"/>
  <c r="V1234" i="6"/>
  <c r="I1233" i="6"/>
  <c r="G1233" i="6"/>
  <c r="H1233" i="6" s="1"/>
  <c r="D1233" i="6"/>
  <c r="N1233" i="6"/>
  <c r="M1233" i="6" s="1"/>
  <c r="Q1233" i="6"/>
  <c r="S1233" i="6"/>
  <c r="V1233" i="6"/>
  <c r="D1232" i="6"/>
  <c r="G1232" i="6"/>
  <c r="H1232" i="6" s="1"/>
  <c r="I1232" i="6"/>
  <c r="S1232" i="6"/>
  <c r="V1232" i="6"/>
  <c r="N1228" i="6"/>
  <c r="V1228" i="6" s="1"/>
  <c r="N1229" i="6"/>
  <c r="M1229" i="6" s="1"/>
  <c r="N1230" i="6"/>
  <c r="D1230" i="6"/>
  <c r="E1230" i="6" a="1"/>
  <c r="E1230" i="6" s="1"/>
  <c r="G1230" i="6"/>
  <c r="H1230" i="6" s="1"/>
  <c r="I1230" i="6"/>
  <c r="S1230" i="6"/>
  <c r="V1230" i="6"/>
  <c r="D1229" i="6"/>
  <c r="G1229" i="6"/>
  <c r="H1229" i="6" s="1"/>
  <c r="I1229" i="6"/>
  <c r="S1229" i="6"/>
  <c r="V1229" i="6"/>
  <c r="D1228" i="6"/>
  <c r="E1228" i="6" a="1"/>
  <c r="E1228" i="6" s="1"/>
  <c r="G1228" i="6"/>
  <c r="H1228" i="6" s="1"/>
  <c r="I1228" i="6"/>
  <c r="S1228" i="6"/>
  <c r="D1227" i="6"/>
  <c r="E1227" i="6" a="1"/>
  <c r="E1227" i="6" s="1"/>
  <c r="G1227" i="6"/>
  <c r="H1227" i="6" s="1"/>
  <c r="I1227" i="6"/>
  <c r="N1227" i="6"/>
  <c r="M1227" i="6" s="1"/>
  <c r="Q1227" i="6"/>
  <c r="S1227" i="6"/>
  <c r="V1227" i="6"/>
  <c r="N1226" i="6"/>
  <c r="M1226" i="6" s="1"/>
  <c r="D1226" i="6"/>
  <c r="E1226" i="6" a="1"/>
  <c r="E1226" i="6" s="1"/>
  <c r="G1226" i="6"/>
  <c r="H1226" i="6" s="1"/>
  <c r="I1226" i="6"/>
  <c r="S1226" i="6"/>
  <c r="V1226" i="6"/>
  <c r="N1225" i="6"/>
  <c r="D1225" i="6"/>
  <c r="E1225" i="6" a="1"/>
  <c r="E1225" i="6" s="1"/>
  <c r="G1225" i="6"/>
  <c r="H1225" i="6" s="1"/>
  <c r="I1225" i="6"/>
  <c r="Q1225" i="6"/>
  <c r="S1225" i="6"/>
  <c r="V1225" i="6"/>
  <c r="D1383" i="16"/>
  <c r="E1383" i="16" a="1"/>
  <c r="E1383" i="16" s="1"/>
  <c r="G1383" i="16"/>
  <c r="H1383" i="16" s="1"/>
  <c r="I1383" i="16"/>
  <c r="N1383" i="16"/>
  <c r="Q1383" i="16"/>
  <c r="S1383" i="16"/>
  <c r="V1383" i="16"/>
  <c r="N1224" i="6"/>
  <c r="D1224" i="6"/>
  <c r="E1224" i="6" a="1"/>
  <c r="E1224" i="6" s="1"/>
  <c r="G1224" i="6"/>
  <c r="H1224" i="6" s="1"/>
  <c r="I1224" i="6"/>
  <c r="Q1224" i="6"/>
  <c r="S1224" i="6"/>
  <c r="U1224" i="6" a="1"/>
  <c r="U1224" i="6" s="1"/>
  <c r="V1224" i="6"/>
  <c r="D1382" i="16"/>
  <c r="E1382" i="16" a="1"/>
  <c r="E1382" i="16" s="1"/>
  <c r="G1382" i="16"/>
  <c r="H1382" i="16" s="1"/>
  <c r="I1382" i="16"/>
  <c r="N1382" i="16"/>
  <c r="Q1382" i="16"/>
  <c r="S1382" i="16"/>
  <c r="V1382" i="16"/>
  <c r="Q1356" i="16"/>
  <c r="Q1360" i="16"/>
  <c r="Q1364" i="16"/>
  <c r="Q1372" i="16"/>
  <c r="Q1376" i="16"/>
  <c r="Q1380" i="16"/>
  <c r="Q1351" i="16"/>
  <c r="Q1355" i="16"/>
  <c r="Q1359" i="16"/>
  <c r="Q1363" i="16"/>
  <c r="Q1367" i="16"/>
  <c r="Q1371" i="16"/>
  <c r="Q1375" i="16"/>
  <c r="Q1379" i="16"/>
  <c r="D1348" i="16"/>
  <c r="D1349" i="16"/>
  <c r="D1350" i="16"/>
  <c r="D1351" i="16"/>
  <c r="D1352" i="16"/>
  <c r="D1353" i="16"/>
  <c r="D1354" i="16"/>
  <c r="D1355" i="16"/>
  <c r="D1356" i="16"/>
  <c r="D1357" i="16"/>
  <c r="D1358" i="16"/>
  <c r="D1359" i="16"/>
  <c r="D1360" i="16"/>
  <c r="D1361" i="16"/>
  <c r="D1362" i="16"/>
  <c r="D1363" i="16"/>
  <c r="D1364" i="16"/>
  <c r="D1365" i="16"/>
  <c r="D1366" i="16"/>
  <c r="D1367" i="16"/>
  <c r="D1368" i="16"/>
  <c r="D1369" i="16"/>
  <c r="D1370" i="16"/>
  <c r="D1371" i="16"/>
  <c r="D1372" i="16"/>
  <c r="D1373" i="16"/>
  <c r="D1374" i="16"/>
  <c r="D1375" i="16"/>
  <c r="D1376" i="16"/>
  <c r="D1377" i="16"/>
  <c r="D1378" i="16"/>
  <c r="D1379" i="16"/>
  <c r="D1380" i="16"/>
  <c r="D1381" i="16"/>
  <c r="E1348" i="16" a="1"/>
  <c r="E1348" i="16" s="1"/>
  <c r="E1349" i="16" a="1"/>
  <c r="E1349" i="16" s="1"/>
  <c r="E1350" i="16" a="1"/>
  <c r="E1350" i="16" s="1"/>
  <c r="E1351" i="16" a="1"/>
  <c r="E1351" i="16" s="1"/>
  <c r="E1352" i="16" a="1"/>
  <c r="E1352" i="16" s="1"/>
  <c r="E1353" i="16" a="1"/>
  <c r="E1353" i="16" s="1"/>
  <c r="E1354" i="16" a="1"/>
  <c r="E1354" i="16" s="1"/>
  <c r="E1355" i="16" a="1"/>
  <c r="E1355" i="16" s="1"/>
  <c r="E1356" i="16" a="1"/>
  <c r="E1356" i="16" s="1"/>
  <c r="E1357" i="16" a="1"/>
  <c r="E1357" i="16" s="1"/>
  <c r="E1358" i="16" a="1"/>
  <c r="E1358" i="16" s="1"/>
  <c r="E1359" i="16" a="1"/>
  <c r="E1359" i="16" s="1"/>
  <c r="E1360" i="16" a="1"/>
  <c r="E1360" i="16" s="1"/>
  <c r="E1361" i="16" a="1"/>
  <c r="E1361" i="16" s="1"/>
  <c r="E1362" i="16" a="1"/>
  <c r="E1362" i="16" s="1"/>
  <c r="E1363" i="16" a="1"/>
  <c r="E1363" i="16" s="1"/>
  <c r="E1364" i="16" a="1"/>
  <c r="E1364" i="16" s="1"/>
  <c r="E1365" i="16" a="1"/>
  <c r="E1365" i="16" s="1"/>
  <c r="E1366" i="16" a="1"/>
  <c r="E1366" i="16" s="1"/>
  <c r="E1367" i="16" a="1"/>
  <c r="E1367" i="16" s="1"/>
  <c r="E1368" i="16" a="1"/>
  <c r="E1368" i="16" s="1"/>
  <c r="E1369" i="16" a="1"/>
  <c r="E1369" i="16" s="1"/>
  <c r="E1370" i="16" a="1"/>
  <c r="E1370" i="16" s="1"/>
  <c r="E1371" i="16" a="1"/>
  <c r="E1371" i="16" s="1"/>
  <c r="E1372" i="16" a="1"/>
  <c r="E1372" i="16" s="1"/>
  <c r="E1373" i="16" a="1"/>
  <c r="E1373" i="16" s="1"/>
  <c r="E1374" i="16" a="1"/>
  <c r="E1374" i="16" s="1"/>
  <c r="E1375" i="16" a="1"/>
  <c r="E1375" i="16" s="1"/>
  <c r="E1376" i="16" a="1"/>
  <c r="E1376" i="16" s="1"/>
  <c r="E1377" i="16" a="1"/>
  <c r="E1377" i="16" s="1"/>
  <c r="E1378" i="16" a="1"/>
  <c r="E1378" i="16" s="1"/>
  <c r="E1379" i="16" a="1"/>
  <c r="E1379" i="16" s="1"/>
  <c r="E1380" i="16" a="1"/>
  <c r="E1380" i="16" s="1"/>
  <c r="E1381" i="16" a="1"/>
  <c r="E1381" i="16" s="1"/>
  <c r="G1348" i="16"/>
  <c r="H1348" i="16" s="1"/>
  <c r="G1349" i="16"/>
  <c r="H1349" i="16" s="1"/>
  <c r="G1350" i="16"/>
  <c r="H1350" i="16" s="1"/>
  <c r="G1351" i="16"/>
  <c r="H1351" i="16" s="1"/>
  <c r="G1352" i="16"/>
  <c r="H1352" i="16" s="1"/>
  <c r="G1353" i="16"/>
  <c r="H1353" i="16" s="1"/>
  <c r="G1354" i="16"/>
  <c r="H1354" i="16" s="1"/>
  <c r="G1355" i="16"/>
  <c r="H1355" i="16" s="1"/>
  <c r="G1356" i="16"/>
  <c r="H1356" i="16" s="1"/>
  <c r="G1357" i="16"/>
  <c r="H1357" i="16" s="1"/>
  <c r="G1358" i="16"/>
  <c r="H1358" i="16" s="1"/>
  <c r="G1359" i="16"/>
  <c r="H1359" i="16" s="1"/>
  <c r="G1360" i="16"/>
  <c r="H1360" i="16" s="1"/>
  <c r="G1361" i="16"/>
  <c r="H1361" i="16" s="1"/>
  <c r="G1362" i="16"/>
  <c r="H1362" i="16" s="1"/>
  <c r="G1363" i="16"/>
  <c r="H1363" i="16" s="1"/>
  <c r="G1364" i="16"/>
  <c r="H1364" i="16" s="1"/>
  <c r="G1365" i="16"/>
  <c r="H1365" i="16" s="1"/>
  <c r="G1366" i="16"/>
  <c r="H1366" i="16" s="1"/>
  <c r="G1367" i="16"/>
  <c r="H1367" i="16" s="1"/>
  <c r="G1368" i="16"/>
  <c r="H1368" i="16" s="1"/>
  <c r="G1369" i="16"/>
  <c r="H1369" i="16" s="1"/>
  <c r="G1370" i="16"/>
  <c r="H1370" i="16" s="1"/>
  <c r="G1371" i="16"/>
  <c r="H1371" i="16" s="1"/>
  <c r="G1372" i="16"/>
  <c r="H1372" i="16" s="1"/>
  <c r="G1373" i="16"/>
  <c r="H1373" i="16" s="1"/>
  <c r="G1374" i="16"/>
  <c r="H1374" i="16" s="1"/>
  <c r="G1375" i="16"/>
  <c r="H1375" i="16" s="1"/>
  <c r="G1376" i="16"/>
  <c r="H1376" i="16" s="1"/>
  <c r="G1377" i="16"/>
  <c r="H1377" i="16" s="1"/>
  <c r="G1378" i="16"/>
  <c r="H1378" i="16" s="1"/>
  <c r="G1379" i="16"/>
  <c r="H1379" i="16" s="1"/>
  <c r="G1380" i="16"/>
  <c r="H1380" i="16" s="1"/>
  <c r="G1381" i="16"/>
  <c r="H1381" i="16" s="1"/>
  <c r="I1348" i="16"/>
  <c r="I1349" i="16"/>
  <c r="I1350" i="16"/>
  <c r="I1351" i="16"/>
  <c r="I1352" i="16"/>
  <c r="I1353" i="16"/>
  <c r="I1354" i="16"/>
  <c r="I1355" i="16"/>
  <c r="I1356" i="16"/>
  <c r="I1357" i="16"/>
  <c r="I1358" i="16"/>
  <c r="I1359" i="16"/>
  <c r="I1360" i="16"/>
  <c r="I1361" i="16"/>
  <c r="I1362" i="16"/>
  <c r="I1363" i="16"/>
  <c r="I1364" i="16"/>
  <c r="I1365" i="16"/>
  <c r="I1366" i="16"/>
  <c r="I1367" i="16"/>
  <c r="I1368" i="16"/>
  <c r="I1369" i="16"/>
  <c r="I1370" i="16"/>
  <c r="I1371" i="16"/>
  <c r="I1372" i="16"/>
  <c r="I1373" i="16"/>
  <c r="I1374" i="16"/>
  <c r="I1375" i="16"/>
  <c r="I1376" i="16"/>
  <c r="I1377" i="16"/>
  <c r="I1378" i="16"/>
  <c r="I1379" i="16"/>
  <c r="I1380" i="16"/>
  <c r="I1381" i="16"/>
  <c r="N1348" i="16"/>
  <c r="M1348" i="16" s="1"/>
  <c r="N1349" i="16"/>
  <c r="N1350" i="16"/>
  <c r="M1350" i="16" s="1"/>
  <c r="N1351" i="16"/>
  <c r="M1351" i="16" s="1"/>
  <c r="N1352" i="16"/>
  <c r="M1352" i="16" s="1"/>
  <c r="N1353" i="16"/>
  <c r="N1354" i="16"/>
  <c r="M1354" i="16" s="1"/>
  <c r="N1355" i="16"/>
  <c r="N1356" i="16"/>
  <c r="M1356" i="16" s="1"/>
  <c r="N1357" i="16"/>
  <c r="N1358" i="16"/>
  <c r="M1358" i="16" s="1"/>
  <c r="N1359" i="16"/>
  <c r="M1359" i="16" s="1"/>
  <c r="N1360" i="16"/>
  <c r="M1360" i="16" s="1"/>
  <c r="N1361" i="16"/>
  <c r="N1362" i="16"/>
  <c r="M1362" i="16" s="1"/>
  <c r="N1363" i="16"/>
  <c r="N1364" i="16"/>
  <c r="M1364" i="16" s="1"/>
  <c r="N1365" i="16"/>
  <c r="O1814" i="16" s="1"/>
  <c r="N1366" i="16"/>
  <c r="M1366" i="16" s="1"/>
  <c r="N1367" i="16"/>
  <c r="M1367" i="16" s="1"/>
  <c r="N1368" i="16"/>
  <c r="M1368" i="16" s="1"/>
  <c r="N1369" i="16"/>
  <c r="N1370" i="16"/>
  <c r="M1370" i="16" s="1"/>
  <c r="N1371" i="16"/>
  <c r="N1372" i="16"/>
  <c r="M1372" i="16" s="1"/>
  <c r="N1373" i="16"/>
  <c r="N1374" i="16"/>
  <c r="M1374" i="16" s="1"/>
  <c r="N1375" i="16"/>
  <c r="M1375" i="16" s="1"/>
  <c r="N1376" i="16"/>
  <c r="M1376" i="16" s="1"/>
  <c r="N1377" i="16"/>
  <c r="N1378" i="16"/>
  <c r="M1378" i="16" s="1"/>
  <c r="N1379" i="16"/>
  <c r="M1379" i="16" s="1"/>
  <c r="N1380" i="16"/>
  <c r="M1380" i="16" s="1"/>
  <c r="N1381" i="16"/>
  <c r="Q1348" i="16"/>
  <c r="Q1349" i="16"/>
  <c r="Q1350" i="16"/>
  <c r="Q1352" i="16"/>
  <c r="Q1353" i="16"/>
  <c r="Q1354" i="16"/>
  <c r="Q1357" i="16"/>
  <c r="Q1358" i="16"/>
  <c r="Q1361" i="16"/>
  <c r="Q1362" i="16"/>
  <c r="Q1365" i="16"/>
  <c r="Q1366" i="16"/>
  <c r="Q1368" i="16"/>
  <c r="Q1369" i="16"/>
  <c r="Q1370" i="16"/>
  <c r="Q1373" i="16"/>
  <c r="Q1374" i="16"/>
  <c r="Q1377" i="16"/>
  <c r="Q1378" i="16"/>
  <c r="Q1381" i="16"/>
  <c r="S1348" i="16"/>
  <c r="S1349" i="16"/>
  <c r="S1350" i="16"/>
  <c r="S1351" i="16"/>
  <c r="S1352" i="16"/>
  <c r="S1353" i="16"/>
  <c r="S1354" i="16"/>
  <c r="S1355" i="16"/>
  <c r="S1356" i="16"/>
  <c r="S1357" i="16"/>
  <c r="S1358" i="16"/>
  <c r="S1359" i="16"/>
  <c r="S1360" i="16"/>
  <c r="S1361" i="16"/>
  <c r="S1362" i="16"/>
  <c r="S1363" i="16"/>
  <c r="S1364" i="16"/>
  <c r="S1365" i="16"/>
  <c r="S1366" i="16"/>
  <c r="S1367" i="16"/>
  <c r="S1368" i="16"/>
  <c r="S1369" i="16"/>
  <c r="S1370" i="16"/>
  <c r="S1371" i="16"/>
  <c r="S1372" i="16"/>
  <c r="S1373" i="16"/>
  <c r="S1374" i="16"/>
  <c r="S1375" i="16"/>
  <c r="S1376" i="16"/>
  <c r="S1377" i="16"/>
  <c r="S1378" i="16"/>
  <c r="S1379" i="16"/>
  <c r="S1380" i="16"/>
  <c r="S1381" i="16"/>
  <c r="U1348" i="16" a="1"/>
  <c r="U1348" i="16" s="1"/>
  <c r="U1349" i="16" a="1"/>
  <c r="U1349" i="16" s="1"/>
  <c r="U1350" i="16" a="1"/>
  <c r="U1350" i="16" s="1"/>
  <c r="U1351" i="16" a="1"/>
  <c r="U1351" i="16" s="1"/>
  <c r="U1352" i="16" a="1"/>
  <c r="U1352" i="16" s="1"/>
  <c r="U1353" i="16" a="1"/>
  <c r="U1353" i="16" s="1"/>
  <c r="U1354" i="16" a="1"/>
  <c r="U1354" i="16" s="1"/>
  <c r="U1355" i="16" a="1"/>
  <c r="U1355" i="16" s="1"/>
  <c r="U1356" i="16" a="1"/>
  <c r="U1356" i="16" s="1"/>
  <c r="U1357" i="16" a="1"/>
  <c r="U1357" i="16" s="1"/>
  <c r="U1358" i="16" a="1"/>
  <c r="U1358" i="16" s="1"/>
  <c r="U1359" i="16" a="1"/>
  <c r="U1359" i="16" s="1"/>
  <c r="U1360" i="16" a="1"/>
  <c r="U1360" i="16" s="1"/>
  <c r="U1361" i="16" a="1"/>
  <c r="U1361" i="16" s="1"/>
  <c r="U1362" i="16" a="1"/>
  <c r="U1362" i="16" s="1"/>
  <c r="U1363" i="16" a="1"/>
  <c r="U1363" i="16" s="1"/>
  <c r="U1364" i="16" a="1"/>
  <c r="U1364" i="16" s="1"/>
  <c r="U1365" i="16" a="1"/>
  <c r="U1365" i="16" s="1"/>
  <c r="U1366" i="16" a="1"/>
  <c r="U1366" i="16" s="1"/>
  <c r="U1367" i="16" a="1"/>
  <c r="U1367" i="16" s="1"/>
  <c r="U1368" i="16" a="1"/>
  <c r="U1368" i="16" s="1"/>
  <c r="U1369" i="16" a="1"/>
  <c r="U1369" i="16" s="1"/>
  <c r="U1370" i="16" a="1"/>
  <c r="U1370" i="16" s="1"/>
  <c r="U1371" i="16" a="1"/>
  <c r="U1371" i="16" s="1"/>
  <c r="U1372" i="16" a="1"/>
  <c r="U1372" i="16" s="1"/>
  <c r="U1373" i="16" a="1"/>
  <c r="U1373" i="16" s="1"/>
  <c r="U1374" i="16" a="1"/>
  <c r="U1374" i="16" s="1"/>
  <c r="U1375" i="16" a="1"/>
  <c r="U1375" i="16" s="1"/>
  <c r="U1376" i="16" a="1"/>
  <c r="U1376" i="16" s="1"/>
  <c r="U1377" i="16" a="1"/>
  <c r="U1377" i="16" s="1"/>
  <c r="U1378" i="16" a="1"/>
  <c r="U1378" i="16" s="1"/>
  <c r="U1379" i="16" a="1"/>
  <c r="U1379" i="16" s="1"/>
  <c r="U1380" i="16" a="1"/>
  <c r="U1380" i="16" s="1"/>
  <c r="U1381" i="16" a="1"/>
  <c r="U1381" i="16" s="1"/>
  <c r="V1348" i="16"/>
  <c r="V1349" i="16"/>
  <c r="V1350" i="16"/>
  <c r="V1351" i="16"/>
  <c r="V1352" i="16"/>
  <c r="V1353" i="16"/>
  <c r="V1354" i="16"/>
  <c r="V1355" i="16"/>
  <c r="V1356" i="16"/>
  <c r="V1357" i="16"/>
  <c r="V1358" i="16"/>
  <c r="V1360" i="16"/>
  <c r="V1361" i="16"/>
  <c r="V1362" i="16"/>
  <c r="V1363" i="16"/>
  <c r="V1364" i="16"/>
  <c r="V1365" i="16"/>
  <c r="W1814" i="16" s="1"/>
  <c r="V1366" i="16"/>
  <c r="V1367" i="16"/>
  <c r="V1368" i="16"/>
  <c r="V1369" i="16"/>
  <c r="V1370" i="16"/>
  <c r="V1371" i="16"/>
  <c r="V1372" i="16"/>
  <c r="V1373" i="16"/>
  <c r="V1374" i="16"/>
  <c r="V1375" i="16"/>
  <c r="V1376" i="16"/>
  <c r="V1377" i="16"/>
  <c r="V1378" i="16"/>
  <c r="V1380" i="16"/>
  <c r="V1381" i="16"/>
  <c r="N1347" i="16"/>
  <c r="D1347" i="16"/>
  <c r="E1347" i="16" a="1"/>
  <c r="E1347" i="16" s="1"/>
  <c r="G1347" i="16"/>
  <c r="H1347" i="16" s="1"/>
  <c r="I1347" i="16"/>
  <c r="S1347" i="16"/>
  <c r="V1347" i="16"/>
  <c r="D1223" i="6"/>
  <c r="E1223" i="6" a="1"/>
  <c r="E1223" i="6" s="1"/>
  <c r="G1223" i="6"/>
  <c r="H1223" i="6" s="1"/>
  <c r="I1223" i="6"/>
  <c r="N1223" i="6"/>
  <c r="Q1223" i="6"/>
  <c r="S1223" i="6"/>
  <c r="V1223" i="6"/>
  <c r="V1359" i="16" l="1"/>
  <c r="W1391" i="6"/>
  <c r="W1444" i="6"/>
  <c r="O1391" i="6"/>
  <c r="O1444" i="6"/>
  <c r="W1646" i="16"/>
  <c r="W1727" i="16"/>
  <c r="O1646" i="16"/>
  <c r="O1727" i="16"/>
  <c r="O1560" i="16"/>
  <c r="V1379" i="16"/>
  <c r="W1357" i="6"/>
  <c r="W1378" i="6"/>
  <c r="O1357" i="6"/>
  <c r="O1378" i="6"/>
  <c r="W1505" i="16"/>
  <c r="W1560" i="16"/>
  <c r="O1328" i="6"/>
  <c r="O1354" i="6"/>
  <c r="W1328" i="6"/>
  <c r="W1354" i="6"/>
  <c r="O1436" i="16"/>
  <c r="O1505" i="16"/>
  <c r="W1224" i="6"/>
  <c r="W1321" i="6"/>
  <c r="O1224" i="6"/>
  <c r="O1321" i="6"/>
  <c r="W1365" i="16"/>
  <c r="W1436" i="16"/>
  <c r="N1235" i="6"/>
  <c r="M1384" i="16"/>
  <c r="Q1228" i="6"/>
  <c r="Q1229" i="6"/>
  <c r="Q1230" i="6"/>
  <c r="N1232" i="6"/>
  <c r="M1232" i="6" s="1"/>
  <c r="M1230" i="6"/>
  <c r="M1228" i="6"/>
  <c r="Q1226" i="6"/>
  <c r="M1225" i="6"/>
  <c r="M1383" i="16"/>
  <c r="M1224" i="6"/>
  <c r="M1382" i="16"/>
  <c r="M1371" i="16"/>
  <c r="M1363" i="16"/>
  <c r="M1355" i="16"/>
  <c r="M1381" i="16"/>
  <c r="M1377" i="16"/>
  <c r="M1369" i="16"/>
  <c r="M1361" i="16"/>
  <c r="M1357" i="16"/>
  <c r="M1349" i="16"/>
  <c r="M1373" i="16"/>
  <c r="M1365" i="16"/>
  <c r="O1365" i="16"/>
  <c r="M1353" i="16"/>
  <c r="M1347" i="16"/>
  <c r="Q1347" i="16"/>
  <c r="M1223" i="6"/>
  <c r="R1224" i="6" l="1"/>
  <c r="M1235" i="6"/>
  <c r="R1365" i="16"/>
  <c r="Q1212" i="6"/>
  <c r="N1214" i="6"/>
  <c r="V1214" i="6" s="1"/>
  <c r="Q1215" i="6"/>
  <c r="N1216" i="6"/>
  <c r="Q1217" i="6"/>
  <c r="N1218" i="6"/>
  <c r="Q1219" i="6"/>
  <c r="Q1220" i="6"/>
  <c r="Q1221" i="6"/>
  <c r="N1222" i="6"/>
  <c r="D1222" i="6"/>
  <c r="E1222" i="6" a="1"/>
  <c r="E1222" i="6" s="1"/>
  <c r="G1222" i="6"/>
  <c r="H1222" i="6" s="1"/>
  <c r="I1222" i="6"/>
  <c r="S1222" i="6"/>
  <c r="V1222" i="6"/>
  <c r="D1221" i="6"/>
  <c r="E1221" i="6" a="1"/>
  <c r="E1221" i="6" s="1"/>
  <c r="G1221" i="6"/>
  <c r="H1221" i="6" s="1"/>
  <c r="I1221" i="6"/>
  <c r="N1221" i="6"/>
  <c r="S1221" i="6"/>
  <c r="V1221" i="6"/>
  <c r="D1220" i="6"/>
  <c r="E1220" i="6" a="1"/>
  <c r="E1220" i="6" s="1"/>
  <c r="G1220" i="6"/>
  <c r="H1220" i="6" s="1"/>
  <c r="I1220" i="6"/>
  <c r="S1220" i="6"/>
  <c r="U1220" i="6" a="1"/>
  <c r="U1220" i="6" s="1"/>
  <c r="V1220" i="6"/>
  <c r="D1219" i="6"/>
  <c r="G1219" i="6"/>
  <c r="H1219" i="6" s="1"/>
  <c r="I1219" i="6"/>
  <c r="S1219" i="6"/>
  <c r="V1219" i="6"/>
  <c r="D1218" i="6"/>
  <c r="E1218" i="6" a="1"/>
  <c r="E1218" i="6" s="1"/>
  <c r="G1218" i="6"/>
  <c r="H1218" i="6" s="1"/>
  <c r="I1218" i="6"/>
  <c r="S1218" i="6"/>
  <c r="V1218" i="6"/>
  <c r="D1217" i="6"/>
  <c r="E1217" i="6" a="1"/>
  <c r="E1217" i="6" s="1"/>
  <c r="G1217" i="6"/>
  <c r="H1217" i="6" s="1"/>
  <c r="I1217" i="6"/>
  <c r="N1217" i="6"/>
  <c r="S1217" i="6"/>
  <c r="V1217" i="6"/>
  <c r="D1216" i="6"/>
  <c r="E1216" i="6" a="1"/>
  <c r="E1216" i="6" s="1"/>
  <c r="G1216" i="6"/>
  <c r="H1216" i="6" s="1"/>
  <c r="I1216" i="6"/>
  <c r="S1216" i="6"/>
  <c r="V1216" i="6"/>
  <c r="D1215" i="6"/>
  <c r="E1215" i="6" a="1"/>
  <c r="E1215" i="6" s="1"/>
  <c r="G1215" i="6"/>
  <c r="H1215" i="6" s="1"/>
  <c r="I1215" i="6"/>
  <c r="N1215" i="6"/>
  <c r="S1215" i="6"/>
  <c r="V1215" i="6"/>
  <c r="D1214" i="6"/>
  <c r="E1214" i="6" a="1"/>
  <c r="E1214" i="6" s="1"/>
  <c r="G1214" i="6"/>
  <c r="H1214" i="6" s="1"/>
  <c r="I1214" i="6"/>
  <c r="S1214" i="6"/>
  <c r="D1213" i="6"/>
  <c r="E1213" i="6" a="1"/>
  <c r="E1213" i="6" s="1"/>
  <c r="G1213" i="6"/>
  <c r="H1213" i="6" s="1"/>
  <c r="I1213" i="6"/>
  <c r="N1213" i="6"/>
  <c r="M1213" i="6" s="1"/>
  <c r="Q1213" i="6"/>
  <c r="S1213" i="6"/>
  <c r="U1213" i="6" a="1"/>
  <c r="U1213" i="6" s="1"/>
  <c r="V1213" i="6"/>
  <c r="D1212" i="6"/>
  <c r="E1212" i="6" a="1"/>
  <c r="E1212" i="6" s="1"/>
  <c r="G1212" i="6"/>
  <c r="H1212" i="6" s="1"/>
  <c r="I1212" i="6"/>
  <c r="S1212" i="6"/>
  <c r="U1212" i="6" a="1"/>
  <c r="U1212" i="6" s="1"/>
  <c r="V1212" i="6"/>
  <c r="D1211" i="6"/>
  <c r="E1211" i="6" a="1"/>
  <c r="E1211" i="6" s="1"/>
  <c r="G1211" i="6"/>
  <c r="H1211" i="6" s="1"/>
  <c r="I1211" i="6"/>
  <c r="N1211" i="6"/>
  <c r="M1211" i="6" s="1"/>
  <c r="Q1211" i="6"/>
  <c r="S1211" i="6"/>
  <c r="U1211" i="6" a="1"/>
  <c r="U1211" i="6" s="1"/>
  <c r="V1211" i="6"/>
  <c r="N1210" i="6"/>
  <c r="V1210" i="6" s="1"/>
  <c r="N1209" i="6"/>
  <c r="M1209" i="6" s="1"/>
  <c r="D1210" i="6"/>
  <c r="E1210" i="6" a="1"/>
  <c r="E1210" i="6" s="1"/>
  <c r="G1210" i="6"/>
  <c r="H1210" i="6" s="1"/>
  <c r="I1210" i="6"/>
  <c r="S1210" i="6"/>
  <c r="D1209" i="6"/>
  <c r="E1209" i="6" a="1"/>
  <c r="E1209" i="6" s="1"/>
  <c r="G1209" i="6"/>
  <c r="H1209" i="6" s="1"/>
  <c r="I1209" i="6"/>
  <c r="S1209" i="6"/>
  <c r="V1209" i="6"/>
  <c r="N1212" i="6" l="1"/>
  <c r="M1212" i="6" s="1"/>
  <c r="N1219" i="6"/>
  <c r="M1219" i="6" s="1"/>
  <c r="N1220" i="6"/>
  <c r="M1220" i="6" s="1"/>
  <c r="Q1216" i="6"/>
  <c r="Q1214" i="6"/>
  <c r="M1222" i="6"/>
  <c r="Q1218" i="6"/>
  <c r="Q1222" i="6"/>
  <c r="M1221" i="6"/>
  <c r="M1218" i="6"/>
  <c r="M1217" i="6"/>
  <c r="Q1209" i="6"/>
  <c r="M1216" i="6"/>
  <c r="M1215" i="6"/>
  <c r="M1214" i="6"/>
  <c r="Q1210" i="6"/>
  <c r="M1210" i="6"/>
  <c r="N1344" i="16" l="1"/>
  <c r="N1346" i="16"/>
  <c r="M1346" i="16" s="1"/>
  <c r="Q1340" i="16"/>
  <c r="D1340" i="16"/>
  <c r="D1341" i="16"/>
  <c r="D1342" i="16"/>
  <c r="D1343" i="16"/>
  <c r="D1344" i="16"/>
  <c r="D1345" i="16"/>
  <c r="D1346" i="16"/>
  <c r="E1340" i="16" a="1"/>
  <c r="E1340" i="16" s="1"/>
  <c r="E1341" i="16" a="1"/>
  <c r="E1341" i="16" s="1"/>
  <c r="E1342" i="16" a="1"/>
  <c r="E1342" i="16" s="1"/>
  <c r="E1343" i="16" a="1"/>
  <c r="E1343" i="16" s="1"/>
  <c r="E1344" i="16" a="1"/>
  <c r="E1344" i="16" s="1"/>
  <c r="E1345" i="16" a="1"/>
  <c r="E1345" i="16" s="1"/>
  <c r="E1346" i="16" a="1"/>
  <c r="E1346" i="16" s="1"/>
  <c r="G1340" i="16"/>
  <c r="H1340" i="16" s="1"/>
  <c r="G1341" i="16"/>
  <c r="H1341" i="16" s="1"/>
  <c r="G1342" i="16"/>
  <c r="H1342" i="16" s="1"/>
  <c r="G1343" i="16"/>
  <c r="H1343" i="16" s="1"/>
  <c r="G1344" i="16"/>
  <c r="H1344" i="16" s="1"/>
  <c r="G1345" i="16"/>
  <c r="H1345" i="16" s="1"/>
  <c r="G1346" i="16"/>
  <c r="H1346" i="16" s="1"/>
  <c r="I1340" i="16"/>
  <c r="I1341" i="16"/>
  <c r="I1342" i="16"/>
  <c r="I1343" i="16"/>
  <c r="I1344" i="16"/>
  <c r="I1345" i="16"/>
  <c r="I1346" i="16"/>
  <c r="N1340" i="16"/>
  <c r="V1340" i="16" s="1"/>
  <c r="N1341" i="16"/>
  <c r="M1341" i="16" s="1"/>
  <c r="N1342" i="16"/>
  <c r="M1342" i="16" s="1"/>
  <c r="N1343" i="16"/>
  <c r="M1343" i="16" s="1"/>
  <c r="N1345" i="16"/>
  <c r="M1345" i="16" s="1"/>
  <c r="Q1341" i="16"/>
  <c r="Q1342" i="16"/>
  <c r="Q1343" i="16"/>
  <c r="Q1345" i="16"/>
  <c r="S1340" i="16"/>
  <c r="S1341" i="16"/>
  <c r="S1342" i="16"/>
  <c r="S1343" i="16"/>
  <c r="S1344" i="16"/>
  <c r="S1345" i="16"/>
  <c r="S1346" i="16"/>
  <c r="U1340" i="16" a="1"/>
  <c r="U1340" i="16" s="1"/>
  <c r="U1341" i="16" a="1"/>
  <c r="U1341" i="16" s="1"/>
  <c r="U1342" i="16" a="1"/>
  <c r="U1342" i="16" s="1"/>
  <c r="U1343" i="16" a="1"/>
  <c r="U1343" i="16" s="1"/>
  <c r="U1344" i="16" a="1"/>
  <c r="U1344" i="16" s="1"/>
  <c r="U1345" i="16" a="1"/>
  <c r="U1345" i="16" s="1"/>
  <c r="U1346" i="16" a="1"/>
  <c r="U1346" i="16" s="1"/>
  <c r="V1341" i="16"/>
  <c r="V1342" i="16"/>
  <c r="V1343" i="16"/>
  <c r="V1344" i="16"/>
  <c r="V1345" i="16"/>
  <c r="V1346" i="16"/>
  <c r="N1201" i="6"/>
  <c r="N1202" i="6"/>
  <c r="M1202" i="6" s="1"/>
  <c r="N1204" i="6"/>
  <c r="M1204" i="6" s="1"/>
  <c r="N1206" i="6"/>
  <c r="M1206" i="6" s="1"/>
  <c r="N1208" i="6"/>
  <c r="N1198" i="6"/>
  <c r="D1208" i="6"/>
  <c r="E1208" i="6" a="1"/>
  <c r="E1208" i="6" s="1"/>
  <c r="G1208" i="6"/>
  <c r="H1208" i="6" s="1"/>
  <c r="I1208" i="6"/>
  <c r="S1208" i="6"/>
  <c r="V1208" i="6"/>
  <c r="D1207" i="6"/>
  <c r="E1207" i="6" a="1"/>
  <c r="E1207" i="6" s="1"/>
  <c r="G1207" i="6"/>
  <c r="H1207" i="6" s="1"/>
  <c r="I1207" i="6"/>
  <c r="N1207" i="6"/>
  <c r="Q1207" i="6"/>
  <c r="S1207" i="6"/>
  <c r="U1207" i="6" a="1"/>
  <c r="U1207" i="6" s="1"/>
  <c r="V1207" i="6"/>
  <c r="D1206" i="6"/>
  <c r="G1206" i="6"/>
  <c r="H1206" i="6" s="1"/>
  <c r="I1206" i="6"/>
  <c r="S1206" i="6"/>
  <c r="V1206" i="6"/>
  <c r="D1205" i="6"/>
  <c r="E1205" i="6" a="1"/>
  <c r="E1205" i="6" s="1"/>
  <c r="G1205" i="6"/>
  <c r="H1205" i="6" s="1"/>
  <c r="I1205" i="6"/>
  <c r="N1205" i="6"/>
  <c r="M1205" i="6" s="1"/>
  <c r="Q1205" i="6"/>
  <c r="S1205" i="6"/>
  <c r="U1205" i="6" a="1"/>
  <c r="U1205" i="6" s="1"/>
  <c r="V1205" i="6"/>
  <c r="D1204" i="6"/>
  <c r="E1204" i="6" a="1"/>
  <c r="E1204" i="6" s="1"/>
  <c r="G1204" i="6"/>
  <c r="H1204" i="6" s="1"/>
  <c r="I1204" i="6"/>
  <c r="Q1204" i="6"/>
  <c r="S1204" i="6"/>
  <c r="V1204" i="6"/>
  <c r="D1203" i="6"/>
  <c r="E1203" i="6" a="1"/>
  <c r="E1203" i="6" s="1"/>
  <c r="G1203" i="6"/>
  <c r="H1203" i="6" s="1"/>
  <c r="I1203" i="6"/>
  <c r="N1203" i="6"/>
  <c r="M1203" i="6" s="1"/>
  <c r="Q1203" i="6"/>
  <c r="S1203" i="6"/>
  <c r="V1203" i="6"/>
  <c r="D1202" i="6"/>
  <c r="E1202" i="6" a="1"/>
  <c r="E1202" i="6" s="1"/>
  <c r="G1202" i="6"/>
  <c r="H1202" i="6" s="1"/>
  <c r="I1202" i="6"/>
  <c r="S1202" i="6"/>
  <c r="V1202" i="6"/>
  <c r="D1201" i="6"/>
  <c r="E1201" i="6" a="1"/>
  <c r="E1201" i="6" s="1"/>
  <c r="G1201" i="6"/>
  <c r="H1201" i="6" s="1"/>
  <c r="I1201" i="6"/>
  <c r="S1201" i="6"/>
  <c r="V1201" i="6"/>
  <c r="D1198" i="6"/>
  <c r="G1198" i="6"/>
  <c r="H1198" i="6" s="1"/>
  <c r="I1198" i="6"/>
  <c r="S1198" i="6"/>
  <c r="V1198" i="6"/>
  <c r="D1200" i="6"/>
  <c r="E1200" i="6" a="1"/>
  <c r="E1200" i="6" s="1"/>
  <c r="G1200" i="6"/>
  <c r="H1200" i="6" s="1"/>
  <c r="I1200" i="6"/>
  <c r="N1200" i="6"/>
  <c r="M1200" i="6" s="1"/>
  <c r="Q1200" i="6"/>
  <c r="S1200" i="6"/>
  <c r="V1200" i="6"/>
  <c r="D1199" i="6"/>
  <c r="E1199" i="6" a="1"/>
  <c r="E1199" i="6" s="1"/>
  <c r="G1199" i="6"/>
  <c r="H1199" i="6" s="1"/>
  <c r="I1199" i="6"/>
  <c r="N1199" i="6"/>
  <c r="M1199" i="6" s="1"/>
  <c r="Q1199" i="6"/>
  <c r="S1199" i="6"/>
  <c r="U1199" i="6" a="1"/>
  <c r="U1199" i="6" s="1"/>
  <c r="V1199" i="6"/>
  <c r="D1190" i="6"/>
  <c r="E1190" i="6" a="1"/>
  <c r="E1190" i="6" s="1"/>
  <c r="G1190" i="6"/>
  <c r="H1190" i="6" s="1"/>
  <c r="I1190" i="6"/>
  <c r="N1190" i="6"/>
  <c r="M1190" i="6" s="1"/>
  <c r="Q1190" i="6"/>
  <c r="S1190" i="6"/>
  <c r="U1190" i="6" a="1"/>
  <c r="U1190" i="6" s="1"/>
  <c r="V1190" i="6"/>
  <c r="Q1346" i="16" l="1"/>
  <c r="Q1344" i="16"/>
  <c r="M1344" i="16"/>
  <c r="M1340" i="16"/>
  <c r="Q1208" i="6"/>
  <c r="Q1206" i="6"/>
  <c r="Q1198" i="6"/>
  <c r="Q1201" i="6"/>
  <c r="Q1202" i="6"/>
  <c r="M1208" i="6"/>
  <c r="M1207" i="6"/>
  <c r="M1201" i="6"/>
  <c r="M1198" i="6"/>
  <c r="Q1197" i="6"/>
  <c r="D1197" i="6"/>
  <c r="E1197" i="6" a="1"/>
  <c r="E1197" i="6" s="1"/>
  <c r="G1197" i="6"/>
  <c r="H1197" i="6" s="1"/>
  <c r="I1197" i="6"/>
  <c r="S1197" i="6"/>
  <c r="V1197" i="6"/>
  <c r="N1197" i="6" l="1"/>
  <c r="F654" i="13"/>
  <c r="F655" i="13"/>
  <c r="L654" i="13"/>
  <c r="O654" i="13" s="1"/>
  <c r="L655" i="13"/>
  <c r="O655" i="13" s="1"/>
  <c r="M654" i="13"/>
  <c r="R654" i="13" s="1"/>
  <c r="M655" i="13"/>
  <c r="R655" i="13" s="1"/>
  <c r="W654" i="13"/>
  <c r="W655" i="13"/>
  <c r="X654" i="13"/>
  <c r="X655" i="13"/>
  <c r="Y654" i="13"/>
  <c r="Y655" i="13"/>
  <c r="AC654" i="13"/>
  <c r="AH654" i="13" s="1"/>
  <c r="AC655" i="13"/>
  <c r="AF655" i="13" s="1"/>
  <c r="AD654" i="13"/>
  <c r="AD655" i="13"/>
  <c r="AO654" i="13"/>
  <c r="AO655" i="13"/>
  <c r="AE654" i="13" l="1"/>
  <c r="AE655" i="13"/>
  <c r="N654" i="13"/>
  <c r="AM654" i="13" a="1"/>
  <c r="AM654" i="13" s="1"/>
  <c r="AG655" i="13"/>
  <c r="AM655" i="13" a="1"/>
  <c r="AM655" i="13" s="1"/>
  <c r="P654" i="13"/>
  <c r="N655" i="13"/>
  <c r="AG654" i="13"/>
  <c r="AF654" i="13"/>
  <c r="P655" i="13"/>
  <c r="AH655" i="13"/>
  <c r="M1197" i="6"/>
  <c r="T654" i="13"/>
  <c r="T655" i="13"/>
  <c r="Q654" i="13" l="1"/>
  <c r="AR654" i="13"/>
  <c r="Q655" i="13"/>
  <c r="AR655" i="13"/>
  <c r="Q1189" i="6"/>
  <c r="D1189" i="6"/>
  <c r="E1189" i="6" a="1"/>
  <c r="E1189" i="6" s="1"/>
  <c r="G1189" i="6"/>
  <c r="H1189" i="6" s="1"/>
  <c r="I1189" i="6"/>
  <c r="S1189" i="6"/>
  <c r="Q1339" i="16"/>
  <c r="D1338" i="16"/>
  <c r="D1339" i="16"/>
  <c r="E1338" i="16" a="1"/>
  <c r="E1338" i="16" s="1"/>
  <c r="E1339" i="16" a="1"/>
  <c r="E1339" i="16" s="1"/>
  <c r="G1338" i="16"/>
  <c r="H1338" i="16" s="1"/>
  <c r="G1339" i="16"/>
  <c r="H1339" i="16" s="1"/>
  <c r="I1338" i="16"/>
  <c r="I1339" i="16"/>
  <c r="N1338" i="16"/>
  <c r="M1338" i="16" s="1"/>
  <c r="Q1338" i="16"/>
  <c r="S1338" i="16"/>
  <c r="S1339" i="16"/>
  <c r="V1338" i="16"/>
  <c r="V1339" i="16"/>
  <c r="N1189" i="6" l="1"/>
  <c r="V1189" i="6" s="1"/>
  <c r="N1339" i="16"/>
  <c r="M1189" i="6" l="1"/>
  <c r="M1339" i="16"/>
  <c r="N1192" i="6" l="1"/>
  <c r="N1194" i="6"/>
  <c r="N1196" i="6"/>
  <c r="D1196" i="6"/>
  <c r="E1196" i="6" a="1"/>
  <c r="E1196" i="6" s="1"/>
  <c r="G1196" i="6"/>
  <c r="H1196" i="6" s="1"/>
  <c r="I1196" i="6"/>
  <c r="S1196" i="6"/>
  <c r="U1196" i="6" a="1"/>
  <c r="U1196" i="6" s="1"/>
  <c r="V1196" i="6"/>
  <c r="D1195" i="6"/>
  <c r="E1195" i="6" a="1"/>
  <c r="E1195" i="6" s="1"/>
  <c r="G1195" i="6"/>
  <c r="H1195" i="6" s="1"/>
  <c r="I1195" i="6"/>
  <c r="N1195" i="6"/>
  <c r="Q1195" i="6"/>
  <c r="S1195" i="6"/>
  <c r="U1195" i="6" a="1"/>
  <c r="U1195" i="6" s="1"/>
  <c r="V1195" i="6"/>
  <c r="D1194" i="6"/>
  <c r="E1194" i="6" a="1"/>
  <c r="E1194" i="6" s="1"/>
  <c r="G1194" i="6"/>
  <c r="H1194" i="6" s="1"/>
  <c r="I1194" i="6"/>
  <c r="Q1194" i="6"/>
  <c r="S1194" i="6"/>
  <c r="U1194" i="6" a="1"/>
  <c r="U1194" i="6" s="1"/>
  <c r="V1194" i="6"/>
  <c r="D1193" i="6"/>
  <c r="E1193" i="6" a="1"/>
  <c r="E1193" i="6" s="1"/>
  <c r="G1193" i="6"/>
  <c r="H1193" i="6" s="1"/>
  <c r="I1193" i="6"/>
  <c r="N1193" i="6"/>
  <c r="Q1193" i="6"/>
  <c r="S1193" i="6"/>
  <c r="U1193" i="6" a="1"/>
  <c r="U1193" i="6" s="1"/>
  <c r="V1193" i="6"/>
  <c r="D1192" i="6"/>
  <c r="E1192" i="6" a="1"/>
  <c r="E1192" i="6" s="1"/>
  <c r="G1192" i="6"/>
  <c r="H1192" i="6" s="1"/>
  <c r="I1192" i="6"/>
  <c r="S1192" i="6"/>
  <c r="V1192" i="6"/>
  <c r="D1191" i="6"/>
  <c r="E1191" i="6" a="1"/>
  <c r="E1191" i="6" s="1"/>
  <c r="G1191" i="6"/>
  <c r="H1191" i="6" s="1"/>
  <c r="I1191" i="6"/>
  <c r="N1191" i="6"/>
  <c r="M1191" i="6" s="1"/>
  <c r="Q1191" i="6"/>
  <c r="S1191" i="6"/>
  <c r="V1191" i="6"/>
  <c r="Q1183" i="6"/>
  <c r="N1184" i="6"/>
  <c r="Q1185" i="6"/>
  <c r="N1186" i="6"/>
  <c r="N1187" i="6"/>
  <c r="N1188" i="6"/>
  <c r="D1188" i="6"/>
  <c r="E1188" i="6" a="1"/>
  <c r="E1188" i="6" s="1"/>
  <c r="G1188" i="6"/>
  <c r="H1188" i="6" s="1"/>
  <c r="I1188" i="6"/>
  <c r="S1188" i="6"/>
  <c r="U1188" i="6" a="1"/>
  <c r="U1188" i="6" s="1"/>
  <c r="V1188" i="6"/>
  <c r="D1187" i="6"/>
  <c r="E1187" i="6" a="1"/>
  <c r="E1187" i="6" s="1"/>
  <c r="G1187" i="6"/>
  <c r="H1187" i="6" s="1"/>
  <c r="I1187" i="6"/>
  <c r="Q1187" i="6"/>
  <c r="S1187" i="6"/>
  <c r="V1187" i="6"/>
  <c r="D1186" i="6"/>
  <c r="E1186" i="6" a="1"/>
  <c r="E1186" i="6" s="1"/>
  <c r="G1186" i="6"/>
  <c r="H1186" i="6" s="1"/>
  <c r="I1186" i="6"/>
  <c r="S1186" i="6"/>
  <c r="U1186" i="6" a="1"/>
  <c r="U1186" i="6" s="1"/>
  <c r="V1186" i="6"/>
  <c r="D1185" i="6"/>
  <c r="E1185" i="6" a="1"/>
  <c r="E1185" i="6" s="1"/>
  <c r="G1185" i="6"/>
  <c r="H1185" i="6" s="1"/>
  <c r="I1185" i="6"/>
  <c r="S1185" i="6"/>
  <c r="U1185" i="6" a="1"/>
  <c r="U1185" i="6" s="1"/>
  <c r="V1185" i="6"/>
  <c r="D1184" i="6"/>
  <c r="E1184" i="6" a="1"/>
  <c r="E1184" i="6" s="1"/>
  <c r="G1184" i="6"/>
  <c r="H1184" i="6" s="1"/>
  <c r="I1184" i="6"/>
  <c r="S1184" i="6"/>
  <c r="U1184" i="6" a="1"/>
  <c r="U1184" i="6" s="1"/>
  <c r="V1184" i="6"/>
  <c r="D1183" i="6"/>
  <c r="E1183" i="6" a="1"/>
  <c r="E1183" i="6" s="1"/>
  <c r="G1183" i="6"/>
  <c r="H1183" i="6" s="1"/>
  <c r="I1183" i="6"/>
  <c r="S1183" i="6"/>
  <c r="U1183" i="6" a="1"/>
  <c r="U1183" i="6" s="1"/>
  <c r="V1183" i="6"/>
  <c r="N1170" i="6"/>
  <c r="Q1169" i="6"/>
  <c r="D1169" i="6"/>
  <c r="E1169" i="6" a="1"/>
  <c r="E1169" i="6" s="1"/>
  <c r="G1169" i="6"/>
  <c r="H1169" i="6" s="1"/>
  <c r="I1169" i="6"/>
  <c r="S1169" i="6"/>
  <c r="U1169" i="6" a="1"/>
  <c r="U1169" i="6" s="1"/>
  <c r="V1169" i="6"/>
  <c r="D1170" i="6"/>
  <c r="E1170" i="6" a="1"/>
  <c r="E1170" i="6" s="1"/>
  <c r="G1170" i="6"/>
  <c r="H1170" i="6" s="1"/>
  <c r="I1170" i="6"/>
  <c r="S1170" i="6"/>
  <c r="V1170" i="6"/>
  <c r="N1179" i="6"/>
  <c r="O1221" i="6" s="1"/>
  <c r="D1179" i="6"/>
  <c r="E1179" i="6" a="1"/>
  <c r="E1179" i="6" s="1"/>
  <c r="G1179" i="6"/>
  <c r="H1179" i="6" s="1"/>
  <c r="I1179" i="6"/>
  <c r="S1179" i="6"/>
  <c r="U1179" i="6" a="1"/>
  <c r="U1179" i="6" s="1"/>
  <c r="N1180" i="6"/>
  <c r="M1180" i="6" s="1"/>
  <c r="N1181" i="6"/>
  <c r="Q1182" i="6"/>
  <c r="D1182" i="6"/>
  <c r="E1182" i="6" a="1"/>
  <c r="E1182" i="6" s="1"/>
  <c r="G1182" i="6"/>
  <c r="H1182" i="6" s="1"/>
  <c r="I1182" i="6"/>
  <c r="S1182" i="6"/>
  <c r="U1182" i="6" a="1"/>
  <c r="U1182" i="6" s="1"/>
  <c r="V1182" i="6"/>
  <c r="D1181" i="6"/>
  <c r="E1181" i="6" a="1"/>
  <c r="E1181" i="6" s="1"/>
  <c r="G1181" i="6"/>
  <c r="H1181" i="6" s="1"/>
  <c r="I1181" i="6"/>
  <c r="S1181" i="6"/>
  <c r="V1181" i="6"/>
  <c r="D1180" i="6"/>
  <c r="E1180" i="6" a="1"/>
  <c r="E1180" i="6" s="1"/>
  <c r="G1180" i="6"/>
  <c r="H1180" i="6" s="1"/>
  <c r="I1180" i="6"/>
  <c r="S1180" i="6"/>
  <c r="V1180" i="6"/>
  <c r="N1178" i="6"/>
  <c r="O1207" i="6" s="1"/>
  <c r="D1178" i="6"/>
  <c r="E1178" i="6" a="1"/>
  <c r="E1178" i="6" s="1"/>
  <c r="G1178" i="6"/>
  <c r="H1178" i="6" s="1"/>
  <c r="I1178" i="6"/>
  <c r="S1178" i="6"/>
  <c r="U1178" i="6" a="1"/>
  <c r="U1178" i="6" s="1"/>
  <c r="V1178" i="6"/>
  <c r="W1207" i="6" s="1"/>
  <c r="N1173" i="6"/>
  <c r="M1173" i="6" s="1"/>
  <c r="N1174" i="6"/>
  <c r="M1174" i="6" s="1"/>
  <c r="N1175" i="6"/>
  <c r="N1177" i="6"/>
  <c r="N1172" i="6"/>
  <c r="M1172" i="6" s="1"/>
  <c r="D1177" i="6"/>
  <c r="E1177" i="6" a="1"/>
  <c r="E1177" i="6" s="1"/>
  <c r="G1177" i="6"/>
  <c r="H1177" i="6" s="1"/>
  <c r="I1177" i="6"/>
  <c r="S1177" i="6"/>
  <c r="V1177" i="6"/>
  <c r="D1176" i="6"/>
  <c r="E1176" i="6" a="1"/>
  <c r="E1176" i="6" s="1"/>
  <c r="G1176" i="6"/>
  <c r="H1176" i="6" s="1"/>
  <c r="I1176" i="6"/>
  <c r="S1176" i="6"/>
  <c r="V1176" i="6"/>
  <c r="D1175" i="6"/>
  <c r="E1175" i="6" a="1"/>
  <c r="E1175" i="6" s="1"/>
  <c r="G1175" i="6"/>
  <c r="H1175" i="6" s="1"/>
  <c r="I1175" i="6"/>
  <c r="S1175" i="6"/>
  <c r="V1175" i="6"/>
  <c r="D1174" i="6"/>
  <c r="E1174" i="6" a="1"/>
  <c r="E1174" i="6" s="1"/>
  <c r="G1174" i="6"/>
  <c r="H1174" i="6" s="1"/>
  <c r="I1174" i="6"/>
  <c r="S1174" i="6"/>
  <c r="D1173" i="6"/>
  <c r="E1173" i="6" a="1"/>
  <c r="E1173" i="6" s="1"/>
  <c r="G1173" i="6"/>
  <c r="H1173" i="6" s="1"/>
  <c r="I1173" i="6"/>
  <c r="S1173" i="6"/>
  <c r="V1173" i="6"/>
  <c r="D1172" i="6"/>
  <c r="E1172" i="6" a="1"/>
  <c r="E1172" i="6" s="1"/>
  <c r="G1172" i="6"/>
  <c r="H1172" i="6" s="1"/>
  <c r="I1172" i="6"/>
  <c r="S1172" i="6"/>
  <c r="V1172" i="6"/>
  <c r="W1504" i="6" l="1"/>
  <c r="O1504" i="6"/>
  <c r="W1484" i="6"/>
  <c r="O1484" i="6"/>
  <c r="W1416" i="6"/>
  <c r="W1442" i="6"/>
  <c r="O1416" i="6"/>
  <c r="O1442" i="6"/>
  <c r="W1387" i="6"/>
  <c r="W1396" i="6"/>
  <c r="O1387" i="6"/>
  <c r="O1396" i="6"/>
  <c r="W1323" i="6"/>
  <c r="W1348" i="6"/>
  <c r="O1323" i="6"/>
  <c r="O1348" i="6"/>
  <c r="W1296" i="6"/>
  <c r="O1296" i="6"/>
  <c r="V1174" i="6"/>
  <c r="W1196" i="6"/>
  <c r="W1244" i="6"/>
  <c r="E655" i="13"/>
  <c r="S655" i="13" s="1"/>
  <c r="AA655" i="13" s="1"/>
  <c r="O1244" i="6"/>
  <c r="M1178" i="6"/>
  <c r="O1200" i="6"/>
  <c r="W1178" i="6"/>
  <c r="W1200" i="6"/>
  <c r="M1175" i="6"/>
  <c r="V1179" i="6"/>
  <c r="E654" i="13"/>
  <c r="W1194" i="6"/>
  <c r="W1193" i="6"/>
  <c r="O1194" i="6"/>
  <c r="O1196" i="6"/>
  <c r="V655" i="13"/>
  <c r="Z655" i="13" s="1"/>
  <c r="O1193" i="6"/>
  <c r="W1195" i="6"/>
  <c r="O1195" i="6"/>
  <c r="Q1184" i="6"/>
  <c r="Q1196" i="6"/>
  <c r="N1185" i="6"/>
  <c r="M1185" i="6" s="1"/>
  <c r="Q1192" i="6"/>
  <c r="M1196" i="6"/>
  <c r="N1183" i="6"/>
  <c r="M1183" i="6" s="1"/>
  <c r="Q1186" i="6"/>
  <c r="M1195" i="6"/>
  <c r="M1194" i="6"/>
  <c r="M1193" i="6"/>
  <c r="Q1188" i="6"/>
  <c r="M1192" i="6"/>
  <c r="M1188" i="6"/>
  <c r="M1187" i="6"/>
  <c r="M1186" i="6"/>
  <c r="M1184" i="6"/>
  <c r="O1178" i="6"/>
  <c r="N1169" i="6"/>
  <c r="M1169" i="6" s="1"/>
  <c r="Q1180" i="6"/>
  <c r="Q1170" i="6"/>
  <c r="Q1179" i="6"/>
  <c r="N1182" i="6"/>
  <c r="M1182" i="6" s="1"/>
  <c r="M1170" i="6"/>
  <c r="M1179" i="6"/>
  <c r="Q1181" i="6"/>
  <c r="M1181" i="6"/>
  <c r="Q1178" i="6"/>
  <c r="Q1173" i="6"/>
  <c r="Q1177" i="6"/>
  <c r="Q1175" i="6"/>
  <c r="Q1174" i="6"/>
  <c r="Q1172" i="6"/>
  <c r="M1177" i="6"/>
  <c r="N1171" i="6"/>
  <c r="D1171" i="6"/>
  <c r="E1171" i="6" a="1"/>
  <c r="E1171" i="6" s="1"/>
  <c r="G1171" i="6"/>
  <c r="H1171" i="6" s="1"/>
  <c r="I1171" i="6"/>
  <c r="S1171" i="6"/>
  <c r="V1171" i="6"/>
  <c r="R1178" i="6" l="1"/>
  <c r="G655" i="13"/>
  <c r="AQ655" i="13" s="1"/>
  <c r="H655" i="13"/>
  <c r="V654" i="13"/>
  <c r="Z654" i="13" s="1"/>
  <c r="W1221" i="6"/>
  <c r="R1193" i="6"/>
  <c r="H654" i="13"/>
  <c r="S654" i="13"/>
  <c r="AA654" i="13" s="1"/>
  <c r="G654" i="13"/>
  <c r="AQ654" i="13" s="1"/>
  <c r="AB655" i="13"/>
  <c r="AK655" i="13"/>
  <c r="AP655" i="13"/>
  <c r="AS655" i="13"/>
  <c r="AT655" i="13" s="1"/>
  <c r="Q1171" i="6"/>
  <c r="M1171" i="6"/>
  <c r="P379" i="16"/>
  <c r="N379" i="16" s="1"/>
  <c r="D379" i="16"/>
  <c r="E379" i="16" a="1"/>
  <c r="E379" i="16" s="1"/>
  <c r="G379" i="16"/>
  <c r="H379" i="16" s="1"/>
  <c r="I379" i="16"/>
  <c r="S379" i="16"/>
  <c r="V379" i="16"/>
  <c r="D1168" i="6"/>
  <c r="E1168" i="6" a="1"/>
  <c r="E1168" i="6" s="1"/>
  <c r="G1168" i="6"/>
  <c r="H1168" i="6" s="1"/>
  <c r="I1168" i="6"/>
  <c r="N1168" i="6"/>
  <c r="Q1168" i="6"/>
  <c r="S1168" i="6"/>
  <c r="U1168" i="6" a="1"/>
  <c r="U1168" i="6" s="1"/>
  <c r="V1168" i="6"/>
  <c r="E653" i="13"/>
  <c r="G653" i="13" s="1"/>
  <c r="F653" i="13"/>
  <c r="K653" i="13" s="1"/>
  <c r="L653" i="13"/>
  <c r="N653" i="13" s="1"/>
  <c r="M653" i="13"/>
  <c r="R653" i="13" s="1"/>
  <c r="V653" i="13"/>
  <c r="W653" i="13"/>
  <c r="X653" i="13"/>
  <c r="Y653" i="13"/>
  <c r="AC653" i="13"/>
  <c r="AH653" i="13" s="1"/>
  <c r="AD653" i="13"/>
  <c r="AO653" i="13"/>
  <c r="F651" i="13"/>
  <c r="F652" i="13"/>
  <c r="L651" i="13"/>
  <c r="O651" i="13" s="1"/>
  <c r="L652" i="13"/>
  <c r="AM652" i="13" s="1" a="1"/>
  <c r="AM652" i="13" s="1"/>
  <c r="M651" i="13"/>
  <c r="P651" i="13" s="1"/>
  <c r="M652" i="13"/>
  <c r="R652" i="13" s="1"/>
  <c r="W651" i="13"/>
  <c r="W652" i="13"/>
  <c r="X651" i="13"/>
  <c r="X652" i="13"/>
  <c r="Y651" i="13"/>
  <c r="Y652" i="13"/>
  <c r="AC651" i="13"/>
  <c r="AF651" i="13" s="1"/>
  <c r="AC652" i="13"/>
  <c r="AF652" i="13" s="1"/>
  <c r="AD651" i="13"/>
  <c r="AD652" i="13"/>
  <c r="AO651" i="13"/>
  <c r="AO652" i="13"/>
  <c r="W1439" i="6" l="1"/>
  <c r="W1485" i="6"/>
  <c r="O1439" i="6"/>
  <c r="O1485" i="6"/>
  <c r="W1388" i="6"/>
  <c r="W1413" i="6"/>
  <c r="O1388" i="6"/>
  <c r="O1413" i="6"/>
  <c r="W1294" i="6"/>
  <c r="W1345" i="6"/>
  <c r="O1294" i="6"/>
  <c r="O1345" i="6"/>
  <c r="AJ655" i="13"/>
  <c r="AE651" i="13"/>
  <c r="W1168" i="6"/>
  <c r="W1238" i="6"/>
  <c r="M1168" i="6"/>
  <c r="O1238" i="6"/>
  <c r="AB654" i="13"/>
  <c r="Q379" i="16"/>
  <c r="AJ654" i="13"/>
  <c r="AS654" i="13"/>
  <c r="AT654" i="13" s="1"/>
  <c r="AP654" i="13"/>
  <c r="AK654" i="13"/>
  <c r="AE652" i="13"/>
  <c r="AG652" i="13"/>
  <c r="V652" i="13"/>
  <c r="Z652" i="13" s="1"/>
  <c r="E652" i="13"/>
  <c r="G652" i="13" s="1"/>
  <c r="M379" i="16"/>
  <c r="O1168" i="6"/>
  <c r="AG653" i="13"/>
  <c r="R651" i="13"/>
  <c r="P652" i="13"/>
  <c r="P653" i="13"/>
  <c r="AL653" i="13" a="1"/>
  <c r="AL653" i="13" s="1"/>
  <c r="Z653" i="13"/>
  <c r="T653" i="13"/>
  <c r="I653" i="13"/>
  <c r="H653" i="13"/>
  <c r="AU653" i="13"/>
  <c r="Q653" i="13"/>
  <c r="AR653" i="13"/>
  <c r="AQ653" i="13"/>
  <c r="J653" i="13"/>
  <c r="AG651" i="13"/>
  <c r="T652" i="13"/>
  <c r="N652" i="13"/>
  <c r="AM653" i="13" a="1"/>
  <c r="AM653" i="13" s="1"/>
  <c r="AF653" i="13"/>
  <c r="S653" i="13"/>
  <c r="O653" i="13"/>
  <c r="AE653" i="13"/>
  <c r="O652" i="13"/>
  <c r="T651" i="13"/>
  <c r="N651" i="13"/>
  <c r="AH652" i="13"/>
  <c r="AM651" i="13" a="1"/>
  <c r="AM651" i="13" s="1"/>
  <c r="AH651" i="13"/>
  <c r="R1168" i="6" l="1"/>
  <c r="H652" i="13"/>
  <c r="S652" i="13"/>
  <c r="AA652" i="13" s="1"/>
  <c r="AB652" i="13" s="1"/>
  <c r="AI653" i="13"/>
  <c r="AA653" i="13"/>
  <c r="AN653" i="13" s="1"/>
  <c r="Q652" i="13"/>
  <c r="AR652" i="13"/>
  <c r="AQ652" i="13"/>
  <c r="Q651" i="13"/>
  <c r="AR651" i="13"/>
  <c r="AS652" i="13" l="1"/>
  <c r="AT652" i="13" s="1"/>
  <c r="AK652" i="13"/>
  <c r="AP652" i="13"/>
  <c r="AP653" i="13"/>
  <c r="AV653" i="13" s="1"/>
  <c r="AB653" i="13"/>
  <c r="AJ652" i="13"/>
  <c r="AS653" i="13"/>
  <c r="AT653" i="13" s="1"/>
  <c r="AK653" i="13"/>
  <c r="AJ653" i="13"/>
  <c r="D1167" i="6" l="1"/>
  <c r="E1167" i="6" a="1"/>
  <c r="E1167" i="6" s="1"/>
  <c r="G1167" i="6"/>
  <c r="H1167" i="6" s="1"/>
  <c r="I1167" i="6"/>
  <c r="N1167" i="6"/>
  <c r="M1167" i="6" s="1"/>
  <c r="Q1167" i="6"/>
  <c r="S1167" i="6"/>
  <c r="U1167" i="6" a="1"/>
  <c r="U1167" i="6" s="1"/>
  <c r="V1167" i="6"/>
  <c r="N1159" i="6"/>
  <c r="N1336" i="16"/>
  <c r="D1336" i="16"/>
  <c r="E1336" i="16" a="1"/>
  <c r="E1336" i="16" s="1"/>
  <c r="G1336" i="16"/>
  <c r="H1336" i="16" s="1"/>
  <c r="I1336" i="16"/>
  <c r="Q1336" i="16"/>
  <c r="S1336" i="16"/>
  <c r="U1336" i="16" a="1"/>
  <c r="U1336" i="16" s="1"/>
  <c r="V1336" i="16"/>
  <c r="D1159" i="6"/>
  <c r="E1159" i="6" a="1"/>
  <c r="E1159" i="6" s="1"/>
  <c r="G1159" i="6"/>
  <c r="H1159" i="6" s="1"/>
  <c r="I1159" i="6"/>
  <c r="S1159" i="6"/>
  <c r="V1159" i="6"/>
  <c r="N1322" i="16"/>
  <c r="M1322" i="16" s="1"/>
  <c r="N1323" i="16"/>
  <c r="M1323" i="16" s="1"/>
  <c r="N1324" i="16"/>
  <c r="M1324" i="16" s="1"/>
  <c r="Q1325" i="16"/>
  <c r="Q1326" i="16"/>
  <c r="N1327" i="16"/>
  <c r="M1327" i="16" s="1"/>
  <c r="Q1328" i="16"/>
  <c r="N1329" i="16"/>
  <c r="M1329" i="16" s="1"/>
  <c r="N1330" i="16"/>
  <c r="M1330" i="16" s="1"/>
  <c r="N1331" i="16"/>
  <c r="M1331" i="16" s="1"/>
  <c r="Q1332" i="16"/>
  <c r="Q1333" i="16"/>
  <c r="Q1334" i="16"/>
  <c r="N1335" i="16"/>
  <c r="M1335" i="16" s="1"/>
  <c r="D1321" i="16"/>
  <c r="D1322" i="16"/>
  <c r="D1323" i="16"/>
  <c r="D1324" i="16"/>
  <c r="D1325" i="16"/>
  <c r="D1326" i="16"/>
  <c r="D1327" i="16"/>
  <c r="D1328" i="16"/>
  <c r="D1329" i="16"/>
  <c r="D1330" i="16"/>
  <c r="D1331" i="16"/>
  <c r="D1332" i="16"/>
  <c r="D1333" i="16"/>
  <c r="D1334" i="16"/>
  <c r="D1335" i="16"/>
  <c r="E1321" i="16" a="1"/>
  <c r="E1321" i="16" s="1"/>
  <c r="E1322" i="16" a="1"/>
  <c r="E1322" i="16" s="1"/>
  <c r="E1323" i="16" a="1"/>
  <c r="E1323" i="16" s="1"/>
  <c r="E1324" i="16" a="1"/>
  <c r="E1324" i="16" s="1"/>
  <c r="E1325" i="16" a="1"/>
  <c r="E1325" i="16" s="1"/>
  <c r="E1326" i="16" a="1"/>
  <c r="E1326" i="16" s="1"/>
  <c r="E1327" i="16" a="1"/>
  <c r="E1327" i="16" s="1"/>
  <c r="E1328" i="16" a="1"/>
  <c r="E1328" i="16" s="1"/>
  <c r="E1329" i="16" a="1"/>
  <c r="E1329" i="16" s="1"/>
  <c r="E1330" i="16" a="1"/>
  <c r="E1330" i="16" s="1"/>
  <c r="E1331" i="16" a="1"/>
  <c r="E1331" i="16" s="1"/>
  <c r="E1332" i="16" a="1"/>
  <c r="E1332" i="16" s="1"/>
  <c r="E1333" i="16" a="1"/>
  <c r="E1333" i="16" s="1"/>
  <c r="E1334" i="16" a="1"/>
  <c r="E1334" i="16" s="1"/>
  <c r="E1335" i="16" a="1"/>
  <c r="E1335" i="16" s="1"/>
  <c r="G1321" i="16"/>
  <c r="H1321" i="16" s="1"/>
  <c r="G1322" i="16"/>
  <c r="H1322" i="16" s="1"/>
  <c r="G1323" i="16"/>
  <c r="H1323" i="16" s="1"/>
  <c r="G1324" i="16"/>
  <c r="H1324" i="16" s="1"/>
  <c r="G1325" i="16"/>
  <c r="H1325" i="16" s="1"/>
  <c r="G1326" i="16"/>
  <c r="H1326" i="16" s="1"/>
  <c r="G1327" i="16"/>
  <c r="H1327" i="16" s="1"/>
  <c r="G1328" i="16"/>
  <c r="H1328" i="16" s="1"/>
  <c r="G1329" i="16"/>
  <c r="H1329" i="16" s="1"/>
  <c r="G1330" i="16"/>
  <c r="H1330" i="16" s="1"/>
  <c r="G1331" i="16"/>
  <c r="H1331" i="16" s="1"/>
  <c r="G1332" i="16"/>
  <c r="H1332" i="16" s="1"/>
  <c r="G1333" i="16"/>
  <c r="H1333" i="16" s="1"/>
  <c r="G1334" i="16"/>
  <c r="H1334" i="16" s="1"/>
  <c r="G1335" i="16"/>
  <c r="H1335" i="16" s="1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Q1331" i="16"/>
  <c r="S1321" i="16"/>
  <c r="S1322" i="16"/>
  <c r="S1323" i="16"/>
  <c r="S1324" i="16"/>
  <c r="S1325" i="16"/>
  <c r="S1326" i="16"/>
  <c r="S1327" i="16"/>
  <c r="S1328" i="16"/>
  <c r="S1329" i="16"/>
  <c r="S1330" i="16"/>
  <c r="S1331" i="16"/>
  <c r="S1332" i="16"/>
  <c r="S1333" i="16"/>
  <c r="S1334" i="16"/>
  <c r="S1335" i="16"/>
  <c r="U1321" i="16" a="1"/>
  <c r="U1321" i="16" s="1"/>
  <c r="U1322" i="16" a="1"/>
  <c r="U1322" i="16" s="1"/>
  <c r="U1323" i="16" a="1"/>
  <c r="U1323" i="16" s="1"/>
  <c r="U1324" i="16" a="1"/>
  <c r="U1324" i="16" s="1"/>
  <c r="U1325" i="16" a="1"/>
  <c r="U1325" i="16" s="1"/>
  <c r="U1326" i="16" a="1"/>
  <c r="U1326" i="16" s="1"/>
  <c r="U1327" i="16" a="1"/>
  <c r="U1327" i="16" s="1"/>
  <c r="U1328" i="16" a="1"/>
  <c r="U1328" i="16" s="1"/>
  <c r="U1329" i="16" a="1"/>
  <c r="U1329" i="16" s="1"/>
  <c r="U1330" i="16" a="1"/>
  <c r="U1330" i="16" s="1"/>
  <c r="U1331" i="16" a="1"/>
  <c r="U1331" i="16" s="1"/>
  <c r="U1332" i="16" a="1"/>
  <c r="U1332" i="16" s="1"/>
  <c r="U1333" i="16" a="1"/>
  <c r="U1333" i="16" s="1"/>
  <c r="U1334" i="16" a="1"/>
  <c r="U1334" i="16" s="1"/>
  <c r="U1335" i="16" a="1"/>
  <c r="U1335" i="16" s="1"/>
  <c r="V1321" i="16"/>
  <c r="V1322" i="16"/>
  <c r="V1323" i="16"/>
  <c r="V1324" i="16"/>
  <c r="V1325" i="16"/>
  <c r="V1326" i="16"/>
  <c r="V1327" i="16"/>
  <c r="V1328" i="16"/>
  <c r="V1329" i="16"/>
  <c r="V1330" i="16"/>
  <c r="V1331" i="16"/>
  <c r="V1333" i="16"/>
  <c r="V1334" i="16"/>
  <c r="V1335" i="16"/>
  <c r="Q1151" i="6"/>
  <c r="Q1152" i="6"/>
  <c r="D1152" i="6"/>
  <c r="E1152" i="6" a="1"/>
  <c r="E1152" i="6" s="1"/>
  <c r="G1152" i="6"/>
  <c r="H1152" i="6" s="1"/>
  <c r="I1152" i="6"/>
  <c r="S1152" i="6"/>
  <c r="U1152" i="6" a="1"/>
  <c r="U1152" i="6" s="1"/>
  <c r="V1152" i="6"/>
  <c r="D1151" i="6"/>
  <c r="E1151" i="6" a="1"/>
  <c r="E1151" i="6" s="1"/>
  <c r="G1151" i="6"/>
  <c r="H1151" i="6" s="1"/>
  <c r="I1151" i="6"/>
  <c r="S1151" i="6"/>
  <c r="U1151" i="6" a="1"/>
  <c r="U1151" i="6" s="1"/>
  <c r="V1151" i="6"/>
  <c r="N1151" i="6" l="1"/>
  <c r="N1152" i="6"/>
  <c r="M1152" i="6" s="1"/>
  <c r="Q1159" i="6"/>
  <c r="M1336" i="16"/>
  <c r="Q1322" i="16"/>
  <c r="N1326" i="16"/>
  <c r="M1326" i="16" s="1"/>
  <c r="Q1330" i="16"/>
  <c r="N1334" i="16"/>
  <c r="M1334" i="16" s="1"/>
  <c r="Q1329" i="16"/>
  <c r="N1333" i="16"/>
  <c r="M1333" i="16" s="1"/>
  <c r="Q1324" i="16"/>
  <c r="M1159" i="6"/>
  <c r="Q1335" i="16"/>
  <c r="Q1327" i="16"/>
  <c r="Q1323" i="16"/>
  <c r="N1332" i="16"/>
  <c r="N1328" i="16"/>
  <c r="M1328" i="16" s="1"/>
  <c r="N1325" i="16"/>
  <c r="M1325" i="16" s="1"/>
  <c r="N1321" i="16"/>
  <c r="M1321" i="16" s="1"/>
  <c r="Q1321" i="16"/>
  <c r="M1151" i="6"/>
  <c r="N1166" i="6"/>
  <c r="N1165" i="6"/>
  <c r="Q1164" i="6"/>
  <c r="Q1163" i="6"/>
  <c r="D1166" i="6"/>
  <c r="E1166" i="6" a="1"/>
  <c r="E1166" i="6" s="1"/>
  <c r="G1166" i="6"/>
  <c r="H1166" i="6" s="1"/>
  <c r="I1166" i="6"/>
  <c r="S1166" i="6"/>
  <c r="V1166" i="6"/>
  <c r="D1165" i="6"/>
  <c r="E1165" i="6" a="1"/>
  <c r="E1165" i="6" s="1"/>
  <c r="G1165" i="6"/>
  <c r="H1165" i="6" s="1"/>
  <c r="I1165" i="6"/>
  <c r="S1165" i="6"/>
  <c r="U1165" i="6" a="1"/>
  <c r="U1165" i="6" s="1"/>
  <c r="V1165" i="6"/>
  <c r="D1164" i="6"/>
  <c r="E1164" i="6" a="1"/>
  <c r="E1164" i="6" s="1"/>
  <c r="G1164" i="6"/>
  <c r="H1164" i="6" s="1"/>
  <c r="I1164" i="6"/>
  <c r="S1164" i="6"/>
  <c r="U1164" i="6" a="1"/>
  <c r="U1164" i="6" s="1"/>
  <c r="V1164" i="6"/>
  <c r="D1163" i="6"/>
  <c r="E1163" i="6" a="1"/>
  <c r="E1163" i="6" s="1"/>
  <c r="G1163" i="6"/>
  <c r="H1163" i="6" s="1"/>
  <c r="I1163" i="6"/>
  <c r="S1163" i="6"/>
  <c r="U1163" i="6" a="1"/>
  <c r="U1163" i="6" s="1"/>
  <c r="V1163" i="6"/>
  <c r="W1438" i="6" l="1"/>
  <c r="W1486" i="6"/>
  <c r="O1438" i="6"/>
  <c r="O1486" i="6"/>
  <c r="M1332" i="16"/>
  <c r="V1332" i="16"/>
  <c r="O1390" i="6"/>
  <c r="O1415" i="6"/>
  <c r="W1390" i="6"/>
  <c r="W1415" i="6"/>
  <c r="O1293" i="6"/>
  <c r="O1344" i="6"/>
  <c r="W1293" i="6"/>
  <c r="W1344" i="6"/>
  <c r="E651" i="13"/>
  <c r="H651" i="13" s="1"/>
  <c r="O1237" i="6"/>
  <c r="V651" i="13"/>
  <c r="Z651" i="13" s="1"/>
  <c r="W1237" i="6"/>
  <c r="W1165" i="6"/>
  <c r="O1165" i="6"/>
  <c r="Q1165" i="6"/>
  <c r="N1164" i="6"/>
  <c r="M1164" i="6" s="1"/>
  <c r="Q1166" i="6"/>
  <c r="N1163" i="6"/>
  <c r="M1163" i="6" s="1"/>
  <c r="M1166" i="6"/>
  <c r="M1165" i="6"/>
  <c r="D1162" i="6"/>
  <c r="E1162" i="6" a="1"/>
  <c r="E1162" i="6" s="1"/>
  <c r="G1162" i="6"/>
  <c r="H1162" i="6" s="1"/>
  <c r="I1162" i="6"/>
  <c r="N1162" i="6"/>
  <c r="Q1162" i="6"/>
  <c r="S1162" i="6"/>
  <c r="U1162" i="6" a="1"/>
  <c r="U1162" i="6" s="1"/>
  <c r="V1162" i="6"/>
  <c r="D1161" i="6"/>
  <c r="E1161" i="6" a="1"/>
  <c r="E1161" i="6" s="1"/>
  <c r="G1161" i="6"/>
  <c r="H1161" i="6" s="1"/>
  <c r="I1161" i="6"/>
  <c r="N1161" i="6"/>
  <c r="Q1161" i="6"/>
  <c r="S1161" i="6"/>
  <c r="U1161" i="6" a="1"/>
  <c r="U1161" i="6" s="1"/>
  <c r="V1161" i="6"/>
  <c r="D1160" i="6"/>
  <c r="E1160" i="6" a="1"/>
  <c r="E1160" i="6" s="1"/>
  <c r="G1160" i="6"/>
  <c r="H1160" i="6" s="1"/>
  <c r="I1160" i="6"/>
  <c r="N1160" i="6"/>
  <c r="Q1160" i="6"/>
  <c r="S1160" i="6"/>
  <c r="U1160" i="6" a="1"/>
  <c r="U1160" i="6" s="1"/>
  <c r="V1160" i="6"/>
  <c r="D1158" i="6"/>
  <c r="E1158" i="6" a="1"/>
  <c r="E1158" i="6" s="1"/>
  <c r="G1158" i="6"/>
  <c r="H1158" i="6" s="1"/>
  <c r="I1158" i="6"/>
  <c r="N1158" i="6"/>
  <c r="Q1158" i="6"/>
  <c r="S1158" i="6"/>
  <c r="V1158" i="6"/>
  <c r="D1157" i="6"/>
  <c r="E1157" i="6" a="1"/>
  <c r="E1157" i="6" s="1"/>
  <c r="G1157" i="6"/>
  <c r="H1157" i="6" s="1"/>
  <c r="I1157" i="6"/>
  <c r="N1157" i="6"/>
  <c r="Q1157" i="6"/>
  <c r="S1157" i="6"/>
  <c r="V1157" i="6"/>
  <c r="D1320" i="16"/>
  <c r="E1320" i="16" a="1"/>
  <c r="E1320" i="16" s="1"/>
  <c r="G1320" i="16"/>
  <c r="H1320" i="16" s="1"/>
  <c r="I1320" i="16"/>
  <c r="N1320" i="16"/>
  <c r="Q1320" i="16"/>
  <c r="S1320" i="16"/>
  <c r="V1320" i="16"/>
  <c r="D1156" i="6"/>
  <c r="E1156" i="6" a="1"/>
  <c r="E1156" i="6" s="1"/>
  <c r="G1156" i="6"/>
  <c r="H1156" i="6" s="1"/>
  <c r="I1156" i="6"/>
  <c r="N1156" i="6"/>
  <c r="V1156" i="6" s="1"/>
  <c r="Q1156" i="6"/>
  <c r="S1156" i="6"/>
  <c r="D1155" i="6"/>
  <c r="E1155" i="6" a="1"/>
  <c r="E1155" i="6" s="1"/>
  <c r="G1155" i="6"/>
  <c r="H1155" i="6" s="1"/>
  <c r="I1155" i="6"/>
  <c r="N1155" i="6"/>
  <c r="O1155" i="6" s="1"/>
  <c r="Q1155" i="6"/>
  <c r="S1155" i="6"/>
  <c r="U1155" i="6" a="1"/>
  <c r="U1155" i="6" s="1"/>
  <c r="V1155" i="6"/>
  <c r="W1155" i="6" s="1"/>
  <c r="N1154" i="6"/>
  <c r="M1154" i="6" s="1"/>
  <c r="D1154" i="6"/>
  <c r="E1154" i="6" a="1"/>
  <c r="E1154" i="6" s="1"/>
  <c r="G1154" i="6"/>
  <c r="H1154" i="6" s="1"/>
  <c r="I1154" i="6"/>
  <c r="S1154" i="6"/>
  <c r="D1153" i="6"/>
  <c r="G1153" i="6"/>
  <c r="H1153" i="6" s="1"/>
  <c r="I1153" i="6"/>
  <c r="N1153" i="6"/>
  <c r="Q1153" i="6"/>
  <c r="S1153" i="6"/>
  <c r="V1153" i="6"/>
  <c r="D1150" i="6"/>
  <c r="E1150" i="6" a="1"/>
  <c r="E1150" i="6" s="1"/>
  <c r="G1150" i="6"/>
  <c r="H1150" i="6" s="1"/>
  <c r="I1150" i="6"/>
  <c r="N1150" i="6"/>
  <c r="M1150" i="6" s="1"/>
  <c r="Q1150" i="6"/>
  <c r="S1150" i="6"/>
  <c r="U1150" i="6" a="1"/>
  <c r="U1150" i="6" s="1"/>
  <c r="V1150" i="6"/>
  <c r="D1149" i="6"/>
  <c r="E1149" i="6" a="1"/>
  <c r="E1149" i="6" s="1"/>
  <c r="G1149" i="6"/>
  <c r="H1149" i="6" s="1"/>
  <c r="I1149" i="6"/>
  <c r="N1149" i="6"/>
  <c r="M1149" i="6" s="1"/>
  <c r="Q1149" i="6"/>
  <c r="S1149" i="6"/>
  <c r="U1149" i="6" a="1"/>
  <c r="U1149" i="6" s="1"/>
  <c r="V1149" i="6"/>
  <c r="D1148" i="6"/>
  <c r="E1148" i="6" a="1"/>
  <c r="E1148" i="6" s="1"/>
  <c r="G1148" i="6"/>
  <c r="H1148" i="6" s="1"/>
  <c r="I1148" i="6"/>
  <c r="N1148" i="6"/>
  <c r="M1148" i="6" s="1"/>
  <c r="Q1148" i="6"/>
  <c r="S1148" i="6"/>
  <c r="U1148" i="6" a="1"/>
  <c r="U1148" i="6" s="1"/>
  <c r="V1148" i="6"/>
  <c r="S651" i="13" l="1"/>
  <c r="AA651" i="13" s="1"/>
  <c r="AK651" i="13" s="1"/>
  <c r="G651" i="13"/>
  <c r="AQ651" i="13" s="1"/>
  <c r="R1165" i="6"/>
  <c r="M1162" i="6"/>
  <c r="M1161" i="6"/>
  <c r="M1160" i="6"/>
  <c r="M1158" i="6"/>
  <c r="M1157" i="6"/>
  <c r="Q1154" i="6"/>
  <c r="M1320" i="16"/>
  <c r="M1156" i="6"/>
  <c r="M1155" i="6"/>
  <c r="R1155" i="6" s="1"/>
  <c r="V1154" i="6"/>
  <c r="M1153" i="6"/>
  <c r="N1147" i="6"/>
  <c r="V1147" i="6" s="1"/>
  <c r="D1147" i="6"/>
  <c r="E1147" i="6" a="1"/>
  <c r="E1147" i="6" s="1"/>
  <c r="G1147" i="6"/>
  <c r="H1147" i="6" s="1"/>
  <c r="I1147" i="6"/>
  <c r="Q1147" i="6"/>
  <c r="S1147" i="6"/>
  <c r="AP651" i="13" l="1"/>
  <c r="AS651" i="13"/>
  <c r="AT651" i="13" s="1"/>
  <c r="AB651" i="13"/>
  <c r="AJ651" i="13"/>
  <c r="M1147" i="6"/>
  <c r="N1146" i="6"/>
  <c r="D1146" i="6"/>
  <c r="E1146" i="6" a="1"/>
  <c r="E1146" i="6" s="1"/>
  <c r="G1146" i="6"/>
  <c r="H1146" i="6" s="1"/>
  <c r="I1146" i="6"/>
  <c r="Q1146" i="6"/>
  <c r="S1146" i="6"/>
  <c r="U1146" i="6" a="1"/>
  <c r="U1146" i="6" s="1"/>
  <c r="V1146" i="6"/>
  <c r="N1145" i="6"/>
  <c r="D1145" i="6"/>
  <c r="E1145" i="6" a="1"/>
  <c r="E1145" i="6" s="1"/>
  <c r="G1145" i="6"/>
  <c r="H1145" i="6" s="1"/>
  <c r="I1145" i="6"/>
  <c r="S1145" i="6"/>
  <c r="V1145" i="6"/>
  <c r="F650" i="13"/>
  <c r="K650" i="13" s="1"/>
  <c r="L650" i="13"/>
  <c r="O650" i="13" s="1"/>
  <c r="M650" i="13"/>
  <c r="P650" i="13" s="1"/>
  <c r="W650" i="13"/>
  <c r="X650" i="13"/>
  <c r="Y650" i="13"/>
  <c r="AC650" i="13"/>
  <c r="AF650" i="13" s="1"/>
  <c r="AD650" i="13"/>
  <c r="AO650" i="13"/>
  <c r="AH650" i="13" l="1"/>
  <c r="AE650" i="13"/>
  <c r="R650" i="13"/>
  <c r="AU650" i="13" s="1"/>
  <c r="AG650" i="13"/>
  <c r="N650" i="13"/>
  <c r="AR650" i="13" s="1"/>
  <c r="M1146" i="6"/>
  <c r="Q1145" i="6"/>
  <c r="M1145" i="6"/>
  <c r="T650" i="13"/>
  <c r="I650" i="13"/>
  <c r="AM650" i="13" a="1"/>
  <c r="AM650" i="13" s="1"/>
  <c r="Q650" i="13" l="1"/>
  <c r="D1144" i="6"/>
  <c r="E1144" i="6" a="1"/>
  <c r="E1144" i="6" s="1"/>
  <c r="G1144" i="6"/>
  <c r="H1144" i="6" s="1"/>
  <c r="I1144" i="6"/>
  <c r="N1144" i="6"/>
  <c r="Q1144" i="6"/>
  <c r="S1144" i="6"/>
  <c r="U1144" i="6" a="1"/>
  <c r="U1144" i="6" s="1"/>
  <c r="V1144" i="6"/>
  <c r="W1284" i="6" s="1"/>
  <c r="Q1318" i="16"/>
  <c r="Q1319" i="16"/>
  <c r="N1143" i="6"/>
  <c r="D1143" i="6"/>
  <c r="E1143" i="6" a="1"/>
  <c r="E1143" i="6" s="1"/>
  <c r="G1143" i="6"/>
  <c r="H1143" i="6" s="1"/>
  <c r="I1143" i="6"/>
  <c r="S1143" i="6"/>
  <c r="V1143" i="6"/>
  <c r="N1140" i="6"/>
  <c r="M1140" i="6" s="1"/>
  <c r="N1141" i="6"/>
  <c r="M1141" i="6" s="1"/>
  <c r="D1142" i="6"/>
  <c r="E1142" i="6" a="1"/>
  <c r="E1142" i="6" s="1"/>
  <c r="G1142" i="6"/>
  <c r="H1142" i="6" s="1"/>
  <c r="I1142" i="6"/>
  <c r="N1142" i="6"/>
  <c r="M1142" i="6" s="1"/>
  <c r="Q1142" i="6"/>
  <c r="S1142" i="6"/>
  <c r="U1142" i="6" a="1"/>
  <c r="U1142" i="6" s="1"/>
  <c r="V1142" i="6"/>
  <c r="D1141" i="6"/>
  <c r="E1141" i="6" a="1"/>
  <c r="E1141" i="6" s="1"/>
  <c r="G1141" i="6"/>
  <c r="H1141" i="6" s="1"/>
  <c r="I1141" i="6"/>
  <c r="Q1141" i="6"/>
  <c r="S1141" i="6"/>
  <c r="U1141" i="6" a="1"/>
  <c r="U1141" i="6" s="1"/>
  <c r="V1141" i="6"/>
  <c r="D1140" i="6"/>
  <c r="E1140" i="6" a="1"/>
  <c r="E1140" i="6" s="1"/>
  <c r="G1140" i="6"/>
  <c r="H1140" i="6" s="1"/>
  <c r="I1140" i="6"/>
  <c r="Q1140" i="6"/>
  <c r="S1140" i="6"/>
  <c r="V1140" i="6"/>
  <c r="D1139" i="6"/>
  <c r="G1139" i="6"/>
  <c r="H1139" i="6" s="1"/>
  <c r="I1139" i="6"/>
  <c r="N1139" i="6"/>
  <c r="Q1139" i="6"/>
  <c r="S1139" i="6"/>
  <c r="V1139" i="6"/>
  <c r="D1138" i="6"/>
  <c r="E1138" i="6" a="1"/>
  <c r="E1138" i="6" s="1"/>
  <c r="G1138" i="6"/>
  <c r="H1138" i="6" s="1"/>
  <c r="I1138" i="6"/>
  <c r="N1138" i="6"/>
  <c r="M1138" i="6" s="1"/>
  <c r="Q1138" i="6"/>
  <c r="S1138" i="6"/>
  <c r="D1318" i="16"/>
  <c r="D1319" i="16"/>
  <c r="E1318" i="16" a="1"/>
  <c r="E1318" i="16" s="1"/>
  <c r="E1319" i="16" a="1"/>
  <c r="E1319" i="16" s="1"/>
  <c r="G1318" i="16"/>
  <c r="H1318" i="16" s="1"/>
  <c r="G1319" i="16"/>
  <c r="H1319" i="16" s="1"/>
  <c r="I1318" i="16"/>
  <c r="I1319" i="16"/>
  <c r="N1318" i="16"/>
  <c r="M1318" i="16" s="1"/>
  <c r="S1318" i="16"/>
  <c r="S1319" i="16"/>
  <c r="V1318" i="16"/>
  <c r="V1319" i="16"/>
  <c r="N1137" i="6"/>
  <c r="M1137" i="6" s="1"/>
  <c r="N1136" i="6"/>
  <c r="M1136" i="6" s="1"/>
  <c r="D1137" i="6"/>
  <c r="E1137" i="6" a="1"/>
  <c r="E1137" i="6" s="1"/>
  <c r="G1137" i="6"/>
  <c r="H1137" i="6" s="1"/>
  <c r="I1137" i="6"/>
  <c r="S1137" i="6"/>
  <c r="D1136" i="6"/>
  <c r="E1136" i="6" a="1"/>
  <c r="E1136" i="6" s="1"/>
  <c r="G1136" i="6"/>
  <c r="H1136" i="6" s="1"/>
  <c r="I1136" i="6"/>
  <c r="S1136" i="6"/>
  <c r="V1136" i="6"/>
  <c r="Q1287" i="16"/>
  <c r="N1288" i="16"/>
  <c r="M1288" i="16" s="1"/>
  <c r="N1289" i="16"/>
  <c r="M1289" i="16" s="1"/>
  <c r="N1290" i="16"/>
  <c r="M1290" i="16" s="1"/>
  <c r="N1291" i="16"/>
  <c r="M1291" i="16" s="1"/>
  <c r="Q1292" i="16"/>
  <c r="N1293" i="16"/>
  <c r="M1293" i="16" s="1"/>
  <c r="N1294" i="16"/>
  <c r="M1294" i="16" s="1"/>
  <c r="Q1295" i="16"/>
  <c r="N1296" i="16"/>
  <c r="M1296" i="16" s="1"/>
  <c r="N1297" i="16"/>
  <c r="M1297" i="16" s="1"/>
  <c r="N1298" i="16"/>
  <c r="M1298" i="16" s="1"/>
  <c r="Q1300" i="16"/>
  <c r="N1301" i="16"/>
  <c r="M1301" i="16" s="1"/>
  <c r="N1302" i="16"/>
  <c r="M1302" i="16" s="1"/>
  <c r="Q1303" i="16"/>
  <c r="N1304" i="16"/>
  <c r="M1304" i="16" s="1"/>
  <c r="N1305" i="16"/>
  <c r="M1305" i="16" s="1"/>
  <c r="N1306" i="16"/>
  <c r="M1306" i="16" s="1"/>
  <c r="N1308" i="16"/>
  <c r="M1308" i="16" s="1"/>
  <c r="N1309" i="16"/>
  <c r="M1309" i="16" s="1"/>
  <c r="N1310" i="16"/>
  <c r="M1310" i="16" s="1"/>
  <c r="N1311" i="16"/>
  <c r="M1311" i="16" s="1"/>
  <c r="N1312" i="16"/>
  <c r="M1312" i="16" s="1"/>
  <c r="N1313" i="16"/>
  <c r="M1313" i="16" s="1"/>
  <c r="N1314" i="16"/>
  <c r="M1314" i="16" s="1"/>
  <c r="Q1316" i="16"/>
  <c r="N1317" i="16"/>
  <c r="M1317" i="16" s="1"/>
  <c r="N1286" i="16"/>
  <c r="M1286" i="16" s="1"/>
  <c r="D1286" i="16"/>
  <c r="D1287" i="16"/>
  <c r="D1288" i="16"/>
  <c r="D1289" i="16"/>
  <c r="D1290" i="16"/>
  <c r="D1291" i="16"/>
  <c r="D1292" i="16"/>
  <c r="D1293" i="16"/>
  <c r="D1294" i="16"/>
  <c r="D1295" i="16"/>
  <c r="D1296" i="16"/>
  <c r="D1297" i="16"/>
  <c r="D1298" i="16"/>
  <c r="D1299" i="16"/>
  <c r="D1300" i="16"/>
  <c r="D1301" i="16"/>
  <c r="D1302" i="16"/>
  <c r="D1303" i="16"/>
  <c r="D1304" i="16"/>
  <c r="D1305" i="16"/>
  <c r="D1306" i="16"/>
  <c r="D1307" i="16"/>
  <c r="D1308" i="16"/>
  <c r="D1309" i="16"/>
  <c r="D1310" i="16"/>
  <c r="D1311" i="16"/>
  <c r="D1312" i="16"/>
  <c r="D1313" i="16"/>
  <c r="D1314" i="16"/>
  <c r="D1315" i="16"/>
  <c r="D1316" i="16"/>
  <c r="D1317" i="16"/>
  <c r="E1286" i="16" a="1"/>
  <c r="E1286" i="16" s="1"/>
  <c r="E1287" i="16" a="1"/>
  <c r="E1287" i="16" s="1"/>
  <c r="E1288" i="16" a="1"/>
  <c r="E1288" i="16" s="1"/>
  <c r="E1289" i="16" a="1"/>
  <c r="E1289" i="16" s="1"/>
  <c r="E1290" i="16" a="1"/>
  <c r="E1290" i="16" s="1"/>
  <c r="E1291" i="16" a="1"/>
  <c r="E1291" i="16" s="1"/>
  <c r="E1292" i="16" a="1"/>
  <c r="E1292" i="16" s="1"/>
  <c r="E1293" i="16" a="1"/>
  <c r="E1293" i="16" s="1"/>
  <c r="E1294" i="16" a="1"/>
  <c r="E1294" i="16" s="1"/>
  <c r="E1295" i="16" a="1"/>
  <c r="E1295" i="16" s="1"/>
  <c r="E1296" i="16" a="1"/>
  <c r="E1296" i="16" s="1"/>
  <c r="E1297" i="16" a="1"/>
  <c r="E1297" i="16" s="1"/>
  <c r="E1298" i="16" a="1"/>
  <c r="E1298" i="16" s="1"/>
  <c r="E1299" i="16" a="1"/>
  <c r="E1299" i="16" s="1"/>
  <c r="E1300" i="16" a="1"/>
  <c r="E1300" i="16" s="1"/>
  <c r="E1301" i="16" a="1"/>
  <c r="E1301" i="16" s="1"/>
  <c r="E1302" i="16" a="1"/>
  <c r="E1302" i="16" s="1"/>
  <c r="E1303" i="16" a="1"/>
  <c r="E1303" i="16" s="1"/>
  <c r="E1304" i="16" a="1"/>
  <c r="E1304" i="16" s="1"/>
  <c r="E1305" i="16" a="1"/>
  <c r="E1305" i="16" s="1"/>
  <c r="E1306" i="16" a="1"/>
  <c r="E1306" i="16" s="1"/>
  <c r="E1307" i="16" a="1"/>
  <c r="E1307" i="16" s="1"/>
  <c r="E1308" i="16" a="1"/>
  <c r="E1308" i="16" s="1"/>
  <c r="E1309" i="16" a="1"/>
  <c r="E1309" i="16" s="1"/>
  <c r="E1310" i="16" a="1"/>
  <c r="E1310" i="16" s="1"/>
  <c r="E1311" i="16" a="1"/>
  <c r="E1311" i="16" s="1"/>
  <c r="E1312" i="16" a="1"/>
  <c r="E1312" i="16" s="1"/>
  <c r="E1313" i="16" a="1"/>
  <c r="E1313" i="16" s="1"/>
  <c r="E1314" i="16" a="1"/>
  <c r="E1314" i="16" s="1"/>
  <c r="E1315" i="16" a="1"/>
  <c r="E1315" i="16" s="1"/>
  <c r="E1316" i="16" a="1"/>
  <c r="E1316" i="16" s="1"/>
  <c r="E1317" i="16" a="1"/>
  <c r="E1317" i="16" s="1"/>
  <c r="G1286" i="16"/>
  <c r="H1286" i="16" s="1"/>
  <c r="G1287" i="16"/>
  <c r="H1287" i="16" s="1"/>
  <c r="G1288" i="16"/>
  <c r="H1288" i="16" s="1"/>
  <c r="G1289" i="16"/>
  <c r="H1289" i="16" s="1"/>
  <c r="G1290" i="16"/>
  <c r="H1290" i="16" s="1"/>
  <c r="G1291" i="16"/>
  <c r="H1291" i="16" s="1"/>
  <c r="G1292" i="16"/>
  <c r="H1292" i="16" s="1"/>
  <c r="G1293" i="16"/>
  <c r="H1293" i="16" s="1"/>
  <c r="G1294" i="16"/>
  <c r="H1294" i="16" s="1"/>
  <c r="G1295" i="16"/>
  <c r="H1295" i="16" s="1"/>
  <c r="G1296" i="16"/>
  <c r="H1296" i="16" s="1"/>
  <c r="G1297" i="16"/>
  <c r="H1297" i="16" s="1"/>
  <c r="G1298" i="16"/>
  <c r="H1298" i="16" s="1"/>
  <c r="G1299" i="16"/>
  <c r="H1299" i="16" s="1"/>
  <c r="G1300" i="16"/>
  <c r="H1300" i="16" s="1"/>
  <c r="G1301" i="16"/>
  <c r="H1301" i="16" s="1"/>
  <c r="G1302" i="16"/>
  <c r="H1302" i="16" s="1"/>
  <c r="G1303" i="16"/>
  <c r="H1303" i="16" s="1"/>
  <c r="G1304" i="16"/>
  <c r="H1304" i="16" s="1"/>
  <c r="G1305" i="16"/>
  <c r="H1305" i="16" s="1"/>
  <c r="G1306" i="16"/>
  <c r="H1306" i="16" s="1"/>
  <c r="G1307" i="16"/>
  <c r="H1307" i="16" s="1"/>
  <c r="G1308" i="16"/>
  <c r="H1308" i="16" s="1"/>
  <c r="G1309" i="16"/>
  <c r="H1309" i="16" s="1"/>
  <c r="G1310" i="16"/>
  <c r="H1310" i="16" s="1"/>
  <c r="G1311" i="16"/>
  <c r="H1311" i="16" s="1"/>
  <c r="G1312" i="16"/>
  <c r="H1312" i="16" s="1"/>
  <c r="G1313" i="16"/>
  <c r="H1313" i="16" s="1"/>
  <c r="G1314" i="16"/>
  <c r="H1314" i="16" s="1"/>
  <c r="G1315" i="16"/>
  <c r="H1315" i="16" s="1"/>
  <c r="G1316" i="16"/>
  <c r="H1316" i="16" s="1"/>
  <c r="G1317" i="16"/>
  <c r="H1317" i="16" s="1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N1287" i="16"/>
  <c r="M1287" i="16" s="1"/>
  <c r="N1295" i="16"/>
  <c r="M1295" i="16" s="1"/>
  <c r="N1299" i="16"/>
  <c r="M1299" i="16" s="1"/>
  <c r="N1303" i="16"/>
  <c r="M1303" i="16" s="1"/>
  <c r="N1307" i="16"/>
  <c r="M1307" i="16" s="1"/>
  <c r="N1315" i="16"/>
  <c r="M1315" i="16" s="1"/>
  <c r="N1316" i="16"/>
  <c r="M1316" i="16" s="1"/>
  <c r="Q1286" i="16"/>
  <c r="Q1291" i="16"/>
  <c r="Q1299" i="16"/>
  <c r="Q1307" i="16"/>
  <c r="Q1315" i="16"/>
  <c r="S1286" i="16"/>
  <c r="S1287" i="16"/>
  <c r="S1288" i="16"/>
  <c r="S1289" i="16"/>
  <c r="S1290" i="16"/>
  <c r="S1291" i="16"/>
  <c r="S1292" i="16"/>
  <c r="S1293" i="16"/>
  <c r="S1294" i="16"/>
  <c r="S1295" i="16"/>
  <c r="S1296" i="16"/>
  <c r="S1297" i="16"/>
  <c r="S1298" i="16"/>
  <c r="S1299" i="16"/>
  <c r="S1300" i="16"/>
  <c r="S1301" i="16"/>
  <c r="S1302" i="16"/>
  <c r="S1303" i="16"/>
  <c r="S1304" i="16"/>
  <c r="S1305" i="16"/>
  <c r="S1306" i="16"/>
  <c r="S1307" i="16"/>
  <c r="S1308" i="16"/>
  <c r="S1309" i="16"/>
  <c r="S1310" i="16"/>
  <c r="S1311" i="16"/>
  <c r="S1312" i="16"/>
  <c r="S1313" i="16"/>
  <c r="S1314" i="16"/>
  <c r="S1315" i="16"/>
  <c r="S1316" i="16"/>
  <c r="S1317" i="16"/>
  <c r="U1286" i="16" a="1"/>
  <c r="U1286" i="16" s="1"/>
  <c r="U1287" i="16" a="1"/>
  <c r="U1287" i="16" s="1"/>
  <c r="U1288" i="16" a="1"/>
  <c r="U1288" i="16" s="1"/>
  <c r="U1289" i="16" a="1"/>
  <c r="U1289" i="16" s="1"/>
  <c r="U1290" i="16" a="1"/>
  <c r="U1290" i="16" s="1"/>
  <c r="U1291" i="16" a="1"/>
  <c r="U1291" i="16" s="1"/>
  <c r="U1292" i="16" a="1"/>
  <c r="U1292" i="16" s="1"/>
  <c r="U1293" i="16" a="1"/>
  <c r="U1293" i="16" s="1"/>
  <c r="U1294" i="16" a="1"/>
  <c r="U1294" i="16" s="1"/>
  <c r="U1295" i="16" a="1"/>
  <c r="U1295" i="16" s="1"/>
  <c r="U1296" i="16" a="1"/>
  <c r="U1296" i="16" s="1"/>
  <c r="U1297" i="16" a="1"/>
  <c r="U1297" i="16" s="1"/>
  <c r="U1298" i="16" a="1"/>
  <c r="U1298" i="16" s="1"/>
  <c r="U1299" i="16" a="1"/>
  <c r="U1299" i="16" s="1"/>
  <c r="U1300" i="16" a="1"/>
  <c r="U1300" i="16" s="1"/>
  <c r="U1301" i="16" a="1"/>
  <c r="U1301" i="16" s="1"/>
  <c r="U1302" i="16" a="1"/>
  <c r="U1302" i="16" s="1"/>
  <c r="U1303" i="16" a="1"/>
  <c r="U1303" i="16" s="1"/>
  <c r="U1304" i="16" a="1"/>
  <c r="U1304" i="16" s="1"/>
  <c r="U1305" i="16" a="1"/>
  <c r="U1305" i="16" s="1"/>
  <c r="U1306" i="16" a="1"/>
  <c r="U1306" i="16" s="1"/>
  <c r="U1307" i="16" a="1"/>
  <c r="U1307" i="16" s="1"/>
  <c r="U1308" i="16" a="1"/>
  <c r="U1308" i="16" s="1"/>
  <c r="U1309" i="16" a="1"/>
  <c r="U1309" i="16" s="1"/>
  <c r="U1310" i="16" a="1"/>
  <c r="U1310" i="16" s="1"/>
  <c r="U1311" i="16" a="1"/>
  <c r="U1311" i="16" s="1"/>
  <c r="U1312" i="16" a="1"/>
  <c r="U1312" i="16" s="1"/>
  <c r="U1313" i="16" a="1"/>
  <c r="U1313" i="16" s="1"/>
  <c r="U1314" i="16" a="1"/>
  <c r="U1314" i="16" s="1"/>
  <c r="U1315" i="16" a="1"/>
  <c r="U1315" i="16" s="1"/>
  <c r="U1316" i="16" a="1"/>
  <c r="U1316" i="16" s="1"/>
  <c r="U1317" i="16" a="1"/>
  <c r="U1317" i="16" s="1"/>
  <c r="V1287" i="16"/>
  <c r="V1288" i="16"/>
  <c r="V1289" i="16"/>
  <c r="V1291" i="16"/>
  <c r="V1292" i="16"/>
  <c r="V1293" i="16"/>
  <c r="V1294" i="16"/>
  <c r="V1295" i="16"/>
  <c r="V1296" i="16"/>
  <c r="V1297" i="16"/>
  <c r="V1298" i="16"/>
  <c r="V1299" i="16"/>
  <c r="V1300" i="16"/>
  <c r="V1302" i="16"/>
  <c r="V1303" i="16"/>
  <c r="V1304" i="16"/>
  <c r="V1305" i="16"/>
  <c r="V1306" i="16"/>
  <c r="V1307" i="16"/>
  <c r="V1308" i="16"/>
  <c r="V1309" i="16"/>
  <c r="V1310" i="16"/>
  <c r="V1311" i="16"/>
  <c r="V1312" i="16"/>
  <c r="V1313" i="16"/>
  <c r="V1314" i="16"/>
  <c r="V1315" i="16"/>
  <c r="V1316" i="16"/>
  <c r="V1317" i="16"/>
  <c r="N1135" i="6"/>
  <c r="M1135" i="6" s="1"/>
  <c r="D1135" i="6"/>
  <c r="E1135" i="6" a="1"/>
  <c r="E1135" i="6" s="1"/>
  <c r="G1135" i="6"/>
  <c r="H1135" i="6" s="1"/>
  <c r="I1135" i="6"/>
  <c r="S1135" i="6"/>
  <c r="T1135" i="6"/>
  <c r="U1135" i="6" a="1"/>
  <c r="U1135" i="6" s="1"/>
  <c r="V1135" i="6"/>
  <c r="V1286" i="16" l="1"/>
  <c r="V1290" i="16"/>
  <c r="V1301" i="16"/>
  <c r="V1138" i="6"/>
  <c r="O1148" i="6"/>
  <c r="O1284" i="6"/>
  <c r="O1144" i="6"/>
  <c r="V1137" i="6"/>
  <c r="V650" i="13"/>
  <c r="Z650" i="13" s="1"/>
  <c r="W1148" i="6"/>
  <c r="W1144" i="6"/>
  <c r="M1144" i="6"/>
  <c r="E650" i="13"/>
  <c r="Q1143" i="6"/>
  <c r="N1319" i="16"/>
  <c r="M1143" i="6"/>
  <c r="Q1136" i="6"/>
  <c r="Q1296" i="16"/>
  <c r="Q1312" i="16"/>
  <c r="Q1304" i="16"/>
  <c r="Q1288" i="16"/>
  <c r="N1292" i="16"/>
  <c r="M1292" i="16" s="1"/>
  <c r="Q1311" i="16"/>
  <c r="N1300" i="16"/>
  <c r="M1300" i="16" s="1"/>
  <c r="Q1308" i="16"/>
  <c r="M1139" i="6"/>
  <c r="Q1137" i="6"/>
  <c r="Q1314" i="16"/>
  <c r="Q1310" i="16"/>
  <c r="Q1306" i="16"/>
  <c r="Q1302" i="16"/>
  <c r="Q1298" i="16"/>
  <c r="Q1294" i="16"/>
  <c r="Q1290" i="16"/>
  <c r="Q1317" i="16"/>
  <c r="Q1313" i="16"/>
  <c r="Q1309" i="16"/>
  <c r="Q1305" i="16"/>
  <c r="Q1301" i="16"/>
  <c r="Q1297" i="16"/>
  <c r="Q1293" i="16"/>
  <c r="Q1289" i="16"/>
  <c r="Q1135" i="6"/>
  <c r="R1144" i="6" l="1"/>
  <c r="G650" i="13"/>
  <c r="H650" i="13"/>
  <c r="S650" i="13"/>
  <c r="AA650" i="13" s="1"/>
  <c r="M1319" i="16"/>
  <c r="Q1134" i="6"/>
  <c r="D1134" i="6"/>
  <c r="E1134" i="6" a="1"/>
  <c r="E1134" i="6" s="1"/>
  <c r="G1134" i="6"/>
  <c r="H1134" i="6" s="1"/>
  <c r="I1134" i="6"/>
  <c r="N1134" i="6"/>
  <c r="V1134" i="6" s="1"/>
  <c r="S1134" i="6"/>
  <c r="U1134" i="6" a="1"/>
  <c r="U1134" i="6" s="1"/>
  <c r="D1133" i="6"/>
  <c r="E1133" i="6" a="1"/>
  <c r="E1133" i="6" s="1"/>
  <c r="G1133" i="6"/>
  <c r="H1133" i="6" s="1"/>
  <c r="I1133" i="6"/>
  <c r="N1133" i="6"/>
  <c r="Q1133" i="6"/>
  <c r="S1133" i="6"/>
  <c r="U1133" i="6" a="1"/>
  <c r="U1133" i="6" s="1"/>
  <c r="V1133" i="6"/>
  <c r="W1133" i="6" l="1"/>
  <c r="W1256" i="6"/>
  <c r="W1254" i="6"/>
  <c r="W1255" i="6"/>
  <c r="M1133" i="6"/>
  <c r="O1256" i="6"/>
  <c r="O1255" i="6"/>
  <c r="O1254" i="6"/>
  <c r="O1134" i="6"/>
  <c r="AP650" i="13"/>
  <c r="AJ650" i="13"/>
  <c r="AS650" i="13"/>
  <c r="AT650" i="13" s="1"/>
  <c r="AK650" i="13"/>
  <c r="AB650" i="13"/>
  <c r="AQ650" i="13"/>
  <c r="W1134" i="6"/>
  <c r="O1133" i="6"/>
  <c r="R1133" i="6" s="1"/>
  <c r="M1134" i="6"/>
  <c r="Q1131" i="6" l="1"/>
  <c r="D1278" i="16"/>
  <c r="E1278" i="16" a="1"/>
  <c r="E1278" i="16" s="1"/>
  <c r="G1278" i="16"/>
  <c r="H1278" i="16" s="1"/>
  <c r="I1278" i="16"/>
  <c r="N1278" i="16"/>
  <c r="Q1278" i="16"/>
  <c r="S1278" i="16"/>
  <c r="V1278" i="16"/>
  <c r="Q1132" i="6"/>
  <c r="D1132" i="6"/>
  <c r="E1132" i="6" a="1"/>
  <c r="E1132" i="6" s="1"/>
  <c r="G1132" i="6"/>
  <c r="H1132" i="6" s="1"/>
  <c r="I1132" i="6"/>
  <c r="S1132" i="6"/>
  <c r="U1132" i="6" a="1"/>
  <c r="U1132" i="6" s="1"/>
  <c r="V1132" i="6"/>
  <c r="D1131" i="6"/>
  <c r="E1131" i="6" a="1"/>
  <c r="E1131" i="6" s="1"/>
  <c r="G1131" i="6"/>
  <c r="H1131" i="6" s="1"/>
  <c r="I1131" i="6"/>
  <c r="N1131" i="6"/>
  <c r="V1131" i="6" s="1"/>
  <c r="S1131" i="6"/>
  <c r="U1131" i="6" a="1"/>
  <c r="U1131" i="6" s="1"/>
  <c r="N1125" i="6"/>
  <c r="D1125" i="6"/>
  <c r="E1125" i="6" a="1"/>
  <c r="E1125" i="6" s="1"/>
  <c r="G1125" i="6"/>
  <c r="H1125" i="6" s="1"/>
  <c r="I1125" i="6"/>
  <c r="S1125" i="6"/>
  <c r="U1125" i="6" a="1"/>
  <c r="U1125" i="6" s="1"/>
  <c r="V1125" i="6"/>
  <c r="N1116" i="6"/>
  <c r="D1116" i="6"/>
  <c r="E1116" i="6" a="1"/>
  <c r="E1116" i="6" s="1"/>
  <c r="G1116" i="6"/>
  <c r="H1116" i="6" s="1"/>
  <c r="I1116" i="6"/>
  <c r="S1116" i="6"/>
  <c r="U1116" i="6" a="1"/>
  <c r="U1116" i="6" s="1"/>
  <c r="V1116" i="6"/>
  <c r="Q1115" i="6"/>
  <c r="D1115" i="6"/>
  <c r="E1115" i="6" a="1"/>
  <c r="E1115" i="6" s="1"/>
  <c r="G1115" i="6"/>
  <c r="H1115" i="6" s="1"/>
  <c r="I1115" i="6"/>
  <c r="S1115" i="6"/>
  <c r="U1115" i="6" a="1"/>
  <c r="U1115" i="6" s="1"/>
  <c r="V1115" i="6"/>
  <c r="N1110" i="6"/>
  <c r="D1110" i="6"/>
  <c r="E1110" i="6" a="1"/>
  <c r="E1110" i="6" s="1"/>
  <c r="G1110" i="6"/>
  <c r="H1110" i="6" s="1"/>
  <c r="I1110" i="6"/>
  <c r="S1110" i="6"/>
  <c r="U1110" i="6" a="1"/>
  <c r="U1110" i="6" s="1"/>
  <c r="V1110" i="6"/>
  <c r="N1126" i="6"/>
  <c r="M1126" i="6" s="1"/>
  <c r="Q1127" i="6"/>
  <c r="N1128" i="6"/>
  <c r="N1129" i="6"/>
  <c r="N1130" i="6"/>
  <c r="D1130" i="6"/>
  <c r="E1130" i="6" a="1"/>
  <c r="E1130" i="6" s="1"/>
  <c r="G1130" i="6"/>
  <c r="H1130" i="6" s="1"/>
  <c r="I1130" i="6"/>
  <c r="S1130" i="6"/>
  <c r="V1130" i="6"/>
  <c r="D1129" i="6"/>
  <c r="E1129" i="6" a="1"/>
  <c r="E1129" i="6" s="1"/>
  <c r="G1129" i="6"/>
  <c r="H1129" i="6" s="1"/>
  <c r="I1129" i="6"/>
  <c r="S1129" i="6"/>
  <c r="V1129" i="6"/>
  <c r="D1128" i="6"/>
  <c r="E1128" i="6" a="1"/>
  <c r="E1128" i="6" s="1"/>
  <c r="G1128" i="6"/>
  <c r="H1128" i="6" s="1"/>
  <c r="I1128" i="6"/>
  <c r="S1128" i="6"/>
  <c r="V1128" i="6"/>
  <c r="D1127" i="6"/>
  <c r="E1127" i="6" a="1"/>
  <c r="E1127" i="6" s="1"/>
  <c r="G1127" i="6"/>
  <c r="H1127" i="6" s="1"/>
  <c r="I1127" i="6"/>
  <c r="S1127" i="6"/>
  <c r="V1127" i="6"/>
  <c r="D1126" i="6"/>
  <c r="E1126" i="6" a="1"/>
  <c r="E1126" i="6" s="1"/>
  <c r="G1126" i="6"/>
  <c r="H1126" i="6" s="1"/>
  <c r="I1126" i="6"/>
  <c r="S1126" i="6"/>
  <c r="U1126" i="6" a="1"/>
  <c r="U1126" i="6" s="1"/>
  <c r="E649" i="13"/>
  <c r="F648" i="13"/>
  <c r="F649" i="13"/>
  <c r="L648" i="13"/>
  <c r="O648" i="13" s="1"/>
  <c r="L649" i="13"/>
  <c r="N649" i="13" s="1"/>
  <c r="M648" i="13"/>
  <c r="P648" i="13" s="1"/>
  <c r="M649" i="13"/>
  <c r="R649" i="13" s="1"/>
  <c r="V649" i="13"/>
  <c r="W648" i="13"/>
  <c r="W649" i="13"/>
  <c r="X648" i="13"/>
  <c r="X649" i="13"/>
  <c r="Y648" i="13"/>
  <c r="Y649" i="13"/>
  <c r="AC648" i="13"/>
  <c r="AF648" i="13" s="1"/>
  <c r="AC649" i="13"/>
  <c r="AF649" i="13" s="1"/>
  <c r="AD648" i="13"/>
  <c r="AD649" i="13"/>
  <c r="AO648" i="13"/>
  <c r="AO649" i="13"/>
  <c r="V1126" i="6" l="1"/>
  <c r="AE649" i="13"/>
  <c r="AE648" i="13"/>
  <c r="AH648" i="13"/>
  <c r="G649" i="13"/>
  <c r="AQ649" i="13" s="1"/>
  <c r="M1278" i="16"/>
  <c r="N648" i="13"/>
  <c r="Q1125" i="6"/>
  <c r="T649" i="13"/>
  <c r="AM648" i="13" a="1"/>
  <c r="AM648" i="13" s="1"/>
  <c r="P649" i="13"/>
  <c r="Q1126" i="6"/>
  <c r="M1131" i="6"/>
  <c r="N1132" i="6"/>
  <c r="M1132" i="6" s="1"/>
  <c r="Q1116" i="6"/>
  <c r="N1115" i="6"/>
  <c r="M1115" i="6" s="1"/>
  <c r="M1125" i="6"/>
  <c r="M1116" i="6"/>
  <c r="N1127" i="6"/>
  <c r="M1127" i="6" s="1"/>
  <c r="Q1110" i="6"/>
  <c r="Q1128" i="6"/>
  <c r="AG649" i="13"/>
  <c r="AG648" i="13"/>
  <c r="R648" i="13"/>
  <c r="M1110" i="6"/>
  <c r="Q1130" i="6"/>
  <c r="Q1129" i="6"/>
  <c r="M1130" i="6"/>
  <c r="H649" i="13"/>
  <c r="M1129" i="6"/>
  <c r="M1128" i="6"/>
  <c r="T648" i="13"/>
  <c r="K648" i="13"/>
  <c r="I648" i="13"/>
  <c r="Z649" i="13"/>
  <c r="Q649" i="13"/>
  <c r="AR649" i="13"/>
  <c r="AM649" i="13" a="1"/>
  <c r="AM649" i="13" s="1"/>
  <c r="AH649" i="13"/>
  <c r="S649" i="13"/>
  <c r="O649" i="13"/>
  <c r="K649" i="13"/>
  <c r="AU649" i="13" s="1"/>
  <c r="I649" i="13"/>
  <c r="AU648" i="13" l="1"/>
  <c r="AA649" i="13"/>
  <c r="AB649" i="13" s="1"/>
  <c r="Q648" i="13"/>
  <c r="AR648" i="13"/>
  <c r="AS649" i="13" l="1"/>
  <c r="AT649" i="13" s="1"/>
  <c r="AK649" i="13"/>
  <c r="AP649" i="13"/>
  <c r="AJ649" i="13"/>
  <c r="N1119" i="6" l="1"/>
  <c r="N1120" i="6"/>
  <c r="Q1121" i="6"/>
  <c r="N1123" i="6"/>
  <c r="M1123" i="6" s="1"/>
  <c r="Q1124" i="6"/>
  <c r="D1124" i="6"/>
  <c r="E1124" i="6" a="1"/>
  <c r="E1124" i="6" s="1"/>
  <c r="G1124" i="6"/>
  <c r="H1124" i="6" s="1"/>
  <c r="I1124" i="6"/>
  <c r="S1124" i="6"/>
  <c r="U1124" i="6" a="1"/>
  <c r="U1124" i="6" s="1"/>
  <c r="V1124" i="6"/>
  <c r="D1123" i="6"/>
  <c r="E1123" i="6" a="1"/>
  <c r="E1123" i="6" s="1"/>
  <c r="G1123" i="6"/>
  <c r="H1123" i="6" s="1"/>
  <c r="I1123" i="6"/>
  <c r="S1123" i="6"/>
  <c r="V1123" i="6"/>
  <c r="D1122" i="6"/>
  <c r="E1122" i="6" a="1"/>
  <c r="E1122" i="6" s="1"/>
  <c r="G1122" i="6"/>
  <c r="H1122" i="6" s="1"/>
  <c r="I1122" i="6"/>
  <c r="N1122" i="6"/>
  <c r="M1122" i="6" s="1"/>
  <c r="Q1122" i="6"/>
  <c r="S1122" i="6"/>
  <c r="U1122" i="6" a="1"/>
  <c r="U1122" i="6" s="1"/>
  <c r="V1122" i="6"/>
  <c r="D1121" i="6"/>
  <c r="E1121" i="6" a="1"/>
  <c r="E1121" i="6" s="1"/>
  <c r="G1121" i="6"/>
  <c r="H1121" i="6" s="1"/>
  <c r="I1121" i="6"/>
  <c r="S1121" i="6"/>
  <c r="U1121" i="6" a="1"/>
  <c r="U1121" i="6" s="1"/>
  <c r="V1121" i="6"/>
  <c r="V648" i="13" s="1"/>
  <c r="Z648" i="13" s="1"/>
  <c r="D1120" i="6"/>
  <c r="E1120" i="6" a="1"/>
  <c r="E1120" i="6" s="1"/>
  <c r="G1120" i="6"/>
  <c r="H1120" i="6" s="1"/>
  <c r="I1120" i="6"/>
  <c r="S1120" i="6"/>
  <c r="V1120" i="6"/>
  <c r="D1119" i="6"/>
  <c r="E1119" i="6" a="1"/>
  <c r="E1119" i="6" s="1"/>
  <c r="G1119" i="6"/>
  <c r="H1119" i="6" s="1"/>
  <c r="I1119" i="6"/>
  <c r="S1119" i="6"/>
  <c r="V1119" i="6"/>
  <c r="D1118" i="6"/>
  <c r="E1118" i="6" a="1"/>
  <c r="E1118" i="6" s="1"/>
  <c r="G1118" i="6"/>
  <c r="H1118" i="6" s="1"/>
  <c r="I1118" i="6"/>
  <c r="N1118" i="6"/>
  <c r="Q1118" i="6"/>
  <c r="S1118" i="6"/>
  <c r="V1118" i="6"/>
  <c r="N1112" i="6"/>
  <c r="Q1113" i="6"/>
  <c r="N1114" i="6"/>
  <c r="N1117" i="6"/>
  <c r="N1111" i="6"/>
  <c r="M1111" i="6" s="1"/>
  <c r="D1117" i="6"/>
  <c r="E1117" i="6" a="1"/>
  <c r="E1117" i="6" s="1"/>
  <c r="G1117" i="6"/>
  <c r="H1117" i="6" s="1"/>
  <c r="I1117" i="6"/>
  <c r="S1117" i="6"/>
  <c r="V1117" i="6"/>
  <c r="D1114" i="6"/>
  <c r="E1114" i="6" a="1"/>
  <c r="E1114" i="6" s="1"/>
  <c r="G1114" i="6"/>
  <c r="H1114" i="6" s="1"/>
  <c r="I1114" i="6"/>
  <c r="S1114" i="6"/>
  <c r="V1114" i="6"/>
  <c r="D1113" i="6"/>
  <c r="E1113" i="6" a="1"/>
  <c r="E1113" i="6" s="1"/>
  <c r="G1113" i="6"/>
  <c r="H1113" i="6" s="1"/>
  <c r="I1113" i="6"/>
  <c r="N1113" i="6"/>
  <c r="S1113" i="6"/>
  <c r="V1113" i="6"/>
  <c r="D1112" i="6"/>
  <c r="E1112" i="6" a="1"/>
  <c r="E1112" i="6" s="1"/>
  <c r="G1112" i="6"/>
  <c r="H1112" i="6" s="1"/>
  <c r="I1112" i="6"/>
  <c r="S1112" i="6"/>
  <c r="V1112" i="6"/>
  <c r="D1111" i="6"/>
  <c r="E1111" i="6" a="1"/>
  <c r="E1111" i="6" s="1"/>
  <c r="G1111" i="6"/>
  <c r="H1111" i="6" s="1"/>
  <c r="I1111" i="6"/>
  <c r="S1111" i="6"/>
  <c r="V1111" i="6"/>
  <c r="D1109" i="6"/>
  <c r="E1109" i="6" a="1"/>
  <c r="E1109" i="6" s="1"/>
  <c r="G1109" i="6"/>
  <c r="H1109" i="6" s="1"/>
  <c r="I1109" i="6"/>
  <c r="N1109" i="6"/>
  <c r="Q1109" i="6"/>
  <c r="S1109" i="6"/>
  <c r="U1109" i="6" a="1"/>
  <c r="U1109" i="6" s="1"/>
  <c r="V1109" i="6"/>
  <c r="D1108" i="6"/>
  <c r="E1108" i="6" a="1"/>
  <c r="E1108" i="6" s="1"/>
  <c r="G1108" i="6"/>
  <c r="H1108" i="6" s="1"/>
  <c r="I1108" i="6"/>
  <c r="N1108" i="6"/>
  <c r="M1108" i="6" s="1"/>
  <c r="Q1108" i="6"/>
  <c r="S1108" i="6"/>
  <c r="U1108" i="6" a="1"/>
  <c r="U1108" i="6" s="1"/>
  <c r="V1108" i="6"/>
  <c r="D1107" i="6"/>
  <c r="E1107" i="6" a="1"/>
  <c r="E1107" i="6" s="1"/>
  <c r="G1107" i="6"/>
  <c r="H1107" i="6" s="1"/>
  <c r="I1107" i="6"/>
  <c r="N1107" i="6"/>
  <c r="Q1107" i="6"/>
  <c r="S1107" i="6"/>
  <c r="U1107" i="6" a="1"/>
  <c r="U1107" i="6" s="1"/>
  <c r="V1107" i="6"/>
  <c r="D1106" i="6"/>
  <c r="E1106" i="6" a="1"/>
  <c r="E1106" i="6" s="1"/>
  <c r="G1106" i="6"/>
  <c r="H1106" i="6" s="1"/>
  <c r="I1106" i="6"/>
  <c r="N1106" i="6"/>
  <c r="M1106" i="6" s="1"/>
  <c r="Q1106" i="6"/>
  <c r="S1106" i="6"/>
  <c r="V1106" i="6"/>
  <c r="F646" i="13"/>
  <c r="I646" i="13" s="1"/>
  <c r="F647" i="13"/>
  <c r="L646" i="13"/>
  <c r="AM646" i="13" s="1" a="1"/>
  <c r="AM646" i="13" s="1"/>
  <c r="L647" i="13"/>
  <c r="N647" i="13" s="1"/>
  <c r="M646" i="13"/>
  <c r="P646" i="13" s="1"/>
  <c r="M647" i="13"/>
  <c r="R647" i="13" s="1"/>
  <c r="W646" i="13"/>
  <c r="W647" i="13"/>
  <c r="X646" i="13"/>
  <c r="X647" i="13"/>
  <c r="Y646" i="13"/>
  <c r="Y647" i="13"/>
  <c r="AC646" i="13"/>
  <c r="AH646" i="13" s="1"/>
  <c r="AC647" i="13"/>
  <c r="AF647" i="13" s="1"/>
  <c r="AD646" i="13"/>
  <c r="AD647" i="13"/>
  <c r="AO646" i="13"/>
  <c r="AO647" i="13"/>
  <c r="AE646" i="13" l="1"/>
  <c r="AE647" i="13"/>
  <c r="N1121" i="6"/>
  <c r="O1121" i="6" s="1"/>
  <c r="O646" i="13"/>
  <c r="N646" i="13"/>
  <c r="Q646" i="13" s="1"/>
  <c r="Q1119" i="6"/>
  <c r="Q1123" i="6"/>
  <c r="Q1120" i="6"/>
  <c r="Q1114" i="6"/>
  <c r="W1121" i="6"/>
  <c r="Q1111" i="6"/>
  <c r="Q1112" i="6"/>
  <c r="N1124" i="6"/>
  <c r="M1124" i="6" s="1"/>
  <c r="M1120" i="6"/>
  <c r="Q1117" i="6"/>
  <c r="M1119" i="6"/>
  <c r="M1118" i="6"/>
  <c r="M1117" i="6"/>
  <c r="M1114" i="6"/>
  <c r="M1113" i="6"/>
  <c r="M1112" i="6"/>
  <c r="AF646" i="13"/>
  <c r="P647" i="13"/>
  <c r="AG647" i="13"/>
  <c r="AG646" i="13"/>
  <c r="R646" i="13"/>
  <c r="T647" i="13"/>
  <c r="M1109" i="6"/>
  <c r="M1107" i="6"/>
  <c r="T646" i="13"/>
  <c r="K646" i="13"/>
  <c r="Q647" i="13"/>
  <c r="AR647" i="13"/>
  <c r="AM647" i="13" a="1"/>
  <c r="AM647" i="13" s="1"/>
  <c r="AH647" i="13"/>
  <c r="O647" i="13"/>
  <c r="K647" i="13"/>
  <c r="AU647" i="13" s="1"/>
  <c r="I647" i="13"/>
  <c r="E648" i="13" l="1"/>
  <c r="H648" i="13" s="1"/>
  <c r="M1121" i="6"/>
  <c r="R1121" i="6" s="1"/>
  <c r="AR646" i="13"/>
  <c r="AU646" i="13"/>
  <c r="N1281" i="16"/>
  <c r="N1283" i="16"/>
  <c r="N1285" i="16"/>
  <c r="V1285" i="16" s="1"/>
  <c r="D1279" i="16"/>
  <c r="D1280" i="16"/>
  <c r="D1281" i="16"/>
  <c r="D1282" i="16"/>
  <c r="D1283" i="16"/>
  <c r="D1284" i="16"/>
  <c r="D1285" i="16"/>
  <c r="E1279" i="16" a="1"/>
  <c r="E1279" i="16" s="1"/>
  <c r="E1280" i="16" a="1"/>
  <c r="E1280" i="16" s="1"/>
  <c r="E1281" i="16" a="1"/>
  <c r="E1281" i="16" s="1"/>
  <c r="E1282" i="16" a="1"/>
  <c r="E1282" i="16" s="1"/>
  <c r="E1283" i="16" a="1"/>
  <c r="E1283" i="16" s="1"/>
  <c r="E1284" i="16" a="1"/>
  <c r="E1284" i="16" s="1"/>
  <c r="E1285" i="16" a="1"/>
  <c r="E1285" i="16" s="1"/>
  <c r="G1279" i="16"/>
  <c r="H1279" i="16" s="1"/>
  <c r="G1280" i="16"/>
  <c r="H1280" i="16" s="1"/>
  <c r="G1281" i="16"/>
  <c r="H1281" i="16" s="1"/>
  <c r="G1282" i="16"/>
  <c r="H1282" i="16" s="1"/>
  <c r="G1283" i="16"/>
  <c r="H1283" i="16" s="1"/>
  <c r="G1284" i="16"/>
  <c r="H1284" i="16" s="1"/>
  <c r="G1285" i="16"/>
  <c r="H1285" i="16" s="1"/>
  <c r="I1279" i="16"/>
  <c r="I1280" i="16"/>
  <c r="I1281" i="16"/>
  <c r="I1282" i="16"/>
  <c r="I1283" i="16"/>
  <c r="I1284" i="16"/>
  <c r="I1285" i="16"/>
  <c r="N1279" i="16"/>
  <c r="M1279" i="16" s="1"/>
  <c r="N1280" i="16"/>
  <c r="M1280" i="16" s="1"/>
  <c r="N1282" i="16"/>
  <c r="M1282" i="16" s="1"/>
  <c r="N1284" i="16"/>
  <c r="M1284" i="16" s="1"/>
  <c r="Q1279" i="16"/>
  <c r="Q1280" i="16"/>
  <c r="Q1281" i="16"/>
  <c r="Q1282" i="16"/>
  <c r="Q1284" i="16"/>
  <c r="Q1285" i="16"/>
  <c r="S1279" i="16"/>
  <c r="S1280" i="16"/>
  <c r="S1281" i="16"/>
  <c r="S1282" i="16"/>
  <c r="S1283" i="16"/>
  <c r="S1284" i="16"/>
  <c r="S1285" i="16"/>
  <c r="U1279" i="16" a="1"/>
  <c r="U1279" i="16" s="1"/>
  <c r="U1280" i="16" a="1"/>
  <c r="U1280" i="16" s="1"/>
  <c r="U1281" i="16" a="1"/>
  <c r="U1281" i="16" s="1"/>
  <c r="U1282" i="16" a="1"/>
  <c r="U1282" i="16" s="1"/>
  <c r="U1283" i="16" a="1"/>
  <c r="U1283" i="16" s="1"/>
  <c r="U1284" i="16" a="1"/>
  <c r="U1284" i="16" s="1"/>
  <c r="U1285" i="16" a="1"/>
  <c r="U1285" i="16" s="1"/>
  <c r="V1279" i="16"/>
  <c r="V1280" i="16"/>
  <c r="V1281" i="16"/>
  <c r="V1282" i="16"/>
  <c r="V1283" i="16"/>
  <c r="V1284" i="16"/>
  <c r="N1099" i="6"/>
  <c r="O1099" i="6" s="1"/>
  <c r="Q1101" i="6"/>
  <c r="D1099" i="6"/>
  <c r="E1099" i="6" a="1"/>
  <c r="E1099" i="6" s="1"/>
  <c r="G1099" i="6"/>
  <c r="H1099" i="6" s="1"/>
  <c r="I1099" i="6"/>
  <c r="S1099" i="6"/>
  <c r="U1099" i="6" a="1"/>
  <c r="U1099" i="6" s="1"/>
  <c r="V1099" i="6"/>
  <c r="D1100" i="6"/>
  <c r="E1100" i="6" a="1"/>
  <c r="E1100" i="6" s="1"/>
  <c r="G1100" i="6"/>
  <c r="H1100" i="6" s="1"/>
  <c r="I1100" i="6"/>
  <c r="N1100" i="6"/>
  <c r="Q1100" i="6"/>
  <c r="S1100" i="6"/>
  <c r="U1100" i="6" a="1"/>
  <c r="U1100" i="6" s="1"/>
  <c r="V1100" i="6"/>
  <c r="D1101" i="6"/>
  <c r="E1101" i="6" a="1"/>
  <c r="E1101" i="6" s="1"/>
  <c r="G1101" i="6"/>
  <c r="H1101" i="6" s="1"/>
  <c r="I1101" i="6"/>
  <c r="S1101" i="6"/>
  <c r="U1101" i="6" a="1"/>
  <c r="U1101" i="6" s="1"/>
  <c r="V1101" i="6"/>
  <c r="D1098" i="6"/>
  <c r="G1098" i="6"/>
  <c r="H1098" i="6" s="1"/>
  <c r="I1098" i="6"/>
  <c r="N1098" i="6"/>
  <c r="Q1098" i="6"/>
  <c r="S1098" i="6"/>
  <c r="U1098" i="6" a="1"/>
  <c r="U1098" i="6" s="1"/>
  <c r="V1098" i="6"/>
  <c r="N1095" i="6"/>
  <c r="M1095" i="6" s="1"/>
  <c r="Q1096" i="6"/>
  <c r="N1097" i="6"/>
  <c r="Q1102" i="6"/>
  <c r="N1103" i="6"/>
  <c r="O1103" i="6" s="1"/>
  <c r="N1104" i="6"/>
  <c r="Q1105" i="6"/>
  <c r="D1105" i="6"/>
  <c r="E1105" i="6" a="1"/>
  <c r="E1105" i="6" s="1"/>
  <c r="G1105" i="6"/>
  <c r="H1105" i="6" s="1"/>
  <c r="I1105" i="6"/>
  <c r="N1105" i="6"/>
  <c r="S1105" i="6"/>
  <c r="V1105" i="6"/>
  <c r="D1104" i="6"/>
  <c r="E1104" i="6" a="1"/>
  <c r="E1104" i="6" s="1"/>
  <c r="G1104" i="6"/>
  <c r="H1104" i="6" s="1"/>
  <c r="I1104" i="6"/>
  <c r="Q1104" i="6"/>
  <c r="S1104" i="6"/>
  <c r="U1104" i="6" a="1"/>
  <c r="U1104" i="6" s="1"/>
  <c r="V1104" i="6"/>
  <c r="D1103" i="6"/>
  <c r="E1103" i="6" a="1"/>
  <c r="E1103" i="6" s="1"/>
  <c r="G1103" i="6"/>
  <c r="H1103" i="6" s="1"/>
  <c r="I1103" i="6"/>
  <c r="Q1103" i="6"/>
  <c r="S1103" i="6"/>
  <c r="U1103" i="6" a="1"/>
  <c r="U1103" i="6" s="1"/>
  <c r="V1103" i="6"/>
  <c r="D1102" i="6"/>
  <c r="E1102" i="6" a="1"/>
  <c r="E1102" i="6" s="1"/>
  <c r="G1102" i="6"/>
  <c r="H1102" i="6" s="1"/>
  <c r="I1102" i="6"/>
  <c r="S1102" i="6"/>
  <c r="V1102" i="6"/>
  <c r="D1097" i="6"/>
  <c r="E1097" i="6" a="1"/>
  <c r="E1097" i="6" s="1"/>
  <c r="G1097" i="6"/>
  <c r="H1097" i="6" s="1"/>
  <c r="I1097" i="6"/>
  <c r="S1097" i="6"/>
  <c r="U1097" i="6" a="1"/>
  <c r="U1097" i="6" s="1"/>
  <c r="V1097" i="6"/>
  <c r="D1096" i="6"/>
  <c r="E1096" i="6" a="1"/>
  <c r="E1096" i="6" s="1"/>
  <c r="G1096" i="6"/>
  <c r="H1096" i="6" s="1"/>
  <c r="I1096" i="6"/>
  <c r="S1096" i="6"/>
  <c r="U1096" i="6" a="1"/>
  <c r="U1096" i="6" s="1"/>
  <c r="V1096" i="6"/>
  <c r="D1095" i="6"/>
  <c r="E1095" i="6" a="1"/>
  <c r="E1095" i="6" s="1"/>
  <c r="G1095" i="6"/>
  <c r="H1095" i="6" s="1"/>
  <c r="I1095" i="6"/>
  <c r="Q1095" i="6"/>
  <c r="S1095" i="6"/>
  <c r="U1095" i="6" a="1"/>
  <c r="U1095" i="6" s="1"/>
  <c r="V1095" i="6"/>
  <c r="N1090" i="6"/>
  <c r="M1090" i="6" s="1"/>
  <c r="N1091" i="6"/>
  <c r="M1091" i="6" s="1"/>
  <c r="Q1092" i="6"/>
  <c r="N1093" i="6"/>
  <c r="N1094" i="6"/>
  <c r="V1094" i="6" s="1"/>
  <c r="D1094" i="6"/>
  <c r="E1094" i="6" a="1"/>
  <c r="E1094" i="6" s="1"/>
  <c r="G1094" i="6"/>
  <c r="H1094" i="6" s="1"/>
  <c r="I1094" i="6"/>
  <c r="S1094" i="6"/>
  <c r="U1094" i="6" a="1"/>
  <c r="U1094" i="6" s="1"/>
  <c r="D1093" i="6"/>
  <c r="E1093" i="6" a="1"/>
  <c r="E1093" i="6" s="1"/>
  <c r="G1093" i="6"/>
  <c r="H1093" i="6" s="1"/>
  <c r="I1093" i="6"/>
  <c r="S1093" i="6"/>
  <c r="V1093" i="6"/>
  <c r="D1092" i="6"/>
  <c r="G1092" i="6"/>
  <c r="H1092" i="6" s="1"/>
  <c r="I1092" i="6"/>
  <c r="N1092" i="6"/>
  <c r="S1092" i="6"/>
  <c r="U1092" i="6" a="1"/>
  <c r="U1092" i="6" s="1"/>
  <c r="V1092" i="6"/>
  <c r="D1091" i="6"/>
  <c r="E1091" i="6" a="1"/>
  <c r="E1091" i="6" s="1"/>
  <c r="G1091" i="6"/>
  <c r="H1091" i="6" s="1"/>
  <c r="I1091" i="6"/>
  <c r="S1091" i="6"/>
  <c r="V1091" i="6"/>
  <c r="D1090" i="6"/>
  <c r="E1090" i="6" a="1"/>
  <c r="E1090" i="6" s="1"/>
  <c r="G1090" i="6"/>
  <c r="H1090" i="6" s="1"/>
  <c r="I1090" i="6"/>
  <c r="S1090" i="6"/>
  <c r="V1090" i="6"/>
  <c r="Q1086" i="6"/>
  <c r="Q1087" i="6"/>
  <c r="Q1088" i="6"/>
  <c r="N1089" i="6"/>
  <c r="Q1085" i="6"/>
  <c r="D1089" i="6"/>
  <c r="E1089" i="6" a="1"/>
  <c r="E1089" i="6" s="1"/>
  <c r="G1089" i="6"/>
  <c r="H1089" i="6" s="1"/>
  <c r="I1089" i="6"/>
  <c r="S1089" i="6"/>
  <c r="V1089" i="6"/>
  <c r="D1088" i="6"/>
  <c r="E1088" i="6" a="1"/>
  <c r="E1088" i="6" s="1"/>
  <c r="G1088" i="6"/>
  <c r="H1088" i="6" s="1"/>
  <c r="I1088" i="6"/>
  <c r="S1088" i="6"/>
  <c r="V1088" i="6"/>
  <c r="D1087" i="6"/>
  <c r="E1087" i="6" a="1"/>
  <c r="E1087" i="6" s="1"/>
  <c r="G1087" i="6"/>
  <c r="H1087" i="6" s="1"/>
  <c r="I1087" i="6"/>
  <c r="S1087" i="6"/>
  <c r="V1087" i="6"/>
  <c r="D1086" i="6"/>
  <c r="E1086" i="6" a="1"/>
  <c r="E1086" i="6" s="1"/>
  <c r="G1086" i="6"/>
  <c r="H1086" i="6" s="1"/>
  <c r="I1086" i="6"/>
  <c r="S1086" i="6"/>
  <c r="D1085" i="6"/>
  <c r="E1085" i="6" a="1"/>
  <c r="E1085" i="6" s="1"/>
  <c r="G1085" i="6"/>
  <c r="H1085" i="6" s="1"/>
  <c r="I1085" i="6"/>
  <c r="S1085" i="6"/>
  <c r="V1085" i="6"/>
  <c r="D1084" i="6"/>
  <c r="E1084" i="6" a="1"/>
  <c r="E1084" i="6" s="1"/>
  <c r="G1084" i="6"/>
  <c r="H1084" i="6" s="1"/>
  <c r="I1084" i="6"/>
  <c r="N1084" i="6"/>
  <c r="Q1084" i="6"/>
  <c r="S1084" i="6"/>
  <c r="U1084" i="6" a="1"/>
  <c r="U1084" i="6" s="1"/>
  <c r="V1084" i="6"/>
  <c r="D1083" i="6"/>
  <c r="E1083" i="6" a="1"/>
  <c r="E1083" i="6" s="1"/>
  <c r="G1083" i="6"/>
  <c r="H1083" i="6" s="1"/>
  <c r="I1083" i="6"/>
  <c r="N1083" i="6"/>
  <c r="O1505" i="6" s="1"/>
  <c r="Q1083" i="6"/>
  <c r="S1083" i="6"/>
  <c r="U1083" i="6" a="1"/>
  <c r="U1083" i="6" s="1"/>
  <c r="O1097" i="6" l="1"/>
  <c r="O1372" i="6"/>
  <c r="W1097" i="6"/>
  <c r="W1372" i="6"/>
  <c r="O1209" i="6"/>
  <c r="O1267" i="6"/>
  <c r="M1083" i="6"/>
  <c r="O1180" i="6"/>
  <c r="S648" i="13"/>
  <c r="AA648" i="13" s="1"/>
  <c r="AB648" i="13" s="1"/>
  <c r="G648" i="13"/>
  <c r="AQ648" i="13" s="1"/>
  <c r="O1104" i="6"/>
  <c r="O1100" i="6"/>
  <c r="W1104" i="6"/>
  <c r="W1100" i="6"/>
  <c r="V646" i="13"/>
  <c r="Z646" i="13" s="1"/>
  <c r="V647" i="13"/>
  <c r="Z647" i="13" s="1"/>
  <c r="E647" i="13"/>
  <c r="H647" i="13" s="1"/>
  <c r="W1099" i="6"/>
  <c r="M1099" i="6"/>
  <c r="R1099" i="6" s="1"/>
  <c r="E646" i="13"/>
  <c r="W1103" i="6"/>
  <c r="M1285" i="16"/>
  <c r="M1281" i="16"/>
  <c r="M1283" i="16"/>
  <c r="Q1283" i="16"/>
  <c r="N1101" i="6"/>
  <c r="Q1099" i="6"/>
  <c r="M1100" i="6"/>
  <c r="Q1097" i="6"/>
  <c r="M1101" i="6"/>
  <c r="N1096" i="6"/>
  <c r="M1096" i="6" s="1"/>
  <c r="M1098" i="6"/>
  <c r="N1102" i="6"/>
  <c r="M1102" i="6" s="1"/>
  <c r="M1105" i="6"/>
  <c r="M1104" i="6"/>
  <c r="M1103" i="6"/>
  <c r="R1103" i="6" s="1"/>
  <c r="Q1091" i="6"/>
  <c r="M1097" i="6"/>
  <c r="Q1090" i="6"/>
  <c r="Q1094" i="6"/>
  <c r="N1085" i="6"/>
  <c r="M1085" i="6" s="1"/>
  <c r="N1086" i="6"/>
  <c r="Q1093" i="6"/>
  <c r="N1087" i="6"/>
  <c r="M1087" i="6" s="1"/>
  <c r="M1094" i="6"/>
  <c r="M1093" i="6"/>
  <c r="N1088" i="6"/>
  <c r="M1088" i="6" s="1"/>
  <c r="M1092" i="6"/>
  <c r="Q1089" i="6"/>
  <c r="M1089" i="6"/>
  <c r="V1083" i="6"/>
  <c r="W1505" i="6" s="1"/>
  <c r="O1083" i="6"/>
  <c r="R1083" i="6" s="1"/>
  <c r="M1084" i="6"/>
  <c r="M1086" i="6" l="1"/>
  <c r="V1086" i="6"/>
  <c r="R1097" i="6"/>
  <c r="W1209" i="6"/>
  <c r="W1267" i="6"/>
  <c r="W1083" i="6"/>
  <c r="W1180" i="6"/>
  <c r="AK648" i="13"/>
  <c r="AS648" i="13"/>
  <c r="AT648" i="13" s="1"/>
  <c r="AP648" i="13"/>
  <c r="AJ648" i="13"/>
  <c r="G647" i="13"/>
  <c r="AQ647" i="13" s="1"/>
  <c r="S647" i="13"/>
  <c r="AA647" i="13" s="1"/>
  <c r="AS647" i="13" s="1"/>
  <c r="AT647" i="13" s="1"/>
  <c r="G646" i="13"/>
  <c r="AQ646" i="13" s="1"/>
  <c r="H646" i="13"/>
  <c r="S646" i="13"/>
  <c r="AA646" i="13" s="1"/>
  <c r="D1075" i="6"/>
  <c r="E1075" i="6" a="1"/>
  <c r="E1075" i="6" s="1"/>
  <c r="G1075" i="6"/>
  <c r="H1075" i="6" s="1"/>
  <c r="I1075" i="6"/>
  <c r="N1075" i="6"/>
  <c r="Q1075" i="6"/>
  <c r="S1075" i="6"/>
  <c r="V1075" i="6"/>
  <c r="D1076" i="6"/>
  <c r="E1076" i="6" a="1"/>
  <c r="E1076" i="6" s="1"/>
  <c r="G1076" i="6"/>
  <c r="H1076" i="6" s="1"/>
  <c r="I1076" i="6"/>
  <c r="Q1076" i="6"/>
  <c r="S1076" i="6"/>
  <c r="T1076" i="6"/>
  <c r="U1076" i="6" a="1"/>
  <c r="U1076" i="6" s="1"/>
  <c r="V1076" i="6"/>
  <c r="W1076" i="6" s="1"/>
  <c r="D1077" i="6"/>
  <c r="E1077" i="6" a="1"/>
  <c r="E1077" i="6" s="1"/>
  <c r="G1077" i="6"/>
  <c r="H1077" i="6" s="1"/>
  <c r="I1077" i="6"/>
  <c r="N1077" i="6"/>
  <c r="M1077" i="6" s="1"/>
  <c r="Q1077" i="6"/>
  <c r="S1077" i="6"/>
  <c r="T1077" i="6"/>
  <c r="U1077" i="6" a="1"/>
  <c r="U1077" i="6" s="1"/>
  <c r="V1077" i="6"/>
  <c r="D1078" i="6"/>
  <c r="E1078" i="6" a="1"/>
  <c r="E1078" i="6" s="1"/>
  <c r="G1078" i="6"/>
  <c r="H1078" i="6" s="1"/>
  <c r="I1078" i="6"/>
  <c r="Q1078" i="6"/>
  <c r="S1078" i="6"/>
  <c r="T1078" i="6"/>
  <c r="U1078" i="6" a="1"/>
  <c r="U1078" i="6" s="1"/>
  <c r="V1078" i="6"/>
  <c r="D1079" i="6"/>
  <c r="E1079" i="6" a="1"/>
  <c r="E1079" i="6" s="1"/>
  <c r="G1079" i="6"/>
  <c r="H1079" i="6" s="1"/>
  <c r="I1079" i="6"/>
  <c r="N1079" i="6"/>
  <c r="M1079" i="6" s="1"/>
  <c r="Q1079" i="6"/>
  <c r="S1079" i="6"/>
  <c r="T1079" i="6"/>
  <c r="U1079" i="6" a="1"/>
  <c r="U1079" i="6" s="1"/>
  <c r="V1079" i="6"/>
  <c r="D1080" i="6"/>
  <c r="E1080" i="6" a="1"/>
  <c r="E1080" i="6" s="1"/>
  <c r="G1080" i="6"/>
  <c r="H1080" i="6" s="1"/>
  <c r="I1080" i="6"/>
  <c r="Q1080" i="6"/>
  <c r="S1080" i="6"/>
  <c r="T1080" i="6"/>
  <c r="U1080" i="6" a="1"/>
  <c r="U1080" i="6" s="1"/>
  <c r="D1081" i="6"/>
  <c r="E1081" i="6" a="1"/>
  <c r="E1081" i="6" s="1"/>
  <c r="G1081" i="6"/>
  <c r="H1081" i="6" s="1"/>
  <c r="I1081" i="6"/>
  <c r="N1081" i="6"/>
  <c r="O1081" i="6" s="1"/>
  <c r="Q1081" i="6"/>
  <c r="S1081" i="6"/>
  <c r="T1081" i="6"/>
  <c r="U1081" i="6" a="1"/>
  <c r="U1081" i="6" s="1"/>
  <c r="V1081" i="6"/>
  <c r="W1081" i="6" s="1"/>
  <c r="D1082" i="6"/>
  <c r="E1082" i="6" a="1"/>
  <c r="E1082" i="6" s="1"/>
  <c r="G1082" i="6"/>
  <c r="H1082" i="6" s="1"/>
  <c r="I1082" i="6"/>
  <c r="N1082" i="6"/>
  <c r="M1082" i="6" s="1"/>
  <c r="Q1082" i="6"/>
  <c r="S1082" i="6"/>
  <c r="V1082" i="6"/>
  <c r="D1265" i="16"/>
  <c r="E1265" i="16" a="1"/>
  <c r="E1265" i="16" s="1"/>
  <c r="G1265" i="16"/>
  <c r="H1265" i="16" s="1"/>
  <c r="I1265" i="16"/>
  <c r="N1265" i="16"/>
  <c r="M1265" i="16" s="1"/>
  <c r="Q1265" i="16"/>
  <c r="S1265" i="16"/>
  <c r="T1265" i="16"/>
  <c r="U1265" i="16" a="1"/>
  <c r="U1265" i="16" s="1"/>
  <c r="V1265" i="16"/>
  <c r="D1266" i="16"/>
  <c r="E1266" i="16" a="1"/>
  <c r="E1266" i="16" s="1"/>
  <c r="G1266" i="16"/>
  <c r="H1266" i="16" s="1"/>
  <c r="I1266" i="16"/>
  <c r="Q1266" i="16"/>
  <c r="S1266" i="16"/>
  <c r="T1266" i="16"/>
  <c r="U1266" i="16" a="1"/>
  <c r="U1266" i="16" s="1"/>
  <c r="V1266" i="16"/>
  <c r="D1267" i="16"/>
  <c r="E1267" i="16" a="1"/>
  <c r="E1267" i="16" s="1"/>
  <c r="G1267" i="16"/>
  <c r="H1267" i="16" s="1"/>
  <c r="I1267" i="16"/>
  <c r="Q1267" i="16"/>
  <c r="S1267" i="16"/>
  <c r="T1267" i="16"/>
  <c r="U1267" i="16" a="1"/>
  <c r="U1267" i="16" s="1"/>
  <c r="V1267" i="16"/>
  <c r="D1268" i="16"/>
  <c r="E1268" i="16" a="1"/>
  <c r="E1268" i="16" s="1"/>
  <c r="G1268" i="16"/>
  <c r="H1268" i="16" s="1"/>
  <c r="I1268" i="16"/>
  <c r="Q1268" i="16"/>
  <c r="S1268" i="16"/>
  <c r="T1268" i="16"/>
  <c r="U1268" i="16" a="1"/>
  <c r="U1268" i="16" s="1"/>
  <c r="V1268" i="16"/>
  <c r="D1269" i="16"/>
  <c r="E1269" i="16" a="1"/>
  <c r="E1269" i="16" s="1"/>
  <c r="G1269" i="16"/>
  <c r="H1269" i="16" s="1"/>
  <c r="I1269" i="16"/>
  <c r="N1269" i="16"/>
  <c r="M1269" i="16" s="1"/>
  <c r="Q1269" i="16"/>
  <c r="S1269" i="16"/>
  <c r="T1269" i="16"/>
  <c r="U1269" i="16" a="1"/>
  <c r="U1269" i="16" s="1"/>
  <c r="V1269" i="16"/>
  <c r="D1270" i="16"/>
  <c r="E1270" i="16" a="1"/>
  <c r="E1270" i="16" s="1"/>
  <c r="G1270" i="16"/>
  <c r="H1270" i="16" s="1"/>
  <c r="I1270" i="16"/>
  <c r="Q1270" i="16"/>
  <c r="S1270" i="16"/>
  <c r="T1270" i="16"/>
  <c r="U1270" i="16" a="1"/>
  <c r="U1270" i="16" s="1"/>
  <c r="D1271" i="16"/>
  <c r="E1271" i="16" a="1"/>
  <c r="E1271" i="16" s="1"/>
  <c r="G1271" i="16"/>
  <c r="H1271" i="16" s="1"/>
  <c r="I1271" i="16"/>
  <c r="Q1271" i="16"/>
  <c r="S1271" i="16"/>
  <c r="T1271" i="16"/>
  <c r="U1271" i="16" a="1"/>
  <c r="U1271" i="16" s="1"/>
  <c r="V1271" i="16"/>
  <c r="D1272" i="16"/>
  <c r="E1272" i="16" a="1"/>
  <c r="E1272" i="16" s="1"/>
  <c r="G1272" i="16"/>
  <c r="H1272" i="16" s="1"/>
  <c r="I1272" i="16"/>
  <c r="Q1272" i="16"/>
  <c r="S1272" i="16"/>
  <c r="T1272" i="16"/>
  <c r="U1272" i="16" a="1"/>
  <c r="U1272" i="16" s="1"/>
  <c r="V1272" i="16"/>
  <c r="D1273" i="16"/>
  <c r="E1273" i="16" a="1"/>
  <c r="E1273" i="16" s="1"/>
  <c r="G1273" i="16"/>
  <c r="H1273" i="16" s="1"/>
  <c r="I1273" i="16"/>
  <c r="N1273" i="16"/>
  <c r="M1273" i="16" s="1"/>
  <c r="Q1273" i="16"/>
  <c r="S1273" i="16"/>
  <c r="T1273" i="16"/>
  <c r="U1273" i="16" a="1"/>
  <c r="U1273" i="16" s="1"/>
  <c r="V1273" i="16"/>
  <c r="D1274" i="16"/>
  <c r="E1274" i="16" a="1"/>
  <c r="E1274" i="16" s="1"/>
  <c r="G1274" i="16"/>
  <c r="H1274" i="16" s="1"/>
  <c r="I1274" i="16"/>
  <c r="Q1274" i="16"/>
  <c r="S1274" i="16"/>
  <c r="T1274" i="16"/>
  <c r="U1274" i="16" a="1"/>
  <c r="U1274" i="16" s="1"/>
  <c r="D1275" i="16"/>
  <c r="E1275" i="16" a="1"/>
  <c r="E1275" i="16" s="1"/>
  <c r="G1275" i="16"/>
  <c r="H1275" i="16" s="1"/>
  <c r="I1275" i="16"/>
  <c r="Q1275" i="16"/>
  <c r="S1275" i="16"/>
  <c r="T1275" i="16"/>
  <c r="U1275" i="16" a="1"/>
  <c r="U1275" i="16" s="1"/>
  <c r="V1275" i="16"/>
  <c r="D1276" i="16"/>
  <c r="E1276" i="16" a="1"/>
  <c r="E1276" i="16" s="1"/>
  <c r="G1276" i="16"/>
  <c r="H1276" i="16" s="1"/>
  <c r="I1276" i="16"/>
  <c r="Q1276" i="16"/>
  <c r="S1276" i="16"/>
  <c r="T1276" i="16"/>
  <c r="U1276" i="16" a="1"/>
  <c r="U1276" i="16" s="1"/>
  <c r="V1276" i="16"/>
  <c r="D1277" i="16"/>
  <c r="E1277" i="16" a="1"/>
  <c r="E1277" i="16" s="1"/>
  <c r="G1277" i="16"/>
  <c r="H1277" i="16" s="1"/>
  <c r="I1277" i="16"/>
  <c r="N1277" i="16"/>
  <c r="Q1277" i="16"/>
  <c r="S1277" i="16"/>
  <c r="V1277" i="16"/>
  <c r="N1074" i="6"/>
  <c r="V1074" i="6" s="1"/>
  <c r="D1074" i="6"/>
  <c r="E1074" i="6" a="1"/>
  <c r="E1074" i="6" s="1"/>
  <c r="G1074" i="6"/>
  <c r="H1074" i="6" s="1"/>
  <c r="I1074" i="6"/>
  <c r="S1074" i="6"/>
  <c r="U1074" i="6" a="1"/>
  <c r="U1074" i="6" s="1"/>
  <c r="E644" i="13"/>
  <c r="F642" i="13"/>
  <c r="F643" i="13"/>
  <c r="F644" i="13"/>
  <c r="F645" i="13"/>
  <c r="I645" i="13" s="1"/>
  <c r="L642" i="13"/>
  <c r="O642" i="13" s="1"/>
  <c r="L643" i="13"/>
  <c r="O643" i="13" s="1"/>
  <c r="L644" i="13"/>
  <c r="N644" i="13" s="1"/>
  <c r="L645" i="13"/>
  <c r="AM645" i="13" s="1" a="1"/>
  <c r="AM645" i="13" s="1"/>
  <c r="M642" i="13"/>
  <c r="P642" i="13" s="1"/>
  <c r="M643" i="13"/>
  <c r="P643" i="13" s="1"/>
  <c r="M644" i="13"/>
  <c r="P644" i="13" s="1"/>
  <c r="M645" i="13"/>
  <c r="P645" i="13" s="1"/>
  <c r="V644" i="13"/>
  <c r="W642" i="13"/>
  <c r="W643" i="13"/>
  <c r="W644" i="13"/>
  <c r="W645" i="13"/>
  <c r="X642" i="13"/>
  <c r="X643" i="13"/>
  <c r="X644" i="13"/>
  <c r="X645" i="13"/>
  <c r="Y642" i="13"/>
  <c r="Y643" i="13"/>
  <c r="Y644" i="13"/>
  <c r="Y645" i="13"/>
  <c r="AC642" i="13"/>
  <c r="AF642" i="13" s="1"/>
  <c r="AC643" i="13"/>
  <c r="AF643" i="13" s="1"/>
  <c r="AC644" i="13"/>
  <c r="AG644" i="13" s="1"/>
  <c r="AC645" i="13"/>
  <c r="AE645" i="13" s="1"/>
  <c r="AD642" i="13"/>
  <c r="AD643" i="13"/>
  <c r="AD644" i="13"/>
  <c r="AD645" i="13"/>
  <c r="AO642" i="13"/>
  <c r="AO643" i="13"/>
  <c r="AO644" i="13"/>
  <c r="AO645" i="13"/>
  <c r="N1072" i="6"/>
  <c r="N1073" i="6"/>
  <c r="D1073" i="6"/>
  <c r="E1073" i="6" a="1"/>
  <c r="E1073" i="6" s="1"/>
  <c r="G1073" i="6"/>
  <c r="H1073" i="6" s="1"/>
  <c r="I1073" i="6"/>
  <c r="Q1073" i="6"/>
  <c r="S1073" i="6"/>
  <c r="U1073" i="6" a="1"/>
  <c r="U1073" i="6" s="1"/>
  <c r="V1073" i="6"/>
  <c r="D1072" i="6"/>
  <c r="E1072" i="6" a="1"/>
  <c r="E1072" i="6" s="1"/>
  <c r="G1072" i="6"/>
  <c r="H1072" i="6" s="1"/>
  <c r="I1072" i="6"/>
  <c r="Q1072" i="6"/>
  <c r="S1072" i="6"/>
  <c r="U1072" i="6" a="1"/>
  <c r="U1072" i="6" s="1"/>
  <c r="V1072" i="6"/>
  <c r="W1074" i="6" l="1"/>
  <c r="W1420" i="6"/>
  <c r="O1074" i="6"/>
  <c r="O1420" i="6"/>
  <c r="AE643" i="13"/>
  <c r="AE644" i="13"/>
  <c r="AE642" i="13"/>
  <c r="AF644" i="13"/>
  <c r="AF645" i="13"/>
  <c r="AH645" i="13"/>
  <c r="AH644" i="13"/>
  <c r="AG645" i="13"/>
  <c r="AH643" i="13"/>
  <c r="AG643" i="13"/>
  <c r="AH642" i="13"/>
  <c r="AG642" i="13"/>
  <c r="AJ647" i="13"/>
  <c r="AK647" i="13"/>
  <c r="AP647" i="13"/>
  <c r="AB647" i="13"/>
  <c r="AJ646" i="13"/>
  <c r="AP646" i="13"/>
  <c r="AK646" i="13"/>
  <c r="AB646" i="13"/>
  <c r="AS646" i="13"/>
  <c r="AT646" i="13" s="1"/>
  <c r="N1271" i="16"/>
  <c r="M1271" i="16" s="1"/>
  <c r="M1081" i="6"/>
  <c r="R1081" i="6" s="1"/>
  <c r="M1075" i="6"/>
  <c r="N1080" i="6"/>
  <c r="O1407" i="6" s="1"/>
  <c r="N1078" i="6"/>
  <c r="M1078" i="6" s="1"/>
  <c r="N1076" i="6"/>
  <c r="N1275" i="16"/>
  <c r="M1275" i="16" s="1"/>
  <c r="N1267" i="16"/>
  <c r="M1267" i="16" s="1"/>
  <c r="M1277" i="16"/>
  <c r="N1274" i="16"/>
  <c r="N1272" i="16"/>
  <c r="M1272" i="16" s="1"/>
  <c r="N1270" i="16"/>
  <c r="N1268" i="16"/>
  <c r="M1268" i="16" s="1"/>
  <c r="N1266" i="16"/>
  <c r="M1266" i="16" s="1"/>
  <c r="N1276" i="16"/>
  <c r="M1276" i="16" s="1"/>
  <c r="Q1074" i="6"/>
  <c r="V645" i="13"/>
  <c r="Z645" i="13" s="1"/>
  <c r="E645" i="13"/>
  <c r="G645" i="13" s="1"/>
  <c r="AM644" i="13" a="1"/>
  <c r="AM644" i="13" s="1"/>
  <c r="R644" i="13"/>
  <c r="O644" i="13"/>
  <c r="Q644" i="13"/>
  <c r="AR644" i="13"/>
  <c r="AM642" i="13" a="1"/>
  <c r="AM642" i="13" s="1"/>
  <c r="N642" i="13"/>
  <c r="R643" i="13"/>
  <c r="AM643" i="13" a="1"/>
  <c r="AM643" i="13" s="1"/>
  <c r="N643" i="13"/>
  <c r="R642" i="13"/>
  <c r="T644" i="13"/>
  <c r="S644" i="13"/>
  <c r="T642" i="13"/>
  <c r="R645" i="13"/>
  <c r="O645" i="13"/>
  <c r="N645" i="13"/>
  <c r="M1074" i="6"/>
  <c r="V642" i="13"/>
  <c r="Z642" i="13" s="1"/>
  <c r="E642" i="13"/>
  <c r="G642" i="13" s="1"/>
  <c r="G644" i="13"/>
  <c r="T643" i="13"/>
  <c r="K642" i="13"/>
  <c r="I642" i="13"/>
  <c r="Z644" i="13"/>
  <c r="H644" i="13"/>
  <c r="T645" i="13"/>
  <c r="K645" i="13"/>
  <c r="M1072" i="6"/>
  <c r="M1073" i="6"/>
  <c r="M1270" i="16" l="1"/>
  <c r="V1270" i="16"/>
  <c r="O1228" i="6"/>
  <c r="O1287" i="6"/>
  <c r="M1274" i="16"/>
  <c r="V1274" i="16"/>
  <c r="O1179" i="6"/>
  <c r="O1190" i="6"/>
  <c r="V1080" i="6"/>
  <c r="W1407" i="6" s="1"/>
  <c r="O1175" i="6"/>
  <c r="M1080" i="6"/>
  <c r="O1080" i="6"/>
  <c r="M1076" i="6"/>
  <c r="O1076" i="6"/>
  <c r="E643" i="13"/>
  <c r="H645" i="13"/>
  <c r="S645" i="13"/>
  <c r="AA645" i="13" s="1"/>
  <c r="AJ645" i="13" s="1"/>
  <c r="AA644" i="13"/>
  <c r="AJ644" i="13" s="1"/>
  <c r="AU645" i="13"/>
  <c r="AR642" i="13"/>
  <c r="Q642" i="13"/>
  <c r="AU642" i="13"/>
  <c r="Q643" i="13"/>
  <c r="AR643" i="13"/>
  <c r="AR645" i="13"/>
  <c r="Q645" i="13"/>
  <c r="AQ642" i="13"/>
  <c r="H642" i="13"/>
  <c r="S642" i="13"/>
  <c r="AA642" i="13" s="1"/>
  <c r="AS642" i="13" s="1"/>
  <c r="AT642" i="13" s="1"/>
  <c r="AQ644" i="13"/>
  <c r="AQ645" i="13"/>
  <c r="E640" i="13"/>
  <c r="H640" i="13" s="1"/>
  <c r="F640" i="13"/>
  <c r="K640" i="13" s="1"/>
  <c r="F641" i="13"/>
  <c r="L640" i="13"/>
  <c r="O640" i="13" s="1"/>
  <c r="L641" i="13"/>
  <c r="O641" i="13" s="1"/>
  <c r="M640" i="13"/>
  <c r="R640" i="13" s="1"/>
  <c r="M641" i="13"/>
  <c r="R641" i="13" s="1"/>
  <c r="V640" i="13"/>
  <c r="W640" i="13"/>
  <c r="W641" i="13"/>
  <c r="X640" i="13"/>
  <c r="X641" i="13"/>
  <c r="Y640" i="13"/>
  <c r="Y641" i="13"/>
  <c r="AC640" i="13"/>
  <c r="AF640" i="13" s="1"/>
  <c r="AC641" i="13"/>
  <c r="AF641" i="13" s="1"/>
  <c r="AD640" i="13"/>
  <c r="AD641" i="13"/>
  <c r="AO640" i="13"/>
  <c r="AO641" i="13"/>
  <c r="W1287" i="6" l="1"/>
  <c r="W1190" i="6"/>
  <c r="W1228" i="6"/>
  <c r="V643" i="13"/>
  <c r="Z643" i="13" s="1"/>
  <c r="W1179" i="6"/>
  <c r="W1080" i="6"/>
  <c r="W1175" i="6"/>
  <c r="R1080" i="6"/>
  <c r="AE640" i="13"/>
  <c r="R1076" i="6"/>
  <c r="AE641" i="13"/>
  <c r="AP642" i="13"/>
  <c r="H643" i="13"/>
  <c r="S643" i="13"/>
  <c r="AA643" i="13" s="1"/>
  <c r="AK643" i="13" s="1"/>
  <c r="G643" i="13"/>
  <c r="AQ643" i="13" s="1"/>
  <c r="AP644" i="13"/>
  <c r="AS644" i="13"/>
  <c r="AT644" i="13" s="1"/>
  <c r="AK644" i="13"/>
  <c r="AB644" i="13"/>
  <c r="P640" i="13"/>
  <c r="AJ642" i="13"/>
  <c r="AK642" i="13"/>
  <c r="AB642" i="13"/>
  <c r="AB645" i="13"/>
  <c r="AP645" i="13"/>
  <c r="AK645" i="13"/>
  <c r="AS645" i="13"/>
  <c r="AT645" i="13" s="1"/>
  <c r="AG641" i="13"/>
  <c r="N640" i="13"/>
  <c r="P641" i="13"/>
  <c r="AM640" i="13" a="1"/>
  <c r="AM640" i="13" s="1"/>
  <c r="AL640" i="13" a="1"/>
  <c r="AL640" i="13" s="1"/>
  <c r="AG640" i="13"/>
  <c r="AU640" i="13"/>
  <c r="I640" i="13"/>
  <c r="T640" i="13"/>
  <c r="G640" i="13"/>
  <c r="Z640" i="13"/>
  <c r="S640" i="13"/>
  <c r="AM641" i="13" a="1"/>
  <c r="AM641" i="13" s="1"/>
  <c r="T641" i="13"/>
  <c r="N641" i="13"/>
  <c r="AH641" i="13"/>
  <c r="AH640" i="13"/>
  <c r="AS643" i="13" l="1"/>
  <c r="AT643" i="13" s="1"/>
  <c r="AJ643" i="13"/>
  <c r="AP643" i="13"/>
  <c r="AB643" i="13"/>
  <c r="AR640" i="13"/>
  <c r="Q640" i="13"/>
  <c r="J640" i="13"/>
  <c r="AQ640" i="13"/>
  <c r="AA640" i="13"/>
  <c r="Q641" i="13"/>
  <c r="AR641" i="13"/>
  <c r="AI640" i="13" l="1"/>
  <c r="AS640" i="13"/>
  <c r="AT640" i="13" s="1"/>
  <c r="AN640" i="13"/>
  <c r="AB640" i="13"/>
  <c r="AK640" i="13"/>
  <c r="AP640" i="13"/>
  <c r="AJ640" i="13"/>
  <c r="D1071" i="6"/>
  <c r="E1071" i="6" a="1"/>
  <c r="E1071" i="6" s="1"/>
  <c r="G1071" i="6"/>
  <c r="H1071" i="6" s="1"/>
  <c r="I1071" i="6"/>
  <c r="N1071" i="6"/>
  <c r="O1404" i="6" s="1"/>
  <c r="R1404" i="6" s="1"/>
  <c r="Q1071" i="6"/>
  <c r="S1071" i="6"/>
  <c r="U1071" i="6" a="1"/>
  <c r="U1071" i="6" s="1"/>
  <c r="V1071" i="6"/>
  <c r="W1404" i="6" s="1"/>
  <c r="D1070" i="6"/>
  <c r="E1070" i="6" a="1"/>
  <c r="E1070" i="6" s="1"/>
  <c r="G1070" i="6"/>
  <c r="H1070" i="6" s="1"/>
  <c r="I1070" i="6"/>
  <c r="N1070" i="6"/>
  <c r="M1070" i="6" s="1"/>
  <c r="Q1070" i="6"/>
  <c r="S1070" i="6"/>
  <c r="V1070" i="6"/>
  <c r="D1069" i="6"/>
  <c r="E1069" i="6" a="1"/>
  <c r="E1069" i="6" s="1"/>
  <c r="G1069" i="6"/>
  <c r="H1069" i="6" s="1"/>
  <c r="I1069" i="6"/>
  <c r="N1069" i="6"/>
  <c r="M1069" i="6" s="1"/>
  <c r="Q1069" i="6"/>
  <c r="S1069" i="6"/>
  <c r="V1069" i="6"/>
  <c r="V641" i="13" l="1"/>
  <c r="Z641" i="13" s="1"/>
  <c r="W1169" i="6"/>
  <c r="E641" i="13"/>
  <c r="H641" i="13" s="1"/>
  <c r="O1169" i="6"/>
  <c r="AV640" i="13"/>
  <c r="O1071" i="6"/>
  <c r="W1071" i="6"/>
  <c r="M1071" i="6"/>
  <c r="N1068" i="6"/>
  <c r="M1068" i="6" s="1"/>
  <c r="D1068" i="6"/>
  <c r="E1068" i="6" a="1"/>
  <c r="E1068" i="6" s="1"/>
  <c r="G1068" i="6"/>
  <c r="H1068" i="6" s="1"/>
  <c r="I1068" i="6"/>
  <c r="S1068" i="6"/>
  <c r="U1068" i="6" a="1"/>
  <c r="U1068" i="6" s="1"/>
  <c r="V1068" i="6"/>
  <c r="E637" i="13"/>
  <c r="G637" i="13" s="1"/>
  <c r="AQ637" i="13" s="1"/>
  <c r="F637" i="13"/>
  <c r="I637" i="13" s="1"/>
  <c r="F638" i="13"/>
  <c r="F639" i="13"/>
  <c r="K639" i="13" s="1"/>
  <c r="L637" i="13"/>
  <c r="O637" i="13" s="1"/>
  <c r="L638" i="13"/>
  <c r="N638" i="13" s="1"/>
  <c r="L639" i="13"/>
  <c r="O639" i="13" s="1"/>
  <c r="M637" i="13"/>
  <c r="P637" i="13" s="1"/>
  <c r="M638" i="13"/>
  <c r="R638" i="13" s="1"/>
  <c r="M639" i="13"/>
  <c r="R639" i="13" s="1"/>
  <c r="V637" i="13"/>
  <c r="W637" i="13"/>
  <c r="W638" i="13"/>
  <c r="W639" i="13"/>
  <c r="X637" i="13"/>
  <c r="X638" i="13"/>
  <c r="X639" i="13"/>
  <c r="Y637" i="13"/>
  <c r="Y638" i="13"/>
  <c r="Y639" i="13"/>
  <c r="AC637" i="13"/>
  <c r="AH637" i="13" s="1"/>
  <c r="AC638" i="13"/>
  <c r="AE638" i="13" s="1"/>
  <c r="AC639" i="13"/>
  <c r="AF639" i="13" s="1"/>
  <c r="AD637" i="13"/>
  <c r="AD638" i="13"/>
  <c r="AD639" i="13"/>
  <c r="AO637" i="13"/>
  <c r="AO638" i="13"/>
  <c r="AO639" i="13"/>
  <c r="G641" i="13" l="1"/>
  <c r="AQ641" i="13" s="1"/>
  <c r="S641" i="13"/>
  <c r="AA641" i="13" s="1"/>
  <c r="AP641" i="13" s="1"/>
  <c r="R1071" i="6"/>
  <c r="AM637" i="13" a="1"/>
  <c r="AM637" i="13" s="1"/>
  <c r="Q1068" i="6"/>
  <c r="N637" i="13"/>
  <c r="Q637" i="13" s="1"/>
  <c r="AF638" i="13"/>
  <c r="P639" i="13"/>
  <c r="O638" i="13"/>
  <c r="AL637" i="13" a="1"/>
  <c r="AL637" i="13" s="1"/>
  <c r="S637" i="13"/>
  <c r="H637" i="13"/>
  <c r="R637" i="13"/>
  <c r="P638" i="13"/>
  <c r="AG639" i="13"/>
  <c r="AF637" i="13"/>
  <c r="AG638" i="13"/>
  <c r="AE637" i="13"/>
  <c r="AG637" i="13"/>
  <c r="T639" i="13"/>
  <c r="I639" i="13"/>
  <c r="T638" i="13"/>
  <c r="J637" i="13"/>
  <c r="Z637" i="13"/>
  <c r="AU639" i="13"/>
  <c r="AR638" i="13"/>
  <c r="Q638" i="13"/>
  <c r="K637" i="13"/>
  <c r="T637" i="13"/>
  <c r="N639" i="13"/>
  <c r="AM639" i="13" a="1"/>
  <c r="AM639" i="13" s="1"/>
  <c r="AH639" i="13"/>
  <c r="AH638" i="13"/>
  <c r="AE639" i="13"/>
  <c r="AM638" i="13" a="1"/>
  <c r="AM638" i="13" s="1"/>
  <c r="AS641" i="13" l="1"/>
  <c r="AT641" i="13" s="1"/>
  <c r="AK641" i="13"/>
  <c r="AJ641" i="13"/>
  <c r="AB641" i="13"/>
  <c r="AR637" i="13"/>
  <c r="AA637" i="13"/>
  <c r="AN637" i="13" s="1"/>
  <c r="AU637" i="13"/>
  <c r="AI637" i="13"/>
  <c r="AR639" i="13"/>
  <c r="Q639" i="13"/>
  <c r="AS637" i="13" l="1"/>
  <c r="AT637" i="13" s="1"/>
  <c r="AJ637" i="13"/>
  <c r="AP637" i="13"/>
  <c r="AV637" i="13" s="1"/>
  <c r="AB637" i="13"/>
  <c r="AK637" i="13"/>
  <c r="N1067" i="6"/>
  <c r="D1067" i="6"/>
  <c r="E1067" i="6" a="1"/>
  <c r="E1067" i="6" s="1"/>
  <c r="G1067" i="6"/>
  <c r="H1067" i="6" s="1"/>
  <c r="I1067" i="6"/>
  <c r="Q1067" i="6"/>
  <c r="S1067" i="6"/>
  <c r="U1067" i="6" a="1"/>
  <c r="U1067" i="6" s="1"/>
  <c r="V1067" i="6"/>
  <c r="W1067" i="6" l="1"/>
  <c r="W1166" i="6"/>
  <c r="E638" i="13"/>
  <c r="G638" i="13" s="1"/>
  <c r="AQ638" i="13" s="1"/>
  <c r="O1166" i="6"/>
  <c r="R1166" i="6" s="1"/>
  <c r="O1067" i="6"/>
  <c r="V639" i="13"/>
  <c r="Z639" i="13" s="1"/>
  <c r="V638" i="13"/>
  <c r="Z638" i="13" s="1"/>
  <c r="M1067" i="6"/>
  <c r="E639" i="13"/>
  <c r="Q1066" i="6"/>
  <c r="D1066" i="6"/>
  <c r="E1066" i="6" a="1"/>
  <c r="E1066" i="6" s="1"/>
  <c r="G1066" i="6"/>
  <c r="H1066" i="6" s="1"/>
  <c r="I1066" i="6"/>
  <c r="S1066" i="6"/>
  <c r="U1066" i="6" a="1"/>
  <c r="U1066" i="6" s="1"/>
  <c r="V1066" i="6"/>
  <c r="S638" i="13" l="1"/>
  <c r="AA638" i="13" s="1"/>
  <c r="H638" i="13"/>
  <c r="R1067" i="6"/>
  <c r="H639" i="13"/>
  <c r="G639" i="13"/>
  <c r="AQ639" i="13" s="1"/>
  <c r="S639" i="13"/>
  <c r="AA639" i="13" s="1"/>
  <c r="N1066" i="6"/>
  <c r="M1066" i="6" s="1"/>
  <c r="D1065" i="6"/>
  <c r="E1065" i="6" a="1"/>
  <c r="E1065" i="6" s="1"/>
  <c r="G1065" i="6"/>
  <c r="H1065" i="6" s="1"/>
  <c r="I1065" i="6"/>
  <c r="N1065" i="6"/>
  <c r="Q1065" i="6"/>
  <c r="S1065" i="6"/>
  <c r="U1065" i="6" a="1"/>
  <c r="U1065" i="6" s="1"/>
  <c r="D1064" i="6"/>
  <c r="E1064" i="6" a="1"/>
  <c r="E1064" i="6" s="1"/>
  <c r="G1064" i="6"/>
  <c r="H1064" i="6" s="1"/>
  <c r="I1064" i="6"/>
  <c r="N1064" i="6"/>
  <c r="M1064" i="6" s="1"/>
  <c r="Q1064" i="6"/>
  <c r="S1064" i="6"/>
  <c r="U1064" i="6" a="1"/>
  <c r="U1064" i="6" s="1"/>
  <c r="V1064" i="6"/>
  <c r="D1063" i="6"/>
  <c r="E1063" i="6" a="1"/>
  <c r="E1063" i="6" s="1"/>
  <c r="G1063" i="6"/>
  <c r="H1063" i="6" s="1"/>
  <c r="I1063" i="6"/>
  <c r="N1063" i="6"/>
  <c r="M1063" i="6" s="1"/>
  <c r="Q1063" i="6"/>
  <c r="S1063" i="6"/>
  <c r="U1063" i="6" a="1"/>
  <c r="U1063" i="6" s="1"/>
  <c r="V1063" i="6"/>
  <c r="O1496" i="6" l="1"/>
  <c r="O1503" i="6"/>
  <c r="AB638" i="13"/>
  <c r="O1065" i="6"/>
  <c r="O1174" i="6"/>
  <c r="AS638" i="13"/>
  <c r="AT638" i="13" s="1"/>
  <c r="AK638" i="13"/>
  <c r="AJ638" i="13"/>
  <c r="AP638" i="13"/>
  <c r="AS639" i="13"/>
  <c r="AT639" i="13" s="1"/>
  <c r="AB639" i="13"/>
  <c r="AK639" i="13"/>
  <c r="AJ639" i="13"/>
  <c r="AP639" i="13"/>
  <c r="V1065" i="6"/>
  <c r="M1065" i="6"/>
  <c r="W1496" i="6" l="1"/>
  <c r="W1503" i="6"/>
  <c r="R1065" i="6"/>
  <c r="W1065" i="6"/>
  <c r="W1174" i="6"/>
  <c r="D1054" i="16"/>
  <c r="E1054" i="16" a="1"/>
  <c r="E1054" i="16" s="1"/>
  <c r="G1054" i="16"/>
  <c r="H1054" i="16" s="1"/>
  <c r="I1054" i="16"/>
  <c r="N1054" i="16"/>
  <c r="M1054" i="16" s="1"/>
  <c r="Q1054" i="16"/>
  <c r="S1054" i="16"/>
  <c r="V1054" i="16"/>
  <c r="D1062" i="6"/>
  <c r="E1062" i="6" a="1"/>
  <c r="E1062" i="6" s="1"/>
  <c r="G1062" i="6"/>
  <c r="H1062" i="6" s="1"/>
  <c r="I1062" i="6"/>
  <c r="N1062" i="6"/>
  <c r="O1424" i="6" s="1"/>
  <c r="Q1062" i="6"/>
  <c r="S1062" i="6"/>
  <c r="U1062" i="6" a="1"/>
  <c r="U1062" i="6" s="1"/>
  <c r="V1062" i="6"/>
  <c r="W1424" i="6" s="1"/>
  <c r="D1061" i="6"/>
  <c r="E1061" i="6" a="1"/>
  <c r="E1061" i="6" s="1"/>
  <c r="G1061" i="6"/>
  <c r="H1061" i="6" s="1"/>
  <c r="I1061" i="6"/>
  <c r="N1061" i="6"/>
  <c r="O1061" i="6" s="1"/>
  <c r="Q1061" i="6"/>
  <c r="S1061" i="6"/>
  <c r="U1061" i="6" a="1"/>
  <c r="U1061" i="6" s="1"/>
  <c r="V1061" i="6"/>
  <c r="W1061" i="6" s="1"/>
  <c r="D1060" i="6"/>
  <c r="E1060" i="6" a="1"/>
  <c r="E1060" i="6" s="1"/>
  <c r="G1060" i="6"/>
  <c r="H1060" i="6" s="1"/>
  <c r="I1060" i="6"/>
  <c r="N1060" i="6"/>
  <c r="M1060" i="6" s="1"/>
  <c r="Q1060" i="6"/>
  <c r="S1060" i="6"/>
  <c r="U1060" i="6" a="1"/>
  <c r="U1060" i="6" s="1"/>
  <c r="V1060" i="6"/>
  <c r="W1062" i="6" l="1"/>
  <c r="O1062" i="6"/>
  <c r="M1062" i="6"/>
  <c r="M1061" i="6"/>
  <c r="R1061" i="6" s="1"/>
  <c r="N1058" i="6"/>
  <c r="O1156" i="6" s="1"/>
  <c r="Q1059" i="6"/>
  <c r="F636" i="13"/>
  <c r="L636" i="13"/>
  <c r="O636" i="13" s="1"/>
  <c r="M636" i="13"/>
  <c r="P636" i="13" s="1"/>
  <c r="W636" i="13"/>
  <c r="X636" i="13"/>
  <c r="Y636" i="13"/>
  <c r="AC636" i="13"/>
  <c r="AF636" i="13" s="1"/>
  <c r="AD636" i="13"/>
  <c r="AO636" i="13"/>
  <c r="D1059" i="6"/>
  <c r="E1059" i="6" a="1"/>
  <c r="E1059" i="6" s="1"/>
  <c r="G1059" i="6"/>
  <c r="H1059" i="6" s="1"/>
  <c r="I1059" i="6"/>
  <c r="N1059" i="6"/>
  <c r="S1059" i="6"/>
  <c r="U1059" i="6" a="1"/>
  <c r="U1059" i="6" s="1"/>
  <c r="V1059" i="6"/>
  <c r="D1058" i="6"/>
  <c r="E1058" i="6" a="1"/>
  <c r="E1058" i="6" s="1"/>
  <c r="G1058" i="6"/>
  <c r="H1058" i="6" s="1"/>
  <c r="I1058" i="6"/>
  <c r="Q1058" i="6"/>
  <c r="S1058" i="6"/>
  <c r="U1058" i="6" a="1"/>
  <c r="U1058" i="6" s="1"/>
  <c r="N1057" i="6"/>
  <c r="D1057" i="6"/>
  <c r="E1057" i="6" a="1"/>
  <c r="E1057" i="6" s="1"/>
  <c r="G1057" i="6"/>
  <c r="H1057" i="6" s="1"/>
  <c r="I1057" i="6"/>
  <c r="S1057" i="6"/>
  <c r="T1057" i="6"/>
  <c r="U1057" i="6" a="1"/>
  <c r="U1057" i="6" s="1"/>
  <c r="V1057" i="6"/>
  <c r="O1059" i="6" l="1"/>
  <c r="O1455" i="6"/>
  <c r="R1455" i="6" s="1"/>
  <c r="V636" i="13"/>
  <c r="Z636" i="13" s="1"/>
  <c r="W1455" i="6"/>
  <c r="O1086" i="6"/>
  <c r="O1131" i="6"/>
  <c r="M1058" i="6"/>
  <c r="V1058" i="6"/>
  <c r="W1059" i="6"/>
  <c r="AH636" i="13"/>
  <c r="R636" i="13"/>
  <c r="AG636" i="13"/>
  <c r="AE636" i="13"/>
  <c r="N636" i="13"/>
  <c r="Q636" i="13" s="1"/>
  <c r="E636" i="13"/>
  <c r="O1058" i="6"/>
  <c r="T636" i="13"/>
  <c r="AM636" i="13" a="1"/>
  <c r="AM636" i="13" s="1"/>
  <c r="M1059" i="6"/>
  <c r="Q1057" i="6"/>
  <c r="M1057" i="6"/>
  <c r="N1055" i="6"/>
  <c r="N1056" i="6"/>
  <c r="V1056" i="6" s="1"/>
  <c r="D1056" i="6"/>
  <c r="E1056" i="6" a="1"/>
  <c r="E1056" i="6" s="1"/>
  <c r="G1056" i="6"/>
  <c r="H1056" i="6" s="1"/>
  <c r="I1056" i="6"/>
  <c r="Q1056" i="6"/>
  <c r="S1056" i="6"/>
  <c r="U1056" i="6" a="1"/>
  <c r="U1056" i="6" s="1"/>
  <c r="D1055" i="6"/>
  <c r="E1055" i="6" a="1"/>
  <c r="E1055" i="6" s="1"/>
  <c r="G1055" i="6"/>
  <c r="H1055" i="6" s="1"/>
  <c r="I1055" i="6"/>
  <c r="Q1055" i="6"/>
  <c r="S1055" i="6"/>
  <c r="U1055" i="6" a="1"/>
  <c r="U1055" i="6" s="1"/>
  <c r="D1054" i="6"/>
  <c r="E1054" i="6" a="1"/>
  <c r="E1054" i="6" s="1"/>
  <c r="G1054" i="6"/>
  <c r="H1054" i="6" s="1"/>
  <c r="I1054" i="6"/>
  <c r="N1054" i="6"/>
  <c r="Q1054" i="6"/>
  <c r="S1054" i="6"/>
  <c r="U1054" i="6" a="1"/>
  <c r="U1054" i="6" s="1"/>
  <c r="R1059" i="6" l="1"/>
  <c r="W1131" i="6"/>
  <c r="W1156" i="6"/>
  <c r="R1058" i="6"/>
  <c r="V1055" i="6"/>
  <c r="O1105" i="6"/>
  <c r="R1105" i="6" s="1"/>
  <c r="O1054" i="6"/>
  <c r="O1102" i="6"/>
  <c r="W1058" i="6"/>
  <c r="W1086" i="6"/>
  <c r="V1054" i="6"/>
  <c r="AR636" i="13"/>
  <c r="G636" i="13"/>
  <c r="H636" i="13"/>
  <c r="S636" i="13"/>
  <c r="AA636" i="13" s="1"/>
  <c r="M1055" i="6"/>
  <c r="O1055" i="6"/>
  <c r="M1056" i="6"/>
  <c r="M1054" i="6"/>
  <c r="AC2" i="13"/>
  <c r="AF2" i="13" s="1"/>
  <c r="AD2" i="13"/>
  <c r="AF496" i="13"/>
  <c r="AC4" i="13"/>
  <c r="AF4" i="13" s="1"/>
  <c r="AD4" i="13"/>
  <c r="AC403" i="13"/>
  <c r="AF403" i="13" s="1"/>
  <c r="AD403" i="13"/>
  <c r="AC6" i="13"/>
  <c r="AF6" i="13" s="1"/>
  <c r="AD6" i="13"/>
  <c r="AC7" i="13"/>
  <c r="AF7" i="13" s="1"/>
  <c r="AD7" i="13"/>
  <c r="AC8" i="13"/>
  <c r="AF8" i="13" s="1"/>
  <c r="AD8" i="13"/>
  <c r="AC9" i="13"/>
  <c r="AF9" i="13" s="1"/>
  <c r="AD9" i="13"/>
  <c r="AC10" i="13"/>
  <c r="AF10" i="13" s="1"/>
  <c r="AD10" i="13"/>
  <c r="AC11" i="13"/>
  <c r="AF11" i="13" s="1"/>
  <c r="AD11" i="13"/>
  <c r="AC19" i="13"/>
  <c r="AF19" i="13" s="1"/>
  <c r="AD19" i="13"/>
  <c r="AC13" i="13"/>
  <c r="AF13" i="13" s="1"/>
  <c r="AD13" i="13"/>
  <c r="AC14" i="13"/>
  <c r="AF14" i="13" s="1"/>
  <c r="AD14" i="13"/>
  <c r="AC15" i="13"/>
  <c r="AF15" i="13" s="1"/>
  <c r="AD15" i="13"/>
  <c r="AC16" i="13"/>
  <c r="AF16" i="13" s="1"/>
  <c r="AD16" i="13"/>
  <c r="AC17" i="13"/>
  <c r="AF17" i="13" s="1"/>
  <c r="AD17" i="13"/>
  <c r="AC18" i="13"/>
  <c r="AF18" i="13" s="1"/>
  <c r="AD18" i="13"/>
  <c r="AC610" i="13"/>
  <c r="AF610" i="13" s="1"/>
  <c r="AD610" i="13"/>
  <c r="AC20" i="13"/>
  <c r="AF20" i="13" s="1"/>
  <c r="AD20" i="13"/>
  <c r="AC21" i="13"/>
  <c r="AF21" i="13" s="1"/>
  <c r="AD21" i="13"/>
  <c r="AC22" i="13"/>
  <c r="AF22" i="13" s="1"/>
  <c r="AD22" i="13"/>
  <c r="AC23" i="13"/>
  <c r="AF23" i="13" s="1"/>
  <c r="AD23" i="13"/>
  <c r="AC24" i="13"/>
  <c r="AF24" i="13" s="1"/>
  <c r="AD24" i="13"/>
  <c r="AC25" i="13"/>
  <c r="AF25" i="13" s="1"/>
  <c r="AD25" i="13"/>
  <c r="AC26" i="13"/>
  <c r="AF26" i="13" s="1"/>
  <c r="AD26" i="13"/>
  <c r="AC27" i="13"/>
  <c r="AF27" i="13" s="1"/>
  <c r="AD27" i="13"/>
  <c r="AC28" i="13"/>
  <c r="AF28" i="13" s="1"/>
  <c r="AD28" i="13"/>
  <c r="AC29" i="13"/>
  <c r="AF29" i="13" s="1"/>
  <c r="AD29" i="13"/>
  <c r="AC30" i="13"/>
  <c r="AF30" i="13" s="1"/>
  <c r="AD30" i="13"/>
  <c r="AC31" i="13"/>
  <c r="AF31" i="13" s="1"/>
  <c r="AD31" i="13"/>
  <c r="AC32" i="13"/>
  <c r="AF32" i="13" s="1"/>
  <c r="AD32" i="13"/>
  <c r="AC33" i="13"/>
  <c r="AF33" i="13" s="1"/>
  <c r="AD33" i="13"/>
  <c r="AC34" i="13"/>
  <c r="AF34" i="13" s="1"/>
  <c r="AD34" i="13"/>
  <c r="AC35" i="13"/>
  <c r="AF35" i="13" s="1"/>
  <c r="AD35" i="13"/>
  <c r="AC36" i="13"/>
  <c r="AF36" i="13" s="1"/>
  <c r="AD36" i="13"/>
  <c r="AC37" i="13"/>
  <c r="AF37" i="13" s="1"/>
  <c r="AD37" i="13"/>
  <c r="AC38" i="13"/>
  <c r="AF38" i="13" s="1"/>
  <c r="AD38" i="13"/>
  <c r="AC528" i="13"/>
  <c r="AF528" i="13" s="1"/>
  <c r="AD528" i="13"/>
  <c r="AC40" i="13"/>
  <c r="AF40" i="13" s="1"/>
  <c r="AD40" i="13"/>
  <c r="AC41" i="13"/>
  <c r="AF41" i="13" s="1"/>
  <c r="AD41" i="13"/>
  <c r="AC42" i="13"/>
  <c r="AF42" i="13" s="1"/>
  <c r="AD42" i="13"/>
  <c r="AC43" i="13"/>
  <c r="AF43" i="13" s="1"/>
  <c r="AD43" i="13"/>
  <c r="AC44" i="13"/>
  <c r="AF44" i="13" s="1"/>
  <c r="AD44" i="13"/>
  <c r="AC45" i="13"/>
  <c r="AF45" i="13" s="1"/>
  <c r="AD45" i="13"/>
  <c r="AC46" i="13"/>
  <c r="AF46" i="13" s="1"/>
  <c r="AD46" i="13"/>
  <c r="AC47" i="13"/>
  <c r="AF47" i="13" s="1"/>
  <c r="AD47" i="13"/>
  <c r="AC48" i="13"/>
  <c r="AF48" i="13" s="1"/>
  <c r="AD48" i="13"/>
  <c r="AC49" i="13"/>
  <c r="AF49" i="13" s="1"/>
  <c r="AD49" i="13"/>
  <c r="AC50" i="13"/>
  <c r="AF50" i="13" s="1"/>
  <c r="AD50" i="13"/>
  <c r="AC51" i="13"/>
  <c r="AF51" i="13" s="1"/>
  <c r="AD51" i="13"/>
  <c r="AC52" i="13"/>
  <c r="AF52" i="13" s="1"/>
  <c r="AD52" i="13"/>
  <c r="AC583" i="13"/>
  <c r="AF583" i="13" s="1"/>
  <c r="AD583" i="13"/>
  <c r="AC54" i="13"/>
  <c r="AF54" i="13" s="1"/>
  <c r="AD54" i="13"/>
  <c r="AC55" i="13"/>
  <c r="AF55" i="13" s="1"/>
  <c r="AD55" i="13"/>
  <c r="AC56" i="13"/>
  <c r="AF56" i="13" s="1"/>
  <c r="AD56" i="13"/>
  <c r="AC57" i="13"/>
  <c r="AF57" i="13" s="1"/>
  <c r="AD57" i="13"/>
  <c r="AC58" i="13"/>
  <c r="AF58" i="13" s="1"/>
  <c r="AD58" i="13"/>
  <c r="AC59" i="13"/>
  <c r="AF59" i="13" s="1"/>
  <c r="AD59" i="13"/>
  <c r="AC60" i="13"/>
  <c r="AF60" i="13" s="1"/>
  <c r="AD60" i="13"/>
  <c r="AC61" i="13"/>
  <c r="AF61" i="13" s="1"/>
  <c r="AD61" i="13"/>
  <c r="AC62" i="13"/>
  <c r="AF62" i="13" s="1"/>
  <c r="AD62" i="13"/>
  <c r="AC63" i="13"/>
  <c r="AF63" i="13" s="1"/>
  <c r="AD63" i="13"/>
  <c r="AC64" i="13"/>
  <c r="AF64" i="13" s="1"/>
  <c r="AD64" i="13"/>
  <c r="AC65" i="13"/>
  <c r="AF65" i="13" s="1"/>
  <c r="AD65" i="13"/>
  <c r="AC66" i="13"/>
  <c r="AF66" i="13" s="1"/>
  <c r="AD66" i="13"/>
  <c r="AC67" i="13"/>
  <c r="AF67" i="13" s="1"/>
  <c r="AD67" i="13"/>
  <c r="AC68" i="13"/>
  <c r="AF68" i="13" s="1"/>
  <c r="AD68" i="13"/>
  <c r="AC69" i="13"/>
  <c r="AF69" i="13" s="1"/>
  <c r="AD69" i="13"/>
  <c r="AC70" i="13"/>
  <c r="AF70" i="13" s="1"/>
  <c r="AD70" i="13"/>
  <c r="AC71" i="13"/>
  <c r="AF71" i="13" s="1"/>
  <c r="AD71" i="13"/>
  <c r="AC72" i="13"/>
  <c r="AF72" i="13" s="1"/>
  <c r="AD72" i="13"/>
  <c r="AC616" i="13"/>
  <c r="AF616" i="13" s="1"/>
  <c r="AD616" i="13"/>
  <c r="AC74" i="13"/>
  <c r="AF74" i="13" s="1"/>
  <c r="AD74" i="13"/>
  <c r="AC75" i="13"/>
  <c r="AF75" i="13" s="1"/>
  <c r="AD75" i="13"/>
  <c r="AC76" i="13"/>
  <c r="AF76" i="13" s="1"/>
  <c r="AD76" i="13"/>
  <c r="AC77" i="13"/>
  <c r="AF77" i="13" s="1"/>
  <c r="AD77" i="13"/>
  <c r="AC78" i="13"/>
  <c r="AF78" i="13" s="1"/>
  <c r="AD78" i="13"/>
  <c r="AC79" i="13"/>
  <c r="AF79" i="13" s="1"/>
  <c r="AD79" i="13"/>
  <c r="AC80" i="13"/>
  <c r="AF80" i="13" s="1"/>
  <c r="AD80" i="13"/>
  <c r="AC81" i="13"/>
  <c r="AF81" i="13" s="1"/>
  <c r="AD81" i="13"/>
  <c r="AC82" i="13"/>
  <c r="AF82" i="13" s="1"/>
  <c r="AD82" i="13"/>
  <c r="AC83" i="13"/>
  <c r="AF83" i="13" s="1"/>
  <c r="AD83" i="13"/>
  <c r="AC84" i="13"/>
  <c r="AF84" i="13" s="1"/>
  <c r="AD84" i="13"/>
  <c r="AC85" i="13"/>
  <c r="AF85" i="13" s="1"/>
  <c r="AD85" i="13"/>
  <c r="AC86" i="13"/>
  <c r="AF86" i="13" s="1"/>
  <c r="AD86" i="13"/>
  <c r="AC625" i="13"/>
  <c r="AF625" i="13" s="1"/>
  <c r="AD625" i="13"/>
  <c r="AC88" i="13"/>
  <c r="AF88" i="13" s="1"/>
  <c r="AD88" i="13"/>
  <c r="AC89" i="13"/>
  <c r="AF89" i="13" s="1"/>
  <c r="AD89" i="13"/>
  <c r="AC90" i="13"/>
  <c r="AF90" i="13" s="1"/>
  <c r="AD90" i="13"/>
  <c r="AC91" i="13"/>
  <c r="AF91" i="13" s="1"/>
  <c r="AD91" i="13"/>
  <c r="AC92" i="13"/>
  <c r="AF92" i="13" s="1"/>
  <c r="AD92" i="13"/>
  <c r="AC624" i="13"/>
  <c r="AF624" i="13" s="1"/>
  <c r="AD624" i="13"/>
  <c r="AC490" i="13"/>
  <c r="AF490" i="13" s="1"/>
  <c r="AD490" i="13"/>
  <c r="AC95" i="13"/>
  <c r="AF95" i="13" s="1"/>
  <c r="AD95" i="13"/>
  <c r="AC96" i="13"/>
  <c r="AF96" i="13" s="1"/>
  <c r="AD96" i="13"/>
  <c r="AC97" i="13"/>
  <c r="AF97" i="13" s="1"/>
  <c r="AD97" i="13"/>
  <c r="AC98" i="13"/>
  <c r="AF98" i="13" s="1"/>
  <c r="AD98" i="13"/>
  <c r="AC99" i="13"/>
  <c r="AF99" i="13" s="1"/>
  <c r="AD99" i="13"/>
  <c r="AC100" i="13"/>
  <c r="AF100" i="13" s="1"/>
  <c r="AD100" i="13"/>
  <c r="AC101" i="13"/>
  <c r="AF101" i="13" s="1"/>
  <c r="AD101" i="13"/>
  <c r="AC102" i="13"/>
  <c r="AF102" i="13" s="1"/>
  <c r="AD102" i="13"/>
  <c r="AC103" i="13"/>
  <c r="AF103" i="13" s="1"/>
  <c r="AD103" i="13"/>
  <c r="AC104" i="13"/>
  <c r="AF104" i="13" s="1"/>
  <c r="AD104" i="13"/>
  <c r="AC105" i="13"/>
  <c r="AF105" i="13" s="1"/>
  <c r="AD105" i="13"/>
  <c r="AC106" i="13"/>
  <c r="AF106" i="13" s="1"/>
  <c r="AD106" i="13"/>
  <c r="AC107" i="13"/>
  <c r="AF107" i="13" s="1"/>
  <c r="AD107" i="13"/>
  <c r="AC108" i="13"/>
  <c r="AF108" i="13" s="1"/>
  <c r="AD108" i="13"/>
  <c r="AC109" i="13"/>
  <c r="AF109" i="13" s="1"/>
  <c r="AD109" i="13"/>
  <c r="AC110" i="13"/>
  <c r="AF110" i="13" s="1"/>
  <c r="AD110" i="13"/>
  <c r="AC111" i="13"/>
  <c r="AF111" i="13" s="1"/>
  <c r="AD111" i="13"/>
  <c r="AC112" i="13"/>
  <c r="AF112" i="13" s="1"/>
  <c r="AD112" i="13"/>
  <c r="AC113" i="13"/>
  <c r="AF113" i="13" s="1"/>
  <c r="AD113" i="13"/>
  <c r="AC114" i="13"/>
  <c r="AF114" i="13" s="1"/>
  <c r="AD114" i="13"/>
  <c r="AC115" i="13"/>
  <c r="AF115" i="13" s="1"/>
  <c r="AD115" i="13"/>
  <c r="AC546" i="13"/>
  <c r="AF546" i="13" s="1"/>
  <c r="AD546" i="13"/>
  <c r="AC117" i="13"/>
  <c r="AF117" i="13" s="1"/>
  <c r="AD117" i="13"/>
  <c r="AC118" i="13"/>
  <c r="AF118" i="13" s="1"/>
  <c r="AD118" i="13"/>
  <c r="AC119" i="13"/>
  <c r="AF119" i="13" s="1"/>
  <c r="AD119" i="13"/>
  <c r="AC120" i="13"/>
  <c r="AF120" i="13" s="1"/>
  <c r="AD120" i="13"/>
  <c r="AC121" i="13"/>
  <c r="AF121" i="13" s="1"/>
  <c r="AD121" i="13"/>
  <c r="AC122" i="13"/>
  <c r="AF122" i="13" s="1"/>
  <c r="AD122" i="13"/>
  <c r="AC123" i="13"/>
  <c r="AF123" i="13" s="1"/>
  <c r="AD123" i="13"/>
  <c r="AC124" i="13"/>
  <c r="AF124" i="13" s="1"/>
  <c r="AD124" i="13"/>
  <c r="AC125" i="13"/>
  <c r="AF125" i="13" s="1"/>
  <c r="AD125" i="13"/>
  <c r="AC126" i="13"/>
  <c r="AF126" i="13" s="1"/>
  <c r="AD126" i="13"/>
  <c r="AC127" i="13"/>
  <c r="AF127" i="13" s="1"/>
  <c r="AD127" i="13"/>
  <c r="AC128" i="13"/>
  <c r="AF128" i="13" s="1"/>
  <c r="AD128" i="13"/>
  <c r="AC129" i="13"/>
  <c r="AF129" i="13" s="1"/>
  <c r="AD129" i="13"/>
  <c r="AC130" i="13"/>
  <c r="AF130" i="13" s="1"/>
  <c r="AD130" i="13"/>
  <c r="AC131" i="13"/>
  <c r="AF131" i="13" s="1"/>
  <c r="AD131" i="13"/>
  <c r="AC132" i="13"/>
  <c r="AF132" i="13" s="1"/>
  <c r="AD132" i="13"/>
  <c r="AC133" i="13"/>
  <c r="AF133" i="13" s="1"/>
  <c r="AD133" i="13"/>
  <c r="AC134" i="13"/>
  <c r="AF134" i="13" s="1"/>
  <c r="AD134" i="13"/>
  <c r="AC135" i="13"/>
  <c r="AF135" i="13" s="1"/>
  <c r="AD135" i="13"/>
  <c r="AC136" i="13"/>
  <c r="AF136" i="13" s="1"/>
  <c r="AD136" i="13"/>
  <c r="AC137" i="13"/>
  <c r="AF137" i="13" s="1"/>
  <c r="AD137" i="13"/>
  <c r="AC138" i="13"/>
  <c r="AF138" i="13" s="1"/>
  <c r="AD138" i="13"/>
  <c r="AC139" i="13"/>
  <c r="AF139" i="13" s="1"/>
  <c r="AD139" i="13"/>
  <c r="AC140" i="13"/>
  <c r="AF140" i="13" s="1"/>
  <c r="AD140" i="13"/>
  <c r="AC141" i="13"/>
  <c r="AF141" i="13" s="1"/>
  <c r="AD141" i="13"/>
  <c r="AC142" i="13"/>
  <c r="AF142" i="13" s="1"/>
  <c r="AD142" i="13"/>
  <c r="AC143" i="13"/>
  <c r="AF143" i="13" s="1"/>
  <c r="AD143" i="13"/>
  <c r="AC144" i="13"/>
  <c r="AF144" i="13" s="1"/>
  <c r="AD144" i="13"/>
  <c r="AC145" i="13"/>
  <c r="AF145" i="13" s="1"/>
  <c r="AD145" i="13"/>
  <c r="AC146" i="13"/>
  <c r="AF146" i="13" s="1"/>
  <c r="AD146" i="13"/>
  <c r="AC147" i="13"/>
  <c r="AF147" i="13" s="1"/>
  <c r="AD147" i="13"/>
  <c r="AC148" i="13"/>
  <c r="AF148" i="13" s="1"/>
  <c r="AD148" i="13"/>
  <c r="AC149" i="13"/>
  <c r="AF149" i="13" s="1"/>
  <c r="AD149" i="13"/>
  <c r="AC150" i="13"/>
  <c r="AF150" i="13" s="1"/>
  <c r="AD150" i="13"/>
  <c r="AC151" i="13"/>
  <c r="AF151" i="13" s="1"/>
  <c r="AD151" i="13"/>
  <c r="AC152" i="13"/>
  <c r="AF152" i="13" s="1"/>
  <c r="AD152" i="13"/>
  <c r="AC153" i="13"/>
  <c r="AF153" i="13" s="1"/>
  <c r="AD153" i="13"/>
  <c r="AC154" i="13"/>
  <c r="AF154" i="13" s="1"/>
  <c r="AD154" i="13"/>
  <c r="AC155" i="13"/>
  <c r="AF155" i="13" s="1"/>
  <c r="AD155" i="13"/>
  <c r="AC156" i="13"/>
  <c r="AF156" i="13" s="1"/>
  <c r="AD156" i="13"/>
  <c r="AC157" i="13"/>
  <c r="AF157" i="13" s="1"/>
  <c r="AD157" i="13"/>
  <c r="AC158" i="13"/>
  <c r="AF158" i="13" s="1"/>
  <c r="AD158" i="13"/>
  <c r="AC159" i="13"/>
  <c r="AF159" i="13" s="1"/>
  <c r="AD159" i="13"/>
  <c r="AC160" i="13"/>
  <c r="AF160" i="13" s="1"/>
  <c r="AD160" i="13"/>
  <c r="AC161" i="13"/>
  <c r="AF161" i="13" s="1"/>
  <c r="AD161" i="13"/>
  <c r="AC162" i="13"/>
  <c r="AF162" i="13" s="1"/>
  <c r="AD162" i="13"/>
  <c r="AC163" i="13"/>
  <c r="AF163" i="13" s="1"/>
  <c r="AD163" i="13"/>
  <c r="AC164" i="13"/>
  <c r="AF164" i="13" s="1"/>
  <c r="AD164" i="13"/>
  <c r="AC165" i="13"/>
  <c r="AF165" i="13" s="1"/>
  <c r="AD165" i="13"/>
  <c r="AC166" i="13"/>
  <c r="AF166" i="13" s="1"/>
  <c r="AD166" i="13"/>
  <c r="AC167" i="13"/>
  <c r="AF167" i="13" s="1"/>
  <c r="AD167" i="13"/>
  <c r="AC168" i="13"/>
  <c r="AF168" i="13" s="1"/>
  <c r="AD168" i="13"/>
  <c r="AC169" i="13"/>
  <c r="AF169" i="13" s="1"/>
  <c r="AD169" i="13"/>
  <c r="AC170" i="13"/>
  <c r="AF170" i="13" s="1"/>
  <c r="AD170" i="13"/>
  <c r="AC171" i="13"/>
  <c r="AF171" i="13" s="1"/>
  <c r="AD171" i="13"/>
  <c r="AC172" i="13"/>
  <c r="AF172" i="13" s="1"/>
  <c r="AD172" i="13"/>
  <c r="AC173" i="13"/>
  <c r="AF173" i="13" s="1"/>
  <c r="AD173" i="13"/>
  <c r="AC174" i="13"/>
  <c r="AF174" i="13" s="1"/>
  <c r="AD174" i="13"/>
  <c r="AC175" i="13"/>
  <c r="AF175" i="13" s="1"/>
  <c r="AD175" i="13"/>
  <c r="AC176" i="13"/>
  <c r="AF176" i="13" s="1"/>
  <c r="AD176" i="13"/>
  <c r="AC177" i="13"/>
  <c r="AF177" i="13" s="1"/>
  <c r="AD177" i="13"/>
  <c r="AC178" i="13"/>
  <c r="AF178" i="13" s="1"/>
  <c r="AD178" i="13"/>
  <c r="AC179" i="13"/>
  <c r="AF179" i="13" s="1"/>
  <c r="AD179" i="13"/>
  <c r="AC180" i="13"/>
  <c r="AF180" i="13" s="1"/>
  <c r="AD180" i="13"/>
  <c r="AC181" i="13"/>
  <c r="AF181" i="13" s="1"/>
  <c r="AD181" i="13"/>
  <c r="AC182" i="13"/>
  <c r="AF182" i="13" s="1"/>
  <c r="AD182" i="13"/>
  <c r="AC183" i="13"/>
  <c r="AF183" i="13" s="1"/>
  <c r="AD183" i="13"/>
  <c r="AC184" i="13"/>
  <c r="AF184" i="13" s="1"/>
  <c r="AD184" i="13"/>
  <c r="AC185" i="13"/>
  <c r="AF185" i="13" s="1"/>
  <c r="AD185" i="13"/>
  <c r="AC186" i="13"/>
  <c r="AF186" i="13" s="1"/>
  <c r="AD186" i="13"/>
  <c r="AC187" i="13"/>
  <c r="AF187" i="13" s="1"/>
  <c r="AD187" i="13"/>
  <c r="AC188" i="13"/>
  <c r="AF188" i="13" s="1"/>
  <c r="AD188" i="13"/>
  <c r="AC189" i="13"/>
  <c r="AF189" i="13" s="1"/>
  <c r="AD189" i="13"/>
  <c r="AC190" i="13"/>
  <c r="AF190" i="13" s="1"/>
  <c r="AD190" i="13"/>
  <c r="AC191" i="13"/>
  <c r="AF191" i="13" s="1"/>
  <c r="AD191" i="13"/>
  <c r="AC192" i="13"/>
  <c r="AF192" i="13" s="1"/>
  <c r="AD192" i="13"/>
  <c r="AC193" i="13"/>
  <c r="AF193" i="13" s="1"/>
  <c r="AD193" i="13"/>
  <c r="AC449" i="13"/>
  <c r="AF449" i="13" s="1"/>
  <c r="AD449" i="13"/>
  <c r="AC195" i="13"/>
  <c r="AF195" i="13" s="1"/>
  <c r="AD195" i="13"/>
  <c r="AC196" i="13"/>
  <c r="AF196" i="13" s="1"/>
  <c r="AD196" i="13"/>
  <c r="AC197" i="13"/>
  <c r="AF197" i="13" s="1"/>
  <c r="AD197" i="13"/>
  <c r="AC198" i="13"/>
  <c r="AF198" i="13" s="1"/>
  <c r="AD198" i="13"/>
  <c r="AC199" i="13"/>
  <c r="AF199" i="13" s="1"/>
  <c r="AD199" i="13"/>
  <c r="AC200" i="13"/>
  <c r="AF200" i="13" s="1"/>
  <c r="AD200" i="13"/>
  <c r="AC201" i="13"/>
  <c r="AF201" i="13" s="1"/>
  <c r="AD201" i="13"/>
  <c r="AC202" i="13"/>
  <c r="AF202" i="13" s="1"/>
  <c r="AD202" i="13"/>
  <c r="AC203" i="13"/>
  <c r="AF203" i="13" s="1"/>
  <c r="AD203" i="13"/>
  <c r="AC204" i="13"/>
  <c r="AF204" i="13" s="1"/>
  <c r="AD204" i="13"/>
  <c r="AC205" i="13"/>
  <c r="AF205" i="13" s="1"/>
  <c r="AD205" i="13"/>
  <c r="AC206" i="13"/>
  <c r="AF206" i="13" s="1"/>
  <c r="AD206" i="13"/>
  <c r="AC207" i="13"/>
  <c r="AF207" i="13" s="1"/>
  <c r="AD207" i="13"/>
  <c r="AC208" i="13"/>
  <c r="AF208" i="13" s="1"/>
  <c r="AD208" i="13"/>
  <c r="AC209" i="13"/>
  <c r="AF209" i="13" s="1"/>
  <c r="AD209" i="13"/>
  <c r="AC210" i="13"/>
  <c r="AF210" i="13" s="1"/>
  <c r="AD210" i="13"/>
  <c r="AC211" i="13"/>
  <c r="AF211" i="13" s="1"/>
  <c r="AD211" i="13"/>
  <c r="AC587" i="13"/>
  <c r="AF587" i="13" s="1"/>
  <c r="AD587" i="13"/>
  <c r="AC576" i="13"/>
  <c r="AF576" i="13" s="1"/>
  <c r="AD576" i="13"/>
  <c r="AC214" i="13"/>
  <c r="AF214" i="13" s="1"/>
  <c r="AD214" i="13"/>
  <c r="AC561" i="13"/>
  <c r="AF561" i="13" s="1"/>
  <c r="AD561" i="13"/>
  <c r="AC216" i="13"/>
  <c r="AF216" i="13" s="1"/>
  <c r="AD216" i="13"/>
  <c r="AC217" i="13"/>
  <c r="AF217" i="13" s="1"/>
  <c r="AD217" i="13"/>
  <c r="AC218" i="13"/>
  <c r="AF218" i="13" s="1"/>
  <c r="AD218" i="13"/>
  <c r="AC219" i="13"/>
  <c r="AF219" i="13" s="1"/>
  <c r="AD219" i="13"/>
  <c r="AC220" i="13"/>
  <c r="AF220" i="13" s="1"/>
  <c r="AD220" i="13"/>
  <c r="AC221" i="13"/>
  <c r="AF221" i="13" s="1"/>
  <c r="AD221" i="13"/>
  <c r="AC222" i="13"/>
  <c r="AF222" i="13" s="1"/>
  <c r="AD222" i="13"/>
  <c r="AC223" i="13"/>
  <c r="AF223" i="13" s="1"/>
  <c r="AD223" i="13"/>
  <c r="AC224" i="13"/>
  <c r="AF224" i="13" s="1"/>
  <c r="AD224" i="13"/>
  <c r="AC225" i="13"/>
  <c r="AF225" i="13" s="1"/>
  <c r="AD225" i="13"/>
  <c r="AC226" i="13"/>
  <c r="AF226" i="13" s="1"/>
  <c r="AD226" i="13"/>
  <c r="AC227" i="13"/>
  <c r="AF227" i="13" s="1"/>
  <c r="AD227" i="13"/>
  <c r="AC228" i="13"/>
  <c r="AF228" i="13" s="1"/>
  <c r="AD228" i="13"/>
  <c r="AC229" i="13"/>
  <c r="AF229" i="13" s="1"/>
  <c r="AD229" i="13"/>
  <c r="AC230" i="13"/>
  <c r="AF230" i="13" s="1"/>
  <c r="AD230" i="13"/>
  <c r="AC231" i="13"/>
  <c r="AF231" i="13" s="1"/>
  <c r="AD231" i="13"/>
  <c r="AC232" i="13"/>
  <c r="AF232" i="13" s="1"/>
  <c r="AD232" i="13"/>
  <c r="AC233" i="13"/>
  <c r="AF233" i="13" s="1"/>
  <c r="AD233" i="13"/>
  <c r="AC234" i="13"/>
  <c r="AF234" i="13" s="1"/>
  <c r="AD234" i="13"/>
  <c r="AC235" i="13"/>
  <c r="AF235" i="13" s="1"/>
  <c r="AD235" i="13"/>
  <c r="AC236" i="13"/>
  <c r="AF236" i="13" s="1"/>
  <c r="AD236" i="13"/>
  <c r="AC237" i="13"/>
  <c r="AF237" i="13" s="1"/>
  <c r="AD237" i="13"/>
  <c r="AC238" i="13"/>
  <c r="AF238" i="13" s="1"/>
  <c r="AD238" i="13"/>
  <c r="AC239" i="13"/>
  <c r="AF239" i="13" s="1"/>
  <c r="AD239" i="13"/>
  <c r="AC240" i="13"/>
  <c r="AF240" i="13" s="1"/>
  <c r="AD240" i="13"/>
  <c r="AC241" i="13"/>
  <c r="AF241" i="13" s="1"/>
  <c r="AD241" i="13"/>
  <c r="AC242" i="13"/>
  <c r="AF242" i="13" s="1"/>
  <c r="AD242" i="13"/>
  <c r="AC243" i="13"/>
  <c r="AF243" i="13" s="1"/>
  <c r="AD243" i="13"/>
  <c r="AC578" i="13"/>
  <c r="AF578" i="13" s="1"/>
  <c r="AD578" i="13"/>
  <c r="AC245" i="13"/>
  <c r="AF245" i="13" s="1"/>
  <c r="AD245" i="13"/>
  <c r="AC246" i="13"/>
  <c r="AF246" i="13" s="1"/>
  <c r="AD246" i="13"/>
  <c r="AC247" i="13"/>
  <c r="AF247" i="13" s="1"/>
  <c r="AD247" i="13"/>
  <c r="AC248" i="13"/>
  <c r="AF248" i="13" s="1"/>
  <c r="AD248" i="13"/>
  <c r="AC249" i="13"/>
  <c r="AF249" i="13" s="1"/>
  <c r="AD249" i="13"/>
  <c r="AC250" i="13"/>
  <c r="AF250" i="13" s="1"/>
  <c r="AD250" i="13"/>
  <c r="AC251" i="13"/>
  <c r="AF251" i="13" s="1"/>
  <c r="AD251" i="13"/>
  <c r="AC252" i="13"/>
  <c r="AF252" i="13" s="1"/>
  <c r="AD252" i="13"/>
  <c r="AC253" i="13"/>
  <c r="AF253" i="13" s="1"/>
  <c r="AD253" i="13"/>
  <c r="AC254" i="13"/>
  <c r="AF254" i="13" s="1"/>
  <c r="AD254" i="13"/>
  <c r="AC255" i="13"/>
  <c r="AF255" i="13" s="1"/>
  <c r="AD255" i="13"/>
  <c r="AC588" i="13"/>
  <c r="AF588" i="13" s="1"/>
  <c r="AD588" i="13"/>
  <c r="AC257" i="13"/>
  <c r="AF257" i="13" s="1"/>
  <c r="AD257" i="13"/>
  <c r="AC258" i="13"/>
  <c r="AF258" i="13" s="1"/>
  <c r="AD258" i="13"/>
  <c r="AC259" i="13"/>
  <c r="AF259" i="13" s="1"/>
  <c r="AD259" i="13"/>
  <c r="AC260" i="13"/>
  <c r="AF260" i="13" s="1"/>
  <c r="AD260" i="13"/>
  <c r="AC261" i="13"/>
  <c r="AF261" i="13" s="1"/>
  <c r="AD261" i="13"/>
  <c r="AC262" i="13"/>
  <c r="AF262" i="13" s="1"/>
  <c r="AD262" i="13"/>
  <c r="AC263" i="13"/>
  <c r="AF263" i="13" s="1"/>
  <c r="AD263" i="13"/>
  <c r="AC264" i="13"/>
  <c r="AF264" i="13" s="1"/>
  <c r="AD264" i="13"/>
  <c r="AC265" i="13"/>
  <c r="AF265" i="13" s="1"/>
  <c r="AD265" i="13"/>
  <c r="AC266" i="13"/>
  <c r="AF266" i="13" s="1"/>
  <c r="AD266" i="13"/>
  <c r="AC267" i="13"/>
  <c r="AF267" i="13" s="1"/>
  <c r="AD267" i="13"/>
  <c r="AC268" i="13"/>
  <c r="AF268" i="13" s="1"/>
  <c r="AD268" i="13"/>
  <c r="AC269" i="13"/>
  <c r="AF269" i="13" s="1"/>
  <c r="AD269" i="13"/>
  <c r="AC270" i="13"/>
  <c r="AF270" i="13" s="1"/>
  <c r="AD270" i="13"/>
  <c r="AC271" i="13"/>
  <c r="AF271" i="13" s="1"/>
  <c r="AD271" i="13"/>
  <c r="AC272" i="13"/>
  <c r="AF272" i="13" s="1"/>
  <c r="AD272" i="13"/>
  <c r="AC273" i="13"/>
  <c r="AF273" i="13" s="1"/>
  <c r="AD273" i="13"/>
  <c r="AC274" i="13"/>
  <c r="AF274" i="13" s="1"/>
  <c r="AD274" i="13"/>
  <c r="AC275" i="13"/>
  <c r="AF275" i="13" s="1"/>
  <c r="AD275" i="13"/>
  <c r="AC276" i="13"/>
  <c r="AF276" i="13" s="1"/>
  <c r="AD276" i="13"/>
  <c r="AC277" i="13"/>
  <c r="AF277" i="13" s="1"/>
  <c r="AD277" i="13"/>
  <c r="AC278" i="13"/>
  <c r="AF278" i="13" s="1"/>
  <c r="AD278" i="13"/>
  <c r="AC279" i="13"/>
  <c r="AF279" i="13" s="1"/>
  <c r="AD279" i="13"/>
  <c r="AC280" i="13"/>
  <c r="AF280" i="13" s="1"/>
  <c r="AD280" i="13"/>
  <c r="AC281" i="13"/>
  <c r="AF281" i="13" s="1"/>
  <c r="AD281" i="13"/>
  <c r="AC282" i="13"/>
  <c r="AF282" i="13" s="1"/>
  <c r="AD282" i="13"/>
  <c r="AC283" i="13"/>
  <c r="AF283" i="13" s="1"/>
  <c r="AD283" i="13"/>
  <c r="AC284" i="13"/>
  <c r="AF284" i="13" s="1"/>
  <c r="AD284" i="13"/>
  <c r="AC285" i="13"/>
  <c r="AF285" i="13" s="1"/>
  <c r="AD285" i="13"/>
  <c r="AC286" i="13"/>
  <c r="AF286" i="13" s="1"/>
  <c r="AD286" i="13"/>
  <c r="AC287" i="13"/>
  <c r="AF287" i="13" s="1"/>
  <c r="AD287" i="13"/>
  <c r="AC288" i="13"/>
  <c r="AF288" i="13" s="1"/>
  <c r="AD288" i="13"/>
  <c r="AC289" i="13"/>
  <c r="AF289" i="13" s="1"/>
  <c r="AD289" i="13"/>
  <c r="AC589" i="13"/>
  <c r="AF589" i="13" s="1"/>
  <c r="AD589" i="13"/>
  <c r="AC291" i="13"/>
  <c r="AF291" i="13" s="1"/>
  <c r="AD291" i="13"/>
  <c r="AC606" i="13"/>
  <c r="AF606" i="13" s="1"/>
  <c r="AD606" i="13"/>
  <c r="AC293" i="13"/>
  <c r="AF293" i="13" s="1"/>
  <c r="AD293" i="13"/>
  <c r="AC294" i="13"/>
  <c r="AF294" i="13" s="1"/>
  <c r="AD294" i="13"/>
  <c r="AC295" i="13"/>
  <c r="AF295" i="13" s="1"/>
  <c r="AD295" i="13"/>
  <c r="AC296" i="13"/>
  <c r="AF296" i="13" s="1"/>
  <c r="AD296" i="13"/>
  <c r="AC297" i="13"/>
  <c r="AF297" i="13" s="1"/>
  <c r="AD297" i="13"/>
  <c r="AC298" i="13"/>
  <c r="AF298" i="13" s="1"/>
  <c r="AD298" i="13"/>
  <c r="AC299" i="13"/>
  <c r="AF299" i="13" s="1"/>
  <c r="AD299" i="13"/>
  <c r="AC300" i="13"/>
  <c r="AF300" i="13" s="1"/>
  <c r="AD300" i="13"/>
  <c r="AC301" i="13"/>
  <c r="AF301" i="13" s="1"/>
  <c r="AD301" i="13"/>
  <c r="AC302" i="13"/>
  <c r="AF302" i="13" s="1"/>
  <c r="AD302" i="13"/>
  <c r="AC303" i="13"/>
  <c r="AF303" i="13" s="1"/>
  <c r="AD303" i="13"/>
  <c r="AC304" i="13"/>
  <c r="AF304" i="13" s="1"/>
  <c r="AD304" i="13"/>
  <c r="AC305" i="13"/>
  <c r="AF305" i="13" s="1"/>
  <c r="AD305" i="13"/>
  <c r="AC306" i="13"/>
  <c r="AF306" i="13" s="1"/>
  <c r="AD306" i="13"/>
  <c r="AC307" i="13"/>
  <c r="AF307" i="13" s="1"/>
  <c r="AD307" i="13"/>
  <c r="AC308" i="13"/>
  <c r="AF308" i="13" s="1"/>
  <c r="AD308" i="13"/>
  <c r="AC309" i="13"/>
  <c r="AF309" i="13" s="1"/>
  <c r="AD309" i="13"/>
  <c r="AC310" i="13"/>
  <c r="AF310" i="13" s="1"/>
  <c r="AD310" i="13"/>
  <c r="AC311" i="13"/>
  <c r="AF311" i="13" s="1"/>
  <c r="AD311" i="13"/>
  <c r="AC312" i="13"/>
  <c r="AF312" i="13" s="1"/>
  <c r="AD312" i="13"/>
  <c r="AC313" i="13"/>
  <c r="AF313" i="13" s="1"/>
  <c r="AD313" i="13"/>
  <c r="AC314" i="13"/>
  <c r="AF314" i="13" s="1"/>
  <c r="AD314" i="13"/>
  <c r="AC315" i="13"/>
  <c r="AF315" i="13" s="1"/>
  <c r="AD315" i="13"/>
  <c r="AC316" i="13"/>
  <c r="AF316" i="13" s="1"/>
  <c r="AD316" i="13"/>
  <c r="AC317" i="13"/>
  <c r="AF317" i="13" s="1"/>
  <c r="AD317" i="13"/>
  <c r="AC318" i="13"/>
  <c r="AF318" i="13" s="1"/>
  <c r="AD318" i="13"/>
  <c r="AC319" i="13"/>
  <c r="AF319" i="13" s="1"/>
  <c r="AD319" i="13"/>
  <c r="AC320" i="13"/>
  <c r="AF320" i="13" s="1"/>
  <c r="AD320" i="13"/>
  <c r="AC321" i="13"/>
  <c r="AF321" i="13" s="1"/>
  <c r="AD321" i="13"/>
  <c r="AC322" i="13"/>
  <c r="AF322" i="13" s="1"/>
  <c r="AD322" i="13"/>
  <c r="AC323" i="13"/>
  <c r="AF323" i="13" s="1"/>
  <c r="AD323" i="13"/>
  <c r="AC324" i="13"/>
  <c r="AD324" i="13"/>
  <c r="AC325" i="13"/>
  <c r="AF325" i="13" s="1"/>
  <c r="AD325" i="13"/>
  <c r="AC326" i="13"/>
  <c r="AF326" i="13" s="1"/>
  <c r="AD326" i="13"/>
  <c r="AC327" i="13"/>
  <c r="AF327" i="13" s="1"/>
  <c r="AD327" i="13"/>
  <c r="AC328" i="13"/>
  <c r="AF328" i="13" s="1"/>
  <c r="AD328" i="13"/>
  <c r="AC329" i="13"/>
  <c r="AF329" i="13" s="1"/>
  <c r="AD329" i="13"/>
  <c r="AC330" i="13"/>
  <c r="AF330" i="13" s="1"/>
  <c r="AD330" i="13"/>
  <c r="AC331" i="13"/>
  <c r="AF331" i="13" s="1"/>
  <c r="AD331" i="13"/>
  <c r="AC332" i="13"/>
  <c r="AF332" i="13" s="1"/>
  <c r="AD332" i="13"/>
  <c r="AC333" i="13"/>
  <c r="AF333" i="13" s="1"/>
  <c r="AD333" i="13"/>
  <c r="AC334" i="13"/>
  <c r="AF334" i="13" s="1"/>
  <c r="AD334" i="13"/>
  <c r="AC335" i="13"/>
  <c r="AF335" i="13" s="1"/>
  <c r="AD335" i="13"/>
  <c r="AC336" i="13"/>
  <c r="AF336" i="13" s="1"/>
  <c r="AD336" i="13"/>
  <c r="AC337" i="13"/>
  <c r="AF337" i="13" s="1"/>
  <c r="AD337" i="13"/>
  <c r="AC338" i="13"/>
  <c r="AF338" i="13" s="1"/>
  <c r="AD338" i="13"/>
  <c r="AC339" i="13"/>
  <c r="AF339" i="13" s="1"/>
  <c r="AD339" i="13"/>
  <c r="AC340" i="13"/>
  <c r="AF340" i="13" s="1"/>
  <c r="AD340" i="13"/>
  <c r="AC341" i="13"/>
  <c r="AF341" i="13" s="1"/>
  <c r="AD341" i="13"/>
  <c r="AC342" i="13"/>
  <c r="AF342" i="13" s="1"/>
  <c r="AD342" i="13"/>
  <c r="AC343" i="13"/>
  <c r="AF343" i="13" s="1"/>
  <c r="AD343" i="13"/>
  <c r="AC344" i="13"/>
  <c r="AF344" i="13" s="1"/>
  <c r="AD344" i="13"/>
  <c r="AC345" i="13"/>
  <c r="AF345" i="13" s="1"/>
  <c r="AD345" i="13"/>
  <c r="AC346" i="13"/>
  <c r="AF346" i="13" s="1"/>
  <c r="AD346" i="13"/>
  <c r="AC347" i="13"/>
  <c r="AF347" i="13" s="1"/>
  <c r="AD347" i="13"/>
  <c r="AC348" i="13"/>
  <c r="AF348" i="13" s="1"/>
  <c r="AD348" i="13"/>
  <c r="AC349" i="13"/>
  <c r="AF349" i="13" s="1"/>
  <c r="AD349" i="13"/>
  <c r="AC350" i="13"/>
  <c r="AF350" i="13" s="1"/>
  <c r="AD350" i="13"/>
  <c r="AC351" i="13"/>
  <c r="AF351" i="13" s="1"/>
  <c r="AD351" i="13"/>
  <c r="AC352" i="13"/>
  <c r="AF352" i="13" s="1"/>
  <c r="AD352" i="13"/>
  <c r="AC353" i="13"/>
  <c r="AF353" i="13" s="1"/>
  <c r="AD353" i="13"/>
  <c r="AC354" i="13"/>
  <c r="AF354" i="13" s="1"/>
  <c r="AD354" i="13"/>
  <c r="AC355" i="13"/>
  <c r="AF355" i="13" s="1"/>
  <c r="AD355" i="13"/>
  <c r="AC356" i="13"/>
  <c r="AF356" i="13" s="1"/>
  <c r="AD356" i="13"/>
  <c r="AC357" i="13"/>
  <c r="AF357" i="13" s="1"/>
  <c r="AD357" i="13"/>
  <c r="AC358" i="13"/>
  <c r="AF358" i="13" s="1"/>
  <c r="AD358" i="13"/>
  <c r="AC629" i="13"/>
  <c r="AF629" i="13" s="1"/>
  <c r="AD629" i="13"/>
  <c r="AC360" i="13"/>
  <c r="AF360" i="13" s="1"/>
  <c r="AD360" i="13"/>
  <c r="AC361" i="13"/>
  <c r="AF361" i="13" s="1"/>
  <c r="AD361" i="13"/>
  <c r="AC362" i="13"/>
  <c r="AF362" i="13" s="1"/>
  <c r="AD362" i="13"/>
  <c r="AC363" i="13"/>
  <c r="AF363" i="13" s="1"/>
  <c r="AD363" i="13"/>
  <c r="AC364" i="13"/>
  <c r="AF364" i="13" s="1"/>
  <c r="AD364" i="13"/>
  <c r="AC365" i="13"/>
  <c r="AF365" i="13" s="1"/>
  <c r="AD365" i="13"/>
  <c r="AC366" i="13"/>
  <c r="AF366" i="13" s="1"/>
  <c r="AD366" i="13"/>
  <c r="AC367" i="13"/>
  <c r="AF367" i="13" s="1"/>
  <c r="AD367" i="13"/>
  <c r="AC368" i="13"/>
  <c r="AF368" i="13" s="1"/>
  <c r="AD368" i="13"/>
  <c r="AC290" i="13"/>
  <c r="AF290" i="13" s="1"/>
  <c r="AD290" i="13"/>
  <c r="AC370" i="13"/>
  <c r="AF370" i="13" s="1"/>
  <c r="AD370" i="13"/>
  <c r="AC371" i="13"/>
  <c r="AF371" i="13" s="1"/>
  <c r="AD371" i="13"/>
  <c r="AC372" i="13"/>
  <c r="AF372" i="13" s="1"/>
  <c r="AD372" i="13"/>
  <c r="AC373" i="13"/>
  <c r="AF373" i="13" s="1"/>
  <c r="AD373" i="13"/>
  <c r="AC374" i="13"/>
  <c r="AF374" i="13" s="1"/>
  <c r="AD374" i="13"/>
  <c r="AC375" i="13"/>
  <c r="AF375" i="13" s="1"/>
  <c r="AD375" i="13"/>
  <c r="AC376" i="13"/>
  <c r="AF376" i="13" s="1"/>
  <c r="AD376" i="13"/>
  <c r="AC377" i="13"/>
  <c r="AF377" i="13" s="1"/>
  <c r="AD377" i="13"/>
  <c r="AC378" i="13"/>
  <c r="AF378" i="13" s="1"/>
  <c r="AD378" i="13"/>
  <c r="AC379" i="13"/>
  <c r="AF379" i="13" s="1"/>
  <c r="AD379" i="13"/>
  <c r="AC380" i="13"/>
  <c r="AF380" i="13" s="1"/>
  <c r="AD380" i="13"/>
  <c r="AC381" i="13"/>
  <c r="AF381" i="13" s="1"/>
  <c r="AD381" i="13"/>
  <c r="AC382" i="13"/>
  <c r="AF382" i="13" s="1"/>
  <c r="AD382" i="13"/>
  <c r="AC383" i="13"/>
  <c r="AF383" i="13" s="1"/>
  <c r="AD383" i="13"/>
  <c r="AC384" i="13"/>
  <c r="AF384" i="13" s="1"/>
  <c r="AD384" i="13"/>
  <c r="AC385" i="13"/>
  <c r="AF385" i="13" s="1"/>
  <c r="AD385" i="13"/>
  <c r="AC386" i="13"/>
  <c r="AF386" i="13" s="1"/>
  <c r="AD386" i="13"/>
  <c r="AC387" i="13"/>
  <c r="AF387" i="13" s="1"/>
  <c r="AD387" i="13"/>
  <c r="AC388" i="13"/>
  <c r="AF388" i="13" s="1"/>
  <c r="AD388" i="13"/>
  <c r="AC389" i="13"/>
  <c r="AF389" i="13" s="1"/>
  <c r="AD389" i="13"/>
  <c r="AC390" i="13"/>
  <c r="AF390" i="13" s="1"/>
  <c r="AD390" i="13"/>
  <c r="AC391" i="13"/>
  <c r="AF391" i="13" s="1"/>
  <c r="AD391" i="13"/>
  <c r="AC392" i="13"/>
  <c r="AF392" i="13" s="1"/>
  <c r="AD392" i="13"/>
  <c r="AC393" i="13"/>
  <c r="AF393" i="13" s="1"/>
  <c r="AD393" i="13"/>
  <c r="AC394" i="13"/>
  <c r="AF394" i="13" s="1"/>
  <c r="AD394" i="13"/>
  <c r="AC395" i="13"/>
  <c r="AF395" i="13" s="1"/>
  <c r="AD395" i="13"/>
  <c r="AC396" i="13"/>
  <c r="AF396" i="13" s="1"/>
  <c r="AD396" i="13"/>
  <c r="AC397" i="13"/>
  <c r="AF397" i="13" s="1"/>
  <c r="AD397" i="13"/>
  <c r="AC398" i="13"/>
  <c r="AF398" i="13" s="1"/>
  <c r="AD398" i="13"/>
  <c r="AC399" i="13"/>
  <c r="AF399" i="13" s="1"/>
  <c r="AD399" i="13"/>
  <c r="AC400" i="13"/>
  <c r="AF400" i="13" s="1"/>
  <c r="AD400" i="13"/>
  <c r="AC401" i="13"/>
  <c r="AF401" i="13" s="1"/>
  <c r="AD401" i="13"/>
  <c r="AC402" i="13"/>
  <c r="AF402" i="13" s="1"/>
  <c r="AD402" i="13"/>
  <c r="AC574" i="13"/>
  <c r="AF574" i="13" s="1"/>
  <c r="AD574" i="13"/>
  <c r="AC404" i="13"/>
  <c r="AF404" i="13" s="1"/>
  <c r="AD404" i="13"/>
  <c r="AC405" i="13"/>
  <c r="AF405" i="13" s="1"/>
  <c r="AD405" i="13"/>
  <c r="AC406" i="13"/>
  <c r="AF406" i="13" s="1"/>
  <c r="AD406" i="13"/>
  <c r="AC407" i="13"/>
  <c r="AF407" i="13" s="1"/>
  <c r="AD407" i="13"/>
  <c r="AC408" i="13"/>
  <c r="AF408" i="13" s="1"/>
  <c r="AD408" i="13"/>
  <c r="AC409" i="13"/>
  <c r="AF409" i="13" s="1"/>
  <c r="AD409" i="13"/>
  <c r="AC410" i="13"/>
  <c r="AF410" i="13" s="1"/>
  <c r="AD410" i="13"/>
  <c r="AC411" i="13"/>
  <c r="AF411" i="13" s="1"/>
  <c r="AD411" i="13"/>
  <c r="AC412" i="13"/>
  <c r="AF412" i="13" s="1"/>
  <c r="AD412" i="13"/>
  <c r="AC413" i="13"/>
  <c r="AF413" i="13" s="1"/>
  <c r="AD413" i="13"/>
  <c r="AC414" i="13"/>
  <c r="AF414" i="13" s="1"/>
  <c r="AD414" i="13"/>
  <c r="AC415" i="13"/>
  <c r="AF415" i="13" s="1"/>
  <c r="AD415" i="13"/>
  <c r="AC416" i="13"/>
  <c r="AF416" i="13" s="1"/>
  <c r="AD416" i="13"/>
  <c r="AC417" i="13"/>
  <c r="AF417" i="13" s="1"/>
  <c r="AD417" i="13"/>
  <c r="AC418" i="13"/>
  <c r="AF418" i="13" s="1"/>
  <c r="AD418" i="13"/>
  <c r="AC419" i="13"/>
  <c r="AF419" i="13" s="1"/>
  <c r="AD419" i="13"/>
  <c r="AC420" i="13"/>
  <c r="AF420" i="13" s="1"/>
  <c r="AD420" i="13"/>
  <c r="AC421" i="13"/>
  <c r="AF421" i="13" s="1"/>
  <c r="AD421" i="13"/>
  <c r="AC422" i="13"/>
  <c r="AF422" i="13" s="1"/>
  <c r="AD422" i="13"/>
  <c r="AC423" i="13"/>
  <c r="AF423" i="13" s="1"/>
  <c r="AD423" i="13"/>
  <c r="AC424" i="13"/>
  <c r="AF424" i="13" s="1"/>
  <c r="AD424" i="13"/>
  <c r="AC425" i="13"/>
  <c r="AF425" i="13" s="1"/>
  <c r="AD425" i="13"/>
  <c r="AC426" i="13"/>
  <c r="AF426" i="13" s="1"/>
  <c r="AD426" i="13"/>
  <c r="AC427" i="13"/>
  <c r="AF427" i="13" s="1"/>
  <c r="AD427" i="13"/>
  <c r="AC428" i="13"/>
  <c r="AF428" i="13" s="1"/>
  <c r="AD428" i="13"/>
  <c r="AC429" i="13"/>
  <c r="AF429" i="13" s="1"/>
  <c r="AD429" i="13"/>
  <c r="AC430" i="13"/>
  <c r="AF430" i="13" s="1"/>
  <c r="AD430" i="13"/>
  <c r="AC431" i="13"/>
  <c r="AF431" i="13" s="1"/>
  <c r="AD431" i="13"/>
  <c r="AC432" i="13"/>
  <c r="AF432" i="13" s="1"/>
  <c r="AD432" i="13"/>
  <c r="AC433" i="13"/>
  <c r="AF433" i="13" s="1"/>
  <c r="AD433" i="13"/>
  <c r="AC434" i="13"/>
  <c r="AF434" i="13" s="1"/>
  <c r="AD434" i="13"/>
  <c r="AC435" i="13"/>
  <c r="AF435" i="13" s="1"/>
  <c r="AD435" i="13"/>
  <c r="AC436" i="13"/>
  <c r="AF436" i="13" s="1"/>
  <c r="AD436" i="13"/>
  <c r="AC437" i="13"/>
  <c r="AF437" i="13" s="1"/>
  <c r="AD437" i="13"/>
  <c r="AC438" i="13"/>
  <c r="AF438" i="13" s="1"/>
  <c r="AD438" i="13"/>
  <c r="AC439" i="13"/>
  <c r="AF439" i="13" s="1"/>
  <c r="AD439" i="13"/>
  <c r="AC440" i="13"/>
  <c r="AF440" i="13" s="1"/>
  <c r="AD440" i="13"/>
  <c r="AC441" i="13"/>
  <c r="AF441" i="13" s="1"/>
  <c r="AD441" i="13"/>
  <c r="AC53" i="13"/>
  <c r="AF53" i="13" s="1"/>
  <c r="AD53" i="13"/>
  <c r="AC443" i="13"/>
  <c r="AF443" i="13" s="1"/>
  <c r="AD443" i="13"/>
  <c r="AC444" i="13"/>
  <c r="AF444" i="13" s="1"/>
  <c r="AD444" i="13"/>
  <c r="AC488" i="13"/>
  <c r="AF488" i="13" s="1"/>
  <c r="AD488" i="13"/>
  <c r="AC446" i="13"/>
  <c r="AF446" i="13" s="1"/>
  <c r="AD446" i="13"/>
  <c r="AC447" i="13"/>
  <c r="AF447" i="13" s="1"/>
  <c r="AD447" i="13"/>
  <c r="AC448" i="13"/>
  <c r="AF448" i="13" s="1"/>
  <c r="AD448" i="13"/>
  <c r="AC212" i="13"/>
  <c r="AF212" i="13" s="1"/>
  <c r="AD212" i="13"/>
  <c r="AC450" i="13"/>
  <c r="AF450" i="13" s="1"/>
  <c r="AD450" i="13"/>
  <c r="AC451" i="13"/>
  <c r="AF451" i="13" s="1"/>
  <c r="AD451" i="13"/>
  <c r="AC452" i="13"/>
  <c r="AF452" i="13" s="1"/>
  <c r="AD452" i="13"/>
  <c r="AC453" i="13"/>
  <c r="AF453" i="13" s="1"/>
  <c r="AD453" i="13"/>
  <c r="AC454" i="13"/>
  <c r="AF454" i="13" s="1"/>
  <c r="AD454" i="13"/>
  <c r="AC455" i="13"/>
  <c r="AF455" i="13" s="1"/>
  <c r="AD455" i="13"/>
  <c r="AC456" i="13"/>
  <c r="AF456" i="13" s="1"/>
  <c r="AD456" i="13"/>
  <c r="AC457" i="13"/>
  <c r="AF457" i="13" s="1"/>
  <c r="AD457" i="13"/>
  <c r="AC458" i="13"/>
  <c r="AF458" i="13" s="1"/>
  <c r="AD458" i="13"/>
  <c r="AC459" i="13"/>
  <c r="AF459" i="13" s="1"/>
  <c r="AD459" i="13"/>
  <c r="AC460" i="13"/>
  <c r="AF460" i="13" s="1"/>
  <c r="AD460" i="13"/>
  <c r="AC461" i="13"/>
  <c r="AF461" i="13" s="1"/>
  <c r="AD461" i="13"/>
  <c r="AC591" i="13"/>
  <c r="AF591" i="13" s="1"/>
  <c r="AD591" i="13"/>
  <c r="AC463" i="13"/>
  <c r="AF463" i="13" s="1"/>
  <c r="AD463" i="13"/>
  <c r="AC464" i="13"/>
  <c r="AF464" i="13" s="1"/>
  <c r="AD464" i="13"/>
  <c r="AC506" i="13"/>
  <c r="AF506" i="13" s="1"/>
  <c r="AD506" i="13"/>
  <c r="AC93" i="13"/>
  <c r="AF93" i="13" s="1"/>
  <c r="AD93" i="13"/>
  <c r="AC467" i="13"/>
  <c r="AF467" i="13" s="1"/>
  <c r="AD467" i="13"/>
  <c r="AC468" i="13"/>
  <c r="AF468" i="13" s="1"/>
  <c r="AD468" i="13"/>
  <c r="AC469" i="13"/>
  <c r="AF469" i="13" s="1"/>
  <c r="AD469" i="13"/>
  <c r="AC498" i="13"/>
  <c r="AF498" i="13" s="1"/>
  <c r="AD498" i="13"/>
  <c r="AC471" i="13"/>
  <c r="AF471" i="13" s="1"/>
  <c r="AD471" i="13"/>
  <c r="AC472" i="13"/>
  <c r="AF472" i="13" s="1"/>
  <c r="AD472" i="13"/>
  <c r="AC473" i="13"/>
  <c r="AF473" i="13" s="1"/>
  <c r="AD473" i="13"/>
  <c r="AC474" i="13"/>
  <c r="AF474" i="13" s="1"/>
  <c r="AD474" i="13"/>
  <c r="AC475" i="13"/>
  <c r="AF475" i="13" s="1"/>
  <c r="AD475" i="13"/>
  <c r="AC462" i="13"/>
  <c r="AF462" i="13" s="1"/>
  <c r="AD462" i="13"/>
  <c r="AC477" i="13"/>
  <c r="AF477" i="13" s="1"/>
  <c r="AD477" i="13"/>
  <c r="AC478" i="13"/>
  <c r="AF478" i="13" s="1"/>
  <c r="AD478" i="13"/>
  <c r="AC479" i="13"/>
  <c r="AF479" i="13" s="1"/>
  <c r="AD479" i="13"/>
  <c r="AC480" i="13"/>
  <c r="AF480" i="13" s="1"/>
  <c r="AD480" i="13"/>
  <c r="AC481" i="13"/>
  <c r="AF481" i="13" s="1"/>
  <c r="AD481" i="13"/>
  <c r="AC482" i="13"/>
  <c r="AF482" i="13" s="1"/>
  <c r="AD482" i="13"/>
  <c r="AC483" i="13"/>
  <c r="AF483" i="13" s="1"/>
  <c r="AD483" i="13"/>
  <c r="AC484" i="13"/>
  <c r="AF484" i="13" s="1"/>
  <c r="AD484" i="13"/>
  <c r="AC485" i="13"/>
  <c r="AF485" i="13" s="1"/>
  <c r="AD485" i="13"/>
  <c r="AC486" i="13"/>
  <c r="AF486" i="13" s="1"/>
  <c r="AD486" i="13"/>
  <c r="AC487" i="13"/>
  <c r="AF487" i="13" s="1"/>
  <c r="AD487" i="13"/>
  <c r="AC445" i="13"/>
  <c r="AF445" i="13" s="1"/>
  <c r="AD445" i="13"/>
  <c r="AC73" i="13"/>
  <c r="AF73" i="13" s="1"/>
  <c r="AD73" i="13"/>
  <c r="AC494" i="13"/>
  <c r="AF494" i="13" s="1"/>
  <c r="AD494" i="13"/>
  <c r="AC491" i="13"/>
  <c r="AF491" i="13" s="1"/>
  <c r="AD491" i="13"/>
  <c r="AC492" i="13"/>
  <c r="AF492" i="13" s="1"/>
  <c r="AD492" i="13"/>
  <c r="AC493" i="13"/>
  <c r="AF493" i="13" s="1"/>
  <c r="AD493" i="13"/>
  <c r="AC694" i="13"/>
  <c r="AF694" i="13" s="1"/>
  <c r="AD694" i="13"/>
  <c r="AC495" i="13"/>
  <c r="AF495" i="13" s="1"/>
  <c r="AD495" i="13"/>
  <c r="AC39" i="13"/>
  <c r="AF39" i="13" s="1"/>
  <c r="AD39" i="13"/>
  <c r="AC5" i="13"/>
  <c r="AF5" i="13" s="1"/>
  <c r="AD5" i="13"/>
  <c r="AC256" i="13"/>
  <c r="AF256" i="13" s="1"/>
  <c r="AD256" i="13"/>
  <c r="AC499" i="13"/>
  <c r="AF499" i="13" s="1"/>
  <c r="AD499" i="13"/>
  <c r="AC500" i="13"/>
  <c r="AF500" i="13" s="1"/>
  <c r="AD500" i="13"/>
  <c r="AC501" i="13"/>
  <c r="AF501" i="13" s="1"/>
  <c r="AD501" i="13"/>
  <c r="AC502" i="13"/>
  <c r="AF502" i="13" s="1"/>
  <c r="AD502" i="13"/>
  <c r="AC503" i="13"/>
  <c r="AF503" i="13" s="1"/>
  <c r="AD503" i="13"/>
  <c r="AC504" i="13"/>
  <c r="AF504" i="13" s="1"/>
  <c r="AD504" i="13"/>
  <c r="AC620" i="13"/>
  <c r="AF620" i="13" s="1"/>
  <c r="AD620" i="13"/>
  <c r="AC553" i="13"/>
  <c r="AF553" i="13" s="1"/>
  <c r="AD553" i="13"/>
  <c r="AC507" i="13"/>
  <c r="AF507" i="13" s="1"/>
  <c r="AD507" i="13"/>
  <c r="AC508" i="13"/>
  <c r="AF508" i="13" s="1"/>
  <c r="AD508" i="13"/>
  <c r="AC509" i="13"/>
  <c r="AF509" i="13" s="1"/>
  <c r="AD509" i="13"/>
  <c r="AC510" i="13"/>
  <c r="AF510" i="13" s="1"/>
  <c r="AD510" i="13"/>
  <c r="AC511" i="13"/>
  <c r="AF511" i="13" s="1"/>
  <c r="AD511" i="13"/>
  <c r="AC512" i="13"/>
  <c r="AF512" i="13" s="1"/>
  <c r="AD512" i="13"/>
  <c r="AC513" i="13"/>
  <c r="AF513" i="13" s="1"/>
  <c r="AD513" i="13"/>
  <c r="AC514" i="13"/>
  <c r="AF514" i="13" s="1"/>
  <c r="AD514" i="13"/>
  <c r="AC515" i="13"/>
  <c r="AF515" i="13" s="1"/>
  <c r="AD515" i="13"/>
  <c r="AF215" i="13"/>
  <c r="AC517" i="13"/>
  <c r="AF517" i="13" s="1"/>
  <c r="AD517" i="13"/>
  <c r="AC518" i="13"/>
  <c r="AF518" i="13" s="1"/>
  <c r="AD518" i="13"/>
  <c r="AC519" i="13"/>
  <c r="AF519" i="13" s="1"/>
  <c r="AD519" i="13"/>
  <c r="AC594" i="13"/>
  <c r="AF594" i="13" s="1"/>
  <c r="AD594" i="13"/>
  <c r="AC520" i="13"/>
  <c r="AF520" i="13" s="1"/>
  <c r="AD520" i="13"/>
  <c r="AC521" i="13"/>
  <c r="AF521" i="13" s="1"/>
  <c r="AD521" i="13"/>
  <c r="AC522" i="13"/>
  <c r="AF522" i="13" s="1"/>
  <c r="AD522" i="13"/>
  <c r="AC523" i="13"/>
  <c r="AF523" i="13" s="1"/>
  <c r="AD523" i="13"/>
  <c r="AC524" i="13"/>
  <c r="AF524" i="13" s="1"/>
  <c r="AD524" i="13"/>
  <c r="AC525" i="13"/>
  <c r="AF525" i="13" s="1"/>
  <c r="AD525" i="13"/>
  <c r="AC526" i="13"/>
  <c r="AF526" i="13" s="1"/>
  <c r="AD526" i="13"/>
  <c r="AC527" i="13"/>
  <c r="AF527" i="13" s="1"/>
  <c r="AD527" i="13"/>
  <c r="AC94" i="13"/>
  <c r="AF94" i="13" s="1"/>
  <c r="AD94" i="13"/>
  <c r="AC592" i="13"/>
  <c r="AF592" i="13" s="1"/>
  <c r="AD592" i="13"/>
  <c r="AC571" i="13"/>
  <c r="AF571" i="13" s="1"/>
  <c r="AD571" i="13"/>
  <c r="AC695" i="13"/>
  <c r="AF695" i="13" s="1"/>
  <c r="AD695" i="13"/>
  <c r="AC530" i="13"/>
  <c r="AF530" i="13" s="1"/>
  <c r="AD530" i="13"/>
  <c r="AC476" i="13"/>
  <c r="AF476" i="13" s="1"/>
  <c r="AD476" i="13"/>
  <c r="AC613" i="13"/>
  <c r="AF613" i="13" s="1"/>
  <c r="AD613" i="13"/>
  <c r="AC533" i="13"/>
  <c r="AF533" i="13" s="1"/>
  <c r="AD533" i="13"/>
  <c r="AC534" i="13"/>
  <c r="AF534" i="13" s="1"/>
  <c r="AD534" i="13"/>
  <c r="AC535" i="13"/>
  <c r="AF535" i="13" s="1"/>
  <c r="AD535" i="13"/>
  <c r="AC536" i="13"/>
  <c r="AF536" i="13" s="1"/>
  <c r="AD536" i="13"/>
  <c r="AC244" i="13"/>
  <c r="AF244" i="13" s="1"/>
  <c r="AD244" i="13"/>
  <c r="AC538" i="13"/>
  <c r="AF538" i="13" s="1"/>
  <c r="AD538" i="13"/>
  <c r="AC539" i="13"/>
  <c r="AF539" i="13" s="1"/>
  <c r="AD539" i="13"/>
  <c r="AC540" i="13"/>
  <c r="AF540" i="13" s="1"/>
  <c r="AD540" i="13"/>
  <c r="AC87" i="13"/>
  <c r="AF87" i="13" s="1"/>
  <c r="AD87" i="13"/>
  <c r="AC542" i="13"/>
  <c r="AF542" i="13" s="1"/>
  <c r="AD542" i="13"/>
  <c r="AC543" i="13"/>
  <c r="AF543" i="13" s="1"/>
  <c r="AD543" i="13"/>
  <c r="AC544" i="13"/>
  <c r="AF544" i="13" s="1"/>
  <c r="AD544" i="13"/>
  <c r="AC545" i="13"/>
  <c r="AF545" i="13" s="1"/>
  <c r="AD545" i="13"/>
  <c r="AC688" i="13"/>
  <c r="AF688" i="13" s="1"/>
  <c r="AD688" i="13"/>
  <c r="AC547" i="13"/>
  <c r="AF547" i="13" s="1"/>
  <c r="AD547" i="13"/>
  <c r="AC548" i="13"/>
  <c r="AF548" i="13" s="1"/>
  <c r="AD548" i="13"/>
  <c r="AC549" i="13"/>
  <c r="AF549" i="13" s="1"/>
  <c r="AD549" i="13"/>
  <c r="AC470" i="13"/>
  <c r="AF470" i="13" s="1"/>
  <c r="AD470" i="13"/>
  <c r="AC551" i="13"/>
  <c r="AF551" i="13" s="1"/>
  <c r="AD551" i="13"/>
  <c r="AC552" i="13"/>
  <c r="AF552" i="13" s="1"/>
  <c r="AD552" i="13"/>
  <c r="AC621" i="13"/>
  <c r="AF621" i="13" s="1"/>
  <c r="AD621" i="13"/>
  <c r="AC554" i="13"/>
  <c r="AF554" i="13" s="1"/>
  <c r="AD554" i="13"/>
  <c r="AC555" i="13"/>
  <c r="AF555" i="13" s="1"/>
  <c r="AD555" i="13"/>
  <c r="AC556" i="13"/>
  <c r="AF556" i="13" s="1"/>
  <c r="AD556" i="13"/>
  <c r="AC557" i="13"/>
  <c r="AF557" i="13" s="1"/>
  <c r="AD557" i="13"/>
  <c r="AC558" i="13"/>
  <c r="AF558" i="13" s="1"/>
  <c r="AD558" i="13"/>
  <c r="AC559" i="13"/>
  <c r="AF559" i="13" s="1"/>
  <c r="AD559" i="13"/>
  <c r="AC618" i="13"/>
  <c r="AF618" i="13" s="1"/>
  <c r="AD618" i="13"/>
  <c r="AC532" i="13"/>
  <c r="AF532" i="13" s="1"/>
  <c r="AD532" i="13"/>
  <c r="AC562" i="13"/>
  <c r="AF562" i="13" s="1"/>
  <c r="AD562" i="13"/>
  <c r="AC600" i="13"/>
  <c r="AF600" i="13" s="1"/>
  <c r="AD600" i="13"/>
  <c r="AC564" i="13"/>
  <c r="AF564" i="13" s="1"/>
  <c r="AD564" i="13"/>
  <c r="AC565" i="13"/>
  <c r="AF565" i="13" s="1"/>
  <c r="AD565" i="13"/>
  <c r="AC566" i="13"/>
  <c r="AF566" i="13" s="1"/>
  <c r="AD566" i="13"/>
  <c r="AC567" i="13"/>
  <c r="AF567" i="13" s="1"/>
  <c r="AD567" i="13"/>
  <c r="AC568" i="13"/>
  <c r="AF568" i="13" s="1"/>
  <c r="AD568" i="13"/>
  <c r="AC569" i="13"/>
  <c r="AF569" i="13" s="1"/>
  <c r="AD569" i="13"/>
  <c r="AC570" i="13"/>
  <c r="AF570" i="13" s="1"/>
  <c r="AD570" i="13"/>
  <c r="AC497" i="13"/>
  <c r="AF497" i="13" s="1"/>
  <c r="AD497" i="13"/>
  <c r="AC572" i="13"/>
  <c r="AF572" i="13" s="1"/>
  <c r="AD572" i="13"/>
  <c r="AC573" i="13"/>
  <c r="AF573" i="13" s="1"/>
  <c r="AD573" i="13"/>
  <c r="AC516" i="13"/>
  <c r="AF516" i="13" s="1"/>
  <c r="AD516" i="13"/>
  <c r="AC575" i="13"/>
  <c r="AF575" i="13" s="1"/>
  <c r="AD575" i="13"/>
  <c r="AC359" i="13"/>
  <c r="AF359" i="13" s="1"/>
  <c r="AD359" i="13"/>
  <c r="AC577" i="13"/>
  <c r="AF577" i="13" s="1"/>
  <c r="AD577" i="13"/>
  <c r="AC369" i="13"/>
  <c r="AF369" i="13" s="1"/>
  <c r="AD369" i="13"/>
  <c r="AC579" i="13"/>
  <c r="AF579" i="13" s="1"/>
  <c r="AD579" i="13"/>
  <c r="AC580" i="13"/>
  <c r="AF580" i="13" s="1"/>
  <c r="AD580" i="13"/>
  <c r="AC581" i="13"/>
  <c r="AF581" i="13" s="1"/>
  <c r="AD581" i="13"/>
  <c r="AC582" i="13"/>
  <c r="AF582" i="13" s="1"/>
  <c r="AD582" i="13"/>
  <c r="AC442" i="13"/>
  <c r="AF442" i="13" s="1"/>
  <c r="AD442" i="13"/>
  <c r="AC584" i="13"/>
  <c r="AF584" i="13" s="1"/>
  <c r="AD584" i="13"/>
  <c r="AC585" i="13"/>
  <c r="AF585" i="13" s="1"/>
  <c r="AD585" i="13"/>
  <c r="AC586" i="13"/>
  <c r="AF586" i="13" s="1"/>
  <c r="AD586" i="13"/>
  <c r="AC194" i="13"/>
  <c r="AF194" i="13" s="1"/>
  <c r="AD194" i="13"/>
  <c r="AC563" i="13"/>
  <c r="AF563" i="13" s="1"/>
  <c r="AD563" i="13"/>
  <c r="AC630" i="13"/>
  <c r="AF630" i="13" s="1"/>
  <c r="AD630" i="13"/>
  <c r="AC590" i="13"/>
  <c r="AF590" i="13" s="1"/>
  <c r="AD590" i="13"/>
  <c r="AC213" i="13"/>
  <c r="AF213" i="13" s="1"/>
  <c r="AD213" i="13"/>
  <c r="AC3" i="13"/>
  <c r="AF3" i="13" s="1"/>
  <c r="AD3" i="13"/>
  <c r="AC593" i="13"/>
  <c r="AF593" i="13" s="1"/>
  <c r="AD593" i="13"/>
  <c r="AC619" i="13"/>
  <c r="AF619" i="13" s="1"/>
  <c r="AD619" i="13"/>
  <c r="AC595" i="13"/>
  <c r="AF595" i="13" s="1"/>
  <c r="AD595" i="13"/>
  <c r="AC596" i="13"/>
  <c r="AF596" i="13" s="1"/>
  <c r="AD596" i="13"/>
  <c r="AC597" i="13"/>
  <c r="AF597" i="13" s="1"/>
  <c r="AD597" i="13"/>
  <c r="AC598" i="13"/>
  <c r="AF598" i="13" s="1"/>
  <c r="AD598" i="13"/>
  <c r="AC693" i="13"/>
  <c r="AF693" i="13" s="1"/>
  <c r="AD693" i="13"/>
  <c r="AC599" i="13"/>
  <c r="AF599" i="13" s="1"/>
  <c r="AD599" i="13"/>
  <c r="AC531" i="13"/>
  <c r="AF531" i="13" s="1"/>
  <c r="AD531" i="13"/>
  <c r="AC601" i="13"/>
  <c r="AF601" i="13" s="1"/>
  <c r="AD601" i="13"/>
  <c r="AC560" i="13"/>
  <c r="AF560" i="13" s="1"/>
  <c r="AD560" i="13"/>
  <c r="AC603" i="13"/>
  <c r="AF603" i="13" s="1"/>
  <c r="AD603" i="13"/>
  <c r="AC604" i="13"/>
  <c r="AF604" i="13" s="1"/>
  <c r="AD604" i="13"/>
  <c r="AC605" i="13"/>
  <c r="AF605" i="13" s="1"/>
  <c r="AD605" i="13"/>
  <c r="AC550" i="13"/>
  <c r="AF550" i="13" s="1"/>
  <c r="AD550" i="13"/>
  <c r="AC607" i="13"/>
  <c r="AF607" i="13" s="1"/>
  <c r="AD607" i="13"/>
  <c r="AC608" i="13"/>
  <c r="AF608" i="13" s="1"/>
  <c r="AD608" i="13"/>
  <c r="AC609" i="13"/>
  <c r="AF609" i="13" s="1"/>
  <c r="AD609" i="13"/>
  <c r="AC12" i="13"/>
  <c r="AF12" i="13" s="1"/>
  <c r="AD12" i="13"/>
  <c r="AC611" i="13"/>
  <c r="AF611" i="13" s="1"/>
  <c r="AD611" i="13"/>
  <c r="AC612" i="13"/>
  <c r="AF612" i="13" s="1"/>
  <c r="AD612" i="13"/>
  <c r="AC505" i="13"/>
  <c r="AF505" i="13" s="1"/>
  <c r="AD505" i="13"/>
  <c r="AC614" i="13"/>
  <c r="AF614" i="13" s="1"/>
  <c r="AD614" i="13"/>
  <c r="AC615" i="13"/>
  <c r="AF615" i="13" s="1"/>
  <c r="AD615" i="13"/>
  <c r="AC292" i="13"/>
  <c r="AF292" i="13" s="1"/>
  <c r="AD292" i="13"/>
  <c r="AC617" i="13"/>
  <c r="AF617" i="13" s="1"/>
  <c r="AD617" i="13"/>
  <c r="AC465" i="13"/>
  <c r="AF465" i="13" s="1"/>
  <c r="AD465" i="13"/>
  <c r="AC466" i="13"/>
  <c r="AF466" i="13" s="1"/>
  <c r="AD466" i="13"/>
  <c r="AC602" i="13"/>
  <c r="AF602" i="13" s="1"/>
  <c r="AD602" i="13"/>
  <c r="AC529" i="13"/>
  <c r="AF529" i="13" s="1"/>
  <c r="AD529" i="13"/>
  <c r="AC622" i="13"/>
  <c r="AF622" i="13" s="1"/>
  <c r="AD622" i="13"/>
  <c r="AC623" i="13"/>
  <c r="AF623" i="13" s="1"/>
  <c r="AD623" i="13"/>
  <c r="AC489" i="13"/>
  <c r="AF489" i="13" s="1"/>
  <c r="AD489" i="13"/>
  <c r="AC541" i="13"/>
  <c r="AF541" i="13" s="1"/>
  <c r="AD541" i="13"/>
  <c r="AC626" i="13"/>
  <c r="AF626" i="13" s="1"/>
  <c r="AD626" i="13"/>
  <c r="AC627" i="13"/>
  <c r="AF627" i="13" s="1"/>
  <c r="AD627" i="13"/>
  <c r="AC628" i="13"/>
  <c r="AF628" i="13" s="1"/>
  <c r="AD628" i="13"/>
  <c r="AC537" i="13"/>
  <c r="AF537" i="13" s="1"/>
  <c r="AD537" i="13"/>
  <c r="AC116" i="13"/>
  <c r="AF116" i="13" s="1"/>
  <c r="AD116" i="13"/>
  <c r="AC631" i="13"/>
  <c r="AF631" i="13" s="1"/>
  <c r="AD631" i="13"/>
  <c r="AC632" i="13"/>
  <c r="AF632" i="13" s="1"/>
  <c r="AD632" i="13"/>
  <c r="AC633" i="13"/>
  <c r="AF633" i="13" s="1"/>
  <c r="AD633" i="13"/>
  <c r="AC634" i="13"/>
  <c r="AF634" i="13" s="1"/>
  <c r="AD634" i="13"/>
  <c r="AC635" i="13"/>
  <c r="AF635" i="13" s="1"/>
  <c r="AD635" i="13"/>
  <c r="R1054" i="6" l="1"/>
  <c r="W1055" i="6"/>
  <c r="W1105" i="6"/>
  <c r="W1054" i="6"/>
  <c r="W1102" i="6"/>
  <c r="AH324" i="13"/>
  <c r="AF324" i="13"/>
  <c r="R1055" i="6"/>
  <c r="AQ636" i="13"/>
  <c r="AS636" i="13"/>
  <c r="AT636" i="13" s="1"/>
  <c r="AB636" i="13"/>
  <c r="AJ636" i="13"/>
  <c r="AP636" i="13"/>
  <c r="AK636" i="13"/>
  <c r="AH635" i="13"/>
  <c r="AE635" i="13"/>
  <c r="AG635" i="13"/>
  <c r="AH537" i="13"/>
  <c r="AG537" i="13"/>
  <c r="AE537" i="13"/>
  <c r="AH623" i="13"/>
  <c r="AG623" i="13"/>
  <c r="AE623" i="13"/>
  <c r="AH615" i="13"/>
  <c r="AE615" i="13"/>
  <c r="AG615" i="13"/>
  <c r="AH609" i="13"/>
  <c r="AG609" i="13"/>
  <c r="AE609" i="13"/>
  <c r="AH603" i="13"/>
  <c r="AE603" i="13"/>
  <c r="AG603" i="13"/>
  <c r="AH598" i="13"/>
  <c r="AE598" i="13"/>
  <c r="AG598" i="13"/>
  <c r="AH590" i="13"/>
  <c r="AE590" i="13"/>
  <c r="AG590" i="13"/>
  <c r="AH582" i="13"/>
  <c r="AE582" i="13"/>
  <c r="AG582" i="13"/>
  <c r="AH359" i="13"/>
  <c r="AG359" i="13"/>
  <c r="AE359" i="13"/>
  <c r="AH570" i="13"/>
  <c r="AG570" i="13"/>
  <c r="AE570" i="13"/>
  <c r="AH562" i="13"/>
  <c r="AE562" i="13"/>
  <c r="AG562" i="13"/>
  <c r="AH556" i="13"/>
  <c r="AE556" i="13"/>
  <c r="AG556" i="13"/>
  <c r="AH470" i="13"/>
  <c r="AG470" i="13"/>
  <c r="AE470" i="13"/>
  <c r="AH544" i="13"/>
  <c r="AG544" i="13"/>
  <c r="AE544" i="13"/>
  <c r="AH536" i="13"/>
  <c r="AE536" i="13"/>
  <c r="AG536" i="13"/>
  <c r="AH530" i="13"/>
  <c r="AG530" i="13"/>
  <c r="AE530" i="13"/>
  <c r="AH524" i="13"/>
  <c r="AG524" i="13"/>
  <c r="AE524" i="13"/>
  <c r="AH519" i="13"/>
  <c r="AG519" i="13"/>
  <c r="AE519" i="13"/>
  <c r="AH513" i="13"/>
  <c r="AG513" i="13"/>
  <c r="AE513" i="13"/>
  <c r="AH507" i="13"/>
  <c r="AG507" i="13"/>
  <c r="AE507" i="13"/>
  <c r="AH499" i="13"/>
  <c r="AG499" i="13"/>
  <c r="AE499" i="13"/>
  <c r="AH491" i="13"/>
  <c r="AG491" i="13"/>
  <c r="AE491" i="13"/>
  <c r="AH73" i="13"/>
  <c r="AE73" i="13"/>
  <c r="AG73" i="13"/>
  <c r="AH483" i="13"/>
  <c r="AG483" i="13"/>
  <c r="AE483" i="13"/>
  <c r="AH475" i="13"/>
  <c r="AG475" i="13"/>
  <c r="AE475" i="13"/>
  <c r="AH469" i="13"/>
  <c r="AG469" i="13"/>
  <c r="AE469" i="13"/>
  <c r="AH463" i="13"/>
  <c r="AE463" i="13"/>
  <c r="AG463" i="13"/>
  <c r="AH455" i="13"/>
  <c r="AG455" i="13"/>
  <c r="AE455" i="13"/>
  <c r="AH447" i="13"/>
  <c r="AE447" i="13"/>
  <c r="AG447" i="13"/>
  <c r="AH441" i="13"/>
  <c r="AG441" i="13"/>
  <c r="AE441" i="13"/>
  <c r="AH437" i="13"/>
  <c r="AE437" i="13"/>
  <c r="AG437" i="13"/>
  <c r="AH433" i="13"/>
  <c r="AE433" i="13"/>
  <c r="AG433" i="13"/>
  <c r="AH427" i="13"/>
  <c r="AE427" i="13"/>
  <c r="AG427" i="13"/>
  <c r="AH423" i="13"/>
  <c r="AG423" i="13"/>
  <c r="AE423" i="13"/>
  <c r="AH419" i="13"/>
  <c r="AG419" i="13"/>
  <c r="AE419" i="13"/>
  <c r="AH415" i="13"/>
  <c r="AG415" i="13"/>
  <c r="AE415" i="13"/>
  <c r="AH409" i="13"/>
  <c r="AE409" i="13"/>
  <c r="AG409" i="13"/>
  <c r="AH405" i="13"/>
  <c r="AE405" i="13"/>
  <c r="AG405" i="13"/>
  <c r="AH401" i="13"/>
  <c r="AE401" i="13"/>
  <c r="AG401" i="13"/>
  <c r="AH397" i="13"/>
  <c r="AE397" i="13"/>
  <c r="AG397" i="13"/>
  <c r="AH393" i="13"/>
  <c r="AE393" i="13"/>
  <c r="AG393" i="13"/>
  <c r="AH387" i="13"/>
  <c r="AE387" i="13"/>
  <c r="AG387" i="13"/>
  <c r="AH383" i="13"/>
  <c r="AG383" i="13"/>
  <c r="AE383" i="13"/>
  <c r="AH379" i="13"/>
  <c r="AG379" i="13"/>
  <c r="AE379" i="13"/>
  <c r="AH373" i="13"/>
  <c r="AG373" i="13"/>
  <c r="AE373" i="13"/>
  <c r="AH290" i="13"/>
  <c r="AE290" i="13"/>
  <c r="AG290" i="13"/>
  <c r="AH365" i="13"/>
  <c r="AE365" i="13"/>
  <c r="AG365" i="13"/>
  <c r="AH361" i="13"/>
  <c r="AE361" i="13"/>
  <c r="AG361" i="13"/>
  <c r="AH357" i="13"/>
  <c r="AE357" i="13"/>
  <c r="AG357" i="13"/>
  <c r="AH353" i="13"/>
  <c r="AE353" i="13"/>
  <c r="AG353" i="13"/>
  <c r="AH347" i="13"/>
  <c r="AE347" i="13"/>
  <c r="AG347" i="13"/>
  <c r="AH343" i="13"/>
  <c r="AE343" i="13"/>
  <c r="AG343" i="13"/>
  <c r="AH339" i="13"/>
  <c r="AG339" i="13"/>
  <c r="AE339" i="13"/>
  <c r="AH335" i="13"/>
  <c r="AG335" i="13"/>
  <c r="AE335" i="13"/>
  <c r="AH329" i="13"/>
  <c r="AE329" i="13"/>
  <c r="AG329" i="13"/>
  <c r="AH325" i="13"/>
  <c r="AE325" i="13"/>
  <c r="AG325" i="13"/>
  <c r="AH321" i="13"/>
  <c r="AE321" i="13"/>
  <c r="AG321" i="13"/>
  <c r="AH317" i="13"/>
  <c r="AE317" i="13"/>
  <c r="AG317" i="13"/>
  <c r="AH311" i="13"/>
  <c r="AE311" i="13"/>
  <c r="AG311" i="13"/>
  <c r="AH307" i="13"/>
  <c r="AE307" i="13"/>
  <c r="AG307" i="13"/>
  <c r="AH303" i="13"/>
  <c r="AE303" i="13"/>
  <c r="AG303" i="13"/>
  <c r="AH299" i="13"/>
  <c r="AG299" i="13"/>
  <c r="AE299" i="13"/>
  <c r="AH293" i="13"/>
  <c r="AG293" i="13"/>
  <c r="AE293" i="13"/>
  <c r="AH289" i="13"/>
  <c r="AG289" i="13"/>
  <c r="AE289" i="13"/>
  <c r="AH285" i="13"/>
  <c r="AE285" i="13"/>
  <c r="AG285" i="13"/>
  <c r="AH281" i="13"/>
  <c r="AG281" i="13"/>
  <c r="AE281" i="13"/>
  <c r="AH277" i="13"/>
  <c r="AG277" i="13"/>
  <c r="AE277" i="13"/>
  <c r="AH271" i="13"/>
  <c r="AE271" i="13"/>
  <c r="AG271" i="13"/>
  <c r="AH267" i="13"/>
  <c r="AE267" i="13"/>
  <c r="AG267" i="13"/>
  <c r="AH263" i="13"/>
  <c r="AG263" i="13"/>
  <c r="AE263" i="13"/>
  <c r="AH259" i="13"/>
  <c r="AE259" i="13"/>
  <c r="AG259" i="13"/>
  <c r="AH253" i="13"/>
  <c r="AG253" i="13"/>
  <c r="AE253" i="13"/>
  <c r="AH249" i="13"/>
  <c r="AG249" i="13"/>
  <c r="AE249" i="13"/>
  <c r="AH245" i="13"/>
  <c r="AG245" i="13"/>
  <c r="AE245" i="13"/>
  <c r="AH239" i="13"/>
  <c r="AE239" i="13"/>
  <c r="AG239" i="13"/>
  <c r="AH235" i="13"/>
  <c r="AE235" i="13"/>
  <c r="AG235" i="13"/>
  <c r="AH231" i="13"/>
  <c r="AE231" i="13"/>
  <c r="AG231" i="13"/>
  <c r="AH225" i="13"/>
  <c r="AG225" i="13"/>
  <c r="AE225" i="13"/>
  <c r="AH221" i="13"/>
  <c r="AG221" i="13"/>
  <c r="AE221" i="13"/>
  <c r="AH561" i="13"/>
  <c r="AG561" i="13"/>
  <c r="AE561" i="13"/>
  <c r="AH211" i="13"/>
  <c r="AE211" i="13"/>
  <c r="AG211" i="13"/>
  <c r="AH207" i="13"/>
  <c r="AE207" i="13"/>
  <c r="AG207" i="13"/>
  <c r="AH203" i="13"/>
  <c r="AE203" i="13"/>
  <c r="AG203" i="13"/>
  <c r="AH199" i="13"/>
  <c r="AE199" i="13"/>
  <c r="AG199" i="13"/>
  <c r="AH193" i="13"/>
  <c r="AG193" i="13"/>
  <c r="AE193" i="13"/>
  <c r="AH189" i="13"/>
  <c r="AG189" i="13"/>
  <c r="AE189" i="13"/>
  <c r="AH185" i="13"/>
  <c r="AG185" i="13"/>
  <c r="AE185" i="13"/>
  <c r="AH179" i="13"/>
  <c r="AE179" i="13"/>
  <c r="AG179" i="13"/>
  <c r="AH175" i="13"/>
  <c r="AE175" i="13"/>
  <c r="AG175" i="13"/>
  <c r="AH171" i="13"/>
  <c r="AE171" i="13"/>
  <c r="AG171" i="13"/>
  <c r="AH165" i="13"/>
  <c r="AG165" i="13"/>
  <c r="AE165" i="13"/>
  <c r="AH161" i="13"/>
  <c r="AG161" i="13"/>
  <c r="AE161" i="13"/>
  <c r="AH157" i="13"/>
  <c r="AG157" i="13"/>
  <c r="AE157" i="13"/>
  <c r="AH153" i="13"/>
  <c r="AG153" i="13"/>
  <c r="AE153" i="13"/>
  <c r="AH149" i="13"/>
  <c r="AG149" i="13"/>
  <c r="AE149" i="13"/>
  <c r="AH143" i="13"/>
  <c r="AE143" i="13"/>
  <c r="AG143" i="13"/>
  <c r="AH139" i="13"/>
  <c r="AE139" i="13"/>
  <c r="AG139" i="13"/>
  <c r="AH135" i="13"/>
  <c r="AE135" i="13"/>
  <c r="AG135" i="13"/>
  <c r="AH129" i="13"/>
  <c r="AG129" i="13"/>
  <c r="AE129" i="13"/>
  <c r="AH125" i="13"/>
  <c r="AE125" i="13"/>
  <c r="AG125" i="13"/>
  <c r="AH121" i="13"/>
  <c r="AG121" i="13"/>
  <c r="AE121" i="13"/>
  <c r="AH117" i="13"/>
  <c r="AG117" i="13"/>
  <c r="AE117" i="13"/>
  <c r="AH111" i="13"/>
  <c r="AE111" i="13"/>
  <c r="AG111" i="13"/>
  <c r="AH107" i="13"/>
  <c r="AG107" i="13"/>
  <c r="AE107" i="13"/>
  <c r="AH103" i="13"/>
  <c r="AE103" i="13"/>
  <c r="AG103" i="13"/>
  <c r="AH99" i="13"/>
  <c r="AE99" i="13"/>
  <c r="AG99" i="13"/>
  <c r="AH97" i="13"/>
  <c r="AE97" i="13"/>
  <c r="AG97" i="13"/>
  <c r="AH624" i="13"/>
  <c r="AG624" i="13"/>
  <c r="AE624" i="13"/>
  <c r="AH91" i="13"/>
  <c r="AE91" i="13"/>
  <c r="AG91" i="13"/>
  <c r="AH89" i="13"/>
  <c r="AG89" i="13"/>
  <c r="AE89" i="13"/>
  <c r="AH625" i="13"/>
  <c r="AE625" i="13"/>
  <c r="AG625" i="13"/>
  <c r="AH85" i="13"/>
  <c r="AG85" i="13"/>
  <c r="AE85" i="13"/>
  <c r="AH83" i="13"/>
  <c r="AE83" i="13"/>
  <c r="AG83" i="13"/>
  <c r="AH81" i="13"/>
  <c r="AG81" i="13"/>
  <c r="AE81" i="13"/>
  <c r="AH79" i="13"/>
  <c r="AE79" i="13"/>
  <c r="AG79" i="13"/>
  <c r="AH77" i="13"/>
  <c r="AG77" i="13"/>
  <c r="AE77" i="13"/>
  <c r="AH75" i="13"/>
  <c r="AE75" i="13"/>
  <c r="AG75" i="13"/>
  <c r="AH616" i="13"/>
  <c r="AE616" i="13"/>
  <c r="AG616" i="13"/>
  <c r="AH71" i="13"/>
  <c r="AE71" i="13"/>
  <c r="AG71" i="13"/>
  <c r="AH69" i="13"/>
  <c r="AG69" i="13"/>
  <c r="AE69" i="13"/>
  <c r="AH67" i="13"/>
  <c r="AE67" i="13"/>
  <c r="AG67" i="13"/>
  <c r="AH65" i="13"/>
  <c r="AE65" i="13"/>
  <c r="AG65" i="13"/>
  <c r="AH63" i="13"/>
  <c r="AE63" i="13"/>
  <c r="AG63" i="13"/>
  <c r="AH61" i="13"/>
  <c r="AG61" i="13"/>
  <c r="AE61" i="13"/>
  <c r="AH59" i="13"/>
  <c r="AE59" i="13"/>
  <c r="AG59" i="13"/>
  <c r="AH57" i="13"/>
  <c r="AG57" i="13"/>
  <c r="AE57" i="13"/>
  <c r="AH55" i="13"/>
  <c r="AE55" i="13"/>
  <c r="AG55" i="13"/>
  <c r="AH583" i="13"/>
  <c r="AE583" i="13"/>
  <c r="AG583" i="13"/>
  <c r="AH51" i="13"/>
  <c r="AE51" i="13"/>
  <c r="AG51" i="13"/>
  <c r="AH49" i="13"/>
  <c r="AG49" i="13"/>
  <c r="AE49" i="13"/>
  <c r="AH47" i="13"/>
  <c r="AE47" i="13"/>
  <c r="AG47" i="13"/>
  <c r="AH45" i="13"/>
  <c r="AG45" i="13"/>
  <c r="AE45" i="13"/>
  <c r="AH43" i="13"/>
  <c r="AE43" i="13"/>
  <c r="AG43" i="13"/>
  <c r="AH41" i="13"/>
  <c r="AG41" i="13"/>
  <c r="AE41" i="13"/>
  <c r="AH528" i="13"/>
  <c r="AE528" i="13"/>
  <c r="AG528" i="13"/>
  <c r="AH37" i="13"/>
  <c r="AG37" i="13"/>
  <c r="AE37" i="13"/>
  <c r="AH35" i="13"/>
  <c r="AE35" i="13"/>
  <c r="AG35" i="13"/>
  <c r="AH33" i="13"/>
  <c r="AG33" i="13"/>
  <c r="AE33" i="13"/>
  <c r="AH31" i="13"/>
  <c r="AE31" i="13"/>
  <c r="AG31" i="13"/>
  <c r="AH29" i="13"/>
  <c r="AG29" i="13"/>
  <c r="AE29" i="13"/>
  <c r="AH27" i="13"/>
  <c r="AE27" i="13"/>
  <c r="AG27" i="13"/>
  <c r="AH25" i="13"/>
  <c r="AG25" i="13"/>
  <c r="AE25" i="13"/>
  <c r="AH23" i="13"/>
  <c r="AE23" i="13"/>
  <c r="AG23" i="13"/>
  <c r="AH21" i="13"/>
  <c r="AG21" i="13"/>
  <c r="AE21" i="13"/>
  <c r="AH610" i="13"/>
  <c r="AE610" i="13"/>
  <c r="AG610" i="13"/>
  <c r="AH17" i="13"/>
  <c r="AG17" i="13"/>
  <c r="AE17" i="13"/>
  <c r="AH15" i="13"/>
  <c r="AE15" i="13"/>
  <c r="AG15" i="13"/>
  <c r="AH13" i="13"/>
  <c r="AG13" i="13"/>
  <c r="AE13" i="13"/>
  <c r="AH11" i="13"/>
  <c r="AE11" i="13"/>
  <c r="AG11" i="13"/>
  <c r="AH9" i="13"/>
  <c r="AG9" i="13"/>
  <c r="AE9" i="13"/>
  <c r="AH7" i="13"/>
  <c r="AE7" i="13"/>
  <c r="AG7" i="13"/>
  <c r="AH403" i="13"/>
  <c r="AG403" i="13"/>
  <c r="AE403" i="13"/>
  <c r="AH496" i="13"/>
  <c r="AE496" i="13"/>
  <c r="AG496" i="13"/>
  <c r="AH631" i="13"/>
  <c r="AG631" i="13"/>
  <c r="AE631" i="13"/>
  <c r="AH541" i="13"/>
  <c r="AE541" i="13"/>
  <c r="AG541" i="13"/>
  <c r="AH466" i="13"/>
  <c r="AE466" i="13"/>
  <c r="AG466" i="13"/>
  <c r="AH617" i="13"/>
  <c r="AG617" i="13"/>
  <c r="AE617" i="13"/>
  <c r="AH611" i="13"/>
  <c r="AG611" i="13"/>
  <c r="AE611" i="13"/>
  <c r="AH605" i="13"/>
  <c r="AE605" i="13"/>
  <c r="AG605" i="13"/>
  <c r="AH599" i="13"/>
  <c r="AE599" i="13"/>
  <c r="AG599" i="13"/>
  <c r="AH619" i="13"/>
  <c r="AE619" i="13"/>
  <c r="AG619" i="13"/>
  <c r="AH3" i="13"/>
  <c r="AG3" i="13"/>
  <c r="AE3" i="13"/>
  <c r="AH563" i="13"/>
  <c r="AE563" i="13"/>
  <c r="AG563" i="13"/>
  <c r="AH584" i="13"/>
  <c r="AE584" i="13"/>
  <c r="AG584" i="13"/>
  <c r="AH369" i="13"/>
  <c r="AE369" i="13"/>
  <c r="AG369" i="13"/>
  <c r="AH516" i="13"/>
  <c r="AE516" i="13"/>
  <c r="AG516" i="13"/>
  <c r="AH568" i="13"/>
  <c r="AG568" i="13"/>
  <c r="AE568" i="13"/>
  <c r="AH564" i="13"/>
  <c r="AG564" i="13"/>
  <c r="AE564" i="13"/>
  <c r="AH558" i="13"/>
  <c r="AG558" i="13"/>
  <c r="AE558" i="13"/>
  <c r="AH554" i="13"/>
  <c r="AE554" i="13"/>
  <c r="AG554" i="13"/>
  <c r="AH548" i="13"/>
  <c r="AG548" i="13"/>
  <c r="AE548" i="13"/>
  <c r="AH542" i="13"/>
  <c r="AG542" i="13"/>
  <c r="AE542" i="13"/>
  <c r="AH538" i="13"/>
  <c r="AE538" i="13"/>
  <c r="AG538" i="13"/>
  <c r="AH534" i="13"/>
  <c r="AG534" i="13"/>
  <c r="AE534" i="13"/>
  <c r="AH571" i="13"/>
  <c r="AE571" i="13"/>
  <c r="AG571" i="13"/>
  <c r="AH94" i="13"/>
  <c r="AE94" i="13"/>
  <c r="AG94" i="13"/>
  <c r="AH522" i="13"/>
  <c r="AE522" i="13"/>
  <c r="AG522" i="13"/>
  <c r="AH517" i="13"/>
  <c r="AE517" i="13"/>
  <c r="AG517" i="13"/>
  <c r="AH511" i="13"/>
  <c r="AG511" i="13"/>
  <c r="AE511" i="13"/>
  <c r="AH620" i="13"/>
  <c r="AG620" i="13"/>
  <c r="AE620" i="13"/>
  <c r="AH501" i="13"/>
  <c r="AE501" i="13"/>
  <c r="AG501" i="13"/>
  <c r="AH5" i="13"/>
  <c r="AE5" i="13"/>
  <c r="AG5" i="13"/>
  <c r="AH493" i="13"/>
  <c r="AG493" i="13"/>
  <c r="AE493" i="13"/>
  <c r="AH487" i="13"/>
  <c r="AE487" i="13"/>
  <c r="AG487" i="13"/>
  <c r="AH481" i="13"/>
  <c r="AG481" i="13"/>
  <c r="AE481" i="13"/>
  <c r="AH477" i="13"/>
  <c r="AE477" i="13"/>
  <c r="AG477" i="13"/>
  <c r="AH471" i="13"/>
  <c r="AG471" i="13"/>
  <c r="AE471" i="13"/>
  <c r="AH506" i="13"/>
  <c r="AE506" i="13"/>
  <c r="AG506" i="13"/>
  <c r="AH461" i="13"/>
  <c r="AG461" i="13"/>
  <c r="AE461" i="13"/>
  <c r="AH457" i="13"/>
  <c r="AE457" i="13"/>
  <c r="AG457" i="13"/>
  <c r="AH451" i="13"/>
  <c r="AE451" i="13"/>
  <c r="AG451" i="13"/>
  <c r="AH488" i="13"/>
  <c r="AG488" i="13"/>
  <c r="AE488" i="13"/>
  <c r="AH439" i="13"/>
  <c r="AG439" i="13"/>
  <c r="AE439" i="13"/>
  <c r="AH435" i="13"/>
  <c r="AE435" i="13"/>
  <c r="AG435" i="13"/>
  <c r="AH431" i="13"/>
  <c r="AG431" i="13"/>
  <c r="AE431" i="13"/>
  <c r="AH429" i="13"/>
  <c r="AE429" i="13"/>
  <c r="AG429" i="13"/>
  <c r="AH425" i="13"/>
  <c r="AE425" i="13"/>
  <c r="AG425" i="13"/>
  <c r="AH421" i="13"/>
  <c r="AE421" i="13"/>
  <c r="AG421" i="13"/>
  <c r="AH417" i="13"/>
  <c r="AE417" i="13"/>
  <c r="AG417" i="13"/>
  <c r="AH413" i="13"/>
  <c r="AG413" i="13"/>
  <c r="AE413" i="13"/>
  <c r="AH411" i="13"/>
  <c r="AE411" i="13"/>
  <c r="AG411" i="13"/>
  <c r="AH407" i="13"/>
  <c r="AG407" i="13"/>
  <c r="AE407" i="13"/>
  <c r="AH574" i="13"/>
  <c r="AG574" i="13"/>
  <c r="AE574" i="13"/>
  <c r="AH399" i="13"/>
  <c r="AG399" i="13"/>
  <c r="AE399" i="13"/>
  <c r="AH395" i="13"/>
  <c r="AE395" i="13"/>
  <c r="AG395" i="13"/>
  <c r="AH391" i="13"/>
  <c r="AG391" i="13"/>
  <c r="AE391" i="13"/>
  <c r="AH389" i="13"/>
  <c r="AE389" i="13"/>
  <c r="AG389" i="13"/>
  <c r="AH385" i="13"/>
  <c r="AG385" i="13"/>
  <c r="AE385" i="13"/>
  <c r="AH381" i="13"/>
  <c r="AE381" i="13"/>
  <c r="AG381" i="13"/>
  <c r="AH377" i="13"/>
  <c r="AE377" i="13"/>
  <c r="AG377" i="13"/>
  <c r="AH375" i="13"/>
  <c r="AG375" i="13"/>
  <c r="AE375" i="13"/>
  <c r="AH371" i="13"/>
  <c r="AG371" i="13"/>
  <c r="AE371" i="13"/>
  <c r="AH367" i="13"/>
  <c r="AG367" i="13"/>
  <c r="AE367" i="13"/>
  <c r="AH363" i="13"/>
  <c r="AG363" i="13"/>
  <c r="AE363" i="13"/>
  <c r="AH629" i="13"/>
  <c r="AG629" i="13"/>
  <c r="AE629" i="13"/>
  <c r="AH355" i="13"/>
  <c r="AG355" i="13"/>
  <c r="AE355" i="13"/>
  <c r="AH351" i="13"/>
  <c r="AG351" i="13"/>
  <c r="AE351" i="13"/>
  <c r="AH349" i="13"/>
  <c r="AE349" i="13"/>
  <c r="AG349" i="13"/>
  <c r="AH345" i="13"/>
  <c r="AE345" i="13"/>
  <c r="AG345" i="13"/>
  <c r="AH341" i="13"/>
  <c r="AE341" i="13"/>
  <c r="AG341" i="13"/>
  <c r="AH337" i="13"/>
  <c r="AE337" i="13"/>
  <c r="AG337" i="13"/>
  <c r="AH333" i="13"/>
  <c r="AE333" i="13"/>
  <c r="AG333" i="13"/>
  <c r="AH331" i="13"/>
  <c r="AG331" i="13"/>
  <c r="AE331" i="13"/>
  <c r="AH327" i="13"/>
  <c r="AG327" i="13"/>
  <c r="AE327" i="13"/>
  <c r="AH323" i="13"/>
  <c r="AE323" i="13"/>
  <c r="AG323" i="13"/>
  <c r="AH319" i="13"/>
  <c r="AG319" i="13"/>
  <c r="AE319" i="13"/>
  <c r="AH315" i="13"/>
  <c r="AG315" i="13"/>
  <c r="AE315" i="13"/>
  <c r="AH313" i="13"/>
  <c r="AE313" i="13"/>
  <c r="AG313" i="13"/>
  <c r="AH309" i="13"/>
  <c r="AE309" i="13"/>
  <c r="AG309" i="13"/>
  <c r="AH305" i="13"/>
  <c r="AG305" i="13"/>
  <c r="AE305" i="13"/>
  <c r="AH301" i="13"/>
  <c r="AE301" i="13"/>
  <c r="AG301" i="13"/>
  <c r="AH297" i="13"/>
  <c r="AE297" i="13"/>
  <c r="AG297" i="13"/>
  <c r="AH295" i="13"/>
  <c r="AE295" i="13"/>
  <c r="AG295" i="13"/>
  <c r="AH291" i="13"/>
  <c r="AE291" i="13"/>
  <c r="AG291" i="13"/>
  <c r="AH287" i="13"/>
  <c r="AE287" i="13"/>
  <c r="AG287" i="13"/>
  <c r="AH283" i="13"/>
  <c r="AG283" i="13"/>
  <c r="AE283" i="13"/>
  <c r="AH279" i="13"/>
  <c r="AE279" i="13"/>
  <c r="AG279" i="13"/>
  <c r="AH275" i="13"/>
  <c r="AE275" i="13"/>
  <c r="AG275" i="13"/>
  <c r="AH273" i="13"/>
  <c r="AG273" i="13"/>
  <c r="AE273" i="13"/>
  <c r="AH269" i="13"/>
  <c r="AG269" i="13"/>
  <c r="AE269" i="13"/>
  <c r="AH265" i="13"/>
  <c r="AG265" i="13"/>
  <c r="AE265" i="13"/>
  <c r="AH261" i="13"/>
  <c r="AG261" i="13"/>
  <c r="AE261" i="13"/>
  <c r="AH257" i="13"/>
  <c r="AG257" i="13"/>
  <c r="AE257" i="13"/>
  <c r="AH255" i="13"/>
  <c r="AE255" i="13"/>
  <c r="AG255" i="13"/>
  <c r="AH251" i="13"/>
  <c r="AE251" i="13"/>
  <c r="AG251" i="13"/>
  <c r="AH247" i="13"/>
  <c r="AG247" i="13"/>
  <c r="AE247" i="13"/>
  <c r="AH243" i="13"/>
  <c r="AE243" i="13"/>
  <c r="AG243" i="13"/>
  <c r="AH241" i="13"/>
  <c r="AG241" i="13"/>
  <c r="AE241" i="13"/>
  <c r="AH237" i="13"/>
  <c r="AG237" i="13"/>
  <c r="AE237" i="13"/>
  <c r="AH233" i="13"/>
  <c r="AG233" i="13"/>
  <c r="AE233" i="13"/>
  <c r="AH229" i="13"/>
  <c r="AG229" i="13"/>
  <c r="AE229" i="13"/>
  <c r="AH227" i="13"/>
  <c r="AG227" i="13"/>
  <c r="AE227" i="13"/>
  <c r="AH223" i="13"/>
  <c r="AG223" i="13"/>
  <c r="AE223" i="13"/>
  <c r="AH219" i="13"/>
  <c r="AE219" i="13"/>
  <c r="AG219" i="13"/>
  <c r="AH217" i="13"/>
  <c r="AG217" i="13"/>
  <c r="AE217" i="13"/>
  <c r="AH576" i="13"/>
  <c r="AG576" i="13"/>
  <c r="AE576" i="13"/>
  <c r="AH209" i="13"/>
  <c r="AG209" i="13"/>
  <c r="AE209" i="13"/>
  <c r="AH205" i="13"/>
  <c r="AG205" i="13"/>
  <c r="AE205" i="13"/>
  <c r="AH201" i="13"/>
  <c r="AG201" i="13"/>
  <c r="AE201" i="13"/>
  <c r="AH197" i="13"/>
  <c r="AE197" i="13"/>
  <c r="AG197" i="13"/>
  <c r="AH195" i="13"/>
  <c r="AE195" i="13"/>
  <c r="AG195" i="13"/>
  <c r="AH191" i="13"/>
  <c r="AE191" i="13"/>
  <c r="AG191" i="13"/>
  <c r="AH187" i="13"/>
  <c r="AE187" i="13"/>
  <c r="AG187" i="13"/>
  <c r="AH183" i="13"/>
  <c r="AE183" i="13"/>
  <c r="AG183" i="13"/>
  <c r="AH181" i="13"/>
  <c r="AG181" i="13"/>
  <c r="AE181" i="13"/>
  <c r="AH177" i="13"/>
  <c r="AG177" i="13"/>
  <c r="AE177" i="13"/>
  <c r="AH173" i="13"/>
  <c r="AG173" i="13"/>
  <c r="AE173" i="13"/>
  <c r="AH169" i="13"/>
  <c r="AG169" i="13"/>
  <c r="AE169" i="13"/>
  <c r="AH167" i="13"/>
  <c r="AE167" i="13"/>
  <c r="AG167" i="13"/>
  <c r="AH163" i="13"/>
  <c r="AE163" i="13"/>
  <c r="AG163" i="13"/>
  <c r="AH159" i="13"/>
  <c r="AE159" i="13"/>
  <c r="AG159" i="13"/>
  <c r="AH155" i="13"/>
  <c r="AG155" i="13"/>
  <c r="AE155" i="13"/>
  <c r="AH151" i="13"/>
  <c r="AE151" i="13"/>
  <c r="AG151" i="13"/>
  <c r="AH147" i="13"/>
  <c r="AE147" i="13"/>
  <c r="AG147" i="13"/>
  <c r="AH145" i="13"/>
  <c r="AG145" i="13"/>
  <c r="AE145" i="13"/>
  <c r="AH141" i="13"/>
  <c r="AG141" i="13"/>
  <c r="AE141" i="13"/>
  <c r="AH137" i="13"/>
  <c r="AG137" i="13"/>
  <c r="AE137" i="13"/>
  <c r="AH133" i="13"/>
  <c r="AG133" i="13"/>
  <c r="AE133" i="13"/>
  <c r="AH131" i="13"/>
  <c r="AG131" i="13"/>
  <c r="AE131" i="13"/>
  <c r="AH127" i="13"/>
  <c r="AE127" i="13"/>
  <c r="AG127" i="13"/>
  <c r="AH123" i="13"/>
  <c r="AE123" i="13"/>
  <c r="AG123" i="13"/>
  <c r="AH119" i="13"/>
  <c r="AE119" i="13"/>
  <c r="AG119" i="13"/>
  <c r="AH115" i="13"/>
  <c r="AE115" i="13"/>
  <c r="AG115" i="13"/>
  <c r="AH113" i="13"/>
  <c r="AG113" i="13"/>
  <c r="AE113" i="13"/>
  <c r="AH109" i="13"/>
  <c r="AE109" i="13"/>
  <c r="AG109" i="13"/>
  <c r="AH105" i="13"/>
  <c r="AG105" i="13"/>
  <c r="AE105" i="13"/>
  <c r="AH101" i="13"/>
  <c r="AG101" i="13"/>
  <c r="AE101" i="13"/>
  <c r="AH95" i="13"/>
  <c r="AG95" i="13"/>
  <c r="AE95" i="13"/>
  <c r="AH633" i="13"/>
  <c r="AG633" i="13"/>
  <c r="AE633" i="13"/>
  <c r="AH627" i="13"/>
  <c r="AG627" i="13"/>
  <c r="AE627" i="13"/>
  <c r="AH529" i="13"/>
  <c r="AG529" i="13"/>
  <c r="AE529" i="13"/>
  <c r="AH505" i="13"/>
  <c r="AE505" i="13"/>
  <c r="AG505" i="13"/>
  <c r="AH607" i="13"/>
  <c r="AG607" i="13"/>
  <c r="AE607" i="13"/>
  <c r="AH601" i="13"/>
  <c r="AG601" i="13"/>
  <c r="AE601" i="13"/>
  <c r="AH596" i="13"/>
  <c r="AE596" i="13"/>
  <c r="AG596" i="13"/>
  <c r="AH586" i="13"/>
  <c r="AG586" i="13"/>
  <c r="AE586" i="13"/>
  <c r="AH580" i="13"/>
  <c r="AG580" i="13"/>
  <c r="AE580" i="13"/>
  <c r="AH572" i="13"/>
  <c r="AG572" i="13"/>
  <c r="AE572" i="13"/>
  <c r="AH566" i="13"/>
  <c r="AE566" i="13"/>
  <c r="AG566" i="13"/>
  <c r="AH618" i="13"/>
  <c r="AG618" i="13"/>
  <c r="AE618" i="13"/>
  <c r="AH552" i="13"/>
  <c r="AE552" i="13"/>
  <c r="AG552" i="13"/>
  <c r="AH688" i="13"/>
  <c r="AG688" i="13"/>
  <c r="AE688" i="13"/>
  <c r="AH540" i="13"/>
  <c r="AG540" i="13"/>
  <c r="AE540" i="13"/>
  <c r="AH613" i="13"/>
  <c r="AE613" i="13"/>
  <c r="AG613" i="13"/>
  <c r="AH526" i="13"/>
  <c r="AG526" i="13"/>
  <c r="AE526" i="13"/>
  <c r="AH520" i="13"/>
  <c r="AE520" i="13"/>
  <c r="AG520" i="13"/>
  <c r="AH515" i="13"/>
  <c r="AG515" i="13"/>
  <c r="AE515" i="13"/>
  <c r="AH509" i="13"/>
  <c r="AE509" i="13"/>
  <c r="AG509" i="13"/>
  <c r="AH503" i="13"/>
  <c r="AE503" i="13"/>
  <c r="AG503" i="13"/>
  <c r="AH495" i="13"/>
  <c r="AE495" i="13"/>
  <c r="AG495" i="13"/>
  <c r="AH485" i="13"/>
  <c r="AG485" i="13"/>
  <c r="AE485" i="13"/>
  <c r="AH479" i="13"/>
  <c r="AG479" i="13"/>
  <c r="AE479" i="13"/>
  <c r="AH473" i="13"/>
  <c r="AE473" i="13"/>
  <c r="AG473" i="13"/>
  <c r="AH467" i="13"/>
  <c r="AG467" i="13"/>
  <c r="AE467" i="13"/>
  <c r="AH459" i="13"/>
  <c r="AE459" i="13"/>
  <c r="AG459" i="13"/>
  <c r="AH453" i="13"/>
  <c r="AE453" i="13"/>
  <c r="AG453" i="13"/>
  <c r="AH212" i="13"/>
  <c r="AG212" i="13"/>
  <c r="AE212" i="13"/>
  <c r="AH443" i="13"/>
  <c r="AG443" i="13"/>
  <c r="AE443" i="13"/>
  <c r="AH634" i="13"/>
  <c r="AE634" i="13"/>
  <c r="AG634" i="13"/>
  <c r="AH632" i="13"/>
  <c r="AG632" i="13"/>
  <c r="AE632" i="13"/>
  <c r="AH116" i="13"/>
  <c r="AG116" i="13"/>
  <c r="AE116" i="13"/>
  <c r="AH628" i="13"/>
  <c r="AG628" i="13"/>
  <c r="AE628" i="13"/>
  <c r="AH626" i="13"/>
  <c r="AG626" i="13"/>
  <c r="AE626" i="13"/>
  <c r="AH489" i="13"/>
  <c r="AG489" i="13"/>
  <c r="AE489" i="13"/>
  <c r="AH622" i="13"/>
  <c r="AG622" i="13"/>
  <c r="AE622" i="13"/>
  <c r="AH602" i="13"/>
  <c r="AG602" i="13"/>
  <c r="AE602" i="13"/>
  <c r="AH465" i="13"/>
  <c r="AE465" i="13"/>
  <c r="AG465" i="13"/>
  <c r="AH292" i="13"/>
  <c r="AG292" i="13"/>
  <c r="AE292" i="13"/>
  <c r="AH614" i="13"/>
  <c r="AE614" i="13"/>
  <c r="AG614" i="13"/>
  <c r="AH612" i="13"/>
  <c r="AG612" i="13"/>
  <c r="AE612" i="13"/>
  <c r="AH12" i="13"/>
  <c r="AE12" i="13"/>
  <c r="AG12" i="13"/>
  <c r="AH608" i="13"/>
  <c r="AE608" i="13"/>
  <c r="AG608" i="13"/>
  <c r="AH550" i="13"/>
  <c r="AG550" i="13"/>
  <c r="AE550" i="13"/>
  <c r="AH604" i="13"/>
  <c r="AG604" i="13"/>
  <c r="AE604" i="13"/>
  <c r="AH560" i="13"/>
  <c r="AE560" i="13"/>
  <c r="AG560" i="13"/>
  <c r="AH531" i="13"/>
  <c r="AG531" i="13"/>
  <c r="AE531" i="13"/>
  <c r="AH693" i="13"/>
  <c r="AG693" i="13"/>
  <c r="AE693" i="13"/>
  <c r="AG597" i="13"/>
  <c r="AE597" i="13"/>
  <c r="AH595" i="13"/>
  <c r="AE595" i="13"/>
  <c r="AG595" i="13"/>
  <c r="AH593" i="13"/>
  <c r="AE593" i="13"/>
  <c r="AG593" i="13"/>
  <c r="AH213" i="13"/>
  <c r="AE213" i="13"/>
  <c r="AG213" i="13"/>
  <c r="AH630" i="13"/>
  <c r="AE630" i="13"/>
  <c r="AG630" i="13"/>
  <c r="AH194" i="13"/>
  <c r="AG194" i="13"/>
  <c r="AE194" i="13"/>
  <c r="AH585" i="13"/>
  <c r="AE585" i="13"/>
  <c r="AG585" i="13"/>
  <c r="AH442" i="13"/>
  <c r="AG442" i="13"/>
  <c r="AE442" i="13"/>
  <c r="AH581" i="13"/>
  <c r="AE581" i="13"/>
  <c r="AG581" i="13"/>
  <c r="AH579" i="13"/>
  <c r="AE579" i="13"/>
  <c r="AG579" i="13"/>
  <c r="AH577" i="13"/>
  <c r="AG577" i="13"/>
  <c r="AE577" i="13"/>
  <c r="AH575" i="13"/>
  <c r="AE575" i="13"/>
  <c r="AG575" i="13"/>
  <c r="AH573" i="13"/>
  <c r="AE573" i="13"/>
  <c r="AG573" i="13"/>
  <c r="AH497" i="13"/>
  <c r="AG497" i="13"/>
  <c r="AE497" i="13"/>
  <c r="AH569" i="13"/>
  <c r="AE569" i="13"/>
  <c r="AG569" i="13"/>
  <c r="AH567" i="13"/>
  <c r="AE567" i="13"/>
  <c r="AG567" i="13"/>
  <c r="AH565" i="13"/>
  <c r="AG565" i="13"/>
  <c r="AE565" i="13"/>
  <c r="AH600" i="13"/>
  <c r="AG600" i="13"/>
  <c r="AE600" i="13"/>
  <c r="AH532" i="13"/>
  <c r="AE532" i="13"/>
  <c r="AG532" i="13"/>
  <c r="AH559" i="13"/>
  <c r="AG559" i="13"/>
  <c r="AE559" i="13"/>
  <c r="AH557" i="13"/>
  <c r="AE557" i="13"/>
  <c r="AG557" i="13"/>
  <c r="AH555" i="13"/>
  <c r="AE555" i="13"/>
  <c r="AG555" i="13"/>
  <c r="AH621" i="13"/>
  <c r="AG621" i="13"/>
  <c r="AE621" i="13"/>
  <c r="AH551" i="13"/>
  <c r="AG551" i="13"/>
  <c r="AE551" i="13"/>
  <c r="AH549" i="13"/>
  <c r="AE549" i="13"/>
  <c r="AG549" i="13"/>
  <c r="AH547" i="13"/>
  <c r="AG547" i="13"/>
  <c r="AE547" i="13"/>
  <c r="AH545" i="13"/>
  <c r="AE545" i="13"/>
  <c r="AG545" i="13"/>
  <c r="AH543" i="13"/>
  <c r="AE543" i="13"/>
  <c r="AG543" i="13"/>
  <c r="AH87" i="13"/>
  <c r="AG87" i="13"/>
  <c r="AE87" i="13"/>
  <c r="AH539" i="13"/>
  <c r="AE539" i="13"/>
  <c r="AG539" i="13"/>
  <c r="AH244" i="13"/>
  <c r="AE244" i="13"/>
  <c r="AG244" i="13"/>
  <c r="AH535" i="13"/>
  <c r="AE535" i="13"/>
  <c r="AG535" i="13"/>
  <c r="AH533" i="13"/>
  <c r="AE533" i="13"/>
  <c r="AG533" i="13"/>
  <c r="AH476" i="13"/>
  <c r="AE476" i="13"/>
  <c r="AG476" i="13"/>
  <c r="AH695" i="13"/>
  <c r="AE695" i="13"/>
  <c r="AG695" i="13"/>
  <c r="AH592" i="13"/>
  <c r="AE592" i="13"/>
  <c r="AG592" i="13"/>
  <c r="AH527" i="13"/>
  <c r="AE527" i="13"/>
  <c r="AG527" i="13"/>
  <c r="AH525" i="13"/>
  <c r="AE525" i="13"/>
  <c r="AG525" i="13"/>
  <c r="AH523" i="13"/>
  <c r="AG523" i="13"/>
  <c r="AE523" i="13"/>
  <c r="AH521" i="13"/>
  <c r="AE521" i="13"/>
  <c r="AG521" i="13"/>
  <c r="AH594" i="13"/>
  <c r="AE594" i="13"/>
  <c r="AG594" i="13"/>
  <c r="AH518" i="13"/>
  <c r="AE518" i="13"/>
  <c r="AG518" i="13"/>
  <c r="AH215" i="13"/>
  <c r="AE215" i="13"/>
  <c r="AG215" i="13"/>
  <c r="AH514" i="13"/>
  <c r="AE514" i="13"/>
  <c r="AG514" i="13"/>
  <c r="AH512" i="13"/>
  <c r="AE512" i="13"/>
  <c r="AG512" i="13"/>
  <c r="AH510" i="13"/>
  <c r="AE510" i="13"/>
  <c r="AG510" i="13"/>
  <c r="AH508" i="13"/>
  <c r="AG508" i="13"/>
  <c r="AE508" i="13"/>
  <c r="AH553" i="13"/>
  <c r="AG553" i="13"/>
  <c r="AE553" i="13"/>
  <c r="AH504" i="13"/>
  <c r="AG504" i="13"/>
  <c r="AE504" i="13"/>
  <c r="AH502" i="13"/>
  <c r="AE502" i="13"/>
  <c r="AG502" i="13"/>
  <c r="AH500" i="13"/>
  <c r="AE500" i="13"/>
  <c r="AG500" i="13"/>
  <c r="AH256" i="13"/>
  <c r="AG256" i="13"/>
  <c r="AE256" i="13"/>
  <c r="AH39" i="13"/>
  <c r="AE39" i="13"/>
  <c r="AG39" i="13"/>
  <c r="AH694" i="13"/>
  <c r="AE694" i="13"/>
  <c r="AG694" i="13"/>
  <c r="AH492" i="13"/>
  <c r="AE492" i="13"/>
  <c r="AG492" i="13"/>
  <c r="AH494" i="13"/>
  <c r="AG494" i="13"/>
  <c r="AE494" i="13"/>
  <c r="AH445" i="13"/>
  <c r="AG445" i="13"/>
  <c r="AE445" i="13"/>
  <c r="AH486" i="13"/>
  <c r="AE486" i="13"/>
  <c r="AG486" i="13"/>
  <c r="AH484" i="13"/>
  <c r="AE484" i="13"/>
  <c r="AG484" i="13"/>
  <c r="AH482" i="13"/>
  <c r="AE482" i="13"/>
  <c r="AG482" i="13"/>
  <c r="AH480" i="13"/>
  <c r="AE480" i="13"/>
  <c r="AG480" i="13"/>
  <c r="AH478" i="13"/>
  <c r="AE478" i="13"/>
  <c r="AG478" i="13"/>
  <c r="AH462" i="13"/>
  <c r="AE462" i="13"/>
  <c r="AG462" i="13"/>
  <c r="AH474" i="13"/>
  <c r="AE474" i="13"/>
  <c r="AG474" i="13"/>
  <c r="AH472" i="13"/>
  <c r="AG472" i="13"/>
  <c r="AE472" i="13"/>
  <c r="AH498" i="13"/>
  <c r="AG498" i="13"/>
  <c r="AE498" i="13"/>
  <c r="AH468" i="13"/>
  <c r="AE468" i="13"/>
  <c r="AG468" i="13"/>
  <c r="AH93" i="13"/>
  <c r="AE93" i="13"/>
  <c r="AG93" i="13"/>
  <c r="AH464" i="13"/>
  <c r="AE464" i="13"/>
  <c r="AG464" i="13"/>
  <c r="AH591" i="13"/>
  <c r="AG591" i="13"/>
  <c r="AE591" i="13"/>
  <c r="AH460" i="13"/>
  <c r="AE460" i="13"/>
  <c r="AG460" i="13"/>
  <c r="AH458" i="13"/>
  <c r="AG458" i="13"/>
  <c r="AE458" i="13"/>
  <c r="AH456" i="13"/>
  <c r="AG456" i="13"/>
  <c r="AE456" i="13"/>
  <c r="AH454" i="13"/>
  <c r="AG454" i="13"/>
  <c r="AE454" i="13"/>
  <c r="AH452" i="13"/>
  <c r="AE452" i="13"/>
  <c r="AG452" i="13"/>
  <c r="AH450" i="13"/>
  <c r="AE450" i="13"/>
  <c r="AG450" i="13"/>
  <c r="AH448" i="13"/>
  <c r="AG448" i="13"/>
  <c r="AE448" i="13"/>
  <c r="AH446" i="13"/>
  <c r="AE446" i="13"/>
  <c r="AG446" i="13"/>
  <c r="AH444" i="13"/>
  <c r="AG444" i="13"/>
  <c r="AE444" i="13"/>
  <c r="AH53" i="13"/>
  <c r="AE53" i="13"/>
  <c r="AG53" i="13"/>
  <c r="AH440" i="13"/>
  <c r="AG440" i="13"/>
  <c r="AE440" i="13"/>
  <c r="AH438" i="13"/>
  <c r="AE438" i="13"/>
  <c r="AG438" i="13"/>
  <c r="AH436" i="13"/>
  <c r="AG436" i="13"/>
  <c r="AE436" i="13"/>
  <c r="AH434" i="13"/>
  <c r="AE434" i="13"/>
  <c r="AG434" i="13"/>
  <c r="AH432" i="13"/>
  <c r="AE432" i="13"/>
  <c r="AG432" i="13"/>
  <c r="AH430" i="13"/>
  <c r="AE430" i="13"/>
  <c r="AG430" i="13"/>
  <c r="AH428" i="13"/>
  <c r="AG428" i="13"/>
  <c r="AE428" i="13"/>
  <c r="AH426" i="13"/>
  <c r="AG426" i="13"/>
  <c r="AE426" i="13"/>
  <c r="AH424" i="13"/>
  <c r="AE424" i="13"/>
  <c r="AG424" i="13"/>
  <c r="AH422" i="13"/>
  <c r="AE422" i="13"/>
  <c r="AG422" i="13"/>
  <c r="AH420" i="13"/>
  <c r="AE420" i="13"/>
  <c r="AG420" i="13"/>
  <c r="AH418" i="13"/>
  <c r="AE418" i="13"/>
  <c r="AG418" i="13"/>
  <c r="AH416" i="13"/>
  <c r="AG416" i="13"/>
  <c r="AE416" i="13"/>
  <c r="AH414" i="13"/>
  <c r="AG414" i="13"/>
  <c r="AE414" i="13"/>
  <c r="AH412" i="13"/>
  <c r="AG412" i="13"/>
  <c r="AE412" i="13"/>
  <c r="AH410" i="13"/>
  <c r="AE410" i="13"/>
  <c r="AG410" i="13"/>
  <c r="AH408" i="13"/>
  <c r="AG408" i="13"/>
  <c r="AE408" i="13"/>
  <c r="AH406" i="13"/>
  <c r="AG406" i="13"/>
  <c r="AE406" i="13"/>
  <c r="AH404" i="13"/>
  <c r="AG404" i="13"/>
  <c r="AE404" i="13"/>
  <c r="AH402" i="13"/>
  <c r="AG402" i="13"/>
  <c r="AE402" i="13"/>
  <c r="AH400" i="13"/>
  <c r="AE400" i="13"/>
  <c r="AG400" i="13"/>
  <c r="AH398" i="13"/>
  <c r="AE398" i="13"/>
  <c r="AG398" i="13"/>
  <c r="AH396" i="13"/>
  <c r="AG396" i="13"/>
  <c r="AE396" i="13"/>
  <c r="AH394" i="13"/>
  <c r="AG394" i="13"/>
  <c r="AE394" i="13"/>
  <c r="AH392" i="13"/>
  <c r="AE392" i="13"/>
  <c r="AG392" i="13"/>
  <c r="AH390" i="13"/>
  <c r="AG390" i="13"/>
  <c r="AE390" i="13"/>
  <c r="AH388" i="13"/>
  <c r="AE388" i="13"/>
  <c r="AG388" i="13"/>
  <c r="AH386" i="13"/>
  <c r="AG386" i="13"/>
  <c r="AE386" i="13"/>
  <c r="AH384" i="13"/>
  <c r="AE384" i="13"/>
  <c r="AG384" i="13"/>
  <c r="AH382" i="13"/>
  <c r="AG382" i="13"/>
  <c r="AE382" i="13"/>
  <c r="AH380" i="13"/>
  <c r="AE380" i="13"/>
  <c r="AG380" i="13"/>
  <c r="AH378" i="13"/>
  <c r="AG378" i="13"/>
  <c r="AE378" i="13"/>
  <c r="AH376" i="13"/>
  <c r="AE376" i="13"/>
  <c r="AG376" i="13"/>
  <c r="AH374" i="13"/>
  <c r="AE374" i="13"/>
  <c r="AG374" i="13"/>
  <c r="AH372" i="13"/>
  <c r="AE372" i="13"/>
  <c r="AG372" i="13"/>
  <c r="AH370" i="13"/>
  <c r="AG370" i="13"/>
  <c r="AE370" i="13"/>
  <c r="AH368" i="13"/>
  <c r="AE368" i="13"/>
  <c r="AG368" i="13"/>
  <c r="AH366" i="13"/>
  <c r="AG366" i="13"/>
  <c r="AE366" i="13"/>
  <c r="AH364" i="13"/>
  <c r="AE364" i="13"/>
  <c r="AG364" i="13"/>
  <c r="AH362" i="13"/>
  <c r="AG362" i="13"/>
  <c r="AE362" i="13"/>
  <c r="AH360" i="13"/>
  <c r="AE360" i="13"/>
  <c r="AG360" i="13"/>
  <c r="AH358" i="13"/>
  <c r="AG358" i="13"/>
  <c r="AE358" i="13"/>
  <c r="AH356" i="13"/>
  <c r="AE356" i="13"/>
  <c r="AG356" i="13"/>
  <c r="AH354" i="13"/>
  <c r="AG354" i="13"/>
  <c r="AE354" i="13"/>
  <c r="AH352" i="13"/>
  <c r="AE352" i="13"/>
  <c r="AG352" i="13"/>
  <c r="AH350" i="13"/>
  <c r="AG350" i="13"/>
  <c r="AE350" i="13"/>
  <c r="AH348" i="13"/>
  <c r="AE348" i="13"/>
  <c r="AG348" i="13"/>
  <c r="AH346" i="13"/>
  <c r="AE346" i="13"/>
  <c r="AG346" i="13"/>
  <c r="AH344" i="13"/>
  <c r="AE344" i="13"/>
  <c r="AG344" i="13"/>
  <c r="AH342" i="13"/>
  <c r="AG342" i="13"/>
  <c r="AE342" i="13"/>
  <c r="AH340" i="13"/>
  <c r="AG340" i="13"/>
  <c r="AE340" i="13"/>
  <c r="AH338" i="13"/>
  <c r="AG338" i="13"/>
  <c r="AE338" i="13"/>
  <c r="AH336" i="13"/>
  <c r="AE336" i="13"/>
  <c r="AG336" i="13"/>
  <c r="AH334" i="13"/>
  <c r="AG334" i="13"/>
  <c r="AE334" i="13"/>
  <c r="AH332" i="13"/>
  <c r="AG332" i="13"/>
  <c r="AE332" i="13"/>
  <c r="AH330" i="13"/>
  <c r="AG330" i="13"/>
  <c r="AE330" i="13"/>
  <c r="AH328" i="13"/>
  <c r="AE328" i="13"/>
  <c r="AG328" i="13"/>
  <c r="AH326" i="13"/>
  <c r="AG326" i="13"/>
  <c r="AE326" i="13"/>
  <c r="AG324" i="13"/>
  <c r="AE324" i="13"/>
  <c r="AH322" i="13"/>
  <c r="AG322" i="13"/>
  <c r="AE322" i="13"/>
  <c r="AH320" i="13"/>
  <c r="AE320" i="13"/>
  <c r="AG320" i="13"/>
  <c r="AH318" i="13"/>
  <c r="AG318" i="13"/>
  <c r="AE318" i="13"/>
  <c r="AH316" i="13"/>
  <c r="AE316" i="13"/>
  <c r="AG316" i="13"/>
  <c r="AH314" i="13"/>
  <c r="AG314" i="13"/>
  <c r="AE314" i="13"/>
  <c r="AH312" i="13"/>
  <c r="AE312" i="13"/>
  <c r="AG312" i="13"/>
  <c r="AH310" i="13"/>
  <c r="AG310" i="13"/>
  <c r="AE310" i="13"/>
  <c r="AH308" i="13"/>
  <c r="AE308" i="13"/>
  <c r="AG308" i="13"/>
  <c r="AH306" i="13"/>
  <c r="AG306" i="13"/>
  <c r="AE306" i="13"/>
  <c r="AH304" i="13"/>
  <c r="AE304" i="13"/>
  <c r="AG304" i="13"/>
  <c r="AH302" i="13"/>
  <c r="AE302" i="13"/>
  <c r="AG302" i="13"/>
  <c r="AH300" i="13"/>
  <c r="AE300" i="13"/>
  <c r="AG300" i="13"/>
  <c r="AH298" i="13"/>
  <c r="AG298" i="13"/>
  <c r="AE298" i="13"/>
  <c r="AH296" i="13"/>
  <c r="AE296" i="13"/>
  <c r="AG296" i="13"/>
  <c r="AH294" i="13"/>
  <c r="AG294" i="13"/>
  <c r="AE294" i="13"/>
  <c r="AH606" i="13"/>
  <c r="AE606" i="13"/>
  <c r="AG606" i="13"/>
  <c r="AH589" i="13"/>
  <c r="AE589" i="13"/>
  <c r="AG589" i="13"/>
  <c r="AH288" i="13"/>
  <c r="AE288" i="13"/>
  <c r="AG288" i="13"/>
  <c r="AH286" i="13"/>
  <c r="AG286" i="13"/>
  <c r="AE286" i="13"/>
  <c r="AH284" i="13"/>
  <c r="AE284" i="13"/>
  <c r="AG284" i="13"/>
  <c r="AH282" i="13"/>
  <c r="AG282" i="13"/>
  <c r="AE282" i="13"/>
  <c r="AH280" i="13"/>
  <c r="AE280" i="13"/>
  <c r="AG280" i="13"/>
  <c r="AH278" i="13"/>
  <c r="AG278" i="13"/>
  <c r="AE278" i="13"/>
  <c r="AH276" i="13"/>
  <c r="AE276" i="13"/>
  <c r="AG276" i="13"/>
  <c r="AH274" i="13"/>
  <c r="AG274" i="13"/>
  <c r="AE274" i="13"/>
  <c r="AH272" i="13"/>
  <c r="AE272" i="13"/>
  <c r="AG272" i="13"/>
  <c r="AH270" i="13"/>
  <c r="AG270" i="13"/>
  <c r="AE270" i="13"/>
  <c r="AH268" i="13"/>
  <c r="AE268" i="13"/>
  <c r="AG268" i="13"/>
  <c r="AH266" i="13"/>
  <c r="AG266" i="13"/>
  <c r="AE266" i="13"/>
  <c r="AH264" i="13"/>
  <c r="AE264" i="13"/>
  <c r="AG264" i="13"/>
  <c r="AH262" i="13"/>
  <c r="AG262" i="13"/>
  <c r="AE262" i="13"/>
  <c r="AH260" i="13"/>
  <c r="AE260" i="13"/>
  <c r="AG260" i="13"/>
  <c r="AH258" i="13"/>
  <c r="AG258" i="13"/>
  <c r="AE258" i="13"/>
  <c r="AH588" i="13"/>
  <c r="AE588" i="13"/>
  <c r="AG588" i="13"/>
  <c r="AH254" i="13"/>
  <c r="AE254" i="13"/>
  <c r="AG254" i="13"/>
  <c r="AH252" i="13"/>
  <c r="AE252" i="13"/>
  <c r="AG252" i="13"/>
  <c r="AH250" i="13"/>
  <c r="AG250" i="13"/>
  <c r="AE250" i="13"/>
  <c r="AH248" i="13"/>
  <c r="AE248" i="13"/>
  <c r="AG248" i="13"/>
  <c r="AH246" i="13"/>
  <c r="AG246" i="13"/>
  <c r="AE246" i="13"/>
  <c r="AH578" i="13"/>
  <c r="AG578" i="13"/>
  <c r="AE578" i="13"/>
  <c r="AH242" i="13"/>
  <c r="AE242" i="13"/>
  <c r="AG242" i="13"/>
  <c r="AH240" i="13"/>
  <c r="AE240" i="13"/>
  <c r="AG240" i="13"/>
  <c r="AH238" i="13"/>
  <c r="AG238" i="13"/>
  <c r="AE238" i="13"/>
  <c r="AH236" i="13"/>
  <c r="AE236" i="13"/>
  <c r="AG236" i="13"/>
  <c r="AH234" i="13"/>
  <c r="AG234" i="13"/>
  <c r="AE234" i="13"/>
  <c r="AH232" i="13"/>
  <c r="AE232" i="13"/>
  <c r="AG232" i="13"/>
  <c r="AH230" i="13"/>
  <c r="AG230" i="13"/>
  <c r="AE230" i="13"/>
  <c r="AH228" i="13"/>
  <c r="AE228" i="13"/>
  <c r="AG228" i="13"/>
  <c r="AH226" i="13"/>
  <c r="AG226" i="13"/>
  <c r="AE226" i="13"/>
  <c r="AH224" i="13"/>
  <c r="AG224" i="13"/>
  <c r="AE224" i="13"/>
  <c r="AH222" i="13"/>
  <c r="AG222" i="13"/>
  <c r="AE222" i="13"/>
  <c r="AH220" i="13"/>
  <c r="AE220" i="13"/>
  <c r="AG220" i="13"/>
  <c r="AH218" i="13"/>
  <c r="AG218" i="13"/>
  <c r="AE218" i="13"/>
  <c r="AH216" i="13"/>
  <c r="AE216" i="13"/>
  <c r="AG216" i="13"/>
  <c r="AH214" i="13"/>
  <c r="AG214" i="13"/>
  <c r="AE214" i="13"/>
  <c r="AH587" i="13"/>
  <c r="AE587" i="13"/>
  <c r="AG587" i="13"/>
  <c r="AH210" i="13"/>
  <c r="AG210" i="13"/>
  <c r="AE210" i="13"/>
  <c r="AH208" i="13"/>
  <c r="AE208" i="13"/>
  <c r="AG208" i="13"/>
  <c r="AH206" i="13"/>
  <c r="AE206" i="13"/>
  <c r="AG206" i="13"/>
  <c r="AH204" i="13"/>
  <c r="AE204" i="13"/>
  <c r="AG204" i="13"/>
  <c r="AH202" i="13"/>
  <c r="AG202" i="13"/>
  <c r="AE202" i="13"/>
  <c r="AH200" i="13"/>
  <c r="AE200" i="13"/>
  <c r="AG200" i="13"/>
  <c r="AH198" i="13"/>
  <c r="AG198" i="13"/>
  <c r="AE198" i="13"/>
  <c r="AH196" i="13"/>
  <c r="AE196" i="13"/>
  <c r="AG196" i="13"/>
  <c r="AH449" i="13"/>
  <c r="AE449" i="13"/>
  <c r="AG449" i="13"/>
  <c r="AH192" i="13"/>
  <c r="AE192" i="13"/>
  <c r="AG192" i="13"/>
  <c r="AH190" i="13"/>
  <c r="AG190" i="13"/>
  <c r="AE190" i="13"/>
  <c r="AH188" i="13"/>
  <c r="AE188" i="13"/>
  <c r="AG188" i="13"/>
  <c r="AH186" i="13"/>
  <c r="AG186" i="13"/>
  <c r="AE186" i="13"/>
  <c r="AH184" i="13"/>
  <c r="AE184" i="13"/>
  <c r="AG184" i="13"/>
  <c r="AH182" i="13"/>
  <c r="AG182" i="13"/>
  <c r="AE182" i="13"/>
  <c r="AH180" i="13"/>
  <c r="AE180" i="13"/>
  <c r="AG180" i="13"/>
  <c r="AH178" i="13"/>
  <c r="AG178" i="13"/>
  <c r="AE178" i="13"/>
  <c r="AH176" i="13"/>
  <c r="AE176" i="13"/>
  <c r="AG176" i="13"/>
  <c r="AH174" i="13"/>
  <c r="AG174" i="13"/>
  <c r="AE174" i="13"/>
  <c r="AH172" i="13"/>
  <c r="AE172" i="13"/>
  <c r="AG172" i="13"/>
  <c r="AH170" i="13"/>
  <c r="AE170" i="13"/>
  <c r="AG170" i="13"/>
  <c r="AH168" i="13"/>
  <c r="AE168" i="13"/>
  <c r="AG168" i="13"/>
  <c r="AH166" i="13"/>
  <c r="AG166" i="13"/>
  <c r="AE166" i="13"/>
  <c r="AH164" i="13"/>
  <c r="AE164" i="13"/>
  <c r="AG164" i="13"/>
  <c r="AH162" i="13"/>
  <c r="AG162" i="13"/>
  <c r="AE162" i="13"/>
  <c r="AH160" i="13"/>
  <c r="AE160" i="13"/>
  <c r="AG160" i="13"/>
  <c r="AH158" i="13"/>
  <c r="AE158" i="13"/>
  <c r="AG158" i="13"/>
  <c r="AH156" i="13"/>
  <c r="AE156" i="13"/>
  <c r="AG156" i="13"/>
  <c r="AH154" i="13"/>
  <c r="AG154" i="13"/>
  <c r="AE154" i="13"/>
  <c r="AH152" i="13"/>
  <c r="AE152" i="13"/>
  <c r="AG152" i="13"/>
  <c r="AH150" i="13"/>
  <c r="AG150" i="13"/>
  <c r="AE150" i="13"/>
  <c r="AH148" i="13"/>
  <c r="AE148" i="13"/>
  <c r="AG148" i="13"/>
  <c r="AH146" i="13"/>
  <c r="AG146" i="13"/>
  <c r="AE146" i="13"/>
  <c r="AH144" i="13"/>
  <c r="AG144" i="13"/>
  <c r="AE144" i="13"/>
  <c r="AH142" i="13"/>
  <c r="AG142" i="13"/>
  <c r="AE142" i="13"/>
  <c r="AH140" i="13"/>
  <c r="AE140" i="13"/>
  <c r="AG140" i="13"/>
  <c r="AH138" i="13"/>
  <c r="AG138" i="13"/>
  <c r="AE138" i="13"/>
  <c r="AH136" i="13"/>
  <c r="AE136" i="13"/>
  <c r="AG136" i="13"/>
  <c r="AH134" i="13"/>
  <c r="AG134" i="13"/>
  <c r="AE134" i="13"/>
  <c r="AH132" i="13"/>
  <c r="AE132" i="13"/>
  <c r="AG132" i="13"/>
  <c r="AH130" i="13"/>
  <c r="AG130" i="13"/>
  <c r="AE130" i="13"/>
  <c r="AH128" i="13"/>
  <c r="AE128" i="13"/>
  <c r="AG128" i="13"/>
  <c r="AH126" i="13"/>
  <c r="AG126" i="13"/>
  <c r="AE126" i="13"/>
  <c r="AH124" i="13"/>
  <c r="AE124" i="13"/>
  <c r="AG124" i="13"/>
  <c r="AH122" i="13"/>
  <c r="AG122" i="13"/>
  <c r="AE122" i="13"/>
  <c r="AH120" i="13"/>
  <c r="AE120" i="13"/>
  <c r="AG120" i="13"/>
  <c r="AH118" i="13"/>
  <c r="AG118" i="13"/>
  <c r="AE118" i="13"/>
  <c r="AH546" i="13"/>
  <c r="AG546" i="13"/>
  <c r="AE546" i="13"/>
  <c r="AH114" i="13"/>
  <c r="AE114" i="13"/>
  <c r="AG114" i="13"/>
  <c r="AH112" i="13"/>
  <c r="AG112" i="13"/>
  <c r="AE112" i="13"/>
  <c r="AH110" i="13"/>
  <c r="AE110" i="13"/>
  <c r="AG110" i="13"/>
  <c r="AH108" i="13"/>
  <c r="AG108" i="13"/>
  <c r="AE108" i="13"/>
  <c r="AH106" i="13"/>
  <c r="AE106" i="13"/>
  <c r="AG106" i="13"/>
  <c r="AH104" i="13"/>
  <c r="AG104" i="13"/>
  <c r="AE104" i="13"/>
  <c r="AH102" i="13"/>
  <c r="AE102" i="13"/>
  <c r="AG102" i="13"/>
  <c r="AH100" i="13"/>
  <c r="AG100" i="13"/>
  <c r="AE100" i="13"/>
  <c r="AH98" i="13"/>
  <c r="AG98" i="13"/>
  <c r="AE98" i="13"/>
  <c r="AH96" i="13"/>
  <c r="AG96" i="13"/>
  <c r="AE96" i="13"/>
  <c r="AH490" i="13"/>
  <c r="AE490" i="13"/>
  <c r="AG490" i="13"/>
  <c r="AH92" i="13"/>
  <c r="AG92" i="13"/>
  <c r="AE92" i="13"/>
  <c r="AH90" i="13"/>
  <c r="AE90" i="13"/>
  <c r="AG90" i="13"/>
  <c r="AH88" i="13"/>
  <c r="AE88" i="13"/>
  <c r="AG88" i="13"/>
  <c r="AH86" i="13"/>
  <c r="AE86" i="13"/>
  <c r="AG86" i="13"/>
  <c r="AH84" i="13"/>
  <c r="AE84" i="13"/>
  <c r="AG84" i="13"/>
  <c r="AH82" i="13"/>
  <c r="AE82" i="13"/>
  <c r="AG82" i="13"/>
  <c r="AH80" i="13"/>
  <c r="AG80" i="13"/>
  <c r="AE80" i="13"/>
  <c r="AH78" i="13"/>
  <c r="AE78" i="13"/>
  <c r="AG78" i="13"/>
  <c r="AH76" i="13"/>
  <c r="AG76" i="13"/>
  <c r="AE76" i="13"/>
  <c r="AH74" i="13"/>
  <c r="AE74" i="13"/>
  <c r="AG74" i="13"/>
  <c r="AH72" i="13"/>
  <c r="AG72" i="13"/>
  <c r="AE72" i="13"/>
  <c r="AH70" i="13"/>
  <c r="AG70" i="13"/>
  <c r="AE70" i="13"/>
  <c r="AH68" i="13"/>
  <c r="AG68" i="13"/>
  <c r="AE68" i="13"/>
  <c r="AH66" i="13"/>
  <c r="AE66" i="13"/>
  <c r="AG66" i="13"/>
  <c r="AH64" i="13"/>
  <c r="AG64" i="13"/>
  <c r="AE64" i="13"/>
  <c r="AH62" i="13"/>
  <c r="AE62" i="13"/>
  <c r="AG62" i="13"/>
  <c r="AH60" i="13"/>
  <c r="AE60" i="13"/>
  <c r="AG60" i="13"/>
  <c r="AH58" i="13"/>
  <c r="AE58" i="13"/>
  <c r="AG58" i="13"/>
  <c r="AH56" i="13"/>
  <c r="AG56" i="13"/>
  <c r="AE56" i="13"/>
  <c r="AH54" i="13"/>
  <c r="AE54" i="13"/>
  <c r="AG54" i="13"/>
  <c r="AH52" i="13"/>
  <c r="AG52" i="13"/>
  <c r="AE52" i="13"/>
  <c r="AH50" i="13"/>
  <c r="AE50" i="13"/>
  <c r="AG50" i="13"/>
  <c r="AH48" i="13"/>
  <c r="AG48" i="13"/>
  <c r="AE48" i="13"/>
  <c r="AH46" i="13"/>
  <c r="AE46" i="13"/>
  <c r="AG46" i="13"/>
  <c r="AH44" i="13"/>
  <c r="AG44" i="13"/>
  <c r="AE44" i="13"/>
  <c r="AH42" i="13"/>
  <c r="AE42" i="13"/>
  <c r="AG42" i="13"/>
  <c r="AH40" i="13"/>
  <c r="AG40" i="13"/>
  <c r="AE40" i="13"/>
  <c r="AH38" i="13"/>
  <c r="AE38" i="13"/>
  <c r="AG38" i="13"/>
  <c r="AH36" i="13"/>
  <c r="AG36" i="13"/>
  <c r="AE36" i="13"/>
  <c r="AH34" i="13"/>
  <c r="AE34" i="13"/>
  <c r="AG34" i="13"/>
  <c r="AH32" i="13"/>
  <c r="AG32" i="13"/>
  <c r="AE32" i="13"/>
  <c r="AH30" i="13"/>
  <c r="AE30" i="13"/>
  <c r="AG30" i="13"/>
  <c r="AH28" i="13"/>
  <c r="AG28" i="13"/>
  <c r="AE28" i="13"/>
  <c r="AH26" i="13"/>
  <c r="AE26" i="13"/>
  <c r="AG26" i="13"/>
  <c r="AH24" i="13"/>
  <c r="AG24" i="13"/>
  <c r="AE24" i="13"/>
  <c r="AH22" i="13"/>
  <c r="AE22" i="13"/>
  <c r="AG22" i="13"/>
  <c r="AH20" i="13"/>
  <c r="AG20" i="13"/>
  <c r="AE20" i="13"/>
  <c r="AH18" i="13"/>
  <c r="AE18" i="13"/>
  <c r="AG18" i="13"/>
  <c r="AH16" i="13"/>
  <c r="AG16" i="13"/>
  <c r="AE16" i="13"/>
  <c r="AH14" i="13"/>
  <c r="AE14" i="13"/>
  <c r="AG14" i="13"/>
  <c r="AH19" i="13"/>
  <c r="AG19" i="13"/>
  <c r="AE19" i="13"/>
  <c r="AH10" i="13"/>
  <c r="AE10" i="13"/>
  <c r="AG10" i="13"/>
  <c r="AH8" i="13"/>
  <c r="AG8" i="13"/>
  <c r="AE8" i="13"/>
  <c r="AH6" i="13"/>
  <c r="AE6" i="13"/>
  <c r="AG6" i="13"/>
  <c r="AH4" i="13"/>
  <c r="AG4" i="13"/>
  <c r="AE4" i="13"/>
  <c r="AH2" i="13"/>
  <c r="AG2" i="13"/>
  <c r="AE2" i="13"/>
  <c r="AH597" i="13"/>
  <c r="E1048" i="6" l="1" a="1"/>
  <c r="E1048" i="6" s="1"/>
  <c r="N1053" i="6" l="1"/>
  <c r="V1053" i="6" s="1"/>
  <c r="D1053" i="6"/>
  <c r="E1053" i="6" a="1"/>
  <c r="E1053" i="6" s="1"/>
  <c r="G1053" i="6"/>
  <c r="H1053" i="6" s="1"/>
  <c r="I1053" i="6"/>
  <c r="S1053" i="6"/>
  <c r="U1053" i="6" a="1"/>
  <c r="U1053" i="6" s="1"/>
  <c r="N1052" i="6"/>
  <c r="D1052" i="6"/>
  <c r="E1052" i="6" a="1"/>
  <c r="E1052" i="6" s="1"/>
  <c r="G1052" i="6"/>
  <c r="H1052" i="6" s="1"/>
  <c r="I1052" i="6"/>
  <c r="S1052" i="6"/>
  <c r="U1052" i="6" a="1"/>
  <c r="U1052" i="6" s="1"/>
  <c r="V1052" i="6"/>
  <c r="N1234" i="16"/>
  <c r="N1238" i="16"/>
  <c r="N1241" i="16"/>
  <c r="N1244" i="16"/>
  <c r="N1248" i="16"/>
  <c r="N1252" i="16"/>
  <c r="N1262" i="16"/>
  <c r="V1262" i="16" s="1"/>
  <c r="Q1230" i="16"/>
  <c r="D1230" i="16"/>
  <c r="D1231" i="16"/>
  <c r="D1232" i="16"/>
  <c r="D1233" i="16"/>
  <c r="D1234" i="16"/>
  <c r="D1235" i="16"/>
  <c r="D1236" i="16"/>
  <c r="D1237" i="16"/>
  <c r="D1238" i="16"/>
  <c r="D1239" i="16"/>
  <c r="D1240" i="16"/>
  <c r="D1241" i="16"/>
  <c r="D1242" i="16"/>
  <c r="D1243" i="16"/>
  <c r="D1244" i="16"/>
  <c r="D1245" i="16"/>
  <c r="D1246" i="16"/>
  <c r="D1247" i="16"/>
  <c r="D1248" i="16"/>
  <c r="D1249" i="16"/>
  <c r="D1250" i="16"/>
  <c r="D1251" i="16"/>
  <c r="D1252" i="16"/>
  <c r="D1253" i="16"/>
  <c r="D1254" i="16"/>
  <c r="D1255" i="16"/>
  <c r="D1256" i="16"/>
  <c r="D1257" i="16"/>
  <c r="D1258" i="16"/>
  <c r="D1259" i="16"/>
  <c r="D1260" i="16"/>
  <c r="D1261" i="16"/>
  <c r="D1262" i="16"/>
  <c r="D1263" i="16"/>
  <c r="D1264" i="16"/>
  <c r="E1230" i="16" a="1"/>
  <c r="E1230" i="16" s="1"/>
  <c r="E1231" i="16" a="1"/>
  <c r="E1231" i="16" s="1"/>
  <c r="E1232" i="16" a="1"/>
  <c r="E1232" i="16" s="1"/>
  <c r="E1233" i="16" a="1"/>
  <c r="E1233" i="16" s="1"/>
  <c r="E1234" i="16" a="1"/>
  <c r="E1234" i="16" s="1"/>
  <c r="E1235" i="16" a="1"/>
  <c r="E1235" i="16" s="1"/>
  <c r="E1236" i="16" a="1"/>
  <c r="E1236" i="16" s="1"/>
  <c r="E1237" i="16" a="1"/>
  <c r="E1237" i="16" s="1"/>
  <c r="E1238" i="16" a="1"/>
  <c r="E1238" i="16" s="1"/>
  <c r="E1239" i="16" a="1"/>
  <c r="E1239" i="16" s="1"/>
  <c r="E1240" i="16" a="1"/>
  <c r="E1240" i="16" s="1"/>
  <c r="E1241" i="16" a="1"/>
  <c r="E1241" i="16" s="1"/>
  <c r="E1242" i="16" a="1"/>
  <c r="E1242" i="16" s="1"/>
  <c r="E1243" i="16" a="1"/>
  <c r="E1243" i="16" s="1"/>
  <c r="E1244" i="16" a="1"/>
  <c r="E1244" i="16" s="1"/>
  <c r="E1245" i="16" a="1"/>
  <c r="E1245" i="16" s="1"/>
  <c r="E1246" i="16" a="1"/>
  <c r="E1246" i="16" s="1"/>
  <c r="E1247" i="16" a="1"/>
  <c r="E1247" i="16" s="1"/>
  <c r="E1248" i="16" a="1"/>
  <c r="E1248" i="16" s="1"/>
  <c r="E1249" i="16" a="1"/>
  <c r="E1249" i="16" s="1"/>
  <c r="E1250" i="16" a="1"/>
  <c r="E1250" i="16" s="1"/>
  <c r="E1251" i="16" a="1"/>
  <c r="E1251" i="16" s="1"/>
  <c r="E1252" i="16" a="1"/>
  <c r="E1252" i="16" s="1"/>
  <c r="E1253" i="16" a="1"/>
  <c r="E1253" i="16" s="1"/>
  <c r="E1254" i="16" a="1"/>
  <c r="E1254" i="16" s="1"/>
  <c r="E1255" i="16" a="1"/>
  <c r="E1255" i="16" s="1"/>
  <c r="E1256" i="16" a="1"/>
  <c r="E1256" i="16" s="1"/>
  <c r="E1257" i="16" a="1"/>
  <c r="E1257" i="16" s="1"/>
  <c r="E1258" i="16" a="1"/>
  <c r="E1258" i="16" s="1"/>
  <c r="E1259" i="16" a="1"/>
  <c r="E1259" i="16" s="1"/>
  <c r="E1260" i="16" a="1"/>
  <c r="E1260" i="16" s="1"/>
  <c r="E1261" i="16" a="1"/>
  <c r="E1261" i="16" s="1"/>
  <c r="E1262" i="16" a="1"/>
  <c r="E1262" i="16" s="1"/>
  <c r="E1263" i="16" a="1"/>
  <c r="E1263" i="16" s="1"/>
  <c r="E1264" i="16" a="1"/>
  <c r="E1264" i="16" s="1"/>
  <c r="G1230" i="16"/>
  <c r="H1230" i="16" s="1"/>
  <c r="G1231" i="16"/>
  <c r="H1231" i="16" s="1"/>
  <c r="G1232" i="16"/>
  <c r="H1232" i="16" s="1"/>
  <c r="G1233" i="16"/>
  <c r="H1233" i="16" s="1"/>
  <c r="G1234" i="16"/>
  <c r="H1234" i="16" s="1"/>
  <c r="G1235" i="16"/>
  <c r="H1235" i="16" s="1"/>
  <c r="G1236" i="16"/>
  <c r="H1236" i="16" s="1"/>
  <c r="G1237" i="16"/>
  <c r="H1237" i="16" s="1"/>
  <c r="G1238" i="16"/>
  <c r="H1238" i="16" s="1"/>
  <c r="G1239" i="16"/>
  <c r="H1239" i="16" s="1"/>
  <c r="G1240" i="16"/>
  <c r="H1240" i="16" s="1"/>
  <c r="G1241" i="16"/>
  <c r="H1241" i="16" s="1"/>
  <c r="G1242" i="16"/>
  <c r="H1242" i="16" s="1"/>
  <c r="G1243" i="16"/>
  <c r="H1243" i="16" s="1"/>
  <c r="G1244" i="16"/>
  <c r="H1244" i="16" s="1"/>
  <c r="G1245" i="16"/>
  <c r="H1245" i="16" s="1"/>
  <c r="G1246" i="16"/>
  <c r="H1246" i="16" s="1"/>
  <c r="G1247" i="16"/>
  <c r="H1247" i="16" s="1"/>
  <c r="G1248" i="16"/>
  <c r="H1248" i="16" s="1"/>
  <c r="G1249" i="16"/>
  <c r="H1249" i="16" s="1"/>
  <c r="G1250" i="16"/>
  <c r="H1250" i="16" s="1"/>
  <c r="G1251" i="16"/>
  <c r="H1251" i="16" s="1"/>
  <c r="G1252" i="16"/>
  <c r="H1252" i="16" s="1"/>
  <c r="G1253" i="16"/>
  <c r="H1253" i="16" s="1"/>
  <c r="G1254" i="16"/>
  <c r="H1254" i="16" s="1"/>
  <c r="G1255" i="16"/>
  <c r="H1255" i="16" s="1"/>
  <c r="G1256" i="16"/>
  <c r="H1256" i="16" s="1"/>
  <c r="G1257" i="16"/>
  <c r="H1257" i="16" s="1"/>
  <c r="G1258" i="16"/>
  <c r="H1258" i="16" s="1"/>
  <c r="G1259" i="16"/>
  <c r="H1259" i="16" s="1"/>
  <c r="G1260" i="16"/>
  <c r="H1260" i="16" s="1"/>
  <c r="G1261" i="16"/>
  <c r="H1261" i="16" s="1"/>
  <c r="G1262" i="16"/>
  <c r="H1262" i="16" s="1"/>
  <c r="G1263" i="16"/>
  <c r="H1263" i="16" s="1"/>
  <c r="G1264" i="16"/>
  <c r="H1264" i="16" s="1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N1231" i="16"/>
  <c r="M1231" i="16" s="1"/>
  <c r="N1232" i="16"/>
  <c r="M1232" i="16" s="1"/>
  <c r="N1233" i="16"/>
  <c r="M1233" i="16" s="1"/>
  <c r="N1235" i="16"/>
  <c r="M1235" i="16" s="1"/>
  <c r="N1236" i="16"/>
  <c r="M1236" i="16" s="1"/>
  <c r="N1237" i="16"/>
  <c r="M1237" i="16" s="1"/>
  <c r="N1239" i="16"/>
  <c r="M1239" i="16" s="1"/>
  <c r="N1240" i="16"/>
  <c r="M1240" i="16" s="1"/>
  <c r="N1242" i="16"/>
  <c r="M1242" i="16" s="1"/>
  <c r="N1243" i="16"/>
  <c r="M1243" i="16" s="1"/>
  <c r="N1245" i="16"/>
  <c r="M1245" i="16" s="1"/>
  <c r="N1246" i="16"/>
  <c r="M1246" i="16" s="1"/>
  <c r="N1247" i="16"/>
  <c r="M1247" i="16" s="1"/>
  <c r="N1249" i="16"/>
  <c r="M1249" i="16" s="1"/>
  <c r="N1250" i="16"/>
  <c r="M1250" i="16" s="1"/>
  <c r="N1251" i="16"/>
  <c r="M1251" i="16" s="1"/>
  <c r="N1253" i="16"/>
  <c r="M1253" i="16" s="1"/>
  <c r="N1254" i="16"/>
  <c r="M1254" i="16" s="1"/>
  <c r="N1255" i="16"/>
  <c r="M1255" i="16" s="1"/>
  <c r="N1256" i="16"/>
  <c r="M1256" i="16" s="1"/>
  <c r="N1257" i="16"/>
  <c r="M1257" i="16" s="1"/>
  <c r="N1258" i="16"/>
  <c r="M1258" i="16" s="1"/>
  <c r="N1259" i="16"/>
  <c r="M1259" i="16" s="1"/>
  <c r="N1260" i="16"/>
  <c r="M1260" i="16" s="1"/>
  <c r="N1261" i="16"/>
  <c r="M1261" i="16" s="1"/>
  <c r="N1263" i="16"/>
  <c r="M1263" i="16" s="1"/>
  <c r="N1264" i="16"/>
  <c r="M1264" i="16" s="1"/>
  <c r="Q1231" i="16"/>
  <c r="Q1232" i="16"/>
  <c r="Q1233" i="16"/>
  <c r="Q1235" i="16"/>
  <c r="Q1236" i="16"/>
  <c r="Q1237" i="16"/>
  <c r="Q1239" i="16"/>
  <c r="Q1240" i="16"/>
  <c r="Q1242" i="16"/>
  <c r="Q1243" i="16"/>
  <c r="Q1245" i="16"/>
  <c r="Q1246" i="16"/>
  <c r="Q1247" i="16"/>
  <c r="Q1249" i="16"/>
  <c r="Q1250" i="16"/>
  <c r="Q1251" i="16"/>
  <c r="Q1253" i="16"/>
  <c r="Q1254" i="16"/>
  <c r="Q1255" i="16"/>
  <c r="Q1256" i="16"/>
  <c r="Q1257" i="16"/>
  <c r="Q1258" i="16"/>
  <c r="Q1259" i="16"/>
  <c r="Q1260" i="16"/>
  <c r="Q1261" i="16"/>
  <c r="Q1263" i="16"/>
  <c r="Q1264" i="16"/>
  <c r="S1230" i="16"/>
  <c r="S1231" i="16"/>
  <c r="S1232" i="16"/>
  <c r="S1233" i="16"/>
  <c r="S1234" i="16"/>
  <c r="S1235" i="16"/>
  <c r="S1236" i="16"/>
  <c r="S1237" i="16"/>
  <c r="S1238" i="16"/>
  <c r="S1239" i="16"/>
  <c r="S1240" i="16"/>
  <c r="S1241" i="16"/>
  <c r="S1242" i="16"/>
  <c r="S1243" i="16"/>
  <c r="S1244" i="16"/>
  <c r="S1245" i="16"/>
  <c r="S1246" i="16"/>
  <c r="S1247" i="16"/>
  <c r="S1248" i="16"/>
  <c r="S1249" i="16"/>
  <c r="S1250" i="16"/>
  <c r="S1251" i="16"/>
  <c r="S1252" i="16"/>
  <c r="S1253" i="16"/>
  <c r="S1254" i="16"/>
  <c r="S1255" i="16"/>
  <c r="S1256" i="16"/>
  <c r="S1257" i="16"/>
  <c r="S1258" i="16"/>
  <c r="S1259" i="16"/>
  <c r="S1260" i="16"/>
  <c r="S1261" i="16"/>
  <c r="S1262" i="16"/>
  <c r="S1263" i="16"/>
  <c r="S1264" i="16"/>
  <c r="U1230" i="16" a="1"/>
  <c r="U1230" i="16" s="1"/>
  <c r="U1231" i="16" a="1"/>
  <c r="U1231" i="16" s="1"/>
  <c r="U1232" i="16" a="1"/>
  <c r="U1232" i="16" s="1"/>
  <c r="U1233" i="16" a="1"/>
  <c r="U1233" i="16" s="1"/>
  <c r="U1234" i="16" a="1"/>
  <c r="U1234" i="16" s="1"/>
  <c r="U1235" i="16" a="1"/>
  <c r="U1235" i="16" s="1"/>
  <c r="U1236" i="16" a="1"/>
  <c r="U1236" i="16" s="1"/>
  <c r="U1237" i="16" a="1"/>
  <c r="U1237" i="16" s="1"/>
  <c r="U1238" i="16" a="1"/>
  <c r="U1238" i="16" s="1"/>
  <c r="U1239" i="16" a="1"/>
  <c r="U1239" i="16" s="1"/>
  <c r="U1240" i="16" a="1"/>
  <c r="U1240" i="16" s="1"/>
  <c r="U1241" i="16" a="1"/>
  <c r="U1241" i="16" s="1"/>
  <c r="U1242" i="16" a="1"/>
  <c r="U1242" i="16" s="1"/>
  <c r="U1243" i="16" a="1"/>
  <c r="U1243" i="16" s="1"/>
  <c r="U1244" i="16" a="1"/>
  <c r="U1244" i="16" s="1"/>
  <c r="U1245" i="16" a="1"/>
  <c r="U1245" i="16" s="1"/>
  <c r="U1246" i="16" a="1"/>
  <c r="U1246" i="16" s="1"/>
  <c r="U1247" i="16" a="1"/>
  <c r="U1247" i="16" s="1"/>
  <c r="U1248" i="16" a="1"/>
  <c r="U1248" i="16" s="1"/>
  <c r="U1249" i="16" a="1"/>
  <c r="U1249" i="16" s="1"/>
  <c r="U1250" i="16" a="1"/>
  <c r="U1250" i="16" s="1"/>
  <c r="U1251" i="16" a="1"/>
  <c r="U1251" i="16" s="1"/>
  <c r="U1252" i="16" a="1"/>
  <c r="U1252" i="16" s="1"/>
  <c r="U1253" i="16" a="1"/>
  <c r="U1253" i="16" s="1"/>
  <c r="U1254" i="16" a="1"/>
  <c r="U1254" i="16" s="1"/>
  <c r="U1255" i="16" a="1"/>
  <c r="U1255" i="16" s="1"/>
  <c r="U1256" i="16" a="1"/>
  <c r="U1256" i="16" s="1"/>
  <c r="U1257" i="16" a="1"/>
  <c r="U1257" i="16" s="1"/>
  <c r="U1258" i="16" a="1"/>
  <c r="U1258" i="16" s="1"/>
  <c r="U1259" i="16" a="1"/>
  <c r="U1259" i="16" s="1"/>
  <c r="U1260" i="16" a="1"/>
  <c r="U1260" i="16" s="1"/>
  <c r="U1261" i="16" a="1"/>
  <c r="U1261" i="16" s="1"/>
  <c r="U1262" i="16" a="1"/>
  <c r="U1262" i="16" s="1"/>
  <c r="U1263" i="16" a="1"/>
  <c r="U1263" i="16" s="1"/>
  <c r="U1264" i="16" a="1"/>
  <c r="U1264" i="16" s="1"/>
  <c r="V1230" i="16"/>
  <c r="V1231" i="16"/>
  <c r="V1233" i="16"/>
  <c r="V1234" i="16"/>
  <c r="V1235" i="16"/>
  <c r="V1236" i="16"/>
  <c r="V1237" i="16"/>
  <c r="V1238" i="16"/>
  <c r="V1239" i="16"/>
  <c r="V1240" i="16"/>
  <c r="V1241" i="16"/>
  <c r="V1242" i="16"/>
  <c r="V1244" i="16"/>
  <c r="V1245" i="16"/>
  <c r="V1246" i="16"/>
  <c r="V1247" i="16"/>
  <c r="V1248" i="16"/>
  <c r="V1249" i="16"/>
  <c r="V1250" i="16"/>
  <c r="V1251" i="16"/>
  <c r="V1252" i="16"/>
  <c r="V1253" i="16"/>
  <c r="V1254" i="16"/>
  <c r="V1256" i="16"/>
  <c r="V1257" i="16"/>
  <c r="V1258" i="16"/>
  <c r="V1259" i="16"/>
  <c r="V1260" i="16"/>
  <c r="V1261" i="16"/>
  <c r="V1264" i="16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 s="1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 s="1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 s="1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 s="1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 a="1"/>
  <c r="E586" i="6" s="1"/>
  <c r="E587" i="6" a="1"/>
  <c r="E587" i="6" s="1"/>
  <c r="E588" i="6" a="1"/>
  <c r="E588" i="6" s="1"/>
  <c r="E589" i="6" a="1"/>
  <c r="E589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 s="1"/>
  <c r="E613" i="6" a="1"/>
  <c r="E613" i="6" s="1"/>
  <c r="E614" i="6" a="1"/>
  <c r="E614" i="6" s="1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3" i="6" a="1"/>
  <c r="E653" i="6" s="1"/>
  <c r="E654" i="6" a="1"/>
  <c r="E654" i="6" s="1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 s="1"/>
  <c r="E661" i="6" a="1"/>
  <c r="E661" i="6" s="1"/>
  <c r="E662" i="6" a="1"/>
  <c r="E662" i="6" s="1"/>
  <c r="E663" i="6" a="1"/>
  <c r="E663" i="6" s="1"/>
  <c r="E664" i="6" a="1"/>
  <c r="E664" i="6" s="1"/>
  <c r="E665" i="6" a="1"/>
  <c r="E665" i="6" s="1"/>
  <c r="E666" i="6" a="1"/>
  <c r="E666" i="6" s="1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 s="1"/>
  <c r="E683" i="6" a="1"/>
  <c r="E683" i="6" s="1"/>
  <c r="E684" i="6" a="1"/>
  <c r="E684" i="6" s="1"/>
  <c r="E685" i="6" a="1"/>
  <c r="E685" i="6" s="1"/>
  <c r="E686" i="6" a="1"/>
  <c r="E686" i="6" s="1"/>
  <c r="E687" i="6" a="1"/>
  <c r="E687" i="6" s="1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7" i="6" a="1"/>
  <c r="E717" i="6" s="1"/>
  <c r="E718" i="6" a="1"/>
  <c r="E718" i="6" s="1"/>
  <c r="E719" i="6" a="1"/>
  <c r="E719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 s="1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 s="1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 s="1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 s="1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 s="1"/>
  <c r="E788" i="6" a="1"/>
  <c r="E788" i="6" s="1"/>
  <c r="E789" i="6" a="1"/>
  <c r="E789" i="6" s="1"/>
  <c r="E790" i="6" a="1"/>
  <c r="E790" i="6" s="1"/>
  <c r="E791" i="6" a="1"/>
  <c r="E791" i="6" s="1"/>
  <c r="E792" i="6" a="1"/>
  <c r="E792" i="6" s="1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 s="1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 s="1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 s="1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 s="1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 s="1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 s="1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 s="1"/>
  <c r="E1000" i="6" a="1"/>
  <c r="E1000" i="6" s="1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 s="1"/>
  <c r="E1007" i="6" a="1"/>
  <c r="E1007" i="6" s="1"/>
  <c r="E1008" i="6" a="1"/>
  <c r="E1008" i="6" s="1"/>
  <c r="E1009" i="6" a="1"/>
  <c r="E1009" i="6" s="1"/>
  <c r="E1010" i="6" a="1"/>
  <c r="E1010" i="6" s="1"/>
  <c r="E1011" i="6" a="1"/>
  <c r="E1011" i="6" s="1"/>
  <c r="E1012" i="6" a="1"/>
  <c r="E1012" i="6" s="1"/>
  <c r="E1013" i="6" a="1"/>
  <c r="E1013" i="6" s="1"/>
  <c r="E1014" i="6" a="1"/>
  <c r="E1014" i="6" s="1"/>
  <c r="E1015" i="6" a="1"/>
  <c r="E1015" i="6" s="1"/>
  <c r="E1016" i="6" a="1"/>
  <c r="E1016" i="6" s="1"/>
  <c r="E1017" i="6" a="1"/>
  <c r="E1017" i="6" s="1"/>
  <c r="E1018" i="6" a="1"/>
  <c r="E1018" i="6" s="1"/>
  <c r="E1019" i="6" a="1"/>
  <c r="E1019" i="6" s="1"/>
  <c r="E1020" i="6" a="1"/>
  <c r="E1020" i="6" s="1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 s="1"/>
  <c r="E1039" i="6" a="1"/>
  <c r="E1039" i="6" s="1"/>
  <c r="E1040" i="6" a="1"/>
  <c r="E1040" i="6" s="1"/>
  <c r="E1041" i="6" a="1"/>
  <c r="E1041" i="6" s="1"/>
  <c r="E1042" i="6" a="1"/>
  <c r="E1042" i="6" s="1"/>
  <c r="E1043" i="6" a="1"/>
  <c r="E1043" i="6" s="1"/>
  <c r="E1044" i="6" a="1"/>
  <c r="E1044" i="6" s="1"/>
  <c r="E1045" i="6" a="1"/>
  <c r="E1045" i="6" s="1"/>
  <c r="E1046" i="6" a="1"/>
  <c r="E1046" i="6" s="1"/>
  <c r="E1047" i="6" a="1"/>
  <c r="E1047" i="6" s="1"/>
  <c r="E1049" i="6" a="1"/>
  <c r="E1049" i="6" s="1"/>
  <c r="E1050" i="6" a="1"/>
  <c r="E1050" i="6" s="1"/>
  <c r="E1051" i="6" a="1"/>
  <c r="E1051" i="6" s="1"/>
  <c r="F635" i="13"/>
  <c r="L635" i="13"/>
  <c r="O635" i="13" s="1"/>
  <c r="M635" i="13"/>
  <c r="R635" i="13" s="1"/>
  <c r="W635" i="13"/>
  <c r="X635" i="13"/>
  <c r="Y635" i="13"/>
  <c r="AO635" i="13"/>
  <c r="F633" i="13"/>
  <c r="F634" i="13"/>
  <c r="I634" i="13" s="1"/>
  <c r="L633" i="13"/>
  <c r="AM633" i="13" s="1" a="1"/>
  <c r="AM633" i="13" s="1"/>
  <c r="L634" i="13"/>
  <c r="AM634" i="13" s="1" a="1"/>
  <c r="AM634" i="13" s="1"/>
  <c r="M633" i="13"/>
  <c r="M634" i="13"/>
  <c r="P634" i="13" s="1"/>
  <c r="W633" i="13"/>
  <c r="W634" i="13"/>
  <c r="X633" i="13"/>
  <c r="X634" i="13"/>
  <c r="Y633" i="13"/>
  <c r="Y634" i="13"/>
  <c r="AO633" i="13"/>
  <c r="AO634" i="13"/>
  <c r="Q1047" i="6"/>
  <c r="Q1048" i="6"/>
  <c r="Q1049" i="6"/>
  <c r="Q1050" i="6"/>
  <c r="N1051" i="6"/>
  <c r="E634" i="13" s="1"/>
  <c r="H634" i="13" s="1"/>
  <c r="D1051" i="6"/>
  <c r="G1051" i="6"/>
  <c r="H1051" i="6" s="1"/>
  <c r="I1051" i="6"/>
  <c r="O1051" i="6"/>
  <c r="S1051" i="6"/>
  <c r="U1051" i="6" a="1"/>
  <c r="U1051" i="6" s="1"/>
  <c r="D1050" i="6"/>
  <c r="G1050" i="6"/>
  <c r="H1050" i="6" s="1"/>
  <c r="I1050" i="6"/>
  <c r="N1050" i="6"/>
  <c r="O1050" i="6" s="1"/>
  <c r="S1050" i="6"/>
  <c r="U1050" i="6" a="1"/>
  <c r="U1050" i="6" s="1"/>
  <c r="D1049" i="6"/>
  <c r="G1049" i="6"/>
  <c r="H1049" i="6" s="1"/>
  <c r="I1049" i="6"/>
  <c r="N1049" i="6"/>
  <c r="O1049" i="6" s="1"/>
  <c r="S1049" i="6"/>
  <c r="U1049" i="6" a="1"/>
  <c r="U1049" i="6" s="1"/>
  <c r="D1048" i="6"/>
  <c r="G1048" i="6"/>
  <c r="H1048" i="6" s="1"/>
  <c r="I1048" i="6"/>
  <c r="S1048" i="6"/>
  <c r="U1048" i="6" a="1"/>
  <c r="U1048" i="6" s="1"/>
  <c r="D1047" i="6"/>
  <c r="G1047" i="6"/>
  <c r="H1047" i="6" s="1"/>
  <c r="I1047" i="6"/>
  <c r="S1047" i="6"/>
  <c r="U1047" i="6" a="1"/>
  <c r="U1047" i="6" s="1"/>
  <c r="Q1020" i="6"/>
  <c r="N1021" i="6"/>
  <c r="M1021" i="6" s="1"/>
  <c r="Q1022" i="6"/>
  <c r="Q1023" i="6"/>
  <c r="N1024" i="6"/>
  <c r="V1024" i="6" s="1"/>
  <c r="Q1026" i="6"/>
  <c r="N1027" i="6"/>
  <c r="Q1028" i="6"/>
  <c r="Q1029" i="6"/>
  <c r="N1030" i="6"/>
  <c r="V1030" i="6" s="1"/>
  <c r="Q1031" i="6"/>
  <c r="Q1032" i="6"/>
  <c r="N1034" i="6"/>
  <c r="O1034" i="6" s="1"/>
  <c r="N1035" i="6"/>
  <c r="Q1036" i="6"/>
  <c r="N1037" i="6"/>
  <c r="V1037" i="6" s="1"/>
  <c r="Q1038" i="6"/>
  <c r="Q1039" i="6"/>
  <c r="Q1040" i="6"/>
  <c r="N1041" i="6"/>
  <c r="V1041" i="6" s="1"/>
  <c r="Q1042" i="6"/>
  <c r="N1043" i="6"/>
  <c r="V1043" i="6" s="1"/>
  <c r="N1044" i="6"/>
  <c r="N1046" i="6"/>
  <c r="O1046" i="6" s="1"/>
  <c r="D1046" i="6"/>
  <c r="G1046" i="6"/>
  <c r="H1046" i="6" s="1"/>
  <c r="I1046" i="6"/>
  <c r="S1046" i="6"/>
  <c r="U1046" i="6" a="1"/>
  <c r="U1046" i="6" s="1"/>
  <c r="D1045" i="6"/>
  <c r="G1045" i="6"/>
  <c r="H1045" i="6" s="1"/>
  <c r="I1045" i="6"/>
  <c r="N1045" i="6"/>
  <c r="V1045" i="6" s="1"/>
  <c r="Q1045" i="6"/>
  <c r="S1045" i="6"/>
  <c r="U1045" i="6" a="1"/>
  <c r="U1045" i="6" s="1"/>
  <c r="D1044" i="6"/>
  <c r="G1044" i="6"/>
  <c r="H1044" i="6" s="1"/>
  <c r="I1044" i="6"/>
  <c r="S1044" i="6"/>
  <c r="U1044" i="6" a="1"/>
  <c r="U1044" i="6" s="1"/>
  <c r="V1044" i="6"/>
  <c r="D1043" i="6"/>
  <c r="G1043" i="6"/>
  <c r="H1043" i="6" s="1"/>
  <c r="I1043" i="6"/>
  <c r="S1043" i="6"/>
  <c r="U1043" i="6" a="1"/>
  <c r="U1043" i="6" s="1"/>
  <c r="D1042" i="6"/>
  <c r="G1042" i="6"/>
  <c r="H1042" i="6" s="1"/>
  <c r="I1042" i="6"/>
  <c r="S1042" i="6"/>
  <c r="U1042" i="6" a="1"/>
  <c r="U1042" i="6" s="1"/>
  <c r="D1041" i="6"/>
  <c r="G1041" i="6"/>
  <c r="H1041" i="6" s="1"/>
  <c r="I1041" i="6"/>
  <c r="Q1041" i="6"/>
  <c r="S1041" i="6"/>
  <c r="U1041" i="6" a="1"/>
  <c r="U1041" i="6" s="1"/>
  <c r="D1040" i="6"/>
  <c r="G1040" i="6"/>
  <c r="H1040" i="6" s="1"/>
  <c r="I1040" i="6"/>
  <c r="S1040" i="6"/>
  <c r="U1040" i="6" a="1"/>
  <c r="U1040" i="6" s="1"/>
  <c r="D1039" i="6"/>
  <c r="G1039" i="6"/>
  <c r="H1039" i="6" s="1"/>
  <c r="I1039" i="6"/>
  <c r="S1039" i="6"/>
  <c r="U1039" i="6" a="1"/>
  <c r="U1039" i="6" s="1"/>
  <c r="D1038" i="6"/>
  <c r="G1038" i="6"/>
  <c r="H1038" i="6" s="1"/>
  <c r="I1038" i="6"/>
  <c r="S1038" i="6"/>
  <c r="U1038" i="6" a="1"/>
  <c r="U1038" i="6" s="1"/>
  <c r="D1037" i="6"/>
  <c r="G1037" i="6"/>
  <c r="H1037" i="6" s="1"/>
  <c r="I1037" i="6"/>
  <c r="S1037" i="6"/>
  <c r="U1037" i="6" a="1"/>
  <c r="U1037" i="6" s="1"/>
  <c r="D1036" i="6"/>
  <c r="G1036" i="6"/>
  <c r="H1036" i="6" s="1"/>
  <c r="I1036" i="6"/>
  <c r="S1036" i="6"/>
  <c r="U1036" i="6" a="1"/>
  <c r="U1036" i="6" s="1"/>
  <c r="D1035" i="6"/>
  <c r="G1035" i="6"/>
  <c r="H1035" i="6" s="1"/>
  <c r="I1035" i="6"/>
  <c r="S1035" i="6"/>
  <c r="U1035" i="6" a="1"/>
  <c r="U1035" i="6" s="1"/>
  <c r="D1034" i="6"/>
  <c r="G1034" i="6"/>
  <c r="H1034" i="6" s="1"/>
  <c r="I1034" i="6"/>
  <c r="S1034" i="6"/>
  <c r="U1034" i="6" a="1"/>
  <c r="U1034" i="6" s="1"/>
  <c r="V1034" i="6"/>
  <c r="W1034" i="6" s="1"/>
  <c r="D1033" i="6"/>
  <c r="G1033" i="6"/>
  <c r="H1033" i="6" s="1"/>
  <c r="I1033" i="6"/>
  <c r="N1033" i="6"/>
  <c r="Q1033" i="6"/>
  <c r="S1033" i="6"/>
  <c r="U1033" i="6" a="1"/>
  <c r="U1033" i="6" s="1"/>
  <c r="V1033" i="6"/>
  <c r="F632" i="13"/>
  <c r="K632" i="13" s="1"/>
  <c r="L632" i="13"/>
  <c r="N632" i="13" s="1"/>
  <c r="M632" i="13"/>
  <c r="R632" i="13" s="1"/>
  <c r="W632" i="13"/>
  <c r="X632" i="13"/>
  <c r="Y632" i="13"/>
  <c r="AO632" i="13"/>
  <c r="D1032" i="6"/>
  <c r="G1032" i="6"/>
  <c r="H1032" i="6" s="1"/>
  <c r="I1032" i="6"/>
  <c r="S1032" i="6"/>
  <c r="U1032" i="6" a="1"/>
  <c r="U1032" i="6" s="1"/>
  <c r="V1032" i="6"/>
  <c r="V632" i="13" s="1"/>
  <c r="D1031" i="6"/>
  <c r="G1031" i="6"/>
  <c r="H1031" i="6" s="1"/>
  <c r="I1031" i="6"/>
  <c r="S1031" i="6"/>
  <c r="U1031" i="6" a="1"/>
  <c r="U1031" i="6" s="1"/>
  <c r="D1030" i="6"/>
  <c r="G1030" i="6"/>
  <c r="H1030" i="6" s="1"/>
  <c r="I1030" i="6"/>
  <c r="S1030" i="6"/>
  <c r="U1030" i="6" a="1"/>
  <c r="U1030" i="6" s="1"/>
  <c r="D1029" i="6"/>
  <c r="G1029" i="6"/>
  <c r="H1029" i="6" s="1"/>
  <c r="I1029" i="6"/>
  <c r="N1029" i="6"/>
  <c r="M1029" i="6" s="1"/>
  <c r="S1029" i="6"/>
  <c r="U1029" i="6" a="1"/>
  <c r="U1029" i="6" s="1"/>
  <c r="V1029" i="6"/>
  <c r="D1028" i="6"/>
  <c r="G1028" i="6"/>
  <c r="H1028" i="6" s="1"/>
  <c r="I1028" i="6"/>
  <c r="S1028" i="6"/>
  <c r="U1028" i="6" a="1"/>
  <c r="U1028" i="6" s="1"/>
  <c r="V1028" i="6"/>
  <c r="D1027" i="6"/>
  <c r="G1027" i="6"/>
  <c r="H1027" i="6" s="1"/>
  <c r="I1027" i="6"/>
  <c r="S1027" i="6"/>
  <c r="U1027" i="6" a="1"/>
  <c r="U1027" i="6" s="1"/>
  <c r="D1026" i="6"/>
  <c r="G1026" i="6"/>
  <c r="H1026" i="6" s="1"/>
  <c r="I1026" i="6"/>
  <c r="S1026" i="6"/>
  <c r="U1026" i="6" a="1"/>
  <c r="U1026" i="6" s="1"/>
  <c r="D1025" i="6"/>
  <c r="G1025" i="6"/>
  <c r="H1025" i="6" s="1"/>
  <c r="I1025" i="6"/>
  <c r="N1025" i="6"/>
  <c r="M1025" i="6" s="1"/>
  <c r="Q1025" i="6"/>
  <c r="S1025" i="6"/>
  <c r="U1025" i="6" a="1"/>
  <c r="U1025" i="6" s="1"/>
  <c r="D1024" i="6"/>
  <c r="G1024" i="6"/>
  <c r="H1024" i="6" s="1"/>
  <c r="I1024" i="6"/>
  <c r="S1024" i="6"/>
  <c r="U1024" i="6" a="1"/>
  <c r="U1024" i="6" s="1"/>
  <c r="D1023" i="6"/>
  <c r="G1023" i="6"/>
  <c r="H1023" i="6" s="1"/>
  <c r="I1023" i="6"/>
  <c r="N1023" i="6"/>
  <c r="M1023" i="6" s="1"/>
  <c r="S1023" i="6"/>
  <c r="U1023" i="6" a="1"/>
  <c r="U1023" i="6" s="1"/>
  <c r="V1023" i="6"/>
  <c r="D1022" i="6"/>
  <c r="G1022" i="6"/>
  <c r="H1022" i="6" s="1"/>
  <c r="I1022" i="6"/>
  <c r="S1022" i="6"/>
  <c r="D1021" i="6"/>
  <c r="G1021" i="6"/>
  <c r="H1021" i="6" s="1"/>
  <c r="I1021" i="6"/>
  <c r="S1021" i="6"/>
  <c r="U1021" i="6" a="1"/>
  <c r="U1021" i="6" s="1"/>
  <c r="D1020" i="6"/>
  <c r="G1020" i="6"/>
  <c r="H1020" i="6" s="1"/>
  <c r="I1020" i="6"/>
  <c r="S1020" i="6"/>
  <c r="U1020" i="6" a="1"/>
  <c r="U1020" i="6" s="1"/>
  <c r="O1035" i="6" l="1"/>
  <c r="O1353" i="6"/>
  <c r="O1027" i="6"/>
  <c r="O1330" i="6"/>
  <c r="V1025" i="6"/>
  <c r="W1045" i="6"/>
  <c r="W1171" i="6"/>
  <c r="O1045" i="6"/>
  <c r="O1171" i="6"/>
  <c r="R1171" i="6" s="1"/>
  <c r="V1263" i="16"/>
  <c r="V1243" i="16"/>
  <c r="V1232" i="16"/>
  <c r="V1255" i="16"/>
  <c r="V1051" i="6"/>
  <c r="V634" i="13" s="1"/>
  <c r="Z634" i="13" s="1"/>
  <c r="V1027" i="6"/>
  <c r="V1021" i="6"/>
  <c r="V1035" i="6"/>
  <c r="V1046" i="6"/>
  <c r="W1046" i="6" s="1"/>
  <c r="V1050" i="6"/>
  <c r="W1050" i="6" s="1"/>
  <c r="V1049" i="6"/>
  <c r="W1049" i="6" s="1"/>
  <c r="N1026" i="6"/>
  <c r="Q1052" i="6"/>
  <c r="N1042" i="6"/>
  <c r="N1047" i="6"/>
  <c r="Q1037" i="6"/>
  <c r="N1038" i="6"/>
  <c r="Q1053" i="6"/>
  <c r="Q1021" i="6"/>
  <c r="M1053" i="6"/>
  <c r="M1052" i="6"/>
  <c r="N1036" i="6"/>
  <c r="O1128" i="6" s="1"/>
  <c r="R1128" i="6" s="1"/>
  <c r="N1040" i="6"/>
  <c r="Q1051" i="6"/>
  <c r="Q1262" i="16"/>
  <c r="Q1252" i="16"/>
  <c r="Q1248" i="16"/>
  <c r="Q1244" i="16"/>
  <c r="Q1241" i="16"/>
  <c r="Q1238" i="16"/>
  <c r="Q1234" i="16"/>
  <c r="N1230" i="16"/>
  <c r="M1230" i="16" s="1"/>
  <c r="N635" i="13"/>
  <c r="Q635" i="13" s="1"/>
  <c r="M1262" i="16"/>
  <c r="M1252" i="16"/>
  <c r="M1244" i="16"/>
  <c r="M1238" i="16"/>
  <c r="M1248" i="16"/>
  <c r="M1241" i="16"/>
  <c r="M1234" i="16"/>
  <c r="R634" i="13"/>
  <c r="N633" i="13"/>
  <c r="Q633" i="13" s="1"/>
  <c r="O633" i="13"/>
  <c r="AM635" i="13" a="1"/>
  <c r="AM635" i="13" s="1"/>
  <c r="T635" i="13"/>
  <c r="P635" i="13"/>
  <c r="T633" i="13"/>
  <c r="P633" i="13"/>
  <c r="R633" i="13"/>
  <c r="Q1030" i="6"/>
  <c r="Q1044" i="6"/>
  <c r="N1048" i="6"/>
  <c r="O1090" i="6" s="1"/>
  <c r="R1090" i="6" s="1"/>
  <c r="N1022" i="6"/>
  <c r="Q1034" i="6"/>
  <c r="T634" i="13"/>
  <c r="G634" i="13"/>
  <c r="N634" i="13"/>
  <c r="S634" i="13"/>
  <c r="O634" i="13"/>
  <c r="K634" i="13"/>
  <c r="M1051" i="6"/>
  <c r="M1050" i="6"/>
  <c r="R1050" i="6" s="1"/>
  <c r="M1049" i="6"/>
  <c r="R1049" i="6" s="1"/>
  <c r="Q1027" i="6"/>
  <c r="Q1043" i="6"/>
  <c r="Q1035" i="6"/>
  <c r="N1039" i="6"/>
  <c r="Q1046" i="6"/>
  <c r="N1031" i="6"/>
  <c r="N1032" i="6"/>
  <c r="E632" i="13" s="1"/>
  <c r="G632" i="13" s="1"/>
  <c r="AQ632" i="13" s="1"/>
  <c r="N1020" i="6"/>
  <c r="N1028" i="6"/>
  <c r="M1028" i="6" s="1"/>
  <c r="Q1024" i="6"/>
  <c r="M1046" i="6"/>
  <c r="R1046" i="6" s="1"/>
  <c r="M1045" i="6"/>
  <c r="M1044" i="6"/>
  <c r="M1043" i="6"/>
  <c r="M1035" i="6"/>
  <c r="M1041" i="6"/>
  <c r="M1037" i="6"/>
  <c r="M1034" i="6"/>
  <c r="R1034" i="6" s="1"/>
  <c r="W1032" i="6"/>
  <c r="M1033" i="6"/>
  <c r="AM632" i="13" a="1"/>
  <c r="AM632" i="13" s="1"/>
  <c r="I632" i="13"/>
  <c r="Z632" i="13"/>
  <c r="AU632" i="13"/>
  <c r="AR632" i="13"/>
  <c r="Q632" i="13"/>
  <c r="T632" i="13"/>
  <c r="P632" i="13"/>
  <c r="O632" i="13"/>
  <c r="M1030" i="6"/>
  <c r="M1027" i="6"/>
  <c r="M1024" i="6"/>
  <c r="R1027" i="6" l="1"/>
  <c r="M1022" i="6"/>
  <c r="V1022" i="6"/>
  <c r="R1035" i="6"/>
  <c r="W1035" i="6"/>
  <c r="W1353" i="6"/>
  <c r="W1027" i="6"/>
  <c r="W1330" i="6"/>
  <c r="R1045" i="6"/>
  <c r="W1051" i="6"/>
  <c r="M1026" i="6"/>
  <c r="V1026" i="6"/>
  <c r="M1031" i="6"/>
  <c r="V1031" i="6"/>
  <c r="M1048" i="6"/>
  <c r="V1048" i="6"/>
  <c r="W1090" i="6" s="1"/>
  <c r="M1020" i="6"/>
  <c r="V1020" i="6"/>
  <c r="M1038" i="6"/>
  <c r="V1038" i="6"/>
  <c r="M1039" i="6"/>
  <c r="V1039" i="6"/>
  <c r="M1040" i="6"/>
  <c r="V1040" i="6"/>
  <c r="M1042" i="6"/>
  <c r="V1042" i="6"/>
  <c r="M1047" i="6"/>
  <c r="V1047" i="6"/>
  <c r="O1036" i="6"/>
  <c r="V1036" i="6"/>
  <c r="M1036" i="6"/>
  <c r="AR635" i="13"/>
  <c r="E635" i="13"/>
  <c r="E633" i="13"/>
  <c r="AU634" i="13"/>
  <c r="AR633" i="13"/>
  <c r="O1032" i="6"/>
  <c r="AQ634" i="13"/>
  <c r="AA634" i="13"/>
  <c r="AS634" i="13" s="1"/>
  <c r="AT634" i="13" s="1"/>
  <c r="Q634" i="13"/>
  <c r="AR634" i="13"/>
  <c r="M1032" i="6"/>
  <c r="S632" i="13"/>
  <c r="AA632" i="13" s="1"/>
  <c r="AK632" i="13" s="1"/>
  <c r="H632" i="13"/>
  <c r="W1036" i="6" l="1"/>
  <c r="W1128" i="6"/>
  <c r="V633" i="13"/>
  <c r="Z633" i="13" s="1"/>
  <c r="V635" i="13"/>
  <c r="Z635" i="13" s="1"/>
  <c r="R1036" i="6"/>
  <c r="AB634" i="13"/>
  <c r="AB632" i="13"/>
  <c r="H633" i="13"/>
  <c r="S633" i="13"/>
  <c r="AA633" i="13" s="1"/>
  <c r="G633" i="13"/>
  <c r="AQ633" i="13" s="1"/>
  <c r="G635" i="13"/>
  <c r="AQ635" i="13" s="1"/>
  <c r="S635" i="13"/>
  <c r="AA635" i="13" s="1"/>
  <c r="H635" i="13"/>
  <c r="R1032" i="6"/>
  <c r="AP634" i="13"/>
  <c r="AK634" i="13"/>
  <c r="AJ634" i="13"/>
  <c r="AP632" i="13"/>
  <c r="AJ632" i="13"/>
  <c r="AS632" i="13"/>
  <c r="AT632" i="13" s="1"/>
  <c r="AS635" i="13" l="1"/>
  <c r="AT635" i="13" s="1"/>
  <c r="AB635" i="13"/>
  <c r="AP633" i="13"/>
  <c r="AB633" i="13"/>
  <c r="AK635" i="13"/>
  <c r="AJ633" i="13"/>
  <c r="AK633" i="13"/>
  <c r="AP635" i="13"/>
  <c r="AS633" i="13"/>
  <c r="AT633" i="13" s="1"/>
  <c r="AJ635" i="13"/>
  <c r="D1019" i="6" l="1"/>
  <c r="G1019" i="6"/>
  <c r="H1019" i="6" s="1"/>
  <c r="I1019" i="6"/>
  <c r="N1019" i="6"/>
  <c r="Q1019" i="6"/>
  <c r="S1019" i="6"/>
  <c r="U1019" i="6" a="1"/>
  <c r="U1019" i="6" s="1"/>
  <c r="V1019" i="6"/>
  <c r="D1229" i="16"/>
  <c r="E1229" i="16" a="1"/>
  <c r="E1229" i="16" s="1"/>
  <c r="G1229" i="16"/>
  <c r="H1229" i="16" s="1"/>
  <c r="I1229" i="16"/>
  <c r="N1229" i="16"/>
  <c r="Q1229" i="16"/>
  <c r="S1229" i="16"/>
  <c r="V1229" i="16"/>
  <c r="D1018" i="6"/>
  <c r="G1018" i="6"/>
  <c r="H1018" i="6" s="1"/>
  <c r="I1018" i="6"/>
  <c r="N1018" i="6"/>
  <c r="Q1018" i="6"/>
  <c r="S1018" i="6"/>
  <c r="U1018" i="6" a="1"/>
  <c r="U1018" i="6" s="1"/>
  <c r="V1018" i="6"/>
  <c r="D1017" i="6"/>
  <c r="G1017" i="6"/>
  <c r="H1017" i="6" s="1"/>
  <c r="I1017" i="6"/>
  <c r="N1017" i="6"/>
  <c r="V1017" i="6" s="1"/>
  <c r="Q1017" i="6"/>
  <c r="S1017" i="6"/>
  <c r="U1017" i="6" a="1"/>
  <c r="U1017" i="6" s="1"/>
  <c r="D1016" i="6"/>
  <c r="G1016" i="6"/>
  <c r="H1016" i="6" s="1"/>
  <c r="I1016" i="6"/>
  <c r="N1016" i="6"/>
  <c r="Q1016" i="6"/>
  <c r="S1016" i="6"/>
  <c r="U1016" i="6" a="1"/>
  <c r="U1016" i="6" s="1"/>
  <c r="E616" i="13"/>
  <c r="E618" i="13"/>
  <c r="H618" i="13" s="1"/>
  <c r="E620" i="13"/>
  <c r="E621" i="13"/>
  <c r="E622" i="13"/>
  <c r="AL622" i="13" s="1" a="1"/>
  <c r="AL622" i="13" s="1"/>
  <c r="E623" i="13"/>
  <c r="E624" i="13"/>
  <c r="E625" i="13"/>
  <c r="E626" i="13"/>
  <c r="E627" i="13"/>
  <c r="E628" i="13"/>
  <c r="E629" i="13"/>
  <c r="E630" i="13"/>
  <c r="E631" i="13"/>
  <c r="F616" i="13"/>
  <c r="F617" i="13"/>
  <c r="F618" i="13"/>
  <c r="F619" i="13"/>
  <c r="F620" i="13"/>
  <c r="K620" i="13" s="1"/>
  <c r="F621" i="13"/>
  <c r="F622" i="13"/>
  <c r="K622" i="13" s="1"/>
  <c r="F623" i="13"/>
  <c r="F624" i="13"/>
  <c r="F625" i="13"/>
  <c r="F626" i="13"/>
  <c r="F627" i="13"/>
  <c r="K627" i="13" s="1"/>
  <c r="F628" i="13"/>
  <c r="F629" i="13"/>
  <c r="F630" i="13"/>
  <c r="F631" i="13"/>
  <c r="L616" i="13"/>
  <c r="AM616" i="13" s="1" a="1"/>
  <c r="AM616" i="13" s="1"/>
  <c r="L617" i="13"/>
  <c r="O617" i="13" s="1"/>
  <c r="L618" i="13"/>
  <c r="AM618" i="13" s="1" a="1"/>
  <c r="AM618" i="13" s="1"/>
  <c r="L619" i="13"/>
  <c r="AM619" i="13" s="1" a="1"/>
  <c r="AM619" i="13" s="1"/>
  <c r="L620" i="13"/>
  <c r="O620" i="13" s="1"/>
  <c r="L621" i="13"/>
  <c r="N621" i="13" s="1"/>
  <c r="Q621" i="13" s="1"/>
  <c r="L622" i="13"/>
  <c r="AM622" i="13" s="1" a="1"/>
  <c r="AM622" i="13" s="1"/>
  <c r="L623" i="13"/>
  <c r="AM623" i="13" s="1" a="1"/>
  <c r="AM623" i="13" s="1"/>
  <c r="L624" i="13"/>
  <c r="AM624" i="13" s="1" a="1"/>
  <c r="AM624" i="13" s="1"/>
  <c r="L625" i="13"/>
  <c r="AM625" i="13" s="1" a="1"/>
  <c r="AM625" i="13" s="1"/>
  <c r="L626" i="13"/>
  <c r="AM626" i="13" s="1" a="1"/>
  <c r="AM626" i="13" s="1"/>
  <c r="L627" i="13"/>
  <c r="AM627" i="13" s="1" a="1"/>
  <c r="AM627" i="13" s="1"/>
  <c r="L628" i="13"/>
  <c r="O628" i="13" s="1"/>
  <c r="L629" i="13"/>
  <c r="O629" i="13" s="1"/>
  <c r="L630" i="13"/>
  <c r="AM630" i="13" s="1" a="1"/>
  <c r="AM630" i="13" s="1"/>
  <c r="L631" i="13"/>
  <c r="AM631" i="13" s="1" a="1"/>
  <c r="AM631" i="13" s="1"/>
  <c r="M616" i="13"/>
  <c r="R616" i="13" s="1"/>
  <c r="M617" i="13"/>
  <c r="R617" i="13" s="1"/>
  <c r="M618" i="13"/>
  <c r="P618" i="13" s="1"/>
  <c r="M619" i="13"/>
  <c r="P619" i="13" s="1"/>
  <c r="M620" i="13"/>
  <c r="R620" i="13" s="1"/>
  <c r="M621" i="13"/>
  <c r="R621" i="13" s="1"/>
  <c r="M622" i="13"/>
  <c r="P622" i="13" s="1"/>
  <c r="M623" i="13"/>
  <c r="P623" i="13" s="1"/>
  <c r="M624" i="13"/>
  <c r="R624" i="13" s="1"/>
  <c r="M625" i="13"/>
  <c r="R625" i="13" s="1"/>
  <c r="M626" i="13"/>
  <c r="R626" i="13" s="1"/>
  <c r="M627" i="13"/>
  <c r="R627" i="13" s="1"/>
  <c r="M628" i="13"/>
  <c r="R628" i="13" s="1"/>
  <c r="M629" i="13"/>
  <c r="P629" i="13" s="1"/>
  <c r="M630" i="13"/>
  <c r="P630" i="13" s="1"/>
  <c r="M631" i="13"/>
  <c r="P631" i="13" s="1"/>
  <c r="V616" i="13"/>
  <c r="V618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AO616" i="13"/>
  <c r="AO617" i="13"/>
  <c r="AO618" i="13"/>
  <c r="AO619" i="13"/>
  <c r="AO620" i="13"/>
  <c r="AO621" i="13"/>
  <c r="AO622" i="13"/>
  <c r="AO623" i="13"/>
  <c r="AO624" i="13"/>
  <c r="AO625" i="13"/>
  <c r="AO626" i="13"/>
  <c r="AO627" i="13"/>
  <c r="AO628" i="13"/>
  <c r="AO629" i="13"/>
  <c r="AO630" i="13"/>
  <c r="AO631" i="13"/>
  <c r="W1454" i="6" l="1"/>
  <c r="W1473" i="6"/>
  <c r="O1454" i="6"/>
  <c r="O1473" i="6"/>
  <c r="R1473" i="6" s="1"/>
  <c r="W1188" i="6"/>
  <c r="W1419" i="6"/>
  <c r="O1188" i="6"/>
  <c r="O1419" i="6"/>
  <c r="M1016" i="6"/>
  <c r="O1187" i="6"/>
  <c r="R1187" i="6" s="1"/>
  <c r="W1019" i="6"/>
  <c r="W1141" i="6"/>
  <c r="E617" i="13"/>
  <c r="S617" i="13" s="1"/>
  <c r="O1141" i="6"/>
  <c r="V1016" i="6"/>
  <c r="N617" i="13"/>
  <c r="Q617" i="13" s="1"/>
  <c r="N616" i="13"/>
  <c r="AR616" i="13" s="1"/>
  <c r="AM621" i="13" a="1"/>
  <c r="AM621" i="13" s="1"/>
  <c r="O1019" i="6"/>
  <c r="G618" i="13"/>
  <c r="AQ618" i="13" s="1"/>
  <c r="G616" i="13"/>
  <c r="AQ616" i="13" s="1"/>
  <c r="N627" i="13"/>
  <c r="Q627" i="13" s="1"/>
  <c r="O631" i="13"/>
  <c r="N623" i="13"/>
  <c r="Q623" i="13" s="1"/>
  <c r="O627" i="13"/>
  <c r="O619" i="13"/>
  <c r="O622" i="13"/>
  <c r="P627" i="13"/>
  <c r="N626" i="13"/>
  <c r="AR626" i="13" s="1"/>
  <c r="O621" i="13"/>
  <c r="R619" i="13"/>
  <c r="O623" i="13"/>
  <c r="N631" i="13"/>
  <c r="Q631" i="13" s="1"/>
  <c r="N619" i="13"/>
  <c r="Q619" i="13" s="1"/>
  <c r="V619" i="13"/>
  <c r="Z619" i="13" s="1"/>
  <c r="G620" i="13"/>
  <c r="AQ620" i="13" s="1"/>
  <c r="E619" i="13"/>
  <c r="S619" i="13" s="1"/>
  <c r="O1016" i="6"/>
  <c r="R1016" i="6" s="1"/>
  <c r="N625" i="13"/>
  <c r="AR625" i="13" s="1"/>
  <c r="P625" i="13"/>
  <c r="P621" i="13"/>
  <c r="G621" i="13"/>
  <c r="AQ621" i="13" s="1"/>
  <c r="G625" i="13"/>
  <c r="AQ625" i="13" s="1"/>
  <c r="G631" i="13"/>
  <c r="G623" i="13"/>
  <c r="AM629" i="13" a="1"/>
  <c r="AM629" i="13" s="1"/>
  <c r="AM617" i="13" a="1"/>
  <c r="AM617" i="13" s="1"/>
  <c r="O626" i="13"/>
  <c r="N630" i="13"/>
  <c r="AR630" i="13" s="1"/>
  <c r="P617" i="13"/>
  <c r="O625" i="13"/>
  <c r="N629" i="13"/>
  <c r="Q629" i="13" s="1"/>
  <c r="P626" i="13"/>
  <c r="G630" i="13"/>
  <c r="G622" i="13"/>
  <c r="AQ622" i="13" s="1"/>
  <c r="G624" i="13"/>
  <c r="T618" i="13"/>
  <c r="S626" i="13"/>
  <c r="R623" i="13"/>
  <c r="R618" i="13"/>
  <c r="O630" i="13"/>
  <c r="R622" i="13"/>
  <c r="AU622" i="13" s="1"/>
  <c r="N622" i="13"/>
  <c r="Z620" i="13"/>
  <c r="Z623" i="13"/>
  <c r="Z622" i="13"/>
  <c r="Z621" i="13"/>
  <c r="Z616" i="13"/>
  <c r="Z618" i="13"/>
  <c r="H630" i="13"/>
  <c r="V617" i="13"/>
  <c r="Z617" i="13" s="1"/>
  <c r="H627" i="13"/>
  <c r="I622" i="13"/>
  <c r="H622" i="13"/>
  <c r="I618" i="13"/>
  <c r="M1019" i="6"/>
  <c r="AR621" i="13"/>
  <c r="R629" i="13"/>
  <c r="O616" i="13"/>
  <c r="N628" i="13"/>
  <c r="AR628" i="13" s="1"/>
  <c r="N624" i="13"/>
  <c r="AR624" i="13" s="1"/>
  <c r="N620" i="13"/>
  <c r="AR620" i="13" s="1"/>
  <c r="AM628" i="13" a="1"/>
  <c r="AM628" i="13" s="1"/>
  <c r="AM620" i="13" a="1"/>
  <c r="AM620" i="13" s="1"/>
  <c r="P628" i="13"/>
  <c r="P624" i="13"/>
  <c r="P620" i="13"/>
  <c r="P616" i="13"/>
  <c r="O624" i="13"/>
  <c r="T626" i="13"/>
  <c r="S618" i="13"/>
  <c r="T629" i="13"/>
  <c r="T621" i="13"/>
  <c r="S629" i="13"/>
  <c r="S625" i="13"/>
  <c r="S621" i="13"/>
  <c r="M1229" i="16"/>
  <c r="AU620" i="13"/>
  <c r="Z625" i="13"/>
  <c r="O618" i="13"/>
  <c r="N618" i="13"/>
  <c r="Z624" i="13"/>
  <c r="AU627" i="13"/>
  <c r="T627" i="13"/>
  <c r="H623" i="13"/>
  <c r="S627" i="13"/>
  <c r="I627" i="13"/>
  <c r="H621" i="13"/>
  <c r="G629" i="13"/>
  <c r="AQ629" i="13" s="1"/>
  <c r="S623" i="13"/>
  <c r="H629" i="13"/>
  <c r="G627" i="13"/>
  <c r="T619" i="13"/>
  <c r="K621" i="13"/>
  <c r="AU621" i="13" s="1"/>
  <c r="I621" i="13"/>
  <c r="H631" i="13"/>
  <c r="H625" i="13"/>
  <c r="H624" i="13"/>
  <c r="H620" i="13"/>
  <c r="H616" i="13"/>
  <c r="G628" i="13"/>
  <c r="I620" i="13"/>
  <c r="H628" i="13"/>
  <c r="Z627" i="13"/>
  <c r="H626" i="13"/>
  <c r="G626" i="13"/>
  <c r="K618" i="13"/>
  <c r="T623" i="13"/>
  <c r="M1018" i="6"/>
  <c r="S631" i="13"/>
  <c r="K629" i="13"/>
  <c r="I629" i="13"/>
  <c r="Z626" i="13"/>
  <c r="Z628" i="13"/>
  <c r="T622" i="13"/>
  <c r="S630" i="13"/>
  <c r="S622" i="13"/>
  <c r="K626" i="13"/>
  <c r="AU626" i="13" s="1"/>
  <c r="I626" i="13"/>
  <c r="Z631" i="13"/>
  <c r="M1017" i="6"/>
  <c r="Z629" i="13"/>
  <c r="T625" i="13"/>
  <c r="T617" i="13"/>
  <c r="Z630" i="13"/>
  <c r="T628" i="13"/>
  <c r="T624" i="13"/>
  <c r="T620" i="13"/>
  <c r="T616" i="13"/>
  <c r="S628" i="13"/>
  <c r="S624" i="13"/>
  <c r="S620" i="13"/>
  <c r="S616" i="13"/>
  <c r="T631" i="13"/>
  <c r="R631" i="13"/>
  <c r="T630" i="13"/>
  <c r="R630" i="13"/>
  <c r="W1016" i="6" l="1"/>
  <c r="W1187" i="6"/>
  <c r="H617" i="13"/>
  <c r="G617" i="13"/>
  <c r="AQ617" i="13" s="1"/>
  <c r="AA629" i="13"/>
  <c r="AK629" i="13" s="1"/>
  <c r="AR617" i="13"/>
  <c r="Q616" i="13"/>
  <c r="AA616" i="13"/>
  <c r="AS616" i="13" s="1"/>
  <c r="AT616" i="13" s="1"/>
  <c r="AR623" i="13"/>
  <c r="AR627" i="13"/>
  <c r="R1019" i="6"/>
  <c r="AA624" i="13"/>
  <c r="AS624" i="13" s="1"/>
  <c r="AT624" i="13" s="1"/>
  <c r="Q620" i="13"/>
  <c r="AA621" i="13"/>
  <c r="AK621" i="13" s="1"/>
  <c r="AR631" i="13"/>
  <c r="Q626" i="13"/>
  <c r="Q625" i="13"/>
  <c r="Q630" i="13"/>
  <c r="AA628" i="13"/>
  <c r="AS628" i="13" s="1"/>
  <c r="AT628" i="13" s="1"/>
  <c r="H619" i="13"/>
  <c r="AR619" i="13"/>
  <c r="G619" i="13"/>
  <c r="J622" i="13"/>
  <c r="AQ631" i="13"/>
  <c r="AQ623" i="13"/>
  <c r="AQ624" i="13"/>
  <c r="AA626" i="13"/>
  <c r="AB626" i="13" s="1"/>
  <c r="AQ630" i="13"/>
  <c r="AR629" i="13"/>
  <c r="AA627" i="13"/>
  <c r="AP627" i="13" s="1"/>
  <c r="AA618" i="13"/>
  <c r="AK618" i="13" s="1"/>
  <c r="AU618" i="13"/>
  <c r="Q628" i="13"/>
  <c r="Q624" i="13"/>
  <c r="AR622" i="13"/>
  <c r="Q622" i="13"/>
  <c r="AQ627" i="13"/>
  <c r="AA625" i="13"/>
  <c r="AK625" i="13" s="1"/>
  <c r="AA619" i="13"/>
  <c r="AK619" i="13" s="1"/>
  <c r="AU629" i="13"/>
  <c r="AA623" i="13"/>
  <c r="AK623" i="13" s="1"/>
  <c r="AR618" i="13"/>
  <c r="Q618" i="13"/>
  <c r="AA617" i="13"/>
  <c r="AB617" i="13" s="1"/>
  <c r="AA630" i="13"/>
  <c r="AK630" i="13" s="1"/>
  <c r="AQ626" i="13"/>
  <c r="AQ628" i="13"/>
  <c r="AA631" i="13"/>
  <c r="AK631" i="13" s="1"/>
  <c r="AA620" i="13"/>
  <c r="AS620" i="13" s="1"/>
  <c r="AT620" i="13" s="1"/>
  <c r="AA622" i="13"/>
  <c r="AB622" i="13" s="1"/>
  <c r="AB629" i="13" l="1"/>
  <c r="AP629" i="13"/>
  <c r="AS629" i="13"/>
  <c r="AT629" i="13" s="1"/>
  <c r="AJ629" i="13"/>
  <c r="AJ616" i="13"/>
  <c r="AS621" i="13"/>
  <c r="AT621" i="13" s="1"/>
  <c r="AK616" i="13"/>
  <c r="AP616" i="13"/>
  <c r="AB616" i="13"/>
  <c r="AJ624" i="13"/>
  <c r="AB624" i="13"/>
  <c r="AB619" i="13"/>
  <c r="AB620" i="13"/>
  <c r="AB618" i="13"/>
  <c r="AB621" i="13"/>
  <c r="AB630" i="13"/>
  <c r="AB631" i="13"/>
  <c r="AB623" i="13"/>
  <c r="AB627" i="13"/>
  <c r="AB628" i="13"/>
  <c r="AB625" i="13"/>
  <c r="AK624" i="13"/>
  <c r="AP624" i="13"/>
  <c r="AP621" i="13"/>
  <c r="AJ621" i="13"/>
  <c r="AK628" i="13"/>
  <c r="AJ628" i="13"/>
  <c r="AP628" i="13"/>
  <c r="AI622" i="13"/>
  <c r="AQ619" i="13"/>
  <c r="AJ626" i="13"/>
  <c r="AP626" i="13"/>
  <c r="AK626" i="13"/>
  <c r="AS626" i="13"/>
  <c r="AT626" i="13" s="1"/>
  <c r="AS627" i="13"/>
  <c r="AT627" i="13" s="1"/>
  <c r="AK627" i="13"/>
  <c r="AP618" i="13"/>
  <c r="AJ618" i="13"/>
  <c r="AJ627" i="13"/>
  <c r="AS618" i="13"/>
  <c r="AT618" i="13" s="1"/>
  <c r="AP625" i="13"/>
  <c r="AS625" i="13"/>
  <c r="AT625" i="13" s="1"/>
  <c r="AJ625" i="13"/>
  <c r="AJ617" i="13"/>
  <c r="AS617" i="13"/>
  <c r="AT617" i="13" s="1"/>
  <c r="AK617" i="13"/>
  <c r="AJ623" i="13"/>
  <c r="AJ620" i="13"/>
  <c r="AP617" i="13"/>
  <c r="AJ630" i="13"/>
  <c r="AS619" i="13"/>
  <c r="AT619" i="13" s="1"/>
  <c r="AP623" i="13"/>
  <c r="AJ619" i="13"/>
  <c r="AP619" i="13"/>
  <c r="AP631" i="13"/>
  <c r="AS630" i="13"/>
  <c r="AT630" i="13" s="1"/>
  <c r="AS623" i="13"/>
  <c r="AT623" i="13" s="1"/>
  <c r="AP630" i="13"/>
  <c r="AS631" i="13"/>
  <c r="AT631" i="13" s="1"/>
  <c r="AJ631" i="13"/>
  <c r="AK620" i="13"/>
  <c r="AP620" i="13"/>
  <c r="AK622" i="13"/>
  <c r="AJ622" i="13"/>
  <c r="AN622" i="13"/>
  <c r="AS622" i="13"/>
  <c r="AT622" i="13" s="1"/>
  <c r="AP622" i="13"/>
  <c r="AV622" i="13" l="1"/>
  <c r="N1228" i="16" l="1"/>
  <c r="D1228" i="16"/>
  <c r="E1228" i="16" a="1"/>
  <c r="E1228" i="16" s="1"/>
  <c r="G1228" i="16"/>
  <c r="H1228" i="16" s="1"/>
  <c r="I1228" i="16"/>
  <c r="Q1228" i="16"/>
  <c r="S1228" i="16"/>
  <c r="V1228" i="16"/>
  <c r="N1012" i="6"/>
  <c r="M1012" i="6" s="1"/>
  <c r="N1013" i="6"/>
  <c r="M1013" i="6" s="1"/>
  <c r="N1014" i="6"/>
  <c r="M1014" i="6" s="1"/>
  <c r="Q1015" i="6"/>
  <c r="D1015" i="6"/>
  <c r="G1015" i="6"/>
  <c r="H1015" i="6" s="1"/>
  <c r="I1015" i="6"/>
  <c r="S1015" i="6"/>
  <c r="V1015" i="6"/>
  <c r="D1014" i="6"/>
  <c r="G1014" i="6"/>
  <c r="H1014" i="6" s="1"/>
  <c r="I1014" i="6"/>
  <c r="S1014" i="6"/>
  <c r="V1014" i="6"/>
  <c r="D1013" i="6"/>
  <c r="G1013" i="6"/>
  <c r="H1013" i="6" s="1"/>
  <c r="I1013" i="6"/>
  <c r="S1013" i="6"/>
  <c r="D1012" i="6"/>
  <c r="G1012" i="6"/>
  <c r="H1012" i="6" s="1"/>
  <c r="I1012" i="6"/>
  <c r="Q1012" i="6"/>
  <c r="S1012" i="6"/>
  <c r="V1012" i="6" l="1"/>
  <c r="V1013" i="6"/>
  <c r="Q1013" i="6"/>
  <c r="M1228" i="16"/>
  <c r="Q1014" i="6"/>
  <c r="N1015" i="6"/>
  <c r="M1015" i="6" s="1"/>
  <c r="N1208" i="16"/>
  <c r="M1208" i="16" s="1"/>
  <c r="N1209" i="16"/>
  <c r="M1209" i="16" s="1"/>
  <c r="N1210" i="16"/>
  <c r="M1210" i="16" s="1"/>
  <c r="N1211" i="16"/>
  <c r="M1211" i="16" s="1"/>
  <c r="Q1212" i="16"/>
  <c r="N1213" i="16"/>
  <c r="M1213" i="16" s="1"/>
  <c r="N1214" i="16"/>
  <c r="M1214" i="16" s="1"/>
  <c r="N1215" i="16"/>
  <c r="Q1217" i="16"/>
  <c r="N1219" i="16"/>
  <c r="V1219" i="16" s="1"/>
  <c r="N1220" i="16"/>
  <c r="M1220" i="16" s="1"/>
  <c r="Q1221" i="16"/>
  <c r="N1222" i="16"/>
  <c r="M1222" i="16" s="1"/>
  <c r="N1223" i="16"/>
  <c r="N1224" i="16"/>
  <c r="M1224" i="16" s="1"/>
  <c r="N1225" i="16"/>
  <c r="M1225" i="16" s="1"/>
  <c r="Q1226" i="16"/>
  <c r="N1227" i="16"/>
  <c r="N1207" i="16"/>
  <c r="M1207" i="16" s="1"/>
  <c r="D1215" i="16"/>
  <c r="D1216" i="16"/>
  <c r="D1217" i="16"/>
  <c r="D1218" i="16"/>
  <c r="D1219" i="16"/>
  <c r="D1220" i="16"/>
  <c r="D1221" i="16"/>
  <c r="D1222" i="16"/>
  <c r="D1223" i="16"/>
  <c r="D1224" i="16"/>
  <c r="D1225" i="16"/>
  <c r="D1226" i="16"/>
  <c r="D1227" i="16"/>
  <c r="E1215" i="16" a="1"/>
  <c r="E1215" i="16" s="1"/>
  <c r="E1216" i="16" a="1"/>
  <c r="E1216" i="16" s="1"/>
  <c r="E1217" i="16" a="1"/>
  <c r="E1217" i="16" s="1"/>
  <c r="E1218" i="16" a="1"/>
  <c r="E1218" i="16" s="1"/>
  <c r="E1219" i="16" a="1"/>
  <c r="E1219" i="16" s="1"/>
  <c r="E1220" i="16" a="1"/>
  <c r="E1220" i="16" s="1"/>
  <c r="E1221" i="16" a="1"/>
  <c r="E1221" i="16" s="1"/>
  <c r="E1222" i="16" a="1"/>
  <c r="E1222" i="16" s="1"/>
  <c r="E1223" i="16" a="1"/>
  <c r="E1223" i="16" s="1"/>
  <c r="E1224" i="16" a="1"/>
  <c r="E1224" i="16" s="1"/>
  <c r="E1225" i="16" a="1"/>
  <c r="E1225" i="16" s="1"/>
  <c r="E1226" i="16" a="1"/>
  <c r="E1226" i="16" s="1"/>
  <c r="E1227" i="16" a="1"/>
  <c r="E1227" i="16" s="1"/>
  <c r="G1215" i="16"/>
  <c r="H1215" i="16" s="1"/>
  <c r="G1216" i="16"/>
  <c r="H1216" i="16" s="1"/>
  <c r="G1217" i="16"/>
  <c r="H1217" i="16" s="1"/>
  <c r="G1218" i="16"/>
  <c r="H1218" i="16" s="1"/>
  <c r="G1219" i="16"/>
  <c r="H1219" i="16" s="1"/>
  <c r="G1220" i="16"/>
  <c r="H1220" i="16" s="1"/>
  <c r="G1221" i="16"/>
  <c r="H1221" i="16" s="1"/>
  <c r="G1222" i="16"/>
  <c r="H1222" i="16" s="1"/>
  <c r="G1223" i="16"/>
  <c r="H1223" i="16" s="1"/>
  <c r="G1224" i="16"/>
  <c r="H1224" i="16" s="1"/>
  <c r="G1225" i="16"/>
  <c r="H1225" i="16" s="1"/>
  <c r="G1226" i="16"/>
  <c r="H1226" i="16" s="1"/>
  <c r="G1227" i="16"/>
  <c r="H1227" i="16" s="1"/>
  <c r="I1215" i="16"/>
  <c r="I1216" i="16"/>
  <c r="I1217" i="16"/>
  <c r="I1218" i="16"/>
  <c r="I1219" i="16"/>
  <c r="I1220" i="16"/>
  <c r="I1221" i="16"/>
  <c r="I1222" i="16"/>
  <c r="I1223" i="16"/>
  <c r="I1224" i="16"/>
  <c r="I1225" i="16"/>
  <c r="I1226" i="16"/>
  <c r="I1227" i="16"/>
  <c r="N1216" i="16"/>
  <c r="M1216" i="16" s="1"/>
  <c r="N1217" i="16"/>
  <c r="M1217" i="16" s="1"/>
  <c r="N1218" i="16"/>
  <c r="M1218" i="16" s="1"/>
  <c r="Q1216" i="16"/>
  <c r="Q1218" i="16"/>
  <c r="Q1224" i="16"/>
  <c r="Q1225" i="16"/>
  <c r="S1215" i="16"/>
  <c r="S1216" i="16"/>
  <c r="S1217" i="16"/>
  <c r="S1218" i="16"/>
  <c r="S1219" i="16"/>
  <c r="S1220" i="16"/>
  <c r="S1221" i="16"/>
  <c r="S1222" i="16"/>
  <c r="S1223" i="16"/>
  <c r="S1224" i="16"/>
  <c r="S1225" i="16"/>
  <c r="S1226" i="16"/>
  <c r="S1227" i="16"/>
  <c r="U1215" i="16" a="1"/>
  <c r="U1215" i="16" s="1"/>
  <c r="U1216" i="16" a="1"/>
  <c r="U1216" i="16" s="1"/>
  <c r="U1217" i="16" a="1"/>
  <c r="U1217" i="16" s="1"/>
  <c r="U1218" i="16" a="1"/>
  <c r="U1218" i="16" s="1"/>
  <c r="U1219" i="16" a="1"/>
  <c r="U1219" i="16" s="1"/>
  <c r="U1220" i="16" a="1"/>
  <c r="U1220" i="16" s="1"/>
  <c r="U1221" i="16" a="1"/>
  <c r="U1221" i="16" s="1"/>
  <c r="U1222" i="16" a="1"/>
  <c r="U1222" i="16" s="1"/>
  <c r="U1223" i="16" a="1"/>
  <c r="U1223" i="16" s="1"/>
  <c r="U1224" i="16" a="1"/>
  <c r="U1224" i="16" s="1"/>
  <c r="U1225" i="16" a="1"/>
  <c r="U1225" i="16" s="1"/>
  <c r="U1226" i="16" a="1"/>
  <c r="U1226" i="16" s="1"/>
  <c r="U1227" i="16" a="1"/>
  <c r="U1227" i="16" s="1"/>
  <c r="V1215" i="16"/>
  <c r="V1217" i="16"/>
  <c r="V1218" i="16"/>
  <c r="V1220" i="16"/>
  <c r="V1222" i="16"/>
  <c r="V1223" i="16"/>
  <c r="V1224" i="16"/>
  <c r="V1225" i="16"/>
  <c r="V1226" i="16"/>
  <c r="V1227" i="16"/>
  <c r="D1207" i="16"/>
  <c r="D1208" i="16"/>
  <c r="D1209" i="16"/>
  <c r="D1210" i="16"/>
  <c r="D1211" i="16"/>
  <c r="D1212" i="16"/>
  <c r="D1213" i="16"/>
  <c r="D1214" i="16"/>
  <c r="E1207" i="16" a="1"/>
  <c r="E1207" i="16" s="1"/>
  <c r="E1208" i="16" a="1"/>
  <c r="E1208" i="16" s="1"/>
  <c r="E1209" i="16" a="1"/>
  <c r="E1209" i="16" s="1"/>
  <c r="E1210" i="16" a="1"/>
  <c r="E1210" i="16" s="1"/>
  <c r="E1211" i="16" a="1"/>
  <c r="E1211" i="16" s="1"/>
  <c r="E1212" i="16" a="1"/>
  <c r="E1212" i="16" s="1"/>
  <c r="E1213" i="16" a="1"/>
  <c r="E1213" i="16" s="1"/>
  <c r="E1214" i="16" a="1"/>
  <c r="E1214" i="16" s="1"/>
  <c r="G1207" i="16"/>
  <c r="H1207" i="16" s="1"/>
  <c r="G1208" i="16"/>
  <c r="H1208" i="16" s="1"/>
  <c r="G1209" i="16"/>
  <c r="H1209" i="16" s="1"/>
  <c r="G1210" i="16"/>
  <c r="H1210" i="16" s="1"/>
  <c r="G1211" i="16"/>
  <c r="H1211" i="16" s="1"/>
  <c r="G1212" i="16"/>
  <c r="H1212" i="16" s="1"/>
  <c r="G1213" i="16"/>
  <c r="H1213" i="16" s="1"/>
  <c r="G1214" i="16"/>
  <c r="H1214" i="16" s="1"/>
  <c r="I1207" i="16"/>
  <c r="I1208" i="16"/>
  <c r="I1209" i="16"/>
  <c r="I1210" i="16"/>
  <c r="I1211" i="16"/>
  <c r="I1212" i="16"/>
  <c r="I1213" i="16"/>
  <c r="I1214" i="16"/>
  <c r="N1212" i="16"/>
  <c r="M1212" i="16" s="1"/>
  <c r="Q1208" i="16"/>
  <c r="Q1209" i="16"/>
  <c r="S1207" i="16"/>
  <c r="S1208" i="16"/>
  <c r="S1209" i="16"/>
  <c r="S1210" i="16"/>
  <c r="S1211" i="16"/>
  <c r="S1212" i="16"/>
  <c r="S1213" i="16"/>
  <c r="S1214" i="16"/>
  <c r="U1207" i="16" a="1"/>
  <c r="U1207" i="16" s="1"/>
  <c r="U1208" i="16" a="1"/>
  <c r="U1208" i="16" s="1"/>
  <c r="U1209" i="16" a="1"/>
  <c r="U1209" i="16" s="1"/>
  <c r="U1210" i="16" a="1"/>
  <c r="U1210" i="16" s="1"/>
  <c r="U1211" i="16" a="1"/>
  <c r="U1211" i="16" s="1"/>
  <c r="U1212" i="16" a="1"/>
  <c r="U1212" i="16" s="1"/>
  <c r="U1213" i="16" a="1"/>
  <c r="U1213" i="16" s="1"/>
  <c r="U1214" i="16" a="1"/>
  <c r="U1214" i="16" s="1"/>
  <c r="V1207" i="16"/>
  <c r="V1208" i="16"/>
  <c r="V1209" i="16"/>
  <c r="V1210" i="16"/>
  <c r="V1211" i="16"/>
  <c r="V1212" i="16"/>
  <c r="V1213" i="16"/>
  <c r="V1216" i="16" l="1"/>
  <c r="V1214" i="16"/>
  <c r="Q1213" i="16"/>
  <c r="Q1207" i="16"/>
  <c r="N1221" i="16"/>
  <c r="Q1214" i="16"/>
  <c r="Q1210" i="16"/>
  <c r="Q1211" i="16"/>
  <c r="Q1220" i="16"/>
  <c r="N1226" i="16"/>
  <c r="M1226" i="16" s="1"/>
  <c r="Q1222" i="16"/>
  <c r="Q1227" i="16"/>
  <c r="Q1223" i="16"/>
  <c r="Q1219" i="16"/>
  <c r="Q1215" i="16"/>
  <c r="M1219" i="16"/>
  <c r="M1227" i="16"/>
  <c r="M1223" i="16"/>
  <c r="M1215" i="16"/>
  <c r="N1007" i="6"/>
  <c r="M1007" i="6" s="1"/>
  <c r="N1008" i="6"/>
  <c r="M1008" i="6" s="1"/>
  <c r="N1009" i="6"/>
  <c r="M1009" i="6" s="1"/>
  <c r="N1010" i="6"/>
  <c r="M1010" i="6" s="1"/>
  <c r="N1011" i="6"/>
  <c r="N1006" i="6"/>
  <c r="M1006" i="6" s="1"/>
  <c r="D1011" i="6"/>
  <c r="G1011" i="6"/>
  <c r="H1011" i="6" s="1"/>
  <c r="I1011" i="6"/>
  <c r="S1011" i="6"/>
  <c r="U1011" i="6" a="1"/>
  <c r="U1011" i="6" s="1"/>
  <c r="V1011" i="6"/>
  <c r="D1010" i="6"/>
  <c r="G1010" i="6"/>
  <c r="H1010" i="6" s="1"/>
  <c r="I1010" i="6"/>
  <c r="S1010" i="6"/>
  <c r="U1010" i="6" a="1"/>
  <c r="U1010" i="6" s="1"/>
  <c r="D1009" i="6"/>
  <c r="G1009" i="6"/>
  <c r="H1009" i="6" s="1"/>
  <c r="I1009" i="6"/>
  <c r="Q1009" i="6"/>
  <c r="S1009" i="6"/>
  <c r="U1009" i="6" a="1"/>
  <c r="U1009" i="6" s="1"/>
  <c r="V1009" i="6"/>
  <c r="D1008" i="6"/>
  <c r="G1008" i="6"/>
  <c r="H1008" i="6" s="1"/>
  <c r="I1008" i="6"/>
  <c r="Q1008" i="6"/>
  <c r="S1008" i="6"/>
  <c r="U1008" i="6" a="1"/>
  <c r="U1008" i="6" s="1"/>
  <c r="D1007" i="6"/>
  <c r="G1007" i="6"/>
  <c r="H1007" i="6" s="1"/>
  <c r="I1007" i="6"/>
  <c r="S1007" i="6"/>
  <c r="V1007" i="6"/>
  <c r="D1006" i="6"/>
  <c r="G1006" i="6"/>
  <c r="H1006" i="6" s="1"/>
  <c r="I1006" i="6"/>
  <c r="S1006" i="6"/>
  <c r="Q1004" i="6"/>
  <c r="Q1005" i="6"/>
  <c r="D1005" i="6"/>
  <c r="G1005" i="6"/>
  <c r="H1005" i="6" s="1"/>
  <c r="I1005" i="6"/>
  <c r="N1005" i="6"/>
  <c r="V1005" i="6" s="1"/>
  <c r="S1005" i="6"/>
  <c r="U1005" i="6" a="1"/>
  <c r="U1005" i="6" s="1"/>
  <c r="D1004" i="6"/>
  <c r="G1004" i="6"/>
  <c r="H1004" i="6" s="1"/>
  <c r="I1004" i="6"/>
  <c r="N1004" i="6"/>
  <c r="M1004" i="6" s="1"/>
  <c r="S1004" i="6"/>
  <c r="E615" i="13"/>
  <c r="G615" i="13" s="1"/>
  <c r="F614" i="13"/>
  <c r="F615" i="13"/>
  <c r="I615" i="13" s="1"/>
  <c r="L614" i="13"/>
  <c r="O614" i="13" s="1"/>
  <c r="L615" i="13"/>
  <c r="AM615" i="13" s="1" a="1"/>
  <c r="AM615" i="13" s="1"/>
  <c r="M614" i="13"/>
  <c r="P614" i="13" s="1"/>
  <c r="M615" i="13"/>
  <c r="R615" i="13" s="1"/>
  <c r="V615" i="13"/>
  <c r="W614" i="13"/>
  <c r="W615" i="13"/>
  <c r="X614" i="13"/>
  <c r="X615" i="13"/>
  <c r="Y614" i="13"/>
  <c r="Y615" i="13"/>
  <c r="AO614" i="13"/>
  <c r="AO615" i="13"/>
  <c r="V1010" i="6" l="1"/>
  <c r="M1221" i="16"/>
  <c r="V1221" i="16"/>
  <c r="V1006" i="6"/>
  <c r="V1008" i="6"/>
  <c r="V1004" i="6"/>
  <c r="Q1006" i="6"/>
  <c r="Q1007" i="6"/>
  <c r="Q1010" i="6"/>
  <c r="Q1011" i="6"/>
  <c r="AM614" i="13" a="1"/>
  <c r="AM614" i="13" s="1"/>
  <c r="N614" i="13"/>
  <c r="M1011" i="6"/>
  <c r="P615" i="13"/>
  <c r="T614" i="13"/>
  <c r="K614" i="13"/>
  <c r="I614" i="13"/>
  <c r="H615" i="13"/>
  <c r="AQ615" i="13"/>
  <c r="J615" i="13"/>
  <c r="AL615" i="13" a="1"/>
  <c r="AL615" i="13" s="1"/>
  <c r="M1005" i="6"/>
  <c r="Z615" i="13"/>
  <c r="T615" i="13"/>
  <c r="N615" i="13"/>
  <c r="R614" i="13"/>
  <c r="S615" i="13"/>
  <c r="O615" i="13"/>
  <c r="K615" i="13"/>
  <c r="AU615" i="13" s="1"/>
  <c r="AR614" i="13" l="1"/>
  <c r="Q614" i="13"/>
  <c r="AU614" i="13"/>
  <c r="AA615" i="13"/>
  <c r="AK615" i="13" s="1"/>
  <c r="AR615" i="13"/>
  <c r="Q615" i="13"/>
  <c r="AI615" i="13" s="1"/>
  <c r="AB615" i="13" l="1"/>
  <c r="AP615" i="13"/>
  <c r="AV615" i="13" s="1"/>
  <c r="AN615" i="13"/>
  <c r="AJ615" i="13"/>
  <c r="AS615" i="13"/>
  <c r="AT615" i="13" s="1"/>
  <c r="N1003" i="6"/>
  <c r="V1003" i="6" s="1"/>
  <c r="D1003" i="6"/>
  <c r="G1003" i="6"/>
  <c r="H1003" i="6" s="1"/>
  <c r="I1003" i="6"/>
  <c r="S1003" i="6"/>
  <c r="U1003" i="6" a="1"/>
  <c r="U1003" i="6" s="1"/>
  <c r="Q992" i="6"/>
  <c r="N993" i="6"/>
  <c r="N994" i="6"/>
  <c r="V994" i="6" s="1"/>
  <c r="W994" i="6" s="1"/>
  <c r="N995" i="6"/>
  <c r="V995" i="6" s="1"/>
  <c r="N996" i="6"/>
  <c r="Q997" i="6"/>
  <c r="Q998" i="6"/>
  <c r="N999" i="6"/>
  <c r="Q1000" i="6"/>
  <c r="N1001" i="6"/>
  <c r="N1002" i="6"/>
  <c r="D994" i="6"/>
  <c r="G994" i="6"/>
  <c r="H994" i="6" s="1"/>
  <c r="I994" i="6"/>
  <c r="S994" i="6"/>
  <c r="U994" i="6" a="1"/>
  <c r="U994" i="6" s="1"/>
  <c r="D995" i="6"/>
  <c r="G995" i="6"/>
  <c r="H995" i="6" s="1"/>
  <c r="I995" i="6"/>
  <c r="Q995" i="6"/>
  <c r="S995" i="6"/>
  <c r="U995" i="6" a="1"/>
  <c r="U995" i="6" s="1"/>
  <c r="D1002" i="6"/>
  <c r="G1002" i="6"/>
  <c r="H1002" i="6" s="1"/>
  <c r="I1002" i="6"/>
  <c r="S1002" i="6"/>
  <c r="U1002" i="6" a="1"/>
  <c r="U1002" i="6" s="1"/>
  <c r="V1002" i="6"/>
  <c r="D1001" i="6"/>
  <c r="G1001" i="6"/>
  <c r="H1001" i="6" s="1"/>
  <c r="I1001" i="6"/>
  <c r="S1001" i="6"/>
  <c r="U1001" i="6" a="1"/>
  <c r="U1001" i="6" s="1"/>
  <c r="V1001" i="6"/>
  <c r="D1000" i="6"/>
  <c r="G1000" i="6"/>
  <c r="H1000" i="6" s="1"/>
  <c r="I1000" i="6"/>
  <c r="N1000" i="6"/>
  <c r="M1000" i="6" s="1"/>
  <c r="S1000" i="6"/>
  <c r="U1000" i="6" a="1"/>
  <c r="U1000" i="6" s="1"/>
  <c r="V1000" i="6"/>
  <c r="D999" i="6"/>
  <c r="G999" i="6"/>
  <c r="H999" i="6" s="1"/>
  <c r="I999" i="6"/>
  <c r="S999" i="6"/>
  <c r="U999" i="6" a="1"/>
  <c r="U999" i="6" s="1"/>
  <c r="V999" i="6"/>
  <c r="D998" i="6"/>
  <c r="G998" i="6"/>
  <c r="H998" i="6" s="1"/>
  <c r="I998" i="6"/>
  <c r="N998" i="6"/>
  <c r="M998" i="6" s="1"/>
  <c r="S998" i="6"/>
  <c r="V998" i="6"/>
  <c r="D997" i="6"/>
  <c r="G997" i="6"/>
  <c r="H997" i="6" s="1"/>
  <c r="I997" i="6"/>
  <c r="N997" i="6"/>
  <c r="S997" i="6"/>
  <c r="V997" i="6"/>
  <c r="D996" i="6"/>
  <c r="G996" i="6"/>
  <c r="H996" i="6" s="1"/>
  <c r="I996" i="6"/>
  <c r="S996" i="6"/>
  <c r="V996" i="6"/>
  <c r="D993" i="6"/>
  <c r="G993" i="6"/>
  <c r="H993" i="6" s="1"/>
  <c r="I993" i="6"/>
  <c r="S993" i="6"/>
  <c r="U993" i="6" a="1"/>
  <c r="U993" i="6" s="1"/>
  <c r="V993" i="6"/>
  <c r="D992" i="6"/>
  <c r="G992" i="6"/>
  <c r="H992" i="6" s="1"/>
  <c r="I992" i="6"/>
  <c r="N992" i="6"/>
  <c r="V992" i="6" s="1"/>
  <c r="S992" i="6"/>
  <c r="U992" i="6" a="1"/>
  <c r="U992" i="6" s="1"/>
  <c r="D1206" i="16"/>
  <c r="E1206" i="16" a="1"/>
  <c r="E1206" i="16" s="1"/>
  <c r="G1206" i="16"/>
  <c r="H1206" i="16" s="1"/>
  <c r="I1206" i="16"/>
  <c r="N1206" i="16"/>
  <c r="M1206" i="16" s="1"/>
  <c r="Q1206" i="16"/>
  <c r="S1206" i="16"/>
  <c r="V1206" i="16"/>
  <c r="D991" i="6"/>
  <c r="G991" i="6"/>
  <c r="H991" i="6" s="1"/>
  <c r="I991" i="6"/>
  <c r="N991" i="6"/>
  <c r="M991" i="6" s="1"/>
  <c r="Q991" i="6"/>
  <c r="S991" i="6"/>
  <c r="U991" i="6" a="1"/>
  <c r="U991" i="6" s="1"/>
  <c r="V991" i="6"/>
  <c r="W995" i="6" l="1"/>
  <c r="O995" i="6"/>
  <c r="E614" i="13"/>
  <c r="H614" i="13" s="1"/>
  <c r="Q994" i="6"/>
  <c r="O994" i="6"/>
  <c r="Q1002" i="6"/>
  <c r="Q993" i="6"/>
  <c r="Q1001" i="6"/>
  <c r="V614" i="13"/>
  <c r="Z614" i="13" s="1"/>
  <c r="Q1003" i="6"/>
  <c r="M1003" i="6"/>
  <c r="Q996" i="6"/>
  <c r="Q999" i="6"/>
  <c r="M994" i="6"/>
  <c r="M995" i="6"/>
  <c r="M1002" i="6"/>
  <c r="M1001" i="6"/>
  <c r="M999" i="6"/>
  <c r="M997" i="6"/>
  <c r="M996" i="6"/>
  <c r="M993" i="6"/>
  <c r="M992" i="6"/>
  <c r="G614" i="13" l="1"/>
  <c r="AQ614" i="13" s="1"/>
  <c r="S614" i="13"/>
  <c r="AA614" i="13" s="1"/>
  <c r="AS614" i="13" s="1"/>
  <c r="AT614" i="13" s="1"/>
  <c r="R994" i="6"/>
  <c r="N989" i="6"/>
  <c r="N990" i="6"/>
  <c r="V990" i="6" s="1"/>
  <c r="D990" i="6"/>
  <c r="G990" i="6"/>
  <c r="H990" i="6" s="1"/>
  <c r="I990" i="6"/>
  <c r="Q990" i="6"/>
  <c r="S990" i="6"/>
  <c r="U990" i="6" a="1"/>
  <c r="U990" i="6" s="1"/>
  <c r="D989" i="6"/>
  <c r="G989" i="6"/>
  <c r="H989" i="6" s="1"/>
  <c r="I989" i="6"/>
  <c r="Q989" i="6"/>
  <c r="S989" i="6"/>
  <c r="U989" i="6" a="1"/>
  <c r="U989" i="6" s="1"/>
  <c r="V989" i="6"/>
  <c r="D988" i="6"/>
  <c r="G988" i="6"/>
  <c r="H988" i="6" s="1"/>
  <c r="I988" i="6"/>
  <c r="N988" i="6"/>
  <c r="Q988" i="6"/>
  <c r="S988" i="6"/>
  <c r="U988" i="6" a="1"/>
  <c r="U988" i="6" s="1"/>
  <c r="V988" i="6"/>
  <c r="D985" i="6"/>
  <c r="G985" i="6"/>
  <c r="H985" i="6" s="1"/>
  <c r="I985" i="6"/>
  <c r="N985" i="6"/>
  <c r="Q985" i="6"/>
  <c r="S985" i="6"/>
  <c r="V985" i="6"/>
  <c r="N986" i="6"/>
  <c r="M986" i="6" s="1"/>
  <c r="Q987" i="6"/>
  <c r="D987" i="6"/>
  <c r="G987" i="6"/>
  <c r="H987" i="6" s="1"/>
  <c r="I987" i="6"/>
  <c r="N987" i="6"/>
  <c r="V987" i="6" s="1"/>
  <c r="S987" i="6"/>
  <c r="U987" i="6" a="1"/>
  <c r="U987" i="6" s="1"/>
  <c r="D986" i="6"/>
  <c r="G986" i="6"/>
  <c r="H986" i="6" s="1"/>
  <c r="I986" i="6"/>
  <c r="S986" i="6"/>
  <c r="U986" i="6" a="1"/>
  <c r="U986" i="6" s="1"/>
  <c r="V986" i="6"/>
  <c r="N1175" i="16"/>
  <c r="M1175" i="16" s="1"/>
  <c r="N1176" i="16"/>
  <c r="N1179" i="16"/>
  <c r="M1179" i="16" s="1"/>
  <c r="N1180" i="16"/>
  <c r="M1180" i="16" s="1"/>
  <c r="N1183" i="16"/>
  <c r="M1183" i="16" s="1"/>
  <c r="N1184" i="16"/>
  <c r="N1187" i="16"/>
  <c r="M1187" i="16" s="1"/>
  <c r="N1188" i="16"/>
  <c r="M1188" i="16" s="1"/>
  <c r="N1191" i="16"/>
  <c r="M1191" i="16" s="1"/>
  <c r="N1192" i="16"/>
  <c r="M1192" i="16" s="1"/>
  <c r="N1195" i="16"/>
  <c r="M1195" i="16" s="1"/>
  <c r="N1196" i="16"/>
  <c r="M1196" i="16" s="1"/>
  <c r="N1199" i="16"/>
  <c r="M1199" i="16" s="1"/>
  <c r="N1200" i="16"/>
  <c r="N1203" i="16"/>
  <c r="M1203" i="16" s="1"/>
  <c r="N1204" i="16"/>
  <c r="M1204" i="16" s="1"/>
  <c r="D1172" i="16"/>
  <c r="D1173" i="16"/>
  <c r="D1174" i="16"/>
  <c r="D1175" i="16"/>
  <c r="D1176" i="16"/>
  <c r="D1177" i="16"/>
  <c r="D1178" i="16"/>
  <c r="D1179" i="16"/>
  <c r="D1180" i="16"/>
  <c r="D1181" i="16"/>
  <c r="D1182" i="16"/>
  <c r="D1183" i="16"/>
  <c r="D1184" i="16"/>
  <c r="D1185" i="16"/>
  <c r="D1186" i="16"/>
  <c r="D1187" i="16"/>
  <c r="D1188" i="16"/>
  <c r="D1189" i="16"/>
  <c r="D1190" i="16"/>
  <c r="D1191" i="16"/>
  <c r="D1192" i="16"/>
  <c r="D1193" i="16"/>
  <c r="D1194" i="16"/>
  <c r="D1195" i="16"/>
  <c r="D1196" i="16"/>
  <c r="D1197" i="16"/>
  <c r="D1198" i="16"/>
  <c r="D1199" i="16"/>
  <c r="D1200" i="16"/>
  <c r="D1201" i="16"/>
  <c r="D1202" i="16"/>
  <c r="D1203" i="16"/>
  <c r="D1204" i="16"/>
  <c r="D1205" i="16"/>
  <c r="E1172" i="16" a="1"/>
  <c r="E1172" i="16" s="1"/>
  <c r="E1173" i="16" a="1"/>
  <c r="E1173" i="16" s="1"/>
  <c r="E1174" i="16" a="1"/>
  <c r="E1174" i="16" s="1"/>
  <c r="E1175" i="16" a="1"/>
  <c r="E1175" i="16" s="1"/>
  <c r="E1176" i="16" a="1"/>
  <c r="E1176" i="16" s="1"/>
  <c r="E1177" i="16" a="1"/>
  <c r="E1177" i="16" s="1"/>
  <c r="E1178" i="16" a="1"/>
  <c r="E1178" i="16" s="1"/>
  <c r="E1179" i="16" a="1"/>
  <c r="E1179" i="16" s="1"/>
  <c r="E1180" i="16" a="1"/>
  <c r="E1180" i="16" s="1"/>
  <c r="E1181" i="16" a="1"/>
  <c r="E1181" i="16" s="1"/>
  <c r="E1182" i="16" a="1"/>
  <c r="E1182" i="16" s="1"/>
  <c r="E1183" i="16" a="1"/>
  <c r="E1183" i="16" s="1"/>
  <c r="E1184" i="16" a="1"/>
  <c r="E1184" i="16" s="1"/>
  <c r="E1185" i="16" a="1"/>
  <c r="E1185" i="16" s="1"/>
  <c r="E1186" i="16" a="1"/>
  <c r="E1186" i="16" s="1"/>
  <c r="E1187" i="16" a="1"/>
  <c r="E1187" i="16" s="1"/>
  <c r="E1188" i="16" a="1"/>
  <c r="E1188" i="16" s="1"/>
  <c r="E1189" i="16" a="1"/>
  <c r="E1189" i="16" s="1"/>
  <c r="E1190" i="16" a="1"/>
  <c r="E1190" i="16" s="1"/>
  <c r="E1191" i="16" a="1"/>
  <c r="E1191" i="16" s="1"/>
  <c r="E1192" i="16" a="1"/>
  <c r="E1192" i="16" s="1"/>
  <c r="E1193" i="16" a="1"/>
  <c r="E1193" i="16" s="1"/>
  <c r="E1194" i="16" a="1"/>
  <c r="E1194" i="16" s="1"/>
  <c r="E1195" i="16" a="1"/>
  <c r="E1195" i="16" s="1"/>
  <c r="E1196" i="16" a="1"/>
  <c r="E1196" i="16" s="1"/>
  <c r="E1197" i="16" a="1"/>
  <c r="E1197" i="16" s="1"/>
  <c r="E1198" i="16" a="1"/>
  <c r="E1198" i="16" s="1"/>
  <c r="E1199" i="16" a="1"/>
  <c r="E1199" i="16" s="1"/>
  <c r="E1200" i="16" a="1"/>
  <c r="E1200" i="16" s="1"/>
  <c r="E1201" i="16" a="1"/>
  <c r="E1201" i="16" s="1"/>
  <c r="E1202" i="16" a="1"/>
  <c r="E1202" i="16" s="1"/>
  <c r="E1203" i="16" a="1"/>
  <c r="E1203" i="16" s="1"/>
  <c r="E1204" i="16" a="1"/>
  <c r="E1204" i="16" s="1"/>
  <c r="E1205" i="16" a="1"/>
  <c r="E1205" i="16" s="1"/>
  <c r="G1172" i="16"/>
  <c r="H1172" i="16" s="1"/>
  <c r="G1173" i="16"/>
  <c r="H1173" i="16" s="1"/>
  <c r="G1174" i="16"/>
  <c r="G1175" i="16"/>
  <c r="H1175" i="16" s="1"/>
  <c r="G1176" i="16"/>
  <c r="H1176" i="16" s="1"/>
  <c r="G1177" i="16"/>
  <c r="H1177" i="16" s="1"/>
  <c r="G1178" i="16"/>
  <c r="H1178" i="16" s="1"/>
  <c r="G1179" i="16"/>
  <c r="H1179" i="16" s="1"/>
  <c r="G1180" i="16"/>
  <c r="H1180" i="16" s="1"/>
  <c r="G1181" i="16"/>
  <c r="H1181" i="16" s="1"/>
  <c r="G1182" i="16"/>
  <c r="H1182" i="16" s="1"/>
  <c r="G1183" i="16"/>
  <c r="H1183" i="16" s="1"/>
  <c r="G1184" i="16"/>
  <c r="H1184" i="16" s="1"/>
  <c r="G1185" i="16"/>
  <c r="H1185" i="16" s="1"/>
  <c r="G1186" i="16"/>
  <c r="H1186" i="16" s="1"/>
  <c r="G1187" i="16"/>
  <c r="H1187" i="16" s="1"/>
  <c r="G1188" i="16"/>
  <c r="H1188" i="16" s="1"/>
  <c r="G1189" i="16"/>
  <c r="H1189" i="16" s="1"/>
  <c r="G1190" i="16"/>
  <c r="H1190" i="16" s="1"/>
  <c r="G1191" i="16"/>
  <c r="H1191" i="16" s="1"/>
  <c r="G1192" i="16"/>
  <c r="H1192" i="16" s="1"/>
  <c r="G1193" i="16"/>
  <c r="H1193" i="16" s="1"/>
  <c r="G1194" i="16"/>
  <c r="H1194" i="16" s="1"/>
  <c r="G1195" i="16"/>
  <c r="H1195" i="16" s="1"/>
  <c r="G1196" i="16"/>
  <c r="H1196" i="16" s="1"/>
  <c r="G1197" i="16"/>
  <c r="H1197" i="16" s="1"/>
  <c r="G1198" i="16"/>
  <c r="H1198" i="16" s="1"/>
  <c r="G1199" i="16"/>
  <c r="H1199" i="16" s="1"/>
  <c r="G1200" i="16"/>
  <c r="H1200" i="16" s="1"/>
  <c r="G1201" i="16"/>
  <c r="H1201" i="16" s="1"/>
  <c r="G1202" i="16"/>
  <c r="H1202" i="16" s="1"/>
  <c r="G1203" i="16"/>
  <c r="H1203" i="16" s="1"/>
  <c r="G1204" i="16"/>
  <c r="H1204" i="16" s="1"/>
  <c r="G1205" i="16"/>
  <c r="H1205" i="16" s="1"/>
  <c r="H1174" i="16"/>
  <c r="I1172" i="16"/>
  <c r="I1173" i="16"/>
  <c r="I1174" i="16"/>
  <c r="I1175" i="16"/>
  <c r="I1176" i="16"/>
  <c r="I1177" i="16"/>
  <c r="I1178" i="16"/>
  <c r="I1179" i="16"/>
  <c r="I1180" i="16"/>
  <c r="I1181" i="16"/>
  <c r="I1182" i="16"/>
  <c r="I1183" i="16"/>
  <c r="I1184" i="16"/>
  <c r="I1185" i="16"/>
  <c r="I1186" i="16"/>
  <c r="I1187" i="16"/>
  <c r="I1188" i="16"/>
  <c r="I1189" i="16"/>
  <c r="I1190" i="16"/>
  <c r="I1191" i="16"/>
  <c r="I1192" i="16"/>
  <c r="I1193" i="16"/>
  <c r="I1194" i="16"/>
  <c r="I1195" i="16"/>
  <c r="I1196" i="16"/>
  <c r="I1197" i="16"/>
  <c r="I1198" i="16"/>
  <c r="I1199" i="16"/>
  <c r="I1200" i="16"/>
  <c r="I1201" i="16"/>
  <c r="I1202" i="16"/>
  <c r="I1203" i="16"/>
  <c r="I1204" i="16"/>
  <c r="I1205" i="16"/>
  <c r="N1172" i="16"/>
  <c r="M1172" i="16" s="1"/>
  <c r="N1173" i="16"/>
  <c r="N1174" i="16"/>
  <c r="M1174" i="16" s="1"/>
  <c r="N1177" i="16"/>
  <c r="N1178" i="16"/>
  <c r="M1178" i="16" s="1"/>
  <c r="N1181" i="16"/>
  <c r="N1182" i="16"/>
  <c r="M1182" i="16" s="1"/>
  <c r="N1185" i="16"/>
  <c r="N1186" i="16"/>
  <c r="M1186" i="16" s="1"/>
  <c r="N1189" i="16"/>
  <c r="N1190" i="16"/>
  <c r="M1190" i="16" s="1"/>
  <c r="N1193" i="16"/>
  <c r="N1194" i="16"/>
  <c r="M1194" i="16" s="1"/>
  <c r="N1197" i="16"/>
  <c r="N1198" i="16"/>
  <c r="M1198" i="16" s="1"/>
  <c r="N1201" i="16"/>
  <c r="N1202" i="16"/>
  <c r="M1202" i="16" s="1"/>
  <c r="N1205" i="16"/>
  <c r="Q1172" i="16"/>
  <c r="Q1173" i="16"/>
  <c r="Q1174" i="16"/>
  <c r="Q1175" i="16"/>
  <c r="Q1176" i="16"/>
  <c r="Q1177" i="16"/>
  <c r="Q1178" i="16"/>
  <c r="Q1179" i="16"/>
  <c r="Q1180" i="16"/>
  <c r="Q1181" i="16"/>
  <c r="Q1182" i="16"/>
  <c r="Q1183" i="16"/>
  <c r="Q1184" i="16"/>
  <c r="Q1185" i="16"/>
  <c r="Q1186" i="16"/>
  <c r="Q1187" i="16"/>
  <c r="Q1188" i="16"/>
  <c r="Q1189" i="16"/>
  <c r="Q1190" i="16"/>
  <c r="Q1191" i="16"/>
  <c r="Q1192" i="16"/>
  <c r="Q1193" i="16"/>
  <c r="Q1194" i="16"/>
  <c r="Q1195" i="16"/>
  <c r="Q1196" i="16"/>
  <c r="Q1197" i="16"/>
  <c r="Q1198" i="16"/>
  <c r="Q1199" i="16"/>
  <c r="Q1200" i="16"/>
  <c r="Q1201" i="16"/>
  <c r="Q1202" i="16"/>
  <c r="Q1203" i="16"/>
  <c r="Q1204" i="16"/>
  <c r="Q1205" i="16"/>
  <c r="S1172" i="16"/>
  <c r="S1173" i="16"/>
  <c r="S1174" i="16"/>
  <c r="S1175" i="16"/>
  <c r="S1176" i="16"/>
  <c r="S1177" i="16"/>
  <c r="S1178" i="16"/>
  <c r="S1179" i="16"/>
  <c r="S1180" i="16"/>
  <c r="S1181" i="16"/>
  <c r="S1182" i="16"/>
  <c r="S1183" i="16"/>
  <c r="S1184" i="16"/>
  <c r="S1185" i="16"/>
  <c r="S1186" i="16"/>
  <c r="S1187" i="16"/>
  <c r="S1188" i="16"/>
  <c r="S1189" i="16"/>
  <c r="S1190" i="16"/>
  <c r="S1191" i="16"/>
  <c r="S1192" i="16"/>
  <c r="S1193" i="16"/>
  <c r="S1194" i="16"/>
  <c r="S1195" i="16"/>
  <c r="S1196" i="16"/>
  <c r="S1197" i="16"/>
  <c r="S1198" i="16"/>
  <c r="S1199" i="16"/>
  <c r="S1200" i="16"/>
  <c r="S1201" i="16"/>
  <c r="S1202" i="16"/>
  <c r="S1203" i="16"/>
  <c r="S1204" i="16"/>
  <c r="S1205" i="16"/>
  <c r="U1172" i="16" a="1"/>
  <c r="U1172" i="16" s="1"/>
  <c r="U1173" i="16" a="1"/>
  <c r="U1173" i="16" s="1"/>
  <c r="U1174" i="16" a="1"/>
  <c r="U1174" i="16" s="1"/>
  <c r="U1175" i="16" a="1"/>
  <c r="U1175" i="16" s="1"/>
  <c r="U1176" i="16" a="1"/>
  <c r="U1176" i="16" s="1"/>
  <c r="U1177" i="16" a="1"/>
  <c r="U1177" i="16" s="1"/>
  <c r="U1178" i="16" a="1"/>
  <c r="U1178" i="16" s="1"/>
  <c r="U1179" i="16" a="1"/>
  <c r="U1179" i="16" s="1"/>
  <c r="U1180" i="16" a="1"/>
  <c r="U1180" i="16" s="1"/>
  <c r="U1181" i="16" a="1"/>
  <c r="U1181" i="16" s="1"/>
  <c r="U1182" i="16" a="1"/>
  <c r="U1182" i="16" s="1"/>
  <c r="U1183" i="16" a="1"/>
  <c r="U1183" i="16" s="1"/>
  <c r="U1184" i="16" a="1"/>
  <c r="U1184" i="16" s="1"/>
  <c r="U1185" i="16" a="1"/>
  <c r="U1185" i="16" s="1"/>
  <c r="U1186" i="16" a="1"/>
  <c r="U1186" i="16" s="1"/>
  <c r="U1187" i="16" a="1"/>
  <c r="U1187" i="16" s="1"/>
  <c r="U1188" i="16" a="1"/>
  <c r="U1188" i="16" s="1"/>
  <c r="U1189" i="16" a="1"/>
  <c r="U1189" i="16" s="1"/>
  <c r="U1190" i="16" a="1"/>
  <c r="U1190" i="16" s="1"/>
  <c r="U1191" i="16" a="1"/>
  <c r="U1191" i="16" s="1"/>
  <c r="U1192" i="16" a="1"/>
  <c r="U1192" i="16" s="1"/>
  <c r="U1193" i="16" a="1"/>
  <c r="U1193" i="16" s="1"/>
  <c r="U1194" i="16" a="1"/>
  <c r="U1194" i="16" s="1"/>
  <c r="U1195" i="16" a="1"/>
  <c r="U1195" i="16" s="1"/>
  <c r="U1196" i="16" a="1"/>
  <c r="U1196" i="16" s="1"/>
  <c r="U1197" i="16" a="1"/>
  <c r="U1197" i="16" s="1"/>
  <c r="U1198" i="16" a="1"/>
  <c r="U1198" i="16" s="1"/>
  <c r="U1199" i="16" a="1"/>
  <c r="U1199" i="16" s="1"/>
  <c r="U1200" i="16" a="1"/>
  <c r="U1200" i="16" s="1"/>
  <c r="U1201" i="16" a="1"/>
  <c r="U1201" i="16" s="1"/>
  <c r="U1202" i="16" a="1"/>
  <c r="U1202" i="16" s="1"/>
  <c r="U1203" i="16" a="1"/>
  <c r="U1203" i="16" s="1"/>
  <c r="U1204" i="16" a="1"/>
  <c r="U1204" i="16" s="1"/>
  <c r="U1205" i="16" a="1"/>
  <c r="U1205" i="16" s="1"/>
  <c r="V1172" i="16"/>
  <c r="V1173" i="16"/>
  <c r="V1174" i="16"/>
  <c r="V1175" i="16"/>
  <c r="V1176" i="16"/>
  <c r="V1177" i="16"/>
  <c r="V1178" i="16"/>
  <c r="V1179" i="16"/>
  <c r="V1181" i="16"/>
  <c r="V1182" i="16"/>
  <c r="V1183" i="16"/>
  <c r="V1184" i="16"/>
  <c r="V1185" i="16"/>
  <c r="V1186" i="16"/>
  <c r="V1187" i="16"/>
  <c r="V1188" i="16"/>
  <c r="V1189" i="16"/>
  <c r="V1191" i="16"/>
  <c r="V1192" i="16"/>
  <c r="V1193" i="16"/>
  <c r="V1196" i="16"/>
  <c r="V1197" i="16"/>
  <c r="V1198" i="16"/>
  <c r="V1199" i="16"/>
  <c r="V1200" i="16"/>
  <c r="V1201" i="16"/>
  <c r="V1202" i="16"/>
  <c r="V1205" i="16"/>
  <c r="N982" i="6"/>
  <c r="M982" i="6" s="1"/>
  <c r="D982" i="6"/>
  <c r="G982" i="6"/>
  <c r="H982" i="6" s="1"/>
  <c r="I982" i="6"/>
  <c r="S982" i="6"/>
  <c r="U982" i="6" a="1"/>
  <c r="U982" i="6" s="1"/>
  <c r="V982" i="6"/>
  <c r="N984" i="6"/>
  <c r="M984" i="6" s="1"/>
  <c r="Q983" i="6"/>
  <c r="D984" i="6"/>
  <c r="G984" i="6"/>
  <c r="H984" i="6" s="1"/>
  <c r="I984" i="6"/>
  <c r="S984" i="6"/>
  <c r="U984" i="6" a="1"/>
  <c r="U984" i="6" s="1"/>
  <c r="V984" i="6"/>
  <c r="D983" i="6"/>
  <c r="G983" i="6"/>
  <c r="H983" i="6" s="1"/>
  <c r="I983" i="6"/>
  <c r="S983" i="6"/>
  <c r="V983" i="6"/>
  <c r="D1171" i="16"/>
  <c r="E1171" i="16" a="1"/>
  <c r="E1171" i="16" s="1"/>
  <c r="G1171" i="16"/>
  <c r="H1171" i="16" s="1"/>
  <c r="I1171" i="16"/>
  <c r="N1171" i="16"/>
  <c r="M1171" i="16" s="1"/>
  <c r="Q1171" i="16"/>
  <c r="S1171" i="16"/>
  <c r="V1171" i="16"/>
  <c r="D981" i="6"/>
  <c r="G981" i="6"/>
  <c r="H981" i="6" s="1"/>
  <c r="I981" i="6"/>
  <c r="N981" i="6"/>
  <c r="O1331" i="6" s="1"/>
  <c r="Q981" i="6"/>
  <c r="S981" i="6"/>
  <c r="U981" i="6" a="1"/>
  <c r="U981" i="6" s="1"/>
  <c r="V981" i="6"/>
  <c r="W1331" i="6" s="1"/>
  <c r="F613" i="13"/>
  <c r="L613" i="13"/>
  <c r="N613" i="13" s="1"/>
  <c r="M613" i="13"/>
  <c r="R613" i="13" s="1"/>
  <c r="W613" i="13"/>
  <c r="X613" i="13"/>
  <c r="Y613" i="13"/>
  <c r="AO613" i="13"/>
  <c r="E612" i="13"/>
  <c r="F612" i="13"/>
  <c r="L612" i="13"/>
  <c r="N612" i="13" s="1"/>
  <c r="M612" i="13"/>
  <c r="R612" i="13" s="1"/>
  <c r="V612" i="13"/>
  <c r="W612" i="13"/>
  <c r="X612" i="13"/>
  <c r="Y612" i="13"/>
  <c r="AO612" i="13"/>
  <c r="V1203" i="16" l="1"/>
  <c r="V1195" i="16"/>
  <c r="G612" i="13"/>
  <c r="AQ612" i="13" s="1"/>
  <c r="V1204" i="16"/>
  <c r="V1190" i="16"/>
  <c r="V1180" i="16"/>
  <c r="AB614" i="13"/>
  <c r="V1194" i="16"/>
  <c r="AK614" i="13"/>
  <c r="W981" i="6"/>
  <c r="W1010" i="6"/>
  <c r="O981" i="6"/>
  <c r="O1010" i="6"/>
  <c r="AJ614" i="13"/>
  <c r="AP614" i="13"/>
  <c r="Q986" i="6"/>
  <c r="M990" i="6"/>
  <c r="M989" i="6"/>
  <c r="M988" i="6"/>
  <c r="N983" i="6"/>
  <c r="M983" i="6" s="1"/>
  <c r="Q982" i="6"/>
  <c r="M985" i="6"/>
  <c r="Q984" i="6"/>
  <c r="M987" i="6"/>
  <c r="M1176" i="16"/>
  <c r="M1200" i="16"/>
  <c r="M1184" i="16"/>
  <c r="M1205" i="16"/>
  <c r="M1201" i="16"/>
  <c r="M1197" i="16"/>
  <c r="M1193" i="16"/>
  <c r="M1189" i="16"/>
  <c r="M1185" i="16"/>
  <c r="M1181" i="16"/>
  <c r="M1177" i="16"/>
  <c r="M1173" i="16"/>
  <c r="V613" i="13"/>
  <c r="Z613" i="13" s="1"/>
  <c r="E613" i="13"/>
  <c r="H613" i="13" s="1"/>
  <c r="AM613" i="13" a="1"/>
  <c r="AM613" i="13" s="1"/>
  <c r="M981" i="6"/>
  <c r="Q613" i="13"/>
  <c r="AR613" i="13"/>
  <c r="T613" i="13"/>
  <c r="P613" i="13"/>
  <c r="O613" i="13"/>
  <c r="AM612" i="13" a="1"/>
  <c r="AM612" i="13" s="1"/>
  <c r="Z612" i="13"/>
  <c r="T612" i="13"/>
  <c r="P612" i="13"/>
  <c r="H612" i="13"/>
  <c r="Q612" i="13"/>
  <c r="AR612" i="13"/>
  <c r="S612" i="13"/>
  <c r="O612" i="13"/>
  <c r="R981" i="6" l="1"/>
  <c r="S613" i="13"/>
  <c r="AA613" i="13" s="1"/>
  <c r="AB613" i="13" s="1"/>
  <c r="G613" i="13"/>
  <c r="AQ613" i="13" s="1"/>
  <c r="AA612" i="13"/>
  <c r="AP612" i="13" s="1"/>
  <c r="AB612" i="13" l="1"/>
  <c r="AS612" i="13"/>
  <c r="AT612" i="13" s="1"/>
  <c r="AK612" i="13"/>
  <c r="AJ612" i="13"/>
  <c r="AK613" i="13"/>
  <c r="AS613" i="13"/>
  <c r="AT613" i="13" s="1"/>
  <c r="AJ613" i="13"/>
  <c r="AP613" i="13"/>
  <c r="D980" i="6" l="1"/>
  <c r="G980" i="6"/>
  <c r="H980" i="6" s="1"/>
  <c r="I980" i="6"/>
  <c r="N980" i="6"/>
  <c r="Q980" i="6"/>
  <c r="S980" i="6"/>
  <c r="U980" i="6" a="1"/>
  <c r="U980" i="6" s="1"/>
  <c r="V980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8" i="6"/>
  <c r="Q349" i="6"/>
  <c r="Q350" i="6"/>
  <c r="Q351" i="6"/>
  <c r="Q352" i="6"/>
  <c r="Q353" i="6"/>
  <c r="Q354" i="6"/>
  <c r="Q355" i="6"/>
  <c r="Q356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D979" i="6"/>
  <c r="G979" i="6"/>
  <c r="H979" i="6" s="1"/>
  <c r="I979" i="6"/>
  <c r="N979" i="6"/>
  <c r="V979" i="6" s="1"/>
  <c r="S979" i="6"/>
  <c r="D978" i="6"/>
  <c r="G978" i="6"/>
  <c r="H978" i="6" s="1"/>
  <c r="I978" i="6"/>
  <c r="N978" i="6"/>
  <c r="M978" i="6" s="1"/>
  <c r="S978" i="6"/>
  <c r="U978" i="6" a="1"/>
  <c r="U978" i="6" s="1"/>
  <c r="V978" i="6"/>
  <c r="D1170" i="16"/>
  <c r="E1170" i="16" a="1"/>
  <c r="E1170" i="16" s="1"/>
  <c r="G1170" i="16"/>
  <c r="H1170" i="16" s="1"/>
  <c r="I1170" i="16"/>
  <c r="N1170" i="16"/>
  <c r="M1170" i="16" s="1"/>
  <c r="Q1170" i="16"/>
  <c r="S1170" i="16"/>
  <c r="V1170" i="16"/>
  <c r="N976" i="6"/>
  <c r="N977" i="6"/>
  <c r="D977" i="6"/>
  <c r="G977" i="6"/>
  <c r="H977" i="6" s="1"/>
  <c r="I977" i="6"/>
  <c r="S977" i="6"/>
  <c r="V977" i="6"/>
  <c r="D976" i="6"/>
  <c r="G976" i="6"/>
  <c r="H976" i="6" s="1"/>
  <c r="I976" i="6"/>
  <c r="S976" i="6"/>
  <c r="U976" i="6" a="1"/>
  <c r="U976" i="6" s="1"/>
  <c r="V976" i="6"/>
  <c r="D975" i="6"/>
  <c r="G975" i="6"/>
  <c r="H975" i="6" s="1"/>
  <c r="I975" i="6"/>
  <c r="S975" i="6"/>
  <c r="U975" i="6" a="1"/>
  <c r="U975" i="6" s="1"/>
  <c r="D974" i="6"/>
  <c r="G974" i="6"/>
  <c r="H974" i="6" s="1"/>
  <c r="I974" i="6"/>
  <c r="N974" i="6"/>
  <c r="M974" i="6" s="1"/>
  <c r="S974" i="6"/>
  <c r="U974" i="6" a="1"/>
  <c r="U974" i="6" s="1"/>
  <c r="V974" i="6"/>
  <c r="N973" i="6"/>
  <c r="N972" i="6"/>
  <c r="M972" i="6" s="1"/>
  <c r="D973" i="6"/>
  <c r="G973" i="6"/>
  <c r="H973" i="6" s="1"/>
  <c r="I973" i="6"/>
  <c r="S973" i="6"/>
  <c r="V973" i="6"/>
  <c r="D972" i="6"/>
  <c r="G972" i="6"/>
  <c r="H972" i="6" s="1"/>
  <c r="I972" i="6"/>
  <c r="S972" i="6"/>
  <c r="U972" i="6" a="1"/>
  <c r="U972" i="6" s="1"/>
  <c r="V972" i="6"/>
  <c r="N1164" i="16"/>
  <c r="M1164" i="16" s="1"/>
  <c r="N1166" i="16"/>
  <c r="Q1168" i="16"/>
  <c r="D1162" i="16"/>
  <c r="D1163" i="16"/>
  <c r="D1164" i="16"/>
  <c r="D1165" i="16"/>
  <c r="D1166" i="16"/>
  <c r="D1167" i="16"/>
  <c r="D1168" i="16"/>
  <c r="D1169" i="16"/>
  <c r="E1162" i="16" a="1"/>
  <c r="E1162" i="16" s="1"/>
  <c r="E1163" i="16" a="1"/>
  <c r="E1163" i="16" s="1"/>
  <c r="E1164" i="16" a="1"/>
  <c r="E1164" i="16" s="1"/>
  <c r="E1165" i="16" a="1"/>
  <c r="E1165" i="16" s="1"/>
  <c r="E1166" i="16" a="1"/>
  <c r="E1166" i="16" s="1"/>
  <c r="E1167" i="16" a="1"/>
  <c r="E1167" i="16" s="1"/>
  <c r="E1168" i="16" a="1"/>
  <c r="E1168" i="16" s="1"/>
  <c r="E1169" i="16" a="1"/>
  <c r="E1169" i="16" s="1"/>
  <c r="G1162" i="16"/>
  <c r="H1162" i="16" s="1"/>
  <c r="G1163" i="16"/>
  <c r="H1163" i="16" s="1"/>
  <c r="G1164" i="16"/>
  <c r="H1164" i="16" s="1"/>
  <c r="G1165" i="16"/>
  <c r="H1165" i="16" s="1"/>
  <c r="G1166" i="16"/>
  <c r="H1166" i="16" s="1"/>
  <c r="G1167" i="16"/>
  <c r="H1167" i="16" s="1"/>
  <c r="G1168" i="16"/>
  <c r="H1168" i="16" s="1"/>
  <c r="G1169" i="16"/>
  <c r="H1169" i="16" s="1"/>
  <c r="I1162" i="16"/>
  <c r="I1163" i="16"/>
  <c r="I1164" i="16"/>
  <c r="I1165" i="16"/>
  <c r="I1166" i="16"/>
  <c r="I1167" i="16"/>
  <c r="I1168" i="16"/>
  <c r="I1169" i="16"/>
  <c r="N1163" i="16"/>
  <c r="M1163" i="16" s="1"/>
  <c r="N1165" i="16"/>
  <c r="M1165" i="16" s="1"/>
  <c r="N1167" i="16"/>
  <c r="M1167" i="16" s="1"/>
  <c r="N1168" i="16"/>
  <c r="M1168" i="16" s="1"/>
  <c r="N1169" i="16"/>
  <c r="M1169" i="16" s="1"/>
  <c r="Q1163" i="16"/>
  <c r="Q1165" i="16"/>
  <c r="Q1166" i="16"/>
  <c r="Q1167" i="16"/>
  <c r="Q1169" i="16"/>
  <c r="S1162" i="16"/>
  <c r="S1163" i="16"/>
  <c r="S1164" i="16"/>
  <c r="S1165" i="16"/>
  <c r="S1166" i="16"/>
  <c r="S1167" i="16"/>
  <c r="S1168" i="16"/>
  <c r="S1169" i="16"/>
  <c r="U1162" i="16" a="1"/>
  <c r="U1162" i="16" s="1"/>
  <c r="U1163" i="16" a="1"/>
  <c r="U1163" i="16" s="1"/>
  <c r="U1164" i="16" a="1"/>
  <c r="U1164" i="16" s="1"/>
  <c r="U1165" i="16" a="1"/>
  <c r="U1165" i="16" s="1"/>
  <c r="U1166" i="16" a="1"/>
  <c r="U1166" i="16" s="1"/>
  <c r="U1167" i="16" a="1"/>
  <c r="U1167" i="16" s="1"/>
  <c r="U1168" i="16" a="1"/>
  <c r="U1168" i="16" s="1"/>
  <c r="U1169" i="16" a="1"/>
  <c r="U1169" i="16" s="1"/>
  <c r="V1162" i="16"/>
  <c r="V1164" i="16"/>
  <c r="V1165" i="16"/>
  <c r="V1166" i="16"/>
  <c r="V1167" i="16"/>
  <c r="V1168" i="16"/>
  <c r="N970" i="6"/>
  <c r="N971" i="6"/>
  <c r="D971" i="6"/>
  <c r="G971" i="6"/>
  <c r="H971" i="6" s="1"/>
  <c r="I971" i="6"/>
  <c r="S971" i="6"/>
  <c r="U971" i="6" a="1"/>
  <c r="U971" i="6" s="1"/>
  <c r="V971" i="6"/>
  <c r="D970" i="6"/>
  <c r="G970" i="6"/>
  <c r="H970" i="6" s="1"/>
  <c r="I970" i="6"/>
  <c r="S970" i="6"/>
  <c r="U970" i="6" a="1"/>
  <c r="U970" i="6" s="1"/>
  <c r="V970" i="6"/>
  <c r="D969" i="6"/>
  <c r="G969" i="6"/>
  <c r="H969" i="6" s="1"/>
  <c r="I969" i="6"/>
  <c r="N969" i="6"/>
  <c r="S969" i="6"/>
  <c r="U969" i="6" a="1"/>
  <c r="U969" i="6" s="1"/>
  <c r="V969" i="6"/>
  <c r="D968" i="6"/>
  <c r="G968" i="6"/>
  <c r="H968" i="6" s="1"/>
  <c r="I968" i="6"/>
  <c r="N968" i="6"/>
  <c r="M968" i="6" s="1"/>
  <c r="S968" i="6"/>
  <c r="U968" i="6" a="1"/>
  <c r="U968" i="6" s="1"/>
  <c r="D967" i="6"/>
  <c r="G967" i="6"/>
  <c r="H967" i="6" s="1"/>
  <c r="I967" i="6"/>
  <c r="N967" i="6"/>
  <c r="M967" i="6" s="1"/>
  <c r="S967" i="6"/>
  <c r="U967" i="6" a="1"/>
  <c r="U967" i="6" s="1"/>
  <c r="V967" i="6"/>
  <c r="D966" i="6"/>
  <c r="G966" i="6"/>
  <c r="H966" i="6" s="1"/>
  <c r="I966" i="6"/>
  <c r="S966" i="6"/>
  <c r="D964" i="6"/>
  <c r="G964" i="6"/>
  <c r="H964" i="6" s="1"/>
  <c r="I964" i="6"/>
  <c r="N964" i="6"/>
  <c r="S964" i="6"/>
  <c r="U964" i="6" a="1"/>
  <c r="U964" i="6" s="1"/>
  <c r="V964" i="6"/>
  <c r="N1161" i="16"/>
  <c r="M1161" i="16" s="1"/>
  <c r="N965" i="6"/>
  <c r="M965" i="6" s="1"/>
  <c r="D965" i="6"/>
  <c r="G965" i="6"/>
  <c r="H965" i="6" s="1"/>
  <c r="I965" i="6"/>
  <c r="S965" i="6"/>
  <c r="V965" i="6"/>
  <c r="D1161" i="16"/>
  <c r="E1161" i="16" a="1"/>
  <c r="E1161" i="16" s="1"/>
  <c r="G1161" i="16"/>
  <c r="H1161" i="16" s="1"/>
  <c r="I1161" i="16"/>
  <c r="S1161" i="16"/>
  <c r="V1161" i="16"/>
  <c r="D511" i="16"/>
  <c r="E511" i="16" a="1"/>
  <c r="E511" i="16" s="1"/>
  <c r="G511" i="16"/>
  <c r="H511" i="16" s="1"/>
  <c r="I511" i="16"/>
  <c r="N511" i="16"/>
  <c r="M511" i="16" s="1"/>
  <c r="Q511" i="16"/>
  <c r="S511" i="16"/>
  <c r="V511" i="16"/>
  <c r="N963" i="6"/>
  <c r="V963" i="6" s="1"/>
  <c r="D963" i="6"/>
  <c r="G963" i="6"/>
  <c r="H963" i="6" s="1"/>
  <c r="I963" i="6"/>
  <c r="S963" i="6"/>
  <c r="U963" i="6" a="1"/>
  <c r="U963" i="6" s="1"/>
  <c r="D962" i="6"/>
  <c r="G962" i="6"/>
  <c r="H962" i="6" s="1"/>
  <c r="I962" i="6"/>
  <c r="N962" i="6"/>
  <c r="S962" i="6"/>
  <c r="U962" i="6" a="1"/>
  <c r="U962" i="6" s="1"/>
  <c r="V962" i="6"/>
  <c r="V1163" i="16" l="1"/>
  <c r="V968" i="6"/>
  <c r="W968" i="6" s="1"/>
  <c r="V1169" i="16"/>
  <c r="M980" i="6"/>
  <c r="M979" i="6"/>
  <c r="N975" i="6"/>
  <c r="Q1164" i="16"/>
  <c r="M977" i="6"/>
  <c r="M976" i="6"/>
  <c r="O968" i="6"/>
  <c r="R968" i="6" s="1"/>
  <c r="M973" i="6"/>
  <c r="M1166" i="16"/>
  <c r="N1162" i="16"/>
  <c r="Q1162" i="16"/>
  <c r="M971" i="6"/>
  <c r="M970" i="6"/>
  <c r="M969" i="6"/>
  <c r="N966" i="6"/>
  <c r="V966" i="6" s="1"/>
  <c r="M964" i="6"/>
  <c r="Q1161" i="16"/>
  <c r="M963" i="6"/>
  <c r="M962" i="6"/>
  <c r="N1149" i="16"/>
  <c r="M1149" i="16" s="1"/>
  <c r="N1151" i="16"/>
  <c r="M1151" i="16" s="1"/>
  <c r="N1153" i="16"/>
  <c r="M1153" i="16" s="1"/>
  <c r="N1155" i="16"/>
  <c r="M1155" i="16" s="1"/>
  <c r="N1157" i="16"/>
  <c r="M1157" i="16" s="1"/>
  <c r="N1159" i="16"/>
  <c r="M1159" i="16" s="1"/>
  <c r="Q1147" i="16"/>
  <c r="D1147" i="16"/>
  <c r="D1148" i="16"/>
  <c r="D1149" i="16"/>
  <c r="D1150" i="16"/>
  <c r="D1151" i="16"/>
  <c r="D1152" i="16"/>
  <c r="D1153" i="16"/>
  <c r="D1154" i="16"/>
  <c r="D1155" i="16"/>
  <c r="D1156" i="16"/>
  <c r="D1157" i="16"/>
  <c r="D1158" i="16"/>
  <c r="D1159" i="16"/>
  <c r="D1160" i="16"/>
  <c r="E1147" i="16" a="1"/>
  <c r="E1147" i="16" s="1"/>
  <c r="E1148" i="16" a="1"/>
  <c r="E1148" i="16" s="1"/>
  <c r="E1149" i="16" a="1"/>
  <c r="E1149" i="16" s="1"/>
  <c r="E1150" i="16" a="1"/>
  <c r="E1150" i="16" s="1"/>
  <c r="E1151" i="16" a="1"/>
  <c r="E1151" i="16" s="1"/>
  <c r="E1152" i="16" a="1"/>
  <c r="E1152" i="16" s="1"/>
  <c r="E1153" i="16" a="1"/>
  <c r="E1153" i="16" s="1"/>
  <c r="E1154" i="16" a="1"/>
  <c r="E1154" i="16" s="1"/>
  <c r="E1155" i="16" a="1"/>
  <c r="E1155" i="16" s="1"/>
  <c r="E1156" i="16" a="1"/>
  <c r="E1156" i="16" s="1"/>
  <c r="E1157" i="16" a="1"/>
  <c r="E1157" i="16" s="1"/>
  <c r="E1158" i="16" a="1"/>
  <c r="E1158" i="16" s="1"/>
  <c r="E1159" i="16" a="1"/>
  <c r="E1159" i="16" s="1"/>
  <c r="E1160" i="16" a="1"/>
  <c r="E1160" i="16" s="1"/>
  <c r="G1147" i="16"/>
  <c r="H1147" i="16" s="1"/>
  <c r="G1148" i="16"/>
  <c r="H1148" i="16" s="1"/>
  <c r="G1149" i="16"/>
  <c r="H1149" i="16" s="1"/>
  <c r="G1150" i="16"/>
  <c r="H1150" i="16" s="1"/>
  <c r="G1151" i="16"/>
  <c r="H1151" i="16" s="1"/>
  <c r="G1152" i="16"/>
  <c r="H1152" i="16" s="1"/>
  <c r="G1153" i="16"/>
  <c r="H1153" i="16" s="1"/>
  <c r="G1154" i="16"/>
  <c r="H1154" i="16" s="1"/>
  <c r="G1155" i="16"/>
  <c r="H1155" i="16" s="1"/>
  <c r="G1156" i="16"/>
  <c r="H1156" i="16" s="1"/>
  <c r="G1157" i="16"/>
  <c r="H1157" i="16" s="1"/>
  <c r="G1158" i="16"/>
  <c r="H1158" i="16" s="1"/>
  <c r="G1159" i="16"/>
  <c r="H1159" i="16" s="1"/>
  <c r="G1160" i="16"/>
  <c r="H1160" i="16" s="1"/>
  <c r="I1147" i="16"/>
  <c r="I1148" i="16"/>
  <c r="I1149" i="16"/>
  <c r="I1150" i="16"/>
  <c r="I1151" i="16"/>
  <c r="I1152" i="16"/>
  <c r="I1153" i="16"/>
  <c r="I1154" i="16"/>
  <c r="I1155" i="16"/>
  <c r="I1156" i="16"/>
  <c r="I1157" i="16"/>
  <c r="I1158" i="16"/>
  <c r="I1159" i="16"/>
  <c r="I1160" i="16"/>
  <c r="N1147" i="16"/>
  <c r="M1147" i="16" s="1"/>
  <c r="N1148" i="16"/>
  <c r="M1148" i="16" s="1"/>
  <c r="N1150" i="16"/>
  <c r="M1150" i="16" s="1"/>
  <c r="N1152" i="16"/>
  <c r="M1152" i="16" s="1"/>
  <c r="N1154" i="16"/>
  <c r="M1154" i="16" s="1"/>
  <c r="N1156" i="16"/>
  <c r="M1156" i="16" s="1"/>
  <c r="N1158" i="16"/>
  <c r="M1158" i="16" s="1"/>
  <c r="N1160" i="16"/>
  <c r="O1819" i="16" s="1"/>
  <c r="Q1148" i="16"/>
  <c r="Q1149" i="16"/>
  <c r="Q1150" i="16"/>
  <c r="Q1152" i="16"/>
  <c r="Q1153" i="16"/>
  <c r="Q1154" i="16"/>
  <c r="Q1156" i="16"/>
  <c r="Q1157" i="16"/>
  <c r="Q1158" i="16"/>
  <c r="Q1160" i="16"/>
  <c r="S1147" i="16"/>
  <c r="S1148" i="16"/>
  <c r="S1149" i="16"/>
  <c r="S1150" i="16"/>
  <c r="S1151" i="16"/>
  <c r="S1152" i="16"/>
  <c r="S1153" i="16"/>
  <c r="S1154" i="16"/>
  <c r="S1155" i="16"/>
  <c r="S1156" i="16"/>
  <c r="S1157" i="16"/>
  <c r="S1158" i="16"/>
  <c r="S1159" i="16"/>
  <c r="S1160" i="16"/>
  <c r="U1147" i="16" a="1"/>
  <c r="U1147" i="16" s="1"/>
  <c r="U1148" i="16" a="1"/>
  <c r="U1148" i="16" s="1"/>
  <c r="U1149" i="16" a="1"/>
  <c r="U1149" i="16" s="1"/>
  <c r="U1150" i="16" a="1"/>
  <c r="U1150" i="16" s="1"/>
  <c r="U1151" i="16" a="1"/>
  <c r="U1151" i="16" s="1"/>
  <c r="U1152" i="16" a="1"/>
  <c r="U1152" i="16" s="1"/>
  <c r="U1153" i="16" a="1"/>
  <c r="U1153" i="16" s="1"/>
  <c r="U1154" i="16" a="1"/>
  <c r="U1154" i="16" s="1"/>
  <c r="U1155" i="16" a="1"/>
  <c r="U1155" i="16" s="1"/>
  <c r="U1156" i="16" a="1"/>
  <c r="U1156" i="16" s="1"/>
  <c r="U1157" i="16" a="1"/>
  <c r="U1157" i="16" s="1"/>
  <c r="U1158" i="16" a="1"/>
  <c r="U1158" i="16" s="1"/>
  <c r="U1159" i="16" a="1"/>
  <c r="U1159" i="16" s="1"/>
  <c r="U1160" i="16" a="1"/>
  <c r="U1160" i="16" s="1"/>
  <c r="V1148" i="16"/>
  <c r="V1149" i="16"/>
  <c r="V1151" i="16"/>
  <c r="V1152" i="16"/>
  <c r="V1154" i="16"/>
  <c r="V1156" i="16"/>
  <c r="V1157" i="16"/>
  <c r="V1158" i="16"/>
  <c r="V1159" i="16"/>
  <c r="V1160" i="16"/>
  <c r="W1819" i="16" s="1"/>
  <c r="D961" i="6"/>
  <c r="G961" i="6"/>
  <c r="H961" i="6" s="1"/>
  <c r="I961" i="6"/>
  <c r="S961" i="6"/>
  <c r="V961" i="6"/>
  <c r="F610" i="13"/>
  <c r="I610" i="13" s="1"/>
  <c r="F611" i="13"/>
  <c r="I611" i="13" s="1"/>
  <c r="L610" i="13"/>
  <c r="O610" i="13" s="1"/>
  <c r="L611" i="13"/>
  <c r="AM611" i="13" s="1" a="1"/>
  <c r="AM611" i="13" s="1"/>
  <c r="M610" i="13"/>
  <c r="P610" i="13" s="1"/>
  <c r="M611" i="13"/>
  <c r="P611" i="13" s="1"/>
  <c r="W610" i="13"/>
  <c r="W611" i="13"/>
  <c r="X610" i="13"/>
  <c r="X611" i="13"/>
  <c r="Y610" i="13"/>
  <c r="Y611" i="13"/>
  <c r="AO610" i="13"/>
  <c r="AO611" i="13"/>
  <c r="W1666" i="16" l="1"/>
  <c r="W1731" i="16"/>
  <c r="O1666" i="16"/>
  <c r="O1731" i="16"/>
  <c r="W1507" i="16"/>
  <c r="W1565" i="16"/>
  <c r="O1507" i="16"/>
  <c r="O1565" i="16"/>
  <c r="W1356" i="16"/>
  <c r="W1449" i="16"/>
  <c r="O1356" i="16"/>
  <c r="O1449" i="16"/>
  <c r="W1239" i="16"/>
  <c r="W1298" i="16"/>
  <c r="O1239" i="16"/>
  <c r="O1298" i="16"/>
  <c r="V1153" i="16"/>
  <c r="V1150" i="16"/>
  <c r="V1155" i="16"/>
  <c r="V1147" i="16"/>
  <c r="M975" i="6"/>
  <c r="V975" i="6"/>
  <c r="W1160" i="16"/>
  <c r="W1179" i="16"/>
  <c r="M1160" i="16"/>
  <c r="O1179" i="16"/>
  <c r="M1162" i="16"/>
  <c r="M966" i="6"/>
  <c r="Q1159" i="16"/>
  <c r="Q1155" i="16"/>
  <c r="Q1151" i="16"/>
  <c r="AM610" i="13" a="1"/>
  <c r="AM610" i="13" s="1"/>
  <c r="R611" i="13"/>
  <c r="R610" i="13"/>
  <c r="O1160" i="16"/>
  <c r="T611" i="13"/>
  <c r="T610" i="13"/>
  <c r="N610" i="13"/>
  <c r="O611" i="13"/>
  <c r="K611" i="13"/>
  <c r="N611" i="13"/>
  <c r="K610" i="13"/>
  <c r="R1160" i="16" l="1"/>
  <c r="AU610" i="13"/>
  <c r="AU611" i="13"/>
  <c r="AR611" i="13"/>
  <c r="Q611" i="13"/>
  <c r="Q610" i="13"/>
  <c r="AR610" i="13"/>
  <c r="D960" i="6" l="1"/>
  <c r="G960" i="6"/>
  <c r="H960" i="6" s="1"/>
  <c r="I960" i="6"/>
  <c r="S960" i="6"/>
  <c r="U960" i="6" a="1"/>
  <c r="U960" i="6" s="1"/>
  <c r="V960" i="6"/>
  <c r="D959" i="6"/>
  <c r="G959" i="6"/>
  <c r="H959" i="6" s="1"/>
  <c r="I959" i="6"/>
  <c r="N959" i="6"/>
  <c r="S959" i="6"/>
  <c r="V959" i="6"/>
  <c r="D958" i="6"/>
  <c r="G958" i="6"/>
  <c r="H958" i="6" s="1"/>
  <c r="I958" i="6"/>
  <c r="S958" i="6"/>
  <c r="U958" i="6" a="1"/>
  <c r="U958" i="6" s="1"/>
  <c r="V958" i="6"/>
  <c r="D957" i="6"/>
  <c r="G957" i="6"/>
  <c r="H957" i="6" s="1"/>
  <c r="I957" i="6"/>
  <c r="N957" i="6"/>
  <c r="O957" i="6" s="1"/>
  <c r="S957" i="6"/>
  <c r="U957" i="6" a="1"/>
  <c r="U957" i="6" s="1"/>
  <c r="V957" i="6"/>
  <c r="V611" i="13" s="1"/>
  <c r="Z611" i="13" s="1"/>
  <c r="D956" i="6"/>
  <c r="G956" i="6"/>
  <c r="H956" i="6" s="1"/>
  <c r="I956" i="6"/>
  <c r="N956" i="6"/>
  <c r="S956" i="6"/>
  <c r="V956" i="6"/>
  <c r="D955" i="6"/>
  <c r="G955" i="6"/>
  <c r="H955" i="6" s="1"/>
  <c r="I955" i="6"/>
  <c r="N955" i="6"/>
  <c r="O1249" i="6" s="1"/>
  <c r="S955" i="6"/>
  <c r="U955" i="6" a="1"/>
  <c r="U955" i="6" s="1"/>
  <c r="V955" i="6"/>
  <c r="W1249" i="6" s="1"/>
  <c r="D954" i="6"/>
  <c r="G954" i="6"/>
  <c r="H954" i="6" s="1"/>
  <c r="I954" i="6"/>
  <c r="S954" i="6"/>
  <c r="U954" i="6" a="1"/>
  <c r="U954" i="6" s="1"/>
  <c r="V954" i="6"/>
  <c r="D953" i="6"/>
  <c r="G953" i="6"/>
  <c r="H953" i="6" s="1"/>
  <c r="I953" i="6"/>
  <c r="N953" i="6"/>
  <c r="O953" i="6" s="1"/>
  <c r="S953" i="6"/>
  <c r="U953" i="6" a="1"/>
  <c r="U953" i="6" s="1"/>
  <c r="F609" i="13"/>
  <c r="L609" i="13"/>
  <c r="M609" i="13"/>
  <c r="R609" i="13" s="1"/>
  <c r="W609" i="13"/>
  <c r="X609" i="13"/>
  <c r="Y609" i="13"/>
  <c r="AO609" i="13"/>
  <c r="N609" i="13" l="1"/>
  <c r="AR609" i="13" s="1"/>
  <c r="V953" i="6"/>
  <c r="V610" i="13" s="1"/>
  <c r="Z610" i="13" s="1"/>
  <c r="W955" i="6"/>
  <c r="W1023" i="6"/>
  <c r="M955" i="6"/>
  <c r="O1023" i="6"/>
  <c r="W953" i="6"/>
  <c r="AM609" i="13" a="1"/>
  <c r="AM609" i="13" s="1"/>
  <c r="O955" i="6"/>
  <c r="N958" i="6"/>
  <c r="M958" i="6" s="1"/>
  <c r="N954" i="6"/>
  <c r="M954" i="6" s="1"/>
  <c r="N960" i="6"/>
  <c r="M960" i="6" s="1"/>
  <c r="N961" i="6"/>
  <c r="M957" i="6"/>
  <c r="R957" i="6" s="1"/>
  <c r="E611" i="13"/>
  <c r="M953" i="6"/>
  <c r="R953" i="6" s="1"/>
  <c r="E610" i="13"/>
  <c r="W957" i="6"/>
  <c r="M959" i="6"/>
  <c r="M956" i="6"/>
  <c r="T609" i="13"/>
  <c r="P609" i="13"/>
  <c r="O609" i="13"/>
  <c r="R955" i="6" l="1"/>
  <c r="Q609" i="13"/>
  <c r="M961" i="6"/>
  <c r="H611" i="13"/>
  <c r="S611" i="13"/>
  <c r="AA611" i="13" s="1"/>
  <c r="AB611" i="13" s="1"/>
  <c r="G611" i="13"/>
  <c r="G610" i="13"/>
  <c r="AQ610" i="13" s="1"/>
  <c r="H610" i="13"/>
  <c r="S610" i="13"/>
  <c r="AA610" i="13" s="1"/>
  <c r="AB610" i="13" s="1"/>
  <c r="N1119" i="16"/>
  <c r="N1123" i="16"/>
  <c r="N1127" i="16"/>
  <c r="Q1131" i="16"/>
  <c r="N1135" i="16"/>
  <c r="N1139" i="16"/>
  <c r="N1143" i="16"/>
  <c r="D3" i="16"/>
  <c r="E3" i="16" a="1"/>
  <c r="E3" i="16" s="1"/>
  <c r="G3" i="16"/>
  <c r="H3" i="16" s="1"/>
  <c r="I3" i="16"/>
  <c r="N3" i="16"/>
  <c r="O3" i="16" s="1"/>
  <c r="Q3" i="16"/>
  <c r="S3" i="16"/>
  <c r="T3" i="16"/>
  <c r="U3" i="16" a="1"/>
  <c r="U3" i="16" s="1"/>
  <c r="V3" i="16"/>
  <c r="D4" i="16"/>
  <c r="E4" i="16" a="1"/>
  <c r="E4" i="16" s="1"/>
  <c r="G4" i="16"/>
  <c r="H4" i="16" s="1"/>
  <c r="I4" i="16"/>
  <c r="N4" i="16"/>
  <c r="Q4" i="16"/>
  <c r="S4" i="16"/>
  <c r="T4" i="16"/>
  <c r="U4" i="16" a="1"/>
  <c r="U4" i="16" s="1"/>
  <c r="V4" i="16"/>
  <c r="D5" i="16"/>
  <c r="E5" i="16" a="1"/>
  <c r="E5" i="16" s="1"/>
  <c r="G5" i="16"/>
  <c r="H5" i="16" s="1"/>
  <c r="I5" i="16"/>
  <c r="N5" i="16"/>
  <c r="Q5" i="16"/>
  <c r="S5" i="16"/>
  <c r="T5" i="16"/>
  <c r="U5" i="16" a="1"/>
  <c r="U5" i="16" s="1"/>
  <c r="V5" i="16"/>
  <c r="D6" i="16"/>
  <c r="E6" i="16" a="1"/>
  <c r="E6" i="16" s="1"/>
  <c r="G6" i="16"/>
  <c r="H6" i="16" s="1"/>
  <c r="I6" i="16"/>
  <c r="N6" i="16"/>
  <c r="M6" i="16" s="1"/>
  <c r="Q6" i="16"/>
  <c r="S6" i="16"/>
  <c r="T6" i="16"/>
  <c r="U6" i="16" a="1"/>
  <c r="U6" i="16" s="1"/>
  <c r="V6" i="16"/>
  <c r="W6" i="16" s="1"/>
  <c r="D7" i="16"/>
  <c r="E7" i="16" a="1"/>
  <c r="E7" i="16" s="1"/>
  <c r="G7" i="16"/>
  <c r="H7" i="16" s="1"/>
  <c r="I7" i="16"/>
  <c r="N7" i="16"/>
  <c r="Q7" i="16"/>
  <c r="S7" i="16"/>
  <c r="T7" i="16"/>
  <c r="U7" i="16" a="1"/>
  <c r="U7" i="16" s="1"/>
  <c r="V7" i="16"/>
  <c r="D8" i="16"/>
  <c r="E8" i="16" a="1"/>
  <c r="E8" i="16" s="1"/>
  <c r="G8" i="16"/>
  <c r="H8" i="16" s="1"/>
  <c r="I8" i="16"/>
  <c r="N8" i="16"/>
  <c r="Q8" i="16"/>
  <c r="S8" i="16"/>
  <c r="T8" i="16"/>
  <c r="U8" i="16" a="1"/>
  <c r="U8" i="16" s="1"/>
  <c r="V8" i="16"/>
  <c r="D9" i="16"/>
  <c r="E9" i="16" a="1"/>
  <c r="E9" i="16" s="1"/>
  <c r="G9" i="16"/>
  <c r="H9" i="16" s="1"/>
  <c r="I9" i="16"/>
  <c r="N9" i="16"/>
  <c r="Q9" i="16"/>
  <c r="S9" i="16"/>
  <c r="T9" i="16"/>
  <c r="U9" i="16" a="1"/>
  <c r="U9" i="16" s="1"/>
  <c r="D10" i="16"/>
  <c r="E10" i="16" a="1"/>
  <c r="E10" i="16" s="1"/>
  <c r="G10" i="16"/>
  <c r="H10" i="16" s="1"/>
  <c r="I10" i="16"/>
  <c r="N10" i="16"/>
  <c r="M10" i="16" s="1"/>
  <c r="Q10" i="16"/>
  <c r="S10" i="16"/>
  <c r="T10" i="16"/>
  <c r="U10" i="16" a="1"/>
  <c r="U10" i="16" s="1"/>
  <c r="V10" i="16"/>
  <c r="D11" i="16"/>
  <c r="E11" i="16" a="1"/>
  <c r="E11" i="16" s="1"/>
  <c r="G11" i="16"/>
  <c r="H11" i="16" s="1"/>
  <c r="I11" i="16"/>
  <c r="N11" i="16"/>
  <c r="Q11" i="16"/>
  <c r="S11" i="16"/>
  <c r="T11" i="16"/>
  <c r="U11" i="16" a="1"/>
  <c r="U11" i="16" s="1"/>
  <c r="V11" i="16"/>
  <c r="D12" i="16"/>
  <c r="E12" i="16" a="1"/>
  <c r="E12" i="16" s="1"/>
  <c r="G12" i="16"/>
  <c r="H12" i="16" s="1"/>
  <c r="I12" i="16"/>
  <c r="N12" i="16"/>
  <c r="Q12" i="16"/>
  <c r="S12" i="16"/>
  <c r="T12" i="16"/>
  <c r="U12" i="16" a="1"/>
  <c r="U12" i="16" s="1"/>
  <c r="V12" i="16"/>
  <c r="D13" i="16"/>
  <c r="E13" i="16" a="1"/>
  <c r="E13" i="16" s="1"/>
  <c r="G13" i="16"/>
  <c r="H13" i="16" s="1"/>
  <c r="I13" i="16"/>
  <c r="N13" i="16"/>
  <c r="Q13" i="16"/>
  <c r="S13" i="16"/>
  <c r="T13" i="16"/>
  <c r="U13" i="16" a="1"/>
  <c r="U13" i="16" s="1"/>
  <c r="V13" i="16"/>
  <c r="D14" i="16"/>
  <c r="E14" i="16" a="1"/>
  <c r="E14" i="16" s="1"/>
  <c r="G14" i="16"/>
  <c r="H14" i="16" s="1"/>
  <c r="I14" i="16"/>
  <c r="N14" i="16"/>
  <c r="Q14" i="16"/>
  <c r="S14" i="16"/>
  <c r="T14" i="16"/>
  <c r="U14" i="16" a="1"/>
  <c r="U14" i="16" s="1"/>
  <c r="V14" i="16"/>
  <c r="D15" i="16"/>
  <c r="E15" i="16" a="1"/>
  <c r="E15" i="16" s="1"/>
  <c r="G15" i="16"/>
  <c r="H15" i="16" s="1"/>
  <c r="I15" i="16"/>
  <c r="N15" i="16"/>
  <c r="V15" i="16" s="1"/>
  <c r="Q15" i="16"/>
  <c r="S15" i="16"/>
  <c r="T15" i="16"/>
  <c r="U15" i="16" a="1"/>
  <c r="U15" i="16" s="1"/>
  <c r="D16" i="16"/>
  <c r="E16" i="16" a="1"/>
  <c r="E16" i="16" s="1"/>
  <c r="G16" i="16"/>
  <c r="H16" i="16" s="1"/>
  <c r="I16" i="16"/>
  <c r="N16" i="16"/>
  <c r="O16" i="16" s="1"/>
  <c r="Q16" i="16"/>
  <c r="S16" i="16"/>
  <c r="T16" i="16"/>
  <c r="U16" i="16" a="1"/>
  <c r="U16" i="16" s="1"/>
  <c r="V16" i="16"/>
  <c r="W16" i="16" s="1"/>
  <c r="D17" i="16"/>
  <c r="E17" i="16" a="1"/>
  <c r="E17" i="16" s="1"/>
  <c r="G17" i="16"/>
  <c r="H17" i="16" s="1"/>
  <c r="I17" i="16"/>
  <c r="N17" i="16"/>
  <c r="Q17" i="16"/>
  <c r="S17" i="16"/>
  <c r="T17" i="16"/>
  <c r="U17" i="16" a="1"/>
  <c r="U17" i="16" s="1"/>
  <c r="D18" i="16"/>
  <c r="E18" i="16" a="1"/>
  <c r="E18" i="16" s="1"/>
  <c r="G18" i="16"/>
  <c r="H18" i="16" s="1"/>
  <c r="I18" i="16"/>
  <c r="N18" i="16"/>
  <c r="Q18" i="16"/>
  <c r="S18" i="16"/>
  <c r="T18" i="16"/>
  <c r="U18" i="16" a="1"/>
  <c r="U18" i="16" s="1"/>
  <c r="V18" i="16"/>
  <c r="D19" i="16"/>
  <c r="E19" i="16" a="1"/>
  <c r="E19" i="16" s="1"/>
  <c r="G19" i="16"/>
  <c r="H19" i="16" s="1"/>
  <c r="I19" i="16"/>
  <c r="N19" i="16"/>
  <c r="Q19" i="16"/>
  <c r="S19" i="16"/>
  <c r="T19" i="16"/>
  <c r="U19" i="16" a="1"/>
  <c r="U19" i="16" s="1"/>
  <c r="V19" i="16"/>
  <c r="D20" i="16"/>
  <c r="E20" i="16" a="1"/>
  <c r="E20" i="16" s="1"/>
  <c r="G20" i="16"/>
  <c r="H20" i="16" s="1"/>
  <c r="I20" i="16"/>
  <c r="N20" i="16"/>
  <c r="Q20" i="16"/>
  <c r="S20" i="16"/>
  <c r="T20" i="16"/>
  <c r="U20" i="16" a="1"/>
  <c r="U20" i="16" s="1"/>
  <c r="V20" i="16"/>
  <c r="D21" i="16"/>
  <c r="E21" i="16" a="1"/>
  <c r="E21" i="16" s="1"/>
  <c r="G21" i="16"/>
  <c r="H21" i="16" s="1"/>
  <c r="I21" i="16"/>
  <c r="N21" i="16"/>
  <c r="Q21" i="16"/>
  <c r="S21" i="16"/>
  <c r="T21" i="16"/>
  <c r="U21" i="16" a="1"/>
  <c r="U21" i="16" s="1"/>
  <c r="V21" i="16"/>
  <c r="D22" i="16"/>
  <c r="E22" i="16" a="1"/>
  <c r="E22" i="16" s="1"/>
  <c r="G22" i="16"/>
  <c r="H22" i="16" s="1"/>
  <c r="I22" i="16"/>
  <c r="N22" i="16"/>
  <c r="Q22" i="16"/>
  <c r="S22" i="16"/>
  <c r="T22" i="16"/>
  <c r="U22" i="16" a="1"/>
  <c r="U22" i="16" s="1"/>
  <c r="V22" i="16"/>
  <c r="D23" i="16"/>
  <c r="E23" i="16" a="1"/>
  <c r="E23" i="16" s="1"/>
  <c r="G23" i="16"/>
  <c r="H23" i="16" s="1"/>
  <c r="I23" i="16"/>
  <c r="N23" i="16"/>
  <c r="Q23" i="16"/>
  <c r="S23" i="16"/>
  <c r="T23" i="16"/>
  <c r="U23" i="16" a="1"/>
  <c r="U23" i="16" s="1"/>
  <c r="V23" i="16"/>
  <c r="D24" i="16"/>
  <c r="E24" i="16" a="1"/>
  <c r="E24" i="16" s="1"/>
  <c r="G24" i="16"/>
  <c r="H24" i="16" s="1"/>
  <c r="I24" i="16"/>
  <c r="N24" i="16"/>
  <c r="Q24" i="16"/>
  <c r="S24" i="16"/>
  <c r="T24" i="16"/>
  <c r="U24" i="16" a="1"/>
  <c r="U24" i="16" s="1"/>
  <c r="V24" i="16"/>
  <c r="D25" i="16"/>
  <c r="E25" i="16" a="1"/>
  <c r="E25" i="16" s="1"/>
  <c r="G25" i="16"/>
  <c r="H25" i="16" s="1"/>
  <c r="I25" i="16"/>
  <c r="N25" i="16"/>
  <c r="V25" i="16" s="1"/>
  <c r="Q25" i="16"/>
  <c r="S25" i="16"/>
  <c r="T25" i="16"/>
  <c r="U25" i="16" a="1"/>
  <c r="U25" i="16" s="1"/>
  <c r="D26" i="16"/>
  <c r="E26" i="16" a="1"/>
  <c r="E26" i="16" s="1"/>
  <c r="G26" i="16"/>
  <c r="H26" i="16" s="1"/>
  <c r="I26" i="16"/>
  <c r="N26" i="16"/>
  <c r="M26" i="16" s="1"/>
  <c r="Q26" i="16"/>
  <c r="S26" i="16"/>
  <c r="T26" i="16"/>
  <c r="U26" i="16" a="1"/>
  <c r="U26" i="16" s="1"/>
  <c r="V26" i="16"/>
  <c r="D27" i="16"/>
  <c r="E27" i="16" a="1"/>
  <c r="E27" i="16" s="1"/>
  <c r="G27" i="16"/>
  <c r="H27" i="16" s="1"/>
  <c r="I27" i="16"/>
  <c r="N27" i="16"/>
  <c r="Q27" i="16"/>
  <c r="S27" i="16"/>
  <c r="T27" i="16"/>
  <c r="U27" i="16" a="1"/>
  <c r="U27" i="16" s="1"/>
  <c r="V27" i="16"/>
  <c r="D28" i="16"/>
  <c r="E28" i="16" a="1"/>
  <c r="E28" i="16" s="1"/>
  <c r="G28" i="16"/>
  <c r="H28" i="16" s="1"/>
  <c r="I28" i="16"/>
  <c r="N28" i="16"/>
  <c r="Q28" i="16"/>
  <c r="S28" i="16"/>
  <c r="T28" i="16"/>
  <c r="U28" i="16" a="1"/>
  <c r="U28" i="16" s="1"/>
  <c r="V28" i="16"/>
  <c r="D29" i="16"/>
  <c r="E29" i="16" a="1"/>
  <c r="E29" i="16" s="1"/>
  <c r="G29" i="16"/>
  <c r="H29" i="16" s="1"/>
  <c r="I29" i="16"/>
  <c r="N29" i="16"/>
  <c r="Q29" i="16"/>
  <c r="S29" i="16"/>
  <c r="T29" i="16"/>
  <c r="U29" i="16" a="1"/>
  <c r="U29" i="16" s="1"/>
  <c r="V29" i="16"/>
  <c r="W29" i="16" s="1"/>
  <c r="D30" i="16"/>
  <c r="E30" i="16" a="1"/>
  <c r="E30" i="16" s="1"/>
  <c r="G30" i="16"/>
  <c r="H30" i="16" s="1"/>
  <c r="I30" i="16"/>
  <c r="N30" i="16"/>
  <c r="Q30" i="16"/>
  <c r="S30" i="16"/>
  <c r="T30" i="16"/>
  <c r="U30" i="16" a="1"/>
  <c r="U30" i="16" s="1"/>
  <c r="V30" i="16"/>
  <c r="D31" i="16"/>
  <c r="E31" i="16" a="1"/>
  <c r="E31" i="16" s="1"/>
  <c r="G31" i="16"/>
  <c r="H31" i="16" s="1"/>
  <c r="I31" i="16"/>
  <c r="N31" i="16"/>
  <c r="Q31" i="16"/>
  <c r="S31" i="16"/>
  <c r="T31" i="16"/>
  <c r="U31" i="16" a="1"/>
  <c r="U31" i="16" s="1"/>
  <c r="V31" i="16"/>
  <c r="D32" i="16"/>
  <c r="E32" i="16" a="1"/>
  <c r="E32" i="16" s="1"/>
  <c r="G32" i="16"/>
  <c r="H32" i="16" s="1"/>
  <c r="I32" i="16"/>
  <c r="N32" i="16"/>
  <c r="M32" i="16" s="1"/>
  <c r="Q32" i="16"/>
  <c r="S32" i="16"/>
  <c r="T32" i="16"/>
  <c r="U32" i="16" a="1"/>
  <c r="U32" i="16" s="1"/>
  <c r="V32" i="16"/>
  <c r="D33" i="16"/>
  <c r="E33" i="16" a="1"/>
  <c r="E33" i="16" s="1"/>
  <c r="G33" i="16"/>
  <c r="H33" i="16" s="1"/>
  <c r="I33" i="16"/>
  <c r="N33" i="16"/>
  <c r="Q33" i="16"/>
  <c r="S33" i="16"/>
  <c r="T33" i="16"/>
  <c r="U33" i="16" a="1"/>
  <c r="U33" i="16" s="1"/>
  <c r="D34" i="16"/>
  <c r="E34" i="16" a="1"/>
  <c r="E34" i="16" s="1"/>
  <c r="G34" i="16"/>
  <c r="H34" i="16" s="1"/>
  <c r="I34" i="16"/>
  <c r="N34" i="16"/>
  <c r="Q34" i="16"/>
  <c r="S34" i="16"/>
  <c r="T34" i="16"/>
  <c r="U34" i="16" a="1"/>
  <c r="U34" i="16" s="1"/>
  <c r="V34" i="16"/>
  <c r="D35" i="16"/>
  <c r="E35" i="16" a="1"/>
  <c r="E35" i="16" s="1"/>
  <c r="G35" i="16"/>
  <c r="H35" i="16" s="1"/>
  <c r="I35" i="16"/>
  <c r="N35" i="16"/>
  <c r="Q35" i="16"/>
  <c r="S35" i="16"/>
  <c r="T35" i="16"/>
  <c r="U35" i="16" a="1"/>
  <c r="U35" i="16" s="1"/>
  <c r="D36" i="16"/>
  <c r="E36" i="16" a="1"/>
  <c r="E36" i="16" s="1"/>
  <c r="G36" i="16"/>
  <c r="H36" i="16" s="1"/>
  <c r="I36" i="16"/>
  <c r="N36" i="16"/>
  <c r="Q36" i="16"/>
  <c r="S36" i="16"/>
  <c r="T36" i="16"/>
  <c r="U36" i="16" a="1"/>
  <c r="U36" i="16" s="1"/>
  <c r="V36" i="16"/>
  <c r="D37" i="16"/>
  <c r="E37" i="16" a="1"/>
  <c r="E37" i="16" s="1"/>
  <c r="G37" i="16"/>
  <c r="H37" i="16" s="1"/>
  <c r="I37" i="16"/>
  <c r="N37" i="16"/>
  <c r="Q37" i="16"/>
  <c r="S37" i="16"/>
  <c r="T37" i="16"/>
  <c r="U37" i="16" a="1"/>
  <c r="U37" i="16" s="1"/>
  <c r="V37" i="16"/>
  <c r="W37" i="16" s="1"/>
  <c r="D38" i="16"/>
  <c r="E38" i="16" a="1"/>
  <c r="E38" i="16" s="1"/>
  <c r="G38" i="16"/>
  <c r="H38" i="16" s="1"/>
  <c r="I38" i="16"/>
  <c r="N38" i="16"/>
  <c r="Q38" i="16"/>
  <c r="S38" i="16"/>
  <c r="T38" i="16"/>
  <c r="U38" i="16" a="1"/>
  <c r="U38" i="16" s="1"/>
  <c r="V38" i="16"/>
  <c r="D39" i="16"/>
  <c r="E39" i="16" a="1"/>
  <c r="E39" i="16" s="1"/>
  <c r="G39" i="16"/>
  <c r="H39" i="16" s="1"/>
  <c r="I39" i="16"/>
  <c r="N39" i="16"/>
  <c r="Q39" i="16"/>
  <c r="S39" i="16"/>
  <c r="T39" i="16"/>
  <c r="U39" i="16" a="1"/>
  <c r="U39" i="16" s="1"/>
  <c r="V39" i="16"/>
  <c r="D40" i="16"/>
  <c r="E40" i="16" a="1"/>
  <c r="E40" i="16" s="1"/>
  <c r="G40" i="16"/>
  <c r="H40" i="16" s="1"/>
  <c r="I40" i="16"/>
  <c r="N40" i="16"/>
  <c r="O40" i="16" s="1"/>
  <c r="Q40" i="16"/>
  <c r="S40" i="16"/>
  <c r="T40" i="16"/>
  <c r="U40" i="16" a="1"/>
  <c r="U40" i="16" s="1"/>
  <c r="V40" i="16"/>
  <c r="W40" i="16" s="1"/>
  <c r="D41" i="16"/>
  <c r="E41" i="16" a="1"/>
  <c r="E41" i="16" s="1"/>
  <c r="G41" i="16"/>
  <c r="H41" i="16" s="1"/>
  <c r="I41" i="16"/>
  <c r="N41" i="16"/>
  <c r="M41" i="16" s="1"/>
  <c r="Q41" i="16"/>
  <c r="S41" i="16"/>
  <c r="T41" i="16"/>
  <c r="U41" i="16" a="1"/>
  <c r="U41" i="16" s="1"/>
  <c r="V41" i="16"/>
  <c r="D42" i="16"/>
  <c r="E42" i="16" a="1"/>
  <c r="E42" i="16" s="1"/>
  <c r="G42" i="16"/>
  <c r="H42" i="16" s="1"/>
  <c r="I42" i="16"/>
  <c r="N42" i="16"/>
  <c r="V42" i="16" s="1"/>
  <c r="Q42" i="16"/>
  <c r="S42" i="16"/>
  <c r="T42" i="16"/>
  <c r="U42" i="16" a="1"/>
  <c r="U42" i="16" s="1"/>
  <c r="D43" i="16"/>
  <c r="E43" i="16" a="1"/>
  <c r="E43" i="16" s="1"/>
  <c r="G43" i="16"/>
  <c r="H43" i="16" s="1"/>
  <c r="I43" i="16"/>
  <c r="N43" i="16"/>
  <c r="M43" i="16" s="1"/>
  <c r="Q43" i="16"/>
  <c r="S43" i="16"/>
  <c r="T43" i="16"/>
  <c r="U43" i="16" a="1"/>
  <c r="U43" i="16" s="1"/>
  <c r="D44" i="16"/>
  <c r="E44" i="16" a="1"/>
  <c r="E44" i="16" s="1"/>
  <c r="G44" i="16"/>
  <c r="H44" i="16" s="1"/>
  <c r="I44" i="16"/>
  <c r="N44" i="16"/>
  <c r="Q44" i="16"/>
  <c r="S44" i="16"/>
  <c r="T44" i="16"/>
  <c r="U44" i="16" a="1"/>
  <c r="U44" i="16" s="1"/>
  <c r="V44" i="16"/>
  <c r="D45" i="16"/>
  <c r="E45" i="16" a="1"/>
  <c r="E45" i="16" s="1"/>
  <c r="G45" i="16"/>
  <c r="H45" i="16" s="1"/>
  <c r="I45" i="16"/>
  <c r="N45" i="16"/>
  <c r="Q45" i="16"/>
  <c r="S45" i="16"/>
  <c r="T45" i="16"/>
  <c r="U45" i="16" a="1"/>
  <c r="U45" i="16" s="1"/>
  <c r="V45" i="16"/>
  <c r="D46" i="16"/>
  <c r="E46" i="16" a="1"/>
  <c r="E46" i="16" s="1"/>
  <c r="G46" i="16"/>
  <c r="H46" i="16" s="1"/>
  <c r="I46" i="16"/>
  <c r="N46" i="16"/>
  <c r="Q46" i="16"/>
  <c r="S46" i="16"/>
  <c r="T46" i="16"/>
  <c r="U46" i="16" a="1"/>
  <c r="U46" i="16" s="1"/>
  <c r="V46" i="16"/>
  <c r="D47" i="16"/>
  <c r="E47" i="16" a="1"/>
  <c r="E47" i="16" s="1"/>
  <c r="G47" i="16"/>
  <c r="H47" i="16" s="1"/>
  <c r="I47" i="16"/>
  <c r="N47" i="16"/>
  <c r="Q47" i="16"/>
  <c r="S47" i="16"/>
  <c r="T47" i="16"/>
  <c r="U47" i="16" a="1"/>
  <c r="U47" i="16" s="1"/>
  <c r="V47" i="16"/>
  <c r="D48" i="16"/>
  <c r="E48" i="16" a="1"/>
  <c r="E48" i="16" s="1"/>
  <c r="G48" i="16"/>
  <c r="H48" i="16" s="1"/>
  <c r="I48" i="16"/>
  <c r="N48" i="16"/>
  <c r="Q48" i="16"/>
  <c r="S48" i="16"/>
  <c r="T48" i="16"/>
  <c r="U48" i="16" a="1"/>
  <c r="U48" i="16" s="1"/>
  <c r="V48" i="16"/>
  <c r="D49" i="16"/>
  <c r="E49" i="16" a="1"/>
  <c r="E49" i="16" s="1"/>
  <c r="G49" i="16"/>
  <c r="H49" i="16" s="1"/>
  <c r="I49" i="16"/>
  <c r="N49" i="16"/>
  <c r="Q49" i="16"/>
  <c r="S49" i="16"/>
  <c r="T49" i="16"/>
  <c r="U49" i="16" a="1"/>
  <c r="U49" i="16" s="1"/>
  <c r="V49" i="16"/>
  <c r="D50" i="16"/>
  <c r="E50" i="16" a="1"/>
  <c r="E50" i="16" s="1"/>
  <c r="G50" i="16"/>
  <c r="H50" i="16" s="1"/>
  <c r="I50" i="16"/>
  <c r="N50" i="16"/>
  <c r="M50" i="16" s="1"/>
  <c r="Q50" i="16"/>
  <c r="S50" i="16"/>
  <c r="T50" i="16"/>
  <c r="U50" i="16" a="1"/>
  <c r="U50" i="16" s="1"/>
  <c r="V50" i="16"/>
  <c r="D51" i="16"/>
  <c r="E51" i="16" a="1"/>
  <c r="E51" i="16" s="1"/>
  <c r="G51" i="16"/>
  <c r="H51" i="16" s="1"/>
  <c r="I51" i="16"/>
  <c r="N51" i="16"/>
  <c r="Q51" i="16"/>
  <c r="S51" i="16"/>
  <c r="T51" i="16"/>
  <c r="U51" i="16" a="1"/>
  <c r="U51" i="16" s="1"/>
  <c r="V51" i="16"/>
  <c r="D52" i="16"/>
  <c r="E52" i="16" a="1"/>
  <c r="E52" i="16" s="1"/>
  <c r="G52" i="16"/>
  <c r="H52" i="16" s="1"/>
  <c r="I52" i="16"/>
  <c r="N52" i="16"/>
  <c r="O52" i="16" s="1"/>
  <c r="Q52" i="16"/>
  <c r="S52" i="16"/>
  <c r="T52" i="16"/>
  <c r="U52" i="16" a="1"/>
  <c r="U52" i="16" s="1"/>
  <c r="V52" i="16"/>
  <c r="W52" i="16" s="1"/>
  <c r="D53" i="16"/>
  <c r="E53" i="16" a="1"/>
  <c r="E53" i="16" s="1"/>
  <c r="G53" i="16"/>
  <c r="H53" i="16" s="1"/>
  <c r="I53" i="16"/>
  <c r="N53" i="16"/>
  <c r="M53" i="16" s="1"/>
  <c r="Q53" i="16"/>
  <c r="S53" i="16"/>
  <c r="T53" i="16"/>
  <c r="U53" i="16" a="1"/>
  <c r="U53" i="16" s="1"/>
  <c r="V53" i="16"/>
  <c r="D54" i="16"/>
  <c r="E54" i="16" a="1"/>
  <c r="E54" i="16" s="1"/>
  <c r="G54" i="16"/>
  <c r="H54" i="16" s="1"/>
  <c r="I54" i="16"/>
  <c r="N54" i="16"/>
  <c r="Q54" i="16"/>
  <c r="S54" i="16"/>
  <c r="T54" i="16"/>
  <c r="U54" i="16" a="1"/>
  <c r="U54" i="16" s="1"/>
  <c r="V54" i="16"/>
  <c r="D55" i="16"/>
  <c r="E55" i="16" a="1"/>
  <c r="E55" i="16" s="1"/>
  <c r="G55" i="16"/>
  <c r="H55" i="16" s="1"/>
  <c r="I55" i="16"/>
  <c r="N55" i="16"/>
  <c r="M55" i="16" s="1"/>
  <c r="Q55" i="16"/>
  <c r="S55" i="16"/>
  <c r="T55" i="16"/>
  <c r="U55" i="16" a="1"/>
  <c r="U55" i="16" s="1"/>
  <c r="V55" i="16"/>
  <c r="W55" i="16" s="1"/>
  <c r="D56" i="16"/>
  <c r="E56" i="16" a="1"/>
  <c r="E56" i="16" s="1"/>
  <c r="G56" i="16"/>
  <c r="H56" i="16" s="1"/>
  <c r="I56" i="16"/>
  <c r="N56" i="16"/>
  <c r="Q56" i="16"/>
  <c r="S56" i="16"/>
  <c r="T56" i="16"/>
  <c r="U56" i="16" a="1"/>
  <c r="U56" i="16" s="1"/>
  <c r="V56" i="16"/>
  <c r="D57" i="16"/>
  <c r="E57" i="16" a="1"/>
  <c r="E57" i="16" s="1"/>
  <c r="G57" i="16"/>
  <c r="H57" i="16" s="1"/>
  <c r="I57" i="16"/>
  <c r="N57" i="16"/>
  <c r="Q57" i="16"/>
  <c r="S57" i="16"/>
  <c r="T57" i="16"/>
  <c r="U57" i="16" a="1"/>
  <c r="U57" i="16" s="1"/>
  <c r="V57" i="16"/>
  <c r="W57" i="16" s="1"/>
  <c r="D58" i="16"/>
  <c r="E58" i="16" a="1"/>
  <c r="E58" i="16" s="1"/>
  <c r="G58" i="16"/>
  <c r="H58" i="16" s="1"/>
  <c r="I58" i="16"/>
  <c r="N58" i="16"/>
  <c r="Q58" i="16"/>
  <c r="S58" i="16"/>
  <c r="T58" i="16"/>
  <c r="U58" i="16" a="1"/>
  <c r="U58" i="16" s="1"/>
  <c r="V58" i="16"/>
  <c r="D59" i="16"/>
  <c r="E59" i="16" a="1"/>
  <c r="E59" i="16" s="1"/>
  <c r="G59" i="16"/>
  <c r="H59" i="16" s="1"/>
  <c r="I59" i="16"/>
  <c r="N59" i="16"/>
  <c r="M59" i="16" s="1"/>
  <c r="Q59" i="16"/>
  <c r="S59" i="16"/>
  <c r="T59" i="16"/>
  <c r="U59" i="16" a="1"/>
  <c r="U59" i="16" s="1"/>
  <c r="V59" i="16"/>
  <c r="W59" i="16" s="1"/>
  <c r="D60" i="16"/>
  <c r="E60" i="16" a="1"/>
  <c r="E60" i="16" s="1"/>
  <c r="G60" i="16"/>
  <c r="H60" i="16" s="1"/>
  <c r="I60" i="16"/>
  <c r="N60" i="16"/>
  <c r="M60" i="16" s="1"/>
  <c r="Q60" i="16"/>
  <c r="S60" i="16"/>
  <c r="T60" i="16"/>
  <c r="U60" i="16" a="1"/>
  <c r="U60" i="16" s="1"/>
  <c r="V60" i="16"/>
  <c r="D61" i="16"/>
  <c r="E61" i="16" a="1"/>
  <c r="E61" i="16" s="1"/>
  <c r="G61" i="16"/>
  <c r="H61" i="16" s="1"/>
  <c r="I61" i="16"/>
  <c r="N61" i="16"/>
  <c r="M61" i="16" s="1"/>
  <c r="Q61" i="16"/>
  <c r="S61" i="16"/>
  <c r="T61" i="16"/>
  <c r="U61" i="16" a="1"/>
  <c r="U61" i="16" s="1"/>
  <c r="D62" i="16"/>
  <c r="E62" i="16" a="1"/>
  <c r="E62" i="16" s="1"/>
  <c r="G62" i="16"/>
  <c r="H62" i="16" s="1"/>
  <c r="I62" i="16"/>
  <c r="N62" i="16"/>
  <c r="Q62" i="16"/>
  <c r="S62" i="16"/>
  <c r="T62" i="16"/>
  <c r="U62" i="16" a="1"/>
  <c r="U62" i="16" s="1"/>
  <c r="V62" i="16"/>
  <c r="D63" i="16"/>
  <c r="E63" i="16" a="1"/>
  <c r="E63" i="16" s="1"/>
  <c r="G63" i="16"/>
  <c r="H63" i="16" s="1"/>
  <c r="I63" i="16"/>
  <c r="N63" i="16"/>
  <c r="M63" i="16" s="1"/>
  <c r="Q63" i="16"/>
  <c r="S63" i="16"/>
  <c r="T63" i="16"/>
  <c r="U63" i="16" a="1"/>
  <c r="U63" i="16" s="1"/>
  <c r="V63" i="16"/>
  <c r="D64" i="16"/>
  <c r="E64" i="16" a="1"/>
  <c r="E64" i="16" s="1"/>
  <c r="G64" i="16"/>
  <c r="H64" i="16" s="1"/>
  <c r="I64" i="16"/>
  <c r="N64" i="16"/>
  <c r="M64" i="16" s="1"/>
  <c r="Q64" i="16"/>
  <c r="S64" i="16"/>
  <c r="T64" i="16"/>
  <c r="U64" i="16" a="1"/>
  <c r="U64" i="16" s="1"/>
  <c r="V64" i="16"/>
  <c r="D65" i="16"/>
  <c r="E65" i="16" a="1"/>
  <c r="E65" i="16" s="1"/>
  <c r="G65" i="16"/>
  <c r="H65" i="16" s="1"/>
  <c r="I65" i="16"/>
  <c r="N65" i="16"/>
  <c r="Q65" i="16"/>
  <c r="S65" i="16"/>
  <c r="T65" i="16"/>
  <c r="U65" i="16" a="1"/>
  <c r="U65" i="16" s="1"/>
  <c r="V65" i="16"/>
  <c r="D66" i="16"/>
  <c r="E66" i="16" a="1"/>
  <c r="E66" i="16" s="1"/>
  <c r="G66" i="16"/>
  <c r="H66" i="16" s="1"/>
  <c r="I66" i="16"/>
  <c r="N66" i="16"/>
  <c r="Q66" i="16"/>
  <c r="S66" i="16"/>
  <c r="T66" i="16"/>
  <c r="U66" i="16" a="1"/>
  <c r="U66" i="16" s="1"/>
  <c r="V66" i="16"/>
  <c r="D67" i="16"/>
  <c r="E67" i="16" a="1"/>
  <c r="E67" i="16" s="1"/>
  <c r="G67" i="16"/>
  <c r="H67" i="16" s="1"/>
  <c r="I67" i="16"/>
  <c r="N67" i="16"/>
  <c r="Q67" i="16"/>
  <c r="S67" i="16"/>
  <c r="T67" i="16"/>
  <c r="U67" i="16" a="1"/>
  <c r="U67" i="16" s="1"/>
  <c r="V67" i="16"/>
  <c r="D68" i="16"/>
  <c r="E68" i="16" a="1"/>
  <c r="E68" i="16" s="1"/>
  <c r="G68" i="16"/>
  <c r="H68" i="16" s="1"/>
  <c r="I68" i="16"/>
  <c r="N68" i="16"/>
  <c r="M68" i="16" s="1"/>
  <c r="Q68" i="16"/>
  <c r="S68" i="16"/>
  <c r="T68" i="16"/>
  <c r="U68" i="16" a="1"/>
  <c r="U68" i="16" s="1"/>
  <c r="D69" i="16"/>
  <c r="E69" i="16" a="1"/>
  <c r="E69" i="16" s="1"/>
  <c r="G69" i="16"/>
  <c r="H69" i="16" s="1"/>
  <c r="I69" i="16"/>
  <c r="N69" i="16"/>
  <c r="Q69" i="16"/>
  <c r="S69" i="16"/>
  <c r="T69" i="16"/>
  <c r="U69" i="16" a="1"/>
  <c r="U69" i="16" s="1"/>
  <c r="V69" i="16"/>
  <c r="D70" i="16"/>
  <c r="E70" i="16" a="1"/>
  <c r="E70" i="16" s="1"/>
  <c r="G70" i="16"/>
  <c r="H70" i="16" s="1"/>
  <c r="I70" i="16"/>
  <c r="N70" i="16"/>
  <c r="Q70" i="16"/>
  <c r="S70" i="16"/>
  <c r="T70" i="16"/>
  <c r="U70" i="16" a="1"/>
  <c r="U70" i="16" s="1"/>
  <c r="V70" i="16"/>
  <c r="D71" i="16"/>
  <c r="E71" i="16" a="1"/>
  <c r="E71" i="16" s="1"/>
  <c r="G71" i="16"/>
  <c r="H71" i="16" s="1"/>
  <c r="I71" i="16"/>
  <c r="N71" i="16"/>
  <c r="M71" i="16" s="1"/>
  <c r="Q71" i="16"/>
  <c r="S71" i="16"/>
  <c r="T71" i="16"/>
  <c r="U71" i="16" a="1"/>
  <c r="U71" i="16" s="1"/>
  <c r="V71" i="16"/>
  <c r="D72" i="16"/>
  <c r="E72" i="16" a="1"/>
  <c r="E72" i="16" s="1"/>
  <c r="G72" i="16"/>
  <c r="H72" i="16" s="1"/>
  <c r="I72" i="16"/>
  <c r="N72" i="16"/>
  <c r="Q72" i="16"/>
  <c r="S72" i="16"/>
  <c r="V72" i="16"/>
  <c r="D73" i="16"/>
  <c r="E73" i="16" a="1"/>
  <c r="E73" i="16" s="1"/>
  <c r="G73" i="16"/>
  <c r="H73" i="16" s="1"/>
  <c r="I73" i="16"/>
  <c r="N73" i="16"/>
  <c r="M73" i="16" s="1"/>
  <c r="Q73" i="16"/>
  <c r="S73" i="16"/>
  <c r="V73" i="16"/>
  <c r="D74" i="16"/>
  <c r="E74" i="16" a="1"/>
  <c r="E74" i="16" s="1"/>
  <c r="G74" i="16"/>
  <c r="H74" i="16" s="1"/>
  <c r="I74" i="16"/>
  <c r="N74" i="16"/>
  <c r="Q74" i="16"/>
  <c r="S74" i="16"/>
  <c r="T74" i="16"/>
  <c r="U74" i="16" a="1"/>
  <c r="U74" i="16" s="1"/>
  <c r="V74" i="16"/>
  <c r="D75" i="16"/>
  <c r="E75" i="16" a="1"/>
  <c r="E75" i="16" s="1"/>
  <c r="G75" i="16"/>
  <c r="H75" i="16" s="1"/>
  <c r="I75" i="16"/>
  <c r="N75" i="16"/>
  <c r="M75" i="16" s="1"/>
  <c r="Q75" i="16"/>
  <c r="S75" i="16"/>
  <c r="T75" i="16"/>
  <c r="U75" i="16" a="1"/>
  <c r="U75" i="16" s="1"/>
  <c r="V75" i="16"/>
  <c r="D76" i="16"/>
  <c r="E76" i="16" a="1"/>
  <c r="E76" i="16" s="1"/>
  <c r="G76" i="16"/>
  <c r="H76" i="16" s="1"/>
  <c r="I76" i="16"/>
  <c r="N76" i="16"/>
  <c r="M76" i="16" s="1"/>
  <c r="Q76" i="16"/>
  <c r="S76" i="16"/>
  <c r="T76" i="16"/>
  <c r="U76" i="16" a="1"/>
  <c r="U76" i="16" s="1"/>
  <c r="D77" i="16"/>
  <c r="E77" i="16" a="1"/>
  <c r="E77" i="16" s="1"/>
  <c r="G77" i="16"/>
  <c r="H77" i="16" s="1"/>
  <c r="I77" i="16"/>
  <c r="N77" i="16"/>
  <c r="M77" i="16" s="1"/>
  <c r="Q77" i="16"/>
  <c r="S77" i="16"/>
  <c r="T77" i="16"/>
  <c r="U77" i="16" a="1"/>
  <c r="U77" i="16" s="1"/>
  <c r="D78" i="16"/>
  <c r="E78" i="16" a="1"/>
  <c r="E78" i="16" s="1"/>
  <c r="G78" i="16"/>
  <c r="H78" i="16" s="1"/>
  <c r="I78" i="16"/>
  <c r="N78" i="16"/>
  <c r="Q78" i="16"/>
  <c r="S78" i="16"/>
  <c r="T78" i="16"/>
  <c r="U78" i="16" a="1"/>
  <c r="U78" i="16" s="1"/>
  <c r="V78" i="16"/>
  <c r="D79" i="16"/>
  <c r="E79" i="16" a="1"/>
  <c r="E79" i="16" s="1"/>
  <c r="G79" i="16"/>
  <c r="H79" i="16" s="1"/>
  <c r="I79" i="16"/>
  <c r="N79" i="16"/>
  <c r="Q79" i="16"/>
  <c r="S79" i="16"/>
  <c r="T79" i="16"/>
  <c r="U79" i="16" a="1"/>
  <c r="U79" i="16" s="1"/>
  <c r="V79" i="16"/>
  <c r="D80" i="16"/>
  <c r="E80" i="16" a="1"/>
  <c r="E80" i="16" s="1"/>
  <c r="G80" i="16"/>
  <c r="H80" i="16" s="1"/>
  <c r="I80" i="16"/>
  <c r="N80" i="16"/>
  <c r="Q80" i="16"/>
  <c r="S80" i="16"/>
  <c r="T80" i="16"/>
  <c r="U80" i="16" a="1"/>
  <c r="U80" i="16" s="1"/>
  <c r="V80" i="16"/>
  <c r="D81" i="16"/>
  <c r="E81" i="16" a="1"/>
  <c r="E81" i="16" s="1"/>
  <c r="G81" i="16"/>
  <c r="H81" i="16" s="1"/>
  <c r="I81" i="16"/>
  <c r="N81" i="16"/>
  <c r="M81" i="16" s="1"/>
  <c r="Q81" i="16"/>
  <c r="S81" i="16"/>
  <c r="T81" i="16"/>
  <c r="U81" i="16" a="1"/>
  <c r="U81" i="16" s="1"/>
  <c r="V81" i="16"/>
  <c r="D82" i="16"/>
  <c r="E82" i="16" a="1"/>
  <c r="E82" i="16" s="1"/>
  <c r="G82" i="16"/>
  <c r="H82" i="16" s="1"/>
  <c r="I82" i="16"/>
  <c r="N82" i="16"/>
  <c r="Q82" i="16"/>
  <c r="S82" i="16"/>
  <c r="T82" i="16"/>
  <c r="U82" i="16" a="1"/>
  <c r="U82" i="16" s="1"/>
  <c r="V82" i="16"/>
  <c r="D83" i="16"/>
  <c r="E83" i="16" a="1"/>
  <c r="E83" i="16" s="1"/>
  <c r="G83" i="16"/>
  <c r="H83" i="16" s="1"/>
  <c r="I83" i="16"/>
  <c r="N83" i="16"/>
  <c r="M83" i="16" s="1"/>
  <c r="Q83" i="16"/>
  <c r="S83" i="16"/>
  <c r="T83" i="16"/>
  <c r="U83" i="16" a="1"/>
  <c r="U83" i="16" s="1"/>
  <c r="V83" i="16"/>
  <c r="D84" i="16"/>
  <c r="E84" i="16" a="1"/>
  <c r="E84" i="16" s="1"/>
  <c r="G84" i="16"/>
  <c r="H84" i="16" s="1"/>
  <c r="I84" i="16"/>
  <c r="N84" i="16"/>
  <c r="M84" i="16" s="1"/>
  <c r="Q84" i="16"/>
  <c r="S84" i="16"/>
  <c r="T84" i="16"/>
  <c r="U84" i="16" a="1"/>
  <c r="U84" i="16" s="1"/>
  <c r="V84" i="16"/>
  <c r="D85" i="16"/>
  <c r="E85" i="16" a="1"/>
  <c r="E85" i="16" s="1"/>
  <c r="G85" i="16"/>
  <c r="H85" i="16" s="1"/>
  <c r="I85" i="16"/>
  <c r="N85" i="16"/>
  <c r="M85" i="16" s="1"/>
  <c r="Q85" i="16"/>
  <c r="S85" i="16"/>
  <c r="T85" i="16"/>
  <c r="U85" i="16" a="1"/>
  <c r="U85" i="16" s="1"/>
  <c r="V85" i="16"/>
  <c r="D86" i="16"/>
  <c r="E86" i="16" a="1"/>
  <c r="E86" i="16" s="1"/>
  <c r="G86" i="16"/>
  <c r="H86" i="16" s="1"/>
  <c r="I86" i="16"/>
  <c r="N86" i="16"/>
  <c r="Q86" i="16"/>
  <c r="S86" i="16"/>
  <c r="T86" i="16"/>
  <c r="U86" i="16" a="1"/>
  <c r="U86" i="16" s="1"/>
  <c r="V86" i="16"/>
  <c r="D87" i="16"/>
  <c r="E87" i="16" a="1"/>
  <c r="E87" i="16" s="1"/>
  <c r="G87" i="16"/>
  <c r="H87" i="16" s="1"/>
  <c r="I87" i="16"/>
  <c r="N87" i="16"/>
  <c r="Q87" i="16"/>
  <c r="S87" i="16"/>
  <c r="T87" i="16"/>
  <c r="U87" i="16" a="1"/>
  <c r="U87" i="16" s="1"/>
  <c r="V87" i="16"/>
  <c r="D88" i="16"/>
  <c r="E88" i="16" a="1"/>
  <c r="E88" i="16" s="1"/>
  <c r="G88" i="16"/>
  <c r="H88" i="16" s="1"/>
  <c r="I88" i="16"/>
  <c r="N88" i="16"/>
  <c r="Q88" i="16"/>
  <c r="S88" i="16"/>
  <c r="T88" i="16"/>
  <c r="U88" i="16" a="1"/>
  <c r="U88" i="16" s="1"/>
  <c r="V88" i="16"/>
  <c r="D89" i="16"/>
  <c r="E89" i="16" a="1"/>
  <c r="E89" i="16" s="1"/>
  <c r="G89" i="16"/>
  <c r="H89" i="16" s="1"/>
  <c r="I89" i="16"/>
  <c r="N89" i="16"/>
  <c r="M89" i="16" s="1"/>
  <c r="Q89" i="16"/>
  <c r="S89" i="16"/>
  <c r="T89" i="16"/>
  <c r="U89" i="16" a="1"/>
  <c r="U89" i="16" s="1"/>
  <c r="V89" i="16"/>
  <c r="D90" i="16"/>
  <c r="E90" i="16" a="1"/>
  <c r="E90" i="16" s="1"/>
  <c r="G90" i="16"/>
  <c r="H90" i="16" s="1"/>
  <c r="I90" i="16"/>
  <c r="N90" i="16"/>
  <c r="Q90" i="16"/>
  <c r="S90" i="16"/>
  <c r="T90" i="16"/>
  <c r="U90" i="16" a="1"/>
  <c r="U90" i="16" s="1"/>
  <c r="V90" i="16"/>
  <c r="D91" i="16"/>
  <c r="E91" i="16" a="1"/>
  <c r="E91" i="16" s="1"/>
  <c r="G91" i="16"/>
  <c r="H91" i="16" s="1"/>
  <c r="I91" i="16"/>
  <c r="N91" i="16"/>
  <c r="M91" i="16" s="1"/>
  <c r="Q91" i="16"/>
  <c r="S91" i="16"/>
  <c r="T91" i="16"/>
  <c r="U91" i="16" a="1"/>
  <c r="U91" i="16" s="1"/>
  <c r="V91" i="16"/>
  <c r="D92" i="16"/>
  <c r="E92" i="16" a="1"/>
  <c r="E92" i="16" s="1"/>
  <c r="G92" i="16"/>
  <c r="H92" i="16" s="1"/>
  <c r="I92" i="16"/>
  <c r="N92" i="16"/>
  <c r="Q92" i="16"/>
  <c r="S92" i="16"/>
  <c r="T92" i="16"/>
  <c r="U92" i="16" a="1"/>
  <c r="U92" i="16" s="1"/>
  <c r="V92" i="16"/>
  <c r="D93" i="16"/>
  <c r="E93" i="16" a="1"/>
  <c r="E93" i="16" s="1"/>
  <c r="G93" i="16"/>
  <c r="H93" i="16" s="1"/>
  <c r="I93" i="16"/>
  <c r="N93" i="16"/>
  <c r="Q93" i="16"/>
  <c r="S93" i="16"/>
  <c r="T93" i="16"/>
  <c r="U93" i="16" a="1"/>
  <c r="U93" i="16" s="1"/>
  <c r="V93" i="16"/>
  <c r="D94" i="16"/>
  <c r="E94" i="16" a="1"/>
  <c r="E94" i="16" s="1"/>
  <c r="G94" i="16"/>
  <c r="H94" i="16" s="1"/>
  <c r="I94" i="16"/>
  <c r="N94" i="16"/>
  <c r="V94" i="16" s="1"/>
  <c r="Q94" i="16"/>
  <c r="S94" i="16"/>
  <c r="T94" i="16"/>
  <c r="U94" i="16" a="1"/>
  <c r="U94" i="16" s="1"/>
  <c r="D95" i="16"/>
  <c r="E95" i="16" a="1"/>
  <c r="E95" i="16" s="1"/>
  <c r="G95" i="16"/>
  <c r="H95" i="16" s="1"/>
  <c r="I95" i="16"/>
  <c r="N95" i="16"/>
  <c r="M95" i="16" s="1"/>
  <c r="Q95" i="16"/>
  <c r="S95" i="16"/>
  <c r="T95" i="16"/>
  <c r="U95" i="16" a="1"/>
  <c r="U95" i="16" s="1"/>
  <c r="V95" i="16"/>
  <c r="D96" i="16"/>
  <c r="E96" i="16" a="1"/>
  <c r="E96" i="16" s="1"/>
  <c r="G96" i="16"/>
  <c r="H96" i="16" s="1"/>
  <c r="I96" i="16"/>
  <c r="N96" i="16"/>
  <c r="Q96" i="16"/>
  <c r="S96" i="16"/>
  <c r="T96" i="16"/>
  <c r="U96" i="16" a="1"/>
  <c r="U96" i="16" s="1"/>
  <c r="V96" i="16"/>
  <c r="D97" i="16"/>
  <c r="E97" i="16" a="1"/>
  <c r="E97" i="16" s="1"/>
  <c r="G97" i="16"/>
  <c r="H97" i="16" s="1"/>
  <c r="I97" i="16"/>
  <c r="N97" i="16"/>
  <c r="Q97" i="16"/>
  <c r="S97" i="16"/>
  <c r="T97" i="16"/>
  <c r="U97" i="16" a="1"/>
  <c r="U97" i="16" s="1"/>
  <c r="V97" i="16"/>
  <c r="D98" i="16"/>
  <c r="E98" i="16" a="1"/>
  <c r="E98" i="16" s="1"/>
  <c r="G98" i="16"/>
  <c r="H98" i="16" s="1"/>
  <c r="I98" i="16"/>
  <c r="N98" i="16"/>
  <c r="M98" i="16" s="1"/>
  <c r="Q98" i="16"/>
  <c r="S98" i="16"/>
  <c r="T98" i="16"/>
  <c r="U98" i="16" a="1"/>
  <c r="U98" i="16" s="1"/>
  <c r="V98" i="16"/>
  <c r="D99" i="16"/>
  <c r="E99" i="16" a="1"/>
  <c r="E99" i="16" s="1"/>
  <c r="G99" i="16"/>
  <c r="H99" i="16" s="1"/>
  <c r="I99" i="16"/>
  <c r="N99" i="16"/>
  <c r="M99" i="16" s="1"/>
  <c r="Q99" i="16"/>
  <c r="S99" i="16"/>
  <c r="T99" i="16"/>
  <c r="U99" i="16" a="1"/>
  <c r="U99" i="16" s="1"/>
  <c r="V99" i="16"/>
  <c r="D100" i="16"/>
  <c r="E100" i="16" a="1"/>
  <c r="E100" i="16" s="1"/>
  <c r="G100" i="16"/>
  <c r="H100" i="16" s="1"/>
  <c r="I100" i="16"/>
  <c r="N100" i="16"/>
  <c r="V100" i="16" s="1"/>
  <c r="Q100" i="16"/>
  <c r="S100" i="16"/>
  <c r="T100" i="16"/>
  <c r="U100" i="16" a="1"/>
  <c r="U100" i="16" s="1"/>
  <c r="D101" i="16"/>
  <c r="E101" i="16" a="1"/>
  <c r="E101" i="16" s="1"/>
  <c r="G101" i="16"/>
  <c r="H101" i="16" s="1"/>
  <c r="I101" i="16"/>
  <c r="N101" i="16"/>
  <c r="M101" i="16" s="1"/>
  <c r="Q101" i="16"/>
  <c r="S101" i="16"/>
  <c r="T101" i="16"/>
  <c r="U101" i="16" a="1"/>
  <c r="U101" i="16" s="1"/>
  <c r="V101" i="16"/>
  <c r="D102" i="16"/>
  <c r="E102" i="16" a="1"/>
  <c r="E102" i="16" s="1"/>
  <c r="G102" i="16"/>
  <c r="H102" i="16" s="1"/>
  <c r="I102" i="16"/>
  <c r="N102" i="16"/>
  <c r="M102" i="16" s="1"/>
  <c r="Q102" i="16"/>
  <c r="S102" i="16"/>
  <c r="T102" i="16"/>
  <c r="U102" i="16" a="1"/>
  <c r="U102" i="16" s="1"/>
  <c r="V102" i="16"/>
  <c r="D103" i="16"/>
  <c r="E103" i="16" a="1"/>
  <c r="E103" i="16" s="1"/>
  <c r="G103" i="16"/>
  <c r="H103" i="16" s="1"/>
  <c r="I103" i="16"/>
  <c r="N103" i="16"/>
  <c r="Q103" i="16"/>
  <c r="S103" i="16"/>
  <c r="T103" i="16"/>
  <c r="U103" i="16" a="1"/>
  <c r="U103" i="16" s="1"/>
  <c r="V103" i="16"/>
  <c r="D104" i="16"/>
  <c r="E104" i="16" a="1"/>
  <c r="E104" i="16" s="1"/>
  <c r="G104" i="16"/>
  <c r="H104" i="16" s="1"/>
  <c r="I104" i="16"/>
  <c r="N104" i="16"/>
  <c r="O104" i="16" s="1"/>
  <c r="Q104" i="16"/>
  <c r="S104" i="16"/>
  <c r="T104" i="16"/>
  <c r="U104" i="16" a="1"/>
  <c r="U104" i="16" s="1"/>
  <c r="V104" i="16"/>
  <c r="W104" i="16" s="1"/>
  <c r="D105" i="16"/>
  <c r="E105" i="16" a="1"/>
  <c r="E105" i="16" s="1"/>
  <c r="G105" i="16"/>
  <c r="H105" i="16" s="1"/>
  <c r="I105" i="16"/>
  <c r="N105" i="16"/>
  <c r="M105" i="16" s="1"/>
  <c r="Q105" i="16"/>
  <c r="S105" i="16"/>
  <c r="V105" i="16"/>
  <c r="D106" i="16"/>
  <c r="E106" i="16" a="1"/>
  <c r="E106" i="16" s="1"/>
  <c r="G106" i="16"/>
  <c r="H106" i="16" s="1"/>
  <c r="I106" i="16"/>
  <c r="N106" i="16"/>
  <c r="M106" i="16" s="1"/>
  <c r="Q106" i="16"/>
  <c r="S106" i="16"/>
  <c r="V106" i="16"/>
  <c r="D107" i="16"/>
  <c r="E107" i="16" a="1"/>
  <c r="E107" i="16" s="1"/>
  <c r="G107" i="16"/>
  <c r="H107" i="16" s="1"/>
  <c r="I107" i="16"/>
  <c r="N107" i="16"/>
  <c r="Q107" i="16"/>
  <c r="S107" i="16"/>
  <c r="T107" i="16"/>
  <c r="U107" i="16" a="1"/>
  <c r="U107" i="16" s="1"/>
  <c r="V107" i="16"/>
  <c r="D108" i="16"/>
  <c r="E108" i="16" a="1"/>
  <c r="E108" i="16" s="1"/>
  <c r="G108" i="16"/>
  <c r="H108" i="16" s="1"/>
  <c r="I108" i="16"/>
  <c r="N108" i="16"/>
  <c r="Q108" i="16"/>
  <c r="S108" i="16"/>
  <c r="T108" i="16"/>
  <c r="U108" i="16" a="1"/>
  <c r="U108" i="16" s="1"/>
  <c r="V108" i="16"/>
  <c r="D109" i="16"/>
  <c r="E109" i="16" a="1"/>
  <c r="E109" i="16" s="1"/>
  <c r="G109" i="16"/>
  <c r="H109" i="16" s="1"/>
  <c r="I109" i="16"/>
  <c r="N109" i="16"/>
  <c r="M109" i="16" s="1"/>
  <c r="Q109" i="16"/>
  <c r="S109" i="16"/>
  <c r="V109" i="16"/>
  <c r="D110" i="16"/>
  <c r="E110" i="16" a="1"/>
  <c r="E110" i="16" s="1"/>
  <c r="G110" i="16"/>
  <c r="H110" i="16" s="1"/>
  <c r="I110" i="16"/>
  <c r="N110" i="16"/>
  <c r="M110" i="16" s="1"/>
  <c r="Q110" i="16"/>
  <c r="S110" i="16"/>
  <c r="T110" i="16"/>
  <c r="U110" i="16" a="1"/>
  <c r="U110" i="16" s="1"/>
  <c r="V110" i="16"/>
  <c r="D111" i="16"/>
  <c r="E111" i="16" a="1"/>
  <c r="E111" i="16" s="1"/>
  <c r="G111" i="16"/>
  <c r="H111" i="16" s="1"/>
  <c r="I111" i="16"/>
  <c r="N111" i="16"/>
  <c r="M111" i="16" s="1"/>
  <c r="Q111" i="16"/>
  <c r="S111" i="16"/>
  <c r="T111" i="16"/>
  <c r="U111" i="16" a="1"/>
  <c r="U111" i="16" s="1"/>
  <c r="V111" i="16"/>
  <c r="D112" i="16"/>
  <c r="E112" i="16" a="1"/>
  <c r="E112" i="16" s="1"/>
  <c r="G112" i="16"/>
  <c r="H112" i="16" s="1"/>
  <c r="I112" i="16"/>
  <c r="N112" i="16"/>
  <c r="V112" i="16" s="1"/>
  <c r="Q112" i="16"/>
  <c r="S112" i="16"/>
  <c r="T112" i="16"/>
  <c r="U112" i="16" a="1"/>
  <c r="U112" i="16" s="1"/>
  <c r="D113" i="16"/>
  <c r="E113" i="16" a="1"/>
  <c r="E113" i="16" s="1"/>
  <c r="G113" i="16"/>
  <c r="H113" i="16" s="1"/>
  <c r="I113" i="16"/>
  <c r="N113" i="16"/>
  <c r="V113" i="16" s="1"/>
  <c r="Q113" i="16"/>
  <c r="S113" i="16"/>
  <c r="T113" i="16"/>
  <c r="U113" i="16" a="1"/>
  <c r="U113" i="16" s="1"/>
  <c r="D114" i="16"/>
  <c r="E114" i="16" a="1"/>
  <c r="E114" i="16" s="1"/>
  <c r="G114" i="16"/>
  <c r="H114" i="16" s="1"/>
  <c r="I114" i="16"/>
  <c r="N114" i="16"/>
  <c r="M114" i="16" s="1"/>
  <c r="Q114" i="16"/>
  <c r="S114" i="16"/>
  <c r="T114" i="16"/>
  <c r="U114" i="16" a="1"/>
  <c r="U114" i="16" s="1"/>
  <c r="V114" i="16"/>
  <c r="D115" i="16"/>
  <c r="E115" i="16" a="1"/>
  <c r="E115" i="16" s="1"/>
  <c r="G115" i="16"/>
  <c r="H115" i="16" s="1"/>
  <c r="I115" i="16"/>
  <c r="N115" i="16"/>
  <c r="Q115" i="16"/>
  <c r="S115" i="16"/>
  <c r="T115" i="16"/>
  <c r="U115" i="16" a="1"/>
  <c r="U115" i="16" s="1"/>
  <c r="V115" i="16"/>
  <c r="D116" i="16"/>
  <c r="E116" i="16" a="1"/>
  <c r="E116" i="16" s="1"/>
  <c r="G116" i="16"/>
  <c r="H116" i="16" s="1"/>
  <c r="I116" i="16"/>
  <c r="N116" i="16"/>
  <c r="Q116" i="16"/>
  <c r="S116" i="16"/>
  <c r="T116" i="16"/>
  <c r="U116" i="16" a="1"/>
  <c r="U116" i="16" s="1"/>
  <c r="V116" i="16"/>
  <c r="D117" i="16"/>
  <c r="E117" i="16" a="1"/>
  <c r="E117" i="16" s="1"/>
  <c r="G117" i="16"/>
  <c r="H117" i="16" s="1"/>
  <c r="I117" i="16"/>
  <c r="N117" i="16"/>
  <c r="M117" i="16" s="1"/>
  <c r="Q117" i="16"/>
  <c r="S117" i="16"/>
  <c r="T117" i="16"/>
  <c r="U117" i="16" a="1"/>
  <c r="U117" i="16" s="1"/>
  <c r="V117" i="16"/>
  <c r="D118" i="16"/>
  <c r="E118" i="16" a="1"/>
  <c r="E118" i="16" s="1"/>
  <c r="G118" i="16"/>
  <c r="H118" i="16" s="1"/>
  <c r="I118" i="16"/>
  <c r="N118" i="16"/>
  <c r="Q118" i="16"/>
  <c r="S118" i="16"/>
  <c r="T118" i="16"/>
  <c r="U118" i="16" a="1"/>
  <c r="U118" i="16" s="1"/>
  <c r="V118" i="16"/>
  <c r="D119" i="16"/>
  <c r="E119" i="16" a="1"/>
  <c r="E119" i="16" s="1"/>
  <c r="G119" i="16"/>
  <c r="H119" i="16" s="1"/>
  <c r="I119" i="16"/>
  <c r="N119" i="16"/>
  <c r="M119" i="16" s="1"/>
  <c r="Q119" i="16"/>
  <c r="S119" i="16"/>
  <c r="T119" i="16"/>
  <c r="U119" i="16" a="1"/>
  <c r="U119" i="16" s="1"/>
  <c r="V119" i="16"/>
  <c r="D120" i="16"/>
  <c r="E120" i="16" a="1"/>
  <c r="E120" i="16" s="1"/>
  <c r="G120" i="16"/>
  <c r="H120" i="16" s="1"/>
  <c r="I120" i="16"/>
  <c r="N120" i="16"/>
  <c r="Q120" i="16"/>
  <c r="S120" i="16"/>
  <c r="T120" i="16"/>
  <c r="U120" i="16" a="1"/>
  <c r="U120" i="16" s="1"/>
  <c r="V120" i="16"/>
  <c r="D121" i="16"/>
  <c r="E121" i="16" a="1"/>
  <c r="E121" i="16" s="1"/>
  <c r="G121" i="16"/>
  <c r="H121" i="16" s="1"/>
  <c r="I121" i="16"/>
  <c r="N121" i="16"/>
  <c r="M121" i="16" s="1"/>
  <c r="Q121" i="16"/>
  <c r="S121" i="16"/>
  <c r="T121" i="16"/>
  <c r="U121" i="16" a="1"/>
  <c r="U121" i="16" s="1"/>
  <c r="V121" i="16"/>
  <c r="D122" i="16"/>
  <c r="E122" i="16" a="1"/>
  <c r="E122" i="16" s="1"/>
  <c r="G122" i="16"/>
  <c r="H122" i="16" s="1"/>
  <c r="I122" i="16"/>
  <c r="N122" i="16"/>
  <c r="M122" i="16" s="1"/>
  <c r="Q122" i="16"/>
  <c r="S122" i="16"/>
  <c r="T122" i="16"/>
  <c r="U122" i="16" a="1"/>
  <c r="U122" i="16" s="1"/>
  <c r="V122" i="16"/>
  <c r="D123" i="16"/>
  <c r="E123" i="16" a="1"/>
  <c r="E123" i="16" s="1"/>
  <c r="G123" i="16"/>
  <c r="H123" i="16" s="1"/>
  <c r="I123" i="16"/>
  <c r="N123" i="16"/>
  <c r="M123" i="16" s="1"/>
  <c r="Q123" i="16"/>
  <c r="S123" i="16"/>
  <c r="T123" i="16"/>
  <c r="U123" i="16" a="1"/>
  <c r="U123" i="16" s="1"/>
  <c r="V123" i="16"/>
  <c r="D124" i="16"/>
  <c r="E124" i="16" a="1"/>
  <c r="E124" i="16" s="1"/>
  <c r="G124" i="16"/>
  <c r="H124" i="16" s="1"/>
  <c r="I124" i="16"/>
  <c r="N124" i="16"/>
  <c r="Q124" i="16"/>
  <c r="S124" i="16"/>
  <c r="T124" i="16"/>
  <c r="U124" i="16" a="1"/>
  <c r="U124" i="16" s="1"/>
  <c r="V124" i="16"/>
  <c r="D125" i="16"/>
  <c r="E125" i="16" a="1"/>
  <c r="E125" i="16" s="1"/>
  <c r="G125" i="16"/>
  <c r="H125" i="16" s="1"/>
  <c r="I125" i="16"/>
  <c r="N125" i="16"/>
  <c r="M125" i="16" s="1"/>
  <c r="Q125" i="16"/>
  <c r="S125" i="16"/>
  <c r="T125" i="16"/>
  <c r="U125" i="16" a="1"/>
  <c r="U125" i="16" s="1"/>
  <c r="V125" i="16"/>
  <c r="D126" i="16"/>
  <c r="E126" i="16" a="1"/>
  <c r="E126" i="16" s="1"/>
  <c r="G126" i="16"/>
  <c r="H126" i="16" s="1"/>
  <c r="I126" i="16"/>
  <c r="N126" i="16"/>
  <c r="M126" i="16" s="1"/>
  <c r="Q126" i="16"/>
  <c r="S126" i="16"/>
  <c r="T126" i="16"/>
  <c r="U126" i="16" a="1"/>
  <c r="U126" i="16" s="1"/>
  <c r="V126" i="16"/>
  <c r="D127" i="16"/>
  <c r="E127" i="16" a="1"/>
  <c r="E127" i="16" s="1"/>
  <c r="G127" i="16"/>
  <c r="H127" i="16" s="1"/>
  <c r="I127" i="16"/>
  <c r="N127" i="16"/>
  <c r="Q127" i="16"/>
  <c r="S127" i="16"/>
  <c r="T127" i="16"/>
  <c r="U127" i="16" a="1"/>
  <c r="U127" i="16" s="1"/>
  <c r="V127" i="16"/>
  <c r="D128" i="16"/>
  <c r="E128" i="16" a="1"/>
  <c r="E128" i="16" s="1"/>
  <c r="G128" i="16"/>
  <c r="H128" i="16" s="1"/>
  <c r="I128" i="16"/>
  <c r="N128" i="16"/>
  <c r="Q128" i="16"/>
  <c r="S128" i="16"/>
  <c r="T128" i="16"/>
  <c r="U128" i="16" a="1"/>
  <c r="U128" i="16" s="1"/>
  <c r="V128" i="16"/>
  <c r="D129" i="16"/>
  <c r="E129" i="16" a="1"/>
  <c r="E129" i="16" s="1"/>
  <c r="G129" i="16"/>
  <c r="H129" i="16" s="1"/>
  <c r="I129" i="16"/>
  <c r="N129" i="16"/>
  <c r="Q129" i="16"/>
  <c r="S129" i="16"/>
  <c r="T129" i="16"/>
  <c r="U129" i="16" a="1"/>
  <c r="U129" i="16" s="1"/>
  <c r="D130" i="16"/>
  <c r="E130" i="16" a="1"/>
  <c r="E130" i="16" s="1"/>
  <c r="G130" i="16"/>
  <c r="H130" i="16" s="1"/>
  <c r="I130" i="16"/>
  <c r="N130" i="16"/>
  <c r="Q130" i="16"/>
  <c r="S130" i="16"/>
  <c r="T130" i="16"/>
  <c r="U130" i="16" a="1"/>
  <c r="U130" i="16" s="1"/>
  <c r="V130" i="16"/>
  <c r="D131" i="16"/>
  <c r="E131" i="16" a="1"/>
  <c r="E131" i="16" s="1"/>
  <c r="G131" i="16"/>
  <c r="H131" i="16" s="1"/>
  <c r="I131" i="16"/>
  <c r="N131" i="16"/>
  <c r="M131" i="16" s="1"/>
  <c r="Q131" i="16"/>
  <c r="S131" i="16"/>
  <c r="T131" i="16"/>
  <c r="U131" i="16" a="1"/>
  <c r="U131" i="16" s="1"/>
  <c r="V131" i="16"/>
  <c r="D132" i="16"/>
  <c r="E132" i="16" a="1"/>
  <c r="E132" i="16" s="1"/>
  <c r="G132" i="16"/>
  <c r="H132" i="16" s="1"/>
  <c r="I132" i="16"/>
  <c r="N132" i="16"/>
  <c r="O132" i="16" s="1"/>
  <c r="Q132" i="16"/>
  <c r="S132" i="16"/>
  <c r="T132" i="16"/>
  <c r="U132" i="16" a="1"/>
  <c r="U132" i="16" s="1"/>
  <c r="V132" i="16"/>
  <c r="W132" i="16" s="1"/>
  <c r="D133" i="16"/>
  <c r="E133" i="16" a="1"/>
  <c r="E133" i="16" s="1"/>
  <c r="G133" i="16"/>
  <c r="H133" i="16" s="1"/>
  <c r="I133" i="16"/>
  <c r="N133" i="16"/>
  <c r="M133" i="16" s="1"/>
  <c r="Q133" i="16"/>
  <c r="S133" i="16"/>
  <c r="V133" i="16"/>
  <c r="D134" i="16"/>
  <c r="E134" i="16" a="1"/>
  <c r="E134" i="16" s="1"/>
  <c r="G134" i="16"/>
  <c r="H134" i="16" s="1"/>
  <c r="I134" i="16"/>
  <c r="N134" i="16"/>
  <c r="M134" i="16" s="1"/>
  <c r="Q134" i="16"/>
  <c r="S134" i="16"/>
  <c r="T134" i="16"/>
  <c r="U134" i="16" a="1"/>
  <c r="U134" i="16" s="1"/>
  <c r="V134" i="16"/>
  <c r="D135" i="16"/>
  <c r="E135" i="16" a="1"/>
  <c r="E135" i="16" s="1"/>
  <c r="G135" i="16"/>
  <c r="H135" i="16" s="1"/>
  <c r="I135" i="16"/>
  <c r="N135" i="16"/>
  <c r="Q135" i="16"/>
  <c r="S135" i="16"/>
  <c r="V135" i="16"/>
  <c r="D136" i="16"/>
  <c r="E136" i="16" a="1"/>
  <c r="E136" i="16" s="1"/>
  <c r="G136" i="16"/>
  <c r="H136" i="16" s="1"/>
  <c r="I136" i="16"/>
  <c r="N136" i="16"/>
  <c r="V136" i="16" s="1"/>
  <c r="Q136" i="16"/>
  <c r="S136" i="16"/>
  <c r="T136" i="16"/>
  <c r="U136" i="16" a="1"/>
  <c r="U136" i="16" s="1"/>
  <c r="D137" i="16"/>
  <c r="E137" i="16" a="1"/>
  <c r="E137" i="16" s="1"/>
  <c r="G137" i="16"/>
  <c r="H137" i="16" s="1"/>
  <c r="I137" i="16"/>
  <c r="N137" i="16"/>
  <c r="Q137" i="16"/>
  <c r="S137" i="16"/>
  <c r="T137" i="16"/>
  <c r="U137" i="16" a="1"/>
  <c r="U137" i="16" s="1"/>
  <c r="V137" i="16"/>
  <c r="D138" i="16"/>
  <c r="E138" i="16" a="1"/>
  <c r="E138" i="16" s="1"/>
  <c r="G138" i="16"/>
  <c r="H138" i="16" s="1"/>
  <c r="I138" i="16"/>
  <c r="N138" i="16"/>
  <c r="M138" i="16" s="1"/>
  <c r="Q138" i="16"/>
  <c r="S138" i="16"/>
  <c r="T138" i="16"/>
  <c r="U138" i="16" a="1"/>
  <c r="U138" i="16" s="1"/>
  <c r="V138" i="16"/>
  <c r="D139" i="16"/>
  <c r="E139" i="16" a="1"/>
  <c r="E139" i="16" s="1"/>
  <c r="G139" i="16"/>
  <c r="H139" i="16" s="1"/>
  <c r="I139" i="16"/>
  <c r="N139" i="16"/>
  <c r="Q139" i="16"/>
  <c r="S139" i="16"/>
  <c r="T139" i="16"/>
  <c r="U139" i="16" a="1"/>
  <c r="U139" i="16" s="1"/>
  <c r="V139" i="16"/>
  <c r="D140" i="16"/>
  <c r="E140" i="16" a="1"/>
  <c r="E140" i="16" s="1"/>
  <c r="G140" i="16"/>
  <c r="H140" i="16" s="1"/>
  <c r="I140" i="16"/>
  <c r="N140" i="16"/>
  <c r="Q140" i="16"/>
  <c r="S140" i="16"/>
  <c r="T140" i="16"/>
  <c r="U140" i="16" a="1"/>
  <c r="U140" i="16" s="1"/>
  <c r="V140" i="16"/>
  <c r="D141" i="16"/>
  <c r="E141" i="16" a="1"/>
  <c r="E141" i="16" s="1"/>
  <c r="G141" i="16"/>
  <c r="H141" i="16" s="1"/>
  <c r="I141" i="16"/>
  <c r="N141" i="16"/>
  <c r="M141" i="16" s="1"/>
  <c r="Q141" i="16"/>
  <c r="S141" i="16"/>
  <c r="T141" i="16"/>
  <c r="U141" i="16" a="1"/>
  <c r="U141" i="16" s="1"/>
  <c r="V141" i="16"/>
  <c r="D142" i="16"/>
  <c r="E142" i="16" a="1"/>
  <c r="E142" i="16" s="1"/>
  <c r="G142" i="16"/>
  <c r="H142" i="16" s="1"/>
  <c r="I142" i="16"/>
  <c r="N142" i="16"/>
  <c r="M142" i="16" s="1"/>
  <c r="Q142" i="16"/>
  <c r="S142" i="16"/>
  <c r="T142" i="16"/>
  <c r="U142" i="16" a="1"/>
  <c r="U142" i="16" s="1"/>
  <c r="V142" i="16"/>
  <c r="D143" i="16"/>
  <c r="E143" i="16" a="1"/>
  <c r="E143" i="16" s="1"/>
  <c r="G143" i="16"/>
  <c r="H143" i="16" s="1"/>
  <c r="I143" i="16"/>
  <c r="N143" i="16"/>
  <c r="Q143" i="16"/>
  <c r="S143" i="16"/>
  <c r="T143" i="16"/>
  <c r="U143" i="16" a="1"/>
  <c r="U143" i="16" s="1"/>
  <c r="V143" i="16"/>
  <c r="D144" i="16"/>
  <c r="E144" i="16" a="1"/>
  <c r="E144" i="16" s="1"/>
  <c r="G144" i="16"/>
  <c r="H144" i="16" s="1"/>
  <c r="I144" i="16"/>
  <c r="N144" i="16"/>
  <c r="V144" i="16" s="1"/>
  <c r="Q144" i="16"/>
  <c r="S144" i="16"/>
  <c r="T144" i="16"/>
  <c r="U144" i="16" a="1"/>
  <c r="U144" i="16" s="1"/>
  <c r="D145" i="16"/>
  <c r="E145" i="16" a="1"/>
  <c r="E145" i="16" s="1"/>
  <c r="G145" i="16"/>
  <c r="H145" i="16" s="1"/>
  <c r="I145" i="16"/>
  <c r="N145" i="16"/>
  <c r="M145" i="16" s="1"/>
  <c r="Q145" i="16"/>
  <c r="S145" i="16"/>
  <c r="T145" i="16"/>
  <c r="U145" i="16" a="1"/>
  <c r="U145" i="16" s="1"/>
  <c r="V145" i="16"/>
  <c r="D146" i="16"/>
  <c r="E146" i="16" a="1"/>
  <c r="E146" i="16" s="1"/>
  <c r="G146" i="16"/>
  <c r="H146" i="16" s="1"/>
  <c r="I146" i="16"/>
  <c r="N146" i="16"/>
  <c r="M146" i="16" s="1"/>
  <c r="Q146" i="16"/>
  <c r="S146" i="16"/>
  <c r="T146" i="16"/>
  <c r="U146" i="16" a="1"/>
  <c r="U146" i="16" s="1"/>
  <c r="V146" i="16"/>
  <c r="D147" i="16"/>
  <c r="E147" i="16" a="1"/>
  <c r="E147" i="16" s="1"/>
  <c r="G147" i="16"/>
  <c r="H147" i="16" s="1"/>
  <c r="I147" i="16"/>
  <c r="N147" i="16"/>
  <c r="M147" i="16" s="1"/>
  <c r="Q147" i="16"/>
  <c r="S147" i="16"/>
  <c r="T147" i="16"/>
  <c r="U147" i="16" a="1"/>
  <c r="U147" i="16" s="1"/>
  <c r="V147" i="16"/>
  <c r="D148" i="16"/>
  <c r="E148" i="16" a="1"/>
  <c r="E148" i="16" s="1"/>
  <c r="G148" i="16"/>
  <c r="H148" i="16" s="1"/>
  <c r="I148" i="16"/>
  <c r="N148" i="16"/>
  <c r="Q148" i="16"/>
  <c r="S148" i="16"/>
  <c r="T148" i="16"/>
  <c r="U148" i="16" a="1"/>
  <c r="U148" i="16" s="1"/>
  <c r="V148" i="16"/>
  <c r="D149" i="16"/>
  <c r="E149" i="16" a="1"/>
  <c r="E149" i="16" s="1"/>
  <c r="G149" i="16"/>
  <c r="H149" i="16" s="1"/>
  <c r="I149" i="16"/>
  <c r="N149" i="16"/>
  <c r="M149" i="16" s="1"/>
  <c r="Q149" i="16"/>
  <c r="S149" i="16"/>
  <c r="T149" i="16"/>
  <c r="U149" i="16" a="1"/>
  <c r="U149" i="16" s="1"/>
  <c r="V149" i="16"/>
  <c r="D150" i="16"/>
  <c r="E150" i="16" a="1"/>
  <c r="E150" i="16" s="1"/>
  <c r="G150" i="16"/>
  <c r="H150" i="16" s="1"/>
  <c r="I150" i="16"/>
  <c r="N150" i="16"/>
  <c r="Q150" i="16"/>
  <c r="S150" i="16"/>
  <c r="T150" i="16"/>
  <c r="U150" i="16" a="1"/>
  <c r="U150" i="16" s="1"/>
  <c r="V150" i="16"/>
  <c r="D151" i="16"/>
  <c r="E151" i="16" a="1"/>
  <c r="E151" i="16" s="1"/>
  <c r="G151" i="16"/>
  <c r="H151" i="16" s="1"/>
  <c r="I151" i="16"/>
  <c r="N151" i="16"/>
  <c r="Q151" i="16"/>
  <c r="S151" i="16"/>
  <c r="V151" i="16"/>
  <c r="D152" i="16"/>
  <c r="E152" i="16" a="1"/>
  <c r="E152" i="16" s="1"/>
  <c r="G152" i="16"/>
  <c r="H152" i="16" s="1"/>
  <c r="I152" i="16"/>
  <c r="N152" i="16"/>
  <c r="Q152" i="16"/>
  <c r="S152" i="16"/>
  <c r="T152" i="16"/>
  <c r="U152" i="16" a="1"/>
  <c r="U152" i="16" s="1"/>
  <c r="V152" i="16"/>
  <c r="D153" i="16"/>
  <c r="E153" i="16" a="1"/>
  <c r="E153" i="16" s="1"/>
  <c r="G153" i="16"/>
  <c r="H153" i="16" s="1"/>
  <c r="I153" i="16"/>
  <c r="N153" i="16"/>
  <c r="V153" i="16" s="1"/>
  <c r="Q153" i="16"/>
  <c r="S153" i="16"/>
  <c r="T153" i="16"/>
  <c r="U153" i="16" a="1"/>
  <c r="U153" i="16" s="1"/>
  <c r="D154" i="16"/>
  <c r="E154" i="16" a="1"/>
  <c r="E154" i="16" s="1"/>
  <c r="G154" i="16"/>
  <c r="H154" i="16" s="1"/>
  <c r="I154" i="16"/>
  <c r="N154" i="16"/>
  <c r="M154" i="16" s="1"/>
  <c r="Q154" i="16"/>
  <c r="S154" i="16"/>
  <c r="T154" i="16"/>
  <c r="U154" i="16" a="1"/>
  <c r="U154" i="16" s="1"/>
  <c r="D155" i="16"/>
  <c r="E155" i="16" a="1"/>
  <c r="E155" i="16" s="1"/>
  <c r="G155" i="16"/>
  <c r="H155" i="16" s="1"/>
  <c r="I155" i="16"/>
  <c r="N155" i="16"/>
  <c r="M155" i="16" s="1"/>
  <c r="Q155" i="16"/>
  <c r="S155" i="16"/>
  <c r="T155" i="16"/>
  <c r="U155" i="16" a="1"/>
  <c r="U155" i="16" s="1"/>
  <c r="V155" i="16"/>
  <c r="D156" i="16"/>
  <c r="E156" i="16" a="1"/>
  <c r="E156" i="16" s="1"/>
  <c r="G156" i="16"/>
  <c r="H156" i="16" s="1"/>
  <c r="I156" i="16"/>
  <c r="N156" i="16"/>
  <c r="Q156" i="16"/>
  <c r="S156" i="16"/>
  <c r="T156" i="16"/>
  <c r="U156" i="16" a="1"/>
  <c r="U156" i="16" s="1"/>
  <c r="V156" i="16"/>
  <c r="D157" i="16"/>
  <c r="E157" i="16" a="1"/>
  <c r="E157" i="16" s="1"/>
  <c r="G157" i="16"/>
  <c r="H157" i="16" s="1"/>
  <c r="I157" i="16"/>
  <c r="N157" i="16"/>
  <c r="M157" i="16" s="1"/>
  <c r="Q157" i="16"/>
  <c r="S157" i="16"/>
  <c r="T157" i="16"/>
  <c r="U157" i="16" a="1"/>
  <c r="U157" i="16" s="1"/>
  <c r="V157" i="16"/>
  <c r="D158" i="16"/>
  <c r="E158" i="16" a="1"/>
  <c r="E158" i="16" s="1"/>
  <c r="G158" i="16"/>
  <c r="H158" i="16" s="1"/>
  <c r="I158" i="16"/>
  <c r="N158" i="16"/>
  <c r="M158" i="16" s="1"/>
  <c r="Q158" i="16"/>
  <c r="S158" i="16"/>
  <c r="T158" i="16"/>
  <c r="U158" i="16" a="1"/>
  <c r="U158" i="16" s="1"/>
  <c r="V158" i="16"/>
  <c r="D159" i="16"/>
  <c r="E159" i="16" a="1"/>
  <c r="E159" i="16" s="1"/>
  <c r="G159" i="16"/>
  <c r="H159" i="16" s="1"/>
  <c r="I159" i="16"/>
  <c r="N159" i="16"/>
  <c r="M159" i="16" s="1"/>
  <c r="Q159" i="16"/>
  <c r="S159" i="16"/>
  <c r="T159" i="16"/>
  <c r="U159" i="16" a="1"/>
  <c r="U159" i="16" s="1"/>
  <c r="V159" i="16"/>
  <c r="D160" i="16"/>
  <c r="E160" i="16" a="1"/>
  <c r="E160" i="16" s="1"/>
  <c r="G160" i="16"/>
  <c r="H160" i="16" s="1"/>
  <c r="I160" i="16"/>
  <c r="N160" i="16"/>
  <c r="Q160" i="16"/>
  <c r="S160" i="16"/>
  <c r="T160" i="16"/>
  <c r="U160" i="16" a="1"/>
  <c r="U160" i="16" s="1"/>
  <c r="V160" i="16"/>
  <c r="D161" i="16"/>
  <c r="E161" i="16" a="1"/>
  <c r="E161" i="16" s="1"/>
  <c r="G161" i="16"/>
  <c r="H161" i="16" s="1"/>
  <c r="I161" i="16"/>
  <c r="N161" i="16"/>
  <c r="Q161" i="16"/>
  <c r="S161" i="16"/>
  <c r="T161" i="16"/>
  <c r="U161" i="16" a="1"/>
  <c r="U161" i="16" s="1"/>
  <c r="V161" i="16"/>
  <c r="D162" i="16"/>
  <c r="E162" i="16" a="1"/>
  <c r="E162" i="16" s="1"/>
  <c r="G162" i="16"/>
  <c r="H162" i="16" s="1"/>
  <c r="I162" i="16"/>
  <c r="N162" i="16"/>
  <c r="Q162" i="16"/>
  <c r="S162" i="16"/>
  <c r="T162" i="16"/>
  <c r="U162" i="16" a="1"/>
  <c r="U162" i="16" s="1"/>
  <c r="V162" i="16"/>
  <c r="D163" i="16"/>
  <c r="E163" i="16" a="1"/>
  <c r="E163" i="16" s="1"/>
  <c r="G163" i="16"/>
  <c r="H163" i="16" s="1"/>
  <c r="I163" i="16"/>
  <c r="N163" i="16"/>
  <c r="Q163" i="16"/>
  <c r="S163" i="16"/>
  <c r="T163" i="16"/>
  <c r="U163" i="16" a="1"/>
  <c r="U163" i="16" s="1"/>
  <c r="V163" i="16"/>
  <c r="D164" i="16"/>
  <c r="E164" i="16" a="1"/>
  <c r="E164" i="16" s="1"/>
  <c r="G164" i="16"/>
  <c r="H164" i="16" s="1"/>
  <c r="I164" i="16"/>
  <c r="N164" i="16"/>
  <c r="Q164" i="16"/>
  <c r="S164" i="16"/>
  <c r="T164" i="16"/>
  <c r="U164" i="16" a="1"/>
  <c r="U164" i="16" s="1"/>
  <c r="V164" i="16"/>
  <c r="D165" i="16"/>
  <c r="E165" i="16" a="1"/>
  <c r="E165" i="16" s="1"/>
  <c r="G165" i="16"/>
  <c r="H165" i="16" s="1"/>
  <c r="I165" i="16"/>
  <c r="N165" i="16"/>
  <c r="Q165" i="16"/>
  <c r="S165" i="16"/>
  <c r="T165" i="16"/>
  <c r="U165" i="16" a="1"/>
  <c r="U165" i="16" s="1"/>
  <c r="V165" i="16"/>
  <c r="D166" i="16"/>
  <c r="E166" i="16" a="1"/>
  <c r="E166" i="16" s="1"/>
  <c r="G166" i="16"/>
  <c r="H166" i="16" s="1"/>
  <c r="I166" i="16"/>
  <c r="N166" i="16"/>
  <c r="Q166" i="16"/>
  <c r="S166" i="16"/>
  <c r="T166" i="16"/>
  <c r="U166" i="16" a="1"/>
  <c r="U166" i="16" s="1"/>
  <c r="V166" i="16"/>
  <c r="D167" i="16"/>
  <c r="E167" i="16" a="1"/>
  <c r="E167" i="16" s="1"/>
  <c r="G167" i="16"/>
  <c r="H167" i="16" s="1"/>
  <c r="I167" i="16"/>
  <c r="N167" i="16"/>
  <c r="M167" i="16" s="1"/>
  <c r="Q167" i="16"/>
  <c r="S167" i="16"/>
  <c r="T167" i="16"/>
  <c r="U167" i="16" a="1"/>
  <c r="U167" i="16" s="1"/>
  <c r="V167" i="16"/>
  <c r="D168" i="16"/>
  <c r="E168" i="16" a="1"/>
  <c r="E168" i="16" s="1"/>
  <c r="G168" i="16"/>
  <c r="H168" i="16" s="1"/>
  <c r="I168" i="16"/>
  <c r="N168" i="16"/>
  <c r="Q168" i="16"/>
  <c r="S168" i="16"/>
  <c r="T168" i="16"/>
  <c r="U168" i="16" a="1"/>
  <c r="U168" i="16" s="1"/>
  <c r="V168" i="16"/>
  <c r="D169" i="16"/>
  <c r="E169" i="16" a="1"/>
  <c r="E169" i="16" s="1"/>
  <c r="G169" i="16"/>
  <c r="H169" i="16" s="1"/>
  <c r="I169" i="16"/>
  <c r="N169" i="16"/>
  <c r="Q169" i="16"/>
  <c r="S169" i="16"/>
  <c r="T169" i="16"/>
  <c r="U169" i="16" a="1"/>
  <c r="U169" i="16" s="1"/>
  <c r="V169" i="16"/>
  <c r="W169" i="16" s="1"/>
  <c r="D170" i="16"/>
  <c r="E170" i="16" a="1"/>
  <c r="E170" i="16" s="1"/>
  <c r="G170" i="16"/>
  <c r="H170" i="16" s="1"/>
  <c r="I170" i="16"/>
  <c r="N170" i="16"/>
  <c r="Q170" i="16"/>
  <c r="S170" i="16"/>
  <c r="T170" i="16"/>
  <c r="U170" i="16" a="1"/>
  <c r="U170" i="16" s="1"/>
  <c r="V170" i="16"/>
  <c r="D171" i="16"/>
  <c r="E171" i="16" a="1"/>
  <c r="E171" i="16" s="1"/>
  <c r="G171" i="16"/>
  <c r="H171" i="16" s="1"/>
  <c r="I171" i="16"/>
  <c r="N171" i="16"/>
  <c r="Q171" i="16"/>
  <c r="S171" i="16"/>
  <c r="T171" i="16"/>
  <c r="U171" i="16" a="1"/>
  <c r="U171" i="16" s="1"/>
  <c r="V171" i="16"/>
  <c r="D172" i="16"/>
  <c r="E172" i="16" a="1"/>
  <c r="E172" i="16" s="1"/>
  <c r="G172" i="16"/>
  <c r="H172" i="16" s="1"/>
  <c r="I172" i="16"/>
  <c r="N172" i="16"/>
  <c r="Q172" i="16"/>
  <c r="S172" i="16"/>
  <c r="T172" i="16"/>
  <c r="U172" i="16" a="1"/>
  <c r="U172" i="16" s="1"/>
  <c r="V172" i="16"/>
  <c r="D173" i="16"/>
  <c r="E173" i="16" a="1"/>
  <c r="E173" i="16" s="1"/>
  <c r="G173" i="16"/>
  <c r="H173" i="16" s="1"/>
  <c r="I173" i="16"/>
  <c r="N173" i="16"/>
  <c r="Q173" i="16"/>
  <c r="S173" i="16"/>
  <c r="T173" i="16"/>
  <c r="U173" i="16" a="1"/>
  <c r="U173" i="16" s="1"/>
  <c r="V173" i="16"/>
  <c r="D174" i="16"/>
  <c r="E174" i="16" a="1"/>
  <c r="E174" i="16" s="1"/>
  <c r="G174" i="16"/>
  <c r="H174" i="16" s="1"/>
  <c r="I174" i="16"/>
  <c r="N174" i="16"/>
  <c r="Q174" i="16"/>
  <c r="S174" i="16"/>
  <c r="T174" i="16"/>
  <c r="U174" i="16" a="1"/>
  <c r="U174" i="16" s="1"/>
  <c r="V174" i="16"/>
  <c r="D175" i="16"/>
  <c r="E175" i="16" a="1"/>
  <c r="E175" i="16" s="1"/>
  <c r="G175" i="16"/>
  <c r="H175" i="16" s="1"/>
  <c r="I175" i="16"/>
  <c r="N175" i="16"/>
  <c r="V175" i="16" s="1"/>
  <c r="Q175" i="16"/>
  <c r="S175" i="16"/>
  <c r="T175" i="16"/>
  <c r="U175" i="16" a="1"/>
  <c r="U175" i="16" s="1"/>
  <c r="D176" i="16"/>
  <c r="E176" i="16" a="1"/>
  <c r="E176" i="16" s="1"/>
  <c r="G176" i="16"/>
  <c r="H176" i="16" s="1"/>
  <c r="I176" i="16"/>
  <c r="N176" i="16"/>
  <c r="Q176" i="16"/>
  <c r="S176" i="16"/>
  <c r="T176" i="16"/>
  <c r="U176" i="16" a="1"/>
  <c r="U176" i="16" s="1"/>
  <c r="V176" i="16"/>
  <c r="D177" i="16"/>
  <c r="E177" i="16" a="1"/>
  <c r="E177" i="16" s="1"/>
  <c r="G177" i="16"/>
  <c r="H177" i="16" s="1"/>
  <c r="I177" i="16"/>
  <c r="N177" i="16"/>
  <c r="Q177" i="16"/>
  <c r="S177" i="16"/>
  <c r="V177" i="16"/>
  <c r="D178" i="16"/>
  <c r="E178" i="16" a="1"/>
  <c r="E178" i="16" s="1"/>
  <c r="G178" i="16"/>
  <c r="H178" i="16" s="1"/>
  <c r="I178" i="16"/>
  <c r="N178" i="16"/>
  <c r="M178" i="16" s="1"/>
  <c r="Q178" i="16"/>
  <c r="S178" i="16"/>
  <c r="T178" i="16"/>
  <c r="U178" i="16" a="1"/>
  <c r="U178" i="16" s="1"/>
  <c r="V178" i="16"/>
  <c r="D179" i="16"/>
  <c r="E179" i="16" a="1"/>
  <c r="E179" i="16" s="1"/>
  <c r="G179" i="16"/>
  <c r="H179" i="16" s="1"/>
  <c r="I179" i="16"/>
  <c r="N179" i="16"/>
  <c r="M179" i="16" s="1"/>
  <c r="Q179" i="16"/>
  <c r="S179" i="16"/>
  <c r="T179" i="16"/>
  <c r="U179" i="16" a="1"/>
  <c r="U179" i="16" s="1"/>
  <c r="D180" i="16"/>
  <c r="E180" i="16" a="1"/>
  <c r="E180" i="16" s="1"/>
  <c r="G180" i="16"/>
  <c r="H180" i="16" s="1"/>
  <c r="I180" i="16"/>
  <c r="N180" i="16"/>
  <c r="Q180" i="16"/>
  <c r="S180" i="16"/>
  <c r="T180" i="16"/>
  <c r="U180" i="16" a="1"/>
  <c r="U180" i="16" s="1"/>
  <c r="V180" i="16"/>
  <c r="D181" i="16"/>
  <c r="E181" i="16" a="1"/>
  <c r="E181" i="16" s="1"/>
  <c r="G181" i="16"/>
  <c r="H181" i="16" s="1"/>
  <c r="I181" i="16"/>
  <c r="N181" i="16"/>
  <c r="Q181" i="16"/>
  <c r="S181" i="16"/>
  <c r="T181" i="16"/>
  <c r="U181" i="16" a="1"/>
  <c r="U181" i="16" s="1"/>
  <c r="V181" i="16"/>
  <c r="D182" i="16"/>
  <c r="E182" i="16" a="1"/>
  <c r="E182" i="16" s="1"/>
  <c r="G182" i="16"/>
  <c r="H182" i="16" s="1"/>
  <c r="I182" i="16"/>
  <c r="N182" i="16"/>
  <c r="Q182" i="16"/>
  <c r="S182" i="16"/>
  <c r="T182" i="16"/>
  <c r="U182" i="16" a="1"/>
  <c r="U182" i="16" s="1"/>
  <c r="V182" i="16"/>
  <c r="D183" i="16"/>
  <c r="E183" i="16" a="1"/>
  <c r="E183" i="16" s="1"/>
  <c r="G183" i="16"/>
  <c r="H183" i="16" s="1"/>
  <c r="I183" i="16"/>
  <c r="N183" i="16"/>
  <c r="M183" i="16" s="1"/>
  <c r="Q183" i="16"/>
  <c r="S183" i="16"/>
  <c r="T183" i="16"/>
  <c r="U183" i="16" a="1"/>
  <c r="U183" i="16" s="1"/>
  <c r="V183" i="16"/>
  <c r="W183" i="16" s="1"/>
  <c r="D184" i="16"/>
  <c r="E184" i="16" a="1"/>
  <c r="E184" i="16" s="1"/>
  <c r="G184" i="16"/>
  <c r="H184" i="16" s="1"/>
  <c r="I184" i="16"/>
  <c r="N184" i="16"/>
  <c r="Q184" i="16"/>
  <c r="S184" i="16"/>
  <c r="T184" i="16"/>
  <c r="U184" i="16" a="1"/>
  <c r="U184" i="16" s="1"/>
  <c r="V184" i="16"/>
  <c r="D185" i="16"/>
  <c r="E185" i="16" a="1"/>
  <c r="E185" i="16" s="1"/>
  <c r="G185" i="16"/>
  <c r="H185" i="16" s="1"/>
  <c r="I185" i="16"/>
  <c r="N185" i="16"/>
  <c r="Q185" i="16"/>
  <c r="S185" i="16"/>
  <c r="T185" i="16"/>
  <c r="U185" i="16" a="1"/>
  <c r="U185" i="16" s="1"/>
  <c r="V185" i="16"/>
  <c r="D186" i="16"/>
  <c r="E186" i="16" a="1"/>
  <c r="E186" i="16" s="1"/>
  <c r="G186" i="16"/>
  <c r="H186" i="16" s="1"/>
  <c r="I186" i="16"/>
  <c r="N186" i="16"/>
  <c r="M186" i="16" s="1"/>
  <c r="Q186" i="16"/>
  <c r="S186" i="16"/>
  <c r="T186" i="16"/>
  <c r="U186" i="16" a="1"/>
  <c r="U186" i="16" s="1"/>
  <c r="V186" i="16"/>
  <c r="D187" i="16"/>
  <c r="E187" i="16" a="1"/>
  <c r="E187" i="16" s="1"/>
  <c r="G187" i="16"/>
  <c r="H187" i="16" s="1"/>
  <c r="I187" i="16"/>
  <c r="N187" i="16"/>
  <c r="Q187" i="16"/>
  <c r="S187" i="16"/>
  <c r="T187" i="16"/>
  <c r="U187" i="16" a="1"/>
  <c r="U187" i="16" s="1"/>
  <c r="V187" i="16"/>
  <c r="D188" i="16"/>
  <c r="E188" i="16" a="1"/>
  <c r="E188" i="16" s="1"/>
  <c r="G188" i="16"/>
  <c r="H188" i="16" s="1"/>
  <c r="I188" i="16"/>
  <c r="N188" i="16"/>
  <c r="Q188" i="16"/>
  <c r="S188" i="16"/>
  <c r="T188" i="16"/>
  <c r="U188" i="16" a="1"/>
  <c r="U188" i="16" s="1"/>
  <c r="V188" i="16"/>
  <c r="D189" i="16"/>
  <c r="E189" i="16" a="1"/>
  <c r="E189" i="16" s="1"/>
  <c r="G189" i="16"/>
  <c r="H189" i="16" s="1"/>
  <c r="I189" i="16"/>
  <c r="N189" i="16"/>
  <c r="V189" i="16" s="1"/>
  <c r="Q189" i="16"/>
  <c r="S189" i="16"/>
  <c r="T189" i="16"/>
  <c r="U189" i="16" a="1"/>
  <c r="U189" i="16" s="1"/>
  <c r="D190" i="16"/>
  <c r="E190" i="16" a="1"/>
  <c r="E190" i="16" s="1"/>
  <c r="G190" i="16"/>
  <c r="H190" i="16" s="1"/>
  <c r="I190" i="16"/>
  <c r="N190" i="16"/>
  <c r="Q190" i="16"/>
  <c r="S190" i="16"/>
  <c r="T190" i="16"/>
  <c r="U190" i="16" a="1"/>
  <c r="U190" i="16" s="1"/>
  <c r="V190" i="16"/>
  <c r="D191" i="16"/>
  <c r="E191" i="16" a="1"/>
  <c r="E191" i="16" s="1"/>
  <c r="G191" i="16"/>
  <c r="H191" i="16" s="1"/>
  <c r="I191" i="16"/>
  <c r="N191" i="16"/>
  <c r="M191" i="16" s="1"/>
  <c r="Q191" i="16"/>
  <c r="S191" i="16"/>
  <c r="T191" i="16"/>
  <c r="U191" i="16" a="1"/>
  <c r="U191" i="16" s="1"/>
  <c r="V191" i="16"/>
  <c r="D192" i="16"/>
  <c r="E192" i="16" a="1"/>
  <c r="E192" i="16" s="1"/>
  <c r="G192" i="16"/>
  <c r="H192" i="16" s="1"/>
  <c r="I192" i="16"/>
  <c r="N192" i="16"/>
  <c r="Q192" i="16"/>
  <c r="S192" i="16"/>
  <c r="T192" i="16"/>
  <c r="U192" i="16" a="1"/>
  <c r="U192" i="16" s="1"/>
  <c r="V192" i="16"/>
  <c r="D193" i="16"/>
  <c r="E193" i="16" a="1"/>
  <c r="E193" i="16" s="1"/>
  <c r="G193" i="16"/>
  <c r="H193" i="16" s="1"/>
  <c r="I193" i="16"/>
  <c r="N193" i="16"/>
  <c r="Q193" i="16"/>
  <c r="S193" i="16"/>
  <c r="T193" i="16"/>
  <c r="U193" i="16" a="1"/>
  <c r="U193" i="16" s="1"/>
  <c r="V193" i="16"/>
  <c r="D194" i="16"/>
  <c r="E194" i="16" a="1"/>
  <c r="E194" i="16" s="1"/>
  <c r="G194" i="16"/>
  <c r="H194" i="16" s="1"/>
  <c r="I194" i="16"/>
  <c r="N194" i="16"/>
  <c r="Q194" i="16"/>
  <c r="S194" i="16"/>
  <c r="T194" i="16"/>
  <c r="U194" i="16" a="1"/>
  <c r="U194" i="16" s="1"/>
  <c r="V194" i="16"/>
  <c r="D195" i="16"/>
  <c r="E195" i="16" a="1"/>
  <c r="E195" i="16" s="1"/>
  <c r="G195" i="16"/>
  <c r="H195" i="16" s="1"/>
  <c r="I195" i="16"/>
  <c r="N195" i="16"/>
  <c r="M195" i="16" s="1"/>
  <c r="Q195" i="16"/>
  <c r="S195" i="16"/>
  <c r="T195" i="16"/>
  <c r="U195" i="16" a="1"/>
  <c r="U195" i="16" s="1"/>
  <c r="V195" i="16"/>
  <c r="D196" i="16"/>
  <c r="E196" i="16" a="1"/>
  <c r="E196" i="16" s="1"/>
  <c r="G196" i="16"/>
  <c r="H196" i="16" s="1"/>
  <c r="I196" i="16"/>
  <c r="N196" i="16"/>
  <c r="Q196" i="16"/>
  <c r="S196" i="16"/>
  <c r="T196" i="16"/>
  <c r="U196" i="16" a="1"/>
  <c r="U196" i="16" s="1"/>
  <c r="V196" i="16"/>
  <c r="W196" i="16" s="1"/>
  <c r="D197" i="16"/>
  <c r="E197" i="16" a="1"/>
  <c r="E197" i="16" s="1"/>
  <c r="G197" i="16"/>
  <c r="H197" i="16" s="1"/>
  <c r="I197" i="16"/>
  <c r="N197" i="16"/>
  <c r="Q197" i="16"/>
  <c r="S197" i="16"/>
  <c r="T197" i="16"/>
  <c r="U197" i="16" a="1"/>
  <c r="U197" i="16" s="1"/>
  <c r="V197" i="16"/>
  <c r="D198" i="16"/>
  <c r="E198" i="16" a="1"/>
  <c r="E198" i="16" s="1"/>
  <c r="G198" i="16"/>
  <c r="H198" i="16" s="1"/>
  <c r="I198" i="16"/>
  <c r="N198" i="16"/>
  <c r="V198" i="16" s="1"/>
  <c r="Q198" i="16"/>
  <c r="S198" i="16"/>
  <c r="T198" i="16"/>
  <c r="U198" i="16" a="1"/>
  <c r="U198" i="16" s="1"/>
  <c r="D199" i="16"/>
  <c r="E199" i="16" a="1"/>
  <c r="E199" i="16" s="1"/>
  <c r="G199" i="16"/>
  <c r="H199" i="16" s="1"/>
  <c r="I199" i="16"/>
  <c r="N199" i="16"/>
  <c r="M199" i="16" s="1"/>
  <c r="Q199" i="16"/>
  <c r="S199" i="16"/>
  <c r="T199" i="16"/>
  <c r="U199" i="16" a="1"/>
  <c r="U199" i="16" s="1"/>
  <c r="D200" i="16"/>
  <c r="E200" i="16" a="1"/>
  <c r="E200" i="16" s="1"/>
  <c r="G200" i="16"/>
  <c r="H200" i="16" s="1"/>
  <c r="I200" i="16"/>
  <c r="N200" i="16"/>
  <c r="Q200" i="16"/>
  <c r="S200" i="16"/>
  <c r="T200" i="16"/>
  <c r="U200" i="16" a="1"/>
  <c r="U200" i="16" s="1"/>
  <c r="V200" i="16"/>
  <c r="D201" i="16"/>
  <c r="E201" i="16" a="1"/>
  <c r="E201" i="16" s="1"/>
  <c r="G201" i="16"/>
  <c r="H201" i="16" s="1"/>
  <c r="I201" i="16"/>
  <c r="N201" i="16"/>
  <c r="Q201" i="16"/>
  <c r="S201" i="16"/>
  <c r="T201" i="16"/>
  <c r="U201" i="16" a="1"/>
  <c r="U201" i="16" s="1"/>
  <c r="V201" i="16"/>
  <c r="D202" i="16"/>
  <c r="E202" i="16" a="1"/>
  <c r="E202" i="16" s="1"/>
  <c r="G202" i="16"/>
  <c r="H202" i="16" s="1"/>
  <c r="I202" i="16"/>
  <c r="N202" i="16"/>
  <c r="Q202" i="16"/>
  <c r="S202" i="16"/>
  <c r="T202" i="16"/>
  <c r="U202" i="16" a="1"/>
  <c r="U202" i="16" s="1"/>
  <c r="V202" i="16"/>
  <c r="D203" i="16"/>
  <c r="E203" i="16" a="1"/>
  <c r="E203" i="16" s="1"/>
  <c r="G203" i="16"/>
  <c r="H203" i="16" s="1"/>
  <c r="I203" i="16"/>
  <c r="N203" i="16"/>
  <c r="Q203" i="16"/>
  <c r="S203" i="16"/>
  <c r="T203" i="16"/>
  <c r="U203" i="16" a="1"/>
  <c r="U203" i="16" s="1"/>
  <c r="V203" i="16"/>
  <c r="D204" i="16"/>
  <c r="E204" i="16" a="1"/>
  <c r="E204" i="16" s="1"/>
  <c r="G204" i="16"/>
  <c r="H204" i="16" s="1"/>
  <c r="I204" i="16"/>
  <c r="N204" i="16"/>
  <c r="Q204" i="16"/>
  <c r="S204" i="16"/>
  <c r="T204" i="16"/>
  <c r="U204" i="16" a="1"/>
  <c r="U204" i="16" s="1"/>
  <c r="V204" i="16"/>
  <c r="D205" i="16"/>
  <c r="E205" i="16" a="1"/>
  <c r="E205" i="16" s="1"/>
  <c r="G205" i="16"/>
  <c r="H205" i="16" s="1"/>
  <c r="I205" i="16"/>
  <c r="N205" i="16"/>
  <c r="Q205" i="16"/>
  <c r="S205" i="16"/>
  <c r="T205" i="16"/>
  <c r="U205" i="16" a="1"/>
  <c r="U205" i="16" s="1"/>
  <c r="V205" i="16"/>
  <c r="D206" i="16"/>
  <c r="E206" i="16" a="1"/>
  <c r="E206" i="16" s="1"/>
  <c r="G206" i="16"/>
  <c r="H206" i="16" s="1"/>
  <c r="I206" i="16"/>
  <c r="N206" i="16"/>
  <c r="M206" i="16" s="1"/>
  <c r="Q206" i="16"/>
  <c r="S206" i="16"/>
  <c r="T206" i="16"/>
  <c r="U206" i="16" a="1"/>
  <c r="U206" i="16" s="1"/>
  <c r="V206" i="16"/>
  <c r="D207" i="16"/>
  <c r="E207" i="16" a="1"/>
  <c r="E207" i="16" s="1"/>
  <c r="G207" i="16"/>
  <c r="H207" i="16" s="1"/>
  <c r="I207" i="16"/>
  <c r="N207" i="16"/>
  <c r="Q207" i="16"/>
  <c r="S207" i="16"/>
  <c r="T207" i="16"/>
  <c r="U207" i="16" a="1"/>
  <c r="U207" i="16" s="1"/>
  <c r="V207" i="16"/>
  <c r="D208" i="16"/>
  <c r="E208" i="16" a="1"/>
  <c r="E208" i="16" s="1"/>
  <c r="G208" i="16"/>
  <c r="H208" i="16" s="1"/>
  <c r="I208" i="16"/>
  <c r="N208" i="16"/>
  <c r="Q208" i="16"/>
  <c r="S208" i="16"/>
  <c r="T208" i="16"/>
  <c r="U208" i="16" a="1"/>
  <c r="U208" i="16" s="1"/>
  <c r="V208" i="16"/>
  <c r="D209" i="16"/>
  <c r="E209" i="16" a="1"/>
  <c r="E209" i="16" s="1"/>
  <c r="G209" i="16"/>
  <c r="H209" i="16" s="1"/>
  <c r="I209" i="16"/>
  <c r="N209" i="16"/>
  <c r="Q209" i="16"/>
  <c r="S209" i="16"/>
  <c r="T209" i="16"/>
  <c r="U209" i="16" a="1"/>
  <c r="U209" i="16" s="1"/>
  <c r="V209" i="16"/>
  <c r="D210" i="16"/>
  <c r="E210" i="16" a="1"/>
  <c r="E210" i="16" s="1"/>
  <c r="G210" i="16"/>
  <c r="H210" i="16" s="1"/>
  <c r="I210" i="16"/>
  <c r="N210" i="16"/>
  <c r="M210" i="16" s="1"/>
  <c r="Q210" i="16"/>
  <c r="S210" i="16"/>
  <c r="T210" i="16"/>
  <c r="U210" i="16" a="1"/>
  <c r="U210" i="16" s="1"/>
  <c r="V210" i="16"/>
  <c r="D211" i="16"/>
  <c r="E211" i="16" a="1"/>
  <c r="E211" i="16" s="1"/>
  <c r="G211" i="16"/>
  <c r="H211" i="16" s="1"/>
  <c r="I211" i="16"/>
  <c r="N211" i="16"/>
  <c r="M211" i="16" s="1"/>
  <c r="Q211" i="16"/>
  <c r="S211" i="16"/>
  <c r="T211" i="16"/>
  <c r="U211" i="16" a="1"/>
  <c r="U211" i="16" s="1"/>
  <c r="V211" i="16"/>
  <c r="D212" i="16"/>
  <c r="E212" i="16" a="1"/>
  <c r="E212" i="16" s="1"/>
  <c r="G212" i="16"/>
  <c r="H212" i="16" s="1"/>
  <c r="I212" i="16"/>
  <c r="N212" i="16"/>
  <c r="Q212" i="16"/>
  <c r="S212" i="16"/>
  <c r="T212" i="16"/>
  <c r="U212" i="16" a="1"/>
  <c r="U212" i="16" s="1"/>
  <c r="V212" i="16"/>
  <c r="D213" i="16"/>
  <c r="E213" i="16" a="1"/>
  <c r="E213" i="16" s="1"/>
  <c r="G213" i="16"/>
  <c r="H213" i="16" s="1"/>
  <c r="I213" i="16"/>
  <c r="N213" i="16"/>
  <c r="Q213" i="16"/>
  <c r="S213" i="16"/>
  <c r="T213" i="16"/>
  <c r="U213" i="16" a="1"/>
  <c r="U213" i="16" s="1"/>
  <c r="V213" i="16"/>
  <c r="D214" i="16"/>
  <c r="E214" i="16" a="1"/>
  <c r="E214" i="16" s="1"/>
  <c r="G214" i="16"/>
  <c r="H214" i="16" s="1"/>
  <c r="I214" i="16"/>
  <c r="N214" i="16"/>
  <c r="Q214" i="16"/>
  <c r="S214" i="16"/>
  <c r="T214" i="16"/>
  <c r="U214" i="16" a="1"/>
  <c r="U214" i="16" s="1"/>
  <c r="V214" i="16"/>
  <c r="W214" i="16" s="1"/>
  <c r="D215" i="16"/>
  <c r="E215" i="16" a="1"/>
  <c r="E215" i="16" s="1"/>
  <c r="G215" i="16"/>
  <c r="H215" i="16" s="1"/>
  <c r="I215" i="16"/>
  <c r="N215" i="16"/>
  <c r="M215" i="16" s="1"/>
  <c r="Q215" i="16"/>
  <c r="S215" i="16"/>
  <c r="T215" i="16"/>
  <c r="U215" i="16" a="1"/>
  <c r="U215" i="16" s="1"/>
  <c r="V215" i="16"/>
  <c r="D216" i="16"/>
  <c r="E216" i="16" a="1"/>
  <c r="E216" i="16" s="1"/>
  <c r="G216" i="16"/>
  <c r="H216" i="16" s="1"/>
  <c r="I216" i="16"/>
  <c r="N216" i="16"/>
  <c r="Q216" i="16"/>
  <c r="S216" i="16"/>
  <c r="T216" i="16"/>
  <c r="U216" i="16" a="1"/>
  <c r="U216" i="16" s="1"/>
  <c r="V216" i="16"/>
  <c r="D217" i="16"/>
  <c r="E217" i="16" a="1"/>
  <c r="E217" i="16" s="1"/>
  <c r="G217" i="16"/>
  <c r="H217" i="16" s="1"/>
  <c r="I217" i="16"/>
  <c r="N217" i="16"/>
  <c r="Q217" i="16"/>
  <c r="S217" i="16"/>
  <c r="T217" i="16"/>
  <c r="U217" i="16" a="1"/>
  <c r="U217" i="16" s="1"/>
  <c r="V217" i="16"/>
  <c r="D218" i="16"/>
  <c r="E218" i="16" a="1"/>
  <c r="E218" i="16" s="1"/>
  <c r="G218" i="16"/>
  <c r="H218" i="16" s="1"/>
  <c r="I218" i="16"/>
  <c r="N218" i="16"/>
  <c r="M218" i="16" s="1"/>
  <c r="Q218" i="16"/>
  <c r="S218" i="16"/>
  <c r="T218" i="16"/>
  <c r="U218" i="16" a="1"/>
  <c r="U218" i="16" s="1"/>
  <c r="V218" i="16"/>
  <c r="D219" i="16"/>
  <c r="E219" i="16" a="1"/>
  <c r="E219" i="16" s="1"/>
  <c r="G219" i="16"/>
  <c r="H219" i="16" s="1"/>
  <c r="I219" i="16"/>
  <c r="N219" i="16"/>
  <c r="M219" i="16" s="1"/>
  <c r="Q219" i="16"/>
  <c r="S219" i="16"/>
  <c r="T219" i="16"/>
  <c r="U219" i="16" a="1"/>
  <c r="U219" i="16" s="1"/>
  <c r="V219" i="16"/>
  <c r="D220" i="16"/>
  <c r="E220" i="16" a="1"/>
  <c r="E220" i="16" s="1"/>
  <c r="G220" i="16"/>
  <c r="H220" i="16" s="1"/>
  <c r="I220" i="16"/>
  <c r="N220" i="16"/>
  <c r="V220" i="16" s="1"/>
  <c r="Q220" i="16"/>
  <c r="S220" i="16"/>
  <c r="T220" i="16"/>
  <c r="U220" i="16" a="1"/>
  <c r="U220" i="16" s="1"/>
  <c r="D221" i="16"/>
  <c r="E221" i="16" a="1"/>
  <c r="E221" i="16" s="1"/>
  <c r="G221" i="16"/>
  <c r="H221" i="16" s="1"/>
  <c r="I221" i="16"/>
  <c r="N221" i="16"/>
  <c r="Q221" i="16"/>
  <c r="S221" i="16"/>
  <c r="T221" i="16"/>
  <c r="U221" i="16" a="1"/>
  <c r="U221" i="16" s="1"/>
  <c r="V221" i="16"/>
  <c r="D222" i="16"/>
  <c r="E222" i="16" a="1"/>
  <c r="E222" i="16" s="1"/>
  <c r="G222" i="16"/>
  <c r="H222" i="16" s="1"/>
  <c r="I222" i="16"/>
  <c r="N222" i="16"/>
  <c r="Q222" i="16"/>
  <c r="S222" i="16"/>
  <c r="T222" i="16"/>
  <c r="U222" i="16" a="1"/>
  <c r="U222" i="16" s="1"/>
  <c r="V222" i="16"/>
  <c r="D223" i="16"/>
  <c r="E223" i="16" a="1"/>
  <c r="E223" i="16" s="1"/>
  <c r="G223" i="16"/>
  <c r="H223" i="16" s="1"/>
  <c r="I223" i="16"/>
  <c r="N223" i="16"/>
  <c r="Q223" i="16"/>
  <c r="S223" i="16"/>
  <c r="T223" i="16"/>
  <c r="U223" i="16" a="1"/>
  <c r="U223" i="16" s="1"/>
  <c r="V223" i="16"/>
  <c r="D224" i="16"/>
  <c r="E224" i="16" a="1"/>
  <c r="E224" i="16" s="1"/>
  <c r="G224" i="16"/>
  <c r="H224" i="16" s="1"/>
  <c r="I224" i="16"/>
  <c r="N224" i="16"/>
  <c r="V224" i="16" s="1"/>
  <c r="Q224" i="16"/>
  <c r="S224" i="16"/>
  <c r="T224" i="16"/>
  <c r="U224" i="16" a="1"/>
  <c r="U224" i="16" s="1"/>
  <c r="D225" i="16"/>
  <c r="E225" i="16" a="1"/>
  <c r="E225" i="16" s="1"/>
  <c r="G225" i="16"/>
  <c r="H225" i="16" s="1"/>
  <c r="I225" i="16"/>
  <c r="N225" i="16"/>
  <c r="M225" i="16" s="1"/>
  <c r="Q225" i="16"/>
  <c r="S225" i="16"/>
  <c r="T225" i="16"/>
  <c r="U225" i="16" a="1"/>
  <c r="U225" i="16" s="1"/>
  <c r="V225" i="16"/>
  <c r="D226" i="16"/>
  <c r="E226" i="16" a="1"/>
  <c r="E226" i="16" s="1"/>
  <c r="G226" i="16"/>
  <c r="H226" i="16" s="1"/>
  <c r="I226" i="16"/>
  <c r="N226" i="16"/>
  <c r="M226" i="16" s="1"/>
  <c r="Q226" i="16"/>
  <c r="S226" i="16"/>
  <c r="T226" i="16"/>
  <c r="U226" i="16" a="1"/>
  <c r="U226" i="16" s="1"/>
  <c r="V226" i="16"/>
  <c r="D227" i="16"/>
  <c r="E227" i="16" a="1"/>
  <c r="E227" i="16" s="1"/>
  <c r="G227" i="16"/>
  <c r="H227" i="16" s="1"/>
  <c r="I227" i="16"/>
  <c r="N227" i="16"/>
  <c r="M227" i="16" s="1"/>
  <c r="Q227" i="16"/>
  <c r="S227" i="16"/>
  <c r="T227" i="16"/>
  <c r="U227" i="16" a="1"/>
  <c r="U227" i="16" s="1"/>
  <c r="V227" i="16"/>
  <c r="D228" i="16"/>
  <c r="E228" i="16" a="1"/>
  <c r="E228" i="16" s="1"/>
  <c r="G228" i="16"/>
  <c r="H228" i="16" s="1"/>
  <c r="I228" i="16"/>
  <c r="N228" i="16"/>
  <c r="Q228" i="16"/>
  <c r="S228" i="16"/>
  <c r="T228" i="16"/>
  <c r="U228" i="16" a="1"/>
  <c r="U228" i="16" s="1"/>
  <c r="V228" i="16"/>
  <c r="D229" i="16"/>
  <c r="E229" i="16" a="1"/>
  <c r="E229" i="16" s="1"/>
  <c r="G229" i="16"/>
  <c r="H229" i="16" s="1"/>
  <c r="I229" i="16"/>
  <c r="N229" i="16"/>
  <c r="M229" i="16" s="1"/>
  <c r="Q229" i="16"/>
  <c r="S229" i="16"/>
  <c r="T229" i="16"/>
  <c r="U229" i="16" a="1"/>
  <c r="U229" i="16" s="1"/>
  <c r="V229" i="16"/>
  <c r="D230" i="16"/>
  <c r="E230" i="16" a="1"/>
  <c r="E230" i="16" s="1"/>
  <c r="G230" i="16"/>
  <c r="H230" i="16" s="1"/>
  <c r="I230" i="16"/>
  <c r="N230" i="16"/>
  <c r="M230" i="16" s="1"/>
  <c r="Q230" i="16"/>
  <c r="S230" i="16"/>
  <c r="T230" i="16"/>
  <c r="U230" i="16" a="1"/>
  <c r="U230" i="16" s="1"/>
  <c r="V230" i="16"/>
  <c r="D231" i="16"/>
  <c r="E231" i="16" a="1"/>
  <c r="E231" i="16" s="1"/>
  <c r="G231" i="16"/>
  <c r="H231" i="16" s="1"/>
  <c r="I231" i="16"/>
  <c r="N231" i="16"/>
  <c r="M231" i="16" s="1"/>
  <c r="Q231" i="16"/>
  <c r="S231" i="16"/>
  <c r="T231" i="16"/>
  <c r="U231" i="16" a="1"/>
  <c r="U231" i="16" s="1"/>
  <c r="V231" i="16"/>
  <c r="D232" i="16"/>
  <c r="E232" i="16" a="1"/>
  <c r="E232" i="16" s="1"/>
  <c r="G232" i="16"/>
  <c r="H232" i="16" s="1"/>
  <c r="I232" i="16"/>
  <c r="N232" i="16"/>
  <c r="Q232" i="16"/>
  <c r="S232" i="16"/>
  <c r="T232" i="16"/>
  <c r="U232" i="16" a="1"/>
  <c r="U232" i="16" s="1"/>
  <c r="V232" i="16"/>
  <c r="D233" i="16"/>
  <c r="E233" i="16" a="1"/>
  <c r="E233" i="16" s="1"/>
  <c r="G233" i="16"/>
  <c r="H233" i="16" s="1"/>
  <c r="I233" i="16"/>
  <c r="N233" i="16"/>
  <c r="Q233" i="16"/>
  <c r="S233" i="16"/>
  <c r="T233" i="16"/>
  <c r="U233" i="16" a="1"/>
  <c r="U233" i="16" s="1"/>
  <c r="V233" i="16"/>
  <c r="D234" i="16"/>
  <c r="E234" i="16" a="1"/>
  <c r="E234" i="16" s="1"/>
  <c r="G234" i="16"/>
  <c r="H234" i="16" s="1"/>
  <c r="I234" i="16"/>
  <c r="N234" i="16"/>
  <c r="M234" i="16" s="1"/>
  <c r="Q234" i="16"/>
  <c r="S234" i="16"/>
  <c r="T234" i="16"/>
  <c r="U234" i="16" a="1"/>
  <c r="U234" i="16" s="1"/>
  <c r="D235" i="16"/>
  <c r="E235" i="16" a="1"/>
  <c r="E235" i="16" s="1"/>
  <c r="G235" i="16"/>
  <c r="H235" i="16" s="1"/>
  <c r="I235" i="16"/>
  <c r="N235" i="16"/>
  <c r="M235" i="16" s="1"/>
  <c r="Q235" i="16"/>
  <c r="S235" i="16"/>
  <c r="T235" i="16"/>
  <c r="U235" i="16" a="1"/>
  <c r="U235" i="16" s="1"/>
  <c r="V235" i="16"/>
  <c r="D236" i="16"/>
  <c r="E236" i="16" a="1"/>
  <c r="E236" i="16" s="1"/>
  <c r="G236" i="16"/>
  <c r="H236" i="16" s="1"/>
  <c r="I236" i="16"/>
  <c r="N236" i="16"/>
  <c r="Q236" i="16"/>
  <c r="S236" i="16"/>
  <c r="T236" i="16"/>
  <c r="U236" i="16" a="1"/>
  <c r="U236" i="16" s="1"/>
  <c r="V236" i="16"/>
  <c r="D237" i="16"/>
  <c r="E237" i="16" a="1"/>
  <c r="E237" i="16" s="1"/>
  <c r="G237" i="16"/>
  <c r="H237" i="16" s="1"/>
  <c r="I237" i="16"/>
  <c r="N237" i="16"/>
  <c r="Q237" i="16"/>
  <c r="S237" i="16"/>
  <c r="T237" i="16"/>
  <c r="U237" i="16" a="1"/>
  <c r="U237" i="16" s="1"/>
  <c r="V237" i="16"/>
  <c r="D238" i="16"/>
  <c r="E238" i="16" a="1"/>
  <c r="E238" i="16" s="1"/>
  <c r="G238" i="16"/>
  <c r="H238" i="16" s="1"/>
  <c r="I238" i="16"/>
  <c r="N238" i="16"/>
  <c r="M238" i="16" s="1"/>
  <c r="Q238" i="16"/>
  <c r="S238" i="16"/>
  <c r="T238" i="16"/>
  <c r="U238" i="16" a="1"/>
  <c r="U238" i="16" s="1"/>
  <c r="V238" i="16"/>
  <c r="D239" i="16"/>
  <c r="E239" i="16" a="1"/>
  <c r="E239" i="16" s="1"/>
  <c r="G239" i="16"/>
  <c r="H239" i="16" s="1"/>
  <c r="I239" i="16"/>
  <c r="N239" i="16"/>
  <c r="Q239" i="16"/>
  <c r="S239" i="16"/>
  <c r="T239" i="16"/>
  <c r="U239" i="16" a="1"/>
  <c r="U239" i="16" s="1"/>
  <c r="V239" i="16"/>
  <c r="D240" i="16"/>
  <c r="E240" i="16" a="1"/>
  <c r="E240" i="16" s="1"/>
  <c r="G240" i="16"/>
  <c r="H240" i="16" s="1"/>
  <c r="I240" i="16"/>
  <c r="N240" i="16"/>
  <c r="Q240" i="16"/>
  <c r="S240" i="16"/>
  <c r="V240" i="16"/>
  <c r="D241" i="16"/>
  <c r="E241" i="16" a="1"/>
  <c r="E241" i="16" s="1"/>
  <c r="G241" i="16"/>
  <c r="H241" i="16" s="1"/>
  <c r="I241" i="16"/>
  <c r="N241" i="16"/>
  <c r="M241" i="16" s="1"/>
  <c r="Q241" i="16"/>
  <c r="S241" i="16"/>
  <c r="T241" i="16"/>
  <c r="U241" i="16" a="1"/>
  <c r="U241" i="16" s="1"/>
  <c r="V241" i="16"/>
  <c r="D242" i="16"/>
  <c r="E242" i="16" a="1"/>
  <c r="E242" i="16" s="1"/>
  <c r="G242" i="16"/>
  <c r="H242" i="16" s="1"/>
  <c r="I242" i="16"/>
  <c r="N242" i="16"/>
  <c r="M242" i="16" s="1"/>
  <c r="Q242" i="16"/>
  <c r="S242" i="16"/>
  <c r="T242" i="16"/>
  <c r="U242" i="16" a="1"/>
  <c r="U242" i="16" s="1"/>
  <c r="V242" i="16"/>
  <c r="D243" i="16"/>
  <c r="E243" i="16" a="1"/>
  <c r="E243" i="16" s="1"/>
  <c r="G243" i="16"/>
  <c r="H243" i="16" s="1"/>
  <c r="I243" i="16"/>
  <c r="N243" i="16"/>
  <c r="M243" i="16" s="1"/>
  <c r="Q243" i="16"/>
  <c r="S243" i="16"/>
  <c r="T243" i="16"/>
  <c r="U243" i="16" a="1"/>
  <c r="U243" i="16" s="1"/>
  <c r="V243" i="16"/>
  <c r="D244" i="16"/>
  <c r="E244" i="16" a="1"/>
  <c r="E244" i="16" s="1"/>
  <c r="G244" i="16"/>
  <c r="H244" i="16" s="1"/>
  <c r="I244" i="16"/>
  <c r="N244" i="16"/>
  <c r="Q244" i="16"/>
  <c r="S244" i="16"/>
  <c r="T244" i="16"/>
  <c r="U244" i="16" a="1"/>
  <c r="U244" i="16" s="1"/>
  <c r="V244" i="16"/>
  <c r="D245" i="16"/>
  <c r="E245" i="16" a="1"/>
  <c r="E245" i="16" s="1"/>
  <c r="G245" i="16"/>
  <c r="H245" i="16" s="1"/>
  <c r="I245" i="16"/>
  <c r="N245" i="16"/>
  <c r="Q245" i="16"/>
  <c r="S245" i="16"/>
  <c r="T245" i="16"/>
  <c r="U245" i="16" a="1"/>
  <c r="U245" i="16" s="1"/>
  <c r="V245" i="16"/>
  <c r="D246" i="16"/>
  <c r="E246" i="16" a="1"/>
  <c r="E246" i="16" s="1"/>
  <c r="G246" i="16"/>
  <c r="H246" i="16" s="1"/>
  <c r="I246" i="16"/>
  <c r="N246" i="16"/>
  <c r="M246" i="16" s="1"/>
  <c r="Q246" i="16"/>
  <c r="S246" i="16"/>
  <c r="T246" i="16"/>
  <c r="U246" i="16" a="1"/>
  <c r="U246" i="16" s="1"/>
  <c r="V246" i="16"/>
  <c r="D247" i="16"/>
  <c r="E247" i="16" a="1"/>
  <c r="E247" i="16" s="1"/>
  <c r="G247" i="16"/>
  <c r="H247" i="16" s="1"/>
  <c r="I247" i="16"/>
  <c r="N247" i="16"/>
  <c r="M247" i="16" s="1"/>
  <c r="Q247" i="16"/>
  <c r="S247" i="16"/>
  <c r="T247" i="16"/>
  <c r="U247" i="16" a="1"/>
  <c r="U247" i="16" s="1"/>
  <c r="V247" i="16"/>
  <c r="D248" i="16"/>
  <c r="E248" i="16" a="1"/>
  <c r="E248" i="16" s="1"/>
  <c r="G248" i="16"/>
  <c r="H248" i="16" s="1"/>
  <c r="I248" i="16"/>
  <c r="N248" i="16"/>
  <c r="M248" i="16" s="1"/>
  <c r="Q248" i="16"/>
  <c r="S248" i="16"/>
  <c r="T248" i="16"/>
  <c r="U248" i="16" a="1"/>
  <c r="U248" i="16" s="1"/>
  <c r="V248" i="16"/>
  <c r="D249" i="16"/>
  <c r="E249" i="16" a="1"/>
  <c r="E249" i="16" s="1"/>
  <c r="G249" i="16"/>
  <c r="H249" i="16" s="1"/>
  <c r="I249" i="16"/>
  <c r="N249" i="16"/>
  <c r="M249" i="16" s="1"/>
  <c r="Q249" i="16"/>
  <c r="S249" i="16"/>
  <c r="T249" i="16"/>
  <c r="U249" i="16" a="1"/>
  <c r="U249" i="16" s="1"/>
  <c r="V249" i="16"/>
  <c r="D250" i="16"/>
  <c r="E250" i="16" a="1"/>
  <c r="E250" i="16" s="1"/>
  <c r="G250" i="16"/>
  <c r="H250" i="16" s="1"/>
  <c r="I250" i="16"/>
  <c r="N250" i="16"/>
  <c r="Q250" i="16"/>
  <c r="S250" i="16"/>
  <c r="T250" i="16"/>
  <c r="U250" i="16" a="1"/>
  <c r="U250" i="16" s="1"/>
  <c r="V250" i="16"/>
  <c r="D251" i="16"/>
  <c r="E251" i="16" a="1"/>
  <c r="E251" i="16" s="1"/>
  <c r="G251" i="16"/>
  <c r="H251" i="16" s="1"/>
  <c r="I251" i="16"/>
  <c r="N251" i="16"/>
  <c r="M251" i="16" s="1"/>
  <c r="Q251" i="16"/>
  <c r="S251" i="16"/>
  <c r="T251" i="16"/>
  <c r="U251" i="16" a="1"/>
  <c r="U251" i="16" s="1"/>
  <c r="V251" i="16"/>
  <c r="D252" i="16"/>
  <c r="E252" i="16" a="1"/>
  <c r="E252" i="16" s="1"/>
  <c r="G252" i="16"/>
  <c r="H252" i="16" s="1"/>
  <c r="I252" i="16"/>
  <c r="N252" i="16"/>
  <c r="Q252" i="16"/>
  <c r="S252" i="16"/>
  <c r="T252" i="16"/>
  <c r="U252" i="16" a="1"/>
  <c r="U252" i="16" s="1"/>
  <c r="V252" i="16"/>
  <c r="D253" i="16"/>
  <c r="E253" i="16" a="1"/>
  <c r="E253" i="16" s="1"/>
  <c r="G253" i="16"/>
  <c r="H253" i="16" s="1"/>
  <c r="I253" i="16"/>
  <c r="N253" i="16"/>
  <c r="M253" i="16" s="1"/>
  <c r="Q253" i="16"/>
  <c r="S253" i="16"/>
  <c r="T253" i="16"/>
  <c r="U253" i="16" a="1"/>
  <c r="U253" i="16" s="1"/>
  <c r="V253" i="16"/>
  <c r="D254" i="16"/>
  <c r="E254" i="16" a="1"/>
  <c r="E254" i="16" s="1"/>
  <c r="G254" i="16"/>
  <c r="H254" i="16" s="1"/>
  <c r="I254" i="16"/>
  <c r="N254" i="16"/>
  <c r="M254" i="16" s="1"/>
  <c r="Q254" i="16"/>
  <c r="S254" i="16"/>
  <c r="T254" i="16"/>
  <c r="U254" i="16" a="1"/>
  <c r="U254" i="16" s="1"/>
  <c r="V254" i="16"/>
  <c r="D255" i="16"/>
  <c r="E255" i="16" a="1"/>
  <c r="E255" i="16" s="1"/>
  <c r="G255" i="16"/>
  <c r="H255" i="16" s="1"/>
  <c r="I255" i="16"/>
  <c r="N255" i="16"/>
  <c r="M255" i="16" s="1"/>
  <c r="Q255" i="16"/>
  <c r="S255" i="16"/>
  <c r="T255" i="16"/>
  <c r="U255" i="16" a="1"/>
  <c r="U255" i="16" s="1"/>
  <c r="V255" i="16"/>
  <c r="D256" i="16"/>
  <c r="E256" i="16" a="1"/>
  <c r="E256" i="16" s="1"/>
  <c r="G256" i="16"/>
  <c r="H256" i="16" s="1"/>
  <c r="I256" i="16"/>
  <c r="N256" i="16"/>
  <c r="Q256" i="16"/>
  <c r="S256" i="16"/>
  <c r="T256" i="16"/>
  <c r="U256" i="16" a="1"/>
  <c r="U256" i="16" s="1"/>
  <c r="V256" i="16"/>
  <c r="D257" i="16"/>
  <c r="E257" i="16" a="1"/>
  <c r="E257" i="16" s="1"/>
  <c r="G257" i="16"/>
  <c r="H257" i="16" s="1"/>
  <c r="I257" i="16"/>
  <c r="N257" i="16"/>
  <c r="Q257" i="16"/>
  <c r="S257" i="16"/>
  <c r="T257" i="16"/>
  <c r="U257" i="16" a="1"/>
  <c r="U257" i="16" s="1"/>
  <c r="V257" i="16"/>
  <c r="D258" i="16"/>
  <c r="E258" i="16" a="1"/>
  <c r="E258" i="16" s="1"/>
  <c r="G258" i="16"/>
  <c r="H258" i="16" s="1"/>
  <c r="I258" i="16"/>
  <c r="N258" i="16"/>
  <c r="M258" i="16" s="1"/>
  <c r="Q258" i="16"/>
  <c r="S258" i="16"/>
  <c r="T258" i="16"/>
  <c r="U258" i="16" a="1"/>
  <c r="U258" i="16" s="1"/>
  <c r="V258" i="16"/>
  <c r="D259" i="16"/>
  <c r="E259" i="16" a="1"/>
  <c r="E259" i="16" s="1"/>
  <c r="G259" i="16"/>
  <c r="H259" i="16" s="1"/>
  <c r="I259" i="16"/>
  <c r="N259" i="16"/>
  <c r="M259" i="16" s="1"/>
  <c r="Q259" i="16"/>
  <c r="S259" i="16"/>
  <c r="T259" i="16"/>
  <c r="U259" i="16" a="1"/>
  <c r="U259" i="16" s="1"/>
  <c r="V259" i="16"/>
  <c r="D260" i="16"/>
  <c r="E260" i="16" a="1"/>
  <c r="E260" i="16" s="1"/>
  <c r="G260" i="16"/>
  <c r="H260" i="16" s="1"/>
  <c r="I260" i="16"/>
  <c r="N260" i="16"/>
  <c r="M260" i="16" s="1"/>
  <c r="Q260" i="16"/>
  <c r="S260" i="16"/>
  <c r="T260" i="16"/>
  <c r="U260" i="16" a="1"/>
  <c r="U260" i="16" s="1"/>
  <c r="V260" i="16"/>
  <c r="D261" i="16"/>
  <c r="E261" i="16" a="1"/>
  <c r="E261" i="16" s="1"/>
  <c r="G261" i="16"/>
  <c r="H261" i="16" s="1"/>
  <c r="I261" i="16"/>
  <c r="N261" i="16"/>
  <c r="M261" i="16" s="1"/>
  <c r="Q261" i="16"/>
  <c r="S261" i="16"/>
  <c r="T261" i="16"/>
  <c r="U261" i="16" a="1"/>
  <c r="U261" i="16" s="1"/>
  <c r="D262" i="16"/>
  <c r="E262" i="16" a="1"/>
  <c r="E262" i="16" s="1"/>
  <c r="G262" i="16"/>
  <c r="H262" i="16" s="1"/>
  <c r="I262" i="16"/>
  <c r="N262" i="16"/>
  <c r="M262" i="16" s="1"/>
  <c r="Q262" i="16"/>
  <c r="S262" i="16"/>
  <c r="T262" i="16"/>
  <c r="U262" i="16" a="1"/>
  <c r="U262" i="16" s="1"/>
  <c r="V262" i="16"/>
  <c r="D263" i="16"/>
  <c r="E263" i="16" a="1"/>
  <c r="E263" i="16" s="1"/>
  <c r="G263" i="16"/>
  <c r="H263" i="16" s="1"/>
  <c r="I263" i="16"/>
  <c r="N263" i="16"/>
  <c r="M263" i="16" s="1"/>
  <c r="Q263" i="16"/>
  <c r="S263" i="16"/>
  <c r="T263" i="16"/>
  <c r="U263" i="16" a="1"/>
  <c r="U263" i="16" s="1"/>
  <c r="D264" i="16"/>
  <c r="E264" i="16" a="1"/>
  <c r="E264" i="16" s="1"/>
  <c r="G264" i="16"/>
  <c r="H264" i="16" s="1"/>
  <c r="I264" i="16"/>
  <c r="N264" i="16"/>
  <c r="M264" i="16" s="1"/>
  <c r="Q264" i="16"/>
  <c r="S264" i="16"/>
  <c r="T264" i="16"/>
  <c r="U264" i="16" a="1"/>
  <c r="U264" i="16" s="1"/>
  <c r="D265" i="16"/>
  <c r="E265" i="16" a="1"/>
  <c r="E265" i="16" s="1"/>
  <c r="G265" i="16"/>
  <c r="H265" i="16" s="1"/>
  <c r="I265" i="16"/>
  <c r="N265" i="16"/>
  <c r="Q265" i="16"/>
  <c r="S265" i="16"/>
  <c r="T265" i="16"/>
  <c r="U265" i="16" a="1"/>
  <c r="U265" i="16" s="1"/>
  <c r="D266" i="16"/>
  <c r="E266" i="16" a="1"/>
  <c r="E266" i="16" s="1"/>
  <c r="G266" i="16"/>
  <c r="H266" i="16" s="1"/>
  <c r="I266" i="16"/>
  <c r="N266" i="16"/>
  <c r="M266" i="16" s="1"/>
  <c r="Q266" i="16"/>
  <c r="S266" i="16"/>
  <c r="T266" i="16"/>
  <c r="U266" i="16" a="1"/>
  <c r="U266" i="16" s="1"/>
  <c r="V266" i="16"/>
  <c r="D267" i="16"/>
  <c r="E267" i="16" a="1"/>
  <c r="E267" i="16" s="1"/>
  <c r="G267" i="16"/>
  <c r="H267" i="16" s="1"/>
  <c r="I267" i="16"/>
  <c r="N267" i="16"/>
  <c r="M267" i="16" s="1"/>
  <c r="Q267" i="16"/>
  <c r="S267" i="16"/>
  <c r="T267" i="16"/>
  <c r="U267" i="16" a="1"/>
  <c r="U267" i="16" s="1"/>
  <c r="V267" i="16"/>
  <c r="D268" i="16"/>
  <c r="E268" i="16" a="1"/>
  <c r="E268" i="16" s="1"/>
  <c r="G268" i="16"/>
  <c r="H268" i="16" s="1"/>
  <c r="I268" i="16"/>
  <c r="N268" i="16"/>
  <c r="M268" i="16" s="1"/>
  <c r="Q268" i="16"/>
  <c r="S268" i="16"/>
  <c r="T268" i="16"/>
  <c r="U268" i="16" a="1"/>
  <c r="U268" i="16" s="1"/>
  <c r="V268" i="16"/>
  <c r="D269" i="16"/>
  <c r="E269" i="16" a="1"/>
  <c r="E269" i="16" s="1"/>
  <c r="G269" i="16"/>
  <c r="H269" i="16" s="1"/>
  <c r="I269" i="16"/>
  <c r="N269" i="16"/>
  <c r="M269" i="16" s="1"/>
  <c r="Q269" i="16"/>
  <c r="S269" i="16"/>
  <c r="T269" i="16"/>
  <c r="U269" i="16" a="1"/>
  <c r="U269" i="16" s="1"/>
  <c r="V269" i="16"/>
  <c r="D270" i="16"/>
  <c r="E270" i="16" a="1"/>
  <c r="E270" i="16" s="1"/>
  <c r="G270" i="16"/>
  <c r="H270" i="16" s="1"/>
  <c r="I270" i="16"/>
  <c r="N270" i="16"/>
  <c r="M270" i="16" s="1"/>
  <c r="Q270" i="16"/>
  <c r="S270" i="16"/>
  <c r="T270" i="16"/>
  <c r="U270" i="16" a="1"/>
  <c r="U270" i="16" s="1"/>
  <c r="V270" i="16"/>
  <c r="D271" i="16"/>
  <c r="E271" i="16" a="1"/>
  <c r="E271" i="16" s="1"/>
  <c r="G271" i="16"/>
  <c r="H271" i="16" s="1"/>
  <c r="I271" i="16"/>
  <c r="N271" i="16"/>
  <c r="M271" i="16" s="1"/>
  <c r="Q271" i="16"/>
  <c r="S271" i="16"/>
  <c r="T271" i="16"/>
  <c r="U271" i="16" a="1"/>
  <c r="U271" i="16" s="1"/>
  <c r="V271" i="16"/>
  <c r="D272" i="16"/>
  <c r="E272" i="16" a="1"/>
  <c r="E272" i="16" s="1"/>
  <c r="G272" i="16"/>
  <c r="H272" i="16" s="1"/>
  <c r="I272" i="16"/>
  <c r="N272" i="16"/>
  <c r="M272" i="16" s="1"/>
  <c r="Q272" i="16"/>
  <c r="S272" i="16"/>
  <c r="T272" i="16"/>
  <c r="U272" i="16" a="1"/>
  <c r="U272" i="16" s="1"/>
  <c r="V272" i="16"/>
  <c r="D273" i="16"/>
  <c r="E273" i="16" a="1"/>
  <c r="E273" i="16" s="1"/>
  <c r="G273" i="16"/>
  <c r="H273" i="16" s="1"/>
  <c r="I273" i="16"/>
  <c r="N273" i="16"/>
  <c r="M273" i="16" s="1"/>
  <c r="Q273" i="16"/>
  <c r="S273" i="16"/>
  <c r="T273" i="16"/>
  <c r="U273" i="16" a="1"/>
  <c r="U273" i="16" s="1"/>
  <c r="D274" i="16"/>
  <c r="E274" i="16" a="1"/>
  <c r="E274" i="16" s="1"/>
  <c r="G274" i="16"/>
  <c r="H274" i="16" s="1"/>
  <c r="I274" i="16"/>
  <c r="N274" i="16"/>
  <c r="M274" i="16" s="1"/>
  <c r="Q274" i="16"/>
  <c r="S274" i="16"/>
  <c r="T274" i="16"/>
  <c r="U274" i="16" a="1"/>
  <c r="U274" i="16" s="1"/>
  <c r="V274" i="16"/>
  <c r="D275" i="16"/>
  <c r="E275" i="16" a="1"/>
  <c r="E275" i="16" s="1"/>
  <c r="G275" i="16"/>
  <c r="H275" i="16" s="1"/>
  <c r="I275" i="16"/>
  <c r="N275" i="16"/>
  <c r="M275" i="16" s="1"/>
  <c r="Q275" i="16"/>
  <c r="S275" i="16"/>
  <c r="T275" i="16"/>
  <c r="U275" i="16" a="1"/>
  <c r="U275" i="16" s="1"/>
  <c r="V275" i="16"/>
  <c r="D276" i="16"/>
  <c r="E276" i="16" a="1"/>
  <c r="E276" i="16" s="1"/>
  <c r="G276" i="16"/>
  <c r="H276" i="16" s="1"/>
  <c r="I276" i="16"/>
  <c r="N276" i="16"/>
  <c r="M276" i="16" s="1"/>
  <c r="Q276" i="16"/>
  <c r="S276" i="16"/>
  <c r="T276" i="16"/>
  <c r="U276" i="16" a="1"/>
  <c r="U276" i="16" s="1"/>
  <c r="V276" i="16"/>
  <c r="D277" i="16"/>
  <c r="E277" i="16" a="1"/>
  <c r="E277" i="16" s="1"/>
  <c r="G277" i="16"/>
  <c r="H277" i="16" s="1"/>
  <c r="I277" i="16"/>
  <c r="N277" i="16"/>
  <c r="M277" i="16" s="1"/>
  <c r="Q277" i="16"/>
  <c r="S277" i="16"/>
  <c r="T277" i="16"/>
  <c r="U277" i="16" a="1"/>
  <c r="U277" i="16" s="1"/>
  <c r="V277" i="16"/>
  <c r="D278" i="16"/>
  <c r="E278" i="16" a="1"/>
  <c r="E278" i="16" s="1"/>
  <c r="G278" i="16"/>
  <c r="H278" i="16" s="1"/>
  <c r="I278" i="16"/>
  <c r="N278" i="16"/>
  <c r="M278" i="16" s="1"/>
  <c r="Q278" i="16"/>
  <c r="S278" i="16"/>
  <c r="T278" i="16"/>
  <c r="U278" i="16" a="1"/>
  <c r="U278" i="16" s="1"/>
  <c r="V278" i="16"/>
  <c r="D279" i="16"/>
  <c r="E279" i="16" a="1"/>
  <c r="E279" i="16" s="1"/>
  <c r="G279" i="16"/>
  <c r="H279" i="16" s="1"/>
  <c r="I279" i="16"/>
  <c r="N279" i="16"/>
  <c r="M279" i="16" s="1"/>
  <c r="Q279" i="16"/>
  <c r="S279" i="16"/>
  <c r="T279" i="16"/>
  <c r="U279" i="16" a="1"/>
  <c r="U279" i="16" s="1"/>
  <c r="V279" i="16"/>
  <c r="D280" i="16"/>
  <c r="E280" i="16" a="1"/>
  <c r="E280" i="16" s="1"/>
  <c r="G280" i="16"/>
  <c r="H280" i="16" s="1"/>
  <c r="I280" i="16"/>
  <c r="N280" i="16"/>
  <c r="M280" i="16" s="1"/>
  <c r="Q280" i="16"/>
  <c r="S280" i="16"/>
  <c r="T280" i="16"/>
  <c r="U280" i="16" a="1"/>
  <c r="U280" i="16" s="1"/>
  <c r="V280" i="16"/>
  <c r="D281" i="16"/>
  <c r="E281" i="16" a="1"/>
  <c r="E281" i="16" s="1"/>
  <c r="G281" i="16"/>
  <c r="H281" i="16" s="1"/>
  <c r="I281" i="16"/>
  <c r="N281" i="16"/>
  <c r="M281" i="16" s="1"/>
  <c r="Q281" i="16"/>
  <c r="S281" i="16"/>
  <c r="T281" i="16"/>
  <c r="U281" i="16" a="1"/>
  <c r="U281" i="16" s="1"/>
  <c r="D282" i="16"/>
  <c r="E282" i="16" a="1"/>
  <c r="E282" i="16" s="1"/>
  <c r="G282" i="16"/>
  <c r="H282" i="16" s="1"/>
  <c r="I282" i="16"/>
  <c r="N282" i="16"/>
  <c r="M282" i="16" s="1"/>
  <c r="Q282" i="16"/>
  <c r="S282" i="16"/>
  <c r="V282" i="16"/>
  <c r="D283" i="16"/>
  <c r="E283" i="16" a="1"/>
  <c r="E283" i="16" s="1"/>
  <c r="G283" i="16"/>
  <c r="H283" i="16" s="1"/>
  <c r="I283" i="16"/>
  <c r="N283" i="16"/>
  <c r="Q283" i="16"/>
  <c r="S283" i="16"/>
  <c r="V283" i="16"/>
  <c r="D284" i="16"/>
  <c r="E284" i="16" a="1"/>
  <c r="E284" i="16" s="1"/>
  <c r="G284" i="16"/>
  <c r="H284" i="16" s="1"/>
  <c r="I284" i="16"/>
  <c r="N284" i="16"/>
  <c r="Q284" i="16"/>
  <c r="S284" i="16"/>
  <c r="V284" i="16"/>
  <c r="D285" i="16"/>
  <c r="E285" i="16" a="1"/>
  <c r="E285" i="16" s="1"/>
  <c r="G285" i="16"/>
  <c r="H285" i="16" s="1"/>
  <c r="I285" i="16"/>
  <c r="N285" i="16"/>
  <c r="Q285" i="16"/>
  <c r="S285" i="16"/>
  <c r="T285" i="16"/>
  <c r="U285" i="16" a="1"/>
  <c r="U285" i="16" s="1"/>
  <c r="V285" i="16"/>
  <c r="D286" i="16"/>
  <c r="E286" i="16" a="1"/>
  <c r="E286" i="16" s="1"/>
  <c r="G286" i="16"/>
  <c r="H286" i="16" s="1"/>
  <c r="I286" i="16"/>
  <c r="N286" i="16"/>
  <c r="Q286" i="16"/>
  <c r="S286" i="16"/>
  <c r="T286" i="16"/>
  <c r="U286" i="16" a="1"/>
  <c r="U286" i="16" s="1"/>
  <c r="V286" i="16"/>
  <c r="D287" i="16"/>
  <c r="E287" i="16" a="1"/>
  <c r="E287" i="16" s="1"/>
  <c r="G287" i="16"/>
  <c r="H287" i="16" s="1"/>
  <c r="I287" i="16"/>
  <c r="N287" i="16"/>
  <c r="M287" i="16" s="1"/>
  <c r="Q287" i="16"/>
  <c r="S287" i="16"/>
  <c r="T287" i="16"/>
  <c r="U287" i="16" a="1"/>
  <c r="U287" i="16" s="1"/>
  <c r="V287" i="16"/>
  <c r="D288" i="16"/>
  <c r="E288" i="16" a="1"/>
  <c r="E288" i="16" s="1"/>
  <c r="G288" i="16"/>
  <c r="H288" i="16" s="1"/>
  <c r="I288" i="16"/>
  <c r="N288" i="16"/>
  <c r="Q288" i="16"/>
  <c r="S288" i="16"/>
  <c r="V288" i="16"/>
  <c r="D289" i="16"/>
  <c r="E289" i="16" a="1"/>
  <c r="E289" i="16" s="1"/>
  <c r="G289" i="16"/>
  <c r="H289" i="16" s="1"/>
  <c r="I289" i="16"/>
  <c r="N289" i="16"/>
  <c r="M289" i="16" s="1"/>
  <c r="Q289" i="16"/>
  <c r="S289" i="16"/>
  <c r="T289" i="16"/>
  <c r="U289" i="16" a="1"/>
  <c r="U289" i="16" s="1"/>
  <c r="V289" i="16"/>
  <c r="D290" i="16"/>
  <c r="E290" i="16" a="1"/>
  <c r="E290" i="16" s="1"/>
  <c r="G290" i="16"/>
  <c r="H290" i="16" s="1"/>
  <c r="I290" i="16"/>
  <c r="N290" i="16"/>
  <c r="M290" i="16" s="1"/>
  <c r="Q290" i="16"/>
  <c r="S290" i="16"/>
  <c r="V290" i="16"/>
  <c r="D291" i="16"/>
  <c r="E291" i="16" a="1"/>
  <c r="E291" i="16" s="1"/>
  <c r="G291" i="16"/>
  <c r="H291" i="16" s="1"/>
  <c r="I291" i="16"/>
  <c r="N291" i="16"/>
  <c r="Q291" i="16"/>
  <c r="S291" i="16"/>
  <c r="V291" i="16"/>
  <c r="D292" i="16"/>
  <c r="E292" i="16" a="1"/>
  <c r="E292" i="16" s="1"/>
  <c r="G292" i="16"/>
  <c r="H292" i="16" s="1"/>
  <c r="I292" i="16"/>
  <c r="N292" i="16"/>
  <c r="Q292" i="16"/>
  <c r="S292" i="16"/>
  <c r="T292" i="16"/>
  <c r="U292" i="16" a="1"/>
  <c r="U292" i="16" s="1"/>
  <c r="V292" i="16"/>
  <c r="D293" i="16"/>
  <c r="E293" i="16" a="1"/>
  <c r="E293" i="16" s="1"/>
  <c r="G293" i="16"/>
  <c r="H293" i="16" s="1"/>
  <c r="I293" i="16"/>
  <c r="N293" i="16"/>
  <c r="Q293" i="16"/>
  <c r="S293" i="16"/>
  <c r="T293" i="16"/>
  <c r="U293" i="16" a="1"/>
  <c r="U293" i="16" s="1"/>
  <c r="V293" i="16"/>
  <c r="D294" i="16"/>
  <c r="E294" i="16" a="1"/>
  <c r="E294" i="16" s="1"/>
  <c r="G294" i="16"/>
  <c r="H294" i="16" s="1"/>
  <c r="I294" i="16"/>
  <c r="N294" i="16"/>
  <c r="M294" i="16" s="1"/>
  <c r="Q294" i="16"/>
  <c r="S294" i="16"/>
  <c r="T294" i="16"/>
  <c r="U294" i="16" a="1"/>
  <c r="U294" i="16" s="1"/>
  <c r="V294" i="16"/>
  <c r="D295" i="16"/>
  <c r="E295" i="16" a="1"/>
  <c r="E295" i="16" s="1"/>
  <c r="G295" i="16"/>
  <c r="H295" i="16" s="1"/>
  <c r="I295" i="16"/>
  <c r="N295" i="16"/>
  <c r="M295" i="16" s="1"/>
  <c r="Q295" i="16"/>
  <c r="S295" i="16"/>
  <c r="T295" i="16"/>
  <c r="U295" i="16" a="1"/>
  <c r="U295" i="16" s="1"/>
  <c r="V295" i="16"/>
  <c r="D296" i="16"/>
  <c r="E296" i="16" a="1"/>
  <c r="E296" i="16" s="1"/>
  <c r="G296" i="16"/>
  <c r="H296" i="16" s="1"/>
  <c r="I296" i="16"/>
  <c r="N296" i="16"/>
  <c r="Q296" i="16"/>
  <c r="S296" i="16"/>
  <c r="T296" i="16"/>
  <c r="U296" i="16" a="1"/>
  <c r="U296" i="16" s="1"/>
  <c r="V296" i="16"/>
  <c r="D297" i="16"/>
  <c r="E297" i="16" a="1"/>
  <c r="E297" i="16" s="1"/>
  <c r="G297" i="16"/>
  <c r="H297" i="16" s="1"/>
  <c r="I297" i="16"/>
  <c r="N297" i="16"/>
  <c r="M297" i="16" s="1"/>
  <c r="Q297" i="16"/>
  <c r="S297" i="16"/>
  <c r="T297" i="16"/>
  <c r="U297" i="16" a="1"/>
  <c r="U297" i="16" s="1"/>
  <c r="V297" i="16"/>
  <c r="D298" i="16"/>
  <c r="E298" i="16" a="1"/>
  <c r="E298" i="16" s="1"/>
  <c r="G298" i="16"/>
  <c r="H298" i="16" s="1"/>
  <c r="I298" i="16"/>
  <c r="N298" i="16"/>
  <c r="Q298" i="16"/>
  <c r="S298" i="16"/>
  <c r="T298" i="16"/>
  <c r="U298" i="16" a="1"/>
  <c r="U298" i="16" s="1"/>
  <c r="V298" i="16"/>
  <c r="D299" i="16"/>
  <c r="E299" i="16" a="1"/>
  <c r="E299" i="16" s="1"/>
  <c r="G299" i="16"/>
  <c r="H299" i="16" s="1"/>
  <c r="I299" i="16"/>
  <c r="N299" i="16"/>
  <c r="M299" i="16" s="1"/>
  <c r="Q299" i="16"/>
  <c r="S299" i="16"/>
  <c r="T299" i="16"/>
  <c r="U299" i="16" a="1"/>
  <c r="U299" i="16" s="1"/>
  <c r="V299" i="16"/>
  <c r="D300" i="16"/>
  <c r="E300" i="16" a="1"/>
  <c r="E300" i="16" s="1"/>
  <c r="G300" i="16"/>
  <c r="H300" i="16" s="1"/>
  <c r="I300" i="16"/>
  <c r="N300" i="16"/>
  <c r="Q300" i="16"/>
  <c r="S300" i="16"/>
  <c r="T300" i="16"/>
  <c r="U300" i="16" a="1"/>
  <c r="U300" i="16" s="1"/>
  <c r="V300" i="16"/>
  <c r="D301" i="16"/>
  <c r="E301" i="16" a="1"/>
  <c r="E301" i="16" s="1"/>
  <c r="G301" i="16"/>
  <c r="H301" i="16" s="1"/>
  <c r="I301" i="16"/>
  <c r="N301" i="16"/>
  <c r="Q301" i="16"/>
  <c r="S301" i="16"/>
  <c r="T301" i="16"/>
  <c r="U301" i="16" a="1"/>
  <c r="U301" i="16" s="1"/>
  <c r="V301" i="16"/>
  <c r="D302" i="16"/>
  <c r="E302" i="16" a="1"/>
  <c r="E302" i="16" s="1"/>
  <c r="G302" i="16"/>
  <c r="H302" i="16" s="1"/>
  <c r="I302" i="16"/>
  <c r="N302" i="16"/>
  <c r="Q302" i="16"/>
  <c r="S302" i="16"/>
  <c r="T302" i="16"/>
  <c r="U302" i="16" a="1"/>
  <c r="U302" i="16" s="1"/>
  <c r="V302" i="16"/>
  <c r="D303" i="16"/>
  <c r="E303" i="16" a="1"/>
  <c r="E303" i="16" s="1"/>
  <c r="G303" i="16"/>
  <c r="H303" i="16" s="1"/>
  <c r="I303" i="16"/>
  <c r="N303" i="16"/>
  <c r="M303" i="16" s="1"/>
  <c r="Q303" i="16"/>
  <c r="S303" i="16"/>
  <c r="T303" i="16"/>
  <c r="U303" i="16" a="1"/>
  <c r="U303" i="16" s="1"/>
  <c r="V303" i="16"/>
  <c r="D304" i="16"/>
  <c r="E304" i="16" a="1"/>
  <c r="E304" i="16" s="1"/>
  <c r="G304" i="16"/>
  <c r="H304" i="16" s="1"/>
  <c r="I304" i="16"/>
  <c r="N304" i="16"/>
  <c r="M304" i="16" s="1"/>
  <c r="Q304" i="16"/>
  <c r="S304" i="16"/>
  <c r="T304" i="16"/>
  <c r="U304" i="16" a="1"/>
  <c r="U304" i="16" s="1"/>
  <c r="V304" i="16"/>
  <c r="D305" i="16"/>
  <c r="E305" i="16" a="1"/>
  <c r="E305" i="16" s="1"/>
  <c r="G305" i="16"/>
  <c r="H305" i="16" s="1"/>
  <c r="I305" i="16"/>
  <c r="N305" i="16"/>
  <c r="M305" i="16" s="1"/>
  <c r="Q305" i="16"/>
  <c r="S305" i="16"/>
  <c r="T305" i="16"/>
  <c r="U305" i="16" a="1"/>
  <c r="U305" i="16" s="1"/>
  <c r="V305" i="16"/>
  <c r="D306" i="16"/>
  <c r="E306" i="16" a="1"/>
  <c r="E306" i="16" s="1"/>
  <c r="G306" i="16"/>
  <c r="H306" i="16" s="1"/>
  <c r="I306" i="16"/>
  <c r="N306" i="16"/>
  <c r="M306" i="16" s="1"/>
  <c r="Q306" i="16"/>
  <c r="S306" i="16"/>
  <c r="T306" i="16"/>
  <c r="U306" i="16" a="1"/>
  <c r="U306" i="16" s="1"/>
  <c r="V306" i="16"/>
  <c r="D307" i="16"/>
  <c r="E307" i="16" a="1"/>
  <c r="E307" i="16" s="1"/>
  <c r="G307" i="16"/>
  <c r="H307" i="16" s="1"/>
  <c r="I307" i="16"/>
  <c r="N307" i="16"/>
  <c r="Q307" i="16"/>
  <c r="S307" i="16"/>
  <c r="T307" i="16"/>
  <c r="U307" i="16" a="1"/>
  <c r="U307" i="16" s="1"/>
  <c r="V307" i="16"/>
  <c r="D308" i="16"/>
  <c r="E308" i="16" a="1"/>
  <c r="E308" i="16" s="1"/>
  <c r="G308" i="16"/>
  <c r="H308" i="16" s="1"/>
  <c r="I308" i="16"/>
  <c r="N308" i="16"/>
  <c r="V308" i="16" s="1"/>
  <c r="Q308" i="16"/>
  <c r="S308" i="16"/>
  <c r="T308" i="16"/>
  <c r="U308" i="16" a="1"/>
  <c r="U308" i="16" s="1"/>
  <c r="D309" i="16"/>
  <c r="E309" i="16" a="1"/>
  <c r="E309" i="16" s="1"/>
  <c r="G309" i="16"/>
  <c r="H309" i="16" s="1"/>
  <c r="I309" i="16"/>
  <c r="N309" i="16"/>
  <c r="M309" i="16" s="1"/>
  <c r="Q309" i="16"/>
  <c r="S309" i="16"/>
  <c r="T309" i="16"/>
  <c r="U309" i="16" a="1"/>
  <c r="U309" i="16" s="1"/>
  <c r="D310" i="16"/>
  <c r="E310" i="16" a="1"/>
  <c r="E310" i="16" s="1"/>
  <c r="G310" i="16"/>
  <c r="H310" i="16" s="1"/>
  <c r="I310" i="16"/>
  <c r="N310" i="16"/>
  <c r="Q310" i="16"/>
  <c r="S310" i="16"/>
  <c r="T310" i="16"/>
  <c r="U310" i="16" a="1"/>
  <c r="U310" i="16" s="1"/>
  <c r="V310" i="16"/>
  <c r="D311" i="16"/>
  <c r="E311" i="16" a="1"/>
  <c r="E311" i="16" s="1"/>
  <c r="G311" i="16"/>
  <c r="H311" i="16" s="1"/>
  <c r="I311" i="16"/>
  <c r="N311" i="16"/>
  <c r="M311" i="16" s="1"/>
  <c r="Q311" i="16"/>
  <c r="S311" i="16"/>
  <c r="T311" i="16"/>
  <c r="U311" i="16" a="1"/>
  <c r="U311" i="16" s="1"/>
  <c r="V311" i="16"/>
  <c r="D312" i="16"/>
  <c r="E312" i="16" a="1"/>
  <c r="E312" i="16" s="1"/>
  <c r="G312" i="16"/>
  <c r="H312" i="16" s="1"/>
  <c r="I312" i="16"/>
  <c r="N312" i="16"/>
  <c r="Q312" i="16"/>
  <c r="S312" i="16"/>
  <c r="T312" i="16"/>
  <c r="U312" i="16" a="1"/>
  <c r="U312" i="16" s="1"/>
  <c r="V312" i="16"/>
  <c r="D313" i="16"/>
  <c r="E313" i="16" a="1"/>
  <c r="E313" i="16" s="1"/>
  <c r="G313" i="16"/>
  <c r="H313" i="16" s="1"/>
  <c r="I313" i="16"/>
  <c r="N313" i="16"/>
  <c r="M313" i="16" s="1"/>
  <c r="Q313" i="16"/>
  <c r="S313" i="16"/>
  <c r="T313" i="16"/>
  <c r="U313" i="16" a="1"/>
  <c r="U313" i="16" s="1"/>
  <c r="D314" i="16"/>
  <c r="E314" i="16" a="1"/>
  <c r="E314" i="16" s="1"/>
  <c r="G314" i="16"/>
  <c r="H314" i="16" s="1"/>
  <c r="I314" i="16"/>
  <c r="N314" i="16"/>
  <c r="V314" i="16" s="1"/>
  <c r="Q314" i="16"/>
  <c r="S314" i="16"/>
  <c r="T314" i="16"/>
  <c r="U314" i="16" a="1"/>
  <c r="U314" i="16" s="1"/>
  <c r="D315" i="16"/>
  <c r="E315" i="16" a="1"/>
  <c r="E315" i="16" s="1"/>
  <c r="G315" i="16"/>
  <c r="H315" i="16" s="1"/>
  <c r="I315" i="16"/>
  <c r="N315" i="16"/>
  <c r="Q315" i="16"/>
  <c r="S315" i="16"/>
  <c r="T315" i="16"/>
  <c r="U315" i="16" a="1"/>
  <c r="U315" i="16" s="1"/>
  <c r="V315" i="16"/>
  <c r="D316" i="16"/>
  <c r="E316" i="16" a="1"/>
  <c r="E316" i="16" s="1"/>
  <c r="G316" i="16"/>
  <c r="H316" i="16" s="1"/>
  <c r="I316" i="16"/>
  <c r="N316" i="16"/>
  <c r="M316" i="16" s="1"/>
  <c r="Q316" i="16"/>
  <c r="S316" i="16"/>
  <c r="T316" i="16"/>
  <c r="U316" i="16" a="1"/>
  <c r="U316" i="16" s="1"/>
  <c r="V316" i="16"/>
  <c r="D317" i="16"/>
  <c r="E317" i="16" a="1"/>
  <c r="E317" i="16" s="1"/>
  <c r="G317" i="16"/>
  <c r="H317" i="16" s="1"/>
  <c r="I317" i="16"/>
  <c r="N317" i="16"/>
  <c r="V317" i="16" s="1"/>
  <c r="Q317" i="16"/>
  <c r="S317" i="16"/>
  <c r="D318" i="16"/>
  <c r="E318" i="16" a="1"/>
  <c r="E318" i="16" s="1"/>
  <c r="G318" i="16"/>
  <c r="H318" i="16" s="1"/>
  <c r="I318" i="16"/>
  <c r="N318" i="16"/>
  <c r="M318" i="16" s="1"/>
  <c r="Q318" i="16"/>
  <c r="S318" i="16"/>
  <c r="T318" i="16"/>
  <c r="U318" i="16" a="1"/>
  <c r="U318" i="16" s="1"/>
  <c r="D319" i="16"/>
  <c r="E319" i="16" a="1"/>
  <c r="E319" i="16" s="1"/>
  <c r="G319" i="16"/>
  <c r="H319" i="16" s="1"/>
  <c r="I319" i="16"/>
  <c r="N319" i="16"/>
  <c r="Q319" i="16"/>
  <c r="S319" i="16"/>
  <c r="T319" i="16"/>
  <c r="U319" i="16" a="1"/>
  <c r="U319" i="16" s="1"/>
  <c r="V319" i="16"/>
  <c r="D320" i="16"/>
  <c r="E320" i="16" a="1"/>
  <c r="E320" i="16" s="1"/>
  <c r="G320" i="16"/>
  <c r="H320" i="16" s="1"/>
  <c r="I320" i="16"/>
  <c r="N320" i="16"/>
  <c r="M320" i="16" s="1"/>
  <c r="Q320" i="16"/>
  <c r="S320" i="16"/>
  <c r="T320" i="16"/>
  <c r="U320" i="16" a="1"/>
  <c r="U320" i="16" s="1"/>
  <c r="V320" i="16"/>
  <c r="D321" i="16"/>
  <c r="E321" i="16" a="1"/>
  <c r="E321" i="16" s="1"/>
  <c r="G321" i="16"/>
  <c r="H321" i="16" s="1"/>
  <c r="I321" i="16"/>
  <c r="N321" i="16"/>
  <c r="Q321" i="16"/>
  <c r="S321" i="16"/>
  <c r="T321" i="16"/>
  <c r="U321" i="16" a="1"/>
  <c r="U321" i="16" s="1"/>
  <c r="V321" i="16"/>
  <c r="D322" i="16"/>
  <c r="E322" i="16" a="1"/>
  <c r="E322" i="16" s="1"/>
  <c r="G322" i="16"/>
  <c r="H322" i="16" s="1"/>
  <c r="I322" i="16"/>
  <c r="N322" i="16"/>
  <c r="Q322" i="16"/>
  <c r="S322" i="16"/>
  <c r="T322" i="16"/>
  <c r="U322" i="16" a="1"/>
  <c r="U322" i="16" s="1"/>
  <c r="V322" i="16"/>
  <c r="D323" i="16"/>
  <c r="E323" i="16" a="1"/>
  <c r="E323" i="16" s="1"/>
  <c r="G323" i="16"/>
  <c r="H323" i="16" s="1"/>
  <c r="I323" i="16"/>
  <c r="N323" i="16"/>
  <c r="Q323" i="16"/>
  <c r="S323" i="16"/>
  <c r="T323" i="16"/>
  <c r="U323" i="16" a="1"/>
  <c r="U323" i="16" s="1"/>
  <c r="V323" i="16"/>
  <c r="D324" i="16"/>
  <c r="E324" i="16" a="1"/>
  <c r="E324" i="16" s="1"/>
  <c r="G324" i="16"/>
  <c r="H324" i="16" s="1"/>
  <c r="I324" i="16"/>
  <c r="N324" i="16"/>
  <c r="M324" i="16" s="1"/>
  <c r="Q324" i="16"/>
  <c r="S324" i="16"/>
  <c r="T324" i="16"/>
  <c r="U324" i="16" a="1"/>
  <c r="U324" i="16" s="1"/>
  <c r="V324" i="16"/>
  <c r="D325" i="16"/>
  <c r="E325" i="16" a="1"/>
  <c r="E325" i="16" s="1"/>
  <c r="G325" i="16"/>
  <c r="H325" i="16" s="1"/>
  <c r="I325" i="16"/>
  <c r="N325" i="16"/>
  <c r="M325" i="16" s="1"/>
  <c r="Q325" i="16"/>
  <c r="S325" i="16"/>
  <c r="T325" i="16"/>
  <c r="U325" i="16" a="1"/>
  <c r="U325" i="16" s="1"/>
  <c r="V325" i="16"/>
  <c r="D326" i="16"/>
  <c r="E326" i="16" a="1"/>
  <c r="E326" i="16" s="1"/>
  <c r="G326" i="16"/>
  <c r="H326" i="16" s="1"/>
  <c r="I326" i="16"/>
  <c r="N326" i="16"/>
  <c r="M326" i="16" s="1"/>
  <c r="Q326" i="16"/>
  <c r="S326" i="16"/>
  <c r="T326" i="16"/>
  <c r="U326" i="16" a="1"/>
  <c r="U326" i="16" s="1"/>
  <c r="V326" i="16"/>
  <c r="D327" i="16"/>
  <c r="E327" i="16" a="1"/>
  <c r="E327" i="16" s="1"/>
  <c r="G327" i="16"/>
  <c r="H327" i="16" s="1"/>
  <c r="I327" i="16"/>
  <c r="N327" i="16"/>
  <c r="M327" i="16" s="1"/>
  <c r="Q327" i="16"/>
  <c r="S327" i="16"/>
  <c r="T327" i="16"/>
  <c r="U327" i="16" a="1"/>
  <c r="U327" i="16" s="1"/>
  <c r="D328" i="16"/>
  <c r="E328" i="16" a="1"/>
  <c r="E328" i="16" s="1"/>
  <c r="G328" i="16"/>
  <c r="H328" i="16" s="1"/>
  <c r="I328" i="16"/>
  <c r="N328" i="16"/>
  <c r="Q328" i="16"/>
  <c r="S328" i="16"/>
  <c r="T328" i="16"/>
  <c r="U328" i="16" a="1"/>
  <c r="U328" i="16" s="1"/>
  <c r="V328" i="16"/>
  <c r="D329" i="16"/>
  <c r="E329" i="16" a="1"/>
  <c r="E329" i="16" s="1"/>
  <c r="G329" i="16"/>
  <c r="H329" i="16" s="1"/>
  <c r="I329" i="16"/>
  <c r="N329" i="16"/>
  <c r="M329" i="16" s="1"/>
  <c r="Q329" i="16"/>
  <c r="S329" i="16"/>
  <c r="T329" i="16"/>
  <c r="U329" i="16" a="1"/>
  <c r="U329" i="16" s="1"/>
  <c r="V329" i="16"/>
  <c r="D330" i="16"/>
  <c r="E330" i="16" a="1"/>
  <c r="E330" i="16" s="1"/>
  <c r="G330" i="16"/>
  <c r="H330" i="16" s="1"/>
  <c r="I330" i="16"/>
  <c r="N330" i="16"/>
  <c r="Q330" i="16"/>
  <c r="S330" i="16"/>
  <c r="T330" i="16"/>
  <c r="U330" i="16" a="1"/>
  <c r="U330" i="16" s="1"/>
  <c r="V330" i="16"/>
  <c r="D331" i="16"/>
  <c r="E331" i="16" a="1"/>
  <c r="E331" i="16" s="1"/>
  <c r="G331" i="16"/>
  <c r="H331" i="16" s="1"/>
  <c r="I331" i="16"/>
  <c r="N331" i="16"/>
  <c r="Q331" i="16"/>
  <c r="S331" i="16"/>
  <c r="T331" i="16"/>
  <c r="U331" i="16" a="1"/>
  <c r="U331" i="16" s="1"/>
  <c r="V331" i="16"/>
  <c r="D332" i="16"/>
  <c r="E332" i="16" a="1"/>
  <c r="E332" i="16" s="1"/>
  <c r="G332" i="16"/>
  <c r="H332" i="16" s="1"/>
  <c r="I332" i="16"/>
  <c r="N332" i="16"/>
  <c r="Q332" i="16"/>
  <c r="S332" i="16"/>
  <c r="T332" i="16"/>
  <c r="U332" i="16" a="1"/>
  <c r="U332" i="16" s="1"/>
  <c r="V332" i="16"/>
  <c r="D333" i="16"/>
  <c r="E333" i="16" a="1"/>
  <c r="E333" i="16" s="1"/>
  <c r="G333" i="16"/>
  <c r="H333" i="16" s="1"/>
  <c r="I333" i="16"/>
  <c r="N333" i="16"/>
  <c r="Q333" i="16"/>
  <c r="S333" i="16"/>
  <c r="T333" i="16"/>
  <c r="U333" i="16" a="1"/>
  <c r="U333" i="16" s="1"/>
  <c r="V333" i="16"/>
  <c r="D334" i="16"/>
  <c r="E334" i="16" a="1"/>
  <c r="E334" i="16" s="1"/>
  <c r="G334" i="16"/>
  <c r="H334" i="16" s="1"/>
  <c r="I334" i="16"/>
  <c r="N334" i="16"/>
  <c r="Q334" i="16"/>
  <c r="S334" i="16"/>
  <c r="T334" i="16"/>
  <c r="U334" i="16" a="1"/>
  <c r="U334" i="16" s="1"/>
  <c r="V334" i="16"/>
  <c r="D335" i="16"/>
  <c r="E335" i="16" a="1"/>
  <c r="E335" i="16" s="1"/>
  <c r="G335" i="16"/>
  <c r="H335" i="16" s="1"/>
  <c r="I335" i="16"/>
  <c r="N335" i="16"/>
  <c r="M335" i="16" s="1"/>
  <c r="Q335" i="16"/>
  <c r="S335" i="16"/>
  <c r="T335" i="16"/>
  <c r="U335" i="16" a="1"/>
  <c r="U335" i="16" s="1"/>
  <c r="D336" i="16"/>
  <c r="E336" i="16" a="1"/>
  <c r="E336" i="16" s="1"/>
  <c r="G336" i="16"/>
  <c r="H336" i="16" s="1"/>
  <c r="I336" i="16"/>
  <c r="N336" i="16"/>
  <c r="V336" i="16" s="1"/>
  <c r="Q336" i="16"/>
  <c r="S336" i="16"/>
  <c r="T336" i="16"/>
  <c r="U336" i="16" a="1"/>
  <c r="U336" i="16" s="1"/>
  <c r="D337" i="16"/>
  <c r="E337" i="16" a="1"/>
  <c r="E337" i="16" s="1"/>
  <c r="G337" i="16"/>
  <c r="H337" i="16" s="1"/>
  <c r="I337" i="16"/>
  <c r="N337" i="16"/>
  <c r="M337" i="16" s="1"/>
  <c r="Q337" i="16"/>
  <c r="S337" i="16"/>
  <c r="T337" i="16"/>
  <c r="U337" i="16" a="1"/>
  <c r="U337" i="16" s="1"/>
  <c r="V337" i="16"/>
  <c r="D338" i="16"/>
  <c r="E338" i="16" a="1"/>
  <c r="E338" i="16" s="1"/>
  <c r="G338" i="16"/>
  <c r="H338" i="16" s="1"/>
  <c r="I338" i="16"/>
  <c r="N338" i="16"/>
  <c r="M338" i="16" s="1"/>
  <c r="Q338" i="16"/>
  <c r="S338" i="16"/>
  <c r="T338" i="16"/>
  <c r="U338" i="16" a="1"/>
  <c r="U338" i="16" s="1"/>
  <c r="V338" i="16"/>
  <c r="D339" i="16"/>
  <c r="E339" i="16" a="1"/>
  <c r="E339" i="16" s="1"/>
  <c r="G339" i="16"/>
  <c r="H339" i="16" s="1"/>
  <c r="I339" i="16"/>
  <c r="N339" i="16"/>
  <c r="Q339" i="16"/>
  <c r="S339" i="16"/>
  <c r="T339" i="16"/>
  <c r="U339" i="16" a="1"/>
  <c r="U339" i="16" s="1"/>
  <c r="V339" i="16"/>
  <c r="D340" i="16"/>
  <c r="E340" i="16" a="1"/>
  <c r="E340" i="16" s="1"/>
  <c r="G340" i="16"/>
  <c r="H340" i="16" s="1"/>
  <c r="I340" i="16"/>
  <c r="N340" i="16"/>
  <c r="Q340" i="16"/>
  <c r="S340" i="16"/>
  <c r="T340" i="16"/>
  <c r="U340" i="16" a="1"/>
  <c r="U340" i="16" s="1"/>
  <c r="V340" i="16"/>
  <c r="D341" i="16"/>
  <c r="E341" i="16" a="1"/>
  <c r="E341" i="16" s="1"/>
  <c r="G341" i="16"/>
  <c r="H341" i="16" s="1"/>
  <c r="I341" i="16"/>
  <c r="N341" i="16"/>
  <c r="Q341" i="16"/>
  <c r="S341" i="16"/>
  <c r="T341" i="16"/>
  <c r="U341" i="16" a="1"/>
  <c r="U341" i="16" s="1"/>
  <c r="V341" i="16"/>
  <c r="D342" i="16"/>
  <c r="E342" i="16" a="1"/>
  <c r="E342" i="16" s="1"/>
  <c r="G342" i="16"/>
  <c r="H342" i="16" s="1"/>
  <c r="I342" i="16"/>
  <c r="N342" i="16"/>
  <c r="Q342" i="16"/>
  <c r="S342" i="16"/>
  <c r="T342" i="16"/>
  <c r="U342" i="16" a="1"/>
  <c r="U342" i="16" s="1"/>
  <c r="V342" i="16"/>
  <c r="D343" i="16"/>
  <c r="E343" i="16" a="1"/>
  <c r="E343" i="16" s="1"/>
  <c r="G343" i="16"/>
  <c r="H343" i="16" s="1"/>
  <c r="I343" i="16"/>
  <c r="N343" i="16"/>
  <c r="Q343" i="16"/>
  <c r="S343" i="16"/>
  <c r="T343" i="16"/>
  <c r="U343" i="16" a="1"/>
  <c r="U343" i="16" s="1"/>
  <c r="V343" i="16"/>
  <c r="D344" i="16"/>
  <c r="E344" i="16" a="1"/>
  <c r="E344" i="16" s="1"/>
  <c r="G344" i="16"/>
  <c r="H344" i="16" s="1"/>
  <c r="I344" i="16"/>
  <c r="N344" i="16"/>
  <c r="M344" i="16" s="1"/>
  <c r="Q344" i="16"/>
  <c r="S344" i="16"/>
  <c r="T344" i="16"/>
  <c r="U344" i="16" a="1"/>
  <c r="U344" i="16" s="1"/>
  <c r="V344" i="16"/>
  <c r="D345" i="16"/>
  <c r="E345" i="16" a="1"/>
  <c r="E345" i="16" s="1"/>
  <c r="G345" i="16"/>
  <c r="H345" i="16" s="1"/>
  <c r="I345" i="16"/>
  <c r="N345" i="16"/>
  <c r="M345" i="16" s="1"/>
  <c r="Q345" i="16"/>
  <c r="S345" i="16"/>
  <c r="T345" i="16"/>
  <c r="U345" i="16" a="1"/>
  <c r="U345" i="16" s="1"/>
  <c r="V345" i="16"/>
  <c r="D346" i="16"/>
  <c r="E346" i="16" a="1"/>
  <c r="E346" i="16" s="1"/>
  <c r="G346" i="16"/>
  <c r="H346" i="16" s="1"/>
  <c r="I346" i="16"/>
  <c r="N346" i="16"/>
  <c r="M346" i="16" s="1"/>
  <c r="Q346" i="16"/>
  <c r="S346" i="16"/>
  <c r="T346" i="16"/>
  <c r="U346" i="16" a="1"/>
  <c r="U346" i="16" s="1"/>
  <c r="V346" i="16"/>
  <c r="D347" i="16"/>
  <c r="E347" i="16" a="1"/>
  <c r="E347" i="16" s="1"/>
  <c r="G347" i="16"/>
  <c r="H347" i="16" s="1"/>
  <c r="I347" i="16"/>
  <c r="N347" i="16"/>
  <c r="Q347" i="16"/>
  <c r="S347" i="16"/>
  <c r="T347" i="16"/>
  <c r="U347" i="16" a="1"/>
  <c r="U347" i="16" s="1"/>
  <c r="V347" i="16"/>
  <c r="D348" i="16"/>
  <c r="E348" i="16" a="1"/>
  <c r="E348" i="16" s="1"/>
  <c r="G348" i="16"/>
  <c r="H348" i="16" s="1"/>
  <c r="I348" i="16"/>
  <c r="N348" i="16"/>
  <c r="M348" i="16" s="1"/>
  <c r="Q348" i="16"/>
  <c r="S348" i="16"/>
  <c r="T348" i="16"/>
  <c r="U348" i="16" a="1"/>
  <c r="U348" i="16" s="1"/>
  <c r="V348" i="16"/>
  <c r="D349" i="16"/>
  <c r="E349" i="16" a="1"/>
  <c r="E349" i="16" s="1"/>
  <c r="G349" i="16"/>
  <c r="H349" i="16" s="1"/>
  <c r="I349" i="16"/>
  <c r="N349" i="16"/>
  <c r="M349" i="16" s="1"/>
  <c r="Q349" i="16"/>
  <c r="S349" i="16"/>
  <c r="T349" i="16"/>
  <c r="U349" i="16" a="1"/>
  <c r="U349" i="16" s="1"/>
  <c r="D350" i="16"/>
  <c r="E350" i="16" a="1"/>
  <c r="E350" i="16" s="1"/>
  <c r="G350" i="16"/>
  <c r="H350" i="16" s="1"/>
  <c r="I350" i="16"/>
  <c r="N350" i="16"/>
  <c r="Q350" i="16"/>
  <c r="S350" i="16"/>
  <c r="T350" i="16"/>
  <c r="U350" i="16" a="1"/>
  <c r="U350" i="16" s="1"/>
  <c r="V350" i="16"/>
  <c r="D351" i="16"/>
  <c r="E351" i="16" a="1"/>
  <c r="E351" i="16" s="1"/>
  <c r="G351" i="16"/>
  <c r="H351" i="16" s="1"/>
  <c r="I351" i="16"/>
  <c r="N351" i="16"/>
  <c r="Q351" i="16"/>
  <c r="S351" i="16"/>
  <c r="T351" i="16"/>
  <c r="U351" i="16" a="1"/>
  <c r="U351" i="16" s="1"/>
  <c r="V351" i="16"/>
  <c r="D352" i="16"/>
  <c r="E352" i="16" a="1"/>
  <c r="E352" i="16" s="1"/>
  <c r="G352" i="16"/>
  <c r="H352" i="16" s="1"/>
  <c r="I352" i="16"/>
  <c r="N352" i="16"/>
  <c r="M352" i="16" s="1"/>
  <c r="Q352" i="16"/>
  <c r="S352" i="16"/>
  <c r="T352" i="16"/>
  <c r="U352" i="16" a="1"/>
  <c r="U352" i="16" s="1"/>
  <c r="V352" i="16"/>
  <c r="D353" i="16"/>
  <c r="E353" i="16" a="1"/>
  <c r="E353" i="16" s="1"/>
  <c r="G353" i="16"/>
  <c r="H353" i="16" s="1"/>
  <c r="I353" i="16"/>
  <c r="N353" i="16"/>
  <c r="M353" i="16" s="1"/>
  <c r="Q353" i="16"/>
  <c r="S353" i="16"/>
  <c r="T353" i="16"/>
  <c r="U353" i="16" a="1"/>
  <c r="U353" i="16" s="1"/>
  <c r="V353" i="16"/>
  <c r="D354" i="16"/>
  <c r="E354" i="16" a="1"/>
  <c r="E354" i="16" s="1"/>
  <c r="G354" i="16"/>
  <c r="H354" i="16" s="1"/>
  <c r="I354" i="16"/>
  <c r="N354" i="16"/>
  <c r="Q354" i="16"/>
  <c r="S354" i="16"/>
  <c r="T354" i="16"/>
  <c r="U354" i="16" a="1"/>
  <c r="U354" i="16" s="1"/>
  <c r="V354" i="16"/>
  <c r="D355" i="16"/>
  <c r="E355" i="16" a="1"/>
  <c r="E355" i="16" s="1"/>
  <c r="G355" i="16"/>
  <c r="H355" i="16" s="1"/>
  <c r="I355" i="16"/>
  <c r="N355" i="16"/>
  <c r="Q355" i="16"/>
  <c r="S355" i="16"/>
  <c r="T355" i="16"/>
  <c r="U355" i="16" a="1"/>
  <c r="U355" i="16" s="1"/>
  <c r="V355" i="16"/>
  <c r="D356" i="16"/>
  <c r="E356" i="16" a="1"/>
  <c r="E356" i="16" s="1"/>
  <c r="G356" i="16"/>
  <c r="H356" i="16" s="1"/>
  <c r="I356" i="16"/>
  <c r="N356" i="16"/>
  <c r="Q356" i="16"/>
  <c r="S356" i="16"/>
  <c r="T356" i="16"/>
  <c r="U356" i="16" a="1"/>
  <c r="U356" i="16" s="1"/>
  <c r="V356" i="16"/>
  <c r="D357" i="16"/>
  <c r="E357" i="16" a="1"/>
  <c r="E357" i="16" s="1"/>
  <c r="G357" i="16"/>
  <c r="H357" i="16" s="1"/>
  <c r="I357" i="16"/>
  <c r="N357" i="16"/>
  <c r="V357" i="16" s="1"/>
  <c r="Q357" i="16"/>
  <c r="S357" i="16"/>
  <c r="T357" i="16"/>
  <c r="U357" i="16" a="1"/>
  <c r="U357" i="16" s="1"/>
  <c r="D358" i="16"/>
  <c r="E358" i="16" a="1"/>
  <c r="E358" i="16" s="1"/>
  <c r="G358" i="16"/>
  <c r="H358" i="16" s="1"/>
  <c r="I358" i="16"/>
  <c r="N358" i="16"/>
  <c r="Q358" i="16"/>
  <c r="S358" i="16"/>
  <c r="T358" i="16"/>
  <c r="U358" i="16" a="1"/>
  <c r="U358" i="16" s="1"/>
  <c r="V358" i="16"/>
  <c r="D359" i="16"/>
  <c r="E359" i="16" a="1"/>
  <c r="E359" i="16" s="1"/>
  <c r="G359" i="16"/>
  <c r="H359" i="16" s="1"/>
  <c r="I359" i="16"/>
  <c r="N359" i="16"/>
  <c r="M359" i="16" s="1"/>
  <c r="Q359" i="16"/>
  <c r="S359" i="16"/>
  <c r="T359" i="16"/>
  <c r="U359" i="16" a="1"/>
  <c r="U359" i="16" s="1"/>
  <c r="V359" i="16"/>
  <c r="D360" i="16"/>
  <c r="E360" i="16" a="1"/>
  <c r="E360" i="16" s="1"/>
  <c r="G360" i="16"/>
  <c r="H360" i="16" s="1"/>
  <c r="I360" i="16"/>
  <c r="N360" i="16"/>
  <c r="Q360" i="16"/>
  <c r="S360" i="16"/>
  <c r="T360" i="16"/>
  <c r="U360" i="16" a="1"/>
  <c r="U360" i="16" s="1"/>
  <c r="V360" i="16"/>
  <c r="D361" i="16"/>
  <c r="E361" i="16" a="1"/>
  <c r="E361" i="16" s="1"/>
  <c r="G361" i="16"/>
  <c r="H361" i="16" s="1"/>
  <c r="I361" i="16"/>
  <c r="N361" i="16"/>
  <c r="M361" i="16" s="1"/>
  <c r="Q361" i="16"/>
  <c r="S361" i="16"/>
  <c r="T361" i="16"/>
  <c r="U361" i="16" a="1"/>
  <c r="U361" i="16" s="1"/>
  <c r="V361" i="16"/>
  <c r="D362" i="16"/>
  <c r="E362" i="16" a="1"/>
  <c r="E362" i="16" s="1"/>
  <c r="G362" i="16"/>
  <c r="H362" i="16" s="1"/>
  <c r="I362" i="16"/>
  <c r="N362" i="16"/>
  <c r="Q362" i="16"/>
  <c r="S362" i="16"/>
  <c r="T362" i="16"/>
  <c r="U362" i="16" a="1"/>
  <c r="U362" i="16" s="1"/>
  <c r="V362" i="16"/>
  <c r="D363" i="16"/>
  <c r="E363" i="16" a="1"/>
  <c r="E363" i="16" s="1"/>
  <c r="G363" i="16"/>
  <c r="H363" i="16" s="1"/>
  <c r="I363" i="16"/>
  <c r="N363" i="16"/>
  <c r="V363" i="16" s="1"/>
  <c r="Q363" i="16"/>
  <c r="S363" i="16"/>
  <c r="T363" i="16"/>
  <c r="U363" i="16" a="1"/>
  <c r="U363" i="16" s="1"/>
  <c r="D364" i="16"/>
  <c r="E364" i="16" a="1"/>
  <c r="E364" i="16" s="1"/>
  <c r="G364" i="16"/>
  <c r="H364" i="16" s="1"/>
  <c r="I364" i="16"/>
  <c r="N364" i="16"/>
  <c r="M364" i="16" s="1"/>
  <c r="Q364" i="16"/>
  <c r="S364" i="16"/>
  <c r="T364" i="16"/>
  <c r="U364" i="16" a="1"/>
  <c r="U364" i="16" s="1"/>
  <c r="V364" i="16"/>
  <c r="D365" i="16"/>
  <c r="E365" i="16" a="1"/>
  <c r="E365" i="16" s="1"/>
  <c r="G365" i="16"/>
  <c r="H365" i="16" s="1"/>
  <c r="I365" i="16"/>
  <c r="N365" i="16"/>
  <c r="M365" i="16" s="1"/>
  <c r="Q365" i="16"/>
  <c r="S365" i="16"/>
  <c r="T365" i="16"/>
  <c r="U365" i="16" a="1"/>
  <c r="U365" i="16" s="1"/>
  <c r="V365" i="16"/>
  <c r="D366" i="16"/>
  <c r="E366" i="16" a="1"/>
  <c r="E366" i="16" s="1"/>
  <c r="G366" i="16"/>
  <c r="H366" i="16" s="1"/>
  <c r="I366" i="16"/>
  <c r="N366" i="16"/>
  <c r="Q366" i="16"/>
  <c r="S366" i="16"/>
  <c r="T366" i="16"/>
  <c r="U366" i="16" a="1"/>
  <c r="U366" i="16" s="1"/>
  <c r="V366" i="16"/>
  <c r="D367" i="16"/>
  <c r="E367" i="16" a="1"/>
  <c r="E367" i="16" s="1"/>
  <c r="G367" i="16"/>
  <c r="H367" i="16" s="1"/>
  <c r="I367" i="16"/>
  <c r="N367" i="16"/>
  <c r="Q367" i="16"/>
  <c r="S367" i="16"/>
  <c r="T367" i="16"/>
  <c r="U367" i="16" a="1"/>
  <c r="U367" i="16" s="1"/>
  <c r="V367" i="16"/>
  <c r="D368" i="16"/>
  <c r="E368" i="16" a="1"/>
  <c r="E368" i="16" s="1"/>
  <c r="G368" i="16"/>
  <c r="H368" i="16" s="1"/>
  <c r="I368" i="16"/>
  <c r="N368" i="16"/>
  <c r="M368" i="16" s="1"/>
  <c r="Q368" i="16"/>
  <c r="S368" i="16"/>
  <c r="T368" i="16"/>
  <c r="U368" i="16" a="1"/>
  <c r="U368" i="16" s="1"/>
  <c r="V368" i="16"/>
  <c r="D369" i="16"/>
  <c r="E369" i="16" a="1"/>
  <c r="E369" i="16" s="1"/>
  <c r="G369" i="16"/>
  <c r="H369" i="16" s="1"/>
  <c r="I369" i="16"/>
  <c r="N369" i="16"/>
  <c r="M369" i="16" s="1"/>
  <c r="Q369" i="16"/>
  <c r="S369" i="16"/>
  <c r="T369" i="16"/>
  <c r="U369" i="16" a="1"/>
  <c r="U369" i="16" s="1"/>
  <c r="D370" i="16"/>
  <c r="E370" i="16" a="1"/>
  <c r="E370" i="16" s="1"/>
  <c r="G370" i="16"/>
  <c r="H370" i="16" s="1"/>
  <c r="I370" i="16"/>
  <c r="N370" i="16"/>
  <c r="M370" i="16" s="1"/>
  <c r="Q370" i="16"/>
  <c r="S370" i="16"/>
  <c r="T370" i="16"/>
  <c r="U370" i="16" a="1"/>
  <c r="U370" i="16" s="1"/>
  <c r="V370" i="16"/>
  <c r="D371" i="16"/>
  <c r="E371" i="16" a="1"/>
  <c r="E371" i="16" s="1"/>
  <c r="G371" i="16"/>
  <c r="H371" i="16" s="1"/>
  <c r="I371" i="16"/>
  <c r="N371" i="16"/>
  <c r="Q371" i="16"/>
  <c r="S371" i="16"/>
  <c r="T371" i="16"/>
  <c r="U371" i="16" a="1"/>
  <c r="U371" i="16" s="1"/>
  <c r="V371" i="16"/>
  <c r="D372" i="16"/>
  <c r="E372" i="16" a="1"/>
  <c r="E372" i="16" s="1"/>
  <c r="G372" i="16"/>
  <c r="H372" i="16" s="1"/>
  <c r="I372" i="16"/>
  <c r="N372" i="16"/>
  <c r="Q372" i="16"/>
  <c r="S372" i="16"/>
  <c r="T372" i="16"/>
  <c r="U372" i="16" a="1"/>
  <c r="U372" i="16" s="1"/>
  <c r="V372" i="16"/>
  <c r="D373" i="16"/>
  <c r="E373" i="16" a="1"/>
  <c r="E373" i="16" s="1"/>
  <c r="G373" i="16"/>
  <c r="H373" i="16" s="1"/>
  <c r="I373" i="16"/>
  <c r="N373" i="16"/>
  <c r="M373" i="16" s="1"/>
  <c r="Q373" i="16"/>
  <c r="S373" i="16"/>
  <c r="T373" i="16"/>
  <c r="U373" i="16" a="1"/>
  <c r="U373" i="16" s="1"/>
  <c r="V373" i="16"/>
  <c r="D374" i="16"/>
  <c r="E374" i="16" a="1"/>
  <c r="E374" i="16" s="1"/>
  <c r="G374" i="16"/>
  <c r="H374" i="16" s="1"/>
  <c r="I374" i="16"/>
  <c r="N374" i="16"/>
  <c r="Q374" i="16"/>
  <c r="S374" i="16"/>
  <c r="T374" i="16"/>
  <c r="U374" i="16" a="1"/>
  <c r="U374" i="16" s="1"/>
  <c r="V374" i="16"/>
  <c r="D375" i="16"/>
  <c r="E375" i="16" a="1"/>
  <c r="E375" i="16" s="1"/>
  <c r="G375" i="16"/>
  <c r="H375" i="16" s="1"/>
  <c r="I375" i="16"/>
  <c r="N375" i="16"/>
  <c r="M375" i="16" s="1"/>
  <c r="Q375" i="16"/>
  <c r="S375" i="16"/>
  <c r="V375" i="16"/>
  <c r="D376" i="16"/>
  <c r="E376" i="16" a="1"/>
  <c r="E376" i="16" s="1"/>
  <c r="G376" i="16"/>
  <c r="H376" i="16" s="1"/>
  <c r="I376" i="16"/>
  <c r="N376" i="16"/>
  <c r="Q376" i="16"/>
  <c r="S376" i="16"/>
  <c r="T376" i="16"/>
  <c r="U376" i="16" a="1"/>
  <c r="U376" i="16" s="1"/>
  <c r="V376" i="16"/>
  <c r="D377" i="16"/>
  <c r="E377" i="16" a="1"/>
  <c r="E377" i="16" s="1"/>
  <c r="G377" i="16"/>
  <c r="H377" i="16" s="1"/>
  <c r="I377" i="16"/>
  <c r="N377" i="16"/>
  <c r="M377" i="16" s="1"/>
  <c r="Q377" i="16"/>
  <c r="S377" i="16"/>
  <c r="T377" i="16"/>
  <c r="U377" i="16" a="1"/>
  <c r="U377" i="16" s="1"/>
  <c r="V377" i="16"/>
  <c r="D378" i="16"/>
  <c r="E378" i="16" a="1"/>
  <c r="E378" i="16" s="1"/>
  <c r="G378" i="16"/>
  <c r="H378" i="16" s="1"/>
  <c r="I378" i="16"/>
  <c r="N378" i="16"/>
  <c r="M378" i="16" s="1"/>
  <c r="Q378" i="16"/>
  <c r="S378" i="16"/>
  <c r="T378" i="16"/>
  <c r="U378" i="16" a="1"/>
  <c r="U378" i="16" s="1"/>
  <c r="V378" i="16"/>
  <c r="D380" i="16"/>
  <c r="E380" i="16" a="1"/>
  <c r="E380" i="16" s="1"/>
  <c r="G380" i="16"/>
  <c r="H380" i="16" s="1"/>
  <c r="I380" i="16"/>
  <c r="N380" i="16"/>
  <c r="M380" i="16" s="1"/>
  <c r="Q380" i="16"/>
  <c r="S380" i="16"/>
  <c r="T380" i="16"/>
  <c r="U380" i="16" a="1"/>
  <c r="U380" i="16" s="1"/>
  <c r="V380" i="16"/>
  <c r="D381" i="16"/>
  <c r="E381" i="16" a="1"/>
  <c r="E381" i="16" s="1"/>
  <c r="G381" i="16"/>
  <c r="H381" i="16" s="1"/>
  <c r="I381" i="16"/>
  <c r="N381" i="16"/>
  <c r="V381" i="16" s="1"/>
  <c r="Q381" i="16"/>
  <c r="S381" i="16"/>
  <c r="T381" i="16"/>
  <c r="U381" i="16" a="1"/>
  <c r="U381" i="16" s="1"/>
  <c r="D382" i="16"/>
  <c r="E382" i="16" a="1"/>
  <c r="E382" i="16" s="1"/>
  <c r="G382" i="16"/>
  <c r="H382" i="16" s="1"/>
  <c r="I382" i="16"/>
  <c r="N382" i="16"/>
  <c r="M382" i="16" s="1"/>
  <c r="Q382" i="16"/>
  <c r="S382" i="16"/>
  <c r="T382" i="16"/>
  <c r="U382" i="16" a="1"/>
  <c r="U382" i="16" s="1"/>
  <c r="D383" i="16"/>
  <c r="E383" i="16" a="1"/>
  <c r="E383" i="16" s="1"/>
  <c r="G383" i="16"/>
  <c r="H383" i="16" s="1"/>
  <c r="I383" i="16"/>
  <c r="N383" i="16"/>
  <c r="Q383" i="16"/>
  <c r="S383" i="16"/>
  <c r="T383" i="16"/>
  <c r="U383" i="16" a="1"/>
  <c r="U383" i="16" s="1"/>
  <c r="V383" i="16"/>
  <c r="D384" i="16"/>
  <c r="E384" i="16" a="1"/>
  <c r="E384" i="16" s="1"/>
  <c r="G384" i="16"/>
  <c r="H384" i="16" s="1"/>
  <c r="I384" i="16"/>
  <c r="N384" i="16"/>
  <c r="M384" i="16" s="1"/>
  <c r="Q384" i="16"/>
  <c r="S384" i="16"/>
  <c r="T384" i="16"/>
  <c r="U384" i="16" a="1"/>
  <c r="U384" i="16" s="1"/>
  <c r="V384" i="16"/>
  <c r="D385" i="16"/>
  <c r="E385" i="16" a="1"/>
  <c r="E385" i="16" s="1"/>
  <c r="G385" i="16"/>
  <c r="H385" i="16" s="1"/>
  <c r="I385" i="16"/>
  <c r="N385" i="16"/>
  <c r="Q385" i="16"/>
  <c r="S385" i="16"/>
  <c r="T385" i="16"/>
  <c r="U385" i="16" a="1"/>
  <c r="U385" i="16" s="1"/>
  <c r="D386" i="16"/>
  <c r="E386" i="16" a="1"/>
  <c r="E386" i="16" s="1"/>
  <c r="G386" i="16"/>
  <c r="H386" i="16" s="1"/>
  <c r="I386" i="16"/>
  <c r="N386" i="16"/>
  <c r="M386" i="16" s="1"/>
  <c r="Q386" i="16"/>
  <c r="S386" i="16"/>
  <c r="T386" i="16"/>
  <c r="U386" i="16" a="1"/>
  <c r="U386" i="16" s="1"/>
  <c r="V386" i="16"/>
  <c r="D387" i="16"/>
  <c r="E387" i="16" a="1"/>
  <c r="E387" i="16" s="1"/>
  <c r="G387" i="16"/>
  <c r="H387" i="16" s="1"/>
  <c r="I387" i="16"/>
  <c r="N387" i="16"/>
  <c r="M387" i="16" s="1"/>
  <c r="Q387" i="16"/>
  <c r="S387" i="16"/>
  <c r="T387" i="16"/>
  <c r="U387" i="16" a="1"/>
  <c r="U387" i="16" s="1"/>
  <c r="V387" i="16"/>
  <c r="D388" i="16"/>
  <c r="E388" i="16" a="1"/>
  <c r="E388" i="16" s="1"/>
  <c r="G388" i="16"/>
  <c r="H388" i="16" s="1"/>
  <c r="I388" i="16"/>
  <c r="N388" i="16"/>
  <c r="M388" i="16" s="1"/>
  <c r="Q388" i="16"/>
  <c r="S388" i="16"/>
  <c r="T388" i="16"/>
  <c r="U388" i="16" a="1"/>
  <c r="U388" i="16" s="1"/>
  <c r="V388" i="16"/>
  <c r="D389" i="16"/>
  <c r="E389" i="16" a="1"/>
  <c r="E389" i="16" s="1"/>
  <c r="G389" i="16"/>
  <c r="H389" i="16" s="1"/>
  <c r="I389" i="16"/>
  <c r="N389" i="16"/>
  <c r="M389" i="16" s="1"/>
  <c r="Q389" i="16"/>
  <c r="S389" i="16"/>
  <c r="T389" i="16"/>
  <c r="U389" i="16" a="1"/>
  <c r="U389" i="16" s="1"/>
  <c r="V389" i="16"/>
  <c r="D390" i="16"/>
  <c r="E390" i="16" a="1"/>
  <c r="E390" i="16" s="1"/>
  <c r="G390" i="16"/>
  <c r="H390" i="16" s="1"/>
  <c r="I390" i="16"/>
  <c r="N390" i="16"/>
  <c r="M390" i="16" s="1"/>
  <c r="Q390" i="16"/>
  <c r="S390" i="16"/>
  <c r="T390" i="16"/>
  <c r="U390" i="16" a="1"/>
  <c r="U390" i="16" s="1"/>
  <c r="V390" i="16"/>
  <c r="D391" i="16"/>
  <c r="E391" i="16" a="1"/>
  <c r="E391" i="16" s="1"/>
  <c r="G391" i="16"/>
  <c r="H391" i="16" s="1"/>
  <c r="I391" i="16"/>
  <c r="N391" i="16"/>
  <c r="M391" i="16" s="1"/>
  <c r="Q391" i="16"/>
  <c r="S391" i="16"/>
  <c r="T391" i="16"/>
  <c r="U391" i="16" a="1"/>
  <c r="U391" i="16" s="1"/>
  <c r="V391" i="16"/>
  <c r="D392" i="16"/>
  <c r="E392" i="16" a="1"/>
  <c r="E392" i="16" s="1"/>
  <c r="G392" i="16"/>
  <c r="H392" i="16" s="1"/>
  <c r="I392" i="16"/>
  <c r="N392" i="16"/>
  <c r="M392" i="16" s="1"/>
  <c r="Q392" i="16"/>
  <c r="S392" i="16"/>
  <c r="T392" i="16"/>
  <c r="U392" i="16" a="1"/>
  <c r="U392" i="16" s="1"/>
  <c r="V392" i="16"/>
  <c r="D393" i="16"/>
  <c r="E393" i="16" a="1"/>
  <c r="E393" i="16" s="1"/>
  <c r="G393" i="16"/>
  <c r="H393" i="16" s="1"/>
  <c r="I393" i="16"/>
  <c r="N393" i="16"/>
  <c r="M393" i="16" s="1"/>
  <c r="Q393" i="16"/>
  <c r="S393" i="16"/>
  <c r="T393" i="16"/>
  <c r="U393" i="16" a="1"/>
  <c r="U393" i="16" s="1"/>
  <c r="V393" i="16"/>
  <c r="D394" i="16"/>
  <c r="E394" i="16" a="1"/>
  <c r="E394" i="16" s="1"/>
  <c r="G394" i="16"/>
  <c r="H394" i="16" s="1"/>
  <c r="I394" i="16"/>
  <c r="N394" i="16"/>
  <c r="Q394" i="16"/>
  <c r="S394" i="16"/>
  <c r="T394" i="16"/>
  <c r="U394" i="16" a="1"/>
  <c r="U394" i="16" s="1"/>
  <c r="V394" i="16"/>
  <c r="D395" i="16"/>
  <c r="E395" i="16" a="1"/>
  <c r="E395" i="16" s="1"/>
  <c r="G395" i="16"/>
  <c r="H395" i="16" s="1"/>
  <c r="I395" i="16"/>
  <c r="N395" i="16"/>
  <c r="M395" i="16" s="1"/>
  <c r="Q395" i="16"/>
  <c r="S395" i="16"/>
  <c r="T395" i="16"/>
  <c r="U395" i="16" a="1"/>
  <c r="U395" i="16" s="1"/>
  <c r="V395" i="16"/>
  <c r="D396" i="16"/>
  <c r="E396" i="16" a="1"/>
  <c r="E396" i="16" s="1"/>
  <c r="G396" i="16"/>
  <c r="H396" i="16" s="1"/>
  <c r="I396" i="16"/>
  <c r="N396" i="16"/>
  <c r="Q396" i="16"/>
  <c r="S396" i="16"/>
  <c r="T396" i="16"/>
  <c r="U396" i="16" a="1"/>
  <c r="U396" i="16" s="1"/>
  <c r="V396" i="16"/>
  <c r="D397" i="16"/>
  <c r="E397" i="16" a="1"/>
  <c r="E397" i="16" s="1"/>
  <c r="G397" i="16"/>
  <c r="H397" i="16" s="1"/>
  <c r="I397" i="16"/>
  <c r="N397" i="16"/>
  <c r="M397" i="16" s="1"/>
  <c r="Q397" i="16"/>
  <c r="S397" i="16"/>
  <c r="T397" i="16"/>
  <c r="U397" i="16" a="1"/>
  <c r="U397" i="16" s="1"/>
  <c r="V397" i="16"/>
  <c r="D398" i="16"/>
  <c r="E398" i="16" a="1"/>
  <c r="E398" i="16" s="1"/>
  <c r="G398" i="16"/>
  <c r="H398" i="16" s="1"/>
  <c r="I398" i="16"/>
  <c r="N398" i="16"/>
  <c r="Q398" i="16"/>
  <c r="S398" i="16"/>
  <c r="T398" i="16"/>
  <c r="U398" i="16" a="1"/>
  <c r="U398" i="16" s="1"/>
  <c r="V398" i="16"/>
  <c r="D399" i="16"/>
  <c r="E399" i="16" a="1"/>
  <c r="E399" i="16" s="1"/>
  <c r="G399" i="16"/>
  <c r="H399" i="16" s="1"/>
  <c r="I399" i="16"/>
  <c r="N399" i="16"/>
  <c r="Q399" i="16"/>
  <c r="S399" i="16"/>
  <c r="T399" i="16"/>
  <c r="U399" i="16" a="1"/>
  <c r="U399" i="16" s="1"/>
  <c r="V399" i="16"/>
  <c r="D400" i="16"/>
  <c r="E400" i="16" a="1"/>
  <c r="E400" i="16" s="1"/>
  <c r="G400" i="16"/>
  <c r="H400" i="16" s="1"/>
  <c r="I400" i="16"/>
  <c r="N400" i="16"/>
  <c r="M400" i="16" s="1"/>
  <c r="Q400" i="16"/>
  <c r="S400" i="16"/>
  <c r="T400" i="16"/>
  <c r="U400" i="16" a="1"/>
  <c r="U400" i="16" s="1"/>
  <c r="V400" i="16"/>
  <c r="D401" i="16"/>
  <c r="E401" i="16" a="1"/>
  <c r="E401" i="16" s="1"/>
  <c r="G401" i="16"/>
  <c r="H401" i="16" s="1"/>
  <c r="I401" i="16"/>
  <c r="N401" i="16"/>
  <c r="M401" i="16" s="1"/>
  <c r="Q401" i="16"/>
  <c r="S401" i="16"/>
  <c r="T401" i="16"/>
  <c r="U401" i="16" a="1"/>
  <c r="U401" i="16" s="1"/>
  <c r="D402" i="16"/>
  <c r="E402" i="16" a="1"/>
  <c r="E402" i="16" s="1"/>
  <c r="G402" i="16"/>
  <c r="H402" i="16" s="1"/>
  <c r="I402" i="16"/>
  <c r="N402" i="16"/>
  <c r="Q402" i="16"/>
  <c r="S402" i="16"/>
  <c r="T402" i="16"/>
  <c r="U402" i="16" a="1"/>
  <c r="U402" i="16" s="1"/>
  <c r="V402" i="16"/>
  <c r="D403" i="16"/>
  <c r="E403" i="16" a="1"/>
  <c r="E403" i="16" s="1"/>
  <c r="G403" i="16"/>
  <c r="H403" i="16" s="1"/>
  <c r="I403" i="16"/>
  <c r="N403" i="16"/>
  <c r="M403" i="16" s="1"/>
  <c r="Q403" i="16"/>
  <c r="S403" i="16"/>
  <c r="T403" i="16"/>
  <c r="U403" i="16" a="1"/>
  <c r="U403" i="16" s="1"/>
  <c r="V403" i="16"/>
  <c r="D404" i="16"/>
  <c r="E404" i="16" a="1"/>
  <c r="E404" i="16" s="1"/>
  <c r="G404" i="16"/>
  <c r="H404" i="16" s="1"/>
  <c r="I404" i="16"/>
  <c r="N404" i="16"/>
  <c r="Q404" i="16"/>
  <c r="S404" i="16"/>
  <c r="T404" i="16"/>
  <c r="U404" i="16" a="1"/>
  <c r="U404" i="16" s="1"/>
  <c r="V404" i="16"/>
  <c r="D405" i="16"/>
  <c r="E405" i="16" a="1"/>
  <c r="E405" i="16" s="1"/>
  <c r="G405" i="16"/>
  <c r="H405" i="16" s="1"/>
  <c r="I405" i="16"/>
  <c r="N405" i="16"/>
  <c r="M405" i="16" s="1"/>
  <c r="Q405" i="16"/>
  <c r="S405" i="16"/>
  <c r="T405" i="16"/>
  <c r="U405" i="16" a="1"/>
  <c r="U405" i="16" s="1"/>
  <c r="V405" i="16"/>
  <c r="D406" i="16"/>
  <c r="E406" i="16" a="1"/>
  <c r="E406" i="16" s="1"/>
  <c r="G406" i="16"/>
  <c r="H406" i="16" s="1"/>
  <c r="I406" i="16"/>
  <c r="N406" i="16"/>
  <c r="M406" i="16" s="1"/>
  <c r="Q406" i="16"/>
  <c r="S406" i="16"/>
  <c r="T406" i="16"/>
  <c r="U406" i="16" a="1"/>
  <c r="U406" i="16" s="1"/>
  <c r="V406" i="16"/>
  <c r="D407" i="16"/>
  <c r="E407" i="16" a="1"/>
  <c r="E407" i="16" s="1"/>
  <c r="G407" i="16"/>
  <c r="H407" i="16" s="1"/>
  <c r="I407" i="16"/>
  <c r="N407" i="16"/>
  <c r="Q407" i="16"/>
  <c r="S407" i="16"/>
  <c r="T407" i="16"/>
  <c r="U407" i="16" a="1"/>
  <c r="U407" i="16" s="1"/>
  <c r="V407" i="16"/>
  <c r="D408" i="16"/>
  <c r="E408" i="16" a="1"/>
  <c r="E408" i="16" s="1"/>
  <c r="G408" i="16"/>
  <c r="H408" i="16" s="1"/>
  <c r="I408" i="16"/>
  <c r="N408" i="16"/>
  <c r="M408" i="16" s="1"/>
  <c r="Q408" i="16"/>
  <c r="S408" i="16"/>
  <c r="T408" i="16"/>
  <c r="U408" i="16" a="1"/>
  <c r="U408" i="16" s="1"/>
  <c r="V408" i="16"/>
  <c r="D409" i="16"/>
  <c r="E409" i="16" a="1"/>
  <c r="E409" i="16" s="1"/>
  <c r="G409" i="16"/>
  <c r="H409" i="16" s="1"/>
  <c r="I409" i="16"/>
  <c r="N409" i="16"/>
  <c r="M409" i="16" s="1"/>
  <c r="Q409" i="16"/>
  <c r="S409" i="16"/>
  <c r="T409" i="16"/>
  <c r="U409" i="16" a="1"/>
  <c r="U409" i="16" s="1"/>
  <c r="D410" i="16"/>
  <c r="E410" i="16" a="1"/>
  <c r="E410" i="16" s="1"/>
  <c r="G410" i="16"/>
  <c r="H410" i="16" s="1"/>
  <c r="I410" i="16"/>
  <c r="N410" i="16"/>
  <c r="M410" i="16" s="1"/>
  <c r="Q410" i="16"/>
  <c r="S410" i="16"/>
  <c r="T410" i="16"/>
  <c r="U410" i="16" a="1"/>
  <c r="U410" i="16" s="1"/>
  <c r="V410" i="16"/>
  <c r="D411" i="16"/>
  <c r="E411" i="16" a="1"/>
  <c r="E411" i="16" s="1"/>
  <c r="G411" i="16"/>
  <c r="H411" i="16" s="1"/>
  <c r="I411" i="16"/>
  <c r="N411" i="16"/>
  <c r="M411" i="16" s="1"/>
  <c r="Q411" i="16"/>
  <c r="S411" i="16"/>
  <c r="V411" i="16"/>
  <c r="D412" i="16"/>
  <c r="E412" i="16" a="1"/>
  <c r="E412" i="16" s="1"/>
  <c r="G412" i="16"/>
  <c r="H412" i="16" s="1"/>
  <c r="I412" i="16"/>
  <c r="N412" i="16"/>
  <c r="Q412" i="16"/>
  <c r="S412" i="16"/>
  <c r="T412" i="16"/>
  <c r="U412" i="16" a="1"/>
  <c r="U412" i="16" s="1"/>
  <c r="V412" i="16"/>
  <c r="D413" i="16"/>
  <c r="E413" i="16" a="1"/>
  <c r="E413" i="16" s="1"/>
  <c r="G413" i="16"/>
  <c r="H413" i="16" s="1"/>
  <c r="I413" i="16"/>
  <c r="N413" i="16"/>
  <c r="M413" i="16" s="1"/>
  <c r="Q413" i="16"/>
  <c r="S413" i="16"/>
  <c r="T413" i="16"/>
  <c r="U413" i="16" a="1"/>
  <c r="U413" i="16" s="1"/>
  <c r="V413" i="16"/>
  <c r="D414" i="16"/>
  <c r="E414" i="16" a="1"/>
  <c r="E414" i="16" s="1"/>
  <c r="G414" i="16"/>
  <c r="H414" i="16" s="1"/>
  <c r="I414" i="16"/>
  <c r="N414" i="16"/>
  <c r="M414" i="16" s="1"/>
  <c r="Q414" i="16"/>
  <c r="S414" i="16"/>
  <c r="T414" i="16"/>
  <c r="U414" i="16" a="1"/>
  <c r="U414" i="16" s="1"/>
  <c r="D415" i="16"/>
  <c r="E415" i="16" a="1"/>
  <c r="E415" i="16" s="1"/>
  <c r="G415" i="16"/>
  <c r="H415" i="16" s="1"/>
  <c r="I415" i="16"/>
  <c r="N415" i="16"/>
  <c r="Q415" i="16"/>
  <c r="S415" i="16"/>
  <c r="T415" i="16"/>
  <c r="U415" i="16" a="1"/>
  <c r="U415" i="16" s="1"/>
  <c r="V415" i="16"/>
  <c r="D416" i="16"/>
  <c r="E416" i="16" a="1"/>
  <c r="E416" i="16" s="1"/>
  <c r="G416" i="16"/>
  <c r="H416" i="16" s="1"/>
  <c r="I416" i="16"/>
  <c r="N416" i="16"/>
  <c r="Q416" i="16"/>
  <c r="S416" i="16"/>
  <c r="T416" i="16"/>
  <c r="U416" i="16" a="1"/>
  <c r="U416" i="16" s="1"/>
  <c r="V416" i="16"/>
  <c r="D417" i="16"/>
  <c r="E417" i="16" a="1"/>
  <c r="E417" i="16" s="1"/>
  <c r="G417" i="16"/>
  <c r="H417" i="16" s="1"/>
  <c r="I417" i="16"/>
  <c r="N417" i="16"/>
  <c r="Q417" i="16"/>
  <c r="S417" i="16"/>
  <c r="T417" i="16"/>
  <c r="U417" i="16" a="1"/>
  <c r="U417" i="16" s="1"/>
  <c r="V417" i="16"/>
  <c r="D418" i="16"/>
  <c r="E418" i="16" a="1"/>
  <c r="E418" i="16" s="1"/>
  <c r="G418" i="16"/>
  <c r="H418" i="16" s="1"/>
  <c r="I418" i="16"/>
  <c r="N418" i="16"/>
  <c r="Q418" i="16"/>
  <c r="S418" i="16"/>
  <c r="T418" i="16"/>
  <c r="U418" i="16" a="1"/>
  <c r="U418" i="16" s="1"/>
  <c r="V418" i="16"/>
  <c r="D419" i="16"/>
  <c r="E419" i="16" a="1"/>
  <c r="E419" i="16" s="1"/>
  <c r="G419" i="16"/>
  <c r="H419" i="16" s="1"/>
  <c r="I419" i="16"/>
  <c r="N419" i="16"/>
  <c r="Q419" i="16"/>
  <c r="S419" i="16"/>
  <c r="T419" i="16"/>
  <c r="U419" i="16" a="1"/>
  <c r="U419" i="16" s="1"/>
  <c r="V419" i="16"/>
  <c r="D420" i="16"/>
  <c r="E420" i="16" a="1"/>
  <c r="E420" i="16" s="1"/>
  <c r="G420" i="16"/>
  <c r="H420" i="16" s="1"/>
  <c r="I420" i="16"/>
  <c r="N420" i="16"/>
  <c r="V420" i="16" s="1"/>
  <c r="Q420" i="16"/>
  <c r="S420" i="16"/>
  <c r="T420" i="16"/>
  <c r="U420" i="16" a="1"/>
  <c r="U420" i="16" s="1"/>
  <c r="D421" i="16"/>
  <c r="E421" i="16" a="1"/>
  <c r="E421" i="16" s="1"/>
  <c r="G421" i="16"/>
  <c r="H421" i="16" s="1"/>
  <c r="I421" i="16"/>
  <c r="N421" i="16"/>
  <c r="Q421" i="16"/>
  <c r="S421" i="16"/>
  <c r="T421" i="16"/>
  <c r="U421" i="16" a="1"/>
  <c r="U421" i="16" s="1"/>
  <c r="V421" i="16"/>
  <c r="D422" i="16"/>
  <c r="E422" i="16" a="1"/>
  <c r="E422" i="16" s="1"/>
  <c r="G422" i="16"/>
  <c r="H422" i="16" s="1"/>
  <c r="I422" i="16"/>
  <c r="N422" i="16"/>
  <c r="M422" i="16" s="1"/>
  <c r="Q422" i="16"/>
  <c r="S422" i="16"/>
  <c r="T422" i="16"/>
  <c r="U422" i="16" a="1"/>
  <c r="U422" i="16" s="1"/>
  <c r="V422" i="16"/>
  <c r="D423" i="16"/>
  <c r="E423" i="16" a="1"/>
  <c r="E423" i="16" s="1"/>
  <c r="G423" i="16"/>
  <c r="H423" i="16" s="1"/>
  <c r="I423" i="16"/>
  <c r="N423" i="16"/>
  <c r="M423" i="16" s="1"/>
  <c r="Q423" i="16"/>
  <c r="S423" i="16"/>
  <c r="T423" i="16"/>
  <c r="U423" i="16" a="1"/>
  <c r="U423" i="16" s="1"/>
  <c r="V423" i="16"/>
  <c r="D424" i="16"/>
  <c r="E424" i="16" a="1"/>
  <c r="E424" i="16" s="1"/>
  <c r="G424" i="16"/>
  <c r="H424" i="16" s="1"/>
  <c r="I424" i="16"/>
  <c r="N424" i="16"/>
  <c r="Q424" i="16"/>
  <c r="S424" i="16"/>
  <c r="T424" i="16"/>
  <c r="U424" i="16" a="1"/>
  <c r="U424" i="16" s="1"/>
  <c r="V424" i="16"/>
  <c r="D425" i="16"/>
  <c r="E425" i="16" a="1"/>
  <c r="E425" i="16" s="1"/>
  <c r="G425" i="16"/>
  <c r="H425" i="16" s="1"/>
  <c r="I425" i="16"/>
  <c r="N425" i="16"/>
  <c r="M425" i="16" s="1"/>
  <c r="Q425" i="16"/>
  <c r="S425" i="16"/>
  <c r="T425" i="16"/>
  <c r="U425" i="16" a="1"/>
  <c r="U425" i="16" s="1"/>
  <c r="V425" i="16"/>
  <c r="D426" i="16"/>
  <c r="E426" i="16" a="1"/>
  <c r="E426" i="16" s="1"/>
  <c r="G426" i="16"/>
  <c r="H426" i="16" s="1"/>
  <c r="I426" i="16"/>
  <c r="N426" i="16"/>
  <c r="Q426" i="16"/>
  <c r="S426" i="16"/>
  <c r="V426" i="16"/>
  <c r="D427" i="16"/>
  <c r="E427" i="16" a="1"/>
  <c r="E427" i="16" s="1"/>
  <c r="G427" i="16"/>
  <c r="H427" i="16" s="1"/>
  <c r="I427" i="16"/>
  <c r="N427" i="16"/>
  <c r="M427" i="16" s="1"/>
  <c r="Q427" i="16"/>
  <c r="S427" i="16"/>
  <c r="V427" i="16"/>
  <c r="D428" i="16"/>
  <c r="E428" i="16" a="1"/>
  <c r="E428" i="16" s="1"/>
  <c r="G428" i="16"/>
  <c r="H428" i="16" s="1"/>
  <c r="I428" i="16"/>
  <c r="N428" i="16"/>
  <c r="Q428" i="16"/>
  <c r="S428" i="16"/>
  <c r="T428" i="16"/>
  <c r="U428" i="16" a="1"/>
  <c r="U428" i="16" s="1"/>
  <c r="V428" i="16"/>
  <c r="D429" i="16"/>
  <c r="E429" i="16" a="1"/>
  <c r="E429" i="16" s="1"/>
  <c r="G429" i="16"/>
  <c r="H429" i="16" s="1"/>
  <c r="I429" i="16"/>
  <c r="N429" i="16"/>
  <c r="Q429" i="16"/>
  <c r="S429" i="16"/>
  <c r="T429" i="16"/>
  <c r="U429" i="16" a="1"/>
  <c r="U429" i="16" s="1"/>
  <c r="V429" i="16"/>
  <c r="D430" i="16"/>
  <c r="E430" i="16" a="1"/>
  <c r="E430" i="16" s="1"/>
  <c r="G430" i="16"/>
  <c r="H430" i="16" s="1"/>
  <c r="I430" i="16"/>
  <c r="N430" i="16"/>
  <c r="Q430" i="16"/>
  <c r="S430" i="16"/>
  <c r="T430" i="16"/>
  <c r="U430" i="16" a="1"/>
  <c r="U430" i="16" s="1"/>
  <c r="V430" i="16"/>
  <c r="D431" i="16"/>
  <c r="E431" i="16" a="1"/>
  <c r="E431" i="16" s="1"/>
  <c r="G431" i="16"/>
  <c r="H431" i="16" s="1"/>
  <c r="I431" i="16"/>
  <c r="N431" i="16"/>
  <c r="M431" i="16" s="1"/>
  <c r="Q431" i="16"/>
  <c r="S431" i="16"/>
  <c r="T431" i="16"/>
  <c r="U431" i="16" a="1"/>
  <c r="U431" i="16" s="1"/>
  <c r="D432" i="16"/>
  <c r="E432" i="16" a="1"/>
  <c r="E432" i="16" s="1"/>
  <c r="G432" i="16"/>
  <c r="H432" i="16" s="1"/>
  <c r="I432" i="16"/>
  <c r="N432" i="16"/>
  <c r="V432" i="16" s="1"/>
  <c r="Q432" i="16"/>
  <c r="S432" i="16"/>
  <c r="T432" i="16"/>
  <c r="U432" i="16" a="1"/>
  <c r="U432" i="16" s="1"/>
  <c r="D433" i="16"/>
  <c r="E433" i="16" a="1"/>
  <c r="E433" i="16" s="1"/>
  <c r="G433" i="16"/>
  <c r="H433" i="16" s="1"/>
  <c r="I433" i="16"/>
  <c r="N433" i="16"/>
  <c r="M433" i="16" s="1"/>
  <c r="Q433" i="16"/>
  <c r="S433" i="16"/>
  <c r="T433" i="16"/>
  <c r="U433" i="16" a="1"/>
  <c r="U433" i="16" s="1"/>
  <c r="V433" i="16"/>
  <c r="D434" i="16"/>
  <c r="E434" i="16" a="1"/>
  <c r="E434" i="16" s="1"/>
  <c r="G434" i="16"/>
  <c r="H434" i="16" s="1"/>
  <c r="I434" i="16"/>
  <c r="N434" i="16"/>
  <c r="M434" i="16" s="1"/>
  <c r="Q434" i="16"/>
  <c r="S434" i="16"/>
  <c r="T434" i="16"/>
  <c r="U434" i="16" a="1"/>
  <c r="U434" i="16" s="1"/>
  <c r="V434" i="16"/>
  <c r="D435" i="16"/>
  <c r="E435" i="16" a="1"/>
  <c r="E435" i="16" s="1"/>
  <c r="G435" i="16"/>
  <c r="H435" i="16" s="1"/>
  <c r="I435" i="16"/>
  <c r="N435" i="16"/>
  <c r="M435" i="16" s="1"/>
  <c r="Q435" i="16"/>
  <c r="S435" i="16"/>
  <c r="T435" i="16"/>
  <c r="U435" i="16" a="1"/>
  <c r="U435" i="16" s="1"/>
  <c r="V435" i="16"/>
  <c r="D436" i="16"/>
  <c r="E436" i="16" a="1"/>
  <c r="E436" i="16" s="1"/>
  <c r="G436" i="16"/>
  <c r="H436" i="16" s="1"/>
  <c r="I436" i="16"/>
  <c r="N436" i="16"/>
  <c r="V436" i="16" s="1"/>
  <c r="Q436" i="16"/>
  <c r="S436" i="16"/>
  <c r="T436" i="16"/>
  <c r="U436" i="16" a="1"/>
  <c r="U436" i="16" s="1"/>
  <c r="D437" i="16"/>
  <c r="E437" i="16" a="1"/>
  <c r="E437" i="16" s="1"/>
  <c r="G437" i="16"/>
  <c r="H437" i="16" s="1"/>
  <c r="I437" i="16"/>
  <c r="N437" i="16"/>
  <c r="Q437" i="16"/>
  <c r="S437" i="16"/>
  <c r="T437" i="16"/>
  <c r="U437" i="16" a="1"/>
  <c r="U437" i="16" s="1"/>
  <c r="V437" i="16"/>
  <c r="D438" i="16"/>
  <c r="E438" i="16" a="1"/>
  <c r="E438" i="16" s="1"/>
  <c r="G438" i="16"/>
  <c r="H438" i="16" s="1"/>
  <c r="I438" i="16"/>
  <c r="N438" i="16"/>
  <c r="M438" i="16" s="1"/>
  <c r="Q438" i="16"/>
  <c r="S438" i="16"/>
  <c r="T438" i="16"/>
  <c r="U438" i="16" a="1"/>
  <c r="U438" i="16" s="1"/>
  <c r="V438" i="16"/>
  <c r="D439" i="16"/>
  <c r="E439" i="16" a="1"/>
  <c r="E439" i="16" s="1"/>
  <c r="G439" i="16"/>
  <c r="H439" i="16" s="1"/>
  <c r="I439" i="16"/>
  <c r="N439" i="16"/>
  <c r="M439" i="16" s="1"/>
  <c r="Q439" i="16"/>
  <c r="S439" i="16"/>
  <c r="T439" i="16"/>
  <c r="U439" i="16" a="1"/>
  <c r="U439" i="16" s="1"/>
  <c r="V439" i="16"/>
  <c r="D440" i="16"/>
  <c r="E440" i="16" a="1"/>
  <c r="E440" i="16" s="1"/>
  <c r="G440" i="16"/>
  <c r="H440" i="16" s="1"/>
  <c r="I440" i="16"/>
  <c r="N440" i="16"/>
  <c r="Q440" i="16"/>
  <c r="S440" i="16"/>
  <c r="T440" i="16"/>
  <c r="U440" i="16" a="1"/>
  <c r="U440" i="16" s="1"/>
  <c r="V440" i="16"/>
  <c r="D441" i="16"/>
  <c r="E441" i="16" a="1"/>
  <c r="E441" i="16" s="1"/>
  <c r="G441" i="16"/>
  <c r="H441" i="16" s="1"/>
  <c r="I441" i="16"/>
  <c r="N441" i="16"/>
  <c r="M441" i="16" s="1"/>
  <c r="Q441" i="16"/>
  <c r="S441" i="16"/>
  <c r="T441" i="16"/>
  <c r="U441" i="16" a="1"/>
  <c r="U441" i="16" s="1"/>
  <c r="V441" i="16"/>
  <c r="D442" i="16"/>
  <c r="E442" i="16" a="1"/>
  <c r="E442" i="16" s="1"/>
  <c r="G442" i="16"/>
  <c r="H442" i="16" s="1"/>
  <c r="I442" i="16"/>
  <c r="N442" i="16"/>
  <c r="M442" i="16" s="1"/>
  <c r="Q442" i="16"/>
  <c r="S442" i="16"/>
  <c r="T442" i="16"/>
  <c r="U442" i="16" a="1"/>
  <c r="U442" i="16" s="1"/>
  <c r="V442" i="16"/>
  <c r="D443" i="16"/>
  <c r="E443" i="16" a="1"/>
  <c r="E443" i="16" s="1"/>
  <c r="G443" i="16"/>
  <c r="H443" i="16" s="1"/>
  <c r="I443" i="16"/>
  <c r="N443" i="16"/>
  <c r="Q443" i="16"/>
  <c r="S443" i="16"/>
  <c r="T443" i="16"/>
  <c r="U443" i="16" a="1"/>
  <c r="U443" i="16" s="1"/>
  <c r="V443" i="16"/>
  <c r="D444" i="16"/>
  <c r="E444" i="16" a="1"/>
  <c r="E444" i="16" s="1"/>
  <c r="G444" i="16"/>
  <c r="H444" i="16" s="1"/>
  <c r="I444" i="16"/>
  <c r="N444" i="16"/>
  <c r="Q444" i="16"/>
  <c r="S444" i="16"/>
  <c r="T444" i="16"/>
  <c r="U444" i="16" a="1"/>
  <c r="U444" i="16" s="1"/>
  <c r="V444" i="16"/>
  <c r="D445" i="16"/>
  <c r="E445" i="16" a="1"/>
  <c r="E445" i="16" s="1"/>
  <c r="G445" i="16"/>
  <c r="H445" i="16" s="1"/>
  <c r="I445" i="16"/>
  <c r="N445" i="16"/>
  <c r="M445" i="16" s="1"/>
  <c r="Q445" i="16"/>
  <c r="S445" i="16"/>
  <c r="T445" i="16"/>
  <c r="U445" i="16" a="1"/>
  <c r="U445" i="16" s="1"/>
  <c r="V445" i="16"/>
  <c r="D446" i="16"/>
  <c r="E446" i="16" a="1"/>
  <c r="E446" i="16" s="1"/>
  <c r="G446" i="16"/>
  <c r="H446" i="16" s="1"/>
  <c r="I446" i="16"/>
  <c r="N446" i="16"/>
  <c r="Q446" i="16"/>
  <c r="S446" i="16"/>
  <c r="T446" i="16"/>
  <c r="U446" i="16" a="1"/>
  <c r="U446" i="16" s="1"/>
  <c r="V446" i="16"/>
  <c r="D447" i="16"/>
  <c r="E447" i="16" a="1"/>
  <c r="E447" i="16" s="1"/>
  <c r="G447" i="16"/>
  <c r="H447" i="16" s="1"/>
  <c r="I447" i="16"/>
  <c r="N447" i="16"/>
  <c r="M447" i="16" s="1"/>
  <c r="Q447" i="16"/>
  <c r="S447" i="16"/>
  <c r="T447" i="16"/>
  <c r="U447" i="16" a="1"/>
  <c r="U447" i="16" s="1"/>
  <c r="V447" i="16"/>
  <c r="D448" i="16"/>
  <c r="E448" i="16" a="1"/>
  <c r="E448" i="16" s="1"/>
  <c r="G448" i="16"/>
  <c r="H448" i="16" s="1"/>
  <c r="I448" i="16"/>
  <c r="N448" i="16"/>
  <c r="Q448" i="16"/>
  <c r="S448" i="16"/>
  <c r="T448" i="16"/>
  <c r="U448" i="16" a="1"/>
  <c r="U448" i="16" s="1"/>
  <c r="V448" i="16"/>
  <c r="D449" i="16"/>
  <c r="E449" i="16" a="1"/>
  <c r="E449" i="16" s="1"/>
  <c r="G449" i="16"/>
  <c r="H449" i="16" s="1"/>
  <c r="I449" i="16"/>
  <c r="N449" i="16"/>
  <c r="Q449" i="16"/>
  <c r="S449" i="16"/>
  <c r="T449" i="16"/>
  <c r="U449" i="16" a="1"/>
  <c r="U449" i="16" s="1"/>
  <c r="V449" i="16"/>
  <c r="D450" i="16"/>
  <c r="E450" i="16" a="1"/>
  <c r="E450" i="16" s="1"/>
  <c r="G450" i="16"/>
  <c r="H450" i="16" s="1"/>
  <c r="I450" i="16"/>
  <c r="N450" i="16"/>
  <c r="M450" i="16" s="1"/>
  <c r="Q450" i="16"/>
  <c r="S450" i="16"/>
  <c r="T450" i="16"/>
  <c r="U450" i="16" a="1"/>
  <c r="U450" i="16" s="1"/>
  <c r="V450" i="16"/>
  <c r="D451" i="16"/>
  <c r="E451" i="16" a="1"/>
  <c r="E451" i="16" s="1"/>
  <c r="G451" i="16"/>
  <c r="H451" i="16" s="1"/>
  <c r="I451" i="16"/>
  <c r="N451" i="16"/>
  <c r="M451" i="16" s="1"/>
  <c r="Q451" i="16"/>
  <c r="S451" i="16"/>
  <c r="T451" i="16"/>
  <c r="U451" i="16" a="1"/>
  <c r="U451" i="16" s="1"/>
  <c r="V451" i="16"/>
  <c r="D452" i="16"/>
  <c r="E452" i="16" a="1"/>
  <c r="E452" i="16" s="1"/>
  <c r="G452" i="16"/>
  <c r="H452" i="16" s="1"/>
  <c r="I452" i="16"/>
  <c r="N452" i="16"/>
  <c r="V452" i="16" s="1"/>
  <c r="Q452" i="16"/>
  <c r="S452" i="16"/>
  <c r="T452" i="16"/>
  <c r="U452" i="16" a="1"/>
  <c r="U452" i="16" s="1"/>
  <c r="D453" i="16"/>
  <c r="E453" i="16" a="1"/>
  <c r="E453" i="16" s="1"/>
  <c r="G453" i="16"/>
  <c r="H453" i="16" s="1"/>
  <c r="I453" i="16"/>
  <c r="N453" i="16"/>
  <c r="Q453" i="16"/>
  <c r="S453" i="16"/>
  <c r="T453" i="16"/>
  <c r="U453" i="16" a="1"/>
  <c r="U453" i="16" s="1"/>
  <c r="V453" i="16"/>
  <c r="D454" i="16"/>
  <c r="E454" i="16" a="1"/>
  <c r="E454" i="16" s="1"/>
  <c r="G454" i="16"/>
  <c r="H454" i="16" s="1"/>
  <c r="I454" i="16"/>
  <c r="N454" i="16"/>
  <c r="Q454" i="16"/>
  <c r="S454" i="16"/>
  <c r="T454" i="16"/>
  <c r="U454" i="16" a="1"/>
  <c r="U454" i="16" s="1"/>
  <c r="V454" i="16"/>
  <c r="D455" i="16"/>
  <c r="E455" i="16" a="1"/>
  <c r="E455" i="16" s="1"/>
  <c r="G455" i="16"/>
  <c r="H455" i="16" s="1"/>
  <c r="I455" i="16"/>
  <c r="N455" i="16"/>
  <c r="Q455" i="16"/>
  <c r="S455" i="16"/>
  <c r="T455" i="16"/>
  <c r="U455" i="16" a="1"/>
  <c r="U455" i="16" s="1"/>
  <c r="V455" i="16"/>
  <c r="D456" i="16"/>
  <c r="E456" i="16" a="1"/>
  <c r="E456" i="16" s="1"/>
  <c r="G456" i="16"/>
  <c r="H456" i="16" s="1"/>
  <c r="I456" i="16"/>
  <c r="N456" i="16"/>
  <c r="Q456" i="16"/>
  <c r="S456" i="16"/>
  <c r="T456" i="16"/>
  <c r="U456" i="16" a="1"/>
  <c r="U456" i="16" s="1"/>
  <c r="V456" i="16"/>
  <c r="D457" i="16"/>
  <c r="E457" i="16" a="1"/>
  <c r="E457" i="16" s="1"/>
  <c r="G457" i="16"/>
  <c r="H457" i="16" s="1"/>
  <c r="I457" i="16"/>
  <c r="N457" i="16"/>
  <c r="V457" i="16" s="1"/>
  <c r="Q457" i="16"/>
  <c r="S457" i="16"/>
  <c r="T457" i="16"/>
  <c r="U457" i="16" a="1"/>
  <c r="U457" i="16" s="1"/>
  <c r="D458" i="16"/>
  <c r="E458" i="16" a="1"/>
  <c r="E458" i="16" s="1"/>
  <c r="G458" i="16"/>
  <c r="H458" i="16" s="1"/>
  <c r="I458" i="16"/>
  <c r="N458" i="16"/>
  <c r="M458" i="16" s="1"/>
  <c r="Q458" i="16"/>
  <c r="S458" i="16"/>
  <c r="T458" i="16"/>
  <c r="U458" i="16" a="1"/>
  <c r="U458" i="16" s="1"/>
  <c r="V458" i="16"/>
  <c r="D459" i="16"/>
  <c r="E459" i="16" a="1"/>
  <c r="E459" i="16" s="1"/>
  <c r="G459" i="16"/>
  <c r="H459" i="16" s="1"/>
  <c r="I459" i="16"/>
  <c r="N459" i="16"/>
  <c r="M459" i="16" s="1"/>
  <c r="Q459" i="16"/>
  <c r="S459" i="16"/>
  <c r="T459" i="16"/>
  <c r="U459" i="16" a="1"/>
  <c r="U459" i="16" s="1"/>
  <c r="V459" i="16"/>
  <c r="D460" i="16"/>
  <c r="E460" i="16" a="1"/>
  <c r="E460" i="16" s="1"/>
  <c r="G460" i="16"/>
  <c r="H460" i="16" s="1"/>
  <c r="I460" i="16"/>
  <c r="N460" i="16"/>
  <c r="Q460" i="16"/>
  <c r="S460" i="16"/>
  <c r="V460" i="16"/>
  <c r="D461" i="16"/>
  <c r="E461" i="16" a="1"/>
  <c r="E461" i="16" s="1"/>
  <c r="G461" i="16"/>
  <c r="H461" i="16" s="1"/>
  <c r="I461" i="16"/>
  <c r="N461" i="16"/>
  <c r="M461" i="16" s="1"/>
  <c r="Q461" i="16"/>
  <c r="S461" i="16"/>
  <c r="T461" i="16"/>
  <c r="U461" i="16" a="1"/>
  <c r="U461" i="16" s="1"/>
  <c r="V461" i="16"/>
  <c r="D462" i="16"/>
  <c r="E462" i="16" a="1"/>
  <c r="E462" i="16" s="1"/>
  <c r="G462" i="16"/>
  <c r="H462" i="16" s="1"/>
  <c r="I462" i="16"/>
  <c r="N462" i="16"/>
  <c r="M462" i="16" s="1"/>
  <c r="Q462" i="16"/>
  <c r="S462" i="16"/>
  <c r="T462" i="16"/>
  <c r="U462" i="16" a="1"/>
  <c r="U462" i="16" s="1"/>
  <c r="V462" i="16"/>
  <c r="D463" i="16"/>
  <c r="E463" i="16" a="1"/>
  <c r="E463" i="16" s="1"/>
  <c r="G463" i="16"/>
  <c r="H463" i="16" s="1"/>
  <c r="I463" i="16"/>
  <c r="N463" i="16"/>
  <c r="Q463" i="16"/>
  <c r="S463" i="16"/>
  <c r="T463" i="16"/>
  <c r="U463" i="16" a="1"/>
  <c r="U463" i="16" s="1"/>
  <c r="V463" i="16"/>
  <c r="D464" i="16"/>
  <c r="E464" i="16" a="1"/>
  <c r="E464" i="16" s="1"/>
  <c r="G464" i="16"/>
  <c r="H464" i="16" s="1"/>
  <c r="I464" i="16"/>
  <c r="N464" i="16"/>
  <c r="Q464" i="16"/>
  <c r="S464" i="16"/>
  <c r="T464" i="16"/>
  <c r="U464" i="16" a="1"/>
  <c r="U464" i="16" s="1"/>
  <c r="V464" i="16"/>
  <c r="D465" i="16"/>
  <c r="E465" i="16" a="1"/>
  <c r="E465" i="16" s="1"/>
  <c r="G465" i="16"/>
  <c r="H465" i="16" s="1"/>
  <c r="I465" i="16"/>
  <c r="N465" i="16"/>
  <c r="V465" i="16" s="1"/>
  <c r="Q465" i="16"/>
  <c r="S465" i="16"/>
  <c r="T465" i="16"/>
  <c r="U465" i="16" a="1"/>
  <c r="U465" i="16" s="1"/>
  <c r="D466" i="16"/>
  <c r="E466" i="16" a="1"/>
  <c r="E466" i="16" s="1"/>
  <c r="G466" i="16"/>
  <c r="H466" i="16" s="1"/>
  <c r="I466" i="16"/>
  <c r="N466" i="16"/>
  <c r="M466" i="16" s="1"/>
  <c r="Q466" i="16"/>
  <c r="S466" i="16"/>
  <c r="T466" i="16"/>
  <c r="U466" i="16" a="1"/>
  <c r="U466" i="16" s="1"/>
  <c r="V466" i="16"/>
  <c r="D467" i="16"/>
  <c r="E467" i="16" a="1"/>
  <c r="E467" i="16" s="1"/>
  <c r="G467" i="16"/>
  <c r="H467" i="16" s="1"/>
  <c r="I467" i="16"/>
  <c r="N467" i="16"/>
  <c r="M467" i="16" s="1"/>
  <c r="Q467" i="16"/>
  <c r="S467" i="16"/>
  <c r="T467" i="16"/>
  <c r="U467" i="16" a="1"/>
  <c r="U467" i="16" s="1"/>
  <c r="V467" i="16"/>
  <c r="D468" i="16"/>
  <c r="E468" i="16" a="1"/>
  <c r="E468" i="16" s="1"/>
  <c r="G468" i="16"/>
  <c r="H468" i="16" s="1"/>
  <c r="I468" i="16"/>
  <c r="N468" i="16"/>
  <c r="Q468" i="16"/>
  <c r="S468" i="16"/>
  <c r="T468" i="16"/>
  <c r="U468" i="16" a="1"/>
  <c r="U468" i="16" s="1"/>
  <c r="V468" i="16"/>
  <c r="D469" i="16"/>
  <c r="E469" i="16" a="1"/>
  <c r="E469" i="16" s="1"/>
  <c r="G469" i="16"/>
  <c r="I469" i="16"/>
  <c r="N469" i="16"/>
  <c r="Q469" i="16"/>
  <c r="S469" i="16"/>
  <c r="T469" i="16"/>
  <c r="U469" i="16" a="1"/>
  <c r="U469" i="16" s="1"/>
  <c r="V469" i="16"/>
  <c r="D470" i="16"/>
  <c r="E470" i="16" a="1"/>
  <c r="E470" i="16" s="1"/>
  <c r="G470" i="16"/>
  <c r="H470" i="16" s="1"/>
  <c r="I470" i="16"/>
  <c r="N470" i="16"/>
  <c r="V470" i="16" s="1"/>
  <c r="Q470" i="16"/>
  <c r="S470" i="16"/>
  <c r="T470" i="16"/>
  <c r="U470" i="16" a="1"/>
  <c r="U470" i="16" s="1"/>
  <c r="D471" i="16"/>
  <c r="E471" i="16" a="1"/>
  <c r="E471" i="16" s="1"/>
  <c r="G471" i="16"/>
  <c r="H471" i="16" s="1"/>
  <c r="I471" i="16"/>
  <c r="N471" i="16"/>
  <c r="Q471" i="16"/>
  <c r="S471" i="16"/>
  <c r="T471" i="16"/>
  <c r="U471" i="16" a="1"/>
  <c r="U471" i="16" s="1"/>
  <c r="V471" i="16"/>
  <c r="D472" i="16"/>
  <c r="E472" i="16" a="1"/>
  <c r="E472" i="16" s="1"/>
  <c r="G472" i="16"/>
  <c r="H472" i="16" s="1"/>
  <c r="I472" i="16"/>
  <c r="N472" i="16"/>
  <c r="Q472" i="16"/>
  <c r="S472" i="16"/>
  <c r="T472" i="16"/>
  <c r="U472" i="16" a="1"/>
  <c r="U472" i="16" s="1"/>
  <c r="V472" i="16"/>
  <c r="D473" i="16"/>
  <c r="E473" i="16" a="1"/>
  <c r="E473" i="16" s="1"/>
  <c r="G473" i="16"/>
  <c r="H473" i="16" s="1"/>
  <c r="I473" i="16"/>
  <c r="N473" i="16"/>
  <c r="Q473" i="16"/>
  <c r="S473" i="16"/>
  <c r="T473" i="16"/>
  <c r="U473" i="16" a="1"/>
  <c r="U473" i="16" s="1"/>
  <c r="V473" i="16"/>
  <c r="D474" i="16"/>
  <c r="E474" i="16" a="1"/>
  <c r="E474" i="16" s="1"/>
  <c r="G474" i="16"/>
  <c r="H474" i="16" s="1"/>
  <c r="I474" i="16"/>
  <c r="N474" i="16"/>
  <c r="M474" i="16" s="1"/>
  <c r="Q474" i="16"/>
  <c r="S474" i="16"/>
  <c r="T474" i="16"/>
  <c r="U474" i="16" a="1"/>
  <c r="U474" i="16" s="1"/>
  <c r="V474" i="16"/>
  <c r="D475" i="16"/>
  <c r="E475" i="16" a="1"/>
  <c r="E475" i="16" s="1"/>
  <c r="G475" i="16"/>
  <c r="H475" i="16" s="1"/>
  <c r="I475" i="16"/>
  <c r="N475" i="16"/>
  <c r="Q475" i="16"/>
  <c r="S475" i="16"/>
  <c r="T475" i="16"/>
  <c r="U475" i="16" a="1"/>
  <c r="U475" i="16" s="1"/>
  <c r="V475" i="16"/>
  <c r="D476" i="16"/>
  <c r="E476" i="16" a="1"/>
  <c r="E476" i="16" s="1"/>
  <c r="G476" i="16"/>
  <c r="H476" i="16" s="1"/>
  <c r="I476" i="16"/>
  <c r="N476" i="16"/>
  <c r="M476" i="16" s="1"/>
  <c r="Q476" i="16"/>
  <c r="S476" i="16"/>
  <c r="T476" i="16"/>
  <c r="U476" i="16" a="1"/>
  <c r="U476" i="16" s="1"/>
  <c r="V476" i="16"/>
  <c r="D477" i="16"/>
  <c r="E477" i="16" a="1"/>
  <c r="E477" i="16" s="1"/>
  <c r="G477" i="16"/>
  <c r="I477" i="16"/>
  <c r="N477" i="16"/>
  <c r="Q477" i="16"/>
  <c r="S477" i="16"/>
  <c r="T477" i="16"/>
  <c r="U477" i="16" a="1"/>
  <c r="U477" i="16" s="1"/>
  <c r="V477" i="16"/>
  <c r="D478" i="16"/>
  <c r="E478" i="16" a="1"/>
  <c r="E478" i="16" s="1"/>
  <c r="G478" i="16"/>
  <c r="H478" i="16" s="1"/>
  <c r="I478" i="16"/>
  <c r="N478" i="16"/>
  <c r="M478" i="16" s="1"/>
  <c r="Q478" i="16"/>
  <c r="S478" i="16"/>
  <c r="T478" i="16"/>
  <c r="U478" i="16" a="1"/>
  <c r="U478" i="16" s="1"/>
  <c r="V478" i="16"/>
  <c r="D479" i="16"/>
  <c r="E479" i="16" a="1"/>
  <c r="E479" i="16" s="1"/>
  <c r="G479" i="16"/>
  <c r="H479" i="16" s="1"/>
  <c r="I479" i="16"/>
  <c r="N479" i="16"/>
  <c r="M479" i="16" s="1"/>
  <c r="Q479" i="16"/>
  <c r="S479" i="16"/>
  <c r="V479" i="16"/>
  <c r="D480" i="16"/>
  <c r="E480" i="16" a="1"/>
  <c r="E480" i="16" s="1"/>
  <c r="G480" i="16"/>
  <c r="H480" i="16" s="1"/>
  <c r="I480" i="16"/>
  <c r="N480" i="16"/>
  <c r="Q480" i="16"/>
  <c r="S480" i="16"/>
  <c r="T480" i="16"/>
  <c r="U480" i="16" a="1"/>
  <c r="U480" i="16" s="1"/>
  <c r="V480" i="16"/>
  <c r="D481" i="16"/>
  <c r="E481" i="16" a="1"/>
  <c r="E481" i="16" s="1"/>
  <c r="G481" i="16"/>
  <c r="H481" i="16" s="1"/>
  <c r="I481" i="16"/>
  <c r="N481" i="16"/>
  <c r="M481" i="16" s="1"/>
  <c r="Q481" i="16"/>
  <c r="S481" i="16"/>
  <c r="T481" i="16"/>
  <c r="U481" i="16" a="1"/>
  <c r="U481" i="16" s="1"/>
  <c r="D482" i="16"/>
  <c r="E482" i="16" a="1"/>
  <c r="E482" i="16" s="1"/>
  <c r="G482" i="16"/>
  <c r="H482" i="16" s="1"/>
  <c r="I482" i="16"/>
  <c r="N482" i="16"/>
  <c r="M482" i="16" s="1"/>
  <c r="Q482" i="16"/>
  <c r="S482" i="16"/>
  <c r="T482" i="16"/>
  <c r="U482" i="16" a="1"/>
  <c r="U482" i="16" s="1"/>
  <c r="V482" i="16"/>
  <c r="D483" i="16"/>
  <c r="E483" i="16" a="1"/>
  <c r="E483" i="16" s="1"/>
  <c r="G483" i="16"/>
  <c r="H483" i="16" s="1"/>
  <c r="I483" i="16"/>
  <c r="N483" i="16"/>
  <c r="Q483" i="16"/>
  <c r="S483" i="16"/>
  <c r="T483" i="16"/>
  <c r="U483" i="16" a="1"/>
  <c r="U483" i="16" s="1"/>
  <c r="V483" i="16"/>
  <c r="D484" i="16"/>
  <c r="E484" i="16" a="1"/>
  <c r="E484" i="16" s="1"/>
  <c r="G484" i="16"/>
  <c r="H484" i="16" s="1"/>
  <c r="I484" i="16"/>
  <c r="N484" i="16"/>
  <c r="M484" i="16" s="1"/>
  <c r="Q484" i="16"/>
  <c r="S484" i="16"/>
  <c r="T484" i="16"/>
  <c r="U484" i="16" a="1"/>
  <c r="U484" i="16" s="1"/>
  <c r="D485" i="16"/>
  <c r="E485" i="16" a="1"/>
  <c r="E485" i="16" s="1"/>
  <c r="G485" i="16"/>
  <c r="H485" i="16" s="1"/>
  <c r="I485" i="16"/>
  <c r="N485" i="16"/>
  <c r="M485" i="16" s="1"/>
  <c r="Q485" i="16"/>
  <c r="S485" i="16"/>
  <c r="T485" i="16"/>
  <c r="U485" i="16" a="1"/>
  <c r="U485" i="16" s="1"/>
  <c r="D486" i="16"/>
  <c r="E486" i="16" a="1"/>
  <c r="E486" i="16" s="1"/>
  <c r="G486" i="16"/>
  <c r="H486" i="16" s="1"/>
  <c r="I486" i="16"/>
  <c r="N486" i="16"/>
  <c r="Q486" i="16"/>
  <c r="S486" i="16"/>
  <c r="T486" i="16"/>
  <c r="U486" i="16" a="1"/>
  <c r="U486" i="16" s="1"/>
  <c r="V486" i="16"/>
  <c r="D487" i="16"/>
  <c r="E487" i="16" a="1"/>
  <c r="E487" i="16" s="1"/>
  <c r="G487" i="16"/>
  <c r="H487" i="16" s="1"/>
  <c r="I487" i="16"/>
  <c r="N487" i="16"/>
  <c r="M487" i="16" s="1"/>
  <c r="Q487" i="16"/>
  <c r="S487" i="16"/>
  <c r="T487" i="16"/>
  <c r="U487" i="16" a="1"/>
  <c r="U487" i="16" s="1"/>
  <c r="V487" i="16"/>
  <c r="D488" i="16"/>
  <c r="E488" i="16" a="1"/>
  <c r="E488" i="16" s="1"/>
  <c r="G488" i="16"/>
  <c r="H488" i="16" s="1"/>
  <c r="I488" i="16"/>
  <c r="N488" i="16"/>
  <c r="M488" i="16" s="1"/>
  <c r="Q488" i="16"/>
  <c r="S488" i="16"/>
  <c r="T488" i="16"/>
  <c r="U488" i="16" a="1"/>
  <c r="U488" i="16" s="1"/>
  <c r="V488" i="16"/>
  <c r="D489" i="16"/>
  <c r="E489" i="16" a="1"/>
  <c r="E489" i="16" s="1"/>
  <c r="G489" i="16"/>
  <c r="H489" i="16" s="1"/>
  <c r="I489" i="16"/>
  <c r="N489" i="16"/>
  <c r="Q489" i="16"/>
  <c r="S489" i="16"/>
  <c r="T489" i="16"/>
  <c r="U489" i="16" a="1"/>
  <c r="U489" i="16" s="1"/>
  <c r="V489" i="16"/>
  <c r="D490" i="16"/>
  <c r="E490" i="16" a="1"/>
  <c r="E490" i="16" s="1"/>
  <c r="G490" i="16"/>
  <c r="H490" i="16" s="1"/>
  <c r="I490" i="16"/>
  <c r="N490" i="16"/>
  <c r="M490" i="16" s="1"/>
  <c r="Q490" i="16"/>
  <c r="S490" i="16"/>
  <c r="T490" i="16"/>
  <c r="U490" i="16" a="1"/>
  <c r="U490" i="16" s="1"/>
  <c r="V490" i="16"/>
  <c r="D491" i="16"/>
  <c r="E491" i="16" a="1"/>
  <c r="E491" i="16" s="1"/>
  <c r="G491" i="16"/>
  <c r="H491" i="16" s="1"/>
  <c r="I491" i="16"/>
  <c r="N491" i="16"/>
  <c r="M491" i="16" s="1"/>
  <c r="Q491" i="16"/>
  <c r="S491" i="16"/>
  <c r="T491" i="16"/>
  <c r="U491" i="16" a="1"/>
  <c r="U491" i="16" s="1"/>
  <c r="V491" i="16"/>
  <c r="D492" i="16"/>
  <c r="E492" i="16" a="1"/>
  <c r="E492" i="16" s="1"/>
  <c r="G492" i="16"/>
  <c r="H492" i="16" s="1"/>
  <c r="I492" i="16"/>
  <c r="N492" i="16"/>
  <c r="Q492" i="16"/>
  <c r="S492" i="16"/>
  <c r="T492" i="16"/>
  <c r="U492" i="16" a="1"/>
  <c r="U492" i="16" s="1"/>
  <c r="V492" i="16"/>
  <c r="D493" i="16"/>
  <c r="E493" i="16" a="1"/>
  <c r="E493" i="16" s="1"/>
  <c r="G493" i="16"/>
  <c r="H493" i="16" s="1"/>
  <c r="I493" i="16"/>
  <c r="N493" i="16"/>
  <c r="M493" i="16" s="1"/>
  <c r="Q493" i="16"/>
  <c r="S493" i="16"/>
  <c r="T493" i="16"/>
  <c r="U493" i="16" a="1"/>
  <c r="U493" i="16" s="1"/>
  <c r="V493" i="16"/>
  <c r="D494" i="16"/>
  <c r="E494" i="16" a="1"/>
  <c r="E494" i="16" s="1"/>
  <c r="G494" i="16"/>
  <c r="H494" i="16" s="1"/>
  <c r="I494" i="16"/>
  <c r="N494" i="16"/>
  <c r="M494" i="16" s="1"/>
  <c r="Q494" i="16"/>
  <c r="S494" i="16"/>
  <c r="T494" i="16"/>
  <c r="U494" i="16" a="1"/>
  <c r="U494" i="16" s="1"/>
  <c r="V494" i="16"/>
  <c r="D495" i="16"/>
  <c r="E495" i="16" a="1"/>
  <c r="E495" i="16" s="1"/>
  <c r="G495" i="16"/>
  <c r="H495" i="16" s="1"/>
  <c r="I495" i="16"/>
  <c r="N495" i="16"/>
  <c r="M495" i="16" s="1"/>
  <c r="Q495" i="16"/>
  <c r="S495" i="16"/>
  <c r="T495" i="16"/>
  <c r="U495" i="16" a="1"/>
  <c r="U495" i="16" s="1"/>
  <c r="V495" i="16"/>
  <c r="D496" i="16"/>
  <c r="E496" i="16" a="1"/>
  <c r="E496" i="16" s="1"/>
  <c r="G496" i="16"/>
  <c r="H496" i="16" s="1"/>
  <c r="I496" i="16"/>
  <c r="N496" i="16"/>
  <c r="M496" i="16" s="1"/>
  <c r="Q496" i="16"/>
  <c r="S496" i="16"/>
  <c r="T496" i="16"/>
  <c r="U496" i="16" a="1"/>
  <c r="U496" i="16" s="1"/>
  <c r="V496" i="16"/>
  <c r="D497" i="16"/>
  <c r="E497" i="16" a="1"/>
  <c r="E497" i="16" s="1"/>
  <c r="G497" i="16"/>
  <c r="H497" i="16" s="1"/>
  <c r="I497" i="16"/>
  <c r="N497" i="16"/>
  <c r="M497" i="16" s="1"/>
  <c r="Q497" i="16"/>
  <c r="S497" i="16"/>
  <c r="T497" i="16"/>
  <c r="U497" i="16" a="1"/>
  <c r="U497" i="16" s="1"/>
  <c r="V497" i="16"/>
  <c r="D498" i="16"/>
  <c r="E498" i="16" a="1"/>
  <c r="E498" i="16" s="1"/>
  <c r="G498" i="16"/>
  <c r="H498" i="16" s="1"/>
  <c r="I498" i="16"/>
  <c r="N498" i="16"/>
  <c r="Q498" i="16"/>
  <c r="S498" i="16"/>
  <c r="T498" i="16"/>
  <c r="U498" i="16" a="1"/>
  <c r="U498" i="16" s="1"/>
  <c r="V498" i="16"/>
  <c r="D499" i="16"/>
  <c r="E499" i="16" a="1"/>
  <c r="E499" i="16" s="1"/>
  <c r="G499" i="16"/>
  <c r="H499" i="16" s="1"/>
  <c r="I499" i="16"/>
  <c r="N499" i="16"/>
  <c r="M499" i="16" s="1"/>
  <c r="Q499" i="16"/>
  <c r="S499" i="16"/>
  <c r="T499" i="16"/>
  <c r="U499" i="16" a="1"/>
  <c r="U499" i="16" s="1"/>
  <c r="V499" i="16"/>
  <c r="D500" i="16"/>
  <c r="E500" i="16" a="1"/>
  <c r="E500" i="16" s="1"/>
  <c r="G500" i="16"/>
  <c r="H500" i="16" s="1"/>
  <c r="I500" i="16"/>
  <c r="N500" i="16"/>
  <c r="M500" i="16" s="1"/>
  <c r="Q500" i="16"/>
  <c r="S500" i="16"/>
  <c r="T500" i="16"/>
  <c r="U500" i="16" a="1"/>
  <c r="U500" i="16" s="1"/>
  <c r="V500" i="16"/>
  <c r="D501" i="16"/>
  <c r="E501" i="16" a="1"/>
  <c r="E501" i="16" s="1"/>
  <c r="G501" i="16"/>
  <c r="H501" i="16" s="1"/>
  <c r="I501" i="16"/>
  <c r="N501" i="16"/>
  <c r="Q501" i="16"/>
  <c r="S501" i="16"/>
  <c r="T501" i="16"/>
  <c r="U501" i="16" a="1"/>
  <c r="U501" i="16" s="1"/>
  <c r="V501" i="16"/>
  <c r="D502" i="16"/>
  <c r="E502" i="16" a="1"/>
  <c r="E502" i="16" s="1"/>
  <c r="G502" i="16"/>
  <c r="H502" i="16" s="1"/>
  <c r="I502" i="16"/>
  <c r="N502" i="16"/>
  <c r="V502" i="16" s="1"/>
  <c r="Q502" i="16"/>
  <c r="S502" i="16"/>
  <c r="T502" i="16"/>
  <c r="U502" i="16" a="1"/>
  <c r="U502" i="16" s="1"/>
  <c r="D503" i="16"/>
  <c r="E503" i="16" a="1"/>
  <c r="E503" i="16" s="1"/>
  <c r="G503" i="16"/>
  <c r="H503" i="16" s="1"/>
  <c r="I503" i="16"/>
  <c r="N503" i="16"/>
  <c r="Q503" i="16"/>
  <c r="S503" i="16"/>
  <c r="T503" i="16"/>
  <c r="U503" i="16" a="1"/>
  <c r="U503" i="16" s="1"/>
  <c r="V503" i="16"/>
  <c r="D504" i="16"/>
  <c r="E504" i="16" a="1"/>
  <c r="E504" i="16" s="1"/>
  <c r="G504" i="16"/>
  <c r="H504" i="16" s="1"/>
  <c r="I504" i="16"/>
  <c r="N504" i="16"/>
  <c r="M504" i="16" s="1"/>
  <c r="Q504" i="16"/>
  <c r="S504" i="16"/>
  <c r="T504" i="16"/>
  <c r="U504" i="16" a="1"/>
  <c r="U504" i="16" s="1"/>
  <c r="D505" i="16"/>
  <c r="E505" i="16" a="1"/>
  <c r="E505" i="16" s="1"/>
  <c r="G505" i="16"/>
  <c r="H505" i="16" s="1"/>
  <c r="I505" i="16"/>
  <c r="N505" i="16"/>
  <c r="Q505" i="16"/>
  <c r="S505" i="16"/>
  <c r="T505" i="16"/>
  <c r="U505" i="16" a="1"/>
  <c r="U505" i="16" s="1"/>
  <c r="V505" i="16"/>
  <c r="D506" i="16"/>
  <c r="E506" i="16" a="1"/>
  <c r="E506" i="16" s="1"/>
  <c r="G506" i="16"/>
  <c r="H506" i="16" s="1"/>
  <c r="I506" i="16"/>
  <c r="N506" i="16"/>
  <c r="M506" i="16" s="1"/>
  <c r="Q506" i="16"/>
  <c r="S506" i="16"/>
  <c r="T506" i="16"/>
  <c r="U506" i="16" a="1"/>
  <c r="U506" i="16" s="1"/>
  <c r="V506" i="16"/>
  <c r="D507" i="16"/>
  <c r="E507" i="16" a="1"/>
  <c r="E507" i="16" s="1"/>
  <c r="G507" i="16"/>
  <c r="H507" i="16" s="1"/>
  <c r="I507" i="16"/>
  <c r="N507" i="16"/>
  <c r="Q507" i="16"/>
  <c r="S507" i="16"/>
  <c r="T507" i="16"/>
  <c r="U507" i="16" a="1"/>
  <c r="U507" i="16" s="1"/>
  <c r="V507" i="16"/>
  <c r="D508" i="16"/>
  <c r="E508" i="16" a="1"/>
  <c r="E508" i="16" s="1"/>
  <c r="G508" i="16"/>
  <c r="H508" i="16" s="1"/>
  <c r="I508" i="16"/>
  <c r="N508" i="16"/>
  <c r="M508" i="16" s="1"/>
  <c r="Q508" i="16"/>
  <c r="S508" i="16"/>
  <c r="T508" i="16"/>
  <c r="U508" i="16" a="1"/>
  <c r="U508" i="16" s="1"/>
  <c r="V508" i="16"/>
  <c r="D509" i="16"/>
  <c r="E509" i="16" a="1"/>
  <c r="E509" i="16" s="1"/>
  <c r="G509" i="16"/>
  <c r="H509" i="16" s="1"/>
  <c r="I509" i="16"/>
  <c r="N509" i="16"/>
  <c r="Q509" i="16"/>
  <c r="S509" i="16"/>
  <c r="T509" i="16"/>
  <c r="U509" i="16" a="1"/>
  <c r="U509" i="16" s="1"/>
  <c r="V509" i="16"/>
  <c r="D510" i="16"/>
  <c r="E510" i="16" a="1"/>
  <c r="E510" i="16" s="1"/>
  <c r="G510" i="16"/>
  <c r="H510" i="16" s="1"/>
  <c r="I510" i="16"/>
  <c r="N510" i="16"/>
  <c r="Q510" i="16"/>
  <c r="S510" i="16"/>
  <c r="T510" i="16"/>
  <c r="U510" i="16" a="1"/>
  <c r="U510" i="16" s="1"/>
  <c r="V510" i="16"/>
  <c r="D512" i="16"/>
  <c r="E512" i="16" a="1"/>
  <c r="E512" i="16" s="1"/>
  <c r="G512" i="16"/>
  <c r="H512" i="16" s="1"/>
  <c r="I512" i="16"/>
  <c r="N512" i="16"/>
  <c r="Q512" i="16"/>
  <c r="S512" i="16"/>
  <c r="V512" i="16"/>
  <c r="D513" i="16"/>
  <c r="E513" i="16" a="1"/>
  <c r="E513" i="16" s="1"/>
  <c r="G513" i="16"/>
  <c r="H513" i="16" s="1"/>
  <c r="I513" i="16"/>
  <c r="N513" i="16"/>
  <c r="M513" i="16" s="1"/>
  <c r="Q513" i="16"/>
  <c r="S513" i="16"/>
  <c r="V513" i="16"/>
  <c r="D514" i="16"/>
  <c r="E514" i="16" a="1"/>
  <c r="E514" i="16" s="1"/>
  <c r="G514" i="16"/>
  <c r="H514" i="16" s="1"/>
  <c r="I514" i="16"/>
  <c r="N514" i="16"/>
  <c r="M514" i="16" s="1"/>
  <c r="Q514" i="16"/>
  <c r="S514" i="16"/>
  <c r="T514" i="16"/>
  <c r="U514" i="16" a="1"/>
  <c r="U514" i="16" s="1"/>
  <c r="V514" i="16"/>
  <c r="D515" i="16"/>
  <c r="E515" i="16" a="1"/>
  <c r="E515" i="16" s="1"/>
  <c r="G515" i="16"/>
  <c r="H515" i="16" s="1"/>
  <c r="I515" i="16"/>
  <c r="N515" i="16"/>
  <c r="Q515" i="16"/>
  <c r="S515" i="16"/>
  <c r="T515" i="16"/>
  <c r="U515" i="16" a="1"/>
  <c r="U515" i="16" s="1"/>
  <c r="V515" i="16"/>
  <c r="D516" i="16"/>
  <c r="E516" i="16" a="1"/>
  <c r="E516" i="16" s="1"/>
  <c r="G516" i="16"/>
  <c r="H516" i="16" s="1"/>
  <c r="I516" i="16"/>
  <c r="N516" i="16"/>
  <c r="M516" i="16" s="1"/>
  <c r="Q516" i="16"/>
  <c r="S516" i="16"/>
  <c r="T516" i="16"/>
  <c r="U516" i="16" a="1"/>
  <c r="U516" i="16" s="1"/>
  <c r="V516" i="16"/>
  <c r="D517" i="16"/>
  <c r="E517" i="16" a="1"/>
  <c r="E517" i="16" s="1"/>
  <c r="G517" i="16"/>
  <c r="H517" i="16" s="1"/>
  <c r="I517" i="16"/>
  <c r="N517" i="16"/>
  <c r="M517" i="16" s="1"/>
  <c r="Q517" i="16"/>
  <c r="S517" i="16"/>
  <c r="T517" i="16"/>
  <c r="U517" i="16" a="1"/>
  <c r="U517" i="16" s="1"/>
  <c r="V517" i="16"/>
  <c r="D518" i="16"/>
  <c r="E518" i="16" a="1"/>
  <c r="E518" i="16" s="1"/>
  <c r="G518" i="16"/>
  <c r="H518" i="16" s="1"/>
  <c r="I518" i="16"/>
  <c r="N518" i="16"/>
  <c r="V518" i="16" s="1"/>
  <c r="Q518" i="16"/>
  <c r="S518" i="16"/>
  <c r="T518" i="16"/>
  <c r="U518" i="16" a="1"/>
  <c r="U518" i="16" s="1"/>
  <c r="D519" i="16"/>
  <c r="E519" i="16" a="1"/>
  <c r="E519" i="16" s="1"/>
  <c r="G519" i="16"/>
  <c r="H519" i="16" s="1"/>
  <c r="I519" i="16"/>
  <c r="N519" i="16"/>
  <c r="Q519" i="16"/>
  <c r="S519" i="16"/>
  <c r="T519" i="16"/>
  <c r="U519" i="16" a="1"/>
  <c r="U519" i="16" s="1"/>
  <c r="V519" i="16"/>
  <c r="D520" i="16"/>
  <c r="E520" i="16" a="1"/>
  <c r="E520" i="16" s="1"/>
  <c r="G520" i="16"/>
  <c r="H520" i="16" s="1"/>
  <c r="I520" i="16"/>
  <c r="N520" i="16"/>
  <c r="M520" i="16" s="1"/>
  <c r="Q520" i="16"/>
  <c r="S520" i="16"/>
  <c r="T520" i="16"/>
  <c r="U520" i="16" a="1"/>
  <c r="U520" i="16" s="1"/>
  <c r="V520" i="16"/>
  <c r="D521" i="16"/>
  <c r="E521" i="16" a="1"/>
  <c r="E521" i="16" s="1"/>
  <c r="G521" i="16"/>
  <c r="H521" i="16" s="1"/>
  <c r="I521" i="16"/>
  <c r="N521" i="16"/>
  <c r="Q521" i="16"/>
  <c r="S521" i="16"/>
  <c r="T521" i="16"/>
  <c r="U521" i="16" a="1"/>
  <c r="U521" i="16" s="1"/>
  <c r="V521" i="16"/>
  <c r="D522" i="16"/>
  <c r="E522" i="16" a="1"/>
  <c r="E522" i="16" s="1"/>
  <c r="G522" i="16"/>
  <c r="H522" i="16" s="1"/>
  <c r="I522" i="16"/>
  <c r="N522" i="16"/>
  <c r="V522" i="16" s="1"/>
  <c r="Q522" i="16"/>
  <c r="S522" i="16"/>
  <c r="T522" i="16"/>
  <c r="U522" i="16" a="1"/>
  <c r="U522" i="16" s="1"/>
  <c r="D523" i="16"/>
  <c r="E523" i="16" a="1"/>
  <c r="E523" i="16" s="1"/>
  <c r="G523" i="16"/>
  <c r="H523" i="16" s="1"/>
  <c r="I523" i="16"/>
  <c r="N523" i="16"/>
  <c r="Q523" i="16"/>
  <c r="S523" i="16"/>
  <c r="T523" i="16"/>
  <c r="U523" i="16" a="1"/>
  <c r="U523" i="16" s="1"/>
  <c r="V523" i="16"/>
  <c r="D524" i="16"/>
  <c r="E524" i="16" a="1"/>
  <c r="E524" i="16" s="1"/>
  <c r="G524" i="16"/>
  <c r="H524" i="16" s="1"/>
  <c r="I524" i="16"/>
  <c r="N524" i="16"/>
  <c r="M524" i="16" s="1"/>
  <c r="Q524" i="16"/>
  <c r="S524" i="16"/>
  <c r="T524" i="16"/>
  <c r="U524" i="16" a="1"/>
  <c r="U524" i="16" s="1"/>
  <c r="V524" i="16"/>
  <c r="D525" i="16"/>
  <c r="E525" i="16" a="1"/>
  <c r="E525" i="16" s="1"/>
  <c r="G525" i="16"/>
  <c r="H525" i="16" s="1"/>
  <c r="I525" i="16"/>
  <c r="N525" i="16"/>
  <c r="M525" i="16" s="1"/>
  <c r="Q525" i="16"/>
  <c r="S525" i="16"/>
  <c r="T525" i="16"/>
  <c r="U525" i="16" a="1"/>
  <c r="U525" i="16" s="1"/>
  <c r="V525" i="16"/>
  <c r="D526" i="16"/>
  <c r="E526" i="16" a="1"/>
  <c r="E526" i="16" s="1"/>
  <c r="G526" i="16"/>
  <c r="H526" i="16" s="1"/>
  <c r="I526" i="16"/>
  <c r="N526" i="16"/>
  <c r="Q526" i="16"/>
  <c r="S526" i="16"/>
  <c r="T526" i="16"/>
  <c r="U526" i="16" a="1"/>
  <c r="U526" i="16" s="1"/>
  <c r="V526" i="16"/>
  <c r="D527" i="16"/>
  <c r="E527" i="16" a="1"/>
  <c r="E527" i="16" s="1"/>
  <c r="G527" i="16"/>
  <c r="H527" i="16" s="1"/>
  <c r="I527" i="16"/>
  <c r="N527" i="16"/>
  <c r="Q527" i="16"/>
  <c r="S527" i="16"/>
  <c r="T527" i="16"/>
  <c r="U527" i="16" a="1"/>
  <c r="U527" i="16" s="1"/>
  <c r="V527" i="16"/>
  <c r="D528" i="16"/>
  <c r="E528" i="16" a="1"/>
  <c r="E528" i="16" s="1"/>
  <c r="G528" i="16"/>
  <c r="H528" i="16" s="1"/>
  <c r="I528" i="16"/>
  <c r="N528" i="16"/>
  <c r="M528" i="16" s="1"/>
  <c r="Q528" i="16"/>
  <c r="S528" i="16"/>
  <c r="T528" i="16"/>
  <c r="U528" i="16" a="1"/>
  <c r="U528" i="16" s="1"/>
  <c r="V528" i="16"/>
  <c r="D529" i="16"/>
  <c r="E529" i="16" a="1"/>
  <c r="E529" i="16" s="1"/>
  <c r="G529" i="16"/>
  <c r="H529" i="16" s="1"/>
  <c r="I529" i="16"/>
  <c r="N529" i="16"/>
  <c r="M529" i="16" s="1"/>
  <c r="Q529" i="16"/>
  <c r="S529" i="16"/>
  <c r="T529" i="16"/>
  <c r="U529" i="16" a="1"/>
  <c r="U529" i="16" s="1"/>
  <c r="V529" i="16"/>
  <c r="D530" i="16"/>
  <c r="E530" i="16" a="1"/>
  <c r="E530" i="16" s="1"/>
  <c r="G530" i="16"/>
  <c r="H530" i="16" s="1"/>
  <c r="I530" i="16"/>
  <c r="N530" i="16"/>
  <c r="Q530" i="16"/>
  <c r="S530" i="16"/>
  <c r="T530" i="16"/>
  <c r="U530" i="16" a="1"/>
  <c r="U530" i="16" s="1"/>
  <c r="V530" i="16"/>
  <c r="D531" i="16"/>
  <c r="E531" i="16" a="1"/>
  <c r="E531" i="16" s="1"/>
  <c r="G531" i="16"/>
  <c r="H531" i="16" s="1"/>
  <c r="I531" i="16"/>
  <c r="N531" i="16"/>
  <c r="M531" i="16" s="1"/>
  <c r="Q531" i="16"/>
  <c r="S531" i="16"/>
  <c r="T531" i="16"/>
  <c r="U531" i="16" a="1"/>
  <c r="U531" i="16" s="1"/>
  <c r="V531" i="16"/>
  <c r="D532" i="16"/>
  <c r="E532" i="16" a="1"/>
  <c r="E532" i="16" s="1"/>
  <c r="G532" i="16"/>
  <c r="H532" i="16" s="1"/>
  <c r="I532" i="16"/>
  <c r="N532" i="16"/>
  <c r="Q532" i="16"/>
  <c r="S532" i="16"/>
  <c r="T532" i="16"/>
  <c r="U532" i="16" a="1"/>
  <c r="U532" i="16" s="1"/>
  <c r="V532" i="16"/>
  <c r="D533" i="16"/>
  <c r="E533" i="16" a="1"/>
  <c r="E533" i="16" s="1"/>
  <c r="G533" i="16"/>
  <c r="H533" i="16" s="1"/>
  <c r="I533" i="16"/>
  <c r="N533" i="16"/>
  <c r="M533" i="16" s="1"/>
  <c r="Q533" i="16"/>
  <c r="S533" i="16"/>
  <c r="T533" i="16"/>
  <c r="U533" i="16" a="1"/>
  <c r="U533" i="16" s="1"/>
  <c r="V533" i="16"/>
  <c r="D534" i="16"/>
  <c r="E534" i="16" a="1"/>
  <c r="E534" i="16" s="1"/>
  <c r="G534" i="16"/>
  <c r="H534" i="16" s="1"/>
  <c r="I534" i="16"/>
  <c r="N534" i="16"/>
  <c r="Q534" i="16"/>
  <c r="S534" i="16"/>
  <c r="T534" i="16"/>
  <c r="U534" i="16" a="1"/>
  <c r="U534" i="16" s="1"/>
  <c r="V534" i="16"/>
  <c r="D535" i="16"/>
  <c r="E535" i="16" a="1"/>
  <c r="E535" i="16" s="1"/>
  <c r="G535" i="16"/>
  <c r="H535" i="16" s="1"/>
  <c r="I535" i="16"/>
  <c r="N535" i="16"/>
  <c r="M535" i="16" s="1"/>
  <c r="Q535" i="16"/>
  <c r="S535" i="16"/>
  <c r="T535" i="16"/>
  <c r="U535" i="16" a="1"/>
  <c r="U535" i="16" s="1"/>
  <c r="V535" i="16"/>
  <c r="D536" i="16"/>
  <c r="E536" i="16" a="1"/>
  <c r="E536" i="16" s="1"/>
  <c r="G536" i="16"/>
  <c r="H536" i="16" s="1"/>
  <c r="I536" i="16"/>
  <c r="N536" i="16"/>
  <c r="M536" i="16" s="1"/>
  <c r="Q536" i="16"/>
  <c r="S536" i="16"/>
  <c r="T536" i="16"/>
  <c r="U536" i="16" a="1"/>
  <c r="U536" i="16" s="1"/>
  <c r="V536" i="16"/>
  <c r="D537" i="16"/>
  <c r="E537" i="16" a="1"/>
  <c r="E537" i="16" s="1"/>
  <c r="G537" i="16"/>
  <c r="H537" i="16" s="1"/>
  <c r="I537" i="16"/>
  <c r="N537" i="16"/>
  <c r="M537" i="16" s="1"/>
  <c r="Q537" i="16"/>
  <c r="S537" i="16"/>
  <c r="T537" i="16"/>
  <c r="U537" i="16" a="1"/>
  <c r="U537" i="16" s="1"/>
  <c r="V537" i="16"/>
  <c r="D538" i="16"/>
  <c r="E538" i="16" a="1"/>
  <c r="E538" i="16" s="1"/>
  <c r="G538" i="16"/>
  <c r="H538" i="16" s="1"/>
  <c r="I538" i="16"/>
  <c r="N538" i="16"/>
  <c r="Q538" i="16"/>
  <c r="S538" i="16"/>
  <c r="T538" i="16"/>
  <c r="U538" i="16" a="1"/>
  <c r="U538" i="16" s="1"/>
  <c r="V538" i="16"/>
  <c r="D539" i="16"/>
  <c r="E539" i="16" a="1"/>
  <c r="E539" i="16" s="1"/>
  <c r="G539" i="16"/>
  <c r="H539" i="16" s="1"/>
  <c r="I539" i="16"/>
  <c r="N539" i="16"/>
  <c r="Q539" i="16"/>
  <c r="S539" i="16"/>
  <c r="T539" i="16"/>
  <c r="U539" i="16" a="1"/>
  <c r="U539" i="16" s="1"/>
  <c r="V539" i="16"/>
  <c r="D540" i="16"/>
  <c r="E540" i="16" a="1"/>
  <c r="E540" i="16" s="1"/>
  <c r="G540" i="16"/>
  <c r="H540" i="16" s="1"/>
  <c r="I540" i="16"/>
  <c r="N540" i="16"/>
  <c r="Q540" i="16"/>
  <c r="S540" i="16"/>
  <c r="T540" i="16"/>
  <c r="U540" i="16" a="1"/>
  <c r="U540" i="16" s="1"/>
  <c r="V540" i="16"/>
  <c r="D541" i="16"/>
  <c r="E541" i="16" a="1"/>
  <c r="E541" i="16" s="1"/>
  <c r="G541" i="16"/>
  <c r="H541" i="16" s="1"/>
  <c r="I541" i="16"/>
  <c r="N541" i="16"/>
  <c r="Q541" i="16"/>
  <c r="S541" i="16"/>
  <c r="T541" i="16"/>
  <c r="U541" i="16" a="1"/>
  <c r="U541" i="16" s="1"/>
  <c r="V541" i="16"/>
  <c r="D542" i="16"/>
  <c r="E542" i="16" a="1"/>
  <c r="E542" i="16" s="1"/>
  <c r="G542" i="16"/>
  <c r="H542" i="16" s="1"/>
  <c r="I542" i="16"/>
  <c r="N542" i="16"/>
  <c r="M542" i="16" s="1"/>
  <c r="Q542" i="16"/>
  <c r="S542" i="16"/>
  <c r="T542" i="16"/>
  <c r="U542" i="16" a="1"/>
  <c r="U542" i="16" s="1"/>
  <c r="V542" i="16"/>
  <c r="D543" i="16"/>
  <c r="E543" i="16" a="1"/>
  <c r="E543" i="16" s="1"/>
  <c r="G543" i="16"/>
  <c r="H543" i="16" s="1"/>
  <c r="I543" i="16"/>
  <c r="N543" i="16"/>
  <c r="M543" i="16" s="1"/>
  <c r="Q543" i="16"/>
  <c r="S543" i="16"/>
  <c r="T543" i="16"/>
  <c r="U543" i="16" a="1"/>
  <c r="U543" i="16" s="1"/>
  <c r="V543" i="16"/>
  <c r="D544" i="16"/>
  <c r="E544" i="16" a="1"/>
  <c r="E544" i="16" s="1"/>
  <c r="G544" i="16"/>
  <c r="H544" i="16" s="1"/>
  <c r="I544" i="16"/>
  <c r="N544" i="16"/>
  <c r="M544" i="16" s="1"/>
  <c r="Q544" i="16"/>
  <c r="S544" i="16"/>
  <c r="T544" i="16"/>
  <c r="U544" i="16" a="1"/>
  <c r="U544" i="16" s="1"/>
  <c r="D545" i="16"/>
  <c r="E545" i="16" a="1"/>
  <c r="E545" i="16" s="1"/>
  <c r="G545" i="16"/>
  <c r="H545" i="16" s="1"/>
  <c r="I545" i="16"/>
  <c r="N545" i="16"/>
  <c r="M545" i="16" s="1"/>
  <c r="Q545" i="16"/>
  <c r="S545" i="16"/>
  <c r="T545" i="16"/>
  <c r="U545" i="16" a="1"/>
  <c r="U545" i="16" s="1"/>
  <c r="V545" i="16"/>
  <c r="D546" i="16"/>
  <c r="E546" i="16" a="1"/>
  <c r="E546" i="16" s="1"/>
  <c r="G546" i="16"/>
  <c r="H546" i="16" s="1"/>
  <c r="I546" i="16"/>
  <c r="N546" i="16"/>
  <c r="M546" i="16" s="1"/>
  <c r="Q546" i="16"/>
  <c r="S546" i="16"/>
  <c r="T546" i="16"/>
  <c r="U546" i="16" a="1"/>
  <c r="U546" i="16" s="1"/>
  <c r="V546" i="16"/>
  <c r="D547" i="16"/>
  <c r="E547" i="16" a="1"/>
  <c r="E547" i="16" s="1"/>
  <c r="G547" i="16"/>
  <c r="H547" i="16" s="1"/>
  <c r="I547" i="16"/>
  <c r="N547" i="16"/>
  <c r="Q547" i="16"/>
  <c r="S547" i="16"/>
  <c r="T547" i="16"/>
  <c r="U547" i="16" a="1"/>
  <c r="U547" i="16" s="1"/>
  <c r="V547" i="16"/>
  <c r="D548" i="16"/>
  <c r="E548" i="16" a="1"/>
  <c r="E548" i="16" s="1"/>
  <c r="G548" i="16"/>
  <c r="H548" i="16" s="1"/>
  <c r="I548" i="16"/>
  <c r="N548" i="16"/>
  <c r="M548" i="16" s="1"/>
  <c r="Q548" i="16"/>
  <c r="S548" i="16"/>
  <c r="T548" i="16"/>
  <c r="U548" i="16" a="1"/>
  <c r="U548" i="16" s="1"/>
  <c r="V548" i="16"/>
  <c r="D549" i="16"/>
  <c r="E549" i="16" a="1"/>
  <c r="E549" i="16" s="1"/>
  <c r="G549" i="16"/>
  <c r="H549" i="16" s="1"/>
  <c r="I549" i="16"/>
  <c r="N549" i="16"/>
  <c r="V549" i="16" s="1"/>
  <c r="Q549" i="16"/>
  <c r="S549" i="16"/>
  <c r="T549" i="16"/>
  <c r="U549" i="16" a="1"/>
  <c r="U549" i="16" s="1"/>
  <c r="D550" i="16"/>
  <c r="E550" i="16" a="1"/>
  <c r="E550" i="16" s="1"/>
  <c r="G550" i="16"/>
  <c r="H550" i="16" s="1"/>
  <c r="I550" i="16"/>
  <c r="N550" i="16"/>
  <c r="M550" i="16" s="1"/>
  <c r="Q550" i="16"/>
  <c r="S550" i="16"/>
  <c r="T550" i="16"/>
  <c r="U550" i="16" a="1"/>
  <c r="U550" i="16" s="1"/>
  <c r="V550" i="16"/>
  <c r="D551" i="16"/>
  <c r="E551" i="16" a="1"/>
  <c r="E551" i="16" s="1"/>
  <c r="G551" i="16"/>
  <c r="H551" i="16" s="1"/>
  <c r="I551" i="16"/>
  <c r="N551" i="16"/>
  <c r="Q551" i="16"/>
  <c r="S551" i="16"/>
  <c r="T551" i="16"/>
  <c r="U551" i="16" a="1"/>
  <c r="U551" i="16" s="1"/>
  <c r="V551" i="16"/>
  <c r="D552" i="16"/>
  <c r="E552" i="16" a="1"/>
  <c r="E552" i="16" s="1"/>
  <c r="G552" i="16"/>
  <c r="H552" i="16" s="1"/>
  <c r="I552" i="16"/>
  <c r="N552" i="16"/>
  <c r="M552" i="16" s="1"/>
  <c r="Q552" i="16"/>
  <c r="S552" i="16"/>
  <c r="T552" i="16"/>
  <c r="U552" i="16" a="1"/>
  <c r="U552" i="16" s="1"/>
  <c r="V552" i="16"/>
  <c r="D553" i="16"/>
  <c r="E553" i="16" a="1"/>
  <c r="E553" i="16" s="1"/>
  <c r="G553" i="16"/>
  <c r="H553" i="16" s="1"/>
  <c r="I553" i="16"/>
  <c r="N553" i="16"/>
  <c r="M553" i="16" s="1"/>
  <c r="Q553" i="16"/>
  <c r="S553" i="16"/>
  <c r="T553" i="16"/>
  <c r="U553" i="16" a="1"/>
  <c r="U553" i="16" s="1"/>
  <c r="D554" i="16"/>
  <c r="E554" i="16" a="1"/>
  <c r="E554" i="16" s="1"/>
  <c r="G554" i="16"/>
  <c r="H554" i="16" s="1"/>
  <c r="I554" i="16"/>
  <c r="N554" i="16"/>
  <c r="V554" i="16" s="1"/>
  <c r="Q554" i="16"/>
  <c r="S554" i="16"/>
  <c r="T554" i="16"/>
  <c r="U554" i="16" a="1"/>
  <c r="U554" i="16" s="1"/>
  <c r="D555" i="16"/>
  <c r="E555" i="16" a="1"/>
  <c r="E555" i="16" s="1"/>
  <c r="G555" i="16"/>
  <c r="H555" i="16" s="1"/>
  <c r="I555" i="16"/>
  <c r="N555" i="16"/>
  <c r="M555" i="16" s="1"/>
  <c r="Q555" i="16"/>
  <c r="S555" i="16"/>
  <c r="T555" i="16"/>
  <c r="U555" i="16" a="1"/>
  <c r="U555" i="16" s="1"/>
  <c r="V555" i="16"/>
  <c r="D556" i="16"/>
  <c r="E556" i="16" a="1"/>
  <c r="E556" i="16" s="1"/>
  <c r="G556" i="16"/>
  <c r="H556" i="16" s="1"/>
  <c r="I556" i="16"/>
  <c r="N556" i="16"/>
  <c r="M556" i="16" s="1"/>
  <c r="Q556" i="16"/>
  <c r="S556" i="16"/>
  <c r="T556" i="16"/>
  <c r="U556" i="16" a="1"/>
  <c r="U556" i="16" s="1"/>
  <c r="V556" i="16"/>
  <c r="D557" i="16"/>
  <c r="E557" i="16" a="1"/>
  <c r="E557" i="16" s="1"/>
  <c r="G557" i="16"/>
  <c r="H557" i="16" s="1"/>
  <c r="I557" i="16"/>
  <c r="N557" i="16"/>
  <c r="M557" i="16" s="1"/>
  <c r="Q557" i="16"/>
  <c r="S557" i="16"/>
  <c r="T557" i="16"/>
  <c r="U557" i="16" a="1"/>
  <c r="U557" i="16" s="1"/>
  <c r="D558" i="16"/>
  <c r="E558" i="16" a="1"/>
  <c r="E558" i="16" s="1"/>
  <c r="G558" i="16"/>
  <c r="H558" i="16" s="1"/>
  <c r="I558" i="16"/>
  <c r="N558" i="16"/>
  <c r="Q558" i="16"/>
  <c r="S558" i="16"/>
  <c r="V558" i="16"/>
  <c r="D559" i="16"/>
  <c r="E559" i="16" a="1"/>
  <c r="E559" i="16" s="1"/>
  <c r="G559" i="16"/>
  <c r="H559" i="16" s="1"/>
  <c r="I559" i="16"/>
  <c r="N559" i="16"/>
  <c r="M559" i="16" s="1"/>
  <c r="Q559" i="16"/>
  <c r="S559" i="16"/>
  <c r="T559" i="16"/>
  <c r="U559" i="16" a="1"/>
  <c r="U559" i="16" s="1"/>
  <c r="V559" i="16"/>
  <c r="D560" i="16"/>
  <c r="E560" i="16" a="1"/>
  <c r="E560" i="16" s="1"/>
  <c r="G560" i="16"/>
  <c r="H560" i="16" s="1"/>
  <c r="I560" i="16"/>
  <c r="N560" i="16"/>
  <c r="M560" i="16" s="1"/>
  <c r="Q560" i="16"/>
  <c r="S560" i="16"/>
  <c r="T560" i="16"/>
  <c r="U560" i="16" a="1"/>
  <c r="U560" i="16" s="1"/>
  <c r="V560" i="16"/>
  <c r="D561" i="16"/>
  <c r="E561" i="16" a="1"/>
  <c r="E561" i="16" s="1"/>
  <c r="G561" i="16"/>
  <c r="H561" i="16" s="1"/>
  <c r="I561" i="16"/>
  <c r="N561" i="16"/>
  <c r="M561" i="16" s="1"/>
  <c r="Q561" i="16"/>
  <c r="S561" i="16"/>
  <c r="T561" i="16"/>
  <c r="U561" i="16" a="1"/>
  <c r="U561" i="16" s="1"/>
  <c r="D562" i="16"/>
  <c r="E562" i="16" a="1"/>
  <c r="E562" i="16" s="1"/>
  <c r="G562" i="16"/>
  <c r="H562" i="16" s="1"/>
  <c r="I562" i="16"/>
  <c r="N562" i="16"/>
  <c r="Q562" i="16"/>
  <c r="S562" i="16"/>
  <c r="T562" i="16"/>
  <c r="U562" i="16" a="1"/>
  <c r="U562" i="16" s="1"/>
  <c r="V562" i="16"/>
  <c r="D563" i="16"/>
  <c r="E563" i="16" a="1"/>
  <c r="E563" i="16" s="1"/>
  <c r="G563" i="16"/>
  <c r="H563" i="16" s="1"/>
  <c r="I563" i="16"/>
  <c r="N563" i="16"/>
  <c r="Q563" i="16"/>
  <c r="S563" i="16"/>
  <c r="T563" i="16"/>
  <c r="U563" i="16" a="1"/>
  <c r="U563" i="16" s="1"/>
  <c r="V563" i="16"/>
  <c r="D564" i="16"/>
  <c r="E564" i="16" a="1"/>
  <c r="E564" i="16" s="1"/>
  <c r="G564" i="16"/>
  <c r="H564" i="16" s="1"/>
  <c r="I564" i="16"/>
  <c r="N564" i="16"/>
  <c r="Q564" i="16"/>
  <c r="S564" i="16"/>
  <c r="T564" i="16"/>
  <c r="U564" i="16" a="1"/>
  <c r="U564" i="16" s="1"/>
  <c r="V564" i="16"/>
  <c r="D565" i="16"/>
  <c r="E565" i="16" a="1"/>
  <c r="E565" i="16" s="1"/>
  <c r="G565" i="16"/>
  <c r="H565" i="16" s="1"/>
  <c r="I565" i="16"/>
  <c r="N565" i="16"/>
  <c r="Q565" i="16"/>
  <c r="S565" i="16"/>
  <c r="T565" i="16"/>
  <c r="U565" i="16" a="1"/>
  <c r="U565" i="16" s="1"/>
  <c r="V565" i="16"/>
  <c r="D566" i="16"/>
  <c r="E566" i="16" a="1"/>
  <c r="E566" i="16" s="1"/>
  <c r="G566" i="16"/>
  <c r="H566" i="16" s="1"/>
  <c r="I566" i="16"/>
  <c r="N566" i="16"/>
  <c r="Q566" i="16"/>
  <c r="S566" i="16"/>
  <c r="T566" i="16"/>
  <c r="U566" i="16" a="1"/>
  <c r="U566" i="16" s="1"/>
  <c r="V566" i="16"/>
  <c r="D567" i="16"/>
  <c r="E567" i="16" a="1"/>
  <c r="E567" i="16" s="1"/>
  <c r="G567" i="16"/>
  <c r="H567" i="16" s="1"/>
  <c r="I567" i="16"/>
  <c r="N567" i="16"/>
  <c r="M567" i="16" s="1"/>
  <c r="Q567" i="16"/>
  <c r="S567" i="16"/>
  <c r="T567" i="16"/>
  <c r="U567" i="16" a="1"/>
  <c r="U567" i="16" s="1"/>
  <c r="D568" i="16"/>
  <c r="E568" i="16" a="1"/>
  <c r="E568" i="16" s="1"/>
  <c r="G568" i="16"/>
  <c r="H568" i="16" s="1"/>
  <c r="I568" i="16"/>
  <c r="N568" i="16"/>
  <c r="M568" i="16" s="1"/>
  <c r="Q568" i="16"/>
  <c r="S568" i="16"/>
  <c r="T568" i="16"/>
  <c r="U568" i="16" a="1"/>
  <c r="U568" i="16" s="1"/>
  <c r="V568" i="16"/>
  <c r="D569" i="16"/>
  <c r="E569" i="16" a="1"/>
  <c r="E569" i="16" s="1"/>
  <c r="G569" i="16"/>
  <c r="H569" i="16" s="1"/>
  <c r="I569" i="16"/>
  <c r="N569" i="16"/>
  <c r="M569" i="16" s="1"/>
  <c r="Q569" i="16"/>
  <c r="S569" i="16"/>
  <c r="T569" i="16"/>
  <c r="U569" i="16" a="1"/>
  <c r="U569" i="16" s="1"/>
  <c r="V569" i="16"/>
  <c r="D570" i="16"/>
  <c r="E570" i="16" a="1"/>
  <c r="E570" i="16" s="1"/>
  <c r="G570" i="16"/>
  <c r="H570" i="16" s="1"/>
  <c r="I570" i="16"/>
  <c r="N570" i="16"/>
  <c r="M570" i="16" s="1"/>
  <c r="Q570" i="16"/>
  <c r="S570" i="16"/>
  <c r="T570" i="16"/>
  <c r="U570" i="16" a="1"/>
  <c r="U570" i="16" s="1"/>
  <c r="V570" i="16"/>
  <c r="D571" i="16"/>
  <c r="E571" i="16" a="1"/>
  <c r="E571" i="16" s="1"/>
  <c r="G571" i="16"/>
  <c r="H571" i="16" s="1"/>
  <c r="I571" i="16"/>
  <c r="N571" i="16"/>
  <c r="M571" i="16" s="1"/>
  <c r="Q571" i="16"/>
  <c r="S571" i="16"/>
  <c r="T571" i="16"/>
  <c r="U571" i="16" a="1"/>
  <c r="U571" i="16" s="1"/>
  <c r="V571" i="16"/>
  <c r="D572" i="16"/>
  <c r="E572" i="16" a="1"/>
  <c r="E572" i="16" s="1"/>
  <c r="G572" i="16"/>
  <c r="H572" i="16" s="1"/>
  <c r="I572" i="16"/>
  <c r="N572" i="16"/>
  <c r="Q572" i="16"/>
  <c r="S572" i="16"/>
  <c r="T572" i="16"/>
  <c r="U572" i="16" a="1"/>
  <c r="U572" i="16" s="1"/>
  <c r="V572" i="16"/>
  <c r="D573" i="16"/>
  <c r="E573" i="16" a="1"/>
  <c r="E573" i="16" s="1"/>
  <c r="G573" i="16"/>
  <c r="H573" i="16" s="1"/>
  <c r="I573" i="16"/>
  <c r="N573" i="16"/>
  <c r="M573" i="16" s="1"/>
  <c r="Q573" i="16"/>
  <c r="S573" i="16"/>
  <c r="T573" i="16"/>
  <c r="U573" i="16" a="1"/>
  <c r="U573" i="16" s="1"/>
  <c r="V573" i="16"/>
  <c r="D574" i="16"/>
  <c r="E574" i="16" a="1"/>
  <c r="E574" i="16" s="1"/>
  <c r="G574" i="16"/>
  <c r="H574" i="16" s="1"/>
  <c r="I574" i="16"/>
  <c r="N574" i="16"/>
  <c r="Q574" i="16"/>
  <c r="S574" i="16"/>
  <c r="T574" i="16"/>
  <c r="U574" i="16" a="1"/>
  <c r="U574" i="16" s="1"/>
  <c r="V574" i="16"/>
  <c r="D575" i="16"/>
  <c r="E575" i="16" a="1"/>
  <c r="E575" i="16" s="1"/>
  <c r="G575" i="16"/>
  <c r="H575" i="16" s="1"/>
  <c r="I575" i="16"/>
  <c r="N575" i="16"/>
  <c r="Q575" i="16"/>
  <c r="S575" i="16"/>
  <c r="T575" i="16"/>
  <c r="U575" i="16" a="1"/>
  <c r="U575" i="16" s="1"/>
  <c r="V575" i="16"/>
  <c r="D576" i="16"/>
  <c r="E576" i="16" a="1"/>
  <c r="E576" i="16" s="1"/>
  <c r="G576" i="16"/>
  <c r="H576" i="16" s="1"/>
  <c r="I576" i="16"/>
  <c r="N576" i="16"/>
  <c r="M576" i="16" s="1"/>
  <c r="Q576" i="16"/>
  <c r="S576" i="16"/>
  <c r="T576" i="16"/>
  <c r="U576" i="16" a="1"/>
  <c r="U576" i="16" s="1"/>
  <c r="V576" i="16"/>
  <c r="D577" i="16"/>
  <c r="E577" i="16" a="1"/>
  <c r="E577" i="16" s="1"/>
  <c r="G577" i="16"/>
  <c r="H577" i="16" s="1"/>
  <c r="I577" i="16"/>
  <c r="N577" i="16"/>
  <c r="M577" i="16" s="1"/>
  <c r="Q577" i="16"/>
  <c r="S577" i="16"/>
  <c r="T577" i="16"/>
  <c r="U577" i="16" a="1"/>
  <c r="U577" i="16" s="1"/>
  <c r="V577" i="16"/>
  <c r="D578" i="16"/>
  <c r="E578" i="16" a="1"/>
  <c r="E578" i="16" s="1"/>
  <c r="G578" i="16"/>
  <c r="H578" i="16" s="1"/>
  <c r="I578" i="16"/>
  <c r="N578" i="16"/>
  <c r="Q578" i="16"/>
  <c r="S578" i="16"/>
  <c r="T578" i="16"/>
  <c r="U578" i="16" a="1"/>
  <c r="U578" i="16" s="1"/>
  <c r="V578" i="16"/>
  <c r="D579" i="16"/>
  <c r="E579" i="16" a="1"/>
  <c r="E579" i="16" s="1"/>
  <c r="G579" i="16"/>
  <c r="H579" i="16" s="1"/>
  <c r="I579" i="16"/>
  <c r="N579" i="16"/>
  <c r="Q579" i="16"/>
  <c r="S579" i="16"/>
  <c r="T579" i="16"/>
  <c r="U579" i="16" a="1"/>
  <c r="U579" i="16" s="1"/>
  <c r="V579" i="16"/>
  <c r="D580" i="16"/>
  <c r="E580" i="16" a="1"/>
  <c r="E580" i="16" s="1"/>
  <c r="G580" i="16"/>
  <c r="H580" i="16" s="1"/>
  <c r="I580" i="16"/>
  <c r="N580" i="16"/>
  <c r="M580" i="16" s="1"/>
  <c r="Q580" i="16"/>
  <c r="S580" i="16"/>
  <c r="T580" i="16"/>
  <c r="U580" i="16" a="1"/>
  <c r="U580" i="16" s="1"/>
  <c r="V580" i="16"/>
  <c r="D581" i="16"/>
  <c r="E581" i="16" a="1"/>
  <c r="E581" i="16" s="1"/>
  <c r="G581" i="16"/>
  <c r="H581" i="16" s="1"/>
  <c r="I581" i="16"/>
  <c r="N581" i="16"/>
  <c r="M581" i="16" s="1"/>
  <c r="Q581" i="16"/>
  <c r="S581" i="16"/>
  <c r="T581" i="16"/>
  <c r="U581" i="16" a="1"/>
  <c r="U581" i="16" s="1"/>
  <c r="V581" i="16"/>
  <c r="D582" i="16"/>
  <c r="E582" i="16" a="1"/>
  <c r="E582" i="16" s="1"/>
  <c r="G582" i="16"/>
  <c r="H582" i="16" s="1"/>
  <c r="I582" i="16"/>
  <c r="N582" i="16"/>
  <c r="M582" i="16" s="1"/>
  <c r="Q582" i="16"/>
  <c r="S582" i="16"/>
  <c r="T582" i="16"/>
  <c r="U582" i="16" a="1"/>
  <c r="U582" i="16" s="1"/>
  <c r="V582" i="16"/>
  <c r="D583" i="16"/>
  <c r="E583" i="16" a="1"/>
  <c r="E583" i="16" s="1"/>
  <c r="G583" i="16"/>
  <c r="H583" i="16" s="1"/>
  <c r="I583" i="16"/>
  <c r="N583" i="16"/>
  <c r="Q583" i="16"/>
  <c r="S583" i="16"/>
  <c r="T583" i="16"/>
  <c r="U583" i="16" a="1"/>
  <c r="U583" i="16" s="1"/>
  <c r="V583" i="16"/>
  <c r="D584" i="16"/>
  <c r="E584" i="16" a="1"/>
  <c r="E584" i="16" s="1"/>
  <c r="G584" i="16"/>
  <c r="H584" i="16" s="1"/>
  <c r="I584" i="16"/>
  <c r="N584" i="16"/>
  <c r="M584" i="16" s="1"/>
  <c r="Q584" i="16"/>
  <c r="S584" i="16"/>
  <c r="T584" i="16"/>
  <c r="U584" i="16" a="1"/>
  <c r="U584" i="16" s="1"/>
  <c r="V584" i="16"/>
  <c r="D585" i="16"/>
  <c r="E585" i="16" a="1"/>
  <c r="E585" i="16" s="1"/>
  <c r="G585" i="16"/>
  <c r="H585" i="16" s="1"/>
  <c r="I585" i="16"/>
  <c r="N585" i="16"/>
  <c r="M585" i="16" s="1"/>
  <c r="Q585" i="16"/>
  <c r="S585" i="16"/>
  <c r="T585" i="16"/>
  <c r="U585" i="16" a="1"/>
  <c r="U585" i="16" s="1"/>
  <c r="V585" i="16"/>
  <c r="D586" i="16"/>
  <c r="E586" i="16" a="1"/>
  <c r="E586" i="16" s="1"/>
  <c r="G586" i="16"/>
  <c r="H586" i="16" s="1"/>
  <c r="I586" i="16"/>
  <c r="N586" i="16"/>
  <c r="M586" i="16" s="1"/>
  <c r="Q586" i="16"/>
  <c r="S586" i="16"/>
  <c r="T586" i="16"/>
  <c r="U586" i="16" a="1"/>
  <c r="U586" i="16" s="1"/>
  <c r="V586" i="16"/>
  <c r="D587" i="16"/>
  <c r="E587" i="16" a="1"/>
  <c r="E587" i="16" s="1"/>
  <c r="G587" i="16"/>
  <c r="H587" i="16" s="1"/>
  <c r="I587" i="16"/>
  <c r="N587" i="16"/>
  <c r="M587" i="16" s="1"/>
  <c r="Q587" i="16"/>
  <c r="S587" i="16"/>
  <c r="T587" i="16"/>
  <c r="U587" i="16" a="1"/>
  <c r="U587" i="16" s="1"/>
  <c r="V587" i="16"/>
  <c r="D588" i="16"/>
  <c r="E588" i="16" a="1"/>
  <c r="E588" i="16" s="1"/>
  <c r="G588" i="16"/>
  <c r="H588" i="16" s="1"/>
  <c r="I588" i="16"/>
  <c r="N588" i="16"/>
  <c r="Q588" i="16"/>
  <c r="S588" i="16"/>
  <c r="T588" i="16"/>
  <c r="U588" i="16" a="1"/>
  <c r="U588" i="16" s="1"/>
  <c r="V588" i="16"/>
  <c r="D589" i="16"/>
  <c r="E589" i="16" a="1"/>
  <c r="E589" i="16" s="1"/>
  <c r="G589" i="16"/>
  <c r="H589" i="16" s="1"/>
  <c r="I589" i="16"/>
  <c r="N589" i="16"/>
  <c r="M589" i="16" s="1"/>
  <c r="Q589" i="16"/>
  <c r="S589" i="16"/>
  <c r="T589" i="16"/>
  <c r="U589" i="16" a="1"/>
  <c r="U589" i="16" s="1"/>
  <c r="V589" i="16"/>
  <c r="D590" i="16"/>
  <c r="E590" i="16" a="1"/>
  <c r="E590" i="16" s="1"/>
  <c r="G590" i="16"/>
  <c r="H590" i="16" s="1"/>
  <c r="I590" i="16"/>
  <c r="N590" i="16"/>
  <c r="M590" i="16" s="1"/>
  <c r="Q590" i="16"/>
  <c r="S590" i="16"/>
  <c r="T590" i="16"/>
  <c r="U590" i="16" a="1"/>
  <c r="U590" i="16" s="1"/>
  <c r="V590" i="16"/>
  <c r="D591" i="16"/>
  <c r="E591" i="16" a="1"/>
  <c r="E591" i="16" s="1"/>
  <c r="G591" i="16"/>
  <c r="H591" i="16" s="1"/>
  <c r="I591" i="16"/>
  <c r="N591" i="16"/>
  <c r="M591" i="16" s="1"/>
  <c r="Q591" i="16"/>
  <c r="S591" i="16"/>
  <c r="T591" i="16"/>
  <c r="U591" i="16" a="1"/>
  <c r="U591" i="16" s="1"/>
  <c r="D592" i="16"/>
  <c r="E592" i="16" a="1"/>
  <c r="E592" i="16" s="1"/>
  <c r="G592" i="16"/>
  <c r="H592" i="16" s="1"/>
  <c r="I592" i="16"/>
  <c r="N592" i="16"/>
  <c r="M592" i="16" s="1"/>
  <c r="Q592" i="16"/>
  <c r="S592" i="16"/>
  <c r="T592" i="16"/>
  <c r="U592" i="16" a="1"/>
  <c r="U592" i="16" s="1"/>
  <c r="V592" i="16"/>
  <c r="D593" i="16"/>
  <c r="E593" i="16" a="1"/>
  <c r="E593" i="16" s="1"/>
  <c r="G593" i="16"/>
  <c r="H593" i="16" s="1"/>
  <c r="I593" i="16"/>
  <c r="N593" i="16"/>
  <c r="Q593" i="16"/>
  <c r="S593" i="16"/>
  <c r="T593" i="16"/>
  <c r="U593" i="16" a="1"/>
  <c r="U593" i="16" s="1"/>
  <c r="V593" i="16"/>
  <c r="D594" i="16"/>
  <c r="E594" i="16" a="1"/>
  <c r="E594" i="16" s="1"/>
  <c r="G594" i="16"/>
  <c r="H594" i="16" s="1"/>
  <c r="I594" i="16"/>
  <c r="N594" i="16"/>
  <c r="M594" i="16" s="1"/>
  <c r="Q594" i="16"/>
  <c r="S594" i="16"/>
  <c r="T594" i="16"/>
  <c r="U594" i="16" a="1"/>
  <c r="U594" i="16" s="1"/>
  <c r="D595" i="16"/>
  <c r="E595" i="16" a="1"/>
  <c r="E595" i="16" s="1"/>
  <c r="G595" i="16"/>
  <c r="H595" i="16" s="1"/>
  <c r="I595" i="16"/>
  <c r="N595" i="16"/>
  <c r="M595" i="16" s="1"/>
  <c r="Q595" i="16"/>
  <c r="S595" i="16"/>
  <c r="T595" i="16"/>
  <c r="U595" i="16" a="1"/>
  <c r="U595" i="16" s="1"/>
  <c r="V595" i="16"/>
  <c r="D596" i="16"/>
  <c r="E596" i="16" a="1"/>
  <c r="E596" i="16" s="1"/>
  <c r="G596" i="16"/>
  <c r="H596" i="16" s="1"/>
  <c r="I596" i="16"/>
  <c r="N596" i="16"/>
  <c r="M596" i="16" s="1"/>
  <c r="Q596" i="16"/>
  <c r="S596" i="16"/>
  <c r="T596" i="16"/>
  <c r="U596" i="16" a="1"/>
  <c r="U596" i="16" s="1"/>
  <c r="V596" i="16"/>
  <c r="D597" i="16"/>
  <c r="E597" i="16" a="1"/>
  <c r="E597" i="16" s="1"/>
  <c r="G597" i="16"/>
  <c r="H597" i="16" s="1"/>
  <c r="I597" i="16"/>
  <c r="N597" i="16"/>
  <c r="Q597" i="16"/>
  <c r="S597" i="16"/>
  <c r="T597" i="16"/>
  <c r="U597" i="16" a="1"/>
  <c r="U597" i="16" s="1"/>
  <c r="V597" i="16"/>
  <c r="D598" i="16"/>
  <c r="E598" i="16" a="1"/>
  <c r="E598" i="16" s="1"/>
  <c r="G598" i="16"/>
  <c r="H598" i="16" s="1"/>
  <c r="I598" i="16"/>
  <c r="N598" i="16"/>
  <c r="M598" i="16" s="1"/>
  <c r="Q598" i="16"/>
  <c r="S598" i="16"/>
  <c r="T598" i="16"/>
  <c r="U598" i="16" a="1"/>
  <c r="U598" i="16" s="1"/>
  <c r="V598" i="16"/>
  <c r="D599" i="16"/>
  <c r="E599" i="16" a="1"/>
  <c r="E599" i="16" s="1"/>
  <c r="G599" i="16"/>
  <c r="H599" i="16" s="1"/>
  <c r="I599" i="16"/>
  <c r="N599" i="16"/>
  <c r="Q599" i="16"/>
  <c r="S599" i="16"/>
  <c r="T599" i="16"/>
  <c r="U599" i="16" a="1"/>
  <c r="U599" i="16" s="1"/>
  <c r="V599" i="16"/>
  <c r="D600" i="16"/>
  <c r="E600" i="16" a="1"/>
  <c r="E600" i="16" s="1"/>
  <c r="G600" i="16"/>
  <c r="H600" i="16" s="1"/>
  <c r="I600" i="16"/>
  <c r="N600" i="16"/>
  <c r="M600" i="16" s="1"/>
  <c r="Q600" i="16"/>
  <c r="S600" i="16"/>
  <c r="T600" i="16"/>
  <c r="U600" i="16" a="1"/>
  <c r="U600" i="16" s="1"/>
  <c r="V600" i="16"/>
  <c r="D601" i="16"/>
  <c r="E601" i="16" a="1"/>
  <c r="E601" i="16" s="1"/>
  <c r="G601" i="16"/>
  <c r="H601" i="16" s="1"/>
  <c r="I601" i="16"/>
  <c r="N601" i="16"/>
  <c r="M601" i="16" s="1"/>
  <c r="Q601" i="16"/>
  <c r="S601" i="16"/>
  <c r="T601" i="16"/>
  <c r="U601" i="16" a="1"/>
  <c r="U601" i="16" s="1"/>
  <c r="V601" i="16"/>
  <c r="D602" i="16"/>
  <c r="E602" i="16" a="1"/>
  <c r="E602" i="16" s="1"/>
  <c r="G602" i="16"/>
  <c r="H602" i="16" s="1"/>
  <c r="I602" i="16"/>
  <c r="N602" i="16"/>
  <c r="V602" i="16" s="1"/>
  <c r="Q602" i="16"/>
  <c r="S602" i="16"/>
  <c r="T602" i="16"/>
  <c r="U602" i="16" a="1"/>
  <c r="U602" i="16" s="1"/>
  <c r="D603" i="16"/>
  <c r="E603" i="16" a="1"/>
  <c r="E603" i="16" s="1"/>
  <c r="G603" i="16"/>
  <c r="H603" i="16" s="1"/>
  <c r="I603" i="16"/>
  <c r="N603" i="16"/>
  <c r="M603" i="16" s="1"/>
  <c r="Q603" i="16"/>
  <c r="S603" i="16"/>
  <c r="T603" i="16"/>
  <c r="U603" i="16" a="1"/>
  <c r="U603" i="16" s="1"/>
  <c r="D604" i="16"/>
  <c r="E604" i="16" a="1"/>
  <c r="E604" i="16" s="1"/>
  <c r="G604" i="16"/>
  <c r="H604" i="16" s="1"/>
  <c r="I604" i="16"/>
  <c r="N604" i="16"/>
  <c r="M604" i="16" s="1"/>
  <c r="Q604" i="16"/>
  <c r="S604" i="16"/>
  <c r="T604" i="16"/>
  <c r="U604" i="16" a="1"/>
  <c r="U604" i="16" s="1"/>
  <c r="V604" i="16"/>
  <c r="D605" i="16"/>
  <c r="E605" i="16" a="1"/>
  <c r="E605" i="16" s="1"/>
  <c r="G605" i="16"/>
  <c r="H605" i="16" s="1"/>
  <c r="I605" i="16"/>
  <c r="N605" i="16"/>
  <c r="M605" i="16" s="1"/>
  <c r="Q605" i="16"/>
  <c r="S605" i="16"/>
  <c r="T605" i="16"/>
  <c r="U605" i="16" a="1"/>
  <c r="U605" i="16" s="1"/>
  <c r="V605" i="16"/>
  <c r="D606" i="16"/>
  <c r="E606" i="16" a="1"/>
  <c r="E606" i="16" s="1"/>
  <c r="G606" i="16"/>
  <c r="H606" i="16" s="1"/>
  <c r="I606" i="16"/>
  <c r="N606" i="16"/>
  <c r="M606" i="16" s="1"/>
  <c r="Q606" i="16"/>
  <c r="S606" i="16"/>
  <c r="T606" i="16"/>
  <c r="U606" i="16" a="1"/>
  <c r="U606" i="16" s="1"/>
  <c r="D607" i="16"/>
  <c r="E607" i="16" a="1"/>
  <c r="E607" i="16" s="1"/>
  <c r="G607" i="16"/>
  <c r="H607" i="16" s="1"/>
  <c r="I607" i="16"/>
  <c r="N607" i="16"/>
  <c r="M607" i="16" s="1"/>
  <c r="Q607" i="16"/>
  <c r="S607" i="16"/>
  <c r="V607" i="16"/>
  <c r="D608" i="16"/>
  <c r="E608" i="16" a="1"/>
  <c r="E608" i="16" s="1"/>
  <c r="G608" i="16"/>
  <c r="H608" i="16" s="1"/>
  <c r="I608" i="16"/>
  <c r="N608" i="16"/>
  <c r="M608" i="16" s="1"/>
  <c r="Q608" i="16"/>
  <c r="S608" i="16"/>
  <c r="V608" i="16"/>
  <c r="D609" i="16"/>
  <c r="E609" i="16" a="1"/>
  <c r="E609" i="16" s="1"/>
  <c r="G609" i="16"/>
  <c r="H609" i="16" s="1"/>
  <c r="I609" i="16"/>
  <c r="N609" i="16"/>
  <c r="M609" i="16" s="1"/>
  <c r="Q609" i="16"/>
  <c r="S609" i="16"/>
  <c r="V609" i="16"/>
  <c r="D610" i="16"/>
  <c r="E610" i="16" a="1"/>
  <c r="E610" i="16" s="1"/>
  <c r="G610" i="16"/>
  <c r="H610" i="16" s="1"/>
  <c r="I610" i="16"/>
  <c r="N610" i="16"/>
  <c r="Q610" i="16"/>
  <c r="S610" i="16"/>
  <c r="T610" i="16"/>
  <c r="U610" i="16" a="1"/>
  <c r="U610" i="16" s="1"/>
  <c r="V610" i="16"/>
  <c r="D611" i="16"/>
  <c r="E611" i="16" a="1"/>
  <c r="E611" i="16" s="1"/>
  <c r="G611" i="16"/>
  <c r="H611" i="16" s="1"/>
  <c r="I611" i="16"/>
  <c r="N611" i="16"/>
  <c r="M611" i="16" s="1"/>
  <c r="Q611" i="16"/>
  <c r="S611" i="16"/>
  <c r="T611" i="16"/>
  <c r="U611" i="16" a="1"/>
  <c r="U611" i="16" s="1"/>
  <c r="V611" i="16"/>
  <c r="D612" i="16"/>
  <c r="E612" i="16" a="1"/>
  <c r="E612" i="16" s="1"/>
  <c r="G612" i="16"/>
  <c r="H612" i="16" s="1"/>
  <c r="I612" i="16"/>
  <c r="N612" i="16"/>
  <c r="M612" i="16" s="1"/>
  <c r="Q612" i="16"/>
  <c r="S612" i="16"/>
  <c r="T612" i="16"/>
  <c r="U612" i="16" a="1"/>
  <c r="U612" i="16" s="1"/>
  <c r="V612" i="16"/>
  <c r="D613" i="16"/>
  <c r="E613" i="16" a="1"/>
  <c r="E613" i="16" s="1"/>
  <c r="G613" i="16"/>
  <c r="H613" i="16" s="1"/>
  <c r="I613" i="16"/>
  <c r="N613" i="16"/>
  <c r="M613" i="16" s="1"/>
  <c r="Q613" i="16"/>
  <c r="S613" i="16"/>
  <c r="T613" i="16"/>
  <c r="U613" i="16" a="1"/>
  <c r="U613" i="16" s="1"/>
  <c r="V613" i="16"/>
  <c r="D614" i="16"/>
  <c r="E614" i="16" a="1"/>
  <c r="E614" i="16" s="1"/>
  <c r="G614" i="16"/>
  <c r="H614" i="16" s="1"/>
  <c r="I614" i="16"/>
  <c r="N614" i="16"/>
  <c r="M614" i="16" s="1"/>
  <c r="Q614" i="16"/>
  <c r="S614" i="16"/>
  <c r="T614" i="16"/>
  <c r="U614" i="16" a="1"/>
  <c r="U614" i="16" s="1"/>
  <c r="V614" i="16"/>
  <c r="D615" i="16"/>
  <c r="E615" i="16" a="1"/>
  <c r="E615" i="16" s="1"/>
  <c r="G615" i="16"/>
  <c r="H615" i="16" s="1"/>
  <c r="I615" i="16"/>
  <c r="N615" i="16"/>
  <c r="M615" i="16" s="1"/>
  <c r="Q615" i="16"/>
  <c r="S615" i="16"/>
  <c r="T615" i="16"/>
  <c r="U615" i="16" a="1"/>
  <c r="U615" i="16" s="1"/>
  <c r="V615" i="16"/>
  <c r="D616" i="16"/>
  <c r="E616" i="16" a="1"/>
  <c r="E616" i="16" s="1"/>
  <c r="G616" i="16"/>
  <c r="H616" i="16" s="1"/>
  <c r="I616" i="16"/>
  <c r="N616" i="16"/>
  <c r="M616" i="16" s="1"/>
  <c r="Q616" i="16"/>
  <c r="S616" i="16"/>
  <c r="T616" i="16"/>
  <c r="U616" i="16" a="1"/>
  <c r="U616" i="16" s="1"/>
  <c r="D617" i="16"/>
  <c r="E617" i="16" a="1"/>
  <c r="E617" i="16" s="1"/>
  <c r="G617" i="16"/>
  <c r="H617" i="16" s="1"/>
  <c r="I617" i="16"/>
  <c r="N617" i="16"/>
  <c r="M617" i="16" s="1"/>
  <c r="Q617" i="16"/>
  <c r="S617" i="16"/>
  <c r="T617" i="16"/>
  <c r="U617" i="16" a="1"/>
  <c r="U617" i="16" s="1"/>
  <c r="V617" i="16"/>
  <c r="D618" i="16"/>
  <c r="E618" i="16" a="1"/>
  <c r="E618" i="16" s="1"/>
  <c r="G618" i="16"/>
  <c r="H618" i="16" s="1"/>
  <c r="I618" i="16"/>
  <c r="N618" i="16"/>
  <c r="Q618" i="16"/>
  <c r="S618" i="16"/>
  <c r="T618" i="16"/>
  <c r="U618" i="16" a="1"/>
  <c r="U618" i="16" s="1"/>
  <c r="V618" i="16"/>
  <c r="D619" i="16"/>
  <c r="E619" i="16" a="1"/>
  <c r="E619" i="16" s="1"/>
  <c r="G619" i="16"/>
  <c r="H619" i="16" s="1"/>
  <c r="I619" i="16"/>
  <c r="N619" i="16"/>
  <c r="Q619" i="16"/>
  <c r="S619" i="16"/>
  <c r="T619" i="16"/>
  <c r="U619" i="16" a="1"/>
  <c r="U619" i="16" s="1"/>
  <c r="V619" i="16"/>
  <c r="D620" i="16"/>
  <c r="E620" i="16" a="1"/>
  <c r="E620" i="16" s="1"/>
  <c r="G620" i="16"/>
  <c r="H620" i="16" s="1"/>
  <c r="I620" i="16"/>
  <c r="N620" i="16"/>
  <c r="M620" i="16" s="1"/>
  <c r="Q620" i="16"/>
  <c r="S620" i="16"/>
  <c r="T620" i="16"/>
  <c r="U620" i="16" a="1"/>
  <c r="U620" i="16" s="1"/>
  <c r="V620" i="16"/>
  <c r="D621" i="16"/>
  <c r="E621" i="16" a="1"/>
  <c r="E621" i="16" s="1"/>
  <c r="G621" i="16"/>
  <c r="H621" i="16" s="1"/>
  <c r="I621" i="16"/>
  <c r="N621" i="16"/>
  <c r="Q621" i="16"/>
  <c r="S621" i="16"/>
  <c r="T621" i="16"/>
  <c r="U621" i="16" a="1"/>
  <c r="U621" i="16" s="1"/>
  <c r="V621" i="16"/>
  <c r="D622" i="16"/>
  <c r="E622" i="16" a="1"/>
  <c r="E622" i="16" s="1"/>
  <c r="G622" i="16"/>
  <c r="H622" i="16" s="1"/>
  <c r="I622" i="16"/>
  <c r="N622" i="16"/>
  <c r="M622" i="16" s="1"/>
  <c r="Q622" i="16"/>
  <c r="S622" i="16"/>
  <c r="T622" i="16"/>
  <c r="U622" i="16" a="1"/>
  <c r="U622" i="16" s="1"/>
  <c r="V622" i="16"/>
  <c r="D623" i="16"/>
  <c r="E623" i="16" a="1"/>
  <c r="E623" i="16" s="1"/>
  <c r="G623" i="16"/>
  <c r="H623" i="16" s="1"/>
  <c r="I623" i="16"/>
  <c r="N623" i="16"/>
  <c r="M623" i="16" s="1"/>
  <c r="Q623" i="16"/>
  <c r="S623" i="16"/>
  <c r="T623" i="16"/>
  <c r="U623" i="16" a="1"/>
  <c r="U623" i="16" s="1"/>
  <c r="V623" i="16"/>
  <c r="D624" i="16"/>
  <c r="E624" i="16" a="1"/>
  <c r="E624" i="16" s="1"/>
  <c r="G624" i="16"/>
  <c r="H624" i="16" s="1"/>
  <c r="I624" i="16"/>
  <c r="N624" i="16"/>
  <c r="M624" i="16" s="1"/>
  <c r="Q624" i="16"/>
  <c r="S624" i="16"/>
  <c r="T624" i="16"/>
  <c r="U624" i="16" a="1"/>
  <c r="U624" i="16" s="1"/>
  <c r="V624" i="16"/>
  <c r="D625" i="16"/>
  <c r="E625" i="16" a="1"/>
  <c r="E625" i="16" s="1"/>
  <c r="G625" i="16"/>
  <c r="H625" i="16" s="1"/>
  <c r="I625" i="16"/>
  <c r="N625" i="16"/>
  <c r="M625" i="16" s="1"/>
  <c r="Q625" i="16"/>
  <c r="S625" i="16"/>
  <c r="T625" i="16"/>
  <c r="U625" i="16" a="1"/>
  <c r="U625" i="16" s="1"/>
  <c r="V625" i="16"/>
  <c r="D626" i="16"/>
  <c r="E626" i="16" a="1"/>
  <c r="E626" i="16" s="1"/>
  <c r="G626" i="16"/>
  <c r="H626" i="16" s="1"/>
  <c r="I626" i="16"/>
  <c r="N626" i="16"/>
  <c r="Q626" i="16"/>
  <c r="S626" i="16"/>
  <c r="T626" i="16"/>
  <c r="U626" i="16" a="1"/>
  <c r="U626" i="16" s="1"/>
  <c r="V626" i="16"/>
  <c r="D627" i="16"/>
  <c r="E627" i="16" a="1"/>
  <c r="E627" i="16" s="1"/>
  <c r="G627" i="16"/>
  <c r="H627" i="16" s="1"/>
  <c r="I627" i="16"/>
  <c r="N627" i="16"/>
  <c r="Q627" i="16"/>
  <c r="S627" i="16"/>
  <c r="T627" i="16"/>
  <c r="U627" i="16" a="1"/>
  <c r="U627" i="16" s="1"/>
  <c r="V627" i="16"/>
  <c r="D628" i="16"/>
  <c r="E628" i="16" a="1"/>
  <c r="E628" i="16" s="1"/>
  <c r="G628" i="16"/>
  <c r="H628" i="16" s="1"/>
  <c r="I628" i="16"/>
  <c r="N628" i="16"/>
  <c r="V628" i="16" s="1"/>
  <c r="Q628" i="16"/>
  <c r="S628" i="16"/>
  <c r="T628" i="16"/>
  <c r="U628" i="16" a="1"/>
  <c r="U628" i="16" s="1"/>
  <c r="D629" i="16"/>
  <c r="E629" i="16" a="1"/>
  <c r="E629" i="16" s="1"/>
  <c r="G629" i="16"/>
  <c r="H629" i="16" s="1"/>
  <c r="I629" i="16"/>
  <c r="N629" i="16"/>
  <c r="M629" i="16" s="1"/>
  <c r="Q629" i="16"/>
  <c r="S629" i="16"/>
  <c r="T629" i="16"/>
  <c r="U629" i="16" a="1"/>
  <c r="U629" i="16" s="1"/>
  <c r="D630" i="16"/>
  <c r="E630" i="16" a="1"/>
  <c r="E630" i="16" s="1"/>
  <c r="G630" i="16"/>
  <c r="H630" i="16" s="1"/>
  <c r="I630" i="16"/>
  <c r="N630" i="16"/>
  <c r="Q630" i="16"/>
  <c r="S630" i="16"/>
  <c r="T630" i="16"/>
  <c r="U630" i="16" a="1"/>
  <c r="U630" i="16" s="1"/>
  <c r="V630" i="16"/>
  <c r="D631" i="16"/>
  <c r="E631" i="16" a="1"/>
  <c r="E631" i="16" s="1"/>
  <c r="G631" i="16"/>
  <c r="H631" i="16" s="1"/>
  <c r="I631" i="16"/>
  <c r="N631" i="16"/>
  <c r="M631" i="16" s="1"/>
  <c r="Q631" i="16"/>
  <c r="S631" i="16"/>
  <c r="T631" i="16"/>
  <c r="U631" i="16" a="1"/>
  <c r="U631" i="16" s="1"/>
  <c r="V631" i="16"/>
  <c r="D632" i="16"/>
  <c r="E632" i="16" a="1"/>
  <c r="E632" i="16" s="1"/>
  <c r="G632" i="16"/>
  <c r="H632" i="16" s="1"/>
  <c r="I632" i="16"/>
  <c r="N632" i="16"/>
  <c r="M632" i="16" s="1"/>
  <c r="Q632" i="16"/>
  <c r="S632" i="16"/>
  <c r="T632" i="16"/>
  <c r="U632" i="16" a="1"/>
  <c r="U632" i="16" s="1"/>
  <c r="V632" i="16"/>
  <c r="D633" i="16"/>
  <c r="E633" i="16" a="1"/>
  <c r="E633" i="16" s="1"/>
  <c r="G633" i="16"/>
  <c r="H633" i="16" s="1"/>
  <c r="I633" i="16"/>
  <c r="N633" i="16"/>
  <c r="M633" i="16" s="1"/>
  <c r="Q633" i="16"/>
  <c r="S633" i="16"/>
  <c r="T633" i="16"/>
  <c r="U633" i="16" a="1"/>
  <c r="U633" i="16" s="1"/>
  <c r="V633" i="16"/>
  <c r="D634" i="16"/>
  <c r="E634" i="16" a="1"/>
  <c r="E634" i="16" s="1"/>
  <c r="G634" i="16"/>
  <c r="H634" i="16" s="1"/>
  <c r="I634" i="16"/>
  <c r="N634" i="16"/>
  <c r="M634" i="16" s="1"/>
  <c r="Q634" i="16"/>
  <c r="S634" i="16"/>
  <c r="T634" i="16"/>
  <c r="U634" i="16" a="1"/>
  <c r="U634" i="16" s="1"/>
  <c r="V634" i="16"/>
  <c r="D635" i="16"/>
  <c r="E635" i="16" a="1"/>
  <c r="E635" i="16" s="1"/>
  <c r="G635" i="16"/>
  <c r="H635" i="16" s="1"/>
  <c r="I635" i="16"/>
  <c r="N635" i="16"/>
  <c r="Q635" i="16"/>
  <c r="S635" i="16"/>
  <c r="T635" i="16"/>
  <c r="U635" i="16" a="1"/>
  <c r="U635" i="16" s="1"/>
  <c r="V635" i="16"/>
  <c r="D636" i="16"/>
  <c r="E636" i="16" a="1"/>
  <c r="E636" i="16" s="1"/>
  <c r="G636" i="16"/>
  <c r="H636" i="16" s="1"/>
  <c r="I636" i="16"/>
  <c r="N636" i="16"/>
  <c r="M636" i="16" s="1"/>
  <c r="Q636" i="16"/>
  <c r="S636" i="16"/>
  <c r="T636" i="16"/>
  <c r="U636" i="16" a="1"/>
  <c r="U636" i="16" s="1"/>
  <c r="V636" i="16"/>
  <c r="D637" i="16"/>
  <c r="E637" i="16" a="1"/>
  <c r="E637" i="16" s="1"/>
  <c r="G637" i="16"/>
  <c r="H637" i="16" s="1"/>
  <c r="I637" i="16"/>
  <c r="N637" i="16"/>
  <c r="M637" i="16" s="1"/>
  <c r="Q637" i="16"/>
  <c r="S637" i="16"/>
  <c r="T637" i="16"/>
  <c r="U637" i="16" a="1"/>
  <c r="U637" i="16" s="1"/>
  <c r="V637" i="16"/>
  <c r="D638" i="16"/>
  <c r="E638" i="16" a="1"/>
  <c r="E638" i="16" s="1"/>
  <c r="G638" i="16"/>
  <c r="H638" i="16" s="1"/>
  <c r="I638" i="16"/>
  <c r="N638" i="16"/>
  <c r="M638" i="16" s="1"/>
  <c r="Q638" i="16"/>
  <c r="S638" i="16"/>
  <c r="T638" i="16"/>
  <c r="U638" i="16" a="1"/>
  <c r="U638" i="16" s="1"/>
  <c r="V638" i="16"/>
  <c r="D639" i="16"/>
  <c r="E639" i="16" a="1"/>
  <c r="E639" i="16" s="1"/>
  <c r="G639" i="16"/>
  <c r="H639" i="16" s="1"/>
  <c r="I639" i="16"/>
  <c r="N639" i="16"/>
  <c r="Q639" i="16"/>
  <c r="S639" i="16"/>
  <c r="T639" i="16"/>
  <c r="U639" i="16" a="1"/>
  <c r="U639" i="16" s="1"/>
  <c r="V639" i="16"/>
  <c r="D640" i="16"/>
  <c r="E640" i="16" a="1"/>
  <c r="E640" i="16" s="1"/>
  <c r="G640" i="16"/>
  <c r="H640" i="16" s="1"/>
  <c r="I640" i="16"/>
  <c r="N640" i="16"/>
  <c r="Q640" i="16"/>
  <c r="S640" i="16"/>
  <c r="T640" i="16"/>
  <c r="U640" i="16" a="1"/>
  <c r="U640" i="16" s="1"/>
  <c r="V640" i="16"/>
  <c r="D641" i="16"/>
  <c r="E641" i="16" a="1"/>
  <c r="E641" i="16" s="1"/>
  <c r="G641" i="16"/>
  <c r="H641" i="16" s="1"/>
  <c r="I641" i="16"/>
  <c r="N641" i="16"/>
  <c r="M641" i="16" s="1"/>
  <c r="Q641" i="16"/>
  <c r="S641" i="16"/>
  <c r="T641" i="16"/>
  <c r="U641" i="16" a="1"/>
  <c r="U641" i="16" s="1"/>
  <c r="V641" i="16"/>
  <c r="D642" i="16"/>
  <c r="E642" i="16" a="1"/>
  <c r="E642" i="16" s="1"/>
  <c r="G642" i="16"/>
  <c r="H642" i="16" s="1"/>
  <c r="I642" i="16"/>
  <c r="N642" i="16"/>
  <c r="M642" i="16" s="1"/>
  <c r="Q642" i="16"/>
  <c r="S642" i="16"/>
  <c r="T642" i="16"/>
  <c r="U642" i="16" a="1"/>
  <c r="U642" i="16" s="1"/>
  <c r="V642" i="16"/>
  <c r="D643" i="16"/>
  <c r="E643" i="16" a="1"/>
  <c r="E643" i="16" s="1"/>
  <c r="G643" i="16"/>
  <c r="H643" i="16" s="1"/>
  <c r="I643" i="16"/>
  <c r="N643" i="16"/>
  <c r="Q643" i="16"/>
  <c r="S643" i="16"/>
  <c r="T643" i="16"/>
  <c r="U643" i="16" a="1"/>
  <c r="U643" i="16" s="1"/>
  <c r="V643" i="16"/>
  <c r="D644" i="16"/>
  <c r="E644" i="16" a="1"/>
  <c r="E644" i="16" s="1"/>
  <c r="G644" i="16"/>
  <c r="H644" i="16" s="1"/>
  <c r="I644" i="16"/>
  <c r="N644" i="16"/>
  <c r="M644" i="16" s="1"/>
  <c r="Q644" i="16"/>
  <c r="S644" i="16"/>
  <c r="T644" i="16"/>
  <c r="U644" i="16" a="1"/>
  <c r="U644" i="16" s="1"/>
  <c r="D645" i="16"/>
  <c r="E645" i="16" a="1"/>
  <c r="E645" i="16" s="1"/>
  <c r="G645" i="16"/>
  <c r="H645" i="16" s="1"/>
  <c r="I645" i="16"/>
  <c r="N645" i="16"/>
  <c r="M645" i="16" s="1"/>
  <c r="Q645" i="16"/>
  <c r="S645" i="16"/>
  <c r="T645" i="16"/>
  <c r="U645" i="16" a="1"/>
  <c r="U645" i="16" s="1"/>
  <c r="V645" i="16"/>
  <c r="D646" i="16"/>
  <c r="E646" i="16" a="1"/>
  <c r="E646" i="16" s="1"/>
  <c r="G646" i="16"/>
  <c r="H646" i="16" s="1"/>
  <c r="I646" i="16"/>
  <c r="N646" i="16"/>
  <c r="V646" i="16" s="1"/>
  <c r="Q646" i="16"/>
  <c r="S646" i="16"/>
  <c r="T646" i="16"/>
  <c r="U646" i="16" a="1"/>
  <c r="U646" i="16" s="1"/>
  <c r="D647" i="16"/>
  <c r="E647" i="16" a="1"/>
  <c r="E647" i="16" s="1"/>
  <c r="G647" i="16"/>
  <c r="H647" i="16" s="1"/>
  <c r="I647" i="16"/>
  <c r="N647" i="16"/>
  <c r="M647" i="16" s="1"/>
  <c r="Q647" i="16"/>
  <c r="S647" i="16"/>
  <c r="T647" i="16"/>
  <c r="U647" i="16" a="1"/>
  <c r="U647" i="16" s="1"/>
  <c r="V647" i="16"/>
  <c r="D648" i="16"/>
  <c r="E648" i="16" a="1"/>
  <c r="E648" i="16" s="1"/>
  <c r="G648" i="16"/>
  <c r="H648" i="16" s="1"/>
  <c r="I648" i="16"/>
  <c r="N648" i="16"/>
  <c r="M648" i="16" s="1"/>
  <c r="Q648" i="16"/>
  <c r="S648" i="16"/>
  <c r="T648" i="16"/>
  <c r="U648" i="16" a="1"/>
  <c r="U648" i="16" s="1"/>
  <c r="V648" i="16"/>
  <c r="D649" i="16"/>
  <c r="E649" i="16" a="1"/>
  <c r="E649" i="16" s="1"/>
  <c r="G649" i="16"/>
  <c r="H649" i="16" s="1"/>
  <c r="I649" i="16"/>
  <c r="N649" i="16"/>
  <c r="M649" i="16" s="1"/>
  <c r="Q649" i="16"/>
  <c r="S649" i="16"/>
  <c r="T649" i="16"/>
  <c r="U649" i="16" a="1"/>
  <c r="U649" i="16" s="1"/>
  <c r="V649" i="16"/>
  <c r="D650" i="16"/>
  <c r="E650" i="16" a="1"/>
  <c r="E650" i="16" s="1"/>
  <c r="G650" i="16"/>
  <c r="H650" i="16" s="1"/>
  <c r="I650" i="16"/>
  <c r="N650" i="16"/>
  <c r="M650" i="16" s="1"/>
  <c r="Q650" i="16"/>
  <c r="S650" i="16"/>
  <c r="T650" i="16"/>
  <c r="U650" i="16" a="1"/>
  <c r="U650" i="16" s="1"/>
  <c r="V650" i="16"/>
  <c r="D651" i="16"/>
  <c r="E651" i="16" a="1"/>
  <c r="E651" i="16" s="1"/>
  <c r="G651" i="16"/>
  <c r="H651" i="16" s="1"/>
  <c r="I651" i="16"/>
  <c r="N651" i="16"/>
  <c r="M651" i="16" s="1"/>
  <c r="Q651" i="16"/>
  <c r="S651" i="16"/>
  <c r="T651" i="16"/>
  <c r="U651" i="16" a="1"/>
  <c r="U651" i="16" s="1"/>
  <c r="V651" i="16"/>
  <c r="D652" i="16"/>
  <c r="E652" i="16" a="1"/>
  <c r="E652" i="16" s="1"/>
  <c r="G652" i="16"/>
  <c r="H652" i="16" s="1"/>
  <c r="I652" i="16"/>
  <c r="N652" i="16"/>
  <c r="M652" i="16" s="1"/>
  <c r="Q652" i="16"/>
  <c r="S652" i="16"/>
  <c r="T652" i="16"/>
  <c r="U652" i="16" a="1"/>
  <c r="U652" i="16" s="1"/>
  <c r="V652" i="16"/>
  <c r="D653" i="16"/>
  <c r="E653" i="16" a="1"/>
  <c r="E653" i="16" s="1"/>
  <c r="G653" i="16"/>
  <c r="H653" i="16" s="1"/>
  <c r="I653" i="16"/>
  <c r="N653" i="16"/>
  <c r="M653" i="16" s="1"/>
  <c r="Q653" i="16"/>
  <c r="S653" i="16"/>
  <c r="T653" i="16"/>
  <c r="U653" i="16" a="1"/>
  <c r="U653" i="16" s="1"/>
  <c r="V653" i="16"/>
  <c r="D654" i="16"/>
  <c r="E654" i="16" a="1"/>
  <c r="E654" i="16" s="1"/>
  <c r="G654" i="16"/>
  <c r="H654" i="16" s="1"/>
  <c r="I654" i="16"/>
  <c r="N654" i="16"/>
  <c r="Q654" i="16"/>
  <c r="S654" i="16"/>
  <c r="T654" i="16"/>
  <c r="U654" i="16" a="1"/>
  <c r="U654" i="16" s="1"/>
  <c r="D655" i="16"/>
  <c r="E655" i="16" a="1"/>
  <c r="E655" i="16" s="1"/>
  <c r="G655" i="16"/>
  <c r="H655" i="16" s="1"/>
  <c r="I655" i="16"/>
  <c r="N655" i="16"/>
  <c r="M655" i="16" s="1"/>
  <c r="Q655" i="16"/>
  <c r="S655" i="16"/>
  <c r="V655" i="16"/>
  <c r="D656" i="16"/>
  <c r="E656" i="16" a="1"/>
  <c r="E656" i="16" s="1"/>
  <c r="G656" i="16"/>
  <c r="H656" i="16" s="1"/>
  <c r="I656" i="16"/>
  <c r="N656" i="16"/>
  <c r="M656" i="16" s="1"/>
  <c r="Q656" i="16"/>
  <c r="S656" i="16"/>
  <c r="V656" i="16"/>
  <c r="D657" i="16"/>
  <c r="E657" i="16" a="1"/>
  <c r="E657" i="16" s="1"/>
  <c r="G657" i="16"/>
  <c r="H657" i="16" s="1"/>
  <c r="I657" i="16"/>
  <c r="N657" i="16"/>
  <c r="Q657" i="16"/>
  <c r="S657" i="16"/>
  <c r="T657" i="16"/>
  <c r="U657" i="16" a="1"/>
  <c r="U657" i="16" s="1"/>
  <c r="V657" i="16"/>
  <c r="D658" i="16"/>
  <c r="E658" i="16" a="1"/>
  <c r="E658" i="16" s="1"/>
  <c r="G658" i="16"/>
  <c r="H658" i="16" s="1"/>
  <c r="I658" i="16"/>
  <c r="N658" i="16"/>
  <c r="M658" i="16" s="1"/>
  <c r="Q658" i="16"/>
  <c r="S658" i="16"/>
  <c r="T658" i="16"/>
  <c r="U658" i="16" a="1"/>
  <c r="U658" i="16" s="1"/>
  <c r="V658" i="16"/>
  <c r="D659" i="16"/>
  <c r="E659" i="16" a="1"/>
  <c r="E659" i="16" s="1"/>
  <c r="G659" i="16"/>
  <c r="H659" i="16" s="1"/>
  <c r="I659" i="16"/>
  <c r="N659" i="16"/>
  <c r="M659" i="16" s="1"/>
  <c r="Q659" i="16"/>
  <c r="S659" i="16"/>
  <c r="T659" i="16"/>
  <c r="U659" i="16" a="1"/>
  <c r="U659" i="16" s="1"/>
  <c r="V659" i="16"/>
  <c r="D660" i="16"/>
  <c r="E660" i="16" a="1"/>
  <c r="E660" i="16" s="1"/>
  <c r="G660" i="16"/>
  <c r="H660" i="16" s="1"/>
  <c r="I660" i="16"/>
  <c r="N660" i="16"/>
  <c r="M660" i="16" s="1"/>
  <c r="Q660" i="16"/>
  <c r="S660" i="16"/>
  <c r="T660" i="16"/>
  <c r="U660" i="16" a="1"/>
  <c r="U660" i="16" s="1"/>
  <c r="V660" i="16"/>
  <c r="D661" i="16"/>
  <c r="E661" i="16" a="1"/>
  <c r="E661" i="16" s="1"/>
  <c r="G661" i="16"/>
  <c r="H661" i="16" s="1"/>
  <c r="I661" i="16"/>
  <c r="N661" i="16"/>
  <c r="M661" i="16" s="1"/>
  <c r="Q661" i="16"/>
  <c r="S661" i="16"/>
  <c r="T661" i="16"/>
  <c r="U661" i="16" a="1"/>
  <c r="U661" i="16" s="1"/>
  <c r="V661" i="16"/>
  <c r="D662" i="16"/>
  <c r="E662" i="16" a="1"/>
  <c r="E662" i="16" s="1"/>
  <c r="G662" i="16"/>
  <c r="H662" i="16" s="1"/>
  <c r="I662" i="16"/>
  <c r="N662" i="16"/>
  <c r="Q662" i="16"/>
  <c r="S662" i="16"/>
  <c r="T662" i="16"/>
  <c r="U662" i="16" a="1"/>
  <c r="U662" i="16" s="1"/>
  <c r="V662" i="16"/>
  <c r="D663" i="16"/>
  <c r="E663" i="16" a="1"/>
  <c r="E663" i="16" s="1"/>
  <c r="G663" i="16"/>
  <c r="H663" i="16" s="1"/>
  <c r="I663" i="16"/>
  <c r="N663" i="16"/>
  <c r="V663" i="16" s="1"/>
  <c r="Q663" i="16"/>
  <c r="S663" i="16"/>
  <c r="T663" i="16"/>
  <c r="U663" i="16" a="1"/>
  <c r="U663" i="16" s="1"/>
  <c r="D664" i="16"/>
  <c r="E664" i="16" a="1"/>
  <c r="E664" i="16" s="1"/>
  <c r="G664" i="16"/>
  <c r="H664" i="16" s="1"/>
  <c r="I664" i="16"/>
  <c r="N664" i="16"/>
  <c r="M664" i="16" s="1"/>
  <c r="Q664" i="16"/>
  <c r="S664" i="16"/>
  <c r="T664" i="16"/>
  <c r="U664" i="16" a="1"/>
  <c r="U664" i="16" s="1"/>
  <c r="V664" i="16"/>
  <c r="D665" i="16"/>
  <c r="E665" i="16" a="1"/>
  <c r="E665" i="16" s="1"/>
  <c r="G665" i="16"/>
  <c r="H665" i="16" s="1"/>
  <c r="I665" i="16"/>
  <c r="N665" i="16"/>
  <c r="Q665" i="16"/>
  <c r="S665" i="16"/>
  <c r="T665" i="16"/>
  <c r="U665" i="16" a="1"/>
  <c r="U665" i="16" s="1"/>
  <c r="V665" i="16"/>
  <c r="D666" i="16"/>
  <c r="E666" i="16" a="1"/>
  <c r="E666" i="16" s="1"/>
  <c r="G666" i="16"/>
  <c r="H666" i="16" s="1"/>
  <c r="I666" i="16"/>
  <c r="N666" i="16"/>
  <c r="Q666" i="16"/>
  <c r="S666" i="16"/>
  <c r="T666" i="16"/>
  <c r="U666" i="16" a="1"/>
  <c r="U666" i="16" s="1"/>
  <c r="V666" i="16"/>
  <c r="D667" i="16"/>
  <c r="E667" i="16" a="1"/>
  <c r="E667" i="16" s="1"/>
  <c r="G667" i="16"/>
  <c r="H667" i="16" s="1"/>
  <c r="I667" i="16"/>
  <c r="N667" i="16"/>
  <c r="Q667" i="16"/>
  <c r="S667" i="16"/>
  <c r="T667" i="16"/>
  <c r="U667" i="16" a="1"/>
  <c r="U667" i="16" s="1"/>
  <c r="V667" i="16"/>
  <c r="D668" i="16"/>
  <c r="E668" i="16" a="1"/>
  <c r="E668" i="16" s="1"/>
  <c r="G668" i="16"/>
  <c r="H668" i="16" s="1"/>
  <c r="I668" i="16"/>
  <c r="N668" i="16"/>
  <c r="M668" i="16" s="1"/>
  <c r="Q668" i="16"/>
  <c r="S668" i="16"/>
  <c r="T668" i="16"/>
  <c r="U668" i="16" a="1"/>
  <c r="U668" i="16" s="1"/>
  <c r="V668" i="16"/>
  <c r="D669" i="16"/>
  <c r="E669" i="16" a="1"/>
  <c r="E669" i="16" s="1"/>
  <c r="G669" i="16"/>
  <c r="H669" i="16" s="1"/>
  <c r="I669" i="16"/>
  <c r="N669" i="16"/>
  <c r="M669" i="16" s="1"/>
  <c r="Q669" i="16"/>
  <c r="S669" i="16"/>
  <c r="T669" i="16"/>
  <c r="U669" i="16" a="1"/>
  <c r="U669" i="16" s="1"/>
  <c r="V669" i="16"/>
  <c r="D670" i="16"/>
  <c r="E670" i="16" a="1"/>
  <c r="E670" i="16" s="1"/>
  <c r="G670" i="16"/>
  <c r="H670" i="16" s="1"/>
  <c r="I670" i="16"/>
  <c r="N670" i="16"/>
  <c r="M670" i="16" s="1"/>
  <c r="Q670" i="16"/>
  <c r="S670" i="16"/>
  <c r="T670" i="16"/>
  <c r="U670" i="16" a="1"/>
  <c r="U670" i="16" s="1"/>
  <c r="V670" i="16"/>
  <c r="D671" i="16"/>
  <c r="E671" i="16" a="1"/>
  <c r="E671" i="16" s="1"/>
  <c r="G671" i="16"/>
  <c r="H671" i="16" s="1"/>
  <c r="I671" i="16"/>
  <c r="N671" i="16"/>
  <c r="M671" i="16" s="1"/>
  <c r="Q671" i="16"/>
  <c r="S671" i="16"/>
  <c r="V671" i="16"/>
  <c r="D672" i="16"/>
  <c r="E672" i="16" a="1"/>
  <c r="E672" i="16" s="1"/>
  <c r="G672" i="16"/>
  <c r="H672" i="16" s="1"/>
  <c r="I672" i="16"/>
  <c r="N672" i="16"/>
  <c r="Q672" i="16"/>
  <c r="S672" i="16"/>
  <c r="T672" i="16"/>
  <c r="U672" i="16" a="1"/>
  <c r="U672" i="16" s="1"/>
  <c r="V672" i="16"/>
  <c r="D673" i="16"/>
  <c r="E673" i="16" a="1"/>
  <c r="E673" i="16" s="1"/>
  <c r="G673" i="16"/>
  <c r="H673" i="16" s="1"/>
  <c r="I673" i="16"/>
  <c r="N673" i="16"/>
  <c r="M673" i="16" s="1"/>
  <c r="Q673" i="16"/>
  <c r="S673" i="16"/>
  <c r="T673" i="16"/>
  <c r="U673" i="16" a="1"/>
  <c r="U673" i="16" s="1"/>
  <c r="V673" i="16"/>
  <c r="D674" i="16"/>
  <c r="E674" i="16" a="1"/>
  <c r="E674" i="16" s="1"/>
  <c r="G674" i="16"/>
  <c r="H674" i="16" s="1"/>
  <c r="I674" i="16"/>
  <c r="N674" i="16"/>
  <c r="Q674" i="16"/>
  <c r="S674" i="16"/>
  <c r="T674" i="16"/>
  <c r="U674" i="16" a="1"/>
  <c r="U674" i="16" s="1"/>
  <c r="V674" i="16"/>
  <c r="D675" i="16"/>
  <c r="E675" i="16" a="1"/>
  <c r="E675" i="16" s="1"/>
  <c r="G675" i="16"/>
  <c r="H675" i="16" s="1"/>
  <c r="I675" i="16"/>
  <c r="N675" i="16"/>
  <c r="M675" i="16" s="1"/>
  <c r="Q675" i="16"/>
  <c r="S675" i="16"/>
  <c r="T675" i="16"/>
  <c r="U675" i="16" a="1"/>
  <c r="U675" i="16" s="1"/>
  <c r="V675" i="16"/>
  <c r="D676" i="16"/>
  <c r="E676" i="16" a="1"/>
  <c r="E676" i="16" s="1"/>
  <c r="G676" i="16"/>
  <c r="H676" i="16" s="1"/>
  <c r="I676" i="16"/>
  <c r="N676" i="16"/>
  <c r="Q676" i="16"/>
  <c r="S676" i="16"/>
  <c r="T676" i="16"/>
  <c r="U676" i="16" a="1"/>
  <c r="U676" i="16" s="1"/>
  <c r="V676" i="16"/>
  <c r="D677" i="16"/>
  <c r="E677" i="16" a="1"/>
  <c r="E677" i="16" s="1"/>
  <c r="G677" i="16"/>
  <c r="H677" i="16" s="1"/>
  <c r="I677" i="16"/>
  <c r="N677" i="16"/>
  <c r="M677" i="16" s="1"/>
  <c r="Q677" i="16"/>
  <c r="S677" i="16"/>
  <c r="T677" i="16"/>
  <c r="U677" i="16" a="1"/>
  <c r="U677" i="16" s="1"/>
  <c r="V677" i="16"/>
  <c r="D678" i="16"/>
  <c r="E678" i="16" a="1"/>
  <c r="E678" i="16" s="1"/>
  <c r="G678" i="16"/>
  <c r="H678" i="16" s="1"/>
  <c r="I678" i="16"/>
  <c r="N678" i="16"/>
  <c r="M678" i="16" s="1"/>
  <c r="Q678" i="16"/>
  <c r="S678" i="16"/>
  <c r="V678" i="16"/>
  <c r="D679" i="16"/>
  <c r="E679" i="16" a="1"/>
  <c r="E679" i="16" s="1"/>
  <c r="G679" i="16"/>
  <c r="H679" i="16" s="1"/>
  <c r="I679" i="16"/>
  <c r="N679" i="16"/>
  <c r="Q679" i="16"/>
  <c r="S679" i="16"/>
  <c r="T679" i="16"/>
  <c r="U679" i="16" a="1"/>
  <c r="U679" i="16" s="1"/>
  <c r="V679" i="16"/>
  <c r="D680" i="16"/>
  <c r="E680" i="16" a="1"/>
  <c r="E680" i="16" s="1"/>
  <c r="G680" i="16"/>
  <c r="H680" i="16" s="1"/>
  <c r="I680" i="16"/>
  <c r="N680" i="16"/>
  <c r="M680" i="16" s="1"/>
  <c r="Q680" i="16"/>
  <c r="S680" i="16"/>
  <c r="T680" i="16"/>
  <c r="U680" i="16" a="1"/>
  <c r="U680" i="16" s="1"/>
  <c r="D681" i="16"/>
  <c r="E681" i="16" a="1"/>
  <c r="E681" i="16" s="1"/>
  <c r="G681" i="16"/>
  <c r="H681" i="16" s="1"/>
  <c r="I681" i="16"/>
  <c r="N681" i="16"/>
  <c r="M681" i="16" s="1"/>
  <c r="Q681" i="16"/>
  <c r="S681" i="16"/>
  <c r="T681" i="16"/>
  <c r="U681" i="16" a="1"/>
  <c r="U681" i="16" s="1"/>
  <c r="D682" i="16"/>
  <c r="E682" i="16" a="1"/>
  <c r="E682" i="16" s="1"/>
  <c r="G682" i="16"/>
  <c r="H682" i="16" s="1"/>
  <c r="I682" i="16"/>
  <c r="N682" i="16"/>
  <c r="V682" i="16" s="1"/>
  <c r="Q682" i="16"/>
  <c r="S682" i="16"/>
  <c r="T682" i="16"/>
  <c r="U682" i="16" a="1"/>
  <c r="U682" i="16" s="1"/>
  <c r="D683" i="16"/>
  <c r="E683" i="16" a="1"/>
  <c r="E683" i="16" s="1"/>
  <c r="G683" i="16"/>
  <c r="H683" i="16" s="1"/>
  <c r="I683" i="16"/>
  <c r="N683" i="16"/>
  <c r="Q683" i="16"/>
  <c r="S683" i="16"/>
  <c r="T683" i="16"/>
  <c r="U683" i="16" a="1"/>
  <c r="U683" i="16" s="1"/>
  <c r="V683" i="16"/>
  <c r="D684" i="16"/>
  <c r="E684" i="16" a="1"/>
  <c r="E684" i="16" s="1"/>
  <c r="G684" i="16"/>
  <c r="H684" i="16" s="1"/>
  <c r="I684" i="16"/>
  <c r="N684" i="16"/>
  <c r="M684" i="16" s="1"/>
  <c r="Q684" i="16"/>
  <c r="S684" i="16"/>
  <c r="T684" i="16"/>
  <c r="U684" i="16" a="1"/>
  <c r="U684" i="16" s="1"/>
  <c r="V684" i="16"/>
  <c r="D685" i="16"/>
  <c r="E685" i="16" a="1"/>
  <c r="E685" i="16" s="1"/>
  <c r="G685" i="16"/>
  <c r="H685" i="16" s="1"/>
  <c r="I685" i="16"/>
  <c r="N685" i="16"/>
  <c r="M685" i="16" s="1"/>
  <c r="Q685" i="16"/>
  <c r="S685" i="16"/>
  <c r="T685" i="16"/>
  <c r="U685" i="16" a="1"/>
  <c r="U685" i="16" s="1"/>
  <c r="V685" i="16"/>
  <c r="D686" i="16"/>
  <c r="E686" i="16" a="1"/>
  <c r="E686" i="16" s="1"/>
  <c r="G686" i="16"/>
  <c r="H686" i="16" s="1"/>
  <c r="I686" i="16"/>
  <c r="N686" i="16"/>
  <c r="M686" i="16" s="1"/>
  <c r="Q686" i="16"/>
  <c r="S686" i="16"/>
  <c r="T686" i="16"/>
  <c r="U686" i="16" a="1"/>
  <c r="U686" i="16" s="1"/>
  <c r="V686" i="16"/>
  <c r="D687" i="16"/>
  <c r="E687" i="16" a="1"/>
  <c r="E687" i="16" s="1"/>
  <c r="G687" i="16"/>
  <c r="H687" i="16" s="1"/>
  <c r="I687" i="16"/>
  <c r="N687" i="16"/>
  <c r="Q687" i="16"/>
  <c r="S687" i="16"/>
  <c r="T687" i="16"/>
  <c r="U687" i="16" a="1"/>
  <c r="U687" i="16" s="1"/>
  <c r="V687" i="16"/>
  <c r="D688" i="16"/>
  <c r="E688" i="16" a="1"/>
  <c r="E688" i="16" s="1"/>
  <c r="G688" i="16"/>
  <c r="H688" i="16" s="1"/>
  <c r="I688" i="16"/>
  <c r="N688" i="16"/>
  <c r="V688" i="16" s="1"/>
  <c r="Q688" i="16"/>
  <c r="S688" i="16"/>
  <c r="T688" i="16"/>
  <c r="U688" i="16" a="1"/>
  <c r="U688" i="16" s="1"/>
  <c r="D689" i="16"/>
  <c r="E689" i="16" a="1"/>
  <c r="E689" i="16" s="1"/>
  <c r="G689" i="16"/>
  <c r="H689" i="16" s="1"/>
  <c r="I689" i="16"/>
  <c r="N689" i="16"/>
  <c r="M689" i="16" s="1"/>
  <c r="Q689" i="16"/>
  <c r="S689" i="16"/>
  <c r="T689" i="16"/>
  <c r="U689" i="16" a="1"/>
  <c r="U689" i="16" s="1"/>
  <c r="V689" i="16"/>
  <c r="D690" i="16"/>
  <c r="E690" i="16" a="1"/>
  <c r="E690" i="16" s="1"/>
  <c r="G690" i="16"/>
  <c r="H690" i="16" s="1"/>
  <c r="I690" i="16"/>
  <c r="N690" i="16"/>
  <c r="M690" i="16" s="1"/>
  <c r="Q690" i="16"/>
  <c r="S690" i="16"/>
  <c r="T690" i="16"/>
  <c r="U690" i="16" a="1"/>
  <c r="U690" i="16" s="1"/>
  <c r="V690" i="16"/>
  <c r="D691" i="16"/>
  <c r="E691" i="16" a="1"/>
  <c r="E691" i="16" s="1"/>
  <c r="G691" i="16"/>
  <c r="H691" i="16" s="1"/>
  <c r="I691" i="16"/>
  <c r="N691" i="16"/>
  <c r="Q691" i="16"/>
  <c r="S691" i="16"/>
  <c r="T691" i="16"/>
  <c r="U691" i="16" a="1"/>
  <c r="U691" i="16" s="1"/>
  <c r="V691" i="16"/>
  <c r="D692" i="16"/>
  <c r="E692" i="16" a="1"/>
  <c r="E692" i="16" s="1"/>
  <c r="G692" i="16"/>
  <c r="H692" i="16" s="1"/>
  <c r="I692" i="16"/>
  <c r="N692" i="16"/>
  <c r="M692" i="16" s="1"/>
  <c r="Q692" i="16"/>
  <c r="S692" i="16"/>
  <c r="T692" i="16"/>
  <c r="U692" i="16" a="1"/>
  <c r="U692" i="16" s="1"/>
  <c r="V692" i="16"/>
  <c r="D693" i="16"/>
  <c r="E693" i="16" a="1"/>
  <c r="E693" i="16" s="1"/>
  <c r="G693" i="16"/>
  <c r="H693" i="16" s="1"/>
  <c r="I693" i="16"/>
  <c r="N693" i="16"/>
  <c r="M693" i="16" s="1"/>
  <c r="Q693" i="16"/>
  <c r="S693" i="16"/>
  <c r="T693" i="16"/>
  <c r="U693" i="16" a="1"/>
  <c r="U693" i="16" s="1"/>
  <c r="V693" i="16"/>
  <c r="D694" i="16"/>
  <c r="E694" i="16" a="1"/>
  <c r="E694" i="16" s="1"/>
  <c r="G694" i="16"/>
  <c r="H694" i="16" s="1"/>
  <c r="I694" i="16"/>
  <c r="N694" i="16"/>
  <c r="M694" i="16" s="1"/>
  <c r="Q694" i="16"/>
  <c r="S694" i="16"/>
  <c r="T694" i="16"/>
  <c r="U694" i="16" a="1"/>
  <c r="U694" i="16" s="1"/>
  <c r="V694" i="16"/>
  <c r="D695" i="16"/>
  <c r="E695" i="16" a="1"/>
  <c r="E695" i="16" s="1"/>
  <c r="G695" i="16"/>
  <c r="H695" i="16" s="1"/>
  <c r="I695" i="16"/>
  <c r="N695" i="16"/>
  <c r="Q695" i="16"/>
  <c r="S695" i="16"/>
  <c r="T695" i="16"/>
  <c r="U695" i="16" a="1"/>
  <c r="U695" i="16" s="1"/>
  <c r="V695" i="16"/>
  <c r="D696" i="16"/>
  <c r="E696" i="16" a="1"/>
  <c r="E696" i="16" s="1"/>
  <c r="G696" i="16"/>
  <c r="H696" i="16" s="1"/>
  <c r="I696" i="16"/>
  <c r="N696" i="16"/>
  <c r="M696" i="16" s="1"/>
  <c r="Q696" i="16"/>
  <c r="S696" i="16"/>
  <c r="T696" i="16"/>
  <c r="U696" i="16" a="1"/>
  <c r="U696" i="16" s="1"/>
  <c r="V696" i="16"/>
  <c r="D697" i="16"/>
  <c r="E697" i="16" a="1"/>
  <c r="E697" i="16" s="1"/>
  <c r="G697" i="16"/>
  <c r="H697" i="16" s="1"/>
  <c r="I697" i="16"/>
  <c r="N697" i="16"/>
  <c r="M697" i="16" s="1"/>
  <c r="Q697" i="16"/>
  <c r="S697" i="16"/>
  <c r="T697" i="16"/>
  <c r="U697" i="16" a="1"/>
  <c r="U697" i="16" s="1"/>
  <c r="V697" i="16"/>
  <c r="D698" i="16"/>
  <c r="E698" i="16" a="1"/>
  <c r="E698" i="16" s="1"/>
  <c r="G698" i="16"/>
  <c r="H698" i="16" s="1"/>
  <c r="I698" i="16"/>
  <c r="N698" i="16"/>
  <c r="M698" i="16" s="1"/>
  <c r="Q698" i="16"/>
  <c r="S698" i="16"/>
  <c r="T698" i="16"/>
  <c r="U698" i="16" a="1"/>
  <c r="U698" i="16" s="1"/>
  <c r="D699" i="16"/>
  <c r="E699" i="16" a="1"/>
  <c r="E699" i="16" s="1"/>
  <c r="G699" i="16"/>
  <c r="H699" i="16" s="1"/>
  <c r="I699" i="16"/>
  <c r="N699" i="16"/>
  <c r="Q699" i="16"/>
  <c r="S699" i="16"/>
  <c r="T699" i="16"/>
  <c r="U699" i="16" a="1"/>
  <c r="U699" i="16" s="1"/>
  <c r="V699" i="16"/>
  <c r="D700" i="16"/>
  <c r="E700" i="16" a="1"/>
  <c r="E700" i="16" s="1"/>
  <c r="G700" i="16"/>
  <c r="H700" i="16" s="1"/>
  <c r="I700" i="16"/>
  <c r="N700" i="16"/>
  <c r="Q700" i="16"/>
  <c r="S700" i="16"/>
  <c r="T700" i="16"/>
  <c r="U700" i="16" a="1"/>
  <c r="U700" i="16" s="1"/>
  <c r="V700" i="16"/>
  <c r="D701" i="16"/>
  <c r="E701" i="16" a="1"/>
  <c r="E701" i="16" s="1"/>
  <c r="G701" i="16"/>
  <c r="H701" i="16" s="1"/>
  <c r="I701" i="16"/>
  <c r="N701" i="16"/>
  <c r="M701" i="16" s="1"/>
  <c r="Q701" i="16"/>
  <c r="S701" i="16"/>
  <c r="T701" i="16"/>
  <c r="U701" i="16" a="1"/>
  <c r="U701" i="16" s="1"/>
  <c r="V701" i="16"/>
  <c r="D702" i="16"/>
  <c r="E702" i="16" a="1"/>
  <c r="E702" i="16" s="1"/>
  <c r="G702" i="16"/>
  <c r="H702" i="16" s="1"/>
  <c r="I702" i="16"/>
  <c r="N702" i="16"/>
  <c r="M702" i="16" s="1"/>
  <c r="Q702" i="16"/>
  <c r="S702" i="16"/>
  <c r="T702" i="16"/>
  <c r="U702" i="16" a="1"/>
  <c r="U702" i="16" s="1"/>
  <c r="V702" i="16"/>
  <c r="D703" i="16"/>
  <c r="E703" i="16" a="1"/>
  <c r="E703" i="16" s="1"/>
  <c r="G703" i="16"/>
  <c r="H703" i="16" s="1"/>
  <c r="I703" i="16"/>
  <c r="N703" i="16"/>
  <c r="V703" i="16" s="1"/>
  <c r="Q703" i="16"/>
  <c r="S703" i="16"/>
  <c r="T703" i="16"/>
  <c r="U703" i="16" a="1"/>
  <c r="U703" i="16" s="1"/>
  <c r="D704" i="16"/>
  <c r="E704" i="16" a="1"/>
  <c r="E704" i="16" s="1"/>
  <c r="G704" i="16"/>
  <c r="H704" i="16" s="1"/>
  <c r="I704" i="16"/>
  <c r="N704" i="16"/>
  <c r="M704" i="16" s="1"/>
  <c r="Q704" i="16"/>
  <c r="S704" i="16"/>
  <c r="T704" i="16"/>
  <c r="U704" i="16" a="1"/>
  <c r="U704" i="16" s="1"/>
  <c r="D705" i="16"/>
  <c r="E705" i="16" a="1"/>
  <c r="E705" i="16" s="1"/>
  <c r="G705" i="16"/>
  <c r="H705" i="16" s="1"/>
  <c r="I705" i="16"/>
  <c r="N705" i="16"/>
  <c r="Q705" i="16"/>
  <c r="S705" i="16"/>
  <c r="T705" i="16"/>
  <c r="U705" i="16" a="1"/>
  <c r="U705" i="16" s="1"/>
  <c r="V705" i="16"/>
  <c r="D706" i="16"/>
  <c r="E706" i="16" a="1"/>
  <c r="E706" i="16" s="1"/>
  <c r="G706" i="16"/>
  <c r="H706" i="16" s="1"/>
  <c r="I706" i="16"/>
  <c r="N706" i="16"/>
  <c r="Q706" i="16"/>
  <c r="S706" i="16"/>
  <c r="T706" i="16"/>
  <c r="U706" i="16" a="1"/>
  <c r="U706" i="16" s="1"/>
  <c r="V706" i="16"/>
  <c r="D707" i="16"/>
  <c r="E707" i="16" a="1"/>
  <c r="E707" i="16" s="1"/>
  <c r="G707" i="16"/>
  <c r="H707" i="16" s="1"/>
  <c r="I707" i="16"/>
  <c r="N707" i="16"/>
  <c r="Q707" i="16"/>
  <c r="S707" i="16"/>
  <c r="T707" i="16"/>
  <c r="U707" i="16" a="1"/>
  <c r="U707" i="16" s="1"/>
  <c r="V707" i="16"/>
  <c r="D708" i="16"/>
  <c r="E708" i="16" a="1"/>
  <c r="E708" i="16" s="1"/>
  <c r="G708" i="16"/>
  <c r="H708" i="16" s="1"/>
  <c r="I708" i="16"/>
  <c r="N708" i="16"/>
  <c r="M708" i="16" s="1"/>
  <c r="Q708" i="16"/>
  <c r="S708" i="16"/>
  <c r="T708" i="16"/>
  <c r="U708" i="16" a="1"/>
  <c r="U708" i="16" s="1"/>
  <c r="V708" i="16"/>
  <c r="D709" i="16"/>
  <c r="E709" i="16" a="1"/>
  <c r="E709" i="16" s="1"/>
  <c r="G709" i="16"/>
  <c r="H709" i="16" s="1"/>
  <c r="I709" i="16"/>
  <c r="N709" i="16"/>
  <c r="M709" i="16" s="1"/>
  <c r="Q709" i="16"/>
  <c r="S709" i="16"/>
  <c r="T709" i="16"/>
  <c r="U709" i="16" a="1"/>
  <c r="U709" i="16" s="1"/>
  <c r="D710" i="16"/>
  <c r="E710" i="16" a="1"/>
  <c r="E710" i="16" s="1"/>
  <c r="G710" i="16"/>
  <c r="H710" i="16" s="1"/>
  <c r="I710" i="16"/>
  <c r="N710" i="16"/>
  <c r="M710" i="16" s="1"/>
  <c r="Q710" i="16"/>
  <c r="S710" i="16"/>
  <c r="T710" i="16"/>
  <c r="U710" i="16" a="1"/>
  <c r="U710" i="16" s="1"/>
  <c r="V710" i="16"/>
  <c r="D711" i="16"/>
  <c r="E711" i="16" a="1"/>
  <c r="E711" i="16" s="1"/>
  <c r="G711" i="16"/>
  <c r="H711" i="16" s="1"/>
  <c r="I711" i="16"/>
  <c r="N711" i="16"/>
  <c r="Q711" i="16"/>
  <c r="S711" i="16"/>
  <c r="T711" i="16"/>
  <c r="U711" i="16" a="1"/>
  <c r="U711" i="16" s="1"/>
  <c r="V711" i="16"/>
  <c r="D712" i="16"/>
  <c r="E712" i="16" a="1"/>
  <c r="E712" i="16" s="1"/>
  <c r="G712" i="16"/>
  <c r="H712" i="16" s="1"/>
  <c r="I712" i="16"/>
  <c r="N712" i="16"/>
  <c r="Q712" i="16"/>
  <c r="S712" i="16"/>
  <c r="T712" i="16"/>
  <c r="U712" i="16" a="1"/>
  <c r="U712" i="16" s="1"/>
  <c r="V712" i="16"/>
  <c r="D713" i="16"/>
  <c r="E713" i="16" a="1"/>
  <c r="E713" i="16" s="1"/>
  <c r="G713" i="16"/>
  <c r="H713" i="16" s="1"/>
  <c r="I713" i="16"/>
  <c r="N713" i="16"/>
  <c r="M713" i="16" s="1"/>
  <c r="Q713" i="16"/>
  <c r="S713" i="16"/>
  <c r="T713" i="16"/>
  <c r="U713" i="16" a="1"/>
  <c r="U713" i="16" s="1"/>
  <c r="V713" i="16"/>
  <c r="D714" i="16"/>
  <c r="E714" i="16" a="1"/>
  <c r="E714" i="16" s="1"/>
  <c r="G714" i="16"/>
  <c r="H714" i="16" s="1"/>
  <c r="I714" i="16"/>
  <c r="N714" i="16"/>
  <c r="M714" i="16" s="1"/>
  <c r="Q714" i="16"/>
  <c r="S714" i="16"/>
  <c r="T714" i="16"/>
  <c r="U714" i="16" a="1"/>
  <c r="U714" i="16" s="1"/>
  <c r="V714" i="16"/>
  <c r="D715" i="16"/>
  <c r="E715" i="16" a="1"/>
  <c r="E715" i="16" s="1"/>
  <c r="G715" i="16"/>
  <c r="H715" i="16" s="1"/>
  <c r="I715" i="16"/>
  <c r="N715" i="16"/>
  <c r="Q715" i="16"/>
  <c r="S715" i="16"/>
  <c r="T715" i="16"/>
  <c r="U715" i="16" a="1"/>
  <c r="U715" i="16" s="1"/>
  <c r="V715" i="16"/>
  <c r="D716" i="16"/>
  <c r="E716" i="16" a="1"/>
  <c r="E716" i="16" s="1"/>
  <c r="G716" i="16"/>
  <c r="H716" i="16" s="1"/>
  <c r="I716" i="16"/>
  <c r="N716" i="16"/>
  <c r="M716" i="16" s="1"/>
  <c r="Q716" i="16"/>
  <c r="S716" i="16"/>
  <c r="T716" i="16"/>
  <c r="U716" i="16" a="1"/>
  <c r="U716" i="16" s="1"/>
  <c r="V716" i="16"/>
  <c r="D717" i="16"/>
  <c r="E717" i="16" a="1"/>
  <c r="E717" i="16" s="1"/>
  <c r="G717" i="16"/>
  <c r="H717" i="16" s="1"/>
  <c r="I717" i="16"/>
  <c r="N717" i="16"/>
  <c r="M717" i="16" s="1"/>
  <c r="Q717" i="16"/>
  <c r="S717" i="16"/>
  <c r="T717" i="16"/>
  <c r="U717" i="16" a="1"/>
  <c r="U717" i="16" s="1"/>
  <c r="V717" i="16"/>
  <c r="D718" i="16"/>
  <c r="E718" i="16" a="1"/>
  <c r="E718" i="16" s="1"/>
  <c r="G718" i="16"/>
  <c r="H718" i="16" s="1"/>
  <c r="I718" i="16"/>
  <c r="N718" i="16"/>
  <c r="V718" i="16" s="1"/>
  <c r="Q718" i="16"/>
  <c r="S718" i="16"/>
  <c r="T718" i="16"/>
  <c r="U718" i="16" a="1"/>
  <c r="U718" i="16" s="1"/>
  <c r="D719" i="16"/>
  <c r="E719" i="16" a="1"/>
  <c r="E719" i="16" s="1"/>
  <c r="G719" i="16"/>
  <c r="H719" i="16" s="1"/>
  <c r="I719" i="16"/>
  <c r="N719" i="16"/>
  <c r="Q719" i="16"/>
  <c r="S719" i="16"/>
  <c r="T719" i="16"/>
  <c r="U719" i="16" a="1"/>
  <c r="U719" i="16" s="1"/>
  <c r="V719" i="16"/>
  <c r="D720" i="16"/>
  <c r="E720" i="16" a="1"/>
  <c r="E720" i="16" s="1"/>
  <c r="G720" i="16"/>
  <c r="H720" i="16" s="1"/>
  <c r="I720" i="16"/>
  <c r="N720" i="16"/>
  <c r="M720" i="16" s="1"/>
  <c r="Q720" i="16"/>
  <c r="S720" i="16"/>
  <c r="T720" i="16"/>
  <c r="U720" i="16" a="1"/>
  <c r="U720" i="16" s="1"/>
  <c r="V720" i="16"/>
  <c r="D721" i="16"/>
  <c r="E721" i="16" a="1"/>
  <c r="E721" i="16" s="1"/>
  <c r="G721" i="16"/>
  <c r="H721" i="16" s="1"/>
  <c r="I721" i="16"/>
  <c r="N721" i="16"/>
  <c r="M721" i="16" s="1"/>
  <c r="Q721" i="16"/>
  <c r="S721" i="16"/>
  <c r="T721" i="16"/>
  <c r="U721" i="16" a="1"/>
  <c r="U721" i="16" s="1"/>
  <c r="V721" i="16"/>
  <c r="D722" i="16"/>
  <c r="E722" i="16" a="1"/>
  <c r="E722" i="16" s="1"/>
  <c r="G722" i="16"/>
  <c r="H722" i="16" s="1"/>
  <c r="I722" i="16"/>
  <c r="N722" i="16"/>
  <c r="Q722" i="16"/>
  <c r="S722" i="16"/>
  <c r="T722" i="16"/>
  <c r="U722" i="16" a="1"/>
  <c r="U722" i="16" s="1"/>
  <c r="V722" i="16"/>
  <c r="D723" i="16"/>
  <c r="E723" i="16" a="1"/>
  <c r="E723" i="16" s="1"/>
  <c r="G723" i="16"/>
  <c r="H723" i="16" s="1"/>
  <c r="I723" i="16"/>
  <c r="N723" i="16"/>
  <c r="Q723" i="16"/>
  <c r="S723" i="16"/>
  <c r="V723" i="16"/>
  <c r="D724" i="16"/>
  <c r="E724" i="16" a="1"/>
  <c r="E724" i="16" s="1"/>
  <c r="G724" i="16"/>
  <c r="H724" i="16" s="1"/>
  <c r="I724" i="16"/>
  <c r="N724" i="16"/>
  <c r="M724" i="16" s="1"/>
  <c r="Q724" i="16"/>
  <c r="S724" i="16"/>
  <c r="V724" i="16"/>
  <c r="D725" i="16"/>
  <c r="E725" i="16" a="1"/>
  <c r="E725" i="16" s="1"/>
  <c r="G725" i="16"/>
  <c r="H725" i="16" s="1"/>
  <c r="I725" i="16"/>
  <c r="N725" i="16"/>
  <c r="M725" i="16" s="1"/>
  <c r="Q725" i="16"/>
  <c r="S725" i="16"/>
  <c r="V725" i="16"/>
  <c r="D726" i="16"/>
  <c r="E726" i="16" a="1"/>
  <c r="E726" i="16" s="1"/>
  <c r="G726" i="16"/>
  <c r="H726" i="16" s="1"/>
  <c r="I726" i="16"/>
  <c r="N726" i="16"/>
  <c r="Q726" i="16"/>
  <c r="S726" i="16"/>
  <c r="T726" i="16"/>
  <c r="U726" i="16" a="1"/>
  <c r="U726" i="16" s="1"/>
  <c r="V726" i="16"/>
  <c r="D727" i="16"/>
  <c r="E727" i="16" a="1"/>
  <c r="E727" i="16" s="1"/>
  <c r="G727" i="16"/>
  <c r="H727" i="16" s="1"/>
  <c r="I727" i="16"/>
  <c r="N727" i="16"/>
  <c r="Q727" i="16"/>
  <c r="S727" i="16"/>
  <c r="T727" i="16"/>
  <c r="U727" i="16" a="1"/>
  <c r="U727" i="16" s="1"/>
  <c r="V727" i="16"/>
  <c r="D728" i="16"/>
  <c r="E728" i="16" a="1"/>
  <c r="E728" i="16" s="1"/>
  <c r="G728" i="16"/>
  <c r="H728" i="16" s="1"/>
  <c r="I728" i="16"/>
  <c r="N728" i="16"/>
  <c r="M728" i="16" s="1"/>
  <c r="Q728" i="16"/>
  <c r="S728" i="16"/>
  <c r="T728" i="16"/>
  <c r="U728" i="16" a="1"/>
  <c r="U728" i="16" s="1"/>
  <c r="V728" i="16"/>
  <c r="D729" i="16"/>
  <c r="E729" i="16" a="1"/>
  <c r="E729" i="16" s="1"/>
  <c r="G729" i="16"/>
  <c r="H729" i="16" s="1"/>
  <c r="I729" i="16"/>
  <c r="N729" i="16"/>
  <c r="Q729" i="16"/>
  <c r="S729" i="16"/>
  <c r="T729" i="16"/>
  <c r="U729" i="16" a="1"/>
  <c r="U729" i="16" s="1"/>
  <c r="V729" i="16"/>
  <c r="D730" i="16"/>
  <c r="E730" i="16" a="1"/>
  <c r="E730" i="16" s="1"/>
  <c r="G730" i="16"/>
  <c r="H730" i="16" s="1"/>
  <c r="I730" i="16"/>
  <c r="N730" i="16"/>
  <c r="M730" i="16" s="1"/>
  <c r="Q730" i="16"/>
  <c r="S730" i="16"/>
  <c r="T730" i="16"/>
  <c r="U730" i="16" a="1"/>
  <c r="U730" i="16" s="1"/>
  <c r="V730" i="16"/>
  <c r="D731" i="16"/>
  <c r="E731" i="16" a="1"/>
  <c r="E731" i="16" s="1"/>
  <c r="G731" i="16"/>
  <c r="H731" i="16" s="1"/>
  <c r="I731" i="16"/>
  <c r="N731" i="16"/>
  <c r="Q731" i="16"/>
  <c r="S731" i="16"/>
  <c r="T731" i="16"/>
  <c r="U731" i="16" a="1"/>
  <c r="U731" i="16" s="1"/>
  <c r="V731" i="16"/>
  <c r="D732" i="16"/>
  <c r="E732" i="16" a="1"/>
  <c r="E732" i="16" s="1"/>
  <c r="G732" i="16"/>
  <c r="H732" i="16" s="1"/>
  <c r="I732" i="16"/>
  <c r="N732" i="16"/>
  <c r="Q732" i="16"/>
  <c r="S732" i="16"/>
  <c r="T732" i="16"/>
  <c r="U732" i="16" a="1"/>
  <c r="U732" i="16" s="1"/>
  <c r="V732" i="16"/>
  <c r="D733" i="16"/>
  <c r="E733" i="16" a="1"/>
  <c r="E733" i="16" s="1"/>
  <c r="G733" i="16"/>
  <c r="H733" i="16" s="1"/>
  <c r="I733" i="16"/>
  <c r="N733" i="16"/>
  <c r="M733" i="16" s="1"/>
  <c r="Q733" i="16"/>
  <c r="S733" i="16"/>
  <c r="T733" i="16"/>
  <c r="U733" i="16" a="1"/>
  <c r="U733" i="16" s="1"/>
  <c r="D734" i="16"/>
  <c r="E734" i="16" a="1"/>
  <c r="E734" i="16" s="1"/>
  <c r="G734" i="16"/>
  <c r="H734" i="16" s="1"/>
  <c r="I734" i="16"/>
  <c r="N734" i="16"/>
  <c r="M734" i="16" s="1"/>
  <c r="Q734" i="16"/>
  <c r="S734" i="16"/>
  <c r="T734" i="16"/>
  <c r="U734" i="16" a="1"/>
  <c r="U734" i="16" s="1"/>
  <c r="D735" i="16"/>
  <c r="E735" i="16" a="1"/>
  <c r="E735" i="16" s="1"/>
  <c r="G735" i="16"/>
  <c r="H735" i="16" s="1"/>
  <c r="I735" i="16"/>
  <c r="N735" i="16"/>
  <c r="Q735" i="16"/>
  <c r="S735" i="16"/>
  <c r="T735" i="16"/>
  <c r="U735" i="16" a="1"/>
  <c r="U735" i="16" s="1"/>
  <c r="V735" i="16"/>
  <c r="D736" i="16"/>
  <c r="E736" i="16" a="1"/>
  <c r="E736" i="16" s="1"/>
  <c r="G736" i="16"/>
  <c r="H736" i="16" s="1"/>
  <c r="I736" i="16"/>
  <c r="N736" i="16"/>
  <c r="M736" i="16" s="1"/>
  <c r="Q736" i="16"/>
  <c r="S736" i="16"/>
  <c r="T736" i="16"/>
  <c r="U736" i="16" a="1"/>
  <c r="U736" i="16" s="1"/>
  <c r="V736" i="16"/>
  <c r="D737" i="16"/>
  <c r="E737" i="16" a="1"/>
  <c r="E737" i="16" s="1"/>
  <c r="G737" i="16"/>
  <c r="H737" i="16" s="1"/>
  <c r="I737" i="16"/>
  <c r="N737" i="16"/>
  <c r="M737" i="16" s="1"/>
  <c r="Q737" i="16"/>
  <c r="S737" i="16"/>
  <c r="T737" i="16"/>
  <c r="U737" i="16" a="1"/>
  <c r="U737" i="16" s="1"/>
  <c r="V737" i="16"/>
  <c r="D738" i="16"/>
  <c r="E738" i="16" a="1"/>
  <c r="E738" i="16" s="1"/>
  <c r="G738" i="16"/>
  <c r="H738" i="16" s="1"/>
  <c r="I738" i="16"/>
  <c r="N738" i="16"/>
  <c r="M738" i="16" s="1"/>
  <c r="Q738" i="16"/>
  <c r="S738" i="16"/>
  <c r="T738" i="16"/>
  <c r="U738" i="16" a="1"/>
  <c r="U738" i="16" s="1"/>
  <c r="V738" i="16"/>
  <c r="D739" i="16"/>
  <c r="E739" i="16" a="1"/>
  <c r="E739" i="16" s="1"/>
  <c r="G739" i="16"/>
  <c r="H739" i="16" s="1"/>
  <c r="I739" i="16"/>
  <c r="N739" i="16"/>
  <c r="Q739" i="16"/>
  <c r="S739" i="16"/>
  <c r="T739" i="16"/>
  <c r="U739" i="16" a="1"/>
  <c r="U739" i="16" s="1"/>
  <c r="V739" i="16"/>
  <c r="D740" i="16"/>
  <c r="E740" i="16" a="1"/>
  <c r="E740" i="16" s="1"/>
  <c r="G740" i="16"/>
  <c r="H740" i="16" s="1"/>
  <c r="I740" i="16"/>
  <c r="N740" i="16"/>
  <c r="M740" i="16" s="1"/>
  <c r="Q740" i="16"/>
  <c r="S740" i="16"/>
  <c r="T740" i="16"/>
  <c r="U740" i="16" a="1"/>
  <c r="U740" i="16" s="1"/>
  <c r="V740" i="16"/>
  <c r="D741" i="16"/>
  <c r="E741" i="16" a="1"/>
  <c r="E741" i="16" s="1"/>
  <c r="G741" i="16"/>
  <c r="H741" i="16" s="1"/>
  <c r="I741" i="16"/>
  <c r="N741" i="16"/>
  <c r="Q741" i="16"/>
  <c r="S741" i="16"/>
  <c r="T741" i="16"/>
  <c r="U741" i="16" a="1"/>
  <c r="U741" i="16" s="1"/>
  <c r="V741" i="16"/>
  <c r="D742" i="16"/>
  <c r="E742" i="16" a="1"/>
  <c r="E742" i="16" s="1"/>
  <c r="G742" i="16"/>
  <c r="H742" i="16" s="1"/>
  <c r="I742" i="16"/>
  <c r="N742" i="16"/>
  <c r="M742" i="16" s="1"/>
  <c r="Q742" i="16"/>
  <c r="S742" i="16"/>
  <c r="T742" i="16"/>
  <c r="U742" i="16" a="1"/>
  <c r="U742" i="16" s="1"/>
  <c r="V742" i="16"/>
  <c r="D743" i="16"/>
  <c r="E743" i="16" a="1"/>
  <c r="E743" i="16" s="1"/>
  <c r="G743" i="16"/>
  <c r="H743" i="16" s="1"/>
  <c r="I743" i="16"/>
  <c r="N743" i="16"/>
  <c r="Q743" i="16"/>
  <c r="S743" i="16"/>
  <c r="T743" i="16"/>
  <c r="U743" i="16" a="1"/>
  <c r="U743" i="16" s="1"/>
  <c r="V743" i="16"/>
  <c r="D744" i="16"/>
  <c r="E744" i="16" a="1"/>
  <c r="E744" i="16" s="1"/>
  <c r="G744" i="16"/>
  <c r="H744" i="16" s="1"/>
  <c r="I744" i="16"/>
  <c r="N744" i="16"/>
  <c r="M744" i="16" s="1"/>
  <c r="Q744" i="16"/>
  <c r="S744" i="16"/>
  <c r="T744" i="16"/>
  <c r="U744" i="16" a="1"/>
  <c r="U744" i="16" s="1"/>
  <c r="V744" i="16"/>
  <c r="D745" i="16"/>
  <c r="E745" i="16" a="1"/>
  <c r="E745" i="16" s="1"/>
  <c r="G745" i="16"/>
  <c r="H745" i="16" s="1"/>
  <c r="I745" i="16"/>
  <c r="N745" i="16"/>
  <c r="M745" i="16" s="1"/>
  <c r="Q745" i="16"/>
  <c r="S745" i="16"/>
  <c r="T745" i="16"/>
  <c r="U745" i="16" a="1"/>
  <c r="U745" i="16" s="1"/>
  <c r="V745" i="16"/>
  <c r="D746" i="16"/>
  <c r="E746" i="16" a="1"/>
  <c r="E746" i="16" s="1"/>
  <c r="G746" i="16"/>
  <c r="H746" i="16" s="1"/>
  <c r="I746" i="16"/>
  <c r="N746" i="16"/>
  <c r="M746" i="16" s="1"/>
  <c r="Q746" i="16"/>
  <c r="S746" i="16"/>
  <c r="T746" i="16"/>
  <c r="U746" i="16" a="1"/>
  <c r="U746" i="16" s="1"/>
  <c r="V746" i="16"/>
  <c r="D747" i="16"/>
  <c r="E747" i="16" a="1"/>
  <c r="E747" i="16" s="1"/>
  <c r="G747" i="16"/>
  <c r="H747" i="16" s="1"/>
  <c r="I747" i="16"/>
  <c r="N747" i="16"/>
  <c r="V747" i="16" s="1"/>
  <c r="Q747" i="16"/>
  <c r="S747" i="16"/>
  <c r="T747" i="16"/>
  <c r="U747" i="16" a="1"/>
  <c r="U747" i="16" s="1"/>
  <c r="D748" i="16"/>
  <c r="E748" i="16" a="1"/>
  <c r="E748" i="16" s="1"/>
  <c r="G748" i="16"/>
  <c r="H748" i="16" s="1"/>
  <c r="I748" i="16"/>
  <c r="N748" i="16"/>
  <c r="M748" i="16" s="1"/>
  <c r="Q748" i="16"/>
  <c r="S748" i="16"/>
  <c r="T748" i="16"/>
  <c r="U748" i="16" a="1"/>
  <c r="U748" i="16" s="1"/>
  <c r="D749" i="16"/>
  <c r="E749" i="16" a="1"/>
  <c r="E749" i="16" s="1"/>
  <c r="G749" i="16"/>
  <c r="H749" i="16" s="1"/>
  <c r="I749" i="16"/>
  <c r="N749" i="16"/>
  <c r="M749" i="16" s="1"/>
  <c r="Q749" i="16"/>
  <c r="S749" i="16"/>
  <c r="T749" i="16"/>
  <c r="U749" i="16" a="1"/>
  <c r="U749" i="16" s="1"/>
  <c r="V749" i="16"/>
  <c r="D750" i="16"/>
  <c r="E750" i="16" a="1"/>
  <c r="E750" i="16" s="1"/>
  <c r="G750" i="16"/>
  <c r="H750" i="16" s="1"/>
  <c r="I750" i="16"/>
  <c r="N750" i="16"/>
  <c r="Q750" i="16"/>
  <c r="S750" i="16"/>
  <c r="T750" i="16"/>
  <c r="U750" i="16" a="1"/>
  <c r="U750" i="16" s="1"/>
  <c r="V750" i="16"/>
  <c r="D751" i="16"/>
  <c r="E751" i="16" a="1"/>
  <c r="E751" i="16" s="1"/>
  <c r="G751" i="16"/>
  <c r="H751" i="16" s="1"/>
  <c r="I751" i="16"/>
  <c r="N751" i="16"/>
  <c r="Q751" i="16"/>
  <c r="S751" i="16"/>
  <c r="T751" i="16"/>
  <c r="U751" i="16" a="1"/>
  <c r="U751" i="16" s="1"/>
  <c r="V751" i="16"/>
  <c r="D752" i="16"/>
  <c r="E752" i="16" a="1"/>
  <c r="E752" i="16" s="1"/>
  <c r="G752" i="16"/>
  <c r="H752" i="16" s="1"/>
  <c r="I752" i="16"/>
  <c r="N752" i="16"/>
  <c r="M752" i="16" s="1"/>
  <c r="Q752" i="16"/>
  <c r="S752" i="16"/>
  <c r="T752" i="16"/>
  <c r="U752" i="16" a="1"/>
  <c r="U752" i="16" s="1"/>
  <c r="V752" i="16"/>
  <c r="D753" i="16"/>
  <c r="E753" i="16" a="1"/>
  <c r="E753" i="16" s="1"/>
  <c r="G753" i="16"/>
  <c r="H753" i="16" s="1"/>
  <c r="I753" i="16"/>
  <c r="N753" i="16"/>
  <c r="Q753" i="16"/>
  <c r="S753" i="16"/>
  <c r="T753" i="16"/>
  <c r="U753" i="16" a="1"/>
  <c r="U753" i="16" s="1"/>
  <c r="V753" i="16"/>
  <c r="D754" i="16"/>
  <c r="E754" i="16" a="1"/>
  <c r="E754" i="16" s="1"/>
  <c r="G754" i="16"/>
  <c r="H754" i="16" s="1"/>
  <c r="I754" i="16"/>
  <c r="N754" i="16"/>
  <c r="M754" i="16" s="1"/>
  <c r="Q754" i="16"/>
  <c r="S754" i="16"/>
  <c r="T754" i="16"/>
  <c r="U754" i="16" a="1"/>
  <c r="U754" i="16" s="1"/>
  <c r="V754" i="16"/>
  <c r="D755" i="16"/>
  <c r="E755" i="16" a="1"/>
  <c r="E755" i="16" s="1"/>
  <c r="G755" i="16"/>
  <c r="H755" i="16" s="1"/>
  <c r="I755" i="16"/>
  <c r="N755" i="16"/>
  <c r="Q755" i="16"/>
  <c r="S755" i="16"/>
  <c r="T755" i="16"/>
  <c r="U755" i="16" a="1"/>
  <c r="U755" i="16" s="1"/>
  <c r="V755" i="16"/>
  <c r="D756" i="16"/>
  <c r="E756" i="16" a="1"/>
  <c r="E756" i="16" s="1"/>
  <c r="G756" i="16"/>
  <c r="H756" i="16" s="1"/>
  <c r="I756" i="16"/>
  <c r="N756" i="16"/>
  <c r="M756" i="16" s="1"/>
  <c r="Q756" i="16"/>
  <c r="S756" i="16"/>
  <c r="T756" i="16"/>
  <c r="U756" i="16" a="1"/>
  <c r="U756" i="16" s="1"/>
  <c r="D757" i="16"/>
  <c r="E757" i="16" a="1"/>
  <c r="E757" i="16" s="1"/>
  <c r="G757" i="16"/>
  <c r="H757" i="16" s="1"/>
  <c r="I757" i="16"/>
  <c r="N757" i="16"/>
  <c r="V757" i="16" s="1"/>
  <c r="Q757" i="16"/>
  <c r="S757" i="16"/>
  <c r="T757" i="16"/>
  <c r="U757" i="16" a="1"/>
  <c r="U757" i="16" s="1"/>
  <c r="D758" i="16"/>
  <c r="E758" i="16" a="1"/>
  <c r="E758" i="16" s="1"/>
  <c r="G758" i="16"/>
  <c r="H758" i="16" s="1"/>
  <c r="I758" i="16"/>
  <c r="N758" i="16"/>
  <c r="Q758" i="16"/>
  <c r="S758" i="16"/>
  <c r="T758" i="16"/>
  <c r="U758" i="16" a="1"/>
  <c r="U758" i="16" s="1"/>
  <c r="V758" i="16"/>
  <c r="D759" i="16"/>
  <c r="E759" i="16" a="1"/>
  <c r="E759" i="16" s="1"/>
  <c r="G759" i="16"/>
  <c r="H759" i="16" s="1"/>
  <c r="I759" i="16"/>
  <c r="N759" i="16"/>
  <c r="M759" i="16" s="1"/>
  <c r="Q759" i="16"/>
  <c r="S759" i="16"/>
  <c r="T759" i="16"/>
  <c r="U759" i="16" a="1"/>
  <c r="U759" i="16" s="1"/>
  <c r="V759" i="16"/>
  <c r="D760" i="16"/>
  <c r="E760" i="16" a="1"/>
  <c r="E760" i="16" s="1"/>
  <c r="G760" i="16"/>
  <c r="H760" i="16" s="1"/>
  <c r="I760" i="16"/>
  <c r="N760" i="16"/>
  <c r="M760" i="16" s="1"/>
  <c r="Q760" i="16"/>
  <c r="S760" i="16"/>
  <c r="T760" i="16"/>
  <c r="U760" i="16" a="1"/>
  <c r="U760" i="16" s="1"/>
  <c r="V760" i="16"/>
  <c r="D761" i="16"/>
  <c r="E761" i="16" a="1"/>
  <c r="E761" i="16" s="1"/>
  <c r="G761" i="16"/>
  <c r="H761" i="16" s="1"/>
  <c r="I761" i="16"/>
  <c r="N761" i="16"/>
  <c r="M761" i="16" s="1"/>
  <c r="Q761" i="16"/>
  <c r="S761" i="16"/>
  <c r="T761" i="16"/>
  <c r="U761" i="16" a="1"/>
  <c r="U761" i="16" s="1"/>
  <c r="V761" i="16"/>
  <c r="D762" i="16"/>
  <c r="E762" i="16" a="1"/>
  <c r="E762" i="16" s="1"/>
  <c r="G762" i="16"/>
  <c r="H762" i="16" s="1"/>
  <c r="I762" i="16"/>
  <c r="N762" i="16"/>
  <c r="M762" i="16" s="1"/>
  <c r="Q762" i="16"/>
  <c r="S762" i="16"/>
  <c r="T762" i="16"/>
  <c r="U762" i="16" a="1"/>
  <c r="U762" i="16" s="1"/>
  <c r="V762" i="16"/>
  <c r="D763" i="16"/>
  <c r="E763" i="16" a="1"/>
  <c r="E763" i="16" s="1"/>
  <c r="G763" i="16"/>
  <c r="H763" i="16" s="1"/>
  <c r="I763" i="16"/>
  <c r="N763" i="16"/>
  <c r="Q763" i="16"/>
  <c r="S763" i="16"/>
  <c r="T763" i="16"/>
  <c r="U763" i="16" a="1"/>
  <c r="U763" i="16" s="1"/>
  <c r="V763" i="16"/>
  <c r="D764" i="16"/>
  <c r="E764" i="16" a="1"/>
  <c r="E764" i="16" s="1"/>
  <c r="G764" i="16"/>
  <c r="H764" i="16" s="1"/>
  <c r="I764" i="16"/>
  <c r="N764" i="16"/>
  <c r="M764" i="16" s="1"/>
  <c r="Q764" i="16"/>
  <c r="S764" i="16"/>
  <c r="T764" i="16"/>
  <c r="U764" i="16" a="1"/>
  <c r="U764" i="16" s="1"/>
  <c r="V764" i="16"/>
  <c r="D765" i="16"/>
  <c r="E765" i="16" a="1"/>
  <c r="E765" i="16" s="1"/>
  <c r="G765" i="16"/>
  <c r="H765" i="16" s="1"/>
  <c r="I765" i="16"/>
  <c r="N765" i="16"/>
  <c r="M765" i="16" s="1"/>
  <c r="Q765" i="16"/>
  <c r="S765" i="16"/>
  <c r="T765" i="16"/>
  <c r="U765" i="16" a="1"/>
  <c r="U765" i="16" s="1"/>
  <c r="D766" i="16"/>
  <c r="E766" i="16" a="1"/>
  <c r="E766" i="16" s="1"/>
  <c r="G766" i="16"/>
  <c r="H766" i="16" s="1"/>
  <c r="I766" i="16"/>
  <c r="N766" i="16"/>
  <c r="Q766" i="16"/>
  <c r="S766" i="16"/>
  <c r="T766" i="16"/>
  <c r="U766" i="16" a="1"/>
  <c r="U766" i="16" s="1"/>
  <c r="V766" i="16"/>
  <c r="D767" i="16"/>
  <c r="E767" i="16" a="1"/>
  <c r="E767" i="16" s="1"/>
  <c r="G767" i="16"/>
  <c r="H767" i="16" s="1"/>
  <c r="I767" i="16"/>
  <c r="N767" i="16"/>
  <c r="M767" i="16" s="1"/>
  <c r="Q767" i="16"/>
  <c r="S767" i="16"/>
  <c r="T767" i="16"/>
  <c r="U767" i="16" a="1"/>
  <c r="U767" i="16" s="1"/>
  <c r="V767" i="16"/>
  <c r="D768" i="16"/>
  <c r="E768" i="16" a="1"/>
  <c r="E768" i="16" s="1"/>
  <c r="G768" i="16"/>
  <c r="H768" i="16" s="1"/>
  <c r="I768" i="16"/>
  <c r="N768" i="16"/>
  <c r="M768" i="16" s="1"/>
  <c r="Q768" i="16"/>
  <c r="S768" i="16"/>
  <c r="T768" i="16"/>
  <c r="U768" i="16" a="1"/>
  <c r="U768" i="16" s="1"/>
  <c r="V768" i="16"/>
  <c r="D769" i="16"/>
  <c r="E769" i="16" a="1"/>
  <c r="E769" i="16" s="1"/>
  <c r="G769" i="16"/>
  <c r="H769" i="16" s="1"/>
  <c r="I769" i="16"/>
  <c r="N769" i="16"/>
  <c r="Q769" i="16"/>
  <c r="S769" i="16"/>
  <c r="T769" i="16"/>
  <c r="U769" i="16" a="1"/>
  <c r="U769" i="16" s="1"/>
  <c r="V769" i="16"/>
  <c r="D770" i="16"/>
  <c r="E770" i="16" a="1"/>
  <c r="E770" i="16" s="1"/>
  <c r="G770" i="16"/>
  <c r="H770" i="16" s="1"/>
  <c r="I770" i="16"/>
  <c r="N770" i="16"/>
  <c r="M770" i="16" s="1"/>
  <c r="Q770" i="16"/>
  <c r="S770" i="16"/>
  <c r="T770" i="16"/>
  <c r="U770" i="16" a="1"/>
  <c r="U770" i="16" s="1"/>
  <c r="V770" i="16"/>
  <c r="D771" i="16"/>
  <c r="E771" i="16" a="1"/>
  <c r="E771" i="16" s="1"/>
  <c r="G771" i="16"/>
  <c r="H771" i="16" s="1"/>
  <c r="I771" i="16"/>
  <c r="N771" i="16"/>
  <c r="Q771" i="16"/>
  <c r="S771" i="16"/>
  <c r="T771" i="16"/>
  <c r="U771" i="16" a="1"/>
  <c r="U771" i="16" s="1"/>
  <c r="V771" i="16"/>
  <c r="D772" i="16"/>
  <c r="E772" i="16" a="1"/>
  <c r="E772" i="16" s="1"/>
  <c r="G772" i="16"/>
  <c r="H772" i="16" s="1"/>
  <c r="I772" i="16"/>
  <c r="N772" i="16"/>
  <c r="Q772" i="16"/>
  <c r="S772" i="16"/>
  <c r="T772" i="16"/>
  <c r="U772" i="16" a="1"/>
  <c r="U772" i="16" s="1"/>
  <c r="V772" i="16"/>
  <c r="D773" i="16"/>
  <c r="E773" i="16" a="1"/>
  <c r="E773" i="16" s="1"/>
  <c r="G773" i="16"/>
  <c r="H773" i="16" s="1"/>
  <c r="I773" i="16"/>
  <c r="N773" i="16"/>
  <c r="Q773" i="16"/>
  <c r="S773" i="16"/>
  <c r="T773" i="16"/>
  <c r="U773" i="16" a="1"/>
  <c r="U773" i="16" s="1"/>
  <c r="V773" i="16"/>
  <c r="D774" i="16"/>
  <c r="E774" i="16" a="1"/>
  <c r="E774" i="16" s="1"/>
  <c r="G774" i="16"/>
  <c r="H774" i="16" s="1"/>
  <c r="I774" i="16"/>
  <c r="N774" i="16"/>
  <c r="Q774" i="16"/>
  <c r="S774" i="16"/>
  <c r="T774" i="16"/>
  <c r="U774" i="16" a="1"/>
  <c r="U774" i="16" s="1"/>
  <c r="V774" i="16"/>
  <c r="D775" i="16"/>
  <c r="E775" i="16" a="1"/>
  <c r="E775" i="16" s="1"/>
  <c r="G775" i="16"/>
  <c r="H775" i="16" s="1"/>
  <c r="I775" i="16"/>
  <c r="N775" i="16"/>
  <c r="M775" i="16" s="1"/>
  <c r="Q775" i="16"/>
  <c r="S775" i="16"/>
  <c r="T775" i="16"/>
  <c r="U775" i="16" a="1"/>
  <c r="U775" i="16" s="1"/>
  <c r="V775" i="16"/>
  <c r="D776" i="16"/>
  <c r="E776" i="16" a="1"/>
  <c r="E776" i="16" s="1"/>
  <c r="G776" i="16"/>
  <c r="H776" i="16" s="1"/>
  <c r="I776" i="16"/>
  <c r="N776" i="16"/>
  <c r="M776" i="16" s="1"/>
  <c r="Q776" i="16"/>
  <c r="S776" i="16"/>
  <c r="T776" i="16"/>
  <c r="U776" i="16" a="1"/>
  <c r="U776" i="16" s="1"/>
  <c r="V776" i="16"/>
  <c r="D777" i="16"/>
  <c r="E777" i="16" a="1"/>
  <c r="E777" i="16" s="1"/>
  <c r="G777" i="16"/>
  <c r="H777" i="16" s="1"/>
  <c r="I777" i="16"/>
  <c r="N777" i="16"/>
  <c r="M777" i="16" s="1"/>
  <c r="Q777" i="16"/>
  <c r="S777" i="16"/>
  <c r="T777" i="16"/>
  <c r="U777" i="16" a="1"/>
  <c r="U777" i="16" s="1"/>
  <c r="V777" i="16"/>
  <c r="D778" i="16"/>
  <c r="E778" i="16" a="1"/>
  <c r="E778" i="16" s="1"/>
  <c r="G778" i="16"/>
  <c r="H778" i="16" s="1"/>
  <c r="I778" i="16"/>
  <c r="N778" i="16"/>
  <c r="M778" i="16" s="1"/>
  <c r="Q778" i="16"/>
  <c r="S778" i="16"/>
  <c r="T778" i="16"/>
  <c r="U778" i="16" a="1"/>
  <c r="U778" i="16" s="1"/>
  <c r="V778" i="16"/>
  <c r="D779" i="16"/>
  <c r="E779" i="16" a="1"/>
  <c r="E779" i="16" s="1"/>
  <c r="G779" i="16"/>
  <c r="H779" i="16" s="1"/>
  <c r="I779" i="16"/>
  <c r="N779" i="16"/>
  <c r="M779" i="16" s="1"/>
  <c r="Q779" i="16"/>
  <c r="S779" i="16"/>
  <c r="T779" i="16"/>
  <c r="U779" i="16" a="1"/>
  <c r="U779" i="16" s="1"/>
  <c r="V779" i="16"/>
  <c r="D780" i="16"/>
  <c r="E780" i="16" a="1"/>
  <c r="E780" i="16" s="1"/>
  <c r="G780" i="16"/>
  <c r="H780" i="16" s="1"/>
  <c r="I780" i="16"/>
  <c r="N780" i="16"/>
  <c r="Q780" i="16"/>
  <c r="S780" i="16"/>
  <c r="V780" i="16"/>
  <c r="D781" i="16"/>
  <c r="E781" i="16" a="1"/>
  <c r="E781" i="16" s="1"/>
  <c r="G781" i="16"/>
  <c r="H781" i="16" s="1"/>
  <c r="I781" i="16"/>
  <c r="N781" i="16"/>
  <c r="M781" i="16" s="1"/>
  <c r="Q781" i="16"/>
  <c r="S781" i="16"/>
  <c r="V781" i="16"/>
  <c r="D782" i="16"/>
  <c r="E782" i="16" a="1"/>
  <c r="E782" i="16" s="1"/>
  <c r="G782" i="16"/>
  <c r="H782" i="16" s="1"/>
  <c r="I782" i="16"/>
  <c r="N782" i="16"/>
  <c r="Q782" i="16"/>
  <c r="S782" i="16"/>
  <c r="T782" i="16"/>
  <c r="U782" i="16" a="1"/>
  <c r="U782" i="16" s="1"/>
  <c r="D783" i="16"/>
  <c r="E783" i="16" a="1"/>
  <c r="E783" i="16" s="1"/>
  <c r="G783" i="16"/>
  <c r="H783" i="16" s="1"/>
  <c r="I783" i="16"/>
  <c r="N783" i="16"/>
  <c r="M783" i="16" s="1"/>
  <c r="Q783" i="16"/>
  <c r="S783" i="16"/>
  <c r="V783" i="16"/>
  <c r="D784" i="16"/>
  <c r="E784" i="16" a="1"/>
  <c r="E784" i="16" s="1"/>
  <c r="G784" i="16"/>
  <c r="H784" i="16" s="1"/>
  <c r="I784" i="16"/>
  <c r="N784" i="16"/>
  <c r="M784" i="16" s="1"/>
  <c r="Q784" i="16"/>
  <c r="S784" i="16"/>
  <c r="T784" i="16"/>
  <c r="U784" i="16" a="1"/>
  <c r="U784" i="16" s="1"/>
  <c r="V784" i="16"/>
  <c r="D785" i="16"/>
  <c r="E785" i="16" a="1"/>
  <c r="E785" i="16" s="1"/>
  <c r="G785" i="16"/>
  <c r="H785" i="16" s="1"/>
  <c r="I785" i="16"/>
  <c r="N785" i="16"/>
  <c r="M785" i="16" s="1"/>
  <c r="Q785" i="16"/>
  <c r="S785" i="16"/>
  <c r="T785" i="16"/>
  <c r="U785" i="16" a="1"/>
  <c r="U785" i="16" s="1"/>
  <c r="D786" i="16"/>
  <c r="E786" i="16" a="1"/>
  <c r="E786" i="16" s="1"/>
  <c r="G786" i="16"/>
  <c r="H786" i="16" s="1"/>
  <c r="I786" i="16"/>
  <c r="N786" i="16"/>
  <c r="M786" i="16" s="1"/>
  <c r="Q786" i="16"/>
  <c r="S786" i="16"/>
  <c r="T786" i="16"/>
  <c r="U786" i="16" a="1"/>
  <c r="U786" i="16" s="1"/>
  <c r="D787" i="16"/>
  <c r="E787" i="16" a="1"/>
  <c r="E787" i="16" s="1"/>
  <c r="G787" i="16"/>
  <c r="H787" i="16" s="1"/>
  <c r="I787" i="16"/>
  <c r="N787" i="16"/>
  <c r="M787" i="16" s="1"/>
  <c r="Q787" i="16"/>
  <c r="S787" i="16"/>
  <c r="T787" i="16"/>
  <c r="U787" i="16" a="1"/>
  <c r="U787" i="16" s="1"/>
  <c r="V787" i="16"/>
  <c r="D788" i="16"/>
  <c r="E788" i="16" a="1"/>
  <c r="E788" i="16" s="1"/>
  <c r="G788" i="16"/>
  <c r="H788" i="16" s="1"/>
  <c r="I788" i="16"/>
  <c r="N788" i="16"/>
  <c r="M788" i="16" s="1"/>
  <c r="Q788" i="16"/>
  <c r="S788" i="16"/>
  <c r="T788" i="16"/>
  <c r="U788" i="16" a="1"/>
  <c r="U788" i="16" s="1"/>
  <c r="V788" i="16"/>
  <c r="D789" i="16"/>
  <c r="E789" i="16" a="1"/>
  <c r="E789" i="16" s="1"/>
  <c r="G789" i="16"/>
  <c r="H789" i="16" s="1"/>
  <c r="I789" i="16"/>
  <c r="N789" i="16"/>
  <c r="Q789" i="16"/>
  <c r="S789" i="16"/>
  <c r="T789" i="16"/>
  <c r="U789" i="16" a="1"/>
  <c r="U789" i="16" s="1"/>
  <c r="V789" i="16"/>
  <c r="D790" i="16"/>
  <c r="E790" i="16" a="1"/>
  <c r="E790" i="16" s="1"/>
  <c r="G790" i="16"/>
  <c r="H790" i="16" s="1"/>
  <c r="I790" i="16"/>
  <c r="N790" i="16"/>
  <c r="Q790" i="16"/>
  <c r="S790" i="16"/>
  <c r="T790" i="16"/>
  <c r="U790" i="16" a="1"/>
  <c r="U790" i="16" s="1"/>
  <c r="V790" i="16"/>
  <c r="D791" i="16"/>
  <c r="E791" i="16" a="1"/>
  <c r="E791" i="16" s="1"/>
  <c r="G791" i="16"/>
  <c r="H791" i="16" s="1"/>
  <c r="I791" i="16"/>
  <c r="N791" i="16"/>
  <c r="M791" i="16" s="1"/>
  <c r="Q791" i="16"/>
  <c r="S791" i="16"/>
  <c r="T791" i="16"/>
  <c r="U791" i="16" a="1"/>
  <c r="U791" i="16" s="1"/>
  <c r="V791" i="16"/>
  <c r="D792" i="16"/>
  <c r="E792" i="16" a="1"/>
  <c r="E792" i="16" s="1"/>
  <c r="G792" i="16"/>
  <c r="H792" i="16" s="1"/>
  <c r="I792" i="16"/>
  <c r="N792" i="16"/>
  <c r="M792" i="16" s="1"/>
  <c r="Q792" i="16"/>
  <c r="S792" i="16"/>
  <c r="T792" i="16"/>
  <c r="U792" i="16" a="1"/>
  <c r="U792" i="16" s="1"/>
  <c r="V792" i="16"/>
  <c r="D793" i="16"/>
  <c r="E793" i="16" a="1"/>
  <c r="E793" i="16" s="1"/>
  <c r="G793" i="16"/>
  <c r="H793" i="16" s="1"/>
  <c r="I793" i="16"/>
  <c r="N793" i="16"/>
  <c r="Q793" i="16"/>
  <c r="S793" i="16"/>
  <c r="T793" i="16"/>
  <c r="U793" i="16" a="1"/>
  <c r="U793" i="16" s="1"/>
  <c r="V793" i="16"/>
  <c r="D794" i="16"/>
  <c r="E794" i="16" a="1"/>
  <c r="E794" i="16" s="1"/>
  <c r="G794" i="16"/>
  <c r="H794" i="16" s="1"/>
  <c r="I794" i="16"/>
  <c r="N794" i="16"/>
  <c r="M794" i="16" s="1"/>
  <c r="Q794" i="16"/>
  <c r="S794" i="16"/>
  <c r="T794" i="16"/>
  <c r="U794" i="16" a="1"/>
  <c r="U794" i="16" s="1"/>
  <c r="V794" i="16"/>
  <c r="D795" i="16"/>
  <c r="E795" i="16" a="1"/>
  <c r="E795" i="16" s="1"/>
  <c r="G795" i="16"/>
  <c r="H795" i="16" s="1"/>
  <c r="I795" i="16"/>
  <c r="N795" i="16"/>
  <c r="Q795" i="16"/>
  <c r="S795" i="16"/>
  <c r="T795" i="16"/>
  <c r="U795" i="16" a="1"/>
  <c r="U795" i="16" s="1"/>
  <c r="D796" i="16"/>
  <c r="E796" i="16" a="1"/>
  <c r="E796" i="16" s="1"/>
  <c r="G796" i="16"/>
  <c r="H796" i="16" s="1"/>
  <c r="I796" i="16"/>
  <c r="N796" i="16"/>
  <c r="M796" i="16" s="1"/>
  <c r="Q796" i="16"/>
  <c r="S796" i="16"/>
  <c r="T796" i="16"/>
  <c r="U796" i="16" a="1"/>
  <c r="U796" i="16" s="1"/>
  <c r="V796" i="16"/>
  <c r="D797" i="16"/>
  <c r="E797" i="16" a="1"/>
  <c r="E797" i="16" s="1"/>
  <c r="G797" i="16"/>
  <c r="H797" i="16" s="1"/>
  <c r="I797" i="16"/>
  <c r="N797" i="16"/>
  <c r="Q797" i="16"/>
  <c r="S797" i="16"/>
  <c r="T797" i="16"/>
  <c r="U797" i="16" a="1"/>
  <c r="U797" i="16" s="1"/>
  <c r="V797" i="16"/>
  <c r="D798" i="16"/>
  <c r="E798" i="16" a="1"/>
  <c r="E798" i="16" s="1"/>
  <c r="G798" i="16"/>
  <c r="H798" i="16" s="1"/>
  <c r="I798" i="16"/>
  <c r="N798" i="16"/>
  <c r="M798" i="16" s="1"/>
  <c r="Q798" i="16"/>
  <c r="S798" i="16"/>
  <c r="T798" i="16"/>
  <c r="U798" i="16" a="1"/>
  <c r="U798" i="16" s="1"/>
  <c r="V798" i="16"/>
  <c r="D799" i="16"/>
  <c r="E799" i="16" a="1"/>
  <c r="E799" i="16" s="1"/>
  <c r="G799" i="16"/>
  <c r="H799" i="16" s="1"/>
  <c r="I799" i="16"/>
  <c r="N799" i="16"/>
  <c r="M799" i="16" s="1"/>
  <c r="Q799" i="16"/>
  <c r="S799" i="16"/>
  <c r="T799" i="16"/>
  <c r="U799" i="16" a="1"/>
  <c r="U799" i="16" s="1"/>
  <c r="D800" i="16"/>
  <c r="E800" i="16" a="1"/>
  <c r="E800" i="16" s="1"/>
  <c r="G800" i="16"/>
  <c r="H800" i="16" s="1"/>
  <c r="I800" i="16"/>
  <c r="N800" i="16"/>
  <c r="M800" i="16" s="1"/>
  <c r="Q800" i="16"/>
  <c r="S800" i="16"/>
  <c r="T800" i="16"/>
  <c r="U800" i="16" a="1"/>
  <c r="U800" i="16" s="1"/>
  <c r="D801" i="16"/>
  <c r="E801" i="16" a="1"/>
  <c r="E801" i="16" s="1"/>
  <c r="G801" i="16"/>
  <c r="H801" i="16" s="1"/>
  <c r="I801" i="16"/>
  <c r="N801" i="16"/>
  <c r="Q801" i="16"/>
  <c r="S801" i="16"/>
  <c r="T801" i="16"/>
  <c r="U801" i="16" a="1"/>
  <c r="U801" i="16" s="1"/>
  <c r="V801" i="16"/>
  <c r="D802" i="16"/>
  <c r="E802" i="16" a="1"/>
  <c r="E802" i="16" s="1"/>
  <c r="G802" i="16"/>
  <c r="H802" i="16" s="1"/>
  <c r="I802" i="16"/>
  <c r="N802" i="16"/>
  <c r="M802" i="16" s="1"/>
  <c r="Q802" i="16"/>
  <c r="S802" i="16"/>
  <c r="T802" i="16"/>
  <c r="U802" i="16" a="1"/>
  <c r="U802" i="16" s="1"/>
  <c r="V802" i="16"/>
  <c r="D803" i="16"/>
  <c r="E803" i="16" a="1"/>
  <c r="E803" i="16" s="1"/>
  <c r="G803" i="16"/>
  <c r="H803" i="16" s="1"/>
  <c r="I803" i="16"/>
  <c r="N803" i="16"/>
  <c r="M803" i="16" s="1"/>
  <c r="Q803" i="16"/>
  <c r="S803" i="16"/>
  <c r="T803" i="16"/>
  <c r="U803" i="16" a="1"/>
  <c r="U803" i="16" s="1"/>
  <c r="V803" i="16"/>
  <c r="D804" i="16"/>
  <c r="E804" i="16" a="1"/>
  <c r="E804" i="16" s="1"/>
  <c r="G804" i="16"/>
  <c r="H804" i="16" s="1"/>
  <c r="I804" i="16"/>
  <c r="N804" i="16"/>
  <c r="M804" i="16" s="1"/>
  <c r="Q804" i="16"/>
  <c r="S804" i="16"/>
  <c r="T804" i="16"/>
  <c r="U804" i="16" a="1"/>
  <c r="U804" i="16" s="1"/>
  <c r="V804" i="16"/>
  <c r="D805" i="16"/>
  <c r="E805" i="16" a="1"/>
  <c r="E805" i="16" s="1"/>
  <c r="G805" i="16"/>
  <c r="H805" i="16" s="1"/>
  <c r="I805" i="16"/>
  <c r="N805" i="16"/>
  <c r="M805" i="16" s="1"/>
  <c r="Q805" i="16"/>
  <c r="S805" i="16"/>
  <c r="T805" i="16"/>
  <c r="U805" i="16" a="1"/>
  <c r="U805" i="16" s="1"/>
  <c r="V805" i="16"/>
  <c r="D806" i="16"/>
  <c r="E806" i="16" a="1"/>
  <c r="E806" i="16" s="1"/>
  <c r="G806" i="16"/>
  <c r="H806" i="16" s="1"/>
  <c r="I806" i="16"/>
  <c r="N806" i="16"/>
  <c r="M806" i="16" s="1"/>
  <c r="Q806" i="16"/>
  <c r="S806" i="16"/>
  <c r="T806" i="16"/>
  <c r="U806" i="16" a="1"/>
  <c r="U806" i="16" s="1"/>
  <c r="V806" i="16"/>
  <c r="D807" i="16"/>
  <c r="E807" i="16" a="1"/>
  <c r="E807" i="16" s="1"/>
  <c r="G807" i="16"/>
  <c r="H807" i="16" s="1"/>
  <c r="I807" i="16"/>
  <c r="N807" i="16"/>
  <c r="M807" i="16" s="1"/>
  <c r="Q807" i="16"/>
  <c r="S807" i="16"/>
  <c r="T807" i="16"/>
  <c r="U807" i="16" a="1"/>
  <c r="U807" i="16" s="1"/>
  <c r="V807" i="16"/>
  <c r="D808" i="16"/>
  <c r="E808" i="16" a="1"/>
  <c r="E808" i="16" s="1"/>
  <c r="G808" i="16"/>
  <c r="H808" i="16" s="1"/>
  <c r="I808" i="16"/>
  <c r="N808" i="16"/>
  <c r="M808" i="16" s="1"/>
  <c r="Q808" i="16"/>
  <c r="S808" i="16"/>
  <c r="T808" i="16"/>
  <c r="U808" i="16" a="1"/>
  <c r="U808" i="16" s="1"/>
  <c r="D809" i="16"/>
  <c r="E809" i="16" a="1"/>
  <c r="E809" i="16" s="1"/>
  <c r="G809" i="16"/>
  <c r="H809" i="16" s="1"/>
  <c r="I809" i="16"/>
  <c r="N809" i="16"/>
  <c r="M809" i="16" s="1"/>
  <c r="Q809" i="16"/>
  <c r="S809" i="16"/>
  <c r="T809" i="16"/>
  <c r="U809" i="16" a="1"/>
  <c r="U809" i="16" s="1"/>
  <c r="D810" i="16"/>
  <c r="E810" i="16" a="1"/>
  <c r="E810" i="16" s="1"/>
  <c r="G810" i="16"/>
  <c r="H810" i="16" s="1"/>
  <c r="I810" i="16"/>
  <c r="N810" i="16"/>
  <c r="M810" i="16" s="1"/>
  <c r="Q810" i="16"/>
  <c r="S810" i="16"/>
  <c r="T810" i="16"/>
  <c r="U810" i="16" a="1"/>
  <c r="U810" i="16" s="1"/>
  <c r="V810" i="16"/>
  <c r="D811" i="16"/>
  <c r="E811" i="16" a="1"/>
  <c r="E811" i="16" s="1"/>
  <c r="G811" i="16"/>
  <c r="H811" i="16" s="1"/>
  <c r="I811" i="16"/>
  <c r="N811" i="16"/>
  <c r="M811" i="16" s="1"/>
  <c r="Q811" i="16"/>
  <c r="S811" i="16"/>
  <c r="V811" i="16"/>
  <c r="D812" i="16"/>
  <c r="E812" i="16" a="1"/>
  <c r="E812" i="16" s="1"/>
  <c r="G812" i="16"/>
  <c r="H812" i="16" s="1"/>
  <c r="I812" i="16"/>
  <c r="N812" i="16"/>
  <c r="M812" i="16" s="1"/>
  <c r="Q812" i="16"/>
  <c r="S812" i="16"/>
  <c r="T812" i="16"/>
  <c r="U812" i="16" a="1"/>
  <c r="U812" i="16" s="1"/>
  <c r="V812" i="16"/>
  <c r="D813" i="16"/>
  <c r="E813" i="16" a="1"/>
  <c r="E813" i="16" s="1"/>
  <c r="G813" i="16"/>
  <c r="H813" i="16" s="1"/>
  <c r="I813" i="16"/>
  <c r="N813" i="16"/>
  <c r="Q813" i="16"/>
  <c r="S813" i="16"/>
  <c r="T813" i="16"/>
  <c r="U813" i="16" a="1"/>
  <c r="U813" i="16" s="1"/>
  <c r="V813" i="16"/>
  <c r="D814" i="16"/>
  <c r="E814" i="16" a="1"/>
  <c r="E814" i="16" s="1"/>
  <c r="G814" i="16"/>
  <c r="H814" i="16" s="1"/>
  <c r="I814" i="16"/>
  <c r="N814" i="16"/>
  <c r="M814" i="16" s="1"/>
  <c r="Q814" i="16"/>
  <c r="S814" i="16"/>
  <c r="T814" i="16"/>
  <c r="U814" i="16" a="1"/>
  <c r="U814" i="16" s="1"/>
  <c r="D815" i="16"/>
  <c r="E815" i="16" a="1"/>
  <c r="E815" i="16" s="1"/>
  <c r="G815" i="16"/>
  <c r="H815" i="16" s="1"/>
  <c r="I815" i="16"/>
  <c r="N815" i="16"/>
  <c r="M815" i="16" s="1"/>
  <c r="Q815" i="16"/>
  <c r="S815" i="16"/>
  <c r="T815" i="16"/>
  <c r="U815" i="16" a="1"/>
  <c r="U815" i="16" s="1"/>
  <c r="V815" i="16"/>
  <c r="D816" i="16"/>
  <c r="E816" i="16" a="1"/>
  <c r="E816" i="16" s="1"/>
  <c r="G816" i="16"/>
  <c r="H816" i="16" s="1"/>
  <c r="I816" i="16"/>
  <c r="N816" i="16"/>
  <c r="M816" i="16" s="1"/>
  <c r="Q816" i="16"/>
  <c r="S816" i="16"/>
  <c r="T816" i="16"/>
  <c r="U816" i="16" a="1"/>
  <c r="U816" i="16" s="1"/>
  <c r="V816" i="16"/>
  <c r="D817" i="16"/>
  <c r="E817" i="16" a="1"/>
  <c r="E817" i="16" s="1"/>
  <c r="G817" i="16"/>
  <c r="H817" i="16" s="1"/>
  <c r="I817" i="16"/>
  <c r="N817" i="16"/>
  <c r="Q817" i="16"/>
  <c r="S817" i="16"/>
  <c r="T817" i="16"/>
  <c r="U817" i="16" a="1"/>
  <c r="U817" i="16" s="1"/>
  <c r="V817" i="16"/>
  <c r="D818" i="16"/>
  <c r="E818" i="16" a="1"/>
  <c r="E818" i="16" s="1"/>
  <c r="G818" i="16"/>
  <c r="H818" i="16" s="1"/>
  <c r="I818" i="16"/>
  <c r="N818" i="16"/>
  <c r="M818" i="16" s="1"/>
  <c r="Q818" i="16"/>
  <c r="S818" i="16"/>
  <c r="T818" i="16"/>
  <c r="U818" i="16" a="1"/>
  <c r="U818" i="16" s="1"/>
  <c r="V818" i="16"/>
  <c r="D819" i="16"/>
  <c r="E819" i="16" a="1"/>
  <c r="E819" i="16" s="1"/>
  <c r="G819" i="16"/>
  <c r="H819" i="16" s="1"/>
  <c r="I819" i="16"/>
  <c r="N819" i="16"/>
  <c r="M819" i="16" s="1"/>
  <c r="Q819" i="16"/>
  <c r="S819" i="16"/>
  <c r="T819" i="16"/>
  <c r="U819" i="16" a="1"/>
  <c r="U819" i="16" s="1"/>
  <c r="V819" i="16"/>
  <c r="D820" i="16"/>
  <c r="E820" i="16" a="1"/>
  <c r="E820" i="16" s="1"/>
  <c r="G820" i="16"/>
  <c r="H820" i="16" s="1"/>
  <c r="I820" i="16"/>
  <c r="N820" i="16"/>
  <c r="Q820" i="16"/>
  <c r="S820" i="16"/>
  <c r="T820" i="16"/>
  <c r="U820" i="16" a="1"/>
  <c r="U820" i="16" s="1"/>
  <c r="D821" i="16"/>
  <c r="E821" i="16" a="1"/>
  <c r="E821" i="16" s="1"/>
  <c r="G821" i="16"/>
  <c r="H821" i="16" s="1"/>
  <c r="I821" i="16"/>
  <c r="N821" i="16"/>
  <c r="Q821" i="16"/>
  <c r="S821" i="16"/>
  <c r="T821" i="16"/>
  <c r="U821" i="16" a="1"/>
  <c r="U821" i="16" s="1"/>
  <c r="V821" i="16"/>
  <c r="D822" i="16"/>
  <c r="E822" i="16" a="1"/>
  <c r="E822" i="16" s="1"/>
  <c r="G822" i="16"/>
  <c r="H822" i="16" s="1"/>
  <c r="I822" i="16"/>
  <c r="N822" i="16"/>
  <c r="M822" i="16" s="1"/>
  <c r="Q822" i="16"/>
  <c r="S822" i="16"/>
  <c r="T822" i="16"/>
  <c r="U822" i="16" a="1"/>
  <c r="U822" i="16" s="1"/>
  <c r="D823" i="16"/>
  <c r="E823" i="16" a="1"/>
  <c r="E823" i="16" s="1"/>
  <c r="G823" i="16"/>
  <c r="H823" i="16" s="1"/>
  <c r="I823" i="16"/>
  <c r="N823" i="16"/>
  <c r="M823" i="16" s="1"/>
  <c r="Q823" i="16"/>
  <c r="S823" i="16"/>
  <c r="T823" i="16"/>
  <c r="U823" i="16" a="1"/>
  <c r="U823" i="16" s="1"/>
  <c r="V823" i="16"/>
  <c r="D824" i="16"/>
  <c r="E824" i="16" a="1"/>
  <c r="E824" i="16" s="1"/>
  <c r="G824" i="16"/>
  <c r="H824" i="16" s="1"/>
  <c r="I824" i="16"/>
  <c r="N824" i="16"/>
  <c r="M824" i="16" s="1"/>
  <c r="Q824" i="16"/>
  <c r="S824" i="16"/>
  <c r="T824" i="16"/>
  <c r="U824" i="16" a="1"/>
  <c r="U824" i="16" s="1"/>
  <c r="V824" i="16"/>
  <c r="D825" i="16"/>
  <c r="E825" i="16" a="1"/>
  <c r="E825" i="16" s="1"/>
  <c r="G825" i="16"/>
  <c r="H825" i="16" s="1"/>
  <c r="I825" i="16"/>
  <c r="N825" i="16"/>
  <c r="Q825" i="16"/>
  <c r="S825" i="16"/>
  <c r="T825" i="16"/>
  <c r="U825" i="16" a="1"/>
  <c r="U825" i="16" s="1"/>
  <c r="V825" i="16"/>
  <c r="D826" i="16"/>
  <c r="E826" i="16" a="1"/>
  <c r="E826" i="16" s="1"/>
  <c r="G826" i="16"/>
  <c r="H826" i="16" s="1"/>
  <c r="I826" i="16"/>
  <c r="N826" i="16"/>
  <c r="M826" i="16" s="1"/>
  <c r="Q826" i="16"/>
  <c r="S826" i="16"/>
  <c r="T826" i="16"/>
  <c r="U826" i="16" a="1"/>
  <c r="U826" i="16" s="1"/>
  <c r="D827" i="16"/>
  <c r="E827" i="16" a="1"/>
  <c r="E827" i="16" s="1"/>
  <c r="G827" i="16"/>
  <c r="H827" i="16" s="1"/>
  <c r="I827" i="16"/>
  <c r="N827" i="16"/>
  <c r="M827" i="16" s="1"/>
  <c r="Q827" i="16"/>
  <c r="S827" i="16"/>
  <c r="V827" i="16"/>
  <c r="D828" i="16"/>
  <c r="E828" i="16" a="1"/>
  <c r="E828" i="16" s="1"/>
  <c r="G828" i="16"/>
  <c r="H828" i="16" s="1"/>
  <c r="I828" i="16"/>
  <c r="N828" i="16"/>
  <c r="M828" i="16" s="1"/>
  <c r="Q828" i="16"/>
  <c r="S828" i="16"/>
  <c r="D829" i="16"/>
  <c r="E829" i="16" a="1"/>
  <c r="E829" i="16" s="1"/>
  <c r="G829" i="16"/>
  <c r="H829" i="16" s="1"/>
  <c r="I829" i="16"/>
  <c r="N829" i="16"/>
  <c r="V829" i="16" s="1"/>
  <c r="Q829" i="16"/>
  <c r="S829" i="16"/>
  <c r="T829" i="16"/>
  <c r="U829" i="16" a="1"/>
  <c r="U829" i="16" s="1"/>
  <c r="D830" i="16"/>
  <c r="E830" i="16" a="1"/>
  <c r="E830" i="16" s="1"/>
  <c r="G830" i="16"/>
  <c r="H830" i="16" s="1"/>
  <c r="I830" i="16"/>
  <c r="N830" i="16"/>
  <c r="M830" i="16" s="1"/>
  <c r="Q830" i="16"/>
  <c r="S830" i="16"/>
  <c r="V830" i="16"/>
  <c r="D831" i="16"/>
  <c r="E831" i="16" a="1"/>
  <c r="E831" i="16" s="1"/>
  <c r="G831" i="16"/>
  <c r="H831" i="16" s="1"/>
  <c r="I831" i="16"/>
  <c r="N831" i="16"/>
  <c r="M831" i="16" s="1"/>
  <c r="Q831" i="16"/>
  <c r="S831" i="16"/>
  <c r="T831" i="16"/>
  <c r="U831" i="16" a="1"/>
  <c r="U831" i="16" s="1"/>
  <c r="V831" i="16"/>
  <c r="D832" i="16"/>
  <c r="E832" i="16" a="1"/>
  <c r="E832" i="16" s="1"/>
  <c r="G832" i="16"/>
  <c r="H832" i="16" s="1"/>
  <c r="I832" i="16"/>
  <c r="N832" i="16"/>
  <c r="M832" i="16" s="1"/>
  <c r="Q832" i="16"/>
  <c r="S832" i="16"/>
  <c r="T832" i="16"/>
  <c r="U832" i="16" a="1"/>
  <c r="U832" i="16" s="1"/>
  <c r="V832" i="16"/>
  <c r="D833" i="16"/>
  <c r="E833" i="16" a="1"/>
  <c r="E833" i="16" s="1"/>
  <c r="G833" i="16"/>
  <c r="H833" i="16" s="1"/>
  <c r="I833" i="16"/>
  <c r="N833" i="16"/>
  <c r="Q833" i="16"/>
  <c r="S833" i="16"/>
  <c r="T833" i="16"/>
  <c r="U833" i="16" a="1"/>
  <c r="U833" i="16" s="1"/>
  <c r="V833" i="16"/>
  <c r="D834" i="16"/>
  <c r="E834" i="16" a="1"/>
  <c r="E834" i="16" s="1"/>
  <c r="G834" i="16"/>
  <c r="H834" i="16" s="1"/>
  <c r="I834" i="16"/>
  <c r="N834" i="16"/>
  <c r="M834" i="16" s="1"/>
  <c r="Q834" i="16"/>
  <c r="S834" i="16"/>
  <c r="T834" i="16"/>
  <c r="U834" i="16" a="1"/>
  <c r="U834" i="16" s="1"/>
  <c r="V834" i="16"/>
  <c r="D835" i="16"/>
  <c r="E835" i="16" a="1"/>
  <c r="E835" i="16" s="1"/>
  <c r="G835" i="16"/>
  <c r="H835" i="16" s="1"/>
  <c r="I835" i="16"/>
  <c r="N835" i="16"/>
  <c r="M835" i="16" s="1"/>
  <c r="Q835" i="16"/>
  <c r="S835" i="16"/>
  <c r="T835" i="16"/>
  <c r="U835" i="16" a="1"/>
  <c r="U835" i="16" s="1"/>
  <c r="V835" i="16"/>
  <c r="D836" i="16"/>
  <c r="E836" i="16" a="1"/>
  <c r="E836" i="16" s="1"/>
  <c r="G836" i="16"/>
  <c r="H836" i="16" s="1"/>
  <c r="I836" i="16"/>
  <c r="N836" i="16"/>
  <c r="M836" i="16" s="1"/>
  <c r="Q836" i="16"/>
  <c r="S836" i="16"/>
  <c r="T836" i="16"/>
  <c r="U836" i="16" a="1"/>
  <c r="U836" i="16" s="1"/>
  <c r="V836" i="16"/>
  <c r="D837" i="16"/>
  <c r="E837" i="16" a="1"/>
  <c r="E837" i="16" s="1"/>
  <c r="G837" i="16"/>
  <c r="H837" i="16" s="1"/>
  <c r="I837" i="16"/>
  <c r="N837" i="16"/>
  <c r="Q837" i="16"/>
  <c r="S837" i="16"/>
  <c r="T837" i="16"/>
  <c r="U837" i="16" a="1"/>
  <c r="U837" i="16" s="1"/>
  <c r="V837" i="16"/>
  <c r="D838" i="16"/>
  <c r="E838" i="16" a="1"/>
  <c r="E838" i="16" s="1"/>
  <c r="G838" i="16"/>
  <c r="H838" i="16" s="1"/>
  <c r="I838" i="16"/>
  <c r="N838" i="16"/>
  <c r="M838" i="16" s="1"/>
  <c r="Q838" i="16"/>
  <c r="S838" i="16"/>
  <c r="T838" i="16"/>
  <c r="U838" i="16" a="1"/>
  <c r="U838" i="16" s="1"/>
  <c r="D839" i="16"/>
  <c r="E839" i="16" a="1"/>
  <c r="E839" i="16" s="1"/>
  <c r="G839" i="16"/>
  <c r="H839" i="16" s="1"/>
  <c r="I839" i="16"/>
  <c r="N839" i="16"/>
  <c r="M839" i="16" s="1"/>
  <c r="Q839" i="16"/>
  <c r="S839" i="16"/>
  <c r="V839" i="16"/>
  <c r="D840" i="16"/>
  <c r="E840" i="16" a="1"/>
  <c r="E840" i="16" s="1"/>
  <c r="G840" i="16"/>
  <c r="H840" i="16" s="1"/>
  <c r="I840" i="16"/>
  <c r="N840" i="16"/>
  <c r="M840" i="16" s="1"/>
  <c r="Q840" i="16"/>
  <c r="S840" i="16"/>
  <c r="V840" i="16"/>
  <c r="D841" i="16"/>
  <c r="E841" i="16" a="1"/>
  <c r="E841" i="16" s="1"/>
  <c r="G841" i="16"/>
  <c r="H841" i="16" s="1"/>
  <c r="I841" i="16"/>
  <c r="N841" i="16"/>
  <c r="Q841" i="16"/>
  <c r="S841" i="16"/>
  <c r="T841" i="16"/>
  <c r="U841" i="16" a="1"/>
  <c r="U841" i="16" s="1"/>
  <c r="V841" i="16"/>
  <c r="D842" i="16"/>
  <c r="E842" i="16" a="1"/>
  <c r="E842" i="16" s="1"/>
  <c r="G842" i="16"/>
  <c r="H842" i="16" s="1"/>
  <c r="I842" i="16"/>
  <c r="N842" i="16"/>
  <c r="M842" i="16" s="1"/>
  <c r="Q842" i="16"/>
  <c r="S842" i="16"/>
  <c r="T842" i="16"/>
  <c r="U842" i="16" a="1"/>
  <c r="U842" i="16" s="1"/>
  <c r="V842" i="16"/>
  <c r="D843" i="16"/>
  <c r="E843" i="16" a="1"/>
  <c r="E843" i="16" s="1"/>
  <c r="G843" i="16"/>
  <c r="H843" i="16" s="1"/>
  <c r="I843" i="16"/>
  <c r="N843" i="16"/>
  <c r="M843" i="16" s="1"/>
  <c r="Q843" i="16"/>
  <c r="S843" i="16"/>
  <c r="T843" i="16"/>
  <c r="U843" i="16" a="1"/>
  <c r="U843" i="16" s="1"/>
  <c r="V843" i="16"/>
  <c r="D844" i="16"/>
  <c r="E844" i="16" a="1"/>
  <c r="E844" i="16" s="1"/>
  <c r="G844" i="16"/>
  <c r="H844" i="16" s="1"/>
  <c r="I844" i="16"/>
  <c r="N844" i="16"/>
  <c r="M844" i="16" s="1"/>
  <c r="Q844" i="16"/>
  <c r="S844" i="16"/>
  <c r="T844" i="16"/>
  <c r="U844" i="16" a="1"/>
  <c r="U844" i="16" s="1"/>
  <c r="V844" i="16"/>
  <c r="D845" i="16"/>
  <c r="E845" i="16" a="1"/>
  <c r="E845" i="16" s="1"/>
  <c r="G845" i="16"/>
  <c r="H845" i="16" s="1"/>
  <c r="I845" i="16"/>
  <c r="N845" i="16"/>
  <c r="Q845" i="16"/>
  <c r="S845" i="16"/>
  <c r="T845" i="16"/>
  <c r="U845" i="16" a="1"/>
  <c r="U845" i="16" s="1"/>
  <c r="V845" i="16"/>
  <c r="D846" i="16"/>
  <c r="E846" i="16" a="1"/>
  <c r="E846" i="16" s="1"/>
  <c r="G846" i="16"/>
  <c r="H846" i="16" s="1"/>
  <c r="I846" i="16"/>
  <c r="N846" i="16"/>
  <c r="M846" i="16" s="1"/>
  <c r="Q846" i="16"/>
  <c r="S846" i="16"/>
  <c r="T846" i="16"/>
  <c r="U846" i="16" a="1"/>
  <c r="U846" i="16" s="1"/>
  <c r="V846" i="16"/>
  <c r="D847" i="16"/>
  <c r="E847" i="16" a="1"/>
  <c r="E847" i="16" s="1"/>
  <c r="G847" i="16"/>
  <c r="H847" i="16" s="1"/>
  <c r="I847" i="16"/>
  <c r="N847" i="16"/>
  <c r="M847" i="16" s="1"/>
  <c r="Q847" i="16"/>
  <c r="S847" i="16"/>
  <c r="T847" i="16"/>
  <c r="U847" i="16" a="1"/>
  <c r="U847" i="16" s="1"/>
  <c r="V847" i="16"/>
  <c r="D848" i="16"/>
  <c r="E848" i="16" a="1"/>
  <c r="E848" i="16" s="1"/>
  <c r="G848" i="16"/>
  <c r="H848" i="16" s="1"/>
  <c r="I848" i="16"/>
  <c r="N848" i="16"/>
  <c r="M848" i="16" s="1"/>
  <c r="Q848" i="16"/>
  <c r="S848" i="16"/>
  <c r="T848" i="16"/>
  <c r="U848" i="16" a="1"/>
  <c r="U848" i="16" s="1"/>
  <c r="V848" i="16"/>
  <c r="D849" i="16"/>
  <c r="E849" i="16" a="1"/>
  <c r="E849" i="16" s="1"/>
  <c r="G849" i="16"/>
  <c r="H849" i="16" s="1"/>
  <c r="I849" i="16"/>
  <c r="N849" i="16"/>
  <c r="V849" i="16" s="1"/>
  <c r="Q849" i="16"/>
  <c r="S849" i="16"/>
  <c r="T849" i="16"/>
  <c r="U849" i="16" a="1"/>
  <c r="U849" i="16" s="1"/>
  <c r="D850" i="16"/>
  <c r="E850" i="16" a="1"/>
  <c r="E850" i="16" s="1"/>
  <c r="G850" i="16"/>
  <c r="H850" i="16" s="1"/>
  <c r="I850" i="16"/>
  <c r="N850" i="16"/>
  <c r="M850" i="16" s="1"/>
  <c r="Q850" i="16"/>
  <c r="S850" i="16"/>
  <c r="T850" i="16"/>
  <c r="U850" i="16" a="1"/>
  <c r="U850" i="16" s="1"/>
  <c r="V850" i="16"/>
  <c r="D851" i="16"/>
  <c r="E851" i="16" a="1"/>
  <c r="E851" i="16" s="1"/>
  <c r="G851" i="16"/>
  <c r="H851" i="16" s="1"/>
  <c r="I851" i="16"/>
  <c r="N851" i="16"/>
  <c r="M851" i="16" s="1"/>
  <c r="Q851" i="16"/>
  <c r="S851" i="16"/>
  <c r="T851" i="16"/>
  <c r="U851" i="16" a="1"/>
  <c r="U851" i="16" s="1"/>
  <c r="V851" i="16"/>
  <c r="D852" i="16"/>
  <c r="E852" i="16" a="1"/>
  <c r="E852" i="16" s="1"/>
  <c r="G852" i="16"/>
  <c r="H852" i="16" s="1"/>
  <c r="I852" i="16"/>
  <c r="N852" i="16"/>
  <c r="M852" i="16" s="1"/>
  <c r="Q852" i="16"/>
  <c r="S852" i="16"/>
  <c r="T852" i="16"/>
  <c r="U852" i="16" a="1"/>
  <c r="U852" i="16" s="1"/>
  <c r="D853" i="16"/>
  <c r="E853" i="16" a="1"/>
  <c r="E853" i="16" s="1"/>
  <c r="G853" i="16"/>
  <c r="H853" i="16" s="1"/>
  <c r="I853" i="16"/>
  <c r="N853" i="16"/>
  <c r="V853" i="16" s="1"/>
  <c r="Q853" i="16"/>
  <c r="S853" i="16"/>
  <c r="T853" i="16"/>
  <c r="U853" i="16" a="1"/>
  <c r="U853" i="16" s="1"/>
  <c r="D854" i="16"/>
  <c r="E854" i="16" a="1"/>
  <c r="E854" i="16" s="1"/>
  <c r="G854" i="16"/>
  <c r="H854" i="16" s="1"/>
  <c r="I854" i="16"/>
  <c r="N854" i="16"/>
  <c r="M854" i="16" s="1"/>
  <c r="Q854" i="16"/>
  <c r="S854" i="16"/>
  <c r="T854" i="16"/>
  <c r="U854" i="16" a="1"/>
  <c r="U854" i="16" s="1"/>
  <c r="V854" i="16"/>
  <c r="D855" i="16"/>
  <c r="E855" i="16" a="1"/>
  <c r="E855" i="16" s="1"/>
  <c r="G855" i="16"/>
  <c r="H855" i="16" s="1"/>
  <c r="I855" i="16"/>
  <c r="N855" i="16"/>
  <c r="M855" i="16" s="1"/>
  <c r="Q855" i="16"/>
  <c r="S855" i="16"/>
  <c r="T855" i="16"/>
  <c r="U855" i="16" a="1"/>
  <c r="U855" i="16" s="1"/>
  <c r="V855" i="16"/>
  <c r="D856" i="16"/>
  <c r="E856" i="16" a="1"/>
  <c r="E856" i="16" s="1"/>
  <c r="G856" i="16"/>
  <c r="H856" i="16" s="1"/>
  <c r="I856" i="16"/>
  <c r="N856" i="16"/>
  <c r="M856" i="16" s="1"/>
  <c r="Q856" i="16"/>
  <c r="S856" i="16"/>
  <c r="T856" i="16"/>
  <c r="U856" i="16" a="1"/>
  <c r="U856" i="16" s="1"/>
  <c r="V856" i="16"/>
  <c r="D857" i="16"/>
  <c r="E857" i="16" a="1"/>
  <c r="E857" i="16" s="1"/>
  <c r="G857" i="16"/>
  <c r="H857" i="16" s="1"/>
  <c r="I857" i="16"/>
  <c r="N857" i="16"/>
  <c r="Q857" i="16"/>
  <c r="S857" i="16"/>
  <c r="T857" i="16"/>
  <c r="U857" i="16" a="1"/>
  <c r="U857" i="16" s="1"/>
  <c r="V857" i="16"/>
  <c r="D858" i="16"/>
  <c r="E858" i="16" a="1"/>
  <c r="E858" i="16" s="1"/>
  <c r="G858" i="16"/>
  <c r="H858" i="16" s="1"/>
  <c r="I858" i="16"/>
  <c r="N858" i="16"/>
  <c r="M858" i="16" s="1"/>
  <c r="Q858" i="16"/>
  <c r="S858" i="16"/>
  <c r="T858" i="16"/>
  <c r="U858" i="16" a="1"/>
  <c r="U858" i="16" s="1"/>
  <c r="V858" i="16"/>
  <c r="D859" i="16"/>
  <c r="E859" i="16" a="1"/>
  <c r="E859" i="16" s="1"/>
  <c r="G859" i="16"/>
  <c r="H859" i="16" s="1"/>
  <c r="I859" i="16"/>
  <c r="N859" i="16"/>
  <c r="M859" i="16" s="1"/>
  <c r="Q859" i="16"/>
  <c r="S859" i="16"/>
  <c r="T859" i="16"/>
  <c r="U859" i="16" a="1"/>
  <c r="U859" i="16" s="1"/>
  <c r="V859" i="16"/>
  <c r="D860" i="16"/>
  <c r="E860" i="16" a="1"/>
  <c r="E860" i="16" s="1"/>
  <c r="G860" i="16"/>
  <c r="H860" i="16" s="1"/>
  <c r="I860" i="16"/>
  <c r="N860" i="16"/>
  <c r="M860" i="16" s="1"/>
  <c r="Q860" i="16"/>
  <c r="S860" i="16"/>
  <c r="T860" i="16"/>
  <c r="U860" i="16" a="1"/>
  <c r="U860" i="16" s="1"/>
  <c r="D861" i="16"/>
  <c r="E861" i="16" a="1"/>
  <c r="E861" i="16" s="1"/>
  <c r="G861" i="16"/>
  <c r="H861" i="16" s="1"/>
  <c r="I861" i="16"/>
  <c r="N861" i="16"/>
  <c r="V861" i="16" s="1"/>
  <c r="Q861" i="16"/>
  <c r="S861" i="16"/>
  <c r="T861" i="16"/>
  <c r="U861" i="16" a="1"/>
  <c r="U861" i="16" s="1"/>
  <c r="D862" i="16"/>
  <c r="E862" i="16" a="1"/>
  <c r="E862" i="16" s="1"/>
  <c r="G862" i="16"/>
  <c r="H862" i="16" s="1"/>
  <c r="I862" i="16"/>
  <c r="N862" i="16"/>
  <c r="Q862" i="16"/>
  <c r="S862" i="16"/>
  <c r="T862" i="16"/>
  <c r="U862" i="16" a="1"/>
  <c r="U862" i="16" s="1"/>
  <c r="V862" i="16"/>
  <c r="D863" i="16"/>
  <c r="E863" i="16" a="1"/>
  <c r="E863" i="16" s="1"/>
  <c r="G863" i="16"/>
  <c r="H863" i="16" s="1"/>
  <c r="I863" i="16"/>
  <c r="N863" i="16"/>
  <c r="Q863" i="16"/>
  <c r="S863" i="16"/>
  <c r="T863" i="16"/>
  <c r="U863" i="16" a="1"/>
  <c r="U863" i="16" s="1"/>
  <c r="V863" i="16"/>
  <c r="D864" i="16"/>
  <c r="E864" i="16" a="1"/>
  <c r="E864" i="16" s="1"/>
  <c r="G864" i="16"/>
  <c r="H864" i="16" s="1"/>
  <c r="I864" i="16"/>
  <c r="N864" i="16"/>
  <c r="M864" i="16" s="1"/>
  <c r="Q864" i="16"/>
  <c r="S864" i="16"/>
  <c r="T864" i="16"/>
  <c r="U864" i="16" a="1"/>
  <c r="U864" i="16" s="1"/>
  <c r="V864" i="16"/>
  <c r="D865" i="16"/>
  <c r="E865" i="16" a="1"/>
  <c r="E865" i="16" s="1"/>
  <c r="G865" i="16"/>
  <c r="H865" i="16" s="1"/>
  <c r="I865" i="16"/>
  <c r="N865" i="16"/>
  <c r="M865" i="16" s="1"/>
  <c r="Q865" i="16"/>
  <c r="S865" i="16"/>
  <c r="T865" i="16"/>
  <c r="U865" i="16" a="1"/>
  <c r="U865" i="16" s="1"/>
  <c r="D866" i="16"/>
  <c r="E866" i="16" a="1"/>
  <c r="E866" i="16" s="1"/>
  <c r="G866" i="16"/>
  <c r="H866" i="16" s="1"/>
  <c r="I866" i="16"/>
  <c r="N866" i="16"/>
  <c r="V866" i="16" s="1"/>
  <c r="Q866" i="16"/>
  <c r="S866" i="16"/>
  <c r="T866" i="16"/>
  <c r="U866" i="16" a="1"/>
  <c r="U866" i="16" s="1"/>
  <c r="D867" i="16"/>
  <c r="E867" i="16" a="1"/>
  <c r="E867" i="16" s="1"/>
  <c r="G867" i="16"/>
  <c r="H867" i="16" s="1"/>
  <c r="I867" i="16"/>
  <c r="N867" i="16"/>
  <c r="M867" i="16" s="1"/>
  <c r="Q867" i="16"/>
  <c r="S867" i="16"/>
  <c r="T867" i="16"/>
  <c r="U867" i="16" a="1"/>
  <c r="U867" i="16" s="1"/>
  <c r="D868" i="16"/>
  <c r="E868" i="16" a="1"/>
  <c r="E868" i="16" s="1"/>
  <c r="G868" i="16"/>
  <c r="H868" i="16" s="1"/>
  <c r="I868" i="16"/>
  <c r="N868" i="16"/>
  <c r="M868" i="16" s="1"/>
  <c r="Q868" i="16"/>
  <c r="S868" i="16"/>
  <c r="V868" i="16"/>
  <c r="D869" i="16"/>
  <c r="E869" i="16" a="1"/>
  <c r="E869" i="16" s="1"/>
  <c r="G869" i="16"/>
  <c r="H869" i="16" s="1"/>
  <c r="I869" i="16"/>
  <c r="N869" i="16"/>
  <c r="Q869" i="16"/>
  <c r="S869" i="16"/>
  <c r="V869" i="16"/>
  <c r="D870" i="16"/>
  <c r="E870" i="16" a="1"/>
  <c r="E870" i="16" s="1"/>
  <c r="G870" i="16"/>
  <c r="H870" i="16" s="1"/>
  <c r="I870" i="16"/>
  <c r="N870" i="16"/>
  <c r="M870" i="16" s="1"/>
  <c r="Q870" i="16"/>
  <c r="S870" i="16"/>
  <c r="V870" i="16"/>
  <c r="D871" i="16"/>
  <c r="E871" i="16" a="1"/>
  <c r="E871" i="16" s="1"/>
  <c r="G871" i="16"/>
  <c r="H871" i="16" s="1"/>
  <c r="I871" i="16"/>
  <c r="N871" i="16"/>
  <c r="M871" i="16" s="1"/>
  <c r="Q871" i="16"/>
  <c r="S871" i="16"/>
  <c r="D872" i="16"/>
  <c r="E872" i="16" a="1"/>
  <c r="E872" i="16" s="1"/>
  <c r="G872" i="16"/>
  <c r="H872" i="16" s="1"/>
  <c r="I872" i="16"/>
  <c r="N872" i="16"/>
  <c r="M872" i="16" s="1"/>
  <c r="Q872" i="16"/>
  <c r="S872" i="16"/>
  <c r="T872" i="16"/>
  <c r="U872" i="16" a="1"/>
  <c r="U872" i="16" s="1"/>
  <c r="V872" i="16"/>
  <c r="D873" i="16"/>
  <c r="E873" i="16" a="1"/>
  <c r="E873" i="16" s="1"/>
  <c r="G873" i="16"/>
  <c r="H873" i="16" s="1"/>
  <c r="I873" i="16"/>
  <c r="N873" i="16"/>
  <c r="M873" i="16" s="1"/>
  <c r="Q873" i="16"/>
  <c r="S873" i="16"/>
  <c r="T873" i="16"/>
  <c r="U873" i="16" a="1"/>
  <c r="U873" i="16" s="1"/>
  <c r="V873" i="16"/>
  <c r="D874" i="16"/>
  <c r="E874" i="16" a="1"/>
  <c r="E874" i="16" s="1"/>
  <c r="G874" i="16"/>
  <c r="H874" i="16" s="1"/>
  <c r="I874" i="16"/>
  <c r="N874" i="16"/>
  <c r="M874" i="16" s="1"/>
  <c r="Q874" i="16"/>
  <c r="S874" i="16"/>
  <c r="T874" i="16"/>
  <c r="U874" i="16" a="1"/>
  <c r="U874" i="16" s="1"/>
  <c r="V874" i="16"/>
  <c r="D875" i="16"/>
  <c r="E875" i="16" a="1"/>
  <c r="E875" i="16" s="1"/>
  <c r="G875" i="16"/>
  <c r="H875" i="16" s="1"/>
  <c r="I875" i="16"/>
  <c r="N875" i="16"/>
  <c r="M875" i="16" s="1"/>
  <c r="Q875" i="16"/>
  <c r="S875" i="16"/>
  <c r="T875" i="16"/>
  <c r="U875" i="16" a="1"/>
  <c r="U875" i="16" s="1"/>
  <c r="D876" i="16"/>
  <c r="E876" i="16" a="1"/>
  <c r="E876" i="16" s="1"/>
  <c r="G876" i="16"/>
  <c r="H876" i="16" s="1"/>
  <c r="I876" i="16"/>
  <c r="N876" i="16"/>
  <c r="M876" i="16" s="1"/>
  <c r="Q876" i="16"/>
  <c r="S876" i="16"/>
  <c r="T876" i="16"/>
  <c r="U876" i="16" a="1"/>
  <c r="U876" i="16" s="1"/>
  <c r="V876" i="16"/>
  <c r="D877" i="16"/>
  <c r="E877" i="16" a="1"/>
  <c r="E877" i="16" s="1"/>
  <c r="G877" i="16"/>
  <c r="H877" i="16" s="1"/>
  <c r="I877" i="16"/>
  <c r="N877" i="16"/>
  <c r="M877" i="16" s="1"/>
  <c r="Q877" i="16"/>
  <c r="S877" i="16"/>
  <c r="T877" i="16"/>
  <c r="U877" i="16" a="1"/>
  <c r="U877" i="16" s="1"/>
  <c r="V877" i="16"/>
  <c r="D878" i="16"/>
  <c r="E878" i="16" a="1"/>
  <c r="E878" i="16" s="1"/>
  <c r="G878" i="16"/>
  <c r="H878" i="16" s="1"/>
  <c r="I878" i="16"/>
  <c r="N878" i="16"/>
  <c r="Q878" i="16"/>
  <c r="S878" i="16"/>
  <c r="T878" i="16"/>
  <c r="U878" i="16" a="1"/>
  <c r="U878" i="16" s="1"/>
  <c r="V878" i="16"/>
  <c r="D879" i="16"/>
  <c r="E879" i="16" a="1"/>
  <c r="E879" i="16" s="1"/>
  <c r="G879" i="16"/>
  <c r="H879" i="16" s="1"/>
  <c r="I879" i="16"/>
  <c r="N879" i="16"/>
  <c r="Q879" i="16"/>
  <c r="S879" i="16"/>
  <c r="T879" i="16"/>
  <c r="U879" i="16" a="1"/>
  <c r="U879" i="16" s="1"/>
  <c r="D880" i="16"/>
  <c r="E880" i="16" a="1"/>
  <c r="E880" i="16" s="1"/>
  <c r="G880" i="16"/>
  <c r="H880" i="16" s="1"/>
  <c r="I880" i="16"/>
  <c r="N880" i="16"/>
  <c r="M880" i="16" s="1"/>
  <c r="Q880" i="16"/>
  <c r="S880" i="16"/>
  <c r="T880" i="16"/>
  <c r="U880" i="16" a="1"/>
  <c r="U880" i="16" s="1"/>
  <c r="V880" i="16"/>
  <c r="D881" i="16"/>
  <c r="E881" i="16" a="1"/>
  <c r="E881" i="16" s="1"/>
  <c r="G881" i="16"/>
  <c r="H881" i="16" s="1"/>
  <c r="I881" i="16"/>
  <c r="N881" i="16"/>
  <c r="M881" i="16" s="1"/>
  <c r="Q881" i="16"/>
  <c r="S881" i="16"/>
  <c r="T881" i="16"/>
  <c r="U881" i="16" a="1"/>
  <c r="U881" i="16" s="1"/>
  <c r="V881" i="16"/>
  <c r="D882" i="16"/>
  <c r="E882" i="16" a="1"/>
  <c r="E882" i="16" s="1"/>
  <c r="G882" i="16"/>
  <c r="H882" i="16" s="1"/>
  <c r="I882" i="16"/>
  <c r="N882" i="16"/>
  <c r="M882" i="16" s="1"/>
  <c r="Q882" i="16"/>
  <c r="S882" i="16"/>
  <c r="T882" i="16"/>
  <c r="U882" i="16" a="1"/>
  <c r="U882" i="16" s="1"/>
  <c r="V882" i="16"/>
  <c r="D883" i="16"/>
  <c r="E883" i="16" a="1"/>
  <c r="E883" i="16" s="1"/>
  <c r="G883" i="16"/>
  <c r="H883" i="16" s="1"/>
  <c r="I883" i="16"/>
  <c r="N883" i="16"/>
  <c r="M883" i="16" s="1"/>
  <c r="Q883" i="16"/>
  <c r="S883" i="16"/>
  <c r="T883" i="16"/>
  <c r="U883" i="16" a="1"/>
  <c r="U883" i="16" s="1"/>
  <c r="V883" i="16"/>
  <c r="D884" i="16"/>
  <c r="E884" i="16" a="1"/>
  <c r="E884" i="16" s="1"/>
  <c r="G884" i="16"/>
  <c r="H884" i="16" s="1"/>
  <c r="I884" i="16"/>
  <c r="N884" i="16"/>
  <c r="M884" i="16" s="1"/>
  <c r="Q884" i="16"/>
  <c r="S884" i="16"/>
  <c r="T884" i="16"/>
  <c r="U884" i="16" a="1"/>
  <c r="U884" i="16" s="1"/>
  <c r="D885" i="16"/>
  <c r="E885" i="16" a="1"/>
  <c r="E885" i="16" s="1"/>
  <c r="G885" i="16"/>
  <c r="H885" i="16" s="1"/>
  <c r="I885" i="16"/>
  <c r="N885" i="16"/>
  <c r="Q885" i="16"/>
  <c r="S885" i="16"/>
  <c r="V885" i="16"/>
  <c r="D886" i="16"/>
  <c r="E886" i="16" a="1"/>
  <c r="E886" i="16" s="1"/>
  <c r="G886" i="16"/>
  <c r="H886" i="16" s="1"/>
  <c r="I886" i="16"/>
  <c r="N886" i="16"/>
  <c r="M886" i="16" s="1"/>
  <c r="Q886" i="16"/>
  <c r="S886" i="16"/>
  <c r="T886" i="16"/>
  <c r="U886" i="16" a="1"/>
  <c r="U886" i="16" s="1"/>
  <c r="V886" i="16"/>
  <c r="D887" i="16"/>
  <c r="E887" i="16" a="1"/>
  <c r="E887" i="16" s="1"/>
  <c r="G887" i="16"/>
  <c r="H887" i="16" s="1"/>
  <c r="I887" i="16"/>
  <c r="N887" i="16"/>
  <c r="M887" i="16" s="1"/>
  <c r="Q887" i="16"/>
  <c r="S887" i="16"/>
  <c r="T887" i="16"/>
  <c r="U887" i="16" a="1"/>
  <c r="U887" i="16" s="1"/>
  <c r="V887" i="16"/>
  <c r="D888" i="16"/>
  <c r="E888" i="16" a="1"/>
  <c r="E888" i="16" s="1"/>
  <c r="G888" i="16"/>
  <c r="H888" i="16" s="1"/>
  <c r="I888" i="16"/>
  <c r="N888" i="16"/>
  <c r="M888" i="16" s="1"/>
  <c r="Q888" i="16"/>
  <c r="S888" i="16"/>
  <c r="T888" i="16"/>
  <c r="U888" i="16" a="1"/>
  <c r="U888" i="16" s="1"/>
  <c r="V888" i="16"/>
  <c r="D889" i="16"/>
  <c r="E889" i="16" a="1"/>
  <c r="E889" i="16" s="1"/>
  <c r="G889" i="16"/>
  <c r="H889" i="16" s="1"/>
  <c r="I889" i="16"/>
  <c r="N889" i="16"/>
  <c r="M889" i="16" s="1"/>
  <c r="Q889" i="16"/>
  <c r="S889" i="16"/>
  <c r="T889" i="16"/>
  <c r="U889" i="16" a="1"/>
  <c r="U889" i="16" s="1"/>
  <c r="V889" i="16"/>
  <c r="D890" i="16"/>
  <c r="E890" i="16" a="1"/>
  <c r="E890" i="16" s="1"/>
  <c r="G890" i="16"/>
  <c r="H890" i="16" s="1"/>
  <c r="I890" i="16"/>
  <c r="N890" i="16"/>
  <c r="Q890" i="16"/>
  <c r="S890" i="16"/>
  <c r="T890" i="16"/>
  <c r="U890" i="16" a="1"/>
  <c r="U890" i="16" s="1"/>
  <c r="V890" i="16"/>
  <c r="D891" i="16"/>
  <c r="E891" i="16" a="1"/>
  <c r="E891" i="16" s="1"/>
  <c r="G891" i="16"/>
  <c r="H891" i="16" s="1"/>
  <c r="I891" i="16"/>
  <c r="N891" i="16"/>
  <c r="M891" i="16" s="1"/>
  <c r="Q891" i="16"/>
  <c r="S891" i="16"/>
  <c r="T891" i="16"/>
  <c r="U891" i="16" a="1"/>
  <c r="U891" i="16" s="1"/>
  <c r="D892" i="16"/>
  <c r="E892" i="16" a="1"/>
  <c r="E892" i="16" s="1"/>
  <c r="G892" i="16"/>
  <c r="H892" i="16" s="1"/>
  <c r="I892" i="16"/>
  <c r="N892" i="16"/>
  <c r="M892" i="16" s="1"/>
  <c r="Q892" i="16"/>
  <c r="S892" i="16"/>
  <c r="T892" i="16"/>
  <c r="U892" i="16" a="1"/>
  <c r="U892" i="16" s="1"/>
  <c r="D893" i="16"/>
  <c r="E893" i="16" a="1"/>
  <c r="E893" i="16" s="1"/>
  <c r="G893" i="16"/>
  <c r="H893" i="16" s="1"/>
  <c r="I893" i="16"/>
  <c r="N893" i="16"/>
  <c r="M893" i="16" s="1"/>
  <c r="Q893" i="16"/>
  <c r="S893" i="16"/>
  <c r="T893" i="16"/>
  <c r="U893" i="16" a="1"/>
  <c r="U893" i="16" s="1"/>
  <c r="V893" i="16"/>
  <c r="D894" i="16"/>
  <c r="E894" i="16" a="1"/>
  <c r="E894" i="16" s="1"/>
  <c r="G894" i="16"/>
  <c r="H894" i="16" s="1"/>
  <c r="I894" i="16"/>
  <c r="N894" i="16"/>
  <c r="M894" i="16" s="1"/>
  <c r="Q894" i="16"/>
  <c r="S894" i="16"/>
  <c r="T894" i="16"/>
  <c r="U894" i="16" a="1"/>
  <c r="U894" i="16" s="1"/>
  <c r="V894" i="16"/>
  <c r="D895" i="16"/>
  <c r="E895" i="16" a="1"/>
  <c r="E895" i="16" s="1"/>
  <c r="G895" i="16"/>
  <c r="H895" i="16" s="1"/>
  <c r="I895" i="16"/>
  <c r="N895" i="16"/>
  <c r="M895" i="16" s="1"/>
  <c r="Q895" i="16"/>
  <c r="S895" i="16"/>
  <c r="T895" i="16"/>
  <c r="U895" i="16" a="1"/>
  <c r="U895" i="16" s="1"/>
  <c r="V895" i="16"/>
  <c r="D896" i="16"/>
  <c r="E896" i="16" a="1"/>
  <c r="E896" i="16" s="1"/>
  <c r="G896" i="16"/>
  <c r="H896" i="16" s="1"/>
  <c r="I896" i="16"/>
  <c r="N896" i="16"/>
  <c r="Q896" i="16"/>
  <c r="S896" i="16"/>
  <c r="V896" i="16"/>
  <c r="D897" i="16"/>
  <c r="E897" i="16" a="1"/>
  <c r="E897" i="16" s="1"/>
  <c r="G897" i="16"/>
  <c r="H897" i="16" s="1"/>
  <c r="I897" i="16"/>
  <c r="N897" i="16"/>
  <c r="Q897" i="16"/>
  <c r="S897" i="16"/>
  <c r="V897" i="16"/>
  <c r="D898" i="16"/>
  <c r="E898" i="16" a="1"/>
  <c r="E898" i="16" s="1"/>
  <c r="G898" i="16"/>
  <c r="H898" i="16" s="1"/>
  <c r="I898" i="16"/>
  <c r="N898" i="16"/>
  <c r="M898" i="16" s="1"/>
  <c r="Q898" i="16"/>
  <c r="S898" i="16"/>
  <c r="V898" i="16"/>
  <c r="D899" i="16"/>
  <c r="E899" i="16" a="1"/>
  <c r="E899" i="16" s="1"/>
  <c r="G899" i="16"/>
  <c r="H899" i="16" s="1"/>
  <c r="I899" i="16"/>
  <c r="N899" i="16"/>
  <c r="M899" i="16" s="1"/>
  <c r="Q899" i="16"/>
  <c r="S899" i="16"/>
  <c r="T899" i="16"/>
  <c r="U899" i="16" a="1"/>
  <c r="U899" i="16" s="1"/>
  <c r="V899" i="16"/>
  <c r="D900" i="16"/>
  <c r="E900" i="16" a="1"/>
  <c r="E900" i="16" s="1"/>
  <c r="G900" i="16"/>
  <c r="H900" i="16" s="1"/>
  <c r="I900" i="16"/>
  <c r="N900" i="16"/>
  <c r="M900" i="16" s="1"/>
  <c r="Q900" i="16"/>
  <c r="S900" i="16"/>
  <c r="T900" i="16"/>
  <c r="U900" i="16" a="1"/>
  <c r="U900" i="16" s="1"/>
  <c r="V900" i="16"/>
  <c r="D901" i="16"/>
  <c r="E901" i="16" a="1"/>
  <c r="E901" i="16" s="1"/>
  <c r="G901" i="16"/>
  <c r="H901" i="16" s="1"/>
  <c r="I901" i="16"/>
  <c r="N901" i="16"/>
  <c r="M901" i="16" s="1"/>
  <c r="Q901" i="16"/>
  <c r="S901" i="16"/>
  <c r="T901" i="16"/>
  <c r="U901" i="16" a="1"/>
  <c r="U901" i="16" s="1"/>
  <c r="V901" i="16"/>
  <c r="D902" i="16"/>
  <c r="E902" i="16" a="1"/>
  <c r="E902" i="16" s="1"/>
  <c r="G902" i="16"/>
  <c r="H902" i="16" s="1"/>
  <c r="I902" i="16"/>
  <c r="N902" i="16"/>
  <c r="M902" i="16" s="1"/>
  <c r="Q902" i="16"/>
  <c r="S902" i="16"/>
  <c r="T902" i="16"/>
  <c r="U902" i="16" a="1"/>
  <c r="U902" i="16" s="1"/>
  <c r="V902" i="16"/>
  <c r="D903" i="16"/>
  <c r="E903" i="16" a="1"/>
  <c r="E903" i="16" s="1"/>
  <c r="G903" i="16"/>
  <c r="H903" i="16" s="1"/>
  <c r="I903" i="16"/>
  <c r="N903" i="16"/>
  <c r="M903" i="16" s="1"/>
  <c r="Q903" i="16"/>
  <c r="S903" i="16"/>
  <c r="T903" i="16"/>
  <c r="U903" i="16" a="1"/>
  <c r="U903" i="16" s="1"/>
  <c r="V903" i="16"/>
  <c r="D904" i="16"/>
  <c r="E904" i="16" a="1"/>
  <c r="E904" i="16" s="1"/>
  <c r="G904" i="16"/>
  <c r="H904" i="16" s="1"/>
  <c r="I904" i="16"/>
  <c r="N904" i="16"/>
  <c r="M904" i="16" s="1"/>
  <c r="Q904" i="16"/>
  <c r="S904" i="16"/>
  <c r="T904" i="16"/>
  <c r="U904" i="16" a="1"/>
  <c r="U904" i="16" s="1"/>
  <c r="V904" i="16"/>
  <c r="D905" i="16"/>
  <c r="E905" i="16" a="1"/>
  <c r="E905" i="16" s="1"/>
  <c r="G905" i="16"/>
  <c r="H905" i="16" s="1"/>
  <c r="I905" i="16"/>
  <c r="N905" i="16"/>
  <c r="M905" i="16" s="1"/>
  <c r="Q905" i="16"/>
  <c r="S905" i="16"/>
  <c r="T905" i="16"/>
  <c r="U905" i="16" a="1"/>
  <c r="U905" i="16" s="1"/>
  <c r="V905" i="16"/>
  <c r="D906" i="16"/>
  <c r="E906" i="16" a="1"/>
  <c r="E906" i="16" s="1"/>
  <c r="G906" i="16"/>
  <c r="H906" i="16" s="1"/>
  <c r="I906" i="16"/>
  <c r="N906" i="16"/>
  <c r="M906" i="16" s="1"/>
  <c r="Q906" i="16"/>
  <c r="S906" i="16"/>
  <c r="T906" i="16"/>
  <c r="U906" i="16" a="1"/>
  <c r="U906" i="16" s="1"/>
  <c r="V906" i="16"/>
  <c r="D907" i="16"/>
  <c r="E907" i="16" a="1"/>
  <c r="E907" i="16" s="1"/>
  <c r="G907" i="16"/>
  <c r="H907" i="16" s="1"/>
  <c r="I907" i="16"/>
  <c r="N907" i="16"/>
  <c r="M907" i="16" s="1"/>
  <c r="Q907" i="16"/>
  <c r="S907" i="16"/>
  <c r="T907" i="16"/>
  <c r="U907" i="16" a="1"/>
  <c r="U907" i="16" s="1"/>
  <c r="V907" i="16"/>
  <c r="D908" i="16"/>
  <c r="E908" i="16" a="1"/>
  <c r="E908" i="16" s="1"/>
  <c r="G908" i="16"/>
  <c r="H908" i="16" s="1"/>
  <c r="I908" i="16"/>
  <c r="N908" i="16"/>
  <c r="Q908" i="16"/>
  <c r="S908" i="16"/>
  <c r="T908" i="16"/>
  <c r="U908" i="16" a="1"/>
  <c r="U908" i="16" s="1"/>
  <c r="D909" i="16"/>
  <c r="E909" i="16" a="1"/>
  <c r="E909" i="16" s="1"/>
  <c r="G909" i="16"/>
  <c r="H909" i="16" s="1"/>
  <c r="I909" i="16"/>
  <c r="N909" i="16"/>
  <c r="M909" i="16" s="1"/>
  <c r="Q909" i="16"/>
  <c r="S909" i="16"/>
  <c r="T909" i="16"/>
  <c r="U909" i="16" a="1"/>
  <c r="U909" i="16" s="1"/>
  <c r="V909" i="16"/>
  <c r="D910" i="16"/>
  <c r="E910" i="16" a="1"/>
  <c r="E910" i="16" s="1"/>
  <c r="G910" i="16"/>
  <c r="H910" i="16" s="1"/>
  <c r="I910" i="16"/>
  <c r="N910" i="16"/>
  <c r="Q910" i="16"/>
  <c r="S910" i="16"/>
  <c r="T910" i="16"/>
  <c r="U910" i="16" a="1"/>
  <c r="U910" i="16" s="1"/>
  <c r="V910" i="16"/>
  <c r="D911" i="16"/>
  <c r="E911" i="16" a="1"/>
  <c r="E911" i="16" s="1"/>
  <c r="G911" i="16"/>
  <c r="H911" i="16" s="1"/>
  <c r="I911" i="16"/>
  <c r="N911" i="16"/>
  <c r="M911" i="16" s="1"/>
  <c r="Q911" i="16"/>
  <c r="S911" i="16"/>
  <c r="T911" i="16"/>
  <c r="U911" i="16" a="1"/>
  <c r="U911" i="16" s="1"/>
  <c r="D912" i="16"/>
  <c r="E912" i="16" a="1"/>
  <c r="E912" i="16" s="1"/>
  <c r="G912" i="16"/>
  <c r="H912" i="16" s="1"/>
  <c r="I912" i="16"/>
  <c r="N912" i="16"/>
  <c r="M912" i="16" s="1"/>
  <c r="Q912" i="16"/>
  <c r="S912" i="16"/>
  <c r="T912" i="16"/>
  <c r="U912" i="16" a="1"/>
  <c r="U912" i="16" s="1"/>
  <c r="D913" i="16"/>
  <c r="E913" i="16" a="1"/>
  <c r="E913" i="16" s="1"/>
  <c r="G913" i="16"/>
  <c r="H913" i="16" s="1"/>
  <c r="I913" i="16"/>
  <c r="N913" i="16"/>
  <c r="M913" i="16" s="1"/>
  <c r="Q913" i="16"/>
  <c r="S913" i="16"/>
  <c r="T913" i="16"/>
  <c r="U913" i="16" a="1"/>
  <c r="U913" i="16" s="1"/>
  <c r="V913" i="16"/>
  <c r="D914" i="16"/>
  <c r="E914" i="16" a="1"/>
  <c r="E914" i="16" s="1"/>
  <c r="G914" i="16"/>
  <c r="H914" i="16" s="1"/>
  <c r="I914" i="16"/>
  <c r="N914" i="16"/>
  <c r="M914" i="16" s="1"/>
  <c r="Q914" i="16"/>
  <c r="S914" i="16"/>
  <c r="T914" i="16"/>
  <c r="U914" i="16" a="1"/>
  <c r="U914" i="16" s="1"/>
  <c r="V914" i="16"/>
  <c r="D915" i="16"/>
  <c r="E915" i="16" a="1"/>
  <c r="E915" i="16" s="1"/>
  <c r="G915" i="16"/>
  <c r="H915" i="16" s="1"/>
  <c r="I915" i="16"/>
  <c r="N915" i="16"/>
  <c r="M915" i="16" s="1"/>
  <c r="Q915" i="16"/>
  <c r="S915" i="16"/>
  <c r="T915" i="16"/>
  <c r="U915" i="16" a="1"/>
  <c r="U915" i="16" s="1"/>
  <c r="V915" i="16"/>
  <c r="D916" i="16"/>
  <c r="E916" i="16" a="1"/>
  <c r="E916" i="16" s="1"/>
  <c r="G916" i="16"/>
  <c r="H916" i="16" s="1"/>
  <c r="I916" i="16"/>
  <c r="N916" i="16"/>
  <c r="M916" i="16" s="1"/>
  <c r="Q916" i="16"/>
  <c r="S916" i="16"/>
  <c r="T916" i="16"/>
  <c r="U916" i="16" a="1"/>
  <c r="U916" i="16" s="1"/>
  <c r="V916" i="16"/>
  <c r="D917" i="16"/>
  <c r="E917" i="16" a="1"/>
  <c r="E917" i="16" s="1"/>
  <c r="G917" i="16"/>
  <c r="H917" i="16" s="1"/>
  <c r="I917" i="16"/>
  <c r="N917" i="16"/>
  <c r="M917" i="16" s="1"/>
  <c r="Q917" i="16"/>
  <c r="S917" i="16"/>
  <c r="T917" i="16"/>
  <c r="U917" i="16" a="1"/>
  <c r="U917" i="16" s="1"/>
  <c r="V917" i="16"/>
  <c r="D918" i="16"/>
  <c r="E918" i="16" a="1"/>
  <c r="E918" i="16" s="1"/>
  <c r="G918" i="16"/>
  <c r="H918" i="16" s="1"/>
  <c r="I918" i="16"/>
  <c r="N918" i="16"/>
  <c r="Q918" i="16"/>
  <c r="S918" i="16"/>
  <c r="T918" i="16"/>
  <c r="U918" i="16" a="1"/>
  <c r="U918" i="16" s="1"/>
  <c r="V918" i="16"/>
  <c r="D919" i="16"/>
  <c r="E919" i="16" a="1"/>
  <c r="E919" i="16" s="1"/>
  <c r="G919" i="16"/>
  <c r="H919" i="16" s="1"/>
  <c r="I919" i="16"/>
  <c r="N919" i="16"/>
  <c r="M919" i="16" s="1"/>
  <c r="Q919" i="16"/>
  <c r="S919" i="16"/>
  <c r="T919" i="16"/>
  <c r="U919" i="16" a="1"/>
  <c r="U919" i="16" s="1"/>
  <c r="V919" i="16"/>
  <c r="D920" i="16"/>
  <c r="E920" i="16" a="1"/>
  <c r="E920" i="16" s="1"/>
  <c r="G920" i="16"/>
  <c r="H920" i="16" s="1"/>
  <c r="I920" i="16"/>
  <c r="N920" i="16"/>
  <c r="M920" i="16" s="1"/>
  <c r="Q920" i="16"/>
  <c r="S920" i="16"/>
  <c r="T920" i="16"/>
  <c r="U920" i="16" a="1"/>
  <c r="U920" i="16" s="1"/>
  <c r="V920" i="16"/>
  <c r="D921" i="16"/>
  <c r="E921" i="16" a="1"/>
  <c r="E921" i="16" s="1"/>
  <c r="G921" i="16"/>
  <c r="H921" i="16" s="1"/>
  <c r="I921" i="16"/>
  <c r="N921" i="16"/>
  <c r="M921" i="16" s="1"/>
  <c r="Q921" i="16"/>
  <c r="S921" i="16"/>
  <c r="T921" i="16"/>
  <c r="U921" i="16" a="1"/>
  <c r="U921" i="16" s="1"/>
  <c r="V921" i="16"/>
  <c r="D922" i="16"/>
  <c r="E922" i="16" a="1"/>
  <c r="E922" i="16" s="1"/>
  <c r="G922" i="16"/>
  <c r="H922" i="16" s="1"/>
  <c r="I922" i="16"/>
  <c r="N922" i="16"/>
  <c r="M922" i="16" s="1"/>
  <c r="Q922" i="16"/>
  <c r="S922" i="16"/>
  <c r="T922" i="16"/>
  <c r="U922" i="16" a="1"/>
  <c r="U922" i="16" s="1"/>
  <c r="D923" i="16"/>
  <c r="E923" i="16" a="1"/>
  <c r="E923" i="16" s="1"/>
  <c r="G923" i="16"/>
  <c r="H923" i="16" s="1"/>
  <c r="I923" i="16"/>
  <c r="N923" i="16"/>
  <c r="M923" i="16" s="1"/>
  <c r="Q923" i="16"/>
  <c r="S923" i="16"/>
  <c r="T923" i="16"/>
  <c r="U923" i="16" a="1"/>
  <c r="U923" i="16" s="1"/>
  <c r="D924" i="16"/>
  <c r="E924" i="16" a="1"/>
  <c r="E924" i="16" s="1"/>
  <c r="G924" i="16"/>
  <c r="H924" i="16" s="1"/>
  <c r="I924" i="16"/>
  <c r="N924" i="16"/>
  <c r="M924" i="16" s="1"/>
  <c r="Q924" i="16"/>
  <c r="S924" i="16"/>
  <c r="T924" i="16"/>
  <c r="U924" i="16" a="1"/>
  <c r="U924" i="16" s="1"/>
  <c r="V924" i="16"/>
  <c r="D925" i="16"/>
  <c r="E925" i="16" a="1"/>
  <c r="E925" i="16" s="1"/>
  <c r="G925" i="16"/>
  <c r="H925" i="16" s="1"/>
  <c r="I925" i="16"/>
  <c r="N925" i="16"/>
  <c r="Q925" i="16"/>
  <c r="S925" i="16"/>
  <c r="T925" i="16"/>
  <c r="U925" i="16" a="1"/>
  <c r="U925" i="16" s="1"/>
  <c r="V925" i="16"/>
  <c r="D926" i="16"/>
  <c r="E926" i="16" a="1"/>
  <c r="E926" i="16" s="1"/>
  <c r="G926" i="16"/>
  <c r="H926" i="16" s="1"/>
  <c r="I926" i="16"/>
  <c r="N926" i="16"/>
  <c r="V926" i="16" s="1"/>
  <c r="Q926" i="16"/>
  <c r="S926" i="16"/>
  <c r="T926" i="16"/>
  <c r="U926" i="16" a="1"/>
  <c r="U926" i="16" s="1"/>
  <c r="D927" i="16"/>
  <c r="E927" i="16" a="1"/>
  <c r="E927" i="16" s="1"/>
  <c r="G927" i="16"/>
  <c r="H927" i="16" s="1"/>
  <c r="I927" i="16"/>
  <c r="N927" i="16"/>
  <c r="M927" i="16" s="1"/>
  <c r="Q927" i="16"/>
  <c r="S927" i="16"/>
  <c r="T927" i="16"/>
  <c r="U927" i="16" a="1"/>
  <c r="U927" i="16" s="1"/>
  <c r="D928" i="16"/>
  <c r="E928" i="16" a="1"/>
  <c r="E928" i="16" s="1"/>
  <c r="G928" i="16"/>
  <c r="H928" i="16" s="1"/>
  <c r="I928" i="16"/>
  <c r="N928" i="16"/>
  <c r="M928" i="16" s="1"/>
  <c r="Q928" i="16"/>
  <c r="S928" i="16"/>
  <c r="V928" i="16"/>
  <c r="D929" i="16"/>
  <c r="E929" i="16" a="1"/>
  <c r="E929" i="16" s="1"/>
  <c r="G929" i="16"/>
  <c r="H929" i="16" s="1"/>
  <c r="I929" i="16"/>
  <c r="N929" i="16"/>
  <c r="Q929" i="16"/>
  <c r="S929" i="16"/>
  <c r="V929" i="16"/>
  <c r="D930" i="16"/>
  <c r="E930" i="16" a="1"/>
  <c r="E930" i="16" s="1"/>
  <c r="G930" i="16"/>
  <c r="H930" i="16" s="1"/>
  <c r="I930" i="16"/>
  <c r="N930" i="16"/>
  <c r="Q930" i="16"/>
  <c r="S930" i="16"/>
  <c r="T930" i="16"/>
  <c r="U930" i="16" a="1"/>
  <c r="U930" i="16" s="1"/>
  <c r="V930" i="16"/>
  <c r="D931" i="16"/>
  <c r="E931" i="16" a="1"/>
  <c r="E931" i="16" s="1"/>
  <c r="G931" i="16"/>
  <c r="H931" i="16" s="1"/>
  <c r="I931" i="16"/>
  <c r="N931" i="16"/>
  <c r="M931" i="16" s="1"/>
  <c r="Q931" i="16"/>
  <c r="S931" i="16"/>
  <c r="T931" i="16"/>
  <c r="U931" i="16" a="1"/>
  <c r="U931" i="16" s="1"/>
  <c r="V931" i="16"/>
  <c r="D932" i="16"/>
  <c r="E932" i="16" a="1"/>
  <c r="E932" i="16" s="1"/>
  <c r="G932" i="16"/>
  <c r="H932" i="16" s="1"/>
  <c r="I932" i="16"/>
  <c r="N932" i="16"/>
  <c r="M932" i="16" s="1"/>
  <c r="Q932" i="16"/>
  <c r="S932" i="16"/>
  <c r="T932" i="16"/>
  <c r="U932" i="16" a="1"/>
  <c r="U932" i="16" s="1"/>
  <c r="D933" i="16"/>
  <c r="E933" i="16" a="1"/>
  <c r="E933" i="16" s="1"/>
  <c r="G933" i="16"/>
  <c r="H933" i="16" s="1"/>
  <c r="I933" i="16"/>
  <c r="N933" i="16"/>
  <c r="M933" i="16" s="1"/>
  <c r="Q933" i="16"/>
  <c r="S933" i="16"/>
  <c r="T933" i="16"/>
  <c r="U933" i="16" a="1"/>
  <c r="U933" i="16" s="1"/>
  <c r="V933" i="16"/>
  <c r="D934" i="16"/>
  <c r="E934" i="16" a="1"/>
  <c r="E934" i="16" s="1"/>
  <c r="G934" i="16"/>
  <c r="H934" i="16" s="1"/>
  <c r="I934" i="16"/>
  <c r="N934" i="16"/>
  <c r="Q934" i="16"/>
  <c r="S934" i="16"/>
  <c r="T934" i="16"/>
  <c r="U934" i="16" a="1"/>
  <c r="U934" i="16" s="1"/>
  <c r="V934" i="16"/>
  <c r="D935" i="16"/>
  <c r="E935" i="16" a="1"/>
  <c r="E935" i="16" s="1"/>
  <c r="G935" i="16"/>
  <c r="H935" i="16" s="1"/>
  <c r="I935" i="16"/>
  <c r="N935" i="16"/>
  <c r="Q935" i="16"/>
  <c r="S935" i="16"/>
  <c r="T935" i="16"/>
  <c r="U935" i="16" a="1"/>
  <c r="U935" i="16" s="1"/>
  <c r="V935" i="16"/>
  <c r="D936" i="16"/>
  <c r="E936" i="16" a="1"/>
  <c r="E936" i="16" s="1"/>
  <c r="G936" i="16"/>
  <c r="H936" i="16" s="1"/>
  <c r="I936" i="16"/>
  <c r="N936" i="16"/>
  <c r="M936" i="16" s="1"/>
  <c r="Q936" i="16"/>
  <c r="S936" i="16"/>
  <c r="T936" i="16"/>
  <c r="U936" i="16" a="1"/>
  <c r="U936" i="16" s="1"/>
  <c r="V936" i="16"/>
  <c r="D937" i="16"/>
  <c r="E937" i="16" a="1"/>
  <c r="E937" i="16" s="1"/>
  <c r="G937" i="16"/>
  <c r="H937" i="16" s="1"/>
  <c r="I937" i="16"/>
  <c r="N937" i="16"/>
  <c r="M937" i="16" s="1"/>
  <c r="Q937" i="16"/>
  <c r="S937" i="16"/>
  <c r="T937" i="16"/>
  <c r="U937" i="16" a="1"/>
  <c r="U937" i="16" s="1"/>
  <c r="V937" i="16"/>
  <c r="D938" i="16"/>
  <c r="E938" i="16" a="1"/>
  <c r="E938" i="16" s="1"/>
  <c r="G938" i="16"/>
  <c r="H938" i="16" s="1"/>
  <c r="I938" i="16"/>
  <c r="N938" i="16"/>
  <c r="V938" i="16" s="1"/>
  <c r="Q938" i="16"/>
  <c r="S938" i="16"/>
  <c r="T938" i="16"/>
  <c r="U938" i="16" a="1"/>
  <c r="U938" i="16" s="1"/>
  <c r="D939" i="16"/>
  <c r="E939" i="16" a="1"/>
  <c r="E939" i="16" s="1"/>
  <c r="G939" i="16"/>
  <c r="H939" i="16" s="1"/>
  <c r="I939" i="16"/>
  <c r="N939" i="16"/>
  <c r="Q939" i="16"/>
  <c r="S939" i="16"/>
  <c r="T939" i="16"/>
  <c r="U939" i="16" a="1"/>
  <c r="U939" i="16" s="1"/>
  <c r="V939" i="16"/>
  <c r="D940" i="16"/>
  <c r="E940" i="16" a="1"/>
  <c r="E940" i="16" s="1"/>
  <c r="G940" i="16"/>
  <c r="H940" i="16" s="1"/>
  <c r="I940" i="16"/>
  <c r="N940" i="16"/>
  <c r="M940" i="16" s="1"/>
  <c r="Q940" i="16"/>
  <c r="S940" i="16"/>
  <c r="T940" i="16"/>
  <c r="U940" i="16" a="1"/>
  <c r="U940" i="16" s="1"/>
  <c r="V940" i="16"/>
  <c r="D941" i="16"/>
  <c r="E941" i="16" a="1"/>
  <c r="E941" i="16" s="1"/>
  <c r="G941" i="16"/>
  <c r="H941" i="16" s="1"/>
  <c r="I941" i="16"/>
  <c r="N941" i="16"/>
  <c r="Q941" i="16"/>
  <c r="S941" i="16"/>
  <c r="V941" i="16"/>
  <c r="D942" i="16"/>
  <c r="E942" i="16" a="1"/>
  <c r="E942" i="16" s="1"/>
  <c r="G942" i="16"/>
  <c r="H942" i="16" s="1"/>
  <c r="I942" i="16"/>
  <c r="N942" i="16"/>
  <c r="V942" i="16" s="1"/>
  <c r="Q942" i="16"/>
  <c r="S942" i="16"/>
  <c r="D943" i="16"/>
  <c r="E943" i="16" a="1"/>
  <c r="E943" i="16" s="1"/>
  <c r="G943" i="16"/>
  <c r="H943" i="16" s="1"/>
  <c r="I943" i="16"/>
  <c r="N943" i="16"/>
  <c r="M943" i="16" s="1"/>
  <c r="Q943" i="16"/>
  <c r="S943" i="16"/>
  <c r="T943" i="16"/>
  <c r="U943" i="16" a="1"/>
  <c r="U943" i="16" s="1"/>
  <c r="V943" i="16"/>
  <c r="D944" i="16"/>
  <c r="E944" i="16" a="1"/>
  <c r="E944" i="16" s="1"/>
  <c r="G944" i="16"/>
  <c r="H944" i="16" s="1"/>
  <c r="I944" i="16"/>
  <c r="N944" i="16"/>
  <c r="V944" i="16" s="1"/>
  <c r="Q944" i="16"/>
  <c r="S944" i="16"/>
  <c r="T944" i="16"/>
  <c r="U944" i="16" a="1"/>
  <c r="U944" i="16" s="1"/>
  <c r="D945" i="16"/>
  <c r="E945" i="16" a="1"/>
  <c r="E945" i="16" s="1"/>
  <c r="G945" i="16"/>
  <c r="H945" i="16" s="1"/>
  <c r="I945" i="16"/>
  <c r="N945" i="16"/>
  <c r="M945" i="16" s="1"/>
  <c r="Q945" i="16"/>
  <c r="S945" i="16"/>
  <c r="T945" i="16"/>
  <c r="U945" i="16" a="1"/>
  <c r="U945" i="16" s="1"/>
  <c r="V945" i="16"/>
  <c r="D946" i="16"/>
  <c r="E946" i="16" a="1"/>
  <c r="E946" i="16" s="1"/>
  <c r="G946" i="16"/>
  <c r="H946" i="16" s="1"/>
  <c r="I946" i="16"/>
  <c r="N946" i="16"/>
  <c r="Q946" i="16"/>
  <c r="S946" i="16"/>
  <c r="T946" i="16"/>
  <c r="U946" i="16" a="1"/>
  <c r="U946" i="16" s="1"/>
  <c r="V946" i="16"/>
  <c r="D947" i="16"/>
  <c r="E947" i="16" a="1"/>
  <c r="E947" i="16" s="1"/>
  <c r="G947" i="16"/>
  <c r="H947" i="16" s="1"/>
  <c r="I947" i="16"/>
  <c r="N947" i="16"/>
  <c r="M947" i="16" s="1"/>
  <c r="Q947" i="16"/>
  <c r="S947" i="16"/>
  <c r="T947" i="16"/>
  <c r="U947" i="16" a="1"/>
  <c r="U947" i="16" s="1"/>
  <c r="V947" i="16"/>
  <c r="D948" i="16"/>
  <c r="E948" i="16" a="1"/>
  <c r="E948" i="16" s="1"/>
  <c r="G948" i="16"/>
  <c r="H948" i="16" s="1"/>
  <c r="I948" i="16"/>
  <c r="N948" i="16"/>
  <c r="M948" i="16" s="1"/>
  <c r="Q948" i="16"/>
  <c r="S948" i="16"/>
  <c r="T948" i="16"/>
  <c r="U948" i="16" a="1"/>
  <c r="U948" i="16" s="1"/>
  <c r="D949" i="16"/>
  <c r="E949" i="16" a="1"/>
  <c r="E949" i="16" s="1"/>
  <c r="G949" i="16"/>
  <c r="H949" i="16" s="1"/>
  <c r="I949" i="16"/>
  <c r="N949" i="16"/>
  <c r="Q949" i="16"/>
  <c r="S949" i="16"/>
  <c r="T949" i="16"/>
  <c r="U949" i="16" a="1"/>
  <c r="U949" i="16" s="1"/>
  <c r="V949" i="16"/>
  <c r="D950" i="16"/>
  <c r="E950" i="16" a="1"/>
  <c r="E950" i="16" s="1"/>
  <c r="G950" i="16"/>
  <c r="H950" i="16" s="1"/>
  <c r="I950" i="16"/>
  <c r="N950" i="16"/>
  <c r="M950" i="16" s="1"/>
  <c r="Q950" i="16"/>
  <c r="S950" i="16"/>
  <c r="T950" i="16"/>
  <c r="U950" i="16" a="1"/>
  <c r="U950" i="16" s="1"/>
  <c r="D951" i="16"/>
  <c r="E951" i="16" a="1"/>
  <c r="E951" i="16" s="1"/>
  <c r="G951" i="16"/>
  <c r="H951" i="16" s="1"/>
  <c r="I951" i="16"/>
  <c r="N951" i="16"/>
  <c r="M951" i="16" s="1"/>
  <c r="Q951" i="16"/>
  <c r="S951" i="16"/>
  <c r="T951" i="16"/>
  <c r="U951" i="16" a="1"/>
  <c r="U951" i="16" s="1"/>
  <c r="D952" i="16"/>
  <c r="E952" i="16" a="1"/>
  <c r="E952" i="16" s="1"/>
  <c r="G952" i="16"/>
  <c r="H952" i="16" s="1"/>
  <c r="I952" i="16"/>
  <c r="N952" i="16"/>
  <c r="M952" i="16" s="1"/>
  <c r="Q952" i="16"/>
  <c r="S952" i="16"/>
  <c r="T952" i="16"/>
  <c r="U952" i="16" a="1"/>
  <c r="U952" i="16" s="1"/>
  <c r="V952" i="16"/>
  <c r="D953" i="16"/>
  <c r="E953" i="16" a="1"/>
  <c r="E953" i="16" s="1"/>
  <c r="G953" i="16"/>
  <c r="H953" i="16" s="1"/>
  <c r="I953" i="16"/>
  <c r="N953" i="16"/>
  <c r="M953" i="16" s="1"/>
  <c r="Q953" i="16"/>
  <c r="S953" i="16"/>
  <c r="T953" i="16"/>
  <c r="U953" i="16" a="1"/>
  <c r="U953" i="16" s="1"/>
  <c r="V953" i="16"/>
  <c r="D954" i="16"/>
  <c r="E954" i="16" a="1"/>
  <c r="E954" i="16" s="1"/>
  <c r="G954" i="16"/>
  <c r="H954" i="16" s="1"/>
  <c r="I954" i="16"/>
  <c r="N954" i="16"/>
  <c r="Q954" i="16"/>
  <c r="S954" i="16"/>
  <c r="T954" i="16"/>
  <c r="U954" i="16" a="1"/>
  <c r="U954" i="16" s="1"/>
  <c r="V954" i="16"/>
  <c r="D955" i="16"/>
  <c r="E955" i="16" a="1"/>
  <c r="E955" i="16" s="1"/>
  <c r="G955" i="16"/>
  <c r="H955" i="16" s="1"/>
  <c r="I955" i="16"/>
  <c r="N955" i="16"/>
  <c r="M955" i="16" s="1"/>
  <c r="Q955" i="16"/>
  <c r="S955" i="16"/>
  <c r="T955" i="16"/>
  <c r="U955" i="16" a="1"/>
  <c r="U955" i="16" s="1"/>
  <c r="V955" i="16"/>
  <c r="D956" i="16"/>
  <c r="E956" i="16" a="1"/>
  <c r="E956" i="16" s="1"/>
  <c r="G956" i="16"/>
  <c r="H956" i="16" s="1"/>
  <c r="I956" i="16"/>
  <c r="N956" i="16"/>
  <c r="M956" i="16" s="1"/>
  <c r="Q956" i="16"/>
  <c r="S956" i="16"/>
  <c r="T956" i="16"/>
  <c r="U956" i="16" a="1"/>
  <c r="U956" i="16" s="1"/>
  <c r="V956" i="16"/>
  <c r="D957" i="16"/>
  <c r="E957" i="16" a="1"/>
  <c r="E957" i="16" s="1"/>
  <c r="G957" i="16"/>
  <c r="H957" i="16" s="1"/>
  <c r="I957" i="16"/>
  <c r="N957" i="16"/>
  <c r="M957" i="16" s="1"/>
  <c r="Q957" i="16"/>
  <c r="S957" i="16"/>
  <c r="T957" i="16"/>
  <c r="U957" i="16" a="1"/>
  <c r="U957" i="16" s="1"/>
  <c r="D958" i="16"/>
  <c r="E958" i="16" a="1"/>
  <c r="E958" i="16" s="1"/>
  <c r="G958" i="16"/>
  <c r="H958" i="16" s="1"/>
  <c r="I958" i="16"/>
  <c r="N958" i="16"/>
  <c r="V958" i="16" s="1"/>
  <c r="Q958" i="16"/>
  <c r="S958" i="16"/>
  <c r="T958" i="16"/>
  <c r="U958" i="16" a="1"/>
  <c r="U958" i="16" s="1"/>
  <c r="D959" i="16"/>
  <c r="E959" i="16" a="1"/>
  <c r="E959" i="16" s="1"/>
  <c r="G959" i="16"/>
  <c r="H959" i="16" s="1"/>
  <c r="I959" i="16"/>
  <c r="N959" i="16"/>
  <c r="M959" i="16" s="1"/>
  <c r="Q959" i="16"/>
  <c r="S959" i="16"/>
  <c r="T959" i="16"/>
  <c r="U959" i="16" a="1"/>
  <c r="U959" i="16" s="1"/>
  <c r="V959" i="16"/>
  <c r="D960" i="16"/>
  <c r="E960" i="16" a="1"/>
  <c r="E960" i="16" s="1"/>
  <c r="G960" i="16"/>
  <c r="H960" i="16" s="1"/>
  <c r="I960" i="16"/>
  <c r="N960" i="16"/>
  <c r="M960" i="16" s="1"/>
  <c r="Q960" i="16"/>
  <c r="S960" i="16"/>
  <c r="T960" i="16"/>
  <c r="U960" i="16" a="1"/>
  <c r="U960" i="16" s="1"/>
  <c r="V960" i="16"/>
  <c r="D961" i="16"/>
  <c r="E961" i="16" a="1"/>
  <c r="E961" i="16" s="1"/>
  <c r="G961" i="16"/>
  <c r="H961" i="16" s="1"/>
  <c r="I961" i="16"/>
  <c r="N961" i="16"/>
  <c r="M961" i="16" s="1"/>
  <c r="Q961" i="16"/>
  <c r="S961" i="16"/>
  <c r="T961" i="16"/>
  <c r="U961" i="16" a="1"/>
  <c r="U961" i="16" s="1"/>
  <c r="V961" i="16"/>
  <c r="D962" i="16"/>
  <c r="E962" i="16" a="1"/>
  <c r="E962" i="16" s="1"/>
  <c r="G962" i="16"/>
  <c r="H962" i="16" s="1"/>
  <c r="I962" i="16"/>
  <c r="N962" i="16"/>
  <c r="V962" i="16" s="1"/>
  <c r="Q962" i="16"/>
  <c r="S962" i="16"/>
  <c r="T962" i="16"/>
  <c r="U962" i="16" a="1"/>
  <c r="U962" i="16" s="1"/>
  <c r="D963" i="16"/>
  <c r="E963" i="16" a="1"/>
  <c r="E963" i="16" s="1"/>
  <c r="G963" i="16"/>
  <c r="H963" i="16" s="1"/>
  <c r="I963" i="16"/>
  <c r="N963" i="16"/>
  <c r="Q963" i="16"/>
  <c r="S963" i="16"/>
  <c r="T963" i="16"/>
  <c r="U963" i="16" a="1"/>
  <c r="U963" i="16" s="1"/>
  <c r="V963" i="16"/>
  <c r="D964" i="16"/>
  <c r="E964" i="16" a="1"/>
  <c r="E964" i="16" s="1"/>
  <c r="G964" i="16"/>
  <c r="H964" i="16" s="1"/>
  <c r="I964" i="16"/>
  <c r="N964" i="16"/>
  <c r="M964" i="16" s="1"/>
  <c r="Q964" i="16"/>
  <c r="S964" i="16"/>
  <c r="T964" i="16"/>
  <c r="U964" i="16" a="1"/>
  <c r="U964" i="16" s="1"/>
  <c r="V964" i="16"/>
  <c r="D965" i="16"/>
  <c r="E965" i="16" a="1"/>
  <c r="E965" i="16" s="1"/>
  <c r="G965" i="16"/>
  <c r="H965" i="16" s="1"/>
  <c r="I965" i="16"/>
  <c r="N965" i="16"/>
  <c r="M965" i="16" s="1"/>
  <c r="Q965" i="16"/>
  <c r="S965" i="16"/>
  <c r="T965" i="16"/>
  <c r="U965" i="16" a="1"/>
  <c r="U965" i="16" s="1"/>
  <c r="V965" i="16"/>
  <c r="D966" i="16"/>
  <c r="E966" i="16" a="1"/>
  <c r="E966" i="16" s="1"/>
  <c r="G966" i="16"/>
  <c r="H966" i="16" s="1"/>
  <c r="I966" i="16"/>
  <c r="N966" i="16"/>
  <c r="Q966" i="16"/>
  <c r="S966" i="16"/>
  <c r="T966" i="16"/>
  <c r="U966" i="16" a="1"/>
  <c r="U966" i="16" s="1"/>
  <c r="V966" i="16"/>
  <c r="D967" i="16"/>
  <c r="E967" i="16" a="1"/>
  <c r="E967" i="16" s="1"/>
  <c r="G967" i="16"/>
  <c r="H967" i="16" s="1"/>
  <c r="I967" i="16"/>
  <c r="N967" i="16"/>
  <c r="M967" i="16" s="1"/>
  <c r="Q967" i="16"/>
  <c r="S967" i="16"/>
  <c r="T967" i="16"/>
  <c r="U967" i="16" a="1"/>
  <c r="U967" i="16" s="1"/>
  <c r="V967" i="16"/>
  <c r="D968" i="16"/>
  <c r="E968" i="16" a="1"/>
  <c r="E968" i="16" s="1"/>
  <c r="G968" i="16"/>
  <c r="H968" i="16" s="1"/>
  <c r="I968" i="16"/>
  <c r="N968" i="16"/>
  <c r="M968" i="16" s="1"/>
  <c r="Q968" i="16"/>
  <c r="S968" i="16"/>
  <c r="T968" i="16"/>
  <c r="U968" i="16" a="1"/>
  <c r="U968" i="16" s="1"/>
  <c r="V968" i="16"/>
  <c r="D969" i="16"/>
  <c r="E969" i="16" a="1"/>
  <c r="E969" i="16" s="1"/>
  <c r="G969" i="16"/>
  <c r="H969" i="16" s="1"/>
  <c r="I969" i="16"/>
  <c r="N969" i="16"/>
  <c r="M969" i="16" s="1"/>
  <c r="Q969" i="16"/>
  <c r="S969" i="16"/>
  <c r="T969" i="16"/>
  <c r="U969" i="16" a="1"/>
  <c r="U969" i="16" s="1"/>
  <c r="V969" i="16"/>
  <c r="D970" i="16"/>
  <c r="E970" i="16" a="1"/>
  <c r="E970" i="16" s="1"/>
  <c r="G970" i="16"/>
  <c r="H970" i="16" s="1"/>
  <c r="I970" i="16"/>
  <c r="N970" i="16"/>
  <c r="V970" i="16" s="1"/>
  <c r="Q970" i="16"/>
  <c r="S970" i="16"/>
  <c r="T970" i="16"/>
  <c r="U970" i="16" a="1"/>
  <c r="U970" i="16" s="1"/>
  <c r="D971" i="16"/>
  <c r="E971" i="16" a="1"/>
  <c r="E971" i="16" s="1"/>
  <c r="G971" i="16"/>
  <c r="H971" i="16" s="1"/>
  <c r="I971" i="16"/>
  <c r="N971" i="16"/>
  <c r="M971" i="16" s="1"/>
  <c r="Q971" i="16"/>
  <c r="S971" i="16"/>
  <c r="T971" i="16"/>
  <c r="U971" i="16" a="1"/>
  <c r="U971" i="16" s="1"/>
  <c r="V971" i="16"/>
  <c r="D972" i="16"/>
  <c r="E972" i="16" a="1"/>
  <c r="E972" i="16" s="1"/>
  <c r="G972" i="16"/>
  <c r="H972" i="16" s="1"/>
  <c r="I972" i="16"/>
  <c r="N972" i="16"/>
  <c r="M972" i="16" s="1"/>
  <c r="Q972" i="16"/>
  <c r="S972" i="16"/>
  <c r="T972" i="16"/>
  <c r="U972" i="16" a="1"/>
  <c r="U972" i="16" s="1"/>
  <c r="V972" i="16"/>
  <c r="D973" i="16"/>
  <c r="E973" i="16" a="1"/>
  <c r="E973" i="16" s="1"/>
  <c r="G973" i="16"/>
  <c r="H973" i="16" s="1"/>
  <c r="I973" i="16"/>
  <c r="N973" i="16"/>
  <c r="M973" i="16" s="1"/>
  <c r="Q973" i="16"/>
  <c r="S973" i="16"/>
  <c r="T973" i="16"/>
  <c r="U973" i="16" a="1"/>
  <c r="U973" i="16" s="1"/>
  <c r="V973" i="16"/>
  <c r="D974" i="16"/>
  <c r="E974" i="16" a="1"/>
  <c r="E974" i="16" s="1"/>
  <c r="G974" i="16"/>
  <c r="H974" i="16" s="1"/>
  <c r="I974" i="16"/>
  <c r="N974" i="16"/>
  <c r="Q974" i="16"/>
  <c r="S974" i="16"/>
  <c r="T974" i="16"/>
  <c r="U974" i="16" a="1"/>
  <c r="U974" i="16" s="1"/>
  <c r="V974" i="16"/>
  <c r="D975" i="16"/>
  <c r="E975" i="16" a="1"/>
  <c r="E975" i="16" s="1"/>
  <c r="G975" i="16"/>
  <c r="H975" i="16" s="1"/>
  <c r="I975" i="16"/>
  <c r="N975" i="16"/>
  <c r="M975" i="16" s="1"/>
  <c r="Q975" i="16"/>
  <c r="S975" i="16"/>
  <c r="T975" i="16"/>
  <c r="U975" i="16" a="1"/>
  <c r="U975" i="16" s="1"/>
  <c r="V975" i="16"/>
  <c r="D976" i="16"/>
  <c r="E976" i="16" a="1"/>
  <c r="E976" i="16" s="1"/>
  <c r="G976" i="16"/>
  <c r="H976" i="16" s="1"/>
  <c r="I976" i="16"/>
  <c r="N976" i="16"/>
  <c r="M976" i="16" s="1"/>
  <c r="Q976" i="16"/>
  <c r="S976" i="16"/>
  <c r="T976" i="16"/>
  <c r="U976" i="16" a="1"/>
  <c r="U976" i="16" s="1"/>
  <c r="V976" i="16"/>
  <c r="D977" i="16"/>
  <c r="E977" i="16" a="1"/>
  <c r="E977" i="16" s="1"/>
  <c r="G977" i="16"/>
  <c r="H977" i="16" s="1"/>
  <c r="I977" i="16"/>
  <c r="N977" i="16"/>
  <c r="M977" i="16" s="1"/>
  <c r="Q977" i="16"/>
  <c r="S977" i="16"/>
  <c r="T977" i="16"/>
  <c r="U977" i="16" a="1"/>
  <c r="U977" i="16" s="1"/>
  <c r="D978" i="16"/>
  <c r="E978" i="16" a="1"/>
  <c r="E978" i="16" s="1"/>
  <c r="G978" i="16"/>
  <c r="H978" i="16" s="1"/>
  <c r="I978" i="16"/>
  <c r="N978" i="16"/>
  <c r="Q978" i="16"/>
  <c r="S978" i="16"/>
  <c r="T978" i="16"/>
  <c r="U978" i="16" a="1"/>
  <c r="U978" i="16" s="1"/>
  <c r="V978" i="16"/>
  <c r="D979" i="16"/>
  <c r="E979" i="16" a="1"/>
  <c r="E979" i="16" s="1"/>
  <c r="G979" i="16"/>
  <c r="H979" i="16" s="1"/>
  <c r="I979" i="16"/>
  <c r="N979" i="16"/>
  <c r="Q979" i="16"/>
  <c r="S979" i="16"/>
  <c r="T979" i="16"/>
  <c r="U979" i="16" a="1"/>
  <c r="U979" i="16" s="1"/>
  <c r="V979" i="16"/>
  <c r="D980" i="16"/>
  <c r="E980" i="16" a="1"/>
  <c r="E980" i="16" s="1"/>
  <c r="G980" i="16"/>
  <c r="H980" i="16" s="1"/>
  <c r="I980" i="16"/>
  <c r="N980" i="16"/>
  <c r="Q980" i="16"/>
  <c r="S980" i="16"/>
  <c r="T980" i="16"/>
  <c r="U980" i="16" a="1"/>
  <c r="U980" i="16" s="1"/>
  <c r="V980" i="16"/>
  <c r="D981" i="16"/>
  <c r="E981" i="16" a="1"/>
  <c r="E981" i="16" s="1"/>
  <c r="G981" i="16"/>
  <c r="H981" i="16" s="1"/>
  <c r="I981" i="16"/>
  <c r="N981" i="16"/>
  <c r="M981" i="16" s="1"/>
  <c r="Q981" i="16"/>
  <c r="S981" i="16"/>
  <c r="T981" i="16"/>
  <c r="U981" i="16" a="1"/>
  <c r="U981" i="16" s="1"/>
  <c r="D982" i="16"/>
  <c r="E982" i="16" a="1"/>
  <c r="E982" i="16" s="1"/>
  <c r="G982" i="16"/>
  <c r="H982" i="16" s="1"/>
  <c r="I982" i="16"/>
  <c r="N982" i="16"/>
  <c r="Q982" i="16"/>
  <c r="S982" i="16"/>
  <c r="T982" i="16"/>
  <c r="U982" i="16" a="1"/>
  <c r="U982" i="16" s="1"/>
  <c r="V982" i="16"/>
  <c r="D983" i="16"/>
  <c r="E983" i="16" a="1"/>
  <c r="E983" i="16" s="1"/>
  <c r="G983" i="16"/>
  <c r="H983" i="16" s="1"/>
  <c r="I983" i="16"/>
  <c r="N983" i="16"/>
  <c r="M983" i="16" s="1"/>
  <c r="Q983" i="16"/>
  <c r="S983" i="16"/>
  <c r="T983" i="16"/>
  <c r="U983" i="16" a="1"/>
  <c r="U983" i="16" s="1"/>
  <c r="V983" i="16"/>
  <c r="D984" i="16"/>
  <c r="E984" i="16" a="1"/>
  <c r="E984" i="16" s="1"/>
  <c r="G984" i="16"/>
  <c r="H984" i="16" s="1"/>
  <c r="I984" i="16"/>
  <c r="N984" i="16"/>
  <c r="M984" i="16" s="1"/>
  <c r="Q984" i="16"/>
  <c r="S984" i="16"/>
  <c r="T984" i="16"/>
  <c r="U984" i="16" a="1"/>
  <c r="U984" i="16" s="1"/>
  <c r="D985" i="16"/>
  <c r="E985" i="16" a="1"/>
  <c r="E985" i="16" s="1"/>
  <c r="G985" i="16"/>
  <c r="H985" i="16" s="1"/>
  <c r="I985" i="16"/>
  <c r="N985" i="16"/>
  <c r="Q985" i="16"/>
  <c r="S985" i="16"/>
  <c r="T985" i="16"/>
  <c r="U985" i="16" a="1"/>
  <c r="U985" i="16" s="1"/>
  <c r="V985" i="16"/>
  <c r="D986" i="16"/>
  <c r="E986" i="16" a="1"/>
  <c r="E986" i="16" s="1"/>
  <c r="G986" i="16"/>
  <c r="H986" i="16" s="1"/>
  <c r="I986" i="16"/>
  <c r="N986" i="16"/>
  <c r="M986" i="16" s="1"/>
  <c r="Q986" i="16"/>
  <c r="S986" i="16"/>
  <c r="T986" i="16"/>
  <c r="U986" i="16" a="1"/>
  <c r="U986" i="16" s="1"/>
  <c r="D987" i="16"/>
  <c r="E987" i="16" a="1"/>
  <c r="E987" i="16" s="1"/>
  <c r="G987" i="16"/>
  <c r="H987" i="16" s="1"/>
  <c r="I987" i="16"/>
  <c r="N987" i="16"/>
  <c r="M987" i="16" s="1"/>
  <c r="Q987" i="16"/>
  <c r="S987" i="16"/>
  <c r="T987" i="16"/>
  <c r="U987" i="16" a="1"/>
  <c r="U987" i="16" s="1"/>
  <c r="V987" i="16"/>
  <c r="D988" i="16"/>
  <c r="E988" i="16" a="1"/>
  <c r="E988" i="16" s="1"/>
  <c r="G988" i="16"/>
  <c r="H988" i="16" s="1"/>
  <c r="I988" i="16"/>
  <c r="N988" i="16"/>
  <c r="M988" i="16" s="1"/>
  <c r="Q988" i="16"/>
  <c r="S988" i="16"/>
  <c r="T988" i="16"/>
  <c r="U988" i="16" a="1"/>
  <c r="U988" i="16" s="1"/>
  <c r="D989" i="16"/>
  <c r="E989" i="16" a="1"/>
  <c r="E989" i="16" s="1"/>
  <c r="G989" i="16"/>
  <c r="H989" i="16" s="1"/>
  <c r="I989" i="16"/>
  <c r="N989" i="16"/>
  <c r="Q989" i="16"/>
  <c r="S989" i="16"/>
  <c r="T989" i="16"/>
  <c r="U989" i="16" a="1"/>
  <c r="U989" i="16" s="1"/>
  <c r="V989" i="16"/>
  <c r="D990" i="16"/>
  <c r="E990" i="16" a="1"/>
  <c r="E990" i="16" s="1"/>
  <c r="G990" i="16"/>
  <c r="H990" i="16" s="1"/>
  <c r="I990" i="16"/>
  <c r="N990" i="16"/>
  <c r="Q990" i="16"/>
  <c r="S990" i="16"/>
  <c r="T990" i="16"/>
  <c r="U990" i="16" a="1"/>
  <c r="U990" i="16" s="1"/>
  <c r="V990" i="16"/>
  <c r="D991" i="16"/>
  <c r="E991" i="16" a="1"/>
  <c r="E991" i="16" s="1"/>
  <c r="G991" i="16"/>
  <c r="H991" i="16" s="1"/>
  <c r="I991" i="16"/>
  <c r="N991" i="16"/>
  <c r="M991" i="16" s="1"/>
  <c r="Q991" i="16"/>
  <c r="S991" i="16"/>
  <c r="T991" i="16"/>
  <c r="U991" i="16" a="1"/>
  <c r="U991" i="16" s="1"/>
  <c r="V991" i="16"/>
  <c r="D992" i="16"/>
  <c r="E992" i="16" a="1"/>
  <c r="E992" i="16" s="1"/>
  <c r="G992" i="16"/>
  <c r="H992" i="16" s="1"/>
  <c r="I992" i="16"/>
  <c r="N992" i="16"/>
  <c r="M992" i="16" s="1"/>
  <c r="Q992" i="16"/>
  <c r="S992" i="16"/>
  <c r="T992" i="16"/>
  <c r="U992" i="16" a="1"/>
  <c r="U992" i="16" s="1"/>
  <c r="V992" i="16"/>
  <c r="D993" i="16"/>
  <c r="E993" i="16" a="1"/>
  <c r="E993" i="16" s="1"/>
  <c r="G993" i="16"/>
  <c r="H993" i="16" s="1"/>
  <c r="I993" i="16"/>
  <c r="N993" i="16"/>
  <c r="M993" i="16" s="1"/>
  <c r="Q993" i="16"/>
  <c r="S993" i="16"/>
  <c r="T993" i="16"/>
  <c r="U993" i="16" a="1"/>
  <c r="U993" i="16" s="1"/>
  <c r="V993" i="16"/>
  <c r="D994" i="16"/>
  <c r="E994" i="16" a="1"/>
  <c r="E994" i="16" s="1"/>
  <c r="G994" i="16"/>
  <c r="H994" i="16" s="1"/>
  <c r="I994" i="16"/>
  <c r="N994" i="16"/>
  <c r="Q994" i="16"/>
  <c r="S994" i="16"/>
  <c r="T994" i="16"/>
  <c r="U994" i="16" a="1"/>
  <c r="U994" i="16" s="1"/>
  <c r="V994" i="16"/>
  <c r="D995" i="16"/>
  <c r="E995" i="16" a="1"/>
  <c r="E995" i="16" s="1"/>
  <c r="G995" i="16"/>
  <c r="H995" i="16" s="1"/>
  <c r="I995" i="16"/>
  <c r="N995" i="16"/>
  <c r="M995" i="16" s="1"/>
  <c r="Q995" i="16"/>
  <c r="S995" i="16"/>
  <c r="T995" i="16"/>
  <c r="U995" i="16" a="1"/>
  <c r="U995" i="16" s="1"/>
  <c r="V995" i="16"/>
  <c r="D996" i="16"/>
  <c r="E996" i="16" a="1"/>
  <c r="E996" i="16" s="1"/>
  <c r="G996" i="16"/>
  <c r="H996" i="16" s="1"/>
  <c r="I996" i="16"/>
  <c r="N996" i="16"/>
  <c r="M996" i="16" s="1"/>
  <c r="Q996" i="16"/>
  <c r="S996" i="16"/>
  <c r="T996" i="16"/>
  <c r="U996" i="16" a="1"/>
  <c r="U996" i="16" s="1"/>
  <c r="D997" i="16"/>
  <c r="E997" i="16" a="1"/>
  <c r="E997" i="16" s="1"/>
  <c r="G997" i="16"/>
  <c r="H997" i="16" s="1"/>
  <c r="I997" i="16"/>
  <c r="N997" i="16"/>
  <c r="M997" i="16" s="1"/>
  <c r="Q997" i="16"/>
  <c r="S997" i="16"/>
  <c r="T997" i="16"/>
  <c r="U997" i="16" a="1"/>
  <c r="U997" i="16" s="1"/>
  <c r="V997" i="16"/>
  <c r="D998" i="16"/>
  <c r="E998" i="16" a="1"/>
  <c r="E998" i="16" s="1"/>
  <c r="G998" i="16"/>
  <c r="H998" i="16" s="1"/>
  <c r="I998" i="16"/>
  <c r="N998" i="16"/>
  <c r="V998" i="16" s="1"/>
  <c r="Q998" i="16"/>
  <c r="S998" i="16"/>
  <c r="T998" i="16"/>
  <c r="U998" i="16" a="1"/>
  <c r="U998" i="16" s="1"/>
  <c r="D999" i="16"/>
  <c r="E999" i="16" a="1"/>
  <c r="E999" i="16" s="1"/>
  <c r="G999" i="16"/>
  <c r="H999" i="16" s="1"/>
  <c r="I999" i="16"/>
  <c r="N999" i="16"/>
  <c r="M999" i="16" s="1"/>
  <c r="Q999" i="16"/>
  <c r="S999" i="16"/>
  <c r="T999" i="16"/>
  <c r="U999" i="16" a="1"/>
  <c r="U999" i="16" s="1"/>
  <c r="V999" i="16"/>
  <c r="D1000" i="16"/>
  <c r="E1000" i="16" a="1"/>
  <c r="E1000" i="16" s="1"/>
  <c r="G1000" i="16"/>
  <c r="H1000" i="16" s="1"/>
  <c r="I1000" i="16"/>
  <c r="N1000" i="16"/>
  <c r="M1000" i="16" s="1"/>
  <c r="Q1000" i="16"/>
  <c r="S1000" i="16"/>
  <c r="T1000" i="16"/>
  <c r="U1000" i="16" a="1"/>
  <c r="U1000" i="16" s="1"/>
  <c r="V1000" i="16"/>
  <c r="D1001" i="16"/>
  <c r="E1001" i="16" a="1"/>
  <c r="E1001" i="16" s="1"/>
  <c r="G1001" i="16"/>
  <c r="H1001" i="16" s="1"/>
  <c r="I1001" i="16"/>
  <c r="N1001" i="16"/>
  <c r="Q1001" i="16"/>
  <c r="S1001" i="16"/>
  <c r="T1001" i="16"/>
  <c r="U1001" i="16" a="1"/>
  <c r="U1001" i="16" s="1"/>
  <c r="V1001" i="16"/>
  <c r="D1002" i="16"/>
  <c r="E1002" i="16" a="1"/>
  <c r="E1002" i="16" s="1"/>
  <c r="G1002" i="16"/>
  <c r="H1002" i="16" s="1"/>
  <c r="I1002" i="16"/>
  <c r="N1002" i="16"/>
  <c r="M1002" i="16" s="1"/>
  <c r="Q1002" i="16"/>
  <c r="S1002" i="16"/>
  <c r="V1002" i="16"/>
  <c r="D1003" i="16"/>
  <c r="E1003" i="16" a="1"/>
  <c r="E1003" i="16" s="1"/>
  <c r="G1003" i="16"/>
  <c r="H1003" i="16" s="1"/>
  <c r="I1003" i="16"/>
  <c r="N1003" i="16"/>
  <c r="M1003" i="16" s="1"/>
  <c r="Q1003" i="16"/>
  <c r="S1003" i="16"/>
  <c r="T1003" i="16"/>
  <c r="U1003" i="16" a="1"/>
  <c r="U1003" i="16" s="1"/>
  <c r="D1004" i="16"/>
  <c r="E1004" i="16" a="1"/>
  <c r="E1004" i="16" s="1"/>
  <c r="G1004" i="16"/>
  <c r="H1004" i="16" s="1"/>
  <c r="I1004" i="16"/>
  <c r="N1004" i="16"/>
  <c r="M1004" i="16" s="1"/>
  <c r="Q1004" i="16"/>
  <c r="S1004" i="16"/>
  <c r="T1004" i="16"/>
  <c r="U1004" i="16" a="1"/>
  <c r="U1004" i="16" s="1"/>
  <c r="D1005" i="16"/>
  <c r="E1005" i="16" a="1"/>
  <c r="E1005" i="16" s="1"/>
  <c r="G1005" i="16"/>
  <c r="H1005" i="16" s="1"/>
  <c r="I1005" i="16"/>
  <c r="N1005" i="16"/>
  <c r="M1005" i="16" s="1"/>
  <c r="Q1005" i="16"/>
  <c r="S1005" i="16"/>
  <c r="T1005" i="16"/>
  <c r="U1005" i="16" a="1"/>
  <c r="U1005" i="16" s="1"/>
  <c r="V1005" i="16"/>
  <c r="D1006" i="16"/>
  <c r="E1006" i="16" a="1"/>
  <c r="E1006" i="16" s="1"/>
  <c r="G1006" i="16"/>
  <c r="H1006" i="16" s="1"/>
  <c r="I1006" i="16"/>
  <c r="N1006" i="16"/>
  <c r="M1006" i="16" s="1"/>
  <c r="Q1006" i="16"/>
  <c r="S1006" i="16"/>
  <c r="T1006" i="16"/>
  <c r="U1006" i="16" a="1"/>
  <c r="U1006" i="16" s="1"/>
  <c r="V1006" i="16"/>
  <c r="D1007" i="16"/>
  <c r="E1007" i="16" a="1"/>
  <c r="E1007" i="16" s="1"/>
  <c r="G1007" i="16"/>
  <c r="H1007" i="16" s="1"/>
  <c r="I1007" i="16"/>
  <c r="N1007" i="16"/>
  <c r="M1007" i="16" s="1"/>
  <c r="Q1007" i="16"/>
  <c r="S1007" i="16"/>
  <c r="T1007" i="16"/>
  <c r="U1007" i="16" a="1"/>
  <c r="U1007" i="16" s="1"/>
  <c r="V1007" i="16"/>
  <c r="D1008" i="16"/>
  <c r="E1008" i="16" a="1"/>
  <c r="E1008" i="16" s="1"/>
  <c r="G1008" i="16"/>
  <c r="H1008" i="16" s="1"/>
  <c r="I1008" i="16"/>
  <c r="N1008" i="16"/>
  <c r="M1008" i="16" s="1"/>
  <c r="Q1008" i="16"/>
  <c r="S1008" i="16"/>
  <c r="T1008" i="16"/>
  <c r="U1008" i="16" a="1"/>
  <c r="U1008" i="16" s="1"/>
  <c r="V1008" i="16"/>
  <c r="D1009" i="16"/>
  <c r="E1009" i="16" a="1"/>
  <c r="E1009" i="16" s="1"/>
  <c r="G1009" i="16"/>
  <c r="H1009" i="16" s="1"/>
  <c r="I1009" i="16"/>
  <c r="N1009" i="16"/>
  <c r="Q1009" i="16"/>
  <c r="S1009" i="16"/>
  <c r="T1009" i="16"/>
  <c r="U1009" i="16" a="1"/>
  <c r="U1009" i="16" s="1"/>
  <c r="V1009" i="16"/>
  <c r="D1010" i="16"/>
  <c r="E1010" i="16" a="1"/>
  <c r="E1010" i="16" s="1"/>
  <c r="G1010" i="16"/>
  <c r="H1010" i="16" s="1"/>
  <c r="I1010" i="16"/>
  <c r="N1010" i="16"/>
  <c r="Q1010" i="16"/>
  <c r="S1010" i="16"/>
  <c r="T1010" i="16"/>
  <c r="U1010" i="16" a="1"/>
  <c r="U1010" i="16" s="1"/>
  <c r="V1010" i="16"/>
  <c r="D1011" i="16"/>
  <c r="E1011" i="16" a="1"/>
  <c r="E1011" i="16" s="1"/>
  <c r="G1011" i="16"/>
  <c r="H1011" i="16" s="1"/>
  <c r="I1011" i="16"/>
  <c r="N1011" i="16"/>
  <c r="M1011" i="16" s="1"/>
  <c r="Q1011" i="16"/>
  <c r="S1011" i="16"/>
  <c r="T1011" i="16"/>
  <c r="U1011" i="16" a="1"/>
  <c r="U1011" i="16" s="1"/>
  <c r="V1011" i="16"/>
  <c r="D1012" i="16"/>
  <c r="E1012" i="16" a="1"/>
  <c r="E1012" i="16" s="1"/>
  <c r="G1012" i="16"/>
  <c r="H1012" i="16" s="1"/>
  <c r="I1012" i="16"/>
  <c r="N1012" i="16"/>
  <c r="M1012" i="16" s="1"/>
  <c r="Q1012" i="16"/>
  <c r="S1012" i="16"/>
  <c r="T1012" i="16"/>
  <c r="U1012" i="16" a="1"/>
  <c r="U1012" i="16" s="1"/>
  <c r="V1012" i="16"/>
  <c r="D1013" i="16"/>
  <c r="E1013" i="16" a="1"/>
  <c r="E1013" i="16" s="1"/>
  <c r="G1013" i="16"/>
  <c r="H1013" i="16" s="1"/>
  <c r="I1013" i="16"/>
  <c r="N1013" i="16"/>
  <c r="M1013" i="16" s="1"/>
  <c r="Q1013" i="16"/>
  <c r="S1013" i="16"/>
  <c r="T1013" i="16"/>
  <c r="U1013" i="16" a="1"/>
  <c r="U1013" i="16" s="1"/>
  <c r="V1013" i="16"/>
  <c r="D1014" i="16"/>
  <c r="E1014" i="16" a="1"/>
  <c r="E1014" i="16" s="1"/>
  <c r="G1014" i="16"/>
  <c r="H1014" i="16" s="1"/>
  <c r="I1014" i="16"/>
  <c r="N1014" i="16"/>
  <c r="V1014" i="16" s="1"/>
  <c r="Q1014" i="16"/>
  <c r="S1014" i="16"/>
  <c r="T1014" i="16"/>
  <c r="U1014" i="16" a="1"/>
  <c r="U1014" i="16" s="1"/>
  <c r="D1015" i="16"/>
  <c r="E1015" i="16" a="1"/>
  <c r="E1015" i="16" s="1"/>
  <c r="G1015" i="16"/>
  <c r="H1015" i="16" s="1"/>
  <c r="I1015" i="16"/>
  <c r="N1015" i="16"/>
  <c r="Q1015" i="16"/>
  <c r="S1015" i="16"/>
  <c r="T1015" i="16"/>
  <c r="U1015" i="16" a="1"/>
  <c r="U1015" i="16" s="1"/>
  <c r="V1015" i="16"/>
  <c r="D1016" i="16"/>
  <c r="E1016" i="16" a="1"/>
  <c r="E1016" i="16" s="1"/>
  <c r="G1016" i="16"/>
  <c r="H1016" i="16" s="1"/>
  <c r="I1016" i="16"/>
  <c r="N1016" i="16"/>
  <c r="M1016" i="16" s="1"/>
  <c r="Q1016" i="16"/>
  <c r="S1016" i="16"/>
  <c r="T1016" i="16"/>
  <c r="U1016" i="16" a="1"/>
  <c r="U1016" i="16" s="1"/>
  <c r="V1016" i="16"/>
  <c r="D1017" i="16"/>
  <c r="E1017" i="16" a="1"/>
  <c r="E1017" i="16" s="1"/>
  <c r="G1017" i="16"/>
  <c r="H1017" i="16" s="1"/>
  <c r="I1017" i="16"/>
  <c r="N1017" i="16"/>
  <c r="M1017" i="16" s="1"/>
  <c r="Q1017" i="16"/>
  <c r="S1017" i="16"/>
  <c r="T1017" i="16"/>
  <c r="U1017" i="16" a="1"/>
  <c r="U1017" i="16" s="1"/>
  <c r="D1018" i="16"/>
  <c r="E1018" i="16" a="1"/>
  <c r="E1018" i="16" s="1"/>
  <c r="G1018" i="16"/>
  <c r="H1018" i="16" s="1"/>
  <c r="I1018" i="16"/>
  <c r="N1018" i="16"/>
  <c r="M1018" i="16" s="1"/>
  <c r="Q1018" i="16"/>
  <c r="S1018" i="16"/>
  <c r="T1018" i="16"/>
  <c r="U1018" i="16" a="1"/>
  <c r="U1018" i="16" s="1"/>
  <c r="D1019" i="16"/>
  <c r="E1019" i="16" a="1"/>
  <c r="E1019" i="16" s="1"/>
  <c r="G1019" i="16"/>
  <c r="H1019" i="16" s="1"/>
  <c r="I1019" i="16"/>
  <c r="N1019" i="16"/>
  <c r="M1019" i="16" s="1"/>
  <c r="Q1019" i="16"/>
  <c r="S1019" i="16"/>
  <c r="T1019" i="16"/>
  <c r="U1019" i="16" a="1"/>
  <c r="U1019" i="16" s="1"/>
  <c r="V1019" i="16"/>
  <c r="D1020" i="16"/>
  <c r="E1020" i="16" a="1"/>
  <c r="E1020" i="16" s="1"/>
  <c r="G1020" i="16"/>
  <c r="H1020" i="16" s="1"/>
  <c r="I1020" i="16"/>
  <c r="N1020" i="16"/>
  <c r="M1020" i="16" s="1"/>
  <c r="Q1020" i="16"/>
  <c r="S1020" i="16"/>
  <c r="T1020" i="16"/>
  <c r="U1020" i="16" a="1"/>
  <c r="U1020" i="16" s="1"/>
  <c r="V1020" i="16"/>
  <c r="D1021" i="16"/>
  <c r="E1021" i="16" a="1"/>
  <c r="E1021" i="16" s="1"/>
  <c r="G1021" i="16"/>
  <c r="H1021" i="16" s="1"/>
  <c r="I1021" i="16"/>
  <c r="N1021" i="16"/>
  <c r="M1021" i="16" s="1"/>
  <c r="Q1021" i="16"/>
  <c r="S1021" i="16"/>
  <c r="T1021" i="16"/>
  <c r="U1021" i="16" a="1"/>
  <c r="U1021" i="16" s="1"/>
  <c r="V1021" i="16"/>
  <c r="D1022" i="16"/>
  <c r="E1022" i="16" a="1"/>
  <c r="E1022" i="16" s="1"/>
  <c r="G1022" i="16"/>
  <c r="H1022" i="16" s="1"/>
  <c r="I1022" i="16"/>
  <c r="N1022" i="16"/>
  <c r="Q1022" i="16"/>
  <c r="S1022" i="16"/>
  <c r="T1022" i="16"/>
  <c r="U1022" i="16" a="1"/>
  <c r="U1022" i="16" s="1"/>
  <c r="V1022" i="16"/>
  <c r="D1023" i="16"/>
  <c r="E1023" i="16" a="1"/>
  <c r="E1023" i="16" s="1"/>
  <c r="G1023" i="16"/>
  <c r="H1023" i="16" s="1"/>
  <c r="I1023" i="16"/>
  <c r="N1023" i="16"/>
  <c r="M1023" i="16" s="1"/>
  <c r="Q1023" i="16"/>
  <c r="S1023" i="16"/>
  <c r="T1023" i="16"/>
  <c r="U1023" i="16" a="1"/>
  <c r="U1023" i="16" s="1"/>
  <c r="V1023" i="16"/>
  <c r="D1024" i="16"/>
  <c r="E1024" i="16" a="1"/>
  <c r="E1024" i="16" s="1"/>
  <c r="G1024" i="16"/>
  <c r="H1024" i="16" s="1"/>
  <c r="I1024" i="16"/>
  <c r="N1024" i="16"/>
  <c r="M1024" i="16" s="1"/>
  <c r="Q1024" i="16"/>
  <c r="S1024" i="16"/>
  <c r="T1024" i="16"/>
  <c r="U1024" i="16" a="1"/>
  <c r="U1024" i="16" s="1"/>
  <c r="V1024" i="16"/>
  <c r="D1025" i="16"/>
  <c r="E1025" i="16" a="1"/>
  <c r="E1025" i="16" s="1"/>
  <c r="G1025" i="16"/>
  <c r="H1025" i="16" s="1"/>
  <c r="I1025" i="16"/>
  <c r="N1025" i="16"/>
  <c r="M1025" i="16" s="1"/>
  <c r="Q1025" i="16"/>
  <c r="S1025" i="16"/>
  <c r="T1025" i="16"/>
  <c r="U1025" i="16" a="1"/>
  <c r="U1025" i="16" s="1"/>
  <c r="V1025" i="16"/>
  <c r="D1026" i="16"/>
  <c r="E1026" i="16" a="1"/>
  <c r="E1026" i="16" s="1"/>
  <c r="G1026" i="16"/>
  <c r="H1026" i="16" s="1"/>
  <c r="I1026" i="16"/>
  <c r="N1026" i="16"/>
  <c r="Q1026" i="16"/>
  <c r="S1026" i="16"/>
  <c r="T1026" i="16"/>
  <c r="U1026" i="16" a="1"/>
  <c r="U1026" i="16" s="1"/>
  <c r="V1026" i="16"/>
  <c r="D1027" i="16"/>
  <c r="E1027" i="16" a="1"/>
  <c r="E1027" i="16" s="1"/>
  <c r="G1027" i="16"/>
  <c r="H1027" i="16" s="1"/>
  <c r="I1027" i="16"/>
  <c r="N1027" i="16"/>
  <c r="M1027" i="16" s="1"/>
  <c r="Q1027" i="16"/>
  <c r="S1027" i="16"/>
  <c r="T1027" i="16"/>
  <c r="U1027" i="16" a="1"/>
  <c r="U1027" i="16" s="1"/>
  <c r="V1027" i="16"/>
  <c r="D1028" i="16"/>
  <c r="E1028" i="16" a="1"/>
  <c r="E1028" i="16" s="1"/>
  <c r="G1028" i="16"/>
  <c r="H1028" i="16" s="1"/>
  <c r="I1028" i="16"/>
  <c r="N1028" i="16"/>
  <c r="M1028" i="16" s="1"/>
  <c r="Q1028" i="16"/>
  <c r="S1028" i="16"/>
  <c r="T1028" i="16"/>
  <c r="U1028" i="16" a="1"/>
  <c r="U1028" i="16" s="1"/>
  <c r="V1028" i="16"/>
  <c r="D1029" i="16"/>
  <c r="E1029" i="16" a="1"/>
  <c r="E1029" i="16" s="1"/>
  <c r="G1029" i="16"/>
  <c r="H1029" i="16" s="1"/>
  <c r="I1029" i="16"/>
  <c r="N1029" i="16"/>
  <c r="M1029" i="16" s="1"/>
  <c r="Q1029" i="16"/>
  <c r="S1029" i="16"/>
  <c r="T1029" i="16"/>
  <c r="U1029" i="16" a="1"/>
  <c r="U1029" i="16" s="1"/>
  <c r="V1029" i="16"/>
  <c r="D1030" i="16"/>
  <c r="E1030" i="16" a="1"/>
  <c r="E1030" i="16" s="1"/>
  <c r="G1030" i="16"/>
  <c r="H1030" i="16" s="1"/>
  <c r="I1030" i="16"/>
  <c r="N1030" i="16"/>
  <c r="V1030" i="16" s="1"/>
  <c r="Q1030" i="16"/>
  <c r="S1030" i="16"/>
  <c r="T1030" i="16"/>
  <c r="U1030" i="16" a="1"/>
  <c r="U1030" i="16" s="1"/>
  <c r="D1031" i="16"/>
  <c r="E1031" i="16" a="1"/>
  <c r="E1031" i="16" s="1"/>
  <c r="G1031" i="16"/>
  <c r="H1031" i="16" s="1"/>
  <c r="I1031" i="16"/>
  <c r="N1031" i="16"/>
  <c r="M1031" i="16" s="1"/>
  <c r="Q1031" i="16"/>
  <c r="S1031" i="16"/>
  <c r="T1031" i="16"/>
  <c r="U1031" i="16" a="1"/>
  <c r="U1031" i="16" s="1"/>
  <c r="V1031" i="16"/>
  <c r="D1032" i="16"/>
  <c r="E1032" i="16" a="1"/>
  <c r="E1032" i="16" s="1"/>
  <c r="G1032" i="16"/>
  <c r="H1032" i="16" s="1"/>
  <c r="I1032" i="16"/>
  <c r="N1032" i="16"/>
  <c r="M1032" i="16" s="1"/>
  <c r="Q1032" i="16"/>
  <c r="S1032" i="16"/>
  <c r="T1032" i="16"/>
  <c r="U1032" i="16" a="1"/>
  <c r="U1032" i="16" s="1"/>
  <c r="V1032" i="16"/>
  <c r="D1033" i="16"/>
  <c r="E1033" i="16" a="1"/>
  <c r="E1033" i="16" s="1"/>
  <c r="G1033" i="16"/>
  <c r="H1033" i="16" s="1"/>
  <c r="I1033" i="16"/>
  <c r="N1033" i="16"/>
  <c r="M1033" i="16" s="1"/>
  <c r="Q1033" i="16"/>
  <c r="S1033" i="16"/>
  <c r="T1033" i="16"/>
  <c r="U1033" i="16" a="1"/>
  <c r="U1033" i="16" s="1"/>
  <c r="V1033" i="16"/>
  <c r="D1034" i="16"/>
  <c r="E1034" i="16" a="1"/>
  <c r="E1034" i="16" s="1"/>
  <c r="G1034" i="16"/>
  <c r="H1034" i="16" s="1"/>
  <c r="I1034" i="16"/>
  <c r="N1034" i="16"/>
  <c r="Q1034" i="16"/>
  <c r="S1034" i="16"/>
  <c r="T1034" i="16"/>
  <c r="U1034" i="16" a="1"/>
  <c r="U1034" i="16" s="1"/>
  <c r="V1034" i="16"/>
  <c r="D1035" i="16"/>
  <c r="E1035" i="16" a="1"/>
  <c r="E1035" i="16" s="1"/>
  <c r="G1035" i="16"/>
  <c r="H1035" i="16" s="1"/>
  <c r="I1035" i="16"/>
  <c r="N1035" i="16"/>
  <c r="M1035" i="16" s="1"/>
  <c r="Q1035" i="16"/>
  <c r="S1035" i="16"/>
  <c r="V1035" i="16"/>
  <c r="D1036" i="16"/>
  <c r="E1036" i="16" a="1"/>
  <c r="E1036" i="16" s="1"/>
  <c r="G1036" i="16"/>
  <c r="H1036" i="16" s="1"/>
  <c r="I1036" i="16"/>
  <c r="N1036" i="16"/>
  <c r="M1036" i="16" s="1"/>
  <c r="Q1036" i="16"/>
  <c r="S1036" i="16"/>
  <c r="V1036" i="16"/>
  <c r="D1037" i="16"/>
  <c r="E1037" i="16" a="1"/>
  <c r="E1037" i="16" s="1"/>
  <c r="G1037" i="16"/>
  <c r="H1037" i="16" s="1"/>
  <c r="I1037" i="16"/>
  <c r="N1037" i="16"/>
  <c r="M1037" i="16" s="1"/>
  <c r="Q1037" i="16"/>
  <c r="S1037" i="16"/>
  <c r="V1037" i="16"/>
  <c r="D1038" i="16"/>
  <c r="E1038" i="16" a="1"/>
  <c r="E1038" i="16" s="1"/>
  <c r="G1038" i="16"/>
  <c r="H1038" i="16" s="1"/>
  <c r="I1038" i="16"/>
  <c r="N1038" i="16"/>
  <c r="Q1038" i="16"/>
  <c r="S1038" i="16"/>
  <c r="T1038" i="16"/>
  <c r="U1038" i="16" a="1"/>
  <c r="U1038" i="16" s="1"/>
  <c r="V1038" i="16"/>
  <c r="D1039" i="16"/>
  <c r="E1039" i="16" a="1"/>
  <c r="E1039" i="16" s="1"/>
  <c r="G1039" i="16"/>
  <c r="H1039" i="16" s="1"/>
  <c r="I1039" i="16"/>
  <c r="N1039" i="16"/>
  <c r="Q1039" i="16"/>
  <c r="S1039" i="16"/>
  <c r="T1039" i="16"/>
  <c r="U1039" i="16" a="1"/>
  <c r="U1039" i="16" s="1"/>
  <c r="V1039" i="16"/>
  <c r="D1040" i="16"/>
  <c r="E1040" i="16" a="1"/>
  <c r="E1040" i="16" s="1"/>
  <c r="G1040" i="16"/>
  <c r="H1040" i="16" s="1"/>
  <c r="I1040" i="16"/>
  <c r="N1040" i="16"/>
  <c r="M1040" i="16" s="1"/>
  <c r="Q1040" i="16"/>
  <c r="S1040" i="16"/>
  <c r="T1040" i="16"/>
  <c r="U1040" i="16" a="1"/>
  <c r="U1040" i="16" s="1"/>
  <c r="D1041" i="16"/>
  <c r="E1041" i="16" a="1"/>
  <c r="E1041" i="16" s="1"/>
  <c r="G1041" i="16"/>
  <c r="H1041" i="16" s="1"/>
  <c r="I1041" i="16"/>
  <c r="N1041" i="16"/>
  <c r="M1041" i="16" s="1"/>
  <c r="Q1041" i="16"/>
  <c r="S1041" i="16"/>
  <c r="T1041" i="16"/>
  <c r="U1041" i="16" a="1"/>
  <c r="U1041" i="16" s="1"/>
  <c r="V1041" i="16"/>
  <c r="D1042" i="16"/>
  <c r="E1042" i="16" a="1"/>
  <c r="E1042" i="16" s="1"/>
  <c r="G1042" i="16"/>
  <c r="H1042" i="16" s="1"/>
  <c r="I1042" i="16"/>
  <c r="N1042" i="16"/>
  <c r="Q1042" i="16"/>
  <c r="S1042" i="16"/>
  <c r="T1042" i="16"/>
  <c r="U1042" i="16" a="1"/>
  <c r="U1042" i="16" s="1"/>
  <c r="V1042" i="16"/>
  <c r="D1043" i="16"/>
  <c r="E1043" i="16" a="1"/>
  <c r="E1043" i="16" s="1"/>
  <c r="G1043" i="16"/>
  <c r="H1043" i="16" s="1"/>
  <c r="I1043" i="16"/>
  <c r="N1043" i="16"/>
  <c r="M1043" i="16" s="1"/>
  <c r="Q1043" i="16"/>
  <c r="S1043" i="16"/>
  <c r="T1043" i="16"/>
  <c r="U1043" i="16" a="1"/>
  <c r="U1043" i="16" s="1"/>
  <c r="V1043" i="16"/>
  <c r="D1044" i="16"/>
  <c r="E1044" i="16" a="1"/>
  <c r="E1044" i="16" s="1"/>
  <c r="G1044" i="16"/>
  <c r="H1044" i="16" s="1"/>
  <c r="I1044" i="16"/>
  <c r="N1044" i="16"/>
  <c r="M1044" i="16" s="1"/>
  <c r="Q1044" i="16"/>
  <c r="S1044" i="16"/>
  <c r="T1044" i="16"/>
  <c r="U1044" i="16" a="1"/>
  <c r="U1044" i="16" s="1"/>
  <c r="V1044" i="16"/>
  <c r="D1045" i="16"/>
  <c r="E1045" i="16" a="1"/>
  <c r="E1045" i="16" s="1"/>
  <c r="G1045" i="16"/>
  <c r="H1045" i="16" s="1"/>
  <c r="I1045" i="16"/>
  <c r="N1045" i="16"/>
  <c r="M1045" i="16" s="1"/>
  <c r="Q1045" i="16"/>
  <c r="S1045" i="16"/>
  <c r="T1045" i="16"/>
  <c r="U1045" i="16" a="1"/>
  <c r="U1045" i="16" s="1"/>
  <c r="V1045" i="16"/>
  <c r="D1046" i="16"/>
  <c r="E1046" i="16" a="1"/>
  <c r="E1046" i="16" s="1"/>
  <c r="G1046" i="16"/>
  <c r="H1046" i="16" s="1"/>
  <c r="I1046" i="16"/>
  <c r="N1046" i="16"/>
  <c r="Q1046" i="16"/>
  <c r="S1046" i="16"/>
  <c r="T1046" i="16"/>
  <c r="U1046" i="16" a="1"/>
  <c r="U1046" i="16" s="1"/>
  <c r="V1046" i="16"/>
  <c r="D1047" i="16"/>
  <c r="E1047" i="16" a="1"/>
  <c r="E1047" i="16" s="1"/>
  <c r="G1047" i="16"/>
  <c r="H1047" i="16" s="1"/>
  <c r="I1047" i="16"/>
  <c r="N1047" i="16"/>
  <c r="M1047" i="16" s="1"/>
  <c r="Q1047" i="16"/>
  <c r="S1047" i="16"/>
  <c r="T1047" i="16"/>
  <c r="U1047" i="16" a="1"/>
  <c r="U1047" i="16" s="1"/>
  <c r="V1047" i="16"/>
  <c r="D1048" i="16"/>
  <c r="E1048" i="16" a="1"/>
  <c r="E1048" i="16" s="1"/>
  <c r="G1048" i="16"/>
  <c r="H1048" i="16" s="1"/>
  <c r="I1048" i="16"/>
  <c r="N1048" i="16"/>
  <c r="M1048" i="16" s="1"/>
  <c r="Q1048" i="16"/>
  <c r="S1048" i="16"/>
  <c r="T1048" i="16"/>
  <c r="U1048" i="16" a="1"/>
  <c r="U1048" i="16" s="1"/>
  <c r="D1049" i="16"/>
  <c r="E1049" i="16" a="1"/>
  <c r="E1049" i="16" s="1"/>
  <c r="G1049" i="16"/>
  <c r="H1049" i="16" s="1"/>
  <c r="I1049" i="16"/>
  <c r="N1049" i="16"/>
  <c r="M1049" i="16" s="1"/>
  <c r="Q1049" i="16"/>
  <c r="S1049" i="16"/>
  <c r="T1049" i="16"/>
  <c r="U1049" i="16" a="1"/>
  <c r="U1049" i="16" s="1"/>
  <c r="D1050" i="16"/>
  <c r="E1050" i="16" a="1"/>
  <c r="E1050" i="16" s="1"/>
  <c r="G1050" i="16"/>
  <c r="H1050" i="16" s="1"/>
  <c r="I1050" i="16"/>
  <c r="N1050" i="16"/>
  <c r="Q1050" i="16"/>
  <c r="S1050" i="16"/>
  <c r="T1050" i="16"/>
  <c r="U1050" i="16" a="1"/>
  <c r="U1050" i="16" s="1"/>
  <c r="V1050" i="16"/>
  <c r="D1051" i="16"/>
  <c r="E1051" i="16" a="1"/>
  <c r="E1051" i="16" s="1"/>
  <c r="G1051" i="16"/>
  <c r="H1051" i="16" s="1"/>
  <c r="I1051" i="16"/>
  <c r="N1051" i="16"/>
  <c r="M1051" i="16" s="1"/>
  <c r="Q1051" i="16"/>
  <c r="S1051" i="16"/>
  <c r="T1051" i="16"/>
  <c r="U1051" i="16" a="1"/>
  <c r="U1051" i="16" s="1"/>
  <c r="V1051" i="16"/>
  <c r="D1052" i="16"/>
  <c r="E1052" i="16" a="1"/>
  <c r="E1052" i="16" s="1"/>
  <c r="G1052" i="16"/>
  <c r="H1052" i="16" s="1"/>
  <c r="I1052" i="16"/>
  <c r="N1052" i="16"/>
  <c r="M1052" i="16" s="1"/>
  <c r="Q1052" i="16"/>
  <c r="S1052" i="16"/>
  <c r="T1052" i="16"/>
  <c r="U1052" i="16" a="1"/>
  <c r="U1052" i="16" s="1"/>
  <c r="D1053" i="16"/>
  <c r="E1053" i="16" a="1"/>
  <c r="E1053" i="16" s="1"/>
  <c r="G1053" i="16"/>
  <c r="H1053" i="16" s="1"/>
  <c r="I1053" i="16"/>
  <c r="N1053" i="16"/>
  <c r="M1053" i="16" s="1"/>
  <c r="Q1053" i="16"/>
  <c r="S1053" i="16"/>
  <c r="V1053" i="16"/>
  <c r="D1055" i="16"/>
  <c r="E1055" i="16" a="1"/>
  <c r="E1055" i="16" s="1"/>
  <c r="G1055" i="16"/>
  <c r="H1055" i="16" s="1"/>
  <c r="I1055" i="16"/>
  <c r="N1055" i="16"/>
  <c r="V1055" i="16" s="1"/>
  <c r="Q1055" i="16"/>
  <c r="S1055" i="16"/>
  <c r="T1055" i="16"/>
  <c r="U1055" i="16" a="1"/>
  <c r="U1055" i="16" s="1"/>
  <c r="D1056" i="16"/>
  <c r="E1056" i="16" a="1"/>
  <c r="E1056" i="16" s="1"/>
  <c r="G1056" i="16"/>
  <c r="H1056" i="16" s="1"/>
  <c r="I1056" i="16"/>
  <c r="N1056" i="16"/>
  <c r="Q1056" i="16"/>
  <c r="S1056" i="16"/>
  <c r="T1056" i="16"/>
  <c r="U1056" i="16" a="1"/>
  <c r="U1056" i="16" s="1"/>
  <c r="V1056" i="16"/>
  <c r="D1057" i="16"/>
  <c r="E1057" i="16" a="1"/>
  <c r="E1057" i="16" s="1"/>
  <c r="G1057" i="16"/>
  <c r="H1057" i="16" s="1"/>
  <c r="I1057" i="16"/>
  <c r="N1057" i="16"/>
  <c r="M1057" i="16" s="1"/>
  <c r="Q1057" i="16"/>
  <c r="S1057" i="16"/>
  <c r="T1057" i="16"/>
  <c r="U1057" i="16" a="1"/>
  <c r="U1057" i="16" s="1"/>
  <c r="D1058" i="16"/>
  <c r="E1058" i="16" a="1"/>
  <c r="E1058" i="16" s="1"/>
  <c r="G1058" i="16"/>
  <c r="H1058" i="16" s="1"/>
  <c r="I1058" i="16"/>
  <c r="N1058" i="16"/>
  <c r="Q1058" i="16"/>
  <c r="S1058" i="16"/>
  <c r="T1058" i="16"/>
  <c r="U1058" i="16" a="1"/>
  <c r="U1058" i="16" s="1"/>
  <c r="V1058" i="16"/>
  <c r="D1059" i="16"/>
  <c r="E1059" i="16" a="1"/>
  <c r="E1059" i="16" s="1"/>
  <c r="G1059" i="16"/>
  <c r="H1059" i="16" s="1"/>
  <c r="I1059" i="16"/>
  <c r="N1059" i="16"/>
  <c r="Q1059" i="16"/>
  <c r="S1059" i="16"/>
  <c r="T1059" i="16"/>
  <c r="U1059" i="16" a="1"/>
  <c r="U1059" i="16" s="1"/>
  <c r="V1059" i="16"/>
  <c r="D1060" i="16"/>
  <c r="E1060" i="16" a="1"/>
  <c r="E1060" i="16" s="1"/>
  <c r="G1060" i="16"/>
  <c r="H1060" i="16" s="1"/>
  <c r="I1060" i="16"/>
  <c r="N1060" i="16"/>
  <c r="Q1060" i="16"/>
  <c r="S1060" i="16"/>
  <c r="T1060" i="16"/>
  <c r="U1060" i="16" a="1"/>
  <c r="U1060" i="16" s="1"/>
  <c r="V1060" i="16"/>
  <c r="D1061" i="16"/>
  <c r="E1061" i="16" a="1"/>
  <c r="E1061" i="16" s="1"/>
  <c r="G1061" i="16"/>
  <c r="H1061" i="16" s="1"/>
  <c r="I1061" i="16"/>
  <c r="N1061" i="16"/>
  <c r="M1061" i="16" s="1"/>
  <c r="Q1061" i="16"/>
  <c r="S1061" i="16"/>
  <c r="T1061" i="16"/>
  <c r="U1061" i="16" a="1"/>
  <c r="U1061" i="16" s="1"/>
  <c r="V1061" i="16"/>
  <c r="D1062" i="16"/>
  <c r="E1062" i="16" a="1"/>
  <c r="E1062" i="16" s="1"/>
  <c r="G1062" i="16"/>
  <c r="H1062" i="16" s="1"/>
  <c r="I1062" i="16"/>
  <c r="N1062" i="16"/>
  <c r="Q1062" i="16"/>
  <c r="S1062" i="16"/>
  <c r="V1062" i="16"/>
  <c r="D1063" i="16"/>
  <c r="E1063" i="16" a="1"/>
  <c r="E1063" i="16" s="1"/>
  <c r="G1063" i="16"/>
  <c r="H1063" i="16" s="1"/>
  <c r="I1063" i="16"/>
  <c r="N1063" i="16"/>
  <c r="Q1063" i="16"/>
  <c r="S1063" i="16"/>
  <c r="V1063" i="16"/>
  <c r="D1064" i="16"/>
  <c r="E1064" i="16" a="1"/>
  <c r="E1064" i="16" s="1"/>
  <c r="G1064" i="16"/>
  <c r="H1064" i="16" s="1"/>
  <c r="I1064" i="16"/>
  <c r="N1064" i="16"/>
  <c r="V1064" i="16" s="1"/>
  <c r="Q1064" i="16"/>
  <c r="S1064" i="16"/>
  <c r="T1064" i="16"/>
  <c r="U1064" i="16" a="1"/>
  <c r="U1064" i="16" s="1"/>
  <c r="D1065" i="16"/>
  <c r="E1065" i="16" a="1"/>
  <c r="E1065" i="16" s="1"/>
  <c r="G1065" i="16"/>
  <c r="H1065" i="16" s="1"/>
  <c r="I1065" i="16"/>
  <c r="N1065" i="16"/>
  <c r="V1065" i="16" s="1"/>
  <c r="Q1065" i="16"/>
  <c r="S1065" i="16"/>
  <c r="T1065" i="16"/>
  <c r="U1065" i="16" a="1"/>
  <c r="U1065" i="16" s="1"/>
  <c r="D1066" i="16"/>
  <c r="E1066" i="16" a="1"/>
  <c r="E1066" i="16" s="1"/>
  <c r="G1066" i="16"/>
  <c r="H1066" i="16" s="1"/>
  <c r="I1066" i="16"/>
  <c r="N1066" i="16"/>
  <c r="M1066" i="16" s="1"/>
  <c r="Q1066" i="16"/>
  <c r="S1066" i="16"/>
  <c r="T1066" i="16"/>
  <c r="U1066" i="16" a="1"/>
  <c r="U1066" i="16" s="1"/>
  <c r="D1067" i="16"/>
  <c r="E1067" i="16" a="1"/>
  <c r="E1067" i="16" s="1"/>
  <c r="G1067" i="16"/>
  <c r="H1067" i="16" s="1"/>
  <c r="I1067" i="16"/>
  <c r="N1067" i="16"/>
  <c r="Q1067" i="16"/>
  <c r="S1067" i="16"/>
  <c r="T1067" i="16"/>
  <c r="U1067" i="16" a="1"/>
  <c r="U1067" i="16" s="1"/>
  <c r="V1067" i="16"/>
  <c r="D1068" i="16"/>
  <c r="E1068" i="16" a="1"/>
  <c r="E1068" i="16" s="1"/>
  <c r="G1068" i="16"/>
  <c r="H1068" i="16" s="1"/>
  <c r="I1068" i="16"/>
  <c r="N1068" i="16"/>
  <c r="Q1068" i="16"/>
  <c r="S1068" i="16"/>
  <c r="T1068" i="16"/>
  <c r="U1068" i="16" a="1"/>
  <c r="U1068" i="16" s="1"/>
  <c r="V1068" i="16"/>
  <c r="D1069" i="16"/>
  <c r="E1069" i="16" a="1"/>
  <c r="E1069" i="16" s="1"/>
  <c r="G1069" i="16"/>
  <c r="H1069" i="16" s="1"/>
  <c r="I1069" i="16"/>
  <c r="N1069" i="16"/>
  <c r="V1069" i="16" s="1"/>
  <c r="Q1069" i="16"/>
  <c r="S1069" i="16"/>
  <c r="T1069" i="16"/>
  <c r="U1069" i="16" a="1"/>
  <c r="U1069" i="16" s="1"/>
  <c r="D1070" i="16"/>
  <c r="E1070" i="16" a="1"/>
  <c r="E1070" i="16" s="1"/>
  <c r="G1070" i="16"/>
  <c r="H1070" i="16" s="1"/>
  <c r="I1070" i="16"/>
  <c r="N1070" i="16"/>
  <c r="Q1070" i="16"/>
  <c r="S1070" i="16"/>
  <c r="T1070" i="16"/>
  <c r="U1070" i="16" a="1"/>
  <c r="U1070" i="16" s="1"/>
  <c r="V1070" i="16"/>
  <c r="D1071" i="16"/>
  <c r="E1071" i="16" a="1"/>
  <c r="E1071" i="16" s="1"/>
  <c r="G1071" i="16"/>
  <c r="H1071" i="16" s="1"/>
  <c r="I1071" i="16"/>
  <c r="N1071" i="16"/>
  <c r="Q1071" i="16"/>
  <c r="S1071" i="16"/>
  <c r="T1071" i="16"/>
  <c r="U1071" i="16" a="1"/>
  <c r="U1071" i="16" s="1"/>
  <c r="V1071" i="16"/>
  <c r="D1072" i="16"/>
  <c r="E1072" i="16" a="1"/>
  <c r="E1072" i="16" s="1"/>
  <c r="G1072" i="16"/>
  <c r="H1072" i="16" s="1"/>
  <c r="I1072" i="16"/>
  <c r="N1072" i="16"/>
  <c r="V1072" i="16" s="1"/>
  <c r="Q1072" i="16"/>
  <c r="S1072" i="16"/>
  <c r="T1072" i="16"/>
  <c r="U1072" i="16" a="1"/>
  <c r="U1072" i="16" s="1"/>
  <c r="D1073" i="16"/>
  <c r="E1073" i="16" a="1"/>
  <c r="E1073" i="16" s="1"/>
  <c r="G1073" i="16"/>
  <c r="H1073" i="16" s="1"/>
  <c r="I1073" i="16"/>
  <c r="N1073" i="16"/>
  <c r="Q1073" i="16"/>
  <c r="S1073" i="16"/>
  <c r="T1073" i="16"/>
  <c r="U1073" i="16" a="1"/>
  <c r="U1073" i="16" s="1"/>
  <c r="V1073" i="16"/>
  <c r="D1074" i="16"/>
  <c r="E1074" i="16" a="1"/>
  <c r="E1074" i="16" s="1"/>
  <c r="G1074" i="16"/>
  <c r="H1074" i="16" s="1"/>
  <c r="I1074" i="16"/>
  <c r="N1074" i="16"/>
  <c r="M1074" i="16" s="1"/>
  <c r="Q1074" i="16"/>
  <c r="S1074" i="16"/>
  <c r="T1074" i="16"/>
  <c r="U1074" i="16" a="1"/>
  <c r="U1074" i="16" s="1"/>
  <c r="V1074" i="16"/>
  <c r="D1075" i="16"/>
  <c r="E1075" i="16" a="1"/>
  <c r="E1075" i="16" s="1"/>
  <c r="G1075" i="16"/>
  <c r="H1075" i="16" s="1"/>
  <c r="I1075" i="16"/>
  <c r="N1075" i="16"/>
  <c r="Q1075" i="16"/>
  <c r="S1075" i="16"/>
  <c r="T1075" i="16"/>
  <c r="U1075" i="16" a="1"/>
  <c r="U1075" i="16" s="1"/>
  <c r="V1075" i="16"/>
  <c r="D1076" i="16"/>
  <c r="E1076" i="16" a="1"/>
  <c r="E1076" i="16" s="1"/>
  <c r="G1076" i="16"/>
  <c r="H1076" i="16" s="1"/>
  <c r="I1076" i="16"/>
  <c r="N1076" i="16"/>
  <c r="Q1076" i="16"/>
  <c r="S1076" i="16"/>
  <c r="T1076" i="16"/>
  <c r="U1076" i="16" a="1"/>
  <c r="U1076" i="16" s="1"/>
  <c r="V1076" i="16"/>
  <c r="D1077" i="16"/>
  <c r="E1077" i="16" a="1"/>
  <c r="E1077" i="16" s="1"/>
  <c r="G1077" i="16"/>
  <c r="H1077" i="16" s="1"/>
  <c r="I1077" i="16"/>
  <c r="N1077" i="16"/>
  <c r="M1077" i="16" s="1"/>
  <c r="Q1077" i="16"/>
  <c r="S1077" i="16"/>
  <c r="T1077" i="16"/>
  <c r="U1077" i="16" a="1"/>
  <c r="U1077" i="16" s="1"/>
  <c r="V1077" i="16"/>
  <c r="D1078" i="16"/>
  <c r="E1078" i="16" a="1"/>
  <c r="E1078" i="16" s="1"/>
  <c r="G1078" i="16"/>
  <c r="H1078" i="16" s="1"/>
  <c r="I1078" i="16"/>
  <c r="N1078" i="16"/>
  <c r="M1078" i="16" s="1"/>
  <c r="Q1078" i="16"/>
  <c r="S1078" i="16"/>
  <c r="T1078" i="16"/>
  <c r="U1078" i="16" a="1"/>
  <c r="U1078" i="16" s="1"/>
  <c r="V1078" i="16"/>
  <c r="D1079" i="16"/>
  <c r="E1079" i="16" a="1"/>
  <c r="E1079" i="16" s="1"/>
  <c r="G1079" i="16"/>
  <c r="H1079" i="16" s="1"/>
  <c r="I1079" i="16"/>
  <c r="N1079" i="16"/>
  <c r="Q1079" i="16"/>
  <c r="S1079" i="16"/>
  <c r="T1079" i="16"/>
  <c r="U1079" i="16" a="1"/>
  <c r="U1079" i="16" s="1"/>
  <c r="V1079" i="16"/>
  <c r="D1080" i="16"/>
  <c r="E1080" i="16" a="1"/>
  <c r="E1080" i="16" s="1"/>
  <c r="G1080" i="16"/>
  <c r="H1080" i="16" s="1"/>
  <c r="I1080" i="16"/>
  <c r="N1080" i="16"/>
  <c r="Q1080" i="16"/>
  <c r="S1080" i="16"/>
  <c r="T1080" i="16"/>
  <c r="U1080" i="16" a="1"/>
  <c r="U1080" i="16" s="1"/>
  <c r="V1080" i="16"/>
  <c r="D1081" i="16"/>
  <c r="E1081" i="16" a="1"/>
  <c r="E1081" i="16" s="1"/>
  <c r="G1081" i="16"/>
  <c r="H1081" i="16" s="1"/>
  <c r="I1081" i="16"/>
  <c r="N1081" i="16"/>
  <c r="V1081" i="16" s="1"/>
  <c r="Q1081" i="16"/>
  <c r="S1081" i="16"/>
  <c r="T1081" i="16"/>
  <c r="U1081" i="16" a="1"/>
  <c r="U1081" i="16" s="1"/>
  <c r="D1082" i="16"/>
  <c r="E1082" i="16" a="1"/>
  <c r="E1082" i="16" s="1"/>
  <c r="G1082" i="16"/>
  <c r="H1082" i="16" s="1"/>
  <c r="I1082" i="16"/>
  <c r="N1082" i="16"/>
  <c r="Q1082" i="16"/>
  <c r="S1082" i="16"/>
  <c r="T1082" i="16"/>
  <c r="U1082" i="16" a="1"/>
  <c r="U1082" i="16" s="1"/>
  <c r="V1082" i="16"/>
  <c r="D1083" i="16"/>
  <c r="E1083" i="16" a="1"/>
  <c r="E1083" i="16" s="1"/>
  <c r="G1083" i="16"/>
  <c r="H1083" i="16" s="1"/>
  <c r="I1083" i="16"/>
  <c r="N1083" i="16"/>
  <c r="Q1083" i="16"/>
  <c r="S1083" i="16"/>
  <c r="T1083" i="16"/>
  <c r="U1083" i="16" a="1"/>
  <c r="U1083" i="16" s="1"/>
  <c r="V1083" i="16"/>
  <c r="D1084" i="16"/>
  <c r="E1084" i="16" a="1"/>
  <c r="E1084" i="16" s="1"/>
  <c r="G1084" i="16"/>
  <c r="H1084" i="16" s="1"/>
  <c r="I1084" i="16"/>
  <c r="N1084" i="16"/>
  <c r="Q1084" i="16"/>
  <c r="S1084" i="16"/>
  <c r="T1084" i="16"/>
  <c r="U1084" i="16" a="1"/>
  <c r="U1084" i="16" s="1"/>
  <c r="V1084" i="16"/>
  <c r="D1085" i="16"/>
  <c r="E1085" i="16" a="1"/>
  <c r="E1085" i="16" s="1"/>
  <c r="G1085" i="16"/>
  <c r="H1085" i="16" s="1"/>
  <c r="I1085" i="16"/>
  <c r="N1085" i="16"/>
  <c r="M1085" i="16" s="1"/>
  <c r="Q1085" i="16"/>
  <c r="S1085" i="16"/>
  <c r="T1085" i="16"/>
  <c r="U1085" i="16" a="1"/>
  <c r="U1085" i="16" s="1"/>
  <c r="V1085" i="16"/>
  <c r="D1086" i="16"/>
  <c r="E1086" i="16" a="1"/>
  <c r="E1086" i="16" s="1"/>
  <c r="G1086" i="16"/>
  <c r="H1086" i="16" s="1"/>
  <c r="I1086" i="16"/>
  <c r="N1086" i="16"/>
  <c r="M1086" i="16" s="1"/>
  <c r="Q1086" i="16"/>
  <c r="S1086" i="16"/>
  <c r="T1086" i="16"/>
  <c r="U1086" i="16" a="1"/>
  <c r="U1086" i="16" s="1"/>
  <c r="V1086" i="16"/>
  <c r="D1087" i="16"/>
  <c r="E1087" i="16" a="1"/>
  <c r="E1087" i="16" s="1"/>
  <c r="G1087" i="16"/>
  <c r="H1087" i="16" s="1"/>
  <c r="I1087" i="16"/>
  <c r="N1087" i="16"/>
  <c r="Q1087" i="16"/>
  <c r="S1087" i="16"/>
  <c r="T1087" i="16"/>
  <c r="U1087" i="16" a="1"/>
  <c r="U1087" i="16" s="1"/>
  <c r="V1087" i="16"/>
  <c r="D1088" i="16"/>
  <c r="E1088" i="16" a="1"/>
  <c r="E1088" i="16" s="1"/>
  <c r="G1088" i="16"/>
  <c r="H1088" i="16" s="1"/>
  <c r="I1088" i="16"/>
  <c r="N1088" i="16"/>
  <c r="Q1088" i="16"/>
  <c r="S1088" i="16"/>
  <c r="T1088" i="16"/>
  <c r="U1088" i="16" a="1"/>
  <c r="U1088" i="16" s="1"/>
  <c r="V1088" i="16"/>
  <c r="D1089" i="16"/>
  <c r="E1089" i="16" a="1"/>
  <c r="E1089" i="16" s="1"/>
  <c r="G1089" i="16"/>
  <c r="H1089" i="16" s="1"/>
  <c r="I1089" i="16"/>
  <c r="N1089" i="16"/>
  <c r="Q1089" i="16"/>
  <c r="S1089" i="16"/>
  <c r="T1089" i="16"/>
  <c r="U1089" i="16" a="1"/>
  <c r="U1089" i="16" s="1"/>
  <c r="V1089" i="16"/>
  <c r="D1090" i="16"/>
  <c r="E1090" i="16" a="1"/>
  <c r="E1090" i="16" s="1"/>
  <c r="G1090" i="16"/>
  <c r="H1090" i="16" s="1"/>
  <c r="I1090" i="16"/>
  <c r="N1090" i="16"/>
  <c r="M1090" i="16" s="1"/>
  <c r="Q1090" i="16"/>
  <c r="S1090" i="16"/>
  <c r="T1090" i="16"/>
  <c r="U1090" i="16" a="1"/>
  <c r="U1090" i="16" s="1"/>
  <c r="V1090" i="16"/>
  <c r="D1091" i="16"/>
  <c r="E1091" i="16" a="1"/>
  <c r="E1091" i="16" s="1"/>
  <c r="G1091" i="16"/>
  <c r="H1091" i="16" s="1"/>
  <c r="I1091" i="16"/>
  <c r="N1091" i="16"/>
  <c r="Q1091" i="16"/>
  <c r="S1091" i="16"/>
  <c r="T1091" i="16"/>
  <c r="U1091" i="16" a="1"/>
  <c r="U1091" i="16" s="1"/>
  <c r="V1091" i="16"/>
  <c r="D1092" i="16"/>
  <c r="E1092" i="16" a="1"/>
  <c r="E1092" i="16" s="1"/>
  <c r="G1092" i="16"/>
  <c r="H1092" i="16" s="1"/>
  <c r="I1092" i="16"/>
  <c r="N1092" i="16"/>
  <c r="V1092" i="16" s="1"/>
  <c r="Q1092" i="16"/>
  <c r="S1092" i="16"/>
  <c r="T1092" i="16"/>
  <c r="U1092" i="16" a="1"/>
  <c r="U1092" i="16" s="1"/>
  <c r="D1093" i="16"/>
  <c r="E1093" i="16" a="1"/>
  <c r="E1093" i="16" s="1"/>
  <c r="G1093" i="16"/>
  <c r="H1093" i="16" s="1"/>
  <c r="I1093" i="16"/>
  <c r="N1093" i="16"/>
  <c r="Q1093" i="16"/>
  <c r="S1093" i="16"/>
  <c r="T1093" i="16"/>
  <c r="U1093" i="16" a="1"/>
  <c r="U1093" i="16" s="1"/>
  <c r="V1093" i="16"/>
  <c r="D1094" i="16"/>
  <c r="E1094" i="16" a="1"/>
  <c r="E1094" i="16" s="1"/>
  <c r="G1094" i="16"/>
  <c r="H1094" i="16" s="1"/>
  <c r="I1094" i="16"/>
  <c r="N1094" i="16"/>
  <c r="M1094" i="16" s="1"/>
  <c r="Q1094" i="16"/>
  <c r="S1094" i="16"/>
  <c r="T1094" i="16"/>
  <c r="U1094" i="16" a="1"/>
  <c r="U1094" i="16" s="1"/>
  <c r="V1094" i="16"/>
  <c r="D1095" i="16"/>
  <c r="E1095" i="16" a="1"/>
  <c r="E1095" i="16" s="1"/>
  <c r="G1095" i="16"/>
  <c r="H1095" i="16" s="1"/>
  <c r="I1095" i="16"/>
  <c r="N1095" i="16"/>
  <c r="V1095" i="16" s="1"/>
  <c r="Q1095" i="16"/>
  <c r="S1095" i="16"/>
  <c r="T1095" i="16"/>
  <c r="U1095" i="16" a="1"/>
  <c r="U1095" i="16" s="1"/>
  <c r="D1096" i="16"/>
  <c r="E1096" i="16" a="1"/>
  <c r="E1096" i="16" s="1"/>
  <c r="G1096" i="16"/>
  <c r="H1096" i="16" s="1"/>
  <c r="I1096" i="16"/>
  <c r="N1096" i="16"/>
  <c r="V1096" i="16" s="1"/>
  <c r="Q1096" i="16"/>
  <c r="S1096" i="16"/>
  <c r="T1096" i="16"/>
  <c r="U1096" i="16" a="1"/>
  <c r="U1096" i="16" s="1"/>
  <c r="D1097" i="16"/>
  <c r="E1097" i="16" a="1"/>
  <c r="E1097" i="16" s="1"/>
  <c r="G1097" i="16"/>
  <c r="H1097" i="16" s="1"/>
  <c r="I1097" i="16"/>
  <c r="N1097" i="16"/>
  <c r="Q1097" i="16"/>
  <c r="S1097" i="16"/>
  <c r="T1097" i="16"/>
  <c r="U1097" i="16" a="1"/>
  <c r="U1097" i="16" s="1"/>
  <c r="V1097" i="16"/>
  <c r="D1098" i="16"/>
  <c r="E1098" i="16" a="1"/>
  <c r="E1098" i="16" s="1"/>
  <c r="G1098" i="16"/>
  <c r="H1098" i="16" s="1"/>
  <c r="I1098" i="16"/>
  <c r="N1098" i="16"/>
  <c r="V1098" i="16" s="1"/>
  <c r="Q1098" i="16"/>
  <c r="S1098" i="16"/>
  <c r="T1098" i="16"/>
  <c r="U1098" i="16" a="1"/>
  <c r="U1098" i="16" s="1"/>
  <c r="D1099" i="16"/>
  <c r="E1099" i="16" a="1"/>
  <c r="E1099" i="16" s="1"/>
  <c r="G1099" i="16"/>
  <c r="H1099" i="16" s="1"/>
  <c r="I1099" i="16"/>
  <c r="N1099" i="16"/>
  <c r="Q1099" i="16"/>
  <c r="S1099" i="16"/>
  <c r="T1099" i="16"/>
  <c r="U1099" i="16" a="1"/>
  <c r="U1099" i="16" s="1"/>
  <c r="V1099" i="16"/>
  <c r="D1100" i="16"/>
  <c r="E1100" i="16" a="1"/>
  <c r="E1100" i="16" s="1"/>
  <c r="G1100" i="16"/>
  <c r="H1100" i="16" s="1"/>
  <c r="I1100" i="16"/>
  <c r="N1100" i="16"/>
  <c r="Q1100" i="16"/>
  <c r="S1100" i="16"/>
  <c r="T1100" i="16"/>
  <c r="U1100" i="16" a="1"/>
  <c r="U1100" i="16" s="1"/>
  <c r="V1100" i="16"/>
  <c r="D1101" i="16"/>
  <c r="E1101" i="16" a="1"/>
  <c r="E1101" i="16" s="1"/>
  <c r="G1101" i="16"/>
  <c r="H1101" i="16" s="1"/>
  <c r="I1101" i="16"/>
  <c r="N1101" i="16"/>
  <c r="M1101" i="16" s="1"/>
  <c r="Q1101" i="16"/>
  <c r="S1101" i="16"/>
  <c r="T1101" i="16"/>
  <c r="U1101" i="16" a="1"/>
  <c r="U1101" i="16" s="1"/>
  <c r="V1101" i="16"/>
  <c r="D1102" i="16"/>
  <c r="E1102" i="16" a="1"/>
  <c r="E1102" i="16" s="1"/>
  <c r="G1102" i="16"/>
  <c r="H1102" i="16" s="1"/>
  <c r="I1102" i="16"/>
  <c r="N1102" i="16"/>
  <c r="M1102" i="16" s="1"/>
  <c r="Q1102" i="16"/>
  <c r="S1102" i="16"/>
  <c r="T1102" i="16"/>
  <c r="U1102" i="16" a="1"/>
  <c r="U1102" i="16" s="1"/>
  <c r="V1102" i="16"/>
  <c r="D1103" i="16"/>
  <c r="E1103" i="16" a="1"/>
  <c r="E1103" i="16" s="1"/>
  <c r="G1103" i="16"/>
  <c r="H1103" i="16" s="1"/>
  <c r="I1103" i="16"/>
  <c r="N1103" i="16"/>
  <c r="Q1103" i="16"/>
  <c r="S1103" i="16"/>
  <c r="T1103" i="16"/>
  <c r="U1103" i="16" a="1"/>
  <c r="U1103" i="16" s="1"/>
  <c r="V1103" i="16"/>
  <c r="D1104" i="16"/>
  <c r="E1104" i="16" a="1"/>
  <c r="E1104" i="16" s="1"/>
  <c r="G1104" i="16"/>
  <c r="H1104" i="16" s="1"/>
  <c r="I1104" i="16"/>
  <c r="N1104" i="16"/>
  <c r="Q1104" i="16"/>
  <c r="S1104" i="16"/>
  <c r="T1104" i="16"/>
  <c r="U1104" i="16" a="1"/>
  <c r="U1104" i="16" s="1"/>
  <c r="V1104" i="16"/>
  <c r="D1105" i="16"/>
  <c r="E1105" i="16" a="1"/>
  <c r="E1105" i="16" s="1"/>
  <c r="G1105" i="16"/>
  <c r="H1105" i="16" s="1"/>
  <c r="I1105" i="16"/>
  <c r="N1105" i="16"/>
  <c r="M1105" i="16" s="1"/>
  <c r="Q1105" i="16"/>
  <c r="S1105" i="16"/>
  <c r="T1105" i="16"/>
  <c r="U1105" i="16" a="1"/>
  <c r="U1105" i="16" s="1"/>
  <c r="V1105" i="16"/>
  <c r="D1106" i="16"/>
  <c r="E1106" i="16" a="1"/>
  <c r="E1106" i="16" s="1"/>
  <c r="G1106" i="16"/>
  <c r="H1106" i="16" s="1"/>
  <c r="I1106" i="16"/>
  <c r="N1106" i="16"/>
  <c r="M1106" i="16" s="1"/>
  <c r="Q1106" i="16"/>
  <c r="S1106" i="16"/>
  <c r="T1106" i="16"/>
  <c r="U1106" i="16" a="1"/>
  <c r="U1106" i="16" s="1"/>
  <c r="V1106" i="16"/>
  <c r="D1107" i="16"/>
  <c r="E1107" i="16" a="1"/>
  <c r="E1107" i="16" s="1"/>
  <c r="G1107" i="16"/>
  <c r="H1107" i="16" s="1"/>
  <c r="I1107" i="16"/>
  <c r="N1107" i="16"/>
  <c r="V1107" i="16" s="1"/>
  <c r="Q1107" i="16"/>
  <c r="S1107" i="16"/>
  <c r="T1107" i="16"/>
  <c r="U1107" i="16" a="1"/>
  <c r="U1107" i="16" s="1"/>
  <c r="D1108" i="16"/>
  <c r="E1108" i="16" a="1"/>
  <c r="E1108" i="16" s="1"/>
  <c r="G1108" i="16"/>
  <c r="H1108" i="16" s="1"/>
  <c r="I1108" i="16"/>
  <c r="N1108" i="16"/>
  <c r="M1108" i="16" s="1"/>
  <c r="Q1108" i="16"/>
  <c r="S1108" i="16"/>
  <c r="T1108" i="16"/>
  <c r="U1108" i="16" a="1"/>
  <c r="U1108" i="16" s="1"/>
  <c r="V1108" i="16"/>
  <c r="D1109" i="16"/>
  <c r="E1109" i="16" a="1"/>
  <c r="E1109" i="16" s="1"/>
  <c r="G1109" i="16"/>
  <c r="H1109" i="16" s="1"/>
  <c r="I1109" i="16"/>
  <c r="N1109" i="16"/>
  <c r="Q1109" i="16"/>
  <c r="S1109" i="16"/>
  <c r="T1109" i="16"/>
  <c r="U1109" i="16" a="1"/>
  <c r="U1109" i="16" s="1"/>
  <c r="V1109" i="16"/>
  <c r="D1110" i="16"/>
  <c r="E1110" i="16" a="1"/>
  <c r="E1110" i="16" s="1"/>
  <c r="G1110" i="16"/>
  <c r="H1110" i="16" s="1"/>
  <c r="I1110" i="16"/>
  <c r="N1110" i="16"/>
  <c r="M1110" i="16" s="1"/>
  <c r="Q1110" i="16"/>
  <c r="S1110" i="16"/>
  <c r="T1110" i="16"/>
  <c r="U1110" i="16" a="1"/>
  <c r="U1110" i="16" s="1"/>
  <c r="V1110" i="16"/>
  <c r="D1111" i="16"/>
  <c r="E1111" i="16" a="1"/>
  <c r="E1111" i="16" s="1"/>
  <c r="G1111" i="16"/>
  <c r="H1111" i="16" s="1"/>
  <c r="I1111" i="16"/>
  <c r="N1111" i="16"/>
  <c r="Q1111" i="16"/>
  <c r="S1111" i="16"/>
  <c r="T1111" i="16"/>
  <c r="U1111" i="16" a="1"/>
  <c r="U1111" i="16" s="1"/>
  <c r="V1111" i="16"/>
  <c r="D1112" i="16"/>
  <c r="E1112" i="16" a="1"/>
  <c r="E1112" i="16" s="1"/>
  <c r="G1112" i="16"/>
  <c r="H1112" i="16" s="1"/>
  <c r="I1112" i="16"/>
  <c r="N1112" i="16"/>
  <c r="Q1112" i="16"/>
  <c r="S1112" i="16"/>
  <c r="T1112" i="16"/>
  <c r="U1112" i="16" a="1"/>
  <c r="U1112" i="16" s="1"/>
  <c r="V1112" i="16"/>
  <c r="D1113" i="16"/>
  <c r="E1113" i="16" a="1"/>
  <c r="E1113" i="16" s="1"/>
  <c r="G1113" i="16"/>
  <c r="H1113" i="16" s="1"/>
  <c r="I1113" i="16"/>
  <c r="N1113" i="16"/>
  <c r="V1113" i="16" s="1"/>
  <c r="Q1113" i="16"/>
  <c r="S1113" i="16"/>
  <c r="T1113" i="16"/>
  <c r="U1113" i="16" a="1"/>
  <c r="U1113" i="16" s="1"/>
  <c r="D1114" i="16"/>
  <c r="E1114" i="16" a="1"/>
  <c r="E1114" i="16" s="1"/>
  <c r="G1114" i="16"/>
  <c r="H1114" i="16" s="1"/>
  <c r="I1114" i="16"/>
  <c r="N1114" i="16"/>
  <c r="M1114" i="16" s="1"/>
  <c r="Q1114" i="16"/>
  <c r="S1114" i="16"/>
  <c r="V1114" i="16"/>
  <c r="D1115" i="16"/>
  <c r="E1115" i="16" a="1"/>
  <c r="E1115" i="16" s="1"/>
  <c r="G1115" i="16"/>
  <c r="H1115" i="16" s="1"/>
  <c r="I1115" i="16"/>
  <c r="N1115" i="16"/>
  <c r="V1115" i="16" s="1"/>
  <c r="Q1115" i="16"/>
  <c r="S1115" i="16"/>
  <c r="T1115" i="16"/>
  <c r="U1115" i="16" a="1"/>
  <c r="U1115" i="16" s="1"/>
  <c r="D1116" i="16"/>
  <c r="E1116" i="16" a="1"/>
  <c r="E1116" i="16" s="1"/>
  <c r="G1116" i="16"/>
  <c r="H1116" i="16" s="1"/>
  <c r="I1116" i="16"/>
  <c r="N1116" i="16"/>
  <c r="M1116" i="16" s="1"/>
  <c r="Q1116" i="16"/>
  <c r="S1116" i="16"/>
  <c r="T1116" i="16"/>
  <c r="U1116" i="16" a="1"/>
  <c r="U1116" i="16" s="1"/>
  <c r="D1117" i="16"/>
  <c r="E1117" i="16" a="1"/>
  <c r="E1117" i="16" s="1"/>
  <c r="G1117" i="16"/>
  <c r="H1117" i="16" s="1"/>
  <c r="I1117" i="16"/>
  <c r="N1117" i="16"/>
  <c r="V1117" i="16" s="1"/>
  <c r="Q1117" i="16"/>
  <c r="S1117" i="16"/>
  <c r="T1117" i="16"/>
  <c r="U1117" i="16" a="1"/>
  <c r="U1117" i="16" s="1"/>
  <c r="D1118" i="16"/>
  <c r="E1118" i="16" a="1"/>
  <c r="E1118" i="16" s="1"/>
  <c r="G1118" i="16"/>
  <c r="H1118" i="16" s="1"/>
  <c r="I1118" i="16"/>
  <c r="N1118" i="16"/>
  <c r="M1118" i="16" s="1"/>
  <c r="Q1118" i="16"/>
  <c r="S1118" i="16"/>
  <c r="T1118" i="16"/>
  <c r="U1118" i="16" a="1"/>
  <c r="U1118" i="16" s="1"/>
  <c r="V1118" i="16"/>
  <c r="D1119" i="16"/>
  <c r="E1119" i="16" a="1"/>
  <c r="E1119" i="16" s="1"/>
  <c r="G1119" i="16"/>
  <c r="H1119" i="16" s="1"/>
  <c r="I1119" i="16"/>
  <c r="S1119" i="16"/>
  <c r="T1119" i="16"/>
  <c r="U1119" i="16" a="1"/>
  <c r="U1119" i="16" s="1"/>
  <c r="V1119" i="16"/>
  <c r="D1120" i="16"/>
  <c r="E1120" i="16" a="1"/>
  <c r="E1120" i="16" s="1"/>
  <c r="G1120" i="16"/>
  <c r="H1120" i="16" s="1"/>
  <c r="I1120" i="16"/>
  <c r="N1120" i="16"/>
  <c r="Q1120" i="16"/>
  <c r="S1120" i="16"/>
  <c r="T1120" i="16"/>
  <c r="U1120" i="16" a="1"/>
  <c r="U1120" i="16" s="1"/>
  <c r="V1120" i="16"/>
  <c r="D1121" i="16"/>
  <c r="E1121" i="16" a="1"/>
  <c r="E1121" i="16" s="1"/>
  <c r="G1121" i="16"/>
  <c r="H1121" i="16" s="1"/>
  <c r="I1121" i="16"/>
  <c r="N1121" i="16"/>
  <c r="Q1121" i="16"/>
  <c r="S1121" i="16"/>
  <c r="T1121" i="16"/>
  <c r="U1121" i="16" a="1"/>
  <c r="U1121" i="16" s="1"/>
  <c r="V1121" i="16"/>
  <c r="D1122" i="16"/>
  <c r="E1122" i="16" a="1"/>
  <c r="E1122" i="16" s="1"/>
  <c r="G1122" i="16"/>
  <c r="H1122" i="16" s="1"/>
  <c r="I1122" i="16"/>
  <c r="N1122" i="16"/>
  <c r="O1825" i="16" s="1"/>
  <c r="Q1122" i="16"/>
  <c r="S1122" i="16"/>
  <c r="T1122" i="16"/>
  <c r="U1122" i="16" a="1"/>
  <c r="U1122" i="16" s="1"/>
  <c r="D1123" i="16"/>
  <c r="E1123" i="16" a="1"/>
  <c r="E1123" i="16" s="1"/>
  <c r="G1123" i="16"/>
  <c r="H1123" i="16" s="1"/>
  <c r="I1123" i="16"/>
  <c r="S1123" i="16"/>
  <c r="T1123" i="16"/>
  <c r="U1123" i="16" a="1"/>
  <c r="U1123" i="16" s="1"/>
  <c r="V1123" i="16"/>
  <c r="D1124" i="16"/>
  <c r="E1124" i="16" a="1"/>
  <c r="E1124" i="16" s="1"/>
  <c r="G1124" i="16"/>
  <c r="H1124" i="16" s="1"/>
  <c r="I1124" i="16"/>
  <c r="N1124" i="16"/>
  <c r="M1124" i="16" s="1"/>
  <c r="Q1124" i="16"/>
  <c r="S1124" i="16"/>
  <c r="T1124" i="16"/>
  <c r="U1124" i="16" a="1"/>
  <c r="U1124" i="16" s="1"/>
  <c r="V1124" i="16"/>
  <c r="D1125" i="16"/>
  <c r="E1125" i="16" a="1"/>
  <c r="E1125" i="16" s="1"/>
  <c r="G1125" i="16"/>
  <c r="H1125" i="16" s="1"/>
  <c r="I1125" i="16"/>
  <c r="N1125" i="16"/>
  <c r="M1125" i="16" s="1"/>
  <c r="Q1125" i="16"/>
  <c r="S1125" i="16"/>
  <c r="T1125" i="16"/>
  <c r="U1125" i="16" a="1"/>
  <c r="U1125" i="16" s="1"/>
  <c r="V1125" i="16"/>
  <c r="D1126" i="16"/>
  <c r="E1126" i="16" a="1"/>
  <c r="E1126" i="16" s="1"/>
  <c r="G1126" i="16"/>
  <c r="H1126" i="16" s="1"/>
  <c r="I1126" i="16"/>
  <c r="N1126" i="16"/>
  <c r="M1126" i="16" s="1"/>
  <c r="Q1126" i="16"/>
  <c r="S1126" i="16"/>
  <c r="T1126" i="16"/>
  <c r="U1126" i="16" a="1"/>
  <c r="U1126" i="16" s="1"/>
  <c r="V1126" i="16"/>
  <c r="D1127" i="16"/>
  <c r="E1127" i="16" a="1"/>
  <c r="E1127" i="16" s="1"/>
  <c r="G1127" i="16"/>
  <c r="H1127" i="16" s="1"/>
  <c r="I1127" i="16"/>
  <c r="Q1127" i="16"/>
  <c r="S1127" i="16"/>
  <c r="T1127" i="16"/>
  <c r="U1127" i="16" a="1"/>
  <c r="U1127" i="16" s="1"/>
  <c r="V1127" i="16"/>
  <c r="D1128" i="16"/>
  <c r="E1128" i="16" a="1"/>
  <c r="E1128" i="16" s="1"/>
  <c r="G1128" i="16"/>
  <c r="H1128" i="16" s="1"/>
  <c r="I1128" i="16"/>
  <c r="N1128" i="16"/>
  <c r="M1128" i="16" s="1"/>
  <c r="Q1128" i="16"/>
  <c r="S1128" i="16"/>
  <c r="T1128" i="16"/>
  <c r="U1128" i="16" a="1"/>
  <c r="U1128" i="16" s="1"/>
  <c r="D1129" i="16"/>
  <c r="E1129" i="16" a="1"/>
  <c r="E1129" i="16" s="1"/>
  <c r="G1129" i="16"/>
  <c r="H1129" i="16" s="1"/>
  <c r="I1129" i="16"/>
  <c r="N1129" i="16"/>
  <c r="M1129" i="16" s="1"/>
  <c r="Q1129" i="16"/>
  <c r="S1129" i="16"/>
  <c r="T1129" i="16"/>
  <c r="U1129" i="16" a="1"/>
  <c r="U1129" i="16" s="1"/>
  <c r="V1129" i="16"/>
  <c r="D1130" i="16"/>
  <c r="E1130" i="16" a="1"/>
  <c r="E1130" i="16" s="1"/>
  <c r="G1130" i="16"/>
  <c r="H1130" i="16" s="1"/>
  <c r="I1130" i="16"/>
  <c r="N1130" i="16"/>
  <c r="M1130" i="16" s="1"/>
  <c r="Q1130" i="16"/>
  <c r="S1130" i="16"/>
  <c r="T1130" i="16"/>
  <c r="U1130" i="16" a="1"/>
  <c r="U1130" i="16" s="1"/>
  <c r="V1130" i="16"/>
  <c r="D1131" i="16"/>
  <c r="E1131" i="16" a="1"/>
  <c r="E1131" i="16" s="1"/>
  <c r="G1131" i="16"/>
  <c r="H1131" i="16" s="1"/>
  <c r="I1131" i="16"/>
  <c r="N1131" i="16"/>
  <c r="S1131" i="16"/>
  <c r="T1131" i="16"/>
  <c r="U1131" i="16" a="1"/>
  <c r="U1131" i="16" s="1"/>
  <c r="V1131" i="16"/>
  <c r="D1132" i="16"/>
  <c r="E1132" i="16" a="1"/>
  <c r="E1132" i="16" s="1"/>
  <c r="G1132" i="16"/>
  <c r="H1132" i="16" s="1"/>
  <c r="I1132" i="16"/>
  <c r="N1132" i="16"/>
  <c r="M1132" i="16" s="1"/>
  <c r="Q1132" i="16"/>
  <c r="S1132" i="16"/>
  <c r="T1132" i="16"/>
  <c r="U1132" i="16" a="1"/>
  <c r="U1132" i="16" s="1"/>
  <c r="V1132" i="16"/>
  <c r="D1133" i="16"/>
  <c r="E1133" i="16" a="1"/>
  <c r="E1133" i="16" s="1"/>
  <c r="G1133" i="16"/>
  <c r="H1133" i="16" s="1"/>
  <c r="I1133" i="16"/>
  <c r="N1133" i="16"/>
  <c r="Q1133" i="16"/>
  <c r="S1133" i="16"/>
  <c r="T1133" i="16"/>
  <c r="U1133" i="16" a="1"/>
  <c r="U1133" i="16" s="1"/>
  <c r="V1133" i="16"/>
  <c r="D1134" i="16"/>
  <c r="E1134" i="16" a="1"/>
  <c r="E1134" i="16" s="1"/>
  <c r="G1134" i="16"/>
  <c r="H1134" i="16" s="1"/>
  <c r="I1134" i="16"/>
  <c r="N1134" i="16"/>
  <c r="M1134" i="16" s="1"/>
  <c r="Q1134" i="16"/>
  <c r="S1134" i="16"/>
  <c r="T1134" i="16"/>
  <c r="U1134" i="16" a="1"/>
  <c r="U1134" i="16" s="1"/>
  <c r="V1134" i="16"/>
  <c r="D1135" i="16"/>
  <c r="E1135" i="16" a="1"/>
  <c r="E1135" i="16" s="1"/>
  <c r="G1135" i="16"/>
  <c r="H1135" i="16" s="1"/>
  <c r="I1135" i="16"/>
  <c r="S1135" i="16"/>
  <c r="T1135" i="16"/>
  <c r="U1135" i="16" a="1"/>
  <c r="U1135" i="16" s="1"/>
  <c r="V1135" i="16"/>
  <c r="D1136" i="16"/>
  <c r="E1136" i="16" a="1"/>
  <c r="E1136" i="16" s="1"/>
  <c r="G1136" i="16"/>
  <c r="H1136" i="16" s="1"/>
  <c r="I1136" i="16"/>
  <c r="N1136" i="16"/>
  <c r="V1136" i="16" s="1"/>
  <c r="Q1136" i="16"/>
  <c r="S1136" i="16"/>
  <c r="T1136" i="16"/>
  <c r="U1136" i="16" a="1"/>
  <c r="U1136" i="16" s="1"/>
  <c r="D1137" i="16"/>
  <c r="E1137" i="16" a="1"/>
  <c r="E1137" i="16" s="1"/>
  <c r="G1137" i="16"/>
  <c r="H1137" i="16" s="1"/>
  <c r="I1137" i="16"/>
  <c r="N1137" i="16"/>
  <c r="Q1137" i="16"/>
  <c r="S1137" i="16"/>
  <c r="T1137" i="16"/>
  <c r="U1137" i="16" a="1"/>
  <c r="U1137" i="16" s="1"/>
  <c r="V1137" i="16"/>
  <c r="D1138" i="16"/>
  <c r="E1138" i="16" a="1"/>
  <c r="E1138" i="16" s="1"/>
  <c r="G1138" i="16"/>
  <c r="H1138" i="16" s="1"/>
  <c r="I1138" i="16"/>
  <c r="N1138" i="16"/>
  <c r="M1138" i="16" s="1"/>
  <c r="Q1138" i="16"/>
  <c r="S1138" i="16"/>
  <c r="T1138" i="16"/>
  <c r="U1138" i="16" a="1"/>
  <c r="U1138" i="16" s="1"/>
  <c r="D1139" i="16"/>
  <c r="E1139" i="16" a="1"/>
  <c r="E1139" i="16" s="1"/>
  <c r="G1139" i="16"/>
  <c r="H1139" i="16" s="1"/>
  <c r="I1139" i="16"/>
  <c r="Q1139" i="16"/>
  <c r="S1139" i="16"/>
  <c r="T1139" i="16"/>
  <c r="U1139" i="16" a="1"/>
  <c r="U1139" i="16" s="1"/>
  <c r="V1139" i="16"/>
  <c r="D1140" i="16"/>
  <c r="E1140" i="16" a="1"/>
  <c r="E1140" i="16" s="1"/>
  <c r="G1140" i="16"/>
  <c r="H1140" i="16" s="1"/>
  <c r="I1140" i="16"/>
  <c r="N1140" i="16"/>
  <c r="Q1140" i="16"/>
  <c r="S1140" i="16"/>
  <c r="T1140" i="16"/>
  <c r="U1140" i="16" a="1"/>
  <c r="U1140" i="16" s="1"/>
  <c r="V1140" i="16"/>
  <c r="D1141" i="16"/>
  <c r="E1141" i="16" a="1"/>
  <c r="E1141" i="16" s="1"/>
  <c r="G1141" i="16"/>
  <c r="H1141" i="16" s="1"/>
  <c r="I1141" i="16"/>
  <c r="N1141" i="16"/>
  <c r="M1141" i="16" s="1"/>
  <c r="Q1141" i="16"/>
  <c r="S1141" i="16"/>
  <c r="T1141" i="16"/>
  <c r="U1141" i="16" a="1"/>
  <c r="U1141" i="16" s="1"/>
  <c r="V1141" i="16"/>
  <c r="D1142" i="16"/>
  <c r="E1142" i="16" a="1"/>
  <c r="E1142" i="16" s="1"/>
  <c r="G1142" i="16"/>
  <c r="H1142" i="16" s="1"/>
  <c r="I1142" i="16"/>
  <c r="N1142" i="16"/>
  <c r="M1142" i="16" s="1"/>
  <c r="Q1142" i="16"/>
  <c r="S1142" i="16"/>
  <c r="T1142" i="16"/>
  <c r="U1142" i="16" a="1"/>
  <c r="U1142" i="16" s="1"/>
  <c r="V1142" i="16"/>
  <c r="D1143" i="16"/>
  <c r="E1143" i="16" a="1"/>
  <c r="E1143" i="16" s="1"/>
  <c r="G1143" i="16"/>
  <c r="H1143" i="16" s="1"/>
  <c r="I1143" i="16"/>
  <c r="Q1143" i="16"/>
  <c r="S1143" i="16"/>
  <c r="T1143" i="16"/>
  <c r="U1143" i="16" a="1"/>
  <c r="U1143" i="16" s="1"/>
  <c r="V1143" i="16"/>
  <c r="D1144" i="16"/>
  <c r="E1144" i="16" a="1"/>
  <c r="E1144" i="16" s="1"/>
  <c r="G1144" i="16"/>
  <c r="H1144" i="16" s="1"/>
  <c r="I1144" i="16"/>
  <c r="N1144" i="16"/>
  <c r="O1827" i="16" s="1"/>
  <c r="Q1144" i="16"/>
  <c r="S1144" i="16"/>
  <c r="T1144" i="16"/>
  <c r="U1144" i="16" a="1"/>
  <c r="U1144" i="16" s="1"/>
  <c r="V1144" i="16"/>
  <c r="W1827" i="16" s="1"/>
  <c r="D1145" i="16"/>
  <c r="E1145" i="16" a="1"/>
  <c r="E1145" i="16" s="1"/>
  <c r="G1145" i="16"/>
  <c r="H1145" i="16" s="1"/>
  <c r="I1145" i="16"/>
  <c r="N1145" i="16"/>
  <c r="Q1145" i="16"/>
  <c r="S1145" i="16"/>
  <c r="T1145" i="16"/>
  <c r="U1145" i="16" a="1"/>
  <c r="U1145" i="16" s="1"/>
  <c r="V1145" i="16"/>
  <c r="D1146" i="16"/>
  <c r="E1146" i="16" a="1"/>
  <c r="E1146" i="16" s="1"/>
  <c r="G1146" i="16"/>
  <c r="H1146" i="16" s="1"/>
  <c r="I1146" i="16"/>
  <c r="N1146" i="16"/>
  <c r="M1146" i="16" s="1"/>
  <c r="Q1146" i="16"/>
  <c r="S1146" i="16"/>
  <c r="V1146" i="16"/>
  <c r="E607" i="13"/>
  <c r="H607" i="13" s="1"/>
  <c r="E608" i="13"/>
  <c r="H608" i="13" s="1"/>
  <c r="F607" i="13"/>
  <c r="I607" i="13" s="1"/>
  <c r="F608" i="13"/>
  <c r="I608" i="13" s="1"/>
  <c r="L607" i="13"/>
  <c r="O607" i="13" s="1"/>
  <c r="M607" i="13"/>
  <c r="M608" i="13"/>
  <c r="R608" i="13" s="1"/>
  <c r="V607" i="13"/>
  <c r="V608" i="13"/>
  <c r="W607" i="13"/>
  <c r="X607" i="13"/>
  <c r="X608" i="13"/>
  <c r="Y607" i="13"/>
  <c r="Y608" i="13"/>
  <c r="AO607" i="13"/>
  <c r="AO608" i="13"/>
  <c r="O1871" i="16" l="1"/>
  <c r="O1870" i="16"/>
  <c r="O1875" i="16"/>
  <c r="O1873" i="16"/>
  <c r="O1872" i="16"/>
  <c r="O1877" i="16"/>
  <c r="W1871" i="16"/>
  <c r="W1875" i="16"/>
  <c r="W1873" i="16"/>
  <c r="W1872" i="16"/>
  <c r="W1869" i="16"/>
  <c r="O1869" i="16"/>
  <c r="W1867" i="16"/>
  <c r="O1867" i="16"/>
  <c r="W1866" i="16"/>
  <c r="O1866" i="16"/>
  <c r="W1862" i="16"/>
  <c r="O1862" i="16"/>
  <c r="W1852" i="16"/>
  <c r="W1847" i="16"/>
  <c r="O1848" i="16"/>
  <c r="W1854" i="16"/>
  <c r="O1845" i="16"/>
  <c r="O1850" i="16"/>
  <c r="O1843" i="16"/>
  <c r="W1851" i="16"/>
  <c r="O1852" i="16"/>
  <c r="W1846" i="16"/>
  <c r="O1847" i="16"/>
  <c r="O1854" i="16"/>
  <c r="O1851" i="16"/>
  <c r="W1841" i="16"/>
  <c r="O1853" i="16"/>
  <c r="O1846" i="16"/>
  <c r="W1857" i="16"/>
  <c r="W1856" i="16"/>
  <c r="O1858" i="16"/>
  <c r="O1859" i="16"/>
  <c r="O1841" i="16"/>
  <c r="O1857" i="16"/>
  <c r="W1848" i="16"/>
  <c r="O1844" i="16"/>
  <c r="O1856" i="16"/>
  <c r="W1845" i="16"/>
  <c r="W1850" i="16"/>
  <c r="W1843" i="16"/>
  <c r="O1861" i="16"/>
  <c r="O1855" i="16"/>
  <c r="O1835" i="16"/>
  <c r="W1834" i="16"/>
  <c r="O1836" i="16"/>
  <c r="W1837" i="16"/>
  <c r="O1834" i="16"/>
  <c r="O1837" i="16"/>
  <c r="W1835" i="16"/>
  <c r="W1836" i="16"/>
  <c r="W1792" i="16"/>
  <c r="O1796" i="16"/>
  <c r="O1790" i="16"/>
  <c r="O1807" i="16"/>
  <c r="O1801" i="16"/>
  <c r="W1805" i="16"/>
  <c r="W1813" i="16"/>
  <c r="O1812" i="16"/>
  <c r="O1804" i="16"/>
  <c r="O1800" i="16"/>
  <c r="O1794" i="16"/>
  <c r="O1822" i="16"/>
  <c r="O1792" i="16"/>
  <c r="W1798" i="16"/>
  <c r="W1817" i="16"/>
  <c r="W1816" i="16"/>
  <c r="W1808" i="16"/>
  <c r="W1795" i="16"/>
  <c r="W1791" i="16"/>
  <c r="O1805" i="16"/>
  <c r="O1813" i="16"/>
  <c r="W1804" i="16"/>
  <c r="W1800" i="16"/>
  <c r="V385" i="16"/>
  <c r="W385" i="16" s="1"/>
  <c r="O1824" i="16"/>
  <c r="V265" i="16"/>
  <c r="O1799" i="16"/>
  <c r="W1826" i="16"/>
  <c r="W1829" i="16"/>
  <c r="W1786" i="16"/>
  <c r="W1823" i="16"/>
  <c r="W1818" i="16"/>
  <c r="O1815" i="16"/>
  <c r="W1802" i="16"/>
  <c r="O1803" i="16"/>
  <c r="W1793" i="16"/>
  <c r="W1806" i="16"/>
  <c r="O1833" i="16"/>
  <c r="O1821" i="16"/>
  <c r="O1798" i="16"/>
  <c r="O1817" i="16"/>
  <c r="O1808" i="16"/>
  <c r="O1816" i="16"/>
  <c r="O1797" i="16"/>
  <c r="O1795" i="16"/>
  <c r="O1791" i="16"/>
  <c r="W1810" i="16"/>
  <c r="O1832" i="16"/>
  <c r="O1820" i="16"/>
  <c r="O1828" i="16"/>
  <c r="W1794" i="16"/>
  <c r="W1822" i="16"/>
  <c r="W1815" i="16"/>
  <c r="O1826" i="16"/>
  <c r="O1829" i="16"/>
  <c r="O1786" i="16"/>
  <c r="O1823" i="16"/>
  <c r="W1820" i="16"/>
  <c r="O1818" i="16"/>
  <c r="W1828" i="16"/>
  <c r="O1802" i="16"/>
  <c r="O1793" i="16"/>
  <c r="O1806" i="16"/>
  <c r="W1796" i="16"/>
  <c r="W1790" i="16"/>
  <c r="W1807" i="16"/>
  <c r="W1801" i="16"/>
  <c r="O1810" i="16"/>
  <c r="W1812" i="16"/>
  <c r="V923" i="16"/>
  <c r="V1017" i="16"/>
  <c r="V852" i="16"/>
  <c r="V977" i="16"/>
  <c r="V698" i="16"/>
  <c r="V557" i="16"/>
  <c r="V911" i="16"/>
  <c r="V799" i="16"/>
  <c r="V644" i="16"/>
  <c r="V409" i="16"/>
  <c r="W502" i="16" s="1"/>
  <c r="V591" i="16"/>
  <c r="V957" i="16"/>
  <c r="V704" i="16"/>
  <c r="V606" i="16"/>
  <c r="V867" i="16"/>
  <c r="V809" i="16"/>
  <c r="V484" i="16"/>
  <c r="O1789" i="16"/>
  <c r="W1789" i="16"/>
  <c r="W1781" i="16"/>
  <c r="O1787" i="16"/>
  <c r="W1787" i="16"/>
  <c r="W1783" i="16"/>
  <c r="O1784" i="16"/>
  <c r="O1781" i="16"/>
  <c r="O1783" i="16"/>
  <c r="W1779" i="16"/>
  <c r="O1779" i="16"/>
  <c r="O1777" i="16"/>
  <c r="O1776" i="16"/>
  <c r="W1777" i="16"/>
  <c r="W1775" i="16"/>
  <c r="O1775" i="16"/>
  <c r="W1772" i="16"/>
  <c r="O1772" i="16"/>
  <c r="O1757" i="16"/>
  <c r="O1767" i="16"/>
  <c r="W1763" i="16"/>
  <c r="O1755" i="16"/>
  <c r="W1759" i="16"/>
  <c r="W1754" i="16"/>
  <c r="W1758" i="16"/>
  <c r="O1766" i="16"/>
  <c r="W1753" i="16"/>
  <c r="O1763" i="16"/>
  <c r="W1764" i="16"/>
  <c r="O1759" i="16"/>
  <c r="O1754" i="16"/>
  <c r="O1758" i="16"/>
  <c r="W1765" i="16"/>
  <c r="W1762" i="16"/>
  <c r="W1760" i="16"/>
  <c r="W1761" i="16"/>
  <c r="O1753" i="16"/>
  <c r="O1764" i="16"/>
  <c r="O1765" i="16"/>
  <c r="O1762" i="16"/>
  <c r="O1760" i="16"/>
  <c r="O1761" i="16"/>
  <c r="W1767" i="16"/>
  <c r="O1768" i="16"/>
  <c r="O1769" i="16"/>
  <c r="T1750" i="16"/>
  <c r="T1751" i="16"/>
  <c r="O1733" i="16"/>
  <c r="W1730" i="16"/>
  <c r="O1726" i="16"/>
  <c r="O1725" i="16"/>
  <c r="O1714" i="16"/>
  <c r="O1713" i="16"/>
  <c r="W1735" i="16"/>
  <c r="W1710" i="16"/>
  <c r="O1723" i="16"/>
  <c r="O1717" i="16"/>
  <c r="O1715" i="16"/>
  <c r="W1719" i="16"/>
  <c r="W1718" i="16"/>
  <c r="O7" i="16"/>
  <c r="O1747" i="16"/>
  <c r="O1654" i="16"/>
  <c r="O1740" i="16"/>
  <c r="W1652" i="16"/>
  <c r="W1736" i="16"/>
  <c r="O1730" i="16"/>
  <c r="W1741" i="16"/>
  <c r="W1724" i="16"/>
  <c r="O1737" i="16"/>
  <c r="O1735" i="16"/>
  <c r="O1710" i="16"/>
  <c r="W1712" i="16"/>
  <c r="W1716" i="16"/>
  <c r="W1729" i="16"/>
  <c r="W1722" i="16"/>
  <c r="W1720" i="16"/>
  <c r="W1708" i="16"/>
  <c r="O1749" i="16"/>
  <c r="O1719" i="16"/>
  <c r="O1718" i="16"/>
  <c r="O1653" i="16"/>
  <c r="O1738" i="16"/>
  <c r="O1742" i="16"/>
  <c r="O1739" i="16"/>
  <c r="O1652" i="16"/>
  <c r="O1736" i="16"/>
  <c r="O1741" i="16"/>
  <c r="W1728" i="16"/>
  <c r="O1724" i="16"/>
  <c r="W1709" i="16"/>
  <c r="W1721" i="16"/>
  <c r="O1734" i="16"/>
  <c r="O1712" i="16"/>
  <c r="O1716" i="16"/>
  <c r="O1729" i="16"/>
  <c r="O1722" i="16"/>
  <c r="O1711" i="16"/>
  <c r="O1720" i="16"/>
  <c r="O1708" i="16"/>
  <c r="W1732" i="16"/>
  <c r="O1748" i="16"/>
  <c r="W1739" i="16"/>
  <c r="W1742" i="16"/>
  <c r="W1654" i="16"/>
  <c r="W1740" i="16"/>
  <c r="W1733" i="16"/>
  <c r="O1728" i="16"/>
  <c r="W1726" i="16"/>
  <c r="W1714" i="16"/>
  <c r="O1709" i="16"/>
  <c r="O1721" i="16"/>
  <c r="W1723" i="16"/>
  <c r="W1715" i="16"/>
  <c r="W1717" i="16"/>
  <c r="O1732" i="16"/>
  <c r="W1747" i="16"/>
  <c r="W1707" i="16"/>
  <c r="O1707" i="16"/>
  <c r="W1706" i="16"/>
  <c r="O1706" i="16"/>
  <c r="O1705" i="16"/>
  <c r="W1705" i="16"/>
  <c r="O1702" i="16"/>
  <c r="O1695" i="16"/>
  <c r="O1694" i="16"/>
  <c r="W1693" i="16"/>
  <c r="O1701" i="16"/>
  <c r="W1700" i="16"/>
  <c r="O1693" i="16"/>
  <c r="W1697" i="16"/>
  <c r="W1699" i="16"/>
  <c r="O1700" i="16"/>
  <c r="O1697" i="16"/>
  <c r="O1699" i="16"/>
  <c r="W1695" i="16"/>
  <c r="W1701" i="16"/>
  <c r="O1635" i="16"/>
  <c r="O1661" i="16"/>
  <c r="W1651" i="16"/>
  <c r="O1632" i="16"/>
  <c r="O1669" i="16"/>
  <c r="W1638" i="16"/>
  <c r="O1685" i="16"/>
  <c r="W1637" i="16"/>
  <c r="O1681" i="16"/>
  <c r="O1644" i="16"/>
  <c r="O1660" i="16"/>
  <c r="O1682" i="16"/>
  <c r="W1688" i="16"/>
  <c r="W1630" i="16"/>
  <c r="W1643" i="16"/>
  <c r="W1639" i="16"/>
  <c r="W1640" i="16"/>
  <c r="W1687" i="16"/>
  <c r="O1657" i="16"/>
  <c r="O1651" i="16"/>
  <c r="W1663" i="16"/>
  <c r="O1638" i="16"/>
  <c r="O1665" i="16"/>
  <c r="W1673" i="16"/>
  <c r="O1637" i="16"/>
  <c r="W1677" i="16"/>
  <c r="O1684" i="16"/>
  <c r="O1631" i="16"/>
  <c r="W1667" i="16"/>
  <c r="W1649" i="16"/>
  <c r="W1648" i="16"/>
  <c r="W1670" i="16"/>
  <c r="O1688" i="16"/>
  <c r="W1678" i="16"/>
  <c r="O1630" i="16"/>
  <c r="O1643" i="16"/>
  <c r="O1639" i="16"/>
  <c r="O1640" i="16"/>
  <c r="O1675" i="16"/>
  <c r="O1687" i="16"/>
  <c r="W1645" i="16"/>
  <c r="W1641" i="16"/>
  <c r="W1680" i="16"/>
  <c r="W1676" i="16"/>
  <c r="W1635" i="16"/>
  <c r="W1661" i="16"/>
  <c r="O1663" i="16"/>
  <c r="W1668" i="16"/>
  <c r="W1664" i="16"/>
  <c r="O1673" i="16"/>
  <c r="O1677" i="16"/>
  <c r="O1659" i="16"/>
  <c r="O1667" i="16"/>
  <c r="O1649" i="16"/>
  <c r="O1648" i="16"/>
  <c r="O1670" i="16"/>
  <c r="R1670" i="16" s="1"/>
  <c r="W1686" i="16"/>
  <c r="W1656" i="16"/>
  <c r="W1633" i="16"/>
  <c r="W1642" i="16"/>
  <c r="W1662" i="16"/>
  <c r="O1678" i="16"/>
  <c r="W1650" i="16"/>
  <c r="W1647" i="16"/>
  <c r="O1629" i="16"/>
  <c r="W1679" i="16"/>
  <c r="O1645" i="16"/>
  <c r="O1641" i="16"/>
  <c r="O1680" i="16"/>
  <c r="O1676" i="16"/>
  <c r="W1683" i="16"/>
  <c r="O1668" i="16"/>
  <c r="W1632" i="16"/>
  <c r="W1669" i="16"/>
  <c r="O1664" i="16"/>
  <c r="W1685" i="16"/>
  <c r="W1681" i="16"/>
  <c r="W1644" i="16"/>
  <c r="W1660" i="16"/>
  <c r="W1682" i="16"/>
  <c r="O1686" i="16"/>
  <c r="O1634" i="16"/>
  <c r="O1656" i="16"/>
  <c r="O1633" i="16"/>
  <c r="O1642" i="16"/>
  <c r="O1662" i="16"/>
  <c r="O1655" i="16"/>
  <c r="O1650" i="16"/>
  <c r="O1647" i="16"/>
  <c r="O1679" i="16"/>
  <c r="W1657" i="16"/>
  <c r="O1628" i="16"/>
  <c r="O1683" i="16"/>
  <c r="W1627" i="16"/>
  <c r="O1626" i="16"/>
  <c r="R1626" i="16" s="1"/>
  <c r="W1624" i="16"/>
  <c r="O1627" i="16"/>
  <c r="R1627" i="16" s="1"/>
  <c r="O1625" i="16"/>
  <c r="R1625" i="16" s="1"/>
  <c r="O1624" i="16"/>
  <c r="W1626" i="16"/>
  <c r="O1619" i="16"/>
  <c r="O1616" i="16"/>
  <c r="W1620" i="16"/>
  <c r="O1617" i="16"/>
  <c r="O1614" i="16"/>
  <c r="W1619" i="16"/>
  <c r="O1620" i="16"/>
  <c r="W1618" i="16"/>
  <c r="W1615" i="16"/>
  <c r="O1621" i="16"/>
  <c r="O1615" i="16"/>
  <c r="O1618" i="16"/>
  <c r="W1617" i="16"/>
  <c r="W1612" i="16"/>
  <c r="O1612" i="16"/>
  <c r="O1605" i="16"/>
  <c r="O1608" i="16"/>
  <c r="O1609" i="16"/>
  <c r="W1611" i="16"/>
  <c r="O1607" i="16"/>
  <c r="W1600" i="16"/>
  <c r="O1602" i="16"/>
  <c r="W1603" i="16"/>
  <c r="W1610" i="16"/>
  <c r="W1601" i="16"/>
  <c r="O1611" i="16"/>
  <c r="W1606" i="16"/>
  <c r="O1600" i="16"/>
  <c r="W1604" i="16"/>
  <c r="O1603" i="16"/>
  <c r="O1610" i="16"/>
  <c r="O1601" i="16"/>
  <c r="W1599" i="16"/>
  <c r="W1605" i="16"/>
  <c r="W1608" i="16"/>
  <c r="W1609" i="16"/>
  <c r="O1606" i="16"/>
  <c r="O1604" i="16"/>
  <c r="O1599" i="16"/>
  <c r="W1594" i="16"/>
  <c r="O1596" i="16"/>
  <c r="O1595" i="16"/>
  <c r="O1594" i="16"/>
  <c r="O1593" i="16"/>
  <c r="O1592" i="16"/>
  <c r="W1593" i="16"/>
  <c r="O1512" i="16"/>
  <c r="O1571" i="16"/>
  <c r="W1512" i="16"/>
  <c r="W1571" i="16"/>
  <c r="W1566" i="16"/>
  <c r="O1561" i="16"/>
  <c r="W1559" i="16"/>
  <c r="W1555" i="16"/>
  <c r="O1589" i="16"/>
  <c r="O1586" i="16"/>
  <c r="W1584" i="16"/>
  <c r="W1581" i="16"/>
  <c r="W1556" i="16"/>
  <c r="W1578" i="16"/>
  <c r="O1576" i="16"/>
  <c r="W1554" i="16"/>
  <c r="O1510" i="16"/>
  <c r="O1569" i="16"/>
  <c r="O1566" i="16"/>
  <c r="W1564" i="16"/>
  <c r="O1559" i="16"/>
  <c r="O1558" i="16"/>
  <c r="O1555" i="16"/>
  <c r="O1588" i="16"/>
  <c r="W1568" i="16"/>
  <c r="W1590" i="16"/>
  <c r="O1584" i="16"/>
  <c r="O1581" i="16"/>
  <c r="O1556" i="16"/>
  <c r="O1578" i="16"/>
  <c r="W1579" i="16"/>
  <c r="M5" i="16"/>
  <c r="O1554" i="16"/>
  <c r="O1564" i="16"/>
  <c r="W1572" i="16"/>
  <c r="W1557" i="16"/>
  <c r="O1568" i="16"/>
  <c r="O1590" i="16"/>
  <c r="W1563" i="16"/>
  <c r="W1562" i="16"/>
  <c r="W1580" i="16"/>
  <c r="W1587" i="16"/>
  <c r="W1553" i="16"/>
  <c r="W1583" i="16"/>
  <c r="W1582" i="16"/>
  <c r="O1552" i="16"/>
  <c r="O1579" i="16"/>
  <c r="W1570" i="16"/>
  <c r="W1573" i="16"/>
  <c r="O1573" i="16"/>
  <c r="O1570" i="16"/>
  <c r="O1572" i="16"/>
  <c r="W1561" i="16"/>
  <c r="O1557" i="16"/>
  <c r="W1589" i="16"/>
  <c r="W1586" i="16"/>
  <c r="O1567" i="16"/>
  <c r="O1563" i="16"/>
  <c r="O1580" i="16"/>
  <c r="O1562" i="16"/>
  <c r="O1587" i="16"/>
  <c r="O1553" i="16"/>
  <c r="O1585" i="16"/>
  <c r="O1583" i="16"/>
  <c r="O1582" i="16"/>
  <c r="W1576" i="16"/>
  <c r="O1551" i="16"/>
  <c r="O1550" i="16"/>
  <c r="W1550" i="16"/>
  <c r="O1543" i="16"/>
  <c r="O1548" i="16"/>
  <c r="W1549" i="16"/>
  <c r="O1546" i="16"/>
  <c r="W1545" i="16"/>
  <c r="O1549" i="16"/>
  <c r="W1547" i="16"/>
  <c r="W1544" i="16"/>
  <c r="O1541" i="16"/>
  <c r="O1545" i="16"/>
  <c r="O1547" i="16"/>
  <c r="O1544" i="16"/>
  <c r="W1543" i="16"/>
  <c r="W1546" i="16"/>
  <c r="W1539" i="16"/>
  <c r="O1539" i="16"/>
  <c r="O1534" i="16"/>
  <c r="O1529" i="16"/>
  <c r="O1535" i="16"/>
  <c r="W1522" i="16"/>
  <c r="W1521" i="16"/>
  <c r="O1524" i="16"/>
  <c r="O1523" i="16"/>
  <c r="W1530" i="16"/>
  <c r="O1538" i="16"/>
  <c r="O1522" i="16"/>
  <c r="W1527" i="16"/>
  <c r="O1533" i="16"/>
  <c r="O1521" i="16"/>
  <c r="W1537" i="16"/>
  <c r="W1532" i="16"/>
  <c r="O1520" i="16"/>
  <c r="O1530" i="16"/>
  <c r="W1528" i="16"/>
  <c r="O1527" i="16"/>
  <c r="W1536" i="16"/>
  <c r="O1537" i="16"/>
  <c r="O1532" i="16"/>
  <c r="W1531" i="16"/>
  <c r="W1534" i="16"/>
  <c r="W1529" i="16"/>
  <c r="W1535" i="16"/>
  <c r="O1528" i="16"/>
  <c r="O1536" i="16"/>
  <c r="O1531" i="16"/>
  <c r="W1517" i="16"/>
  <c r="O1517" i="16"/>
  <c r="W1516" i="16"/>
  <c r="O1516" i="16"/>
  <c r="W1427" i="16"/>
  <c r="W1504" i="16"/>
  <c r="O1487" i="16"/>
  <c r="O1474" i="16"/>
  <c r="W1503" i="16"/>
  <c r="W1502" i="16"/>
  <c r="O1495" i="16"/>
  <c r="O1470" i="16"/>
  <c r="O1494" i="16"/>
  <c r="O1477" i="16"/>
  <c r="W1481" i="16"/>
  <c r="W1484" i="16"/>
  <c r="W1493" i="16"/>
  <c r="O1499" i="16"/>
  <c r="O1504" i="16"/>
  <c r="W1489" i="16"/>
  <c r="O1503" i="16"/>
  <c r="O1478" i="16"/>
  <c r="O1468" i="16"/>
  <c r="O1486" i="16"/>
  <c r="O1502" i="16"/>
  <c r="O1501" i="16"/>
  <c r="W1496" i="16"/>
  <c r="W1490" i="16"/>
  <c r="O1481" i="16"/>
  <c r="O1471" i="16"/>
  <c r="O1493" i="16"/>
  <c r="O1484" i="16"/>
  <c r="W1483" i="16"/>
  <c r="W1479" i="16"/>
  <c r="W1419" i="16"/>
  <c r="W1491" i="16"/>
  <c r="O1475" i="16"/>
  <c r="O1489" i="16"/>
  <c r="W1511" i="16"/>
  <c r="W1485" i="16"/>
  <c r="O1476" i="16"/>
  <c r="O1473" i="16"/>
  <c r="O1509" i="16"/>
  <c r="O1496" i="16"/>
  <c r="O1490" i="16"/>
  <c r="W1488" i="16"/>
  <c r="W1500" i="16"/>
  <c r="W1506" i="16"/>
  <c r="W1480" i="16"/>
  <c r="W1497" i="16"/>
  <c r="W1482" i="16"/>
  <c r="O1515" i="16"/>
  <c r="O1483" i="16"/>
  <c r="O1479" i="16"/>
  <c r="W1492" i="16"/>
  <c r="W1513" i="16"/>
  <c r="O1513" i="16"/>
  <c r="O1492" i="16"/>
  <c r="O1419" i="16"/>
  <c r="O1491" i="16"/>
  <c r="O1511" i="16"/>
  <c r="W1487" i="16"/>
  <c r="O1485" i="16"/>
  <c r="W1495" i="16"/>
  <c r="W1494" i="16"/>
  <c r="O1508" i="16"/>
  <c r="O1500" i="16"/>
  <c r="O1480" i="16"/>
  <c r="O1488" i="16"/>
  <c r="O1506" i="16"/>
  <c r="O1498" i="16"/>
  <c r="O1497" i="16"/>
  <c r="O1482" i="16"/>
  <c r="W1499" i="16"/>
  <c r="O1514" i="16"/>
  <c r="W1473" i="16"/>
  <c r="W1476" i="16"/>
  <c r="W1478" i="16"/>
  <c r="W1468" i="16"/>
  <c r="W1475" i="16"/>
  <c r="W1470" i="16"/>
  <c r="W1477" i="16"/>
  <c r="O1454" i="16"/>
  <c r="O1455" i="16"/>
  <c r="W1457" i="16"/>
  <c r="O1464" i="16"/>
  <c r="O1453" i="16"/>
  <c r="W1466" i="16"/>
  <c r="O1463" i="16"/>
  <c r="W1461" i="16"/>
  <c r="W1462" i="16"/>
  <c r="W1452" i="16"/>
  <c r="O1460" i="16"/>
  <c r="O1450" i="16"/>
  <c r="W1453" i="16"/>
  <c r="O1457" i="16"/>
  <c r="W1465" i="16"/>
  <c r="O1466" i="16"/>
  <c r="W1459" i="16"/>
  <c r="O1461" i="16"/>
  <c r="O1462" i="16"/>
  <c r="O1452" i="16"/>
  <c r="W1458" i="16"/>
  <c r="O1451" i="16"/>
  <c r="W1460" i="16"/>
  <c r="W1450" i="16"/>
  <c r="W1451" i="16"/>
  <c r="O1465" i="16"/>
  <c r="O1459" i="16"/>
  <c r="O1458" i="16"/>
  <c r="W1443" i="16"/>
  <c r="W1416" i="16"/>
  <c r="W1442" i="16"/>
  <c r="W1445" i="16"/>
  <c r="O1415" i="16"/>
  <c r="W1364" i="16"/>
  <c r="W1423" i="16"/>
  <c r="O1417" i="16"/>
  <c r="O1441" i="16"/>
  <c r="O1427" i="16"/>
  <c r="W1418" i="16"/>
  <c r="O1448" i="16"/>
  <c r="O1447" i="16"/>
  <c r="O1435" i="16"/>
  <c r="O1434" i="16"/>
  <c r="W1439" i="16"/>
  <c r="W1431" i="16"/>
  <c r="O1443" i="16"/>
  <c r="O1416" i="16"/>
  <c r="O1445" i="16"/>
  <c r="O1442" i="16"/>
  <c r="W1428" i="16"/>
  <c r="W1448" i="16"/>
  <c r="O1364" i="16"/>
  <c r="O1423" i="16"/>
  <c r="O1362" i="16"/>
  <c r="O1440" i="16"/>
  <c r="O1418" i="16"/>
  <c r="W1421" i="16"/>
  <c r="W1424" i="16"/>
  <c r="W1426" i="16"/>
  <c r="O1420" i="16"/>
  <c r="O1431" i="16"/>
  <c r="O1439" i="16"/>
  <c r="W1429" i="16"/>
  <c r="W1433" i="16"/>
  <c r="W1437" i="16"/>
  <c r="W1446" i="16"/>
  <c r="W1432" i="16"/>
  <c r="W1430" i="16"/>
  <c r="O1428" i="16"/>
  <c r="W1435" i="16"/>
  <c r="W1425" i="16"/>
  <c r="W1422" i="16"/>
  <c r="O1425" i="16"/>
  <c r="O1422" i="16"/>
  <c r="O1421" i="16"/>
  <c r="O1424" i="16"/>
  <c r="W1417" i="16"/>
  <c r="O1426" i="16"/>
  <c r="W1441" i="16"/>
  <c r="O1438" i="16"/>
  <c r="O1429" i="16"/>
  <c r="O1433" i="16"/>
  <c r="O1437" i="16"/>
  <c r="O1446" i="16"/>
  <c r="O1444" i="16"/>
  <c r="O1432" i="16"/>
  <c r="O1430" i="16"/>
  <c r="W1415" i="16"/>
  <c r="W1414" i="16"/>
  <c r="O1413" i="16"/>
  <c r="O1414" i="16"/>
  <c r="O1412" i="16"/>
  <c r="O1411" i="16"/>
  <c r="R1411" i="16" s="1"/>
  <c r="O1407" i="16"/>
  <c r="W1410" i="16"/>
  <c r="O1408" i="16"/>
  <c r="O1410" i="16"/>
  <c r="W1405" i="16"/>
  <c r="W1406" i="16"/>
  <c r="W1337" i="16"/>
  <c r="O1404" i="16"/>
  <c r="W1409" i="16"/>
  <c r="O1409" i="16"/>
  <c r="O1405" i="16"/>
  <c r="O1406" i="16"/>
  <c r="O1337" i="16"/>
  <c r="W1408" i="16"/>
  <c r="O1403" i="16"/>
  <c r="R1403" i="16" s="1"/>
  <c r="W1402" i="16"/>
  <c r="O1402" i="16"/>
  <c r="O1391" i="16"/>
  <c r="O1392" i="16"/>
  <c r="O1393" i="16"/>
  <c r="W1399" i="16"/>
  <c r="O1394" i="16"/>
  <c r="W1398" i="16"/>
  <c r="O1395" i="16"/>
  <c r="W1390" i="16"/>
  <c r="W1401" i="16"/>
  <c r="O1399" i="16"/>
  <c r="W1396" i="16"/>
  <c r="O1398" i="16"/>
  <c r="W1400" i="16"/>
  <c r="O1390" i="16"/>
  <c r="O1401" i="16"/>
  <c r="W1397" i="16"/>
  <c r="W1391" i="16"/>
  <c r="W1392" i="16"/>
  <c r="W1393" i="16"/>
  <c r="O1396" i="16"/>
  <c r="O1400" i="16"/>
  <c r="O1397" i="16"/>
  <c r="W1386" i="16"/>
  <c r="O1387" i="16"/>
  <c r="O1388" i="16"/>
  <c r="O1386" i="16"/>
  <c r="O1384" i="16"/>
  <c r="O1385" i="16"/>
  <c r="R1385" i="16" s="1"/>
  <c r="W1358" i="16"/>
  <c r="W1385" i="16"/>
  <c r="O1382" i="16"/>
  <c r="R1382" i="16" s="1"/>
  <c r="O1383" i="16"/>
  <c r="O1352" i="16"/>
  <c r="W1369" i="16"/>
  <c r="O1379" i="16"/>
  <c r="W1360" i="16"/>
  <c r="W1374" i="16"/>
  <c r="O1371" i="16"/>
  <c r="O1349" i="16"/>
  <c r="O1368" i="16"/>
  <c r="O1373" i="16"/>
  <c r="O1377" i="16"/>
  <c r="O1350" i="16"/>
  <c r="O1348" i="16"/>
  <c r="W1339" i="16"/>
  <c r="W1361" i="16"/>
  <c r="O1355" i="16"/>
  <c r="W1366" i="16"/>
  <c r="W1357" i="16"/>
  <c r="O1374" i="16"/>
  <c r="O1360" i="16"/>
  <c r="W1354" i="16"/>
  <c r="W1353" i="16"/>
  <c r="W1378" i="16"/>
  <c r="W1370" i="16"/>
  <c r="W1375" i="16"/>
  <c r="W1372" i="16"/>
  <c r="O1381" i="16"/>
  <c r="O1369" i="16"/>
  <c r="W1351" i="16"/>
  <c r="W1348" i="16"/>
  <c r="W1371" i="16"/>
  <c r="O1358" i="16"/>
  <c r="W1355" i="16"/>
  <c r="O1351" i="16"/>
  <c r="W1367" i="16"/>
  <c r="W1363" i="16"/>
  <c r="O1363" i="16"/>
  <c r="O1367" i="16"/>
  <c r="O1339" i="16"/>
  <c r="O1361" i="16"/>
  <c r="O1366" i="16"/>
  <c r="W1352" i="16"/>
  <c r="O1357" i="16"/>
  <c r="W1373" i="16"/>
  <c r="W1377" i="16"/>
  <c r="O1359" i="16"/>
  <c r="O1378" i="16"/>
  <c r="O1370" i="16"/>
  <c r="O1354" i="16"/>
  <c r="O1353" i="16"/>
  <c r="O1376" i="16"/>
  <c r="O1375" i="16"/>
  <c r="O1372" i="16"/>
  <c r="O1380" i="16"/>
  <c r="T1365" i="16"/>
  <c r="W1349" i="16"/>
  <c r="W1368" i="16"/>
  <c r="O1344" i="16"/>
  <c r="V9" i="16"/>
  <c r="O1347" i="16"/>
  <c r="O1346" i="16"/>
  <c r="O1341" i="16"/>
  <c r="W1346" i="16"/>
  <c r="O1343" i="16"/>
  <c r="W1345" i="16"/>
  <c r="W1342" i="16"/>
  <c r="O1340" i="16"/>
  <c r="O1345" i="16"/>
  <c r="O1342" i="16"/>
  <c r="W1343" i="16"/>
  <c r="W1341" i="16"/>
  <c r="O1338" i="16"/>
  <c r="W379" i="16"/>
  <c r="O379" i="16"/>
  <c r="W1336" i="16"/>
  <c r="O1336" i="16"/>
  <c r="O1333" i="16"/>
  <c r="O1335" i="16"/>
  <c r="O1325" i="16"/>
  <c r="W1322" i="16"/>
  <c r="W1321" i="16"/>
  <c r="O1323" i="16"/>
  <c r="O1324" i="16"/>
  <c r="W1326" i="16"/>
  <c r="O1329" i="16"/>
  <c r="O1322" i="16"/>
  <c r="W1328" i="16"/>
  <c r="O1332" i="16"/>
  <c r="O1321" i="16"/>
  <c r="W1334" i="16"/>
  <c r="W1327" i="16"/>
  <c r="O1326" i="16"/>
  <c r="W1320" i="16"/>
  <c r="O1328" i="16"/>
  <c r="W1330" i="16"/>
  <c r="O1334" i="16"/>
  <c r="O1327" i="16"/>
  <c r="W1331" i="16"/>
  <c r="W1333" i="16"/>
  <c r="W1335" i="16"/>
  <c r="W1325" i="16"/>
  <c r="O140" i="16"/>
  <c r="O1320" i="16"/>
  <c r="R1320" i="16" s="1"/>
  <c r="O1330" i="16"/>
  <c r="O1331" i="16"/>
  <c r="W1319" i="16"/>
  <c r="O1319" i="16"/>
  <c r="M572" i="16"/>
  <c r="O1318" i="16"/>
  <c r="W1318" i="16"/>
  <c r="W1245" i="16"/>
  <c r="W1307" i="16"/>
  <c r="W1293" i="16"/>
  <c r="O1291" i="16"/>
  <c r="O1311" i="16"/>
  <c r="O1243" i="16"/>
  <c r="O1303" i="16"/>
  <c r="W1300" i="16"/>
  <c r="O1296" i="16"/>
  <c r="V654" i="16"/>
  <c r="O1313" i="16"/>
  <c r="O1293" i="16"/>
  <c r="O1290" i="16"/>
  <c r="W1306" i="16"/>
  <c r="W1292" i="16"/>
  <c r="O1309" i="16"/>
  <c r="O1317" i="16"/>
  <c r="O1294" i="16"/>
  <c r="O1312" i="16"/>
  <c r="W1316" i="16"/>
  <c r="W1296" i="16"/>
  <c r="W1309" i="16"/>
  <c r="O1245" i="16"/>
  <c r="O1307" i="16"/>
  <c r="W1242" i="16"/>
  <c r="W1302" i="16"/>
  <c r="O1300" i="16"/>
  <c r="W1305" i="16"/>
  <c r="W1315" i="16"/>
  <c r="O1306" i="16"/>
  <c r="O1292" i="16"/>
  <c r="W1314" i="16"/>
  <c r="W1295" i="16"/>
  <c r="W1299" i="16"/>
  <c r="W1289" i="16"/>
  <c r="W1288" i="16"/>
  <c r="W1308" i="16"/>
  <c r="V35" i="16"/>
  <c r="O1287" i="16"/>
  <c r="O1316" i="16"/>
  <c r="O1297" i="16"/>
  <c r="W1317" i="16"/>
  <c r="W1294" i="16"/>
  <c r="W1312" i="16"/>
  <c r="W1244" i="16"/>
  <c r="W1304" i="16"/>
  <c r="O1244" i="16"/>
  <c r="O1304" i="16"/>
  <c r="O1242" i="16"/>
  <c r="O1302" i="16"/>
  <c r="O1305" i="16"/>
  <c r="W1297" i="16"/>
  <c r="O1315" i="16"/>
  <c r="W1291" i="16"/>
  <c r="W1311" i="16"/>
  <c r="V129" i="16"/>
  <c r="O1301" i="16"/>
  <c r="O1314" i="16"/>
  <c r="O1295" i="16"/>
  <c r="O1299" i="16"/>
  <c r="O1289" i="16"/>
  <c r="O1310" i="16"/>
  <c r="O1288" i="16"/>
  <c r="O1308" i="16"/>
  <c r="V17" i="16"/>
  <c r="O1286" i="16"/>
  <c r="O1278" i="16"/>
  <c r="R1278" i="16" s="1"/>
  <c r="W1277" i="16"/>
  <c r="W1283" i="16"/>
  <c r="O1281" i="16"/>
  <c r="V782" i="16"/>
  <c r="O1279" i="16"/>
  <c r="W1280" i="16"/>
  <c r="O1283" i="16"/>
  <c r="W1284" i="16"/>
  <c r="W1282" i="16"/>
  <c r="O1285" i="16"/>
  <c r="O1280" i="16"/>
  <c r="O1284" i="16"/>
  <c r="O1282" i="16"/>
  <c r="W1281" i="16"/>
  <c r="O1272" i="16"/>
  <c r="O1273" i="16"/>
  <c r="W1265" i="16"/>
  <c r="O1266" i="16"/>
  <c r="O1277" i="16"/>
  <c r="R1277" i="16" s="1"/>
  <c r="T1358" i="16" s="1"/>
  <c r="W1267" i="16"/>
  <c r="O1274" i="16"/>
  <c r="O1265" i="16"/>
  <c r="O1270" i="16"/>
  <c r="W1271" i="16"/>
  <c r="W1269" i="16"/>
  <c r="W1268" i="16"/>
  <c r="O1267" i="16"/>
  <c r="W1275" i="16"/>
  <c r="O1271" i="16"/>
  <c r="O1269" i="16"/>
  <c r="O1268" i="16"/>
  <c r="W1276" i="16"/>
  <c r="W1272" i="16"/>
  <c r="W1273" i="16"/>
  <c r="O1275" i="16"/>
  <c r="O1276" i="16"/>
  <c r="V33" i="16"/>
  <c r="V922" i="16"/>
  <c r="V912" i="16"/>
  <c r="V860" i="16"/>
  <c r="V199" i="16"/>
  <c r="V1018" i="16"/>
  <c r="V951" i="16"/>
  <c r="V756" i="16"/>
  <c r="V629" i="16"/>
  <c r="V603" i="16"/>
  <c r="V382" i="16"/>
  <c r="V786" i="16"/>
  <c r="W282" i="16"/>
  <c r="V681" i="16"/>
  <c r="V485" i="16"/>
  <c r="V43" i="16"/>
  <c r="V1004" i="16"/>
  <c r="V927" i="16"/>
  <c r="V734" i="16"/>
  <c r="V309" i="16"/>
  <c r="V264" i="16"/>
  <c r="V154" i="16"/>
  <c r="V77" i="16"/>
  <c r="V1116" i="16"/>
  <c r="V335" i="16"/>
  <c r="V1066" i="16"/>
  <c r="V808" i="16"/>
  <c r="V800" i="16"/>
  <c r="V838" i="16"/>
  <c r="V594" i="16"/>
  <c r="V261" i="16"/>
  <c r="V234" i="16"/>
  <c r="V401" i="16"/>
  <c r="V1057" i="16"/>
  <c r="V892" i="16"/>
  <c r="V748" i="16"/>
  <c r="V616" i="16"/>
  <c r="V544" i="16"/>
  <c r="V504" i="16"/>
  <c r="V349" i="16"/>
  <c r="V273" i="16"/>
  <c r="O9" i="16"/>
  <c r="V709" i="16"/>
  <c r="V327" i="16"/>
  <c r="V932" i="16"/>
  <c r="V875" i="16"/>
  <c r="V814" i="16"/>
  <c r="V765" i="16"/>
  <c r="V1040" i="16"/>
  <c r="V986" i="16"/>
  <c r="V561" i="16"/>
  <c r="V414" i="16"/>
  <c r="V68" i="16"/>
  <c r="V431" i="16"/>
  <c r="W1054" i="16"/>
  <c r="V733" i="16"/>
  <c r="O1054" i="16"/>
  <c r="V950" i="16"/>
  <c r="V553" i="16"/>
  <c r="V313" i="16"/>
  <c r="W48" i="16"/>
  <c r="V785" i="16"/>
  <c r="V1003" i="16"/>
  <c r="V871" i="16"/>
  <c r="V865" i="16"/>
  <c r="V481" i="16"/>
  <c r="V76" i="16"/>
  <c r="V1122" i="16"/>
  <c r="W1825" i="16" s="1"/>
  <c r="V984" i="16"/>
  <c r="V680" i="16"/>
  <c r="V263" i="16"/>
  <c r="V826" i="16"/>
  <c r="W871" i="16" s="1"/>
  <c r="V1052" i="16"/>
  <c r="V884" i="16"/>
  <c r="O551" i="16"/>
  <c r="W237" i="16"/>
  <c r="W978" i="16"/>
  <c r="V179" i="16"/>
  <c r="V1049" i="16"/>
  <c r="V981" i="16"/>
  <c r="V369" i="16"/>
  <c r="V828" i="16"/>
  <c r="V822" i="16"/>
  <c r="V567" i="16"/>
  <c r="V318" i="16"/>
  <c r="V281" i="16"/>
  <c r="V61" i="16"/>
  <c r="W1238" i="16"/>
  <c r="W1234" i="16"/>
  <c r="O1240" i="16"/>
  <c r="O1232" i="16"/>
  <c r="O1261" i="16"/>
  <c r="O1251" i="16"/>
  <c r="O1263" i="16"/>
  <c r="M21" i="16"/>
  <c r="O1253" i="16"/>
  <c r="O1262" i="16"/>
  <c r="W1230" i="16"/>
  <c r="W1241" i="16"/>
  <c r="W1257" i="16"/>
  <c r="W1256" i="16"/>
  <c r="W1247" i="16"/>
  <c r="W1237" i="16"/>
  <c r="W1236" i="16"/>
  <c r="W1250" i="16"/>
  <c r="W1260" i="16"/>
  <c r="W1264" i="16"/>
  <c r="W1258" i="16"/>
  <c r="W1254" i="16"/>
  <c r="W1248" i="16"/>
  <c r="W1231" i="16"/>
  <c r="W1246" i="16"/>
  <c r="W1252" i="16"/>
  <c r="W1249" i="16"/>
  <c r="W1235" i="16"/>
  <c r="W1233" i="16"/>
  <c r="O1235" i="16"/>
  <c r="O1233" i="16"/>
  <c r="O1230" i="16"/>
  <c r="O1241" i="16"/>
  <c r="O1257" i="16"/>
  <c r="O1256" i="16"/>
  <c r="O1247" i="16"/>
  <c r="O1255" i="16"/>
  <c r="O1236" i="16"/>
  <c r="O1237" i="16"/>
  <c r="O1260" i="16"/>
  <c r="O1250" i="16"/>
  <c r="O1264" i="16"/>
  <c r="O1259" i="16"/>
  <c r="O1258" i="16"/>
  <c r="O1254" i="16"/>
  <c r="O1248" i="16"/>
  <c r="O1231" i="16"/>
  <c r="O1246" i="16"/>
  <c r="O1252" i="16"/>
  <c r="O1249" i="16"/>
  <c r="O1234" i="16"/>
  <c r="O1238" i="16"/>
  <c r="W1240" i="16"/>
  <c r="W1251" i="16"/>
  <c r="W21" i="16"/>
  <c r="W1253" i="16"/>
  <c r="O1229" i="16"/>
  <c r="W1229" i="16"/>
  <c r="V1138" i="16"/>
  <c r="W1224" i="16"/>
  <c r="V1128" i="16"/>
  <c r="W1228" i="16"/>
  <c r="W34" i="16"/>
  <c r="O1228" i="16"/>
  <c r="O1225" i="16"/>
  <c r="O1226" i="16"/>
  <c r="O1217" i="16"/>
  <c r="O13" i="16"/>
  <c r="O1207" i="16"/>
  <c r="O1222" i="16"/>
  <c r="O1224" i="16"/>
  <c r="W1227" i="16"/>
  <c r="W1210" i="16"/>
  <c r="W1212" i="16"/>
  <c r="W1218" i="16"/>
  <c r="W1208" i="16"/>
  <c r="W1206" i="16"/>
  <c r="O1209" i="16"/>
  <c r="M67" i="16"/>
  <c r="O1215" i="16"/>
  <c r="O33" i="16"/>
  <c r="O1216" i="16"/>
  <c r="O1213" i="16"/>
  <c r="O1227" i="16"/>
  <c r="O1210" i="16"/>
  <c r="O1214" i="16"/>
  <c r="O1212" i="16"/>
  <c r="O139" i="16"/>
  <c r="O1218" i="16"/>
  <c r="O1223" i="16"/>
  <c r="O1208" i="16"/>
  <c r="O1206" i="16"/>
  <c r="R1206" i="16" s="1"/>
  <c r="O1219" i="16"/>
  <c r="W1211" i="16"/>
  <c r="W1222" i="16"/>
  <c r="O1220" i="16"/>
  <c r="O1221" i="16"/>
  <c r="W1225" i="16"/>
  <c r="W1226" i="16"/>
  <c r="W1220" i="16"/>
  <c r="W1209" i="16"/>
  <c r="W1215" i="16"/>
  <c r="W1217" i="16"/>
  <c r="W13" i="16"/>
  <c r="W1207" i="16"/>
  <c r="W1213" i="16"/>
  <c r="O1211" i="16"/>
  <c r="O265" i="16"/>
  <c r="O1194" i="16"/>
  <c r="O45" i="16"/>
  <c r="O1185" i="16"/>
  <c r="O1204" i="16"/>
  <c r="M17" i="16"/>
  <c r="O1203" i="16"/>
  <c r="W925" i="16"/>
  <c r="W1178" i="16"/>
  <c r="W1171" i="16"/>
  <c r="O1173" i="16"/>
  <c r="M654" i="16"/>
  <c r="O1174" i="16"/>
  <c r="O1144" i="16"/>
  <c r="O1182" i="16"/>
  <c r="M1122" i="16"/>
  <c r="O1180" i="16"/>
  <c r="M980" i="16"/>
  <c r="O1175" i="16"/>
  <c r="W949" i="16"/>
  <c r="W1172" i="16"/>
  <c r="M925" i="16"/>
  <c r="O1178" i="16"/>
  <c r="W863" i="16"/>
  <c r="W1200" i="16"/>
  <c r="O1171" i="16"/>
  <c r="R1171" i="16" s="1"/>
  <c r="W705" i="16"/>
  <c r="W1177" i="16"/>
  <c r="W510" i="16"/>
  <c r="W1198" i="16"/>
  <c r="W223" i="16"/>
  <c r="W1197" i="16"/>
  <c r="W1196" i="16"/>
  <c r="W168" i="16"/>
  <c r="W1191" i="16"/>
  <c r="W127" i="16"/>
  <c r="W1193" i="16"/>
  <c r="W1192" i="16"/>
  <c r="W1201" i="16"/>
  <c r="W1202" i="16"/>
  <c r="W115" i="16"/>
  <c r="W1205" i="16"/>
  <c r="W56" i="16"/>
  <c r="W1189" i="16"/>
  <c r="W1188" i="16"/>
  <c r="W36" i="16"/>
  <c r="W1183" i="16"/>
  <c r="W1199" i="16"/>
  <c r="W1187" i="16"/>
  <c r="W20" i="16"/>
  <c r="W1186" i="16"/>
  <c r="W1184" i="16"/>
  <c r="W980" i="16"/>
  <c r="W1175" i="16"/>
  <c r="M949" i="16"/>
  <c r="O1172" i="16"/>
  <c r="M705" i="16"/>
  <c r="O1177" i="16"/>
  <c r="O510" i="16"/>
  <c r="O1198" i="16"/>
  <c r="M223" i="16"/>
  <c r="O1197" i="16"/>
  <c r="M174" i="16"/>
  <c r="O1196" i="16"/>
  <c r="O1191" i="16"/>
  <c r="O129" i="16"/>
  <c r="O1195" i="16"/>
  <c r="O1193" i="16"/>
  <c r="O1201" i="16"/>
  <c r="O1192" i="16"/>
  <c r="O1202" i="16"/>
  <c r="M115" i="16"/>
  <c r="O1205" i="16"/>
  <c r="O58" i="16"/>
  <c r="O1190" i="16"/>
  <c r="M56" i="16"/>
  <c r="O1189" i="16"/>
  <c r="M46" i="16"/>
  <c r="O1188" i="16"/>
  <c r="O36" i="16"/>
  <c r="O1183" i="16"/>
  <c r="O1199" i="16"/>
  <c r="M22" i="16"/>
  <c r="O1187" i="16"/>
  <c r="M20" i="16"/>
  <c r="O1186" i="16"/>
  <c r="M18" i="16"/>
  <c r="O1184" i="16"/>
  <c r="W1144" i="16"/>
  <c r="W1182" i="16"/>
  <c r="W1145" i="16"/>
  <c r="W1181" i="16"/>
  <c r="W1121" i="16"/>
  <c r="W1176" i="16"/>
  <c r="O1200" i="16"/>
  <c r="O1145" i="16"/>
  <c r="O1181" i="16"/>
  <c r="O1121" i="16"/>
  <c r="O1176" i="16"/>
  <c r="W706" i="16"/>
  <c r="W1173" i="16"/>
  <c r="W265" i="16"/>
  <c r="W45" i="16"/>
  <c r="W1185" i="16"/>
  <c r="W1170" i="16"/>
  <c r="O1170" i="16"/>
  <c r="R1170" i="16" s="1"/>
  <c r="O575" i="16"/>
  <c r="O1164" i="16"/>
  <c r="O1167" i="16"/>
  <c r="M150" i="16"/>
  <c r="O1166" i="16"/>
  <c r="O31" i="16"/>
  <c r="M1058" i="16"/>
  <c r="O1165" i="16"/>
  <c r="O837" i="16"/>
  <c r="O1168" i="16"/>
  <c r="W62" i="16"/>
  <c r="O1163" i="16"/>
  <c r="O1162" i="16"/>
  <c r="M38" i="16"/>
  <c r="O1169" i="16"/>
  <c r="O20" i="16"/>
  <c r="O17" i="16"/>
  <c r="W837" i="16"/>
  <c r="W1168" i="16"/>
  <c r="W676" i="16"/>
  <c r="W1162" i="16"/>
  <c r="W38" i="16"/>
  <c r="W1058" i="16"/>
  <c r="W1165" i="16"/>
  <c r="W575" i="16"/>
  <c r="W1164" i="16"/>
  <c r="W1167" i="16"/>
  <c r="W150" i="16"/>
  <c r="W1166" i="16"/>
  <c r="W974" i="16"/>
  <c r="W810" i="16"/>
  <c r="O55" i="16"/>
  <c r="R55" i="16" s="1"/>
  <c r="W1161" i="16"/>
  <c r="M173" i="16"/>
  <c r="O1161" i="16"/>
  <c r="O222" i="16"/>
  <c r="O220" i="16"/>
  <c r="O216" i="16"/>
  <c r="O954" i="16"/>
  <c r="W609" i="16"/>
  <c r="O563" i="16"/>
  <c r="O421" i="16"/>
  <c r="W1083" i="16"/>
  <c r="W1063" i="16"/>
  <c r="W511" i="16"/>
  <c r="W119" i="16"/>
  <c r="W108" i="16"/>
  <c r="W1112" i="16"/>
  <c r="O654" i="16"/>
  <c r="O367" i="16"/>
  <c r="O319" i="16"/>
  <c r="O312" i="16"/>
  <c r="M512" i="16"/>
  <c r="O511" i="16"/>
  <c r="W821" i="16"/>
  <c r="O144" i="16"/>
  <c r="W979" i="16"/>
  <c r="W696" i="16"/>
  <c r="W242" i="16"/>
  <c r="O1042" i="16"/>
  <c r="O819" i="16"/>
  <c r="O95" i="16"/>
  <c r="O53" i="16"/>
  <c r="O1083" i="16"/>
  <c r="O778" i="16"/>
  <c r="W661" i="16"/>
  <c r="W145" i="16"/>
  <c r="O44" i="16"/>
  <c r="W752" i="16"/>
  <c r="W84" i="16"/>
  <c r="O952" i="16"/>
  <c r="O131" i="16"/>
  <c r="O86" i="16"/>
  <c r="W70" i="16"/>
  <c r="W902" i="16"/>
  <c r="W1015" i="16"/>
  <c r="W520" i="16"/>
  <c r="W53" i="16"/>
  <c r="W987" i="16"/>
  <c r="O932" i="16"/>
  <c r="W918" i="16"/>
  <c r="W430" i="16"/>
  <c r="W422" i="16"/>
  <c r="W397" i="16"/>
  <c r="W393" i="16"/>
  <c r="W344" i="16"/>
  <c r="W340" i="16"/>
  <c r="W328" i="16"/>
  <c r="W564" i="16"/>
  <c r="O250" i="16"/>
  <c r="O90" i="16"/>
  <c r="W778" i="16"/>
  <c r="O767" i="16"/>
  <c r="O700" i="16"/>
  <c r="W675" i="16"/>
  <c r="O560" i="16"/>
  <c r="W541" i="16"/>
  <c r="W537" i="16"/>
  <c r="O430" i="16"/>
  <c r="W286" i="16"/>
  <c r="W251" i="16"/>
  <c r="W89" i="16"/>
  <c r="O28" i="16"/>
  <c r="W1142" i="16"/>
  <c r="O1136" i="16"/>
  <c r="O1133" i="16"/>
  <c r="O1111" i="16"/>
  <c r="O1109" i="16"/>
  <c r="W1059" i="16"/>
  <c r="O770" i="16"/>
  <c r="W639" i="16"/>
  <c r="O527" i="16"/>
  <c r="W473" i="16"/>
  <c r="W367" i="16"/>
  <c r="W361" i="16"/>
  <c r="W359" i="16"/>
  <c r="W357" i="16"/>
  <c r="W353" i="16"/>
  <c r="W190" i="16"/>
  <c r="W423" i="16"/>
  <c r="W159" i="16"/>
  <c r="W71" i="16"/>
  <c r="O158" i="16"/>
  <c r="W517" i="16"/>
  <c r="O1097" i="16"/>
  <c r="O1093" i="16"/>
  <c r="O1089" i="16"/>
  <c r="O1075" i="16"/>
  <c r="W967" i="16"/>
  <c r="W930" i="16"/>
  <c r="W901" i="16"/>
  <c r="W890" i="16"/>
  <c r="W690" i="16"/>
  <c r="O687" i="16"/>
  <c r="W641" i="16"/>
  <c r="O957" i="16"/>
  <c r="W500" i="16"/>
  <c r="W402" i="16"/>
  <c r="W347" i="16"/>
  <c r="W225" i="16"/>
  <c r="W60" i="16"/>
  <c r="W26" i="16"/>
  <c r="O1095" i="16"/>
  <c r="O1091" i="16"/>
  <c r="O1087" i="16"/>
  <c r="O1081" i="16"/>
  <c r="O1079" i="16"/>
  <c r="O1073" i="16"/>
  <c r="O1071" i="16"/>
  <c r="O1010" i="16"/>
  <c r="W1127" i="16"/>
  <c r="O1120" i="16"/>
  <c r="O1117" i="16"/>
  <c r="W1028" i="16"/>
  <c r="W1026" i="16"/>
  <c r="W1024" i="16"/>
  <c r="O1019" i="16"/>
  <c r="W1011" i="16"/>
  <c r="W1001" i="16"/>
  <c r="W907" i="16"/>
  <c r="O904" i="16"/>
  <c r="W770" i="16"/>
  <c r="O769" i="16"/>
  <c r="O738" i="16"/>
  <c r="W730" i="16"/>
  <c r="W936" i="16"/>
  <c r="W717" i="16"/>
  <c r="W670" i="16"/>
  <c r="O667" i="16"/>
  <c r="W621" i="16"/>
  <c r="W619" i="16"/>
  <c r="O625" i="16"/>
  <c r="O477" i="16"/>
  <c r="O453" i="16"/>
  <c r="W449" i="16"/>
  <c r="W439" i="16"/>
  <c r="W429" i="16"/>
  <c r="W425" i="16"/>
  <c r="W378" i="16"/>
  <c r="W333" i="16"/>
  <c r="M319" i="16"/>
  <c r="W304" i="16"/>
  <c r="W255" i="16"/>
  <c r="W243" i="16"/>
  <c r="W217" i="16"/>
  <c r="W215" i="16"/>
  <c r="W332" i="16"/>
  <c r="W185" i="16"/>
  <c r="W176" i="16"/>
  <c r="W166" i="16"/>
  <c r="O153" i="16"/>
  <c r="W137" i="16"/>
  <c r="O81" i="16"/>
  <c r="O110" i="16"/>
  <c r="O49" i="16"/>
  <c r="M28" i="16"/>
  <c r="W1106" i="16"/>
  <c r="O1103" i="16"/>
  <c r="W1133" i="16"/>
  <c r="W1109" i="16"/>
  <c r="O1088" i="16"/>
  <c r="O1084" i="16"/>
  <c r="O1082" i="16"/>
  <c r="O1076" i="16"/>
  <c r="O1064" i="16"/>
  <c r="O1062" i="16"/>
  <c r="R1062" i="16" s="1"/>
  <c r="O1060" i="16"/>
  <c r="O1056" i="16"/>
  <c r="V1048" i="16"/>
  <c r="W1044" i="16"/>
  <c r="O1030" i="16"/>
  <c r="O996" i="16"/>
  <c r="W921" i="16"/>
  <c r="W840" i="16"/>
  <c r="W803" i="16"/>
  <c r="O791" i="16"/>
  <c r="W755" i="16"/>
  <c r="W739" i="16"/>
  <c r="O726" i="16"/>
  <c r="W693" i="16"/>
  <c r="O615" i="16"/>
  <c r="W937" i="16"/>
  <c r="O599" i="16"/>
  <c r="W589" i="16"/>
  <c r="W585" i="16"/>
  <c r="W573" i="16"/>
  <c r="O716" i="16"/>
  <c r="O553" i="16"/>
  <c r="O532" i="16"/>
  <c r="W507" i="16"/>
  <c r="W513" i="16"/>
  <c r="M453" i="16"/>
  <c r="O416" i="16"/>
  <c r="W412" i="16"/>
  <c r="W390" i="16"/>
  <c r="O352" i="16"/>
  <c r="O292" i="16"/>
  <c r="O160" i="16"/>
  <c r="W156" i="16"/>
  <c r="W142" i="16"/>
  <c r="O137" i="16"/>
  <c r="O120" i="16"/>
  <c r="O100" i="16"/>
  <c r="M49" i="16"/>
  <c r="O41" i="16"/>
  <c r="M36" i="16"/>
  <c r="O15" i="16"/>
  <c r="O8" i="16"/>
  <c r="M501" i="16"/>
  <c r="O960" i="16"/>
  <c r="O965" i="16"/>
  <c r="W467" i="16"/>
  <c r="W819" i="16"/>
  <c r="M69" i="16"/>
  <c r="O235" i="16"/>
  <c r="O145" i="16"/>
  <c r="O815" i="16"/>
  <c r="O617" i="16"/>
  <c r="M54" i="16"/>
  <c r="O961" i="16"/>
  <c r="O968" i="16"/>
  <c r="O1005" i="16"/>
  <c r="O577" i="16"/>
  <c r="W123" i="16"/>
  <c r="W443" i="16"/>
  <c r="W847" i="16"/>
  <c r="W30" i="16"/>
  <c r="W1156" i="16"/>
  <c r="W231" i="16"/>
  <c r="M25" i="16"/>
  <c r="O981" i="16"/>
  <c r="W99" i="16"/>
  <c r="W3" i="16"/>
  <c r="W141" i="16"/>
  <c r="W28" i="16"/>
  <c r="W1140" i="16"/>
  <c r="O971" i="16"/>
  <c r="W935" i="16"/>
  <c r="O910" i="16"/>
  <c r="W943" i="16"/>
  <c r="W886" i="16"/>
  <c r="M879" i="16"/>
  <c r="V879" i="16"/>
  <c r="O813" i="16"/>
  <c r="M813" i="16"/>
  <c r="O793" i="16"/>
  <c r="O774" i="16"/>
  <c r="O887" i="16"/>
  <c r="M772" i="16"/>
  <c r="O941" i="16"/>
  <c r="O1047" i="16"/>
  <c r="O676" i="16"/>
  <c r="M676" i="16"/>
  <c r="O943" i="16"/>
  <c r="M471" i="16"/>
  <c r="O471" i="16"/>
  <c r="O568" i="16"/>
  <c r="O936" i="16"/>
  <c r="O469" i="16"/>
  <c r="O1155" i="16"/>
  <c r="O879" i="16"/>
  <c r="O988" i="16"/>
  <c r="M469" i="16"/>
  <c r="M130" i="16"/>
  <c r="O696" i="16"/>
  <c r="O790" i="16"/>
  <c r="M790" i="16"/>
  <c r="O706" i="16"/>
  <c r="O1029" i="16"/>
  <c r="W716" i="16"/>
  <c r="W771" i="16"/>
  <c r="O995" i="16"/>
  <c r="O708" i="16"/>
  <c r="W624" i="16"/>
  <c r="W726" i="16"/>
  <c r="M549" i="16"/>
  <c r="O911" i="16"/>
  <c r="O1104" i="16"/>
  <c r="O1100" i="16"/>
  <c r="O1098" i="16"/>
  <c r="O1096" i="16"/>
  <c r="O1092" i="16"/>
  <c r="O1080" i="16"/>
  <c r="O1072" i="16"/>
  <c r="O1070" i="16"/>
  <c r="O1068" i="16"/>
  <c r="O1063" i="16"/>
  <c r="R1063" i="16" s="1"/>
  <c r="W939" i="16"/>
  <c r="O857" i="16"/>
  <c r="O851" i="16"/>
  <c r="W798" i="16"/>
  <c r="O797" i="16"/>
  <c r="M797" i="16"/>
  <c r="W940" i="16"/>
  <c r="W835" i="16"/>
  <c r="W729" i="16"/>
  <c r="W834" i="16"/>
  <c r="W888" i="16"/>
  <c r="W572" i="16"/>
  <c r="W1157" i="16"/>
  <c r="W880" i="16"/>
  <c r="W991" i="16"/>
  <c r="W474" i="16"/>
  <c r="W722" i="16"/>
  <c r="W1051" i="16"/>
  <c r="W388" i="16"/>
  <c r="W684" i="16"/>
  <c r="W868" i="16"/>
  <c r="M333" i="16"/>
  <c r="O948" i="16"/>
  <c r="W325" i="16"/>
  <c r="O300" i="16"/>
  <c r="O740" i="16"/>
  <c r="M298" i="16"/>
  <c r="O581" i="16"/>
  <c r="O902" i="16"/>
  <c r="O692" i="16"/>
  <c r="O257" i="16"/>
  <c r="M257" i="16"/>
  <c r="O637" i="16"/>
  <c r="O1011" i="16"/>
  <c r="M170" i="16"/>
  <c r="O500" i="16"/>
  <c r="W719" i="16"/>
  <c r="W823" i="16"/>
  <c r="W1114" i="16"/>
  <c r="M1144" i="16"/>
  <c r="W1099" i="16"/>
  <c r="W1091" i="16"/>
  <c r="W1079" i="16"/>
  <c r="W1061" i="16"/>
  <c r="O1043" i="16"/>
  <c r="W989" i="16"/>
  <c r="W1031" i="16"/>
  <c r="W807" i="16"/>
  <c r="W859" i="16"/>
  <c r="O712" i="16"/>
  <c r="M712" i="16"/>
  <c r="M588" i="16"/>
  <c r="O850" i="16"/>
  <c r="O955" i="16"/>
  <c r="W498" i="16"/>
  <c r="W512" i="16"/>
  <c r="W493" i="16"/>
  <c r="W738" i="16"/>
  <c r="W790" i="16"/>
  <c r="M483" i="16"/>
  <c r="O556" i="16"/>
  <c r="O1039" i="16"/>
  <c r="W1020" i="16"/>
  <c r="O998" i="16"/>
  <c r="W994" i="16"/>
  <c r="O989" i="16"/>
  <c r="W963" i="16"/>
  <c r="W946" i="16"/>
  <c r="W878" i="16"/>
  <c r="W873" i="16"/>
  <c r="O862" i="16"/>
  <c r="W864" i="16"/>
  <c r="W817" i="16"/>
  <c r="W805" i="16"/>
  <c r="W794" i="16"/>
  <c r="W792" i="16"/>
  <c r="W763" i="16"/>
  <c r="W761" i="16"/>
  <c r="W759" i="16"/>
  <c r="W725" i="16"/>
  <c r="W723" i="16"/>
  <c r="W713" i="16"/>
  <c r="O695" i="16"/>
  <c r="W686" i="16"/>
  <c r="O683" i="16"/>
  <c r="O670" i="16"/>
  <c r="W667" i="16"/>
  <c r="W635" i="16"/>
  <c r="O572" i="16"/>
  <c r="O1157" i="16"/>
  <c r="W565" i="16"/>
  <c r="O523" i="16"/>
  <c r="O504" i="16"/>
  <c r="W451" i="16"/>
  <c r="W447" i="16"/>
  <c r="O437" i="16"/>
  <c r="M437" i="16"/>
  <c r="W399" i="16"/>
  <c r="W365" i="16"/>
  <c r="W277" i="16"/>
  <c r="W260" i="16"/>
  <c r="W306" i="16"/>
  <c r="W239" i="16"/>
  <c r="W1159" i="16"/>
  <c r="W235" i="16"/>
  <c r="W274" i="16"/>
  <c r="W173" i="16"/>
  <c r="W262" i="16"/>
  <c r="W58" i="16"/>
  <c r="W294" i="16"/>
  <c r="O35" i="16"/>
  <c r="O154" i="16"/>
  <c r="O1069" i="16"/>
  <c r="O1067" i="16"/>
  <c r="O1065" i="16"/>
  <c r="O1059" i="16"/>
  <c r="O1046" i="16"/>
  <c r="W1038" i="16"/>
  <c r="W1033" i="16"/>
  <c r="O1022" i="16"/>
  <c r="W1016" i="16"/>
  <c r="O1015" i="16"/>
  <c r="W1012" i="16"/>
  <c r="O1009" i="16"/>
  <c r="W999" i="16"/>
  <c r="W997" i="16"/>
  <c r="W990" i="16"/>
  <c r="O963" i="16"/>
  <c r="W964" i="16"/>
  <c r="W931" i="16"/>
  <c r="O926" i="16"/>
  <c r="W924" i="16"/>
  <c r="W906" i="16"/>
  <c r="W843" i="16"/>
  <c r="O817" i="16"/>
  <c r="W812" i="16"/>
  <c r="W789" i="16"/>
  <c r="O773" i="16"/>
  <c r="W714" i="16"/>
  <c r="W701" i="16"/>
  <c r="O679" i="16"/>
  <c r="W668" i="16"/>
  <c r="O635" i="16"/>
  <c r="W623" i="16"/>
  <c r="W620" i="16"/>
  <c r="W618" i="16"/>
  <c r="O564" i="16"/>
  <c r="W534" i="16"/>
  <c r="W519" i="16"/>
  <c r="W491" i="16"/>
  <c r="O404" i="16"/>
  <c r="O330" i="16"/>
  <c r="M330" i="16"/>
  <c r="W312" i="16"/>
  <c r="W352" i="16"/>
  <c r="M169" i="16"/>
  <c r="O169" i="16"/>
  <c r="O306" i="16"/>
  <c r="M118" i="16"/>
  <c r="O159" i="16"/>
  <c r="O413" i="16"/>
  <c r="O51" i="16"/>
  <c r="O491" i="16"/>
  <c r="W41" i="16"/>
  <c r="W111" i="16"/>
  <c r="O1112" i="16"/>
  <c r="W1102" i="16"/>
  <c r="W1100" i="16"/>
  <c r="W1076" i="16"/>
  <c r="W1068" i="16"/>
  <c r="O1055" i="16"/>
  <c r="O1050" i="16"/>
  <c r="W1045" i="16"/>
  <c r="W1043" i="16"/>
  <c r="O1033" i="16"/>
  <c r="O1001" i="16"/>
  <c r="W982" i="16"/>
  <c r="O979" i="16"/>
  <c r="W969" i="16"/>
  <c r="W959" i="16"/>
  <c r="W954" i="16"/>
  <c r="W952" i="16"/>
  <c r="W945" i="16"/>
  <c r="O934" i="16"/>
  <c r="O906" i="16"/>
  <c r="O890" i="16"/>
  <c r="O874" i="16"/>
  <c r="O861" i="16"/>
  <c r="W848" i="16"/>
  <c r="W829" i="16"/>
  <c r="O801" i="16"/>
  <c r="W793" i="16"/>
  <c r="W776" i="16"/>
  <c r="W772" i="16"/>
  <c r="W769" i="16"/>
  <c r="O766" i="16"/>
  <c r="W762" i="16"/>
  <c r="W758" i="16"/>
  <c r="O747" i="16"/>
  <c r="W731" i="16"/>
  <c r="W712" i="16"/>
  <c r="O699" i="16"/>
  <c r="O691" i="16"/>
  <c r="O672" i="16"/>
  <c r="O668" i="16"/>
  <c r="W666" i="16"/>
  <c r="W574" i="16"/>
  <c r="M551" i="16"/>
  <c r="O475" i="16"/>
  <c r="O1158" i="16"/>
  <c r="W469" i="16"/>
  <c r="O429" i="16"/>
  <c r="M429" i="16"/>
  <c r="M418" i="16"/>
  <c r="O418" i="16"/>
  <c r="W407" i="16"/>
  <c r="M404" i="16"/>
  <c r="O385" i="16"/>
  <c r="M385" i="16"/>
  <c r="O351" i="16"/>
  <c r="M351" i="16"/>
  <c r="W331" i="16"/>
  <c r="W376" i="16"/>
  <c r="O314" i="16"/>
  <c r="W187" i="16"/>
  <c r="W320" i="16"/>
  <c r="W226" i="16"/>
  <c r="W278" i="16"/>
  <c r="W174" i="16"/>
  <c r="W222" i="16"/>
  <c r="W1154" i="16"/>
  <c r="W146" i="16"/>
  <c r="W82" i="16"/>
  <c r="W254" i="16"/>
  <c r="W206" i="16"/>
  <c r="W67" i="16"/>
  <c r="W73" i="16"/>
  <c r="M29" i="16"/>
  <c r="O29" i="16"/>
  <c r="W400" i="16"/>
  <c r="W391" i="16"/>
  <c r="W374" i="16"/>
  <c r="W370" i="16"/>
  <c r="O347" i="16"/>
  <c r="W343" i="16"/>
  <c r="O331" i="16"/>
  <c r="O328" i="16"/>
  <c r="W323" i="16"/>
  <c r="W321" i="16"/>
  <c r="W310" i="16"/>
  <c r="W308" i="16"/>
  <c r="W305" i="16"/>
  <c r="W301" i="16"/>
  <c r="W288" i="16"/>
  <c r="W280" i="16"/>
  <c r="W268" i="16"/>
  <c r="W258" i="16"/>
  <c r="W245" i="16"/>
  <c r="M239" i="16"/>
  <c r="O1159" i="16"/>
  <c r="W233" i="16"/>
  <c r="W228" i="16"/>
  <c r="O174" i="16"/>
  <c r="O173" i="16"/>
  <c r="W164" i="16"/>
  <c r="W160" i="16"/>
  <c r="O148" i="16"/>
  <c r="O1154" i="16"/>
  <c r="W143" i="16"/>
  <c r="M139" i="16"/>
  <c r="O1149" i="16"/>
  <c r="W158" i="16"/>
  <c r="W103" i="16"/>
  <c r="W96" i="16"/>
  <c r="O93" i="16"/>
  <c r="O91" i="16"/>
  <c r="O82" i="16"/>
  <c r="W75" i="16"/>
  <c r="O109" i="16"/>
  <c r="R109" i="16" s="1"/>
  <c r="O67" i="16"/>
  <c r="O1156" i="16"/>
  <c r="W27" i="16"/>
  <c r="W1148" i="16"/>
  <c r="O21" i="16"/>
  <c r="O12" i="16"/>
  <c r="M9" i="16"/>
  <c r="O1147" i="16"/>
  <c r="O443" i="16"/>
  <c r="W418" i="16"/>
  <c r="O417" i="16"/>
  <c r="W389" i="16"/>
  <c r="O370" i="16"/>
  <c r="W368" i="16"/>
  <c r="W356" i="16"/>
  <c r="W354" i="16"/>
  <c r="W346" i="16"/>
  <c r="W341" i="16"/>
  <c r="O336" i="16"/>
  <c r="O334" i="16"/>
  <c r="M331" i="16"/>
  <c r="W329" i="16"/>
  <c r="M328" i="16"/>
  <c r="W324" i="16"/>
  <c r="W319" i="16"/>
  <c r="W276" i="16"/>
  <c r="M265" i="16"/>
  <c r="W221" i="16"/>
  <c r="O208" i="16"/>
  <c r="W188" i="16"/>
  <c r="W184" i="16"/>
  <c r="W180" i="16"/>
  <c r="W138" i="16"/>
  <c r="O124" i="16"/>
  <c r="W120" i="16"/>
  <c r="W92" i="16"/>
  <c r="O85" i="16"/>
  <c r="W81" i="16"/>
  <c r="O142" i="16"/>
  <c r="O63" i="16"/>
  <c r="O50" i="16"/>
  <c r="O27" i="16"/>
  <c r="O1148" i="16"/>
  <c r="W14" i="16"/>
  <c r="W1151" i="16"/>
  <c r="W4" i="16"/>
  <c r="W1152" i="16"/>
  <c r="W535" i="16"/>
  <c r="W521" i="16"/>
  <c r="O515" i="16"/>
  <c r="O486" i="16"/>
  <c r="W477" i="16"/>
  <c r="W475" i="16"/>
  <c r="W1158" i="16"/>
  <c r="W471" i="16"/>
  <c r="W468" i="16"/>
  <c r="O461" i="16"/>
  <c r="O446" i="16"/>
  <c r="O439" i="16"/>
  <c r="O431" i="16"/>
  <c r="M430" i="16"/>
  <c r="W424" i="16"/>
  <c r="W421" i="16"/>
  <c r="W419" i="16"/>
  <c r="W404" i="16"/>
  <c r="O401" i="16"/>
  <c r="W377" i="16"/>
  <c r="O376" i="16"/>
  <c r="O375" i="16"/>
  <c r="W373" i="16"/>
  <c r="W371" i="16"/>
  <c r="O362" i="16"/>
  <c r="O360" i="16"/>
  <c r="O354" i="16"/>
  <c r="W351" i="16"/>
  <c r="O350" i="16"/>
  <c r="O346" i="16"/>
  <c r="W342" i="16"/>
  <c r="O332" i="16"/>
  <c r="W330" i="16"/>
  <c r="W322" i="16"/>
  <c r="O311" i="16"/>
  <c r="W300" i="16"/>
  <c r="W298" i="16"/>
  <c r="W290" i="16"/>
  <c r="W283" i="16"/>
  <c r="W279" i="16"/>
  <c r="O256" i="16"/>
  <c r="W250" i="16"/>
  <c r="W232" i="16"/>
  <c r="W163" i="16"/>
  <c r="W139" i="16"/>
  <c r="W1149" i="16"/>
  <c r="W130" i="16"/>
  <c r="W95" i="16"/>
  <c r="W54" i="16"/>
  <c r="W51" i="16"/>
  <c r="O71" i="16"/>
  <c r="M33" i="16"/>
  <c r="O1153" i="16"/>
  <c r="O1150" i="16"/>
  <c r="O11" i="16"/>
  <c r="O1151" i="16"/>
  <c r="M4" i="16"/>
  <c r="O1152" i="16"/>
  <c r="AP610" i="13"/>
  <c r="AK610" i="13"/>
  <c r="AS610" i="13"/>
  <c r="AT610" i="13" s="1"/>
  <c r="AJ610" i="13"/>
  <c r="AK611" i="13"/>
  <c r="AJ611" i="13"/>
  <c r="AP611" i="13"/>
  <c r="AS611" i="13"/>
  <c r="AT611" i="13" s="1"/>
  <c r="AQ611" i="13"/>
  <c r="W1130" i="16"/>
  <c r="M1104" i="16"/>
  <c r="W1137" i="16"/>
  <c r="W1135" i="16"/>
  <c r="W1139" i="16"/>
  <c r="W1123" i="16"/>
  <c r="W1120" i="16"/>
  <c r="O1135" i="16"/>
  <c r="O1119" i="16"/>
  <c r="K607" i="13"/>
  <c r="T607" i="13"/>
  <c r="Q1123" i="16"/>
  <c r="Q1135" i="16"/>
  <c r="Q1119" i="16"/>
  <c r="O1138" i="16"/>
  <c r="AL607" i="13" a="1"/>
  <c r="AL607" i="13" s="1"/>
  <c r="G607" i="13"/>
  <c r="G608" i="13"/>
  <c r="O1122" i="16"/>
  <c r="W1110" i="16"/>
  <c r="O976" i="16"/>
  <c r="O973" i="16"/>
  <c r="M935" i="16"/>
  <c r="O935" i="16"/>
  <c r="M1145" i="16"/>
  <c r="W1034" i="16"/>
  <c r="M1015" i="16"/>
  <c r="M1014" i="16"/>
  <c r="M944" i="16"/>
  <c r="O944" i="16"/>
  <c r="O1049" i="16"/>
  <c r="O1034" i="16"/>
  <c r="O993" i="16"/>
  <c r="O949" i="16"/>
  <c r="V948" i="16"/>
  <c r="W941" i="16"/>
  <c r="M939" i="16"/>
  <c r="O939" i="16"/>
  <c r="O1114" i="16"/>
  <c r="R1114" i="16" s="1"/>
  <c r="O1058" i="16"/>
  <c r="O1025" i="16"/>
  <c r="O1013" i="16"/>
  <c r="M910" i="16"/>
  <c r="W1062" i="16"/>
  <c r="O891" i="16"/>
  <c r="O883" i="16"/>
  <c r="W972" i="16"/>
  <c r="O843" i="16"/>
  <c r="O831" i="16"/>
  <c r="O818" i="16"/>
  <c r="W862" i="16"/>
  <c r="O806" i="16"/>
  <c r="O799" i="16"/>
  <c r="O787" i="16"/>
  <c r="M774" i="16"/>
  <c r="M773" i="16"/>
  <c r="O762" i="16"/>
  <c r="M726" i="16"/>
  <c r="M706" i="16"/>
  <c r="O702" i="16"/>
  <c r="M700" i="16"/>
  <c r="M672" i="16"/>
  <c r="W830" i="16"/>
  <c r="O928" i="16"/>
  <c r="O924" i="16"/>
  <c r="W975" i="16"/>
  <c r="O919" i="16"/>
  <c r="W903" i="16"/>
  <c r="O900" i="16"/>
  <c r="M890" i="16"/>
  <c r="M857" i="16"/>
  <c r="O855" i="16"/>
  <c r="O783" i="16"/>
  <c r="O779" i="16"/>
  <c r="M766" i="16"/>
  <c r="O742" i="16"/>
  <c r="O694" i="16"/>
  <c r="O678" i="16"/>
  <c r="O661" i="16"/>
  <c r="W917" i="16"/>
  <c r="V891" i="16"/>
  <c r="W1877" i="16" s="1"/>
  <c r="W985" i="16"/>
  <c r="W983" i="16"/>
  <c r="M523" i="16"/>
  <c r="O368" i="16"/>
  <c r="M360" i="16"/>
  <c r="M354" i="16"/>
  <c r="O344" i="16"/>
  <c r="M336" i="16"/>
  <c r="M334" i="16"/>
  <c r="O304" i="16"/>
  <c r="W201" i="16"/>
  <c r="W266" i="16"/>
  <c r="M163" i="16"/>
  <c r="O163" i="16"/>
  <c r="W162" i="16"/>
  <c r="W742" i="16"/>
  <c r="O624" i="16"/>
  <c r="O605" i="16"/>
  <c r="O601" i="16"/>
  <c r="M564" i="16"/>
  <c r="M563" i="16"/>
  <c r="M532" i="16"/>
  <c r="M475" i="16"/>
  <c r="O517" i="16"/>
  <c r="M443" i="16"/>
  <c r="M421" i="16"/>
  <c r="M417" i="16"/>
  <c r="M416" i="16"/>
  <c r="M312" i="16"/>
  <c r="O282" i="16"/>
  <c r="R282" i="16" s="1"/>
  <c r="M256" i="16"/>
  <c r="M250" i="16"/>
  <c r="M214" i="16"/>
  <c r="O214" i="16"/>
  <c r="W186" i="16"/>
  <c r="W230" i="16"/>
  <c r="O634" i="16"/>
  <c r="O583" i="16"/>
  <c r="W581" i="16"/>
  <c r="O536" i="16"/>
  <c r="O488" i="16"/>
  <c r="M486" i="16"/>
  <c r="O479" i="16"/>
  <c r="O459" i="16"/>
  <c r="W458" i="16"/>
  <c r="M376" i="16"/>
  <c r="M367" i="16"/>
  <c r="M362" i="16"/>
  <c r="M332" i="16"/>
  <c r="O609" i="16"/>
  <c r="R609" i="16" s="1"/>
  <c r="O573" i="16"/>
  <c r="O537" i="16"/>
  <c r="O513" i="16"/>
  <c r="O467" i="16"/>
  <c r="M314" i="16"/>
  <c r="W229" i="16"/>
  <c r="O210" i="16"/>
  <c r="O209" i="16"/>
  <c r="O487" i="16"/>
  <c r="O167" i="16"/>
  <c r="M153" i="16"/>
  <c r="M137" i="16"/>
  <c r="M129" i="16"/>
  <c r="O121" i="16"/>
  <c r="O116" i="16"/>
  <c r="O105" i="16"/>
  <c r="R105" i="16" s="1"/>
  <c r="T1747" i="16" s="1"/>
  <c r="O77" i="16"/>
  <c r="W72" i="16"/>
  <c r="O70" i="16"/>
  <c r="O59" i="16"/>
  <c r="R59" i="16" s="1"/>
  <c r="O48" i="16"/>
  <c r="M45" i="16"/>
  <c r="M44" i="16"/>
  <c r="O32" i="16"/>
  <c r="O19" i="16"/>
  <c r="M13" i="16"/>
  <c r="M12" i="16"/>
  <c r="W207" i="16"/>
  <c r="W161" i="16"/>
  <c r="O147" i="16"/>
  <c r="O136" i="16"/>
  <c r="W134" i="16"/>
  <c r="O78" i="16"/>
  <c r="M52" i="16"/>
  <c r="R52" i="16" s="1"/>
  <c r="U72" i="16" s="1" a="1"/>
  <c r="U72" i="16" s="1"/>
  <c r="M51" i="16"/>
  <c r="M48" i="16"/>
  <c r="M16" i="16"/>
  <c r="R16" i="16" s="1"/>
  <c r="O240" i="16"/>
  <c r="M222" i="16"/>
  <c r="W181" i="16"/>
  <c r="O157" i="16"/>
  <c r="O156" i="16"/>
  <c r="O150" i="16"/>
  <c r="O149" i="16"/>
  <c r="O138" i="16"/>
  <c r="O133" i="16"/>
  <c r="O119" i="16"/>
  <c r="W109" i="16"/>
  <c r="W107" i="16"/>
  <c r="M93" i="16"/>
  <c r="O89" i="16"/>
  <c r="W50" i="16"/>
  <c r="O38" i="16"/>
  <c r="O25" i="16"/>
  <c r="O23" i="16"/>
  <c r="O26" i="16"/>
  <c r="O6" i="16"/>
  <c r="R6" i="16" s="1"/>
  <c r="O918" i="16"/>
  <c r="M918" i="16"/>
  <c r="W791" i="16"/>
  <c r="W846" i="16"/>
  <c r="W673" i="16"/>
  <c r="W887" i="16"/>
  <c r="W774" i="16"/>
  <c r="W898" i="16"/>
  <c r="W839" i="16"/>
  <c r="W545" i="16"/>
  <c r="W749" i="16"/>
  <c r="W387" i="16"/>
  <c r="W842" i="16"/>
  <c r="W900" i="16"/>
  <c r="W736" i="16"/>
  <c r="W692" i="16"/>
  <c r="O371" i="16"/>
  <c r="M371" i="16"/>
  <c r="O524" i="16"/>
  <c r="O569" i="16"/>
  <c r="O720" i="16"/>
  <c r="W364" i="16"/>
  <c r="W617" i="16"/>
  <c r="W664" i="16"/>
  <c r="W710" i="16"/>
  <c r="W516" i="16"/>
  <c r="W815" i="16"/>
  <c r="W362" i="16"/>
  <c r="W413" i="16"/>
  <c r="W463" i="16"/>
  <c r="W708" i="16"/>
  <c r="W874" i="16"/>
  <c r="W560" i="16"/>
  <c r="O340" i="16"/>
  <c r="M340" i="16"/>
  <c r="O633" i="16"/>
  <c r="O533" i="16"/>
  <c r="O684" i="16"/>
  <c r="M302" i="16"/>
  <c r="O393" i="16"/>
  <c r="O495" i="16"/>
  <c r="O585" i="16"/>
  <c r="W19" i="16"/>
  <c r="W106" i="16"/>
  <c r="W49" i="16"/>
  <c r="W8" i="16"/>
  <c r="W135" i="16"/>
  <c r="W133" i="16"/>
  <c r="W155" i="16"/>
  <c r="W178" i="16"/>
  <c r="W435" i="16"/>
  <c r="W480" i="16"/>
  <c r="W552" i="16"/>
  <c r="W604" i="16"/>
  <c r="W601" i="16"/>
  <c r="W1146" i="16"/>
  <c r="W1134" i="16"/>
  <c r="M1133" i="16"/>
  <c r="O1126" i="16"/>
  <c r="W1125" i="16"/>
  <c r="O1123" i="16"/>
  <c r="M1120" i="16"/>
  <c r="W1118" i="16"/>
  <c r="M1117" i="16"/>
  <c r="O1113" i="16"/>
  <c r="M1112" i="16"/>
  <c r="M1109" i="16"/>
  <c r="W1104" i="16"/>
  <c r="W1103" i="16"/>
  <c r="O1102" i="16"/>
  <c r="W1101" i="16"/>
  <c r="O1099" i="16"/>
  <c r="M1098" i="16"/>
  <c r="M1097" i="16"/>
  <c r="M1096" i="16"/>
  <c r="W1094" i="16"/>
  <c r="M1093" i="16"/>
  <c r="M1092" i="16"/>
  <c r="W1090" i="16"/>
  <c r="M1089" i="16"/>
  <c r="M1088" i="16"/>
  <c r="W1086" i="16"/>
  <c r="M1084" i="16"/>
  <c r="W1082" i="16"/>
  <c r="M1082" i="16"/>
  <c r="M1081" i="16"/>
  <c r="M1080" i="16"/>
  <c r="W1078" i="16"/>
  <c r="M1076" i="16"/>
  <c r="W1074" i="16"/>
  <c r="M1073" i="16"/>
  <c r="M1072" i="16"/>
  <c r="W1070" i="16"/>
  <c r="M1070" i="16"/>
  <c r="M1069" i="16"/>
  <c r="M1068" i="16"/>
  <c r="M1065" i="16"/>
  <c r="M1064" i="16"/>
  <c r="M1062" i="16"/>
  <c r="M1060" i="16"/>
  <c r="M1056" i="16"/>
  <c r="W1053" i="16"/>
  <c r="O1053" i="16"/>
  <c r="R1053" i="16" s="1"/>
  <c r="W1042" i="16"/>
  <c r="W1039" i="16"/>
  <c r="M1039" i="16"/>
  <c r="O1038" i="16"/>
  <c r="W1029" i="16"/>
  <c r="O1026" i="16"/>
  <c r="W1021" i="16"/>
  <c r="W1013" i="16"/>
  <c r="W1008" i="16"/>
  <c r="W1007" i="16"/>
  <c r="M1001" i="16"/>
  <c r="O999" i="16"/>
  <c r="O994" i="16"/>
  <c r="O990" i="16"/>
  <c r="O982" i="16"/>
  <c r="M979" i="16"/>
  <c r="M963" i="16"/>
  <c r="W956" i="16"/>
  <c r="W953" i="16"/>
  <c r="W933" i="16"/>
  <c r="W929" i="16"/>
  <c r="O929" i="16"/>
  <c r="W928" i="16"/>
  <c r="O923" i="16"/>
  <c r="W913" i="16"/>
  <c r="O907" i="16"/>
  <c r="W895" i="16"/>
  <c r="M861" i="16"/>
  <c r="O854" i="16"/>
  <c r="W850" i="16"/>
  <c r="O870" i="16"/>
  <c r="O903" i="16"/>
  <c r="W858" i="16"/>
  <c r="O821" i="16"/>
  <c r="M821" i="16"/>
  <c r="M795" i="16"/>
  <c r="V795" i="16"/>
  <c r="W849" i="16" s="1"/>
  <c r="O789" i="16"/>
  <c r="M789" i="16"/>
  <c r="O782" i="16"/>
  <c r="O892" i="16"/>
  <c r="O838" i="16"/>
  <c r="M782" i="16"/>
  <c r="M763" i="16"/>
  <c r="O763" i="16"/>
  <c r="O757" i="16"/>
  <c r="M757" i="16"/>
  <c r="M750" i="16"/>
  <c r="O802" i="16"/>
  <c r="W745" i="16"/>
  <c r="M732" i="16"/>
  <c r="O732" i="16"/>
  <c r="O688" i="16"/>
  <c r="O912" i="16"/>
  <c r="M688" i="16"/>
  <c r="O748" i="16"/>
  <c r="M663" i="16"/>
  <c r="O875" i="16"/>
  <c r="O814" i="16"/>
  <c r="M640" i="16"/>
  <c r="O795" i="16"/>
  <c r="O908" i="16"/>
  <c r="M597" i="16"/>
  <c r="O803" i="16"/>
  <c r="O734" i="16"/>
  <c r="O629" i="16"/>
  <c r="O786" i="16"/>
  <c r="W645" i="16"/>
  <c r="W593" i="16"/>
  <c r="W854" i="16"/>
  <c r="W914" i="16"/>
  <c r="W700" i="16"/>
  <c r="W802" i="16"/>
  <c r="O744" i="16"/>
  <c r="M539" i="16"/>
  <c r="O686" i="16"/>
  <c r="O641" i="16"/>
  <c r="O811" i="16"/>
  <c r="R811" i="16" s="1"/>
  <c r="W536" i="16"/>
  <c r="W637" i="16"/>
  <c r="W529" i="16"/>
  <c r="W576" i="16"/>
  <c r="W732" i="16"/>
  <c r="W779" i="16"/>
  <c r="W523" i="16"/>
  <c r="W568" i="16"/>
  <c r="O853" i="16"/>
  <c r="M853" i="16"/>
  <c r="O833" i="16"/>
  <c r="M833" i="16"/>
  <c r="W744" i="16"/>
  <c r="W811" i="16"/>
  <c r="M718" i="16"/>
  <c r="O718" i="16"/>
  <c r="O822" i="16"/>
  <c r="M657" i="16"/>
  <c r="O759" i="16"/>
  <c r="O823" i="16"/>
  <c r="W658" i="16"/>
  <c r="W720" i="16"/>
  <c r="W345" i="16"/>
  <c r="W702" i="16"/>
  <c r="W754" i="16"/>
  <c r="W577" i="16"/>
  <c r="W919" i="16"/>
  <c r="W653" i="16"/>
  <c r="W787" i="16"/>
  <c r="W806" i="16"/>
  <c r="W316" i="16"/>
  <c r="W483" i="16"/>
  <c r="W605" i="16"/>
  <c r="W556" i="16"/>
  <c r="W783" i="16"/>
  <c r="W1143" i="16"/>
  <c r="O1142" i="16"/>
  <c r="O1140" i="16"/>
  <c r="O1139" i="16"/>
  <c r="O1137" i="16"/>
  <c r="M1136" i="16"/>
  <c r="O1146" i="16"/>
  <c r="O1143" i="16"/>
  <c r="M1140" i="16"/>
  <c r="M1137" i="16"/>
  <c r="W1131" i="16"/>
  <c r="O1130" i="16"/>
  <c r="W1129" i="16"/>
  <c r="O1128" i="16"/>
  <c r="O1127" i="16"/>
  <c r="O1125" i="16"/>
  <c r="M1121" i="16"/>
  <c r="M1113" i="16"/>
  <c r="W1108" i="16"/>
  <c r="O1106" i="16"/>
  <c r="W1105" i="16"/>
  <c r="O1101" i="16"/>
  <c r="M1100" i="16"/>
  <c r="W1088" i="16"/>
  <c r="W1084" i="16"/>
  <c r="W1080" i="16"/>
  <c r="W1060" i="16"/>
  <c r="O1051" i="16"/>
  <c r="W1046" i="16"/>
  <c r="O1041" i="16"/>
  <c r="W1037" i="16"/>
  <c r="O1037" i="16"/>
  <c r="W1032" i="16"/>
  <c r="O1031" i="16"/>
  <c r="W1025" i="16"/>
  <c r="O1023" i="16"/>
  <c r="O1016" i="16"/>
  <c r="W1009" i="16"/>
  <c r="W1005" i="16"/>
  <c r="W995" i="16"/>
  <c r="M994" i="16"/>
  <c r="W992" i="16"/>
  <c r="O987" i="16"/>
  <c r="O984" i="16"/>
  <c r="O980" i="16"/>
  <c r="O977" i="16"/>
  <c r="W976" i="16"/>
  <c r="O975" i="16"/>
  <c r="W973" i="16"/>
  <c r="W971" i="16"/>
  <c r="O967" i="16"/>
  <c r="W965" i="16"/>
  <c r="O964" i="16"/>
  <c r="W960" i="16"/>
  <c r="O959" i="16"/>
  <c r="W955" i="16"/>
  <c r="O951" i="16"/>
  <c r="O942" i="16"/>
  <c r="O940" i="16"/>
  <c r="O938" i="16"/>
  <c r="O937" i="16"/>
  <c r="W934" i="16"/>
  <c r="O927" i="16"/>
  <c r="W916" i="16"/>
  <c r="O914" i="16"/>
  <c r="M908" i="16"/>
  <c r="V908" i="16"/>
  <c r="W904" i="16"/>
  <c r="O895" i="16"/>
  <c r="W882" i="16"/>
  <c r="W877" i="16"/>
  <c r="W876" i="16"/>
  <c r="O868" i="16"/>
  <c r="R868" i="16" s="1"/>
  <c r="O867" i="16"/>
  <c r="M863" i="16"/>
  <c r="O863" i="16"/>
  <c r="M862" i="16"/>
  <c r="O846" i="16"/>
  <c r="M845" i="16"/>
  <c r="O858" i="16"/>
  <c r="M841" i="16"/>
  <c r="M780" i="16"/>
  <c r="O898" i="16"/>
  <c r="O839" i="16"/>
  <c r="W766" i="16"/>
  <c r="M735" i="16"/>
  <c r="O899" i="16"/>
  <c r="O826" i="16"/>
  <c r="O871" i="16"/>
  <c r="M722" i="16"/>
  <c r="O728" i="16"/>
  <c r="O674" i="16"/>
  <c r="O775" i="16"/>
  <c r="O730" i="16"/>
  <c r="O835" i="16"/>
  <c r="M674" i="16"/>
  <c r="O827" i="16"/>
  <c r="W672" i="16"/>
  <c r="W831" i="16"/>
  <c r="W751" i="16"/>
  <c r="W855" i="16"/>
  <c r="W915" i="16"/>
  <c r="M643" i="16"/>
  <c r="O920" i="16"/>
  <c r="O798" i="16"/>
  <c r="O864" i="16"/>
  <c r="O650" i="16"/>
  <c r="O746" i="16"/>
  <c r="W883" i="16"/>
  <c r="O657" i="16"/>
  <c r="O1134" i="16"/>
  <c r="O1131" i="16"/>
  <c r="O1129" i="16"/>
  <c r="W1126" i="16"/>
  <c r="W1119" i="16"/>
  <c r="O1118" i="16"/>
  <c r="O1116" i="16"/>
  <c r="O1115" i="16"/>
  <c r="W1111" i="16"/>
  <c r="O1110" i="16"/>
  <c r="O1108" i="16"/>
  <c r="O1107" i="16"/>
  <c r="O1105" i="16"/>
  <c r="W1097" i="16"/>
  <c r="O1094" i="16"/>
  <c r="W1093" i="16"/>
  <c r="O1090" i="16"/>
  <c r="W1089" i="16"/>
  <c r="W1087" i="16"/>
  <c r="O1086" i="16"/>
  <c r="O1078" i="16"/>
  <c r="W1075" i="16"/>
  <c r="O1074" i="16"/>
  <c r="W1073" i="16"/>
  <c r="W1071" i="16"/>
  <c r="W1067" i="16"/>
  <c r="O1066" i="16"/>
  <c r="W1056" i="16"/>
  <c r="W1050" i="16"/>
  <c r="W1047" i="16"/>
  <c r="O1045" i="16"/>
  <c r="W1041" i="16"/>
  <c r="W1035" i="16"/>
  <c r="O1035" i="16"/>
  <c r="W1023" i="16"/>
  <c r="W1022" i="16"/>
  <c r="O1021" i="16"/>
  <c r="W1019" i="16"/>
  <c r="W1010" i="16"/>
  <c r="O1008" i="16"/>
  <c r="O1007" i="16"/>
  <c r="O1003" i="16"/>
  <c r="V996" i="16"/>
  <c r="W993" i="16"/>
  <c r="O991" i="16"/>
  <c r="O986" i="16"/>
  <c r="O983" i="16"/>
  <c r="O972" i="16"/>
  <c r="O969" i="16"/>
  <c r="W968" i="16"/>
  <c r="W961" i="16"/>
  <c r="O956" i="16"/>
  <c r="O953" i="16"/>
  <c r="O946" i="16"/>
  <c r="O945" i="16"/>
  <c r="O933" i="16"/>
  <c r="O931" i="16"/>
  <c r="W920" i="16"/>
  <c r="O915" i="16"/>
  <c r="W909" i="16"/>
  <c r="W899" i="16"/>
  <c r="M896" i="16"/>
  <c r="O896" i="16"/>
  <c r="O880" i="16"/>
  <c r="O859" i="16"/>
  <c r="O842" i="16"/>
  <c r="M820" i="16"/>
  <c r="V820" i="16"/>
  <c r="O794" i="16"/>
  <c r="M771" i="16"/>
  <c r="O771" i="16"/>
  <c r="W768" i="16"/>
  <c r="W818" i="16"/>
  <c r="O758" i="16"/>
  <c r="O810" i="16"/>
  <c r="M758" i="16"/>
  <c r="M755" i="16"/>
  <c r="O755" i="16"/>
  <c r="O807" i="16"/>
  <c r="W743" i="16"/>
  <c r="M729" i="16"/>
  <c r="O834" i="16"/>
  <c r="O888" i="16"/>
  <c r="W697" i="16"/>
  <c r="W746" i="16"/>
  <c r="W851" i="16"/>
  <c r="W910" i="16"/>
  <c r="W687" i="16"/>
  <c r="O682" i="16"/>
  <c r="M682" i="16"/>
  <c r="O704" i="16"/>
  <c r="W678" i="16"/>
  <c r="M628" i="16"/>
  <c r="O680" i="16"/>
  <c r="W674" i="16"/>
  <c r="W728" i="16"/>
  <c r="W775" i="16"/>
  <c r="W827" i="16"/>
  <c r="M565" i="16"/>
  <c r="O565" i="16"/>
  <c r="O620" i="16"/>
  <c r="W563" i="16"/>
  <c r="W665" i="16"/>
  <c r="W767" i="16"/>
  <c r="W872" i="16"/>
  <c r="W836" i="16"/>
  <c r="O829" i="16"/>
  <c r="W825" i="16"/>
  <c r="W824" i="16"/>
  <c r="W813" i="16"/>
  <c r="W804" i="16"/>
  <c r="W780" i="16"/>
  <c r="W781" i="16"/>
  <c r="W773" i="16"/>
  <c r="W760" i="16"/>
  <c r="W753" i="16"/>
  <c r="O751" i="16"/>
  <c r="W741" i="16"/>
  <c r="W695" i="16"/>
  <c r="W677" i="16"/>
  <c r="M665" i="16"/>
  <c r="O665" i="16"/>
  <c r="W662" i="16"/>
  <c r="M593" i="16"/>
  <c r="O645" i="16"/>
  <c r="W551" i="16"/>
  <c r="W652" i="16"/>
  <c r="W547" i="16"/>
  <c r="W649" i="16"/>
  <c r="W597" i="16"/>
  <c r="W569" i="16"/>
  <c r="H469" i="16"/>
  <c r="T1167" i="16" s="1"/>
  <c r="M456" i="16"/>
  <c r="O690" i="16"/>
  <c r="O454" i="16"/>
  <c r="M454" i="16"/>
  <c r="O545" i="16"/>
  <c r="W557" i="16"/>
  <c r="O930" i="16"/>
  <c r="O922" i="16"/>
  <c r="O916" i="16"/>
  <c r="W905" i="16"/>
  <c r="W893" i="16"/>
  <c r="W894" i="16"/>
  <c r="O886" i="16"/>
  <c r="W885" i="16"/>
  <c r="W881" i="16"/>
  <c r="O878" i="16"/>
  <c r="O866" i="16"/>
  <c r="W857" i="16"/>
  <c r="W856" i="16"/>
  <c r="O849" i="16"/>
  <c r="W833" i="16"/>
  <c r="M829" i="16"/>
  <c r="O825" i="16"/>
  <c r="M817" i="16"/>
  <c r="O805" i="16"/>
  <c r="M801" i="16"/>
  <c r="W797" i="16"/>
  <c r="W796" i="16"/>
  <c r="M793" i="16"/>
  <c r="W784" i="16"/>
  <c r="O781" i="16"/>
  <c r="W777" i="16"/>
  <c r="M769" i="16"/>
  <c r="W764" i="16"/>
  <c r="O761" i="16"/>
  <c r="O754" i="16"/>
  <c r="O753" i="16"/>
  <c r="M753" i="16"/>
  <c r="W727" i="16"/>
  <c r="O710" i="16"/>
  <c r="W685" i="16"/>
  <c r="W679" i="16"/>
  <c r="M662" i="16"/>
  <c r="O662" i="16"/>
  <c r="O639" i="16"/>
  <c r="M639" i="16"/>
  <c r="O627" i="16"/>
  <c r="M627" i="16"/>
  <c r="M621" i="16"/>
  <c r="O621" i="16"/>
  <c r="O714" i="16"/>
  <c r="O736" i="16"/>
  <c r="W613" i="16"/>
  <c r="O540" i="16"/>
  <c r="O588" i="16"/>
  <c r="O642" i="16"/>
  <c r="M540" i="16"/>
  <c r="O507" i="16"/>
  <c r="M507" i="16"/>
  <c r="O597" i="16"/>
  <c r="O649" i="16"/>
  <c r="O502" i="16"/>
  <c r="M502" i="16"/>
  <c r="O698" i="16"/>
  <c r="O644" i="16"/>
  <c r="O549" i="16"/>
  <c r="W533" i="16"/>
  <c r="W580" i="16"/>
  <c r="W633" i="16"/>
  <c r="W896" i="16"/>
  <c r="O882" i="16"/>
  <c r="M878" i="16"/>
  <c r="W869" i="16"/>
  <c r="W867" i="16"/>
  <c r="M866" i="16"/>
  <c r="M849" i="16"/>
  <c r="O847" i="16"/>
  <c r="W870" i="16"/>
  <c r="W844" i="16"/>
  <c r="M837" i="16"/>
  <c r="W832" i="16"/>
  <c r="M825" i="16"/>
  <c r="O809" i="16"/>
  <c r="W801" i="16"/>
  <c r="W788" i="16"/>
  <c r="O785" i="16"/>
  <c r="O765" i="16"/>
  <c r="W750" i="16"/>
  <c r="W721" i="16"/>
  <c r="W740" i="16"/>
  <c r="W689" i="16"/>
  <c r="M646" i="16"/>
  <c r="O646" i="16"/>
  <c r="W694" i="16"/>
  <c r="M630" i="16"/>
  <c r="O653" i="16"/>
  <c r="W615" i="16"/>
  <c r="W610" i="16"/>
  <c r="W584" i="16"/>
  <c r="W638" i="16"/>
  <c r="O579" i="16"/>
  <c r="O632" i="16"/>
  <c r="M579" i="16"/>
  <c r="W562" i="16"/>
  <c r="M541" i="16"/>
  <c r="O541" i="16"/>
  <c r="O589" i="16"/>
  <c r="O508" i="16"/>
  <c r="O666" i="16"/>
  <c r="W634" i="16"/>
  <c r="O619" i="16"/>
  <c r="O613" i="16"/>
  <c r="O611" i="16"/>
  <c r="W607" i="16"/>
  <c r="W599" i="16"/>
  <c r="O584" i="16"/>
  <c r="W583" i="16"/>
  <c r="O576" i="16"/>
  <c r="O561" i="16"/>
  <c r="O557" i="16"/>
  <c r="O547" i="16"/>
  <c r="W531" i="16"/>
  <c r="O528" i="16"/>
  <c r="W527" i="16"/>
  <c r="O525" i="16"/>
  <c r="M521" i="16"/>
  <c r="O521" i="16"/>
  <c r="O520" i="16"/>
  <c r="W466" i="16"/>
  <c r="O465" i="16"/>
  <c r="M465" i="16"/>
  <c r="O457" i="16"/>
  <c r="M457" i="16"/>
  <c r="W438" i="16"/>
  <c r="O419" i="16"/>
  <c r="M419" i="16"/>
  <c r="W496" i="16"/>
  <c r="O396" i="16"/>
  <c r="M396" i="16"/>
  <c r="O374" i="16"/>
  <c r="M374" i="16"/>
  <c r="M357" i="16"/>
  <c r="O409" i="16"/>
  <c r="O355" i="16"/>
  <c r="M355" i="16"/>
  <c r="O499" i="16"/>
  <c r="M341" i="16"/>
  <c r="O389" i="16"/>
  <c r="M321" i="16"/>
  <c r="O427" i="16"/>
  <c r="R427" i="16" s="1"/>
  <c r="O221" i="16"/>
  <c r="O262" i="16"/>
  <c r="M221" i="16"/>
  <c r="W216" i="16"/>
  <c r="W499" i="16"/>
  <c r="O201" i="16"/>
  <c r="O266" i="16"/>
  <c r="M201" i="16"/>
  <c r="O483" i="16"/>
  <c r="O316" i="16"/>
  <c r="O194" i="16"/>
  <c r="M194" i="16"/>
  <c r="O529" i="16"/>
  <c r="O192" i="16"/>
  <c r="M192" i="16"/>
  <c r="O189" i="16"/>
  <c r="M189" i="16"/>
  <c r="O234" i="16"/>
  <c r="O184" i="16"/>
  <c r="M184" i="16"/>
  <c r="W172" i="16"/>
  <c r="W219" i="16"/>
  <c r="W348" i="16"/>
  <c r="W459" i="16"/>
  <c r="W410" i="16"/>
  <c r="O165" i="16"/>
  <c r="M165" i="16"/>
  <c r="O246" i="16"/>
  <c r="M162" i="16"/>
  <c r="O162" i="16"/>
  <c r="W147" i="16"/>
  <c r="W417" i="16"/>
  <c r="W140" i="16"/>
  <c r="W182" i="16"/>
  <c r="W227" i="16"/>
  <c r="W525" i="16"/>
  <c r="W372" i="16"/>
  <c r="W131" i="16"/>
  <c r="W218" i="16"/>
  <c r="W360" i="16"/>
  <c r="W508" i="16"/>
  <c r="W642" i="16"/>
  <c r="M619" i="16"/>
  <c r="W595" i="16"/>
  <c r="W555" i="16"/>
  <c r="M547" i="16"/>
  <c r="O503" i="16"/>
  <c r="M503" i="16"/>
  <c r="O463" i="16"/>
  <c r="M463" i="16"/>
  <c r="O455" i="16"/>
  <c r="M455" i="16"/>
  <c r="W442" i="16"/>
  <c r="W492" i="16"/>
  <c r="O426" i="16"/>
  <c r="R426" i="16" s="1"/>
  <c r="M426" i="16"/>
  <c r="O399" i="16"/>
  <c r="M399" i="16"/>
  <c r="W384" i="16"/>
  <c r="O383" i="16"/>
  <c r="M383" i="16"/>
  <c r="O372" i="16"/>
  <c r="O423" i="16"/>
  <c r="M372" i="16"/>
  <c r="O358" i="16"/>
  <c r="O451" i="16"/>
  <c r="M358" i="16"/>
  <c r="O342" i="16"/>
  <c r="M342" i="16"/>
  <c r="O339" i="16"/>
  <c r="M339" i="16"/>
  <c r="O322" i="16"/>
  <c r="M322" i="16"/>
  <c r="W244" i="16"/>
  <c r="W487" i="16"/>
  <c r="W737" i="16"/>
  <c r="O722" i="16"/>
  <c r="W715" i="16"/>
  <c r="W707" i="16"/>
  <c r="W699" i="16"/>
  <c r="W691" i="16"/>
  <c r="W683" i="16"/>
  <c r="W671" i="16"/>
  <c r="W669" i="16"/>
  <c r="O652" i="16"/>
  <c r="W650" i="16"/>
  <c r="W627" i="16"/>
  <c r="W626" i="16"/>
  <c r="W625" i="16"/>
  <c r="O623" i="16"/>
  <c r="M599" i="16"/>
  <c r="O595" i="16"/>
  <c r="O593" i="16"/>
  <c r="O591" i="16"/>
  <c r="M583" i="16"/>
  <c r="M575" i="16"/>
  <c r="W528" i="16"/>
  <c r="M527" i="16"/>
  <c r="O519" i="16"/>
  <c r="M519" i="16"/>
  <c r="M515" i="16"/>
  <c r="M510" i="16"/>
  <c r="W476" i="16"/>
  <c r="W479" i="16"/>
  <c r="W445" i="16"/>
  <c r="W495" i="16"/>
  <c r="O435" i="16"/>
  <c r="W434" i="16"/>
  <c r="O420" i="16"/>
  <c r="M420" i="16"/>
  <c r="O415" i="16"/>
  <c r="O516" i="16"/>
  <c r="M415" i="16"/>
  <c r="W405" i="16"/>
  <c r="W455" i="16"/>
  <c r="W386" i="16"/>
  <c r="O381" i="16"/>
  <c r="M381" i="16"/>
  <c r="O356" i="16"/>
  <c r="O397" i="16"/>
  <c r="M356" i="16"/>
  <c r="W315" i="16"/>
  <c r="W490" i="16"/>
  <c r="W486" i="16"/>
  <c r="O473" i="16"/>
  <c r="O470" i="16"/>
  <c r="O466" i="16"/>
  <c r="O458" i="16"/>
  <c r="O447" i="16"/>
  <c r="O445" i="16"/>
  <c r="O442" i="16"/>
  <c r="O441" i="16"/>
  <c r="O438" i="16"/>
  <c r="O434" i="16"/>
  <c r="O433" i="16"/>
  <c r="O405" i="16"/>
  <c r="O403" i="16"/>
  <c r="O400" i="16"/>
  <c r="O387" i="16"/>
  <c r="O384" i="16"/>
  <c r="W366" i="16"/>
  <c r="O364" i="16"/>
  <c r="O359" i="16"/>
  <c r="W350" i="16"/>
  <c r="O348" i="16"/>
  <c r="O343" i="16"/>
  <c r="W334" i="16"/>
  <c r="W326" i="16"/>
  <c r="O323" i="16"/>
  <c r="O315" i="16"/>
  <c r="M315" i="16"/>
  <c r="O307" i="16"/>
  <c r="M307" i="16"/>
  <c r="O286" i="16"/>
  <c r="M286" i="16"/>
  <c r="O213" i="16"/>
  <c r="M213" i="16"/>
  <c r="W211" i="16"/>
  <c r="W302" i="16"/>
  <c r="O204" i="16"/>
  <c r="M204" i="16"/>
  <c r="O197" i="16"/>
  <c r="M197" i="16"/>
  <c r="M187" i="16"/>
  <c r="O270" i="16"/>
  <c r="O182" i="16"/>
  <c r="M182" i="16"/>
  <c r="O180" i="16"/>
  <c r="M180" i="16"/>
  <c r="W149" i="16"/>
  <c r="W194" i="16"/>
  <c r="W148" i="16"/>
  <c r="W238" i="16"/>
  <c r="O294" i="16"/>
  <c r="W86" i="16"/>
  <c r="W210" i="16"/>
  <c r="W246" i="16"/>
  <c r="W165" i="16"/>
  <c r="W78" i="16"/>
  <c r="W157" i="16"/>
  <c r="W202" i="16"/>
  <c r="W295" i="16"/>
  <c r="W64" i="16"/>
  <c r="W102" i="16"/>
  <c r="W151" i="16"/>
  <c r="O57" i="16"/>
  <c r="M57" i="16"/>
  <c r="W39" i="16"/>
  <c r="M30" i="16"/>
  <c r="O30" i="16"/>
  <c r="O151" i="16"/>
  <c r="R151" i="16" s="1"/>
  <c r="O324" i="16"/>
  <c r="O146" i="16"/>
  <c r="O231" i="16"/>
  <c r="O531" i="16"/>
  <c r="W515" i="16"/>
  <c r="W506" i="16"/>
  <c r="W501" i="16"/>
  <c r="O493" i="16"/>
  <c r="O490" i="16"/>
  <c r="O484" i="16"/>
  <c r="O474" i="16"/>
  <c r="M473" i="16"/>
  <c r="M470" i="16"/>
  <c r="W460" i="16"/>
  <c r="W453" i="16"/>
  <c r="W450" i="16"/>
  <c r="O449" i="16"/>
  <c r="W392" i="16"/>
  <c r="O391" i="16"/>
  <c r="O388" i="16"/>
  <c r="W375" i="16"/>
  <c r="O366" i="16"/>
  <c r="O363" i="16"/>
  <c r="M343" i="16"/>
  <c r="W338" i="16"/>
  <c r="W337" i="16"/>
  <c r="M323" i="16"/>
  <c r="W311" i="16"/>
  <c r="O310" i="16"/>
  <c r="M310" i="16"/>
  <c r="W270" i="16"/>
  <c r="O236" i="16"/>
  <c r="O202" i="16"/>
  <c r="M202" i="16"/>
  <c r="O200" i="16"/>
  <c r="M200" i="16"/>
  <c r="O193" i="16"/>
  <c r="O238" i="16"/>
  <c r="M193" i="16"/>
  <c r="O190" i="16"/>
  <c r="O274" i="16"/>
  <c r="M190" i="16"/>
  <c r="O188" i="16"/>
  <c r="M188" i="16"/>
  <c r="O185" i="16"/>
  <c r="O290" i="16"/>
  <c r="R290" i="16" s="1"/>
  <c r="M185" i="16"/>
  <c r="O175" i="16"/>
  <c r="M175" i="16"/>
  <c r="M166" i="16"/>
  <c r="O166" i="16"/>
  <c r="O302" i="16"/>
  <c r="O258" i="16"/>
  <c r="M143" i="16"/>
  <c r="O143" i="16"/>
  <c r="O135" i="16"/>
  <c r="O155" i="16"/>
  <c r="O178" i="16"/>
  <c r="O97" i="16"/>
  <c r="O141" i="16"/>
  <c r="M97" i="16"/>
  <c r="O186" i="16"/>
  <c r="O230" i="16"/>
  <c r="O506" i="16"/>
  <c r="O481" i="16"/>
  <c r="W464" i="16"/>
  <c r="W462" i="16"/>
  <c r="W456" i="16"/>
  <c r="M449" i="16"/>
  <c r="M446" i="16"/>
  <c r="W441" i="16"/>
  <c r="W437" i="16"/>
  <c r="O425" i="16"/>
  <c r="O422" i="16"/>
  <c r="W415" i="16"/>
  <c r="W396" i="16"/>
  <c r="O392" i="16"/>
  <c r="W383" i="16"/>
  <c r="O378" i="16"/>
  <c r="M366" i="16"/>
  <c r="M363" i="16"/>
  <c r="W358" i="16"/>
  <c r="W355" i="16"/>
  <c r="M350" i="16"/>
  <c r="M347" i="16"/>
  <c r="W339" i="16"/>
  <c r="O338" i="16"/>
  <c r="O327" i="16"/>
  <c r="O326" i="16"/>
  <c r="O308" i="16"/>
  <c r="M308" i="16"/>
  <c r="O293" i="16"/>
  <c r="M293" i="16"/>
  <c r="O288" i="16"/>
  <c r="R288" i="16" s="1"/>
  <c r="M288" i="16"/>
  <c r="O285" i="16"/>
  <c r="M285" i="16"/>
  <c r="O237" i="16"/>
  <c r="M237" i="16"/>
  <c r="O212" i="16"/>
  <c r="M212" i="16"/>
  <c r="O205" i="16"/>
  <c r="M205" i="16"/>
  <c r="O198" i="16"/>
  <c r="M198" i="16"/>
  <c r="O196" i="16"/>
  <c r="M196" i="16"/>
  <c r="O242" i="16"/>
  <c r="O181" i="16"/>
  <c r="O320" i="16"/>
  <c r="O226" i="16"/>
  <c r="O278" i="16"/>
  <c r="M181" i="16"/>
  <c r="O171" i="16"/>
  <c r="O218" i="16"/>
  <c r="M171" i="16"/>
  <c r="W167" i="16"/>
  <c r="W247" i="16"/>
  <c r="O161" i="16"/>
  <c r="O206" i="16"/>
  <c r="O254" i="16"/>
  <c r="O298" i="16"/>
  <c r="M161" i="16"/>
  <c r="O128" i="16"/>
  <c r="O299" i="16"/>
  <c r="O305" i="16"/>
  <c r="W299" i="16"/>
  <c r="W296" i="16"/>
  <c r="O284" i="16"/>
  <c r="W272" i="16"/>
  <c r="W256" i="16"/>
  <c r="W252" i="16"/>
  <c r="W249" i="16"/>
  <c r="O245" i="16"/>
  <c r="W241" i="16"/>
  <c r="W240" i="16"/>
  <c r="O233" i="16"/>
  <c r="O217" i="16"/>
  <c r="O176" i="16"/>
  <c r="O172" i="16"/>
  <c r="O152" i="16"/>
  <c r="M107" i="16"/>
  <c r="O107" i="16"/>
  <c r="W83" i="16"/>
  <c r="W121" i="16"/>
  <c r="M80" i="16"/>
  <c r="O106" i="16"/>
  <c r="R106" i="16" s="1"/>
  <c r="W69" i="16"/>
  <c r="W101" i="16"/>
  <c r="O66" i="16"/>
  <c r="O99" i="16"/>
  <c r="W46" i="16"/>
  <c r="W91" i="16"/>
  <c r="M42" i="16"/>
  <c r="O42" i="16"/>
  <c r="M34" i="16"/>
  <c r="O34" i="16"/>
  <c r="O69" i="16"/>
  <c r="O101" i="16"/>
  <c r="W22" i="16"/>
  <c r="W85" i="16"/>
  <c r="W122" i="16"/>
  <c r="W10" i="16"/>
  <c r="W63" i="16"/>
  <c r="W97" i="16"/>
  <c r="W5" i="16"/>
  <c r="W110" i="16"/>
  <c r="W114" i="16"/>
  <c r="W24" i="16"/>
  <c r="O301" i="16"/>
  <c r="W297" i="16"/>
  <c r="O296" i="16"/>
  <c r="W293" i="16"/>
  <c r="W292" i="16"/>
  <c r="W291" i="16"/>
  <c r="W284" i="16"/>
  <c r="M284" i="16"/>
  <c r="W275" i="16"/>
  <c r="W271" i="16"/>
  <c r="W269" i="16"/>
  <c r="W267" i="16"/>
  <c r="W259" i="16"/>
  <c r="W257" i="16"/>
  <c r="W253" i="16"/>
  <c r="O249" i="16"/>
  <c r="M245" i="16"/>
  <c r="O244" i="16"/>
  <c r="O241" i="16"/>
  <c r="M233" i="16"/>
  <c r="O232" i="16"/>
  <c r="M217" i="16"/>
  <c r="W212" i="16"/>
  <c r="M209" i="16"/>
  <c r="W204" i="16"/>
  <c r="W200" i="16"/>
  <c r="W192" i="16"/>
  <c r="O177" i="16"/>
  <c r="M176" i="16"/>
  <c r="M172" i="16"/>
  <c r="O113" i="16"/>
  <c r="M113" i="16"/>
  <c r="M103" i="16"/>
  <c r="O103" i="16"/>
  <c r="W93" i="16"/>
  <c r="W126" i="16"/>
  <c r="O87" i="16"/>
  <c r="M87" i="16"/>
  <c r="O125" i="16"/>
  <c r="W47" i="16"/>
  <c r="W125" i="16"/>
  <c r="W87" i="16"/>
  <c r="W11" i="16"/>
  <c r="W98" i="16"/>
  <c r="W65" i="16"/>
  <c r="W307" i="16"/>
  <c r="W303" i="16"/>
  <c r="M301" i="16"/>
  <c r="M300" i="16"/>
  <c r="O297" i="16"/>
  <c r="M296" i="16"/>
  <c r="W287" i="16"/>
  <c r="W285" i="16"/>
  <c r="O281" i="16"/>
  <c r="O280" i="16"/>
  <c r="O277" i="16"/>
  <c r="O276" i="16"/>
  <c r="O273" i="16"/>
  <c r="O272" i="16"/>
  <c r="O269" i="16"/>
  <c r="O268" i="16"/>
  <c r="O264" i="16"/>
  <c r="O261" i="16"/>
  <c r="O260" i="16"/>
  <c r="O253" i="16"/>
  <c r="O252" i="16"/>
  <c r="W236" i="16"/>
  <c r="O229" i="16"/>
  <c r="O228" i="16"/>
  <c r="O225" i="16"/>
  <c r="O224" i="16"/>
  <c r="W213" i="16"/>
  <c r="W209" i="16"/>
  <c r="W208" i="16"/>
  <c r="W205" i="16"/>
  <c r="W203" i="16"/>
  <c r="W197" i="16"/>
  <c r="W195" i="16"/>
  <c r="W193" i="16"/>
  <c r="W191" i="16"/>
  <c r="W177" i="16"/>
  <c r="M177" i="16"/>
  <c r="W171" i="16"/>
  <c r="W170" i="16"/>
  <c r="W152" i="16"/>
  <c r="M127" i="16"/>
  <c r="O127" i="16"/>
  <c r="O79" i="16"/>
  <c r="M79" i="16"/>
  <c r="O117" i="16"/>
  <c r="O65" i="16"/>
  <c r="M65" i="16"/>
  <c r="M37" i="16"/>
  <c r="O37" i="16"/>
  <c r="O24" i="16"/>
  <c r="M24" i="16"/>
  <c r="W18" i="16"/>
  <c r="W117" i="16"/>
  <c r="W79" i="16"/>
  <c r="M14" i="16"/>
  <c r="O14" i="16"/>
  <c r="W12" i="16"/>
  <c r="W32" i="16"/>
  <c r="W7" i="16"/>
  <c r="W105" i="16"/>
  <c r="W118" i="16"/>
  <c r="W90" i="16"/>
  <c r="O83" i="16"/>
  <c r="O75" i="16"/>
  <c r="O73" i="16"/>
  <c r="R73" i="16" s="1"/>
  <c r="O61" i="16"/>
  <c r="O46" i="16"/>
  <c r="O22" i="16"/>
  <c r="O18" i="16"/>
  <c r="O10" i="16"/>
  <c r="O4" i="16"/>
  <c r="W124" i="16"/>
  <c r="O123" i="16"/>
  <c r="W116" i="16"/>
  <c r="O115" i="16"/>
  <c r="O112" i="16"/>
  <c r="O111" i="16"/>
  <c r="W74" i="16"/>
  <c r="O62" i="16"/>
  <c r="W44" i="16"/>
  <c r="M40" i="16"/>
  <c r="R40" i="16" s="1"/>
  <c r="O39" i="16"/>
  <c r="W31" i="16"/>
  <c r="M8" i="16"/>
  <c r="W128" i="16"/>
  <c r="O108" i="16"/>
  <c r="W88" i="16"/>
  <c r="W80" i="16"/>
  <c r="O74" i="16"/>
  <c r="W66" i="16"/>
  <c r="W23" i="16"/>
  <c r="Z607" i="13"/>
  <c r="O1002" i="16"/>
  <c r="M985" i="16"/>
  <c r="O970" i="16"/>
  <c r="O1014" i="16"/>
  <c r="M970" i="16"/>
  <c r="M1143" i="16"/>
  <c r="W1141" i="16"/>
  <c r="O1141" i="16"/>
  <c r="M1139" i="16"/>
  <c r="M1135" i="16"/>
  <c r="M1131" i="16"/>
  <c r="M1127" i="16"/>
  <c r="M1123" i="16"/>
  <c r="M1119" i="16"/>
  <c r="M1115" i="16"/>
  <c r="M1111" i="16"/>
  <c r="M1107" i="16"/>
  <c r="M1103" i="16"/>
  <c r="M1099" i="16"/>
  <c r="M1095" i="16"/>
  <c r="M1091" i="16"/>
  <c r="M1087" i="16"/>
  <c r="W1085" i="16"/>
  <c r="O1085" i="16"/>
  <c r="M1083" i="16"/>
  <c r="M1079" i="16"/>
  <c r="W1077" i="16"/>
  <c r="O1077" i="16"/>
  <c r="M1075" i="16"/>
  <c r="M1071" i="16"/>
  <c r="M1067" i="16"/>
  <c r="M1063" i="16"/>
  <c r="O1061" i="16"/>
  <c r="M1059" i="16"/>
  <c r="O1057" i="16"/>
  <c r="M1055" i="16"/>
  <c r="O1052" i="16"/>
  <c r="M1050" i="16"/>
  <c r="O1048" i="16"/>
  <c r="M1046" i="16"/>
  <c r="O1044" i="16"/>
  <c r="M1042" i="16"/>
  <c r="O1040" i="16"/>
  <c r="M1038" i="16"/>
  <c r="W1036" i="16"/>
  <c r="O1036" i="16"/>
  <c r="M1034" i="16"/>
  <c r="O1032" i="16"/>
  <c r="M1030" i="16"/>
  <c r="O1028" i="16"/>
  <c r="M1026" i="16"/>
  <c r="O1024" i="16"/>
  <c r="M1022" i="16"/>
  <c r="O1017" i="16"/>
  <c r="O1012" i="16"/>
  <c r="M1010" i="16"/>
  <c r="M1009" i="16"/>
  <c r="W1000" i="16"/>
  <c r="O997" i="16"/>
  <c r="O992" i="16"/>
  <c r="M990" i="16"/>
  <c r="M989" i="16"/>
  <c r="V988" i="16"/>
  <c r="W1002" i="16"/>
  <c r="M982" i="16"/>
  <c r="O966" i="16"/>
  <c r="O1006" i="16"/>
  <c r="M966" i="16"/>
  <c r="W1132" i="16"/>
  <c r="O1132" i="16"/>
  <c r="W1124" i="16"/>
  <c r="O1124" i="16"/>
  <c r="W1027" i="16"/>
  <c r="O1027" i="16"/>
  <c r="O978" i="16"/>
  <c r="M978" i="16"/>
  <c r="O962" i="16"/>
  <c r="M962" i="16"/>
  <c r="O1020" i="16"/>
  <c r="O1004" i="16"/>
  <c r="O1000" i="16"/>
  <c r="M998" i="16"/>
  <c r="O985" i="16"/>
  <c r="O974" i="16"/>
  <c r="M974" i="16"/>
  <c r="W966" i="16"/>
  <c r="W1006" i="16"/>
  <c r="O958" i="16"/>
  <c r="O1018" i="16"/>
  <c r="M958" i="16"/>
  <c r="O925" i="16"/>
  <c r="O921" i="16"/>
  <c r="O917" i="16"/>
  <c r="O913" i="16"/>
  <c r="O909" i="16"/>
  <c r="O905" i="16"/>
  <c r="O901" i="16"/>
  <c r="W897" i="16"/>
  <c r="O897" i="16"/>
  <c r="O893" i="16"/>
  <c r="W889" i="16"/>
  <c r="O889" i="16"/>
  <c r="O885" i="16"/>
  <c r="R885" i="16" s="1"/>
  <c r="O881" i="16"/>
  <c r="O877" i="16"/>
  <c r="O873" i="16"/>
  <c r="O869" i="16"/>
  <c r="O865" i="16"/>
  <c r="W845" i="16"/>
  <c r="O845" i="16"/>
  <c r="W841" i="16"/>
  <c r="O841" i="16"/>
  <c r="O777" i="16"/>
  <c r="O749" i="16"/>
  <c r="M747" i="16"/>
  <c r="O739" i="16"/>
  <c r="M739" i="16"/>
  <c r="O711" i="16"/>
  <c r="O724" i="16"/>
  <c r="R724" i="16" s="1"/>
  <c r="M711" i="16"/>
  <c r="M954" i="16"/>
  <c r="M946" i="16"/>
  <c r="M942" i="16"/>
  <c r="M938" i="16"/>
  <c r="M934" i="16"/>
  <c r="M930" i="16"/>
  <c r="M926" i="16"/>
  <c r="O884" i="16"/>
  <c r="O876" i="16"/>
  <c r="O872" i="16"/>
  <c r="O860" i="16"/>
  <c r="O856" i="16"/>
  <c r="O852" i="16"/>
  <c r="O848" i="16"/>
  <c r="O844" i="16"/>
  <c r="O840" i="16"/>
  <c r="O836" i="16"/>
  <c r="O832" i="16"/>
  <c r="O828" i="16"/>
  <c r="O824" i="16"/>
  <c r="O820" i="16"/>
  <c r="W816" i="16"/>
  <c r="O816" i="16"/>
  <c r="O812" i="16"/>
  <c r="O808" i="16"/>
  <c r="O804" i="16"/>
  <c r="O800" i="16"/>
  <c r="O796" i="16"/>
  <c r="O792" i="16"/>
  <c r="O788" i="16"/>
  <c r="O784" i="16"/>
  <c r="O780" i="16"/>
  <c r="O776" i="16"/>
  <c r="O772" i="16"/>
  <c r="O768" i="16"/>
  <c r="O764" i="16"/>
  <c r="O760" i="16"/>
  <c r="O756" i="16"/>
  <c r="O752" i="16"/>
  <c r="O750" i="16"/>
  <c r="O745" i="16"/>
  <c r="M741" i="16"/>
  <c r="O741" i="16"/>
  <c r="O723" i="16"/>
  <c r="M723" i="16"/>
  <c r="O707" i="16"/>
  <c r="M707" i="16"/>
  <c r="W947" i="16"/>
  <c r="O947" i="16"/>
  <c r="M941" i="16"/>
  <c r="M929" i="16"/>
  <c r="M897" i="16"/>
  <c r="M885" i="16"/>
  <c r="M869" i="16"/>
  <c r="O743" i="16"/>
  <c r="M743" i="16"/>
  <c r="O731" i="16"/>
  <c r="M731" i="16"/>
  <c r="O719" i="16"/>
  <c r="M719" i="16"/>
  <c r="O703" i="16"/>
  <c r="M703" i="16"/>
  <c r="O950" i="16"/>
  <c r="O894" i="16"/>
  <c r="O830" i="16"/>
  <c r="R830" i="16" s="1"/>
  <c r="M751" i="16"/>
  <c r="O727" i="16"/>
  <c r="M727" i="16"/>
  <c r="O715" i="16"/>
  <c r="M715" i="16"/>
  <c r="W711" i="16"/>
  <c r="W724" i="16"/>
  <c r="W647" i="16"/>
  <c r="W656" i="16"/>
  <c r="O618" i="16"/>
  <c r="M618" i="16"/>
  <c r="O574" i="16"/>
  <c r="M574" i="16"/>
  <c r="O562" i="16"/>
  <c r="M562" i="16"/>
  <c r="O664" i="16"/>
  <c r="W542" i="16"/>
  <c r="W590" i="16"/>
  <c r="W598" i="16"/>
  <c r="W643" i="16"/>
  <c r="W548" i="16"/>
  <c r="W538" i="16"/>
  <c r="W586" i="16"/>
  <c r="W640" i="16"/>
  <c r="O526" i="16"/>
  <c r="O571" i="16"/>
  <c r="M526" i="16"/>
  <c r="O660" i="16"/>
  <c r="O522" i="16"/>
  <c r="O567" i="16"/>
  <c r="M522" i="16"/>
  <c r="W514" i="16"/>
  <c r="W614" i="16"/>
  <c r="W559" i="16"/>
  <c r="W488" i="16"/>
  <c r="W579" i="16"/>
  <c r="W532" i="16"/>
  <c r="W632" i="16"/>
  <c r="M480" i="16"/>
  <c r="O482" i="16"/>
  <c r="O480" i="16"/>
  <c r="O555" i="16"/>
  <c r="O607" i="16"/>
  <c r="O671" i="16"/>
  <c r="R671" i="16" s="1"/>
  <c r="O552" i="16"/>
  <c r="O604" i="16"/>
  <c r="W472" i="16"/>
  <c r="W611" i="16"/>
  <c r="W524" i="16"/>
  <c r="O452" i="16"/>
  <c r="M452" i="16"/>
  <c r="O594" i="16"/>
  <c r="O544" i="16"/>
  <c r="O737" i="16"/>
  <c r="O733" i="16"/>
  <c r="O729" i="16"/>
  <c r="O725" i="16"/>
  <c r="R725" i="16" s="1"/>
  <c r="O721" i="16"/>
  <c r="O717" i="16"/>
  <c r="O713" i="16"/>
  <c r="O709" i="16"/>
  <c r="O705" i="16"/>
  <c r="O701" i="16"/>
  <c r="M699" i="16"/>
  <c r="O697" i="16"/>
  <c r="M695" i="16"/>
  <c r="O693" i="16"/>
  <c r="M691" i="16"/>
  <c r="O689" i="16"/>
  <c r="M687" i="16"/>
  <c r="O685" i="16"/>
  <c r="M683" i="16"/>
  <c r="O681" i="16"/>
  <c r="M679" i="16"/>
  <c r="O677" i="16"/>
  <c r="O673" i="16"/>
  <c r="O669" i="16"/>
  <c r="M667" i="16"/>
  <c r="M666" i="16"/>
  <c r="O638" i="16"/>
  <c r="M635" i="16"/>
  <c r="O602" i="16"/>
  <c r="M602" i="16"/>
  <c r="O628" i="16"/>
  <c r="W582" i="16"/>
  <c r="W636" i="16"/>
  <c r="W578" i="16"/>
  <c r="W631" i="16"/>
  <c r="W566" i="16"/>
  <c r="W622" i="16"/>
  <c r="W530" i="16"/>
  <c r="W630" i="16"/>
  <c r="W600" i="16"/>
  <c r="O518" i="16"/>
  <c r="O663" i="16"/>
  <c r="M518" i="16"/>
  <c r="O616" i="16"/>
  <c r="O505" i="16"/>
  <c r="O546" i="16"/>
  <c r="M505" i="16"/>
  <c r="O596" i="16"/>
  <c r="O648" i="16"/>
  <c r="O498" i="16"/>
  <c r="M498" i="16"/>
  <c r="O512" i="16"/>
  <c r="M492" i="16"/>
  <c r="O492" i="16"/>
  <c r="O582" i="16"/>
  <c r="O535" i="16"/>
  <c r="O636" i="16"/>
  <c r="O436" i="16"/>
  <c r="M436" i="16"/>
  <c r="O606" i="16"/>
  <c r="O626" i="16"/>
  <c r="O675" i="16"/>
  <c r="M626" i="16"/>
  <c r="O610" i="16"/>
  <c r="M610" i="16"/>
  <c r="O558" i="16"/>
  <c r="R558" i="16" s="1"/>
  <c r="O570" i="16"/>
  <c r="O659" i="16"/>
  <c r="M558" i="16"/>
  <c r="O612" i="16"/>
  <c r="O538" i="16"/>
  <c r="O586" i="16"/>
  <c r="M538" i="16"/>
  <c r="O640" i="16"/>
  <c r="W526" i="16"/>
  <c r="W571" i="16"/>
  <c r="W660" i="16"/>
  <c r="W509" i="16"/>
  <c r="W550" i="16"/>
  <c r="W543" i="16"/>
  <c r="W651" i="16"/>
  <c r="W655" i="16"/>
  <c r="W592" i="16"/>
  <c r="W608" i="16"/>
  <c r="M489" i="16"/>
  <c r="O580" i="16"/>
  <c r="H477" i="16"/>
  <c r="T1284" i="16" s="1"/>
  <c r="W735" i="16"/>
  <c r="O735" i="16"/>
  <c r="O658" i="16"/>
  <c r="W657" i="16"/>
  <c r="O647" i="16"/>
  <c r="O656" i="16"/>
  <c r="R656" i="16" s="1"/>
  <c r="O578" i="16"/>
  <c r="O631" i="16"/>
  <c r="M578" i="16"/>
  <c r="O566" i="16"/>
  <c r="O622" i="16"/>
  <c r="M566" i="16"/>
  <c r="W558" i="16"/>
  <c r="W570" i="16"/>
  <c r="W659" i="16"/>
  <c r="W612" i="16"/>
  <c r="O554" i="16"/>
  <c r="O603" i="16"/>
  <c r="M554" i="16"/>
  <c r="O534" i="16"/>
  <c r="M534" i="16"/>
  <c r="O530" i="16"/>
  <c r="O630" i="16"/>
  <c r="M530" i="16"/>
  <c r="O600" i="16"/>
  <c r="O509" i="16"/>
  <c r="O550" i="16"/>
  <c r="O543" i="16"/>
  <c r="O651" i="16"/>
  <c r="O655" i="16"/>
  <c r="R655" i="16" s="1"/>
  <c r="M509" i="16"/>
  <c r="O592" i="16"/>
  <c r="O608" i="16"/>
  <c r="R608" i="16" s="1"/>
  <c r="W505" i="16"/>
  <c r="W546" i="16"/>
  <c r="W596" i="16"/>
  <c r="W648" i="16"/>
  <c r="W497" i="16"/>
  <c r="W539" i="16"/>
  <c r="W587" i="16"/>
  <c r="W448" i="16"/>
  <c r="W540" i="16"/>
  <c r="W588" i="16"/>
  <c r="O412" i="16"/>
  <c r="M412" i="16"/>
  <c r="O462" i="16"/>
  <c r="O407" i="16"/>
  <c r="M407" i="16"/>
  <c r="M398" i="16"/>
  <c r="O408" i="16"/>
  <c r="O398" i="16"/>
  <c r="O456" i="16"/>
  <c r="O450" i="16"/>
  <c r="O548" i="16"/>
  <c r="W503" i="16"/>
  <c r="O472" i="16"/>
  <c r="M472" i="16"/>
  <c r="O448" i="16"/>
  <c r="M448" i="16"/>
  <c r="W444" i="16"/>
  <c r="W494" i="16"/>
  <c r="O432" i="16"/>
  <c r="O485" i="16"/>
  <c r="M432" i="16"/>
  <c r="W428" i="16"/>
  <c r="W478" i="16"/>
  <c r="O424" i="16"/>
  <c r="M424" i="16"/>
  <c r="W416" i="16"/>
  <c r="W461" i="16"/>
  <c r="O643" i="16"/>
  <c r="O587" i="16"/>
  <c r="O559" i="16"/>
  <c r="O539" i="16"/>
  <c r="O501" i="16"/>
  <c r="O496" i="16"/>
  <c r="M477" i="16"/>
  <c r="O476" i="16"/>
  <c r="O468" i="16"/>
  <c r="M468" i="16"/>
  <c r="O460" i="16"/>
  <c r="M460" i="16"/>
  <c r="O444" i="16"/>
  <c r="M444" i="16"/>
  <c r="O494" i="16"/>
  <c r="W440" i="16"/>
  <c r="W489" i="16"/>
  <c r="O428" i="16"/>
  <c r="M428" i="16"/>
  <c r="O478" i="16"/>
  <c r="W411" i="16"/>
  <c r="W433" i="16"/>
  <c r="W482" i="16"/>
  <c r="W406" i="16"/>
  <c r="W446" i="16"/>
  <c r="W403" i="16"/>
  <c r="W454" i="16"/>
  <c r="O614" i="16"/>
  <c r="O598" i="16"/>
  <c r="O590" i="16"/>
  <c r="O542" i="16"/>
  <c r="O514" i="16"/>
  <c r="O497" i="16"/>
  <c r="O464" i="16"/>
  <c r="M464" i="16"/>
  <c r="O440" i="16"/>
  <c r="O489" i="16"/>
  <c r="M440" i="16"/>
  <c r="W427" i="16"/>
  <c r="W395" i="16"/>
  <c r="W394" i="16"/>
  <c r="W426" i="16"/>
  <c r="O414" i="16"/>
  <c r="O411" i="16"/>
  <c r="O406" i="16"/>
  <c r="O395" i="16"/>
  <c r="M394" i="16"/>
  <c r="O394" i="16"/>
  <c r="O410" i="16"/>
  <c r="M402" i="16"/>
  <c r="O402" i="16"/>
  <c r="W408" i="16"/>
  <c r="W398" i="16"/>
  <c r="O390" i="16"/>
  <c r="O386" i="16"/>
  <c r="O382" i="16"/>
  <c r="O377" i="16"/>
  <c r="O373" i="16"/>
  <c r="O369" i="16"/>
  <c r="O365" i="16"/>
  <c r="O361" i="16"/>
  <c r="O357" i="16"/>
  <c r="O353" i="16"/>
  <c r="O349" i="16"/>
  <c r="O345" i="16"/>
  <c r="O341" i="16"/>
  <c r="O337" i="16"/>
  <c r="O333" i="16"/>
  <c r="O329" i="16"/>
  <c r="O325" i="16"/>
  <c r="O321" i="16"/>
  <c r="O317" i="16"/>
  <c r="O313" i="16"/>
  <c r="O309" i="16"/>
  <c r="O303" i="16"/>
  <c r="W380" i="16"/>
  <c r="O380" i="16"/>
  <c r="O335" i="16"/>
  <c r="M317" i="16"/>
  <c r="M292" i="16"/>
  <c r="O318" i="16"/>
  <c r="O295" i="16"/>
  <c r="M291" i="16"/>
  <c r="O291" i="16"/>
  <c r="O287" i="16"/>
  <c r="O283" i="16"/>
  <c r="R283" i="16" s="1"/>
  <c r="O279" i="16"/>
  <c r="O275" i="16"/>
  <c r="O271" i="16"/>
  <c r="O267" i="16"/>
  <c r="O263" i="16"/>
  <c r="O259" i="16"/>
  <c r="O255" i="16"/>
  <c r="O251" i="16"/>
  <c r="O247" i="16"/>
  <c r="O243" i="16"/>
  <c r="O239" i="16"/>
  <c r="O227" i="16"/>
  <c r="O223" i="16"/>
  <c r="O219" i="16"/>
  <c r="O215" i="16"/>
  <c r="M207" i="16"/>
  <c r="O207" i="16"/>
  <c r="M252" i="16"/>
  <c r="M244" i="16"/>
  <c r="M240" i="16"/>
  <c r="M236" i="16"/>
  <c r="M232" i="16"/>
  <c r="M228" i="16"/>
  <c r="M224" i="16"/>
  <c r="M220" i="16"/>
  <c r="M216" i="16"/>
  <c r="M208" i="16"/>
  <c r="M203" i="16"/>
  <c r="O203" i="16"/>
  <c r="W289" i="16"/>
  <c r="O289" i="16"/>
  <c r="M283" i="16"/>
  <c r="W248" i="16"/>
  <c r="O248" i="16"/>
  <c r="O211" i="16"/>
  <c r="O199" i="16"/>
  <c r="O195" i="16"/>
  <c r="O191" i="16"/>
  <c r="O187" i="16"/>
  <c r="O183" i="16"/>
  <c r="R183" i="16" s="1"/>
  <c r="O179" i="16"/>
  <c r="O164" i="16"/>
  <c r="M164" i="16"/>
  <c r="O170" i="16"/>
  <c r="O168" i="16"/>
  <c r="M168" i="16"/>
  <c r="M160" i="16"/>
  <c r="M156" i="16"/>
  <c r="M152" i="16"/>
  <c r="M148" i="16"/>
  <c r="M144" i="16"/>
  <c r="M140" i="16"/>
  <c r="M136" i="16"/>
  <c r="O134" i="16"/>
  <c r="M132" i="16"/>
  <c r="R132" i="16" s="1"/>
  <c r="O130" i="16"/>
  <c r="M128" i="16"/>
  <c r="O126" i="16"/>
  <c r="M124" i="16"/>
  <c r="O122" i="16"/>
  <c r="M120" i="16"/>
  <c r="O118" i="16"/>
  <c r="M116" i="16"/>
  <c r="O114" i="16"/>
  <c r="M112" i="16"/>
  <c r="M108" i="16"/>
  <c r="M104" i="16"/>
  <c r="R104" i="16" s="1"/>
  <c r="O102" i="16"/>
  <c r="M100" i="16"/>
  <c r="O98" i="16"/>
  <c r="M92" i="16"/>
  <c r="O92" i="16"/>
  <c r="M151" i="16"/>
  <c r="M135" i="16"/>
  <c r="O94" i="16"/>
  <c r="M94" i="16"/>
  <c r="M88" i="16"/>
  <c r="O88" i="16"/>
  <c r="M96" i="16"/>
  <c r="O96" i="16"/>
  <c r="M90" i="16"/>
  <c r="M86" i="16"/>
  <c r="O84" i="16"/>
  <c r="M82" i="16"/>
  <c r="O80" i="16"/>
  <c r="M78" i="16"/>
  <c r="O76" i="16"/>
  <c r="M74" i="16"/>
  <c r="O72" i="16"/>
  <c r="R72" i="16" s="1"/>
  <c r="M70" i="16"/>
  <c r="O68" i="16"/>
  <c r="M66" i="16"/>
  <c r="O64" i="16"/>
  <c r="M62" i="16"/>
  <c r="O60" i="16"/>
  <c r="M58" i="16"/>
  <c r="O56" i="16"/>
  <c r="O54" i="16"/>
  <c r="O47" i="16"/>
  <c r="M47" i="16"/>
  <c r="M72" i="16"/>
  <c r="M39" i="16"/>
  <c r="M35" i="16"/>
  <c r="M31" i="16"/>
  <c r="M27" i="16"/>
  <c r="M23" i="16"/>
  <c r="M19" i="16"/>
  <c r="M15" i="16"/>
  <c r="M11" i="16"/>
  <c r="M7" i="16"/>
  <c r="R7" i="16" s="1"/>
  <c r="O5" i="16"/>
  <c r="M3" i="16"/>
  <c r="R3" i="16" s="1"/>
  <c r="O43" i="16"/>
  <c r="W608" i="13"/>
  <c r="Z608" i="13" s="1"/>
  <c r="S607" i="13"/>
  <c r="N607" i="13"/>
  <c r="AR607" i="13" s="1"/>
  <c r="L608" i="13"/>
  <c r="N608" i="13" s="1"/>
  <c r="P608" i="13"/>
  <c r="P607" i="13"/>
  <c r="R607" i="13"/>
  <c r="T608" i="13"/>
  <c r="K608" i="13"/>
  <c r="AU608" i="13" s="1"/>
  <c r="W1870" i="16" l="1"/>
  <c r="W409" i="16"/>
  <c r="W457" i="16"/>
  <c r="R665" i="13"/>
  <c r="AM710" i="13" a="1"/>
  <c r="AM710" i="13" s="1"/>
  <c r="T1865" i="16"/>
  <c r="T1864" i="16"/>
  <c r="AM660" i="13" a="1"/>
  <c r="AM660" i="13" s="1"/>
  <c r="T1863" i="16"/>
  <c r="W1853" i="16"/>
  <c r="W1861" i="16"/>
  <c r="W1855" i="16"/>
  <c r="W1859" i="16"/>
  <c r="W1844" i="16"/>
  <c r="W1858" i="16"/>
  <c r="R1842" i="16"/>
  <c r="AM700" i="13" s="1" a="1"/>
  <c r="AM700" i="13" s="1"/>
  <c r="R1849" i="16"/>
  <c r="AM707" i="13" s="1" a="1"/>
  <c r="AM707" i="13" s="1"/>
  <c r="T1848" i="16"/>
  <c r="T1857" i="16"/>
  <c r="T1845" i="16"/>
  <c r="T1849" i="16"/>
  <c r="T1852" i="16"/>
  <c r="T1853" i="16"/>
  <c r="T1856" i="16"/>
  <c r="T1843" i="16"/>
  <c r="T1855" i="16"/>
  <c r="T1844" i="16"/>
  <c r="T1850" i="16"/>
  <c r="T1854" i="16"/>
  <c r="T1842" i="16"/>
  <c r="T1846" i="16"/>
  <c r="T1851" i="16"/>
  <c r="T1841" i="16"/>
  <c r="T1859" i="16"/>
  <c r="T1858" i="16"/>
  <c r="T1847" i="16"/>
  <c r="T1860" i="16"/>
  <c r="W436" i="16"/>
  <c r="W704" i="16"/>
  <c r="W606" i="16"/>
  <c r="W1072" i="16"/>
  <c r="W698" i="16"/>
  <c r="W484" i="16"/>
  <c r="W591" i="16"/>
  <c r="W923" i="16"/>
  <c r="W911" i="16"/>
  <c r="W809" i="16"/>
  <c r="W1737" i="16"/>
  <c r="W644" i="16"/>
  <c r="W747" i="16"/>
  <c r="W957" i="16"/>
  <c r="W1017" i="16"/>
  <c r="W799" i="16"/>
  <c r="W977" i="16"/>
  <c r="W757" i="16"/>
  <c r="W1261" i="16"/>
  <c r="W1384" i="16"/>
  <c r="W1420" i="16"/>
  <c r="W1509" i="16"/>
  <c r="W852" i="16"/>
  <c r="W861" i="16"/>
  <c r="W1659" i="16"/>
  <c r="W549" i="16"/>
  <c r="W682" i="16"/>
  <c r="R1792" i="16"/>
  <c r="T1834" i="16" s="1"/>
  <c r="W1832" i="16"/>
  <c r="R1809" i="16"/>
  <c r="T1809" i="16"/>
  <c r="W1833" i="16"/>
  <c r="W1821" i="16"/>
  <c r="T1792" i="16"/>
  <c r="W1799" i="16"/>
  <c r="W1797" i="16"/>
  <c r="W1803" i="16"/>
  <c r="W1824" i="16"/>
  <c r="W1784" i="16"/>
  <c r="T1782" i="16"/>
  <c r="R1782" i="16"/>
  <c r="W1776" i="16"/>
  <c r="AM708" i="13" a="1"/>
  <c r="AM708" i="13" s="1"/>
  <c r="T1773" i="16"/>
  <c r="R1766" i="16"/>
  <c r="R1855" i="16" s="1"/>
  <c r="R1861" i="16" s="1"/>
  <c r="W1757" i="16"/>
  <c r="T1756" i="16"/>
  <c r="T1766" i="16"/>
  <c r="W1766" i="16"/>
  <c r="W1768" i="16"/>
  <c r="W1755" i="16"/>
  <c r="W1769" i="16"/>
  <c r="T1753" i="16"/>
  <c r="T1752" i="16"/>
  <c r="R1751" i="16"/>
  <c r="T1838" i="16" s="1"/>
  <c r="R1750" i="16"/>
  <c r="R1747" i="16"/>
  <c r="R1812" i="16" s="1"/>
  <c r="W1749" i="16"/>
  <c r="W1725" i="16"/>
  <c r="R1743" i="16"/>
  <c r="T1743" i="16"/>
  <c r="W1748" i="16"/>
  <c r="W1711" i="16"/>
  <c r="W1734" i="16"/>
  <c r="W1653" i="16"/>
  <c r="W1738" i="16"/>
  <c r="W1713" i="16"/>
  <c r="T1745" i="16"/>
  <c r="R1704" i="16"/>
  <c r="T1704" i="16"/>
  <c r="W1702" i="16"/>
  <c r="R1696" i="16"/>
  <c r="R1778" i="16" s="1"/>
  <c r="T1876" i="16" s="1"/>
  <c r="T1696" i="16"/>
  <c r="T1698" i="16"/>
  <c r="T1702" i="16"/>
  <c r="T1703" i="16"/>
  <c r="W1694" i="16"/>
  <c r="T1693" i="16"/>
  <c r="W1684" i="16"/>
  <c r="T1692" i="16"/>
  <c r="W1629" i="16"/>
  <c r="W1665" i="16"/>
  <c r="R1658" i="16"/>
  <c r="T1744" i="16" s="1"/>
  <c r="W1655" i="16"/>
  <c r="W1628" i="16"/>
  <c r="R1636" i="16"/>
  <c r="R1746" i="16" s="1"/>
  <c r="R1811" i="16" s="1"/>
  <c r="W1675" i="16"/>
  <c r="W1634" i="16"/>
  <c r="W1631" i="16"/>
  <c r="R1688" i="16"/>
  <c r="T1767" i="16" s="1"/>
  <c r="R1657" i="16"/>
  <c r="T1732" i="16" s="1"/>
  <c r="W1625" i="16"/>
  <c r="R5" i="16"/>
  <c r="R8" i="16" s="1"/>
  <c r="R24" i="16" s="1"/>
  <c r="R39" i="16" s="1"/>
  <c r="R74" i="16" s="1"/>
  <c r="R110" i="16" s="1"/>
  <c r="R114" i="16" s="1"/>
  <c r="W1616" i="16"/>
  <c r="W1621" i="16"/>
  <c r="T1623" i="16"/>
  <c r="W1614" i="16"/>
  <c r="T1613" i="16"/>
  <c r="W1607" i="16"/>
  <c r="W1602" i="16"/>
  <c r="W1596" i="16"/>
  <c r="W1592" i="16"/>
  <c r="W1595" i="16"/>
  <c r="T1591" i="16"/>
  <c r="R1554" i="16"/>
  <c r="T1612" i="16" s="1"/>
  <c r="W1551" i="16"/>
  <c r="T1577" i="16"/>
  <c r="W1567" i="16"/>
  <c r="T1554" i="16"/>
  <c r="T1575" i="16"/>
  <c r="T1574" i="16"/>
  <c r="W1510" i="16"/>
  <c r="W1569" i="16"/>
  <c r="W1552" i="16"/>
  <c r="W1558" i="16"/>
  <c r="W1585" i="16"/>
  <c r="W1588" i="16"/>
  <c r="R1543" i="16"/>
  <c r="T1695" i="16" s="1"/>
  <c r="W1541" i="16"/>
  <c r="T1543" i="16"/>
  <c r="T1542" i="16"/>
  <c r="W1548" i="16"/>
  <c r="R1542" i="16"/>
  <c r="R1622" i="16" s="1"/>
  <c r="R1703" i="16" s="1"/>
  <c r="R1785" i="16" s="1"/>
  <c r="R1540" i="16"/>
  <c r="R1613" i="16" s="1"/>
  <c r="R1691" i="16" s="1"/>
  <c r="R1774" i="16" s="1"/>
  <c r="R1865" i="16" s="1"/>
  <c r="T1540" i="16"/>
  <c r="T1539" i="16"/>
  <c r="R1519" i="16"/>
  <c r="R1591" i="16" s="1"/>
  <c r="R1674" i="16" s="1"/>
  <c r="R1752" i="16" s="1"/>
  <c r="R1840" i="16" s="1"/>
  <c r="W1538" i="16"/>
  <c r="R1520" i="16"/>
  <c r="T1592" i="16" s="1"/>
  <c r="T1519" i="16"/>
  <c r="R1526" i="16"/>
  <c r="T1598" i="16" s="1"/>
  <c r="T1526" i="16"/>
  <c r="W25" i="16"/>
  <c r="W1520" i="16"/>
  <c r="W1523" i="16"/>
  <c r="W1533" i="16"/>
  <c r="W1524" i="16"/>
  <c r="T1520" i="16"/>
  <c r="T1516" i="16"/>
  <c r="W1508" i="16"/>
  <c r="W1471" i="16"/>
  <c r="W1474" i="16"/>
  <c r="W1501" i="16"/>
  <c r="W1515" i="16"/>
  <c r="W1486" i="16"/>
  <c r="W1514" i="16"/>
  <c r="W1498" i="16"/>
  <c r="T1469" i="16"/>
  <c r="T1472" i="16"/>
  <c r="R1469" i="16"/>
  <c r="T1525" i="16" s="1"/>
  <c r="W1464" i="16"/>
  <c r="W15" i="16"/>
  <c r="W1463" i="16"/>
  <c r="T1467" i="16"/>
  <c r="T1456" i="16"/>
  <c r="W1455" i="16"/>
  <c r="W1454" i="16"/>
  <c r="R1447" i="16"/>
  <c r="T1486" i="16" s="1"/>
  <c r="W1447" i="16"/>
  <c r="R1436" i="16"/>
  <c r="R1505" i="16" s="1"/>
  <c r="T1560" i="16" s="1"/>
  <c r="W1444" i="16"/>
  <c r="W1438" i="16"/>
  <c r="T1447" i="16"/>
  <c r="W1362" i="16"/>
  <c r="W1440" i="16"/>
  <c r="T1436" i="16"/>
  <c r="W1434" i="16"/>
  <c r="W1413" i="16"/>
  <c r="W42" i="16"/>
  <c r="W1412" i="16"/>
  <c r="W654" i="16"/>
  <c r="W1411" i="16"/>
  <c r="W1404" i="16"/>
  <c r="W782" i="16"/>
  <c r="W1407" i="16"/>
  <c r="R572" i="16"/>
  <c r="R623" i="16" s="1"/>
  <c r="R670" i="16" s="1"/>
  <c r="R717" i="16" s="1"/>
  <c r="R772" i="16" s="1"/>
  <c r="R821" i="16" s="1"/>
  <c r="R880" i="16" s="1"/>
  <c r="R939" i="16" s="1"/>
  <c r="W703" i="16"/>
  <c r="W756" i="16"/>
  <c r="W1403" i="16"/>
  <c r="W1394" i="16"/>
  <c r="T1403" i="16"/>
  <c r="W1395" i="16"/>
  <c r="R1387" i="16"/>
  <c r="R1388" i="16" s="1"/>
  <c r="T1454" i="16" s="1"/>
  <c r="T1387" i="16"/>
  <c r="T1388" i="16"/>
  <c r="T1389" i="16"/>
  <c r="W1388" i="16"/>
  <c r="W1387" i="16"/>
  <c r="T1384" i="16"/>
  <c r="W1383" i="16"/>
  <c r="W1382" i="16"/>
  <c r="W1381" i="16"/>
  <c r="W1350" i="16"/>
  <c r="W129" i="16"/>
  <c r="W1359" i="16"/>
  <c r="R140" i="16"/>
  <c r="R182" i="16" s="1"/>
  <c r="R227" i="16" s="1"/>
  <c r="R372" i="16" s="1"/>
  <c r="R423" i="16" s="1"/>
  <c r="R473" i="16" s="1"/>
  <c r="R525" i="16" s="1"/>
  <c r="U558" i="16" s="1" a="1"/>
  <c r="U558" i="16" s="1"/>
  <c r="W220" i="16"/>
  <c r="W17" i="16"/>
  <c r="W1380" i="16"/>
  <c r="W1376" i="16"/>
  <c r="W1379" i="16"/>
  <c r="R1358" i="16"/>
  <c r="R1427" i="16" s="1"/>
  <c r="T1504" i="16" s="1"/>
  <c r="W1340" i="16"/>
  <c r="W9" i="16"/>
  <c r="W1347" i="16"/>
  <c r="W1344" i="16"/>
  <c r="W1338" i="16"/>
  <c r="W175" i="16"/>
  <c r="R1336" i="16"/>
  <c r="T1396" i="16" s="1"/>
  <c r="T1336" i="16"/>
  <c r="W1329" i="16"/>
  <c r="W1332" i="16"/>
  <c r="W1323" i="16"/>
  <c r="W1324" i="16"/>
  <c r="R1286" i="16"/>
  <c r="W1287" i="16"/>
  <c r="W1290" i="16"/>
  <c r="W35" i="16"/>
  <c r="T1286" i="16"/>
  <c r="W1286" i="16"/>
  <c r="W1278" i="16"/>
  <c r="W1313" i="16"/>
  <c r="W1243" i="16"/>
  <c r="W1303" i="16"/>
  <c r="W43" i="16"/>
  <c r="W1301" i="16"/>
  <c r="W112" i="16"/>
  <c r="W1310" i="16"/>
  <c r="W1285" i="16"/>
  <c r="W432" i="16"/>
  <c r="W1279" i="16"/>
  <c r="T1281" i="16"/>
  <c r="T1282" i="16"/>
  <c r="T1285" i="16"/>
  <c r="T1283" i="16"/>
  <c r="W1274" i="16"/>
  <c r="T1280" i="16"/>
  <c r="T1279" i="16"/>
  <c r="R9" i="16"/>
  <c r="R15" i="16" s="1"/>
  <c r="R25" i="16" s="1"/>
  <c r="R61" i="16" s="1"/>
  <c r="R94" i="16" s="1"/>
  <c r="R136" i="16" s="1"/>
  <c r="R179" i="16" s="1"/>
  <c r="R224" i="16" s="1"/>
  <c r="R281" i="16" s="1"/>
  <c r="W1270" i="16"/>
  <c r="W1266" i="16"/>
  <c r="W1180" i="16"/>
  <c r="W317" i="16"/>
  <c r="W154" i="16"/>
  <c r="W1030" i="16"/>
  <c r="W33" i="16"/>
  <c r="W602" i="16"/>
  <c r="W414" i="16"/>
  <c r="W950" i="16"/>
  <c r="W1122" i="16"/>
  <c r="W349" i="16"/>
  <c r="W113" i="16"/>
  <c r="W663" i="16"/>
  <c r="W628" i="16"/>
  <c r="W826" i="16"/>
  <c r="W922" i="16"/>
  <c r="W263" i="16"/>
  <c r="W335" i="16"/>
  <c r="W785" i="16"/>
  <c r="R21" i="16"/>
  <c r="R51" i="16" s="1"/>
  <c r="R83" i="16" s="1"/>
  <c r="R121" i="16" s="1"/>
  <c r="R162" i="16" s="1"/>
  <c r="R207" i="16" s="1"/>
  <c r="R255" i="16" s="1"/>
  <c r="R390" i="16" s="1"/>
  <c r="R491" i="16" s="1"/>
  <c r="R635" i="16" s="1"/>
  <c r="R739" i="16" s="1"/>
  <c r="R845" i="16" s="1"/>
  <c r="W808" i="16"/>
  <c r="W309" i="16"/>
  <c r="W1174" i="16"/>
  <c r="W1117" i="16"/>
  <c r="W1004" i="16"/>
  <c r="W1116" i="16"/>
  <c r="W261" i="16"/>
  <c r="W860" i="16"/>
  <c r="W1232" i="16"/>
  <c r="W561" i="16"/>
  <c r="W1195" i="16"/>
  <c r="W944" i="16"/>
  <c r="W1081" i="16"/>
  <c r="W962" i="16"/>
  <c r="W77" i="16"/>
  <c r="W958" i="16"/>
  <c r="W948" i="16"/>
  <c r="W603" i="16"/>
  <c r="W465" i="16"/>
  <c r="W616" i="16"/>
  <c r="W765" i="16"/>
  <c r="R239" i="16"/>
  <c r="W1263" i="16"/>
  <c r="W518" i="16"/>
  <c r="W554" i="16"/>
  <c r="W382" i="16"/>
  <c r="W314" i="16"/>
  <c r="W853" i="16"/>
  <c r="W1065" i="16"/>
  <c r="W1057" i="16"/>
  <c r="W1096" i="16"/>
  <c r="R56" i="16"/>
  <c r="R86" i="16" s="1"/>
  <c r="R124" i="16" s="1"/>
  <c r="R165" i="16" s="1"/>
  <c r="R210" i="16" s="1"/>
  <c r="R246" i="16" s="1"/>
  <c r="R301" i="16" s="1"/>
  <c r="R343" i="16" s="1"/>
  <c r="R392" i="16" s="1"/>
  <c r="R444" i="16" s="1"/>
  <c r="R494" i="16" s="1"/>
  <c r="R537" i="16" s="1"/>
  <c r="R584" i="16" s="1"/>
  <c r="R638" i="16" s="1"/>
  <c r="R695" i="16" s="1"/>
  <c r="R742" i="16" s="1"/>
  <c r="R793" i="16" s="1"/>
  <c r="R848" i="16" s="1"/>
  <c r="R906" i="16" s="1"/>
  <c r="R969" i="16" s="1"/>
  <c r="R1012" i="16" s="1"/>
  <c r="R1068" i="16" s="1"/>
  <c r="R1127" i="16" s="1"/>
  <c r="R1189" i="16" s="1"/>
  <c r="T1258" i="16" s="1"/>
  <c r="W485" i="16"/>
  <c r="W199" i="16"/>
  <c r="W892" i="16"/>
  <c r="W1163" i="16"/>
  <c r="W1204" i="16"/>
  <c r="W1018" i="16"/>
  <c r="W264" i="16"/>
  <c r="W786" i="16"/>
  <c r="W629" i="16"/>
  <c r="W866" i="16"/>
  <c r="W681" i="16"/>
  <c r="W1066" i="16"/>
  <c r="W912" i="16"/>
  <c r="W544" i="16"/>
  <c r="W594" i="16"/>
  <c r="W927" i="16"/>
  <c r="W838" i="16"/>
  <c r="W1113" i="16"/>
  <c r="W504" i="16"/>
  <c r="W1221" i="16"/>
  <c r="W1255" i="16"/>
  <c r="W100" i="16"/>
  <c r="W401" i="16"/>
  <c r="W452" i="16"/>
  <c r="W951" i="16"/>
  <c r="W748" i="16"/>
  <c r="W363" i="16"/>
  <c r="W688" i="16"/>
  <c r="W998" i="16"/>
  <c r="W734" i="16"/>
  <c r="W800" i="16"/>
  <c r="W1136" i="16"/>
  <c r="W646" i="16"/>
  <c r="W709" i="16"/>
  <c r="W938" i="16"/>
  <c r="W1216" i="16"/>
  <c r="W875" i="16"/>
  <c r="W884" i="16"/>
  <c r="W1219" i="16"/>
  <c r="W1262" i="16"/>
  <c r="R925" i="16"/>
  <c r="R978" i="16" s="1"/>
  <c r="R1032" i="16" s="1"/>
  <c r="R1084" i="16" s="1"/>
  <c r="R1143" i="16" s="1"/>
  <c r="R1178" i="16" s="1"/>
  <c r="R1305" i="16" s="1"/>
  <c r="R67" i="16"/>
  <c r="T73" i="16" s="1"/>
  <c r="R17" i="16"/>
  <c r="R42" i="16" s="1"/>
  <c r="R76" i="16" s="1"/>
  <c r="R112" i="16" s="1"/>
  <c r="R153" i="16" s="1"/>
  <c r="R198" i="16" s="1"/>
  <c r="R263" i="16" s="1"/>
  <c r="R313" i="16" s="1"/>
  <c r="R336" i="16" s="1"/>
  <c r="R381" i="16" s="1"/>
  <c r="R431" i="16" s="1"/>
  <c r="R481" i="16" s="1"/>
  <c r="R553" i="16" s="1"/>
  <c r="R602" i="16" s="1"/>
  <c r="R628" i="16" s="1"/>
  <c r="R680" i="16" s="1"/>
  <c r="R733" i="16" s="1"/>
  <c r="R785" i="16" s="1"/>
  <c r="R865" i="16" s="1"/>
  <c r="R926" i="16" s="1"/>
  <c r="R950" i="16" s="1"/>
  <c r="R1003" i="16" s="1"/>
  <c r="R1064" i="16" s="1"/>
  <c r="R1115" i="16" s="1"/>
  <c r="R1203" i="16" s="1"/>
  <c r="R1262" i="16" s="1"/>
  <c r="T1278" i="16" s="1"/>
  <c r="W234" i="16"/>
  <c r="W1150" i="16"/>
  <c r="W273" i="16"/>
  <c r="W1040" i="16"/>
  <c r="W1052" i="16"/>
  <c r="W68" i="16"/>
  <c r="W986" i="16"/>
  <c r="W189" i="16"/>
  <c r="W144" i="16"/>
  <c r="W327" i="16"/>
  <c r="W1153" i="16"/>
  <c r="W984" i="16"/>
  <c r="W1095" i="16"/>
  <c r="W814" i="16"/>
  <c r="W932" i="16"/>
  <c r="R223" i="16"/>
  <c r="R251" i="16" s="1"/>
  <c r="R312" i="16" s="1"/>
  <c r="R352" i="16" s="1"/>
  <c r="R405" i="16" s="1"/>
  <c r="R455" i="16" s="1"/>
  <c r="R507" i="16" s="1"/>
  <c r="R547" i="16" s="1"/>
  <c r="R597" i="16" s="1"/>
  <c r="R649" i="16" s="1"/>
  <c r="R689" i="16" s="1"/>
  <c r="R751" i="16" s="1"/>
  <c r="R803" i="16" s="1"/>
  <c r="R855" i="16" s="1"/>
  <c r="R915" i="16" s="1"/>
  <c r="R959" i="16" s="1"/>
  <c r="R1021" i="16" s="1"/>
  <c r="R1073" i="16" s="1"/>
  <c r="R1137" i="16" s="1"/>
  <c r="R1197" i="16" s="1"/>
  <c r="T1241" i="16" s="1"/>
  <c r="R705" i="16"/>
  <c r="R758" i="16" s="1"/>
  <c r="R810" i="16" s="1"/>
  <c r="R862" i="16" s="1"/>
  <c r="R924" i="16" s="1"/>
  <c r="R963" i="16" s="1"/>
  <c r="R1031" i="16" s="1"/>
  <c r="R1083" i="16" s="1"/>
  <c r="R1139" i="16" s="1"/>
  <c r="T1177" i="16" s="1"/>
  <c r="R139" i="16"/>
  <c r="R181" i="16" s="1"/>
  <c r="R226" i="16" s="1"/>
  <c r="R278" i="16" s="1"/>
  <c r="R320" i="16" s="1"/>
  <c r="R371" i="16" s="1"/>
  <c r="R422" i="16" s="1"/>
  <c r="R472" i="16" s="1"/>
  <c r="R524" i="16" s="1"/>
  <c r="R569" i="16" s="1"/>
  <c r="R611" i="16" s="1"/>
  <c r="R658" i="16" s="1"/>
  <c r="R720" i="16" s="1"/>
  <c r="R760" i="16" s="1"/>
  <c r="R824" i="16" s="1"/>
  <c r="R882" i="16" s="1"/>
  <c r="R937" i="16" s="1"/>
  <c r="R983" i="16" s="1"/>
  <c r="R1051" i="16" s="1"/>
  <c r="R1094" i="16" s="1"/>
  <c r="R35" i="16"/>
  <c r="R43" i="16" s="1"/>
  <c r="R77" i="16" s="1"/>
  <c r="R113" i="16" s="1"/>
  <c r="R154" i="16" s="1"/>
  <c r="R199" i="16" s="1"/>
  <c r="R264" i="16" s="1"/>
  <c r="R314" i="16" s="1"/>
  <c r="R335" i="16" s="1"/>
  <c r="R382" i="16" s="1"/>
  <c r="R432" i="16" s="1"/>
  <c r="R485" i="16" s="1"/>
  <c r="R554" i="16" s="1"/>
  <c r="R603" i="16" s="1"/>
  <c r="R629" i="16" s="1"/>
  <c r="R681" i="16" s="1"/>
  <c r="R734" i="16" s="1"/>
  <c r="R786" i="16" s="1"/>
  <c r="R866" i="16" s="1"/>
  <c r="R927" i="16" s="1"/>
  <c r="R951" i="16" s="1"/>
  <c r="R1004" i="16" s="1"/>
  <c r="R1065" i="16" s="1"/>
  <c r="R1116" i="16" s="1"/>
  <c r="R1204" i="16" s="1"/>
  <c r="T1263" i="16" s="1"/>
  <c r="W179" i="16"/>
  <c r="W553" i="16"/>
  <c r="W1115" i="16"/>
  <c r="W76" i="16"/>
  <c r="W336" i="16"/>
  <c r="W1203" i="16"/>
  <c r="W318" i="16"/>
  <c r="W198" i="16"/>
  <c r="W369" i="16"/>
  <c r="W680" i="16"/>
  <c r="W481" i="16"/>
  <c r="W381" i="16"/>
  <c r="W926" i="16"/>
  <c r="W61" i="16"/>
  <c r="W136" i="16"/>
  <c r="W153" i="16"/>
  <c r="W470" i="16"/>
  <c r="W313" i="16"/>
  <c r="W1064" i="16"/>
  <c r="W733" i="16"/>
  <c r="W865" i="16"/>
  <c r="W1003" i="16"/>
  <c r="W431" i="16"/>
  <c r="R173" i="16"/>
  <c r="R221" i="16" s="1"/>
  <c r="R262" i="16" s="1"/>
  <c r="R310" i="16" s="1"/>
  <c r="R359" i="16" s="1"/>
  <c r="R403" i="16" s="1"/>
  <c r="R454" i="16" s="1"/>
  <c r="R506" i="16" s="1"/>
  <c r="R545" i="16" s="1"/>
  <c r="R595" i="16" s="1"/>
  <c r="R647" i="16" s="1"/>
  <c r="W94" i="16"/>
  <c r="W420" i="16"/>
  <c r="W822" i="16"/>
  <c r="W567" i="16"/>
  <c r="W718" i="16"/>
  <c r="W1049" i="16"/>
  <c r="W522" i="16"/>
  <c r="R36" i="16"/>
  <c r="R54" i="16" s="1"/>
  <c r="R78" i="16" s="1"/>
  <c r="R116" i="16" s="1"/>
  <c r="R157" i="16" s="1"/>
  <c r="R202" i="16" s="1"/>
  <c r="R252" i="16" s="1"/>
  <c r="R295" i="16" s="1"/>
  <c r="R345" i="16" s="1"/>
  <c r="R386" i="16" s="1"/>
  <c r="R437" i="16" s="1"/>
  <c r="R486" i="16" s="1"/>
  <c r="R530" i="16" s="1"/>
  <c r="R577" i="16" s="1"/>
  <c r="R600" i="16" s="1"/>
  <c r="R630" i="16" s="1"/>
  <c r="R653" i="16" s="1"/>
  <c r="R691" i="16" s="1"/>
  <c r="R702" i="16" s="1"/>
  <c r="R735" i="16" s="1"/>
  <c r="R754" i="16" s="1"/>
  <c r="R787" i="16" s="1"/>
  <c r="R806" i="16" s="1"/>
  <c r="R841" i="16" s="1"/>
  <c r="R858" i="16" s="1"/>
  <c r="R899" i="16" s="1"/>
  <c r="R919" i="16" s="1"/>
  <c r="R961" i="16" s="1"/>
  <c r="R968" i="16" s="1"/>
  <c r="R1005" i="16" s="1"/>
  <c r="R1025" i="16" s="1"/>
  <c r="R1075" i="16" s="1"/>
  <c r="R1085" i="16" s="1"/>
  <c r="R1123" i="16" s="1"/>
  <c r="R1132" i="16" s="1"/>
  <c r="T1183" i="16" s="1"/>
  <c r="R706" i="16"/>
  <c r="R755" i="16" s="1"/>
  <c r="R807" i="16" s="1"/>
  <c r="R859" i="16" s="1"/>
  <c r="R921" i="16" s="1"/>
  <c r="R976" i="16" s="1"/>
  <c r="R1029" i="16" s="1"/>
  <c r="R1080" i="16" s="1"/>
  <c r="R1142" i="16" s="1"/>
  <c r="R1173" i="16" s="1"/>
  <c r="R1240" i="16" s="1"/>
  <c r="T1315" i="16" s="1"/>
  <c r="W942" i="16"/>
  <c r="R45" i="16"/>
  <c r="R89" i="16" s="1"/>
  <c r="R118" i="16" s="1"/>
  <c r="R159" i="16" s="1"/>
  <c r="R204" i="16" s="1"/>
  <c r="R253" i="16" s="1"/>
  <c r="R297" i="16" s="1"/>
  <c r="R347" i="16" s="1"/>
  <c r="R399" i="16" s="1"/>
  <c r="R439" i="16" s="1"/>
  <c r="R488" i="16" s="1"/>
  <c r="R532" i="16" s="1"/>
  <c r="R579" i="16" s="1"/>
  <c r="R632" i="16" s="1"/>
  <c r="R683" i="16" s="1"/>
  <c r="R737" i="16" s="1"/>
  <c r="R789" i="16" s="1"/>
  <c r="R843" i="16" s="1"/>
  <c r="R901" i="16" s="1"/>
  <c r="R967" i="16" s="1"/>
  <c r="R1007" i="16" s="1"/>
  <c r="R1088" i="16" s="1"/>
  <c r="R1125" i="16" s="1"/>
  <c r="T1185" i="16" s="1"/>
  <c r="W281" i="16"/>
  <c r="W1092" i="16"/>
  <c r="R654" i="16"/>
  <c r="R703" i="16" s="1"/>
  <c r="R756" i="16" s="1"/>
  <c r="R808" i="16" s="1"/>
  <c r="R860" i="16" s="1"/>
  <c r="R922" i="16" s="1"/>
  <c r="R962" i="16" s="1"/>
  <c r="R1030" i="16" s="1"/>
  <c r="R1081" i="16" s="1"/>
  <c r="R1117" i="16" s="1"/>
  <c r="R1174" i="16" s="1"/>
  <c r="T1232" i="16" s="1"/>
  <c r="W1147" i="16"/>
  <c r="W1138" i="16"/>
  <c r="W224" i="16"/>
  <c r="W981" i="16"/>
  <c r="W828" i="16"/>
  <c r="R22" i="16"/>
  <c r="R44" i="16" s="1"/>
  <c r="R85" i="16" s="1"/>
  <c r="R122" i="16" s="1"/>
  <c r="R163" i="16" s="1"/>
  <c r="R208" i="16" s="1"/>
  <c r="R256" i="16" s="1"/>
  <c r="R300" i="16" s="1"/>
  <c r="R342" i="16" s="1"/>
  <c r="R391" i="16" s="1"/>
  <c r="R442" i="16" s="1"/>
  <c r="R492" i="16" s="1"/>
  <c r="R535" i="16" s="1"/>
  <c r="R582" i="16" s="1"/>
  <c r="R636" i="16" s="1"/>
  <c r="R694" i="16" s="1"/>
  <c r="R740" i="16" s="1"/>
  <c r="R791" i="16" s="1"/>
  <c r="R846" i="16" s="1"/>
  <c r="R904" i="16" s="1"/>
  <c r="R953" i="16" s="1"/>
  <c r="R1010" i="16" s="1"/>
  <c r="R949" i="16"/>
  <c r="R979" i="16" s="1"/>
  <c r="R1028" i="16" s="1"/>
  <c r="R1079" i="16" s="1"/>
  <c r="R1120" i="16" s="1"/>
  <c r="R1172" i="16" s="1"/>
  <c r="R1238" i="16" s="1"/>
  <c r="R1300" i="16" s="1"/>
  <c r="W1194" i="16"/>
  <c r="R20" i="16"/>
  <c r="R50" i="16" s="1"/>
  <c r="R82" i="16" s="1"/>
  <c r="R120" i="16" s="1"/>
  <c r="R161" i="16" s="1"/>
  <c r="R206" i="16" s="1"/>
  <c r="R254" i="16" s="1"/>
  <c r="R298" i="16" s="1"/>
  <c r="R341" i="16" s="1"/>
  <c r="R389" i="16" s="1"/>
  <c r="R441" i="16" s="1"/>
  <c r="R490" i="16" s="1"/>
  <c r="R534" i="16" s="1"/>
  <c r="R581" i="16" s="1"/>
  <c r="R634" i="16" s="1"/>
  <c r="R693" i="16" s="1"/>
  <c r="R738" i="16" s="1"/>
  <c r="R790" i="16" s="1"/>
  <c r="R844" i="16" s="1"/>
  <c r="R902" i="16" s="1"/>
  <c r="R952" i="16" s="1"/>
  <c r="R1008" i="16" s="1"/>
  <c r="W1259" i="16"/>
  <c r="T1245" i="16"/>
  <c r="T1249" i="16"/>
  <c r="R510" i="16"/>
  <c r="R551" i="16" s="1"/>
  <c r="R599" i="16" s="1"/>
  <c r="R652" i="16" s="1"/>
  <c r="R701" i="16" s="1"/>
  <c r="R752" i="16" s="1"/>
  <c r="R805" i="16" s="1"/>
  <c r="R857" i="16" s="1"/>
  <c r="R916" i="16" s="1"/>
  <c r="R973" i="16" s="1"/>
  <c r="R1022" i="16" s="1"/>
  <c r="R1074" i="16" s="1"/>
  <c r="R1131" i="16" s="1"/>
  <c r="R1198" i="16" s="1"/>
  <c r="R265" i="16"/>
  <c r="R308" i="16" s="1"/>
  <c r="R357" i="16" s="1"/>
  <c r="R409" i="16" s="1"/>
  <c r="R457" i="16" s="1"/>
  <c r="R502" i="16" s="1"/>
  <c r="R549" i="16" s="1"/>
  <c r="R591" i="16" s="1"/>
  <c r="R644" i="16" s="1"/>
  <c r="R698" i="16" s="1"/>
  <c r="R747" i="16" s="1"/>
  <c r="R799" i="16" s="1"/>
  <c r="R852" i="16" s="1"/>
  <c r="R911" i="16" s="1"/>
  <c r="R957" i="16" s="1"/>
  <c r="R1017" i="16" s="1"/>
  <c r="R1072" i="16" s="1"/>
  <c r="R1138" i="16" s="1"/>
  <c r="R1194" i="16" s="1"/>
  <c r="T1261" i="16" s="1"/>
  <c r="R18" i="16"/>
  <c r="R48" i="16" s="1"/>
  <c r="R79" i="16" s="1"/>
  <c r="R117" i="16" s="1"/>
  <c r="R158" i="16" s="1"/>
  <c r="R203" i="16" s="1"/>
  <c r="R244" i="16" s="1"/>
  <c r="R296" i="16" s="1"/>
  <c r="R339" i="16" s="1"/>
  <c r="R387" i="16" s="1"/>
  <c r="R438" i="16" s="1"/>
  <c r="R487" i="16" s="1"/>
  <c r="R531" i="16" s="1"/>
  <c r="R578" i="16" s="1"/>
  <c r="R631" i="16" s="1"/>
  <c r="R692" i="16" s="1"/>
  <c r="R736" i="16" s="1"/>
  <c r="R788" i="16" s="1"/>
  <c r="R842" i="16" s="1"/>
  <c r="R900" i="16" s="1"/>
  <c r="R966" i="16" s="1"/>
  <c r="R1006" i="16" s="1"/>
  <c r="R1086" i="16" s="1"/>
  <c r="R1133" i="16" s="1"/>
  <c r="R1184" i="16" s="1"/>
  <c r="R1249" i="16" s="1"/>
  <c r="R1316" i="16" s="1"/>
  <c r="R38" i="16"/>
  <c r="R70" i="16" s="1"/>
  <c r="R107" i="16" s="1"/>
  <c r="R149" i="16" s="1"/>
  <c r="R194" i="16" s="1"/>
  <c r="R243" i="16" s="1"/>
  <c r="R285" i="16" s="1"/>
  <c r="R333" i="16" s="1"/>
  <c r="R378" i="16" s="1"/>
  <c r="R428" i="16" s="1"/>
  <c r="R478" i="16" s="1"/>
  <c r="R529" i="16" s="1"/>
  <c r="R576" i="16" s="1"/>
  <c r="R627" i="16" s="1"/>
  <c r="R677" i="16" s="1"/>
  <c r="R732" i="16" s="1"/>
  <c r="R779" i="16" s="1"/>
  <c r="R829" i="16" s="1"/>
  <c r="R891" i="16" s="1"/>
  <c r="R948" i="16" s="1"/>
  <c r="R996" i="16" s="1"/>
  <c r="R1055" i="16" s="1"/>
  <c r="R1107" i="16" s="1"/>
  <c r="R1169" i="16" s="1"/>
  <c r="T1223" i="16" s="1"/>
  <c r="R1058" i="16"/>
  <c r="R1112" i="16" s="1"/>
  <c r="R1165" i="16" s="1"/>
  <c r="R1222" i="16" s="1"/>
  <c r="R1280" i="16" s="1"/>
  <c r="T1346" i="16" s="1"/>
  <c r="R1122" i="16"/>
  <c r="R1180" i="16" s="1"/>
  <c r="T1243" i="16" s="1"/>
  <c r="R33" i="16"/>
  <c r="R68" i="16" s="1"/>
  <c r="R100" i="16" s="1"/>
  <c r="R144" i="16" s="1"/>
  <c r="R189" i="16" s="1"/>
  <c r="R234" i="16" s="1"/>
  <c r="R273" i="16" s="1"/>
  <c r="R327" i="16" s="1"/>
  <c r="R363" i="16" s="1"/>
  <c r="R414" i="16" s="1"/>
  <c r="R465" i="16" s="1"/>
  <c r="R518" i="16" s="1"/>
  <c r="R561" i="16" s="1"/>
  <c r="R616" i="16" s="1"/>
  <c r="R663" i="16" s="1"/>
  <c r="R709" i="16" s="1"/>
  <c r="R765" i="16" s="1"/>
  <c r="R814" i="16" s="1"/>
  <c r="R875" i="16" s="1"/>
  <c r="R932" i="16" s="1"/>
  <c r="R986" i="16" s="1"/>
  <c r="R1040" i="16" s="1"/>
  <c r="R1096" i="16" s="1"/>
  <c r="T1153" i="16" s="1"/>
  <c r="R4" i="16"/>
  <c r="R12" i="16" s="1"/>
  <c r="R32" i="16" s="1"/>
  <c r="R66" i="16" s="1"/>
  <c r="R99" i="16" s="1"/>
  <c r="R143" i="16" s="1"/>
  <c r="R188" i="16" s="1"/>
  <c r="R233" i="16" s="1"/>
  <c r="R271" i="16" s="1"/>
  <c r="R325" i="16" s="1"/>
  <c r="R362" i="16" s="1"/>
  <c r="R413" i="16" s="1"/>
  <c r="R463" i="16" s="1"/>
  <c r="R515" i="16" s="1"/>
  <c r="R560" i="16" s="1"/>
  <c r="R615" i="16" s="1"/>
  <c r="R662" i="16" s="1"/>
  <c r="R708" i="16" s="1"/>
  <c r="R764" i="16" s="1"/>
  <c r="R813" i="16" s="1"/>
  <c r="R874" i="16" s="1"/>
  <c r="R995" i="16" s="1"/>
  <c r="R1039" i="16" s="1"/>
  <c r="R1101" i="16" s="1"/>
  <c r="T1152" i="16" s="1"/>
  <c r="R46" i="16"/>
  <c r="R91" i="16" s="1"/>
  <c r="R123" i="16" s="1"/>
  <c r="R164" i="16" s="1"/>
  <c r="R209" i="16" s="1"/>
  <c r="R257" i="16" s="1"/>
  <c r="R293" i="16" s="1"/>
  <c r="R351" i="16" s="1"/>
  <c r="R404" i="16" s="1"/>
  <c r="R443" i="16" s="1"/>
  <c r="R493" i="16" s="1"/>
  <c r="R536" i="16" s="1"/>
  <c r="R583" i="16" s="1"/>
  <c r="R637" i="16" s="1"/>
  <c r="R685" i="16" s="1"/>
  <c r="R741" i="16" s="1"/>
  <c r="R792" i="16" s="1"/>
  <c r="R847" i="16" s="1"/>
  <c r="R905" i="16" s="1"/>
  <c r="R954" i="16" s="1"/>
  <c r="R1011" i="16" s="1"/>
  <c r="R1091" i="16" s="1"/>
  <c r="R1135" i="16" s="1"/>
  <c r="R1188" i="16" s="1"/>
  <c r="R150" i="16"/>
  <c r="R195" i="16" s="1"/>
  <c r="R241" i="16" s="1"/>
  <c r="R287" i="16" s="1"/>
  <c r="R332" i="16" s="1"/>
  <c r="R377" i="16" s="1"/>
  <c r="R429" i="16" s="1"/>
  <c r="R477" i="16" s="1"/>
  <c r="R527" i="16" s="1"/>
  <c r="R573" i="16" s="1"/>
  <c r="R624" i="16" s="1"/>
  <c r="R672" i="16" s="1"/>
  <c r="R726" i="16" s="1"/>
  <c r="R773" i="16" s="1"/>
  <c r="R831" i="16" s="1"/>
  <c r="R886" i="16" s="1"/>
  <c r="R945" i="16" s="1"/>
  <c r="R999" i="16" s="1"/>
  <c r="R1061" i="16" s="1"/>
  <c r="R1108" i="16" s="1"/>
  <c r="R1166" i="16" s="1"/>
  <c r="R1220" i="16" s="1"/>
  <c r="R1281" i="16" s="1"/>
  <c r="T1341" i="16" s="1"/>
  <c r="R174" i="16"/>
  <c r="R222" i="16" s="1"/>
  <c r="R250" i="16" s="1"/>
  <c r="R311" i="16" s="1"/>
  <c r="R350" i="16" s="1"/>
  <c r="R402" i="16" s="1"/>
  <c r="R453" i="16" s="1"/>
  <c r="R505" i="16" s="1"/>
  <c r="W1214" i="16"/>
  <c r="R1224" i="16"/>
  <c r="T1385" i="16" s="1"/>
  <c r="R115" i="16"/>
  <c r="R156" i="16" s="1"/>
  <c r="R201" i="16" s="1"/>
  <c r="R266" i="16" s="1"/>
  <c r="R316" i="16" s="1"/>
  <c r="R338" i="16" s="1"/>
  <c r="R384" i="16" s="1"/>
  <c r="R434" i="16" s="1"/>
  <c r="R483" i="16" s="1"/>
  <c r="R556" i="16" s="1"/>
  <c r="R605" i="16" s="1"/>
  <c r="R41" i="16"/>
  <c r="R75" i="16" s="1"/>
  <c r="R111" i="16" s="1"/>
  <c r="R81" i="16"/>
  <c r="R119" i="16" s="1"/>
  <c r="R160" i="16" s="1"/>
  <c r="R205" i="16" s="1"/>
  <c r="R245" i="16" s="1"/>
  <c r="R292" i="16" s="1"/>
  <c r="R340" i="16" s="1"/>
  <c r="R388" i="16" s="1"/>
  <c r="R440" i="16" s="1"/>
  <c r="R489" i="16" s="1"/>
  <c r="R533" i="16" s="1"/>
  <c r="R580" i="16" s="1"/>
  <c r="R633" i="16" s="1"/>
  <c r="R684" i="16" s="1"/>
  <c r="R13" i="16"/>
  <c r="R34" i="16" s="1"/>
  <c r="R69" i="16" s="1"/>
  <c r="R101" i="16" s="1"/>
  <c r="R145" i="16" s="1"/>
  <c r="R190" i="16" s="1"/>
  <c r="R235" i="16" s="1"/>
  <c r="R274" i="16" s="1"/>
  <c r="R328" i="16" s="1"/>
  <c r="R364" i="16" s="1"/>
  <c r="R415" i="16" s="1"/>
  <c r="R466" i="16" s="1"/>
  <c r="R516" i="16" s="1"/>
  <c r="R562" i="16" s="1"/>
  <c r="R617" i="16" s="1"/>
  <c r="R664" i="16" s="1"/>
  <c r="R710" i="16" s="1"/>
  <c r="R766" i="16" s="1"/>
  <c r="R815" i="16" s="1"/>
  <c r="R876" i="16" s="1"/>
  <c r="R933" i="16" s="1"/>
  <c r="R987" i="16" s="1"/>
  <c r="R1041" i="16" s="1"/>
  <c r="R1106" i="16" s="1"/>
  <c r="R1144" i="16"/>
  <c r="R1182" i="16" s="1"/>
  <c r="R1245" i="16" s="1"/>
  <c r="T1307" i="16" s="1"/>
  <c r="W1223" i="16"/>
  <c r="R980" i="16"/>
  <c r="R1033" i="16" s="1"/>
  <c r="R1034" i="16" s="1"/>
  <c r="R1121" i="16"/>
  <c r="R1176" i="16" s="1"/>
  <c r="T1224" i="16"/>
  <c r="R1145" i="16"/>
  <c r="R1181" i="16" s="1"/>
  <c r="T1244" i="16" s="1"/>
  <c r="R129" i="16"/>
  <c r="R175" i="16" s="1"/>
  <c r="R220" i="16" s="1"/>
  <c r="R261" i="16" s="1"/>
  <c r="R309" i="16" s="1"/>
  <c r="R349" i="16" s="1"/>
  <c r="R401" i="16" s="1"/>
  <c r="R452" i="16" s="1"/>
  <c r="R504" i="16" s="1"/>
  <c r="R544" i="16" s="1"/>
  <c r="R594" i="16" s="1"/>
  <c r="R646" i="16" s="1"/>
  <c r="R688" i="16" s="1"/>
  <c r="R748" i="16" s="1"/>
  <c r="R800" i="16" s="1"/>
  <c r="R853" i="16" s="1"/>
  <c r="R912" i="16" s="1"/>
  <c r="R958" i="16" s="1"/>
  <c r="R1018" i="16" s="1"/>
  <c r="R1066" i="16" s="1"/>
  <c r="R1136" i="16" s="1"/>
  <c r="R1195" i="16" s="1"/>
  <c r="R1255" i="16" s="1"/>
  <c r="T1301" i="16" s="1"/>
  <c r="R58" i="16"/>
  <c r="R92" i="16" s="1"/>
  <c r="R130" i="16" s="1"/>
  <c r="R176" i="16" s="1"/>
  <c r="R212" i="16" s="1"/>
  <c r="R259" i="16" s="1"/>
  <c r="R294" i="16" s="1"/>
  <c r="R353" i="16" s="1"/>
  <c r="R406" i="16" s="1"/>
  <c r="R446" i="16" s="1"/>
  <c r="R496" i="16" s="1"/>
  <c r="R538" i="16" s="1"/>
  <c r="R586" i="16" s="1"/>
  <c r="R640" i="16" s="1"/>
  <c r="R696" i="16" s="1"/>
  <c r="R743" i="16" s="1"/>
  <c r="R795" i="16" s="1"/>
  <c r="R849" i="16" s="1"/>
  <c r="R908" i="16" s="1"/>
  <c r="R970" i="16" s="1"/>
  <c r="R1014" i="16" s="1"/>
  <c r="R1069" i="16" s="1"/>
  <c r="R1128" i="16" s="1"/>
  <c r="T1190" i="16" s="1"/>
  <c r="R1205" i="16"/>
  <c r="T1264" i="16" s="1"/>
  <c r="T1176" i="16"/>
  <c r="R1179" i="16"/>
  <c r="R1239" i="16" s="1"/>
  <c r="R1298" i="16" s="1"/>
  <c r="T1205" i="16"/>
  <c r="T1182" i="16"/>
  <c r="T1181" i="16"/>
  <c r="T1179" i="16"/>
  <c r="T1180" i="16"/>
  <c r="W1190" i="16"/>
  <c r="R575" i="16"/>
  <c r="R626" i="16" s="1"/>
  <c r="R675" i="16" s="1"/>
  <c r="R729" i="16" s="1"/>
  <c r="R776" i="16" s="1"/>
  <c r="R834" i="16" s="1"/>
  <c r="R888" i="16" s="1"/>
  <c r="R894" i="16" s="1"/>
  <c r="R895" i="16" s="1"/>
  <c r="R837" i="16"/>
  <c r="R893" i="16" s="1"/>
  <c r="U896" i="16" s="1" a="1"/>
  <c r="U896" i="16" s="1"/>
  <c r="R385" i="16"/>
  <c r="R436" i="16" s="1"/>
  <c r="R484" i="16" s="1"/>
  <c r="R557" i="16" s="1"/>
  <c r="R606" i="16" s="1"/>
  <c r="R682" i="16" s="1"/>
  <c r="R704" i="16" s="1"/>
  <c r="R757" i="16" s="1"/>
  <c r="R809" i="16" s="1"/>
  <c r="R861" i="16" s="1"/>
  <c r="R867" i="16" s="1"/>
  <c r="R923" i="16" s="1"/>
  <c r="R977" i="16" s="1"/>
  <c r="R1384" i="16" s="1"/>
  <c r="T1420" i="16" s="1"/>
  <c r="W891" i="16"/>
  <c r="W996" i="16"/>
  <c r="R1168" i="16"/>
  <c r="U1171" i="16" s="1" a="1"/>
  <c r="U1171" i="16" s="1"/>
  <c r="W1169" i="16"/>
  <c r="W970" i="16"/>
  <c r="T1164" i="16"/>
  <c r="T1163" i="16"/>
  <c r="T1169" i="16"/>
  <c r="T1166" i="16"/>
  <c r="T1168" i="16"/>
  <c r="T1165" i="16"/>
  <c r="R863" i="16"/>
  <c r="R918" i="16" s="1"/>
  <c r="R974" i="16" s="1"/>
  <c r="R1024" i="16" s="1"/>
  <c r="R1076" i="16" s="1"/>
  <c r="R1140" i="16" s="1"/>
  <c r="T1200" i="16" s="1"/>
  <c r="T1162" i="16"/>
  <c r="R27" i="16"/>
  <c r="R62" i="16" s="1"/>
  <c r="R95" i="16" s="1"/>
  <c r="R137" i="16" s="1"/>
  <c r="R180" i="16" s="1"/>
  <c r="R225" i="16" s="1"/>
  <c r="R277" i="16" s="1"/>
  <c r="R319" i="16" s="1"/>
  <c r="R370" i="16" s="1"/>
  <c r="R421" i="16" s="1"/>
  <c r="R471" i="16" s="1"/>
  <c r="R523" i="16" s="1"/>
  <c r="R568" i="16" s="1"/>
  <c r="R610" i="16" s="1"/>
  <c r="R657" i="16" s="1"/>
  <c r="R719" i="16" s="1"/>
  <c r="R759" i="16" s="1"/>
  <c r="R823" i="16" s="1"/>
  <c r="R881" i="16" s="1"/>
  <c r="R936" i="16" s="1"/>
  <c r="R982" i="16" s="1"/>
  <c r="R1050" i="16" s="1"/>
  <c r="R1093" i="16" s="1"/>
  <c r="R1148" i="16" s="1"/>
  <c r="R1217" i="16" s="1"/>
  <c r="T1321" i="16" s="1"/>
  <c r="T72" i="16"/>
  <c r="R148" i="16"/>
  <c r="R193" i="16" s="1"/>
  <c r="R238" i="16" s="1"/>
  <c r="R275" i="16" s="1"/>
  <c r="R329" i="16" s="1"/>
  <c r="R367" i="16" s="1"/>
  <c r="R418" i="16" s="1"/>
  <c r="R467" i="16" s="1"/>
  <c r="R519" i="16" s="1"/>
  <c r="R565" i="16" s="1"/>
  <c r="R620" i="16" s="1"/>
  <c r="R667" i="16" s="1"/>
  <c r="R715" i="16" s="1"/>
  <c r="R770" i="16" s="1"/>
  <c r="R819" i="16" s="1"/>
  <c r="R878" i="16" s="1"/>
  <c r="R935" i="16" s="1"/>
  <c r="R992" i="16" s="1"/>
  <c r="R1042" i="16" s="1"/>
  <c r="R1103" i="16" s="1"/>
  <c r="R1154" i="16" s="1"/>
  <c r="R276" i="16"/>
  <c r="R330" i="16" s="1"/>
  <c r="R368" i="16" s="1"/>
  <c r="R419" i="16" s="1"/>
  <c r="R468" i="16" s="1"/>
  <c r="R520" i="16" s="1"/>
  <c r="R621" i="16" s="1"/>
  <c r="R668" i="16" s="1"/>
  <c r="R714" i="16" s="1"/>
  <c r="R676" i="16"/>
  <c r="R679" i="16" s="1"/>
  <c r="R731" i="16" s="1"/>
  <c r="R778" i="16" s="1"/>
  <c r="R836" i="16" s="1"/>
  <c r="R890" i="16" s="1"/>
  <c r="R943" i="16" s="1"/>
  <c r="R1001" i="16" s="1"/>
  <c r="R1059" i="16" s="1"/>
  <c r="R1109" i="16" s="1"/>
  <c r="R1162" i="16" s="1"/>
  <c r="R1227" i="16" s="1"/>
  <c r="T1228" i="16" s="1"/>
  <c r="R29" i="16"/>
  <c r="T282" i="16" s="1"/>
  <c r="R214" i="16"/>
  <c r="R215" i="16" s="1"/>
  <c r="R394" i="16" s="1"/>
  <c r="R395" i="16" s="1"/>
  <c r="R469" i="16"/>
  <c r="R521" i="16" s="1"/>
  <c r="R566" i="16" s="1"/>
  <c r="R622" i="16" s="1"/>
  <c r="R669" i="16" s="1"/>
  <c r="R716" i="16" s="1"/>
  <c r="R771" i="16" s="1"/>
  <c r="R820" i="16" s="1"/>
  <c r="R879" i="16" s="1"/>
  <c r="R988" i="16" s="1"/>
  <c r="R1048" i="16" s="1"/>
  <c r="R1098" i="16" s="1"/>
  <c r="T1155" i="16" s="1"/>
  <c r="W795" i="16"/>
  <c r="W1069" i="16"/>
  <c r="W1014" i="16"/>
  <c r="W1155" i="16"/>
  <c r="R475" i="16"/>
  <c r="R528" i="16" s="1"/>
  <c r="R574" i="16" s="1"/>
  <c r="R625" i="16" s="1"/>
  <c r="R674" i="16" s="1"/>
  <c r="R728" i="16" s="1"/>
  <c r="R730" i="16" s="1"/>
  <c r="R775" i="16" s="1"/>
  <c r="R777" i="16" s="1"/>
  <c r="R169" i="16"/>
  <c r="R170" i="16" s="1"/>
  <c r="R217" i="16" s="1"/>
  <c r="R260" i="16" s="1"/>
  <c r="R306" i="16" s="1"/>
  <c r="R356" i="16" s="1"/>
  <c r="R397" i="16" s="1"/>
  <c r="R449" i="16" s="1"/>
  <c r="R500" i="16" s="1"/>
  <c r="R541" i="16" s="1"/>
  <c r="R589" i="16" s="1"/>
  <c r="U609" i="16" s="1" a="1"/>
  <c r="U609" i="16" s="1"/>
  <c r="R289" i="16"/>
  <c r="T290" i="16" s="1"/>
  <c r="R11" i="16"/>
  <c r="R31" i="16" s="1"/>
  <c r="R65" i="16" s="1"/>
  <c r="R98" i="16" s="1"/>
  <c r="R142" i="16" s="1"/>
  <c r="R187" i="16" s="1"/>
  <c r="R232" i="16" s="1"/>
  <c r="R270" i="16" s="1"/>
  <c r="R361" i="16" s="1"/>
  <c r="R412" i="16" s="1"/>
  <c r="R462" i="16" s="1"/>
  <c r="R514" i="16" s="1"/>
  <c r="R559" i="16" s="1"/>
  <c r="R614" i="16" s="1"/>
  <c r="R661" i="16" s="1"/>
  <c r="R707" i="16" s="1"/>
  <c r="R763" i="16" s="1"/>
  <c r="R812" i="16" s="1"/>
  <c r="R873" i="16" s="1"/>
  <c r="R931" i="16" s="1"/>
  <c r="R994" i="16" s="1"/>
  <c r="R1038" i="16" s="1"/>
  <c r="R1099" i="16" s="1"/>
  <c r="T1151" i="16" s="1"/>
  <c r="R93" i="16"/>
  <c r="R126" i="16" s="1"/>
  <c r="R167" i="16" s="1"/>
  <c r="R213" i="16" s="1"/>
  <c r="R247" i="16" s="1"/>
  <c r="R303" i="16" s="1"/>
  <c r="R354" i="16" s="1"/>
  <c r="R407" i="16" s="1"/>
  <c r="R447" i="16" s="1"/>
  <c r="R497" i="16" s="1"/>
  <c r="R539" i="16" s="1"/>
  <c r="R587" i="16" s="1"/>
  <c r="R641" i="16" s="1"/>
  <c r="R686" i="16" s="1"/>
  <c r="R304" i="16"/>
  <c r="R498" i="16" s="1"/>
  <c r="R19" i="16"/>
  <c r="R49" i="16" s="1"/>
  <c r="R80" i="16" s="1"/>
  <c r="AA607" i="13"/>
  <c r="AK607" i="13" s="1"/>
  <c r="T1160" i="16"/>
  <c r="R14" i="16"/>
  <c r="R26" i="16" s="1"/>
  <c r="R60" i="16" s="1"/>
  <c r="R96" i="16" s="1"/>
  <c r="R138" i="16" s="1"/>
  <c r="R184" i="16" s="1"/>
  <c r="R229" i="16" s="1"/>
  <c r="R280" i="16" s="1"/>
  <c r="R322" i="16" s="1"/>
  <c r="R374" i="16" s="1"/>
  <c r="R425" i="16" s="1"/>
  <c r="R474" i="16" s="1"/>
  <c r="R526" i="16" s="1"/>
  <c r="R571" i="16" s="1"/>
  <c r="R613" i="16" s="1"/>
  <c r="R660" i="16" s="1"/>
  <c r="R722" i="16" s="1"/>
  <c r="R762" i="16" s="1"/>
  <c r="R826" i="16" s="1"/>
  <c r="AU607" i="13"/>
  <c r="J607" i="13"/>
  <c r="AQ607" i="13"/>
  <c r="AQ608" i="13"/>
  <c r="R10" i="16"/>
  <c r="R28" i="16" s="1"/>
  <c r="R63" i="16" s="1"/>
  <c r="R97" i="16" s="1"/>
  <c r="R141" i="16" s="1"/>
  <c r="R186" i="16" s="1"/>
  <c r="R230" i="16" s="1"/>
  <c r="R268" i="16" s="1"/>
  <c r="R323" i="16" s="1"/>
  <c r="R228" i="16"/>
  <c r="R279" i="16" s="1"/>
  <c r="R321" i="16" s="1"/>
  <c r="R373" i="16" s="1"/>
  <c r="R424" i="16" s="1"/>
  <c r="R84" i="16"/>
  <c r="U109" i="16" s="1" a="1"/>
  <c r="U109" i="16" s="1"/>
  <c r="R191" i="16"/>
  <c r="R231" i="16" s="1"/>
  <c r="R269" i="16" s="1"/>
  <c r="R324" i="16" s="1"/>
  <c r="R365" i="16" s="1"/>
  <c r="R416" i="16" s="1"/>
  <c r="R461" i="16" s="1"/>
  <c r="R563" i="16" s="1"/>
  <c r="R618" i="16" s="1"/>
  <c r="R665" i="16" s="1"/>
  <c r="R712" i="16" s="1"/>
  <c r="R767" i="16" s="1"/>
  <c r="R817" i="16" s="1"/>
  <c r="R872" i="16" s="1"/>
  <c r="R930" i="16" s="1"/>
  <c r="R989" i="16" s="1"/>
  <c r="R1043" i="16" s="1"/>
  <c r="U1054" i="16" s="1" a="1"/>
  <c r="U1054" i="16" s="1"/>
  <c r="R645" i="16"/>
  <c r="R651" i="16" s="1"/>
  <c r="R570" i="16"/>
  <c r="R612" i="16" s="1"/>
  <c r="R659" i="16" s="1"/>
  <c r="R721" i="16" s="1"/>
  <c r="R761" i="16" s="1"/>
  <c r="R825" i="16" s="1"/>
  <c r="R883" i="16" s="1"/>
  <c r="U1320" i="16" s="1" a="1"/>
  <c r="U1320" i="16" s="1"/>
  <c r="R699" i="16"/>
  <c r="R749" i="16" s="1"/>
  <c r="R801" i="16" s="1"/>
  <c r="R913" i="16" s="1"/>
  <c r="R971" i="16" s="1"/>
  <c r="R1019" i="16" s="1"/>
  <c r="R1067" i="16" s="1"/>
  <c r="R711" i="16"/>
  <c r="T724" i="16" s="1"/>
  <c r="R37" i="16"/>
  <c r="R71" i="16" s="1"/>
  <c r="R108" i="16" s="1"/>
  <c r="R286" i="16" s="1"/>
  <c r="R331" i="16" s="1"/>
  <c r="R376" i="16" s="1"/>
  <c r="R476" i="16" s="1"/>
  <c r="R127" i="16"/>
  <c r="R131" i="16" s="1"/>
  <c r="R171" i="16" s="1"/>
  <c r="R218" i="16" s="1"/>
  <c r="R307" i="16" s="1"/>
  <c r="R346" i="16" s="1"/>
  <c r="R360" i="16" s="1"/>
  <c r="R398" i="16" s="1"/>
  <c r="R408" i="16" s="1"/>
  <c r="R450" i="16" s="1"/>
  <c r="R456" i="16" s="1"/>
  <c r="R501" i="16" s="1"/>
  <c r="R508" i="16" s="1"/>
  <c r="R542" i="16" s="1"/>
  <c r="R548" i="16" s="1"/>
  <c r="R590" i="16" s="1"/>
  <c r="R598" i="16" s="1"/>
  <c r="R643" i="16" s="1"/>
  <c r="R650" i="16" s="1"/>
  <c r="R690" i="16" s="1"/>
  <c r="R697" i="16" s="1"/>
  <c r="R746" i="16" s="1"/>
  <c r="R753" i="16" s="1"/>
  <c r="R798" i="16" s="1"/>
  <c r="R804" i="16" s="1"/>
  <c r="R851" i="16" s="1"/>
  <c r="R856" i="16" s="1"/>
  <c r="R864" i="16" s="1"/>
  <c r="R910" i="16" s="1"/>
  <c r="R917" i="16" s="1"/>
  <c r="R920" i="16" s="1"/>
  <c r="R956" i="16" s="1"/>
  <c r="R960" i="16" s="1"/>
  <c r="R964" i="16" s="1"/>
  <c r="R965" i="16" s="1"/>
  <c r="R975" i="16" s="1"/>
  <c r="R1016" i="16" s="1"/>
  <c r="R1023" i="16" s="1"/>
  <c r="R1026" i="16" s="1"/>
  <c r="R1027" i="16" s="1"/>
  <c r="R1071" i="16" s="1"/>
  <c r="R1077" i="16" s="1"/>
  <c r="R1078" i="16" s="1"/>
  <c r="R1087" i="16" s="1"/>
  <c r="R1119" i="16" s="1"/>
  <c r="R1124" i="16" s="1"/>
  <c r="R1130" i="16" s="1"/>
  <c r="R1141" i="16" s="1"/>
  <c r="R1192" i="16" s="1"/>
  <c r="R196" i="16"/>
  <c r="R242" i="16" s="1"/>
  <c r="R430" i="16" s="1"/>
  <c r="R673" i="16" s="1"/>
  <c r="R30" i="16"/>
  <c r="R64" i="16" s="1"/>
  <c r="R102" i="16" s="1"/>
  <c r="R146" i="16" s="1"/>
  <c r="U151" i="16" s="1" a="1"/>
  <c r="U151" i="16" s="1"/>
  <c r="W1055" i="16"/>
  <c r="W820" i="16"/>
  <c r="W879" i="16"/>
  <c r="W908" i="16"/>
  <c r="R90" i="16"/>
  <c r="R128" i="16" s="1"/>
  <c r="R172" i="16" s="1"/>
  <c r="R219" i="16" s="1"/>
  <c r="R249" i="16" s="1"/>
  <c r="R299" i="16" s="1"/>
  <c r="R348" i="16" s="1"/>
  <c r="R358" i="16" s="1"/>
  <c r="R400" i="16" s="1"/>
  <c r="R410" i="16" s="1"/>
  <c r="R451" i="16" s="1"/>
  <c r="R458" i="16" s="1"/>
  <c r="R459" i="16" s="1"/>
  <c r="R185" i="16"/>
  <c r="R237" i="16" s="1"/>
  <c r="U288" i="16" s="1" a="1"/>
  <c r="U288" i="16" s="1"/>
  <c r="R103" i="16"/>
  <c r="R147" i="16" s="1"/>
  <c r="R192" i="16" s="1"/>
  <c r="R236" i="16" s="1"/>
  <c r="R272" i="16" s="1"/>
  <c r="R326" i="16" s="1"/>
  <c r="R366" i="16" s="1"/>
  <c r="R57" i="16"/>
  <c r="R134" i="16" s="1"/>
  <c r="W1107" i="16"/>
  <c r="R782" i="16"/>
  <c r="R838" i="16" s="1"/>
  <c r="R892" i="16" s="1"/>
  <c r="R944" i="16" s="1"/>
  <c r="R998" i="16" s="1"/>
  <c r="R1057" i="16" s="1"/>
  <c r="R1113" i="16" s="1"/>
  <c r="R1163" i="16" s="1"/>
  <c r="T1221" i="16" s="1"/>
  <c r="W1128" i="16"/>
  <c r="R23" i="16"/>
  <c r="R53" i="16" s="1"/>
  <c r="R88" i="16" s="1"/>
  <c r="W1048" i="16"/>
  <c r="W988" i="16"/>
  <c r="W1098" i="16"/>
  <c r="R47" i="16"/>
  <c r="R87" i="16" s="1"/>
  <c r="R125" i="16" s="1"/>
  <c r="R166" i="16" s="1"/>
  <c r="R211" i="16" s="1"/>
  <c r="R258" i="16" s="1"/>
  <c r="R302" i="16" s="1"/>
  <c r="R344" i="16" s="1"/>
  <c r="R393" i="16" s="1"/>
  <c r="R445" i="16" s="1"/>
  <c r="R495" i="16" s="1"/>
  <c r="R585" i="16" s="1"/>
  <c r="R639" i="16" s="1"/>
  <c r="R794" i="16" s="1"/>
  <c r="R907" i="16" s="1"/>
  <c r="R744" i="16"/>
  <c r="R796" i="16" s="1"/>
  <c r="R816" i="16"/>
  <c r="T830" i="16" s="1"/>
  <c r="R168" i="16"/>
  <c r="R216" i="16" s="1"/>
  <c r="R1090" i="16"/>
  <c r="T1114" i="16" s="1"/>
  <c r="R1134" i="16"/>
  <c r="R1146" i="16" s="1"/>
  <c r="T1187" i="16" s="1"/>
  <c r="S608" i="13"/>
  <c r="AA608" i="13" s="1"/>
  <c r="AJ608" i="13" s="1"/>
  <c r="O608" i="13"/>
  <c r="AR608" i="13"/>
  <c r="R1878" i="16" l="1"/>
  <c r="T1878" i="16"/>
  <c r="R1876" i="16"/>
  <c r="R1874" i="16"/>
  <c r="AM687" i="13" s="1" a="1"/>
  <c r="AM687" i="13" s="1"/>
  <c r="Q687" i="13" s="1"/>
  <c r="T1874" i="16"/>
  <c r="Q710" i="13"/>
  <c r="AI710" i="13" s="1"/>
  <c r="AV710" i="13" s="1"/>
  <c r="AN710" i="13"/>
  <c r="Q660" i="13"/>
  <c r="AI660" i="13" s="1"/>
  <c r="AV660" i="13" s="1"/>
  <c r="AN660" i="13"/>
  <c r="U1861" i="16" a="1"/>
  <c r="U1861" i="16" s="1"/>
  <c r="T1861" i="16"/>
  <c r="T1830" i="16"/>
  <c r="T1840" i="16"/>
  <c r="U1834" i="16" a="1"/>
  <c r="U1834" i="16" s="1"/>
  <c r="R1834" i="16"/>
  <c r="T1839" i="16"/>
  <c r="R1839" i="16"/>
  <c r="AM682" i="13" s="1" a="1"/>
  <c r="AM682" i="13" s="1"/>
  <c r="R1838" i="16"/>
  <c r="AM683" i="13" s="1" a="1"/>
  <c r="AM683" i="13" s="1"/>
  <c r="T1812" i="16"/>
  <c r="R1830" i="16"/>
  <c r="AM669" i="13" s="1" a="1"/>
  <c r="AM669" i="13" s="1"/>
  <c r="Q669" i="13" s="1"/>
  <c r="T1811" i="16"/>
  <c r="Q707" i="13"/>
  <c r="AI707" i="13" s="1"/>
  <c r="AV707" i="13" s="1"/>
  <c r="AN707" i="13"/>
  <c r="T1785" i="16"/>
  <c r="T1780" i="16"/>
  <c r="R1780" i="16"/>
  <c r="U1868" i="16" s="1" a="1"/>
  <c r="U1868" i="16" s="1"/>
  <c r="P686" i="13" s="1"/>
  <c r="T1778" i="16"/>
  <c r="T1774" i="16"/>
  <c r="Q708" i="13"/>
  <c r="AI708" i="13" s="1"/>
  <c r="AV708" i="13" s="1"/>
  <c r="AN708" i="13"/>
  <c r="Q700" i="13"/>
  <c r="R1767" i="16"/>
  <c r="R1857" i="16" s="1"/>
  <c r="R1744" i="16"/>
  <c r="T1746" i="16"/>
  <c r="R1732" i="16"/>
  <c r="R1695" i="16"/>
  <c r="T1622" i="16"/>
  <c r="U1612" i="16" a="1"/>
  <c r="U1612" i="16" s="1"/>
  <c r="R1612" i="16"/>
  <c r="U1787" i="16" s="1" a="1"/>
  <c r="U1787" i="16" s="1"/>
  <c r="R1592" i="16"/>
  <c r="R1598" i="16"/>
  <c r="R1690" i="16" s="1"/>
  <c r="R1560" i="16"/>
  <c r="R1646" i="16" s="1"/>
  <c r="R1525" i="16"/>
  <c r="T1505" i="16"/>
  <c r="R1504" i="16"/>
  <c r="R1486" i="16"/>
  <c r="R1454" i="16"/>
  <c r="R1420" i="16"/>
  <c r="T1427" i="16"/>
  <c r="R1396" i="16"/>
  <c r="U1385" i="16" a="1"/>
  <c r="U1385" i="16" s="1"/>
  <c r="T1366" i="16"/>
  <c r="R1366" i="16"/>
  <c r="T1356" i="16"/>
  <c r="R1356" i="16"/>
  <c r="R1369" i="16"/>
  <c r="T1369" i="16"/>
  <c r="T1355" i="16"/>
  <c r="R1355" i="16"/>
  <c r="T1380" i="16"/>
  <c r="R1380" i="16"/>
  <c r="R1341" i="16"/>
  <c r="R1346" i="16"/>
  <c r="U379" i="16" a="1"/>
  <c r="U379" i="16" s="1"/>
  <c r="T379" i="16"/>
  <c r="R379" i="16"/>
  <c r="R417" i="16" s="1"/>
  <c r="R464" i="16" s="1"/>
  <c r="R517" i="16" s="1"/>
  <c r="R564" i="16" s="1"/>
  <c r="R619" i="16" s="1"/>
  <c r="R666" i="16" s="1"/>
  <c r="R713" i="16" s="1"/>
  <c r="R768" i="16" s="1"/>
  <c r="R818" i="16" s="1"/>
  <c r="R877" i="16" s="1"/>
  <c r="R934" i="16" s="1"/>
  <c r="R985" i="16" s="1"/>
  <c r="T1320" i="16"/>
  <c r="R1321" i="16"/>
  <c r="U1278" i="16" a="1"/>
  <c r="U1278" i="16" s="1"/>
  <c r="R1307" i="16"/>
  <c r="T1305" i="16"/>
  <c r="T1316" i="16"/>
  <c r="T1298" i="16"/>
  <c r="R1315" i="16"/>
  <c r="R1301" i="16"/>
  <c r="T1300" i="16"/>
  <c r="U73" i="16" a="1"/>
  <c r="U73" i="16" s="1"/>
  <c r="T1054" i="16"/>
  <c r="R1054" i="16"/>
  <c r="R1102" i="16" s="1"/>
  <c r="R1156" i="16" s="1"/>
  <c r="R1208" i="16" s="1"/>
  <c r="AB607" i="13"/>
  <c r="AB608" i="13"/>
  <c r="R1258" i="16"/>
  <c r="R1261" i="16"/>
  <c r="T1230" i="16"/>
  <c r="R1230" i="16"/>
  <c r="T1242" i="16"/>
  <c r="R1242" i="16"/>
  <c r="T1254" i="16"/>
  <c r="R1254" i="16"/>
  <c r="T1240" i="16"/>
  <c r="R1241" i="16"/>
  <c r="T1238" i="16"/>
  <c r="R1232" i="16"/>
  <c r="R1244" i="16"/>
  <c r="R1264" i="16"/>
  <c r="T1255" i="16"/>
  <c r="R1263" i="16"/>
  <c r="R1243" i="16"/>
  <c r="T1239" i="16"/>
  <c r="T1262" i="16"/>
  <c r="U1228" i="16" a="1"/>
  <c r="U1228" i="16" s="1"/>
  <c r="R1228" i="16"/>
  <c r="R1283" i="16" s="1"/>
  <c r="R1221" i="16"/>
  <c r="R1279" i="16" s="1"/>
  <c r="T1222" i="16"/>
  <c r="T1220" i="16"/>
  <c r="T1217" i="16"/>
  <c r="R1223" i="16"/>
  <c r="R1285" i="16" s="1"/>
  <c r="T1227" i="16"/>
  <c r="R1209" i="16"/>
  <c r="R1273" i="16" s="1"/>
  <c r="T1209" i="16"/>
  <c r="T1208" i="16"/>
  <c r="R1207" i="16"/>
  <c r="R1271" i="16" s="1"/>
  <c r="T1207" i="16"/>
  <c r="R1210" i="16"/>
  <c r="R1267" i="16" s="1"/>
  <c r="T1210" i="16"/>
  <c r="U282" i="16" a="1"/>
  <c r="U282" i="16" s="1"/>
  <c r="U290" i="16" a="1"/>
  <c r="U290" i="16" s="1"/>
  <c r="R1187" i="16"/>
  <c r="T1193" i="16"/>
  <c r="R1193" i="16"/>
  <c r="T1204" i="16"/>
  <c r="T1189" i="16"/>
  <c r="T1184" i="16"/>
  <c r="T1178" i="16"/>
  <c r="R1185" i="16"/>
  <c r="R1183" i="16"/>
  <c r="T1194" i="16"/>
  <c r="T1197" i="16"/>
  <c r="R1177" i="16"/>
  <c r="T1174" i="16"/>
  <c r="R1190" i="16"/>
  <c r="T1203" i="16"/>
  <c r="T1195" i="16"/>
  <c r="T1188" i="16"/>
  <c r="T1172" i="16"/>
  <c r="R1200" i="16"/>
  <c r="T1198" i="16"/>
  <c r="T1173" i="16"/>
  <c r="T1192" i="16"/>
  <c r="T1171" i="16"/>
  <c r="T1161" i="16"/>
  <c r="R1161" i="16"/>
  <c r="R1648" i="16" s="1"/>
  <c r="U724" i="16" a="1"/>
  <c r="U724" i="16" s="1"/>
  <c r="T288" i="16"/>
  <c r="AP607" i="13"/>
  <c r="AJ607" i="13"/>
  <c r="AS607" i="13"/>
  <c r="AT607" i="13" s="1"/>
  <c r="R1149" i="16"/>
  <c r="T1149" i="16"/>
  <c r="R1152" i="16"/>
  <c r="R1155" i="16"/>
  <c r="T1214" i="16" s="1"/>
  <c r="T1148" i="16"/>
  <c r="R1151" i="16"/>
  <c r="T1154" i="16"/>
  <c r="T1156" i="16"/>
  <c r="R1153" i="16"/>
  <c r="U830" i="16" a="1"/>
  <c r="U830" i="16" s="1"/>
  <c r="U283" i="16" a="1"/>
  <c r="U283" i="16" s="1"/>
  <c r="T283" i="16"/>
  <c r="U783" i="16" a="1"/>
  <c r="U783" i="16" s="1"/>
  <c r="R783" i="16"/>
  <c r="R784" i="16" s="1"/>
  <c r="R840" i="16" s="1"/>
  <c r="T783" i="16"/>
  <c r="U513" i="16" a="1"/>
  <c r="U513" i="16" s="1"/>
  <c r="R513" i="16"/>
  <c r="R546" i="16" s="1"/>
  <c r="R596" i="16" s="1"/>
  <c r="R648" i="16" s="1"/>
  <c r="R700" i="16" s="1"/>
  <c r="R750" i="16" s="1"/>
  <c r="R802" i="16" s="1"/>
  <c r="R854" i="16" s="1"/>
  <c r="R914" i="16" s="1"/>
  <c r="R972" i="16" s="1"/>
  <c r="R1020" i="16" s="1"/>
  <c r="R1126" i="16" s="1"/>
  <c r="U655" i="16" a="1"/>
  <c r="U655" i="16" s="1"/>
  <c r="T655" i="16"/>
  <c r="U811" i="16" a="1"/>
  <c r="U811" i="16" s="1"/>
  <c r="T811" i="16"/>
  <c r="R678" i="16"/>
  <c r="R727" i="16" s="1"/>
  <c r="R774" i="16" s="1"/>
  <c r="U780" i="16" s="1" a="1"/>
  <c r="U780" i="16" s="1"/>
  <c r="T678" i="16"/>
  <c r="U678" i="16" a="1"/>
  <c r="U678" i="16" s="1"/>
  <c r="R896" i="16"/>
  <c r="U1062" i="16" s="1" a="1"/>
  <c r="U1062" i="16" s="1"/>
  <c r="T109" i="16"/>
  <c r="U1146" i="16" a="1"/>
  <c r="U1146" i="16" s="1"/>
  <c r="T896" i="16"/>
  <c r="T151" i="16"/>
  <c r="T656" i="16"/>
  <c r="U656" i="16" a="1"/>
  <c r="U656" i="16" s="1"/>
  <c r="R1002" i="16"/>
  <c r="R1046" i="16" s="1"/>
  <c r="R1100" i="16" s="1"/>
  <c r="T725" i="16"/>
  <c r="U725" i="16" a="1"/>
  <c r="U725" i="16" s="1"/>
  <c r="U317" i="16" a="1"/>
  <c r="U317" i="16" s="1"/>
  <c r="R317" i="16"/>
  <c r="R318" i="16" s="1"/>
  <c r="R369" i="16" s="1"/>
  <c r="R420" i="16" s="1"/>
  <c r="R470" i="16" s="1"/>
  <c r="R522" i="16" s="1"/>
  <c r="R567" i="16" s="1"/>
  <c r="R718" i="16" s="1"/>
  <c r="R822" i="16" s="1"/>
  <c r="T317" i="16"/>
  <c r="T1037" i="16"/>
  <c r="U1037" i="16" a="1"/>
  <c r="U1037" i="16" s="1"/>
  <c r="R1037" i="16"/>
  <c r="T723" i="16"/>
  <c r="U723" i="16" a="1"/>
  <c r="U723" i="16" s="1"/>
  <c r="R723" i="16"/>
  <c r="R769" i="16" s="1"/>
  <c r="R993" i="16" s="1"/>
  <c r="R1047" i="16" s="1"/>
  <c r="R1104" i="16" s="1"/>
  <c r="U426" i="16" a="1"/>
  <c r="U426" i="16" s="1"/>
  <c r="T426" i="16"/>
  <c r="T868" i="16"/>
  <c r="U868" i="16" a="1"/>
  <c r="U868" i="16" s="1"/>
  <c r="U460" i="16" a="1"/>
  <c r="U460" i="16" s="1"/>
  <c r="T460" i="16"/>
  <c r="R460" i="16"/>
  <c r="R503" i="16" s="1"/>
  <c r="R509" i="16" s="1"/>
  <c r="R543" i="16" s="1"/>
  <c r="R550" i="16" s="1"/>
  <c r="R592" i="16" s="1"/>
  <c r="R593" i="16" s="1"/>
  <c r="R941" i="16"/>
  <c r="R991" i="16" s="1"/>
  <c r="R1044" i="16" s="1"/>
  <c r="R1097" i="16" s="1"/>
  <c r="T941" i="16"/>
  <c r="U941" i="16" a="1"/>
  <c r="U941" i="16" s="1"/>
  <c r="T897" i="16"/>
  <c r="U897" i="16" a="1"/>
  <c r="U897" i="16" s="1"/>
  <c r="R897" i="16"/>
  <c r="R946" i="16" s="1"/>
  <c r="R947" i="16" s="1"/>
  <c r="R997" i="16" s="1"/>
  <c r="R1000" i="16" s="1"/>
  <c r="R1056" i="16" s="1"/>
  <c r="R1060" i="16" s="1"/>
  <c r="R1110" i="16" s="1"/>
  <c r="R1111" i="16" s="1"/>
  <c r="R1164" i="16" s="1"/>
  <c r="R1167" i="16" s="1"/>
  <c r="T1053" i="16"/>
  <c r="U1053" i="16" a="1"/>
  <c r="U1053" i="16" s="1"/>
  <c r="R781" i="16"/>
  <c r="U781" i="16" a="1"/>
  <c r="U781" i="16" s="1"/>
  <c r="T781" i="16"/>
  <c r="R929" i="16"/>
  <c r="R1013" i="16" s="1"/>
  <c r="U929" i="16" a="1"/>
  <c r="U929" i="16" s="1"/>
  <c r="T929" i="16"/>
  <c r="T1036" i="16"/>
  <c r="U1036" i="16" a="1"/>
  <c r="U1036" i="16" s="1"/>
  <c r="R1036" i="16"/>
  <c r="R1082" i="16" s="1"/>
  <c r="R1118" i="16" s="1"/>
  <c r="T870" i="16"/>
  <c r="U870" i="16" a="1"/>
  <c r="U870" i="16" s="1"/>
  <c r="R870" i="16"/>
  <c r="R903" i="16" s="1"/>
  <c r="T427" i="16"/>
  <c r="U427" i="16" a="1"/>
  <c r="U427" i="16" s="1"/>
  <c r="R240" i="16"/>
  <c r="R248" i="16" s="1"/>
  <c r="R305" i="16" s="1"/>
  <c r="R355" i="16" s="1"/>
  <c r="R396" i="16" s="1"/>
  <c r="R448" i="16" s="1"/>
  <c r="R499" i="16" s="1"/>
  <c r="R540" i="16" s="1"/>
  <c r="R588" i="16" s="1"/>
  <c r="R642" i="16" s="1"/>
  <c r="R687" i="16" s="1"/>
  <c r="R745" i="16" s="1"/>
  <c r="R797" i="16" s="1"/>
  <c r="R850" i="16" s="1"/>
  <c r="R909" i="16" s="1"/>
  <c r="R955" i="16" s="1"/>
  <c r="R1015" i="16" s="1"/>
  <c r="R1070" i="16" s="1"/>
  <c r="R1129" i="16" s="1"/>
  <c r="U240" i="16" a="1"/>
  <c r="U240" i="16" s="1"/>
  <c r="T240" i="16"/>
  <c r="R871" i="16"/>
  <c r="R884" i="16" s="1"/>
  <c r="R938" i="16" s="1"/>
  <c r="R984" i="16" s="1"/>
  <c r="R1052" i="16" s="1"/>
  <c r="R1095" i="16" s="1"/>
  <c r="U871" i="16" a="1"/>
  <c r="U871" i="16" s="1"/>
  <c r="T871" i="16"/>
  <c r="U133" i="16" a="1"/>
  <c r="U133" i="16" s="1"/>
  <c r="R133" i="16"/>
  <c r="T133" i="16"/>
  <c r="T1146" i="16"/>
  <c r="U105" i="16" a="1"/>
  <c r="U105" i="16" s="1"/>
  <c r="T105" i="16"/>
  <c r="T609" i="16"/>
  <c r="T558" i="16"/>
  <c r="U479" i="16" a="1"/>
  <c r="U479" i="16" s="1"/>
  <c r="R479" i="16"/>
  <c r="T479" i="16"/>
  <c r="U106" i="16" a="1"/>
  <c r="U106" i="16" s="1"/>
  <c r="T106" i="16"/>
  <c r="U1114" i="16" a="1"/>
  <c r="U1114" i="16" s="1"/>
  <c r="T513" i="16"/>
  <c r="R512" i="16"/>
  <c r="U511" i="16" s="1" a="1"/>
  <c r="U511" i="16" s="1"/>
  <c r="AP608" i="13"/>
  <c r="AK608" i="13"/>
  <c r="AS608" i="13"/>
  <c r="AT608" i="13" s="1"/>
  <c r="N942" i="6"/>
  <c r="N941" i="6"/>
  <c r="D942" i="6"/>
  <c r="G942" i="6"/>
  <c r="H942" i="6" s="1"/>
  <c r="I942" i="6"/>
  <c r="S942" i="6"/>
  <c r="U942" i="6" a="1"/>
  <c r="U942" i="6" s="1"/>
  <c r="V942" i="6"/>
  <c r="D941" i="6"/>
  <c r="G941" i="6"/>
  <c r="H941" i="6" s="1"/>
  <c r="I941" i="6"/>
  <c r="S941" i="6"/>
  <c r="V941" i="6"/>
  <c r="N949" i="6"/>
  <c r="V949" i="6" s="1"/>
  <c r="N950" i="6"/>
  <c r="V950" i="6" s="1"/>
  <c r="N952" i="6"/>
  <c r="K931" i="6"/>
  <c r="Q931" i="6" s="1"/>
  <c r="D952" i="6"/>
  <c r="G952" i="6"/>
  <c r="H952" i="6" s="1"/>
  <c r="I952" i="6"/>
  <c r="S952" i="6"/>
  <c r="U952" i="6" a="1"/>
  <c r="U952" i="6" s="1"/>
  <c r="V952" i="6"/>
  <c r="W1428" i="6" s="1"/>
  <c r="D951" i="6"/>
  <c r="G951" i="6"/>
  <c r="H951" i="6" s="1"/>
  <c r="I951" i="6"/>
  <c r="N951" i="6"/>
  <c r="O951" i="6" s="1"/>
  <c r="S951" i="6"/>
  <c r="U951" i="6" a="1"/>
  <c r="U951" i="6" s="1"/>
  <c r="V951" i="6"/>
  <c r="W951" i="6" s="1"/>
  <c r="D950" i="6"/>
  <c r="G950" i="6"/>
  <c r="H950" i="6" s="1"/>
  <c r="I950" i="6"/>
  <c r="S950" i="6"/>
  <c r="U950" i="6" a="1"/>
  <c r="U950" i="6" s="1"/>
  <c r="D949" i="6"/>
  <c r="G949" i="6"/>
  <c r="H949" i="6" s="1"/>
  <c r="I949" i="6"/>
  <c r="S949" i="6"/>
  <c r="U949" i="6" a="1"/>
  <c r="U949" i="6" s="1"/>
  <c r="N948" i="6"/>
  <c r="D948" i="6"/>
  <c r="G948" i="6"/>
  <c r="H948" i="6" s="1"/>
  <c r="I948" i="6"/>
  <c r="S948" i="6"/>
  <c r="V948" i="6"/>
  <c r="D947" i="6"/>
  <c r="G947" i="6"/>
  <c r="H947" i="6" s="1"/>
  <c r="I947" i="6"/>
  <c r="S947" i="6"/>
  <c r="V947" i="6"/>
  <c r="N946" i="6"/>
  <c r="D946" i="6"/>
  <c r="G946" i="6"/>
  <c r="H946" i="6" s="1"/>
  <c r="I946" i="6"/>
  <c r="S946" i="6"/>
  <c r="U946" i="6" a="1"/>
  <c r="U946" i="6" s="1"/>
  <c r="V946" i="6"/>
  <c r="D945" i="6"/>
  <c r="G945" i="6"/>
  <c r="H945" i="6" s="1"/>
  <c r="I945" i="6"/>
  <c r="N945" i="6"/>
  <c r="M945" i="6" s="1"/>
  <c r="S945" i="6"/>
  <c r="U945" i="6" a="1"/>
  <c r="U945" i="6" s="1"/>
  <c r="T1868" i="16" l="1"/>
  <c r="R686" i="13" s="1"/>
  <c r="AU686" i="13" s="1"/>
  <c r="R1868" i="16"/>
  <c r="AM686" i="13" s="1" a="1"/>
  <c r="AM686" i="13" s="1"/>
  <c r="AN682" i="13"/>
  <c r="Q682" i="13"/>
  <c r="AI682" i="13" s="1"/>
  <c r="AV682" i="13" s="1"/>
  <c r="Q683" i="13"/>
  <c r="AI683" i="13" s="1"/>
  <c r="AV683" i="13" s="1"/>
  <c r="AN683" i="13"/>
  <c r="R1831" i="16"/>
  <c r="T1831" i="16"/>
  <c r="R1810" i="16"/>
  <c r="T1810" i="16"/>
  <c r="O1376" i="6"/>
  <c r="O1428" i="6"/>
  <c r="W1376" i="6"/>
  <c r="T1787" i="16"/>
  <c r="R1787" i="16"/>
  <c r="R1771" i="16"/>
  <c r="R1860" i="16" s="1"/>
  <c r="T1771" i="16"/>
  <c r="R1727" i="16"/>
  <c r="T1727" i="16"/>
  <c r="R1705" i="16"/>
  <c r="U1705" i="16" a="1"/>
  <c r="U1705" i="16" s="1"/>
  <c r="T1705" i="16"/>
  <c r="U1670" i="16" a="1"/>
  <c r="U1670" i="16" s="1"/>
  <c r="T1670" i="16"/>
  <c r="T1625" i="16"/>
  <c r="U1625" i="16" a="1"/>
  <c r="U1625" i="16" s="1"/>
  <c r="R1597" i="16"/>
  <c r="R1689" i="16" s="1"/>
  <c r="T1597" i="16"/>
  <c r="R1566" i="16"/>
  <c r="R1651" i="16" s="1"/>
  <c r="T1566" i="16"/>
  <c r="T1558" i="16"/>
  <c r="R1558" i="16"/>
  <c r="R1665" i="16" s="1"/>
  <c r="T1521" i="16"/>
  <c r="R1521" i="16"/>
  <c r="T1509" i="16"/>
  <c r="R1509" i="16"/>
  <c r="R1659" i="16" s="1"/>
  <c r="R1465" i="16"/>
  <c r="T1465" i="16"/>
  <c r="R1455" i="16"/>
  <c r="T1455" i="16"/>
  <c r="T1418" i="16"/>
  <c r="R1418" i="16"/>
  <c r="R1449" i="16"/>
  <c r="T1449" i="16"/>
  <c r="T1421" i="16"/>
  <c r="R1421" i="16"/>
  <c r="R1428" i="16"/>
  <c r="T1428" i="16"/>
  <c r="R1412" i="16"/>
  <c r="T1412" i="16"/>
  <c r="T1414" i="16"/>
  <c r="R1414" i="16"/>
  <c r="R1516" i="16" s="1"/>
  <c r="T1409" i="16"/>
  <c r="R1409" i="16"/>
  <c r="T1408" i="16"/>
  <c r="R1408" i="16"/>
  <c r="R1359" i="16"/>
  <c r="T1359" i="16"/>
  <c r="T1357" i="16"/>
  <c r="R1357" i="16"/>
  <c r="R1364" i="16"/>
  <c r="T1364" i="16"/>
  <c r="T1340" i="16"/>
  <c r="R1340" i="16"/>
  <c r="T1344" i="16"/>
  <c r="R1344" i="16"/>
  <c r="R1343" i="16"/>
  <c r="T1343" i="16"/>
  <c r="U1002" i="16" a="1"/>
  <c r="U1002" i="16" s="1"/>
  <c r="T1002" i="16"/>
  <c r="T1326" i="16"/>
  <c r="R1326" i="16"/>
  <c r="R1325" i="16"/>
  <c r="T1325" i="16"/>
  <c r="R1334" i="16"/>
  <c r="T1334" i="16"/>
  <c r="T1287" i="16"/>
  <c r="R1287" i="16"/>
  <c r="U1338" i="16" s="1" a="1"/>
  <c r="U1338" i="16" s="1"/>
  <c r="R1313" i="16"/>
  <c r="T1313" i="16"/>
  <c r="R1308" i="16"/>
  <c r="T1308" i="16"/>
  <c r="R1293" i="16"/>
  <c r="T1293" i="16"/>
  <c r="T1302" i="16"/>
  <c r="R1302" i="16"/>
  <c r="U1339" i="16" s="1" a="1"/>
  <c r="U1339" i="16" s="1"/>
  <c r="T1290" i="16"/>
  <c r="R1290" i="16"/>
  <c r="R1303" i="16"/>
  <c r="T1303" i="16"/>
  <c r="T1304" i="16"/>
  <c r="R1304" i="16"/>
  <c r="T1288" i="16"/>
  <c r="R1288" i="16"/>
  <c r="V945" i="6"/>
  <c r="T1251" i="16"/>
  <c r="R1251" i="16"/>
  <c r="T1235" i="16"/>
  <c r="R1235" i="16"/>
  <c r="R1233" i="16"/>
  <c r="T1233" i="16"/>
  <c r="T1259" i="16"/>
  <c r="R1259" i="16"/>
  <c r="U1161" i="16" a="1"/>
  <c r="U1161" i="16" s="1"/>
  <c r="T1246" i="16"/>
  <c r="R1246" i="16"/>
  <c r="R1275" i="16" s="1"/>
  <c r="R1257" i="16"/>
  <c r="T1257" i="16"/>
  <c r="T780" i="16"/>
  <c r="R1214" i="16"/>
  <c r="R1274" i="16" s="1"/>
  <c r="T1211" i="16"/>
  <c r="R1211" i="16"/>
  <c r="R1276" i="16" s="1"/>
  <c r="T1225" i="16"/>
  <c r="R1225" i="16"/>
  <c r="R1215" i="16"/>
  <c r="U1229" i="16" s="1" a="1"/>
  <c r="U1229" i="16" s="1"/>
  <c r="T1215" i="16"/>
  <c r="T1216" i="16"/>
  <c r="R1216" i="16"/>
  <c r="R1270" i="16" s="1"/>
  <c r="T1218" i="16"/>
  <c r="R1218" i="16"/>
  <c r="R1265" i="16" s="1"/>
  <c r="V609" i="13"/>
  <c r="Z609" i="13" s="1"/>
  <c r="W1002" i="6"/>
  <c r="E609" i="13"/>
  <c r="S609" i="13" s="1"/>
  <c r="AA609" i="13" s="1"/>
  <c r="O1002" i="6"/>
  <c r="U1206" i="16" a="1"/>
  <c r="U1206" i="16" s="1"/>
  <c r="T1206" i="16"/>
  <c r="T1191" i="16"/>
  <c r="R1191" i="16"/>
  <c r="T1175" i="16"/>
  <c r="R1175" i="16"/>
  <c r="T1186" i="16"/>
  <c r="R1186" i="16"/>
  <c r="T1199" i="16"/>
  <c r="R1199" i="16"/>
  <c r="T1196" i="16"/>
  <c r="R1196" i="16"/>
  <c r="R1201" i="16"/>
  <c r="T1201" i="16"/>
  <c r="T840" i="16"/>
  <c r="U840" i="16" a="1"/>
  <c r="U840" i="16" s="1"/>
  <c r="R780" i="16"/>
  <c r="R832" i="16" s="1"/>
  <c r="U839" i="16" s="1" a="1"/>
  <c r="U839" i="16" s="1"/>
  <c r="R511" i="16"/>
  <c r="T511" i="16"/>
  <c r="W952" i="6"/>
  <c r="R1150" i="16"/>
  <c r="T1150" i="16"/>
  <c r="T1157" i="16"/>
  <c r="R1157" i="16"/>
  <c r="U1318" i="16" s="1" a="1"/>
  <c r="U1318" i="16" s="1"/>
  <c r="T1159" i="16"/>
  <c r="R1159" i="16"/>
  <c r="R1212" i="16" s="1"/>
  <c r="R1272" i="16" s="1"/>
  <c r="O952" i="6"/>
  <c r="T1062" i="16"/>
  <c r="U827" i="16" a="1"/>
  <c r="U827" i="16" s="1"/>
  <c r="T827" i="16"/>
  <c r="R827" i="16"/>
  <c r="R833" i="16" s="1"/>
  <c r="R835" i="16" s="1"/>
  <c r="R135" i="16"/>
  <c r="R152" i="16" s="1"/>
  <c r="R155" i="16" s="1"/>
  <c r="U135" i="16" a="1"/>
  <c r="U135" i="16" s="1"/>
  <c r="T135" i="16"/>
  <c r="U885" i="16" a="1"/>
  <c r="U885" i="16" s="1"/>
  <c r="T885" i="16"/>
  <c r="U608" i="16" a="1"/>
  <c r="U608" i="16" s="1"/>
  <c r="T608" i="16"/>
  <c r="T1063" i="16"/>
  <c r="U1063" i="16" a="1"/>
  <c r="U1063" i="16" s="1"/>
  <c r="U928" i="16" a="1"/>
  <c r="U928" i="16" s="1"/>
  <c r="T928" i="16"/>
  <c r="R928" i="16"/>
  <c r="R1009" i="16" s="1"/>
  <c r="R1089" i="16" s="1"/>
  <c r="T1035" i="16"/>
  <c r="U1035" i="16" a="1"/>
  <c r="U1035" i="16" s="1"/>
  <c r="R1035" i="16"/>
  <c r="T828" i="16"/>
  <c r="U828" i="16" a="1"/>
  <c r="U828" i="16" s="1"/>
  <c r="R828" i="16"/>
  <c r="M942" i="6"/>
  <c r="M941" i="6"/>
  <c r="M952" i="6"/>
  <c r="N947" i="6"/>
  <c r="M947" i="6" s="1"/>
  <c r="M951" i="6"/>
  <c r="R951" i="6" s="1"/>
  <c r="M950" i="6"/>
  <c r="M949" i="6"/>
  <c r="M948" i="6"/>
  <c r="M946" i="6"/>
  <c r="N944" i="6"/>
  <c r="D944" i="6"/>
  <c r="G944" i="6"/>
  <c r="H944" i="6" s="1"/>
  <c r="I944" i="6"/>
  <c r="S944" i="6"/>
  <c r="U944" i="6" a="1"/>
  <c r="U944" i="6" s="1"/>
  <c r="V944" i="6"/>
  <c r="D943" i="6"/>
  <c r="G943" i="6"/>
  <c r="H943" i="6" s="1"/>
  <c r="I943" i="6"/>
  <c r="N943" i="6"/>
  <c r="M943" i="6" s="1"/>
  <c r="S943" i="6"/>
  <c r="U943" i="6" a="1"/>
  <c r="U943" i="6" s="1"/>
  <c r="V943" i="6"/>
  <c r="N935" i="6"/>
  <c r="N932" i="6"/>
  <c r="N931" i="6"/>
  <c r="N928" i="6"/>
  <c r="N927" i="6"/>
  <c r="M927" i="6" s="1"/>
  <c r="N926" i="6"/>
  <c r="M926" i="6" s="1"/>
  <c r="D926" i="6"/>
  <c r="G926" i="6"/>
  <c r="H926" i="6" s="1"/>
  <c r="I926" i="6"/>
  <c r="S926" i="6"/>
  <c r="V926" i="6"/>
  <c r="D927" i="6"/>
  <c r="G927" i="6"/>
  <c r="H927" i="6" s="1"/>
  <c r="I927" i="6"/>
  <c r="S927" i="6"/>
  <c r="U927" i="6" a="1"/>
  <c r="U927" i="6" s="1"/>
  <c r="V927" i="6"/>
  <c r="D928" i="6"/>
  <c r="G928" i="6"/>
  <c r="H928" i="6" s="1"/>
  <c r="I928" i="6"/>
  <c r="S928" i="6"/>
  <c r="U928" i="6" a="1"/>
  <c r="U928" i="6" s="1"/>
  <c r="V928" i="6"/>
  <c r="D929" i="6"/>
  <c r="G929" i="6"/>
  <c r="H929" i="6" s="1"/>
  <c r="I929" i="6"/>
  <c r="N929" i="6"/>
  <c r="M929" i="6" s="1"/>
  <c r="S929" i="6"/>
  <c r="V929" i="6"/>
  <c r="D930" i="6"/>
  <c r="G930" i="6"/>
  <c r="H930" i="6" s="1"/>
  <c r="I930" i="6"/>
  <c r="N930" i="6"/>
  <c r="M930" i="6" s="1"/>
  <c r="S930" i="6"/>
  <c r="U930" i="6" a="1"/>
  <c r="U930" i="6" s="1"/>
  <c r="V930" i="6"/>
  <c r="D931" i="6"/>
  <c r="G931" i="6"/>
  <c r="H931" i="6" s="1"/>
  <c r="I931" i="6"/>
  <c r="S931" i="6"/>
  <c r="V931" i="6"/>
  <c r="D932" i="6"/>
  <c r="G932" i="6"/>
  <c r="H932" i="6" s="1"/>
  <c r="I932" i="6"/>
  <c r="S932" i="6"/>
  <c r="U932" i="6" a="1"/>
  <c r="U932" i="6" s="1"/>
  <c r="V932" i="6"/>
  <c r="D933" i="6"/>
  <c r="G933" i="6"/>
  <c r="H933" i="6" s="1"/>
  <c r="I933" i="6"/>
  <c r="N933" i="6"/>
  <c r="M933" i="6" s="1"/>
  <c r="S933" i="6"/>
  <c r="D934" i="6"/>
  <c r="G934" i="6"/>
  <c r="H934" i="6" s="1"/>
  <c r="I934" i="6"/>
  <c r="N934" i="6"/>
  <c r="S934" i="6"/>
  <c r="U934" i="6" a="1"/>
  <c r="U934" i="6" s="1"/>
  <c r="V934" i="6"/>
  <c r="D935" i="6"/>
  <c r="G935" i="6"/>
  <c r="H935" i="6" s="1"/>
  <c r="I935" i="6"/>
  <c r="S935" i="6"/>
  <c r="U935" i="6" a="1"/>
  <c r="U935" i="6" s="1"/>
  <c r="V935" i="6"/>
  <c r="D936" i="6"/>
  <c r="G936" i="6"/>
  <c r="H936" i="6" s="1"/>
  <c r="I936" i="6"/>
  <c r="N936" i="6"/>
  <c r="M936" i="6" s="1"/>
  <c r="S936" i="6"/>
  <c r="V936" i="6"/>
  <c r="D937" i="6"/>
  <c r="G937" i="6"/>
  <c r="H937" i="6" s="1"/>
  <c r="I937" i="6"/>
  <c r="N937" i="6"/>
  <c r="M937" i="6" s="1"/>
  <c r="S937" i="6"/>
  <c r="V937" i="6"/>
  <c r="N939" i="6"/>
  <c r="M939" i="6" s="1"/>
  <c r="N940" i="6"/>
  <c r="V940" i="6" s="1"/>
  <c r="N938" i="6"/>
  <c r="M938" i="6" s="1"/>
  <c r="D940" i="6"/>
  <c r="G940" i="6"/>
  <c r="H940" i="6" s="1"/>
  <c r="I940" i="6"/>
  <c r="S940" i="6"/>
  <c r="D939" i="6"/>
  <c r="G939" i="6"/>
  <c r="H939" i="6" s="1"/>
  <c r="I939" i="6"/>
  <c r="S939" i="6"/>
  <c r="U939" i="6" a="1"/>
  <c r="U939" i="6" s="1"/>
  <c r="V939" i="6"/>
  <c r="D938" i="6"/>
  <c r="G938" i="6"/>
  <c r="H938" i="6" s="1"/>
  <c r="I938" i="6"/>
  <c r="S938" i="6"/>
  <c r="U938" i="6" a="1"/>
  <c r="U938" i="6" s="1"/>
  <c r="V938" i="6"/>
  <c r="N924" i="6"/>
  <c r="D922" i="6"/>
  <c r="G922" i="6"/>
  <c r="H922" i="6" s="1"/>
  <c r="I922" i="6"/>
  <c r="N922" i="6"/>
  <c r="V922" i="6" s="1"/>
  <c r="S922" i="6"/>
  <c r="U922" i="6" a="1"/>
  <c r="U922" i="6" s="1"/>
  <c r="D923" i="6"/>
  <c r="G923" i="6"/>
  <c r="H923" i="6" s="1"/>
  <c r="I923" i="6"/>
  <c r="N923" i="6"/>
  <c r="M923" i="6" s="1"/>
  <c r="S923" i="6"/>
  <c r="V923" i="6"/>
  <c r="D924" i="6"/>
  <c r="G924" i="6"/>
  <c r="H924" i="6" s="1"/>
  <c r="I924" i="6"/>
  <c r="S924" i="6"/>
  <c r="V924" i="6"/>
  <c r="D925" i="6"/>
  <c r="G925" i="6"/>
  <c r="H925" i="6" s="1"/>
  <c r="I925" i="6"/>
  <c r="N925" i="6"/>
  <c r="S925" i="6"/>
  <c r="U925" i="6" a="1"/>
  <c r="U925" i="6" s="1"/>
  <c r="V925" i="6"/>
  <c r="F606" i="13"/>
  <c r="L606" i="13"/>
  <c r="N606" i="13" s="1"/>
  <c r="M606" i="13"/>
  <c r="R606" i="13" s="1"/>
  <c r="W606" i="13"/>
  <c r="X606" i="13"/>
  <c r="Y606" i="13"/>
  <c r="AO606" i="13"/>
  <c r="Q686" i="13" l="1"/>
  <c r="AI686" i="13" s="1"/>
  <c r="AV686" i="13" s="1"/>
  <c r="AN686" i="13"/>
  <c r="R1814" i="16"/>
  <c r="T1814" i="16"/>
  <c r="R1770" i="16"/>
  <c r="T1770" i="16"/>
  <c r="R1733" i="16"/>
  <c r="T1733" i="16"/>
  <c r="R1737" i="16"/>
  <c r="T1737" i="16"/>
  <c r="R1725" i="16"/>
  <c r="T1725" i="16"/>
  <c r="R1593" i="16"/>
  <c r="R1687" i="16" s="1"/>
  <c r="T1593" i="16"/>
  <c r="T1553" i="16"/>
  <c r="R1553" i="16"/>
  <c r="U1867" i="16" s="1" a="1"/>
  <c r="U1867" i="16" s="1"/>
  <c r="R1523" i="16"/>
  <c r="T1523" i="16"/>
  <c r="T1528" i="16"/>
  <c r="R1528" i="16"/>
  <c r="T1514" i="16"/>
  <c r="R1514" i="16"/>
  <c r="T1489" i="16"/>
  <c r="R1489" i="16"/>
  <c r="T1479" i="16"/>
  <c r="R1479" i="16"/>
  <c r="R1507" i="16"/>
  <c r="T1507" i="16"/>
  <c r="R1477" i="16"/>
  <c r="T1477" i="16"/>
  <c r="T1475" i="16"/>
  <c r="R1475" i="16"/>
  <c r="T1461" i="16"/>
  <c r="R1461" i="16"/>
  <c r="T1426" i="16"/>
  <c r="R1426" i="16"/>
  <c r="R1424" i="16"/>
  <c r="T1424" i="16"/>
  <c r="T1423" i="16"/>
  <c r="R1423" i="16"/>
  <c r="T1438" i="16"/>
  <c r="R1438" i="16"/>
  <c r="R1404" i="16"/>
  <c r="T1404" i="16"/>
  <c r="T1410" i="16"/>
  <c r="R1410" i="16"/>
  <c r="T1407" i="16"/>
  <c r="R1407" i="16"/>
  <c r="R1399" i="16"/>
  <c r="T1399" i="16"/>
  <c r="T1393" i="16"/>
  <c r="R1393" i="16"/>
  <c r="R1363" i="16"/>
  <c r="T1363" i="16"/>
  <c r="R1379" i="16"/>
  <c r="T1379" i="16"/>
  <c r="T1348" i="16"/>
  <c r="R1348" i="16"/>
  <c r="R1350" i="16"/>
  <c r="T1350" i="16"/>
  <c r="R1375" i="16"/>
  <c r="T1375" i="16"/>
  <c r="T1362" i="16"/>
  <c r="R1362" i="16"/>
  <c r="R1372" i="16"/>
  <c r="T1372" i="16"/>
  <c r="R1338" i="16"/>
  <c r="T1338" i="16"/>
  <c r="T1339" i="16"/>
  <c r="R1339" i="16"/>
  <c r="T1335" i="16"/>
  <c r="R1335" i="16"/>
  <c r="R1332" i="16"/>
  <c r="T1332" i="16"/>
  <c r="R1329" i="16"/>
  <c r="T1329" i="16"/>
  <c r="T1330" i="16"/>
  <c r="R1330" i="16"/>
  <c r="T1322" i="16"/>
  <c r="R1322" i="16"/>
  <c r="T1331" i="16"/>
  <c r="R1331" i="16"/>
  <c r="R1318" i="16"/>
  <c r="T1318" i="16"/>
  <c r="T1296" i="16"/>
  <c r="R1296" i="16"/>
  <c r="T1292" i="16"/>
  <c r="R1292" i="16"/>
  <c r="R1310" i="16"/>
  <c r="T1310" i="16"/>
  <c r="R1297" i="16"/>
  <c r="T1297" i="16"/>
  <c r="R1309" i="16"/>
  <c r="T1309" i="16"/>
  <c r="R1317" i="16"/>
  <c r="T1317" i="16"/>
  <c r="V933" i="6"/>
  <c r="AB609" i="13"/>
  <c r="R1234" i="16"/>
  <c r="T1234" i="16"/>
  <c r="R1256" i="16"/>
  <c r="T1256" i="16"/>
  <c r="R1252" i="16"/>
  <c r="U1319" i="16" s="1" a="1"/>
  <c r="U1319" i="16" s="1"/>
  <c r="T1252" i="16"/>
  <c r="T1247" i="16"/>
  <c r="R1247" i="16"/>
  <c r="R1231" i="16"/>
  <c r="T1231" i="16"/>
  <c r="T1253" i="16"/>
  <c r="R1253" i="16"/>
  <c r="T1229" i="16"/>
  <c r="R1229" i="16"/>
  <c r="R1219" i="16"/>
  <c r="R1266" i="16" s="1"/>
  <c r="T1219" i="16"/>
  <c r="T1212" i="16"/>
  <c r="R1226" i="16"/>
  <c r="R1282" i="16" s="1"/>
  <c r="R1284" i="16" s="1"/>
  <c r="T1226" i="16"/>
  <c r="R1213" i="16"/>
  <c r="R1268" i="16" s="1"/>
  <c r="R1269" i="16" s="1"/>
  <c r="T1213" i="16"/>
  <c r="G609" i="13"/>
  <c r="AQ609" i="13" s="1"/>
  <c r="H609" i="13"/>
  <c r="T1202" i="16"/>
  <c r="R1202" i="16"/>
  <c r="T839" i="16"/>
  <c r="R839" i="16"/>
  <c r="R887" i="16" s="1"/>
  <c r="U898" i="16" s="1" a="1"/>
  <c r="U898" i="16" s="1"/>
  <c r="U512" i="16" a="1"/>
  <c r="U512" i="16" s="1"/>
  <c r="T512" i="16"/>
  <c r="R952" i="6"/>
  <c r="AK609" i="13"/>
  <c r="AP609" i="13"/>
  <c r="AS609" i="13"/>
  <c r="AT609" i="13" s="1"/>
  <c r="T942" i="16"/>
  <c r="R942" i="16"/>
  <c r="R981" i="16" s="1"/>
  <c r="R1049" i="16" s="1"/>
  <c r="R1092" i="16" s="1"/>
  <c r="U942" i="16" a="1"/>
  <c r="U942" i="16" s="1"/>
  <c r="U177" i="16" a="1"/>
  <c r="U177" i="16" s="1"/>
  <c r="R177" i="16"/>
  <c r="R178" i="16" s="1"/>
  <c r="R197" i="16" s="1"/>
  <c r="R200" i="16" s="1"/>
  <c r="R267" i="16" s="1"/>
  <c r="T177" i="16"/>
  <c r="R869" i="16"/>
  <c r="R889" i="16" s="1"/>
  <c r="R940" i="16" s="1"/>
  <c r="R990" i="16" s="1"/>
  <c r="R1045" i="16" s="1"/>
  <c r="R1105" i="16" s="1"/>
  <c r="T869" i="16"/>
  <c r="U869" i="16" a="1"/>
  <c r="U869" i="16" s="1"/>
  <c r="M944" i="6"/>
  <c r="M928" i="6"/>
  <c r="M931" i="6"/>
  <c r="M932" i="6"/>
  <c r="M934" i="6"/>
  <c r="M935" i="6"/>
  <c r="M940" i="6"/>
  <c r="M922" i="6"/>
  <c r="M924" i="6"/>
  <c r="M925" i="6"/>
  <c r="P606" i="13"/>
  <c r="AM606" i="13" a="1"/>
  <c r="AM606" i="13" s="1"/>
  <c r="T606" i="13"/>
  <c r="Q606" i="13"/>
  <c r="AR606" i="13"/>
  <c r="O606" i="13"/>
  <c r="T1867" i="16" l="1"/>
  <c r="R1867" i="16"/>
  <c r="R1824" i="16"/>
  <c r="T1824" i="16"/>
  <c r="R1803" i="16"/>
  <c r="T1803" i="16"/>
  <c r="T1820" i="16"/>
  <c r="R1820" i="16"/>
  <c r="U1835" i="16" s="1" a="1"/>
  <c r="U1835" i="16" s="1"/>
  <c r="R1789" i="16"/>
  <c r="R1856" i="16" s="1"/>
  <c r="U1789" i="16" a="1"/>
  <c r="U1789" i="16" s="1"/>
  <c r="T1789" i="16"/>
  <c r="U1788" i="16" a="1"/>
  <c r="U1788" i="16" s="1"/>
  <c r="T1788" i="16"/>
  <c r="R1606" i="16"/>
  <c r="R1686" i="16" s="1"/>
  <c r="R1753" i="16" s="1"/>
  <c r="R1847" i="16" s="1"/>
  <c r="T1606" i="16"/>
  <c r="T1579" i="16"/>
  <c r="R1579" i="16"/>
  <c r="R1641" i="16" s="1"/>
  <c r="T1551" i="16"/>
  <c r="R1551" i="16"/>
  <c r="R1628" i="16" s="1"/>
  <c r="R1564" i="16"/>
  <c r="R1663" i="16" s="1"/>
  <c r="T1564" i="16"/>
  <c r="T1565" i="16"/>
  <c r="R1565" i="16"/>
  <c r="R1666" i="16" s="1"/>
  <c r="T1545" i="16"/>
  <c r="R1545" i="16"/>
  <c r="R1546" i="16"/>
  <c r="T1546" i="16"/>
  <c r="T1537" i="16"/>
  <c r="R1537" i="16"/>
  <c r="R1524" i="16"/>
  <c r="T1524" i="16"/>
  <c r="T1512" i="16"/>
  <c r="R1512" i="16"/>
  <c r="T1485" i="16"/>
  <c r="R1485" i="16"/>
  <c r="R1508" i="16"/>
  <c r="T1508" i="16"/>
  <c r="R1511" i="16"/>
  <c r="R1539" i="16" s="1"/>
  <c r="T1511" i="16"/>
  <c r="R1474" i="16"/>
  <c r="T1474" i="16"/>
  <c r="R1471" i="16"/>
  <c r="T1471" i="16"/>
  <c r="R1468" i="16"/>
  <c r="U1468" i="16" a="1"/>
  <c r="U1468" i="16" s="1"/>
  <c r="T1468" i="16"/>
  <c r="T1451" i="16"/>
  <c r="R1451" i="16"/>
  <c r="T1457" i="16"/>
  <c r="R1457" i="16"/>
  <c r="T1415" i="16"/>
  <c r="R1415" i="16"/>
  <c r="R1435" i="16"/>
  <c r="T1435" i="16"/>
  <c r="T1443" i="16"/>
  <c r="R1443" i="16"/>
  <c r="T1430" i="16"/>
  <c r="R1430" i="16"/>
  <c r="T1432" i="16"/>
  <c r="R1432" i="16"/>
  <c r="T1440" i="16"/>
  <c r="R1440" i="16"/>
  <c r="R1434" i="16"/>
  <c r="T1434" i="16"/>
  <c r="U1411" i="16" a="1"/>
  <c r="U1411" i="16" s="1"/>
  <c r="T1411" i="16"/>
  <c r="R1337" i="16"/>
  <c r="R1342" i="16" s="1"/>
  <c r="T1337" i="16"/>
  <c r="U1337" i="16" a="1"/>
  <c r="U1337" i="16" s="1"/>
  <c r="R1392" i="16"/>
  <c r="T1392" i="16"/>
  <c r="R1397" i="16"/>
  <c r="T1397" i="16"/>
  <c r="T1400" i="16"/>
  <c r="R1400" i="16"/>
  <c r="R1394" i="16"/>
  <c r="T1394" i="16"/>
  <c r="R1395" i="16"/>
  <c r="T1395" i="16"/>
  <c r="R1386" i="16"/>
  <c r="T1386" i="16"/>
  <c r="T1381" i="16"/>
  <c r="R1381" i="16"/>
  <c r="R1371" i="16"/>
  <c r="T1371" i="16"/>
  <c r="R1352" i="16"/>
  <c r="T1352" i="16"/>
  <c r="T1351" i="16"/>
  <c r="R1351" i="16"/>
  <c r="T1361" i="16"/>
  <c r="R1361" i="16"/>
  <c r="T1376" i="16"/>
  <c r="R1376" i="16"/>
  <c r="R1367" i="16"/>
  <c r="T1367" i="16"/>
  <c r="T1342" i="16"/>
  <c r="T1333" i="16"/>
  <c r="R1333" i="16"/>
  <c r="R1323" i="16"/>
  <c r="T1323" i="16"/>
  <c r="T1328" i="16"/>
  <c r="R1328" i="16"/>
  <c r="T1319" i="16"/>
  <c r="R1319" i="16"/>
  <c r="R1306" i="16"/>
  <c r="T1306" i="16"/>
  <c r="R1311" i="16"/>
  <c r="T1311" i="16"/>
  <c r="R1291" i="16"/>
  <c r="T1291" i="16"/>
  <c r="T1277" i="16"/>
  <c r="U1277" i="16" a="1"/>
  <c r="U1277" i="16" s="1"/>
  <c r="R898" i="16"/>
  <c r="R1236" i="16"/>
  <c r="T1236" i="16"/>
  <c r="R1248" i="16"/>
  <c r="T1248" i="16"/>
  <c r="T898" i="16"/>
  <c r="AJ609" i="13"/>
  <c r="T1158" i="16"/>
  <c r="R1158" i="16"/>
  <c r="T1147" i="16"/>
  <c r="R1147" i="16"/>
  <c r="U1347" i="16" s="1" a="1"/>
  <c r="U1347" i="16" s="1"/>
  <c r="U284" i="16" a="1"/>
  <c r="U284" i="16" s="1"/>
  <c r="R284" i="16"/>
  <c r="T284" i="16"/>
  <c r="D921" i="6"/>
  <c r="G921" i="6"/>
  <c r="H921" i="6" s="1"/>
  <c r="I921" i="6"/>
  <c r="N921" i="6"/>
  <c r="S921" i="6"/>
  <c r="U921" i="6" a="1"/>
  <c r="U921" i="6" s="1"/>
  <c r="D920" i="6"/>
  <c r="G920" i="6"/>
  <c r="H920" i="6" s="1"/>
  <c r="I920" i="6"/>
  <c r="N920" i="6"/>
  <c r="V920" i="6" s="1"/>
  <c r="S920" i="6"/>
  <c r="U920" i="6" a="1"/>
  <c r="U920" i="6" s="1"/>
  <c r="D919" i="6"/>
  <c r="G919" i="6"/>
  <c r="H919" i="6" s="1"/>
  <c r="I919" i="6"/>
  <c r="N919" i="6"/>
  <c r="M919" i="6" s="1"/>
  <c r="S919" i="6"/>
  <c r="V919" i="6"/>
  <c r="N915" i="6"/>
  <c r="N910" i="6"/>
  <c r="V910" i="6" s="1"/>
  <c r="D909" i="6"/>
  <c r="G909" i="6"/>
  <c r="H909" i="6" s="1"/>
  <c r="I909" i="6"/>
  <c r="N909" i="6"/>
  <c r="O909" i="6" s="1"/>
  <c r="S909" i="6"/>
  <c r="U909" i="6" a="1"/>
  <c r="U909" i="6" s="1"/>
  <c r="D910" i="6"/>
  <c r="G910" i="6"/>
  <c r="H910" i="6" s="1"/>
  <c r="I910" i="6"/>
  <c r="S910" i="6"/>
  <c r="U910" i="6" a="1"/>
  <c r="U910" i="6" s="1"/>
  <c r="D911" i="6"/>
  <c r="G911" i="6"/>
  <c r="H911" i="6" s="1"/>
  <c r="I911" i="6"/>
  <c r="N911" i="6"/>
  <c r="V911" i="6" s="1"/>
  <c r="S911" i="6"/>
  <c r="U911" i="6" a="1"/>
  <c r="U911" i="6" s="1"/>
  <c r="D912" i="6"/>
  <c r="G912" i="6"/>
  <c r="H912" i="6" s="1"/>
  <c r="I912" i="6"/>
  <c r="N912" i="6"/>
  <c r="M912" i="6" s="1"/>
  <c r="S912" i="6"/>
  <c r="U912" i="6" a="1"/>
  <c r="U912" i="6" s="1"/>
  <c r="D913" i="6"/>
  <c r="G913" i="6"/>
  <c r="H913" i="6" s="1"/>
  <c r="I913" i="6"/>
  <c r="N913" i="6"/>
  <c r="V913" i="6" s="1"/>
  <c r="S913" i="6"/>
  <c r="D914" i="6"/>
  <c r="G914" i="6"/>
  <c r="H914" i="6" s="1"/>
  <c r="I914" i="6"/>
  <c r="S914" i="6"/>
  <c r="V914" i="6"/>
  <c r="D915" i="6"/>
  <c r="G915" i="6"/>
  <c r="H915" i="6" s="1"/>
  <c r="I915" i="6"/>
  <c r="S915" i="6"/>
  <c r="V915" i="6"/>
  <c r="D916" i="6"/>
  <c r="G916" i="6"/>
  <c r="H916" i="6" s="1"/>
  <c r="I916" i="6"/>
  <c r="N916" i="6"/>
  <c r="M916" i="6" s="1"/>
  <c r="S916" i="6"/>
  <c r="U916" i="6" a="1"/>
  <c r="U916" i="6" s="1"/>
  <c r="D917" i="6"/>
  <c r="G917" i="6"/>
  <c r="H917" i="6" s="1"/>
  <c r="I917" i="6"/>
  <c r="N917" i="6"/>
  <c r="M917" i="6" s="1"/>
  <c r="S917" i="6"/>
  <c r="U917" i="6" a="1"/>
  <c r="U917" i="6" s="1"/>
  <c r="V917" i="6"/>
  <c r="N918" i="6"/>
  <c r="D918" i="6"/>
  <c r="G918" i="6"/>
  <c r="H918" i="6" s="1"/>
  <c r="I918" i="6"/>
  <c r="S918" i="6"/>
  <c r="U918" i="6" a="1"/>
  <c r="U918" i="6" s="1"/>
  <c r="V918" i="6"/>
  <c r="O1410" i="6" l="1"/>
  <c r="O1470" i="6"/>
  <c r="O1471" i="6"/>
  <c r="T1835" i="16"/>
  <c r="R1835" i="16"/>
  <c r="T1718" i="16"/>
  <c r="R1718" i="16"/>
  <c r="T1730" i="16"/>
  <c r="R1730" i="16"/>
  <c r="R1731" i="16"/>
  <c r="T1731" i="16"/>
  <c r="T1748" i="16"/>
  <c r="R1748" i="16"/>
  <c r="T1619" i="16"/>
  <c r="R1619" i="16"/>
  <c r="R1617" i="16"/>
  <c r="T1617" i="16"/>
  <c r="R1603" i="16"/>
  <c r="R1680" i="16" s="1"/>
  <c r="U1707" i="16" s="1" a="1"/>
  <c r="U1707" i="16" s="1"/>
  <c r="T1603" i="16"/>
  <c r="R1595" i="16"/>
  <c r="T1595" i="16"/>
  <c r="R1557" i="16"/>
  <c r="R1664" i="16" s="1"/>
  <c r="T1557" i="16"/>
  <c r="T1572" i="16"/>
  <c r="R1572" i="16"/>
  <c r="R1668" i="16" s="1"/>
  <c r="T1571" i="16"/>
  <c r="R1571" i="16"/>
  <c r="R1654" i="16" s="1"/>
  <c r="R1584" i="16"/>
  <c r="R1630" i="16" s="1"/>
  <c r="T1584" i="16"/>
  <c r="T1567" i="16"/>
  <c r="R1567" i="16"/>
  <c r="R1634" i="16" s="1"/>
  <c r="R1541" i="16"/>
  <c r="T1541" i="16"/>
  <c r="R1548" i="16"/>
  <c r="T1548" i="16"/>
  <c r="O1277" i="6"/>
  <c r="O1333" i="6"/>
  <c r="R1530" i="16"/>
  <c r="T1530" i="16"/>
  <c r="T1535" i="16"/>
  <c r="R1535" i="16"/>
  <c r="R1510" i="16"/>
  <c r="T1510" i="16"/>
  <c r="T1482" i="16"/>
  <c r="R1482" i="16"/>
  <c r="T1501" i="16"/>
  <c r="R1501" i="16"/>
  <c r="R1502" i="16"/>
  <c r="T1502" i="16"/>
  <c r="T1483" i="16"/>
  <c r="R1483" i="16"/>
  <c r="R1645" i="16" s="1"/>
  <c r="R1497" i="16"/>
  <c r="T1497" i="16"/>
  <c r="T1499" i="16"/>
  <c r="R1499" i="16"/>
  <c r="R1478" i="16"/>
  <c r="T1478" i="16"/>
  <c r="R1463" i="16"/>
  <c r="T1463" i="16"/>
  <c r="T1450" i="16"/>
  <c r="R1450" i="16"/>
  <c r="R1453" i="16"/>
  <c r="T1453" i="16"/>
  <c r="R1464" i="16"/>
  <c r="T1464" i="16"/>
  <c r="R1458" i="16"/>
  <c r="T1458" i="16"/>
  <c r="R1459" i="16"/>
  <c r="U1517" i="16" s="1" a="1"/>
  <c r="U1517" i="16" s="1"/>
  <c r="T1459" i="16"/>
  <c r="T1444" i="16"/>
  <c r="R1444" i="16"/>
  <c r="R1448" i="16"/>
  <c r="T1448" i="16"/>
  <c r="T1417" i="16"/>
  <c r="R1417" i="16"/>
  <c r="R1416" i="16"/>
  <c r="T1416" i="16"/>
  <c r="R1422" i="16"/>
  <c r="T1422" i="16"/>
  <c r="R1419" i="16"/>
  <c r="T1419" i="16"/>
  <c r="T1413" i="16"/>
  <c r="R1413" i="16"/>
  <c r="T1391" i="16"/>
  <c r="R1391" i="16"/>
  <c r="T1398" i="16"/>
  <c r="R1398" i="16"/>
  <c r="T1373" i="16"/>
  <c r="R1373" i="16"/>
  <c r="T1360" i="16"/>
  <c r="R1360" i="16"/>
  <c r="R1377" i="16"/>
  <c r="T1377" i="16"/>
  <c r="T1347" i="16"/>
  <c r="R1347" i="16"/>
  <c r="U1383" i="16" s="1" a="1"/>
  <c r="U1383" i="16" s="1"/>
  <c r="T1345" i="16"/>
  <c r="R1345" i="16"/>
  <c r="R1324" i="16"/>
  <c r="T1324" i="16"/>
  <c r="R1327" i="16"/>
  <c r="T1327" i="16"/>
  <c r="E606" i="13"/>
  <c r="H606" i="13" s="1"/>
  <c r="O1138" i="6"/>
  <c r="T1294" i="16"/>
  <c r="R1294" i="16"/>
  <c r="V916" i="6"/>
  <c r="V909" i="6"/>
  <c r="W909" i="6" s="1"/>
  <c r="V912" i="6"/>
  <c r="V921" i="6"/>
  <c r="T1237" i="16"/>
  <c r="R1237" i="16"/>
  <c r="U1170" i="16" a="1"/>
  <c r="U1170" i="16" s="1"/>
  <c r="T1170" i="16"/>
  <c r="U291" i="16" a="1"/>
  <c r="U291" i="16" s="1"/>
  <c r="T291" i="16"/>
  <c r="R291" i="16"/>
  <c r="R315" i="16" s="1"/>
  <c r="R334" i="16" s="1"/>
  <c r="R337" i="16" s="1"/>
  <c r="O921" i="6"/>
  <c r="M921" i="6"/>
  <c r="M920" i="6"/>
  <c r="N914" i="6"/>
  <c r="O916" i="6"/>
  <c r="O913" i="6"/>
  <c r="O910" i="6"/>
  <c r="U913" i="6" a="1"/>
  <c r="U913" i="6" s="1"/>
  <c r="M909" i="6"/>
  <c r="R909" i="6" s="1"/>
  <c r="M910" i="6"/>
  <c r="M911" i="6"/>
  <c r="M913" i="6"/>
  <c r="M915" i="6"/>
  <c r="M918" i="6"/>
  <c r="N907" i="6"/>
  <c r="M907" i="6" s="1"/>
  <c r="D908" i="6"/>
  <c r="G908" i="6"/>
  <c r="H908" i="6" s="1"/>
  <c r="I908" i="6"/>
  <c r="S908" i="6"/>
  <c r="U908" i="6" a="1"/>
  <c r="U908" i="6" s="1"/>
  <c r="D907" i="6"/>
  <c r="G907" i="6"/>
  <c r="H907" i="6" s="1"/>
  <c r="I907" i="6"/>
  <c r="S907" i="6"/>
  <c r="U907" i="6" a="1"/>
  <c r="U907" i="6" s="1"/>
  <c r="V907" i="6"/>
  <c r="D906" i="6"/>
  <c r="G906" i="6"/>
  <c r="H906" i="6" s="1"/>
  <c r="I906" i="6"/>
  <c r="N906" i="6"/>
  <c r="M906" i="6" s="1"/>
  <c r="S906" i="6"/>
  <c r="U906" i="6" a="1"/>
  <c r="U906" i="6" s="1"/>
  <c r="V906" i="6"/>
  <c r="D905" i="6"/>
  <c r="G905" i="6"/>
  <c r="H905" i="6" s="1"/>
  <c r="I905" i="6"/>
  <c r="N905" i="6"/>
  <c r="S905" i="6"/>
  <c r="V905" i="6"/>
  <c r="D904" i="6"/>
  <c r="G904" i="6"/>
  <c r="H904" i="6" s="1"/>
  <c r="I904" i="6"/>
  <c r="N904" i="6"/>
  <c r="M904" i="6" s="1"/>
  <c r="S904" i="6"/>
  <c r="U904" i="6" a="1"/>
  <c r="U904" i="6" s="1"/>
  <c r="N903" i="6"/>
  <c r="M903" i="6" s="1"/>
  <c r="D903" i="6"/>
  <c r="G903" i="6"/>
  <c r="H903" i="6" s="1"/>
  <c r="I903" i="6"/>
  <c r="S903" i="6"/>
  <c r="V903" i="6"/>
  <c r="D902" i="6"/>
  <c r="G902" i="6"/>
  <c r="H902" i="6" s="1"/>
  <c r="I902" i="6"/>
  <c r="S902" i="6"/>
  <c r="V902" i="6"/>
  <c r="D901" i="6"/>
  <c r="G901" i="6"/>
  <c r="H901" i="6" s="1"/>
  <c r="I901" i="6"/>
  <c r="S901" i="6"/>
  <c r="V901" i="6"/>
  <c r="D900" i="6"/>
  <c r="G900" i="6"/>
  <c r="H900" i="6" s="1"/>
  <c r="I900" i="6"/>
  <c r="N900" i="6"/>
  <c r="M900" i="6" s="1"/>
  <c r="S900" i="6"/>
  <c r="U900" i="6" a="1"/>
  <c r="U900" i="6" s="1"/>
  <c r="D899" i="6"/>
  <c r="G899" i="6"/>
  <c r="H899" i="6" s="1"/>
  <c r="I899" i="6"/>
  <c r="N899" i="6"/>
  <c r="M899" i="6" s="1"/>
  <c r="S899" i="6"/>
  <c r="V899" i="6"/>
  <c r="D898" i="6"/>
  <c r="G898" i="6"/>
  <c r="H898" i="6" s="1"/>
  <c r="I898" i="6"/>
  <c r="N898" i="6"/>
  <c r="S898" i="6"/>
  <c r="V898" i="6"/>
  <c r="D897" i="6"/>
  <c r="G897" i="6"/>
  <c r="H897" i="6" s="1"/>
  <c r="I897" i="6"/>
  <c r="N897" i="6"/>
  <c r="M897" i="6" s="1"/>
  <c r="S897" i="6"/>
  <c r="U897" i="6" a="1"/>
  <c r="U897" i="6" s="1"/>
  <c r="V897" i="6"/>
  <c r="W1410" i="6" l="1"/>
  <c r="W1471" i="6"/>
  <c r="W1470" i="6"/>
  <c r="T1813" i="16"/>
  <c r="R1813" i="16"/>
  <c r="R1832" i="16"/>
  <c r="T1832" i="16"/>
  <c r="T1818" i="16"/>
  <c r="R1818" i="16"/>
  <c r="T1796" i="16"/>
  <c r="R1796" i="16"/>
  <c r="U1836" i="16" s="1" a="1"/>
  <c r="U1836" i="16" s="1"/>
  <c r="R1819" i="16"/>
  <c r="T1819" i="16"/>
  <c r="R1741" i="16"/>
  <c r="T1741" i="16"/>
  <c r="T1719" i="16"/>
  <c r="R1719" i="16"/>
  <c r="T1734" i="16"/>
  <c r="R1734" i="16"/>
  <c r="R1740" i="16"/>
  <c r="T1740" i="16"/>
  <c r="T1724" i="16"/>
  <c r="R1724" i="16"/>
  <c r="T1707" i="16"/>
  <c r="R1707" i="16"/>
  <c r="T1701" i="16"/>
  <c r="R1701" i="16"/>
  <c r="T1700" i="16"/>
  <c r="R1700" i="16"/>
  <c r="R1621" i="16"/>
  <c r="R1702" i="16" s="1"/>
  <c r="T1621" i="16"/>
  <c r="R1616" i="16"/>
  <c r="T1616" i="16"/>
  <c r="R1609" i="16"/>
  <c r="R1682" i="16" s="1"/>
  <c r="T1609" i="16"/>
  <c r="R1611" i="16"/>
  <c r="T1611" i="16"/>
  <c r="T1596" i="16"/>
  <c r="R1596" i="16"/>
  <c r="U1614" i="16" s="1" a="1"/>
  <c r="U1614" i="16" s="1"/>
  <c r="T1582" i="16"/>
  <c r="R1582" i="16"/>
  <c r="R1647" i="16" s="1"/>
  <c r="R1583" i="16"/>
  <c r="R1650" i="16" s="1"/>
  <c r="T1583" i="16"/>
  <c r="R1555" i="16"/>
  <c r="R1637" i="16" s="1"/>
  <c r="T1555" i="16"/>
  <c r="T1576" i="16"/>
  <c r="R1576" i="16"/>
  <c r="T1588" i="16"/>
  <c r="R1588" i="16"/>
  <c r="R1631" i="16" s="1"/>
  <c r="R1569" i="16"/>
  <c r="R1653" i="16" s="1"/>
  <c r="T1569" i="16"/>
  <c r="T1549" i="16"/>
  <c r="R1549" i="16"/>
  <c r="W1277" i="6"/>
  <c r="W1333" i="6"/>
  <c r="R1529" i="16"/>
  <c r="T1529" i="16"/>
  <c r="T1538" i="16"/>
  <c r="R1538" i="16"/>
  <c r="R1531" i="16"/>
  <c r="T1531" i="16"/>
  <c r="T1522" i="16"/>
  <c r="R1522" i="16"/>
  <c r="T1533" i="16"/>
  <c r="R1533" i="16"/>
  <c r="T1517" i="16"/>
  <c r="R1517" i="16"/>
  <c r="T1491" i="16"/>
  <c r="R1491" i="16"/>
  <c r="R1652" i="16" s="1"/>
  <c r="R1481" i="16"/>
  <c r="T1481" i="16"/>
  <c r="R1503" i="16"/>
  <c r="T1503" i="16"/>
  <c r="R1515" i="16"/>
  <c r="T1515" i="16"/>
  <c r="R1487" i="16"/>
  <c r="T1487" i="16"/>
  <c r="T1498" i="16"/>
  <c r="R1498" i="16"/>
  <c r="T1470" i="16"/>
  <c r="R1470" i="16"/>
  <c r="T1460" i="16"/>
  <c r="R1460" i="16"/>
  <c r="R1466" i="16"/>
  <c r="T1466" i="16"/>
  <c r="T1441" i="16"/>
  <c r="R1441" i="16"/>
  <c r="T1425" i="16"/>
  <c r="R1425" i="16"/>
  <c r="R1405" i="16"/>
  <c r="T1405" i="16"/>
  <c r="T1390" i="16"/>
  <c r="R1390" i="16"/>
  <c r="T1383" i="16"/>
  <c r="R1383" i="16"/>
  <c r="U1382" i="16" a="1"/>
  <c r="U1382" i="16" s="1"/>
  <c r="T1382" i="16"/>
  <c r="R1374" i="16"/>
  <c r="U1402" i="16" s="1" a="1"/>
  <c r="U1402" i="16" s="1"/>
  <c r="T1374" i="16"/>
  <c r="W913" i="6"/>
  <c r="G606" i="13"/>
  <c r="AQ606" i="13" s="1"/>
  <c r="S606" i="13"/>
  <c r="AA606" i="13" s="1"/>
  <c r="AS606" i="13" s="1"/>
  <c r="AT606" i="13" s="1"/>
  <c r="V606" i="13"/>
  <c r="Z606" i="13" s="1"/>
  <c r="W1138" i="6"/>
  <c r="T1312" i="16"/>
  <c r="R1312" i="16"/>
  <c r="W910" i="6"/>
  <c r="W916" i="6"/>
  <c r="W921" i="6"/>
  <c r="V900" i="6"/>
  <c r="V904" i="6"/>
  <c r="R1250" i="16"/>
  <c r="T1250" i="16"/>
  <c r="R921" i="6"/>
  <c r="U375" i="16" a="1"/>
  <c r="U375" i="16" s="1"/>
  <c r="R375" i="16"/>
  <c r="R380" i="16" s="1"/>
  <c r="R383" i="16" s="1"/>
  <c r="T375" i="16"/>
  <c r="M914" i="6"/>
  <c r="N908" i="6"/>
  <c r="M905" i="6"/>
  <c r="N902" i="6"/>
  <c r="N901" i="6"/>
  <c r="M901" i="6" s="1"/>
  <c r="M898" i="6"/>
  <c r="R1836" i="16" l="1"/>
  <c r="T1836" i="16"/>
  <c r="T1821" i="16"/>
  <c r="R1821" i="16"/>
  <c r="R1828" i="16"/>
  <c r="T1828" i="16"/>
  <c r="T1802" i="16"/>
  <c r="R1802" i="16"/>
  <c r="T1805" i="16"/>
  <c r="R1805" i="16"/>
  <c r="U1837" i="16" s="1" a="1"/>
  <c r="U1837" i="16" s="1"/>
  <c r="R1827" i="16"/>
  <c r="T1827" i="16"/>
  <c r="R1784" i="16"/>
  <c r="T1784" i="16"/>
  <c r="R1781" i="16"/>
  <c r="T1781" i="16"/>
  <c r="T1779" i="16"/>
  <c r="R1779" i="16"/>
  <c r="T1759" i="16"/>
  <c r="R1759" i="16"/>
  <c r="R1845" i="16" s="1"/>
  <c r="T1761" i="16"/>
  <c r="R1761" i="16"/>
  <c r="T1736" i="16"/>
  <c r="R1736" i="16"/>
  <c r="U1786" i="16" s="1" a="1"/>
  <c r="U1786" i="16" s="1"/>
  <c r="R1713" i="16"/>
  <c r="T1713" i="16"/>
  <c r="T1708" i="16"/>
  <c r="R1708" i="16"/>
  <c r="T1714" i="16"/>
  <c r="R1714" i="16"/>
  <c r="T1738" i="16"/>
  <c r="R1738" i="16"/>
  <c r="T1720" i="16"/>
  <c r="R1720" i="16"/>
  <c r="R1694" i="16"/>
  <c r="T1694" i="16"/>
  <c r="U1624" i="16" a="1"/>
  <c r="U1624" i="16" s="1"/>
  <c r="T1624" i="16"/>
  <c r="R1624" i="16"/>
  <c r="R1677" i="16" s="1"/>
  <c r="T1626" i="16"/>
  <c r="U1626" i="16" a="1"/>
  <c r="U1626" i="16" s="1"/>
  <c r="T1620" i="16"/>
  <c r="R1620" i="16"/>
  <c r="R1693" i="16" s="1"/>
  <c r="T1614" i="16"/>
  <c r="R1614" i="16"/>
  <c r="T1602" i="16"/>
  <c r="R1602" i="16"/>
  <c r="R1675" i="16" s="1"/>
  <c r="R1599" i="16"/>
  <c r="R1683" i="16" s="1"/>
  <c r="T1599" i="16"/>
  <c r="T1608" i="16"/>
  <c r="R1608" i="16"/>
  <c r="R1681" i="16" s="1"/>
  <c r="R1607" i="16"/>
  <c r="R1684" i="16" s="1"/>
  <c r="T1607" i="16"/>
  <c r="T1594" i="16"/>
  <c r="R1594" i="16"/>
  <c r="R1585" i="16"/>
  <c r="R1655" i="16" s="1"/>
  <c r="T1585" i="16"/>
  <c r="T1552" i="16"/>
  <c r="R1552" i="16"/>
  <c r="R1629" i="16" s="1"/>
  <c r="T1581" i="16"/>
  <c r="R1581" i="16"/>
  <c r="R1643" i="16" s="1"/>
  <c r="R1561" i="16"/>
  <c r="R1632" i="16" s="1"/>
  <c r="T1561" i="16"/>
  <c r="T1559" i="16"/>
  <c r="R1559" i="16"/>
  <c r="R1638" i="16" s="1"/>
  <c r="T1536" i="16"/>
  <c r="R1536" i="16"/>
  <c r="R1534" i="16"/>
  <c r="T1534" i="16"/>
  <c r="T1527" i="16"/>
  <c r="R1527" i="16"/>
  <c r="T1494" i="16"/>
  <c r="R1494" i="16"/>
  <c r="R1492" i="16"/>
  <c r="T1492" i="16"/>
  <c r="T1495" i="16"/>
  <c r="R1495" i="16"/>
  <c r="T1406" i="16"/>
  <c r="R1406" i="16"/>
  <c r="R1402" i="16"/>
  <c r="T1402" i="16"/>
  <c r="R1401" i="16"/>
  <c r="T1401" i="16"/>
  <c r="R1349" i="16"/>
  <c r="T1349" i="16"/>
  <c r="AB606" i="13"/>
  <c r="AK606" i="13"/>
  <c r="AP606" i="13"/>
  <c r="AJ606" i="13"/>
  <c r="T1260" i="16"/>
  <c r="R1260" i="16"/>
  <c r="T411" i="16"/>
  <c r="U411" i="16" a="1"/>
  <c r="U411" i="16" s="1"/>
  <c r="R411" i="16"/>
  <c r="R433" i="16" s="1"/>
  <c r="R435" i="16" s="1"/>
  <c r="R480" i="16" s="1"/>
  <c r="R482" i="16" s="1"/>
  <c r="R552" i="16" s="1"/>
  <c r="R555" i="16" s="1"/>
  <c r="R601" i="16" s="1"/>
  <c r="R604" i="16" s="1"/>
  <c r="M908" i="6"/>
  <c r="V908" i="6"/>
  <c r="M902" i="6"/>
  <c r="N896" i="6"/>
  <c r="V896" i="6" s="1"/>
  <c r="D896" i="6"/>
  <c r="G896" i="6"/>
  <c r="H896" i="6" s="1"/>
  <c r="I896" i="6"/>
  <c r="S896" i="6"/>
  <c r="R1877" i="16" l="1"/>
  <c r="T1877" i="16"/>
  <c r="R1873" i="16"/>
  <c r="T1873" i="16"/>
  <c r="R1871" i="16"/>
  <c r="T1871" i="16"/>
  <c r="T1837" i="16"/>
  <c r="R1837" i="16"/>
  <c r="T1800" i="16"/>
  <c r="R1800" i="16"/>
  <c r="R1799" i="16"/>
  <c r="T1799" i="16"/>
  <c r="T1795" i="16"/>
  <c r="R1795" i="16"/>
  <c r="T1825" i="16"/>
  <c r="R1825" i="16"/>
  <c r="T1791" i="16"/>
  <c r="R1791" i="16"/>
  <c r="R1833" i="16"/>
  <c r="T1833" i="16"/>
  <c r="T1786" i="16"/>
  <c r="R1786" i="16"/>
  <c r="T1777" i="16"/>
  <c r="R1777" i="16"/>
  <c r="U1866" i="16" s="1" a="1"/>
  <c r="U1866" i="16" s="1"/>
  <c r="T1776" i="16"/>
  <c r="R1776" i="16"/>
  <c r="T1757" i="16"/>
  <c r="R1757" i="16"/>
  <c r="R1853" i="16" s="1"/>
  <c r="T1765" i="16"/>
  <c r="R1765" i="16"/>
  <c r="R1851" i="16" s="1"/>
  <c r="R1760" i="16"/>
  <c r="R1846" i="16" s="1"/>
  <c r="T1760" i="16"/>
  <c r="T1755" i="16"/>
  <c r="R1755" i="16"/>
  <c r="R1844" i="16" s="1"/>
  <c r="T1768" i="16"/>
  <c r="R1768" i="16"/>
  <c r="T1726" i="16"/>
  <c r="R1726" i="16"/>
  <c r="T1723" i="16"/>
  <c r="R1723" i="16"/>
  <c r="T1749" i="16"/>
  <c r="R1749" i="16"/>
  <c r="T1711" i="16"/>
  <c r="R1711" i="16"/>
  <c r="T1706" i="16"/>
  <c r="U1706" i="16" a="1"/>
  <c r="U1706" i="16" s="1"/>
  <c r="R1706" i="16"/>
  <c r="R1841" i="16" s="1"/>
  <c r="R1669" i="16"/>
  <c r="U1669" i="16" a="1"/>
  <c r="U1669" i="16" s="1"/>
  <c r="T1669" i="16"/>
  <c r="U1627" i="16" a="1"/>
  <c r="U1627" i="16" s="1"/>
  <c r="T1627" i="16"/>
  <c r="R1605" i="16"/>
  <c r="R1685" i="16" s="1"/>
  <c r="T1605" i="16"/>
  <c r="T1600" i="16"/>
  <c r="R1600" i="16"/>
  <c r="R1678" i="16" s="1"/>
  <c r="R1604" i="16"/>
  <c r="R1679" i="16" s="1"/>
  <c r="T1604" i="16"/>
  <c r="R1589" i="16"/>
  <c r="R1644" i="16" s="1"/>
  <c r="T1589" i="16"/>
  <c r="R1586" i="16"/>
  <c r="R1660" i="16" s="1"/>
  <c r="T1586" i="16"/>
  <c r="T1513" i="16"/>
  <c r="R1513" i="16"/>
  <c r="T1473" i="16"/>
  <c r="R1473" i="16"/>
  <c r="T1452" i="16"/>
  <c r="R1452" i="16"/>
  <c r="T1431" i="16"/>
  <c r="R1431" i="16"/>
  <c r="R1368" i="16"/>
  <c r="T1368" i="16"/>
  <c r="T1289" i="16"/>
  <c r="R1289" i="16"/>
  <c r="U607" i="16" a="1"/>
  <c r="U607" i="16" s="1"/>
  <c r="T607" i="16"/>
  <c r="R607" i="16"/>
  <c r="M896" i="6"/>
  <c r="N882" i="6"/>
  <c r="V882" i="6" s="1"/>
  <c r="D882" i="6"/>
  <c r="G882" i="6"/>
  <c r="H882" i="6" s="1"/>
  <c r="I882" i="6"/>
  <c r="S882" i="6"/>
  <c r="U882" i="6" a="1"/>
  <c r="U882" i="6" s="1"/>
  <c r="N883" i="6"/>
  <c r="M883" i="6" s="1"/>
  <c r="N884" i="6"/>
  <c r="M884" i="6" s="1"/>
  <c r="N888" i="6"/>
  <c r="N890" i="6"/>
  <c r="N892" i="6"/>
  <c r="N895" i="6"/>
  <c r="D895" i="6"/>
  <c r="G895" i="6"/>
  <c r="H895" i="6" s="1"/>
  <c r="I895" i="6"/>
  <c r="S895" i="6"/>
  <c r="V895" i="6"/>
  <c r="D894" i="6"/>
  <c r="G894" i="6"/>
  <c r="H894" i="6" s="1"/>
  <c r="I894" i="6"/>
  <c r="N894" i="6"/>
  <c r="S894" i="6"/>
  <c r="V894" i="6"/>
  <c r="D893" i="6"/>
  <c r="G893" i="6"/>
  <c r="H893" i="6" s="1"/>
  <c r="I893" i="6"/>
  <c r="N893" i="6"/>
  <c r="V893" i="6" s="1"/>
  <c r="S893" i="6"/>
  <c r="D892" i="6"/>
  <c r="G892" i="6"/>
  <c r="H892" i="6" s="1"/>
  <c r="I892" i="6"/>
  <c r="S892" i="6"/>
  <c r="V892" i="6"/>
  <c r="D891" i="6"/>
  <c r="G891" i="6"/>
  <c r="H891" i="6" s="1"/>
  <c r="I891" i="6"/>
  <c r="S891" i="6"/>
  <c r="V891" i="6"/>
  <c r="D890" i="6"/>
  <c r="G890" i="6"/>
  <c r="H890" i="6" s="1"/>
  <c r="I890" i="6"/>
  <c r="S890" i="6"/>
  <c r="V890" i="6"/>
  <c r="D889" i="6"/>
  <c r="G889" i="6"/>
  <c r="H889" i="6" s="1"/>
  <c r="I889" i="6"/>
  <c r="N889" i="6"/>
  <c r="S889" i="6"/>
  <c r="V889" i="6"/>
  <c r="D888" i="6"/>
  <c r="G888" i="6"/>
  <c r="H888" i="6" s="1"/>
  <c r="I888" i="6"/>
  <c r="S888" i="6"/>
  <c r="V888" i="6"/>
  <c r="D887" i="6"/>
  <c r="G887" i="6"/>
  <c r="H887" i="6" s="1"/>
  <c r="I887" i="6"/>
  <c r="S887" i="6"/>
  <c r="V887" i="6"/>
  <c r="D886" i="6"/>
  <c r="G886" i="6"/>
  <c r="H886" i="6" s="1"/>
  <c r="I886" i="6"/>
  <c r="N886" i="6"/>
  <c r="M886" i="6" s="1"/>
  <c r="S886" i="6"/>
  <c r="V886" i="6"/>
  <c r="D885" i="6"/>
  <c r="G885" i="6"/>
  <c r="H885" i="6" s="1"/>
  <c r="I885" i="6"/>
  <c r="N885" i="6"/>
  <c r="S885" i="6"/>
  <c r="V885" i="6"/>
  <c r="D884" i="6"/>
  <c r="G884" i="6"/>
  <c r="H884" i="6" s="1"/>
  <c r="I884" i="6"/>
  <c r="S884" i="6"/>
  <c r="V884" i="6"/>
  <c r="D883" i="6"/>
  <c r="G883" i="6"/>
  <c r="H883" i="6" s="1"/>
  <c r="I883" i="6"/>
  <c r="S883" i="6"/>
  <c r="V883" i="6"/>
  <c r="D881" i="6"/>
  <c r="G881" i="6"/>
  <c r="H881" i="6" s="1"/>
  <c r="I881" i="6"/>
  <c r="N881" i="6"/>
  <c r="M881" i="6" s="1"/>
  <c r="S881" i="6"/>
  <c r="U881" i="6" a="1"/>
  <c r="U881" i="6" s="1"/>
  <c r="D880" i="6"/>
  <c r="G880" i="6"/>
  <c r="H880" i="6" s="1"/>
  <c r="I880" i="6"/>
  <c r="N880" i="6"/>
  <c r="M880" i="6" s="1"/>
  <c r="S880" i="6"/>
  <c r="U880" i="6" a="1"/>
  <c r="U880" i="6" s="1"/>
  <c r="D879" i="6"/>
  <c r="G879" i="6"/>
  <c r="H879" i="6" s="1"/>
  <c r="I879" i="6"/>
  <c r="S879" i="6"/>
  <c r="N878" i="6"/>
  <c r="D878" i="6"/>
  <c r="G878" i="6"/>
  <c r="H878" i="6" s="1"/>
  <c r="I878" i="6"/>
  <c r="S878" i="6"/>
  <c r="V878" i="6"/>
  <c r="D877" i="6"/>
  <c r="G877" i="6"/>
  <c r="H877" i="6" s="1"/>
  <c r="I877" i="6"/>
  <c r="N877" i="6"/>
  <c r="S877" i="6"/>
  <c r="V877" i="6"/>
  <c r="D876" i="6"/>
  <c r="G876" i="6"/>
  <c r="H876" i="6" s="1"/>
  <c r="I876" i="6"/>
  <c r="N876" i="6"/>
  <c r="S876" i="6"/>
  <c r="V876" i="6"/>
  <c r="D875" i="6"/>
  <c r="G875" i="6"/>
  <c r="H875" i="6" s="1"/>
  <c r="I875" i="6"/>
  <c r="N875" i="6"/>
  <c r="M875" i="6" s="1"/>
  <c r="S875" i="6"/>
  <c r="V875" i="6"/>
  <c r="N874" i="6"/>
  <c r="D874" i="6"/>
  <c r="G874" i="6"/>
  <c r="H874" i="6" s="1"/>
  <c r="I874" i="6"/>
  <c r="S874" i="6"/>
  <c r="U874" i="6" a="1"/>
  <c r="U874" i="6" s="1"/>
  <c r="V874" i="6"/>
  <c r="N873" i="6"/>
  <c r="O1397" i="6" s="1"/>
  <c r="D873" i="6"/>
  <c r="G873" i="6"/>
  <c r="H873" i="6" s="1"/>
  <c r="I873" i="6"/>
  <c r="S873" i="6"/>
  <c r="U873" i="6" a="1"/>
  <c r="U873" i="6" s="1"/>
  <c r="R1870" i="16" l="1"/>
  <c r="T1870" i="16"/>
  <c r="T1866" i="16"/>
  <c r="R1866" i="16"/>
  <c r="T1790" i="16"/>
  <c r="R1790" i="16"/>
  <c r="T1804" i="16"/>
  <c r="R1804" i="16"/>
  <c r="R1823" i="16"/>
  <c r="T1823" i="16"/>
  <c r="R1797" i="16"/>
  <c r="T1797" i="16"/>
  <c r="R1764" i="16"/>
  <c r="R1854" i="16" s="1"/>
  <c r="T1764" i="16"/>
  <c r="R1762" i="16"/>
  <c r="U1772" i="16" s="1" a="1"/>
  <c r="U1772" i="16" s="1"/>
  <c r="T1762" i="16"/>
  <c r="T1763" i="16"/>
  <c r="R1763" i="16"/>
  <c r="R1848" i="16" s="1"/>
  <c r="R1769" i="16"/>
  <c r="R1858" i="16" s="1"/>
  <c r="R1859" i="16" s="1"/>
  <c r="T1769" i="16"/>
  <c r="T1728" i="16"/>
  <c r="R1728" i="16"/>
  <c r="R1709" i="16"/>
  <c r="T1709" i="16"/>
  <c r="T1721" i="16"/>
  <c r="R1721" i="16"/>
  <c r="O873" i="6"/>
  <c r="O1395" i="6"/>
  <c r="R1570" i="16"/>
  <c r="T1570" i="16"/>
  <c r="T1476" i="16"/>
  <c r="R1476" i="16"/>
  <c r="T1462" i="16"/>
  <c r="R1462" i="16"/>
  <c r="R1442" i="16"/>
  <c r="T1442" i="16"/>
  <c r="R1439" i="16"/>
  <c r="T1439" i="16"/>
  <c r="T1295" i="16"/>
  <c r="R1295" i="16"/>
  <c r="V873" i="6"/>
  <c r="W1397" i="6" s="1"/>
  <c r="U671" i="16" a="1"/>
  <c r="U671" i="16" s="1"/>
  <c r="T671" i="16"/>
  <c r="V880" i="6"/>
  <c r="V881" i="6"/>
  <c r="N891" i="6"/>
  <c r="M891" i="6" s="1"/>
  <c r="N887" i="6"/>
  <c r="M887" i="6" s="1"/>
  <c r="N879" i="6"/>
  <c r="M882" i="6"/>
  <c r="M895" i="6"/>
  <c r="M894" i="6"/>
  <c r="M893" i="6"/>
  <c r="M892" i="6"/>
  <c r="M890" i="6"/>
  <c r="M889" i="6"/>
  <c r="M888" i="6"/>
  <c r="M885" i="6"/>
  <c r="M878" i="6"/>
  <c r="M877" i="6"/>
  <c r="M876" i="6"/>
  <c r="M874" i="6"/>
  <c r="M873" i="6"/>
  <c r="T1875" i="16" l="1"/>
  <c r="R1875" i="16"/>
  <c r="T1793" i="16"/>
  <c r="R1793" i="16"/>
  <c r="R1806" i="16"/>
  <c r="T1806" i="16"/>
  <c r="R1815" i="16"/>
  <c r="T1815" i="16"/>
  <c r="R1772" i="16"/>
  <c r="R1852" i="16" s="1"/>
  <c r="U1862" i="16" s="1" a="1"/>
  <c r="U1862" i="16" s="1"/>
  <c r="T1772" i="16"/>
  <c r="R873" i="6"/>
  <c r="W873" i="6"/>
  <c r="W1395" i="6"/>
  <c r="T1573" i="16"/>
  <c r="R1573" i="16"/>
  <c r="R1635" i="16" s="1"/>
  <c r="R1661" i="16" s="1"/>
  <c r="R1544" i="16"/>
  <c r="T1544" i="16"/>
  <c r="T1532" i="16"/>
  <c r="R1532" i="16"/>
  <c r="U1550" i="16" s="1" a="1"/>
  <c r="U1550" i="16" s="1"/>
  <c r="T1490" i="16"/>
  <c r="R1490" i="16"/>
  <c r="R1445" i="16"/>
  <c r="T1445" i="16"/>
  <c r="R1299" i="16"/>
  <c r="T1299" i="16"/>
  <c r="M879" i="6"/>
  <c r="V879" i="6"/>
  <c r="D872" i="6"/>
  <c r="G872" i="6"/>
  <c r="H872" i="6" s="1"/>
  <c r="I872" i="6"/>
  <c r="N872" i="6"/>
  <c r="M872" i="6" s="1"/>
  <c r="S872" i="6"/>
  <c r="V872" i="6"/>
  <c r="T1862" i="16" l="1"/>
  <c r="R1862" i="16"/>
  <c r="R1739" i="16"/>
  <c r="T1739" i="16"/>
  <c r="T1547" i="16"/>
  <c r="R1547" i="16"/>
  <c r="R1484" i="16"/>
  <c r="T1484" i="16"/>
  <c r="T1496" i="16"/>
  <c r="R1496" i="16"/>
  <c r="R1314" i="16"/>
  <c r="T1314" i="16"/>
  <c r="D871" i="6"/>
  <c r="G871" i="6"/>
  <c r="H871" i="6" s="1"/>
  <c r="I871" i="6"/>
  <c r="N871" i="6"/>
  <c r="S871" i="6"/>
  <c r="U871" i="6" a="1"/>
  <c r="U871" i="6" s="1"/>
  <c r="V871" i="6"/>
  <c r="F605" i="13"/>
  <c r="L605" i="13"/>
  <c r="M605" i="13"/>
  <c r="R605" i="13" s="1"/>
  <c r="W605" i="13"/>
  <c r="X605" i="13"/>
  <c r="Y605" i="13"/>
  <c r="AO605" i="13"/>
  <c r="T1742" i="16" l="1"/>
  <c r="R1742" i="16"/>
  <c r="T1615" i="16"/>
  <c r="R1615" i="16"/>
  <c r="R1568" i="16"/>
  <c r="T1568" i="16"/>
  <c r="T1550" i="16"/>
  <c r="R1550" i="16"/>
  <c r="R1493" i="16"/>
  <c r="T1493" i="16"/>
  <c r="R1353" i="16"/>
  <c r="T1353" i="16"/>
  <c r="N605" i="13"/>
  <c r="AR605" i="13" s="1"/>
  <c r="M871" i="6"/>
  <c r="T605" i="13"/>
  <c r="P605" i="13"/>
  <c r="O605" i="13"/>
  <c r="R1826" i="16" l="1"/>
  <c r="T1826" i="16"/>
  <c r="T1618" i="16"/>
  <c r="R1618" i="16"/>
  <c r="T1601" i="16"/>
  <c r="R1601" i="16"/>
  <c r="R1556" i="16"/>
  <c r="T1556" i="16"/>
  <c r="T1590" i="16"/>
  <c r="R1590" i="16"/>
  <c r="R1649" i="16" s="1"/>
  <c r="R1667" i="16" s="1"/>
  <c r="R1354" i="16"/>
  <c r="T1354" i="16"/>
  <c r="D857" i="6"/>
  <c r="G857" i="6"/>
  <c r="H857" i="6" s="1"/>
  <c r="I857" i="6"/>
  <c r="S857" i="6"/>
  <c r="V857" i="6"/>
  <c r="N869" i="6"/>
  <c r="V869" i="6" s="1"/>
  <c r="D870" i="6"/>
  <c r="G870" i="6"/>
  <c r="H870" i="6" s="1"/>
  <c r="I870" i="6"/>
  <c r="S870" i="6"/>
  <c r="V870" i="6"/>
  <c r="D869" i="6"/>
  <c r="G869" i="6"/>
  <c r="H869" i="6" s="1"/>
  <c r="I869" i="6"/>
  <c r="S869" i="6"/>
  <c r="D868" i="6"/>
  <c r="G868" i="6"/>
  <c r="H868" i="6" s="1"/>
  <c r="I868" i="6"/>
  <c r="N868" i="6"/>
  <c r="S868" i="6"/>
  <c r="V868" i="6"/>
  <c r="N856" i="6"/>
  <c r="D856" i="6"/>
  <c r="G856" i="6"/>
  <c r="H856" i="6" s="1"/>
  <c r="I856" i="6"/>
  <c r="S856" i="6"/>
  <c r="U856" i="6" a="1"/>
  <c r="U856" i="6" s="1"/>
  <c r="V856" i="6"/>
  <c r="N861" i="6"/>
  <c r="N862" i="6"/>
  <c r="M862" i="6" s="1"/>
  <c r="N864" i="6"/>
  <c r="M864" i="6" s="1"/>
  <c r="N867" i="6"/>
  <c r="M867" i="6" s="1"/>
  <c r="D867" i="6"/>
  <c r="G867" i="6"/>
  <c r="H867" i="6" s="1"/>
  <c r="I867" i="6"/>
  <c r="S867" i="6"/>
  <c r="V867" i="6"/>
  <c r="D866" i="6"/>
  <c r="G866" i="6"/>
  <c r="H866" i="6" s="1"/>
  <c r="I866" i="6"/>
  <c r="N866" i="6"/>
  <c r="S866" i="6"/>
  <c r="V866" i="6"/>
  <c r="D865" i="6"/>
  <c r="G865" i="6"/>
  <c r="H865" i="6" s="1"/>
  <c r="I865" i="6"/>
  <c r="N865" i="6"/>
  <c r="M865" i="6" s="1"/>
  <c r="S865" i="6"/>
  <c r="U865" i="6" a="1"/>
  <c r="U865" i="6" s="1"/>
  <c r="V865" i="6"/>
  <c r="D864" i="6"/>
  <c r="G864" i="6"/>
  <c r="H864" i="6" s="1"/>
  <c r="I864" i="6"/>
  <c r="S864" i="6"/>
  <c r="U864" i="6" a="1"/>
  <c r="U864" i="6" s="1"/>
  <c r="V864" i="6"/>
  <c r="D863" i="6"/>
  <c r="G863" i="6"/>
  <c r="H863" i="6" s="1"/>
  <c r="I863" i="6"/>
  <c r="N863" i="6"/>
  <c r="M863" i="6" s="1"/>
  <c r="S863" i="6"/>
  <c r="D862" i="6"/>
  <c r="G862" i="6"/>
  <c r="H862" i="6" s="1"/>
  <c r="I862" i="6"/>
  <c r="S862" i="6"/>
  <c r="V862" i="6"/>
  <c r="D861" i="6"/>
  <c r="G861" i="6"/>
  <c r="H861" i="6" s="1"/>
  <c r="I861" i="6"/>
  <c r="S861" i="6"/>
  <c r="V861" i="6"/>
  <c r="N859" i="6"/>
  <c r="D860" i="6"/>
  <c r="G860" i="6"/>
  <c r="H860" i="6" s="1"/>
  <c r="I860" i="6"/>
  <c r="S860" i="6"/>
  <c r="U860" i="6" a="1"/>
  <c r="U860" i="6" s="1"/>
  <c r="V860" i="6"/>
  <c r="D859" i="6"/>
  <c r="G859" i="6"/>
  <c r="H859" i="6" s="1"/>
  <c r="I859" i="6"/>
  <c r="S859" i="6"/>
  <c r="U859" i="6" a="1"/>
  <c r="U859" i="6" s="1"/>
  <c r="V859" i="6"/>
  <c r="D858" i="6"/>
  <c r="G858" i="6"/>
  <c r="H858" i="6" s="1"/>
  <c r="I858" i="6"/>
  <c r="S858" i="6"/>
  <c r="V858" i="6"/>
  <c r="N855" i="6"/>
  <c r="V855" i="6" s="1"/>
  <c r="D855" i="6"/>
  <c r="G855" i="6"/>
  <c r="H855" i="6" s="1"/>
  <c r="I855" i="6"/>
  <c r="S855" i="6"/>
  <c r="U855" i="6" a="1"/>
  <c r="U855" i="6" s="1"/>
  <c r="W1275" i="6" l="1"/>
  <c r="W1507" i="6"/>
  <c r="T1829" i="16"/>
  <c r="R1829" i="16"/>
  <c r="R1710" i="16"/>
  <c r="T1710" i="16"/>
  <c r="R1673" i="16"/>
  <c r="T1673" i="16"/>
  <c r="U1673" i="16" a="1"/>
  <c r="U1673" i="16" s="1"/>
  <c r="R1610" i="16"/>
  <c r="R1676" i="16" s="1"/>
  <c r="T1610" i="16"/>
  <c r="R1578" i="16"/>
  <c r="R1639" i="16" s="1"/>
  <c r="R1640" i="16" s="1"/>
  <c r="T1578" i="16"/>
  <c r="R1370" i="16"/>
  <c r="T1370" i="16"/>
  <c r="W1192" i="6"/>
  <c r="W1199" i="6"/>
  <c r="V863" i="6"/>
  <c r="V605" i="13"/>
  <c r="Z605" i="13" s="1"/>
  <c r="W946" i="6"/>
  <c r="N858" i="6"/>
  <c r="M858" i="6" s="1"/>
  <c r="N870" i="6"/>
  <c r="M870" i="6" s="1"/>
  <c r="W860" i="6"/>
  <c r="M869" i="6"/>
  <c r="M868" i="6"/>
  <c r="M856" i="6"/>
  <c r="M866" i="6"/>
  <c r="N860" i="6"/>
  <c r="M861" i="6"/>
  <c r="M859" i="6"/>
  <c r="M855" i="6"/>
  <c r="O1275" i="6" l="1"/>
  <c r="O1507" i="6"/>
  <c r="T1754" i="16"/>
  <c r="R1754" i="16"/>
  <c r="T1715" i="16"/>
  <c r="R1715" i="16"/>
  <c r="R1735" i="16"/>
  <c r="T1735" i="16"/>
  <c r="T1697" i="16"/>
  <c r="R1697" i="16"/>
  <c r="R1378" i="16"/>
  <c r="T1378" i="16"/>
  <c r="O1192" i="6"/>
  <c r="O1199" i="6"/>
  <c r="M860" i="6"/>
  <c r="O946" i="6"/>
  <c r="N857" i="6"/>
  <c r="M857" i="6" s="1"/>
  <c r="E605" i="13"/>
  <c r="O860" i="6"/>
  <c r="R860" i="6" s="1"/>
  <c r="F604" i="13"/>
  <c r="K604" i="13" s="1"/>
  <c r="L604" i="13"/>
  <c r="N604" i="13" s="1"/>
  <c r="M604" i="13"/>
  <c r="R604" i="13" s="1"/>
  <c r="W604" i="13"/>
  <c r="X604" i="13"/>
  <c r="Y604" i="13"/>
  <c r="AO604" i="13"/>
  <c r="R1794" i="16" l="1"/>
  <c r="T1794" i="16"/>
  <c r="T1758" i="16"/>
  <c r="R1758" i="16"/>
  <c r="R1843" i="16" s="1"/>
  <c r="R1850" i="16" s="1"/>
  <c r="T1717" i="16"/>
  <c r="R1717" i="16"/>
  <c r="T1699" i="16"/>
  <c r="R1699" i="16"/>
  <c r="T1429" i="16"/>
  <c r="R1429" i="16"/>
  <c r="G605" i="13"/>
  <c r="AQ605" i="13" s="1"/>
  <c r="S605" i="13"/>
  <c r="AA605" i="13" s="1"/>
  <c r="AB605" i="13" s="1"/>
  <c r="H605" i="13"/>
  <c r="AM604" i="13" a="1"/>
  <c r="AM604" i="13" s="1"/>
  <c r="P604" i="13"/>
  <c r="T604" i="13"/>
  <c r="I604" i="13"/>
  <c r="AU604" i="13"/>
  <c r="Q604" i="13"/>
  <c r="AR604" i="13"/>
  <c r="O604" i="13"/>
  <c r="T1801" i="16" l="1"/>
  <c r="R1801" i="16"/>
  <c r="R1822" i="16"/>
  <c r="T1822" i="16"/>
  <c r="T1775" i="16"/>
  <c r="R1775" i="16"/>
  <c r="R1433" i="16"/>
  <c r="T1433" i="16"/>
  <c r="AP605" i="13"/>
  <c r="AK605" i="13"/>
  <c r="AS605" i="13"/>
  <c r="AT605" i="13" s="1"/>
  <c r="AJ605" i="13"/>
  <c r="N853" i="6"/>
  <c r="V853" i="6" s="1"/>
  <c r="N854" i="6"/>
  <c r="V854" i="6" s="1"/>
  <c r="D854" i="6"/>
  <c r="G854" i="6"/>
  <c r="H854" i="6" s="1"/>
  <c r="I854" i="6"/>
  <c r="S854" i="6"/>
  <c r="U854" i="6" a="1"/>
  <c r="U854" i="6" s="1"/>
  <c r="D853" i="6"/>
  <c r="G853" i="6"/>
  <c r="H853" i="6" s="1"/>
  <c r="I853" i="6"/>
  <c r="S853" i="6"/>
  <c r="N852" i="6"/>
  <c r="D852" i="6"/>
  <c r="G852" i="6"/>
  <c r="H852" i="6" s="1"/>
  <c r="I852" i="6"/>
  <c r="S852" i="6"/>
  <c r="U852" i="6" a="1"/>
  <c r="U852" i="6" s="1"/>
  <c r="V852" i="6"/>
  <c r="D851" i="6"/>
  <c r="G851" i="6"/>
  <c r="H851" i="6" s="1"/>
  <c r="I851" i="6"/>
  <c r="S851" i="6"/>
  <c r="U851" i="6" a="1"/>
  <c r="U851" i="6" s="1"/>
  <c r="D850" i="6"/>
  <c r="G850" i="6"/>
  <c r="H850" i="6" s="1"/>
  <c r="I850" i="6"/>
  <c r="N850" i="6"/>
  <c r="S850" i="6"/>
  <c r="V850" i="6"/>
  <c r="N849" i="6"/>
  <c r="D849" i="6"/>
  <c r="G849" i="6"/>
  <c r="H849" i="6" s="1"/>
  <c r="I849" i="6"/>
  <c r="S849" i="6"/>
  <c r="U849" i="6" a="1"/>
  <c r="U849" i="6" s="1"/>
  <c r="V849" i="6"/>
  <c r="D848" i="6"/>
  <c r="G848" i="6"/>
  <c r="H848" i="6" s="1"/>
  <c r="I848" i="6"/>
  <c r="S848" i="6"/>
  <c r="U848" i="6" a="1"/>
  <c r="U848" i="6" s="1"/>
  <c r="V848" i="6"/>
  <c r="T1807" i="16" l="1"/>
  <c r="R1807" i="16"/>
  <c r="R1783" i="16"/>
  <c r="T1783" i="16"/>
  <c r="W848" i="6"/>
  <c r="W1383" i="6"/>
  <c r="R1437" i="16"/>
  <c r="T1437" i="16"/>
  <c r="M854" i="6"/>
  <c r="N851" i="6"/>
  <c r="M853" i="6"/>
  <c r="M852" i="6"/>
  <c r="M850" i="6"/>
  <c r="M849" i="6"/>
  <c r="N848" i="6"/>
  <c r="O1383" i="6" s="1"/>
  <c r="D847" i="6"/>
  <c r="G847" i="6"/>
  <c r="H847" i="6" s="1"/>
  <c r="I847" i="6"/>
  <c r="N847" i="6"/>
  <c r="S847" i="6"/>
  <c r="U847" i="6" a="1"/>
  <c r="U847" i="6" s="1"/>
  <c r="D846" i="6"/>
  <c r="G846" i="6"/>
  <c r="H846" i="6" s="1"/>
  <c r="I846" i="6"/>
  <c r="N846" i="6"/>
  <c r="M846" i="6" s="1"/>
  <c r="S846" i="6"/>
  <c r="U846" i="6" a="1"/>
  <c r="U846" i="6" s="1"/>
  <c r="V846" i="6"/>
  <c r="D845" i="6"/>
  <c r="G845" i="6"/>
  <c r="H845" i="6" s="1"/>
  <c r="I845" i="6"/>
  <c r="N845" i="6"/>
  <c r="M845" i="6" s="1"/>
  <c r="S845" i="6"/>
  <c r="V845" i="6"/>
  <c r="N844" i="6"/>
  <c r="V844" i="6" s="1"/>
  <c r="D844" i="6"/>
  <c r="G844" i="6"/>
  <c r="H844" i="6" s="1"/>
  <c r="I844" i="6"/>
  <c r="S844" i="6"/>
  <c r="U844" i="6" a="1"/>
  <c r="U844" i="6" s="1"/>
  <c r="N842" i="6"/>
  <c r="N843" i="6"/>
  <c r="D843" i="6"/>
  <c r="G843" i="6"/>
  <c r="H843" i="6" s="1"/>
  <c r="I843" i="6"/>
  <c r="S843" i="6"/>
  <c r="U843" i="6" a="1"/>
  <c r="U843" i="6" s="1"/>
  <c r="V843" i="6"/>
  <c r="F603" i="13"/>
  <c r="L603" i="13"/>
  <c r="N603" i="13" s="1"/>
  <c r="M603" i="13"/>
  <c r="R603" i="13" s="1"/>
  <c r="W603" i="13"/>
  <c r="X603" i="13"/>
  <c r="Y603" i="13"/>
  <c r="AO603" i="13"/>
  <c r="E602" i="13"/>
  <c r="F602" i="13"/>
  <c r="K602" i="13" s="1"/>
  <c r="L602" i="13"/>
  <c r="N602" i="13" s="1"/>
  <c r="M602" i="13"/>
  <c r="R602" i="13" s="1"/>
  <c r="V602" i="13"/>
  <c r="W602" i="13"/>
  <c r="X602" i="13"/>
  <c r="Y602" i="13"/>
  <c r="AO602" i="13"/>
  <c r="D842" i="6"/>
  <c r="G842" i="6"/>
  <c r="H842" i="6" s="1"/>
  <c r="I842" i="6"/>
  <c r="S842" i="6"/>
  <c r="U842" i="6" a="1"/>
  <c r="U842" i="6" s="1"/>
  <c r="N840" i="6"/>
  <c r="N839" i="6"/>
  <c r="D841" i="6"/>
  <c r="G841" i="6"/>
  <c r="H841" i="6" s="1"/>
  <c r="I841" i="6"/>
  <c r="S841" i="6"/>
  <c r="U841" i="6" a="1"/>
  <c r="U841" i="6" s="1"/>
  <c r="D840" i="6"/>
  <c r="G840" i="6"/>
  <c r="H840" i="6" s="1"/>
  <c r="I840" i="6"/>
  <c r="S840" i="6"/>
  <c r="U840" i="6" a="1"/>
  <c r="U840" i="6" s="1"/>
  <c r="V840" i="6"/>
  <c r="D839" i="6"/>
  <c r="G839" i="6"/>
  <c r="H839" i="6" s="1"/>
  <c r="I839" i="6"/>
  <c r="S839" i="6"/>
  <c r="V839" i="6"/>
  <c r="F601" i="13"/>
  <c r="L601" i="13"/>
  <c r="O601" i="13" s="1"/>
  <c r="M601" i="13"/>
  <c r="P601" i="13" s="1"/>
  <c r="W601" i="13"/>
  <c r="X601" i="13"/>
  <c r="Y601" i="13"/>
  <c r="AO601" i="13"/>
  <c r="R1869" i="16" l="1"/>
  <c r="T1869" i="16"/>
  <c r="R1446" i="16"/>
  <c r="T1446" i="16"/>
  <c r="M847" i="6"/>
  <c r="O1191" i="6"/>
  <c r="V847" i="6"/>
  <c r="O880" i="6"/>
  <c r="O881" i="6"/>
  <c r="V851" i="6"/>
  <c r="G602" i="13"/>
  <c r="AQ602" i="13" s="1"/>
  <c r="M839" i="6"/>
  <c r="M851" i="6"/>
  <c r="E604" i="13"/>
  <c r="O851" i="6"/>
  <c r="O847" i="6"/>
  <c r="M848" i="6"/>
  <c r="O848" i="6"/>
  <c r="M842" i="6"/>
  <c r="V842" i="6"/>
  <c r="V603" i="13" s="1"/>
  <c r="Z603" i="13" s="1"/>
  <c r="N841" i="6"/>
  <c r="H602" i="13"/>
  <c r="M844" i="6"/>
  <c r="AM601" i="13" a="1"/>
  <c r="AM601" i="13" s="1"/>
  <c r="AM602" i="13" a="1"/>
  <c r="AM602" i="13" s="1"/>
  <c r="P602" i="13"/>
  <c r="AM603" i="13" a="1"/>
  <c r="AM603" i="13" s="1"/>
  <c r="M843" i="6"/>
  <c r="Z602" i="13"/>
  <c r="T602" i="13"/>
  <c r="I602" i="13"/>
  <c r="E603" i="13"/>
  <c r="AR603" i="13"/>
  <c r="Q603" i="13"/>
  <c r="T603" i="13"/>
  <c r="P603" i="13"/>
  <c r="O603" i="13"/>
  <c r="AU602" i="13"/>
  <c r="Q602" i="13"/>
  <c r="AR602" i="13"/>
  <c r="S602" i="13"/>
  <c r="O602" i="13"/>
  <c r="M840" i="6"/>
  <c r="R601" i="13"/>
  <c r="N601" i="13"/>
  <c r="T601" i="13"/>
  <c r="T1872" i="16" l="1"/>
  <c r="R1872" i="16"/>
  <c r="T1480" i="16"/>
  <c r="R1480" i="16"/>
  <c r="R847" i="6"/>
  <c r="W847" i="6"/>
  <c r="W1191" i="6"/>
  <c r="M841" i="6"/>
  <c r="V841" i="6"/>
  <c r="V604" i="13"/>
  <c r="Z604" i="13" s="1"/>
  <c r="W881" i="6"/>
  <c r="W880" i="6"/>
  <c r="W851" i="6"/>
  <c r="R851" i="6"/>
  <c r="G604" i="13"/>
  <c r="AQ604" i="13" s="1"/>
  <c r="H604" i="13"/>
  <c r="S604" i="13"/>
  <c r="AA604" i="13" s="1"/>
  <c r="R848" i="6"/>
  <c r="G603" i="13"/>
  <c r="H603" i="13"/>
  <c r="S603" i="13"/>
  <c r="AA603" i="13" s="1"/>
  <c r="AP603" i="13" s="1"/>
  <c r="AA602" i="13"/>
  <c r="Q601" i="13"/>
  <c r="AR601" i="13"/>
  <c r="AK602" i="13" l="1"/>
  <c r="T1488" i="16"/>
  <c r="R1488" i="16"/>
  <c r="AB604" i="13"/>
  <c r="AB603" i="13"/>
  <c r="AB602" i="13"/>
  <c r="AJ604" i="13"/>
  <c r="AK604" i="13"/>
  <c r="AS604" i="13"/>
  <c r="AT604" i="13" s="1"/>
  <c r="AP604" i="13"/>
  <c r="AS602" i="13"/>
  <c r="AT602" i="13" s="1"/>
  <c r="AP602" i="13"/>
  <c r="AJ602" i="13"/>
  <c r="AS603" i="13"/>
  <c r="AT603" i="13" s="1"/>
  <c r="AJ603" i="13"/>
  <c r="AK603" i="13"/>
  <c r="AQ603" i="13"/>
  <c r="D838" i="6"/>
  <c r="G838" i="6"/>
  <c r="H838" i="6" s="1"/>
  <c r="I838" i="6"/>
  <c r="N838" i="6"/>
  <c r="S838" i="6"/>
  <c r="U838" i="6" a="1"/>
  <c r="U838" i="6" s="1"/>
  <c r="V838" i="6"/>
  <c r="N837" i="6"/>
  <c r="D837" i="6"/>
  <c r="G837" i="6"/>
  <c r="H837" i="6" s="1"/>
  <c r="I837" i="6"/>
  <c r="S837" i="6"/>
  <c r="T837" i="6"/>
  <c r="U837" i="6" a="1"/>
  <c r="U837" i="6" s="1"/>
  <c r="V837" i="6"/>
  <c r="D836" i="6"/>
  <c r="G836" i="6"/>
  <c r="H836" i="6" s="1"/>
  <c r="I836" i="6"/>
  <c r="N836" i="6"/>
  <c r="M836" i="6" s="1"/>
  <c r="S836" i="6"/>
  <c r="U836" i="6" a="1"/>
  <c r="U836" i="6" s="1"/>
  <c r="V836" i="6"/>
  <c r="D835" i="6"/>
  <c r="G835" i="6"/>
  <c r="H835" i="6" s="1"/>
  <c r="I835" i="6"/>
  <c r="N835" i="6"/>
  <c r="M835" i="6" s="1"/>
  <c r="S835" i="6"/>
  <c r="U835" i="6" a="1"/>
  <c r="U835" i="6" s="1"/>
  <c r="V835" i="6"/>
  <c r="D834" i="6"/>
  <c r="G834" i="6"/>
  <c r="H834" i="6" s="1"/>
  <c r="I834" i="6"/>
  <c r="N834" i="6"/>
  <c r="S834" i="6"/>
  <c r="U834" i="6" a="1"/>
  <c r="U834" i="6" s="1"/>
  <c r="V834" i="6"/>
  <c r="D833" i="6"/>
  <c r="G833" i="6"/>
  <c r="H833" i="6" s="1"/>
  <c r="I833" i="6"/>
  <c r="N833" i="6"/>
  <c r="O1335" i="6" s="1"/>
  <c r="S833" i="6"/>
  <c r="U833" i="6" a="1"/>
  <c r="U833" i="6" s="1"/>
  <c r="F600" i="13"/>
  <c r="L600" i="13"/>
  <c r="N600" i="13" s="1"/>
  <c r="M600" i="13"/>
  <c r="R600" i="13" s="1"/>
  <c r="W600" i="13"/>
  <c r="X600" i="13"/>
  <c r="Y600" i="13"/>
  <c r="AO600" i="13"/>
  <c r="V601" i="13" l="1"/>
  <c r="Z601" i="13" s="1"/>
  <c r="W1324" i="6"/>
  <c r="E601" i="13"/>
  <c r="G601" i="13" s="1"/>
  <c r="AQ601" i="13" s="1"/>
  <c r="O1324" i="6"/>
  <c r="R1500" i="16"/>
  <c r="T1500" i="16"/>
  <c r="O1120" i="6"/>
  <c r="O1129" i="6"/>
  <c r="O833" i="6"/>
  <c r="O1072" i="6"/>
  <c r="V833" i="6"/>
  <c r="W1335" i="6" s="1"/>
  <c r="E600" i="13"/>
  <c r="G600" i="13" s="1"/>
  <c r="AQ600" i="13" s="1"/>
  <c r="M838" i="6"/>
  <c r="M837" i="6"/>
  <c r="AM600" i="13" a="1"/>
  <c r="AM600" i="13" s="1"/>
  <c r="P600" i="13"/>
  <c r="M834" i="6"/>
  <c r="T600" i="13"/>
  <c r="M833" i="6"/>
  <c r="Q600" i="13"/>
  <c r="AR600" i="13"/>
  <c r="O600" i="13"/>
  <c r="H601" i="13" l="1"/>
  <c r="S601" i="13"/>
  <c r="AA601" i="13" s="1"/>
  <c r="AB601" i="13" s="1"/>
  <c r="T1506" i="16"/>
  <c r="R1506" i="16"/>
  <c r="W1120" i="6"/>
  <c r="W1129" i="6"/>
  <c r="R833" i="6"/>
  <c r="W833" i="6"/>
  <c r="W1072" i="6"/>
  <c r="V600" i="13"/>
  <c r="Z600" i="13" s="1"/>
  <c r="H600" i="13"/>
  <c r="S600" i="13"/>
  <c r="AA600" i="13" s="1"/>
  <c r="AP600" i="13" s="1"/>
  <c r="T1562" i="16" l="1"/>
  <c r="R1562" i="16"/>
  <c r="AK601" i="13"/>
  <c r="AP601" i="13"/>
  <c r="AJ601" i="13"/>
  <c r="AS601" i="13"/>
  <c r="AT601" i="13" s="1"/>
  <c r="AB600" i="13"/>
  <c r="AS600" i="13"/>
  <c r="AT600" i="13" s="1"/>
  <c r="AK600" i="13"/>
  <c r="AJ600" i="13"/>
  <c r="N824" i="6"/>
  <c r="N827" i="6"/>
  <c r="V827" i="6" s="1"/>
  <c r="N828" i="6"/>
  <c r="M828" i="6" s="1"/>
  <c r="N829" i="6"/>
  <c r="V829" i="6" s="1"/>
  <c r="N831" i="6"/>
  <c r="M831" i="6" s="1"/>
  <c r="N832" i="6"/>
  <c r="V832" i="6" s="1"/>
  <c r="D832" i="6"/>
  <c r="G832" i="6"/>
  <c r="H832" i="6" s="1"/>
  <c r="I832" i="6"/>
  <c r="S832" i="6"/>
  <c r="U832" i="6" a="1"/>
  <c r="U832" i="6" s="1"/>
  <c r="D831" i="6"/>
  <c r="G831" i="6"/>
  <c r="H831" i="6" s="1"/>
  <c r="I831" i="6"/>
  <c r="S831" i="6"/>
  <c r="U831" i="6" a="1"/>
  <c r="U831" i="6" s="1"/>
  <c r="V831" i="6"/>
  <c r="W831" i="6" s="1"/>
  <c r="D830" i="6"/>
  <c r="G830" i="6"/>
  <c r="H830" i="6" s="1"/>
  <c r="I830" i="6"/>
  <c r="S830" i="6"/>
  <c r="U830" i="6" a="1"/>
  <c r="U830" i="6" s="1"/>
  <c r="V830" i="6"/>
  <c r="D829" i="6"/>
  <c r="G829" i="6"/>
  <c r="H829" i="6" s="1"/>
  <c r="I829" i="6"/>
  <c r="S829" i="6"/>
  <c r="U829" i="6" a="1"/>
  <c r="U829" i="6" s="1"/>
  <c r="D828" i="6"/>
  <c r="G828" i="6"/>
  <c r="H828" i="6" s="1"/>
  <c r="I828" i="6"/>
  <c r="S828" i="6"/>
  <c r="U828" i="6" a="1"/>
  <c r="U828" i="6" s="1"/>
  <c r="V828" i="6"/>
  <c r="D827" i="6"/>
  <c r="G827" i="6"/>
  <c r="H827" i="6" s="1"/>
  <c r="I827" i="6"/>
  <c r="S827" i="6"/>
  <c r="U827" i="6" a="1"/>
  <c r="U827" i="6" s="1"/>
  <c r="D826" i="6"/>
  <c r="G826" i="6"/>
  <c r="H826" i="6" s="1"/>
  <c r="I826" i="6"/>
  <c r="S826" i="6"/>
  <c r="U826" i="6" a="1"/>
  <c r="U826" i="6" s="1"/>
  <c r="D825" i="6"/>
  <c r="G825" i="6"/>
  <c r="H825" i="6" s="1"/>
  <c r="I825" i="6"/>
  <c r="N825" i="6"/>
  <c r="V825" i="6" s="1"/>
  <c r="S825" i="6"/>
  <c r="U825" i="6" a="1"/>
  <c r="U825" i="6" s="1"/>
  <c r="D824" i="6"/>
  <c r="G824" i="6"/>
  <c r="H824" i="6" s="1"/>
  <c r="I824" i="6"/>
  <c r="S824" i="6"/>
  <c r="U824" i="6" a="1"/>
  <c r="U824" i="6" s="1"/>
  <c r="V824" i="6"/>
  <c r="N822" i="6"/>
  <c r="M822" i="6" s="1"/>
  <c r="N823" i="6"/>
  <c r="M823" i="6" s="1"/>
  <c r="D823" i="6"/>
  <c r="G823" i="6"/>
  <c r="H823" i="6" s="1"/>
  <c r="I823" i="6"/>
  <c r="S823" i="6"/>
  <c r="U823" i="6" a="1"/>
  <c r="U823" i="6" s="1"/>
  <c r="V823" i="6"/>
  <c r="D822" i="6"/>
  <c r="G822" i="6"/>
  <c r="H822" i="6" s="1"/>
  <c r="I822" i="6"/>
  <c r="S822" i="6"/>
  <c r="U822" i="6" a="1"/>
  <c r="U822" i="6" s="1"/>
  <c r="V822" i="6"/>
  <c r="D821" i="6"/>
  <c r="G821" i="6"/>
  <c r="H821" i="6" s="1"/>
  <c r="I821" i="6"/>
  <c r="N821" i="6"/>
  <c r="M821" i="6" s="1"/>
  <c r="S821" i="6"/>
  <c r="V821" i="6"/>
  <c r="D820" i="6"/>
  <c r="G820" i="6"/>
  <c r="H820" i="6" s="1"/>
  <c r="I820" i="6"/>
  <c r="S820" i="6"/>
  <c r="U820" i="6" a="1"/>
  <c r="U820" i="6" s="1"/>
  <c r="V820" i="6"/>
  <c r="N811" i="6"/>
  <c r="M811" i="6" s="1"/>
  <c r="D811" i="6"/>
  <c r="G811" i="6"/>
  <c r="H811" i="6" s="1"/>
  <c r="I811" i="6"/>
  <c r="S811" i="6"/>
  <c r="U811" i="6" a="1"/>
  <c r="U811" i="6" s="1"/>
  <c r="V811" i="6"/>
  <c r="N815" i="6"/>
  <c r="V815" i="6" s="1"/>
  <c r="N816" i="6"/>
  <c r="N819" i="6"/>
  <c r="D819" i="6"/>
  <c r="G819" i="6"/>
  <c r="H819" i="6" s="1"/>
  <c r="I819" i="6"/>
  <c r="S819" i="6"/>
  <c r="V819" i="6"/>
  <c r="D818" i="6"/>
  <c r="G818" i="6"/>
  <c r="H818" i="6" s="1"/>
  <c r="I818" i="6"/>
  <c r="S818" i="6"/>
  <c r="V818" i="6"/>
  <c r="D817" i="6"/>
  <c r="G817" i="6"/>
  <c r="H817" i="6" s="1"/>
  <c r="I817" i="6"/>
  <c r="S817" i="6"/>
  <c r="V817" i="6"/>
  <c r="D816" i="6"/>
  <c r="G816" i="6"/>
  <c r="H816" i="6" s="1"/>
  <c r="I816" i="6"/>
  <c r="S816" i="6"/>
  <c r="V816" i="6"/>
  <c r="D815" i="6"/>
  <c r="G815" i="6"/>
  <c r="H815" i="6" s="1"/>
  <c r="I815" i="6"/>
  <c r="S815" i="6"/>
  <c r="U815" i="6" a="1"/>
  <c r="U815" i="6" s="1"/>
  <c r="D814" i="6"/>
  <c r="G814" i="6"/>
  <c r="H814" i="6" s="1"/>
  <c r="I814" i="6"/>
  <c r="N814" i="6"/>
  <c r="S814" i="6"/>
  <c r="U814" i="6" a="1"/>
  <c r="U814" i="6" s="1"/>
  <c r="V814" i="6"/>
  <c r="D813" i="6"/>
  <c r="G813" i="6"/>
  <c r="H813" i="6" s="1"/>
  <c r="I813" i="6"/>
  <c r="N813" i="6"/>
  <c r="V813" i="6" s="1"/>
  <c r="S813" i="6"/>
  <c r="U813" i="6" a="1"/>
  <c r="U813" i="6" s="1"/>
  <c r="D812" i="6"/>
  <c r="G812" i="6"/>
  <c r="H812" i="6" s="1"/>
  <c r="I812" i="6"/>
  <c r="N812" i="6"/>
  <c r="S812" i="6"/>
  <c r="U812" i="6" a="1"/>
  <c r="U812" i="6" s="1"/>
  <c r="V812" i="6"/>
  <c r="D810" i="6"/>
  <c r="G810" i="6"/>
  <c r="H810" i="6" s="1"/>
  <c r="I810" i="6"/>
  <c r="N810" i="6"/>
  <c r="M810" i="6" s="1"/>
  <c r="S810" i="6"/>
  <c r="U810" i="6" a="1"/>
  <c r="U810" i="6" s="1"/>
  <c r="V810" i="6"/>
  <c r="N809" i="6"/>
  <c r="V809" i="6" s="1"/>
  <c r="D809" i="6"/>
  <c r="G809" i="6"/>
  <c r="H809" i="6" s="1"/>
  <c r="I809" i="6"/>
  <c r="S809" i="6"/>
  <c r="U809" i="6" a="1"/>
  <c r="U809" i="6" s="1"/>
  <c r="N808" i="6"/>
  <c r="O1356" i="6" s="1"/>
  <c r="D808" i="6"/>
  <c r="G808" i="6"/>
  <c r="H808" i="6" s="1"/>
  <c r="I808" i="6"/>
  <c r="S808" i="6"/>
  <c r="U808" i="6" a="1"/>
  <c r="U808" i="6" s="1"/>
  <c r="R1563" i="16" l="1"/>
  <c r="T1563" i="16"/>
  <c r="O1078" i="6"/>
  <c r="W1075" i="6"/>
  <c r="W1082" i="6"/>
  <c r="V808" i="6"/>
  <c r="W1356" i="6" s="1"/>
  <c r="W830" i="6"/>
  <c r="O831" i="6"/>
  <c r="R831" i="6" s="1"/>
  <c r="N826" i="6"/>
  <c r="N830" i="6"/>
  <c r="M832" i="6"/>
  <c r="M829" i="6"/>
  <c r="M827" i="6"/>
  <c r="M825" i="6"/>
  <c r="M824" i="6"/>
  <c r="N820" i="6"/>
  <c r="M820" i="6" s="1"/>
  <c r="N817" i="6"/>
  <c r="M817" i="6" s="1"/>
  <c r="N818" i="6"/>
  <c r="M818" i="6" s="1"/>
  <c r="M819" i="6"/>
  <c r="M816" i="6"/>
  <c r="M815" i="6"/>
  <c r="M814" i="6"/>
  <c r="M813" i="6"/>
  <c r="M812" i="6"/>
  <c r="M809" i="6"/>
  <c r="M808" i="6"/>
  <c r="O808" i="6"/>
  <c r="D807" i="6"/>
  <c r="G807" i="6"/>
  <c r="H807" i="6" s="1"/>
  <c r="I807" i="6"/>
  <c r="S807" i="6"/>
  <c r="U807" i="6" a="1"/>
  <c r="U807" i="6" s="1"/>
  <c r="N805" i="6"/>
  <c r="M805" i="6" s="1"/>
  <c r="N806" i="6"/>
  <c r="M806" i="6" s="1"/>
  <c r="D806" i="6"/>
  <c r="G806" i="6"/>
  <c r="H806" i="6" s="1"/>
  <c r="I806" i="6"/>
  <c r="S806" i="6"/>
  <c r="U806" i="6" a="1"/>
  <c r="U806" i="6" s="1"/>
  <c r="V806" i="6"/>
  <c r="D805" i="6"/>
  <c r="G805" i="6"/>
  <c r="H805" i="6" s="1"/>
  <c r="I805" i="6"/>
  <c r="S805" i="6"/>
  <c r="U805" i="6" a="1"/>
  <c r="U805" i="6" s="1"/>
  <c r="D804" i="6"/>
  <c r="G804" i="6"/>
  <c r="H804" i="6" s="1"/>
  <c r="I804" i="6"/>
  <c r="S804" i="6"/>
  <c r="U804" i="6" a="1"/>
  <c r="U804" i="6" s="1"/>
  <c r="N803" i="6"/>
  <c r="D803" i="6"/>
  <c r="G803" i="6"/>
  <c r="H803" i="6" s="1"/>
  <c r="I803" i="6"/>
  <c r="S803" i="6"/>
  <c r="V803" i="6"/>
  <c r="D802" i="6"/>
  <c r="G802" i="6"/>
  <c r="H802" i="6" s="1"/>
  <c r="I802" i="6"/>
  <c r="N802" i="6"/>
  <c r="V802" i="6" s="1"/>
  <c r="S802" i="6"/>
  <c r="U802" i="6" a="1"/>
  <c r="U802" i="6" s="1"/>
  <c r="N801" i="6"/>
  <c r="D801" i="6"/>
  <c r="G801" i="6"/>
  <c r="H801" i="6" s="1"/>
  <c r="I801" i="6"/>
  <c r="S801" i="6"/>
  <c r="V801" i="6"/>
  <c r="R1580" i="16" l="1"/>
  <c r="T1580" i="16"/>
  <c r="W1078" i="6"/>
  <c r="O1075" i="6"/>
  <c r="O1082" i="6"/>
  <c r="R1082" i="6" s="1"/>
  <c r="W808" i="6"/>
  <c r="O830" i="6"/>
  <c r="M826" i="6"/>
  <c r="V826" i="6"/>
  <c r="M830" i="6"/>
  <c r="V805" i="6"/>
  <c r="R808" i="6"/>
  <c r="N807" i="6"/>
  <c r="N804" i="6"/>
  <c r="M803" i="6"/>
  <c r="M802" i="6"/>
  <c r="M801" i="6"/>
  <c r="N800" i="6"/>
  <c r="D800" i="6"/>
  <c r="G800" i="6"/>
  <c r="H800" i="6" s="1"/>
  <c r="I800" i="6"/>
  <c r="S800" i="6"/>
  <c r="V800" i="6"/>
  <c r="E599" i="13"/>
  <c r="F599" i="13"/>
  <c r="L599" i="13"/>
  <c r="M599" i="13"/>
  <c r="V599" i="13"/>
  <c r="W599" i="13"/>
  <c r="X599" i="13"/>
  <c r="Y599" i="13"/>
  <c r="AO599" i="13"/>
  <c r="N791" i="6"/>
  <c r="M791" i="6" s="1"/>
  <c r="N793" i="6"/>
  <c r="N794" i="6"/>
  <c r="N795" i="6"/>
  <c r="M795" i="6" s="1"/>
  <c r="N799" i="6"/>
  <c r="V799" i="6" s="1"/>
  <c r="N790" i="6"/>
  <c r="M790" i="6" s="1"/>
  <c r="D799" i="6"/>
  <c r="G799" i="6"/>
  <c r="H799" i="6" s="1"/>
  <c r="I799" i="6"/>
  <c r="S799" i="6"/>
  <c r="U799" i="6" a="1"/>
  <c r="U799" i="6" s="1"/>
  <c r="D798" i="6"/>
  <c r="G798" i="6"/>
  <c r="H798" i="6" s="1"/>
  <c r="I798" i="6"/>
  <c r="S798" i="6"/>
  <c r="V798" i="6"/>
  <c r="D797" i="6"/>
  <c r="G797" i="6"/>
  <c r="H797" i="6" s="1"/>
  <c r="I797" i="6"/>
  <c r="S797" i="6"/>
  <c r="V797" i="6"/>
  <c r="D796" i="6"/>
  <c r="G796" i="6"/>
  <c r="H796" i="6" s="1"/>
  <c r="I796" i="6"/>
  <c r="S796" i="6"/>
  <c r="V796" i="6"/>
  <c r="D795" i="6"/>
  <c r="G795" i="6"/>
  <c r="H795" i="6" s="1"/>
  <c r="I795" i="6"/>
  <c r="S795" i="6"/>
  <c r="V795" i="6"/>
  <c r="D794" i="6"/>
  <c r="G794" i="6"/>
  <c r="H794" i="6" s="1"/>
  <c r="I794" i="6"/>
  <c r="S794" i="6"/>
  <c r="D793" i="6"/>
  <c r="G793" i="6"/>
  <c r="H793" i="6" s="1"/>
  <c r="I793" i="6"/>
  <c r="S793" i="6"/>
  <c r="U793" i="6" a="1"/>
  <c r="U793" i="6" s="1"/>
  <c r="V793" i="6"/>
  <c r="D792" i="6"/>
  <c r="G792" i="6"/>
  <c r="H792" i="6" s="1"/>
  <c r="I792" i="6"/>
  <c r="S792" i="6"/>
  <c r="U792" i="6" a="1"/>
  <c r="U792" i="6" s="1"/>
  <c r="V792" i="6"/>
  <c r="D791" i="6"/>
  <c r="G791" i="6"/>
  <c r="H791" i="6" s="1"/>
  <c r="I791" i="6"/>
  <c r="S791" i="6"/>
  <c r="V791" i="6"/>
  <c r="D790" i="6"/>
  <c r="G790" i="6"/>
  <c r="H790" i="6" s="1"/>
  <c r="I790" i="6"/>
  <c r="S790" i="6"/>
  <c r="V790" i="6"/>
  <c r="D789" i="6"/>
  <c r="G789" i="6"/>
  <c r="H789" i="6" s="1"/>
  <c r="I789" i="6"/>
  <c r="N789" i="6"/>
  <c r="M789" i="6" s="1"/>
  <c r="S789" i="6"/>
  <c r="D788" i="6"/>
  <c r="G788" i="6"/>
  <c r="H788" i="6" s="1"/>
  <c r="I788" i="6"/>
  <c r="N788" i="6"/>
  <c r="M788" i="6" s="1"/>
  <c r="S788" i="6"/>
  <c r="U788" i="6" a="1"/>
  <c r="U788" i="6" s="1"/>
  <c r="V794" i="6" l="1"/>
  <c r="X696" i="13" s="1"/>
  <c r="F696" i="13"/>
  <c r="T696" i="13" s="1"/>
  <c r="R1587" i="16"/>
  <c r="R1633" i="16" s="1"/>
  <c r="R1642" i="16" s="1"/>
  <c r="R1656" i="16" s="1"/>
  <c r="R1662" i="16" s="1"/>
  <c r="T1587" i="16"/>
  <c r="R830" i="6"/>
  <c r="M807" i="6"/>
  <c r="V807" i="6"/>
  <c r="M804" i="6"/>
  <c r="V804" i="6"/>
  <c r="V789" i="6"/>
  <c r="G599" i="13"/>
  <c r="AQ599" i="13" s="1"/>
  <c r="N599" i="13"/>
  <c r="AR599" i="13" s="1"/>
  <c r="V788" i="6"/>
  <c r="N797" i="6"/>
  <c r="M797" i="6" s="1"/>
  <c r="N792" i="6"/>
  <c r="M800" i="6"/>
  <c r="H599" i="13"/>
  <c r="Z599" i="13"/>
  <c r="T599" i="13"/>
  <c r="S599" i="13"/>
  <c r="O599" i="13"/>
  <c r="M799" i="6"/>
  <c r="M794" i="6"/>
  <c r="M793" i="6"/>
  <c r="N787" i="6"/>
  <c r="M787" i="6" s="1"/>
  <c r="D787" i="6"/>
  <c r="G787" i="6"/>
  <c r="H787" i="6" s="1"/>
  <c r="I787" i="6"/>
  <c r="S787" i="6"/>
  <c r="U787" i="6" a="1"/>
  <c r="U787" i="6" s="1"/>
  <c r="V787" i="6"/>
  <c r="N786" i="6"/>
  <c r="V786" i="6" s="1"/>
  <c r="D786" i="6"/>
  <c r="G786" i="6"/>
  <c r="H786" i="6" s="1"/>
  <c r="I786" i="6"/>
  <c r="S786" i="6"/>
  <c r="U786" i="6" a="1"/>
  <c r="U786" i="6" s="1"/>
  <c r="T1712" i="16" l="1"/>
  <c r="R1712" i="16"/>
  <c r="M792" i="6"/>
  <c r="AA599" i="13"/>
  <c r="AB599" i="13" s="1"/>
  <c r="M786" i="6"/>
  <c r="D785" i="6"/>
  <c r="G785" i="6"/>
  <c r="H785" i="6" s="1"/>
  <c r="I785" i="6"/>
  <c r="N785" i="6"/>
  <c r="M785" i="6" s="1"/>
  <c r="S785" i="6"/>
  <c r="V785" i="6"/>
  <c r="D784" i="6"/>
  <c r="G784" i="6"/>
  <c r="H784" i="6" s="1"/>
  <c r="I784" i="6"/>
  <c r="N784" i="6"/>
  <c r="M784" i="6" s="1"/>
  <c r="S784" i="6"/>
  <c r="U784" i="6" a="1"/>
  <c r="U784" i="6" s="1"/>
  <c r="D783" i="6"/>
  <c r="G783" i="6"/>
  <c r="H783" i="6" s="1"/>
  <c r="I783" i="6"/>
  <c r="N783" i="6"/>
  <c r="M783" i="6" s="1"/>
  <c r="S783" i="6"/>
  <c r="V783" i="6"/>
  <c r="D782" i="6"/>
  <c r="G782" i="6"/>
  <c r="H782" i="6" s="1"/>
  <c r="I782" i="6"/>
  <c r="N782" i="6"/>
  <c r="S782" i="6"/>
  <c r="V782" i="6"/>
  <c r="D781" i="6"/>
  <c r="G781" i="6"/>
  <c r="H781" i="6" s="1"/>
  <c r="I781" i="6"/>
  <c r="N781" i="6"/>
  <c r="M781" i="6" s="1"/>
  <c r="S781" i="6"/>
  <c r="V781" i="6"/>
  <c r="D780" i="6"/>
  <c r="G780" i="6"/>
  <c r="H780" i="6" s="1"/>
  <c r="I780" i="6"/>
  <c r="N780" i="6"/>
  <c r="M780" i="6" s="1"/>
  <c r="S780" i="6"/>
  <c r="V780" i="6"/>
  <c r="D779" i="6"/>
  <c r="G779" i="6"/>
  <c r="H779" i="6" s="1"/>
  <c r="I779" i="6"/>
  <c r="S779" i="6"/>
  <c r="U779" i="6" a="1"/>
  <c r="U779" i="6" s="1"/>
  <c r="N778" i="6"/>
  <c r="N777" i="6"/>
  <c r="D778" i="6"/>
  <c r="G778" i="6"/>
  <c r="H778" i="6" s="1"/>
  <c r="I778" i="6"/>
  <c r="S778" i="6"/>
  <c r="U778" i="6" a="1"/>
  <c r="U778" i="6" s="1"/>
  <c r="V778" i="6"/>
  <c r="D777" i="6"/>
  <c r="G777" i="6"/>
  <c r="H777" i="6" s="1"/>
  <c r="I777" i="6"/>
  <c r="S777" i="6"/>
  <c r="U777" i="6" a="1"/>
  <c r="U777" i="6" s="1"/>
  <c r="N776" i="6"/>
  <c r="D776" i="6"/>
  <c r="G776" i="6"/>
  <c r="H776" i="6" s="1"/>
  <c r="I776" i="6"/>
  <c r="S776" i="6"/>
  <c r="V776" i="6"/>
  <c r="R1716" i="16" l="1"/>
  <c r="T1716" i="16"/>
  <c r="V784" i="6"/>
  <c r="AJ599" i="13"/>
  <c r="AP599" i="13"/>
  <c r="AS599" i="13"/>
  <c r="AT599" i="13" s="1"/>
  <c r="AK599" i="13"/>
  <c r="M782" i="6"/>
  <c r="M777" i="6"/>
  <c r="V777" i="6"/>
  <c r="N779" i="6"/>
  <c r="M778" i="6"/>
  <c r="M776" i="6"/>
  <c r="D775" i="6"/>
  <c r="G775" i="6"/>
  <c r="H775" i="6" s="1"/>
  <c r="I775" i="6"/>
  <c r="N775" i="6"/>
  <c r="S775" i="6"/>
  <c r="V775" i="6"/>
  <c r="N773" i="6"/>
  <c r="N774" i="6"/>
  <c r="V774" i="6" s="1"/>
  <c r="N771" i="6"/>
  <c r="D774" i="6"/>
  <c r="G774" i="6"/>
  <c r="H774" i="6" s="1"/>
  <c r="I774" i="6"/>
  <c r="S774" i="6"/>
  <c r="U774" i="6" a="1"/>
  <c r="U774" i="6" s="1"/>
  <c r="D773" i="6"/>
  <c r="G773" i="6"/>
  <c r="H773" i="6" s="1"/>
  <c r="I773" i="6"/>
  <c r="S773" i="6"/>
  <c r="V773" i="6"/>
  <c r="D772" i="6"/>
  <c r="G772" i="6"/>
  <c r="H772" i="6" s="1"/>
  <c r="I772" i="6"/>
  <c r="S772" i="6"/>
  <c r="V772" i="6"/>
  <c r="D771" i="6"/>
  <c r="G771" i="6"/>
  <c r="H771" i="6" s="1"/>
  <c r="I771" i="6"/>
  <c r="S771" i="6"/>
  <c r="U771" i="6" a="1"/>
  <c r="U771" i="6" s="1"/>
  <c r="V771" i="6"/>
  <c r="N767" i="6"/>
  <c r="M767" i="6" s="1"/>
  <c r="N769" i="6"/>
  <c r="M769" i="6" s="1"/>
  <c r="N765" i="6"/>
  <c r="F693" i="13"/>
  <c r="L693" i="13"/>
  <c r="N693" i="13" s="1"/>
  <c r="M693" i="13"/>
  <c r="R693" i="13" s="1"/>
  <c r="W693" i="13"/>
  <c r="X693" i="13"/>
  <c r="Y693" i="13"/>
  <c r="AO693" i="13"/>
  <c r="D770" i="6"/>
  <c r="G770" i="6"/>
  <c r="H770" i="6" s="1"/>
  <c r="I770" i="6"/>
  <c r="N770" i="6"/>
  <c r="S770" i="6"/>
  <c r="U770" i="6" a="1"/>
  <c r="U770" i="6" s="1"/>
  <c r="V770" i="6"/>
  <c r="D769" i="6"/>
  <c r="G769" i="6"/>
  <c r="H769" i="6" s="1"/>
  <c r="I769" i="6"/>
  <c r="S769" i="6"/>
  <c r="V769" i="6"/>
  <c r="D768" i="6"/>
  <c r="G768" i="6"/>
  <c r="H768" i="6" s="1"/>
  <c r="I768" i="6"/>
  <c r="N768" i="6"/>
  <c r="V768" i="6" s="1"/>
  <c r="S768" i="6"/>
  <c r="D767" i="6"/>
  <c r="G767" i="6"/>
  <c r="H767" i="6" s="1"/>
  <c r="I767" i="6"/>
  <c r="S767" i="6"/>
  <c r="U767" i="6" a="1"/>
  <c r="U767" i="6" s="1"/>
  <c r="V767" i="6"/>
  <c r="D766" i="6"/>
  <c r="G766" i="6"/>
  <c r="H766" i="6" s="1"/>
  <c r="I766" i="6"/>
  <c r="N766" i="6"/>
  <c r="S766" i="6"/>
  <c r="U766" i="6" a="1"/>
  <c r="U766" i="6" s="1"/>
  <c r="V766" i="6"/>
  <c r="D765" i="6"/>
  <c r="G765" i="6"/>
  <c r="H765" i="6" s="1"/>
  <c r="I765" i="6"/>
  <c r="S765" i="6"/>
  <c r="V765" i="6"/>
  <c r="D764" i="6"/>
  <c r="G764" i="6"/>
  <c r="H764" i="6" s="1"/>
  <c r="I764" i="6"/>
  <c r="N764" i="6"/>
  <c r="S764" i="6"/>
  <c r="V764" i="6"/>
  <c r="D762" i="6"/>
  <c r="D763" i="6"/>
  <c r="G762" i="6"/>
  <c r="H762" i="6" s="1"/>
  <c r="G763" i="6"/>
  <c r="H763" i="6" s="1"/>
  <c r="I762" i="6"/>
  <c r="I763" i="6"/>
  <c r="N763" i="6"/>
  <c r="M763" i="6" s="1"/>
  <c r="S762" i="6"/>
  <c r="S763" i="6"/>
  <c r="U762" i="6" a="1"/>
  <c r="U762" i="6" s="1"/>
  <c r="U763" i="6" a="1"/>
  <c r="U763" i="6" s="1"/>
  <c r="V763" i="6"/>
  <c r="N759" i="6"/>
  <c r="M759" i="6" s="1"/>
  <c r="N761" i="6"/>
  <c r="D761" i="6"/>
  <c r="G761" i="6"/>
  <c r="H761" i="6" s="1"/>
  <c r="I761" i="6"/>
  <c r="S761" i="6"/>
  <c r="V761" i="6"/>
  <c r="D760" i="6"/>
  <c r="G760" i="6"/>
  <c r="H760" i="6" s="1"/>
  <c r="I760" i="6"/>
  <c r="S760" i="6"/>
  <c r="V760" i="6"/>
  <c r="D759" i="6"/>
  <c r="G759" i="6"/>
  <c r="H759" i="6" s="1"/>
  <c r="I759" i="6"/>
  <c r="S759" i="6"/>
  <c r="V759" i="6"/>
  <c r="N755" i="6"/>
  <c r="D755" i="6"/>
  <c r="G755" i="6"/>
  <c r="H755" i="6" s="1"/>
  <c r="I755" i="6"/>
  <c r="S755" i="6"/>
  <c r="U755" i="6" a="1"/>
  <c r="U755" i="6" s="1"/>
  <c r="V755" i="6"/>
  <c r="N751" i="6"/>
  <c r="M751" i="6" s="1"/>
  <c r="N753" i="6"/>
  <c r="M753" i="6" s="1"/>
  <c r="N758" i="6"/>
  <c r="O1488" i="6" s="1"/>
  <c r="N750" i="6"/>
  <c r="M750" i="6" s="1"/>
  <c r="D758" i="6"/>
  <c r="G758" i="6"/>
  <c r="H758" i="6" s="1"/>
  <c r="I758" i="6"/>
  <c r="S758" i="6"/>
  <c r="U758" i="6" a="1"/>
  <c r="U758" i="6" s="1"/>
  <c r="V758" i="6"/>
  <c r="D757" i="6"/>
  <c r="G757" i="6"/>
  <c r="H757" i="6" s="1"/>
  <c r="I757" i="6"/>
  <c r="N757" i="6"/>
  <c r="M757" i="6" s="1"/>
  <c r="S757" i="6"/>
  <c r="U757" i="6" a="1"/>
  <c r="U757" i="6" s="1"/>
  <c r="D756" i="6"/>
  <c r="G756" i="6"/>
  <c r="H756" i="6" s="1"/>
  <c r="I756" i="6"/>
  <c r="N756" i="6"/>
  <c r="M756" i="6" s="1"/>
  <c r="S756" i="6"/>
  <c r="U756" i="6" a="1"/>
  <c r="U756" i="6" s="1"/>
  <c r="V756" i="6"/>
  <c r="D754" i="6"/>
  <c r="G754" i="6"/>
  <c r="H754" i="6" s="1"/>
  <c r="I754" i="6"/>
  <c r="S754" i="6"/>
  <c r="V754" i="6"/>
  <c r="D753" i="6"/>
  <c r="G753" i="6"/>
  <c r="H753" i="6" s="1"/>
  <c r="I753" i="6"/>
  <c r="S753" i="6"/>
  <c r="V753" i="6"/>
  <c r="D752" i="6"/>
  <c r="G752" i="6"/>
  <c r="H752" i="6" s="1"/>
  <c r="I752" i="6"/>
  <c r="N752" i="6"/>
  <c r="M752" i="6" s="1"/>
  <c r="S752" i="6"/>
  <c r="U752" i="6" a="1"/>
  <c r="U752" i="6" s="1"/>
  <c r="V752" i="6"/>
  <c r="D751" i="6"/>
  <c r="G751" i="6"/>
  <c r="H751" i="6" s="1"/>
  <c r="I751" i="6"/>
  <c r="S751" i="6"/>
  <c r="V751" i="6"/>
  <c r="D750" i="6"/>
  <c r="G750" i="6"/>
  <c r="H750" i="6" s="1"/>
  <c r="I750" i="6"/>
  <c r="S750" i="6"/>
  <c r="W1440" i="6" l="1"/>
  <c r="W1488" i="6"/>
  <c r="V750" i="6"/>
  <c r="O1394" i="6"/>
  <c r="O1440" i="6"/>
  <c r="R1722" i="16"/>
  <c r="T1722" i="16"/>
  <c r="W1332" i="6"/>
  <c r="W1394" i="6"/>
  <c r="O1288" i="6"/>
  <c r="O1332" i="6"/>
  <c r="W1266" i="6"/>
  <c r="W1288" i="6"/>
  <c r="O1177" i="6"/>
  <c r="O1266" i="6"/>
  <c r="W1085" i="6"/>
  <c r="W1177" i="6"/>
  <c r="O959" i="6"/>
  <c r="O1085" i="6"/>
  <c r="V757" i="6"/>
  <c r="W877" i="6"/>
  <c r="W959" i="6"/>
  <c r="O819" i="6"/>
  <c r="O877" i="6"/>
  <c r="M779" i="6"/>
  <c r="V779" i="6"/>
  <c r="W758" i="6"/>
  <c r="W819" i="6"/>
  <c r="V693" i="13"/>
  <c r="Z693" i="13" s="1"/>
  <c r="W781" i="6"/>
  <c r="W780" i="6"/>
  <c r="W782" i="6"/>
  <c r="M770" i="6"/>
  <c r="O782" i="6"/>
  <c r="O781" i="6"/>
  <c r="O780" i="6"/>
  <c r="M775" i="6"/>
  <c r="N772" i="6"/>
  <c r="M772" i="6" s="1"/>
  <c r="M774" i="6"/>
  <c r="M773" i="6"/>
  <c r="M771" i="6"/>
  <c r="W770" i="6"/>
  <c r="E693" i="13"/>
  <c r="G693" i="13" s="1"/>
  <c r="AM693" i="13" a="1"/>
  <c r="AM693" i="13" s="1"/>
  <c r="P693" i="13"/>
  <c r="O770" i="6"/>
  <c r="T693" i="13"/>
  <c r="Q693" i="13"/>
  <c r="AR693" i="13"/>
  <c r="O693" i="13"/>
  <c r="M768" i="6"/>
  <c r="M766" i="6"/>
  <c r="M765" i="6"/>
  <c r="M764" i="6"/>
  <c r="N762" i="6"/>
  <c r="N760" i="6"/>
  <c r="M760" i="6" s="1"/>
  <c r="M761" i="6"/>
  <c r="M755" i="6"/>
  <c r="M758" i="6"/>
  <c r="O758" i="6"/>
  <c r="N754" i="6"/>
  <c r="M754" i="6" s="1"/>
  <c r="R1729" i="16" l="1"/>
  <c r="T1729" i="16"/>
  <c r="R770" i="6"/>
  <c r="M762" i="6"/>
  <c r="V762" i="6"/>
  <c r="S693" i="13"/>
  <c r="AA693" i="13" s="1"/>
  <c r="AK693" i="13" s="1"/>
  <c r="H693" i="13"/>
  <c r="AQ693" i="13"/>
  <c r="R758" i="6"/>
  <c r="T1798" i="16" l="1"/>
  <c r="R1798" i="16"/>
  <c r="AB693" i="13"/>
  <c r="AP693" i="13"/>
  <c r="AS693" i="13"/>
  <c r="AT693" i="13" s="1"/>
  <c r="AJ693" i="13"/>
  <c r="E598" i="13"/>
  <c r="F598" i="13"/>
  <c r="L598" i="13"/>
  <c r="N598" i="13" s="1"/>
  <c r="M598" i="13"/>
  <c r="R598" i="13" s="1"/>
  <c r="V598" i="13"/>
  <c r="W598" i="13"/>
  <c r="X598" i="13"/>
  <c r="Y598" i="13"/>
  <c r="AO598" i="13"/>
  <c r="N749" i="6"/>
  <c r="D749" i="6"/>
  <c r="G749" i="6"/>
  <c r="H749" i="6" s="1"/>
  <c r="I749" i="6"/>
  <c r="S749" i="6"/>
  <c r="V749" i="6"/>
  <c r="T1808" i="16" l="1"/>
  <c r="R1808" i="16"/>
  <c r="AM598" i="13" a="1"/>
  <c r="AM598" i="13" s="1"/>
  <c r="G598" i="13"/>
  <c r="AQ598" i="13" s="1"/>
  <c r="P598" i="13"/>
  <c r="T598" i="13"/>
  <c r="H598" i="13"/>
  <c r="Z598" i="13"/>
  <c r="Q598" i="13"/>
  <c r="AR598" i="13"/>
  <c r="S598" i="13"/>
  <c r="O598" i="13"/>
  <c r="M749" i="6"/>
  <c r="T1816" i="16" l="1"/>
  <c r="R1816" i="16"/>
  <c r="AA598" i="13"/>
  <c r="AB598" i="13" s="1"/>
  <c r="N746" i="6"/>
  <c r="N745" i="6"/>
  <c r="D745" i="6"/>
  <c r="G745" i="6"/>
  <c r="H745" i="6" s="1"/>
  <c r="I745" i="6"/>
  <c r="S745" i="6"/>
  <c r="V745" i="6"/>
  <c r="D746" i="6"/>
  <c r="G746" i="6"/>
  <c r="H746" i="6" s="1"/>
  <c r="I746" i="6"/>
  <c r="S746" i="6"/>
  <c r="V746" i="6"/>
  <c r="N748" i="6"/>
  <c r="M748" i="6" s="1"/>
  <c r="N747" i="6"/>
  <c r="D747" i="6"/>
  <c r="D748" i="6"/>
  <c r="G747" i="6"/>
  <c r="H747" i="6" s="1"/>
  <c r="G748" i="6"/>
  <c r="H748" i="6" s="1"/>
  <c r="I747" i="6"/>
  <c r="I748" i="6"/>
  <c r="S747" i="6"/>
  <c r="S748" i="6"/>
  <c r="U747" i="6" a="1"/>
  <c r="U747" i="6" s="1"/>
  <c r="U748" i="6" a="1"/>
  <c r="U748" i="6" s="1"/>
  <c r="V747" i="6"/>
  <c r="V748" i="6"/>
  <c r="N744" i="6"/>
  <c r="N743" i="6"/>
  <c r="M743" i="6" s="1"/>
  <c r="D744" i="6"/>
  <c r="G744" i="6"/>
  <c r="H744" i="6" s="1"/>
  <c r="I744" i="6"/>
  <c r="S744" i="6"/>
  <c r="V744" i="6"/>
  <c r="D743" i="6"/>
  <c r="G743" i="6"/>
  <c r="H743" i="6" s="1"/>
  <c r="I743" i="6"/>
  <c r="S743" i="6"/>
  <c r="V743" i="6"/>
  <c r="N742" i="6"/>
  <c r="D742" i="6"/>
  <c r="G742" i="6"/>
  <c r="H742" i="6" s="1"/>
  <c r="I742" i="6"/>
  <c r="S742" i="6"/>
  <c r="U742" i="6" a="1"/>
  <c r="U742" i="6" s="1"/>
  <c r="V742" i="6"/>
  <c r="F596" i="13"/>
  <c r="F597" i="13"/>
  <c r="L596" i="13"/>
  <c r="O596" i="13" s="1"/>
  <c r="L597" i="13"/>
  <c r="AM597" i="13" s="1" a="1"/>
  <c r="AM597" i="13" s="1"/>
  <c r="M596" i="13"/>
  <c r="P596" i="13" s="1"/>
  <c r="M597" i="13"/>
  <c r="R597" i="13" s="1"/>
  <c r="W596" i="13"/>
  <c r="W597" i="13"/>
  <c r="X596" i="13"/>
  <c r="X597" i="13"/>
  <c r="Y596" i="13"/>
  <c r="Y597" i="13"/>
  <c r="AO596" i="13"/>
  <c r="AO597" i="13"/>
  <c r="T1817" i="16" l="1"/>
  <c r="R1817" i="16"/>
  <c r="AS598" i="13"/>
  <c r="AT598" i="13" s="1"/>
  <c r="AK598" i="13"/>
  <c r="AP598" i="13"/>
  <c r="AJ598" i="13"/>
  <c r="M745" i="6"/>
  <c r="M746" i="6"/>
  <c r="M747" i="6"/>
  <c r="R596" i="13"/>
  <c r="M744" i="6"/>
  <c r="M742" i="6"/>
  <c r="N596" i="13"/>
  <c r="AM596" i="13" a="1"/>
  <c r="AM596" i="13" s="1"/>
  <c r="T597" i="13"/>
  <c r="P597" i="13"/>
  <c r="T596" i="13"/>
  <c r="O597" i="13"/>
  <c r="N597" i="13"/>
  <c r="AR596" i="13" l="1"/>
  <c r="Q596" i="13"/>
  <c r="Q597" i="13"/>
  <c r="AR597" i="13"/>
  <c r="D741" i="6"/>
  <c r="G741" i="6"/>
  <c r="H741" i="6" s="1"/>
  <c r="I741" i="6"/>
  <c r="N741" i="6"/>
  <c r="O1309" i="6" s="1"/>
  <c r="R1309" i="6" s="1"/>
  <c r="S741" i="6"/>
  <c r="U741" i="6" a="1"/>
  <c r="U741" i="6" s="1"/>
  <c r="V741" i="6"/>
  <c r="W1309" i="6" s="1"/>
  <c r="D740" i="6"/>
  <c r="G740" i="6"/>
  <c r="H740" i="6" s="1"/>
  <c r="I740" i="6"/>
  <c r="N740" i="6"/>
  <c r="S740" i="6"/>
  <c r="U740" i="6" a="1"/>
  <c r="U740" i="6" s="1"/>
  <c r="V740" i="6"/>
  <c r="N739" i="6"/>
  <c r="D739" i="6"/>
  <c r="G739" i="6"/>
  <c r="H739" i="6" s="1"/>
  <c r="I739" i="6"/>
  <c r="S739" i="6"/>
  <c r="V739" i="6"/>
  <c r="D738" i="6"/>
  <c r="G738" i="6"/>
  <c r="H738" i="6" s="1"/>
  <c r="I738" i="6"/>
  <c r="N738" i="6"/>
  <c r="M738" i="6" s="1"/>
  <c r="S738" i="6"/>
  <c r="V738" i="6"/>
  <c r="D737" i="6"/>
  <c r="G737" i="6"/>
  <c r="H737" i="6" s="1"/>
  <c r="I737" i="6"/>
  <c r="N737" i="6"/>
  <c r="M737" i="6" s="1"/>
  <c r="S737" i="6"/>
  <c r="U737" i="6" a="1"/>
  <c r="U737" i="6" s="1"/>
  <c r="V737" i="6"/>
  <c r="D736" i="6"/>
  <c r="G736" i="6"/>
  <c r="H736" i="6" s="1"/>
  <c r="I736" i="6"/>
  <c r="N736" i="6"/>
  <c r="M736" i="6" s="1"/>
  <c r="S736" i="6"/>
  <c r="U736" i="6" a="1"/>
  <c r="U736" i="6" s="1"/>
  <c r="V736" i="6"/>
  <c r="N735" i="6"/>
  <c r="D735" i="6"/>
  <c r="G735" i="6"/>
  <c r="H735" i="6" s="1"/>
  <c r="I735" i="6"/>
  <c r="S735" i="6"/>
  <c r="U735" i="6" a="1"/>
  <c r="U735" i="6" s="1"/>
  <c r="V735" i="6"/>
  <c r="N733" i="6"/>
  <c r="D734" i="6"/>
  <c r="G734" i="6"/>
  <c r="H734" i="6" s="1"/>
  <c r="I734" i="6"/>
  <c r="N734" i="6"/>
  <c r="S734" i="6"/>
  <c r="U734" i="6" a="1"/>
  <c r="U734" i="6" s="1"/>
  <c r="V734" i="6"/>
  <c r="D733" i="6"/>
  <c r="G733" i="6"/>
  <c r="H733" i="6" s="1"/>
  <c r="I733" i="6"/>
  <c r="S733" i="6"/>
  <c r="U733" i="6" a="1"/>
  <c r="U733" i="6" s="1"/>
  <c r="V733" i="6"/>
  <c r="W1117" i="6" s="1"/>
  <c r="D732" i="6"/>
  <c r="G732" i="6"/>
  <c r="H732" i="6" s="1"/>
  <c r="I732" i="6"/>
  <c r="N732" i="6"/>
  <c r="S732" i="6"/>
  <c r="U732" i="6" a="1"/>
  <c r="U732" i="6" s="1"/>
  <c r="V732" i="6"/>
  <c r="D731" i="6"/>
  <c r="G731" i="6"/>
  <c r="H731" i="6" s="1"/>
  <c r="I731" i="6"/>
  <c r="N731" i="6"/>
  <c r="M731" i="6" s="1"/>
  <c r="S731" i="6"/>
  <c r="U731" i="6" a="1"/>
  <c r="U731" i="6" s="1"/>
  <c r="V731" i="6"/>
  <c r="O1263" i="6" l="1"/>
  <c r="O1264" i="6"/>
  <c r="W1263" i="6"/>
  <c r="W1264" i="6"/>
  <c r="O1204" i="6"/>
  <c r="O1222" i="6"/>
  <c r="R1222" i="6" s="1"/>
  <c r="W1204" i="6"/>
  <c r="W1222" i="6"/>
  <c r="O1172" i="6"/>
  <c r="O1184" i="6"/>
  <c r="O1185" i="6"/>
  <c r="W1172" i="6"/>
  <c r="W1184" i="6"/>
  <c r="W1185" i="6"/>
  <c r="O1162" i="6"/>
  <c r="O1160" i="6"/>
  <c r="O1161" i="6"/>
  <c r="W1162" i="6"/>
  <c r="W1160" i="6"/>
  <c r="W1161" i="6"/>
  <c r="O1142" i="6"/>
  <c r="O1145" i="6"/>
  <c r="W1142" i="6"/>
  <c r="W1145" i="6"/>
  <c r="O733" i="6"/>
  <c r="O1114" i="6"/>
  <c r="O1117" i="6"/>
  <c r="W733" i="6"/>
  <c r="W1114" i="6"/>
  <c r="O1042" i="6"/>
  <c r="O1096" i="6"/>
  <c r="O1095" i="6"/>
  <c r="W1042" i="6"/>
  <c r="W1096" i="6"/>
  <c r="W1095" i="6"/>
  <c r="O740" i="6"/>
  <c r="O899" i="6"/>
  <c r="O903" i="6"/>
  <c r="R903" i="6" s="1"/>
  <c r="V596" i="13"/>
  <c r="Z596" i="13" s="1"/>
  <c r="W903" i="6"/>
  <c r="W899" i="6"/>
  <c r="W846" i="6"/>
  <c r="W867" i="6"/>
  <c r="O846" i="6"/>
  <c r="O867" i="6"/>
  <c r="V597" i="13"/>
  <c r="Z597" i="13" s="1"/>
  <c r="W763" i="6"/>
  <c r="O741" i="6"/>
  <c r="O763" i="6"/>
  <c r="W741" i="6"/>
  <c r="M741" i="6"/>
  <c r="E597" i="13"/>
  <c r="M740" i="6"/>
  <c r="E596" i="13"/>
  <c r="W740" i="6"/>
  <c r="M739" i="6"/>
  <c r="M735" i="6"/>
  <c r="M734" i="6"/>
  <c r="M733" i="6"/>
  <c r="M732" i="6"/>
  <c r="R733" i="6" l="1"/>
  <c r="R740" i="6"/>
  <c r="R741" i="6"/>
  <c r="H597" i="13"/>
  <c r="G597" i="13"/>
  <c r="S597" i="13"/>
  <c r="AA597" i="13" s="1"/>
  <c r="AB597" i="13" s="1"/>
  <c r="H596" i="13"/>
  <c r="S596" i="13"/>
  <c r="AA596" i="13" s="1"/>
  <c r="AB596" i="13" s="1"/>
  <c r="G596" i="13"/>
  <c r="E595" i="13"/>
  <c r="F595" i="13"/>
  <c r="L595" i="13"/>
  <c r="N595" i="13" s="1"/>
  <c r="M595" i="13"/>
  <c r="R595" i="13" s="1"/>
  <c r="V595" i="13"/>
  <c r="W595" i="13"/>
  <c r="X595" i="13"/>
  <c r="Y595" i="13"/>
  <c r="AO595" i="13"/>
  <c r="D730" i="6"/>
  <c r="G730" i="6"/>
  <c r="H730" i="6" s="1"/>
  <c r="I730" i="6"/>
  <c r="N730" i="6"/>
  <c r="M730" i="6" s="1"/>
  <c r="S730" i="6"/>
  <c r="U730" i="6" a="1"/>
  <c r="U730" i="6" s="1"/>
  <c r="V730" i="6"/>
  <c r="N728" i="6"/>
  <c r="N729" i="6"/>
  <c r="D729" i="6"/>
  <c r="G729" i="6"/>
  <c r="H729" i="6" s="1"/>
  <c r="I729" i="6"/>
  <c r="S729" i="6"/>
  <c r="U729" i="6" a="1"/>
  <c r="U729" i="6" s="1"/>
  <c r="V729" i="6"/>
  <c r="D728" i="6"/>
  <c r="G728" i="6"/>
  <c r="H728" i="6" s="1"/>
  <c r="I728" i="6"/>
  <c r="S728" i="6"/>
  <c r="U728" i="6" a="1"/>
  <c r="U728" i="6" s="1"/>
  <c r="V728" i="6"/>
  <c r="N725" i="6"/>
  <c r="V725" i="6" s="1"/>
  <c r="D725" i="6"/>
  <c r="G725" i="6"/>
  <c r="H725" i="6" s="1"/>
  <c r="I725" i="6"/>
  <c r="S725" i="6"/>
  <c r="U725" i="6" a="1"/>
  <c r="U725" i="6" s="1"/>
  <c r="D727" i="6"/>
  <c r="G727" i="6"/>
  <c r="H727" i="6" s="1"/>
  <c r="I727" i="6"/>
  <c r="N727" i="6"/>
  <c r="M727" i="6" s="1"/>
  <c r="S727" i="6"/>
  <c r="V727" i="6"/>
  <c r="D726" i="6"/>
  <c r="G726" i="6"/>
  <c r="H726" i="6" s="1"/>
  <c r="I726" i="6"/>
  <c r="N726" i="6"/>
  <c r="S726" i="6"/>
  <c r="U726" i="6" a="1"/>
  <c r="U726" i="6" s="1"/>
  <c r="V726" i="6"/>
  <c r="D724" i="6"/>
  <c r="G724" i="6"/>
  <c r="H724" i="6" s="1"/>
  <c r="I724" i="6"/>
  <c r="S724" i="6"/>
  <c r="V724" i="6"/>
  <c r="N722" i="6"/>
  <c r="D723" i="6"/>
  <c r="G723" i="6"/>
  <c r="H723" i="6" s="1"/>
  <c r="I723" i="6"/>
  <c r="N723" i="6"/>
  <c r="S723" i="6"/>
  <c r="V723" i="6"/>
  <c r="D722" i="6"/>
  <c r="G722" i="6"/>
  <c r="H722" i="6" s="1"/>
  <c r="I722" i="6"/>
  <c r="S722" i="6"/>
  <c r="V722" i="6"/>
  <c r="N721" i="6"/>
  <c r="F594" i="13"/>
  <c r="L594" i="13"/>
  <c r="N594" i="13" s="1"/>
  <c r="M594" i="13"/>
  <c r="R594" i="13" s="1"/>
  <c r="W594" i="13"/>
  <c r="X594" i="13"/>
  <c r="Y594" i="13"/>
  <c r="AO594" i="13"/>
  <c r="D721" i="6"/>
  <c r="G721" i="6"/>
  <c r="H721" i="6" s="1"/>
  <c r="I721" i="6"/>
  <c r="S721" i="6"/>
  <c r="V721" i="6"/>
  <c r="D720" i="6"/>
  <c r="G720" i="6"/>
  <c r="H720" i="6" s="1"/>
  <c r="I720" i="6"/>
  <c r="N720" i="6"/>
  <c r="M720" i="6" s="1"/>
  <c r="S720" i="6"/>
  <c r="V720" i="6"/>
  <c r="D719" i="6"/>
  <c r="G719" i="6"/>
  <c r="H719" i="6" s="1"/>
  <c r="I719" i="6"/>
  <c r="N719" i="6"/>
  <c r="M719" i="6" s="1"/>
  <c r="S719" i="6"/>
  <c r="U719" i="6" a="1"/>
  <c r="U719" i="6" s="1"/>
  <c r="D718" i="6"/>
  <c r="G718" i="6"/>
  <c r="H718" i="6" s="1"/>
  <c r="I718" i="6"/>
  <c r="N718" i="6"/>
  <c r="S718" i="6"/>
  <c r="U718" i="6" a="1"/>
  <c r="U718" i="6" s="1"/>
  <c r="N717" i="6"/>
  <c r="D717" i="6"/>
  <c r="G717" i="6"/>
  <c r="H717" i="6" s="1"/>
  <c r="I717" i="6"/>
  <c r="S717" i="6"/>
  <c r="V717" i="6"/>
  <c r="D716" i="6"/>
  <c r="G716" i="6"/>
  <c r="H716" i="6" s="1"/>
  <c r="I716" i="6"/>
  <c r="N716" i="6"/>
  <c r="M716" i="6" s="1"/>
  <c r="S716" i="6"/>
  <c r="V716" i="6"/>
  <c r="M718" i="6" l="1"/>
  <c r="O898" i="6"/>
  <c r="O901" i="6"/>
  <c r="R901" i="6" s="1"/>
  <c r="AQ597" i="13"/>
  <c r="AK597" i="13"/>
  <c r="AP597" i="13"/>
  <c r="AS597" i="13"/>
  <c r="AT597" i="13" s="1"/>
  <c r="AJ597" i="13"/>
  <c r="AQ596" i="13"/>
  <c r="AJ596" i="13"/>
  <c r="AP596" i="13"/>
  <c r="AS596" i="13"/>
  <c r="AT596" i="13" s="1"/>
  <c r="AK596" i="13"/>
  <c r="V719" i="6"/>
  <c r="V718" i="6"/>
  <c r="M726" i="6"/>
  <c r="G595" i="13"/>
  <c r="AQ595" i="13" s="1"/>
  <c r="AM595" i="13" a="1"/>
  <c r="AM595" i="13" s="1"/>
  <c r="P595" i="13"/>
  <c r="Z595" i="13"/>
  <c r="T595" i="13"/>
  <c r="H595" i="13"/>
  <c r="Q595" i="13"/>
  <c r="AR595" i="13"/>
  <c r="S595" i="13"/>
  <c r="O595" i="13"/>
  <c r="M729" i="6"/>
  <c r="M728" i="6"/>
  <c r="M725" i="6"/>
  <c r="N724" i="6"/>
  <c r="M724" i="6" s="1"/>
  <c r="M723" i="6"/>
  <c r="M722" i="6"/>
  <c r="AM594" i="13" a="1"/>
  <c r="AM594" i="13" s="1"/>
  <c r="O719" i="6"/>
  <c r="O718" i="6"/>
  <c r="E594" i="13"/>
  <c r="S594" i="13" s="1"/>
  <c r="T594" i="13"/>
  <c r="P594" i="13"/>
  <c r="Q594" i="13"/>
  <c r="AR594" i="13"/>
  <c r="O594" i="13"/>
  <c r="M721" i="6"/>
  <c r="M717" i="6"/>
  <c r="D715" i="6"/>
  <c r="G715" i="6"/>
  <c r="H715" i="6" s="1"/>
  <c r="I715" i="6"/>
  <c r="N715" i="6"/>
  <c r="S715" i="6"/>
  <c r="U715" i="6" a="1"/>
  <c r="U715" i="6" s="1"/>
  <c r="V715" i="6"/>
  <c r="N714" i="6"/>
  <c r="M714" i="6" s="1"/>
  <c r="D714" i="6"/>
  <c r="G714" i="6"/>
  <c r="H714" i="6" s="1"/>
  <c r="I714" i="6"/>
  <c r="S714" i="6"/>
  <c r="N713" i="6"/>
  <c r="V713" i="6" s="1"/>
  <c r="D713" i="6"/>
  <c r="G713" i="6"/>
  <c r="H713" i="6" s="1"/>
  <c r="I713" i="6"/>
  <c r="S713" i="6"/>
  <c r="D712" i="6"/>
  <c r="G712" i="6"/>
  <c r="H712" i="6" s="1"/>
  <c r="I712" i="6"/>
  <c r="N712" i="6"/>
  <c r="S712" i="6"/>
  <c r="U712" i="6" a="1"/>
  <c r="U712" i="6" s="1"/>
  <c r="V712" i="6"/>
  <c r="D711" i="6"/>
  <c r="G711" i="6"/>
  <c r="H711" i="6" s="1"/>
  <c r="I711" i="6"/>
  <c r="S711" i="6"/>
  <c r="U711" i="6" a="1"/>
  <c r="U711" i="6" s="1"/>
  <c r="V711" i="6"/>
  <c r="N709" i="6"/>
  <c r="N710" i="6"/>
  <c r="D710" i="6"/>
  <c r="G710" i="6"/>
  <c r="H710" i="6" s="1"/>
  <c r="I710" i="6"/>
  <c r="S710" i="6"/>
  <c r="V710" i="6"/>
  <c r="D709" i="6"/>
  <c r="G709" i="6"/>
  <c r="H709" i="6" s="1"/>
  <c r="I709" i="6"/>
  <c r="S709" i="6"/>
  <c r="V709" i="6"/>
  <c r="N707" i="6"/>
  <c r="N708" i="6"/>
  <c r="D708" i="6"/>
  <c r="G708" i="6"/>
  <c r="H708" i="6" s="1"/>
  <c r="I708" i="6"/>
  <c r="S708" i="6"/>
  <c r="U708" i="6" a="1"/>
  <c r="U708" i="6" s="1"/>
  <c r="V708" i="6"/>
  <c r="D707" i="6"/>
  <c r="G707" i="6"/>
  <c r="H707" i="6" s="1"/>
  <c r="I707" i="6"/>
  <c r="S707" i="6"/>
  <c r="V707" i="6"/>
  <c r="N703" i="6"/>
  <c r="M703" i="6" s="1"/>
  <c r="N704" i="6"/>
  <c r="M704" i="6" s="1"/>
  <c r="N705" i="6"/>
  <c r="N706" i="6"/>
  <c r="V706" i="6" s="1"/>
  <c r="D706" i="6"/>
  <c r="G706" i="6"/>
  <c r="H706" i="6" s="1"/>
  <c r="I706" i="6"/>
  <c r="S706" i="6"/>
  <c r="D705" i="6"/>
  <c r="G705" i="6"/>
  <c r="H705" i="6" s="1"/>
  <c r="I705" i="6"/>
  <c r="S705" i="6"/>
  <c r="V705" i="6"/>
  <c r="D704" i="6"/>
  <c r="G704" i="6"/>
  <c r="H704" i="6" s="1"/>
  <c r="I704" i="6"/>
  <c r="S704" i="6"/>
  <c r="V704" i="6"/>
  <c r="D703" i="6"/>
  <c r="G703" i="6"/>
  <c r="H703" i="6" s="1"/>
  <c r="I703" i="6"/>
  <c r="S703" i="6"/>
  <c r="V703" i="6"/>
  <c r="R718" i="6" l="1"/>
  <c r="V714" i="6"/>
  <c r="W718" i="6"/>
  <c r="W901" i="6"/>
  <c r="W898" i="6"/>
  <c r="W719" i="6"/>
  <c r="V594" i="13"/>
  <c r="Z594" i="13" s="1"/>
  <c r="AA595" i="13"/>
  <c r="AK595" i="13" s="1"/>
  <c r="AA594" i="13"/>
  <c r="AP594" i="13" s="1"/>
  <c r="G594" i="13"/>
  <c r="H594" i="13"/>
  <c r="M715" i="6"/>
  <c r="N711" i="6"/>
  <c r="M711" i="6" s="1"/>
  <c r="M713" i="6"/>
  <c r="M712" i="6"/>
  <c r="M710" i="6"/>
  <c r="M709" i="6"/>
  <c r="M708" i="6"/>
  <c r="M707" i="6"/>
  <c r="M705" i="6"/>
  <c r="M706" i="6"/>
  <c r="F593" i="13"/>
  <c r="L593" i="13"/>
  <c r="M593" i="13"/>
  <c r="W593" i="13"/>
  <c r="X593" i="13"/>
  <c r="Y593" i="13"/>
  <c r="AO593" i="13"/>
  <c r="D702" i="6"/>
  <c r="G702" i="6"/>
  <c r="H702" i="6" s="1"/>
  <c r="I702" i="6"/>
  <c r="S702" i="6"/>
  <c r="U702" i="6" a="1"/>
  <c r="U702" i="6" s="1"/>
  <c r="V702" i="6"/>
  <c r="D701" i="6"/>
  <c r="G701" i="6"/>
  <c r="H701" i="6" s="1"/>
  <c r="I701" i="6"/>
  <c r="S701" i="6"/>
  <c r="U701" i="6" a="1"/>
  <c r="U701" i="6" s="1"/>
  <c r="V701" i="6"/>
  <c r="F592" i="13"/>
  <c r="K592" i="13" s="1"/>
  <c r="L592" i="13"/>
  <c r="N592" i="13" s="1"/>
  <c r="M592" i="13"/>
  <c r="R592" i="13" s="1"/>
  <c r="W592" i="13"/>
  <c r="X592" i="13"/>
  <c r="Y592" i="13"/>
  <c r="AO592" i="13"/>
  <c r="N700" i="6"/>
  <c r="O809" i="6" s="1"/>
  <c r="N697" i="6"/>
  <c r="D700" i="6"/>
  <c r="G700" i="6"/>
  <c r="H700" i="6" s="1"/>
  <c r="I700" i="6"/>
  <c r="S700" i="6"/>
  <c r="U700" i="6" a="1"/>
  <c r="U700" i="6" s="1"/>
  <c r="D699" i="6"/>
  <c r="G699" i="6"/>
  <c r="H699" i="6" s="1"/>
  <c r="I699" i="6"/>
  <c r="N699" i="6"/>
  <c r="M699" i="6" s="1"/>
  <c r="S699" i="6"/>
  <c r="U699" i="6" a="1"/>
  <c r="U699" i="6" s="1"/>
  <c r="D698" i="6"/>
  <c r="G698" i="6"/>
  <c r="H698" i="6" s="1"/>
  <c r="I698" i="6"/>
  <c r="S698" i="6"/>
  <c r="V698" i="6"/>
  <c r="D697" i="6"/>
  <c r="G697" i="6"/>
  <c r="H697" i="6" s="1"/>
  <c r="I697" i="6"/>
  <c r="S697" i="6"/>
  <c r="V697" i="6"/>
  <c r="N695" i="6"/>
  <c r="D696" i="6"/>
  <c r="G696" i="6"/>
  <c r="H696" i="6" s="1"/>
  <c r="I696" i="6"/>
  <c r="N696" i="6"/>
  <c r="S696" i="6"/>
  <c r="U696" i="6" a="1"/>
  <c r="U696" i="6" s="1"/>
  <c r="V696" i="6"/>
  <c r="D695" i="6"/>
  <c r="G695" i="6"/>
  <c r="H695" i="6" s="1"/>
  <c r="I695" i="6"/>
  <c r="S695" i="6"/>
  <c r="V695" i="6"/>
  <c r="D693" i="6"/>
  <c r="G693" i="6"/>
  <c r="H693" i="6" s="1"/>
  <c r="I693" i="6"/>
  <c r="N693" i="6"/>
  <c r="V693" i="6" s="1"/>
  <c r="S693" i="6"/>
  <c r="U693" i="6" a="1"/>
  <c r="U693" i="6" s="1"/>
  <c r="D692" i="6"/>
  <c r="G692" i="6"/>
  <c r="H692" i="6" s="1"/>
  <c r="I692" i="6"/>
  <c r="N692" i="6"/>
  <c r="S692" i="6"/>
  <c r="U692" i="6" a="1"/>
  <c r="U692" i="6" s="1"/>
  <c r="V692" i="6"/>
  <c r="D694" i="6"/>
  <c r="G694" i="6"/>
  <c r="H694" i="6" s="1"/>
  <c r="I694" i="6"/>
  <c r="N694" i="6"/>
  <c r="S694" i="6"/>
  <c r="U694" i="6" a="1"/>
  <c r="U694" i="6" s="1"/>
  <c r="V694" i="6"/>
  <c r="D691" i="6"/>
  <c r="G691" i="6"/>
  <c r="H691" i="6" s="1"/>
  <c r="I691" i="6"/>
  <c r="N691" i="6"/>
  <c r="S691" i="6"/>
  <c r="U691" i="6" a="1"/>
  <c r="U691" i="6" s="1"/>
  <c r="V691" i="6"/>
  <c r="E591" i="13"/>
  <c r="G591" i="13" s="1"/>
  <c r="F590" i="13"/>
  <c r="F591" i="13"/>
  <c r="I591" i="13" s="1"/>
  <c r="L590" i="13"/>
  <c r="AM590" i="13" s="1" a="1"/>
  <c r="AM590" i="13" s="1"/>
  <c r="L591" i="13"/>
  <c r="M590" i="13"/>
  <c r="R590" i="13" s="1"/>
  <c r="M591" i="13"/>
  <c r="P591" i="13" s="1"/>
  <c r="V591" i="13"/>
  <c r="W590" i="13"/>
  <c r="W591" i="13"/>
  <c r="X590" i="13"/>
  <c r="X591" i="13"/>
  <c r="Y590" i="13"/>
  <c r="Y591" i="13"/>
  <c r="AO590" i="13"/>
  <c r="AO591" i="13"/>
  <c r="D690" i="6"/>
  <c r="G690" i="6"/>
  <c r="H690" i="6" s="1"/>
  <c r="I690" i="6"/>
  <c r="N690" i="6"/>
  <c r="S690" i="6"/>
  <c r="V690" i="6"/>
  <c r="D689" i="6"/>
  <c r="G689" i="6"/>
  <c r="H689" i="6" s="1"/>
  <c r="I689" i="6"/>
  <c r="S689" i="6"/>
  <c r="U689" i="6" a="1"/>
  <c r="U689" i="6" s="1"/>
  <c r="D688" i="6"/>
  <c r="G688" i="6"/>
  <c r="H688" i="6" s="1"/>
  <c r="I688" i="6"/>
  <c r="S688" i="6"/>
  <c r="U688" i="6" a="1"/>
  <c r="U688" i="6" s="1"/>
  <c r="V688" i="6"/>
  <c r="D687" i="6"/>
  <c r="G687" i="6"/>
  <c r="H687" i="6" s="1"/>
  <c r="I687" i="6"/>
  <c r="S687" i="6"/>
  <c r="V687" i="6"/>
  <c r="D677" i="6"/>
  <c r="G677" i="6"/>
  <c r="H677" i="6" s="1"/>
  <c r="I677" i="6"/>
  <c r="S677" i="6"/>
  <c r="U677" i="6" a="1"/>
  <c r="U677" i="6" s="1"/>
  <c r="V677" i="6"/>
  <c r="N682" i="6"/>
  <c r="N680" i="6"/>
  <c r="D680" i="6"/>
  <c r="G680" i="6"/>
  <c r="H680" i="6" s="1"/>
  <c r="I680" i="6"/>
  <c r="S680" i="6"/>
  <c r="U680" i="6" a="1"/>
  <c r="U680" i="6" s="1"/>
  <c r="V680" i="6"/>
  <c r="D681" i="6"/>
  <c r="G681" i="6"/>
  <c r="H681" i="6" s="1"/>
  <c r="I681" i="6"/>
  <c r="N681" i="6"/>
  <c r="S681" i="6"/>
  <c r="U681" i="6" a="1"/>
  <c r="U681" i="6" s="1"/>
  <c r="V681" i="6"/>
  <c r="D682" i="6"/>
  <c r="G682" i="6"/>
  <c r="H682" i="6" s="1"/>
  <c r="I682" i="6"/>
  <c r="S682" i="6"/>
  <c r="U682" i="6" a="1"/>
  <c r="U682" i="6" s="1"/>
  <c r="V682" i="6"/>
  <c r="D683" i="6"/>
  <c r="G683" i="6"/>
  <c r="H683" i="6" s="1"/>
  <c r="I683" i="6"/>
  <c r="N683" i="6"/>
  <c r="S683" i="6"/>
  <c r="U683" i="6" a="1"/>
  <c r="U683" i="6" s="1"/>
  <c r="V683" i="6"/>
  <c r="N684" i="6"/>
  <c r="D686" i="6"/>
  <c r="G686" i="6"/>
  <c r="H686" i="6" s="1"/>
  <c r="I686" i="6"/>
  <c r="S686" i="6"/>
  <c r="U686" i="6" a="1"/>
  <c r="U686" i="6" s="1"/>
  <c r="V686" i="6"/>
  <c r="D685" i="6"/>
  <c r="G685" i="6"/>
  <c r="H685" i="6" s="1"/>
  <c r="I685" i="6"/>
  <c r="S685" i="6"/>
  <c r="U685" i="6" a="1"/>
  <c r="U685" i="6" s="1"/>
  <c r="V685" i="6"/>
  <c r="D684" i="6"/>
  <c r="G684" i="6"/>
  <c r="H684" i="6" s="1"/>
  <c r="I684" i="6"/>
  <c r="S684" i="6"/>
  <c r="V684" i="6"/>
  <c r="D679" i="6"/>
  <c r="G679" i="6"/>
  <c r="H679" i="6" s="1"/>
  <c r="I679" i="6"/>
  <c r="S679" i="6"/>
  <c r="U679" i="6" a="1"/>
  <c r="U679" i="6" s="1"/>
  <c r="D678" i="6"/>
  <c r="G678" i="6"/>
  <c r="H678" i="6" s="1"/>
  <c r="I678" i="6"/>
  <c r="N678" i="6"/>
  <c r="M678" i="6" s="1"/>
  <c r="S678" i="6"/>
  <c r="U678" i="6" a="1"/>
  <c r="U678" i="6" s="1"/>
  <c r="D676" i="6"/>
  <c r="G676" i="6"/>
  <c r="H676" i="6" s="1"/>
  <c r="I676" i="6"/>
  <c r="N676" i="6"/>
  <c r="O944" i="6" s="1"/>
  <c r="S676" i="6"/>
  <c r="U676" i="6" a="1"/>
  <c r="U676" i="6" s="1"/>
  <c r="V676" i="6"/>
  <c r="W944" i="6" s="1"/>
  <c r="D675" i="6"/>
  <c r="G675" i="6"/>
  <c r="H675" i="6" s="1"/>
  <c r="I675" i="6"/>
  <c r="N675" i="6"/>
  <c r="M675" i="6" s="1"/>
  <c r="S675" i="6"/>
  <c r="U675" i="6" a="1"/>
  <c r="U675" i="6" s="1"/>
  <c r="V675" i="6"/>
  <c r="D674" i="6"/>
  <c r="G674" i="6"/>
  <c r="H674" i="6" s="1"/>
  <c r="I674" i="6"/>
  <c r="S674" i="6"/>
  <c r="U674" i="6" a="1"/>
  <c r="U674" i="6" s="1"/>
  <c r="V674" i="6"/>
  <c r="N669" i="6"/>
  <c r="M669" i="6" s="1"/>
  <c r="N672" i="6"/>
  <c r="F589" i="13"/>
  <c r="L589" i="13"/>
  <c r="N589" i="13" s="1"/>
  <c r="M589" i="13"/>
  <c r="R589" i="13" s="1"/>
  <c r="W589" i="13"/>
  <c r="X589" i="13"/>
  <c r="Y589" i="13"/>
  <c r="AO589" i="13"/>
  <c r="D673" i="6"/>
  <c r="G673" i="6"/>
  <c r="H673" i="6" s="1"/>
  <c r="I673" i="6"/>
  <c r="N673" i="6"/>
  <c r="S673" i="6"/>
  <c r="U673" i="6" a="1"/>
  <c r="U673" i="6" s="1"/>
  <c r="V673" i="6"/>
  <c r="D672" i="6"/>
  <c r="G672" i="6"/>
  <c r="H672" i="6" s="1"/>
  <c r="I672" i="6"/>
  <c r="S672" i="6"/>
  <c r="U672" i="6" a="1"/>
  <c r="U672" i="6" s="1"/>
  <c r="V672" i="6"/>
  <c r="D671" i="6"/>
  <c r="G671" i="6"/>
  <c r="H671" i="6" s="1"/>
  <c r="I671" i="6"/>
  <c r="N671" i="6"/>
  <c r="S671" i="6"/>
  <c r="U671" i="6" a="1"/>
  <c r="U671" i="6" s="1"/>
  <c r="D670" i="6"/>
  <c r="G670" i="6"/>
  <c r="H670" i="6" s="1"/>
  <c r="I670" i="6"/>
  <c r="S670" i="6"/>
  <c r="V670" i="6"/>
  <c r="D669" i="6"/>
  <c r="G669" i="6"/>
  <c r="H669" i="6" s="1"/>
  <c r="I669" i="6"/>
  <c r="S669" i="6"/>
  <c r="V669" i="6"/>
  <c r="D668" i="6"/>
  <c r="G668" i="6"/>
  <c r="H668" i="6" s="1"/>
  <c r="I668" i="6"/>
  <c r="N668" i="6"/>
  <c r="M668" i="6" s="1"/>
  <c r="S668" i="6"/>
  <c r="U668" i="6" a="1"/>
  <c r="U668" i="6" s="1"/>
  <c r="V668" i="6"/>
  <c r="N666" i="6"/>
  <c r="N667" i="6"/>
  <c r="V667" i="6" s="1"/>
  <c r="D667" i="6"/>
  <c r="G667" i="6"/>
  <c r="H667" i="6" s="1"/>
  <c r="I667" i="6"/>
  <c r="S667" i="6"/>
  <c r="U667" i="6" a="1"/>
  <c r="U667" i="6" s="1"/>
  <c r="D666" i="6"/>
  <c r="G666" i="6"/>
  <c r="H666" i="6" s="1"/>
  <c r="I666" i="6"/>
  <c r="S666" i="6"/>
  <c r="V666" i="6"/>
  <c r="D665" i="6"/>
  <c r="G665" i="6"/>
  <c r="H665" i="6" s="1"/>
  <c r="I665" i="6"/>
  <c r="N665" i="6"/>
  <c r="M665" i="6" s="1"/>
  <c r="S665" i="6"/>
  <c r="U665" i="6" a="1"/>
  <c r="U665" i="6" s="1"/>
  <c r="V665" i="6"/>
  <c r="N664" i="6"/>
  <c r="D664" i="6"/>
  <c r="G664" i="6"/>
  <c r="H664" i="6" s="1"/>
  <c r="I664" i="6"/>
  <c r="S664" i="6"/>
  <c r="V664" i="6"/>
  <c r="D663" i="6"/>
  <c r="G663" i="6"/>
  <c r="H663" i="6" s="1"/>
  <c r="I663" i="6"/>
  <c r="N663" i="6"/>
  <c r="M663" i="6" s="1"/>
  <c r="S663" i="6"/>
  <c r="U663" i="6" a="1"/>
  <c r="U663" i="6" s="1"/>
  <c r="V663" i="6"/>
  <c r="D662" i="6"/>
  <c r="G662" i="6"/>
  <c r="H662" i="6" s="1"/>
  <c r="I662" i="6"/>
  <c r="N662" i="6"/>
  <c r="M662" i="6" s="1"/>
  <c r="S662" i="6"/>
  <c r="U662" i="6" a="1"/>
  <c r="U662" i="6" s="1"/>
  <c r="V662" i="6"/>
  <c r="D661" i="6"/>
  <c r="G661" i="6"/>
  <c r="H661" i="6" s="1"/>
  <c r="I661" i="6"/>
  <c r="N661" i="6"/>
  <c r="M661" i="6" s="1"/>
  <c r="S661" i="6"/>
  <c r="V661" i="6"/>
  <c r="W1474" i="6" l="1"/>
  <c r="W1482" i="6"/>
  <c r="W1246" i="6"/>
  <c r="W1432" i="6"/>
  <c r="V700" i="6"/>
  <c r="W809" i="6" s="1"/>
  <c r="AB594" i="13"/>
  <c r="AB595" i="13"/>
  <c r="O928" i="6"/>
  <c r="O934" i="6"/>
  <c r="W928" i="6"/>
  <c r="W934" i="6"/>
  <c r="M671" i="6"/>
  <c r="O915" i="6"/>
  <c r="R915" i="6" s="1"/>
  <c r="O890" i="6"/>
  <c r="O891" i="6"/>
  <c r="W890" i="6"/>
  <c r="W891" i="6"/>
  <c r="W800" i="6"/>
  <c r="W857" i="6"/>
  <c r="N593" i="13"/>
  <c r="AR593" i="13" s="1"/>
  <c r="O676" i="6"/>
  <c r="O814" i="6"/>
  <c r="W676" i="6"/>
  <c r="W814" i="6"/>
  <c r="W702" i="6"/>
  <c r="W764" i="6"/>
  <c r="AS595" i="13"/>
  <c r="AT595" i="13" s="1"/>
  <c r="AP595" i="13"/>
  <c r="AJ595" i="13"/>
  <c r="M700" i="6"/>
  <c r="O725" i="6"/>
  <c r="AK594" i="13"/>
  <c r="AJ594" i="13"/>
  <c r="AS594" i="13"/>
  <c r="AT594" i="13" s="1"/>
  <c r="AQ594" i="13"/>
  <c r="N701" i="6"/>
  <c r="M701" i="6" s="1"/>
  <c r="N702" i="6"/>
  <c r="V593" i="13"/>
  <c r="Z593" i="13" s="1"/>
  <c r="T593" i="13"/>
  <c r="O593" i="13"/>
  <c r="V699" i="6"/>
  <c r="AM592" i="13" a="1"/>
  <c r="AM592" i="13" s="1"/>
  <c r="P592" i="13"/>
  <c r="N698" i="6"/>
  <c r="M698" i="6" s="1"/>
  <c r="O700" i="6"/>
  <c r="E592" i="13"/>
  <c r="G592" i="13" s="1"/>
  <c r="AQ592" i="13" s="1"/>
  <c r="T592" i="13"/>
  <c r="I592" i="13"/>
  <c r="AU592" i="13"/>
  <c r="Q592" i="13"/>
  <c r="AR592" i="13"/>
  <c r="O592" i="13"/>
  <c r="M697" i="6"/>
  <c r="M695" i="6"/>
  <c r="M696" i="6"/>
  <c r="M693" i="6"/>
  <c r="M692" i="6"/>
  <c r="M694" i="6"/>
  <c r="N591" i="13"/>
  <c r="M691" i="6"/>
  <c r="AL591" i="13" a="1"/>
  <c r="AL591" i="13" s="1"/>
  <c r="H591" i="13"/>
  <c r="P590" i="13"/>
  <c r="N590" i="13"/>
  <c r="O590" i="13"/>
  <c r="R591" i="13"/>
  <c r="J591" i="13"/>
  <c r="AQ591" i="13"/>
  <c r="N689" i="6"/>
  <c r="N688" i="6"/>
  <c r="T590" i="13"/>
  <c r="Z591" i="13"/>
  <c r="T591" i="13"/>
  <c r="S591" i="13"/>
  <c r="O591" i="13"/>
  <c r="K591" i="13"/>
  <c r="M690" i="6"/>
  <c r="N687" i="6"/>
  <c r="M687" i="6" s="1"/>
  <c r="N677" i="6"/>
  <c r="M677" i="6" s="1"/>
  <c r="M680" i="6"/>
  <c r="M681" i="6"/>
  <c r="V671" i="6"/>
  <c r="M682" i="6"/>
  <c r="V678" i="6"/>
  <c r="M683" i="6"/>
  <c r="N686" i="6"/>
  <c r="M686" i="6" s="1"/>
  <c r="N685" i="6"/>
  <c r="M685" i="6" s="1"/>
  <c r="M684" i="6"/>
  <c r="N679" i="6"/>
  <c r="M676" i="6"/>
  <c r="N674" i="6"/>
  <c r="N670" i="6"/>
  <c r="M670" i="6" s="1"/>
  <c r="AM589" i="13" a="1"/>
  <c r="AM589" i="13" s="1"/>
  <c r="P589" i="13"/>
  <c r="E589" i="13"/>
  <c r="S589" i="13" s="1"/>
  <c r="O671" i="6"/>
  <c r="T589" i="13"/>
  <c r="Q589" i="13"/>
  <c r="AR589" i="13"/>
  <c r="O589" i="13"/>
  <c r="M673" i="6"/>
  <c r="M672" i="6"/>
  <c r="M667" i="6"/>
  <c r="M666" i="6"/>
  <c r="M664" i="6"/>
  <c r="O1474" i="6" l="1"/>
  <c r="O1482" i="6"/>
  <c r="W700" i="6"/>
  <c r="V592" i="13"/>
  <c r="Z592" i="13" s="1"/>
  <c r="W725" i="6"/>
  <c r="O1246" i="6"/>
  <c r="O1432" i="6"/>
  <c r="O1130" i="6"/>
  <c r="O1336" i="6"/>
  <c r="O1079" i="6"/>
  <c r="O1119" i="6"/>
  <c r="O1073" i="6"/>
  <c r="R671" i="6"/>
  <c r="V589" i="13"/>
  <c r="Z589" i="13" s="1"/>
  <c r="W915" i="6"/>
  <c r="O834" i="6"/>
  <c r="O885" i="6"/>
  <c r="O800" i="6"/>
  <c r="O857" i="6"/>
  <c r="R676" i="6"/>
  <c r="V689" i="6"/>
  <c r="O788" i="6"/>
  <c r="O702" i="6"/>
  <c r="O764" i="6"/>
  <c r="R700" i="6"/>
  <c r="M702" i="6"/>
  <c r="E593" i="13"/>
  <c r="G593" i="13" s="1"/>
  <c r="AQ593" i="13" s="1"/>
  <c r="H592" i="13"/>
  <c r="S592" i="13"/>
  <c r="AA592" i="13" s="1"/>
  <c r="AS592" i="13" s="1"/>
  <c r="AT592" i="13" s="1"/>
  <c r="AR591" i="13"/>
  <c r="M689" i="6"/>
  <c r="AU591" i="13"/>
  <c r="AR590" i="13"/>
  <c r="Q590" i="13"/>
  <c r="E590" i="13"/>
  <c r="O689" i="6"/>
  <c r="M688" i="6"/>
  <c r="AA591" i="13"/>
  <c r="AB591" i="13" s="1"/>
  <c r="W671" i="6"/>
  <c r="M679" i="6"/>
  <c r="V679" i="6"/>
  <c r="M674" i="6"/>
  <c r="G589" i="13"/>
  <c r="H589" i="13"/>
  <c r="AA589" i="13"/>
  <c r="AK589" i="13" s="1"/>
  <c r="N659" i="6"/>
  <c r="N660" i="6"/>
  <c r="D660" i="6"/>
  <c r="G660" i="6"/>
  <c r="H660" i="6" s="1"/>
  <c r="I660" i="6"/>
  <c r="S660" i="6"/>
  <c r="U660" i="6" a="1"/>
  <c r="U660" i="6" s="1"/>
  <c r="V660" i="6"/>
  <c r="D659" i="6"/>
  <c r="G659" i="6"/>
  <c r="H659" i="6" s="1"/>
  <c r="I659" i="6"/>
  <c r="S659" i="6"/>
  <c r="U659" i="6" a="1"/>
  <c r="U659" i="6" s="1"/>
  <c r="V659" i="6"/>
  <c r="D658" i="6"/>
  <c r="G658" i="6"/>
  <c r="H658" i="6" s="1"/>
  <c r="I658" i="6"/>
  <c r="N658" i="6"/>
  <c r="S658" i="6"/>
  <c r="U658" i="6" a="1"/>
  <c r="U658" i="6" s="1"/>
  <c r="V658" i="6"/>
  <c r="N657" i="6"/>
  <c r="D657" i="6"/>
  <c r="G657" i="6"/>
  <c r="H657" i="6" s="1"/>
  <c r="I657" i="6"/>
  <c r="S657" i="6"/>
  <c r="U657" i="6" a="1"/>
  <c r="U657" i="6" s="1"/>
  <c r="V657" i="6"/>
  <c r="D656" i="6"/>
  <c r="G656" i="6"/>
  <c r="H656" i="6" s="1"/>
  <c r="I656" i="6"/>
  <c r="N656" i="6"/>
  <c r="M656" i="6" s="1"/>
  <c r="S656" i="6"/>
  <c r="U656" i="6" a="1"/>
  <c r="U656" i="6" s="1"/>
  <c r="D650" i="6"/>
  <c r="G650" i="6"/>
  <c r="H650" i="6" s="1"/>
  <c r="I650" i="6"/>
  <c r="N650" i="6"/>
  <c r="S650" i="6"/>
  <c r="U650" i="6" a="1"/>
  <c r="U650" i="6" s="1"/>
  <c r="V650" i="6"/>
  <c r="N649" i="6"/>
  <c r="D649" i="6"/>
  <c r="G649" i="6"/>
  <c r="H649" i="6" s="1"/>
  <c r="I649" i="6"/>
  <c r="S649" i="6"/>
  <c r="U649" i="6" a="1"/>
  <c r="U649" i="6" s="1"/>
  <c r="V649" i="6"/>
  <c r="N654" i="6"/>
  <c r="D655" i="6"/>
  <c r="G655" i="6"/>
  <c r="H655" i="6" s="1"/>
  <c r="I655" i="6"/>
  <c r="S655" i="6"/>
  <c r="U655" i="6" a="1"/>
  <c r="U655" i="6" s="1"/>
  <c r="V655" i="6"/>
  <c r="D654" i="6"/>
  <c r="G654" i="6"/>
  <c r="H654" i="6" s="1"/>
  <c r="I654" i="6"/>
  <c r="S654" i="6"/>
  <c r="U654" i="6" a="1"/>
  <c r="U654" i="6" s="1"/>
  <c r="V654" i="6"/>
  <c r="D653" i="6"/>
  <c r="G653" i="6"/>
  <c r="H653" i="6" s="1"/>
  <c r="I653" i="6"/>
  <c r="S653" i="6"/>
  <c r="U653" i="6" a="1"/>
  <c r="U653" i="6" s="1"/>
  <c r="V653" i="6"/>
  <c r="D652" i="6"/>
  <c r="G652" i="6"/>
  <c r="H652" i="6" s="1"/>
  <c r="I652" i="6"/>
  <c r="N652" i="6"/>
  <c r="M652" i="6" s="1"/>
  <c r="S652" i="6"/>
  <c r="V652" i="6"/>
  <c r="D651" i="6"/>
  <c r="G651" i="6"/>
  <c r="H651" i="6" s="1"/>
  <c r="I651" i="6"/>
  <c r="S651" i="6"/>
  <c r="U651" i="6" a="1"/>
  <c r="U651" i="6" s="1"/>
  <c r="V651" i="6"/>
  <c r="N648" i="6"/>
  <c r="D648" i="6"/>
  <c r="G648" i="6"/>
  <c r="H648" i="6" s="1"/>
  <c r="I648" i="6"/>
  <c r="S648" i="6"/>
  <c r="U648" i="6" a="1"/>
  <c r="U648" i="6" s="1"/>
  <c r="V648" i="6"/>
  <c r="D647" i="6"/>
  <c r="G647" i="6"/>
  <c r="H647" i="6" s="1"/>
  <c r="I647" i="6"/>
  <c r="N647" i="6"/>
  <c r="S647" i="6"/>
  <c r="U647" i="6" a="1"/>
  <c r="U647" i="6" s="1"/>
  <c r="V647" i="6"/>
  <c r="E588" i="13"/>
  <c r="F588" i="13"/>
  <c r="K588" i="13" s="1"/>
  <c r="L588" i="13"/>
  <c r="N588" i="13" s="1"/>
  <c r="M588" i="13"/>
  <c r="R588" i="13" s="1"/>
  <c r="W588" i="13"/>
  <c r="X588" i="13"/>
  <c r="Y588" i="13"/>
  <c r="AO588" i="13"/>
  <c r="N643" i="6"/>
  <c r="N646" i="6"/>
  <c r="D646" i="6"/>
  <c r="G646" i="6"/>
  <c r="H646" i="6" s="1"/>
  <c r="I646" i="6"/>
  <c r="S646" i="6"/>
  <c r="V646" i="6"/>
  <c r="D645" i="6"/>
  <c r="G645" i="6"/>
  <c r="H645" i="6" s="1"/>
  <c r="I645" i="6"/>
  <c r="N645" i="6"/>
  <c r="S645" i="6"/>
  <c r="V645" i="6"/>
  <c r="D644" i="6"/>
  <c r="G644" i="6"/>
  <c r="H644" i="6" s="1"/>
  <c r="I644" i="6"/>
  <c r="N644" i="6"/>
  <c r="M644" i="6" s="1"/>
  <c r="S644" i="6"/>
  <c r="V644" i="6"/>
  <c r="D643" i="6"/>
  <c r="G643" i="6"/>
  <c r="H643" i="6" s="1"/>
  <c r="I643" i="6"/>
  <c r="S643" i="6"/>
  <c r="V643" i="6"/>
  <c r="D642" i="6"/>
  <c r="G642" i="6"/>
  <c r="H642" i="6" s="1"/>
  <c r="I642" i="6"/>
  <c r="N642" i="6"/>
  <c r="O642" i="6" s="1"/>
  <c r="S642" i="6"/>
  <c r="U642" i="6" a="1"/>
  <c r="U642" i="6" s="1"/>
  <c r="D641" i="6"/>
  <c r="G641" i="6"/>
  <c r="H641" i="6" s="1"/>
  <c r="I641" i="6"/>
  <c r="N641" i="6"/>
  <c r="M641" i="6" s="1"/>
  <c r="S641" i="6"/>
  <c r="U641" i="6" a="1"/>
  <c r="U641" i="6" s="1"/>
  <c r="V641" i="6"/>
  <c r="N631" i="6"/>
  <c r="O631" i="6" s="1"/>
  <c r="D631" i="6"/>
  <c r="G631" i="6"/>
  <c r="H631" i="6" s="1"/>
  <c r="I631" i="6"/>
  <c r="S631" i="6"/>
  <c r="U631" i="6" a="1"/>
  <c r="U631" i="6" s="1"/>
  <c r="V631" i="6"/>
  <c r="W631" i="6" s="1"/>
  <c r="N635" i="6"/>
  <c r="E587" i="13" s="1"/>
  <c r="N636" i="6"/>
  <c r="N639" i="6"/>
  <c r="M639" i="6" s="1"/>
  <c r="D640" i="6"/>
  <c r="G640" i="6"/>
  <c r="H640" i="6" s="1"/>
  <c r="I640" i="6"/>
  <c r="S640" i="6"/>
  <c r="V640" i="6"/>
  <c r="D639" i="6"/>
  <c r="G639" i="6"/>
  <c r="H639" i="6" s="1"/>
  <c r="I639" i="6"/>
  <c r="S639" i="6"/>
  <c r="V639" i="6"/>
  <c r="D638" i="6"/>
  <c r="G638" i="6"/>
  <c r="H638" i="6" s="1"/>
  <c r="I638" i="6"/>
  <c r="N638" i="6"/>
  <c r="S638" i="6"/>
  <c r="V638" i="6"/>
  <c r="D637" i="6"/>
  <c r="G637" i="6"/>
  <c r="H637" i="6" s="1"/>
  <c r="I637" i="6"/>
  <c r="N637" i="6"/>
  <c r="S637" i="6"/>
  <c r="V637" i="6"/>
  <c r="D636" i="6"/>
  <c r="G636" i="6"/>
  <c r="H636" i="6" s="1"/>
  <c r="I636" i="6"/>
  <c r="S636" i="6"/>
  <c r="U636" i="6" a="1"/>
  <c r="U636" i="6" s="1"/>
  <c r="V636" i="6"/>
  <c r="F587" i="13"/>
  <c r="K587" i="13" s="1"/>
  <c r="L587" i="13"/>
  <c r="N587" i="13" s="1"/>
  <c r="M587" i="13"/>
  <c r="R587" i="13" s="1"/>
  <c r="W587" i="13"/>
  <c r="X587" i="13"/>
  <c r="Y587" i="13"/>
  <c r="AO587" i="13"/>
  <c r="D635" i="6"/>
  <c r="G635" i="6"/>
  <c r="H635" i="6" s="1"/>
  <c r="I635" i="6"/>
  <c r="S635" i="6"/>
  <c r="U635" i="6" a="1"/>
  <c r="U635" i="6" s="1"/>
  <c r="D634" i="6"/>
  <c r="G634" i="6"/>
  <c r="H634" i="6" s="1"/>
  <c r="I634" i="6"/>
  <c r="N634" i="6"/>
  <c r="S634" i="6"/>
  <c r="U634" i="6" a="1"/>
  <c r="U634" i="6" s="1"/>
  <c r="V634" i="6"/>
  <c r="D633" i="6"/>
  <c r="G633" i="6"/>
  <c r="H633" i="6" s="1"/>
  <c r="I633" i="6"/>
  <c r="N633" i="6"/>
  <c r="S633" i="6"/>
  <c r="U633" i="6" a="1"/>
  <c r="U633" i="6" s="1"/>
  <c r="V633" i="6"/>
  <c r="D632" i="6"/>
  <c r="G632" i="6"/>
  <c r="H632" i="6" s="1"/>
  <c r="I632" i="6"/>
  <c r="N632" i="6"/>
  <c r="S632" i="6"/>
  <c r="V632" i="6"/>
  <c r="N626" i="6"/>
  <c r="N627" i="6"/>
  <c r="D630" i="6"/>
  <c r="G630" i="6"/>
  <c r="H630" i="6" s="1"/>
  <c r="I630" i="6"/>
  <c r="S630" i="6"/>
  <c r="V630" i="6"/>
  <c r="D629" i="6"/>
  <c r="G629" i="6"/>
  <c r="H629" i="6" s="1"/>
  <c r="I629" i="6"/>
  <c r="N629" i="6"/>
  <c r="S629" i="6"/>
  <c r="U629" i="6" a="1"/>
  <c r="U629" i="6" s="1"/>
  <c r="V629" i="6"/>
  <c r="D628" i="6"/>
  <c r="G628" i="6"/>
  <c r="H628" i="6" s="1"/>
  <c r="I628" i="6"/>
  <c r="N628" i="6"/>
  <c r="S628" i="6"/>
  <c r="U628" i="6" a="1"/>
  <c r="U628" i="6" s="1"/>
  <c r="V628" i="6"/>
  <c r="D627" i="6"/>
  <c r="G627" i="6"/>
  <c r="H627" i="6" s="1"/>
  <c r="I627" i="6"/>
  <c r="S627" i="6"/>
  <c r="V627" i="6"/>
  <c r="D626" i="6"/>
  <c r="G626" i="6"/>
  <c r="H626" i="6" s="1"/>
  <c r="I626" i="6"/>
  <c r="S626" i="6"/>
  <c r="V626" i="6"/>
  <c r="D625" i="6"/>
  <c r="G625" i="6"/>
  <c r="H625" i="6" s="1"/>
  <c r="I625" i="6"/>
  <c r="S625" i="6"/>
  <c r="V625" i="6"/>
  <c r="N623" i="6"/>
  <c r="M623" i="6" s="1"/>
  <c r="D624" i="6"/>
  <c r="G624" i="6"/>
  <c r="H624" i="6" s="1"/>
  <c r="I624" i="6"/>
  <c r="N624" i="6"/>
  <c r="V624" i="6" s="1"/>
  <c r="S624" i="6"/>
  <c r="U624" i="6" a="1"/>
  <c r="U624" i="6" s="1"/>
  <c r="D622" i="6"/>
  <c r="D623" i="6"/>
  <c r="G622" i="6"/>
  <c r="H622" i="6" s="1"/>
  <c r="G623" i="6"/>
  <c r="H623" i="6" s="1"/>
  <c r="I622" i="6"/>
  <c r="I623" i="6"/>
  <c r="N622" i="6"/>
  <c r="M622" i="6" s="1"/>
  <c r="S622" i="6"/>
  <c r="S623" i="6"/>
  <c r="U622" i="6" a="1"/>
  <c r="U622" i="6" s="1"/>
  <c r="U623" i="6" a="1"/>
  <c r="U623" i="6" s="1"/>
  <c r="E585" i="13"/>
  <c r="H585" i="13" s="1"/>
  <c r="F585" i="13"/>
  <c r="F586" i="13"/>
  <c r="L586" i="13"/>
  <c r="O586" i="13" s="1"/>
  <c r="M585" i="13"/>
  <c r="P585" i="13" s="1"/>
  <c r="M586" i="13"/>
  <c r="R586" i="13" s="1"/>
  <c r="V585" i="13"/>
  <c r="W586" i="13"/>
  <c r="X585" i="13"/>
  <c r="X586" i="13"/>
  <c r="Y585" i="13"/>
  <c r="Y586" i="13"/>
  <c r="AO585" i="13"/>
  <c r="AO586" i="13"/>
  <c r="D620" i="6"/>
  <c r="D621" i="6"/>
  <c r="G620" i="6"/>
  <c r="H620" i="6" s="1"/>
  <c r="G621" i="6"/>
  <c r="H621" i="6" s="1"/>
  <c r="I620" i="6"/>
  <c r="I621" i="6"/>
  <c r="N620" i="6"/>
  <c r="M620" i="6" s="1"/>
  <c r="N621" i="6"/>
  <c r="S620" i="6"/>
  <c r="S621" i="6"/>
  <c r="U620" i="6" a="1"/>
  <c r="U620" i="6" s="1"/>
  <c r="U621" i="6" a="1"/>
  <c r="U621" i="6" s="1"/>
  <c r="N607" i="6"/>
  <c r="N610" i="6"/>
  <c r="N612" i="6"/>
  <c r="N614" i="6"/>
  <c r="N615" i="6"/>
  <c r="N616" i="6"/>
  <c r="M616" i="6" s="1"/>
  <c r="N618" i="6"/>
  <c r="D619" i="6"/>
  <c r="G619" i="6"/>
  <c r="H619" i="6" s="1"/>
  <c r="I619" i="6"/>
  <c r="S619" i="6"/>
  <c r="U619" i="6" a="1"/>
  <c r="U619" i="6" s="1"/>
  <c r="V619" i="6"/>
  <c r="D618" i="6"/>
  <c r="G618" i="6"/>
  <c r="H618" i="6" s="1"/>
  <c r="I618" i="6"/>
  <c r="S618" i="6"/>
  <c r="U618" i="6" a="1"/>
  <c r="U618" i="6" s="1"/>
  <c r="V618" i="6"/>
  <c r="D617" i="6"/>
  <c r="G617" i="6"/>
  <c r="H617" i="6" s="1"/>
  <c r="I617" i="6"/>
  <c r="N617" i="6"/>
  <c r="S617" i="6"/>
  <c r="V617" i="6"/>
  <c r="D616" i="6"/>
  <c r="G616" i="6"/>
  <c r="H616" i="6" s="1"/>
  <c r="I616" i="6"/>
  <c r="S616" i="6"/>
  <c r="V616" i="6"/>
  <c r="D615" i="6"/>
  <c r="G615" i="6"/>
  <c r="H615" i="6" s="1"/>
  <c r="I615" i="6"/>
  <c r="S615" i="6"/>
  <c r="U615" i="6" a="1"/>
  <c r="U615" i="6" s="1"/>
  <c r="V615" i="6"/>
  <c r="D614" i="6"/>
  <c r="G614" i="6"/>
  <c r="H614" i="6" s="1"/>
  <c r="I614" i="6"/>
  <c r="S614" i="6"/>
  <c r="V614" i="6"/>
  <c r="D613" i="6"/>
  <c r="G613" i="6"/>
  <c r="H613" i="6" s="1"/>
  <c r="I613" i="6"/>
  <c r="N613" i="6"/>
  <c r="M613" i="6" s="1"/>
  <c r="S613" i="6"/>
  <c r="U613" i="6" a="1"/>
  <c r="U613" i="6" s="1"/>
  <c r="V613" i="6"/>
  <c r="D612" i="6"/>
  <c r="G612" i="6"/>
  <c r="H612" i="6" s="1"/>
  <c r="I612" i="6"/>
  <c r="S612" i="6"/>
  <c r="V612" i="6"/>
  <c r="D611" i="6"/>
  <c r="G611" i="6"/>
  <c r="H611" i="6" s="1"/>
  <c r="I611" i="6"/>
  <c r="N611" i="6"/>
  <c r="S611" i="6"/>
  <c r="V611" i="6"/>
  <c r="D610" i="6"/>
  <c r="G610" i="6"/>
  <c r="H610" i="6" s="1"/>
  <c r="I610" i="6"/>
  <c r="S610" i="6"/>
  <c r="V610" i="6"/>
  <c r="D609" i="6"/>
  <c r="G609" i="6"/>
  <c r="H609" i="6" s="1"/>
  <c r="I609" i="6"/>
  <c r="N609" i="6"/>
  <c r="S609" i="6"/>
  <c r="U609" i="6" a="1"/>
  <c r="U609" i="6" s="1"/>
  <c r="V609" i="6"/>
  <c r="D608" i="6"/>
  <c r="G608" i="6"/>
  <c r="H608" i="6" s="1"/>
  <c r="I608" i="6"/>
  <c r="N608" i="6"/>
  <c r="M608" i="6" s="1"/>
  <c r="S608" i="6"/>
  <c r="U608" i="6" a="1"/>
  <c r="U608" i="6" s="1"/>
  <c r="V608" i="6"/>
  <c r="D607" i="6"/>
  <c r="G607" i="6"/>
  <c r="H607" i="6" s="1"/>
  <c r="I607" i="6"/>
  <c r="S607" i="6"/>
  <c r="V607" i="6"/>
  <c r="D606" i="6"/>
  <c r="G606" i="6"/>
  <c r="H606" i="6" s="1"/>
  <c r="I606" i="6"/>
  <c r="S606" i="6"/>
  <c r="V606" i="6"/>
  <c r="U595" i="6" a="1"/>
  <c r="U595" i="6" s="1"/>
  <c r="U596" i="6" a="1"/>
  <c r="U596" i="6" s="1"/>
  <c r="U598" i="6" a="1"/>
  <c r="U598" i="6" s="1"/>
  <c r="U603" i="6" a="1"/>
  <c r="U603" i="6" s="1"/>
  <c r="T595" i="6"/>
  <c r="T596" i="6"/>
  <c r="T598" i="6"/>
  <c r="T603" i="6"/>
  <c r="D605" i="6"/>
  <c r="G605" i="6"/>
  <c r="H605" i="6" s="1"/>
  <c r="I605" i="6"/>
  <c r="N605" i="6"/>
  <c r="S605" i="6"/>
  <c r="V605" i="6"/>
  <c r="D604" i="6"/>
  <c r="G604" i="6"/>
  <c r="H604" i="6" s="1"/>
  <c r="I604" i="6"/>
  <c r="N604" i="6"/>
  <c r="M604" i="6" s="1"/>
  <c r="S604" i="6"/>
  <c r="V604" i="6"/>
  <c r="D603" i="6"/>
  <c r="G603" i="6"/>
  <c r="H603" i="6" s="1"/>
  <c r="I603" i="6"/>
  <c r="S603" i="6"/>
  <c r="V603" i="6"/>
  <c r="V656" i="6" l="1"/>
  <c r="W1367" i="6"/>
  <c r="W1355" i="6"/>
  <c r="W1130" i="6"/>
  <c r="W1336" i="6"/>
  <c r="R1330" i="6"/>
  <c r="T1338" i="6"/>
  <c r="O1270" i="6"/>
  <c r="O1300" i="6"/>
  <c r="W1079" i="6"/>
  <c r="W1119" i="6"/>
  <c r="W885" i="6"/>
  <c r="W1073" i="6"/>
  <c r="V622" i="6"/>
  <c r="V623" i="6"/>
  <c r="V620" i="6"/>
  <c r="V635" i="6"/>
  <c r="V587" i="13" s="1"/>
  <c r="Z587" i="13" s="1"/>
  <c r="AB589" i="13"/>
  <c r="AB592" i="13"/>
  <c r="W1015" i="6"/>
  <c r="W996" i="6"/>
  <c r="W958" i="6"/>
  <c r="W935" i="6"/>
  <c r="O842" i="6"/>
  <c r="O849" i="6"/>
  <c r="V621" i="6"/>
  <c r="W1300" i="6" s="1"/>
  <c r="O647" i="6"/>
  <c r="O841" i="6"/>
  <c r="W647" i="6"/>
  <c r="W841" i="6"/>
  <c r="W837" i="6"/>
  <c r="M621" i="6"/>
  <c r="O837" i="6"/>
  <c r="V590" i="13"/>
  <c r="Z590" i="13" s="1"/>
  <c r="W834" i="6"/>
  <c r="W797" i="6"/>
  <c r="W798" i="6"/>
  <c r="R702" i="6"/>
  <c r="W689" i="6"/>
  <c r="W788" i="6"/>
  <c r="W778" i="6"/>
  <c r="W771" i="6"/>
  <c r="W767" i="6"/>
  <c r="O649" i="6"/>
  <c r="W649" i="6"/>
  <c r="O692" i="6"/>
  <c r="O752" i="6"/>
  <c r="W692" i="6"/>
  <c r="W752" i="6"/>
  <c r="S593" i="13"/>
  <c r="AA593" i="13" s="1"/>
  <c r="H593" i="13"/>
  <c r="AP592" i="13"/>
  <c r="AK592" i="13"/>
  <c r="AJ592" i="13"/>
  <c r="R689" i="6"/>
  <c r="AP591" i="13"/>
  <c r="AJ591" i="13"/>
  <c r="S590" i="13"/>
  <c r="AA590" i="13" s="1"/>
  <c r="AP590" i="13" s="1"/>
  <c r="H590" i="13"/>
  <c r="G590" i="13"/>
  <c r="AQ590" i="13" s="1"/>
  <c r="AS591" i="13"/>
  <c r="AT591" i="13" s="1"/>
  <c r="AK591" i="13"/>
  <c r="V642" i="6"/>
  <c r="W642" i="6" s="1"/>
  <c r="W665" i="6"/>
  <c r="W673" i="6"/>
  <c r="O660" i="6"/>
  <c r="O673" i="6"/>
  <c r="AJ589" i="13"/>
  <c r="AS589" i="13"/>
  <c r="AT589" i="13" s="1"/>
  <c r="AP589" i="13"/>
  <c r="AQ589" i="13"/>
  <c r="W660" i="6"/>
  <c r="M660" i="6"/>
  <c r="O665" i="6"/>
  <c r="M659" i="6"/>
  <c r="M658" i="6"/>
  <c r="W651" i="6"/>
  <c r="W657" i="6"/>
  <c r="M657" i="6"/>
  <c r="N651" i="6"/>
  <c r="O651" i="6" s="1"/>
  <c r="N655" i="6"/>
  <c r="M650" i="6"/>
  <c r="M649" i="6"/>
  <c r="W653" i="6"/>
  <c r="N653" i="6"/>
  <c r="M654" i="6"/>
  <c r="M648" i="6"/>
  <c r="AM588" i="13" a="1"/>
  <c r="AM588" i="13" s="1"/>
  <c r="P588" i="13"/>
  <c r="G588" i="13"/>
  <c r="AQ588" i="13" s="1"/>
  <c r="V588" i="13"/>
  <c r="Z588" i="13" s="1"/>
  <c r="H588" i="13"/>
  <c r="T588" i="13"/>
  <c r="I588" i="13"/>
  <c r="M647" i="6"/>
  <c r="AU588" i="13"/>
  <c r="Q588" i="13"/>
  <c r="AR588" i="13"/>
  <c r="S588" i="13"/>
  <c r="O588" i="13"/>
  <c r="M646" i="6"/>
  <c r="M645" i="6"/>
  <c r="M643" i="6"/>
  <c r="M642" i="6"/>
  <c r="R642" i="6" s="1"/>
  <c r="P587" i="13"/>
  <c r="M631" i="6"/>
  <c r="R631" i="6" s="1"/>
  <c r="N640" i="6"/>
  <c r="M638" i="6"/>
  <c r="M637" i="6"/>
  <c r="O635" i="6"/>
  <c r="T587" i="13"/>
  <c r="I587" i="13"/>
  <c r="G587" i="13"/>
  <c r="M636" i="6"/>
  <c r="H587" i="13"/>
  <c r="AU587" i="13"/>
  <c r="Q587" i="13"/>
  <c r="AR587" i="13"/>
  <c r="AM587" i="13" a="1"/>
  <c r="AM587" i="13" s="1"/>
  <c r="S587" i="13"/>
  <c r="O587" i="13"/>
  <c r="M635" i="6"/>
  <c r="M634" i="6"/>
  <c r="M633" i="6"/>
  <c r="M632" i="6"/>
  <c r="N630" i="6"/>
  <c r="M630" i="6" s="1"/>
  <c r="N625" i="6"/>
  <c r="M625" i="6" s="1"/>
  <c r="M629" i="6"/>
  <c r="M628" i="6"/>
  <c r="M627" i="6"/>
  <c r="M626" i="6"/>
  <c r="L585" i="13"/>
  <c r="O585" i="13" s="1"/>
  <c r="W585" i="13"/>
  <c r="Z585" i="13" s="1"/>
  <c r="AL585" i="13" a="1"/>
  <c r="AL585" i="13" s="1"/>
  <c r="G585" i="13"/>
  <c r="M624" i="6"/>
  <c r="E586" i="13"/>
  <c r="H586" i="13" s="1"/>
  <c r="O621" i="6"/>
  <c r="N586" i="13"/>
  <c r="AM586" i="13" a="1"/>
  <c r="AM586" i="13" s="1"/>
  <c r="R585" i="13"/>
  <c r="T586" i="13"/>
  <c r="P586" i="13"/>
  <c r="T585" i="13"/>
  <c r="K586" i="13"/>
  <c r="AU586" i="13" s="1"/>
  <c r="I586" i="13"/>
  <c r="N619" i="6"/>
  <c r="M619" i="6" s="1"/>
  <c r="M618" i="6"/>
  <c r="M617" i="6"/>
  <c r="M615" i="6"/>
  <c r="M614" i="6"/>
  <c r="M612" i="6"/>
  <c r="M611" i="6"/>
  <c r="M610" i="6"/>
  <c r="M609" i="6"/>
  <c r="M607" i="6"/>
  <c r="N606" i="6"/>
  <c r="M606" i="6" s="1"/>
  <c r="M605" i="6"/>
  <c r="N603" i="6"/>
  <c r="D602" i="6"/>
  <c r="G602" i="6"/>
  <c r="H602" i="6" s="1"/>
  <c r="I602" i="6"/>
  <c r="N602" i="6"/>
  <c r="S602" i="6"/>
  <c r="V602" i="6"/>
  <c r="D601" i="6"/>
  <c r="G601" i="6"/>
  <c r="H601" i="6" s="1"/>
  <c r="I601" i="6"/>
  <c r="N601" i="6"/>
  <c r="S601" i="6"/>
  <c r="V601" i="6"/>
  <c r="D600" i="6"/>
  <c r="G600" i="6"/>
  <c r="H600" i="6" s="1"/>
  <c r="I600" i="6"/>
  <c r="N600" i="6"/>
  <c r="S600" i="6"/>
  <c r="V600" i="6"/>
  <c r="D599" i="6"/>
  <c r="G599" i="6"/>
  <c r="H599" i="6" s="1"/>
  <c r="I599" i="6"/>
  <c r="N599" i="6"/>
  <c r="S599" i="6"/>
  <c r="V599" i="6"/>
  <c r="N598" i="6"/>
  <c r="V598" i="6" s="1"/>
  <c r="D598" i="6"/>
  <c r="G598" i="6"/>
  <c r="H598" i="6" s="1"/>
  <c r="I598" i="6"/>
  <c r="S598" i="6"/>
  <c r="D597" i="6"/>
  <c r="G597" i="6"/>
  <c r="H597" i="6" s="1"/>
  <c r="I597" i="6"/>
  <c r="S597" i="6"/>
  <c r="V597" i="6"/>
  <c r="D596" i="6"/>
  <c r="G596" i="6"/>
  <c r="H596" i="6" s="1"/>
  <c r="I596" i="6"/>
  <c r="N596" i="6"/>
  <c r="M596" i="6" s="1"/>
  <c r="S596" i="6"/>
  <c r="V586" i="13" l="1"/>
  <c r="Z586" i="13" s="1"/>
  <c r="W1270" i="6"/>
  <c r="W635" i="6"/>
  <c r="AB590" i="13"/>
  <c r="AK593" i="13"/>
  <c r="AB593" i="13"/>
  <c r="T1021" i="6"/>
  <c r="W621" i="6"/>
  <c r="R647" i="6"/>
  <c r="W842" i="6"/>
  <c r="W849" i="6"/>
  <c r="R621" i="6"/>
  <c r="O797" i="6"/>
  <c r="O778" i="6"/>
  <c r="O771" i="6"/>
  <c r="R649" i="6"/>
  <c r="O767" i="6"/>
  <c r="AS593" i="13"/>
  <c r="AT593" i="13" s="1"/>
  <c r="AJ593" i="13"/>
  <c r="AP593" i="13"/>
  <c r="AK590" i="13"/>
  <c r="AS590" i="13"/>
  <c r="AT590" i="13" s="1"/>
  <c r="AJ590" i="13"/>
  <c r="R660" i="6"/>
  <c r="O657" i="6"/>
  <c r="M651" i="6"/>
  <c r="M655" i="6"/>
  <c r="M653" i="6"/>
  <c r="O653" i="6"/>
  <c r="AA588" i="13"/>
  <c r="AK588" i="13" s="1"/>
  <c r="R635" i="6"/>
  <c r="M640" i="6"/>
  <c r="AQ587" i="13"/>
  <c r="AA587" i="13"/>
  <c r="AK587" i="13" s="1"/>
  <c r="N585" i="13"/>
  <c r="AR585" i="13" s="1"/>
  <c r="S585" i="13"/>
  <c r="AA585" i="13" s="1"/>
  <c r="AB585" i="13" s="1"/>
  <c r="J585" i="13"/>
  <c r="AQ585" i="13"/>
  <c r="G586" i="13"/>
  <c r="AQ586" i="13" s="1"/>
  <c r="S586" i="13"/>
  <c r="AA586" i="13" s="1"/>
  <c r="AP586" i="13" s="1"/>
  <c r="Q586" i="13"/>
  <c r="AR586" i="13"/>
  <c r="M602" i="6"/>
  <c r="M603" i="6"/>
  <c r="M601" i="6"/>
  <c r="M600" i="6"/>
  <c r="M599" i="6"/>
  <c r="M598" i="6"/>
  <c r="V596" i="6"/>
  <c r="N597" i="6"/>
  <c r="AB588" i="13" l="1"/>
  <c r="AB587" i="13"/>
  <c r="AB586" i="13"/>
  <c r="AP588" i="13"/>
  <c r="AS588" i="13"/>
  <c r="AT588" i="13" s="1"/>
  <c r="AJ588" i="13"/>
  <c r="AP587" i="13"/>
  <c r="AS587" i="13"/>
  <c r="AT587" i="13" s="1"/>
  <c r="AJ587" i="13"/>
  <c r="AS585" i="13"/>
  <c r="AT585" i="13" s="1"/>
  <c r="AJ585" i="13"/>
  <c r="AP585" i="13"/>
  <c r="AK585" i="13"/>
  <c r="AS586" i="13"/>
  <c r="AT586" i="13" s="1"/>
  <c r="AJ586" i="13"/>
  <c r="AK586" i="13"/>
  <c r="M597" i="6"/>
  <c r="N593" i="6" l="1"/>
  <c r="M593" i="6" s="1"/>
  <c r="N589" i="6"/>
  <c r="M589" i="6" s="1"/>
  <c r="D595" i="6"/>
  <c r="G595" i="6"/>
  <c r="H595" i="6" s="1"/>
  <c r="I595" i="6"/>
  <c r="N595" i="6"/>
  <c r="V595" i="6" s="1"/>
  <c r="S595" i="6"/>
  <c r="D594" i="6"/>
  <c r="G594" i="6"/>
  <c r="H594" i="6" s="1"/>
  <c r="I594" i="6"/>
  <c r="N594" i="6"/>
  <c r="M594" i="6" s="1"/>
  <c r="S594" i="6"/>
  <c r="V594" i="6"/>
  <c r="D593" i="6"/>
  <c r="G593" i="6"/>
  <c r="H593" i="6" s="1"/>
  <c r="I593" i="6"/>
  <c r="S593" i="6"/>
  <c r="U593" i="6" a="1"/>
  <c r="U593" i="6" s="1"/>
  <c r="V593" i="6"/>
  <c r="D592" i="6"/>
  <c r="G592" i="6"/>
  <c r="H592" i="6" s="1"/>
  <c r="I592" i="6"/>
  <c r="N592" i="6"/>
  <c r="S592" i="6"/>
  <c r="U592" i="6" a="1"/>
  <c r="U592" i="6" s="1"/>
  <c r="V592" i="6"/>
  <c r="D591" i="6"/>
  <c r="G591" i="6"/>
  <c r="H591" i="6" s="1"/>
  <c r="I591" i="6"/>
  <c r="N591" i="6"/>
  <c r="M591" i="6" s="1"/>
  <c r="S591" i="6"/>
  <c r="U591" i="6" a="1"/>
  <c r="U591" i="6" s="1"/>
  <c r="V591" i="6"/>
  <c r="D590" i="6"/>
  <c r="G590" i="6"/>
  <c r="H590" i="6" s="1"/>
  <c r="I590" i="6"/>
  <c r="N590" i="6"/>
  <c r="M590" i="6" s="1"/>
  <c r="S590" i="6"/>
  <c r="U590" i="6" a="1"/>
  <c r="U590" i="6" s="1"/>
  <c r="V590" i="6"/>
  <c r="D589" i="6"/>
  <c r="G589" i="6"/>
  <c r="H589" i="6" s="1"/>
  <c r="I589" i="6"/>
  <c r="S589" i="6"/>
  <c r="V589" i="6"/>
  <c r="F584" i="13"/>
  <c r="L584" i="13"/>
  <c r="AM584" i="13" s="1" a="1"/>
  <c r="AM584" i="13" s="1"/>
  <c r="M584" i="13"/>
  <c r="P584" i="13" s="1"/>
  <c r="W584" i="13"/>
  <c r="X584" i="13"/>
  <c r="Y584" i="13"/>
  <c r="AO584" i="13"/>
  <c r="D588" i="6"/>
  <c r="G588" i="6"/>
  <c r="H588" i="6" s="1"/>
  <c r="I588" i="6"/>
  <c r="N588" i="6"/>
  <c r="O1401" i="6" s="1"/>
  <c r="S588" i="6"/>
  <c r="U588" i="6" a="1"/>
  <c r="U588" i="6" s="1"/>
  <c r="N587" i="6"/>
  <c r="M587" i="6" s="1"/>
  <c r="D587" i="6"/>
  <c r="G587" i="6"/>
  <c r="H587" i="6" s="1"/>
  <c r="I587" i="6"/>
  <c r="S587" i="6"/>
  <c r="U587" i="6" a="1"/>
  <c r="U587" i="6" s="1"/>
  <c r="V587" i="6"/>
  <c r="D586" i="6"/>
  <c r="G586" i="6"/>
  <c r="H586" i="6" s="1"/>
  <c r="I586" i="6"/>
  <c r="N586" i="6"/>
  <c r="S586" i="6"/>
  <c r="V586" i="6"/>
  <c r="D585" i="6"/>
  <c r="G585" i="6"/>
  <c r="H585" i="6" s="1"/>
  <c r="I585" i="6"/>
  <c r="N585" i="6"/>
  <c r="M585" i="6" s="1"/>
  <c r="S585" i="6"/>
  <c r="V585" i="6"/>
  <c r="N584" i="6"/>
  <c r="D584" i="6"/>
  <c r="G584" i="6"/>
  <c r="H584" i="6" s="1"/>
  <c r="T918" i="6" s="1"/>
  <c r="I584" i="6"/>
  <c r="S584" i="6"/>
  <c r="V584" i="6"/>
  <c r="D583" i="6"/>
  <c r="G583" i="6"/>
  <c r="H583" i="6" s="1"/>
  <c r="I583" i="6"/>
  <c r="N583" i="6"/>
  <c r="M583" i="6" s="1"/>
  <c r="S583" i="6"/>
  <c r="U583" i="6" a="1"/>
  <c r="U583" i="6" s="1"/>
  <c r="V583" i="6"/>
  <c r="N582" i="6"/>
  <c r="D582" i="6"/>
  <c r="G582" i="6"/>
  <c r="H582" i="6" s="1"/>
  <c r="I582" i="6"/>
  <c r="S582" i="6"/>
  <c r="U582" i="6" a="1"/>
  <c r="U582" i="6" s="1"/>
  <c r="V582" i="6"/>
  <c r="F583" i="13"/>
  <c r="L583" i="13"/>
  <c r="N583" i="13" s="1"/>
  <c r="M583" i="13"/>
  <c r="R583" i="13" s="1"/>
  <c r="W583" i="13"/>
  <c r="X583" i="13"/>
  <c r="Y583" i="13"/>
  <c r="AO583" i="13"/>
  <c r="O1259" i="6" l="1"/>
  <c r="O1260" i="6"/>
  <c r="M588" i="6"/>
  <c r="O1261" i="6"/>
  <c r="T1024" i="6"/>
  <c r="V588" i="6"/>
  <c r="W1401" i="6" s="1"/>
  <c r="M595" i="6"/>
  <c r="M592" i="6"/>
  <c r="R584" i="13"/>
  <c r="O584" i="13"/>
  <c r="N584" i="13"/>
  <c r="E584" i="13"/>
  <c r="S584" i="13" s="1"/>
  <c r="O588" i="6"/>
  <c r="T584" i="13"/>
  <c r="M586" i="6"/>
  <c r="M584" i="6"/>
  <c r="M582" i="6"/>
  <c r="T583" i="13"/>
  <c r="AM583" i="13" a="1"/>
  <c r="AM583" i="13" s="1"/>
  <c r="AR583" i="13"/>
  <c r="Q583" i="13"/>
  <c r="P583" i="13"/>
  <c r="O583" i="13"/>
  <c r="N578" i="6"/>
  <c r="M578" i="6" s="1"/>
  <c r="N579" i="6"/>
  <c r="M579" i="6" s="1"/>
  <c r="N581" i="6"/>
  <c r="D581" i="6"/>
  <c r="G581" i="6"/>
  <c r="H581" i="6" s="1"/>
  <c r="I581" i="6"/>
  <c r="S581" i="6"/>
  <c r="U581" i="6" a="1"/>
  <c r="U581" i="6" s="1"/>
  <c r="D580" i="6"/>
  <c r="G580" i="6"/>
  <c r="H580" i="6" s="1"/>
  <c r="I580" i="6"/>
  <c r="S580" i="6"/>
  <c r="U580" i="6" a="1"/>
  <c r="U580" i="6" s="1"/>
  <c r="V580" i="6"/>
  <c r="D579" i="6"/>
  <c r="G579" i="6"/>
  <c r="H579" i="6" s="1"/>
  <c r="T1084" i="6" s="1"/>
  <c r="I579" i="6"/>
  <c r="S579" i="6"/>
  <c r="U579" i="6" a="1"/>
  <c r="U579" i="6" s="1"/>
  <c r="V579" i="6"/>
  <c r="D578" i="6"/>
  <c r="G578" i="6"/>
  <c r="H578" i="6" s="1"/>
  <c r="I578" i="6"/>
  <c r="S578" i="6"/>
  <c r="V578" i="6"/>
  <c r="N576" i="6"/>
  <c r="N577" i="6"/>
  <c r="D577" i="6"/>
  <c r="G577" i="6"/>
  <c r="H577" i="6" s="1"/>
  <c r="T848" i="6" s="1"/>
  <c r="I577" i="6"/>
  <c r="S577" i="6"/>
  <c r="U577" i="6" a="1"/>
  <c r="U577" i="6" s="1"/>
  <c r="V577" i="6"/>
  <c r="D576" i="6"/>
  <c r="G576" i="6"/>
  <c r="H576" i="6" s="1"/>
  <c r="I576" i="6"/>
  <c r="S576" i="6"/>
  <c r="U576" i="6" a="1"/>
  <c r="U576" i="6" s="1"/>
  <c r="V576" i="6"/>
  <c r="N575" i="6"/>
  <c r="M575" i="6" s="1"/>
  <c r="D575" i="6"/>
  <c r="G575" i="6"/>
  <c r="H575" i="6" s="1"/>
  <c r="I575" i="6"/>
  <c r="S575" i="6"/>
  <c r="U575" i="6" a="1"/>
  <c r="U575" i="6" s="1"/>
  <c r="V575" i="6"/>
  <c r="N574" i="6"/>
  <c r="V574" i="6" s="1"/>
  <c r="D574" i="6"/>
  <c r="G574" i="6"/>
  <c r="H574" i="6" s="1"/>
  <c r="I574" i="6"/>
  <c r="S574" i="6"/>
  <c r="U574" i="6" a="1"/>
  <c r="U574" i="6" s="1"/>
  <c r="D573" i="6"/>
  <c r="G573" i="6"/>
  <c r="H573" i="6" s="1"/>
  <c r="I573" i="6"/>
  <c r="S573" i="6"/>
  <c r="V573" i="6"/>
  <c r="N570" i="6"/>
  <c r="N572" i="6"/>
  <c r="D572" i="6"/>
  <c r="G572" i="6"/>
  <c r="H572" i="6" s="1"/>
  <c r="I572" i="6"/>
  <c r="S572" i="6"/>
  <c r="V572" i="6"/>
  <c r="D571" i="6"/>
  <c r="G571" i="6"/>
  <c r="H571" i="6" s="1"/>
  <c r="I571" i="6"/>
  <c r="S571" i="6"/>
  <c r="V571" i="6"/>
  <c r="D570" i="6"/>
  <c r="G570" i="6"/>
  <c r="H570" i="6" s="1"/>
  <c r="I570" i="6"/>
  <c r="S570" i="6"/>
  <c r="V570" i="6"/>
  <c r="D569" i="6"/>
  <c r="G569" i="6"/>
  <c r="H569" i="6" s="1"/>
  <c r="I569" i="6"/>
  <c r="N569" i="6"/>
  <c r="M569" i="6" s="1"/>
  <c r="S569" i="6"/>
  <c r="D568" i="6"/>
  <c r="G568" i="6"/>
  <c r="H568" i="6" s="1"/>
  <c r="I568" i="6"/>
  <c r="S568" i="6"/>
  <c r="V568" i="6"/>
  <c r="V581" i="6" l="1"/>
  <c r="W1494" i="6" s="1"/>
  <c r="O1494" i="6"/>
  <c r="W1260" i="6"/>
  <c r="W1259" i="6"/>
  <c r="R588" i="6"/>
  <c r="V584" i="13"/>
  <c r="Z584" i="13" s="1"/>
  <c r="W1261" i="6"/>
  <c r="O879" i="6"/>
  <c r="O940" i="6"/>
  <c r="W879" i="6"/>
  <c r="W940" i="6"/>
  <c r="O826" i="6"/>
  <c r="O828" i="6"/>
  <c r="O827" i="6"/>
  <c r="O829" i="6"/>
  <c r="O825" i="6"/>
  <c r="W826" i="6"/>
  <c r="W827" i="6"/>
  <c r="W825" i="6"/>
  <c r="W828" i="6"/>
  <c r="W829" i="6"/>
  <c r="V569" i="6"/>
  <c r="O713" i="6"/>
  <c r="O768" i="6"/>
  <c r="W713" i="6"/>
  <c r="W768" i="6"/>
  <c r="W624" i="6"/>
  <c r="O624" i="6"/>
  <c r="W588" i="6"/>
  <c r="V583" i="13"/>
  <c r="Z583" i="13" s="1"/>
  <c r="W622" i="6"/>
  <c r="W623" i="6"/>
  <c r="W620" i="6"/>
  <c r="E583" i="13"/>
  <c r="H583" i="13" s="1"/>
  <c r="O622" i="6"/>
  <c r="O623" i="6"/>
  <c r="O620" i="6"/>
  <c r="AA584" i="13"/>
  <c r="AS584" i="13" s="1"/>
  <c r="AT584" i="13" s="1"/>
  <c r="H584" i="13"/>
  <c r="Q584" i="13"/>
  <c r="AR584" i="13"/>
  <c r="G584" i="13"/>
  <c r="AQ584" i="13" s="1"/>
  <c r="O581" i="6"/>
  <c r="W581" i="6"/>
  <c r="N580" i="6"/>
  <c r="M580" i="6" s="1"/>
  <c r="M581" i="6"/>
  <c r="M577" i="6"/>
  <c r="N568" i="6"/>
  <c r="M568" i="6" s="1"/>
  <c r="M576" i="6"/>
  <c r="M574" i="6"/>
  <c r="N573" i="6"/>
  <c r="M573" i="6" s="1"/>
  <c r="N571" i="6"/>
  <c r="M572" i="6"/>
  <c r="M570" i="6"/>
  <c r="AB584" i="13" l="1"/>
  <c r="S583" i="13"/>
  <c r="AA583" i="13" s="1"/>
  <c r="AS583" i="13" s="1"/>
  <c r="AT583" i="13" s="1"/>
  <c r="G583" i="13"/>
  <c r="AQ583" i="13" s="1"/>
  <c r="AJ584" i="13"/>
  <c r="AK584" i="13"/>
  <c r="AP584" i="13"/>
  <c r="R581" i="6"/>
  <c r="M571" i="6"/>
  <c r="AB583" i="13" l="1"/>
  <c r="AJ583" i="13"/>
  <c r="AK583" i="13"/>
  <c r="AP583" i="13"/>
  <c r="D560" i="6"/>
  <c r="D561" i="6"/>
  <c r="D562" i="6"/>
  <c r="D563" i="6"/>
  <c r="D564" i="6"/>
  <c r="D565" i="6"/>
  <c r="D566" i="6"/>
  <c r="D567" i="6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I560" i="6"/>
  <c r="I561" i="6"/>
  <c r="I562" i="6"/>
  <c r="I563" i="6"/>
  <c r="I564" i="6"/>
  <c r="I565" i="6"/>
  <c r="I566" i="6"/>
  <c r="I567" i="6"/>
  <c r="N560" i="6"/>
  <c r="M560" i="6" s="1"/>
  <c r="N561" i="6"/>
  <c r="M561" i="6" s="1"/>
  <c r="N562" i="6"/>
  <c r="M562" i="6" s="1"/>
  <c r="N563" i="6"/>
  <c r="M563" i="6" s="1"/>
  <c r="N564" i="6"/>
  <c r="M564" i="6" s="1"/>
  <c r="N565" i="6"/>
  <c r="M565" i="6" s="1"/>
  <c r="N566" i="6"/>
  <c r="M566" i="6" s="1"/>
  <c r="N567" i="6"/>
  <c r="M567" i="6" s="1"/>
  <c r="S560" i="6"/>
  <c r="S561" i="6"/>
  <c r="S562" i="6"/>
  <c r="S563" i="6"/>
  <c r="S564" i="6"/>
  <c r="S565" i="6"/>
  <c r="S566" i="6"/>
  <c r="S567" i="6"/>
  <c r="U560" i="6" a="1"/>
  <c r="U560" i="6" s="1"/>
  <c r="U561" i="6" a="1"/>
  <c r="U561" i="6" s="1"/>
  <c r="U562" i="6" a="1"/>
  <c r="U562" i="6" s="1"/>
  <c r="U563" i="6" a="1"/>
  <c r="U563" i="6" s="1"/>
  <c r="U565" i="6" a="1"/>
  <c r="U565" i="6" s="1"/>
  <c r="U566" i="6" a="1"/>
  <c r="U566" i="6" s="1"/>
  <c r="U567" i="6" a="1"/>
  <c r="U567" i="6" s="1"/>
  <c r="V560" i="6"/>
  <c r="V561" i="6"/>
  <c r="V563" i="6"/>
  <c r="V564" i="6"/>
  <c r="V565" i="6"/>
  <c r="V566" i="6"/>
  <c r="V567" i="6"/>
  <c r="F582" i="13"/>
  <c r="L582" i="13"/>
  <c r="AM582" i="13" s="1" a="1"/>
  <c r="AM582" i="13" s="1"/>
  <c r="M582" i="13"/>
  <c r="R582" i="13" s="1"/>
  <c r="W582" i="13"/>
  <c r="X582" i="13"/>
  <c r="Y582" i="13"/>
  <c r="AO582" i="13"/>
  <c r="T787" i="6" l="1"/>
  <c r="V562" i="6"/>
  <c r="P582" i="13"/>
  <c r="T582" i="13"/>
  <c r="O582" i="13"/>
  <c r="N582" i="13"/>
  <c r="N559" i="6"/>
  <c r="D559" i="6"/>
  <c r="G559" i="6"/>
  <c r="H559" i="6" s="1"/>
  <c r="I559" i="6"/>
  <c r="S559" i="6"/>
  <c r="U559" i="6" a="1"/>
  <c r="U559" i="6" s="1"/>
  <c r="V559" i="6"/>
  <c r="V582" i="13" l="1"/>
  <c r="Z582" i="13" s="1"/>
  <c r="W625" i="6"/>
  <c r="E582" i="13"/>
  <c r="S582" i="13" s="1"/>
  <c r="AA582" i="13" s="1"/>
  <c r="O625" i="6"/>
  <c r="W559" i="6"/>
  <c r="O559" i="6"/>
  <c r="Q582" i="13"/>
  <c r="AR582" i="13"/>
  <c r="M559" i="6"/>
  <c r="F580" i="13"/>
  <c r="F581" i="13"/>
  <c r="L580" i="13"/>
  <c r="N580" i="13" s="1"/>
  <c r="L581" i="13"/>
  <c r="N581" i="13" s="1"/>
  <c r="M580" i="13"/>
  <c r="P580" i="13" s="1"/>
  <c r="M581" i="13"/>
  <c r="R581" i="13" s="1"/>
  <c r="W580" i="13"/>
  <c r="W581" i="13"/>
  <c r="X580" i="13"/>
  <c r="X581" i="13"/>
  <c r="Y580" i="13"/>
  <c r="Y581" i="13"/>
  <c r="AO580" i="13"/>
  <c r="AO581" i="13"/>
  <c r="D558" i="6"/>
  <c r="G558" i="6"/>
  <c r="H558" i="6" s="1"/>
  <c r="I558" i="6"/>
  <c r="S558" i="6"/>
  <c r="U558" i="6" a="1"/>
  <c r="U558" i="6" s="1"/>
  <c r="V558" i="6"/>
  <c r="D557" i="6"/>
  <c r="G557" i="6"/>
  <c r="H557" i="6" s="1"/>
  <c r="I557" i="6"/>
  <c r="N557" i="6"/>
  <c r="M557" i="6" s="1"/>
  <c r="S557" i="6"/>
  <c r="U557" i="6" a="1"/>
  <c r="U557" i="6" s="1"/>
  <c r="V557" i="6" l="1"/>
  <c r="AB582" i="13"/>
  <c r="W558" i="6"/>
  <c r="W988" i="6"/>
  <c r="AK582" i="13"/>
  <c r="H582" i="13"/>
  <c r="G582" i="13"/>
  <c r="AQ582" i="13" s="1"/>
  <c r="R559" i="6"/>
  <c r="AS582" i="13"/>
  <c r="AT582" i="13" s="1"/>
  <c r="AP582" i="13"/>
  <c r="AJ582" i="13"/>
  <c r="O580" i="13"/>
  <c r="AM581" i="13" a="1"/>
  <c r="AM581" i="13" s="1"/>
  <c r="AM580" i="13" a="1"/>
  <c r="AM580" i="13" s="1"/>
  <c r="N558" i="6"/>
  <c r="Q581" i="13"/>
  <c r="AR581" i="13"/>
  <c r="O581" i="13"/>
  <c r="P581" i="13"/>
  <c r="T581" i="13"/>
  <c r="Q580" i="13"/>
  <c r="AR580" i="13"/>
  <c r="T580" i="13"/>
  <c r="R580" i="13"/>
  <c r="O558" i="6" l="1"/>
  <c r="O988" i="6"/>
  <c r="M558" i="6"/>
  <c r="R558" i="6" l="1"/>
  <c r="D556" i="6"/>
  <c r="G556" i="6"/>
  <c r="H556" i="6" s="1"/>
  <c r="I556" i="6"/>
  <c r="N556" i="6"/>
  <c r="O1456" i="6" s="1"/>
  <c r="R1456" i="6" s="1"/>
  <c r="S556" i="6"/>
  <c r="U556" i="6" a="1"/>
  <c r="U556" i="6" s="1"/>
  <c r="V556" i="6"/>
  <c r="W1456" i="6" s="1"/>
  <c r="D555" i="6"/>
  <c r="G555" i="6"/>
  <c r="H555" i="6" s="1"/>
  <c r="I555" i="6"/>
  <c r="N555" i="6"/>
  <c r="O1158" i="6" s="1"/>
  <c r="S555" i="6"/>
  <c r="U555" i="6" a="1"/>
  <c r="U555" i="6" s="1"/>
  <c r="V555" i="6"/>
  <c r="D554" i="6"/>
  <c r="G554" i="6"/>
  <c r="H554" i="6" s="1"/>
  <c r="I554" i="6"/>
  <c r="N554" i="6"/>
  <c r="M554" i="6" s="1"/>
  <c r="S554" i="6"/>
  <c r="U554" i="6" a="1"/>
  <c r="U554" i="6" s="1"/>
  <c r="V554" i="6"/>
  <c r="U514" i="6" a="1"/>
  <c r="U514" i="6" s="1"/>
  <c r="V514" i="6"/>
  <c r="W1501" i="6" s="1"/>
  <c r="U516" i="6" a="1"/>
  <c r="U516" i="6" s="1"/>
  <c r="U517" i="6" a="1"/>
  <c r="U517" i="6" s="1"/>
  <c r="V517" i="6"/>
  <c r="U518" i="6" a="1"/>
  <c r="U518" i="6" s="1"/>
  <c r="V518" i="6"/>
  <c r="U519" i="6" a="1"/>
  <c r="U519" i="6" s="1"/>
  <c r="V519" i="6"/>
  <c r="U520" i="6" a="1"/>
  <c r="U520" i="6" s="1"/>
  <c r="U521" i="6" a="1"/>
  <c r="U521" i="6" s="1"/>
  <c r="U522" i="6" a="1"/>
  <c r="U522" i="6" s="1"/>
  <c r="V522" i="6"/>
  <c r="U523" i="6" a="1"/>
  <c r="U523" i="6" s="1"/>
  <c r="U524" i="6" a="1"/>
  <c r="U524" i="6" s="1"/>
  <c r="V524" i="6"/>
  <c r="U525" i="6" a="1"/>
  <c r="U525" i="6" s="1"/>
  <c r="V525" i="6"/>
  <c r="V526" i="6"/>
  <c r="U527" i="6" a="1"/>
  <c r="U527" i="6" s="1"/>
  <c r="V527" i="6"/>
  <c r="U528" i="6" a="1"/>
  <c r="U528" i="6" s="1"/>
  <c r="U529" i="6" a="1"/>
  <c r="U529" i="6" s="1"/>
  <c r="U530" i="6" a="1"/>
  <c r="U530" i="6" s="1"/>
  <c r="V530" i="6"/>
  <c r="U531" i="6" a="1"/>
  <c r="U531" i="6" s="1"/>
  <c r="V531" i="6"/>
  <c r="U532" i="6" a="1"/>
  <c r="U532" i="6" s="1"/>
  <c r="V532" i="6"/>
  <c r="U533" i="6" a="1"/>
  <c r="U533" i="6" s="1"/>
  <c r="V533" i="6"/>
  <c r="W1320" i="6" s="1"/>
  <c r="U534" i="6" a="1"/>
  <c r="U534" i="6" s="1"/>
  <c r="U535" i="6" a="1"/>
  <c r="U535" i="6" s="1"/>
  <c r="V535" i="6"/>
  <c r="U536" i="6" a="1"/>
  <c r="U536" i="6" s="1"/>
  <c r="V536" i="6"/>
  <c r="U537" i="6" a="1"/>
  <c r="U537" i="6" s="1"/>
  <c r="V537" i="6"/>
  <c r="U538" i="6" a="1"/>
  <c r="U538" i="6" s="1"/>
  <c r="U539" i="6" a="1"/>
  <c r="U539" i="6" s="1"/>
  <c r="V539" i="6"/>
  <c r="U540" i="6" a="1"/>
  <c r="U540" i="6" s="1"/>
  <c r="V540" i="6"/>
  <c r="W1223" i="6" s="1"/>
  <c r="U541" i="6" a="1"/>
  <c r="U541" i="6" s="1"/>
  <c r="V541" i="6"/>
  <c r="U542" i="6" a="1"/>
  <c r="U542" i="6" s="1"/>
  <c r="V542" i="6"/>
  <c r="U543" i="6" a="1"/>
  <c r="U543" i="6" s="1"/>
  <c r="V543" i="6"/>
  <c r="W1143" i="6" s="1"/>
  <c r="U544" i="6" a="1"/>
  <c r="U544" i="6" s="1"/>
  <c r="V544" i="6"/>
  <c r="W1240" i="6" s="1"/>
  <c r="U545" i="6" a="1"/>
  <c r="U545" i="6" s="1"/>
  <c r="V545" i="6"/>
  <c r="W545" i="6" s="1"/>
  <c r="U546" i="6" a="1"/>
  <c r="U546" i="6" s="1"/>
  <c r="U547" i="6" a="1"/>
  <c r="U547" i="6" s="1"/>
  <c r="V547" i="6"/>
  <c r="U548" i="6" a="1"/>
  <c r="U548" i="6" s="1"/>
  <c r="V548" i="6"/>
  <c r="U549" i="6" a="1"/>
  <c r="U549" i="6" s="1"/>
  <c r="U550" i="6" a="1"/>
  <c r="U550" i="6" s="1"/>
  <c r="V550" i="6"/>
  <c r="W1037" i="6" s="1"/>
  <c r="V551" i="6"/>
  <c r="V552" i="6"/>
  <c r="U553" i="6" a="1"/>
  <c r="U553" i="6" s="1"/>
  <c r="W1029" i="6" l="1"/>
  <c r="W1441" i="6"/>
  <c r="O1029" i="6"/>
  <c r="O1441" i="6"/>
  <c r="W1057" i="6"/>
  <c r="W1089" i="6"/>
  <c r="W1197" i="6"/>
  <c r="V580" i="13"/>
  <c r="Z580" i="13" s="1"/>
  <c r="W1158" i="6"/>
  <c r="W1044" i="6"/>
  <c r="W533" i="6"/>
  <c r="W539" i="6"/>
  <c r="W1028" i="6"/>
  <c r="W540" i="6"/>
  <c r="W1017" i="6"/>
  <c r="W745" i="6"/>
  <c r="W931" i="6"/>
  <c r="W838" i="6"/>
  <c r="W917" i="6"/>
  <c r="W514" i="6"/>
  <c r="W812" i="6"/>
  <c r="W550" i="6"/>
  <c r="W785" i="6"/>
  <c r="T770" i="6"/>
  <c r="O556" i="6"/>
  <c r="O743" i="6"/>
  <c r="V581" i="13"/>
  <c r="Z581" i="13" s="1"/>
  <c r="W743" i="6"/>
  <c r="W518" i="6"/>
  <c r="W721" i="6"/>
  <c r="W544" i="6"/>
  <c r="W704" i="6"/>
  <c r="W547" i="6"/>
  <c r="W664" i="6"/>
  <c r="W541" i="6"/>
  <c r="W646" i="6"/>
  <c r="W532" i="6"/>
  <c r="W613" i="6"/>
  <c r="W543" i="6"/>
  <c r="W594" i="6"/>
  <c r="W537" i="6"/>
  <c r="W578" i="6"/>
  <c r="W524" i="6"/>
  <c r="W572" i="6"/>
  <c r="W522" i="6"/>
  <c r="W570" i="6"/>
  <c r="W556" i="6"/>
  <c r="W555" i="6"/>
  <c r="M555" i="6"/>
  <c r="E580" i="13"/>
  <c r="O555" i="6"/>
  <c r="M556" i="6"/>
  <c r="E581" i="13"/>
  <c r="D553" i="6"/>
  <c r="G553" i="6"/>
  <c r="H553" i="6" s="1"/>
  <c r="I553" i="6"/>
  <c r="N553" i="6"/>
  <c r="O1304" i="6" s="1"/>
  <c r="S553" i="6"/>
  <c r="D552" i="6"/>
  <c r="G552" i="6"/>
  <c r="H552" i="6" s="1"/>
  <c r="I552" i="6"/>
  <c r="N552" i="6"/>
  <c r="F467" i="13" s="1"/>
  <c r="S552" i="6"/>
  <c r="D551" i="6"/>
  <c r="G551" i="6"/>
  <c r="H551" i="6" s="1"/>
  <c r="I551" i="6"/>
  <c r="N551" i="6"/>
  <c r="F546" i="13" s="1"/>
  <c r="S551" i="6"/>
  <c r="D550" i="6"/>
  <c r="G550" i="6"/>
  <c r="H550" i="6" s="1"/>
  <c r="I550" i="6"/>
  <c r="N550" i="6"/>
  <c r="O1037" i="6" s="1"/>
  <c r="S550" i="6"/>
  <c r="D549" i="6"/>
  <c r="G549" i="6"/>
  <c r="H549" i="6" s="1"/>
  <c r="I549" i="6"/>
  <c r="N549" i="6"/>
  <c r="S549" i="6"/>
  <c r="D548" i="6"/>
  <c r="G548" i="6"/>
  <c r="H548" i="6" s="1"/>
  <c r="I548" i="6"/>
  <c r="N548" i="6"/>
  <c r="S548" i="6"/>
  <c r="D547" i="6"/>
  <c r="G547" i="6"/>
  <c r="H547" i="6" s="1"/>
  <c r="I547" i="6"/>
  <c r="N547" i="6"/>
  <c r="S547" i="6"/>
  <c r="D546" i="6"/>
  <c r="G546" i="6"/>
  <c r="H546" i="6" s="1"/>
  <c r="I546" i="6"/>
  <c r="N546" i="6"/>
  <c r="V546" i="6" s="1"/>
  <c r="S546" i="6"/>
  <c r="E143" i="25"/>
  <c r="J149" i="25" s="1"/>
  <c r="J7" i="25"/>
  <c r="J6" i="25" a="1"/>
  <c r="J6" i="25" s="1"/>
  <c r="Z3" i="15"/>
  <c r="G583" i="15" s="1"/>
  <c r="Z2" i="15"/>
  <c r="Y96" i="13"/>
  <c r="Y102" i="13"/>
  <c r="Y132" i="13"/>
  <c r="Y59" i="13"/>
  <c r="Y502" i="13"/>
  <c r="Y453" i="13"/>
  <c r="Y252" i="13"/>
  <c r="Y53" i="13"/>
  <c r="Y480" i="13"/>
  <c r="Y477" i="13"/>
  <c r="Y510" i="13"/>
  <c r="Y39" i="13"/>
  <c r="Y471" i="13"/>
  <c r="Y472" i="13"/>
  <c r="Y90" i="13"/>
  <c r="W477" i="13"/>
  <c r="P1" i="16"/>
  <c r="K1" i="16"/>
  <c r="T545" i="6"/>
  <c r="S545" i="6"/>
  <c r="N545" i="6"/>
  <c r="M545" i="6" s="1"/>
  <c r="I545" i="6"/>
  <c r="G545" i="6"/>
  <c r="H545" i="6" s="1"/>
  <c r="D545" i="6"/>
  <c r="T544" i="6"/>
  <c r="S544" i="6"/>
  <c r="N544" i="6"/>
  <c r="O1240" i="6" s="1"/>
  <c r="I544" i="6"/>
  <c r="G544" i="6"/>
  <c r="D544" i="6"/>
  <c r="T543" i="6"/>
  <c r="S543" i="6"/>
  <c r="N543" i="6"/>
  <c r="O1143" i="6" s="1"/>
  <c r="R1143" i="6" s="1"/>
  <c r="I543" i="6"/>
  <c r="G543" i="6"/>
  <c r="H543" i="6" s="1"/>
  <c r="D543" i="6"/>
  <c r="T542" i="6"/>
  <c r="S542" i="6"/>
  <c r="N542" i="6"/>
  <c r="M542" i="6" s="1"/>
  <c r="I542" i="6"/>
  <c r="G542" i="6"/>
  <c r="H542" i="6" s="1"/>
  <c r="D542" i="6"/>
  <c r="T541" i="6"/>
  <c r="S541" i="6"/>
  <c r="N541" i="6"/>
  <c r="I541" i="6"/>
  <c r="G541" i="6"/>
  <c r="H541" i="6" s="1"/>
  <c r="D541" i="6"/>
  <c r="T540" i="6"/>
  <c r="S540" i="6"/>
  <c r="N540" i="6"/>
  <c r="I540" i="6"/>
  <c r="G540" i="6"/>
  <c r="H540" i="6" s="1"/>
  <c r="D540" i="6"/>
  <c r="T539" i="6"/>
  <c r="S539" i="6"/>
  <c r="N539" i="6"/>
  <c r="I539" i="6"/>
  <c r="G539" i="6"/>
  <c r="H539" i="6" s="1"/>
  <c r="D539" i="6"/>
  <c r="T538" i="6"/>
  <c r="S538" i="6"/>
  <c r="N538" i="6"/>
  <c r="O1088" i="6" s="1"/>
  <c r="I538" i="6"/>
  <c r="G538" i="6"/>
  <c r="H538" i="6" s="1"/>
  <c r="D538" i="6"/>
  <c r="T537" i="6"/>
  <c r="S537" i="6"/>
  <c r="N537" i="6"/>
  <c r="I537" i="6"/>
  <c r="G537" i="6"/>
  <c r="H537" i="6" s="1"/>
  <c r="D537" i="6"/>
  <c r="T536" i="6"/>
  <c r="S536" i="6"/>
  <c r="N536" i="6"/>
  <c r="M536" i="6" s="1"/>
  <c r="I536" i="6"/>
  <c r="G536" i="6"/>
  <c r="H536" i="6" s="1"/>
  <c r="D536" i="6"/>
  <c r="T535" i="6"/>
  <c r="S535" i="6"/>
  <c r="N535" i="6"/>
  <c r="M535" i="6" s="1"/>
  <c r="I535" i="6"/>
  <c r="G535" i="6"/>
  <c r="H535" i="6" s="1"/>
  <c r="D535" i="6"/>
  <c r="T534" i="6"/>
  <c r="S534" i="6"/>
  <c r="N534" i="6"/>
  <c r="O1056" i="6" s="1"/>
  <c r="I534" i="6"/>
  <c r="G534" i="6"/>
  <c r="H534" i="6" s="1"/>
  <c r="D534" i="6"/>
  <c r="T533" i="6"/>
  <c r="S533" i="6"/>
  <c r="N533" i="6"/>
  <c r="O1320" i="6" s="1"/>
  <c r="R1320" i="6" s="1"/>
  <c r="I533" i="6"/>
  <c r="G533" i="6"/>
  <c r="H533" i="6" s="1"/>
  <c r="D533" i="6"/>
  <c r="T532" i="6"/>
  <c r="S532" i="6"/>
  <c r="N532" i="6"/>
  <c r="I532" i="6"/>
  <c r="G532" i="6"/>
  <c r="H532" i="6" s="1"/>
  <c r="D532" i="6"/>
  <c r="T531" i="6"/>
  <c r="S531" i="6"/>
  <c r="N531" i="6"/>
  <c r="M531" i="6" s="1"/>
  <c r="I531" i="6"/>
  <c r="G531" i="6"/>
  <c r="H531" i="6" s="1"/>
  <c r="D531" i="6"/>
  <c r="T530" i="6"/>
  <c r="S530" i="6"/>
  <c r="N530" i="6"/>
  <c r="M530" i="6" s="1"/>
  <c r="I530" i="6"/>
  <c r="G530" i="6"/>
  <c r="H530" i="6" s="1"/>
  <c r="D530" i="6"/>
  <c r="T529" i="6"/>
  <c r="S529" i="6"/>
  <c r="N529" i="6"/>
  <c r="O1024" i="6" s="1"/>
  <c r="I529" i="6"/>
  <c r="G529" i="6"/>
  <c r="H529" i="6" s="1"/>
  <c r="D529" i="6"/>
  <c r="T528" i="6"/>
  <c r="S528" i="6"/>
  <c r="N528" i="6"/>
  <c r="I528" i="6"/>
  <c r="G528" i="6"/>
  <c r="H528" i="6" s="1"/>
  <c r="D528" i="6"/>
  <c r="T527" i="6"/>
  <c r="S527" i="6"/>
  <c r="N527" i="6"/>
  <c r="M527" i="6" s="1"/>
  <c r="I527" i="6"/>
  <c r="G527" i="6"/>
  <c r="H527" i="6" s="1"/>
  <c r="D527" i="6"/>
  <c r="S526" i="6"/>
  <c r="N526" i="6"/>
  <c r="I526" i="6"/>
  <c r="G526" i="6"/>
  <c r="H526" i="6" s="1"/>
  <c r="D526" i="6"/>
  <c r="T525" i="6"/>
  <c r="S525" i="6"/>
  <c r="N525" i="6"/>
  <c r="M525" i="6" s="1"/>
  <c r="I525" i="6"/>
  <c r="G525" i="6"/>
  <c r="H525" i="6" s="1"/>
  <c r="D525" i="6"/>
  <c r="T524" i="6"/>
  <c r="S524" i="6"/>
  <c r="N524" i="6"/>
  <c r="I524" i="6"/>
  <c r="G524" i="6"/>
  <c r="H524" i="6" s="1"/>
  <c r="D524" i="6"/>
  <c r="T523" i="6"/>
  <c r="S523" i="6"/>
  <c r="N523" i="6"/>
  <c r="I523" i="6"/>
  <c r="G523" i="6"/>
  <c r="H523" i="6" s="1"/>
  <c r="D523" i="6"/>
  <c r="T522" i="6"/>
  <c r="S522" i="6"/>
  <c r="N522" i="6"/>
  <c r="I522" i="6"/>
  <c r="G522" i="6"/>
  <c r="H522" i="6" s="1"/>
  <c r="D522" i="6"/>
  <c r="T521" i="6"/>
  <c r="S521" i="6"/>
  <c r="N521" i="6"/>
  <c r="I521" i="6"/>
  <c r="G521" i="6"/>
  <c r="H521" i="6" s="1"/>
  <c r="D521" i="6"/>
  <c r="T520" i="6"/>
  <c r="S520" i="6"/>
  <c r="N520" i="6"/>
  <c r="V520" i="6" s="1"/>
  <c r="W520" i="6" s="1"/>
  <c r="I520" i="6"/>
  <c r="G520" i="6"/>
  <c r="H520" i="6" s="1"/>
  <c r="D520" i="6"/>
  <c r="T519" i="6"/>
  <c r="S519" i="6"/>
  <c r="N519" i="6"/>
  <c r="M519" i="6" s="1"/>
  <c r="I519" i="6"/>
  <c r="G519" i="6"/>
  <c r="H519" i="6" s="1"/>
  <c r="D519" i="6"/>
  <c r="T518" i="6"/>
  <c r="S518" i="6"/>
  <c r="N518" i="6"/>
  <c r="I518" i="6"/>
  <c r="G518" i="6"/>
  <c r="H518" i="6" s="1"/>
  <c r="D518" i="6"/>
  <c r="T517" i="6"/>
  <c r="S517" i="6"/>
  <c r="N517" i="6"/>
  <c r="M517" i="6" s="1"/>
  <c r="I517" i="6"/>
  <c r="G517" i="6"/>
  <c r="H517" i="6" s="1"/>
  <c r="D517" i="6"/>
  <c r="T516" i="6"/>
  <c r="S516" i="6"/>
  <c r="N516" i="6"/>
  <c r="O1091" i="6" s="1"/>
  <c r="R1091" i="6" s="1"/>
  <c r="I516" i="6"/>
  <c r="G516" i="6"/>
  <c r="H516" i="6" s="1"/>
  <c r="D516" i="6"/>
  <c r="S515" i="6"/>
  <c r="N515" i="6"/>
  <c r="V515" i="6" s="1"/>
  <c r="I515" i="6"/>
  <c r="G515" i="6"/>
  <c r="D515" i="6"/>
  <c r="T514" i="6"/>
  <c r="S514" i="6"/>
  <c r="N514" i="6"/>
  <c r="O1501" i="6" s="1"/>
  <c r="I514" i="6"/>
  <c r="G514" i="6"/>
  <c r="H514" i="6" s="1"/>
  <c r="D514" i="6"/>
  <c r="V513" i="6"/>
  <c r="W630" i="6" s="1"/>
  <c r="U513" i="6" a="1"/>
  <c r="U513" i="6" s="1"/>
  <c r="T513" i="6"/>
  <c r="S513" i="6"/>
  <c r="N513" i="6"/>
  <c r="I513" i="6"/>
  <c r="G513" i="6"/>
  <c r="H513" i="6" s="1"/>
  <c r="D513" i="6"/>
  <c r="U512" i="6" a="1"/>
  <c r="U512" i="6" s="1"/>
  <c r="T512" i="6"/>
  <c r="S512" i="6"/>
  <c r="N512" i="6"/>
  <c r="M512" i="6" s="1"/>
  <c r="I512" i="6"/>
  <c r="G512" i="6"/>
  <c r="H512" i="6" s="1"/>
  <c r="D512" i="6"/>
  <c r="U511" i="6" a="1"/>
  <c r="U511" i="6" s="1"/>
  <c r="T511" i="6"/>
  <c r="S511" i="6"/>
  <c r="N511" i="6"/>
  <c r="M511" i="6" s="1"/>
  <c r="I511" i="6"/>
  <c r="G511" i="6"/>
  <c r="H511" i="6" s="1"/>
  <c r="D511" i="6"/>
  <c r="U510" i="6" a="1"/>
  <c r="U510" i="6" s="1"/>
  <c r="T510" i="6"/>
  <c r="S510" i="6"/>
  <c r="N510" i="6"/>
  <c r="V510" i="6" s="1"/>
  <c r="I510" i="6"/>
  <c r="G510" i="6"/>
  <c r="H510" i="6" s="1"/>
  <c r="D510" i="6"/>
  <c r="U509" i="6" a="1"/>
  <c r="U509" i="6" s="1"/>
  <c r="T509" i="6"/>
  <c r="S509" i="6"/>
  <c r="N509" i="6"/>
  <c r="I509" i="6"/>
  <c r="G509" i="6"/>
  <c r="H509" i="6" s="1"/>
  <c r="D509" i="6"/>
  <c r="V508" i="6"/>
  <c r="U508" i="6" a="1"/>
  <c r="U508" i="6" s="1"/>
  <c r="T508" i="6"/>
  <c r="S508" i="6"/>
  <c r="N508" i="6"/>
  <c r="M508" i="6" s="1"/>
  <c r="I508" i="6"/>
  <c r="G508" i="6"/>
  <c r="H508" i="6" s="1"/>
  <c r="D508" i="6"/>
  <c r="V507" i="6"/>
  <c r="S507" i="6"/>
  <c r="N507" i="6"/>
  <c r="M507" i="6" s="1"/>
  <c r="I507" i="6"/>
  <c r="G507" i="6"/>
  <c r="H507" i="6" s="1"/>
  <c r="D507" i="6"/>
  <c r="V506" i="6"/>
  <c r="U506" i="6" a="1"/>
  <c r="U506" i="6" s="1"/>
  <c r="T506" i="6"/>
  <c r="S506" i="6"/>
  <c r="N506" i="6"/>
  <c r="I506" i="6"/>
  <c r="G506" i="6"/>
  <c r="H506" i="6" s="1"/>
  <c r="D506" i="6"/>
  <c r="U505" i="6" a="1"/>
  <c r="U505" i="6" s="1"/>
  <c r="T505" i="6"/>
  <c r="S505" i="6"/>
  <c r="N505" i="6"/>
  <c r="M505" i="6" s="1"/>
  <c r="I505" i="6"/>
  <c r="G505" i="6"/>
  <c r="H505" i="6" s="1"/>
  <c r="D505" i="6"/>
  <c r="V504" i="6"/>
  <c r="U504" i="6" a="1"/>
  <c r="U504" i="6" s="1"/>
  <c r="T504" i="6"/>
  <c r="S504" i="6"/>
  <c r="N504" i="6"/>
  <c r="M504" i="6" s="1"/>
  <c r="I504" i="6"/>
  <c r="G504" i="6"/>
  <c r="H504" i="6" s="1"/>
  <c r="D504" i="6"/>
  <c r="U503" i="6" a="1"/>
  <c r="U503" i="6" s="1"/>
  <c r="T503" i="6"/>
  <c r="S503" i="6"/>
  <c r="N503" i="6"/>
  <c r="O1140" i="6" s="1"/>
  <c r="I503" i="6"/>
  <c r="G503" i="6"/>
  <c r="H503" i="6" s="1"/>
  <c r="D503" i="6"/>
  <c r="V502" i="6"/>
  <c r="X506" i="13" s="1"/>
  <c r="S502" i="6"/>
  <c r="N502" i="6"/>
  <c r="M502" i="6" s="1"/>
  <c r="I502" i="6"/>
  <c r="G502" i="6"/>
  <c r="D502" i="6"/>
  <c r="U501" i="6" a="1"/>
  <c r="U501" i="6" s="1"/>
  <c r="T501" i="6"/>
  <c r="S501" i="6"/>
  <c r="N501" i="6"/>
  <c r="I501" i="6"/>
  <c r="G501" i="6"/>
  <c r="H501" i="6" s="1"/>
  <c r="D501" i="6"/>
  <c r="V500" i="6"/>
  <c r="U500" i="6" a="1"/>
  <c r="U500" i="6" s="1"/>
  <c r="T500" i="6"/>
  <c r="S500" i="6"/>
  <c r="N500" i="6"/>
  <c r="M500" i="6" s="1"/>
  <c r="I500" i="6"/>
  <c r="G500" i="6"/>
  <c r="H500" i="6" s="1"/>
  <c r="D500" i="6"/>
  <c r="V499" i="6"/>
  <c r="S499" i="6"/>
  <c r="N499" i="6"/>
  <c r="M499" i="6" s="1"/>
  <c r="I499" i="6"/>
  <c r="G499" i="6"/>
  <c r="H499" i="6" s="1"/>
  <c r="D499" i="6"/>
  <c r="V498" i="6"/>
  <c r="S498" i="6"/>
  <c r="N498" i="6"/>
  <c r="M498" i="6" s="1"/>
  <c r="I498" i="6"/>
  <c r="G498" i="6"/>
  <c r="D498" i="6"/>
  <c r="V497" i="6"/>
  <c r="U497" i="6" a="1"/>
  <c r="U497" i="6" s="1"/>
  <c r="T497" i="6"/>
  <c r="S497" i="6"/>
  <c r="N497" i="6"/>
  <c r="M497" i="6" s="1"/>
  <c r="I497" i="6"/>
  <c r="G497" i="6"/>
  <c r="H497" i="6" s="1"/>
  <c r="D497" i="6"/>
  <c r="U496" i="6" a="1"/>
  <c r="U496" i="6" s="1"/>
  <c r="T496" i="6"/>
  <c r="S496" i="6"/>
  <c r="N496" i="6"/>
  <c r="I496" i="6"/>
  <c r="G496" i="6"/>
  <c r="H496" i="6" s="1"/>
  <c r="D496" i="6"/>
  <c r="V495" i="6"/>
  <c r="S495" i="6"/>
  <c r="N495" i="6"/>
  <c r="I495" i="6"/>
  <c r="G495" i="6"/>
  <c r="H495" i="6" s="1"/>
  <c r="D495" i="6"/>
  <c r="U494" i="6" a="1"/>
  <c r="U494" i="6" s="1"/>
  <c r="T494" i="6"/>
  <c r="S494" i="6"/>
  <c r="N494" i="6"/>
  <c r="I494" i="6"/>
  <c r="G494" i="6"/>
  <c r="D494" i="6"/>
  <c r="V493" i="6"/>
  <c r="X538" i="13" s="1"/>
  <c r="S493" i="6"/>
  <c r="N493" i="6"/>
  <c r="M493" i="6" s="1"/>
  <c r="I493" i="6"/>
  <c r="G493" i="6"/>
  <c r="H493" i="6" s="1"/>
  <c r="D493" i="6"/>
  <c r="V492" i="6"/>
  <c r="U492" i="6" a="1"/>
  <c r="U492" i="6" s="1"/>
  <c r="T492" i="6"/>
  <c r="S492" i="6"/>
  <c r="N492" i="6"/>
  <c r="M492" i="6" s="1"/>
  <c r="I492" i="6"/>
  <c r="G492" i="6"/>
  <c r="H492" i="6" s="1"/>
  <c r="D492" i="6"/>
  <c r="V491" i="6"/>
  <c r="U491" i="6" a="1"/>
  <c r="U491" i="6" s="1"/>
  <c r="T491" i="6"/>
  <c r="S491" i="6"/>
  <c r="N491" i="6"/>
  <c r="I491" i="6"/>
  <c r="G491" i="6"/>
  <c r="H491" i="6" s="1"/>
  <c r="D491" i="6"/>
  <c r="V490" i="6"/>
  <c r="U490" i="6" a="1"/>
  <c r="U490" i="6" s="1"/>
  <c r="T490" i="6"/>
  <c r="S490" i="6"/>
  <c r="N490" i="6"/>
  <c r="I490" i="6"/>
  <c r="G490" i="6"/>
  <c r="D490" i="6"/>
  <c r="V489" i="6"/>
  <c r="U489" i="6" a="1"/>
  <c r="U489" i="6" s="1"/>
  <c r="T489" i="6"/>
  <c r="S489" i="6"/>
  <c r="N489" i="6"/>
  <c r="I489" i="6"/>
  <c r="G489" i="6"/>
  <c r="H489" i="6" s="1"/>
  <c r="D489" i="6"/>
  <c r="U488" i="6" a="1"/>
  <c r="U488" i="6" s="1"/>
  <c r="T488" i="6"/>
  <c r="S488" i="6"/>
  <c r="N488" i="6"/>
  <c r="I488" i="6"/>
  <c r="G488" i="6"/>
  <c r="H488" i="6" s="1"/>
  <c r="D488" i="6"/>
  <c r="V487" i="6"/>
  <c r="S487" i="6"/>
  <c r="N487" i="6"/>
  <c r="I487" i="6"/>
  <c r="G487" i="6"/>
  <c r="H487" i="6" s="1"/>
  <c r="D487" i="6"/>
  <c r="V486" i="6"/>
  <c r="X424" i="13" s="1"/>
  <c r="S486" i="6"/>
  <c r="N486" i="6"/>
  <c r="I486" i="6"/>
  <c r="G486" i="6"/>
  <c r="D486" i="6"/>
  <c r="V485" i="6"/>
  <c r="U485" i="6" a="1"/>
  <c r="U485" i="6" s="1"/>
  <c r="T485" i="6"/>
  <c r="S485" i="6"/>
  <c r="N485" i="6"/>
  <c r="M485" i="6" s="1"/>
  <c r="I485" i="6"/>
  <c r="G485" i="6"/>
  <c r="H485" i="6" s="1"/>
  <c r="D485" i="6"/>
  <c r="V484" i="6"/>
  <c r="W1127" i="6" s="1"/>
  <c r="U484" i="6" a="1"/>
  <c r="U484" i="6" s="1"/>
  <c r="T484" i="6"/>
  <c r="S484" i="6"/>
  <c r="N484" i="6"/>
  <c r="O1127" i="6" s="1"/>
  <c r="I484" i="6"/>
  <c r="G484" i="6"/>
  <c r="H484" i="6" s="1"/>
  <c r="D484" i="6"/>
  <c r="V483" i="6"/>
  <c r="U483" i="6" a="1"/>
  <c r="U483" i="6" s="1"/>
  <c r="T483" i="6"/>
  <c r="S483" i="6"/>
  <c r="N483" i="6"/>
  <c r="M483" i="6" s="1"/>
  <c r="I483" i="6"/>
  <c r="G483" i="6"/>
  <c r="H483" i="6" s="1"/>
  <c r="D483" i="6"/>
  <c r="U482" i="6" a="1"/>
  <c r="U482" i="6" s="1"/>
  <c r="T482" i="6"/>
  <c r="S482" i="6"/>
  <c r="N482" i="6"/>
  <c r="I482" i="6"/>
  <c r="G482" i="6"/>
  <c r="H482" i="6" s="1"/>
  <c r="D482" i="6"/>
  <c r="V481" i="6"/>
  <c r="X96" i="13" s="1"/>
  <c r="S481" i="6"/>
  <c r="N481" i="6"/>
  <c r="M481" i="6" s="1"/>
  <c r="I481" i="6"/>
  <c r="G481" i="6"/>
  <c r="H481" i="6" s="1"/>
  <c r="D481" i="6"/>
  <c r="V480" i="6"/>
  <c r="X216" i="13" s="1"/>
  <c r="S480" i="6"/>
  <c r="N480" i="6"/>
  <c r="M480" i="6" s="1"/>
  <c r="I480" i="6"/>
  <c r="G480" i="6"/>
  <c r="H480" i="6" s="1"/>
  <c r="D480" i="6"/>
  <c r="V479" i="6"/>
  <c r="S479" i="6"/>
  <c r="N479" i="6"/>
  <c r="M479" i="6" s="1"/>
  <c r="I479" i="6"/>
  <c r="G479" i="6"/>
  <c r="H479" i="6" s="1"/>
  <c r="D479" i="6"/>
  <c r="V478" i="6"/>
  <c r="U478" i="6" a="1"/>
  <c r="U478" i="6" s="1"/>
  <c r="T478" i="6"/>
  <c r="S478" i="6"/>
  <c r="N478" i="6"/>
  <c r="M478" i="6" s="1"/>
  <c r="I478" i="6"/>
  <c r="G478" i="6"/>
  <c r="H478" i="6" s="1"/>
  <c r="D478" i="6"/>
  <c r="V477" i="6"/>
  <c r="U477" i="6" a="1"/>
  <c r="U477" i="6" s="1"/>
  <c r="T477" i="6"/>
  <c r="S477" i="6"/>
  <c r="N477" i="6"/>
  <c r="M477" i="6" s="1"/>
  <c r="I477" i="6"/>
  <c r="G477" i="6"/>
  <c r="H477" i="6" s="1"/>
  <c r="D477" i="6"/>
  <c r="V476" i="6"/>
  <c r="W1315" i="6" s="1"/>
  <c r="U476" i="6" a="1"/>
  <c r="U476" i="6" s="1"/>
  <c r="T476" i="6"/>
  <c r="S476" i="6"/>
  <c r="N476" i="6"/>
  <c r="O1315" i="6" s="1"/>
  <c r="I476" i="6"/>
  <c r="G476" i="6"/>
  <c r="H476" i="6" s="1"/>
  <c r="D476" i="6"/>
  <c r="U475" i="6" a="1"/>
  <c r="U475" i="6" s="1"/>
  <c r="T475" i="6"/>
  <c r="S475" i="6"/>
  <c r="N475" i="6"/>
  <c r="O1213" i="6" s="1"/>
  <c r="I475" i="6"/>
  <c r="G475" i="6"/>
  <c r="H475" i="6" s="1"/>
  <c r="D475" i="6"/>
  <c r="V474" i="6"/>
  <c r="U474" i="6" a="1"/>
  <c r="U474" i="6" s="1"/>
  <c r="T474" i="6"/>
  <c r="S474" i="6"/>
  <c r="N474" i="6"/>
  <c r="M474" i="6" s="1"/>
  <c r="I474" i="6"/>
  <c r="G474" i="6"/>
  <c r="H474" i="6" s="1"/>
  <c r="D474" i="6"/>
  <c r="V473" i="6"/>
  <c r="U473" i="6" a="1"/>
  <c r="U473" i="6" s="1"/>
  <c r="T473" i="6"/>
  <c r="S473" i="6"/>
  <c r="N473" i="6"/>
  <c r="M473" i="6" s="1"/>
  <c r="I473" i="6"/>
  <c r="G473" i="6"/>
  <c r="H473" i="6" s="1"/>
  <c r="D473" i="6"/>
  <c r="U472" i="6" a="1"/>
  <c r="U472" i="6" s="1"/>
  <c r="T472" i="6"/>
  <c r="S472" i="6"/>
  <c r="N472" i="6"/>
  <c r="V472" i="6" s="1"/>
  <c r="I472" i="6"/>
  <c r="G472" i="6"/>
  <c r="H472" i="6" s="1"/>
  <c r="D472" i="6"/>
  <c r="V471" i="6"/>
  <c r="U471" i="6" a="1"/>
  <c r="U471" i="6" s="1"/>
  <c r="T471" i="6"/>
  <c r="S471" i="6"/>
  <c r="N471" i="6"/>
  <c r="I471" i="6"/>
  <c r="G471" i="6"/>
  <c r="H471" i="6" s="1"/>
  <c r="D471" i="6"/>
  <c r="U470" i="6" a="1"/>
  <c r="U470" i="6" s="1"/>
  <c r="T470" i="6"/>
  <c r="S470" i="6"/>
  <c r="N470" i="6"/>
  <c r="V470" i="6" s="1"/>
  <c r="I470" i="6"/>
  <c r="G470" i="6"/>
  <c r="D470" i="6"/>
  <c r="U469" i="6" a="1"/>
  <c r="U469" i="6" s="1"/>
  <c r="T469" i="6"/>
  <c r="S469" i="6"/>
  <c r="N469" i="6"/>
  <c r="O1497" i="6" s="1"/>
  <c r="I469" i="6"/>
  <c r="G469" i="6"/>
  <c r="H469" i="6" s="1"/>
  <c r="D469" i="6"/>
  <c r="U468" i="6" a="1"/>
  <c r="U468" i="6" s="1"/>
  <c r="T468" i="6"/>
  <c r="S468" i="6"/>
  <c r="N468" i="6"/>
  <c r="I468" i="6"/>
  <c r="G468" i="6"/>
  <c r="H468" i="6" s="1"/>
  <c r="D468" i="6"/>
  <c r="V467" i="6"/>
  <c r="W1132" i="6" s="1"/>
  <c r="U467" i="6" a="1"/>
  <c r="U467" i="6" s="1"/>
  <c r="T467" i="6"/>
  <c r="S467" i="6"/>
  <c r="N467" i="6"/>
  <c r="O1132" i="6" s="1"/>
  <c r="I467" i="6"/>
  <c r="G467" i="6"/>
  <c r="H467" i="6" s="1"/>
  <c r="D467" i="6"/>
  <c r="V466" i="6"/>
  <c r="U466" i="6" a="1"/>
  <c r="U466" i="6" s="1"/>
  <c r="T466" i="6"/>
  <c r="S466" i="6"/>
  <c r="N466" i="6"/>
  <c r="O466" i="6" s="1"/>
  <c r="I466" i="6"/>
  <c r="G466" i="6"/>
  <c r="D466" i="6"/>
  <c r="V465" i="6"/>
  <c r="V549" i="13" s="1"/>
  <c r="U465" i="6" a="1"/>
  <c r="U465" i="6" s="1"/>
  <c r="T465" i="6"/>
  <c r="S465" i="6"/>
  <c r="N465" i="6"/>
  <c r="M465" i="6" s="1"/>
  <c r="I465" i="6"/>
  <c r="G465" i="6"/>
  <c r="H465" i="6" s="1"/>
  <c r="D465" i="6"/>
  <c r="V464" i="6"/>
  <c r="U464" i="6" a="1"/>
  <c r="U464" i="6" s="1"/>
  <c r="T464" i="6"/>
  <c r="S464" i="6"/>
  <c r="N464" i="6"/>
  <c r="M464" i="6" s="1"/>
  <c r="I464" i="6"/>
  <c r="G464" i="6"/>
  <c r="H464" i="6" s="1"/>
  <c r="D464" i="6"/>
  <c r="V463" i="6"/>
  <c r="X150" i="13" s="1"/>
  <c r="S463" i="6"/>
  <c r="N463" i="6"/>
  <c r="M463" i="6" s="1"/>
  <c r="I463" i="6"/>
  <c r="G463" i="6"/>
  <c r="H463" i="6" s="1"/>
  <c r="D463" i="6"/>
  <c r="V462" i="6"/>
  <c r="U462" i="6" a="1"/>
  <c r="U462" i="6" s="1"/>
  <c r="T462" i="6"/>
  <c r="S462" i="6"/>
  <c r="N462" i="6"/>
  <c r="M462" i="6" s="1"/>
  <c r="I462" i="6"/>
  <c r="G462" i="6"/>
  <c r="H462" i="6" s="1"/>
  <c r="D462" i="6"/>
  <c r="U461" i="6" a="1"/>
  <c r="U461" i="6" s="1"/>
  <c r="T461" i="6"/>
  <c r="S461" i="6"/>
  <c r="N461" i="6"/>
  <c r="M461" i="6" s="1"/>
  <c r="I461" i="6"/>
  <c r="G461" i="6"/>
  <c r="H461" i="6" s="1"/>
  <c r="D461" i="6"/>
  <c r="U460" i="6" a="1"/>
  <c r="U460" i="6" s="1"/>
  <c r="T460" i="6"/>
  <c r="S460" i="6"/>
  <c r="N460" i="6"/>
  <c r="M460" i="6" s="1"/>
  <c r="I460" i="6"/>
  <c r="G460" i="6"/>
  <c r="H460" i="6" s="1"/>
  <c r="D460" i="6"/>
  <c r="U459" i="6" a="1"/>
  <c r="U459" i="6" s="1"/>
  <c r="T459" i="6"/>
  <c r="S459" i="6"/>
  <c r="N459" i="6"/>
  <c r="M459" i="6" s="1"/>
  <c r="I459" i="6"/>
  <c r="G459" i="6"/>
  <c r="H459" i="6" s="1"/>
  <c r="D459" i="6"/>
  <c r="U458" i="6" a="1"/>
  <c r="U458" i="6" s="1"/>
  <c r="T458" i="6"/>
  <c r="S458" i="6"/>
  <c r="N458" i="6"/>
  <c r="I458" i="6"/>
  <c r="G458" i="6"/>
  <c r="H458" i="6" s="1"/>
  <c r="D458" i="6"/>
  <c r="V457" i="6"/>
  <c r="U457" i="6" a="1"/>
  <c r="U457" i="6" s="1"/>
  <c r="T457" i="6"/>
  <c r="S457" i="6"/>
  <c r="N457" i="6"/>
  <c r="M457" i="6" s="1"/>
  <c r="I457" i="6"/>
  <c r="G457" i="6"/>
  <c r="H457" i="6" s="1"/>
  <c r="D457" i="6"/>
  <c r="V456" i="6"/>
  <c r="U456" i="6" a="1"/>
  <c r="U456" i="6" s="1"/>
  <c r="T456" i="6"/>
  <c r="S456" i="6"/>
  <c r="N456" i="6"/>
  <c r="M456" i="6" s="1"/>
  <c r="I456" i="6"/>
  <c r="G456" i="6"/>
  <c r="H456" i="6" s="1"/>
  <c r="D456" i="6"/>
  <c r="U455" i="6" a="1"/>
  <c r="U455" i="6" s="1"/>
  <c r="T455" i="6"/>
  <c r="S455" i="6"/>
  <c r="N455" i="6"/>
  <c r="I455" i="6"/>
  <c r="G455" i="6"/>
  <c r="H455" i="6" s="1"/>
  <c r="D455" i="6"/>
  <c r="V454" i="6"/>
  <c r="W1492" i="6" s="1"/>
  <c r="U454" i="6" a="1"/>
  <c r="U454" i="6" s="1"/>
  <c r="T454" i="6"/>
  <c r="S454" i="6"/>
  <c r="N454" i="6"/>
  <c r="I454" i="6"/>
  <c r="G454" i="6"/>
  <c r="D454" i="6"/>
  <c r="V453" i="6"/>
  <c r="U453" i="6" a="1"/>
  <c r="U453" i="6" s="1"/>
  <c r="T453" i="6"/>
  <c r="S453" i="6"/>
  <c r="N453" i="6"/>
  <c r="M453" i="6" s="1"/>
  <c r="I453" i="6"/>
  <c r="G453" i="6"/>
  <c r="H453" i="6" s="1"/>
  <c r="D453" i="6"/>
  <c r="V452" i="6"/>
  <c r="U452" i="6" a="1"/>
  <c r="U452" i="6" s="1"/>
  <c r="T452" i="6"/>
  <c r="S452" i="6"/>
  <c r="N452" i="6"/>
  <c r="M452" i="6" s="1"/>
  <c r="I452" i="6"/>
  <c r="G452" i="6"/>
  <c r="H452" i="6" s="1"/>
  <c r="D452" i="6"/>
  <c r="V451" i="6"/>
  <c r="U451" i="6" a="1"/>
  <c r="U451" i="6" s="1"/>
  <c r="T451" i="6"/>
  <c r="S451" i="6"/>
  <c r="N451" i="6"/>
  <c r="I451" i="6"/>
  <c r="G451" i="6"/>
  <c r="H451" i="6" s="1"/>
  <c r="D451" i="6"/>
  <c r="V450" i="6"/>
  <c r="U450" i="6" a="1"/>
  <c r="U450" i="6" s="1"/>
  <c r="T450" i="6"/>
  <c r="S450" i="6"/>
  <c r="N450" i="6"/>
  <c r="M450" i="6" s="1"/>
  <c r="I450" i="6"/>
  <c r="G450" i="6"/>
  <c r="H450" i="6" s="1"/>
  <c r="D450" i="6"/>
  <c r="U449" i="6" a="1"/>
  <c r="U449" i="6" s="1"/>
  <c r="T449" i="6"/>
  <c r="S449" i="6"/>
  <c r="N449" i="6"/>
  <c r="O1230" i="6" s="1"/>
  <c r="I449" i="6"/>
  <c r="G449" i="6"/>
  <c r="H449" i="6" s="1"/>
  <c r="T900" i="6" s="1"/>
  <c r="D449" i="6"/>
  <c r="V448" i="6"/>
  <c r="X525" i="13" s="1"/>
  <c r="S448" i="6"/>
  <c r="N448" i="6"/>
  <c r="M448" i="6" s="1"/>
  <c r="I448" i="6"/>
  <c r="G448" i="6"/>
  <c r="D448" i="6"/>
  <c r="U447" i="6" a="1"/>
  <c r="U447" i="6" s="1"/>
  <c r="T447" i="6"/>
  <c r="S447" i="6"/>
  <c r="N447" i="6"/>
  <c r="O862" i="6" s="1"/>
  <c r="I447" i="6"/>
  <c r="G447" i="6"/>
  <c r="H447" i="6" s="1"/>
  <c r="D447" i="6"/>
  <c r="V446" i="6"/>
  <c r="U446" i="6" a="1"/>
  <c r="U446" i="6" s="1"/>
  <c r="T446" i="6"/>
  <c r="S446" i="6"/>
  <c r="N446" i="6"/>
  <c r="I446" i="6"/>
  <c r="G446" i="6"/>
  <c r="H446" i="6" s="1"/>
  <c r="D446" i="6"/>
  <c r="V445" i="6"/>
  <c r="U445" i="6" a="1"/>
  <c r="U445" i="6" s="1"/>
  <c r="T445" i="6"/>
  <c r="S445" i="6"/>
  <c r="N445" i="6"/>
  <c r="M445" i="6" s="1"/>
  <c r="I445" i="6"/>
  <c r="G445" i="6"/>
  <c r="H445" i="6" s="1"/>
  <c r="D445" i="6"/>
  <c r="U444" i="6" a="1"/>
  <c r="U444" i="6" s="1"/>
  <c r="T444" i="6"/>
  <c r="S444" i="6"/>
  <c r="N444" i="6"/>
  <c r="V444" i="6" s="1"/>
  <c r="I444" i="6"/>
  <c r="G444" i="6"/>
  <c r="H444" i="6" s="1"/>
  <c r="D444" i="6"/>
  <c r="S443" i="6"/>
  <c r="N443" i="6"/>
  <c r="M443" i="6" s="1"/>
  <c r="I443" i="6"/>
  <c r="G443" i="6"/>
  <c r="H443" i="6" s="1"/>
  <c r="D443" i="6"/>
  <c r="V442" i="6"/>
  <c r="X455" i="13" s="1"/>
  <c r="S442" i="6"/>
  <c r="N442" i="6"/>
  <c r="I442" i="6"/>
  <c r="G442" i="6"/>
  <c r="H442" i="6" s="1"/>
  <c r="D442" i="6"/>
  <c r="V441" i="6"/>
  <c r="U441" i="6" a="1"/>
  <c r="U441" i="6" s="1"/>
  <c r="T441" i="6"/>
  <c r="S441" i="6"/>
  <c r="N441" i="6"/>
  <c r="M441" i="6" s="1"/>
  <c r="I441" i="6"/>
  <c r="G441" i="6"/>
  <c r="H441" i="6" s="1"/>
  <c r="D441" i="6"/>
  <c r="U440" i="6" a="1"/>
  <c r="U440" i="6" s="1"/>
  <c r="T440" i="6"/>
  <c r="S440" i="6"/>
  <c r="N440" i="6"/>
  <c r="E539" i="13" s="1"/>
  <c r="H539" i="13" s="1"/>
  <c r="I440" i="6"/>
  <c r="G440" i="6"/>
  <c r="D440" i="6"/>
  <c r="V439" i="6"/>
  <c r="U439" i="6" a="1"/>
  <c r="U439" i="6" s="1"/>
  <c r="T439" i="6"/>
  <c r="S439" i="6"/>
  <c r="N439" i="6"/>
  <c r="M439" i="6" s="1"/>
  <c r="I439" i="6"/>
  <c r="G439" i="6"/>
  <c r="H439" i="6" s="1"/>
  <c r="D439" i="6"/>
  <c r="U438" i="6" a="1"/>
  <c r="U438" i="6" s="1"/>
  <c r="T438" i="6"/>
  <c r="S438" i="6"/>
  <c r="N438" i="6"/>
  <c r="V438" i="6" s="1"/>
  <c r="I438" i="6"/>
  <c r="G438" i="6"/>
  <c r="H438" i="6" s="1"/>
  <c r="D438" i="6"/>
  <c r="V437" i="6"/>
  <c r="U437" i="6" a="1"/>
  <c r="U437" i="6" s="1"/>
  <c r="T437" i="6"/>
  <c r="S437" i="6"/>
  <c r="N437" i="6"/>
  <c r="M437" i="6" s="1"/>
  <c r="I437" i="6"/>
  <c r="G437" i="6"/>
  <c r="H437" i="6" s="1"/>
  <c r="D437" i="6"/>
  <c r="V436" i="6"/>
  <c r="U436" i="6" a="1"/>
  <c r="U436" i="6" s="1"/>
  <c r="T436" i="6"/>
  <c r="S436" i="6"/>
  <c r="N436" i="6"/>
  <c r="M436" i="6" s="1"/>
  <c r="I436" i="6"/>
  <c r="G436" i="6"/>
  <c r="H436" i="6" s="1"/>
  <c r="D436" i="6"/>
  <c r="V435" i="6"/>
  <c r="U435" i="6" a="1"/>
  <c r="U435" i="6" s="1"/>
  <c r="T435" i="6"/>
  <c r="S435" i="6"/>
  <c r="N435" i="6"/>
  <c r="I435" i="6"/>
  <c r="G435" i="6"/>
  <c r="H435" i="6" s="1"/>
  <c r="D435" i="6"/>
  <c r="V434" i="6"/>
  <c r="U434" i="6" a="1"/>
  <c r="U434" i="6" s="1"/>
  <c r="T434" i="6"/>
  <c r="S434" i="6"/>
  <c r="N434" i="6"/>
  <c r="M434" i="6" s="1"/>
  <c r="I434" i="6"/>
  <c r="G434" i="6"/>
  <c r="H434" i="6" s="1"/>
  <c r="D434" i="6"/>
  <c r="V433" i="6"/>
  <c r="U433" i="6" a="1"/>
  <c r="U433" i="6" s="1"/>
  <c r="T433" i="6"/>
  <c r="S433" i="6"/>
  <c r="N433" i="6"/>
  <c r="M433" i="6" s="1"/>
  <c r="I433" i="6"/>
  <c r="G433" i="6"/>
  <c r="H433" i="6" s="1"/>
  <c r="D433" i="6"/>
  <c r="V432" i="6"/>
  <c r="U432" i="6" a="1"/>
  <c r="U432" i="6" s="1"/>
  <c r="T432" i="6"/>
  <c r="S432" i="6"/>
  <c r="N432" i="6"/>
  <c r="M432" i="6" s="1"/>
  <c r="I432" i="6"/>
  <c r="G432" i="6"/>
  <c r="D432" i="6"/>
  <c r="V431" i="6"/>
  <c r="U431" i="6" a="1"/>
  <c r="U431" i="6" s="1"/>
  <c r="T431" i="6"/>
  <c r="S431" i="6"/>
  <c r="N431" i="6"/>
  <c r="M431" i="6" s="1"/>
  <c r="I431" i="6"/>
  <c r="G431" i="6"/>
  <c r="H431" i="6" s="1"/>
  <c r="D431" i="6"/>
  <c r="V430" i="6"/>
  <c r="U430" i="6" a="1"/>
  <c r="U430" i="6" s="1"/>
  <c r="T430" i="6"/>
  <c r="S430" i="6"/>
  <c r="N430" i="6"/>
  <c r="M430" i="6" s="1"/>
  <c r="I430" i="6"/>
  <c r="G430" i="6"/>
  <c r="H430" i="6" s="1"/>
  <c r="D430" i="6"/>
  <c r="V429" i="6"/>
  <c r="U429" i="6" a="1"/>
  <c r="U429" i="6" s="1"/>
  <c r="T429" i="6"/>
  <c r="S429" i="6"/>
  <c r="N429" i="6"/>
  <c r="M429" i="6" s="1"/>
  <c r="I429" i="6"/>
  <c r="G429" i="6"/>
  <c r="H429" i="6" s="1"/>
  <c r="D429" i="6"/>
  <c r="V428" i="6"/>
  <c r="X161" i="13" s="1"/>
  <c r="S428" i="6"/>
  <c r="N428" i="6"/>
  <c r="M428" i="6" s="1"/>
  <c r="I428" i="6"/>
  <c r="G428" i="6"/>
  <c r="D428" i="6"/>
  <c r="U427" i="6" a="1"/>
  <c r="U427" i="6" s="1"/>
  <c r="T427" i="6"/>
  <c r="S427" i="6"/>
  <c r="N427" i="6"/>
  <c r="M427" i="6" s="1"/>
  <c r="I427" i="6"/>
  <c r="G427" i="6"/>
  <c r="H427" i="6" s="1"/>
  <c r="D427" i="6"/>
  <c r="V426" i="6"/>
  <c r="X83" i="13" s="1"/>
  <c r="S426" i="6"/>
  <c r="N426" i="6"/>
  <c r="F83" i="13" s="1"/>
  <c r="I426" i="6"/>
  <c r="G426" i="6"/>
  <c r="H426" i="6" s="1"/>
  <c r="D426" i="6"/>
  <c r="V425" i="6"/>
  <c r="X520" i="13" s="1"/>
  <c r="S425" i="6"/>
  <c r="N425" i="6"/>
  <c r="F520" i="13" s="1"/>
  <c r="I425" i="6"/>
  <c r="G425" i="6"/>
  <c r="D425" i="6"/>
  <c r="V424" i="6"/>
  <c r="U424" i="6" a="1"/>
  <c r="U424" i="6" s="1"/>
  <c r="T424" i="6"/>
  <c r="S424" i="6"/>
  <c r="N424" i="6"/>
  <c r="M424" i="6" s="1"/>
  <c r="I424" i="6"/>
  <c r="G424" i="6"/>
  <c r="H424" i="6" s="1"/>
  <c r="D424" i="6"/>
  <c r="V423" i="6"/>
  <c r="U423" i="6" a="1"/>
  <c r="U423" i="6" s="1"/>
  <c r="T423" i="6"/>
  <c r="S423" i="6"/>
  <c r="N423" i="6"/>
  <c r="M423" i="6" s="1"/>
  <c r="I423" i="6"/>
  <c r="G423" i="6"/>
  <c r="H423" i="6" s="1"/>
  <c r="D423" i="6"/>
  <c r="V422" i="6"/>
  <c r="U422" i="6" a="1"/>
  <c r="U422" i="6" s="1"/>
  <c r="T422" i="6"/>
  <c r="S422" i="6"/>
  <c r="N422" i="6"/>
  <c r="M422" i="6" s="1"/>
  <c r="I422" i="6"/>
  <c r="G422" i="6"/>
  <c r="H422" i="6" s="1"/>
  <c r="D422" i="6"/>
  <c r="V421" i="6"/>
  <c r="X70" i="13" s="1"/>
  <c r="S421" i="6"/>
  <c r="N421" i="6"/>
  <c r="I421" i="6"/>
  <c r="G421" i="6"/>
  <c r="D421" i="6"/>
  <c r="V420" i="6"/>
  <c r="S420" i="6"/>
  <c r="N420" i="6"/>
  <c r="M420" i="6" s="1"/>
  <c r="I420" i="6"/>
  <c r="G420" i="6"/>
  <c r="D420" i="6"/>
  <c r="V419" i="6"/>
  <c r="S419" i="6"/>
  <c r="N419" i="6"/>
  <c r="M419" i="6" s="1"/>
  <c r="I419" i="6"/>
  <c r="G419" i="6"/>
  <c r="D419" i="6"/>
  <c r="V418" i="6"/>
  <c r="S418" i="6"/>
  <c r="N418" i="6"/>
  <c r="I418" i="6"/>
  <c r="G418" i="6"/>
  <c r="H418" i="6" s="1"/>
  <c r="D418" i="6"/>
  <c r="V417" i="6"/>
  <c r="U417" i="6" a="1"/>
  <c r="U417" i="6" s="1"/>
  <c r="T417" i="6"/>
  <c r="S417" i="6"/>
  <c r="N417" i="6"/>
  <c r="M417" i="6" s="1"/>
  <c r="I417" i="6"/>
  <c r="G417" i="6"/>
  <c r="H417" i="6" s="1"/>
  <c r="D417" i="6"/>
  <c r="V416" i="6"/>
  <c r="U416" i="6" a="1"/>
  <c r="U416" i="6" s="1"/>
  <c r="T416" i="6"/>
  <c r="S416" i="6"/>
  <c r="N416" i="6"/>
  <c r="M416" i="6" s="1"/>
  <c r="I416" i="6"/>
  <c r="G416" i="6"/>
  <c r="H416" i="6" s="1"/>
  <c r="D416" i="6"/>
  <c r="V415" i="6"/>
  <c r="U415" i="6" a="1"/>
  <c r="U415" i="6" s="1"/>
  <c r="T415" i="6"/>
  <c r="S415" i="6"/>
  <c r="N415" i="6"/>
  <c r="E535" i="13" s="1"/>
  <c r="I415" i="6"/>
  <c r="G415" i="6"/>
  <c r="H415" i="6" s="1"/>
  <c r="D415" i="6"/>
  <c r="V414" i="6"/>
  <c r="U414" i="6" a="1"/>
  <c r="U414" i="6" s="1"/>
  <c r="T414" i="6"/>
  <c r="S414" i="6"/>
  <c r="N414" i="6"/>
  <c r="M414" i="6" s="1"/>
  <c r="I414" i="6"/>
  <c r="G414" i="6"/>
  <c r="H414" i="6" s="1"/>
  <c r="D414" i="6"/>
  <c r="V413" i="6"/>
  <c r="U413" i="6" a="1"/>
  <c r="U413" i="6" s="1"/>
  <c r="T413" i="6"/>
  <c r="S413" i="6"/>
  <c r="N413" i="6"/>
  <c r="M413" i="6" s="1"/>
  <c r="I413" i="6"/>
  <c r="G413" i="6"/>
  <c r="H413" i="6" s="1"/>
  <c r="D413" i="6"/>
  <c r="V412" i="6"/>
  <c r="X412" i="13" s="1"/>
  <c r="S412" i="6"/>
  <c r="N412" i="6"/>
  <c r="F412" i="13" s="1"/>
  <c r="I412" i="6"/>
  <c r="G412" i="6"/>
  <c r="D412" i="6"/>
  <c r="V411" i="6"/>
  <c r="U411" i="6" a="1"/>
  <c r="U411" i="6" s="1"/>
  <c r="T411" i="6"/>
  <c r="S411" i="6"/>
  <c r="N411" i="6"/>
  <c r="M411" i="6" s="1"/>
  <c r="I411" i="6"/>
  <c r="G411" i="6"/>
  <c r="H411" i="6" s="1"/>
  <c r="D411" i="6"/>
  <c r="V410" i="6"/>
  <c r="W410" i="6" s="1"/>
  <c r="U410" i="6" a="1"/>
  <c r="U410" i="6" s="1"/>
  <c r="T410" i="6"/>
  <c r="S410" i="6"/>
  <c r="N410" i="6"/>
  <c r="M410" i="6" s="1"/>
  <c r="I410" i="6"/>
  <c r="G410" i="6"/>
  <c r="H410" i="6" s="1"/>
  <c r="D410" i="6"/>
  <c r="V409" i="6"/>
  <c r="S409" i="6"/>
  <c r="N409" i="6"/>
  <c r="I409" i="6"/>
  <c r="G409" i="6"/>
  <c r="D409" i="6"/>
  <c r="V408" i="6"/>
  <c r="S408" i="6"/>
  <c r="N408" i="6"/>
  <c r="M408" i="6" s="1"/>
  <c r="I408" i="6"/>
  <c r="G408" i="6"/>
  <c r="D408" i="6"/>
  <c r="V407" i="6"/>
  <c r="U407" i="6" a="1"/>
  <c r="U407" i="6" s="1"/>
  <c r="T407" i="6"/>
  <c r="S407" i="6"/>
  <c r="N407" i="6"/>
  <c r="M407" i="6" s="1"/>
  <c r="I407" i="6"/>
  <c r="G407" i="6"/>
  <c r="H407" i="6" s="1"/>
  <c r="D407" i="6"/>
  <c r="U406" i="6" a="1"/>
  <c r="U406" i="6" s="1"/>
  <c r="T406" i="6"/>
  <c r="S406" i="6"/>
  <c r="N406" i="6"/>
  <c r="V406" i="6" s="1"/>
  <c r="I406" i="6"/>
  <c r="G406" i="6"/>
  <c r="H406" i="6" s="1"/>
  <c r="D406" i="6"/>
  <c r="V405" i="6"/>
  <c r="U405" i="6" a="1"/>
  <c r="U405" i="6" s="1"/>
  <c r="T405" i="6"/>
  <c r="S405" i="6"/>
  <c r="N405" i="6"/>
  <c r="M405" i="6" s="1"/>
  <c r="I405" i="6"/>
  <c r="G405" i="6"/>
  <c r="H405" i="6" s="1"/>
  <c r="D405" i="6"/>
  <c r="V404" i="6"/>
  <c r="U404" i="6" a="1"/>
  <c r="U404" i="6" s="1"/>
  <c r="T404" i="6"/>
  <c r="S404" i="6"/>
  <c r="N404" i="6"/>
  <c r="M404" i="6" s="1"/>
  <c r="I404" i="6"/>
  <c r="G404" i="6"/>
  <c r="H404" i="6" s="1"/>
  <c r="D404" i="6"/>
  <c r="V403" i="6"/>
  <c r="X263" i="13" s="1"/>
  <c r="S403" i="6"/>
  <c r="N403" i="6"/>
  <c r="M403" i="6" s="1"/>
  <c r="I403" i="6"/>
  <c r="G403" i="6"/>
  <c r="H403" i="6" s="1"/>
  <c r="T1109" i="6" s="1"/>
  <c r="D403" i="6"/>
  <c r="V402" i="6"/>
  <c r="U402" i="6" a="1"/>
  <c r="U402" i="6" s="1"/>
  <c r="T402" i="6"/>
  <c r="S402" i="6"/>
  <c r="N402" i="6"/>
  <c r="M402" i="6" s="1"/>
  <c r="I402" i="6"/>
  <c r="G402" i="6"/>
  <c r="H402" i="6" s="1"/>
  <c r="D402" i="6"/>
  <c r="V401" i="6"/>
  <c r="U401" i="6" a="1"/>
  <c r="U401" i="6" s="1"/>
  <c r="T401" i="6"/>
  <c r="S401" i="6"/>
  <c r="N401" i="6"/>
  <c r="M401" i="6" s="1"/>
  <c r="I401" i="6"/>
  <c r="G401" i="6"/>
  <c r="H401" i="6" s="1"/>
  <c r="D401" i="6"/>
  <c r="V400" i="6"/>
  <c r="U400" i="6" a="1"/>
  <c r="U400" i="6" s="1"/>
  <c r="T400" i="6"/>
  <c r="S400" i="6"/>
  <c r="N400" i="6"/>
  <c r="M400" i="6" s="1"/>
  <c r="I400" i="6"/>
  <c r="G400" i="6"/>
  <c r="H400" i="6" s="1"/>
  <c r="D400" i="6"/>
  <c r="V399" i="6"/>
  <c r="W872" i="6" s="1"/>
  <c r="U399" i="6" a="1"/>
  <c r="U399" i="6" s="1"/>
  <c r="T399" i="6"/>
  <c r="S399" i="6"/>
  <c r="N399" i="6"/>
  <c r="I399" i="6"/>
  <c r="G399" i="6"/>
  <c r="H399" i="6" s="1"/>
  <c r="D399" i="6"/>
  <c r="V398" i="6"/>
  <c r="U398" i="6" a="1"/>
  <c r="U398" i="6" s="1"/>
  <c r="T398" i="6"/>
  <c r="S398" i="6"/>
  <c r="N398" i="6"/>
  <c r="O1368" i="6" s="1"/>
  <c r="R1368" i="6" s="1"/>
  <c r="I398" i="6"/>
  <c r="G398" i="6"/>
  <c r="H398" i="6" s="1"/>
  <c r="D398" i="6"/>
  <c r="V397" i="6"/>
  <c r="U397" i="6" a="1"/>
  <c r="U397" i="6" s="1"/>
  <c r="T397" i="6"/>
  <c r="S397" i="6"/>
  <c r="N397" i="6"/>
  <c r="M397" i="6" s="1"/>
  <c r="I397" i="6"/>
  <c r="G397" i="6"/>
  <c r="H397" i="6" s="1"/>
  <c r="D397" i="6"/>
  <c r="V396" i="6"/>
  <c r="U396" i="6" a="1"/>
  <c r="U396" i="6" s="1"/>
  <c r="T396" i="6"/>
  <c r="S396" i="6"/>
  <c r="N396" i="6"/>
  <c r="M396" i="6" s="1"/>
  <c r="I396" i="6"/>
  <c r="G396" i="6"/>
  <c r="H396" i="6" s="1"/>
  <c r="D396" i="6"/>
  <c r="V395" i="6"/>
  <c r="U395" i="6" a="1"/>
  <c r="U395" i="6" s="1"/>
  <c r="T395" i="6"/>
  <c r="S395" i="6"/>
  <c r="N395" i="6"/>
  <c r="M395" i="6" s="1"/>
  <c r="I395" i="6"/>
  <c r="G395" i="6"/>
  <c r="H395" i="6" s="1"/>
  <c r="D395" i="6"/>
  <c r="V394" i="6"/>
  <c r="U394" i="6" a="1"/>
  <c r="U394" i="6" s="1"/>
  <c r="T394" i="6"/>
  <c r="S394" i="6"/>
  <c r="N394" i="6"/>
  <c r="I394" i="6"/>
  <c r="G394" i="6"/>
  <c r="H394" i="6" s="1"/>
  <c r="D394" i="6"/>
  <c r="V393" i="6"/>
  <c r="U393" i="6" a="1"/>
  <c r="U393" i="6" s="1"/>
  <c r="T393" i="6"/>
  <c r="S393" i="6"/>
  <c r="N393" i="6"/>
  <c r="M393" i="6" s="1"/>
  <c r="I393" i="6"/>
  <c r="G393" i="6"/>
  <c r="H393" i="6" s="1"/>
  <c r="D393" i="6"/>
  <c r="U392" i="6" a="1"/>
  <c r="U392" i="6" s="1"/>
  <c r="T392" i="6"/>
  <c r="S392" i="6"/>
  <c r="N392" i="6"/>
  <c r="V392" i="6" s="1"/>
  <c r="I392" i="6"/>
  <c r="G392" i="6"/>
  <c r="H392" i="6" s="1"/>
  <c r="D392" i="6"/>
  <c r="V391" i="6"/>
  <c r="U391" i="6" a="1"/>
  <c r="U391" i="6" s="1"/>
  <c r="T391" i="6"/>
  <c r="S391" i="6"/>
  <c r="N391" i="6"/>
  <c r="M391" i="6" s="1"/>
  <c r="I391" i="6"/>
  <c r="G391" i="6"/>
  <c r="H391" i="6" s="1"/>
  <c r="D391" i="6"/>
  <c r="V390" i="6"/>
  <c r="U390" i="6" a="1"/>
  <c r="U390" i="6" s="1"/>
  <c r="T390" i="6"/>
  <c r="S390" i="6"/>
  <c r="N390" i="6"/>
  <c r="M390" i="6" s="1"/>
  <c r="I390" i="6"/>
  <c r="G390" i="6"/>
  <c r="H390" i="6" s="1"/>
  <c r="D390" i="6"/>
  <c r="V389" i="6"/>
  <c r="U389" i="6" a="1"/>
  <c r="U389" i="6" s="1"/>
  <c r="T389" i="6"/>
  <c r="S389" i="6"/>
  <c r="N389" i="6"/>
  <c r="M389" i="6" s="1"/>
  <c r="I389" i="6"/>
  <c r="G389" i="6"/>
  <c r="H389" i="6" s="1"/>
  <c r="D389" i="6"/>
  <c r="V388" i="6"/>
  <c r="X444" i="13" s="1"/>
  <c r="S388" i="6"/>
  <c r="N388" i="6"/>
  <c r="M388" i="6" s="1"/>
  <c r="I388" i="6"/>
  <c r="G388" i="6"/>
  <c r="D388" i="6"/>
  <c r="V387" i="6"/>
  <c r="U387" i="6" a="1"/>
  <c r="U387" i="6" s="1"/>
  <c r="T387" i="6"/>
  <c r="S387" i="6"/>
  <c r="N387" i="6"/>
  <c r="M387" i="6" s="1"/>
  <c r="I387" i="6"/>
  <c r="G387" i="6"/>
  <c r="H387" i="6" s="1"/>
  <c r="D387" i="6"/>
  <c r="V386" i="6"/>
  <c r="U386" i="6" a="1"/>
  <c r="U386" i="6" s="1"/>
  <c r="T386" i="6"/>
  <c r="S386" i="6"/>
  <c r="N386" i="6"/>
  <c r="I386" i="6"/>
  <c r="G386" i="6"/>
  <c r="H386" i="6" s="1"/>
  <c r="D386" i="6"/>
  <c r="V385" i="6"/>
  <c r="U385" i="6" a="1"/>
  <c r="U385" i="6" s="1"/>
  <c r="T385" i="6"/>
  <c r="S385" i="6"/>
  <c r="N385" i="6"/>
  <c r="M385" i="6" s="1"/>
  <c r="I385" i="6"/>
  <c r="G385" i="6"/>
  <c r="H385" i="6" s="1"/>
  <c r="D385" i="6"/>
  <c r="V384" i="6"/>
  <c r="U384" i="6" a="1"/>
  <c r="U384" i="6" s="1"/>
  <c r="T384" i="6"/>
  <c r="S384" i="6"/>
  <c r="N384" i="6"/>
  <c r="M384" i="6" s="1"/>
  <c r="I384" i="6"/>
  <c r="G384" i="6"/>
  <c r="H384" i="6" s="1"/>
  <c r="D384" i="6"/>
  <c r="V383" i="6"/>
  <c r="U383" i="6" a="1"/>
  <c r="U383" i="6" s="1"/>
  <c r="T383" i="6"/>
  <c r="S383" i="6"/>
  <c r="N383" i="6"/>
  <c r="I383" i="6"/>
  <c r="G383" i="6"/>
  <c r="H383" i="6" s="1"/>
  <c r="D383" i="6"/>
  <c r="V382" i="6"/>
  <c r="U382" i="6" a="1"/>
  <c r="U382" i="6" s="1"/>
  <c r="T382" i="6"/>
  <c r="S382" i="6"/>
  <c r="N382" i="6"/>
  <c r="I382" i="6"/>
  <c r="G382" i="6"/>
  <c r="H382" i="6" s="1"/>
  <c r="D382" i="6"/>
  <c r="V381" i="6"/>
  <c r="S381" i="6"/>
  <c r="N381" i="6"/>
  <c r="I381" i="6"/>
  <c r="G381" i="6"/>
  <c r="D381" i="6"/>
  <c r="S380" i="6"/>
  <c r="N380" i="6"/>
  <c r="I380" i="6"/>
  <c r="G380" i="6"/>
  <c r="D380" i="6"/>
  <c r="S379" i="6"/>
  <c r="N379" i="6"/>
  <c r="V379" i="6" s="1"/>
  <c r="X524" i="13" s="1"/>
  <c r="I379" i="6"/>
  <c r="G379" i="6"/>
  <c r="D379" i="6"/>
  <c r="S378" i="6"/>
  <c r="N378" i="6"/>
  <c r="V378" i="6" s="1"/>
  <c r="X523" i="13" s="1"/>
  <c r="I378" i="6"/>
  <c r="G378" i="6"/>
  <c r="H378" i="6" s="1"/>
  <c r="D378" i="6"/>
  <c r="S377" i="6"/>
  <c r="N377" i="6"/>
  <c r="M377" i="6" s="1"/>
  <c r="I377" i="6"/>
  <c r="G377" i="6"/>
  <c r="D377" i="6"/>
  <c r="V376" i="6"/>
  <c r="X504" i="13" s="1"/>
  <c r="S376" i="6"/>
  <c r="N376" i="6"/>
  <c r="M376" i="6" s="1"/>
  <c r="I376" i="6"/>
  <c r="G376" i="6"/>
  <c r="D376" i="6"/>
  <c r="V375" i="6"/>
  <c r="U375" i="6" a="1"/>
  <c r="U375" i="6" s="1"/>
  <c r="T375" i="6"/>
  <c r="S375" i="6"/>
  <c r="N375" i="6"/>
  <c r="M375" i="6" s="1"/>
  <c r="I375" i="6"/>
  <c r="G375" i="6"/>
  <c r="H375" i="6" s="1"/>
  <c r="D375" i="6"/>
  <c r="V374" i="6"/>
  <c r="U374" i="6" a="1"/>
  <c r="U374" i="6" s="1"/>
  <c r="T374" i="6"/>
  <c r="S374" i="6"/>
  <c r="N374" i="6"/>
  <c r="I374" i="6"/>
  <c r="G374" i="6"/>
  <c r="H374" i="6" s="1"/>
  <c r="D374" i="6"/>
  <c r="U373" i="6" a="1"/>
  <c r="U373" i="6" s="1"/>
  <c r="T373" i="6"/>
  <c r="S373" i="6"/>
  <c r="N373" i="6"/>
  <c r="M373" i="6" s="1"/>
  <c r="I373" i="6"/>
  <c r="G373" i="6"/>
  <c r="H373" i="6" s="1"/>
  <c r="D373" i="6"/>
  <c r="U372" i="6" a="1"/>
  <c r="U372" i="6" s="1"/>
  <c r="T372" i="6"/>
  <c r="S372" i="6"/>
  <c r="N372" i="6"/>
  <c r="V372" i="6" s="1"/>
  <c r="I372" i="6"/>
  <c r="G372" i="6"/>
  <c r="D372" i="6"/>
  <c r="V371" i="6"/>
  <c r="U371" i="6" a="1"/>
  <c r="U371" i="6" s="1"/>
  <c r="T371" i="6"/>
  <c r="S371" i="6"/>
  <c r="N371" i="6"/>
  <c r="M371" i="6" s="1"/>
  <c r="I371" i="6"/>
  <c r="G371" i="6"/>
  <c r="H371" i="6" s="1"/>
  <c r="D371" i="6"/>
  <c r="V370" i="6"/>
  <c r="U370" i="6" a="1"/>
  <c r="U370" i="6" s="1"/>
  <c r="T370" i="6"/>
  <c r="S370" i="6"/>
  <c r="N370" i="6"/>
  <c r="M370" i="6" s="1"/>
  <c r="I370" i="6"/>
  <c r="G370" i="6"/>
  <c r="H370" i="6" s="1"/>
  <c r="D370" i="6"/>
  <c r="V369" i="6"/>
  <c r="U369" i="6" a="1"/>
  <c r="U369" i="6" s="1"/>
  <c r="T369" i="6"/>
  <c r="S369" i="6"/>
  <c r="N369" i="6"/>
  <c r="M369" i="6" s="1"/>
  <c r="I369" i="6"/>
  <c r="G369" i="6"/>
  <c r="H369" i="6" s="1"/>
  <c r="D369" i="6"/>
  <c r="V368" i="6"/>
  <c r="X516" i="13" s="1"/>
  <c r="S368" i="6"/>
  <c r="N368" i="6"/>
  <c r="M368" i="6" s="1"/>
  <c r="I368" i="6"/>
  <c r="G368" i="6"/>
  <c r="D368" i="6"/>
  <c r="V367" i="6"/>
  <c r="X445" i="13" s="1"/>
  <c r="S367" i="6"/>
  <c r="N367" i="6"/>
  <c r="M367" i="6" s="1"/>
  <c r="I367" i="6"/>
  <c r="G367" i="6"/>
  <c r="D367" i="6"/>
  <c r="V366" i="6"/>
  <c r="X413" i="13" s="1"/>
  <c r="S366" i="6"/>
  <c r="N366" i="6"/>
  <c r="M366" i="6" s="1"/>
  <c r="I366" i="6"/>
  <c r="G366" i="6"/>
  <c r="H366" i="6" s="1"/>
  <c r="D366" i="6"/>
  <c r="V365" i="6"/>
  <c r="U365" i="6" a="1"/>
  <c r="U365" i="6" s="1"/>
  <c r="T365" i="6"/>
  <c r="S365" i="6"/>
  <c r="N365" i="6"/>
  <c r="M365" i="6" s="1"/>
  <c r="I365" i="6"/>
  <c r="G365" i="6"/>
  <c r="H365" i="6" s="1"/>
  <c r="D365" i="6"/>
  <c r="V364" i="6"/>
  <c r="U364" i="6" a="1"/>
  <c r="U364" i="6" s="1"/>
  <c r="T364" i="6"/>
  <c r="S364" i="6"/>
  <c r="N364" i="6"/>
  <c r="M364" i="6" s="1"/>
  <c r="I364" i="6"/>
  <c r="G364" i="6"/>
  <c r="H364" i="6" s="1"/>
  <c r="D364" i="6"/>
  <c r="V363" i="6"/>
  <c r="U363" i="6" a="1"/>
  <c r="U363" i="6" s="1"/>
  <c r="T363" i="6"/>
  <c r="S363" i="6"/>
  <c r="N363" i="6"/>
  <c r="M363" i="6" s="1"/>
  <c r="I363" i="6"/>
  <c r="G363" i="6"/>
  <c r="H363" i="6" s="1"/>
  <c r="D363" i="6"/>
  <c r="V362" i="6"/>
  <c r="U362" i="6" a="1"/>
  <c r="U362" i="6" s="1"/>
  <c r="T362" i="6"/>
  <c r="S362" i="6"/>
  <c r="N362" i="6"/>
  <c r="M362" i="6" s="1"/>
  <c r="I362" i="6"/>
  <c r="G362" i="6"/>
  <c r="H362" i="6" s="1"/>
  <c r="D362" i="6"/>
  <c r="U361" i="6" a="1"/>
  <c r="U361" i="6" s="1"/>
  <c r="T361" i="6"/>
  <c r="S361" i="6"/>
  <c r="N361" i="6"/>
  <c r="I361" i="6"/>
  <c r="G361" i="6"/>
  <c r="H361" i="6" s="1"/>
  <c r="D361" i="6"/>
  <c r="V360" i="6"/>
  <c r="U360" i="6" a="1"/>
  <c r="U360" i="6" s="1"/>
  <c r="T360" i="6"/>
  <c r="S360" i="6"/>
  <c r="N360" i="6"/>
  <c r="M360" i="6" s="1"/>
  <c r="I360" i="6"/>
  <c r="G360" i="6"/>
  <c r="H360" i="6" s="1"/>
  <c r="D360" i="6"/>
  <c r="V359" i="6"/>
  <c r="U359" i="6" a="1"/>
  <c r="U359" i="6" s="1"/>
  <c r="T359" i="6"/>
  <c r="S359" i="6"/>
  <c r="N359" i="6"/>
  <c r="I359" i="6"/>
  <c r="G359" i="6"/>
  <c r="H359" i="6" s="1"/>
  <c r="D359" i="6"/>
  <c r="V358" i="6"/>
  <c r="X102" i="13" s="1"/>
  <c r="S358" i="6"/>
  <c r="N358" i="6"/>
  <c r="M358" i="6" s="1"/>
  <c r="I358" i="6"/>
  <c r="G358" i="6"/>
  <c r="H358" i="6" s="1"/>
  <c r="D358" i="6"/>
  <c r="V357" i="6"/>
  <c r="S357" i="6"/>
  <c r="I357" i="6"/>
  <c r="G357" i="6"/>
  <c r="D357" i="6"/>
  <c r="V356" i="6"/>
  <c r="S356" i="6"/>
  <c r="N356" i="6"/>
  <c r="M356" i="6" s="1"/>
  <c r="I356" i="6"/>
  <c r="G356" i="6"/>
  <c r="D356" i="6"/>
  <c r="V355" i="6"/>
  <c r="U355" i="6" a="1"/>
  <c r="U355" i="6" s="1"/>
  <c r="T355" i="6"/>
  <c r="S355" i="6"/>
  <c r="N355" i="6"/>
  <c r="M355" i="6" s="1"/>
  <c r="I355" i="6"/>
  <c r="G355" i="6"/>
  <c r="H355" i="6" s="1"/>
  <c r="D355" i="6"/>
  <c r="U354" i="6" a="1"/>
  <c r="U354" i="6" s="1"/>
  <c r="T354" i="6"/>
  <c r="S354" i="6"/>
  <c r="N354" i="6"/>
  <c r="I354" i="6"/>
  <c r="G354" i="6"/>
  <c r="H354" i="6" s="1"/>
  <c r="D354" i="6"/>
  <c r="V353" i="6"/>
  <c r="S353" i="6"/>
  <c r="N353" i="6"/>
  <c r="M353" i="6" s="1"/>
  <c r="I353" i="6"/>
  <c r="G353" i="6"/>
  <c r="D353" i="6"/>
  <c r="V352" i="6"/>
  <c r="U352" i="6" a="1"/>
  <c r="U352" i="6" s="1"/>
  <c r="T352" i="6"/>
  <c r="S352" i="6"/>
  <c r="N352" i="6"/>
  <c r="M352" i="6" s="1"/>
  <c r="I352" i="6"/>
  <c r="G352" i="6"/>
  <c r="H352" i="6" s="1"/>
  <c r="D352" i="6"/>
  <c r="V351" i="6"/>
  <c r="S351" i="6"/>
  <c r="N351" i="6"/>
  <c r="M351" i="6" s="1"/>
  <c r="I351" i="6"/>
  <c r="G351" i="6"/>
  <c r="H351" i="6" s="1"/>
  <c r="D351" i="6"/>
  <c r="V350" i="6"/>
  <c r="X476" i="13" s="1"/>
  <c r="S350" i="6"/>
  <c r="N350" i="6"/>
  <c r="M350" i="6" s="1"/>
  <c r="I350" i="6"/>
  <c r="G350" i="6"/>
  <c r="H350" i="6" s="1"/>
  <c r="D350" i="6"/>
  <c r="V349" i="6"/>
  <c r="U349" i="6" a="1"/>
  <c r="U349" i="6" s="1"/>
  <c r="T349" i="6"/>
  <c r="S349" i="6"/>
  <c r="N349" i="6"/>
  <c r="M349" i="6" s="1"/>
  <c r="I349" i="6"/>
  <c r="G349" i="6"/>
  <c r="H349" i="6" s="1"/>
  <c r="D349" i="6"/>
  <c r="V348" i="6"/>
  <c r="U348" i="6" a="1"/>
  <c r="U348" i="6" s="1"/>
  <c r="T348" i="6"/>
  <c r="S348" i="6"/>
  <c r="N348" i="6"/>
  <c r="M348" i="6" s="1"/>
  <c r="I348" i="6"/>
  <c r="G348" i="6"/>
  <c r="D348" i="6"/>
  <c r="V347" i="6"/>
  <c r="U347" i="6" a="1"/>
  <c r="U347" i="6" s="1"/>
  <c r="T347" i="6"/>
  <c r="S347" i="6"/>
  <c r="N347" i="6"/>
  <c r="K347" i="6"/>
  <c r="Q347" i="6" s="1"/>
  <c r="I347" i="6"/>
  <c r="G347" i="6"/>
  <c r="H347" i="6" s="1"/>
  <c r="D347" i="6"/>
  <c r="U346" i="6" a="1"/>
  <c r="U346" i="6" s="1"/>
  <c r="T346" i="6"/>
  <c r="S346" i="6"/>
  <c r="N346" i="6"/>
  <c r="I346" i="6"/>
  <c r="G346" i="6"/>
  <c r="H346" i="6" s="1"/>
  <c r="D346" i="6"/>
  <c r="V345" i="6"/>
  <c r="U345" i="6" a="1"/>
  <c r="U345" i="6" s="1"/>
  <c r="T345" i="6"/>
  <c r="S345" i="6"/>
  <c r="N345" i="6"/>
  <c r="M345" i="6" s="1"/>
  <c r="I345" i="6"/>
  <c r="G345" i="6"/>
  <c r="H345" i="6" s="1"/>
  <c r="D345" i="6"/>
  <c r="V344" i="6"/>
  <c r="U344" i="6" a="1"/>
  <c r="U344" i="6" s="1"/>
  <c r="T344" i="6"/>
  <c r="S344" i="6"/>
  <c r="N344" i="6"/>
  <c r="I344" i="6"/>
  <c r="G344" i="6"/>
  <c r="H344" i="6" s="1"/>
  <c r="D344" i="6"/>
  <c r="V343" i="6"/>
  <c r="U343" i="6" a="1"/>
  <c r="U343" i="6" s="1"/>
  <c r="T343" i="6"/>
  <c r="S343" i="6"/>
  <c r="N343" i="6"/>
  <c r="M343" i="6" s="1"/>
  <c r="I343" i="6"/>
  <c r="G343" i="6"/>
  <c r="H343" i="6" s="1"/>
  <c r="D343" i="6"/>
  <c r="V342" i="6"/>
  <c r="U342" i="6" a="1"/>
  <c r="U342" i="6" s="1"/>
  <c r="T342" i="6"/>
  <c r="S342" i="6"/>
  <c r="N342" i="6"/>
  <c r="M342" i="6" s="1"/>
  <c r="I342" i="6"/>
  <c r="G342" i="6"/>
  <c r="H342" i="6" s="1"/>
  <c r="D342" i="6"/>
  <c r="U341" i="6" a="1"/>
  <c r="U341" i="6" s="1"/>
  <c r="T341" i="6"/>
  <c r="S341" i="6"/>
  <c r="N341" i="6"/>
  <c r="I341" i="6"/>
  <c r="G341" i="6"/>
  <c r="H341" i="6" s="1"/>
  <c r="D341" i="6"/>
  <c r="U340" i="6" a="1"/>
  <c r="U340" i="6" s="1"/>
  <c r="T340" i="6"/>
  <c r="S340" i="6"/>
  <c r="N340" i="6"/>
  <c r="I340" i="6"/>
  <c r="G340" i="6"/>
  <c r="H340" i="6" s="1"/>
  <c r="D340" i="6"/>
  <c r="U339" i="6" a="1"/>
  <c r="U339" i="6" s="1"/>
  <c r="T339" i="6"/>
  <c r="S339" i="6"/>
  <c r="N339" i="6"/>
  <c r="I339" i="6"/>
  <c r="G339" i="6"/>
  <c r="H339" i="6" s="1"/>
  <c r="D339" i="6"/>
  <c r="V338" i="6"/>
  <c r="X292" i="13" s="1"/>
  <c r="S338" i="6"/>
  <c r="N338" i="6"/>
  <c r="M338" i="6" s="1"/>
  <c r="I338" i="6"/>
  <c r="G338" i="6"/>
  <c r="D338" i="6"/>
  <c r="V337" i="6"/>
  <c r="U337" i="6" a="1"/>
  <c r="U337" i="6" s="1"/>
  <c r="T337" i="6"/>
  <c r="S337" i="6"/>
  <c r="N337" i="6"/>
  <c r="M337" i="6" s="1"/>
  <c r="I337" i="6"/>
  <c r="G337" i="6"/>
  <c r="H337" i="6" s="1"/>
  <c r="D337" i="6"/>
  <c r="V336" i="6"/>
  <c r="U336" i="6" a="1"/>
  <c r="U336" i="6" s="1"/>
  <c r="T336" i="6"/>
  <c r="S336" i="6"/>
  <c r="N336" i="6"/>
  <c r="M336" i="6" s="1"/>
  <c r="I336" i="6"/>
  <c r="G336" i="6"/>
  <c r="H336" i="6" s="1"/>
  <c r="D336" i="6"/>
  <c r="V335" i="6"/>
  <c r="U335" i="6" a="1"/>
  <c r="U335" i="6" s="1"/>
  <c r="T335" i="6"/>
  <c r="S335" i="6"/>
  <c r="N335" i="6"/>
  <c r="M335" i="6" s="1"/>
  <c r="I335" i="6"/>
  <c r="G335" i="6"/>
  <c r="H335" i="6" s="1"/>
  <c r="D335" i="6"/>
  <c r="V334" i="6"/>
  <c r="U334" i="6" a="1"/>
  <c r="U334" i="6" s="1"/>
  <c r="T334" i="6"/>
  <c r="S334" i="6"/>
  <c r="N334" i="6"/>
  <c r="M334" i="6" s="1"/>
  <c r="I334" i="6"/>
  <c r="G334" i="6"/>
  <c r="H334" i="6" s="1"/>
  <c r="D334" i="6"/>
  <c r="V333" i="6"/>
  <c r="U333" i="6" a="1"/>
  <c r="U333" i="6" s="1"/>
  <c r="T333" i="6"/>
  <c r="S333" i="6"/>
  <c r="N333" i="6"/>
  <c r="M333" i="6" s="1"/>
  <c r="I333" i="6"/>
  <c r="G333" i="6"/>
  <c r="D333" i="6"/>
  <c r="V332" i="6"/>
  <c r="S332" i="6"/>
  <c r="N332" i="6"/>
  <c r="M332" i="6" s="1"/>
  <c r="I332" i="6"/>
  <c r="G332" i="6"/>
  <c r="D332" i="6"/>
  <c r="V331" i="6"/>
  <c r="S331" i="6"/>
  <c r="N331" i="6"/>
  <c r="I331" i="6"/>
  <c r="G331" i="6"/>
  <c r="H331" i="6" s="1"/>
  <c r="D331" i="6"/>
  <c r="V330" i="6"/>
  <c r="S330" i="6"/>
  <c r="N330" i="6"/>
  <c r="M330" i="6" s="1"/>
  <c r="I330" i="6"/>
  <c r="G330" i="6"/>
  <c r="D330" i="6"/>
  <c r="V329" i="6"/>
  <c r="U329" i="6" a="1"/>
  <c r="U329" i="6" s="1"/>
  <c r="T329" i="6"/>
  <c r="S329" i="6"/>
  <c r="N329" i="6"/>
  <c r="M329" i="6" s="1"/>
  <c r="I329" i="6"/>
  <c r="G329" i="6"/>
  <c r="D329" i="6"/>
  <c r="V328" i="6"/>
  <c r="U328" i="6" a="1"/>
  <c r="U328" i="6" s="1"/>
  <c r="T328" i="6"/>
  <c r="S328" i="6"/>
  <c r="N328" i="6"/>
  <c r="M328" i="6" s="1"/>
  <c r="I328" i="6"/>
  <c r="G328" i="6"/>
  <c r="H328" i="6" s="1"/>
  <c r="D328" i="6"/>
  <c r="V327" i="6"/>
  <c r="U327" i="6" a="1"/>
  <c r="U327" i="6" s="1"/>
  <c r="T327" i="6"/>
  <c r="S327" i="6"/>
  <c r="N327" i="6"/>
  <c r="M327" i="6" s="1"/>
  <c r="I327" i="6"/>
  <c r="G327" i="6"/>
  <c r="H327" i="6" s="1"/>
  <c r="D327" i="6"/>
  <c r="V326" i="6"/>
  <c r="S326" i="6"/>
  <c r="N326" i="6"/>
  <c r="M326" i="6" s="1"/>
  <c r="I326" i="6"/>
  <c r="G326" i="6"/>
  <c r="D326" i="6"/>
  <c r="V325" i="6"/>
  <c r="U325" i="6" a="1"/>
  <c r="U325" i="6" s="1"/>
  <c r="T325" i="6"/>
  <c r="S325" i="6"/>
  <c r="N325" i="6"/>
  <c r="M325" i="6" s="1"/>
  <c r="I325" i="6"/>
  <c r="G325" i="6"/>
  <c r="H325" i="6" s="1"/>
  <c r="T1239" i="6" s="1"/>
  <c r="D325" i="6"/>
  <c r="U324" i="6" a="1"/>
  <c r="U324" i="6" s="1"/>
  <c r="T324" i="6"/>
  <c r="S324" i="6"/>
  <c r="N324" i="6"/>
  <c r="I324" i="6"/>
  <c r="G324" i="6"/>
  <c r="H324" i="6" s="1"/>
  <c r="D324" i="6"/>
  <c r="V323" i="6"/>
  <c r="S323" i="6"/>
  <c r="N323" i="6"/>
  <c r="M323" i="6" s="1"/>
  <c r="I323" i="6"/>
  <c r="G323" i="6"/>
  <c r="H323" i="6" s="1"/>
  <c r="D323" i="6"/>
  <c r="V322" i="6"/>
  <c r="S322" i="6"/>
  <c r="N322" i="6"/>
  <c r="M322" i="6" s="1"/>
  <c r="I322" i="6"/>
  <c r="G322" i="6"/>
  <c r="D322" i="6"/>
  <c r="V321" i="6"/>
  <c r="U321" i="6" a="1"/>
  <c r="U321" i="6" s="1"/>
  <c r="T321" i="6"/>
  <c r="S321" i="6"/>
  <c r="N321" i="6"/>
  <c r="M321" i="6" s="1"/>
  <c r="I321" i="6"/>
  <c r="G321" i="6"/>
  <c r="H321" i="6" s="1"/>
  <c r="D321" i="6"/>
  <c r="V320" i="6"/>
  <c r="U320" i="6" a="1"/>
  <c r="U320" i="6" s="1"/>
  <c r="T320" i="6"/>
  <c r="S320" i="6"/>
  <c r="N320" i="6"/>
  <c r="M320" i="6" s="1"/>
  <c r="I320" i="6"/>
  <c r="G320" i="6"/>
  <c r="H320" i="6" s="1"/>
  <c r="D320" i="6"/>
  <c r="V319" i="6"/>
  <c r="S319" i="6"/>
  <c r="N319" i="6"/>
  <c r="M319" i="6" s="1"/>
  <c r="I319" i="6"/>
  <c r="G319" i="6"/>
  <c r="H319" i="6" s="1"/>
  <c r="D319" i="6"/>
  <c r="V318" i="6"/>
  <c r="U318" i="6" a="1"/>
  <c r="U318" i="6" s="1"/>
  <c r="T318" i="6"/>
  <c r="S318" i="6"/>
  <c r="N318" i="6"/>
  <c r="M318" i="6" s="1"/>
  <c r="I318" i="6"/>
  <c r="G318" i="6"/>
  <c r="H318" i="6" s="1"/>
  <c r="D318" i="6"/>
  <c r="V317" i="6"/>
  <c r="U317" i="6" a="1"/>
  <c r="U317" i="6" s="1"/>
  <c r="T317" i="6"/>
  <c r="S317" i="6"/>
  <c r="N317" i="6"/>
  <c r="M317" i="6" s="1"/>
  <c r="I317" i="6"/>
  <c r="G317" i="6"/>
  <c r="D317" i="6"/>
  <c r="V316" i="6"/>
  <c r="U316" i="6" a="1"/>
  <c r="U316" i="6" s="1"/>
  <c r="T316" i="6"/>
  <c r="S316" i="6"/>
  <c r="N316" i="6"/>
  <c r="I316" i="6"/>
  <c r="G316" i="6"/>
  <c r="H316" i="6" s="1"/>
  <c r="D316" i="6"/>
  <c r="V315" i="6"/>
  <c r="S315" i="6"/>
  <c r="N315" i="6"/>
  <c r="M315" i="6" s="1"/>
  <c r="I315" i="6"/>
  <c r="G315" i="6"/>
  <c r="D315" i="6"/>
  <c r="V314" i="6"/>
  <c r="S314" i="6"/>
  <c r="N314" i="6"/>
  <c r="I314" i="6"/>
  <c r="G314" i="6"/>
  <c r="D314" i="6"/>
  <c r="V313" i="6"/>
  <c r="X479" i="13" s="1"/>
  <c r="S313" i="6"/>
  <c r="N313" i="6"/>
  <c r="M313" i="6" s="1"/>
  <c r="I313" i="6"/>
  <c r="G313" i="6"/>
  <c r="H313" i="6" s="1"/>
  <c r="D313" i="6"/>
  <c r="V312" i="6"/>
  <c r="U312" i="6" a="1"/>
  <c r="U312" i="6" s="1"/>
  <c r="T312" i="6"/>
  <c r="S312" i="6"/>
  <c r="N312" i="6"/>
  <c r="M312" i="6" s="1"/>
  <c r="I312" i="6"/>
  <c r="G312" i="6"/>
  <c r="H312" i="6" s="1"/>
  <c r="D312" i="6"/>
  <c r="V311" i="6"/>
  <c r="S311" i="6"/>
  <c r="N311" i="6"/>
  <c r="M311" i="6" s="1"/>
  <c r="I311" i="6"/>
  <c r="G311" i="6"/>
  <c r="D311" i="6"/>
  <c r="V310" i="6"/>
  <c r="U310" i="6" a="1"/>
  <c r="U310" i="6" s="1"/>
  <c r="T310" i="6"/>
  <c r="S310" i="6"/>
  <c r="N310" i="6"/>
  <c r="I310" i="6"/>
  <c r="G310" i="6"/>
  <c r="H310" i="6" s="1"/>
  <c r="D310" i="6"/>
  <c r="V309" i="6"/>
  <c r="S309" i="6"/>
  <c r="N309" i="6"/>
  <c r="M309" i="6" s="1"/>
  <c r="I309" i="6"/>
  <c r="G309" i="6"/>
  <c r="H309" i="6" s="1"/>
  <c r="D309" i="6"/>
  <c r="U308" i="6" a="1"/>
  <c r="U308" i="6" s="1"/>
  <c r="T308" i="6"/>
  <c r="S308" i="6"/>
  <c r="N308" i="6"/>
  <c r="V308" i="6" s="1"/>
  <c r="I308" i="6"/>
  <c r="G308" i="6"/>
  <c r="H308" i="6" s="1"/>
  <c r="D308" i="6"/>
  <c r="V307" i="6"/>
  <c r="U307" i="6" a="1"/>
  <c r="U307" i="6" s="1"/>
  <c r="T307" i="6"/>
  <c r="S307" i="6"/>
  <c r="N307" i="6"/>
  <c r="M307" i="6" s="1"/>
  <c r="I307" i="6"/>
  <c r="G307" i="6"/>
  <c r="H307" i="6" s="1"/>
  <c r="D307" i="6"/>
  <c r="V306" i="6"/>
  <c r="U306" i="6" a="1"/>
  <c r="U306" i="6" s="1"/>
  <c r="T306" i="6"/>
  <c r="S306" i="6"/>
  <c r="N306" i="6"/>
  <c r="M306" i="6" s="1"/>
  <c r="I306" i="6"/>
  <c r="G306" i="6"/>
  <c r="H306" i="6" s="1"/>
  <c r="D306" i="6"/>
  <c r="V305" i="6"/>
  <c r="X268" i="13" s="1"/>
  <c r="S305" i="6"/>
  <c r="N305" i="6"/>
  <c r="M305" i="6" s="1"/>
  <c r="I305" i="6"/>
  <c r="G305" i="6"/>
  <c r="H305" i="6" s="1"/>
  <c r="D305" i="6"/>
  <c r="V304" i="6"/>
  <c r="U304" i="6" a="1"/>
  <c r="U304" i="6" s="1"/>
  <c r="T304" i="6"/>
  <c r="S304" i="6"/>
  <c r="N304" i="6"/>
  <c r="M304" i="6" s="1"/>
  <c r="I304" i="6"/>
  <c r="G304" i="6"/>
  <c r="H304" i="6" s="1"/>
  <c r="D304" i="6"/>
  <c r="V303" i="6"/>
  <c r="X500" i="13" s="1"/>
  <c r="S303" i="6"/>
  <c r="N303" i="6"/>
  <c r="I303" i="6"/>
  <c r="G303" i="6"/>
  <c r="D303" i="6"/>
  <c r="V302" i="6"/>
  <c r="U302" i="6" a="1"/>
  <c r="U302" i="6" s="1"/>
  <c r="T302" i="6"/>
  <c r="S302" i="6"/>
  <c r="N302" i="6"/>
  <c r="M302" i="6" s="1"/>
  <c r="I302" i="6"/>
  <c r="G302" i="6"/>
  <c r="H302" i="6" s="1"/>
  <c r="D302" i="6"/>
  <c r="V301" i="6"/>
  <c r="S301" i="6"/>
  <c r="N301" i="6"/>
  <c r="M301" i="6" s="1"/>
  <c r="I301" i="6"/>
  <c r="G301" i="6"/>
  <c r="H301" i="6" s="1"/>
  <c r="D301" i="6"/>
  <c r="V300" i="6"/>
  <c r="U300" i="6" a="1"/>
  <c r="U300" i="6" s="1"/>
  <c r="T300" i="6"/>
  <c r="S300" i="6"/>
  <c r="N300" i="6"/>
  <c r="M300" i="6" s="1"/>
  <c r="I300" i="6"/>
  <c r="G300" i="6"/>
  <c r="H300" i="6" s="1"/>
  <c r="D300" i="6"/>
  <c r="V299" i="6"/>
  <c r="S299" i="6"/>
  <c r="N299" i="6"/>
  <c r="I299" i="6"/>
  <c r="G299" i="6"/>
  <c r="D299" i="6"/>
  <c r="V298" i="6"/>
  <c r="S298" i="6"/>
  <c r="N298" i="6"/>
  <c r="M298" i="6" s="1"/>
  <c r="I298" i="6"/>
  <c r="G298" i="6"/>
  <c r="D298" i="6"/>
  <c r="V297" i="6"/>
  <c r="U297" i="6" a="1"/>
  <c r="U297" i="6" s="1"/>
  <c r="T297" i="6"/>
  <c r="S297" i="6"/>
  <c r="N297" i="6"/>
  <c r="M297" i="6" s="1"/>
  <c r="I297" i="6"/>
  <c r="G297" i="6"/>
  <c r="H297" i="6" s="1"/>
  <c r="D297" i="6"/>
  <c r="V296" i="6"/>
  <c r="U296" i="6" a="1"/>
  <c r="U296" i="6" s="1"/>
  <c r="T296" i="6"/>
  <c r="S296" i="6"/>
  <c r="N296" i="6"/>
  <c r="M296" i="6" s="1"/>
  <c r="I296" i="6"/>
  <c r="G296" i="6"/>
  <c r="H296" i="6" s="1"/>
  <c r="D296" i="6"/>
  <c r="V295" i="6"/>
  <c r="U295" i="6" a="1"/>
  <c r="U295" i="6" s="1"/>
  <c r="T295" i="6"/>
  <c r="S295" i="6"/>
  <c r="N295" i="6"/>
  <c r="I295" i="6"/>
  <c r="G295" i="6"/>
  <c r="H295" i="6" s="1"/>
  <c r="D295" i="6"/>
  <c r="V294" i="6"/>
  <c r="U294" i="6" a="1"/>
  <c r="U294" i="6" s="1"/>
  <c r="T294" i="6"/>
  <c r="S294" i="6"/>
  <c r="N294" i="6"/>
  <c r="I294" i="6"/>
  <c r="G294" i="6"/>
  <c r="H294" i="6" s="1"/>
  <c r="D294" i="6"/>
  <c r="V293" i="6"/>
  <c r="U293" i="6" a="1"/>
  <c r="U293" i="6" s="1"/>
  <c r="T293" i="6"/>
  <c r="S293" i="6"/>
  <c r="N293" i="6"/>
  <c r="I293" i="6"/>
  <c r="G293" i="6"/>
  <c r="H293" i="6" s="1"/>
  <c r="D293" i="6"/>
  <c r="V292" i="6"/>
  <c r="U292" i="6" a="1"/>
  <c r="U292" i="6" s="1"/>
  <c r="T292" i="6"/>
  <c r="S292" i="6"/>
  <c r="N292" i="6"/>
  <c r="M292" i="6" s="1"/>
  <c r="I292" i="6"/>
  <c r="G292" i="6"/>
  <c r="H292" i="6" s="1"/>
  <c r="D292" i="6"/>
  <c r="V291" i="6"/>
  <c r="U291" i="6" a="1"/>
  <c r="U291" i="6" s="1"/>
  <c r="T291" i="6"/>
  <c r="S291" i="6"/>
  <c r="N291" i="6"/>
  <c r="I291" i="6"/>
  <c r="G291" i="6"/>
  <c r="H291" i="6" s="1"/>
  <c r="D291" i="6"/>
  <c r="V290" i="6"/>
  <c r="U290" i="6" a="1"/>
  <c r="U290" i="6" s="1"/>
  <c r="T290" i="6"/>
  <c r="S290" i="6"/>
  <c r="N290" i="6"/>
  <c r="E696" i="13" s="1"/>
  <c r="I290" i="6"/>
  <c r="G290" i="6"/>
  <c r="H290" i="6" s="1"/>
  <c r="D290" i="6"/>
  <c r="V289" i="6"/>
  <c r="U289" i="6" a="1"/>
  <c r="U289" i="6" s="1"/>
  <c r="T289" i="6"/>
  <c r="S289" i="6"/>
  <c r="N289" i="6"/>
  <c r="M289" i="6" s="1"/>
  <c r="I289" i="6"/>
  <c r="G289" i="6"/>
  <c r="H289" i="6" s="1"/>
  <c r="D289" i="6"/>
  <c r="V288" i="6"/>
  <c r="U288" i="6" a="1"/>
  <c r="U288" i="6" s="1"/>
  <c r="T288" i="6"/>
  <c r="S288" i="6"/>
  <c r="N288" i="6"/>
  <c r="M288" i="6" s="1"/>
  <c r="I288" i="6"/>
  <c r="G288" i="6"/>
  <c r="H288" i="6" s="1"/>
  <c r="D288" i="6"/>
  <c r="V287" i="6"/>
  <c r="U287" i="6" a="1"/>
  <c r="U287" i="6" s="1"/>
  <c r="T287" i="6"/>
  <c r="S287" i="6"/>
  <c r="N287" i="6"/>
  <c r="M287" i="6" s="1"/>
  <c r="I287" i="6"/>
  <c r="G287" i="6"/>
  <c r="H287" i="6" s="1"/>
  <c r="D287" i="6"/>
  <c r="V286" i="6"/>
  <c r="U286" i="6" a="1"/>
  <c r="U286" i="6" s="1"/>
  <c r="T286" i="6"/>
  <c r="S286" i="6"/>
  <c r="N286" i="6"/>
  <c r="I286" i="6"/>
  <c r="G286" i="6"/>
  <c r="H286" i="6" s="1"/>
  <c r="D286" i="6"/>
  <c r="V285" i="6"/>
  <c r="U285" i="6" a="1"/>
  <c r="U285" i="6" s="1"/>
  <c r="T285" i="6"/>
  <c r="S285" i="6"/>
  <c r="N285" i="6"/>
  <c r="I285" i="6"/>
  <c r="G285" i="6"/>
  <c r="H285" i="6" s="1"/>
  <c r="D285" i="6"/>
  <c r="V284" i="6"/>
  <c r="U284" i="6" a="1"/>
  <c r="U284" i="6" s="1"/>
  <c r="T284" i="6"/>
  <c r="S284" i="6"/>
  <c r="N284" i="6"/>
  <c r="M284" i="6" s="1"/>
  <c r="I284" i="6"/>
  <c r="G284" i="6"/>
  <c r="H284" i="6" s="1"/>
  <c r="D284" i="6"/>
  <c r="V283" i="6"/>
  <c r="U283" i="6" a="1"/>
  <c r="U283" i="6" s="1"/>
  <c r="T283" i="6"/>
  <c r="S283" i="6"/>
  <c r="N283" i="6"/>
  <c r="I283" i="6"/>
  <c r="G283" i="6"/>
  <c r="H283" i="6" s="1"/>
  <c r="D283" i="6"/>
  <c r="V282" i="6"/>
  <c r="U282" i="6" a="1"/>
  <c r="U282" i="6" s="1"/>
  <c r="T282" i="6"/>
  <c r="S282" i="6"/>
  <c r="N282" i="6"/>
  <c r="M282" i="6" s="1"/>
  <c r="I282" i="6"/>
  <c r="G282" i="6"/>
  <c r="H282" i="6" s="1"/>
  <c r="D282" i="6"/>
  <c r="V281" i="6"/>
  <c r="U281" i="6" a="1"/>
  <c r="U281" i="6" s="1"/>
  <c r="T281" i="6"/>
  <c r="S281" i="6"/>
  <c r="N281" i="6"/>
  <c r="I281" i="6"/>
  <c r="G281" i="6"/>
  <c r="H281" i="6" s="1"/>
  <c r="D281" i="6"/>
  <c r="V280" i="6"/>
  <c r="U280" i="6" a="1"/>
  <c r="U280" i="6" s="1"/>
  <c r="T280" i="6"/>
  <c r="S280" i="6"/>
  <c r="N280" i="6"/>
  <c r="I280" i="6"/>
  <c r="G280" i="6"/>
  <c r="H280" i="6" s="1"/>
  <c r="D280" i="6"/>
  <c r="V279" i="6"/>
  <c r="S279" i="6"/>
  <c r="N279" i="6"/>
  <c r="M279" i="6" s="1"/>
  <c r="I279" i="6"/>
  <c r="G279" i="6"/>
  <c r="D279" i="6"/>
  <c r="V278" i="6"/>
  <c r="U278" i="6" a="1"/>
  <c r="U278" i="6" s="1"/>
  <c r="T278" i="6"/>
  <c r="S278" i="6"/>
  <c r="N278" i="6"/>
  <c r="M278" i="6" s="1"/>
  <c r="I278" i="6"/>
  <c r="G278" i="6"/>
  <c r="H278" i="6" s="1"/>
  <c r="D278" i="6"/>
  <c r="V277" i="6"/>
  <c r="W277" i="6" s="1"/>
  <c r="U277" i="6" a="1"/>
  <c r="U277" i="6" s="1"/>
  <c r="T277" i="6"/>
  <c r="S277" i="6"/>
  <c r="N277" i="6"/>
  <c r="E222" i="13" s="1"/>
  <c r="I277" i="6"/>
  <c r="G277" i="6"/>
  <c r="H277" i="6" s="1"/>
  <c r="D277" i="6"/>
  <c r="V276" i="6"/>
  <c r="X473" i="13" s="1"/>
  <c r="S276" i="6"/>
  <c r="N276" i="6"/>
  <c r="M276" i="6" s="1"/>
  <c r="I276" i="6"/>
  <c r="G276" i="6"/>
  <c r="H276" i="6" s="1"/>
  <c r="D276" i="6"/>
  <c r="V275" i="6"/>
  <c r="S275" i="6"/>
  <c r="N275" i="6"/>
  <c r="M275" i="6" s="1"/>
  <c r="I275" i="6"/>
  <c r="G275" i="6"/>
  <c r="D275" i="6"/>
  <c r="V274" i="6"/>
  <c r="X509" i="13" s="1"/>
  <c r="S274" i="6"/>
  <c r="N274" i="6"/>
  <c r="M274" i="6" s="1"/>
  <c r="I274" i="6"/>
  <c r="G274" i="6"/>
  <c r="H274" i="6" s="1"/>
  <c r="D274" i="6"/>
  <c r="V273" i="6"/>
  <c r="U273" i="6" a="1"/>
  <c r="U273" i="6" s="1"/>
  <c r="T273" i="6"/>
  <c r="S273" i="6"/>
  <c r="N273" i="6"/>
  <c r="M273" i="6" s="1"/>
  <c r="I273" i="6"/>
  <c r="G273" i="6"/>
  <c r="H273" i="6" s="1"/>
  <c r="D273" i="6"/>
  <c r="V272" i="6"/>
  <c r="U272" i="6" a="1"/>
  <c r="U272" i="6" s="1"/>
  <c r="T272" i="6"/>
  <c r="S272" i="6"/>
  <c r="N272" i="6"/>
  <c r="M272" i="6" s="1"/>
  <c r="I272" i="6"/>
  <c r="G272" i="6"/>
  <c r="H272" i="6" s="1"/>
  <c r="D272" i="6"/>
  <c r="V271" i="6"/>
  <c r="S271" i="6"/>
  <c r="N271" i="6"/>
  <c r="M271" i="6" s="1"/>
  <c r="I271" i="6"/>
  <c r="G271" i="6"/>
  <c r="D271" i="6"/>
  <c r="V270" i="6"/>
  <c r="X451" i="13" s="1"/>
  <c r="S270" i="6"/>
  <c r="N270" i="6"/>
  <c r="I270" i="6"/>
  <c r="G270" i="6"/>
  <c r="D270" i="6"/>
  <c r="V269" i="6"/>
  <c r="U269" i="6" a="1"/>
  <c r="U269" i="6" s="1"/>
  <c r="T269" i="6"/>
  <c r="S269" i="6"/>
  <c r="N269" i="6"/>
  <c r="I269" i="6"/>
  <c r="G269" i="6"/>
  <c r="H269" i="6" s="1"/>
  <c r="D269" i="6"/>
  <c r="V268" i="6"/>
  <c r="X137" i="13" s="1"/>
  <c r="S268" i="6"/>
  <c r="N268" i="6"/>
  <c r="M268" i="6" s="1"/>
  <c r="I268" i="6"/>
  <c r="G268" i="6"/>
  <c r="H268" i="6" s="1"/>
  <c r="D268" i="6"/>
  <c r="V267" i="6"/>
  <c r="X170" i="13" s="1"/>
  <c r="S267" i="6"/>
  <c r="N267" i="6"/>
  <c r="F170" i="13" s="1"/>
  <c r="I267" i="6"/>
  <c r="G267" i="6"/>
  <c r="D267" i="6"/>
  <c r="V266" i="6"/>
  <c r="S266" i="6"/>
  <c r="N266" i="6"/>
  <c r="M266" i="6" s="1"/>
  <c r="I266" i="6"/>
  <c r="G266" i="6"/>
  <c r="D266" i="6"/>
  <c r="V265" i="6"/>
  <c r="U265" i="6" a="1"/>
  <c r="U265" i="6" s="1"/>
  <c r="T265" i="6"/>
  <c r="S265" i="6"/>
  <c r="N265" i="6"/>
  <c r="M265" i="6" s="1"/>
  <c r="I265" i="6"/>
  <c r="G265" i="6"/>
  <c r="H265" i="6" s="1"/>
  <c r="D265" i="6"/>
  <c r="V264" i="6"/>
  <c r="S264" i="6"/>
  <c r="N264" i="6"/>
  <c r="M264" i="6" s="1"/>
  <c r="I264" i="6"/>
  <c r="G264" i="6"/>
  <c r="H264" i="6" s="1"/>
  <c r="D264" i="6"/>
  <c r="S263" i="6"/>
  <c r="N263" i="6"/>
  <c r="V263" i="6" s="1"/>
  <c r="I263" i="6"/>
  <c r="G263" i="6"/>
  <c r="D263" i="6"/>
  <c r="V262" i="6"/>
  <c r="U262" i="6" a="1"/>
  <c r="U262" i="6" s="1"/>
  <c r="T262" i="6"/>
  <c r="S262" i="6"/>
  <c r="N262" i="6"/>
  <c r="I262" i="6"/>
  <c r="G262" i="6"/>
  <c r="H262" i="6" s="1"/>
  <c r="D262" i="6"/>
  <c r="V261" i="6"/>
  <c r="X5" i="13" s="1"/>
  <c r="S261" i="6"/>
  <c r="N261" i="6"/>
  <c r="M261" i="6" s="1"/>
  <c r="I261" i="6"/>
  <c r="G261" i="6"/>
  <c r="D261" i="6"/>
  <c r="V260" i="6"/>
  <c r="U260" i="6" a="1"/>
  <c r="U260" i="6" s="1"/>
  <c r="T260" i="6"/>
  <c r="S260" i="6"/>
  <c r="N260" i="6"/>
  <c r="M260" i="6" s="1"/>
  <c r="I260" i="6"/>
  <c r="G260" i="6"/>
  <c r="H260" i="6" s="1"/>
  <c r="D260" i="6"/>
  <c r="V259" i="6"/>
  <c r="U259" i="6" a="1"/>
  <c r="U259" i="6" s="1"/>
  <c r="T259" i="6"/>
  <c r="S259" i="6"/>
  <c r="N259" i="6"/>
  <c r="I259" i="6"/>
  <c r="G259" i="6"/>
  <c r="D259" i="6"/>
  <c r="V258" i="6"/>
  <c r="U258" i="6" a="1"/>
  <c r="U258" i="6" s="1"/>
  <c r="T258" i="6"/>
  <c r="S258" i="6"/>
  <c r="N258" i="6"/>
  <c r="M258" i="6" s="1"/>
  <c r="I258" i="6"/>
  <c r="G258" i="6"/>
  <c r="H258" i="6" s="1"/>
  <c r="D258" i="6"/>
  <c r="V257" i="6"/>
  <c r="S257" i="6"/>
  <c r="N257" i="6"/>
  <c r="M257" i="6" s="1"/>
  <c r="I257" i="6"/>
  <c r="G257" i="6"/>
  <c r="H257" i="6" s="1"/>
  <c r="D257" i="6"/>
  <c r="V256" i="6"/>
  <c r="W256" i="6" s="1"/>
  <c r="U256" i="6" a="1"/>
  <c r="U256" i="6" s="1"/>
  <c r="T256" i="6"/>
  <c r="S256" i="6"/>
  <c r="N256" i="6"/>
  <c r="I256" i="6"/>
  <c r="G256" i="6"/>
  <c r="H256" i="6" s="1"/>
  <c r="D256" i="6"/>
  <c r="V255" i="6"/>
  <c r="U255" i="6" a="1"/>
  <c r="U255" i="6" s="1"/>
  <c r="T255" i="6"/>
  <c r="S255" i="6"/>
  <c r="N255" i="6"/>
  <c r="M255" i="6" s="1"/>
  <c r="I255" i="6"/>
  <c r="G255" i="6"/>
  <c r="H255" i="6" s="1"/>
  <c r="D255" i="6"/>
  <c r="V254" i="6"/>
  <c r="U254" i="6" a="1"/>
  <c r="U254" i="6" s="1"/>
  <c r="T254" i="6"/>
  <c r="S254" i="6"/>
  <c r="N254" i="6"/>
  <c r="I254" i="6"/>
  <c r="G254" i="6"/>
  <c r="H254" i="6" s="1"/>
  <c r="D254" i="6"/>
  <c r="V253" i="6"/>
  <c r="V412" i="13" s="1"/>
  <c r="U253" i="6" a="1"/>
  <c r="U253" i="6" s="1"/>
  <c r="T253" i="6"/>
  <c r="S253" i="6"/>
  <c r="N253" i="6"/>
  <c r="E412" i="13" s="1"/>
  <c r="I253" i="6"/>
  <c r="G253" i="6"/>
  <c r="H253" i="6" s="1"/>
  <c r="D253" i="6"/>
  <c r="V252" i="6"/>
  <c r="X269" i="13" s="1"/>
  <c r="S252" i="6"/>
  <c r="N252" i="6"/>
  <c r="I252" i="6"/>
  <c r="G252" i="6"/>
  <c r="H252" i="6" s="1"/>
  <c r="D252" i="6"/>
  <c r="V251" i="6"/>
  <c r="U251" i="6" a="1"/>
  <c r="U251" i="6" s="1"/>
  <c r="T251" i="6"/>
  <c r="S251" i="6"/>
  <c r="N251" i="6"/>
  <c r="M251" i="6" s="1"/>
  <c r="I251" i="6"/>
  <c r="G251" i="6"/>
  <c r="H251" i="6" s="1"/>
  <c r="D251" i="6"/>
  <c r="V250" i="6"/>
  <c r="X105" i="13" s="1"/>
  <c r="S250" i="6"/>
  <c r="N250" i="6"/>
  <c r="M250" i="6" s="1"/>
  <c r="I250" i="6"/>
  <c r="G250" i="6"/>
  <c r="H250" i="6" s="1"/>
  <c r="D250" i="6"/>
  <c r="V249" i="6"/>
  <c r="S249" i="6"/>
  <c r="N249" i="6"/>
  <c r="M249" i="6" s="1"/>
  <c r="I249" i="6"/>
  <c r="G249" i="6"/>
  <c r="H249" i="6" s="1"/>
  <c r="D249" i="6"/>
  <c r="V248" i="6"/>
  <c r="U248" i="6" a="1"/>
  <c r="U248" i="6" s="1"/>
  <c r="T248" i="6"/>
  <c r="S248" i="6"/>
  <c r="N248" i="6"/>
  <c r="M248" i="6" s="1"/>
  <c r="I248" i="6"/>
  <c r="G248" i="6"/>
  <c r="H248" i="6" s="1"/>
  <c r="D248" i="6"/>
  <c r="V247" i="6"/>
  <c r="U247" i="6" a="1"/>
  <c r="U247" i="6" s="1"/>
  <c r="T247" i="6"/>
  <c r="S247" i="6"/>
  <c r="N247" i="6"/>
  <c r="I247" i="6"/>
  <c r="G247" i="6"/>
  <c r="H247" i="6" s="1"/>
  <c r="D247" i="6"/>
  <c r="V246" i="6"/>
  <c r="X302" i="13" s="1"/>
  <c r="S246" i="6"/>
  <c r="N246" i="6"/>
  <c r="M246" i="6" s="1"/>
  <c r="I246" i="6"/>
  <c r="G246" i="6"/>
  <c r="H246" i="6" s="1"/>
  <c r="D246" i="6"/>
  <c r="V245" i="6"/>
  <c r="U245" i="6" a="1"/>
  <c r="U245" i="6" s="1"/>
  <c r="T245" i="6"/>
  <c r="S245" i="6"/>
  <c r="N245" i="6"/>
  <c r="M245" i="6" s="1"/>
  <c r="I245" i="6"/>
  <c r="G245" i="6"/>
  <c r="H245" i="6" s="1"/>
  <c r="D245" i="6"/>
  <c r="V244" i="6"/>
  <c r="U244" i="6" a="1"/>
  <c r="U244" i="6" s="1"/>
  <c r="T244" i="6"/>
  <c r="S244" i="6"/>
  <c r="N244" i="6"/>
  <c r="I244" i="6"/>
  <c r="G244" i="6"/>
  <c r="H244" i="6" s="1"/>
  <c r="D244" i="6"/>
  <c r="V243" i="6"/>
  <c r="X158" i="13" s="1"/>
  <c r="S243" i="6"/>
  <c r="N243" i="6"/>
  <c r="M243" i="6" s="1"/>
  <c r="I243" i="6"/>
  <c r="G243" i="6"/>
  <c r="D243" i="6"/>
  <c r="V242" i="6"/>
  <c r="W242" i="6" s="1"/>
  <c r="U242" i="6" a="1"/>
  <c r="U242" i="6" s="1"/>
  <c r="T242" i="6"/>
  <c r="S242" i="6"/>
  <c r="N242" i="6"/>
  <c r="M242" i="6" s="1"/>
  <c r="I242" i="6"/>
  <c r="G242" i="6"/>
  <c r="H242" i="6" s="1"/>
  <c r="D242" i="6"/>
  <c r="V241" i="6"/>
  <c r="S241" i="6"/>
  <c r="N241" i="6"/>
  <c r="M241" i="6" s="1"/>
  <c r="I241" i="6"/>
  <c r="G241" i="6"/>
  <c r="H241" i="6" s="1"/>
  <c r="D241" i="6"/>
  <c r="V240" i="6"/>
  <c r="U240" i="6" a="1"/>
  <c r="U240" i="6" s="1"/>
  <c r="T240" i="6"/>
  <c r="S240" i="6"/>
  <c r="N240" i="6"/>
  <c r="M240" i="6" s="1"/>
  <c r="I240" i="6"/>
  <c r="G240" i="6"/>
  <c r="H240" i="6" s="1"/>
  <c r="D240" i="6"/>
  <c r="V239" i="6"/>
  <c r="U239" i="6" a="1"/>
  <c r="U239" i="6" s="1"/>
  <c r="T239" i="6"/>
  <c r="S239" i="6"/>
  <c r="N239" i="6"/>
  <c r="M239" i="6" s="1"/>
  <c r="I239" i="6"/>
  <c r="G239" i="6"/>
  <c r="H239" i="6" s="1"/>
  <c r="D239" i="6"/>
  <c r="V238" i="6"/>
  <c r="S238" i="6"/>
  <c r="N238" i="6"/>
  <c r="M238" i="6" s="1"/>
  <c r="I238" i="6"/>
  <c r="G238" i="6"/>
  <c r="D238" i="6"/>
  <c r="V237" i="6"/>
  <c r="U237" i="6" a="1"/>
  <c r="U237" i="6" s="1"/>
  <c r="T237" i="6"/>
  <c r="S237" i="6"/>
  <c r="N237" i="6"/>
  <c r="M237" i="6" s="1"/>
  <c r="I237" i="6"/>
  <c r="G237" i="6"/>
  <c r="H237" i="6" s="1"/>
  <c r="D237" i="6"/>
  <c r="V236" i="6"/>
  <c r="U236" i="6" a="1"/>
  <c r="U236" i="6" s="1"/>
  <c r="T236" i="6"/>
  <c r="S236" i="6"/>
  <c r="N236" i="6"/>
  <c r="M236" i="6" s="1"/>
  <c r="I236" i="6"/>
  <c r="G236" i="6"/>
  <c r="H236" i="6" s="1"/>
  <c r="D236" i="6"/>
  <c r="U235" i="6" a="1"/>
  <c r="U235" i="6" s="1"/>
  <c r="T235" i="6"/>
  <c r="S235" i="6"/>
  <c r="N235" i="6"/>
  <c r="M235" i="6" s="1"/>
  <c r="I235" i="6"/>
  <c r="G235" i="6"/>
  <c r="H235" i="6" s="1"/>
  <c r="D235" i="6"/>
  <c r="V234" i="6"/>
  <c r="U234" i="6" a="1"/>
  <c r="U234" i="6" s="1"/>
  <c r="T234" i="6"/>
  <c r="S234" i="6"/>
  <c r="N234" i="6"/>
  <c r="I234" i="6"/>
  <c r="G234" i="6"/>
  <c r="H234" i="6" s="1"/>
  <c r="D234" i="6"/>
  <c r="V233" i="6"/>
  <c r="U233" i="6" a="1"/>
  <c r="U233" i="6" s="1"/>
  <c r="T233" i="6"/>
  <c r="S233" i="6"/>
  <c r="N233" i="6"/>
  <c r="M233" i="6" s="1"/>
  <c r="I233" i="6"/>
  <c r="G233" i="6"/>
  <c r="H233" i="6" s="1"/>
  <c r="D233" i="6"/>
  <c r="V232" i="6"/>
  <c r="U232" i="6" a="1"/>
  <c r="U232" i="6" s="1"/>
  <c r="T232" i="6"/>
  <c r="S232" i="6"/>
  <c r="N232" i="6"/>
  <c r="M232" i="6" s="1"/>
  <c r="I232" i="6"/>
  <c r="G232" i="6"/>
  <c r="H232" i="6" s="1"/>
  <c r="D232" i="6"/>
  <c r="V231" i="6"/>
  <c r="X22" i="13" s="1"/>
  <c r="S231" i="6"/>
  <c r="N231" i="6"/>
  <c r="M231" i="6" s="1"/>
  <c r="I231" i="6"/>
  <c r="G231" i="6"/>
  <c r="D231" i="6"/>
  <c r="V230" i="6"/>
  <c r="X503" i="13" s="1"/>
  <c r="S230" i="6"/>
  <c r="N230" i="6"/>
  <c r="F503" i="13" s="1"/>
  <c r="I230" i="6"/>
  <c r="G230" i="6"/>
  <c r="H230" i="6" s="1"/>
  <c r="D230" i="6"/>
  <c r="V229" i="6"/>
  <c r="U229" i="6" a="1"/>
  <c r="U229" i="6" s="1"/>
  <c r="T229" i="6"/>
  <c r="S229" i="6"/>
  <c r="N229" i="6"/>
  <c r="M229" i="6" s="1"/>
  <c r="I229" i="6"/>
  <c r="G229" i="6"/>
  <c r="H229" i="6" s="1"/>
  <c r="D229" i="6"/>
  <c r="V228" i="6"/>
  <c r="U228" i="6" a="1"/>
  <c r="U228" i="6" s="1"/>
  <c r="T228" i="6"/>
  <c r="S228" i="6"/>
  <c r="N228" i="6"/>
  <c r="M228" i="6" s="1"/>
  <c r="I228" i="6"/>
  <c r="G228" i="6"/>
  <c r="H228" i="6" s="1"/>
  <c r="D228" i="6"/>
  <c r="V227" i="6"/>
  <c r="S227" i="6"/>
  <c r="N227" i="6"/>
  <c r="M227" i="6" s="1"/>
  <c r="I227" i="6"/>
  <c r="G227" i="6"/>
  <c r="D227" i="6"/>
  <c r="V226" i="6"/>
  <c r="X134" i="13" s="1"/>
  <c r="S226" i="6"/>
  <c r="N226" i="6"/>
  <c r="M226" i="6" s="1"/>
  <c r="I226" i="6"/>
  <c r="G226" i="6"/>
  <c r="H226" i="6" s="1"/>
  <c r="D226" i="6"/>
  <c r="V225" i="6"/>
  <c r="X456" i="13" s="1"/>
  <c r="S225" i="6"/>
  <c r="N225" i="6"/>
  <c r="M225" i="6" s="1"/>
  <c r="I225" i="6"/>
  <c r="G225" i="6"/>
  <c r="H225" i="6" s="1"/>
  <c r="D225" i="6"/>
  <c r="V224" i="6"/>
  <c r="U224" i="6" a="1"/>
  <c r="U224" i="6" s="1"/>
  <c r="T224" i="6"/>
  <c r="S224" i="6"/>
  <c r="N224" i="6"/>
  <c r="I224" i="6"/>
  <c r="G224" i="6"/>
  <c r="H224" i="6" s="1"/>
  <c r="D224" i="6"/>
  <c r="V223" i="6"/>
  <c r="U223" i="6" a="1"/>
  <c r="U223" i="6" s="1"/>
  <c r="T223" i="6"/>
  <c r="S223" i="6"/>
  <c r="N223" i="6"/>
  <c r="M223" i="6" s="1"/>
  <c r="I223" i="6"/>
  <c r="G223" i="6"/>
  <c r="H223" i="6" s="1"/>
  <c r="D223" i="6"/>
  <c r="V222" i="6"/>
  <c r="X384" i="13" s="1"/>
  <c r="S222" i="6"/>
  <c r="N222" i="6"/>
  <c r="M222" i="6" s="1"/>
  <c r="I222" i="6"/>
  <c r="G222" i="6"/>
  <c r="H222" i="6" s="1"/>
  <c r="D222" i="6"/>
  <c r="V221" i="6"/>
  <c r="U221" i="6" a="1"/>
  <c r="U221" i="6" s="1"/>
  <c r="T221" i="6"/>
  <c r="S221" i="6"/>
  <c r="N221" i="6"/>
  <c r="M221" i="6" s="1"/>
  <c r="I221" i="6"/>
  <c r="G221" i="6"/>
  <c r="H221" i="6" s="1"/>
  <c r="D221" i="6"/>
  <c r="V220" i="6"/>
  <c r="S220" i="6"/>
  <c r="N220" i="6"/>
  <c r="M220" i="6" s="1"/>
  <c r="I220" i="6"/>
  <c r="G220" i="6"/>
  <c r="H220" i="6" s="1"/>
  <c r="D220" i="6"/>
  <c r="V219" i="6"/>
  <c r="U219" i="6" a="1"/>
  <c r="U219" i="6" s="1"/>
  <c r="T219" i="6"/>
  <c r="S219" i="6"/>
  <c r="N219" i="6"/>
  <c r="M219" i="6" s="1"/>
  <c r="I219" i="6"/>
  <c r="G219" i="6"/>
  <c r="H219" i="6" s="1"/>
  <c r="D219" i="6"/>
  <c r="V218" i="6"/>
  <c r="V279" i="13" s="1"/>
  <c r="U218" i="6" a="1"/>
  <c r="U218" i="6" s="1"/>
  <c r="T218" i="6"/>
  <c r="S218" i="6"/>
  <c r="N218" i="6"/>
  <c r="M218" i="6" s="1"/>
  <c r="I218" i="6"/>
  <c r="G218" i="6"/>
  <c r="H218" i="6" s="1"/>
  <c r="D218" i="6"/>
  <c r="V217" i="6"/>
  <c r="X39" i="13" s="1"/>
  <c r="S217" i="6"/>
  <c r="N217" i="6"/>
  <c r="M217" i="6" s="1"/>
  <c r="I217" i="6"/>
  <c r="G217" i="6"/>
  <c r="H217" i="6" s="1"/>
  <c r="D217" i="6"/>
  <c r="V216" i="6"/>
  <c r="X223" i="13" s="1"/>
  <c r="S216" i="6"/>
  <c r="N216" i="6"/>
  <c r="I216" i="6"/>
  <c r="G216" i="6"/>
  <c r="H216" i="6" s="1"/>
  <c r="D216" i="6"/>
  <c r="V215" i="6"/>
  <c r="S215" i="6"/>
  <c r="N215" i="6"/>
  <c r="M215" i="6" s="1"/>
  <c r="I215" i="6"/>
  <c r="G215" i="6"/>
  <c r="D215" i="6"/>
  <c r="V214" i="6"/>
  <c r="U214" i="6" a="1"/>
  <c r="U214" i="6" s="1"/>
  <c r="T214" i="6"/>
  <c r="S214" i="6"/>
  <c r="N214" i="6"/>
  <c r="M214" i="6" s="1"/>
  <c r="I214" i="6"/>
  <c r="G214" i="6"/>
  <c r="H214" i="6" s="1"/>
  <c r="D214" i="6"/>
  <c r="V213" i="6"/>
  <c r="U213" i="6" a="1"/>
  <c r="U213" i="6" s="1"/>
  <c r="T213" i="6"/>
  <c r="S213" i="6"/>
  <c r="N213" i="6"/>
  <c r="M213" i="6" s="1"/>
  <c r="I213" i="6"/>
  <c r="G213" i="6"/>
  <c r="H213" i="6" s="1"/>
  <c r="D213" i="6"/>
  <c r="V212" i="6"/>
  <c r="U212" i="6" a="1"/>
  <c r="U212" i="6" s="1"/>
  <c r="T212" i="6"/>
  <c r="S212" i="6"/>
  <c r="N212" i="6"/>
  <c r="M212" i="6" s="1"/>
  <c r="I212" i="6"/>
  <c r="G212" i="6"/>
  <c r="H212" i="6" s="1"/>
  <c r="D212" i="6"/>
  <c r="V211" i="6"/>
  <c r="U211" i="6" a="1"/>
  <c r="U211" i="6" s="1"/>
  <c r="T211" i="6"/>
  <c r="S211" i="6"/>
  <c r="N211" i="6"/>
  <c r="I211" i="6"/>
  <c r="G211" i="6"/>
  <c r="H211" i="6" s="1"/>
  <c r="D211" i="6"/>
  <c r="V210" i="6"/>
  <c r="S210" i="6"/>
  <c r="N210" i="6"/>
  <c r="M210" i="6" s="1"/>
  <c r="I210" i="6"/>
  <c r="G210" i="6"/>
  <c r="H210" i="6" s="1"/>
  <c r="D210" i="6"/>
  <c r="V209" i="6"/>
  <c r="S209" i="6"/>
  <c r="N209" i="6"/>
  <c r="M209" i="6" s="1"/>
  <c r="I209" i="6"/>
  <c r="G209" i="6"/>
  <c r="H209" i="6" s="1"/>
  <c r="D209" i="6"/>
  <c r="V208" i="6"/>
  <c r="U208" i="6" a="1"/>
  <c r="U208" i="6" s="1"/>
  <c r="T208" i="6"/>
  <c r="S208" i="6"/>
  <c r="N208" i="6"/>
  <c r="I208" i="6"/>
  <c r="G208" i="6"/>
  <c r="H208" i="6" s="1"/>
  <c r="D208" i="6"/>
  <c r="V207" i="6"/>
  <c r="U207" i="6" a="1"/>
  <c r="U207" i="6" s="1"/>
  <c r="T207" i="6"/>
  <c r="S207" i="6"/>
  <c r="N207" i="6"/>
  <c r="M207" i="6" s="1"/>
  <c r="I207" i="6"/>
  <c r="G207" i="6"/>
  <c r="H207" i="6" s="1"/>
  <c r="D207" i="6"/>
  <c r="V206" i="6"/>
  <c r="S206" i="6"/>
  <c r="N206" i="6"/>
  <c r="M206" i="6" s="1"/>
  <c r="I206" i="6"/>
  <c r="G206" i="6"/>
  <c r="H206" i="6" s="1"/>
  <c r="D206" i="6"/>
  <c r="V205" i="6"/>
  <c r="U205" i="6" a="1"/>
  <c r="U205" i="6" s="1"/>
  <c r="T205" i="6"/>
  <c r="S205" i="6"/>
  <c r="N205" i="6"/>
  <c r="E180" i="13" s="1"/>
  <c r="I205" i="6"/>
  <c r="G205" i="6"/>
  <c r="H205" i="6" s="1"/>
  <c r="D205" i="6"/>
  <c r="V204" i="6"/>
  <c r="U204" i="6" a="1"/>
  <c r="U204" i="6" s="1"/>
  <c r="T204" i="6"/>
  <c r="S204" i="6"/>
  <c r="N204" i="6"/>
  <c r="M204" i="6" s="1"/>
  <c r="I204" i="6"/>
  <c r="G204" i="6"/>
  <c r="H204" i="6" s="1"/>
  <c r="D204" i="6"/>
  <c r="S203" i="6"/>
  <c r="N203" i="6"/>
  <c r="M203" i="6" s="1"/>
  <c r="I203" i="6"/>
  <c r="G203" i="6"/>
  <c r="D203" i="6"/>
  <c r="V202" i="6"/>
  <c r="S202" i="6"/>
  <c r="N202" i="6"/>
  <c r="M202" i="6" s="1"/>
  <c r="I202" i="6"/>
  <c r="G202" i="6"/>
  <c r="H202" i="6" s="1"/>
  <c r="D202" i="6"/>
  <c r="V201" i="6"/>
  <c r="X426" i="13" s="1"/>
  <c r="S201" i="6"/>
  <c r="N201" i="6"/>
  <c r="M201" i="6" s="1"/>
  <c r="I201" i="6"/>
  <c r="G201" i="6"/>
  <c r="H201" i="6" s="1"/>
  <c r="D201" i="6"/>
  <c r="V200" i="6"/>
  <c r="S200" i="6"/>
  <c r="N200" i="6"/>
  <c r="M200" i="6" s="1"/>
  <c r="I200" i="6"/>
  <c r="G200" i="6"/>
  <c r="H200" i="6" s="1"/>
  <c r="D200" i="6"/>
  <c r="V199" i="6"/>
  <c r="U199" i="6" a="1"/>
  <c r="U199" i="6" s="1"/>
  <c r="T199" i="6"/>
  <c r="S199" i="6"/>
  <c r="N199" i="6"/>
  <c r="M199" i="6" s="1"/>
  <c r="I199" i="6"/>
  <c r="G199" i="6"/>
  <c r="H199" i="6" s="1"/>
  <c r="D199" i="6"/>
  <c r="V198" i="6"/>
  <c r="S198" i="6"/>
  <c r="N198" i="6"/>
  <c r="M198" i="6" s="1"/>
  <c r="I198" i="6"/>
  <c r="G198" i="6"/>
  <c r="H198" i="6" s="1"/>
  <c r="D198" i="6"/>
  <c r="V197" i="6"/>
  <c r="S197" i="6"/>
  <c r="N197" i="6"/>
  <c r="M197" i="6" s="1"/>
  <c r="I197" i="6"/>
  <c r="G197" i="6"/>
  <c r="H197" i="6" s="1"/>
  <c r="D197" i="6"/>
  <c r="V196" i="6"/>
  <c r="U196" i="6" a="1"/>
  <c r="U196" i="6" s="1"/>
  <c r="T196" i="6"/>
  <c r="S196" i="6"/>
  <c r="N196" i="6"/>
  <c r="M196" i="6" s="1"/>
  <c r="I196" i="6"/>
  <c r="G196" i="6"/>
  <c r="H196" i="6" s="1"/>
  <c r="D196" i="6"/>
  <c r="V195" i="6"/>
  <c r="U195" i="6" a="1"/>
  <c r="U195" i="6" s="1"/>
  <c r="T195" i="6"/>
  <c r="S195" i="6"/>
  <c r="N195" i="6"/>
  <c r="M195" i="6" s="1"/>
  <c r="I195" i="6"/>
  <c r="G195" i="6"/>
  <c r="H195" i="6" s="1"/>
  <c r="D195" i="6"/>
  <c r="V194" i="6"/>
  <c r="U194" i="6" a="1"/>
  <c r="U194" i="6" s="1"/>
  <c r="T194" i="6"/>
  <c r="S194" i="6"/>
  <c r="N194" i="6"/>
  <c r="M194" i="6" s="1"/>
  <c r="I194" i="6"/>
  <c r="G194" i="6"/>
  <c r="H194" i="6" s="1"/>
  <c r="D194" i="6"/>
  <c r="V193" i="6"/>
  <c r="U193" i="6" a="1"/>
  <c r="U193" i="6" s="1"/>
  <c r="T193" i="6"/>
  <c r="S193" i="6"/>
  <c r="N193" i="6"/>
  <c r="M193" i="6" s="1"/>
  <c r="I193" i="6"/>
  <c r="G193" i="6"/>
  <c r="H193" i="6" s="1"/>
  <c r="D193" i="6"/>
  <c r="V192" i="6"/>
  <c r="S192" i="6"/>
  <c r="N192" i="6"/>
  <c r="I192" i="6"/>
  <c r="G192" i="6"/>
  <c r="H192" i="6" s="1"/>
  <c r="D192" i="6"/>
  <c r="V191" i="6"/>
  <c r="X320" i="13" s="1"/>
  <c r="S191" i="6"/>
  <c r="N191" i="6"/>
  <c r="M191" i="6" s="1"/>
  <c r="I191" i="6"/>
  <c r="G191" i="6"/>
  <c r="D191" i="6"/>
  <c r="V190" i="6"/>
  <c r="X270" i="13" s="1"/>
  <c r="S190" i="6"/>
  <c r="N190" i="6"/>
  <c r="M190" i="6" s="1"/>
  <c r="I190" i="6"/>
  <c r="G190" i="6"/>
  <c r="D190" i="6"/>
  <c r="V189" i="6"/>
  <c r="V509" i="13" s="1"/>
  <c r="U189" i="6" a="1"/>
  <c r="U189" i="6" s="1"/>
  <c r="T189" i="6"/>
  <c r="S189" i="6"/>
  <c r="N189" i="6"/>
  <c r="E509" i="13" s="1"/>
  <c r="I189" i="6"/>
  <c r="G189" i="6"/>
  <c r="H189" i="6" s="1"/>
  <c r="D189" i="6"/>
  <c r="V188" i="6"/>
  <c r="U188" i="6" a="1"/>
  <c r="U188" i="6" s="1"/>
  <c r="T188" i="6"/>
  <c r="S188" i="6"/>
  <c r="N188" i="6"/>
  <c r="I188" i="6"/>
  <c r="G188" i="6"/>
  <c r="H188" i="6" s="1"/>
  <c r="D188" i="6"/>
  <c r="V187" i="6"/>
  <c r="V134" i="13" s="1"/>
  <c r="U187" i="6" a="1"/>
  <c r="U187" i="6" s="1"/>
  <c r="T187" i="6"/>
  <c r="S187" i="6"/>
  <c r="N187" i="6"/>
  <c r="E134" i="13" s="1"/>
  <c r="I187" i="6"/>
  <c r="G187" i="6"/>
  <c r="H187" i="6" s="1"/>
  <c r="D187" i="6"/>
  <c r="V186" i="6"/>
  <c r="U186" i="6" a="1"/>
  <c r="U186" i="6" s="1"/>
  <c r="T186" i="6"/>
  <c r="S186" i="6"/>
  <c r="N186" i="6"/>
  <c r="I186" i="6"/>
  <c r="G186" i="6"/>
  <c r="H186" i="6" s="1"/>
  <c r="D186" i="6"/>
  <c r="V185" i="6"/>
  <c r="S185" i="6"/>
  <c r="N185" i="6"/>
  <c r="M185" i="6" s="1"/>
  <c r="I185" i="6"/>
  <c r="G185" i="6"/>
  <c r="H185" i="6" s="1"/>
  <c r="D185" i="6"/>
  <c r="V184" i="6"/>
  <c r="S184" i="6"/>
  <c r="N184" i="6"/>
  <c r="M184" i="6" s="1"/>
  <c r="I184" i="6"/>
  <c r="G184" i="6"/>
  <c r="H184" i="6" s="1"/>
  <c r="D184" i="6"/>
  <c r="V183" i="6"/>
  <c r="X501" i="13" s="1"/>
  <c r="S183" i="6"/>
  <c r="N183" i="6"/>
  <c r="F501" i="13" s="1"/>
  <c r="I183" i="6"/>
  <c r="G183" i="6"/>
  <c r="D183" i="6"/>
  <c r="V182" i="6"/>
  <c r="U182" i="6" a="1"/>
  <c r="U182" i="6" s="1"/>
  <c r="T182" i="6"/>
  <c r="S182" i="6"/>
  <c r="N182" i="6"/>
  <c r="I182" i="6"/>
  <c r="G182" i="6"/>
  <c r="H182" i="6" s="1"/>
  <c r="D182" i="6"/>
  <c r="V181" i="6"/>
  <c r="U181" i="6" a="1"/>
  <c r="U181" i="6" s="1"/>
  <c r="T181" i="6"/>
  <c r="S181" i="6"/>
  <c r="N181" i="6"/>
  <c r="M181" i="6" s="1"/>
  <c r="I181" i="6"/>
  <c r="G181" i="6"/>
  <c r="H181" i="6" s="1"/>
  <c r="D181" i="6"/>
  <c r="V180" i="6"/>
  <c r="V506" i="13" s="1"/>
  <c r="U180" i="6" a="1"/>
  <c r="U180" i="6" s="1"/>
  <c r="T180" i="6"/>
  <c r="S180" i="6"/>
  <c r="N180" i="6"/>
  <c r="E506" i="13" s="1"/>
  <c r="I180" i="6"/>
  <c r="G180" i="6"/>
  <c r="H180" i="6" s="1"/>
  <c r="D180" i="6"/>
  <c r="V179" i="6"/>
  <c r="S179" i="6"/>
  <c r="N179" i="6"/>
  <c r="I179" i="6"/>
  <c r="G179" i="6"/>
  <c r="D179" i="6"/>
  <c r="V178" i="6"/>
  <c r="U178" i="6" a="1"/>
  <c r="U178" i="6" s="1"/>
  <c r="T178" i="6"/>
  <c r="S178" i="6"/>
  <c r="N178" i="6"/>
  <c r="M178" i="6" s="1"/>
  <c r="I178" i="6"/>
  <c r="G178" i="6"/>
  <c r="H178" i="6" s="1"/>
  <c r="D178" i="6"/>
  <c r="V177" i="6"/>
  <c r="U177" i="6" a="1"/>
  <c r="U177" i="6" s="1"/>
  <c r="T177" i="6"/>
  <c r="S177" i="6"/>
  <c r="N177" i="6"/>
  <c r="M177" i="6" s="1"/>
  <c r="I177" i="6"/>
  <c r="G177" i="6"/>
  <c r="H177" i="6" s="1"/>
  <c r="D177" i="6"/>
  <c r="V176" i="6"/>
  <c r="U176" i="6" a="1"/>
  <c r="U176" i="6" s="1"/>
  <c r="T176" i="6"/>
  <c r="S176" i="6"/>
  <c r="N176" i="6"/>
  <c r="M176" i="6" s="1"/>
  <c r="I176" i="6"/>
  <c r="G176" i="6"/>
  <c r="H176" i="6" s="1"/>
  <c r="D176" i="6"/>
  <c r="V175" i="6"/>
  <c r="U175" i="6" a="1"/>
  <c r="U175" i="6" s="1"/>
  <c r="T175" i="6"/>
  <c r="S175" i="6"/>
  <c r="N175" i="6"/>
  <c r="M175" i="6" s="1"/>
  <c r="I175" i="6"/>
  <c r="G175" i="6"/>
  <c r="H175" i="6" s="1"/>
  <c r="D175" i="6"/>
  <c r="V174" i="6"/>
  <c r="U174" i="6" a="1"/>
  <c r="U174" i="6" s="1"/>
  <c r="T174" i="6"/>
  <c r="S174" i="6"/>
  <c r="N174" i="6"/>
  <c r="M174" i="6" s="1"/>
  <c r="I174" i="6"/>
  <c r="G174" i="6"/>
  <c r="H174" i="6" s="1"/>
  <c r="D174" i="6"/>
  <c r="V173" i="6"/>
  <c r="U173" i="6" a="1"/>
  <c r="U173" i="6" s="1"/>
  <c r="T173" i="6"/>
  <c r="S173" i="6"/>
  <c r="N173" i="6"/>
  <c r="I173" i="6"/>
  <c r="G173" i="6"/>
  <c r="H173" i="6" s="1"/>
  <c r="D173" i="6"/>
  <c r="V172" i="6"/>
  <c r="W172" i="6" s="1"/>
  <c r="U172" i="6" a="1"/>
  <c r="U172" i="6" s="1"/>
  <c r="T172" i="6"/>
  <c r="S172" i="6"/>
  <c r="N172" i="6"/>
  <c r="M172" i="6" s="1"/>
  <c r="I172" i="6"/>
  <c r="G172" i="6"/>
  <c r="H172" i="6" s="1"/>
  <c r="D172" i="6"/>
  <c r="V171" i="6"/>
  <c r="X267" i="13" s="1"/>
  <c r="S171" i="6"/>
  <c r="N171" i="6"/>
  <c r="M171" i="6" s="1"/>
  <c r="I171" i="6"/>
  <c r="G171" i="6"/>
  <c r="D171" i="6"/>
  <c r="V170" i="6"/>
  <c r="S170" i="6"/>
  <c r="N170" i="6"/>
  <c r="M170" i="6" s="1"/>
  <c r="I170" i="6"/>
  <c r="G170" i="6"/>
  <c r="H170" i="6" s="1"/>
  <c r="D170" i="6"/>
  <c r="V169" i="6"/>
  <c r="S169" i="6"/>
  <c r="N169" i="6"/>
  <c r="I169" i="6"/>
  <c r="G169" i="6"/>
  <c r="H169" i="6" s="1"/>
  <c r="D169" i="6"/>
  <c r="V168" i="6"/>
  <c r="S168" i="6"/>
  <c r="N168" i="6"/>
  <c r="M168" i="6" s="1"/>
  <c r="I168" i="6"/>
  <c r="G168" i="6"/>
  <c r="H168" i="6" s="1"/>
  <c r="D168" i="6"/>
  <c r="V167" i="6"/>
  <c r="U167" i="6" a="1"/>
  <c r="U167" i="6" s="1"/>
  <c r="T167" i="6"/>
  <c r="S167" i="6"/>
  <c r="N167" i="6"/>
  <c r="M167" i="6" s="1"/>
  <c r="I167" i="6"/>
  <c r="G167" i="6"/>
  <c r="H167" i="6" s="1"/>
  <c r="D167" i="6"/>
  <c r="V166" i="6"/>
  <c r="U166" i="6" a="1"/>
  <c r="U166" i="6" s="1"/>
  <c r="T166" i="6"/>
  <c r="S166" i="6"/>
  <c r="N166" i="6"/>
  <c r="I166" i="6"/>
  <c r="G166" i="6"/>
  <c r="H166" i="6" s="1"/>
  <c r="D166" i="6"/>
  <c r="V165" i="6"/>
  <c r="U165" i="6" a="1"/>
  <c r="U165" i="6" s="1"/>
  <c r="T165" i="6"/>
  <c r="S165" i="6"/>
  <c r="N165" i="6"/>
  <c r="M165" i="6" s="1"/>
  <c r="I165" i="6"/>
  <c r="G165" i="6"/>
  <c r="H165" i="6" s="1"/>
  <c r="D165" i="6"/>
  <c r="V164" i="6"/>
  <c r="U164" i="6" a="1"/>
  <c r="U164" i="6" s="1"/>
  <c r="T164" i="6"/>
  <c r="S164" i="6"/>
  <c r="N164" i="6"/>
  <c r="M164" i="6" s="1"/>
  <c r="I164" i="6"/>
  <c r="G164" i="6"/>
  <c r="H164" i="6" s="1"/>
  <c r="D164" i="6"/>
  <c r="V163" i="6"/>
  <c r="S163" i="6"/>
  <c r="N163" i="6"/>
  <c r="M163" i="6" s="1"/>
  <c r="I163" i="6"/>
  <c r="G163" i="6"/>
  <c r="D163" i="6"/>
  <c r="V162" i="6"/>
  <c r="U162" i="6" a="1"/>
  <c r="U162" i="6" s="1"/>
  <c r="T162" i="6"/>
  <c r="S162" i="6"/>
  <c r="N162" i="6"/>
  <c r="I162" i="6"/>
  <c r="G162" i="6"/>
  <c r="H162" i="6" s="1"/>
  <c r="D162" i="6"/>
  <c r="V161" i="6"/>
  <c r="X678" i="13" s="1"/>
  <c r="S161" i="6"/>
  <c r="N161" i="6"/>
  <c r="F678" i="13" s="1"/>
  <c r="T678" i="13" s="1"/>
  <c r="I161" i="6"/>
  <c r="G161" i="6"/>
  <c r="H161" i="6" s="1"/>
  <c r="D161" i="6"/>
  <c r="V160" i="6"/>
  <c r="S160" i="6"/>
  <c r="N160" i="6"/>
  <c r="I160" i="6"/>
  <c r="G160" i="6"/>
  <c r="H160" i="6" s="1"/>
  <c r="D160" i="6"/>
  <c r="V159" i="6"/>
  <c r="U159" i="6" a="1"/>
  <c r="U159" i="6" s="1"/>
  <c r="T159" i="6"/>
  <c r="S159" i="6"/>
  <c r="N159" i="6"/>
  <c r="M159" i="6" s="1"/>
  <c r="I159" i="6"/>
  <c r="G159" i="6"/>
  <c r="H159" i="6" s="1"/>
  <c r="D159" i="6"/>
  <c r="V158" i="6"/>
  <c r="U158" i="6" a="1"/>
  <c r="U158" i="6" s="1"/>
  <c r="T158" i="6"/>
  <c r="S158" i="6"/>
  <c r="N158" i="6"/>
  <c r="M158" i="6" s="1"/>
  <c r="I158" i="6"/>
  <c r="G158" i="6"/>
  <c r="H158" i="6" s="1"/>
  <c r="D158" i="6"/>
  <c r="V157" i="6"/>
  <c r="U157" i="6" a="1"/>
  <c r="U157" i="6" s="1"/>
  <c r="T157" i="6"/>
  <c r="S157" i="6"/>
  <c r="N157" i="6"/>
  <c r="M157" i="6" s="1"/>
  <c r="I157" i="6"/>
  <c r="G157" i="6"/>
  <c r="H157" i="6" s="1"/>
  <c r="D157" i="6"/>
  <c r="V156" i="6"/>
  <c r="W1422" i="6" s="1"/>
  <c r="U156" i="6" a="1"/>
  <c r="U156" i="6" s="1"/>
  <c r="T156" i="6"/>
  <c r="S156" i="6"/>
  <c r="N156" i="6"/>
  <c r="O1422" i="6" s="1"/>
  <c r="I156" i="6"/>
  <c r="G156" i="6"/>
  <c r="H156" i="6" s="1"/>
  <c r="D156" i="6"/>
  <c r="V155" i="6"/>
  <c r="U155" i="6" a="1"/>
  <c r="U155" i="6" s="1"/>
  <c r="T155" i="6"/>
  <c r="S155" i="6"/>
  <c r="N155" i="6"/>
  <c r="M155" i="6" s="1"/>
  <c r="I155" i="6"/>
  <c r="G155" i="6"/>
  <c r="H155" i="6" s="1"/>
  <c r="D155" i="6"/>
  <c r="V154" i="6"/>
  <c r="U154" i="6" a="1"/>
  <c r="U154" i="6" s="1"/>
  <c r="T154" i="6"/>
  <c r="S154" i="6"/>
  <c r="N154" i="6"/>
  <c r="I154" i="6"/>
  <c r="G154" i="6"/>
  <c r="H154" i="6" s="1"/>
  <c r="D154" i="6"/>
  <c r="V153" i="6"/>
  <c r="S153" i="6"/>
  <c r="N153" i="6"/>
  <c r="M153" i="6" s="1"/>
  <c r="I153" i="6"/>
  <c r="G153" i="6"/>
  <c r="H153" i="6" s="1"/>
  <c r="D153" i="6"/>
  <c r="V152" i="6"/>
  <c r="V504" i="13" s="1"/>
  <c r="U152" i="6" a="1"/>
  <c r="U152" i="6" s="1"/>
  <c r="T152" i="6"/>
  <c r="S152" i="6"/>
  <c r="N152" i="6"/>
  <c r="M152" i="6" s="1"/>
  <c r="I152" i="6"/>
  <c r="G152" i="6"/>
  <c r="H152" i="6" s="1"/>
  <c r="D152" i="6"/>
  <c r="V151" i="6"/>
  <c r="U151" i="6" a="1"/>
  <c r="U151" i="6" s="1"/>
  <c r="T151" i="6"/>
  <c r="S151" i="6"/>
  <c r="N151" i="6"/>
  <c r="I151" i="6"/>
  <c r="G151" i="6"/>
  <c r="H151" i="6" s="1"/>
  <c r="D151" i="6"/>
  <c r="V150" i="6"/>
  <c r="U150" i="6" a="1"/>
  <c r="U150" i="6" s="1"/>
  <c r="T150" i="6"/>
  <c r="S150" i="6"/>
  <c r="N150" i="6"/>
  <c r="M150" i="6" s="1"/>
  <c r="I150" i="6"/>
  <c r="G150" i="6"/>
  <c r="H150" i="6" s="1"/>
  <c r="D150" i="6"/>
  <c r="V149" i="6"/>
  <c r="U149" i="6" a="1"/>
  <c r="U149" i="6" s="1"/>
  <c r="T149" i="6"/>
  <c r="S149" i="6"/>
  <c r="N149" i="6"/>
  <c r="M149" i="6" s="1"/>
  <c r="I149" i="6"/>
  <c r="G149" i="6"/>
  <c r="H149" i="6" s="1"/>
  <c r="D149" i="6"/>
  <c r="V148" i="6"/>
  <c r="S148" i="6"/>
  <c r="N148" i="6"/>
  <c r="I148" i="6"/>
  <c r="G148" i="6"/>
  <c r="H148" i="6" s="1"/>
  <c r="D148" i="6"/>
  <c r="V147" i="6"/>
  <c r="U147" i="6" a="1"/>
  <c r="U147" i="6" s="1"/>
  <c r="T147" i="6"/>
  <c r="S147" i="6"/>
  <c r="N147" i="6"/>
  <c r="I147" i="6"/>
  <c r="G147" i="6"/>
  <c r="H147" i="6" s="1"/>
  <c r="D147" i="6"/>
  <c r="V146" i="6"/>
  <c r="U146" i="6" a="1"/>
  <c r="U146" i="6" s="1"/>
  <c r="T146" i="6"/>
  <c r="S146" i="6"/>
  <c r="N146" i="6"/>
  <c r="M146" i="6" s="1"/>
  <c r="I146" i="6"/>
  <c r="G146" i="6"/>
  <c r="H146" i="6" s="1"/>
  <c r="D146" i="6"/>
  <c r="V145" i="6"/>
  <c r="U145" i="6" a="1"/>
  <c r="U145" i="6" s="1"/>
  <c r="T145" i="6"/>
  <c r="S145" i="6"/>
  <c r="N145" i="6"/>
  <c r="M145" i="6" s="1"/>
  <c r="I145" i="6"/>
  <c r="G145" i="6"/>
  <c r="H145" i="6" s="1"/>
  <c r="D145" i="6"/>
  <c r="V144" i="6"/>
  <c r="W144" i="6" s="1"/>
  <c r="U144" i="6" a="1"/>
  <c r="U144" i="6" s="1"/>
  <c r="T144" i="6"/>
  <c r="S144" i="6"/>
  <c r="N144" i="6"/>
  <c r="I144" i="6"/>
  <c r="G144" i="6"/>
  <c r="H144" i="6" s="1"/>
  <c r="D144" i="6"/>
  <c r="V143" i="6"/>
  <c r="U143" i="6" a="1"/>
  <c r="U143" i="6" s="1"/>
  <c r="T143" i="6"/>
  <c r="S143" i="6"/>
  <c r="N143" i="6"/>
  <c r="M143" i="6" s="1"/>
  <c r="I143" i="6"/>
  <c r="G143" i="6"/>
  <c r="H143" i="6" s="1"/>
  <c r="D143" i="6"/>
  <c r="V142" i="6"/>
  <c r="U142" i="6" a="1"/>
  <c r="U142" i="6" s="1"/>
  <c r="T142" i="6"/>
  <c r="S142" i="6"/>
  <c r="N142" i="6"/>
  <c r="I142" i="6"/>
  <c r="G142" i="6"/>
  <c r="H142" i="6" s="1"/>
  <c r="D142" i="6"/>
  <c r="U141" i="6" a="1"/>
  <c r="U141" i="6" s="1"/>
  <c r="T141" i="6"/>
  <c r="S141" i="6"/>
  <c r="N141" i="6"/>
  <c r="M141" i="6" s="1"/>
  <c r="I141" i="6"/>
  <c r="G141" i="6"/>
  <c r="H141" i="6" s="1"/>
  <c r="D141" i="6"/>
  <c r="U140" i="6" a="1"/>
  <c r="U140" i="6" s="1"/>
  <c r="T140" i="6"/>
  <c r="S140" i="6"/>
  <c r="N140" i="6"/>
  <c r="V140" i="6" s="1"/>
  <c r="I140" i="6"/>
  <c r="G140" i="6"/>
  <c r="H140" i="6" s="1"/>
  <c r="D140" i="6"/>
  <c r="V139" i="6"/>
  <c r="U139" i="6" a="1"/>
  <c r="U139" i="6" s="1"/>
  <c r="T139" i="6"/>
  <c r="S139" i="6"/>
  <c r="N139" i="6"/>
  <c r="I139" i="6"/>
  <c r="G139" i="6"/>
  <c r="H139" i="6" s="1"/>
  <c r="D139" i="6"/>
  <c r="S138" i="6"/>
  <c r="N138" i="6"/>
  <c r="M138" i="6" s="1"/>
  <c r="I138" i="6"/>
  <c r="G138" i="6"/>
  <c r="D138" i="6"/>
  <c r="V137" i="6"/>
  <c r="U137" i="6" a="1"/>
  <c r="U137" i="6" s="1"/>
  <c r="T137" i="6"/>
  <c r="S137" i="6"/>
  <c r="N137" i="6"/>
  <c r="M137" i="6" s="1"/>
  <c r="I137" i="6"/>
  <c r="G137" i="6"/>
  <c r="H137" i="6" s="1"/>
  <c r="D137" i="6"/>
  <c r="V136" i="6"/>
  <c r="U136" i="6" a="1"/>
  <c r="U136" i="6" s="1"/>
  <c r="T136" i="6"/>
  <c r="S136" i="6"/>
  <c r="N136" i="6"/>
  <c r="M136" i="6" s="1"/>
  <c r="I136" i="6"/>
  <c r="G136" i="6"/>
  <c r="H136" i="6" s="1"/>
  <c r="D136" i="6"/>
  <c r="V135" i="6"/>
  <c r="U135" i="6" a="1"/>
  <c r="U135" i="6" s="1"/>
  <c r="T135" i="6"/>
  <c r="S135" i="6"/>
  <c r="N135" i="6"/>
  <c r="I135" i="6"/>
  <c r="G135" i="6"/>
  <c r="H135" i="6" s="1"/>
  <c r="D135" i="6"/>
  <c r="V134" i="6"/>
  <c r="V267" i="13" s="1"/>
  <c r="U134" i="6" a="1"/>
  <c r="U134" i="6" s="1"/>
  <c r="T134" i="6"/>
  <c r="S134" i="6"/>
  <c r="N134" i="6"/>
  <c r="I134" i="6"/>
  <c r="G134" i="6"/>
  <c r="H134" i="6" s="1"/>
  <c r="D134" i="6"/>
  <c r="V133" i="6"/>
  <c r="U133" i="6" a="1"/>
  <c r="U133" i="6" s="1"/>
  <c r="T133" i="6"/>
  <c r="S133" i="6"/>
  <c r="N133" i="6"/>
  <c r="I133" i="6"/>
  <c r="G133" i="6"/>
  <c r="H133" i="6" s="1"/>
  <c r="D133" i="6"/>
  <c r="V132" i="6"/>
  <c r="W132" i="6" s="1"/>
  <c r="U132" i="6" a="1"/>
  <c r="U132" i="6" s="1"/>
  <c r="T132" i="6"/>
  <c r="S132" i="6"/>
  <c r="N132" i="6"/>
  <c r="I132" i="6"/>
  <c r="G132" i="6"/>
  <c r="H132" i="6" s="1"/>
  <c r="D132" i="6"/>
  <c r="V131" i="6"/>
  <c r="U131" i="6" a="1"/>
  <c r="U131" i="6" s="1"/>
  <c r="T131" i="6"/>
  <c r="S131" i="6"/>
  <c r="N131" i="6"/>
  <c r="I131" i="6"/>
  <c r="G131" i="6"/>
  <c r="H131" i="6" s="1"/>
  <c r="D131" i="6"/>
  <c r="V130" i="6"/>
  <c r="U130" i="6" a="1"/>
  <c r="U130" i="6" s="1"/>
  <c r="T130" i="6"/>
  <c r="S130" i="6"/>
  <c r="N130" i="6"/>
  <c r="I130" i="6"/>
  <c r="G130" i="6"/>
  <c r="H130" i="6" s="1"/>
  <c r="D130" i="6"/>
  <c r="U129" i="6" a="1"/>
  <c r="U129" i="6" s="1"/>
  <c r="T129" i="6"/>
  <c r="S129" i="6"/>
  <c r="N129" i="6"/>
  <c r="V129" i="6" s="1"/>
  <c r="I129" i="6"/>
  <c r="G129" i="6"/>
  <c r="H129" i="6" s="1"/>
  <c r="D129" i="6"/>
  <c r="U128" i="6" a="1"/>
  <c r="U128" i="6" s="1"/>
  <c r="T128" i="6"/>
  <c r="S128" i="6"/>
  <c r="N128" i="6"/>
  <c r="E498" i="13" s="1"/>
  <c r="I128" i="6"/>
  <c r="G128" i="6"/>
  <c r="H128" i="6" s="1"/>
  <c r="D128" i="6"/>
  <c r="V127" i="6"/>
  <c r="U127" i="6" a="1"/>
  <c r="U127" i="6" s="1"/>
  <c r="T127" i="6"/>
  <c r="S127" i="6"/>
  <c r="N127" i="6"/>
  <c r="I127" i="6"/>
  <c r="G127" i="6"/>
  <c r="H127" i="6" s="1"/>
  <c r="D127" i="6"/>
  <c r="V126" i="6"/>
  <c r="U126" i="6" a="1"/>
  <c r="U126" i="6" s="1"/>
  <c r="T126" i="6"/>
  <c r="S126" i="6"/>
  <c r="N126" i="6"/>
  <c r="M126" i="6" s="1"/>
  <c r="I126" i="6"/>
  <c r="G126" i="6"/>
  <c r="H126" i="6" s="1"/>
  <c r="D126" i="6"/>
  <c r="V125" i="6"/>
  <c r="V426" i="13" s="1"/>
  <c r="U125" i="6" a="1"/>
  <c r="U125" i="6" s="1"/>
  <c r="T125" i="6"/>
  <c r="S125" i="6"/>
  <c r="N125" i="6"/>
  <c r="M125" i="6" s="1"/>
  <c r="I125" i="6"/>
  <c r="G125" i="6"/>
  <c r="H125" i="6" s="1"/>
  <c r="D125" i="6"/>
  <c r="V124" i="6"/>
  <c r="U124" i="6" a="1"/>
  <c r="U124" i="6" s="1"/>
  <c r="T124" i="6"/>
  <c r="S124" i="6"/>
  <c r="N124" i="6"/>
  <c r="I124" i="6"/>
  <c r="G124" i="6"/>
  <c r="H124" i="6" s="1"/>
  <c r="D124" i="6"/>
  <c r="V123" i="6"/>
  <c r="V161" i="13" s="1"/>
  <c r="U123" i="6" a="1"/>
  <c r="U123" i="6" s="1"/>
  <c r="T123" i="6"/>
  <c r="S123" i="6"/>
  <c r="N123" i="6"/>
  <c r="E161" i="13" s="1"/>
  <c r="I123" i="6"/>
  <c r="G123" i="6"/>
  <c r="H123" i="6" s="1"/>
  <c r="D123" i="6"/>
  <c r="V122" i="6"/>
  <c r="U122" i="6" a="1"/>
  <c r="U122" i="6" s="1"/>
  <c r="T122" i="6"/>
  <c r="S122" i="6"/>
  <c r="N122" i="6"/>
  <c r="M122" i="6" s="1"/>
  <c r="I122" i="6"/>
  <c r="G122" i="6"/>
  <c r="H122" i="6" s="1"/>
  <c r="D122" i="6"/>
  <c r="U121" i="6" a="1"/>
  <c r="U121" i="6" s="1"/>
  <c r="T121" i="6"/>
  <c r="S121" i="6"/>
  <c r="N121" i="6"/>
  <c r="V121" i="6" s="1"/>
  <c r="W1039" i="6" s="1"/>
  <c r="I121" i="6"/>
  <c r="G121" i="6"/>
  <c r="H121" i="6" s="1"/>
  <c r="D121" i="6"/>
  <c r="V120" i="6"/>
  <c r="U120" i="6" a="1"/>
  <c r="U120" i="6" s="1"/>
  <c r="T120" i="6"/>
  <c r="S120" i="6"/>
  <c r="N120" i="6"/>
  <c r="M120" i="6" s="1"/>
  <c r="I120" i="6"/>
  <c r="G120" i="6"/>
  <c r="H120" i="6" s="1"/>
  <c r="D120" i="6"/>
  <c r="V119" i="6"/>
  <c r="S119" i="6"/>
  <c r="N119" i="6"/>
  <c r="M119" i="6" s="1"/>
  <c r="I119" i="6"/>
  <c r="G119" i="6"/>
  <c r="D119" i="6"/>
  <c r="V118" i="6"/>
  <c r="U118" i="6" a="1"/>
  <c r="U118" i="6" s="1"/>
  <c r="T118" i="6"/>
  <c r="S118" i="6"/>
  <c r="N118" i="6"/>
  <c r="I118" i="6"/>
  <c r="G118" i="6"/>
  <c r="H118" i="6" s="1"/>
  <c r="D118" i="6"/>
  <c r="V117" i="6"/>
  <c r="U117" i="6" a="1"/>
  <c r="U117" i="6" s="1"/>
  <c r="T117" i="6"/>
  <c r="S117" i="6"/>
  <c r="N117" i="6"/>
  <c r="I117" i="6"/>
  <c r="G117" i="6"/>
  <c r="H117" i="6" s="1"/>
  <c r="D117" i="6"/>
  <c r="V116" i="6"/>
  <c r="U116" i="6" a="1"/>
  <c r="U116" i="6" s="1"/>
  <c r="T116" i="6"/>
  <c r="S116" i="6"/>
  <c r="N116" i="6"/>
  <c r="I116" i="6"/>
  <c r="G116" i="6"/>
  <c r="H116" i="6" s="1"/>
  <c r="D116" i="6"/>
  <c r="V115" i="6"/>
  <c r="U115" i="6" a="1"/>
  <c r="U115" i="6" s="1"/>
  <c r="T115" i="6"/>
  <c r="S115" i="6"/>
  <c r="N115" i="6"/>
  <c r="M115" i="6" s="1"/>
  <c r="I115" i="6"/>
  <c r="G115" i="6"/>
  <c r="H115" i="6" s="1"/>
  <c r="D115" i="6"/>
  <c r="V114" i="6"/>
  <c r="W114" i="6" s="1"/>
  <c r="U114" i="6" a="1"/>
  <c r="U114" i="6" s="1"/>
  <c r="T114" i="6"/>
  <c r="S114" i="6"/>
  <c r="N114" i="6"/>
  <c r="O114" i="6" s="1"/>
  <c r="I114" i="6"/>
  <c r="G114" i="6"/>
  <c r="H114" i="6" s="1"/>
  <c r="D114" i="6"/>
  <c r="V113" i="6"/>
  <c r="S113" i="6"/>
  <c r="N113" i="6"/>
  <c r="M113" i="6" s="1"/>
  <c r="I113" i="6"/>
  <c r="G113" i="6"/>
  <c r="H113" i="6" s="1"/>
  <c r="D113" i="6"/>
  <c r="V112" i="6"/>
  <c r="S112" i="6"/>
  <c r="N112" i="6"/>
  <c r="M112" i="6" s="1"/>
  <c r="I112" i="6"/>
  <c r="G112" i="6"/>
  <c r="H112" i="6" s="1"/>
  <c r="D112" i="6"/>
  <c r="V111" i="6"/>
  <c r="U111" i="6" a="1"/>
  <c r="U111" i="6" s="1"/>
  <c r="T111" i="6"/>
  <c r="S111" i="6"/>
  <c r="N111" i="6"/>
  <c r="M111" i="6" s="1"/>
  <c r="I111" i="6"/>
  <c r="G111" i="6"/>
  <c r="H111" i="6" s="1"/>
  <c r="D111" i="6"/>
  <c r="V110" i="6"/>
  <c r="U110" i="6" a="1"/>
  <c r="U110" i="6" s="1"/>
  <c r="T110" i="6"/>
  <c r="S110" i="6"/>
  <c r="N110" i="6"/>
  <c r="M110" i="6" s="1"/>
  <c r="I110" i="6"/>
  <c r="G110" i="6"/>
  <c r="H110" i="6" s="1"/>
  <c r="D110" i="6"/>
  <c r="V109" i="6"/>
  <c r="U109" i="6" a="1"/>
  <c r="U109" i="6" s="1"/>
  <c r="T109" i="6"/>
  <c r="S109" i="6"/>
  <c r="N109" i="6"/>
  <c r="M109" i="6" s="1"/>
  <c r="I109" i="6"/>
  <c r="G109" i="6"/>
  <c r="H109" i="6" s="1"/>
  <c r="D109" i="6"/>
  <c r="V108" i="6"/>
  <c r="U108" i="6" a="1"/>
  <c r="U108" i="6" s="1"/>
  <c r="T108" i="6"/>
  <c r="S108" i="6"/>
  <c r="N108" i="6"/>
  <c r="M108" i="6" s="1"/>
  <c r="I108" i="6"/>
  <c r="G108" i="6"/>
  <c r="H108" i="6" s="1"/>
  <c r="D108" i="6"/>
  <c r="V107" i="6"/>
  <c r="U107" i="6" a="1"/>
  <c r="U107" i="6" s="1"/>
  <c r="T107" i="6"/>
  <c r="S107" i="6"/>
  <c r="N107" i="6"/>
  <c r="I107" i="6"/>
  <c r="G107" i="6"/>
  <c r="H107" i="6" s="1"/>
  <c r="D107" i="6"/>
  <c r="V106" i="6"/>
  <c r="X46" i="13" s="1"/>
  <c r="S106" i="6"/>
  <c r="N106" i="6"/>
  <c r="M106" i="6" s="1"/>
  <c r="I106" i="6"/>
  <c r="G106" i="6"/>
  <c r="H106" i="6" s="1"/>
  <c r="D106" i="6"/>
  <c r="V105" i="6"/>
  <c r="X246" i="13" s="1"/>
  <c r="S105" i="6"/>
  <c r="N105" i="6"/>
  <c r="M105" i="6" s="1"/>
  <c r="I105" i="6"/>
  <c r="G105" i="6"/>
  <c r="H105" i="6" s="1"/>
  <c r="D105" i="6"/>
  <c r="U104" i="6" a="1"/>
  <c r="U104" i="6" s="1"/>
  <c r="T104" i="6"/>
  <c r="S104" i="6"/>
  <c r="N104" i="6"/>
  <c r="M104" i="6" s="1"/>
  <c r="I104" i="6"/>
  <c r="G104" i="6"/>
  <c r="H104" i="6" s="1"/>
  <c r="D104" i="6"/>
  <c r="V103" i="6"/>
  <c r="U103" i="6" a="1"/>
  <c r="U103" i="6" s="1"/>
  <c r="T103" i="6"/>
  <c r="S103" i="6"/>
  <c r="N103" i="6"/>
  <c r="O103" i="6" s="1"/>
  <c r="I103" i="6"/>
  <c r="G103" i="6"/>
  <c r="H103" i="6" s="1"/>
  <c r="D103" i="6"/>
  <c r="V102" i="6"/>
  <c r="U102" i="6" a="1"/>
  <c r="U102" i="6" s="1"/>
  <c r="T102" i="6"/>
  <c r="S102" i="6"/>
  <c r="N102" i="6"/>
  <c r="I102" i="6"/>
  <c r="G102" i="6"/>
  <c r="H102" i="6" s="1"/>
  <c r="D102" i="6"/>
  <c r="U101" i="6" a="1"/>
  <c r="U101" i="6" s="1"/>
  <c r="T101" i="6"/>
  <c r="S101" i="6"/>
  <c r="N101" i="6"/>
  <c r="M101" i="6" s="1"/>
  <c r="I101" i="6"/>
  <c r="G101" i="6"/>
  <c r="H101" i="6" s="1"/>
  <c r="D101" i="6"/>
  <c r="V100" i="6"/>
  <c r="W100" i="6" s="1"/>
  <c r="U100" i="6" a="1"/>
  <c r="U100" i="6" s="1"/>
  <c r="T100" i="6"/>
  <c r="S100" i="6"/>
  <c r="N100" i="6"/>
  <c r="M100" i="6" s="1"/>
  <c r="I100" i="6"/>
  <c r="G100" i="6"/>
  <c r="H100" i="6" s="1"/>
  <c r="D100" i="6"/>
  <c r="V99" i="6"/>
  <c r="U99" i="6" a="1"/>
  <c r="U99" i="6" s="1"/>
  <c r="T99" i="6"/>
  <c r="S99" i="6"/>
  <c r="N99" i="6"/>
  <c r="O99" i="6" s="1"/>
  <c r="I99" i="6"/>
  <c r="G99" i="6"/>
  <c r="H99" i="6" s="1"/>
  <c r="D99" i="6"/>
  <c r="V98" i="6"/>
  <c r="X109" i="13" s="1"/>
  <c r="S98" i="6"/>
  <c r="N98" i="6"/>
  <c r="I98" i="6"/>
  <c r="G98" i="6"/>
  <c r="D98" i="6"/>
  <c r="V97" i="6"/>
  <c r="W1499" i="6" s="1"/>
  <c r="U97" i="6" a="1"/>
  <c r="U97" i="6" s="1"/>
  <c r="T97" i="6"/>
  <c r="S97" i="6"/>
  <c r="N97" i="6"/>
  <c r="O1499" i="6" s="1"/>
  <c r="I97" i="6"/>
  <c r="G97" i="6"/>
  <c r="H97" i="6" s="1"/>
  <c r="D97" i="6"/>
  <c r="V96" i="6"/>
  <c r="U96" i="6" a="1"/>
  <c r="U96" i="6" s="1"/>
  <c r="T96" i="6"/>
  <c r="S96" i="6"/>
  <c r="N96" i="6"/>
  <c r="I96" i="6"/>
  <c r="G96" i="6"/>
  <c r="H96" i="6" s="1"/>
  <c r="D96" i="6"/>
  <c r="V95" i="6"/>
  <c r="U95" i="6" a="1"/>
  <c r="U95" i="6" s="1"/>
  <c r="T95" i="6"/>
  <c r="S95" i="6"/>
  <c r="N95" i="6"/>
  <c r="I95" i="6"/>
  <c r="G95" i="6"/>
  <c r="D95" i="6"/>
  <c r="V94" i="6"/>
  <c r="U94" i="6" a="1"/>
  <c r="U94" i="6" s="1"/>
  <c r="T94" i="6"/>
  <c r="S94" i="6"/>
  <c r="N94" i="6"/>
  <c r="I94" i="6"/>
  <c r="G94" i="6"/>
  <c r="H94" i="6" s="1"/>
  <c r="D94" i="6"/>
  <c r="V93" i="6"/>
  <c r="U93" i="6" a="1"/>
  <c r="U93" i="6" s="1"/>
  <c r="T93" i="6"/>
  <c r="S93" i="6"/>
  <c r="N93" i="6"/>
  <c r="I93" i="6"/>
  <c r="G93" i="6"/>
  <c r="H93" i="6" s="1"/>
  <c r="D93" i="6"/>
  <c r="V92" i="6"/>
  <c r="S92" i="6"/>
  <c r="N92" i="6"/>
  <c r="I92" i="6"/>
  <c r="G92" i="6"/>
  <c r="H92" i="6" s="1"/>
  <c r="D92" i="6"/>
  <c r="V91" i="6"/>
  <c r="U91" i="6" a="1"/>
  <c r="U91" i="6" s="1"/>
  <c r="T91" i="6"/>
  <c r="S91" i="6"/>
  <c r="N91" i="6"/>
  <c r="M91" i="6" s="1"/>
  <c r="I91" i="6"/>
  <c r="G91" i="6"/>
  <c r="H91" i="6" s="1"/>
  <c r="D91" i="6"/>
  <c r="V90" i="6"/>
  <c r="S90" i="6"/>
  <c r="N90" i="6"/>
  <c r="F461" i="13" s="1"/>
  <c r="I90" i="6"/>
  <c r="G90" i="6"/>
  <c r="H90" i="6" s="1"/>
  <c r="D90" i="6"/>
  <c r="U89" i="6" a="1"/>
  <c r="U89" i="6" s="1"/>
  <c r="T89" i="6"/>
  <c r="S89" i="6"/>
  <c r="N89" i="6"/>
  <c r="M89" i="6" s="1"/>
  <c r="I89" i="6"/>
  <c r="G89" i="6"/>
  <c r="H89" i="6" s="1"/>
  <c r="D89" i="6"/>
  <c r="V88" i="6"/>
  <c r="U88" i="6" a="1"/>
  <c r="U88" i="6" s="1"/>
  <c r="T88" i="6"/>
  <c r="S88" i="6"/>
  <c r="N88" i="6"/>
  <c r="I88" i="6"/>
  <c r="G88" i="6"/>
  <c r="H88" i="6" s="1"/>
  <c r="D88" i="6"/>
  <c r="V87" i="6"/>
  <c r="U87" i="6" a="1"/>
  <c r="U87" i="6" s="1"/>
  <c r="T87" i="6"/>
  <c r="S87" i="6"/>
  <c r="N87" i="6"/>
  <c r="I87" i="6"/>
  <c r="G87" i="6"/>
  <c r="H87" i="6" s="1"/>
  <c r="D87" i="6"/>
  <c r="U86" i="6" a="1"/>
  <c r="U86" i="6" s="1"/>
  <c r="T86" i="6"/>
  <c r="S86" i="6"/>
  <c r="N86" i="6"/>
  <c r="I86" i="6"/>
  <c r="G86" i="6"/>
  <c r="H86" i="6" s="1"/>
  <c r="D86" i="6"/>
  <c r="V85" i="6"/>
  <c r="V473" i="13" s="1"/>
  <c r="U85" i="6" a="1"/>
  <c r="U85" i="6" s="1"/>
  <c r="T85" i="6"/>
  <c r="S85" i="6"/>
  <c r="N85" i="6"/>
  <c r="M85" i="6" s="1"/>
  <c r="I85" i="6"/>
  <c r="G85" i="6"/>
  <c r="H85" i="6" s="1"/>
  <c r="D85" i="6"/>
  <c r="V84" i="6"/>
  <c r="U84" i="6" a="1"/>
  <c r="U84" i="6" s="1"/>
  <c r="T84" i="6"/>
  <c r="S84" i="6"/>
  <c r="N84" i="6"/>
  <c r="M84" i="6" s="1"/>
  <c r="I84" i="6"/>
  <c r="G84" i="6"/>
  <c r="H84" i="6" s="1"/>
  <c r="D84" i="6"/>
  <c r="V83" i="6"/>
  <c r="U83" i="6" a="1"/>
  <c r="U83" i="6" s="1"/>
  <c r="T83" i="6"/>
  <c r="S83" i="6"/>
  <c r="N83" i="6"/>
  <c r="M83" i="6" s="1"/>
  <c r="I83" i="6"/>
  <c r="G83" i="6"/>
  <c r="D83" i="6"/>
  <c r="V82" i="6"/>
  <c r="S82" i="6"/>
  <c r="N82" i="6"/>
  <c r="M82" i="6" s="1"/>
  <c r="I82" i="6"/>
  <c r="G82" i="6"/>
  <c r="D82" i="6"/>
  <c r="V81" i="6"/>
  <c r="W1402" i="6" s="1"/>
  <c r="U81" i="6" a="1"/>
  <c r="U81" i="6" s="1"/>
  <c r="T81" i="6"/>
  <c r="S81" i="6"/>
  <c r="N81" i="6"/>
  <c r="O1402" i="6" s="1"/>
  <c r="R1402" i="6" s="1"/>
  <c r="I81" i="6"/>
  <c r="G81" i="6"/>
  <c r="H81" i="6" s="1"/>
  <c r="D81" i="6"/>
  <c r="V80" i="6"/>
  <c r="X45" i="13" s="1"/>
  <c r="S80" i="6"/>
  <c r="N80" i="6"/>
  <c r="I80" i="6"/>
  <c r="G80" i="6"/>
  <c r="H80" i="6" s="1"/>
  <c r="D80" i="6"/>
  <c r="V79" i="6"/>
  <c r="U79" i="6" a="1"/>
  <c r="U79" i="6" s="1"/>
  <c r="T79" i="6"/>
  <c r="S79" i="6"/>
  <c r="N79" i="6"/>
  <c r="M79" i="6" s="1"/>
  <c r="I79" i="6"/>
  <c r="G79" i="6"/>
  <c r="H79" i="6" s="1"/>
  <c r="D79" i="6"/>
  <c r="V78" i="6"/>
  <c r="S78" i="6"/>
  <c r="N78" i="6"/>
  <c r="I78" i="6"/>
  <c r="G78" i="6"/>
  <c r="H78" i="6" s="1"/>
  <c r="D78" i="6"/>
  <c r="V77" i="6"/>
  <c r="S77" i="6"/>
  <c r="N77" i="6"/>
  <c r="I77" i="6"/>
  <c r="G77" i="6"/>
  <c r="H77" i="6" s="1"/>
  <c r="D77" i="6"/>
  <c r="V76" i="6"/>
  <c r="U76" i="6" a="1"/>
  <c r="U76" i="6" s="1"/>
  <c r="T76" i="6"/>
  <c r="S76" i="6"/>
  <c r="N76" i="6"/>
  <c r="M76" i="6" s="1"/>
  <c r="I76" i="6"/>
  <c r="G76" i="6"/>
  <c r="H76" i="6" s="1"/>
  <c r="D76" i="6"/>
  <c r="V75" i="6"/>
  <c r="S75" i="6"/>
  <c r="N75" i="6"/>
  <c r="M75" i="6" s="1"/>
  <c r="I75" i="6"/>
  <c r="G75" i="6"/>
  <c r="D75" i="6"/>
  <c r="V74" i="6"/>
  <c r="X27" i="13" s="1"/>
  <c r="S74" i="6"/>
  <c r="N74" i="6"/>
  <c r="M74" i="6" s="1"/>
  <c r="I74" i="6"/>
  <c r="G74" i="6"/>
  <c r="H74" i="6" s="1"/>
  <c r="D74" i="6"/>
  <c r="V73" i="6"/>
  <c r="X327" i="13" s="1"/>
  <c r="S73" i="6"/>
  <c r="N73" i="6"/>
  <c r="F327" i="13" s="1"/>
  <c r="I73" i="6"/>
  <c r="G73" i="6"/>
  <c r="H73" i="6" s="1"/>
  <c r="D73" i="6"/>
  <c r="V72" i="6"/>
  <c r="U72" i="6" a="1"/>
  <c r="U72" i="6" s="1"/>
  <c r="T72" i="6"/>
  <c r="S72" i="6"/>
  <c r="N72" i="6"/>
  <c r="I72" i="6"/>
  <c r="G72" i="6"/>
  <c r="H72" i="6" s="1"/>
  <c r="D72" i="6"/>
  <c r="V71" i="6"/>
  <c r="W71" i="6" s="1"/>
  <c r="U71" i="6" a="1"/>
  <c r="U71" i="6" s="1"/>
  <c r="T71" i="6"/>
  <c r="S71" i="6"/>
  <c r="N71" i="6"/>
  <c r="I71" i="6"/>
  <c r="G71" i="6"/>
  <c r="D71" i="6"/>
  <c r="V70" i="6"/>
  <c r="V320" i="13" s="1"/>
  <c r="U70" i="6" a="1"/>
  <c r="U70" i="6" s="1"/>
  <c r="T70" i="6"/>
  <c r="S70" i="6"/>
  <c r="N70" i="6"/>
  <c r="E320" i="13" s="1"/>
  <c r="H320" i="13" s="1"/>
  <c r="I70" i="6"/>
  <c r="G70" i="6"/>
  <c r="H70" i="6" s="1"/>
  <c r="D70" i="6"/>
  <c r="V69" i="6"/>
  <c r="W799" i="6" s="1"/>
  <c r="U69" i="6" a="1"/>
  <c r="U69" i="6" s="1"/>
  <c r="T69" i="6"/>
  <c r="S69" i="6"/>
  <c r="N69" i="6"/>
  <c r="O799" i="6" s="1"/>
  <c r="I69" i="6"/>
  <c r="G69" i="6"/>
  <c r="H69" i="6" s="1"/>
  <c r="T700" i="6" s="1"/>
  <c r="D69" i="6"/>
  <c r="V68" i="6"/>
  <c r="U68" i="6" a="1"/>
  <c r="U68" i="6" s="1"/>
  <c r="T68" i="6"/>
  <c r="S68" i="6"/>
  <c r="N68" i="6"/>
  <c r="I68" i="6"/>
  <c r="G68" i="6"/>
  <c r="H68" i="6" s="1"/>
  <c r="D68" i="6"/>
  <c r="V67" i="6"/>
  <c r="V137" i="13" s="1"/>
  <c r="U67" i="6" a="1"/>
  <c r="U67" i="6" s="1"/>
  <c r="T67" i="6"/>
  <c r="S67" i="6"/>
  <c r="N67" i="6"/>
  <c r="E137" i="13" s="1"/>
  <c r="I67" i="6"/>
  <c r="G67" i="6"/>
  <c r="H67" i="6" s="1"/>
  <c r="D67" i="6"/>
  <c r="V66" i="6"/>
  <c r="U66" i="6" a="1"/>
  <c r="U66" i="6" s="1"/>
  <c r="T66" i="6"/>
  <c r="S66" i="6"/>
  <c r="N66" i="6"/>
  <c r="M66" i="6" s="1"/>
  <c r="I66" i="6"/>
  <c r="G66" i="6"/>
  <c r="H66" i="6" s="1"/>
  <c r="D66" i="6"/>
  <c r="V65" i="6"/>
  <c r="U65" i="6" a="1"/>
  <c r="U65" i="6" s="1"/>
  <c r="T65" i="6"/>
  <c r="S65" i="6"/>
  <c r="N65" i="6"/>
  <c r="E247" i="13" s="1"/>
  <c r="I65" i="6"/>
  <c r="G65" i="6"/>
  <c r="H65" i="6" s="1"/>
  <c r="D65" i="6"/>
  <c r="V64" i="6"/>
  <c r="W977" i="6" s="1"/>
  <c r="U64" i="6" a="1"/>
  <c r="U64" i="6" s="1"/>
  <c r="T64" i="6"/>
  <c r="S64" i="6"/>
  <c r="N64" i="6"/>
  <c r="O977" i="6" s="1"/>
  <c r="I64" i="6"/>
  <c r="G64" i="6"/>
  <c r="H64" i="6" s="1"/>
  <c r="D64" i="6"/>
  <c r="V63" i="6"/>
  <c r="W63" i="6" s="1"/>
  <c r="U63" i="6" a="1"/>
  <c r="U63" i="6" s="1"/>
  <c r="T63" i="6"/>
  <c r="S63" i="6"/>
  <c r="N63" i="6"/>
  <c r="E31" i="13" s="1"/>
  <c r="I63" i="6"/>
  <c r="G63" i="6"/>
  <c r="H63" i="6" s="1"/>
  <c r="D63" i="6"/>
  <c r="V62" i="6"/>
  <c r="W62" i="6" s="1"/>
  <c r="U62" i="6" a="1"/>
  <c r="U62" i="6" s="1"/>
  <c r="T62" i="6"/>
  <c r="S62" i="6"/>
  <c r="N62" i="6"/>
  <c r="M62" i="6" s="1"/>
  <c r="I62" i="6"/>
  <c r="G62" i="6"/>
  <c r="H62" i="6" s="1"/>
  <c r="D62" i="6"/>
  <c r="V61" i="6"/>
  <c r="U61" i="6" a="1"/>
  <c r="U61" i="6" s="1"/>
  <c r="T61" i="6"/>
  <c r="S61" i="6"/>
  <c r="N61" i="6"/>
  <c r="M61" i="6" s="1"/>
  <c r="I61" i="6"/>
  <c r="G61" i="6"/>
  <c r="H61" i="6" s="1"/>
  <c r="D61" i="6"/>
  <c r="U60" i="6" a="1"/>
  <c r="U60" i="6" s="1"/>
  <c r="T60" i="6"/>
  <c r="S60" i="6"/>
  <c r="N60" i="6"/>
  <c r="V60" i="6" s="1"/>
  <c r="I60" i="6"/>
  <c r="G60" i="6"/>
  <c r="H60" i="6" s="1"/>
  <c r="D60" i="6"/>
  <c r="V59" i="6"/>
  <c r="V105" i="13" s="1"/>
  <c r="U59" i="6" a="1"/>
  <c r="U59" i="6" s="1"/>
  <c r="T59" i="6"/>
  <c r="S59" i="6"/>
  <c r="N59" i="6"/>
  <c r="E105" i="13" s="1"/>
  <c r="I59" i="6"/>
  <c r="G59" i="6"/>
  <c r="H59" i="6" s="1"/>
  <c r="D59" i="6"/>
  <c r="V58" i="6"/>
  <c r="U58" i="6" a="1"/>
  <c r="U58" i="6" s="1"/>
  <c r="T58" i="6"/>
  <c r="S58" i="6"/>
  <c r="N58" i="6"/>
  <c r="M58" i="6" s="1"/>
  <c r="I58" i="6"/>
  <c r="G58" i="6"/>
  <c r="H58" i="6" s="1"/>
  <c r="D58" i="6"/>
  <c r="V57" i="6"/>
  <c r="U57" i="6" a="1"/>
  <c r="U57" i="6" s="1"/>
  <c r="T57" i="6"/>
  <c r="S57" i="6"/>
  <c r="N57" i="6"/>
  <c r="I57" i="6"/>
  <c r="G57" i="6"/>
  <c r="H57" i="6" s="1"/>
  <c r="D57" i="6"/>
  <c r="V56" i="6"/>
  <c r="U56" i="6" a="1"/>
  <c r="U56" i="6" s="1"/>
  <c r="T56" i="6"/>
  <c r="S56" i="6"/>
  <c r="N56" i="6"/>
  <c r="I56" i="6"/>
  <c r="G56" i="6"/>
  <c r="H56" i="6" s="1"/>
  <c r="D56" i="6"/>
  <c r="V55" i="6"/>
  <c r="W552" i="6" s="1"/>
  <c r="U55" i="6" a="1"/>
  <c r="U55" i="6" s="1"/>
  <c r="T55" i="6"/>
  <c r="S55" i="6"/>
  <c r="N55" i="6"/>
  <c r="I55" i="6"/>
  <c r="G55" i="6"/>
  <c r="H55" i="6" s="1"/>
  <c r="D55" i="6"/>
  <c r="V54" i="6"/>
  <c r="U54" i="6" a="1"/>
  <c r="U54" i="6" s="1"/>
  <c r="T54" i="6"/>
  <c r="S54" i="6"/>
  <c r="N54" i="6"/>
  <c r="M54" i="6" s="1"/>
  <c r="I54" i="6"/>
  <c r="G54" i="6"/>
  <c r="H54" i="6" s="1"/>
  <c r="D54" i="6"/>
  <c r="V53" i="6"/>
  <c r="U53" i="6" a="1"/>
  <c r="U53" i="6" s="1"/>
  <c r="T53" i="6"/>
  <c r="S53" i="6"/>
  <c r="N53" i="6"/>
  <c r="I53" i="6"/>
  <c r="G53" i="6"/>
  <c r="H53" i="6" s="1"/>
  <c r="D53" i="6"/>
  <c r="V52" i="6"/>
  <c r="U52" i="6" a="1"/>
  <c r="U52" i="6" s="1"/>
  <c r="T52" i="6"/>
  <c r="S52" i="6"/>
  <c r="N52" i="6"/>
  <c r="M52" i="6" s="1"/>
  <c r="I52" i="6"/>
  <c r="G52" i="6"/>
  <c r="H52" i="6" s="1"/>
  <c r="D52" i="6"/>
  <c r="U51" i="6" a="1"/>
  <c r="U51" i="6" s="1"/>
  <c r="T51" i="6"/>
  <c r="S51" i="6"/>
  <c r="N51" i="6"/>
  <c r="I51" i="6"/>
  <c r="G51" i="6"/>
  <c r="D51" i="6"/>
  <c r="V50" i="6"/>
  <c r="V246" i="13" s="1"/>
  <c r="U50" i="6" a="1"/>
  <c r="U50" i="6" s="1"/>
  <c r="T50" i="6"/>
  <c r="S50" i="6"/>
  <c r="N50" i="6"/>
  <c r="M50" i="6" s="1"/>
  <c r="I50" i="6"/>
  <c r="G50" i="6"/>
  <c r="H50" i="6" s="1"/>
  <c r="D50" i="6"/>
  <c r="V49" i="6"/>
  <c r="U49" i="6" a="1"/>
  <c r="U49" i="6" s="1"/>
  <c r="T49" i="6"/>
  <c r="S49" i="6"/>
  <c r="N49" i="6"/>
  <c r="I49" i="6"/>
  <c r="G49" i="6"/>
  <c r="H49" i="6" s="1"/>
  <c r="D49" i="6"/>
  <c r="V48" i="6"/>
  <c r="U48" i="6" a="1"/>
  <c r="U48" i="6" s="1"/>
  <c r="T48" i="6"/>
  <c r="S48" i="6"/>
  <c r="N48" i="6"/>
  <c r="I48" i="6"/>
  <c r="G48" i="6"/>
  <c r="H48" i="6" s="1"/>
  <c r="D48" i="6"/>
  <c r="V47" i="6"/>
  <c r="U47" i="6" a="1"/>
  <c r="U47" i="6" s="1"/>
  <c r="T47" i="6"/>
  <c r="S47" i="6"/>
  <c r="N47" i="6"/>
  <c r="I47" i="6"/>
  <c r="G47" i="6"/>
  <c r="D47" i="6"/>
  <c r="V46" i="6"/>
  <c r="W46" i="6" s="1"/>
  <c r="U46" i="6" a="1"/>
  <c r="U46" i="6" s="1"/>
  <c r="T46" i="6"/>
  <c r="S46" i="6"/>
  <c r="N46" i="6"/>
  <c r="E460" i="13" s="1"/>
  <c r="H460" i="13" s="1"/>
  <c r="I46" i="6"/>
  <c r="G46" i="6"/>
  <c r="H46" i="6" s="1"/>
  <c r="D46" i="6"/>
  <c r="V45" i="6"/>
  <c r="V27" i="13" s="1"/>
  <c r="U45" i="6" a="1"/>
  <c r="U45" i="6" s="1"/>
  <c r="T45" i="6"/>
  <c r="S45" i="6"/>
  <c r="N45" i="6"/>
  <c r="E27" i="13" s="1"/>
  <c r="I45" i="6"/>
  <c r="G45" i="6"/>
  <c r="H45" i="6" s="1"/>
  <c r="D45" i="6"/>
  <c r="V44" i="6"/>
  <c r="U44" i="6" a="1"/>
  <c r="U44" i="6" s="1"/>
  <c r="T44" i="6"/>
  <c r="S44" i="6"/>
  <c r="N44" i="6"/>
  <c r="O811" i="6" s="1"/>
  <c r="I44" i="6"/>
  <c r="G44" i="6"/>
  <c r="H44" i="6" s="1"/>
  <c r="D44" i="6"/>
  <c r="V43" i="6"/>
  <c r="U43" i="6" a="1"/>
  <c r="U43" i="6" s="1"/>
  <c r="T43" i="6"/>
  <c r="S43" i="6"/>
  <c r="N43" i="6"/>
  <c r="I43" i="6"/>
  <c r="G43" i="6"/>
  <c r="D43" i="6"/>
  <c r="V42" i="6"/>
  <c r="W42" i="6" s="1"/>
  <c r="U42" i="6" a="1"/>
  <c r="U42" i="6" s="1"/>
  <c r="T42" i="6"/>
  <c r="S42" i="6"/>
  <c r="N42" i="6"/>
  <c r="O42" i="6" s="1"/>
  <c r="I42" i="6"/>
  <c r="G42" i="6"/>
  <c r="H42" i="6" s="1"/>
  <c r="D42" i="6"/>
  <c r="V41" i="6"/>
  <c r="U41" i="6" a="1"/>
  <c r="U41" i="6" s="1"/>
  <c r="T41" i="6"/>
  <c r="S41" i="6"/>
  <c r="N41" i="6"/>
  <c r="I41" i="6"/>
  <c r="G41" i="6"/>
  <c r="H41" i="6" s="1"/>
  <c r="D41" i="6"/>
  <c r="V40" i="6"/>
  <c r="U40" i="6" a="1"/>
  <c r="U40" i="6" s="1"/>
  <c r="T40" i="6"/>
  <c r="S40" i="6"/>
  <c r="N40" i="6"/>
  <c r="I40" i="6"/>
  <c r="G40" i="6"/>
  <c r="H40" i="6" s="1"/>
  <c r="D40" i="6"/>
  <c r="V39" i="6"/>
  <c r="U39" i="6" a="1"/>
  <c r="U39" i="6" s="1"/>
  <c r="T39" i="6"/>
  <c r="S39" i="6"/>
  <c r="N39" i="6"/>
  <c r="I39" i="6"/>
  <c r="G39" i="6"/>
  <c r="D39" i="6"/>
  <c r="U38" i="6" a="1"/>
  <c r="U38" i="6" s="1"/>
  <c r="T38" i="6"/>
  <c r="S38" i="6"/>
  <c r="N38" i="6"/>
  <c r="M38" i="6" s="1"/>
  <c r="I38" i="6"/>
  <c r="G38" i="6"/>
  <c r="H38" i="6" s="1"/>
  <c r="D38" i="6"/>
  <c r="U37" i="6" a="1"/>
  <c r="U37" i="6" s="1"/>
  <c r="T37" i="6"/>
  <c r="S37" i="6"/>
  <c r="N37" i="6"/>
  <c r="I37" i="6"/>
  <c r="G37" i="6"/>
  <c r="H37" i="6" s="1"/>
  <c r="D37" i="6"/>
  <c r="V36" i="6"/>
  <c r="U36" i="6" a="1"/>
  <c r="U36" i="6" s="1"/>
  <c r="T36" i="6"/>
  <c r="S36" i="6"/>
  <c r="N36" i="6"/>
  <c r="I36" i="6"/>
  <c r="G36" i="6"/>
  <c r="H36" i="6" s="1"/>
  <c r="D36" i="6"/>
  <c r="V35" i="6"/>
  <c r="U35" i="6" a="1"/>
  <c r="U35" i="6" s="1"/>
  <c r="T35" i="6"/>
  <c r="S35" i="6"/>
  <c r="N35" i="6"/>
  <c r="I35" i="6"/>
  <c r="G35" i="6"/>
  <c r="D35" i="6"/>
  <c r="V34" i="6"/>
  <c r="U34" i="6" a="1"/>
  <c r="U34" i="6" s="1"/>
  <c r="T34" i="6"/>
  <c r="S34" i="6"/>
  <c r="N34" i="6"/>
  <c r="I34" i="6"/>
  <c r="G34" i="6"/>
  <c r="H34" i="6" s="1"/>
  <c r="T1122" i="6" s="1"/>
  <c r="D34" i="6"/>
  <c r="V33" i="6"/>
  <c r="U33" i="6" a="1"/>
  <c r="U33" i="6" s="1"/>
  <c r="T33" i="6"/>
  <c r="S33" i="6"/>
  <c r="N33" i="6"/>
  <c r="I33" i="6"/>
  <c r="G33" i="6"/>
  <c r="H33" i="6" s="1"/>
  <c r="D33" i="6"/>
  <c r="V32" i="6"/>
  <c r="W32" i="6" s="1"/>
  <c r="U32" i="6" a="1"/>
  <c r="U32" i="6" s="1"/>
  <c r="T32" i="6"/>
  <c r="S32" i="6"/>
  <c r="N32" i="6"/>
  <c r="E459" i="13" s="1"/>
  <c r="I32" i="6"/>
  <c r="G32" i="6"/>
  <c r="H32" i="6" s="1"/>
  <c r="D32" i="6"/>
  <c r="V31" i="6"/>
  <c r="U31" i="6" a="1"/>
  <c r="U31" i="6" s="1"/>
  <c r="T31" i="6"/>
  <c r="S31" i="6"/>
  <c r="N31" i="6"/>
  <c r="O31" i="6" s="1"/>
  <c r="I31" i="6"/>
  <c r="G31" i="6"/>
  <c r="D31" i="6"/>
  <c r="V30" i="6"/>
  <c r="U30" i="6" a="1"/>
  <c r="U30" i="6" s="1"/>
  <c r="T30" i="6"/>
  <c r="S30" i="6"/>
  <c r="N30" i="6"/>
  <c r="E45" i="13" s="1"/>
  <c r="H45" i="13" s="1"/>
  <c r="I30" i="6"/>
  <c r="G30" i="6"/>
  <c r="H30" i="6" s="1"/>
  <c r="D30" i="6"/>
  <c r="V29" i="6"/>
  <c r="V451" i="13" s="1"/>
  <c r="U29" i="6" a="1"/>
  <c r="U29" i="6" s="1"/>
  <c r="T29" i="6"/>
  <c r="S29" i="6"/>
  <c r="N29" i="6"/>
  <c r="E451" i="13" s="1"/>
  <c r="H451" i="13" s="1"/>
  <c r="I29" i="6"/>
  <c r="G29" i="6"/>
  <c r="H29" i="6" s="1"/>
  <c r="D29" i="6"/>
  <c r="V28" i="6"/>
  <c r="U28" i="6" a="1"/>
  <c r="U28" i="6" s="1"/>
  <c r="T28" i="6"/>
  <c r="S28" i="6"/>
  <c r="N28" i="6"/>
  <c r="I28" i="6"/>
  <c r="G28" i="6"/>
  <c r="H28" i="6" s="1"/>
  <c r="D28" i="6"/>
  <c r="V27" i="6"/>
  <c r="U27" i="6" a="1"/>
  <c r="U27" i="6" s="1"/>
  <c r="T27" i="6"/>
  <c r="S27" i="6"/>
  <c r="N27" i="6"/>
  <c r="M27" i="6" s="1"/>
  <c r="I27" i="6"/>
  <c r="G27" i="6"/>
  <c r="D27" i="6"/>
  <c r="V26" i="6"/>
  <c r="U26" i="6" a="1"/>
  <c r="U26" i="6" s="1"/>
  <c r="T26" i="6"/>
  <c r="S26" i="6"/>
  <c r="N26" i="6"/>
  <c r="I26" i="6"/>
  <c r="G26" i="6"/>
  <c r="H26" i="6" s="1"/>
  <c r="D26" i="6"/>
  <c r="V25" i="6"/>
  <c r="V455" i="13" s="1"/>
  <c r="U25" i="6" a="1"/>
  <c r="U25" i="6" s="1"/>
  <c r="T25" i="6"/>
  <c r="S25" i="6"/>
  <c r="N25" i="6"/>
  <c r="I25" i="6"/>
  <c r="G25" i="6"/>
  <c r="H25" i="6" s="1"/>
  <c r="D25" i="6"/>
  <c r="V24" i="6"/>
  <c r="W790" i="6" s="1"/>
  <c r="U24" i="6" a="1"/>
  <c r="U24" i="6" s="1"/>
  <c r="T24" i="6"/>
  <c r="S24" i="6"/>
  <c r="N24" i="6"/>
  <c r="I24" i="6"/>
  <c r="G24" i="6"/>
  <c r="H24" i="6" s="1"/>
  <c r="D24" i="6"/>
  <c r="V23" i="6"/>
  <c r="U23" i="6" a="1"/>
  <c r="U23" i="6" s="1"/>
  <c r="T23" i="6"/>
  <c r="S23" i="6"/>
  <c r="N23" i="6"/>
  <c r="I23" i="6"/>
  <c r="G23" i="6"/>
  <c r="D23" i="6"/>
  <c r="V22" i="6"/>
  <c r="U22" i="6" a="1"/>
  <c r="U22" i="6" s="1"/>
  <c r="T22" i="6"/>
  <c r="S22" i="6"/>
  <c r="N22" i="6"/>
  <c r="I22" i="6"/>
  <c r="G22" i="6"/>
  <c r="H22" i="6" s="1"/>
  <c r="D22" i="6"/>
  <c r="V21" i="6"/>
  <c r="U21" i="6" a="1"/>
  <c r="U21" i="6" s="1"/>
  <c r="T21" i="6"/>
  <c r="S21" i="6"/>
  <c r="N21" i="6"/>
  <c r="O1327" i="6" s="1"/>
  <c r="R1327" i="6" s="1"/>
  <c r="I21" i="6"/>
  <c r="G21" i="6"/>
  <c r="H21" i="6" s="1"/>
  <c r="D21" i="6"/>
  <c r="V20" i="6"/>
  <c r="U20" i="6" a="1"/>
  <c r="U20" i="6" s="1"/>
  <c r="T20" i="6"/>
  <c r="S20" i="6"/>
  <c r="N20" i="6"/>
  <c r="I20" i="6"/>
  <c r="G20" i="6"/>
  <c r="H20" i="6" s="1"/>
  <c r="D20" i="6"/>
  <c r="V19" i="6"/>
  <c r="W669" i="6" s="1"/>
  <c r="U19" i="6" a="1"/>
  <c r="U19" i="6" s="1"/>
  <c r="T19" i="6"/>
  <c r="S19" i="6"/>
  <c r="N19" i="6"/>
  <c r="O669" i="6" s="1"/>
  <c r="I19" i="6"/>
  <c r="G19" i="6"/>
  <c r="D19" i="6"/>
  <c r="V18" i="6"/>
  <c r="U18" i="6" a="1"/>
  <c r="U18" i="6" s="1"/>
  <c r="T18" i="6"/>
  <c r="S18" i="6"/>
  <c r="N18" i="6"/>
  <c r="O1495" i="6" s="1"/>
  <c r="I18" i="6"/>
  <c r="G18" i="6"/>
  <c r="H18" i="6" s="1"/>
  <c r="D18" i="6"/>
  <c r="V17" i="6"/>
  <c r="U17" i="6" a="1"/>
  <c r="U17" i="6" s="1"/>
  <c r="T17" i="6"/>
  <c r="S17" i="6"/>
  <c r="N17" i="6"/>
  <c r="M17" i="6" s="1"/>
  <c r="I17" i="6"/>
  <c r="G17" i="6"/>
  <c r="H17" i="6" s="1"/>
  <c r="D17" i="6"/>
  <c r="V16" i="6"/>
  <c r="W16" i="6" s="1"/>
  <c r="U16" i="6" a="1"/>
  <c r="U16" i="6" s="1"/>
  <c r="T16" i="6"/>
  <c r="S16" i="6"/>
  <c r="N16" i="6"/>
  <c r="I16" i="6"/>
  <c r="G16" i="6"/>
  <c r="H16" i="6" s="1"/>
  <c r="D16" i="6"/>
  <c r="V15" i="6"/>
  <c r="U15" i="6" a="1"/>
  <c r="U15" i="6" s="1"/>
  <c r="T15" i="6"/>
  <c r="S15" i="6"/>
  <c r="N15" i="6"/>
  <c r="I15" i="6"/>
  <c r="G15" i="6"/>
  <c r="D15" i="6"/>
  <c r="V14" i="6"/>
  <c r="U14" i="6" a="1"/>
  <c r="U14" i="6" s="1"/>
  <c r="T14" i="6"/>
  <c r="S14" i="6"/>
  <c r="N14" i="6"/>
  <c r="I14" i="6"/>
  <c r="G14" i="6"/>
  <c r="H14" i="6" s="1"/>
  <c r="D14" i="6"/>
  <c r="V13" i="6"/>
  <c r="U13" i="6" a="1"/>
  <c r="U13" i="6" s="1"/>
  <c r="T13" i="6"/>
  <c r="S13" i="6"/>
  <c r="N13" i="6"/>
  <c r="E447" i="13" s="1"/>
  <c r="I13" i="6"/>
  <c r="G13" i="6"/>
  <c r="H13" i="6" s="1"/>
  <c r="D13" i="6"/>
  <c r="V12" i="6"/>
  <c r="W12" i="6" s="1"/>
  <c r="U12" i="6" a="1"/>
  <c r="U12" i="6" s="1"/>
  <c r="T12" i="6"/>
  <c r="S12" i="6"/>
  <c r="N12" i="6"/>
  <c r="O12" i="6" s="1"/>
  <c r="I12" i="6"/>
  <c r="G12" i="6"/>
  <c r="H12" i="6" s="1"/>
  <c r="T1249" i="6" s="1"/>
  <c r="D12" i="6"/>
  <c r="V11" i="6"/>
  <c r="U11" i="6" a="1"/>
  <c r="U11" i="6" s="1"/>
  <c r="T11" i="6"/>
  <c r="S11" i="6"/>
  <c r="N11" i="6"/>
  <c r="I11" i="6"/>
  <c r="G11" i="6"/>
  <c r="D11" i="6"/>
  <c r="V10" i="6"/>
  <c r="V170" i="13" s="1"/>
  <c r="U10" i="6" a="1"/>
  <c r="U10" i="6" s="1"/>
  <c r="T10" i="6"/>
  <c r="S10" i="6"/>
  <c r="N10" i="6"/>
  <c r="E170" i="13" s="1"/>
  <c r="I10" i="6"/>
  <c r="G10" i="6"/>
  <c r="H10" i="6" s="1"/>
  <c r="D10" i="6"/>
  <c r="V9" i="6"/>
  <c r="V252" i="13" s="1"/>
  <c r="U9" i="6" a="1"/>
  <c r="U9" i="6" s="1"/>
  <c r="T9" i="6"/>
  <c r="S9" i="6"/>
  <c r="N9" i="6"/>
  <c r="E252" i="13" s="1"/>
  <c r="I9" i="6"/>
  <c r="G9" i="6"/>
  <c r="H9" i="6" s="1"/>
  <c r="D9" i="6"/>
  <c r="V8" i="6"/>
  <c r="W8" i="6" s="1"/>
  <c r="U8" i="6" a="1"/>
  <c r="U8" i="6" s="1"/>
  <c r="T8" i="6"/>
  <c r="S8" i="6"/>
  <c r="N8" i="6"/>
  <c r="I8" i="6"/>
  <c r="G8" i="6"/>
  <c r="H8" i="6" s="1"/>
  <c r="D8" i="6"/>
  <c r="V7" i="6"/>
  <c r="V444" i="13" s="1"/>
  <c r="U7" i="6" a="1"/>
  <c r="U7" i="6" s="1"/>
  <c r="T7" i="6"/>
  <c r="S7" i="6"/>
  <c r="N7" i="6"/>
  <c r="M7" i="6" s="1"/>
  <c r="I7" i="6"/>
  <c r="G7" i="6"/>
  <c r="D7" i="6"/>
  <c r="V6" i="6"/>
  <c r="V327" i="13" s="1"/>
  <c r="U6" i="6" a="1"/>
  <c r="U6" i="6" s="1"/>
  <c r="T6" i="6"/>
  <c r="S6" i="6"/>
  <c r="N6" i="6"/>
  <c r="O6" i="6" s="1"/>
  <c r="I6" i="6"/>
  <c r="G6" i="6"/>
  <c r="H6" i="6" s="1"/>
  <c r="D6" i="6"/>
  <c r="V5" i="6"/>
  <c r="U5" i="6" a="1"/>
  <c r="U5" i="6" s="1"/>
  <c r="T5" i="6"/>
  <c r="S5" i="6"/>
  <c r="N5" i="6"/>
  <c r="I5" i="6"/>
  <c r="G5" i="6"/>
  <c r="H5" i="6" s="1"/>
  <c r="D5" i="6"/>
  <c r="V4" i="6"/>
  <c r="U4" i="6" a="1"/>
  <c r="U4" i="6" s="1"/>
  <c r="T4" i="6"/>
  <c r="S4" i="6"/>
  <c r="N4" i="6"/>
  <c r="M4" i="6" s="1"/>
  <c r="I4" i="6"/>
  <c r="G4" i="6"/>
  <c r="H4" i="6" s="1"/>
  <c r="D4" i="6"/>
  <c r="V3" i="6"/>
  <c r="U3" i="6" a="1"/>
  <c r="U3" i="6" s="1"/>
  <c r="T3" i="6"/>
  <c r="S3" i="6"/>
  <c r="N3" i="6"/>
  <c r="I3" i="6"/>
  <c r="G3" i="6"/>
  <c r="H3" i="6" s="1"/>
  <c r="D3" i="6"/>
  <c r="T1" i="6"/>
  <c r="L148" i="25" s="1"/>
  <c r="AO579" i="13"/>
  <c r="Y579" i="13"/>
  <c r="X579" i="13"/>
  <c r="W579" i="13"/>
  <c r="M579" i="13"/>
  <c r="L579" i="13"/>
  <c r="F579" i="13"/>
  <c r="I579" i="13" s="1"/>
  <c r="AO578" i="13"/>
  <c r="Y578" i="13"/>
  <c r="X578" i="13"/>
  <c r="W578" i="13"/>
  <c r="V578" i="13"/>
  <c r="M578" i="13"/>
  <c r="L578" i="13"/>
  <c r="F578" i="13"/>
  <c r="AO577" i="13"/>
  <c r="Y577" i="13"/>
  <c r="X577" i="13"/>
  <c r="W577" i="13"/>
  <c r="M577" i="13"/>
  <c r="L577" i="13"/>
  <c r="O577" i="13" s="1"/>
  <c r="F577" i="13"/>
  <c r="K577" i="13" s="1"/>
  <c r="AO576" i="13"/>
  <c r="Y576" i="13"/>
  <c r="X576" i="13"/>
  <c r="W576" i="13"/>
  <c r="M576" i="13"/>
  <c r="L576" i="13"/>
  <c r="O576" i="13" s="1"/>
  <c r="F576" i="13"/>
  <c r="AO575" i="13"/>
  <c r="Y575" i="13"/>
  <c r="X575" i="13"/>
  <c r="W575" i="13"/>
  <c r="M575" i="13"/>
  <c r="R575" i="13" s="1"/>
  <c r="L575" i="13"/>
  <c r="F575" i="13"/>
  <c r="AO574" i="13"/>
  <c r="Y574" i="13"/>
  <c r="X574" i="13"/>
  <c r="W574" i="13"/>
  <c r="V574" i="13"/>
  <c r="M574" i="13"/>
  <c r="P574" i="13" s="1"/>
  <c r="L574" i="13"/>
  <c r="AM574" i="13" s="1"/>
  <c r="F574" i="13"/>
  <c r="AO573" i="13"/>
  <c r="Y573" i="13"/>
  <c r="X573" i="13"/>
  <c r="W573" i="13"/>
  <c r="V573" i="13"/>
  <c r="M573" i="13"/>
  <c r="P573" i="13" s="1"/>
  <c r="L573" i="13"/>
  <c r="F573" i="13"/>
  <c r="AO572" i="13"/>
  <c r="Y572" i="13"/>
  <c r="X572" i="13"/>
  <c r="W572" i="13"/>
  <c r="M572" i="13"/>
  <c r="L572" i="13"/>
  <c r="F572" i="13"/>
  <c r="AO571" i="13"/>
  <c r="Y571" i="13"/>
  <c r="X571" i="13"/>
  <c r="W571" i="13"/>
  <c r="M571" i="13"/>
  <c r="L571" i="13"/>
  <c r="F571" i="13"/>
  <c r="AO570" i="13"/>
  <c r="Y570" i="13"/>
  <c r="X570" i="13"/>
  <c r="W570" i="13"/>
  <c r="M570" i="13"/>
  <c r="L570" i="13"/>
  <c r="F570" i="13"/>
  <c r="I570" i="13" s="1"/>
  <c r="AO569" i="13"/>
  <c r="Y569" i="13"/>
  <c r="X569" i="13"/>
  <c r="W569" i="13"/>
  <c r="V569" i="13"/>
  <c r="M569" i="13"/>
  <c r="L569" i="13"/>
  <c r="F569" i="13"/>
  <c r="I569" i="13" s="1"/>
  <c r="E569" i="13"/>
  <c r="AO568" i="13"/>
  <c r="Y568" i="13"/>
  <c r="X568" i="13"/>
  <c r="W568" i="13"/>
  <c r="M568" i="13"/>
  <c r="L568" i="13"/>
  <c r="F568" i="13"/>
  <c r="AO567" i="13"/>
  <c r="Y567" i="13"/>
  <c r="X567" i="13"/>
  <c r="W567" i="13"/>
  <c r="V567" i="13"/>
  <c r="M567" i="13"/>
  <c r="P567" i="13" s="1"/>
  <c r="L567" i="13"/>
  <c r="AM567" i="13" s="1"/>
  <c r="F567" i="13"/>
  <c r="E567" i="13"/>
  <c r="AL567" i="13" s="1"/>
  <c r="AO566" i="13"/>
  <c r="Y566" i="13"/>
  <c r="X566" i="13"/>
  <c r="W566" i="13"/>
  <c r="V566" i="13"/>
  <c r="M566" i="13"/>
  <c r="L566" i="13"/>
  <c r="O566" i="13" s="1"/>
  <c r="F566" i="13"/>
  <c r="AO565" i="13"/>
  <c r="Y565" i="13"/>
  <c r="X565" i="13"/>
  <c r="W565" i="13"/>
  <c r="M565" i="13"/>
  <c r="P565" i="13" s="1"/>
  <c r="L565" i="13"/>
  <c r="F565" i="13"/>
  <c r="AO564" i="13"/>
  <c r="Y564" i="13"/>
  <c r="X564" i="13"/>
  <c r="W564" i="13"/>
  <c r="M564" i="13"/>
  <c r="L564" i="13"/>
  <c r="F564" i="13"/>
  <c r="AO563" i="13"/>
  <c r="Y563" i="13"/>
  <c r="X563" i="13"/>
  <c r="W563" i="13"/>
  <c r="M563" i="13"/>
  <c r="P563" i="13" s="1"/>
  <c r="L563" i="13"/>
  <c r="O563" i="13" s="1"/>
  <c r="F563" i="13"/>
  <c r="AO562" i="13"/>
  <c r="Y562" i="13"/>
  <c r="X562" i="13"/>
  <c r="W562" i="13"/>
  <c r="M562" i="13"/>
  <c r="R562" i="13" s="1"/>
  <c r="L562" i="13"/>
  <c r="F562" i="13"/>
  <c r="AO561" i="13"/>
  <c r="Y561" i="13"/>
  <c r="X561" i="13"/>
  <c r="W561" i="13"/>
  <c r="M561" i="13"/>
  <c r="R561" i="13" s="1"/>
  <c r="L561" i="13"/>
  <c r="F561" i="13"/>
  <c r="K561" i="13" s="1"/>
  <c r="AO560" i="13"/>
  <c r="Y560" i="13"/>
  <c r="X560" i="13"/>
  <c r="W560" i="13"/>
  <c r="M560" i="13"/>
  <c r="L560" i="13"/>
  <c r="AM560" i="13" s="1" a="1"/>
  <c r="AM560" i="13" s="1"/>
  <c r="F560" i="13"/>
  <c r="AO559" i="13"/>
  <c r="Y559" i="13"/>
  <c r="X559" i="13"/>
  <c r="W559" i="13"/>
  <c r="M559" i="13"/>
  <c r="R559" i="13" s="1"/>
  <c r="L559" i="13"/>
  <c r="F559" i="13"/>
  <c r="I559" i="13" s="1"/>
  <c r="AO558" i="13"/>
  <c r="Y558" i="13"/>
  <c r="X558" i="13"/>
  <c r="W558" i="13"/>
  <c r="M558" i="13"/>
  <c r="L558" i="13"/>
  <c r="F558" i="13"/>
  <c r="AO557" i="13"/>
  <c r="Y557" i="13"/>
  <c r="X557" i="13"/>
  <c r="W557" i="13"/>
  <c r="M557" i="13"/>
  <c r="R557" i="13" s="1"/>
  <c r="L557" i="13"/>
  <c r="F557" i="13"/>
  <c r="AO556" i="13"/>
  <c r="Y556" i="13"/>
  <c r="X556" i="13"/>
  <c r="W556" i="13"/>
  <c r="M556" i="13"/>
  <c r="L556" i="13"/>
  <c r="F556" i="13"/>
  <c r="AO555" i="13"/>
  <c r="Y555" i="13"/>
  <c r="X555" i="13"/>
  <c r="W555" i="13"/>
  <c r="M555" i="13"/>
  <c r="L555" i="13"/>
  <c r="N555" i="13" s="1"/>
  <c r="F555" i="13"/>
  <c r="AO554" i="13"/>
  <c r="Y554" i="13"/>
  <c r="X554" i="13"/>
  <c r="W554" i="13"/>
  <c r="M554" i="13"/>
  <c r="P554" i="13" s="1"/>
  <c r="L554" i="13"/>
  <c r="O554" i="13" s="1"/>
  <c r="F554" i="13"/>
  <c r="AO553" i="13"/>
  <c r="Y553" i="13"/>
  <c r="X553" i="13"/>
  <c r="W553" i="13"/>
  <c r="M553" i="13"/>
  <c r="P553" i="13" s="1"/>
  <c r="L553" i="13"/>
  <c r="F553" i="13"/>
  <c r="AO552" i="13"/>
  <c r="Y552" i="13"/>
  <c r="X552" i="13"/>
  <c r="W552" i="13"/>
  <c r="M552" i="13"/>
  <c r="P552" i="13" s="1"/>
  <c r="L552" i="13"/>
  <c r="F552" i="13"/>
  <c r="K552" i="13" s="1"/>
  <c r="AO551" i="13"/>
  <c r="Y551" i="13"/>
  <c r="X551" i="13"/>
  <c r="W551" i="13"/>
  <c r="M551" i="13"/>
  <c r="P551" i="13" s="1"/>
  <c r="L551" i="13"/>
  <c r="AM551" i="13" s="1" a="1"/>
  <c r="AM551" i="13" s="1"/>
  <c r="F551" i="13"/>
  <c r="AO550" i="13"/>
  <c r="Y550" i="13"/>
  <c r="X550" i="13"/>
  <c r="W550" i="13"/>
  <c r="M550" i="13"/>
  <c r="P550" i="13" s="1"/>
  <c r="L550" i="13"/>
  <c r="F550" i="13"/>
  <c r="AO549" i="13"/>
  <c r="Y549" i="13"/>
  <c r="X549" i="13"/>
  <c r="W549" i="13"/>
  <c r="M549" i="13"/>
  <c r="L549" i="13"/>
  <c r="F549" i="13"/>
  <c r="AO548" i="13"/>
  <c r="Y548" i="13"/>
  <c r="X548" i="13"/>
  <c r="W548" i="13"/>
  <c r="M548" i="13"/>
  <c r="L548" i="13"/>
  <c r="F548" i="13"/>
  <c r="AO547" i="13"/>
  <c r="Y547" i="13"/>
  <c r="X547" i="13"/>
  <c r="W547" i="13"/>
  <c r="M547" i="13"/>
  <c r="R547" i="13" s="1"/>
  <c r="L547" i="13"/>
  <c r="F547" i="13"/>
  <c r="AO546" i="13"/>
  <c r="Y546" i="13"/>
  <c r="X546" i="13"/>
  <c r="W546" i="13"/>
  <c r="M546" i="13"/>
  <c r="L546" i="13"/>
  <c r="AO545" i="13"/>
  <c r="Y545" i="13"/>
  <c r="X545" i="13"/>
  <c r="W545" i="13"/>
  <c r="M545" i="13"/>
  <c r="P545" i="13" s="1"/>
  <c r="L545" i="13"/>
  <c r="F545" i="13"/>
  <c r="AO544" i="13"/>
  <c r="Y544" i="13"/>
  <c r="X544" i="13"/>
  <c r="W544" i="13"/>
  <c r="M544" i="13"/>
  <c r="P544" i="13" s="1"/>
  <c r="L544" i="13"/>
  <c r="F544" i="13"/>
  <c r="AO543" i="13"/>
  <c r="Y543" i="13"/>
  <c r="X543" i="13"/>
  <c r="W543" i="13"/>
  <c r="M543" i="13"/>
  <c r="L543" i="13"/>
  <c r="AM543" i="13" s="1" a="1"/>
  <c r="AM543" i="13" s="1"/>
  <c r="F543" i="13"/>
  <c r="AO542" i="13"/>
  <c r="Y542" i="13"/>
  <c r="X542" i="13"/>
  <c r="W542" i="13"/>
  <c r="M542" i="13"/>
  <c r="R542" i="13" s="1"/>
  <c r="L542" i="13"/>
  <c r="O542" i="13" s="1"/>
  <c r="F542" i="13"/>
  <c r="AO541" i="13"/>
  <c r="Y541" i="13"/>
  <c r="X541" i="13"/>
  <c r="W541" i="13"/>
  <c r="M541" i="13"/>
  <c r="P541" i="13" s="1"/>
  <c r="L541" i="13"/>
  <c r="F541" i="13"/>
  <c r="AO540" i="13"/>
  <c r="Y540" i="13"/>
  <c r="X540" i="13"/>
  <c r="M540" i="13"/>
  <c r="AO539" i="13"/>
  <c r="Y539" i="13"/>
  <c r="X539" i="13"/>
  <c r="W539" i="13"/>
  <c r="M539" i="13"/>
  <c r="L539" i="13"/>
  <c r="O539" i="13" s="1"/>
  <c r="F539" i="13"/>
  <c r="I539" i="13" s="1"/>
  <c r="AO538" i="13"/>
  <c r="Y538" i="13"/>
  <c r="W538" i="13"/>
  <c r="M538" i="13"/>
  <c r="R538" i="13" s="1"/>
  <c r="L538" i="13"/>
  <c r="AO537" i="13"/>
  <c r="Y537" i="13"/>
  <c r="X537" i="13"/>
  <c r="W537" i="13"/>
  <c r="M537" i="13"/>
  <c r="L537" i="13"/>
  <c r="F537" i="13"/>
  <c r="AO536" i="13"/>
  <c r="Y536" i="13"/>
  <c r="X536" i="13"/>
  <c r="M536" i="13"/>
  <c r="F536" i="13"/>
  <c r="I536" i="13" s="1"/>
  <c r="AO535" i="13"/>
  <c r="Y535" i="13"/>
  <c r="X535" i="13"/>
  <c r="W535" i="13"/>
  <c r="M535" i="13"/>
  <c r="R535" i="13" s="1"/>
  <c r="L535" i="13"/>
  <c r="AM535" i="13" s="1" a="1"/>
  <c r="AM535" i="13" s="1"/>
  <c r="F535" i="13"/>
  <c r="I535" i="13" s="1"/>
  <c r="AO534" i="13"/>
  <c r="Y534" i="13"/>
  <c r="X534" i="13"/>
  <c r="W534" i="13"/>
  <c r="M534" i="13"/>
  <c r="L534" i="13"/>
  <c r="F534" i="13"/>
  <c r="I534" i="13" s="1"/>
  <c r="AO533" i="13"/>
  <c r="Y533" i="13"/>
  <c r="X533" i="13"/>
  <c r="M533" i="13"/>
  <c r="F533" i="13"/>
  <c r="AO532" i="13"/>
  <c r="Y532" i="13"/>
  <c r="W532" i="13"/>
  <c r="M532" i="13"/>
  <c r="P532" i="13" s="1"/>
  <c r="L532" i="13"/>
  <c r="AO531" i="13"/>
  <c r="Y531" i="13"/>
  <c r="X531" i="13"/>
  <c r="W531" i="13"/>
  <c r="M531" i="13"/>
  <c r="P531" i="13" s="1"/>
  <c r="L531" i="13"/>
  <c r="F531" i="13"/>
  <c r="AO530" i="13"/>
  <c r="Y530" i="13"/>
  <c r="X530" i="13"/>
  <c r="W530" i="13"/>
  <c r="M530" i="13"/>
  <c r="R530" i="13" s="1"/>
  <c r="L530" i="13"/>
  <c r="F530" i="13"/>
  <c r="AO695" i="13"/>
  <c r="Y695" i="13"/>
  <c r="X695" i="13"/>
  <c r="W695" i="13"/>
  <c r="V695" i="13"/>
  <c r="M695" i="13"/>
  <c r="P695" i="13" s="1"/>
  <c r="L695" i="13"/>
  <c r="F695" i="13"/>
  <c r="E695" i="13"/>
  <c r="AO688" i="13"/>
  <c r="Y688" i="13"/>
  <c r="X688" i="13"/>
  <c r="W688" i="13"/>
  <c r="M688" i="13"/>
  <c r="P688" i="13" s="1"/>
  <c r="L688" i="13"/>
  <c r="O688" i="13" s="1"/>
  <c r="F688" i="13"/>
  <c r="I688" i="13" s="1"/>
  <c r="AO529" i="13"/>
  <c r="Y529" i="13"/>
  <c r="X529" i="13"/>
  <c r="W529" i="13"/>
  <c r="M529" i="13"/>
  <c r="R529" i="13" s="1"/>
  <c r="L529" i="13"/>
  <c r="F529" i="13"/>
  <c r="AO528" i="13"/>
  <c r="Y528" i="13"/>
  <c r="X528" i="13"/>
  <c r="W528" i="13"/>
  <c r="M528" i="13"/>
  <c r="R528" i="13" s="1"/>
  <c r="L528" i="13"/>
  <c r="F528" i="13"/>
  <c r="AO527" i="13"/>
  <c r="Y527" i="13"/>
  <c r="X527" i="13"/>
  <c r="W527" i="13"/>
  <c r="M527" i="13"/>
  <c r="L527" i="13"/>
  <c r="F527" i="13"/>
  <c r="AO526" i="13"/>
  <c r="Y526" i="13"/>
  <c r="X526" i="13"/>
  <c r="W526" i="13"/>
  <c r="M526" i="13"/>
  <c r="L526" i="13"/>
  <c r="O526" i="13" s="1"/>
  <c r="F526" i="13"/>
  <c r="AO525" i="13"/>
  <c r="Y525" i="13"/>
  <c r="W525" i="13"/>
  <c r="M525" i="13"/>
  <c r="L525" i="13"/>
  <c r="AO524" i="13"/>
  <c r="Y524" i="13"/>
  <c r="W524" i="13"/>
  <c r="M524" i="13"/>
  <c r="R524" i="13" s="1"/>
  <c r="L524" i="13"/>
  <c r="AO523" i="13"/>
  <c r="Y523" i="13"/>
  <c r="W523" i="13"/>
  <c r="M523" i="13"/>
  <c r="L523" i="13"/>
  <c r="AO522" i="13"/>
  <c r="Y522" i="13"/>
  <c r="W522" i="13"/>
  <c r="M522" i="13"/>
  <c r="L522" i="13"/>
  <c r="AM522" i="13" s="1" a="1"/>
  <c r="AM522" i="13" s="1"/>
  <c r="AO521" i="13"/>
  <c r="Y521" i="13"/>
  <c r="X521" i="13"/>
  <c r="W521" i="13"/>
  <c r="V521" i="13"/>
  <c r="M521" i="13"/>
  <c r="L521" i="13"/>
  <c r="F521" i="13"/>
  <c r="I521" i="13" s="1"/>
  <c r="E521" i="13"/>
  <c r="AO520" i="13"/>
  <c r="Y520" i="13"/>
  <c r="W520" i="13"/>
  <c r="M520" i="13"/>
  <c r="L520" i="13"/>
  <c r="AO694" i="13"/>
  <c r="Y694" i="13"/>
  <c r="X694" i="13"/>
  <c r="W694" i="13"/>
  <c r="M694" i="13"/>
  <c r="R694" i="13" s="1"/>
  <c r="L694" i="13"/>
  <c r="N694" i="13" s="1"/>
  <c r="F694" i="13"/>
  <c r="AO519" i="13"/>
  <c r="Y519" i="13"/>
  <c r="X519" i="13"/>
  <c r="W519" i="13"/>
  <c r="M519" i="13"/>
  <c r="L519" i="13"/>
  <c r="O519" i="13" s="1"/>
  <c r="F519" i="13"/>
  <c r="AO518" i="13"/>
  <c r="Y518" i="13"/>
  <c r="W518" i="13"/>
  <c r="M518" i="13"/>
  <c r="L518" i="13"/>
  <c r="AO517" i="13"/>
  <c r="Y517" i="13"/>
  <c r="X517" i="13"/>
  <c r="W517" i="13"/>
  <c r="M517" i="13"/>
  <c r="P517" i="13" s="1"/>
  <c r="L517" i="13"/>
  <c r="O517" i="13" s="1"/>
  <c r="F517" i="13"/>
  <c r="AO516" i="13"/>
  <c r="Y516" i="13"/>
  <c r="W516" i="13"/>
  <c r="M516" i="13"/>
  <c r="L516" i="13"/>
  <c r="O516" i="13" s="1"/>
  <c r="AO515" i="13"/>
  <c r="Y515" i="13"/>
  <c r="X515" i="13"/>
  <c r="W515" i="13"/>
  <c r="M515" i="13"/>
  <c r="L515" i="13"/>
  <c r="F515" i="13"/>
  <c r="AO514" i="13"/>
  <c r="Y514" i="13"/>
  <c r="X514" i="13"/>
  <c r="W514" i="13"/>
  <c r="M514" i="13"/>
  <c r="P514" i="13" s="1"/>
  <c r="L514" i="13"/>
  <c r="AM514" i="13" s="1" a="1"/>
  <c r="AM514" i="13" s="1"/>
  <c r="F514" i="13"/>
  <c r="AO513" i="13"/>
  <c r="Y513" i="13"/>
  <c r="W513" i="13"/>
  <c r="M513" i="13"/>
  <c r="R513" i="13" s="1"/>
  <c r="L513" i="13"/>
  <c r="O513" i="13" s="1"/>
  <c r="AO512" i="13"/>
  <c r="Y512" i="13"/>
  <c r="X512" i="13"/>
  <c r="W512" i="13"/>
  <c r="M512" i="13"/>
  <c r="P512" i="13" s="1"/>
  <c r="L512" i="13"/>
  <c r="F512" i="13"/>
  <c r="AO511" i="13"/>
  <c r="Y511" i="13"/>
  <c r="X511" i="13"/>
  <c r="W511" i="13"/>
  <c r="M511" i="13"/>
  <c r="L511" i="13"/>
  <c r="F511" i="13"/>
  <c r="AO510" i="13"/>
  <c r="X510" i="13"/>
  <c r="V510" i="13"/>
  <c r="F510" i="13"/>
  <c r="E510" i="13"/>
  <c r="H510" i="13" s="1"/>
  <c r="AO509" i="13"/>
  <c r="Y509" i="13"/>
  <c r="W509" i="13"/>
  <c r="M509" i="13"/>
  <c r="R509" i="13" s="1"/>
  <c r="L509" i="13"/>
  <c r="AO508" i="13"/>
  <c r="Y508" i="13"/>
  <c r="X508" i="13"/>
  <c r="W508" i="13"/>
  <c r="M508" i="13"/>
  <c r="L508" i="13"/>
  <c r="F508" i="13"/>
  <c r="AO507" i="13"/>
  <c r="Y507" i="13"/>
  <c r="X507" i="13"/>
  <c r="W507" i="13"/>
  <c r="M507" i="13"/>
  <c r="P507" i="13" s="1"/>
  <c r="L507" i="13"/>
  <c r="F507" i="13"/>
  <c r="AO506" i="13"/>
  <c r="Y506" i="13"/>
  <c r="W506" i="13"/>
  <c r="M506" i="13"/>
  <c r="P506" i="13" s="1"/>
  <c r="L506" i="13"/>
  <c r="AO505" i="13"/>
  <c r="Y505" i="13"/>
  <c r="X505" i="13"/>
  <c r="W505" i="13"/>
  <c r="M505" i="13"/>
  <c r="L505" i="13"/>
  <c r="F505" i="13"/>
  <c r="AO504" i="13"/>
  <c r="Y504" i="13"/>
  <c r="W504" i="13"/>
  <c r="M504" i="13"/>
  <c r="L504" i="13"/>
  <c r="AO503" i="13"/>
  <c r="Y503" i="13"/>
  <c r="W503" i="13"/>
  <c r="M503" i="13"/>
  <c r="L503" i="13"/>
  <c r="AO502" i="13"/>
  <c r="X502" i="13"/>
  <c r="V502" i="13"/>
  <c r="F502" i="13"/>
  <c r="E502" i="13"/>
  <c r="AO501" i="13"/>
  <c r="Y501" i="13"/>
  <c r="W501" i="13"/>
  <c r="M501" i="13"/>
  <c r="P501" i="13" s="1"/>
  <c r="L501" i="13"/>
  <c r="AO500" i="13"/>
  <c r="Y500" i="13"/>
  <c r="W500" i="13"/>
  <c r="M500" i="13"/>
  <c r="L500" i="13"/>
  <c r="O500" i="13" s="1"/>
  <c r="AO499" i="13"/>
  <c r="Y499" i="13"/>
  <c r="X499" i="13"/>
  <c r="W499" i="13"/>
  <c r="V499" i="13"/>
  <c r="M499" i="13"/>
  <c r="L499" i="13"/>
  <c r="F499" i="13"/>
  <c r="K499" i="13" s="1"/>
  <c r="E499" i="13"/>
  <c r="H499" i="13" s="1"/>
  <c r="AO498" i="13"/>
  <c r="Y498" i="13"/>
  <c r="X498" i="13"/>
  <c r="W498" i="13"/>
  <c r="M498" i="13"/>
  <c r="R498" i="13" s="1"/>
  <c r="L498" i="13"/>
  <c r="N498" i="13" s="1"/>
  <c r="F498" i="13"/>
  <c r="AO497" i="13"/>
  <c r="Y497" i="13"/>
  <c r="W497" i="13"/>
  <c r="M497" i="13"/>
  <c r="P497" i="13" s="1"/>
  <c r="L497" i="13"/>
  <c r="AM497" i="13" s="1" a="1"/>
  <c r="AM497" i="13" s="1"/>
  <c r="AO496" i="13"/>
  <c r="Y496" i="13"/>
  <c r="X496" i="13"/>
  <c r="W496" i="13"/>
  <c r="M496" i="13"/>
  <c r="L496" i="13"/>
  <c r="O496" i="13" s="1"/>
  <c r="F496" i="13"/>
  <c r="AO495" i="13"/>
  <c r="Y495" i="13"/>
  <c r="X495" i="13"/>
  <c r="W495" i="13"/>
  <c r="M495" i="13"/>
  <c r="L495" i="13"/>
  <c r="N495" i="13" s="1"/>
  <c r="F495" i="13"/>
  <c r="K495" i="13" s="1"/>
  <c r="AO494" i="13"/>
  <c r="Y494" i="13"/>
  <c r="W494" i="13"/>
  <c r="M494" i="13"/>
  <c r="P494" i="13" s="1"/>
  <c r="L494" i="13"/>
  <c r="N494" i="13" s="1"/>
  <c r="AO493" i="13"/>
  <c r="Y493" i="13"/>
  <c r="X493" i="13"/>
  <c r="V493" i="13"/>
  <c r="M493" i="13"/>
  <c r="R493" i="13" s="1"/>
  <c r="F493" i="13"/>
  <c r="E493" i="13"/>
  <c r="AO492" i="13"/>
  <c r="Y492" i="13"/>
  <c r="X492" i="13"/>
  <c r="W492" i="13"/>
  <c r="M492" i="13"/>
  <c r="L492" i="13"/>
  <c r="F492" i="13"/>
  <c r="AO491" i="13"/>
  <c r="Y491" i="13"/>
  <c r="X491" i="13"/>
  <c r="V491" i="13"/>
  <c r="M491" i="13"/>
  <c r="F491" i="13"/>
  <c r="E491" i="13"/>
  <c r="AO490" i="13"/>
  <c r="Y490" i="13"/>
  <c r="W490" i="13"/>
  <c r="M490" i="13"/>
  <c r="L490" i="13"/>
  <c r="O490" i="13" s="1"/>
  <c r="AO489" i="13"/>
  <c r="Y489" i="13"/>
  <c r="X489" i="13"/>
  <c r="W489" i="13"/>
  <c r="M489" i="13"/>
  <c r="R489" i="13" s="1"/>
  <c r="L489" i="13"/>
  <c r="N489" i="13" s="1"/>
  <c r="AR489" i="13" s="1"/>
  <c r="F489" i="13"/>
  <c r="K489" i="13" s="1"/>
  <c r="AO488" i="13"/>
  <c r="Y488" i="13"/>
  <c r="X488" i="13"/>
  <c r="V488" i="13"/>
  <c r="M488" i="13"/>
  <c r="R488" i="13" s="1"/>
  <c r="F488" i="13"/>
  <c r="E488" i="13"/>
  <c r="G488" i="13" s="1"/>
  <c r="AO487" i="13"/>
  <c r="Y487" i="13"/>
  <c r="X487" i="13"/>
  <c r="V487" i="13"/>
  <c r="M487" i="13"/>
  <c r="P487" i="13" s="1"/>
  <c r="F487" i="13"/>
  <c r="E487" i="13"/>
  <c r="G487" i="13" s="1"/>
  <c r="AQ487" i="13" s="1"/>
  <c r="AO486" i="13"/>
  <c r="Y486" i="13"/>
  <c r="X486" i="13"/>
  <c r="V486" i="13"/>
  <c r="M486" i="13"/>
  <c r="P486" i="13" s="1"/>
  <c r="F486" i="13"/>
  <c r="E486" i="13"/>
  <c r="AO485" i="13"/>
  <c r="Y485" i="13"/>
  <c r="X485" i="13"/>
  <c r="V485" i="13"/>
  <c r="M485" i="13"/>
  <c r="F485" i="13"/>
  <c r="E485" i="13"/>
  <c r="G485" i="13" s="1"/>
  <c r="AQ485" i="13" s="1"/>
  <c r="AO484" i="13"/>
  <c r="Y484" i="13"/>
  <c r="X484" i="13"/>
  <c r="V484" i="13"/>
  <c r="M484" i="13"/>
  <c r="F484" i="13"/>
  <c r="E484" i="13"/>
  <c r="AO483" i="13"/>
  <c r="Y483" i="13"/>
  <c r="X483" i="13"/>
  <c r="V483" i="13"/>
  <c r="M483" i="13"/>
  <c r="F483" i="13"/>
  <c r="K483" i="13" s="1"/>
  <c r="E483" i="13"/>
  <c r="AO482" i="13"/>
  <c r="Y482" i="13"/>
  <c r="X482" i="13"/>
  <c r="V482" i="13"/>
  <c r="M482" i="13"/>
  <c r="F482" i="13"/>
  <c r="I482" i="13" s="1"/>
  <c r="E482" i="13"/>
  <c r="AO481" i="13"/>
  <c r="Y481" i="13"/>
  <c r="X481" i="13"/>
  <c r="W481" i="13"/>
  <c r="M481" i="13"/>
  <c r="L481" i="13"/>
  <c r="F481" i="13"/>
  <c r="K481" i="13" s="1"/>
  <c r="AO480" i="13"/>
  <c r="X480" i="13"/>
  <c r="V480" i="13"/>
  <c r="F480" i="13"/>
  <c r="E480" i="13"/>
  <c r="AO479" i="13"/>
  <c r="Y479" i="13"/>
  <c r="W479" i="13"/>
  <c r="M479" i="13"/>
  <c r="R479" i="13" s="1"/>
  <c r="L479" i="13"/>
  <c r="AO478" i="13"/>
  <c r="Y478" i="13"/>
  <c r="X478" i="13"/>
  <c r="V478" i="13"/>
  <c r="M478" i="13"/>
  <c r="F478" i="13"/>
  <c r="I478" i="13" s="1"/>
  <c r="E478" i="13"/>
  <c r="AO477" i="13"/>
  <c r="X477" i="13"/>
  <c r="V477" i="13"/>
  <c r="F477" i="13"/>
  <c r="E477" i="13"/>
  <c r="AO476" i="13"/>
  <c r="Y476" i="13"/>
  <c r="W476" i="13"/>
  <c r="M476" i="13"/>
  <c r="L476" i="13"/>
  <c r="AO475" i="13"/>
  <c r="Y475" i="13"/>
  <c r="X475" i="13"/>
  <c r="V475" i="13"/>
  <c r="M475" i="13"/>
  <c r="R475" i="13" s="1"/>
  <c r="F475" i="13"/>
  <c r="K475" i="13" s="1"/>
  <c r="E475" i="13"/>
  <c r="AO474" i="13"/>
  <c r="Y474" i="13"/>
  <c r="X474" i="13"/>
  <c r="W474" i="13"/>
  <c r="M474" i="13"/>
  <c r="L474" i="13"/>
  <c r="F474" i="13"/>
  <c r="AO473" i="13"/>
  <c r="Y473" i="13"/>
  <c r="W473" i="13"/>
  <c r="M473" i="13"/>
  <c r="L473" i="13"/>
  <c r="AO472" i="13"/>
  <c r="X472" i="13"/>
  <c r="V472" i="13"/>
  <c r="F472" i="13"/>
  <c r="K472" i="13" s="1"/>
  <c r="E472" i="13"/>
  <c r="AO471" i="13"/>
  <c r="X471" i="13"/>
  <c r="V471" i="13"/>
  <c r="F471" i="13"/>
  <c r="E471" i="13"/>
  <c r="AO470" i="13"/>
  <c r="Y470" i="13"/>
  <c r="M470" i="13"/>
  <c r="AO469" i="13"/>
  <c r="Y469" i="13"/>
  <c r="X469" i="13"/>
  <c r="W469" i="13"/>
  <c r="M469" i="13"/>
  <c r="R469" i="13" s="1"/>
  <c r="L469" i="13"/>
  <c r="F469" i="13"/>
  <c r="AO468" i="13"/>
  <c r="Y468" i="13"/>
  <c r="W468" i="13"/>
  <c r="M468" i="13"/>
  <c r="L468" i="13"/>
  <c r="AM468" i="13" s="1" a="1"/>
  <c r="AM468" i="13" s="1"/>
  <c r="AO467" i="13"/>
  <c r="Y467" i="13"/>
  <c r="X467" i="13"/>
  <c r="W467" i="13"/>
  <c r="M467" i="13"/>
  <c r="L467" i="13"/>
  <c r="AM467" i="13" s="1" a="1"/>
  <c r="AM467" i="13" s="1"/>
  <c r="AO466" i="13"/>
  <c r="Y466" i="13"/>
  <c r="X466" i="13"/>
  <c r="W466" i="13"/>
  <c r="M466" i="13"/>
  <c r="L466" i="13"/>
  <c r="N466" i="13" s="1"/>
  <c r="Q466" i="13" s="1"/>
  <c r="F466" i="13"/>
  <c r="AO465" i="13"/>
  <c r="Y465" i="13"/>
  <c r="W465" i="13"/>
  <c r="M465" i="13"/>
  <c r="L465" i="13"/>
  <c r="AO464" i="13"/>
  <c r="Y464" i="13"/>
  <c r="X464" i="13"/>
  <c r="W464" i="13"/>
  <c r="M464" i="13"/>
  <c r="L464" i="13"/>
  <c r="F464" i="13"/>
  <c r="AO463" i="13"/>
  <c r="Y463" i="13"/>
  <c r="X463" i="13"/>
  <c r="W463" i="13"/>
  <c r="M463" i="13"/>
  <c r="L463" i="13"/>
  <c r="N463" i="13" s="1"/>
  <c r="F463" i="13"/>
  <c r="K463" i="13" s="1"/>
  <c r="AO462" i="13"/>
  <c r="Y462" i="13"/>
  <c r="X462" i="13"/>
  <c r="W462" i="13"/>
  <c r="M462" i="13"/>
  <c r="L462" i="13"/>
  <c r="AM462" i="13" s="1" a="1"/>
  <c r="AM462" i="13" s="1"/>
  <c r="F462" i="13"/>
  <c r="AO461" i="13"/>
  <c r="Y461" i="13"/>
  <c r="W461" i="13"/>
  <c r="M461" i="13"/>
  <c r="R461" i="13" s="1"/>
  <c r="L461" i="13"/>
  <c r="AO460" i="13"/>
  <c r="Y460" i="13"/>
  <c r="X460" i="13"/>
  <c r="W460" i="13"/>
  <c r="M460" i="13"/>
  <c r="L460" i="13"/>
  <c r="F460" i="13"/>
  <c r="K460" i="13" s="1"/>
  <c r="AO459" i="13"/>
  <c r="Y459" i="13"/>
  <c r="X459" i="13"/>
  <c r="W459" i="13"/>
  <c r="M459" i="13"/>
  <c r="L459" i="13"/>
  <c r="AM459" i="13" s="1" a="1"/>
  <c r="AM459" i="13" s="1"/>
  <c r="F459" i="13"/>
  <c r="AO458" i="13"/>
  <c r="Y458" i="13"/>
  <c r="X458" i="13"/>
  <c r="W458" i="13"/>
  <c r="V458" i="13"/>
  <c r="M458" i="13"/>
  <c r="L458" i="13"/>
  <c r="AM458" i="13" s="1" a="1"/>
  <c r="AM458" i="13" s="1"/>
  <c r="F458" i="13"/>
  <c r="E458" i="13"/>
  <c r="AO457" i="13"/>
  <c r="Y457" i="13"/>
  <c r="W457" i="13"/>
  <c r="M457" i="13"/>
  <c r="L457" i="13"/>
  <c r="AO456" i="13"/>
  <c r="Y456" i="13"/>
  <c r="W456" i="13"/>
  <c r="M456" i="13"/>
  <c r="L456" i="13"/>
  <c r="N456" i="13" s="1"/>
  <c r="AO455" i="13"/>
  <c r="Y455" i="13"/>
  <c r="W455" i="13"/>
  <c r="M455" i="13"/>
  <c r="L455" i="13"/>
  <c r="AO454" i="13"/>
  <c r="Y454" i="13"/>
  <c r="X454" i="13"/>
  <c r="W454" i="13"/>
  <c r="M454" i="13"/>
  <c r="R454" i="13" s="1"/>
  <c r="L454" i="13"/>
  <c r="N454" i="13" s="1"/>
  <c r="F454" i="13"/>
  <c r="AO453" i="13"/>
  <c r="X453" i="13"/>
  <c r="V453" i="13"/>
  <c r="F453" i="13"/>
  <c r="E453" i="13"/>
  <c r="H453" i="13" s="1"/>
  <c r="AO452" i="13"/>
  <c r="Y452" i="13"/>
  <c r="X452" i="13"/>
  <c r="W452" i="13"/>
  <c r="M452" i="13"/>
  <c r="R452" i="13" s="1"/>
  <c r="L452" i="13"/>
  <c r="F452" i="13"/>
  <c r="AO451" i="13"/>
  <c r="Y451" i="13"/>
  <c r="W451" i="13"/>
  <c r="M451" i="13"/>
  <c r="R451" i="13" s="1"/>
  <c r="L451" i="13"/>
  <c r="AO450" i="13"/>
  <c r="Y450" i="13"/>
  <c r="X450" i="13"/>
  <c r="W450" i="13"/>
  <c r="M450" i="13"/>
  <c r="R450" i="13" s="1"/>
  <c r="L450" i="13"/>
  <c r="F450" i="13"/>
  <c r="AO449" i="13"/>
  <c r="Y449" i="13"/>
  <c r="W449" i="13"/>
  <c r="M449" i="13"/>
  <c r="R449" i="13" s="1"/>
  <c r="L449" i="13"/>
  <c r="AO448" i="13"/>
  <c r="Y448" i="13"/>
  <c r="X448" i="13"/>
  <c r="W448" i="13"/>
  <c r="M448" i="13"/>
  <c r="R448" i="13" s="1"/>
  <c r="L448" i="13"/>
  <c r="O448" i="13" s="1"/>
  <c r="F448" i="13"/>
  <c r="AO447" i="13"/>
  <c r="Y447" i="13"/>
  <c r="X447" i="13"/>
  <c r="W447" i="13"/>
  <c r="M447" i="13"/>
  <c r="R447" i="13" s="1"/>
  <c r="L447" i="13"/>
  <c r="AM447" i="13" s="1" a="1"/>
  <c r="AM447" i="13" s="1"/>
  <c r="F447" i="13"/>
  <c r="K447" i="13" s="1"/>
  <c r="AO446" i="13"/>
  <c r="Y446" i="13"/>
  <c r="W446" i="13"/>
  <c r="M446" i="13"/>
  <c r="L446" i="13"/>
  <c r="N446" i="13" s="1"/>
  <c r="Q446" i="13" s="1"/>
  <c r="AO445" i="13"/>
  <c r="Y445" i="13"/>
  <c r="W445" i="13"/>
  <c r="M445" i="13"/>
  <c r="R445" i="13" s="1"/>
  <c r="L445" i="13"/>
  <c r="AO444" i="13"/>
  <c r="Y444" i="13"/>
  <c r="W444" i="13"/>
  <c r="M444" i="13"/>
  <c r="L444" i="13"/>
  <c r="AM444" i="13" s="1" a="1"/>
  <c r="AM444" i="13" s="1"/>
  <c r="AO443" i="13"/>
  <c r="Y443" i="13"/>
  <c r="X443" i="13"/>
  <c r="W443" i="13"/>
  <c r="V443" i="13"/>
  <c r="M443" i="13"/>
  <c r="L443" i="13"/>
  <c r="AM443" i="13" s="1" a="1"/>
  <c r="AM443" i="13" s="1"/>
  <c r="F443" i="13"/>
  <c r="E443" i="13"/>
  <c r="G443" i="13" s="1"/>
  <c r="AO442" i="13"/>
  <c r="Y442" i="13"/>
  <c r="X442" i="13"/>
  <c r="V442" i="13"/>
  <c r="M442" i="13"/>
  <c r="F442" i="13"/>
  <c r="E442" i="13"/>
  <c r="AO441" i="13"/>
  <c r="Y441" i="13"/>
  <c r="X441" i="13"/>
  <c r="W441" i="13"/>
  <c r="V441" i="13"/>
  <c r="M441" i="13"/>
  <c r="L441" i="13"/>
  <c r="AM441" i="13" s="1" a="1"/>
  <c r="AM441" i="13" s="1"/>
  <c r="F441" i="13"/>
  <c r="E441" i="13"/>
  <c r="AO440" i="13"/>
  <c r="Y440" i="13"/>
  <c r="X440" i="13"/>
  <c r="V440" i="13"/>
  <c r="M440" i="13"/>
  <c r="F440" i="13"/>
  <c r="E440" i="13"/>
  <c r="H440" i="13" s="1"/>
  <c r="AO439" i="13"/>
  <c r="Y439" i="13"/>
  <c r="X439" i="13"/>
  <c r="W439" i="13"/>
  <c r="V439" i="13"/>
  <c r="M439" i="13"/>
  <c r="R439" i="13" s="1"/>
  <c r="L439" i="13"/>
  <c r="F439" i="13"/>
  <c r="E439" i="13"/>
  <c r="AO438" i="13"/>
  <c r="Y438" i="13"/>
  <c r="X438" i="13"/>
  <c r="W438" i="13"/>
  <c r="V438" i="13"/>
  <c r="M438" i="13"/>
  <c r="R438" i="13" s="1"/>
  <c r="L438" i="13"/>
  <c r="F438" i="13"/>
  <c r="E438" i="13"/>
  <c r="AO437" i="13"/>
  <c r="Y437" i="13"/>
  <c r="X437" i="13"/>
  <c r="W437" i="13"/>
  <c r="V437" i="13"/>
  <c r="M437" i="13"/>
  <c r="R437" i="13" s="1"/>
  <c r="L437" i="13"/>
  <c r="AM437" i="13" s="1" a="1"/>
  <c r="AM437" i="13" s="1"/>
  <c r="F437" i="13"/>
  <c r="E437" i="13"/>
  <c r="AO436" i="13"/>
  <c r="Y436" i="13"/>
  <c r="X436" i="13"/>
  <c r="W436" i="13"/>
  <c r="V436" i="13"/>
  <c r="M436" i="13"/>
  <c r="P436" i="13" s="1"/>
  <c r="L436" i="13"/>
  <c r="F436" i="13"/>
  <c r="E436" i="13"/>
  <c r="AL436" i="13" s="1" a="1"/>
  <c r="AL436" i="13" s="1"/>
  <c r="AO435" i="13"/>
  <c r="Y435" i="13"/>
  <c r="X435" i="13"/>
  <c r="W435" i="13"/>
  <c r="V435" i="13"/>
  <c r="M435" i="13"/>
  <c r="P435" i="13" s="1"/>
  <c r="L435" i="13"/>
  <c r="O435" i="13" s="1"/>
  <c r="F435" i="13"/>
  <c r="E435" i="13"/>
  <c r="AO434" i="13"/>
  <c r="Y434" i="13"/>
  <c r="X434" i="13"/>
  <c r="W434" i="13"/>
  <c r="V434" i="13"/>
  <c r="M434" i="13"/>
  <c r="R434" i="13" s="1"/>
  <c r="L434" i="13"/>
  <c r="F434" i="13"/>
  <c r="E434" i="13"/>
  <c r="AL434" i="13" s="1" a="1"/>
  <c r="AL434" i="13" s="1"/>
  <c r="AO433" i="13"/>
  <c r="X433" i="13"/>
  <c r="V433" i="13"/>
  <c r="F433" i="13"/>
  <c r="E433" i="13"/>
  <c r="AO432" i="13"/>
  <c r="Y432" i="13"/>
  <c r="X432" i="13"/>
  <c r="W432" i="13"/>
  <c r="V432" i="13"/>
  <c r="M432" i="13"/>
  <c r="R432" i="13" s="1"/>
  <c r="L432" i="13"/>
  <c r="AM432" i="13" s="1" a="1"/>
  <c r="AM432" i="13" s="1"/>
  <c r="F432" i="13"/>
  <c r="I432" i="13" s="1"/>
  <c r="E432" i="13"/>
  <c r="AO431" i="13"/>
  <c r="Y431" i="13"/>
  <c r="X431" i="13"/>
  <c r="W431" i="13"/>
  <c r="V431" i="13"/>
  <c r="M431" i="13"/>
  <c r="L431" i="13"/>
  <c r="N431" i="13" s="1"/>
  <c r="F431" i="13"/>
  <c r="E431" i="13"/>
  <c r="H431" i="13" s="1"/>
  <c r="AO430" i="13"/>
  <c r="Y430" i="13"/>
  <c r="X430" i="13"/>
  <c r="W430" i="13"/>
  <c r="V430" i="13"/>
  <c r="M430" i="13"/>
  <c r="R430" i="13" s="1"/>
  <c r="L430" i="13"/>
  <c r="F430" i="13"/>
  <c r="K430" i="13" s="1"/>
  <c r="E430" i="13"/>
  <c r="AO429" i="13"/>
  <c r="Y429" i="13"/>
  <c r="X429" i="13"/>
  <c r="W429" i="13"/>
  <c r="V429" i="13"/>
  <c r="M429" i="13"/>
  <c r="P429" i="13" s="1"/>
  <c r="L429" i="13"/>
  <c r="AM429" i="13" s="1" a="1"/>
  <c r="AM429" i="13" s="1"/>
  <c r="F429" i="13"/>
  <c r="K429" i="13" s="1"/>
  <c r="E429" i="13"/>
  <c r="AO428" i="13"/>
  <c r="Y428" i="13"/>
  <c r="X428" i="13"/>
  <c r="W428" i="13"/>
  <c r="V428" i="13"/>
  <c r="M428" i="13"/>
  <c r="P428" i="13" s="1"/>
  <c r="L428" i="13"/>
  <c r="AM428" i="13" s="1" a="1"/>
  <c r="AM428" i="13" s="1"/>
  <c r="F428" i="13"/>
  <c r="K428" i="13" s="1"/>
  <c r="E428" i="13"/>
  <c r="AO427" i="13"/>
  <c r="Y427" i="13"/>
  <c r="X427" i="13"/>
  <c r="V427" i="13"/>
  <c r="M427" i="13"/>
  <c r="F427" i="13"/>
  <c r="I427" i="13" s="1"/>
  <c r="E427" i="13"/>
  <c r="AO426" i="13"/>
  <c r="Y426" i="13"/>
  <c r="W426" i="13"/>
  <c r="M426" i="13"/>
  <c r="R426" i="13" s="1"/>
  <c r="L426" i="13"/>
  <c r="AO425" i="13"/>
  <c r="Y425" i="13"/>
  <c r="X425" i="13"/>
  <c r="W425" i="13"/>
  <c r="V425" i="13"/>
  <c r="M425" i="13"/>
  <c r="P425" i="13" s="1"/>
  <c r="L425" i="13"/>
  <c r="F425" i="13"/>
  <c r="AO424" i="13"/>
  <c r="AO423" i="13"/>
  <c r="Y423" i="13"/>
  <c r="X423" i="13"/>
  <c r="W423" i="13"/>
  <c r="V423" i="13"/>
  <c r="M423" i="13"/>
  <c r="R423" i="13" s="1"/>
  <c r="L423" i="13"/>
  <c r="F423" i="13"/>
  <c r="E423" i="13"/>
  <c r="AO422" i="13"/>
  <c r="Y422" i="13"/>
  <c r="X422" i="13"/>
  <c r="W422" i="13"/>
  <c r="V422" i="13"/>
  <c r="M422" i="13"/>
  <c r="P422" i="13" s="1"/>
  <c r="L422" i="13"/>
  <c r="AM422" i="13" s="1" a="1"/>
  <c r="AM422" i="13" s="1"/>
  <c r="F422" i="13"/>
  <c r="E422" i="13"/>
  <c r="AL422" i="13" s="1" a="1"/>
  <c r="AL422" i="13" s="1"/>
  <c r="AO421" i="13"/>
  <c r="Y421" i="13"/>
  <c r="X421" i="13"/>
  <c r="W421" i="13"/>
  <c r="V421" i="13"/>
  <c r="M421" i="13"/>
  <c r="P421" i="13" s="1"/>
  <c r="L421" i="13"/>
  <c r="AM421" i="13" s="1" a="1"/>
  <c r="AM421" i="13" s="1"/>
  <c r="F421" i="13"/>
  <c r="E421" i="13"/>
  <c r="AL421" i="13" s="1" a="1"/>
  <c r="AL421" i="13" s="1"/>
  <c r="AO420" i="13"/>
  <c r="Y420" i="13"/>
  <c r="X420" i="13"/>
  <c r="W420" i="13"/>
  <c r="V420" i="13"/>
  <c r="M420" i="13"/>
  <c r="R420" i="13" s="1"/>
  <c r="L420" i="13"/>
  <c r="F420" i="13"/>
  <c r="E420" i="13"/>
  <c r="AL420" i="13" s="1" a="1"/>
  <c r="AL420" i="13" s="1"/>
  <c r="AO419" i="13"/>
  <c r="Y419" i="13"/>
  <c r="X419" i="13"/>
  <c r="W419" i="13"/>
  <c r="V419" i="13"/>
  <c r="M419" i="13"/>
  <c r="R419" i="13" s="1"/>
  <c r="L419" i="13"/>
  <c r="AM419" i="13" s="1" a="1"/>
  <c r="AM419" i="13" s="1"/>
  <c r="F419" i="13"/>
  <c r="E419" i="13"/>
  <c r="AO418" i="13"/>
  <c r="Y418" i="13"/>
  <c r="X418" i="13"/>
  <c r="W418" i="13"/>
  <c r="V418" i="13"/>
  <c r="M418" i="13"/>
  <c r="P418" i="13" s="1"/>
  <c r="L418" i="13"/>
  <c r="AM418" i="13" s="1" a="1"/>
  <c r="AM418" i="13" s="1"/>
  <c r="F418" i="13"/>
  <c r="K418" i="13" s="1"/>
  <c r="E418" i="13"/>
  <c r="AO417" i="13"/>
  <c r="Y417" i="13"/>
  <c r="X417" i="13"/>
  <c r="W417" i="13"/>
  <c r="M417" i="13"/>
  <c r="P417" i="13" s="1"/>
  <c r="L417" i="13"/>
  <c r="F417" i="13"/>
  <c r="AO416" i="13"/>
  <c r="Y416" i="13"/>
  <c r="X416" i="13"/>
  <c r="W416" i="13"/>
  <c r="V416" i="13"/>
  <c r="M416" i="13"/>
  <c r="P416" i="13" s="1"/>
  <c r="L416" i="13"/>
  <c r="F416" i="13"/>
  <c r="E416" i="13"/>
  <c r="AL416" i="13" s="1" a="1"/>
  <c r="AL416" i="13" s="1"/>
  <c r="AO415" i="13"/>
  <c r="Y415" i="13"/>
  <c r="X415" i="13"/>
  <c r="W415" i="13"/>
  <c r="V415" i="13"/>
  <c r="M415" i="13"/>
  <c r="R415" i="13" s="1"/>
  <c r="L415" i="13"/>
  <c r="N415" i="13" s="1"/>
  <c r="F415" i="13"/>
  <c r="E415" i="13"/>
  <c r="AO414" i="13"/>
  <c r="Y414" i="13"/>
  <c r="X414" i="13"/>
  <c r="W414" i="13"/>
  <c r="V414" i="13"/>
  <c r="M414" i="13"/>
  <c r="R414" i="13" s="1"/>
  <c r="L414" i="13"/>
  <c r="F414" i="13"/>
  <c r="K414" i="13" s="1"/>
  <c r="E414" i="13"/>
  <c r="AO413" i="13"/>
  <c r="Y413" i="13"/>
  <c r="W413" i="13"/>
  <c r="M413" i="13"/>
  <c r="R413" i="13" s="1"/>
  <c r="L413" i="13"/>
  <c r="AO412" i="13"/>
  <c r="Y412" i="13"/>
  <c r="W412" i="13"/>
  <c r="M412" i="13"/>
  <c r="P412" i="13" s="1"/>
  <c r="L412" i="13"/>
  <c r="N412" i="13" s="1"/>
  <c r="Q412" i="13" s="1"/>
  <c r="AO411" i="13"/>
  <c r="Y411" i="13"/>
  <c r="X411" i="13"/>
  <c r="W411" i="13"/>
  <c r="V411" i="13"/>
  <c r="M411" i="13"/>
  <c r="R411" i="13" s="1"/>
  <c r="L411" i="13"/>
  <c r="O411" i="13" s="1"/>
  <c r="F411" i="13"/>
  <c r="E411" i="13"/>
  <c r="AO410" i="13"/>
  <c r="Y410" i="13"/>
  <c r="X410" i="13"/>
  <c r="W410" i="13"/>
  <c r="V410" i="13"/>
  <c r="M410" i="13"/>
  <c r="P410" i="13" s="1"/>
  <c r="L410" i="13"/>
  <c r="AM410" i="13" s="1" a="1"/>
  <c r="AM410" i="13" s="1"/>
  <c r="F410" i="13"/>
  <c r="K410" i="13" s="1"/>
  <c r="E410" i="13"/>
  <c r="AO409" i="13"/>
  <c r="Y409" i="13"/>
  <c r="X409" i="13"/>
  <c r="W409" i="13"/>
  <c r="V409" i="13"/>
  <c r="M409" i="13"/>
  <c r="R409" i="13" s="1"/>
  <c r="L409" i="13"/>
  <c r="F409" i="13"/>
  <c r="K409" i="13" s="1"/>
  <c r="E409" i="13"/>
  <c r="AO408" i="13"/>
  <c r="Y408" i="13"/>
  <c r="X408" i="13"/>
  <c r="W408" i="13"/>
  <c r="V408" i="13"/>
  <c r="M408" i="13"/>
  <c r="R408" i="13" s="1"/>
  <c r="L408" i="13"/>
  <c r="F408" i="13"/>
  <c r="K408" i="13" s="1"/>
  <c r="E408" i="13"/>
  <c r="AO407" i="13"/>
  <c r="Y407" i="13"/>
  <c r="X407" i="13"/>
  <c r="W407" i="13"/>
  <c r="V407" i="13"/>
  <c r="M407" i="13"/>
  <c r="L407" i="13"/>
  <c r="O407" i="13" s="1"/>
  <c r="F407" i="13"/>
  <c r="E407" i="13"/>
  <c r="AO406" i="13"/>
  <c r="Y406" i="13"/>
  <c r="X406" i="13"/>
  <c r="W406" i="13"/>
  <c r="V406" i="13"/>
  <c r="M406" i="13"/>
  <c r="P406" i="13" s="1"/>
  <c r="L406" i="13"/>
  <c r="AM406" i="13" s="1" a="1"/>
  <c r="AM406" i="13" s="1"/>
  <c r="F406" i="13"/>
  <c r="K406" i="13" s="1"/>
  <c r="E406" i="13"/>
  <c r="AO405" i="13"/>
  <c r="Y405" i="13"/>
  <c r="X405" i="13"/>
  <c r="W405" i="13"/>
  <c r="V405" i="13"/>
  <c r="M405" i="13"/>
  <c r="R405" i="13" s="1"/>
  <c r="L405" i="13"/>
  <c r="F405" i="13"/>
  <c r="E405" i="13"/>
  <c r="AL405" i="13" s="1" a="1"/>
  <c r="AL405" i="13" s="1"/>
  <c r="AO404" i="13"/>
  <c r="Y404" i="13"/>
  <c r="X404" i="13"/>
  <c r="W404" i="13"/>
  <c r="V404" i="13"/>
  <c r="M404" i="13"/>
  <c r="R404" i="13" s="1"/>
  <c r="L404" i="13"/>
  <c r="F404" i="13"/>
  <c r="E404" i="13"/>
  <c r="AO403" i="13"/>
  <c r="Y403" i="13"/>
  <c r="X403" i="13"/>
  <c r="W403" i="13"/>
  <c r="V403" i="13"/>
  <c r="M403" i="13"/>
  <c r="R403" i="13" s="1"/>
  <c r="L403" i="13"/>
  <c r="O403" i="13" s="1"/>
  <c r="F403" i="13"/>
  <c r="E403" i="13"/>
  <c r="AO402" i="13"/>
  <c r="Y402" i="13"/>
  <c r="X402" i="13"/>
  <c r="W402" i="13"/>
  <c r="V402" i="13"/>
  <c r="M402" i="13"/>
  <c r="P402" i="13" s="1"/>
  <c r="L402" i="13"/>
  <c r="AM402" i="13" s="1" a="1"/>
  <c r="AM402" i="13" s="1"/>
  <c r="F402" i="13"/>
  <c r="E402" i="13"/>
  <c r="AL402" i="13" s="1" a="1"/>
  <c r="AL402" i="13" s="1"/>
  <c r="AO401" i="13"/>
  <c r="Y401" i="13"/>
  <c r="X401" i="13"/>
  <c r="W401" i="13"/>
  <c r="V401" i="13"/>
  <c r="M401" i="13"/>
  <c r="R401" i="13" s="1"/>
  <c r="L401" i="13"/>
  <c r="AM401" i="13" s="1" a="1"/>
  <c r="AM401" i="13" s="1"/>
  <c r="F401" i="13"/>
  <c r="E401" i="13"/>
  <c r="AO400" i="13"/>
  <c r="Y400" i="13"/>
  <c r="X400" i="13"/>
  <c r="W400" i="13"/>
  <c r="V400" i="13"/>
  <c r="M400" i="13"/>
  <c r="R400" i="13" s="1"/>
  <c r="L400" i="13"/>
  <c r="F400" i="13"/>
  <c r="K400" i="13" s="1"/>
  <c r="E400" i="13"/>
  <c r="AO399" i="13"/>
  <c r="Y399" i="13"/>
  <c r="X399" i="13"/>
  <c r="W399" i="13"/>
  <c r="V399" i="13"/>
  <c r="M399" i="13"/>
  <c r="L399" i="13"/>
  <c r="O399" i="13" s="1"/>
  <c r="F399" i="13"/>
  <c r="E399" i="13"/>
  <c r="AO398" i="13"/>
  <c r="Y398" i="13"/>
  <c r="X398" i="13"/>
  <c r="W398" i="13"/>
  <c r="V398" i="13"/>
  <c r="M398" i="13"/>
  <c r="P398" i="13" s="1"/>
  <c r="L398" i="13"/>
  <c r="F398" i="13"/>
  <c r="E398" i="13"/>
  <c r="AO397" i="13"/>
  <c r="Y397" i="13"/>
  <c r="X397" i="13"/>
  <c r="W397" i="13"/>
  <c r="V397" i="13"/>
  <c r="M397" i="13"/>
  <c r="R397" i="13" s="1"/>
  <c r="L397" i="13"/>
  <c r="F397" i="13"/>
  <c r="E397" i="13"/>
  <c r="AO396" i="13"/>
  <c r="Y396" i="13"/>
  <c r="X396" i="13"/>
  <c r="W396" i="13"/>
  <c r="V396" i="13"/>
  <c r="M396" i="13"/>
  <c r="R396" i="13" s="1"/>
  <c r="L396" i="13"/>
  <c r="F396" i="13"/>
  <c r="E396" i="13"/>
  <c r="AL396" i="13" s="1" a="1"/>
  <c r="AL396" i="13" s="1"/>
  <c r="AO395" i="13"/>
  <c r="Y395" i="13"/>
  <c r="X395" i="13"/>
  <c r="W395" i="13"/>
  <c r="V395" i="13"/>
  <c r="M395" i="13"/>
  <c r="R395" i="13" s="1"/>
  <c r="L395" i="13"/>
  <c r="O395" i="13" s="1"/>
  <c r="F395" i="13"/>
  <c r="E395" i="13"/>
  <c r="H395" i="13" s="1"/>
  <c r="AO394" i="13"/>
  <c r="Y394" i="13"/>
  <c r="X394" i="13"/>
  <c r="W394" i="13"/>
  <c r="V394" i="13"/>
  <c r="M394" i="13"/>
  <c r="P394" i="13" s="1"/>
  <c r="L394" i="13"/>
  <c r="F394" i="13"/>
  <c r="K394" i="13" s="1"/>
  <c r="E394" i="13"/>
  <c r="AO393" i="13"/>
  <c r="Y393" i="13"/>
  <c r="X393" i="13"/>
  <c r="W393" i="13"/>
  <c r="V393" i="13"/>
  <c r="M393" i="13"/>
  <c r="R393" i="13" s="1"/>
  <c r="L393" i="13"/>
  <c r="AM393" i="13" s="1" a="1"/>
  <c r="AM393" i="13" s="1"/>
  <c r="F393" i="13"/>
  <c r="E393" i="13"/>
  <c r="AO392" i="13"/>
  <c r="Y392" i="13"/>
  <c r="X392" i="13"/>
  <c r="M392" i="13"/>
  <c r="F392" i="13"/>
  <c r="AO391" i="13"/>
  <c r="Y391" i="13"/>
  <c r="X391" i="13"/>
  <c r="W391" i="13"/>
  <c r="V391" i="13"/>
  <c r="M391" i="13"/>
  <c r="R391" i="13" s="1"/>
  <c r="L391" i="13"/>
  <c r="N391" i="13" s="1"/>
  <c r="F391" i="13"/>
  <c r="E391" i="13"/>
  <c r="G391" i="13" s="1"/>
  <c r="AO390" i="13"/>
  <c r="Y390" i="13"/>
  <c r="X390" i="13"/>
  <c r="W390" i="13"/>
  <c r="V390" i="13"/>
  <c r="M390" i="13"/>
  <c r="L390" i="13"/>
  <c r="F390" i="13"/>
  <c r="I390" i="13" s="1"/>
  <c r="E390" i="13"/>
  <c r="AL390" i="13" s="1" a="1"/>
  <c r="AL390" i="13" s="1"/>
  <c r="AO389" i="13"/>
  <c r="Y389" i="13"/>
  <c r="X389" i="13"/>
  <c r="W389" i="13"/>
  <c r="V389" i="13"/>
  <c r="M389" i="13"/>
  <c r="P389" i="13" s="1"/>
  <c r="L389" i="13"/>
  <c r="F389" i="13"/>
  <c r="K389" i="13" s="1"/>
  <c r="E389" i="13"/>
  <c r="AL389" i="13" s="1" a="1"/>
  <c r="AL389" i="13" s="1"/>
  <c r="AO388" i="13"/>
  <c r="Y388" i="13"/>
  <c r="X388" i="13"/>
  <c r="W388" i="13"/>
  <c r="V388" i="13"/>
  <c r="M388" i="13"/>
  <c r="P388" i="13" s="1"/>
  <c r="L388" i="13"/>
  <c r="AM388" i="13" s="1" a="1"/>
  <c r="AM388" i="13" s="1"/>
  <c r="F388" i="13"/>
  <c r="K388" i="13" s="1"/>
  <c r="E388" i="13"/>
  <c r="AO387" i="13"/>
  <c r="Y387" i="13"/>
  <c r="X387" i="13"/>
  <c r="W387" i="13"/>
  <c r="V387" i="13"/>
  <c r="M387" i="13"/>
  <c r="R387" i="13" s="1"/>
  <c r="L387" i="13"/>
  <c r="F387" i="13"/>
  <c r="K387" i="13" s="1"/>
  <c r="E387" i="13"/>
  <c r="H387" i="13" s="1"/>
  <c r="AO386" i="13"/>
  <c r="Y386" i="13"/>
  <c r="X386" i="13"/>
  <c r="W386" i="13"/>
  <c r="V386" i="13"/>
  <c r="M386" i="13"/>
  <c r="L386" i="13"/>
  <c r="N386" i="13" s="1"/>
  <c r="AR386" i="13" s="1"/>
  <c r="F386" i="13"/>
  <c r="E386" i="13"/>
  <c r="AO385" i="13"/>
  <c r="Y385" i="13"/>
  <c r="X385" i="13"/>
  <c r="W385" i="13"/>
  <c r="V385" i="13"/>
  <c r="M385" i="13"/>
  <c r="R385" i="13" s="1"/>
  <c r="L385" i="13"/>
  <c r="F385" i="13"/>
  <c r="E385" i="13"/>
  <c r="AO384" i="13"/>
  <c r="Y384" i="13"/>
  <c r="W384" i="13"/>
  <c r="M384" i="13"/>
  <c r="R384" i="13" s="1"/>
  <c r="L384" i="13"/>
  <c r="N384" i="13" s="1"/>
  <c r="AO383" i="13"/>
  <c r="Y383" i="13"/>
  <c r="X383" i="13"/>
  <c r="W383" i="13"/>
  <c r="V383" i="13"/>
  <c r="M383" i="13"/>
  <c r="R383" i="13" s="1"/>
  <c r="L383" i="13"/>
  <c r="F383" i="13"/>
  <c r="E383" i="13"/>
  <c r="AO382" i="13"/>
  <c r="Y382" i="13"/>
  <c r="X382" i="13"/>
  <c r="W382" i="13"/>
  <c r="V382" i="13"/>
  <c r="M382" i="13"/>
  <c r="P382" i="13" s="1"/>
  <c r="L382" i="13"/>
  <c r="AM382" i="13" s="1" a="1"/>
  <c r="AM382" i="13" s="1"/>
  <c r="F382" i="13"/>
  <c r="I382" i="13" s="1"/>
  <c r="E382" i="13"/>
  <c r="AL382" i="13" s="1" a="1"/>
  <c r="AL382" i="13" s="1"/>
  <c r="AO381" i="13"/>
  <c r="Y381" i="13"/>
  <c r="X381" i="13"/>
  <c r="W381" i="13"/>
  <c r="V381" i="13"/>
  <c r="M381" i="13"/>
  <c r="R381" i="13" s="1"/>
  <c r="L381" i="13"/>
  <c r="F381" i="13"/>
  <c r="E381" i="13"/>
  <c r="H381" i="13" s="1"/>
  <c r="AO380" i="13"/>
  <c r="Y380" i="13"/>
  <c r="X380" i="13"/>
  <c r="W380" i="13"/>
  <c r="V380" i="13"/>
  <c r="M380" i="13"/>
  <c r="L380" i="13"/>
  <c r="N380" i="13" s="1"/>
  <c r="AR380" i="13" s="1"/>
  <c r="F380" i="13"/>
  <c r="E380" i="13"/>
  <c r="H380" i="13" s="1"/>
  <c r="AO379" i="13"/>
  <c r="Y379" i="13"/>
  <c r="X379" i="13"/>
  <c r="W379" i="13"/>
  <c r="V379" i="13"/>
  <c r="M379" i="13"/>
  <c r="P379" i="13" s="1"/>
  <c r="L379" i="13"/>
  <c r="F379" i="13"/>
  <c r="E379" i="13"/>
  <c r="H379" i="13" s="1"/>
  <c r="AO378" i="13"/>
  <c r="Y378" i="13"/>
  <c r="X378" i="13"/>
  <c r="W378" i="13"/>
  <c r="V378" i="13"/>
  <c r="M378" i="13"/>
  <c r="R378" i="13" s="1"/>
  <c r="L378" i="13"/>
  <c r="AM378" i="13" s="1" a="1"/>
  <c r="AM378" i="13" s="1"/>
  <c r="F378" i="13"/>
  <c r="K378" i="13" s="1"/>
  <c r="E378" i="13"/>
  <c r="AO377" i="13"/>
  <c r="Y377" i="13"/>
  <c r="X377" i="13"/>
  <c r="W377" i="13"/>
  <c r="V377" i="13"/>
  <c r="M377" i="13"/>
  <c r="R377" i="13" s="1"/>
  <c r="L377" i="13"/>
  <c r="F377" i="13"/>
  <c r="E377" i="13"/>
  <c r="AO376" i="13"/>
  <c r="Y376" i="13"/>
  <c r="X376" i="13"/>
  <c r="W376" i="13"/>
  <c r="M376" i="13"/>
  <c r="L376" i="13"/>
  <c r="AM376" i="13" s="1" a="1"/>
  <c r="AM376" i="13" s="1"/>
  <c r="F376" i="13"/>
  <c r="AO375" i="13"/>
  <c r="Y375" i="13"/>
  <c r="X375" i="13"/>
  <c r="W375" i="13"/>
  <c r="V375" i="13"/>
  <c r="M375" i="13"/>
  <c r="P375" i="13" s="1"/>
  <c r="L375" i="13"/>
  <c r="AM375" i="13" s="1" a="1"/>
  <c r="AM375" i="13" s="1"/>
  <c r="F375" i="13"/>
  <c r="E375" i="13"/>
  <c r="AO374" i="13"/>
  <c r="Y374" i="13"/>
  <c r="X374" i="13"/>
  <c r="W374" i="13"/>
  <c r="V374" i="13"/>
  <c r="M374" i="13"/>
  <c r="R374" i="13" s="1"/>
  <c r="L374" i="13"/>
  <c r="AM374" i="13" s="1" a="1"/>
  <c r="AM374" i="13" s="1"/>
  <c r="F374" i="13"/>
  <c r="K374" i="13" s="1"/>
  <c r="E374" i="13"/>
  <c r="AO373" i="13"/>
  <c r="Y373" i="13"/>
  <c r="X373" i="13"/>
  <c r="W373" i="13"/>
  <c r="V373" i="13"/>
  <c r="M373" i="13"/>
  <c r="L373" i="13"/>
  <c r="F373" i="13"/>
  <c r="K373" i="13" s="1"/>
  <c r="E373" i="13"/>
  <c r="AL373" i="13" s="1" a="1"/>
  <c r="AL373" i="13" s="1"/>
  <c r="AO372" i="13"/>
  <c r="Y372" i="13"/>
  <c r="X372" i="13"/>
  <c r="W372" i="13"/>
  <c r="V372" i="13"/>
  <c r="M372" i="13"/>
  <c r="L372" i="13"/>
  <c r="AM372" i="13" s="1" a="1"/>
  <c r="AM372" i="13" s="1"/>
  <c r="F372" i="13"/>
  <c r="K372" i="13" s="1"/>
  <c r="E372" i="13"/>
  <c r="AL372" i="13" s="1" a="1"/>
  <c r="AL372" i="13" s="1"/>
  <c r="AO371" i="13"/>
  <c r="Y371" i="13"/>
  <c r="X371" i="13"/>
  <c r="W371" i="13"/>
  <c r="V371" i="13"/>
  <c r="M371" i="13"/>
  <c r="P371" i="13" s="1"/>
  <c r="L371" i="13"/>
  <c r="F371" i="13"/>
  <c r="E371" i="13"/>
  <c r="AL371" i="13" s="1" a="1"/>
  <c r="AL371" i="13" s="1"/>
  <c r="AO370" i="13"/>
  <c r="Y370" i="13"/>
  <c r="X370" i="13"/>
  <c r="W370" i="13"/>
  <c r="V370" i="13"/>
  <c r="M370" i="13"/>
  <c r="R370" i="13" s="1"/>
  <c r="L370" i="13"/>
  <c r="AM370" i="13" s="1" a="1"/>
  <c r="AM370" i="13" s="1"/>
  <c r="F370" i="13"/>
  <c r="I370" i="13" s="1"/>
  <c r="E370" i="13"/>
  <c r="AL370" i="13" s="1" a="1"/>
  <c r="AL370" i="13" s="1"/>
  <c r="AO369" i="13"/>
  <c r="Y369" i="13"/>
  <c r="X369" i="13"/>
  <c r="W369" i="13"/>
  <c r="V369" i="13"/>
  <c r="M369" i="13"/>
  <c r="R369" i="13" s="1"/>
  <c r="L369" i="13"/>
  <c r="F369" i="13"/>
  <c r="E369" i="13"/>
  <c r="AO368" i="13"/>
  <c r="Y368" i="13"/>
  <c r="X368" i="13"/>
  <c r="W368" i="13"/>
  <c r="V368" i="13"/>
  <c r="M368" i="13"/>
  <c r="L368" i="13"/>
  <c r="AM368" i="13" s="1" a="1"/>
  <c r="AM368" i="13" s="1"/>
  <c r="F368" i="13"/>
  <c r="E368" i="13"/>
  <c r="AO367" i="13"/>
  <c r="Y367" i="13"/>
  <c r="X367" i="13"/>
  <c r="W367" i="13"/>
  <c r="V367" i="13"/>
  <c r="M367" i="13"/>
  <c r="L367" i="13"/>
  <c r="AM367" i="13" s="1" a="1"/>
  <c r="AM367" i="13" s="1"/>
  <c r="F367" i="13"/>
  <c r="E367" i="13"/>
  <c r="AO366" i="13"/>
  <c r="Y366" i="13"/>
  <c r="X366" i="13"/>
  <c r="W366" i="13"/>
  <c r="V366" i="13"/>
  <c r="M366" i="13"/>
  <c r="R366" i="13" s="1"/>
  <c r="L366" i="13"/>
  <c r="F366" i="13"/>
  <c r="K366" i="13" s="1"/>
  <c r="E366" i="13"/>
  <c r="AO365" i="13"/>
  <c r="Y365" i="13"/>
  <c r="X365" i="13"/>
  <c r="W365" i="13"/>
  <c r="V365" i="13"/>
  <c r="M365" i="13"/>
  <c r="L365" i="13"/>
  <c r="F365" i="13"/>
  <c r="K365" i="13" s="1"/>
  <c r="E365" i="13"/>
  <c r="AO364" i="13"/>
  <c r="Y364" i="13"/>
  <c r="X364" i="13"/>
  <c r="W364" i="13"/>
  <c r="V364" i="13"/>
  <c r="M364" i="13"/>
  <c r="L364" i="13"/>
  <c r="AM364" i="13" s="1" a="1"/>
  <c r="AM364" i="13" s="1"/>
  <c r="F364" i="13"/>
  <c r="K364" i="13" s="1"/>
  <c r="E364" i="13"/>
  <c r="AL364" i="13" s="1" a="1"/>
  <c r="AL364" i="13" s="1"/>
  <c r="AO363" i="13"/>
  <c r="Y363" i="13"/>
  <c r="X363" i="13"/>
  <c r="W363" i="13"/>
  <c r="V363" i="13"/>
  <c r="M363" i="13"/>
  <c r="P363" i="13" s="1"/>
  <c r="L363" i="13"/>
  <c r="AM363" i="13" s="1" a="1"/>
  <c r="AM363" i="13" s="1"/>
  <c r="F363" i="13"/>
  <c r="K363" i="13" s="1"/>
  <c r="E363" i="13"/>
  <c r="AL363" i="13" s="1" a="1"/>
  <c r="AL363" i="13" s="1"/>
  <c r="AO362" i="13"/>
  <c r="Y362" i="13"/>
  <c r="X362" i="13"/>
  <c r="W362" i="13"/>
  <c r="V362" i="13"/>
  <c r="M362" i="13"/>
  <c r="R362" i="13" s="1"/>
  <c r="L362" i="13"/>
  <c r="F362" i="13"/>
  <c r="I362" i="13" s="1"/>
  <c r="E362" i="13"/>
  <c r="AL362" i="13" s="1" a="1"/>
  <c r="AL362" i="13" s="1"/>
  <c r="AO361" i="13"/>
  <c r="Y361" i="13"/>
  <c r="X361" i="13"/>
  <c r="W361" i="13"/>
  <c r="V361" i="13"/>
  <c r="M361" i="13"/>
  <c r="L361" i="13"/>
  <c r="F361" i="13"/>
  <c r="E361" i="13"/>
  <c r="AO360" i="13"/>
  <c r="Y360" i="13"/>
  <c r="X360" i="13"/>
  <c r="W360" i="13"/>
  <c r="V360" i="13"/>
  <c r="M360" i="13"/>
  <c r="L360" i="13"/>
  <c r="AM360" i="13" s="1" a="1"/>
  <c r="AM360" i="13" s="1"/>
  <c r="F360" i="13"/>
  <c r="E360" i="13"/>
  <c r="H360" i="13" s="1"/>
  <c r="AO359" i="13"/>
  <c r="Y359" i="13"/>
  <c r="W359" i="13"/>
  <c r="M359" i="13"/>
  <c r="P359" i="13" s="1"/>
  <c r="L359" i="13"/>
  <c r="AO358" i="13"/>
  <c r="Y358" i="13"/>
  <c r="X358" i="13"/>
  <c r="W358" i="13"/>
  <c r="V358" i="13"/>
  <c r="M358" i="13"/>
  <c r="P358" i="13" s="1"/>
  <c r="L358" i="13"/>
  <c r="AM358" i="13" s="1" a="1"/>
  <c r="AM358" i="13" s="1"/>
  <c r="F358" i="13"/>
  <c r="E358" i="13"/>
  <c r="AO357" i="13"/>
  <c r="Y357" i="13"/>
  <c r="X357" i="13"/>
  <c r="W357" i="13"/>
  <c r="V357" i="13"/>
  <c r="M357" i="13"/>
  <c r="L357" i="13"/>
  <c r="F357" i="13"/>
  <c r="K357" i="13" s="1"/>
  <c r="E357" i="13"/>
  <c r="AO356" i="13"/>
  <c r="Y356" i="13"/>
  <c r="X356" i="13"/>
  <c r="W356" i="13"/>
  <c r="V356" i="13"/>
  <c r="M356" i="13"/>
  <c r="L356" i="13"/>
  <c r="AM356" i="13" s="1" a="1"/>
  <c r="AM356" i="13" s="1"/>
  <c r="F356" i="13"/>
  <c r="K356" i="13" s="1"/>
  <c r="E356" i="13"/>
  <c r="AO355" i="13"/>
  <c r="Y355" i="13"/>
  <c r="X355" i="13"/>
  <c r="W355" i="13"/>
  <c r="V355" i="13"/>
  <c r="M355" i="13"/>
  <c r="L355" i="13"/>
  <c r="AM355" i="13" s="1" a="1"/>
  <c r="AM355" i="13" s="1"/>
  <c r="F355" i="13"/>
  <c r="E355" i="13"/>
  <c r="AL355" i="13" s="1" a="1"/>
  <c r="AL355" i="13" s="1"/>
  <c r="AO354" i="13"/>
  <c r="Y354" i="13"/>
  <c r="X354" i="13"/>
  <c r="W354" i="13"/>
  <c r="V354" i="13"/>
  <c r="M354" i="13"/>
  <c r="P354" i="13" s="1"/>
  <c r="L354" i="13"/>
  <c r="AM354" i="13" s="1" a="1"/>
  <c r="AM354" i="13" s="1"/>
  <c r="F354" i="13"/>
  <c r="E354" i="13"/>
  <c r="AO353" i="13"/>
  <c r="Y353" i="13"/>
  <c r="X353" i="13"/>
  <c r="W353" i="13"/>
  <c r="V353" i="13"/>
  <c r="M353" i="13"/>
  <c r="L353" i="13"/>
  <c r="F353" i="13"/>
  <c r="I353" i="13" s="1"/>
  <c r="E353" i="13"/>
  <c r="AL353" i="13" s="1" a="1"/>
  <c r="AL353" i="13" s="1"/>
  <c r="AO352" i="13"/>
  <c r="Y352" i="13"/>
  <c r="X352" i="13"/>
  <c r="W352" i="13"/>
  <c r="V352" i="13"/>
  <c r="M352" i="13"/>
  <c r="L352" i="13"/>
  <c r="AM352" i="13" s="1" a="1"/>
  <c r="AM352" i="13" s="1"/>
  <c r="F352" i="13"/>
  <c r="I352" i="13" s="1"/>
  <c r="E352" i="13"/>
  <c r="AL352" i="13" s="1" a="1"/>
  <c r="AL352" i="13" s="1"/>
  <c r="AO351" i="13"/>
  <c r="Y351" i="13"/>
  <c r="X351" i="13"/>
  <c r="W351" i="13"/>
  <c r="V351" i="13"/>
  <c r="M351" i="13"/>
  <c r="P351" i="13" s="1"/>
  <c r="L351" i="13"/>
  <c r="AM351" i="13" s="1" a="1"/>
  <c r="AM351" i="13" s="1"/>
  <c r="F351" i="13"/>
  <c r="E351" i="13"/>
  <c r="AO350" i="13"/>
  <c r="Y350" i="13"/>
  <c r="X350" i="13"/>
  <c r="W350" i="13"/>
  <c r="V350" i="13"/>
  <c r="M350" i="13"/>
  <c r="P350" i="13" s="1"/>
  <c r="L350" i="13"/>
  <c r="AM350" i="13" s="1" a="1"/>
  <c r="AM350" i="13" s="1"/>
  <c r="F350" i="13"/>
  <c r="E350" i="13"/>
  <c r="H350" i="13" s="1"/>
  <c r="AO349" i="13"/>
  <c r="Y349" i="13"/>
  <c r="X349" i="13"/>
  <c r="W349" i="13"/>
  <c r="V349" i="13"/>
  <c r="M349" i="13"/>
  <c r="L349" i="13"/>
  <c r="F349" i="13"/>
  <c r="K349" i="13" s="1"/>
  <c r="E349" i="13"/>
  <c r="AO348" i="13"/>
  <c r="Y348" i="13"/>
  <c r="X348" i="13"/>
  <c r="W348" i="13"/>
  <c r="V348" i="13"/>
  <c r="M348" i="13"/>
  <c r="L348" i="13"/>
  <c r="AM348" i="13" s="1" a="1"/>
  <c r="AM348" i="13" s="1"/>
  <c r="F348" i="13"/>
  <c r="K348" i="13" s="1"/>
  <c r="E348" i="13"/>
  <c r="AO347" i="13"/>
  <c r="Y347" i="13"/>
  <c r="X347" i="13"/>
  <c r="W347" i="13"/>
  <c r="V347" i="13"/>
  <c r="M347" i="13"/>
  <c r="L347" i="13"/>
  <c r="AM347" i="13" s="1" a="1"/>
  <c r="AM347" i="13" s="1"/>
  <c r="F347" i="13"/>
  <c r="E347" i="13"/>
  <c r="AO346" i="13"/>
  <c r="Y346" i="13"/>
  <c r="X346" i="13"/>
  <c r="W346" i="13"/>
  <c r="V346" i="13"/>
  <c r="M346" i="13"/>
  <c r="L346" i="13"/>
  <c r="AM346" i="13" s="1" a="1"/>
  <c r="AM346" i="13" s="1"/>
  <c r="F346" i="13"/>
  <c r="E346" i="13"/>
  <c r="AL346" i="13" s="1" a="1"/>
  <c r="AL346" i="13" s="1"/>
  <c r="AO345" i="13"/>
  <c r="Y345" i="13"/>
  <c r="X345" i="13"/>
  <c r="W345" i="13"/>
  <c r="V345" i="13"/>
  <c r="M345" i="13"/>
  <c r="L345" i="13"/>
  <c r="F345" i="13"/>
  <c r="I345" i="13" s="1"/>
  <c r="E345" i="13"/>
  <c r="AO344" i="13"/>
  <c r="Y344" i="13"/>
  <c r="X344" i="13"/>
  <c r="W344" i="13"/>
  <c r="M344" i="13"/>
  <c r="P344" i="13" s="1"/>
  <c r="L344" i="13"/>
  <c r="F344" i="13"/>
  <c r="AO343" i="13"/>
  <c r="Y343" i="13"/>
  <c r="X343" i="13"/>
  <c r="W343" i="13"/>
  <c r="V343" i="13"/>
  <c r="M343" i="13"/>
  <c r="L343" i="13"/>
  <c r="AM343" i="13" s="1" a="1"/>
  <c r="AM343" i="13" s="1"/>
  <c r="F343" i="13"/>
  <c r="E343" i="13"/>
  <c r="AL343" i="13" s="1" a="1"/>
  <c r="AL343" i="13" s="1"/>
  <c r="AO342" i="13"/>
  <c r="Y342" i="13"/>
  <c r="X342" i="13"/>
  <c r="W342" i="13"/>
  <c r="V342" i="13"/>
  <c r="M342" i="13"/>
  <c r="P342" i="13" s="1"/>
  <c r="L342" i="13"/>
  <c r="F342" i="13"/>
  <c r="E342" i="13"/>
  <c r="AL342" i="13" s="1" a="1"/>
  <c r="AL342" i="13" s="1"/>
  <c r="AO341" i="13"/>
  <c r="Y341" i="13"/>
  <c r="X341" i="13"/>
  <c r="W341" i="13"/>
  <c r="V341" i="13"/>
  <c r="M341" i="13"/>
  <c r="P341" i="13" s="1"/>
  <c r="L341" i="13"/>
  <c r="F341" i="13"/>
  <c r="I341" i="13" s="1"/>
  <c r="E341" i="13"/>
  <c r="AL341" i="13" s="1" a="1"/>
  <c r="AL341" i="13" s="1"/>
  <c r="AO340" i="13"/>
  <c r="Y340" i="13"/>
  <c r="X340" i="13"/>
  <c r="W340" i="13"/>
  <c r="M340" i="13"/>
  <c r="P340" i="13" s="1"/>
  <c r="L340" i="13"/>
  <c r="AM340" i="13" s="1" a="1"/>
  <c r="AM340" i="13" s="1"/>
  <c r="F340" i="13"/>
  <c r="AO339" i="13"/>
  <c r="Y339" i="13"/>
  <c r="X339" i="13"/>
  <c r="W339" i="13"/>
  <c r="V339" i="13"/>
  <c r="M339" i="13"/>
  <c r="R339" i="13" s="1"/>
  <c r="L339" i="13"/>
  <c r="F339" i="13"/>
  <c r="E339" i="13"/>
  <c r="AL339" i="13" s="1" a="1"/>
  <c r="AL339" i="13" s="1"/>
  <c r="AO338" i="13"/>
  <c r="Y338" i="13"/>
  <c r="X338" i="13"/>
  <c r="W338" i="13"/>
  <c r="V338" i="13"/>
  <c r="M338" i="13"/>
  <c r="L338" i="13"/>
  <c r="AM338" i="13" s="1" a="1"/>
  <c r="AM338" i="13" s="1"/>
  <c r="F338" i="13"/>
  <c r="E338" i="13"/>
  <c r="AL338" i="13" s="1" a="1"/>
  <c r="AL338" i="13" s="1"/>
  <c r="AO337" i="13"/>
  <c r="Y337" i="13"/>
  <c r="X337" i="13"/>
  <c r="W337" i="13"/>
  <c r="V337" i="13"/>
  <c r="M337" i="13"/>
  <c r="P337" i="13" s="1"/>
  <c r="L337" i="13"/>
  <c r="AM337" i="13" s="1" a="1"/>
  <c r="AM337" i="13" s="1"/>
  <c r="F337" i="13"/>
  <c r="K337" i="13" s="1"/>
  <c r="E337" i="13"/>
  <c r="AO336" i="13"/>
  <c r="Y336" i="13"/>
  <c r="X336" i="13"/>
  <c r="W336" i="13"/>
  <c r="V336" i="13"/>
  <c r="M336" i="13"/>
  <c r="P336" i="13" s="1"/>
  <c r="L336" i="13"/>
  <c r="AM336" i="13" s="1" a="1"/>
  <c r="AM336" i="13" s="1"/>
  <c r="F336" i="13"/>
  <c r="K336" i="13" s="1"/>
  <c r="E336" i="13"/>
  <c r="AO335" i="13"/>
  <c r="Y335" i="13"/>
  <c r="X335" i="13"/>
  <c r="W335" i="13"/>
  <c r="V335" i="13"/>
  <c r="M335" i="13"/>
  <c r="L335" i="13"/>
  <c r="N335" i="13" s="1"/>
  <c r="F335" i="13"/>
  <c r="K335" i="13" s="1"/>
  <c r="E335" i="13"/>
  <c r="AO334" i="13"/>
  <c r="Y334" i="13"/>
  <c r="X334" i="13"/>
  <c r="W334" i="13"/>
  <c r="V334" i="13"/>
  <c r="M334" i="13"/>
  <c r="R334" i="13" s="1"/>
  <c r="L334" i="13"/>
  <c r="N334" i="13" s="1"/>
  <c r="AR334" i="13" s="1"/>
  <c r="F334" i="13"/>
  <c r="K334" i="13" s="1"/>
  <c r="E334" i="13"/>
  <c r="AO333" i="13"/>
  <c r="Y333" i="13"/>
  <c r="X333" i="13"/>
  <c r="W333" i="13"/>
  <c r="V333" i="13"/>
  <c r="M333" i="13"/>
  <c r="R333" i="13" s="1"/>
  <c r="L333" i="13"/>
  <c r="O333" i="13" s="1"/>
  <c r="F333" i="13"/>
  <c r="E333" i="13"/>
  <c r="AO332" i="13"/>
  <c r="Y332" i="13"/>
  <c r="X332" i="13"/>
  <c r="W332" i="13"/>
  <c r="V332" i="13"/>
  <c r="M332" i="13"/>
  <c r="P332" i="13" s="1"/>
  <c r="L332" i="13"/>
  <c r="F332" i="13"/>
  <c r="K332" i="13" s="1"/>
  <c r="E332" i="13"/>
  <c r="AO331" i="13"/>
  <c r="Y331" i="13"/>
  <c r="X331" i="13"/>
  <c r="W331" i="13"/>
  <c r="V331" i="13"/>
  <c r="M331" i="13"/>
  <c r="L331" i="13"/>
  <c r="AM331" i="13" s="1" a="1"/>
  <c r="AM331" i="13" s="1"/>
  <c r="F331" i="13"/>
  <c r="I331" i="13" s="1"/>
  <c r="E331" i="13"/>
  <c r="AO330" i="13"/>
  <c r="Y330" i="13"/>
  <c r="X330" i="13"/>
  <c r="W330" i="13"/>
  <c r="V330" i="13"/>
  <c r="M330" i="13"/>
  <c r="L330" i="13"/>
  <c r="N330" i="13" s="1"/>
  <c r="AR330" i="13" s="1"/>
  <c r="F330" i="13"/>
  <c r="E330" i="13"/>
  <c r="H330" i="13" s="1"/>
  <c r="AO329" i="13"/>
  <c r="Y329" i="13"/>
  <c r="X329" i="13"/>
  <c r="W329" i="13"/>
  <c r="V329" i="13"/>
  <c r="M329" i="13"/>
  <c r="R329" i="13" s="1"/>
  <c r="L329" i="13"/>
  <c r="F329" i="13"/>
  <c r="K329" i="13" s="1"/>
  <c r="E329" i="13"/>
  <c r="AO328" i="13"/>
  <c r="Y328" i="13"/>
  <c r="X328" i="13"/>
  <c r="W328" i="13"/>
  <c r="V328" i="13"/>
  <c r="M328" i="13"/>
  <c r="P328" i="13" s="1"/>
  <c r="L328" i="13"/>
  <c r="AM328" i="13" s="1" a="1"/>
  <c r="AM328" i="13" s="1"/>
  <c r="F328" i="13"/>
  <c r="K328" i="13" s="1"/>
  <c r="E328" i="13"/>
  <c r="AO327" i="13"/>
  <c r="Y327" i="13"/>
  <c r="W327" i="13"/>
  <c r="M327" i="13"/>
  <c r="P327" i="13" s="1"/>
  <c r="L327" i="13"/>
  <c r="AO326" i="13"/>
  <c r="Y326" i="13"/>
  <c r="X326" i="13"/>
  <c r="W326" i="13"/>
  <c r="V326" i="13"/>
  <c r="M326" i="13"/>
  <c r="L326" i="13"/>
  <c r="AM326" i="13" s="1" a="1"/>
  <c r="AM326" i="13" s="1"/>
  <c r="F326" i="13"/>
  <c r="E326" i="13"/>
  <c r="AO325" i="13"/>
  <c r="Y325" i="13"/>
  <c r="X325" i="13"/>
  <c r="W325" i="13"/>
  <c r="V325" i="13"/>
  <c r="M325" i="13"/>
  <c r="R325" i="13" s="1"/>
  <c r="L325" i="13"/>
  <c r="N325" i="13" s="1"/>
  <c r="AR325" i="13" s="1"/>
  <c r="F325" i="13"/>
  <c r="E325" i="13"/>
  <c r="AO324" i="13"/>
  <c r="Y324" i="13"/>
  <c r="X324" i="13"/>
  <c r="W324" i="13"/>
  <c r="V324" i="13"/>
  <c r="M324" i="13"/>
  <c r="P324" i="13" s="1"/>
  <c r="L324" i="13"/>
  <c r="O324" i="13" s="1"/>
  <c r="F324" i="13"/>
  <c r="E324" i="13"/>
  <c r="AO323" i="13"/>
  <c r="Y323" i="13"/>
  <c r="X323" i="13"/>
  <c r="W323" i="13"/>
  <c r="V323" i="13"/>
  <c r="M323" i="13"/>
  <c r="P323" i="13" s="1"/>
  <c r="L323" i="13"/>
  <c r="AM323" i="13" s="1" a="1"/>
  <c r="AM323" i="13" s="1"/>
  <c r="F323" i="13"/>
  <c r="K323" i="13" s="1"/>
  <c r="E323" i="13"/>
  <c r="AL323" i="13" s="1" a="1"/>
  <c r="AL323" i="13" s="1"/>
  <c r="AO322" i="13"/>
  <c r="Y322" i="13"/>
  <c r="X322" i="13"/>
  <c r="M322" i="13"/>
  <c r="F322" i="13"/>
  <c r="AO321" i="13"/>
  <c r="Y321" i="13"/>
  <c r="X321" i="13"/>
  <c r="W321" i="13"/>
  <c r="V321" i="13"/>
  <c r="M321" i="13"/>
  <c r="P321" i="13" s="1"/>
  <c r="L321" i="13"/>
  <c r="F321" i="13"/>
  <c r="E321" i="13"/>
  <c r="H321" i="13" s="1"/>
  <c r="AO320" i="13"/>
  <c r="Y320" i="13"/>
  <c r="W320" i="13"/>
  <c r="M320" i="13"/>
  <c r="R320" i="13" s="1"/>
  <c r="L320" i="13"/>
  <c r="AM320" i="13" s="1" a="1"/>
  <c r="AM320" i="13" s="1"/>
  <c r="AO319" i="13"/>
  <c r="Y319" i="13"/>
  <c r="X319" i="13"/>
  <c r="W319" i="13"/>
  <c r="V319" i="13"/>
  <c r="M319" i="13"/>
  <c r="R319" i="13" s="1"/>
  <c r="L319" i="13"/>
  <c r="F319" i="13"/>
  <c r="E319" i="13"/>
  <c r="H319" i="13" s="1"/>
  <c r="AO318" i="13"/>
  <c r="Y318" i="13"/>
  <c r="X318" i="13"/>
  <c r="W318" i="13"/>
  <c r="V318" i="13"/>
  <c r="M318" i="13"/>
  <c r="R318" i="13" s="1"/>
  <c r="L318" i="13"/>
  <c r="O318" i="13" s="1"/>
  <c r="F318" i="13"/>
  <c r="E318" i="13"/>
  <c r="H318" i="13" s="1"/>
  <c r="AO317" i="13"/>
  <c r="Y317" i="13"/>
  <c r="X317" i="13"/>
  <c r="W317" i="13"/>
  <c r="V317" i="13"/>
  <c r="M317" i="13"/>
  <c r="P317" i="13" s="1"/>
  <c r="L317" i="13"/>
  <c r="F317" i="13"/>
  <c r="K317" i="13" s="1"/>
  <c r="E317" i="13"/>
  <c r="AO316" i="13"/>
  <c r="Y316" i="13"/>
  <c r="X316" i="13"/>
  <c r="W316" i="13"/>
  <c r="V316" i="13"/>
  <c r="M316" i="13"/>
  <c r="P316" i="13" s="1"/>
  <c r="L316" i="13"/>
  <c r="AM316" i="13" s="1" a="1"/>
  <c r="AM316" i="13" s="1"/>
  <c r="F316" i="13"/>
  <c r="E316" i="13"/>
  <c r="AO315" i="13"/>
  <c r="Y315" i="13"/>
  <c r="X315" i="13"/>
  <c r="W315" i="13"/>
  <c r="V315" i="13"/>
  <c r="M315" i="13"/>
  <c r="R315" i="13" s="1"/>
  <c r="L315" i="13"/>
  <c r="N315" i="13" s="1"/>
  <c r="F315" i="13"/>
  <c r="E315" i="13"/>
  <c r="AL315" i="13" s="1" a="1"/>
  <c r="AL315" i="13" s="1"/>
  <c r="AO314" i="13"/>
  <c r="Y314" i="13"/>
  <c r="X314" i="13"/>
  <c r="W314" i="13"/>
  <c r="V314" i="13"/>
  <c r="M314" i="13"/>
  <c r="P314" i="13" s="1"/>
  <c r="L314" i="13"/>
  <c r="O314" i="13" s="1"/>
  <c r="F314" i="13"/>
  <c r="I314" i="13" s="1"/>
  <c r="E314" i="13"/>
  <c r="AO313" i="13"/>
  <c r="Y313" i="13"/>
  <c r="X313" i="13"/>
  <c r="W313" i="13"/>
  <c r="V313" i="13"/>
  <c r="M313" i="13"/>
  <c r="P313" i="13" s="1"/>
  <c r="L313" i="13"/>
  <c r="AM313" i="13" s="1" a="1"/>
  <c r="AM313" i="13" s="1"/>
  <c r="F313" i="13"/>
  <c r="I313" i="13" s="1"/>
  <c r="E313" i="13"/>
  <c r="H313" i="13" s="1"/>
  <c r="AO312" i="13"/>
  <c r="Y312" i="13"/>
  <c r="X312" i="13"/>
  <c r="W312" i="13"/>
  <c r="V312" i="13"/>
  <c r="M312" i="13"/>
  <c r="R312" i="13" s="1"/>
  <c r="L312" i="13"/>
  <c r="AM312" i="13" s="1" a="1"/>
  <c r="AM312" i="13" s="1"/>
  <c r="F312" i="13"/>
  <c r="E312" i="13"/>
  <c r="H312" i="13" s="1"/>
  <c r="AO311" i="13"/>
  <c r="Y311" i="13"/>
  <c r="X311" i="13"/>
  <c r="W311" i="13"/>
  <c r="V311" i="13"/>
  <c r="M311" i="13"/>
  <c r="R311" i="13" s="1"/>
  <c r="L311" i="13"/>
  <c r="AM311" i="13" s="1" a="1"/>
  <c r="AM311" i="13" s="1"/>
  <c r="F311" i="13"/>
  <c r="K311" i="13" s="1"/>
  <c r="E311" i="13"/>
  <c r="H311" i="13" s="1"/>
  <c r="AO310" i="13"/>
  <c r="Y310" i="13"/>
  <c r="X310" i="13"/>
  <c r="W310" i="13"/>
  <c r="V310" i="13"/>
  <c r="M310" i="13"/>
  <c r="L310" i="13"/>
  <c r="O310" i="13" s="1"/>
  <c r="F310" i="13"/>
  <c r="E310" i="13"/>
  <c r="H310" i="13" s="1"/>
  <c r="AO309" i="13"/>
  <c r="Y309" i="13"/>
  <c r="X309" i="13"/>
  <c r="W309" i="13"/>
  <c r="V309" i="13"/>
  <c r="M309" i="13"/>
  <c r="P309" i="13" s="1"/>
  <c r="L309" i="13"/>
  <c r="AM309" i="13" s="1" a="1"/>
  <c r="AM309" i="13" s="1"/>
  <c r="F309" i="13"/>
  <c r="E309" i="13"/>
  <c r="AO308" i="13"/>
  <c r="Y308" i="13"/>
  <c r="X308" i="13"/>
  <c r="W308" i="13"/>
  <c r="V308" i="13"/>
  <c r="M308" i="13"/>
  <c r="L308" i="13"/>
  <c r="AM308" i="13" s="1" a="1"/>
  <c r="AM308" i="13" s="1"/>
  <c r="F308" i="13"/>
  <c r="E308" i="13"/>
  <c r="AO307" i="13"/>
  <c r="Y307" i="13"/>
  <c r="X307" i="13"/>
  <c r="W307" i="13"/>
  <c r="V307" i="13"/>
  <c r="M307" i="13"/>
  <c r="R307" i="13" s="1"/>
  <c r="L307" i="13"/>
  <c r="F307" i="13"/>
  <c r="E307" i="13"/>
  <c r="AL307" i="13" s="1" a="1"/>
  <c r="AL307" i="13" s="1"/>
  <c r="AO306" i="13"/>
  <c r="Y306" i="13"/>
  <c r="X306" i="13"/>
  <c r="W306" i="13"/>
  <c r="V306" i="13"/>
  <c r="M306" i="13"/>
  <c r="R306" i="13" s="1"/>
  <c r="L306" i="13"/>
  <c r="O306" i="13" s="1"/>
  <c r="F306" i="13"/>
  <c r="E306" i="13"/>
  <c r="AO305" i="13"/>
  <c r="Y305" i="13"/>
  <c r="X305" i="13"/>
  <c r="W305" i="13"/>
  <c r="V305" i="13"/>
  <c r="M305" i="13"/>
  <c r="P305" i="13" s="1"/>
  <c r="L305" i="13"/>
  <c r="F305" i="13"/>
  <c r="I305" i="13" s="1"/>
  <c r="E305" i="13"/>
  <c r="AL305" i="13" s="1" a="1"/>
  <c r="AL305" i="13" s="1"/>
  <c r="AO304" i="13"/>
  <c r="Y304" i="13"/>
  <c r="X304" i="13"/>
  <c r="W304" i="13"/>
  <c r="V304" i="13"/>
  <c r="M304" i="13"/>
  <c r="R304" i="13" s="1"/>
  <c r="L304" i="13"/>
  <c r="F304" i="13"/>
  <c r="I304" i="13" s="1"/>
  <c r="E304" i="13"/>
  <c r="AL304" i="13" s="1" a="1"/>
  <c r="AL304" i="13" s="1"/>
  <c r="AO303" i="13"/>
  <c r="Y303" i="13"/>
  <c r="X303" i="13"/>
  <c r="W303" i="13"/>
  <c r="V303" i="13"/>
  <c r="M303" i="13"/>
  <c r="R303" i="13" s="1"/>
  <c r="L303" i="13"/>
  <c r="O303" i="13" s="1"/>
  <c r="F303" i="13"/>
  <c r="I303" i="13" s="1"/>
  <c r="E303" i="13"/>
  <c r="AO302" i="13"/>
  <c r="Y302" i="13"/>
  <c r="W302" i="13"/>
  <c r="M302" i="13"/>
  <c r="R302" i="13" s="1"/>
  <c r="L302" i="13"/>
  <c r="AO301" i="13"/>
  <c r="Y301" i="13"/>
  <c r="X301" i="13"/>
  <c r="W301" i="13"/>
  <c r="V301" i="13"/>
  <c r="M301" i="13"/>
  <c r="R301" i="13" s="1"/>
  <c r="L301" i="13"/>
  <c r="F301" i="13"/>
  <c r="E301" i="13"/>
  <c r="AL301" i="13" s="1" a="1"/>
  <c r="AL301" i="13" s="1"/>
  <c r="AO300" i="13"/>
  <c r="Y300" i="13"/>
  <c r="X300" i="13"/>
  <c r="W300" i="13"/>
  <c r="V300" i="13"/>
  <c r="M300" i="13"/>
  <c r="R300" i="13" s="1"/>
  <c r="L300" i="13"/>
  <c r="O300" i="13" s="1"/>
  <c r="F300" i="13"/>
  <c r="I300" i="13" s="1"/>
  <c r="E300" i="13"/>
  <c r="AL300" i="13" s="1" a="1"/>
  <c r="AL300" i="13" s="1"/>
  <c r="AO299" i="13"/>
  <c r="Y299" i="13"/>
  <c r="X299" i="13"/>
  <c r="W299" i="13"/>
  <c r="V299" i="13"/>
  <c r="M299" i="13"/>
  <c r="P299" i="13" s="1"/>
  <c r="L299" i="13"/>
  <c r="F299" i="13"/>
  <c r="E299" i="13"/>
  <c r="H299" i="13" s="1"/>
  <c r="AO298" i="13"/>
  <c r="Y298" i="13"/>
  <c r="X298" i="13"/>
  <c r="W298" i="13"/>
  <c r="V298" i="13"/>
  <c r="M298" i="13"/>
  <c r="L298" i="13"/>
  <c r="F298" i="13"/>
  <c r="K298" i="13" s="1"/>
  <c r="E298" i="13"/>
  <c r="H298" i="13" s="1"/>
  <c r="AO297" i="13"/>
  <c r="Y297" i="13"/>
  <c r="X297" i="13"/>
  <c r="W297" i="13"/>
  <c r="V297" i="13"/>
  <c r="M297" i="13"/>
  <c r="R297" i="13" s="1"/>
  <c r="L297" i="13"/>
  <c r="O297" i="13" s="1"/>
  <c r="F297" i="13"/>
  <c r="E297" i="13"/>
  <c r="AO296" i="13"/>
  <c r="Y296" i="13"/>
  <c r="X296" i="13"/>
  <c r="W296" i="13"/>
  <c r="V296" i="13"/>
  <c r="M296" i="13"/>
  <c r="R296" i="13" s="1"/>
  <c r="L296" i="13"/>
  <c r="O296" i="13" s="1"/>
  <c r="F296" i="13"/>
  <c r="I296" i="13" s="1"/>
  <c r="E296" i="13"/>
  <c r="AL296" i="13" s="1" a="1"/>
  <c r="AL296" i="13" s="1"/>
  <c r="AO295" i="13"/>
  <c r="Y295" i="13"/>
  <c r="X295" i="13"/>
  <c r="W295" i="13"/>
  <c r="V295" i="13"/>
  <c r="M295" i="13"/>
  <c r="P295" i="13" s="1"/>
  <c r="L295" i="13"/>
  <c r="AM295" i="13" s="1" a="1"/>
  <c r="AM295" i="13" s="1"/>
  <c r="F295" i="13"/>
  <c r="E295" i="13"/>
  <c r="H295" i="13" s="1"/>
  <c r="AO294" i="13"/>
  <c r="Y294" i="13"/>
  <c r="X294" i="13"/>
  <c r="W294" i="13"/>
  <c r="M294" i="13"/>
  <c r="P294" i="13" s="1"/>
  <c r="L294" i="13"/>
  <c r="F294" i="13"/>
  <c r="AO293" i="13"/>
  <c r="Y293" i="13"/>
  <c r="X293" i="13"/>
  <c r="W293" i="13"/>
  <c r="V293" i="13"/>
  <c r="M293" i="13"/>
  <c r="P293" i="13" s="1"/>
  <c r="L293" i="13"/>
  <c r="F293" i="13"/>
  <c r="K293" i="13" s="1"/>
  <c r="E293" i="13"/>
  <c r="AO292" i="13"/>
  <c r="Y292" i="13"/>
  <c r="W292" i="13"/>
  <c r="M292" i="13"/>
  <c r="L292" i="13"/>
  <c r="AO291" i="13"/>
  <c r="Y291" i="13"/>
  <c r="X291" i="13"/>
  <c r="W291" i="13"/>
  <c r="V291" i="13"/>
  <c r="M291" i="13"/>
  <c r="P291" i="13" s="1"/>
  <c r="L291" i="13"/>
  <c r="N291" i="13" s="1"/>
  <c r="F291" i="13"/>
  <c r="E291" i="13"/>
  <c r="H291" i="13" s="1"/>
  <c r="AO290" i="13"/>
  <c r="Y290" i="13"/>
  <c r="X290" i="13"/>
  <c r="W290" i="13"/>
  <c r="M290" i="13"/>
  <c r="P290" i="13" s="1"/>
  <c r="L290" i="13"/>
  <c r="F290" i="13"/>
  <c r="AO289" i="13"/>
  <c r="Y289" i="13"/>
  <c r="X289" i="13"/>
  <c r="W289" i="13"/>
  <c r="V289" i="13"/>
  <c r="M289" i="13"/>
  <c r="R289" i="13" s="1"/>
  <c r="L289" i="13"/>
  <c r="F289" i="13"/>
  <c r="E289" i="13"/>
  <c r="AO288" i="13"/>
  <c r="Y288" i="13"/>
  <c r="X288" i="13"/>
  <c r="W288" i="13"/>
  <c r="V288" i="13"/>
  <c r="M288" i="13"/>
  <c r="R288" i="13" s="1"/>
  <c r="L288" i="13"/>
  <c r="N288" i="13" s="1"/>
  <c r="F288" i="13"/>
  <c r="E288" i="13"/>
  <c r="AL288" i="13" s="1" a="1"/>
  <c r="AL288" i="13" s="1"/>
  <c r="AO287" i="13"/>
  <c r="Y287" i="13"/>
  <c r="X287" i="13"/>
  <c r="M287" i="13"/>
  <c r="F287" i="13"/>
  <c r="AO286" i="13"/>
  <c r="Y286" i="13"/>
  <c r="X286" i="13"/>
  <c r="W286" i="13"/>
  <c r="V286" i="13"/>
  <c r="M286" i="13"/>
  <c r="P286" i="13" s="1"/>
  <c r="L286" i="13"/>
  <c r="F286" i="13"/>
  <c r="E286" i="13"/>
  <c r="AO285" i="13"/>
  <c r="Y285" i="13"/>
  <c r="X285" i="13"/>
  <c r="W285" i="13"/>
  <c r="V285" i="13"/>
  <c r="M285" i="13"/>
  <c r="L285" i="13"/>
  <c r="N285" i="13" s="1"/>
  <c r="F285" i="13"/>
  <c r="E285" i="13"/>
  <c r="G285" i="13" s="1"/>
  <c r="J285" i="13" s="1"/>
  <c r="AO284" i="13"/>
  <c r="Y284" i="13"/>
  <c r="X284" i="13"/>
  <c r="W284" i="13"/>
  <c r="V284" i="13"/>
  <c r="M284" i="13"/>
  <c r="R284" i="13" s="1"/>
  <c r="L284" i="13"/>
  <c r="AM284" i="13" s="1" a="1"/>
  <c r="AM284" i="13" s="1"/>
  <c r="F284" i="13"/>
  <c r="E284" i="13"/>
  <c r="AO283" i="13"/>
  <c r="Y283" i="13"/>
  <c r="X283" i="13"/>
  <c r="W283" i="13"/>
  <c r="V283" i="13"/>
  <c r="M283" i="13"/>
  <c r="L283" i="13"/>
  <c r="AM283" i="13" s="1" a="1"/>
  <c r="AM283" i="13" s="1"/>
  <c r="F283" i="13"/>
  <c r="E283" i="13"/>
  <c r="H283" i="13" s="1"/>
  <c r="AO282" i="13"/>
  <c r="Y282" i="13"/>
  <c r="X282" i="13"/>
  <c r="W282" i="13"/>
  <c r="V282" i="13"/>
  <c r="M282" i="13"/>
  <c r="L282" i="13"/>
  <c r="AM282" i="13" s="1" a="1"/>
  <c r="AM282" i="13" s="1"/>
  <c r="F282" i="13"/>
  <c r="E282" i="13"/>
  <c r="AO281" i="13"/>
  <c r="Y281" i="13"/>
  <c r="X281" i="13"/>
  <c r="W281" i="13"/>
  <c r="V281" i="13"/>
  <c r="M281" i="13"/>
  <c r="R281" i="13" s="1"/>
  <c r="L281" i="13"/>
  <c r="N281" i="13" s="1"/>
  <c r="F281" i="13"/>
  <c r="E281" i="13"/>
  <c r="G281" i="13" s="1"/>
  <c r="J281" i="13" s="1"/>
  <c r="AO280" i="13"/>
  <c r="Y280" i="13"/>
  <c r="X280" i="13"/>
  <c r="W280" i="13"/>
  <c r="V280" i="13"/>
  <c r="M280" i="13"/>
  <c r="L280" i="13"/>
  <c r="F280" i="13"/>
  <c r="E280" i="13"/>
  <c r="AL280" i="13" s="1" a="1"/>
  <c r="AL280" i="13" s="1"/>
  <c r="AO279" i="13"/>
  <c r="Y279" i="13"/>
  <c r="W279" i="13"/>
  <c r="M279" i="13"/>
  <c r="L279" i="13"/>
  <c r="AO278" i="13"/>
  <c r="Y278" i="13"/>
  <c r="X278" i="13"/>
  <c r="W278" i="13"/>
  <c r="V278" i="13"/>
  <c r="M278" i="13"/>
  <c r="P278" i="13" s="1"/>
  <c r="L278" i="13"/>
  <c r="F278" i="13"/>
  <c r="E278" i="13"/>
  <c r="H278" i="13" s="1"/>
  <c r="AO277" i="13"/>
  <c r="Y277" i="13"/>
  <c r="X277" i="13"/>
  <c r="W277" i="13"/>
  <c r="V277" i="13"/>
  <c r="M277" i="13"/>
  <c r="L277" i="13"/>
  <c r="O277" i="13" s="1"/>
  <c r="F277" i="13"/>
  <c r="E277" i="13"/>
  <c r="AO276" i="13"/>
  <c r="Y276" i="13"/>
  <c r="X276" i="13"/>
  <c r="W276" i="13"/>
  <c r="V276" i="13"/>
  <c r="M276" i="13"/>
  <c r="P276" i="13" s="1"/>
  <c r="L276" i="13"/>
  <c r="F276" i="13"/>
  <c r="K276" i="13" s="1"/>
  <c r="E276" i="13"/>
  <c r="G276" i="13" s="1"/>
  <c r="J276" i="13" s="1"/>
  <c r="AO275" i="13"/>
  <c r="Y275" i="13"/>
  <c r="X275" i="13"/>
  <c r="W275" i="13"/>
  <c r="V275" i="13"/>
  <c r="M275" i="13"/>
  <c r="R275" i="13" s="1"/>
  <c r="L275" i="13"/>
  <c r="N275" i="13" s="1"/>
  <c r="F275" i="13"/>
  <c r="E275" i="13"/>
  <c r="AL275" i="13" s="1" a="1"/>
  <c r="AL275" i="13" s="1"/>
  <c r="AO274" i="13"/>
  <c r="Y274" i="13"/>
  <c r="X274" i="13"/>
  <c r="W274" i="13"/>
  <c r="V274" i="13"/>
  <c r="M274" i="13"/>
  <c r="R274" i="13" s="1"/>
  <c r="L274" i="13"/>
  <c r="F274" i="13"/>
  <c r="E274" i="13"/>
  <c r="H274" i="13" s="1"/>
  <c r="AO273" i="13"/>
  <c r="Y273" i="13"/>
  <c r="X273" i="13"/>
  <c r="W273" i="13"/>
  <c r="V273" i="13"/>
  <c r="M273" i="13"/>
  <c r="L273" i="13"/>
  <c r="N273" i="13" s="1"/>
  <c r="AR273" i="13" s="1"/>
  <c r="F273" i="13"/>
  <c r="E273" i="13"/>
  <c r="AO272" i="13"/>
  <c r="Y272" i="13"/>
  <c r="X272" i="13"/>
  <c r="W272" i="13"/>
  <c r="V272" i="13"/>
  <c r="M272" i="13"/>
  <c r="L272" i="13"/>
  <c r="O272" i="13" s="1"/>
  <c r="F272" i="13"/>
  <c r="I272" i="13" s="1"/>
  <c r="E272" i="13"/>
  <c r="G272" i="13" s="1"/>
  <c r="J272" i="13" s="1"/>
  <c r="AO271" i="13"/>
  <c r="Y271" i="13"/>
  <c r="X271" i="13"/>
  <c r="W271" i="13"/>
  <c r="V271" i="13"/>
  <c r="M271" i="13"/>
  <c r="L271" i="13"/>
  <c r="N271" i="13" s="1"/>
  <c r="AR271" i="13" s="1"/>
  <c r="F271" i="13"/>
  <c r="I271" i="13" s="1"/>
  <c r="E271" i="13"/>
  <c r="AL271" i="13" s="1" a="1"/>
  <c r="AL271" i="13" s="1"/>
  <c r="AO270" i="13"/>
  <c r="Y270" i="13"/>
  <c r="W270" i="13"/>
  <c r="M270" i="13"/>
  <c r="L270" i="13"/>
  <c r="AO269" i="13"/>
  <c r="Y269" i="13"/>
  <c r="W269" i="13"/>
  <c r="M269" i="13"/>
  <c r="L269" i="13"/>
  <c r="N269" i="13" s="1"/>
  <c r="Q269" i="13" s="1"/>
  <c r="AO268" i="13"/>
  <c r="Y268" i="13"/>
  <c r="W268" i="13"/>
  <c r="M268" i="13"/>
  <c r="R268" i="13" s="1"/>
  <c r="L268" i="13"/>
  <c r="N268" i="13" s="1"/>
  <c r="Q268" i="13" s="1"/>
  <c r="AO267" i="13"/>
  <c r="Y267" i="13"/>
  <c r="W267" i="13"/>
  <c r="M267" i="13"/>
  <c r="R267" i="13" s="1"/>
  <c r="L267" i="13"/>
  <c r="AO266" i="13"/>
  <c r="Y266" i="13"/>
  <c r="X266" i="13"/>
  <c r="W266" i="13"/>
  <c r="V266" i="13"/>
  <c r="M266" i="13"/>
  <c r="R266" i="13" s="1"/>
  <c r="L266" i="13"/>
  <c r="F266" i="13"/>
  <c r="E266" i="13"/>
  <c r="AL266" i="13" s="1" a="1"/>
  <c r="AL266" i="13" s="1"/>
  <c r="AO265" i="13"/>
  <c r="Y265" i="13"/>
  <c r="X265" i="13"/>
  <c r="W265" i="13"/>
  <c r="V265" i="13"/>
  <c r="M265" i="13"/>
  <c r="R265" i="13" s="1"/>
  <c r="L265" i="13"/>
  <c r="O265" i="13" s="1"/>
  <c r="F265" i="13"/>
  <c r="I265" i="13" s="1"/>
  <c r="E265" i="13"/>
  <c r="AO264" i="13"/>
  <c r="Y264" i="13"/>
  <c r="X264" i="13"/>
  <c r="W264" i="13"/>
  <c r="V264" i="13"/>
  <c r="M264" i="13"/>
  <c r="P264" i="13" s="1"/>
  <c r="L264" i="13"/>
  <c r="F264" i="13"/>
  <c r="E264" i="13"/>
  <c r="AL264" i="13" s="1" a="1"/>
  <c r="AL264" i="13" s="1"/>
  <c r="AO263" i="13"/>
  <c r="Y263" i="13"/>
  <c r="W263" i="13"/>
  <c r="M263" i="13"/>
  <c r="P263" i="13" s="1"/>
  <c r="L263" i="13"/>
  <c r="AM263" i="13" s="1" a="1"/>
  <c r="AM263" i="13" s="1"/>
  <c r="AO262" i="13"/>
  <c r="Y262" i="13"/>
  <c r="X262" i="13"/>
  <c r="W262" i="13"/>
  <c r="V262" i="13"/>
  <c r="M262" i="13"/>
  <c r="R262" i="13" s="1"/>
  <c r="L262" i="13"/>
  <c r="O262" i="13" s="1"/>
  <c r="F262" i="13"/>
  <c r="E262" i="13"/>
  <c r="AL262" i="13" s="1" a="1"/>
  <c r="AL262" i="13" s="1"/>
  <c r="AO261" i="13"/>
  <c r="Y261" i="13"/>
  <c r="X261" i="13"/>
  <c r="W261" i="13"/>
  <c r="V261" i="13"/>
  <c r="M261" i="13"/>
  <c r="P261" i="13" s="1"/>
  <c r="L261" i="13"/>
  <c r="AM261" i="13" s="1" a="1"/>
  <c r="AM261" i="13" s="1"/>
  <c r="F261" i="13"/>
  <c r="E261" i="13"/>
  <c r="AO260" i="13"/>
  <c r="Y260" i="13"/>
  <c r="X260" i="13"/>
  <c r="V260" i="13"/>
  <c r="M260" i="13"/>
  <c r="F260" i="13"/>
  <c r="E260" i="13"/>
  <c r="AO259" i="13"/>
  <c r="Y259" i="13"/>
  <c r="X259" i="13"/>
  <c r="W259" i="13"/>
  <c r="V259" i="13"/>
  <c r="M259" i="13"/>
  <c r="P259" i="13" s="1"/>
  <c r="L259" i="13"/>
  <c r="F259" i="13"/>
  <c r="E259" i="13"/>
  <c r="H259" i="13" s="1"/>
  <c r="AO258" i="13"/>
  <c r="Y258" i="13"/>
  <c r="X258" i="13"/>
  <c r="W258" i="13"/>
  <c r="V258" i="13"/>
  <c r="M258" i="13"/>
  <c r="R258" i="13" s="1"/>
  <c r="L258" i="13"/>
  <c r="E258" i="13"/>
  <c r="AO257" i="13"/>
  <c r="Y257" i="13"/>
  <c r="X257" i="13"/>
  <c r="W257" i="13"/>
  <c r="V257" i="13"/>
  <c r="M257" i="13"/>
  <c r="L257" i="13"/>
  <c r="N257" i="13" s="1"/>
  <c r="AR257" i="13" s="1"/>
  <c r="F257" i="13"/>
  <c r="I257" i="13" s="1"/>
  <c r="E257" i="13"/>
  <c r="AO256" i="13"/>
  <c r="Y256" i="13"/>
  <c r="W256" i="13"/>
  <c r="M256" i="13"/>
  <c r="L256" i="13"/>
  <c r="O256" i="13" s="1"/>
  <c r="AO255" i="13"/>
  <c r="Y255" i="13"/>
  <c r="X255" i="13"/>
  <c r="W255" i="13"/>
  <c r="V255" i="13"/>
  <c r="M255" i="13"/>
  <c r="R255" i="13" s="1"/>
  <c r="L255" i="13"/>
  <c r="F255" i="13"/>
  <c r="E255" i="13"/>
  <c r="AL255" i="13" s="1" a="1"/>
  <c r="AL255" i="13" s="1"/>
  <c r="AO254" i="13"/>
  <c r="Y254" i="13"/>
  <c r="X254" i="13"/>
  <c r="W254" i="13"/>
  <c r="V254" i="13"/>
  <c r="M254" i="13"/>
  <c r="R254" i="13" s="1"/>
  <c r="L254" i="13"/>
  <c r="F254" i="13"/>
  <c r="E254" i="13"/>
  <c r="AL254" i="13" s="1" a="1"/>
  <c r="AL254" i="13" s="1"/>
  <c r="AO253" i="13"/>
  <c r="Y253" i="13"/>
  <c r="X253" i="13"/>
  <c r="W253" i="13"/>
  <c r="V253" i="13"/>
  <c r="M253" i="13"/>
  <c r="L253" i="13"/>
  <c r="AM253" i="13" s="1" a="1"/>
  <c r="AM253" i="13" s="1"/>
  <c r="F253" i="13"/>
  <c r="E253" i="13"/>
  <c r="AO252" i="13"/>
  <c r="AO251" i="13"/>
  <c r="Y251" i="13"/>
  <c r="X251" i="13"/>
  <c r="W251" i="13"/>
  <c r="V251" i="13"/>
  <c r="M251" i="13"/>
  <c r="L251" i="13"/>
  <c r="AM251" i="13" s="1" a="1"/>
  <c r="AM251" i="13" s="1"/>
  <c r="F251" i="13"/>
  <c r="I251" i="13" s="1"/>
  <c r="E251" i="13"/>
  <c r="AL251" i="13" s="1" a="1"/>
  <c r="AL251" i="13" s="1"/>
  <c r="AO250" i="13"/>
  <c r="Y250" i="13"/>
  <c r="X250" i="13"/>
  <c r="W250" i="13"/>
  <c r="V250" i="13"/>
  <c r="M250" i="13"/>
  <c r="R250" i="13" s="1"/>
  <c r="L250" i="13"/>
  <c r="N250" i="13" s="1"/>
  <c r="F250" i="13"/>
  <c r="I250" i="13" s="1"/>
  <c r="E250" i="13"/>
  <c r="AO249" i="13"/>
  <c r="Y249" i="13"/>
  <c r="X249" i="13"/>
  <c r="W249" i="13"/>
  <c r="V249" i="13"/>
  <c r="M249" i="13"/>
  <c r="R249" i="13" s="1"/>
  <c r="L249" i="13"/>
  <c r="AM249" i="13" s="1" a="1"/>
  <c r="AM249" i="13" s="1"/>
  <c r="F249" i="13"/>
  <c r="K249" i="13" s="1"/>
  <c r="E249" i="13"/>
  <c r="H249" i="13" s="1"/>
  <c r="AO248" i="13"/>
  <c r="Y248" i="13"/>
  <c r="X248" i="13"/>
  <c r="M248" i="13"/>
  <c r="R248" i="13" s="1"/>
  <c r="F248" i="13"/>
  <c r="AO247" i="13"/>
  <c r="Y247" i="13"/>
  <c r="X247" i="13"/>
  <c r="M247" i="13"/>
  <c r="F247" i="13"/>
  <c r="AO246" i="13"/>
  <c r="Y246" i="13"/>
  <c r="W246" i="13"/>
  <c r="M246" i="13"/>
  <c r="P246" i="13" s="1"/>
  <c r="L246" i="13"/>
  <c r="AO245" i="13"/>
  <c r="Y245" i="13"/>
  <c r="X245" i="13"/>
  <c r="W245" i="13"/>
  <c r="V245" i="13"/>
  <c r="M245" i="13"/>
  <c r="P245" i="13" s="1"/>
  <c r="L245" i="13"/>
  <c r="F245" i="13"/>
  <c r="E245" i="13"/>
  <c r="AL245" i="13" s="1" a="1"/>
  <c r="AL245" i="13" s="1"/>
  <c r="AO244" i="13"/>
  <c r="Y244" i="13"/>
  <c r="X244" i="13"/>
  <c r="V244" i="13"/>
  <c r="M244" i="13"/>
  <c r="R244" i="13" s="1"/>
  <c r="F244" i="13"/>
  <c r="K244" i="13" s="1"/>
  <c r="E244" i="13"/>
  <c r="AO243" i="13"/>
  <c r="Y243" i="13"/>
  <c r="X243" i="13"/>
  <c r="W243" i="13"/>
  <c r="V243" i="13"/>
  <c r="M243" i="13"/>
  <c r="P243" i="13" s="1"/>
  <c r="L243" i="13"/>
  <c r="F243" i="13"/>
  <c r="E243" i="13"/>
  <c r="AL243" i="13" s="1" a="1"/>
  <c r="AL243" i="13" s="1"/>
  <c r="AO242" i="13"/>
  <c r="Y242" i="13"/>
  <c r="X242" i="13"/>
  <c r="V242" i="13"/>
  <c r="M242" i="13"/>
  <c r="R242" i="13" s="1"/>
  <c r="F242" i="13"/>
  <c r="E242" i="13"/>
  <c r="AO241" i="13"/>
  <c r="Y241" i="13"/>
  <c r="X241" i="13"/>
  <c r="W241" i="13"/>
  <c r="V241" i="13"/>
  <c r="M241" i="13"/>
  <c r="P241" i="13" s="1"/>
  <c r="L241" i="13"/>
  <c r="F241" i="13"/>
  <c r="E241" i="13"/>
  <c r="AO240" i="13"/>
  <c r="Y240" i="13"/>
  <c r="X240" i="13"/>
  <c r="W240" i="13"/>
  <c r="V240" i="13"/>
  <c r="M240" i="13"/>
  <c r="P240" i="13" s="1"/>
  <c r="L240" i="13"/>
  <c r="F240" i="13"/>
  <c r="E240" i="13"/>
  <c r="AL240" i="13" s="1" a="1"/>
  <c r="AL240" i="13" s="1"/>
  <c r="AO239" i="13"/>
  <c r="Y239" i="13"/>
  <c r="X239" i="13"/>
  <c r="W239" i="13"/>
  <c r="V239" i="13"/>
  <c r="M239" i="13"/>
  <c r="R239" i="13" s="1"/>
  <c r="L239" i="13"/>
  <c r="N239" i="13" s="1"/>
  <c r="F239" i="13"/>
  <c r="I239" i="13" s="1"/>
  <c r="E239" i="13"/>
  <c r="AL239" i="13" s="1" a="1"/>
  <c r="AL239" i="13" s="1"/>
  <c r="AO238" i="13"/>
  <c r="Y238" i="13"/>
  <c r="X238" i="13"/>
  <c r="W238" i="13"/>
  <c r="V238" i="13"/>
  <c r="M238" i="13"/>
  <c r="L238" i="13"/>
  <c r="AM238" i="13" s="1" a="1"/>
  <c r="AM238" i="13" s="1"/>
  <c r="F238" i="13"/>
  <c r="E238" i="13"/>
  <c r="AL238" i="13" s="1" a="1"/>
  <c r="AL238" i="13" s="1"/>
  <c r="AO237" i="13"/>
  <c r="Y237" i="13"/>
  <c r="X237" i="13"/>
  <c r="W237" i="13"/>
  <c r="V237" i="13"/>
  <c r="M237" i="13"/>
  <c r="P237" i="13" s="1"/>
  <c r="L237" i="13"/>
  <c r="AM237" i="13" s="1" a="1"/>
  <c r="AM237" i="13" s="1"/>
  <c r="F237" i="13"/>
  <c r="E237" i="13"/>
  <c r="AL237" i="13" s="1" a="1"/>
  <c r="AL237" i="13" s="1"/>
  <c r="AO236" i="13"/>
  <c r="Y236" i="13"/>
  <c r="X236" i="13"/>
  <c r="W236" i="13"/>
  <c r="V236" i="13"/>
  <c r="M236" i="13"/>
  <c r="L236" i="13"/>
  <c r="AM236" i="13" s="1" a="1"/>
  <c r="AM236" i="13" s="1"/>
  <c r="F236" i="13"/>
  <c r="K236" i="13" s="1"/>
  <c r="E236" i="13"/>
  <c r="G236" i="13" s="1"/>
  <c r="AQ236" i="13" s="1"/>
  <c r="AO235" i="13"/>
  <c r="Y235" i="13"/>
  <c r="X235" i="13"/>
  <c r="W235" i="13"/>
  <c r="V235" i="13"/>
  <c r="M235" i="13"/>
  <c r="R235" i="13" s="1"/>
  <c r="L235" i="13"/>
  <c r="N235" i="13" s="1"/>
  <c r="F235" i="13"/>
  <c r="E235" i="13"/>
  <c r="AO234" i="13"/>
  <c r="Y234" i="13"/>
  <c r="X234" i="13"/>
  <c r="W234" i="13"/>
  <c r="V234" i="13"/>
  <c r="M234" i="13"/>
  <c r="L234" i="13"/>
  <c r="AM234" i="13" s="1" a="1"/>
  <c r="AM234" i="13" s="1"/>
  <c r="F234" i="13"/>
  <c r="I234" i="13" s="1"/>
  <c r="E234" i="13"/>
  <c r="AL234" i="13" s="1" a="1"/>
  <c r="AL234" i="13" s="1"/>
  <c r="AO233" i="13"/>
  <c r="Y233" i="13"/>
  <c r="X233" i="13"/>
  <c r="W233" i="13"/>
  <c r="V233" i="13"/>
  <c r="M233" i="13"/>
  <c r="P233" i="13" s="1"/>
  <c r="L233" i="13"/>
  <c r="AM233" i="13" s="1" a="1"/>
  <c r="AM233" i="13" s="1"/>
  <c r="F233" i="13"/>
  <c r="I233" i="13" s="1"/>
  <c r="E233" i="13"/>
  <c r="AL233" i="13" s="1" a="1"/>
  <c r="AL233" i="13" s="1"/>
  <c r="AO232" i="13"/>
  <c r="Y232" i="13"/>
  <c r="X232" i="13"/>
  <c r="W232" i="13"/>
  <c r="V232" i="13"/>
  <c r="M232" i="13"/>
  <c r="R232" i="13" s="1"/>
  <c r="L232" i="13"/>
  <c r="AM232" i="13" s="1" a="1"/>
  <c r="AM232" i="13" s="1"/>
  <c r="F232" i="13"/>
  <c r="E232" i="13"/>
  <c r="AL232" i="13" s="1" a="1"/>
  <c r="AL232" i="13" s="1"/>
  <c r="AO231" i="13"/>
  <c r="Y231" i="13"/>
  <c r="X231" i="13"/>
  <c r="W231" i="13"/>
  <c r="M231" i="13"/>
  <c r="R231" i="13" s="1"/>
  <c r="L231" i="13"/>
  <c r="N231" i="13" s="1"/>
  <c r="F231" i="13"/>
  <c r="AO230" i="13"/>
  <c r="Y230" i="13"/>
  <c r="X230" i="13"/>
  <c r="W230" i="13"/>
  <c r="V230" i="13"/>
  <c r="M230" i="13"/>
  <c r="R230" i="13" s="1"/>
  <c r="L230" i="13"/>
  <c r="F230" i="13"/>
  <c r="I230" i="13" s="1"/>
  <c r="E230" i="13"/>
  <c r="AL230" i="13" s="1" a="1"/>
  <c r="AL230" i="13" s="1"/>
  <c r="AO229" i="13"/>
  <c r="Y229" i="13"/>
  <c r="X229" i="13"/>
  <c r="W229" i="13"/>
  <c r="V229" i="13"/>
  <c r="M229" i="13"/>
  <c r="P229" i="13" s="1"/>
  <c r="L229" i="13"/>
  <c r="AM229" i="13" s="1" a="1"/>
  <c r="AM229" i="13" s="1"/>
  <c r="F229" i="13"/>
  <c r="E229" i="13"/>
  <c r="AL229" i="13" s="1" a="1"/>
  <c r="AL229" i="13" s="1"/>
  <c r="AO228" i="13"/>
  <c r="Y228" i="13"/>
  <c r="X228" i="13"/>
  <c r="W228" i="13"/>
  <c r="V228" i="13"/>
  <c r="M228" i="13"/>
  <c r="P228" i="13" s="1"/>
  <c r="L228" i="13"/>
  <c r="F228" i="13"/>
  <c r="E228" i="13"/>
  <c r="AO227" i="13"/>
  <c r="Y227" i="13"/>
  <c r="X227" i="13"/>
  <c r="W227" i="13"/>
  <c r="V227" i="13"/>
  <c r="M227" i="13"/>
  <c r="L227" i="13"/>
  <c r="AM227" i="13" s="1" a="1"/>
  <c r="AM227" i="13" s="1"/>
  <c r="F227" i="13"/>
  <c r="K227" i="13" s="1"/>
  <c r="E227" i="13"/>
  <c r="AO226" i="13"/>
  <c r="Y226" i="13"/>
  <c r="X226" i="13"/>
  <c r="W226" i="13"/>
  <c r="V226" i="13"/>
  <c r="M226" i="13"/>
  <c r="R226" i="13" s="1"/>
  <c r="L226" i="13"/>
  <c r="N226" i="13" s="1"/>
  <c r="F226" i="13"/>
  <c r="E226" i="13"/>
  <c r="AL226" i="13" s="1" a="1"/>
  <c r="AL226" i="13" s="1"/>
  <c r="AO225" i="13"/>
  <c r="Y225" i="13"/>
  <c r="X225" i="13"/>
  <c r="W225" i="13"/>
  <c r="V225" i="13"/>
  <c r="M225" i="13"/>
  <c r="R225" i="13" s="1"/>
  <c r="L225" i="13"/>
  <c r="AM225" i="13" s="1" a="1"/>
  <c r="AM225" i="13" s="1"/>
  <c r="F225" i="13"/>
  <c r="E225" i="13"/>
  <c r="AL225" i="13" s="1" a="1"/>
  <c r="AL225" i="13" s="1"/>
  <c r="AO224" i="13"/>
  <c r="Y224" i="13"/>
  <c r="X224" i="13"/>
  <c r="V224" i="13"/>
  <c r="M224" i="13"/>
  <c r="R224" i="13" s="1"/>
  <c r="F224" i="13"/>
  <c r="E224" i="13"/>
  <c r="AO223" i="13"/>
  <c r="Y223" i="13"/>
  <c r="W223" i="13"/>
  <c r="M223" i="13"/>
  <c r="R223" i="13" s="1"/>
  <c r="L223" i="13"/>
  <c r="AM223" i="13" s="1" a="1"/>
  <c r="AM223" i="13" s="1"/>
  <c r="AO222" i="13"/>
  <c r="Y222" i="13"/>
  <c r="X222" i="13"/>
  <c r="W222" i="13"/>
  <c r="M222" i="13"/>
  <c r="R222" i="13" s="1"/>
  <c r="L222" i="13"/>
  <c r="N222" i="13" s="1"/>
  <c r="F222" i="13"/>
  <c r="K222" i="13" s="1"/>
  <c r="AO221" i="13"/>
  <c r="Y221" i="13"/>
  <c r="X221" i="13"/>
  <c r="W221" i="13"/>
  <c r="V221" i="13"/>
  <c r="M221" i="13"/>
  <c r="L221" i="13"/>
  <c r="AM221" i="13" s="1" a="1"/>
  <c r="AM221" i="13" s="1"/>
  <c r="F221" i="13"/>
  <c r="E221" i="13"/>
  <c r="AL221" i="13" s="1" a="1"/>
  <c r="AL221" i="13" s="1"/>
  <c r="AO220" i="13"/>
  <c r="Y220" i="13"/>
  <c r="X220" i="13"/>
  <c r="W220" i="13"/>
  <c r="V220" i="13"/>
  <c r="M220" i="13"/>
  <c r="P220" i="13" s="1"/>
  <c r="L220" i="13"/>
  <c r="AM220" i="13" s="1" a="1"/>
  <c r="AM220" i="13" s="1"/>
  <c r="F220" i="13"/>
  <c r="E220" i="13"/>
  <c r="AL220" i="13" s="1" a="1"/>
  <c r="AL220" i="13" s="1"/>
  <c r="AO219" i="13"/>
  <c r="Y219" i="13"/>
  <c r="X219" i="13"/>
  <c r="W219" i="13"/>
  <c r="V219" i="13"/>
  <c r="M219" i="13"/>
  <c r="R219" i="13" s="1"/>
  <c r="L219" i="13"/>
  <c r="AM219" i="13" s="1" a="1"/>
  <c r="AM219" i="13" s="1"/>
  <c r="F219" i="13"/>
  <c r="E219" i="13"/>
  <c r="AO218" i="13"/>
  <c r="Y218" i="13"/>
  <c r="X218" i="13"/>
  <c r="W218" i="13"/>
  <c r="V218" i="13"/>
  <c r="M218" i="13"/>
  <c r="R218" i="13" s="1"/>
  <c r="L218" i="13"/>
  <c r="F218" i="13"/>
  <c r="E218" i="13"/>
  <c r="AL218" i="13" s="1" a="1"/>
  <c r="AL218" i="13" s="1"/>
  <c r="AO217" i="13"/>
  <c r="Y217" i="13"/>
  <c r="X217" i="13"/>
  <c r="V217" i="13"/>
  <c r="M217" i="13"/>
  <c r="F217" i="13"/>
  <c r="E217" i="13"/>
  <c r="AL217" i="13" s="1" a="1"/>
  <c r="AL217" i="13" s="1"/>
  <c r="AO216" i="13"/>
  <c r="Y216" i="13"/>
  <c r="W216" i="13"/>
  <c r="M216" i="13"/>
  <c r="R216" i="13" s="1"/>
  <c r="L216" i="13"/>
  <c r="AM216" i="13" s="1" a="1"/>
  <c r="AM216" i="13" s="1"/>
  <c r="AO215" i="13"/>
  <c r="Y215" i="13"/>
  <c r="X215" i="13"/>
  <c r="W215" i="13"/>
  <c r="V215" i="13"/>
  <c r="M215" i="13"/>
  <c r="P215" i="13" s="1"/>
  <c r="L215" i="13"/>
  <c r="AM215" i="13" s="1" a="1"/>
  <c r="AM215" i="13" s="1"/>
  <c r="F215" i="13"/>
  <c r="K215" i="13" s="1"/>
  <c r="E215" i="13"/>
  <c r="AO214" i="13"/>
  <c r="Y214" i="13"/>
  <c r="X214" i="13"/>
  <c r="W214" i="13"/>
  <c r="V214" i="13"/>
  <c r="M214" i="13"/>
  <c r="R214" i="13" s="1"/>
  <c r="L214" i="13"/>
  <c r="AM214" i="13" s="1" a="1"/>
  <c r="AM214" i="13" s="1"/>
  <c r="F214" i="13"/>
  <c r="I214" i="13" s="1"/>
  <c r="E214" i="13"/>
  <c r="AL214" i="13" s="1" a="1"/>
  <c r="AL214" i="13" s="1"/>
  <c r="AO213" i="13"/>
  <c r="Y213" i="13"/>
  <c r="W213" i="13"/>
  <c r="M213" i="13"/>
  <c r="P213" i="13" s="1"/>
  <c r="L213" i="13"/>
  <c r="AO212" i="13"/>
  <c r="Y212" i="13"/>
  <c r="M212" i="13"/>
  <c r="R212" i="13" s="1"/>
  <c r="AO211" i="13"/>
  <c r="Y211" i="13"/>
  <c r="X211" i="13"/>
  <c r="W211" i="13"/>
  <c r="V211" i="13"/>
  <c r="M211" i="13"/>
  <c r="R211" i="13" s="1"/>
  <c r="L211" i="13"/>
  <c r="AM211" i="13" s="1" a="1"/>
  <c r="AM211" i="13" s="1"/>
  <c r="F211" i="13"/>
  <c r="K211" i="13" s="1"/>
  <c r="E211" i="13"/>
  <c r="AL211" i="13" s="1" a="1"/>
  <c r="AL211" i="13" s="1"/>
  <c r="AO210" i="13"/>
  <c r="Y210" i="13"/>
  <c r="X210" i="13"/>
  <c r="W210" i="13"/>
  <c r="V210" i="13"/>
  <c r="M210" i="13"/>
  <c r="R210" i="13" s="1"/>
  <c r="L210" i="13"/>
  <c r="F210" i="13"/>
  <c r="E210" i="13"/>
  <c r="AO209" i="13"/>
  <c r="Y209" i="13"/>
  <c r="X209" i="13"/>
  <c r="W209" i="13"/>
  <c r="V209" i="13"/>
  <c r="M209" i="13"/>
  <c r="P209" i="13" s="1"/>
  <c r="L209" i="13"/>
  <c r="AM209" i="13" s="1" a="1"/>
  <c r="AM209" i="13" s="1"/>
  <c r="F209" i="13"/>
  <c r="I209" i="13" s="1"/>
  <c r="E209" i="13"/>
  <c r="AO208" i="13"/>
  <c r="Y208" i="13"/>
  <c r="X208" i="13"/>
  <c r="W208" i="13"/>
  <c r="V208" i="13"/>
  <c r="M208" i="13"/>
  <c r="P208" i="13" s="1"/>
  <c r="L208" i="13"/>
  <c r="AM208" i="13" s="1" a="1"/>
  <c r="AM208" i="13" s="1"/>
  <c r="F208" i="13"/>
  <c r="I208" i="13" s="1"/>
  <c r="E208" i="13"/>
  <c r="AL208" i="13" s="1" a="1"/>
  <c r="AL208" i="13" s="1"/>
  <c r="AO207" i="13"/>
  <c r="Y207" i="13"/>
  <c r="X207" i="13"/>
  <c r="W207" i="13"/>
  <c r="V207" i="13"/>
  <c r="M207" i="13"/>
  <c r="L207" i="13"/>
  <c r="AM207" i="13" s="1" a="1"/>
  <c r="AM207" i="13" s="1"/>
  <c r="F207" i="13"/>
  <c r="K207" i="13" s="1"/>
  <c r="E207" i="13"/>
  <c r="AL207" i="13" s="1" a="1"/>
  <c r="AL207" i="13" s="1"/>
  <c r="AO206" i="13"/>
  <c r="Y206" i="13"/>
  <c r="X206" i="13"/>
  <c r="V206" i="13"/>
  <c r="M206" i="13"/>
  <c r="F206" i="13"/>
  <c r="E206" i="13"/>
  <c r="AL206" i="13" s="1" a="1"/>
  <c r="AL206" i="13" s="1"/>
  <c r="AO205" i="13"/>
  <c r="Y205" i="13"/>
  <c r="X205" i="13"/>
  <c r="W205" i="13"/>
  <c r="V205" i="13"/>
  <c r="M205" i="13"/>
  <c r="P205" i="13" s="1"/>
  <c r="L205" i="13"/>
  <c r="AM205" i="13" s="1" a="1"/>
  <c r="AM205" i="13" s="1"/>
  <c r="F205" i="13"/>
  <c r="K205" i="13" s="1"/>
  <c r="E205" i="13"/>
  <c r="H205" i="13" s="1"/>
  <c r="AO204" i="13"/>
  <c r="Y204" i="13"/>
  <c r="X204" i="13"/>
  <c r="W204" i="13"/>
  <c r="V204" i="13"/>
  <c r="M204" i="13"/>
  <c r="R204" i="13" s="1"/>
  <c r="L204" i="13"/>
  <c r="N204" i="13" s="1"/>
  <c r="F204" i="13"/>
  <c r="K204" i="13" s="1"/>
  <c r="E204" i="13"/>
  <c r="AO203" i="13"/>
  <c r="Y203" i="13"/>
  <c r="X203" i="13"/>
  <c r="W203" i="13"/>
  <c r="V203" i="13"/>
  <c r="M203" i="13"/>
  <c r="P203" i="13" s="1"/>
  <c r="L203" i="13"/>
  <c r="AM203" i="13" s="1" a="1"/>
  <c r="AM203" i="13" s="1"/>
  <c r="F203" i="13"/>
  <c r="E203" i="13"/>
  <c r="AO202" i="13"/>
  <c r="Y202" i="13"/>
  <c r="X202" i="13"/>
  <c r="W202" i="13"/>
  <c r="V202" i="13"/>
  <c r="M202" i="13"/>
  <c r="P202" i="13" s="1"/>
  <c r="L202" i="13"/>
  <c r="AM202" i="13" s="1" a="1"/>
  <c r="AM202" i="13" s="1"/>
  <c r="F202" i="13"/>
  <c r="I202" i="13" s="1"/>
  <c r="E202" i="13"/>
  <c r="AL202" i="13" s="1" a="1"/>
  <c r="AL202" i="13" s="1"/>
  <c r="AO201" i="13"/>
  <c r="Y201" i="13"/>
  <c r="W201" i="13"/>
  <c r="M201" i="13"/>
  <c r="R201" i="13" s="1"/>
  <c r="L201" i="13"/>
  <c r="O201" i="13" s="1"/>
  <c r="AO200" i="13"/>
  <c r="Y200" i="13"/>
  <c r="X200" i="13"/>
  <c r="W200" i="13"/>
  <c r="V200" i="13"/>
  <c r="M200" i="13"/>
  <c r="P200" i="13" s="1"/>
  <c r="L200" i="13"/>
  <c r="AM200" i="13" s="1" a="1"/>
  <c r="AM200" i="13" s="1"/>
  <c r="F200" i="13"/>
  <c r="E200" i="13"/>
  <c r="AL200" i="13" s="1" a="1"/>
  <c r="AL200" i="13" s="1"/>
  <c r="AO199" i="13"/>
  <c r="Y199" i="13"/>
  <c r="X199" i="13"/>
  <c r="W199" i="13"/>
  <c r="V199" i="13"/>
  <c r="M199" i="13"/>
  <c r="P199" i="13" s="1"/>
  <c r="L199" i="13"/>
  <c r="AM199" i="13" s="1" a="1"/>
  <c r="AM199" i="13" s="1"/>
  <c r="F199" i="13"/>
  <c r="E199" i="13"/>
  <c r="AO198" i="13"/>
  <c r="Y198" i="13"/>
  <c r="X198" i="13"/>
  <c r="W198" i="13"/>
  <c r="V198" i="13"/>
  <c r="M198" i="13"/>
  <c r="P198" i="13" s="1"/>
  <c r="L198" i="13"/>
  <c r="F198" i="13"/>
  <c r="AO197" i="13"/>
  <c r="Y197" i="13"/>
  <c r="X197" i="13"/>
  <c r="V197" i="13"/>
  <c r="M197" i="13"/>
  <c r="R197" i="13" s="1"/>
  <c r="F197" i="13"/>
  <c r="I197" i="13" s="1"/>
  <c r="E197" i="13"/>
  <c r="AL197" i="13" s="1" a="1"/>
  <c r="AL197" i="13" s="1"/>
  <c r="AO196" i="13"/>
  <c r="Y196" i="13"/>
  <c r="X196" i="13"/>
  <c r="W196" i="13"/>
  <c r="V196" i="13"/>
  <c r="M196" i="13"/>
  <c r="P196" i="13" s="1"/>
  <c r="L196" i="13"/>
  <c r="F196" i="13"/>
  <c r="I196" i="13" s="1"/>
  <c r="E196" i="13"/>
  <c r="AO195" i="13"/>
  <c r="Y195" i="13"/>
  <c r="X195" i="13"/>
  <c r="W195" i="13"/>
  <c r="V195" i="13"/>
  <c r="M195" i="13"/>
  <c r="R195" i="13" s="1"/>
  <c r="L195" i="13"/>
  <c r="AM195" i="13" s="1" a="1"/>
  <c r="AM195" i="13" s="1"/>
  <c r="F195" i="13"/>
  <c r="E195" i="13"/>
  <c r="AL195" i="13" s="1" a="1"/>
  <c r="AL195" i="13" s="1"/>
  <c r="AO194" i="13"/>
  <c r="Y194" i="13"/>
  <c r="X194" i="13"/>
  <c r="W194" i="13"/>
  <c r="M194" i="13"/>
  <c r="R194" i="13" s="1"/>
  <c r="L194" i="13"/>
  <c r="AM194" i="13" s="1" a="1"/>
  <c r="AM194" i="13" s="1"/>
  <c r="F194" i="13"/>
  <c r="AO193" i="13"/>
  <c r="Y193" i="13"/>
  <c r="X193" i="13"/>
  <c r="W193" i="13"/>
  <c r="V193" i="13"/>
  <c r="M193" i="13"/>
  <c r="R193" i="13" s="1"/>
  <c r="L193" i="13"/>
  <c r="AM193" i="13" s="1" a="1"/>
  <c r="AM193" i="13" s="1"/>
  <c r="F193" i="13"/>
  <c r="E193" i="13"/>
  <c r="AL193" i="13" s="1" a="1"/>
  <c r="AL193" i="13" s="1"/>
  <c r="AO192" i="13"/>
  <c r="Y192" i="13"/>
  <c r="X192" i="13"/>
  <c r="W192" i="13"/>
  <c r="V192" i="13"/>
  <c r="M192" i="13"/>
  <c r="P192" i="13" s="1"/>
  <c r="L192" i="13"/>
  <c r="AM192" i="13" s="1" a="1"/>
  <c r="AM192" i="13" s="1"/>
  <c r="F192" i="13"/>
  <c r="E192" i="13"/>
  <c r="AL192" i="13" s="1" a="1"/>
  <c r="AL192" i="13" s="1"/>
  <c r="AO191" i="13"/>
  <c r="Y191" i="13"/>
  <c r="X191" i="13"/>
  <c r="W191" i="13"/>
  <c r="V191" i="13"/>
  <c r="M191" i="13"/>
  <c r="P191" i="13" s="1"/>
  <c r="L191" i="13"/>
  <c r="AM191" i="13" s="1" a="1"/>
  <c r="AM191" i="13" s="1"/>
  <c r="F191" i="13"/>
  <c r="I191" i="13" s="1"/>
  <c r="E191" i="13"/>
  <c r="AL191" i="13" s="1" a="1"/>
  <c r="AL191" i="13" s="1"/>
  <c r="AO190" i="13"/>
  <c r="Y190" i="13"/>
  <c r="X190" i="13"/>
  <c r="W190" i="13"/>
  <c r="V190" i="13"/>
  <c r="M190" i="13"/>
  <c r="L190" i="13"/>
  <c r="AM190" i="13" s="1" a="1"/>
  <c r="AM190" i="13" s="1"/>
  <c r="F190" i="13"/>
  <c r="I190" i="13" s="1"/>
  <c r="E190" i="13"/>
  <c r="AL190" i="13" s="1" a="1"/>
  <c r="AL190" i="13" s="1"/>
  <c r="AO189" i="13"/>
  <c r="Y189" i="13"/>
  <c r="X189" i="13"/>
  <c r="W189" i="13"/>
  <c r="V189" i="13"/>
  <c r="M189" i="13"/>
  <c r="L189" i="13"/>
  <c r="F189" i="13"/>
  <c r="K189" i="13" s="1"/>
  <c r="E189" i="13"/>
  <c r="AL189" i="13" s="1" a="1"/>
  <c r="AL189" i="13" s="1"/>
  <c r="AO188" i="13"/>
  <c r="Y188" i="13"/>
  <c r="X188" i="13"/>
  <c r="W188" i="13"/>
  <c r="V188" i="13"/>
  <c r="M188" i="13"/>
  <c r="L188" i="13"/>
  <c r="F188" i="13"/>
  <c r="E188" i="13"/>
  <c r="AL188" i="13" s="1" a="1"/>
  <c r="AL188" i="13" s="1"/>
  <c r="AO187" i="13"/>
  <c r="Y187" i="13"/>
  <c r="X187" i="13"/>
  <c r="W187" i="13"/>
  <c r="V187" i="13"/>
  <c r="M187" i="13"/>
  <c r="P187" i="13" s="1"/>
  <c r="L187" i="13"/>
  <c r="F187" i="13"/>
  <c r="I187" i="13" s="1"/>
  <c r="E187" i="13"/>
  <c r="AO186" i="13"/>
  <c r="Y186" i="13"/>
  <c r="X186" i="13"/>
  <c r="W186" i="13"/>
  <c r="V186" i="13"/>
  <c r="M186" i="13"/>
  <c r="P186" i="13" s="1"/>
  <c r="L186" i="13"/>
  <c r="O186" i="13" s="1"/>
  <c r="F186" i="13"/>
  <c r="I186" i="13" s="1"/>
  <c r="E186" i="13"/>
  <c r="AL186" i="13" s="1" a="1"/>
  <c r="AL186" i="13" s="1"/>
  <c r="AO185" i="13"/>
  <c r="Y185" i="13"/>
  <c r="X185" i="13"/>
  <c r="W185" i="13"/>
  <c r="V185" i="13"/>
  <c r="M185" i="13"/>
  <c r="R185" i="13" s="1"/>
  <c r="L185" i="13"/>
  <c r="AM185" i="13" s="1" a="1"/>
  <c r="AM185" i="13" s="1"/>
  <c r="F185" i="13"/>
  <c r="K185" i="13" s="1"/>
  <c r="E185" i="13"/>
  <c r="AL185" i="13" s="1" a="1"/>
  <c r="AL185" i="13" s="1"/>
  <c r="AO184" i="13"/>
  <c r="Y184" i="13"/>
  <c r="X184" i="13"/>
  <c r="W184" i="13"/>
  <c r="V184" i="13"/>
  <c r="M184" i="13"/>
  <c r="L184" i="13"/>
  <c r="AM184" i="13" s="1" a="1"/>
  <c r="AM184" i="13" s="1"/>
  <c r="F184" i="13"/>
  <c r="K184" i="13" s="1"/>
  <c r="E184" i="13"/>
  <c r="AO183" i="13"/>
  <c r="Y183" i="13"/>
  <c r="X183" i="13"/>
  <c r="W183" i="13"/>
  <c r="V183" i="13"/>
  <c r="M183" i="13"/>
  <c r="L183" i="13"/>
  <c r="AM183" i="13" s="1" a="1"/>
  <c r="AM183" i="13" s="1"/>
  <c r="F183" i="13"/>
  <c r="I183" i="13" s="1"/>
  <c r="E183" i="13"/>
  <c r="AL183" i="13" s="1" a="1"/>
  <c r="AL183" i="13" s="1"/>
  <c r="AO182" i="13"/>
  <c r="Y182" i="13"/>
  <c r="X182" i="13"/>
  <c r="W182" i="13"/>
  <c r="V182" i="13"/>
  <c r="M182" i="13"/>
  <c r="L182" i="13"/>
  <c r="AM182" i="13" s="1" a="1"/>
  <c r="AM182" i="13" s="1"/>
  <c r="F182" i="13"/>
  <c r="I182" i="13" s="1"/>
  <c r="E182" i="13"/>
  <c r="AL182" i="13" s="1" a="1"/>
  <c r="AL182" i="13" s="1"/>
  <c r="AO181" i="13"/>
  <c r="Y181" i="13"/>
  <c r="X181" i="13"/>
  <c r="W181" i="13"/>
  <c r="V181" i="13"/>
  <c r="M181" i="13"/>
  <c r="P181" i="13" s="1"/>
  <c r="L181" i="13"/>
  <c r="AM181" i="13" s="1" a="1"/>
  <c r="AM181" i="13" s="1"/>
  <c r="F181" i="13"/>
  <c r="E181" i="13"/>
  <c r="AO180" i="13"/>
  <c r="Y180" i="13"/>
  <c r="X180" i="13"/>
  <c r="M180" i="13"/>
  <c r="F180" i="13"/>
  <c r="AO179" i="13"/>
  <c r="Y179" i="13"/>
  <c r="X179" i="13"/>
  <c r="W179" i="13"/>
  <c r="V179" i="13"/>
  <c r="M179" i="13"/>
  <c r="L179" i="13"/>
  <c r="O179" i="13" s="1"/>
  <c r="F179" i="13"/>
  <c r="I179" i="13" s="1"/>
  <c r="E179" i="13"/>
  <c r="AL179" i="13" s="1" a="1"/>
  <c r="AL179" i="13" s="1"/>
  <c r="AO178" i="13"/>
  <c r="Y178" i="13"/>
  <c r="X178" i="13"/>
  <c r="W178" i="13"/>
  <c r="V178" i="13"/>
  <c r="M178" i="13"/>
  <c r="P178" i="13" s="1"/>
  <c r="L178" i="13"/>
  <c r="O178" i="13" s="1"/>
  <c r="F178" i="13"/>
  <c r="K178" i="13" s="1"/>
  <c r="E178" i="13"/>
  <c r="AL178" i="13" s="1" a="1"/>
  <c r="AL178" i="13" s="1"/>
  <c r="AO177" i="13"/>
  <c r="Y177" i="13"/>
  <c r="X177" i="13"/>
  <c r="W177" i="13"/>
  <c r="V177" i="13"/>
  <c r="M177" i="13"/>
  <c r="R177" i="13" s="1"/>
  <c r="L177" i="13"/>
  <c r="N177" i="13" s="1"/>
  <c r="Q177" i="13" s="1"/>
  <c r="F177" i="13"/>
  <c r="E177" i="13"/>
  <c r="AL177" i="13" s="1" a="1"/>
  <c r="AL177" i="13" s="1"/>
  <c r="AO176" i="13"/>
  <c r="Y176" i="13"/>
  <c r="X176" i="13"/>
  <c r="W176" i="13"/>
  <c r="V176" i="13"/>
  <c r="M176" i="13"/>
  <c r="L176" i="13"/>
  <c r="AM176" i="13" s="1" a="1"/>
  <c r="AM176" i="13" s="1"/>
  <c r="F176" i="13"/>
  <c r="I176" i="13" s="1"/>
  <c r="E176" i="13"/>
  <c r="AL176" i="13" s="1" a="1"/>
  <c r="AL176" i="13" s="1"/>
  <c r="AO175" i="13"/>
  <c r="Y175" i="13"/>
  <c r="X175" i="13"/>
  <c r="W175" i="13"/>
  <c r="V175" i="13"/>
  <c r="M175" i="13"/>
  <c r="L175" i="13"/>
  <c r="O175" i="13" s="1"/>
  <c r="F175" i="13"/>
  <c r="E175" i="13"/>
  <c r="AL175" i="13" s="1" a="1"/>
  <c r="AL175" i="13" s="1"/>
  <c r="AO174" i="13"/>
  <c r="Y174" i="13"/>
  <c r="X174" i="13"/>
  <c r="W174" i="13"/>
  <c r="V174" i="13"/>
  <c r="M174" i="13"/>
  <c r="L174" i="13"/>
  <c r="AM174" i="13" s="1" a="1"/>
  <c r="AM174" i="13" s="1"/>
  <c r="F174" i="13"/>
  <c r="K174" i="13" s="1"/>
  <c r="E174" i="13"/>
  <c r="AL174" i="13" s="1" a="1"/>
  <c r="AL174" i="13" s="1"/>
  <c r="AO173" i="13"/>
  <c r="Y173" i="13"/>
  <c r="X173" i="13"/>
  <c r="W173" i="13"/>
  <c r="V173" i="13"/>
  <c r="M173" i="13"/>
  <c r="L173" i="13"/>
  <c r="AM173" i="13" s="1" a="1"/>
  <c r="AM173" i="13" s="1"/>
  <c r="F173" i="13"/>
  <c r="E173" i="13"/>
  <c r="AO172" i="13"/>
  <c r="Y172" i="13"/>
  <c r="X172" i="13"/>
  <c r="W172" i="13"/>
  <c r="V172" i="13"/>
  <c r="M172" i="13"/>
  <c r="R172" i="13" s="1"/>
  <c r="L172" i="13"/>
  <c r="F172" i="13"/>
  <c r="K172" i="13" s="1"/>
  <c r="E172" i="13"/>
  <c r="AL172" i="13" s="1" a="1"/>
  <c r="AL172" i="13" s="1"/>
  <c r="AO171" i="13"/>
  <c r="Y171" i="13"/>
  <c r="X171" i="13"/>
  <c r="W171" i="13"/>
  <c r="V171" i="13"/>
  <c r="M171" i="13"/>
  <c r="L171" i="13"/>
  <c r="O171" i="13" s="1"/>
  <c r="F171" i="13"/>
  <c r="E171" i="13"/>
  <c r="AL171" i="13" s="1" a="1"/>
  <c r="AL171" i="13" s="1"/>
  <c r="AO170" i="13"/>
  <c r="Y170" i="13"/>
  <c r="W170" i="13"/>
  <c r="M170" i="13"/>
  <c r="P170" i="13" s="1"/>
  <c r="L170" i="13"/>
  <c r="AM170" i="13" s="1" a="1"/>
  <c r="AM170" i="13" s="1"/>
  <c r="AO169" i="13"/>
  <c r="Y169" i="13"/>
  <c r="X169" i="13"/>
  <c r="W169" i="13"/>
  <c r="V169" i="13"/>
  <c r="M169" i="13"/>
  <c r="P169" i="13" s="1"/>
  <c r="L169" i="13"/>
  <c r="AM169" i="13" s="1" a="1"/>
  <c r="AM169" i="13" s="1"/>
  <c r="F169" i="13"/>
  <c r="K169" i="13" s="1"/>
  <c r="E169" i="13"/>
  <c r="AL169" i="13" s="1" a="1"/>
  <c r="AL169" i="13" s="1"/>
  <c r="AO168" i="13"/>
  <c r="Y168" i="13"/>
  <c r="X168" i="13"/>
  <c r="W168" i="13"/>
  <c r="M168" i="13"/>
  <c r="R168" i="13" s="1"/>
  <c r="L168" i="13"/>
  <c r="AM168" i="13" s="1" a="1"/>
  <c r="AM168" i="13" s="1"/>
  <c r="F168" i="13"/>
  <c r="AO167" i="13"/>
  <c r="Y167" i="13"/>
  <c r="X167" i="13"/>
  <c r="W167" i="13"/>
  <c r="V167" i="13"/>
  <c r="M167" i="13"/>
  <c r="L167" i="13"/>
  <c r="O167" i="13" s="1"/>
  <c r="F167" i="13"/>
  <c r="E167" i="13"/>
  <c r="AO166" i="13"/>
  <c r="Y166" i="13"/>
  <c r="X166" i="13"/>
  <c r="W166" i="13"/>
  <c r="V166" i="13"/>
  <c r="M166" i="13"/>
  <c r="P166" i="13" s="1"/>
  <c r="L166" i="13"/>
  <c r="AM166" i="13" s="1" a="1"/>
  <c r="AM166" i="13" s="1"/>
  <c r="F166" i="13"/>
  <c r="K166" i="13" s="1"/>
  <c r="E166" i="13"/>
  <c r="AL166" i="13" s="1" a="1"/>
  <c r="AL166" i="13" s="1"/>
  <c r="AO165" i="13"/>
  <c r="Y165" i="13"/>
  <c r="X165" i="13"/>
  <c r="W165" i="13"/>
  <c r="V165" i="13"/>
  <c r="M165" i="13"/>
  <c r="P165" i="13" s="1"/>
  <c r="L165" i="13"/>
  <c r="AM165" i="13" s="1" a="1"/>
  <c r="AM165" i="13" s="1"/>
  <c r="F165" i="13"/>
  <c r="E165" i="13"/>
  <c r="AL165" i="13" s="1" a="1"/>
  <c r="AL165" i="13" s="1"/>
  <c r="AO164" i="13"/>
  <c r="Y164" i="13"/>
  <c r="X164" i="13"/>
  <c r="W164" i="13"/>
  <c r="V164" i="13"/>
  <c r="M164" i="13"/>
  <c r="R164" i="13" s="1"/>
  <c r="L164" i="13"/>
  <c r="AM164" i="13" s="1" a="1"/>
  <c r="AM164" i="13" s="1"/>
  <c r="F164" i="13"/>
  <c r="K164" i="13" s="1"/>
  <c r="E164" i="13"/>
  <c r="AL164" i="13" s="1" a="1"/>
  <c r="AL164" i="13" s="1"/>
  <c r="AO163" i="13"/>
  <c r="Y163" i="13"/>
  <c r="X163" i="13"/>
  <c r="W163" i="13"/>
  <c r="V163" i="13"/>
  <c r="M163" i="13"/>
  <c r="L163" i="13"/>
  <c r="O163" i="13" s="1"/>
  <c r="F163" i="13"/>
  <c r="K163" i="13" s="1"/>
  <c r="E163" i="13"/>
  <c r="AL163" i="13" s="1" a="1"/>
  <c r="AL163" i="13" s="1"/>
  <c r="AO162" i="13"/>
  <c r="Y162" i="13"/>
  <c r="X162" i="13"/>
  <c r="W162" i="13"/>
  <c r="V162" i="13"/>
  <c r="M162" i="13"/>
  <c r="P162" i="13" s="1"/>
  <c r="L162" i="13"/>
  <c r="AM162" i="13" s="1" a="1"/>
  <c r="AM162" i="13" s="1"/>
  <c r="F162" i="13"/>
  <c r="K162" i="13" s="1"/>
  <c r="E162" i="13"/>
  <c r="AL162" i="13" s="1" a="1"/>
  <c r="AL162" i="13" s="1"/>
  <c r="AO161" i="13"/>
  <c r="Y161" i="13"/>
  <c r="W161" i="13"/>
  <c r="M161" i="13"/>
  <c r="L161" i="13"/>
  <c r="O161" i="13" s="1"/>
  <c r="AO160" i="13"/>
  <c r="Y160" i="13"/>
  <c r="X160" i="13"/>
  <c r="M160" i="13"/>
  <c r="R160" i="13" s="1"/>
  <c r="F160" i="13"/>
  <c r="AO159" i="13"/>
  <c r="Y159" i="13"/>
  <c r="X159" i="13"/>
  <c r="W159" i="13"/>
  <c r="V159" i="13"/>
  <c r="M159" i="13"/>
  <c r="P159" i="13" s="1"/>
  <c r="L159" i="13"/>
  <c r="AM159" i="13" s="1" a="1"/>
  <c r="AM159" i="13" s="1"/>
  <c r="F159" i="13"/>
  <c r="K159" i="13" s="1"/>
  <c r="E159" i="13"/>
  <c r="AL159" i="13" s="1" a="1"/>
  <c r="AL159" i="13" s="1"/>
  <c r="AO158" i="13"/>
  <c r="Y158" i="13"/>
  <c r="W158" i="13"/>
  <c r="M158" i="13"/>
  <c r="P158" i="13" s="1"/>
  <c r="L158" i="13"/>
  <c r="AO157" i="13"/>
  <c r="Y157" i="13"/>
  <c r="X157" i="13"/>
  <c r="W157" i="13"/>
  <c r="V157" i="13"/>
  <c r="M157" i="13"/>
  <c r="R157" i="13" s="1"/>
  <c r="L157" i="13"/>
  <c r="F157" i="13"/>
  <c r="E157" i="13"/>
  <c r="AL157" i="13" s="1" a="1"/>
  <c r="AL157" i="13" s="1"/>
  <c r="AO156" i="13"/>
  <c r="Y156" i="13"/>
  <c r="X156" i="13"/>
  <c r="W156" i="13"/>
  <c r="V156" i="13"/>
  <c r="M156" i="13"/>
  <c r="L156" i="13"/>
  <c r="O156" i="13" s="1"/>
  <c r="F156" i="13"/>
  <c r="E156" i="13"/>
  <c r="AL156" i="13" s="1" a="1"/>
  <c r="AL156" i="13" s="1"/>
  <c r="AO155" i="13"/>
  <c r="Y155" i="13"/>
  <c r="X155" i="13"/>
  <c r="W155" i="13"/>
  <c r="V155" i="13"/>
  <c r="M155" i="13"/>
  <c r="P155" i="13" s="1"/>
  <c r="L155" i="13"/>
  <c r="AM155" i="13" s="1" a="1"/>
  <c r="AM155" i="13" s="1"/>
  <c r="F155" i="13"/>
  <c r="K155" i="13" s="1"/>
  <c r="E155" i="13"/>
  <c r="H155" i="13" s="1"/>
  <c r="AO154" i="13"/>
  <c r="Y154" i="13"/>
  <c r="X154" i="13"/>
  <c r="W154" i="13"/>
  <c r="V154" i="13"/>
  <c r="M154" i="13"/>
  <c r="P154" i="13" s="1"/>
  <c r="L154" i="13"/>
  <c r="AM154" i="13" s="1" a="1"/>
  <c r="AM154" i="13" s="1"/>
  <c r="F154" i="13"/>
  <c r="K154" i="13" s="1"/>
  <c r="E154" i="13"/>
  <c r="AL154" i="13" s="1" a="1"/>
  <c r="AL154" i="13" s="1"/>
  <c r="AO153" i="13"/>
  <c r="Y153" i="13"/>
  <c r="X153" i="13"/>
  <c r="W153" i="13"/>
  <c r="V153" i="13"/>
  <c r="M153" i="13"/>
  <c r="R153" i="13" s="1"/>
  <c r="L153" i="13"/>
  <c r="F153" i="13"/>
  <c r="K153" i="13" s="1"/>
  <c r="E153" i="13"/>
  <c r="AO152" i="13"/>
  <c r="Y152" i="13"/>
  <c r="X152" i="13"/>
  <c r="W152" i="13"/>
  <c r="V152" i="13"/>
  <c r="M152" i="13"/>
  <c r="L152" i="13"/>
  <c r="O152" i="13" s="1"/>
  <c r="F152" i="13"/>
  <c r="K152" i="13" s="1"/>
  <c r="E152" i="13"/>
  <c r="AL152" i="13" s="1" a="1"/>
  <c r="AL152" i="13" s="1"/>
  <c r="AO151" i="13"/>
  <c r="Y151" i="13"/>
  <c r="X151" i="13"/>
  <c r="W151" i="13"/>
  <c r="V151" i="13"/>
  <c r="M151" i="13"/>
  <c r="P151" i="13" s="1"/>
  <c r="L151" i="13"/>
  <c r="AM151" i="13" s="1" a="1"/>
  <c r="AM151" i="13" s="1"/>
  <c r="F151" i="13"/>
  <c r="E151" i="13"/>
  <c r="AL151" i="13" s="1" a="1"/>
  <c r="AL151" i="13" s="1"/>
  <c r="AO150" i="13"/>
  <c r="Y150" i="13"/>
  <c r="W150" i="13"/>
  <c r="M150" i="13"/>
  <c r="L150" i="13"/>
  <c r="O150" i="13" s="1"/>
  <c r="AO149" i="13"/>
  <c r="Y149" i="13"/>
  <c r="X149" i="13"/>
  <c r="W149" i="13"/>
  <c r="V149" i="13"/>
  <c r="M149" i="13"/>
  <c r="L149" i="13"/>
  <c r="AM149" i="13" s="1" a="1"/>
  <c r="AM149" i="13" s="1"/>
  <c r="F149" i="13"/>
  <c r="E149" i="13"/>
  <c r="AL149" i="13" s="1" a="1"/>
  <c r="AL149" i="13" s="1"/>
  <c r="AO148" i="13"/>
  <c r="Y148" i="13"/>
  <c r="X148" i="13"/>
  <c r="W148" i="13"/>
  <c r="V148" i="13"/>
  <c r="M148" i="13"/>
  <c r="R148" i="13" s="1"/>
  <c r="L148" i="13"/>
  <c r="AM148" i="13" s="1" a="1"/>
  <c r="AM148" i="13" s="1"/>
  <c r="F148" i="13"/>
  <c r="E148" i="13"/>
  <c r="AL148" i="13" s="1" a="1"/>
  <c r="AL148" i="13" s="1"/>
  <c r="AO147" i="13"/>
  <c r="Y147" i="13"/>
  <c r="X147" i="13"/>
  <c r="W147" i="13"/>
  <c r="V147" i="13"/>
  <c r="M147" i="13"/>
  <c r="L147" i="13"/>
  <c r="AM147" i="13" s="1" a="1"/>
  <c r="AM147" i="13" s="1"/>
  <c r="F147" i="13"/>
  <c r="K147" i="13" s="1"/>
  <c r="E147" i="13"/>
  <c r="AO146" i="13"/>
  <c r="Y146" i="13"/>
  <c r="X146" i="13"/>
  <c r="W146" i="13"/>
  <c r="V146" i="13"/>
  <c r="M146" i="13"/>
  <c r="L146" i="13"/>
  <c r="O146" i="13" s="1"/>
  <c r="F146" i="13"/>
  <c r="K146" i="13" s="1"/>
  <c r="E146" i="13"/>
  <c r="AO145" i="13"/>
  <c r="Y145" i="13"/>
  <c r="X145" i="13"/>
  <c r="W145" i="13"/>
  <c r="V145" i="13"/>
  <c r="M145" i="13"/>
  <c r="P145" i="13" s="1"/>
  <c r="L145" i="13"/>
  <c r="AM145" i="13" s="1" a="1"/>
  <c r="AM145" i="13" s="1"/>
  <c r="F145" i="13"/>
  <c r="K145" i="13" s="1"/>
  <c r="E145" i="13"/>
  <c r="AL145" i="13" s="1" a="1"/>
  <c r="AL145" i="13" s="1"/>
  <c r="AO144" i="13"/>
  <c r="Y144" i="13"/>
  <c r="X144" i="13"/>
  <c r="W144" i="13"/>
  <c r="V144" i="13"/>
  <c r="M144" i="13"/>
  <c r="P144" i="13" s="1"/>
  <c r="L144" i="13"/>
  <c r="F144" i="13"/>
  <c r="AO143" i="13"/>
  <c r="Y143" i="13"/>
  <c r="X143" i="13"/>
  <c r="W143" i="13"/>
  <c r="V143" i="13"/>
  <c r="M143" i="13"/>
  <c r="R143" i="13" s="1"/>
  <c r="L143" i="13"/>
  <c r="AM143" i="13" s="1" a="1"/>
  <c r="AM143" i="13" s="1"/>
  <c r="F143" i="13"/>
  <c r="E143" i="13"/>
  <c r="AL143" i="13" s="1" a="1"/>
  <c r="AL143" i="13" s="1"/>
  <c r="AO142" i="13"/>
  <c r="Y142" i="13"/>
  <c r="X142" i="13"/>
  <c r="W142" i="13"/>
  <c r="V142" i="13"/>
  <c r="M142" i="13"/>
  <c r="L142" i="13"/>
  <c r="O142" i="13" s="1"/>
  <c r="F142" i="13"/>
  <c r="K142" i="13" s="1"/>
  <c r="E142" i="13"/>
  <c r="AO141" i="13"/>
  <c r="Y141" i="13"/>
  <c r="X141" i="13"/>
  <c r="W141" i="13"/>
  <c r="V141" i="13"/>
  <c r="M141" i="13"/>
  <c r="P141" i="13" s="1"/>
  <c r="L141" i="13"/>
  <c r="AM141" i="13" s="1" a="1"/>
  <c r="AM141" i="13" s="1"/>
  <c r="F141" i="13"/>
  <c r="K141" i="13" s="1"/>
  <c r="E141" i="13"/>
  <c r="AL141" i="13" s="1" a="1"/>
  <c r="AL141" i="13" s="1"/>
  <c r="AO140" i="13"/>
  <c r="Y140" i="13"/>
  <c r="X140" i="13"/>
  <c r="W140" i="13"/>
  <c r="V140" i="13"/>
  <c r="M140" i="13"/>
  <c r="R140" i="13" s="1"/>
  <c r="L140" i="13"/>
  <c r="F140" i="13"/>
  <c r="K140" i="13" s="1"/>
  <c r="E140" i="13"/>
  <c r="AL140" i="13" s="1" a="1"/>
  <c r="AL140" i="13" s="1"/>
  <c r="AO139" i="13"/>
  <c r="Y139" i="13"/>
  <c r="X139" i="13"/>
  <c r="W139" i="13"/>
  <c r="V139" i="13"/>
  <c r="M139" i="13"/>
  <c r="R139" i="13" s="1"/>
  <c r="L139" i="13"/>
  <c r="AM139" i="13" s="1" a="1"/>
  <c r="AM139" i="13" s="1"/>
  <c r="F139" i="13"/>
  <c r="K139" i="13" s="1"/>
  <c r="E139" i="13"/>
  <c r="AO138" i="13"/>
  <c r="Y138" i="13"/>
  <c r="X138" i="13"/>
  <c r="W138" i="13"/>
  <c r="M138" i="13"/>
  <c r="L138" i="13"/>
  <c r="O138" i="13" s="1"/>
  <c r="F138" i="13"/>
  <c r="AO137" i="13"/>
  <c r="Y137" i="13"/>
  <c r="W137" i="13"/>
  <c r="M137" i="13"/>
  <c r="L137" i="13"/>
  <c r="O137" i="13" s="1"/>
  <c r="AO136" i="13"/>
  <c r="Y136" i="13"/>
  <c r="X136" i="13"/>
  <c r="W136" i="13"/>
  <c r="V136" i="13"/>
  <c r="M136" i="13"/>
  <c r="L136" i="13"/>
  <c r="O136" i="13" s="1"/>
  <c r="F136" i="13"/>
  <c r="E136" i="13"/>
  <c r="AL136" i="13" s="1" a="1"/>
  <c r="AL136" i="13" s="1"/>
  <c r="AO135" i="13"/>
  <c r="Y135" i="13"/>
  <c r="X135" i="13"/>
  <c r="W135" i="13"/>
  <c r="V135" i="13"/>
  <c r="M135" i="13"/>
  <c r="P135" i="13" s="1"/>
  <c r="L135" i="13"/>
  <c r="AM135" i="13" s="1" a="1"/>
  <c r="AM135" i="13" s="1"/>
  <c r="F135" i="13"/>
  <c r="E135" i="13"/>
  <c r="AL135" i="13" s="1" a="1"/>
  <c r="AL135" i="13" s="1"/>
  <c r="AO134" i="13"/>
  <c r="Y134" i="13"/>
  <c r="W134" i="13"/>
  <c r="M134" i="13"/>
  <c r="P134" i="13" s="1"/>
  <c r="L134" i="13"/>
  <c r="N134" i="13" s="1"/>
  <c r="AO133" i="13"/>
  <c r="Y133" i="13"/>
  <c r="X133" i="13"/>
  <c r="W133" i="13"/>
  <c r="V133" i="13"/>
  <c r="M133" i="13"/>
  <c r="R133" i="13" s="1"/>
  <c r="L133" i="13"/>
  <c r="AM133" i="13" s="1" a="1"/>
  <c r="AM133" i="13" s="1"/>
  <c r="F133" i="13"/>
  <c r="E133" i="13"/>
  <c r="AL133" i="13" s="1" a="1"/>
  <c r="AL133" i="13" s="1"/>
  <c r="AO132" i="13"/>
  <c r="AO131" i="13"/>
  <c r="Y131" i="13"/>
  <c r="W131" i="13"/>
  <c r="M131" i="13"/>
  <c r="P131" i="13" s="1"/>
  <c r="L131" i="13"/>
  <c r="AO130" i="13"/>
  <c r="Y130" i="13"/>
  <c r="X130" i="13"/>
  <c r="W130" i="13"/>
  <c r="V130" i="13"/>
  <c r="M130" i="13"/>
  <c r="R130" i="13" s="1"/>
  <c r="L130" i="13"/>
  <c r="AM130" i="13" s="1" a="1"/>
  <c r="AM130" i="13" s="1"/>
  <c r="F130" i="13"/>
  <c r="E130" i="13"/>
  <c r="AL130" i="13" s="1" a="1"/>
  <c r="AL130" i="13" s="1"/>
  <c r="AO129" i="13"/>
  <c r="Y129" i="13"/>
  <c r="X129" i="13"/>
  <c r="W129" i="13"/>
  <c r="V129" i="13"/>
  <c r="M129" i="13"/>
  <c r="R129" i="13" s="1"/>
  <c r="L129" i="13"/>
  <c r="AM129" i="13" s="1" a="1"/>
  <c r="AM129" i="13" s="1"/>
  <c r="F129" i="13"/>
  <c r="E129" i="13"/>
  <c r="AL129" i="13" s="1" a="1"/>
  <c r="AL129" i="13" s="1"/>
  <c r="AO128" i="13"/>
  <c r="Y128" i="13"/>
  <c r="X128" i="13"/>
  <c r="W128" i="13"/>
  <c r="V128" i="13"/>
  <c r="M128" i="13"/>
  <c r="L128" i="13"/>
  <c r="O128" i="13" s="1"/>
  <c r="F128" i="13"/>
  <c r="K128" i="13" s="1"/>
  <c r="E128" i="13"/>
  <c r="AL128" i="13" s="1" a="1"/>
  <c r="AL128" i="13" s="1"/>
  <c r="AO127" i="13"/>
  <c r="Y127" i="13"/>
  <c r="X127" i="13"/>
  <c r="W127" i="13"/>
  <c r="M127" i="13"/>
  <c r="P127" i="13" s="1"/>
  <c r="L127" i="13"/>
  <c r="AM127" i="13" s="1" a="1"/>
  <c r="AM127" i="13" s="1"/>
  <c r="F127" i="13"/>
  <c r="AO126" i="13"/>
  <c r="Y126" i="13"/>
  <c r="X126" i="13"/>
  <c r="W126" i="13"/>
  <c r="V126" i="13"/>
  <c r="M126" i="13"/>
  <c r="P126" i="13" s="1"/>
  <c r="L126" i="13"/>
  <c r="AM126" i="13" s="1" a="1"/>
  <c r="AM126" i="13" s="1"/>
  <c r="F126" i="13"/>
  <c r="E126" i="13"/>
  <c r="AL126" i="13" s="1" a="1"/>
  <c r="AL126" i="13" s="1"/>
  <c r="AO125" i="13"/>
  <c r="Y125" i="13"/>
  <c r="X125" i="13"/>
  <c r="W125" i="13"/>
  <c r="M125" i="13"/>
  <c r="P125" i="13" s="1"/>
  <c r="L125" i="13"/>
  <c r="O125" i="13" s="1"/>
  <c r="F125" i="13"/>
  <c r="AO124" i="13"/>
  <c r="Y124" i="13"/>
  <c r="X124" i="13"/>
  <c r="W124" i="13"/>
  <c r="V124" i="13"/>
  <c r="M124" i="13"/>
  <c r="P124" i="13" s="1"/>
  <c r="L124" i="13"/>
  <c r="AM124" i="13" s="1" a="1"/>
  <c r="AM124" i="13" s="1"/>
  <c r="F124" i="13"/>
  <c r="K124" i="13" s="1"/>
  <c r="E124" i="13"/>
  <c r="AL124" i="13" s="1" a="1"/>
  <c r="AL124" i="13" s="1"/>
  <c r="AO123" i="13"/>
  <c r="Y123" i="13"/>
  <c r="X123" i="13"/>
  <c r="W123" i="13"/>
  <c r="V123" i="13"/>
  <c r="M123" i="13"/>
  <c r="P123" i="13" s="1"/>
  <c r="L123" i="13"/>
  <c r="AM123" i="13" s="1" a="1"/>
  <c r="AM123" i="13" s="1"/>
  <c r="F123" i="13"/>
  <c r="E123" i="13"/>
  <c r="AO122" i="13"/>
  <c r="Y122" i="13"/>
  <c r="X122" i="13"/>
  <c r="W122" i="13"/>
  <c r="V122" i="13"/>
  <c r="M122" i="13"/>
  <c r="R122" i="13" s="1"/>
  <c r="L122" i="13"/>
  <c r="AM122" i="13" s="1" a="1"/>
  <c r="AM122" i="13" s="1"/>
  <c r="F122" i="13"/>
  <c r="E122" i="13"/>
  <c r="AL122" i="13" s="1" a="1"/>
  <c r="AL122" i="13" s="1"/>
  <c r="AO121" i="13"/>
  <c r="Y121" i="13"/>
  <c r="X121" i="13"/>
  <c r="W121" i="13"/>
  <c r="V121" i="13"/>
  <c r="M121" i="13"/>
  <c r="L121" i="13"/>
  <c r="O121" i="13" s="1"/>
  <c r="F121" i="13"/>
  <c r="E121" i="13"/>
  <c r="AL121" i="13" s="1" a="1"/>
  <c r="AL121" i="13" s="1"/>
  <c r="AO120" i="13"/>
  <c r="Y120" i="13"/>
  <c r="X120" i="13"/>
  <c r="W120" i="13"/>
  <c r="M120" i="13"/>
  <c r="P120" i="13" s="1"/>
  <c r="L120" i="13"/>
  <c r="AM120" i="13" s="1" a="1"/>
  <c r="AM120" i="13" s="1"/>
  <c r="F120" i="13"/>
  <c r="AO119" i="13"/>
  <c r="Y119" i="13"/>
  <c r="X119" i="13"/>
  <c r="V119" i="13"/>
  <c r="M119" i="13"/>
  <c r="F119" i="13"/>
  <c r="E119" i="13"/>
  <c r="AO118" i="13"/>
  <c r="Y118" i="13"/>
  <c r="X118" i="13"/>
  <c r="W118" i="13"/>
  <c r="V118" i="13"/>
  <c r="M118" i="13"/>
  <c r="P118" i="13" s="1"/>
  <c r="L118" i="13"/>
  <c r="AM118" i="13" s="1" a="1"/>
  <c r="AM118" i="13" s="1"/>
  <c r="F118" i="13"/>
  <c r="E118" i="13"/>
  <c r="AO117" i="13"/>
  <c r="Y117" i="13"/>
  <c r="X117" i="13"/>
  <c r="W117" i="13"/>
  <c r="V117" i="13"/>
  <c r="M117" i="13"/>
  <c r="P117" i="13" s="1"/>
  <c r="L117" i="13"/>
  <c r="AM117" i="13" s="1" a="1"/>
  <c r="AM117" i="13" s="1"/>
  <c r="F117" i="13"/>
  <c r="E117" i="13"/>
  <c r="AO116" i="13"/>
  <c r="Y116" i="13"/>
  <c r="X116" i="13"/>
  <c r="W116" i="13"/>
  <c r="M116" i="13"/>
  <c r="R116" i="13" s="1"/>
  <c r="L116" i="13"/>
  <c r="F116" i="13"/>
  <c r="AO115" i="13"/>
  <c r="Y115" i="13"/>
  <c r="X115" i="13"/>
  <c r="W115" i="13"/>
  <c r="M115" i="13"/>
  <c r="R115" i="13" s="1"/>
  <c r="L115" i="13"/>
  <c r="AM115" i="13" s="1" a="1"/>
  <c r="AM115" i="13" s="1"/>
  <c r="F115" i="13"/>
  <c r="AO114" i="13"/>
  <c r="Y114" i="13"/>
  <c r="X114" i="13"/>
  <c r="W114" i="13"/>
  <c r="V114" i="13"/>
  <c r="M114" i="13"/>
  <c r="R114" i="13" s="1"/>
  <c r="L114" i="13"/>
  <c r="F114" i="13"/>
  <c r="E114" i="13"/>
  <c r="H114" i="13" s="1"/>
  <c r="AO113" i="13"/>
  <c r="Y113" i="13"/>
  <c r="X113" i="13"/>
  <c r="W113" i="13"/>
  <c r="V113" i="13"/>
  <c r="M113" i="13"/>
  <c r="L113" i="13"/>
  <c r="O113" i="13" s="1"/>
  <c r="F113" i="13"/>
  <c r="K113" i="13" s="1"/>
  <c r="E113" i="13"/>
  <c r="AO112" i="13"/>
  <c r="Y112" i="13"/>
  <c r="X112" i="13"/>
  <c r="W112" i="13"/>
  <c r="V112" i="13"/>
  <c r="M112" i="13"/>
  <c r="P112" i="13" s="1"/>
  <c r="L112" i="13"/>
  <c r="AM112" i="13" s="1" a="1"/>
  <c r="AM112" i="13" s="1"/>
  <c r="F112" i="13"/>
  <c r="E112" i="13"/>
  <c r="AL112" i="13" s="1" a="1"/>
  <c r="AL112" i="13" s="1"/>
  <c r="AO111" i="13"/>
  <c r="Y111" i="13"/>
  <c r="X111" i="13"/>
  <c r="W111" i="13"/>
  <c r="V111" i="13"/>
  <c r="M111" i="13"/>
  <c r="R111" i="13" s="1"/>
  <c r="L111" i="13"/>
  <c r="AM111" i="13" s="1" a="1"/>
  <c r="AM111" i="13" s="1"/>
  <c r="F111" i="13"/>
  <c r="I111" i="13" s="1"/>
  <c r="E111" i="13"/>
  <c r="AO110" i="13"/>
  <c r="Y110" i="13"/>
  <c r="X110" i="13"/>
  <c r="W110" i="13"/>
  <c r="V110" i="13"/>
  <c r="M110" i="13"/>
  <c r="R110" i="13" s="1"/>
  <c r="L110" i="13"/>
  <c r="F110" i="13"/>
  <c r="E110" i="13"/>
  <c r="H110" i="13" s="1"/>
  <c r="AO109" i="13"/>
  <c r="Y109" i="13"/>
  <c r="W109" i="13"/>
  <c r="M109" i="13"/>
  <c r="L109" i="13"/>
  <c r="O109" i="13" s="1"/>
  <c r="AO108" i="13"/>
  <c r="Y108" i="13"/>
  <c r="X108" i="13"/>
  <c r="W108" i="13"/>
  <c r="V108" i="13"/>
  <c r="M108" i="13"/>
  <c r="P108" i="13" s="1"/>
  <c r="L108" i="13"/>
  <c r="AM108" i="13" s="1" a="1"/>
  <c r="AM108" i="13" s="1"/>
  <c r="F108" i="13"/>
  <c r="I108" i="13" s="1"/>
  <c r="E108" i="13"/>
  <c r="AO107" i="13"/>
  <c r="Y107" i="13"/>
  <c r="X107" i="13"/>
  <c r="W107" i="13"/>
  <c r="M107" i="13"/>
  <c r="P107" i="13" s="1"/>
  <c r="L107" i="13"/>
  <c r="N107" i="13" s="1"/>
  <c r="F107" i="13"/>
  <c r="I107" i="13" s="1"/>
  <c r="AO106" i="13"/>
  <c r="Y106" i="13"/>
  <c r="X106" i="13"/>
  <c r="W106" i="13"/>
  <c r="V106" i="13"/>
  <c r="M106" i="13"/>
  <c r="P106" i="13" s="1"/>
  <c r="L106" i="13"/>
  <c r="AM106" i="13" s="1" a="1"/>
  <c r="AM106" i="13" s="1"/>
  <c r="F106" i="13"/>
  <c r="E106" i="13"/>
  <c r="H106" i="13" s="1"/>
  <c r="AO105" i="13"/>
  <c r="Y105" i="13"/>
  <c r="W105" i="13"/>
  <c r="M105" i="13"/>
  <c r="R105" i="13" s="1"/>
  <c r="L105" i="13"/>
  <c r="O105" i="13" s="1"/>
  <c r="AO104" i="13"/>
  <c r="Y104" i="13"/>
  <c r="X104" i="13"/>
  <c r="W104" i="13"/>
  <c r="V104" i="13"/>
  <c r="M104" i="13"/>
  <c r="R104" i="13" s="1"/>
  <c r="L104" i="13"/>
  <c r="F104" i="13"/>
  <c r="E104" i="13"/>
  <c r="H104" i="13" s="1"/>
  <c r="AO103" i="13"/>
  <c r="Y103" i="13"/>
  <c r="X103" i="13"/>
  <c r="W103" i="13"/>
  <c r="V103" i="13"/>
  <c r="M103" i="13"/>
  <c r="L103" i="13"/>
  <c r="O103" i="13" s="1"/>
  <c r="F103" i="13"/>
  <c r="E103" i="13"/>
  <c r="H103" i="13" s="1"/>
  <c r="AO102" i="13"/>
  <c r="AO101" i="13"/>
  <c r="Y101" i="13"/>
  <c r="X101" i="13"/>
  <c r="W101" i="13"/>
  <c r="V101" i="13"/>
  <c r="M101" i="13"/>
  <c r="P101" i="13" s="1"/>
  <c r="L101" i="13"/>
  <c r="AM101" i="13" s="1" a="1"/>
  <c r="AM101" i="13" s="1"/>
  <c r="F101" i="13"/>
  <c r="I101" i="13" s="1"/>
  <c r="E101" i="13"/>
  <c r="AL101" i="13" s="1" a="1"/>
  <c r="AL101" i="13" s="1"/>
  <c r="AO100" i="13"/>
  <c r="Y100" i="13"/>
  <c r="X100" i="13"/>
  <c r="W100" i="13"/>
  <c r="V100" i="13"/>
  <c r="M100" i="13"/>
  <c r="R100" i="13" s="1"/>
  <c r="L100" i="13"/>
  <c r="AM100" i="13" s="1" a="1"/>
  <c r="AM100" i="13" s="1"/>
  <c r="F100" i="13"/>
  <c r="I100" i="13" s="1"/>
  <c r="E100" i="13"/>
  <c r="AL100" i="13" s="1" a="1"/>
  <c r="AL100" i="13" s="1"/>
  <c r="AO99" i="13"/>
  <c r="Y99" i="13"/>
  <c r="X99" i="13"/>
  <c r="W99" i="13"/>
  <c r="V99" i="13"/>
  <c r="M99" i="13"/>
  <c r="R99" i="13" s="1"/>
  <c r="L99" i="13"/>
  <c r="AM99" i="13" s="1" a="1"/>
  <c r="AM99" i="13" s="1"/>
  <c r="F99" i="13"/>
  <c r="I99" i="13" s="1"/>
  <c r="E99" i="13"/>
  <c r="H99" i="13" s="1"/>
  <c r="AO98" i="13"/>
  <c r="Y98" i="13"/>
  <c r="X98" i="13"/>
  <c r="W98" i="13"/>
  <c r="V98" i="13"/>
  <c r="M98" i="13"/>
  <c r="L98" i="13"/>
  <c r="O98" i="13" s="1"/>
  <c r="F98" i="13"/>
  <c r="E98" i="13"/>
  <c r="H98" i="13" s="1"/>
  <c r="AO97" i="13"/>
  <c r="Y97" i="13"/>
  <c r="X97" i="13"/>
  <c r="M97" i="13"/>
  <c r="R97" i="13" s="1"/>
  <c r="AO96" i="13"/>
  <c r="AO95" i="13"/>
  <c r="Y95" i="13"/>
  <c r="X95" i="13"/>
  <c r="M95" i="13"/>
  <c r="R95" i="13" s="1"/>
  <c r="F95" i="13"/>
  <c r="AO94" i="13"/>
  <c r="Y94" i="13"/>
  <c r="X94" i="13"/>
  <c r="W94" i="13"/>
  <c r="M94" i="13"/>
  <c r="R94" i="13" s="1"/>
  <c r="L94" i="13"/>
  <c r="F94" i="13"/>
  <c r="AO93" i="13"/>
  <c r="Y93" i="13"/>
  <c r="W93" i="13"/>
  <c r="M93" i="13"/>
  <c r="P93" i="13" s="1"/>
  <c r="L93" i="13"/>
  <c r="AO92" i="13"/>
  <c r="Y92" i="13"/>
  <c r="X92" i="13"/>
  <c r="V92" i="13"/>
  <c r="M92" i="13"/>
  <c r="F92" i="13"/>
  <c r="I92" i="13" s="1"/>
  <c r="E92" i="13"/>
  <c r="AO91" i="13"/>
  <c r="Y91" i="13"/>
  <c r="W91" i="13"/>
  <c r="M91" i="13"/>
  <c r="R91" i="13" s="1"/>
  <c r="L91" i="13"/>
  <c r="AM91" i="13" s="1" a="1"/>
  <c r="AM91" i="13" s="1"/>
  <c r="AO90" i="13"/>
  <c r="AO89" i="13"/>
  <c r="Y89" i="13"/>
  <c r="X89" i="13"/>
  <c r="W89" i="13"/>
  <c r="V89" i="13"/>
  <c r="M89" i="13"/>
  <c r="P89" i="13" s="1"/>
  <c r="L89" i="13"/>
  <c r="AM89" i="13" s="1" a="1"/>
  <c r="AM89" i="13" s="1"/>
  <c r="F89" i="13"/>
  <c r="I89" i="13" s="1"/>
  <c r="E89" i="13"/>
  <c r="AL89" i="13" s="1" a="1"/>
  <c r="AL89" i="13" s="1"/>
  <c r="AO88" i="13"/>
  <c r="Y88" i="13"/>
  <c r="X88" i="13"/>
  <c r="M88" i="13"/>
  <c r="R88" i="13" s="1"/>
  <c r="F88" i="13"/>
  <c r="AO87" i="13"/>
  <c r="Y87" i="13"/>
  <c r="X87" i="13"/>
  <c r="V87" i="13"/>
  <c r="M87" i="13"/>
  <c r="P87" i="13" s="1"/>
  <c r="F87" i="13"/>
  <c r="E87" i="13"/>
  <c r="AO86" i="13"/>
  <c r="Y86" i="13"/>
  <c r="X86" i="13"/>
  <c r="W86" i="13"/>
  <c r="V86" i="13"/>
  <c r="M86" i="13"/>
  <c r="R86" i="13" s="1"/>
  <c r="L86" i="13"/>
  <c r="AM86" i="13" s="1" a="1"/>
  <c r="AM86" i="13" s="1"/>
  <c r="F86" i="13"/>
  <c r="E86" i="13"/>
  <c r="AO85" i="13"/>
  <c r="Y85" i="13"/>
  <c r="X85" i="13"/>
  <c r="W85" i="13"/>
  <c r="V85" i="13"/>
  <c r="M85" i="13"/>
  <c r="R85" i="13" s="1"/>
  <c r="L85" i="13"/>
  <c r="AM85" i="13" s="1" a="1"/>
  <c r="AM85" i="13" s="1"/>
  <c r="F85" i="13"/>
  <c r="E85" i="13"/>
  <c r="AL85" i="13" s="1" a="1"/>
  <c r="AL85" i="13" s="1"/>
  <c r="AO84" i="13"/>
  <c r="Y84" i="13"/>
  <c r="X84" i="13"/>
  <c r="W84" i="13"/>
  <c r="M84" i="13"/>
  <c r="L84" i="13"/>
  <c r="O84" i="13" s="1"/>
  <c r="F84" i="13"/>
  <c r="AO83" i="13"/>
  <c r="Y83" i="13"/>
  <c r="W83" i="13"/>
  <c r="M83" i="13"/>
  <c r="P83" i="13" s="1"/>
  <c r="L83" i="13"/>
  <c r="AM83" i="13" s="1" a="1"/>
  <c r="AM83" i="13" s="1"/>
  <c r="AO82" i="13"/>
  <c r="Y82" i="13"/>
  <c r="X82" i="13"/>
  <c r="W82" i="13"/>
  <c r="V82" i="13"/>
  <c r="M82" i="13"/>
  <c r="P82" i="13" s="1"/>
  <c r="L82" i="13"/>
  <c r="AM82" i="13" s="1" a="1"/>
  <c r="AM82" i="13" s="1"/>
  <c r="F82" i="13"/>
  <c r="K82" i="13" s="1"/>
  <c r="E82" i="13"/>
  <c r="AL82" i="13" s="1" a="1"/>
  <c r="AL82" i="13" s="1"/>
  <c r="AO81" i="13"/>
  <c r="Y81" i="13"/>
  <c r="X81" i="13"/>
  <c r="W81" i="13"/>
  <c r="V81" i="13"/>
  <c r="M81" i="13"/>
  <c r="L81" i="13"/>
  <c r="F81" i="13"/>
  <c r="K81" i="13" s="1"/>
  <c r="E81" i="13"/>
  <c r="AO80" i="13"/>
  <c r="Y80" i="13"/>
  <c r="X80" i="13"/>
  <c r="W80" i="13"/>
  <c r="V80" i="13"/>
  <c r="M80" i="13"/>
  <c r="L80" i="13"/>
  <c r="O80" i="13" s="1"/>
  <c r="F80" i="13"/>
  <c r="E80" i="13"/>
  <c r="AL80" i="13" s="1" a="1"/>
  <c r="AL80" i="13" s="1"/>
  <c r="AO79" i="13"/>
  <c r="Y79" i="13"/>
  <c r="X79" i="13"/>
  <c r="W79" i="13"/>
  <c r="V79" i="13"/>
  <c r="M79" i="13"/>
  <c r="P79" i="13" s="1"/>
  <c r="L79" i="13"/>
  <c r="AM79" i="13" s="1" a="1"/>
  <c r="AM79" i="13" s="1"/>
  <c r="F79" i="13"/>
  <c r="E79" i="13"/>
  <c r="AL79" i="13" s="1" a="1"/>
  <c r="AL79" i="13" s="1"/>
  <c r="AO78" i="13"/>
  <c r="Y78" i="13"/>
  <c r="X78" i="13"/>
  <c r="W78" i="13"/>
  <c r="V78" i="13"/>
  <c r="M78" i="13"/>
  <c r="R78" i="13" s="1"/>
  <c r="L78" i="13"/>
  <c r="AM78" i="13" s="1" a="1"/>
  <c r="AM78" i="13" s="1"/>
  <c r="F78" i="13"/>
  <c r="I78" i="13" s="1"/>
  <c r="E78" i="13"/>
  <c r="AO77" i="13"/>
  <c r="Y77" i="13"/>
  <c r="X77" i="13"/>
  <c r="W77" i="13"/>
  <c r="V77" i="13"/>
  <c r="M77" i="13"/>
  <c r="R77" i="13" s="1"/>
  <c r="L77" i="13"/>
  <c r="F77" i="13"/>
  <c r="I77" i="13" s="1"/>
  <c r="E77" i="13"/>
  <c r="AL77" i="13" s="1" a="1"/>
  <c r="AL77" i="13" s="1"/>
  <c r="AO76" i="13"/>
  <c r="Y76" i="13"/>
  <c r="X76" i="13"/>
  <c r="W76" i="13"/>
  <c r="V76" i="13"/>
  <c r="M76" i="13"/>
  <c r="L76" i="13"/>
  <c r="O76" i="13" s="1"/>
  <c r="F76" i="13"/>
  <c r="E76" i="13"/>
  <c r="H76" i="13" s="1"/>
  <c r="AO75" i="13"/>
  <c r="Y75" i="13"/>
  <c r="X75" i="13"/>
  <c r="W75" i="13"/>
  <c r="V75" i="13"/>
  <c r="M75" i="13"/>
  <c r="P75" i="13" s="1"/>
  <c r="L75" i="13"/>
  <c r="AM75" i="13" s="1" a="1"/>
  <c r="AM75" i="13" s="1"/>
  <c r="F75" i="13"/>
  <c r="E75" i="13"/>
  <c r="H75" i="13" s="1"/>
  <c r="AO74" i="13"/>
  <c r="Y74" i="13"/>
  <c r="X74" i="13"/>
  <c r="W74" i="13"/>
  <c r="V74" i="13"/>
  <c r="M74" i="13"/>
  <c r="R74" i="13" s="1"/>
  <c r="L74" i="13"/>
  <c r="N74" i="13" s="1"/>
  <c r="F74" i="13"/>
  <c r="E74" i="13"/>
  <c r="AO73" i="13"/>
  <c r="Y73" i="13"/>
  <c r="W73" i="13"/>
  <c r="M73" i="13"/>
  <c r="R73" i="13" s="1"/>
  <c r="L73" i="13"/>
  <c r="N73" i="13" s="1"/>
  <c r="AR73" i="13" s="1"/>
  <c r="AO72" i="13"/>
  <c r="Y72" i="13"/>
  <c r="X72" i="13"/>
  <c r="W72" i="13"/>
  <c r="V72" i="13"/>
  <c r="M72" i="13"/>
  <c r="P72" i="13" s="1"/>
  <c r="L72" i="13"/>
  <c r="AM72" i="13" s="1" a="1"/>
  <c r="AM72" i="13" s="1"/>
  <c r="F72" i="13"/>
  <c r="E72" i="13"/>
  <c r="AL72" i="13" s="1" a="1"/>
  <c r="AL72" i="13" s="1"/>
  <c r="AO71" i="13"/>
  <c r="Y71" i="13"/>
  <c r="X71" i="13"/>
  <c r="W71" i="13"/>
  <c r="V71" i="13"/>
  <c r="M71" i="13"/>
  <c r="R71" i="13" s="1"/>
  <c r="L71" i="13"/>
  <c r="F71" i="13"/>
  <c r="E71" i="13"/>
  <c r="AL71" i="13" s="1" a="1"/>
  <c r="AL71" i="13" s="1"/>
  <c r="AO70" i="13"/>
  <c r="Y70" i="13"/>
  <c r="W70" i="13"/>
  <c r="M70" i="13"/>
  <c r="R70" i="13" s="1"/>
  <c r="L70" i="13"/>
  <c r="AO69" i="13"/>
  <c r="Y69" i="13"/>
  <c r="X69" i="13"/>
  <c r="W69" i="13"/>
  <c r="V69" i="13"/>
  <c r="M69" i="13"/>
  <c r="P69" i="13" s="1"/>
  <c r="L69" i="13"/>
  <c r="O69" i="13" s="1"/>
  <c r="F69" i="13"/>
  <c r="E69" i="13"/>
  <c r="H69" i="13" s="1"/>
  <c r="AO68" i="13"/>
  <c r="Y68" i="13"/>
  <c r="X68" i="13"/>
  <c r="W68" i="13"/>
  <c r="V68" i="13"/>
  <c r="M68" i="13"/>
  <c r="R68" i="13" s="1"/>
  <c r="L68" i="13"/>
  <c r="AM68" i="13" s="1" a="1"/>
  <c r="AM68" i="13" s="1"/>
  <c r="F68" i="13"/>
  <c r="K68" i="13" s="1"/>
  <c r="E68" i="13"/>
  <c r="AO67" i="13"/>
  <c r="Y67" i="13"/>
  <c r="X67" i="13"/>
  <c r="W67" i="13"/>
  <c r="V67" i="13"/>
  <c r="M67" i="13"/>
  <c r="R67" i="13" s="1"/>
  <c r="L67" i="13"/>
  <c r="F67" i="13"/>
  <c r="K67" i="13" s="1"/>
  <c r="E67" i="13"/>
  <c r="AO66" i="13"/>
  <c r="Y66" i="13"/>
  <c r="X66" i="13"/>
  <c r="W66" i="13"/>
  <c r="M66" i="13"/>
  <c r="R66" i="13" s="1"/>
  <c r="L66" i="13"/>
  <c r="O66" i="13" s="1"/>
  <c r="F66" i="13"/>
  <c r="AO65" i="13"/>
  <c r="Y65" i="13"/>
  <c r="X65" i="13"/>
  <c r="W65" i="13"/>
  <c r="M65" i="13"/>
  <c r="R65" i="13" s="1"/>
  <c r="L65" i="13"/>
  <c r="AM65" i="13" s="1" a="1"/>
  <c r="AM65" i="13" s="1"/>
  <c r="F65" i="13"/>
  <c r="K65" i="13" s="1"/>
  <c r="AO64" i="13"/>
  <c r="Y64" i="13"/>
  <c r="X64" i="13"/>
  <c r="W64" i="13"/>
  <c r="V64" i="13"/>
  <c r="M64" i="13"/>
  <c r="P64" i="13" s="1"/>
  <c r="L64" i="13"/>
  <c r="AM64" i="13" s="1" a="1"/>
  <c r="AM64" i="13" s="1"/>
  <c r="F64" i="13"/>
  <c r="K64" i="13" s="1"/>
  <c r="E64" i="13"/>
  <c r="AO63" i="13"/>
  <c r="Y63" i="13"/>
  <c r="X63" i="13"/>
  <c r="W63" i="13"/>
  <c r="V63" i="13"/>
  <c r="M63" i="13"/>
  <c r="R63" i="13" s="1"/>
  <c r="L63" i="13"/>
  <c r="AM63" i="13" s="1" a="1"/>
  <c r="AM63" i="13" s="1"/>
  <c r="F63" i="13"/>
  <c r="K63" i="13" s="1"/>
  <c r="E63" i="13"/>
  <c r="AO62" i="13"/>
  <c r="Y62" i="13"/>
  <c r="X62" i="13"/>
  <c r="W62" i="13"/>
  <c r="V62" i="13"/>
  <c r="M62" i="13"/>
  <c r="R62" i="13" s="1"/>
  <c r="L62" i="13"/>
  <c r="N62" i="13" s="1"/>
  <c r="F62" i="13"/>
  <c r="E62" i="13"/>
  <c r="AL62" i="13" s="1" a="1"/>
  <c r="AL62" i="13" s="1"/>
  <c r="AO61" i="13"/>
  <c r="Y61" i="13"/>
  <c r="X61" i="13"/>
  <c r="W61" i="13"/>
  <c r="V61" i="13"/>
  <c r="M61" i="13"/>
  <c r="R61" i="13" s="1"/>
  <c r="L61" i="13"/>
  <c r="O61" i="13" s="1"/>
  <c r="F61" i="13"/>
  <c r="E61" i="13"/>
  <c r="AL61" i="13" s="1" a="1"/>
  <c r="AL61" i="13" s="1"/>
  <c r="AO60" i="13"/>
  <c r="Y60" i="13"/>
  <c r="X60" i="13"/>
  <c r="W60" i="13"/>
  <c r="M60" i="13"/>
  <c r="P60" i="13" s="1"/>
  <c r="L60" i="13"/>
  <c r="AM60" i="13" s="1" a="1"/>
  <c r="AM60" i="13" s="1"/>
  <c r="F60" i="13"/>
  <c r="K60" i="13" s="1"/>
  <c r="AO59" i="13"/>
  <c r="X59" i="13"/>
  <c r="F59" i="13"/>
  <c r="AO58" i="13"/>
  <c r="Y58" i="13"/>
  <c r="X58" i="13"/>
  <c r="W58" i="13"/>
  <c r="V58" i="13"/>
  <c r="M58" i="13"/>
  <c r="P58" i="13" s="1"/>
  <c r="L58" i="13"/>
  <c r="AM58" i="13" s="1" a="1"/>
  <c r="AM58" i="13" s="1"/>
  <c r="F58" i="13"/>
  <c r="I58" i="13" s="1"/>
  <c r="E58" i="13"/>
  <c r="AL58" i="13" s="1" a="1"/>
  <c r="AL58" i="13" s="1"/>
  <c r="AO57" i="13"/>
  <c r="Y57" i="13"/>
  <c r="X57" i="13"/>
  <c r="W57" i="13"/>
  <c r="V57" i="13"/>
  <c r="M57" i="13"/>
  <c r="P57" i="13" s="1"/>
  <c r="L57" i="13"/>
  <c r="F57" i="13"/>
  <c r="I57" i="13" s="1"/>
  <c r="E57" i="13"/>
  <c r="AL57" i="13" s="1" a="1"/>
  <c r="AL57" i="13" s="1"/>
  <c r="AO56" i="13"/>
  <c r="Y56" i="13"/>
  <c r="X56" i="13"/>
  <c r="W56" i="13"/>
  <c r="V56" i="13"/>
  <c r="M56" i="13"/>
  <c r="R56" i="13" s="1"/>
  <c r="L56" i="13"/>
  <c r="F56" i="13"/>
  <c r="E56" i="13"/>
  <c r="H56" i="13" s="1"/>
  <c r="AO55" i="13"/>
  <c r="Y55" i="13"/>
  <c r="X55" i="13"/>
  <c r="M55" i="13"/>
  <c r="F55" i="13"/>
  <c r="AO54" i="13"/>
  <c r="Y54" i="13"/>
  <c r="X54" i="13"/>
  <c r="W54" i="13"/>
  <c r="V54" i="13"/>
  <c r="M54" i="13"/>
  <c r="P54" i="13" s="1"/>
  <c r="L54" i="13"/>
  <c r="AM54" i="13" s="1" a="1"/>
  <c r="AM54" i="13" s="1"/>
  <c r="F54" i="13"/>
  <c r="I54" i="13" s="1"/>
  <c r="E54" i="13"/>
  <c r="AL54" i="13" s="1" a="1"/>
  <c r="AL54" i="13" s="1"/>
  <c r="AO53" i="13"/>
  <c r="X53" i="13"/>
  <c r="F53" i="13"/>
  <c r="AO52" i="13"/>
  <c r="Y52" i="13"/>
  <c r="X52" i="13"/>
  <c r="W52" i="13"/>
  <c r="V52" i="13"/>
  <c r="M52" i="13"/>
  <c r="R52" i="13" s="1"/>
  <c r="L52" i="13"/>
  <c r="N52" i="13" s="1"/>
  <c r="F52" i="13"/>
  <c r="E52" i="13"/>
  <c r="H52" i="13" s="1"/>
  <c r="AO51" i="13"/>
  <c r="Y51" i="13"/>
  <c r="X51" i="13"/>
  <c r="W51" i="13"/>
  <c r="M51" i="13"/>
  <c r="R51" i="13" s="1"/>
  <c r="L51" i="13"/>
  <c r="N51" i="13" s="1"/>
  <c r="F51" i="13"/>
  <c r="AO50" i="13"/>
  <c r="Y50" i="13"/>
  <c r="X50" i="13"/>
  <c r="W50" i="13"/>
  <c r="V50" i="13"/>
  <c r="M50" i="13"/>
  <c r="R50" i="13" s="1"/>
  <c r="L50" i="13"/>
  <c r="O50" i="13" s="1"/>
  <c r="F50" i="13"/>
  <c r="K50" i="13" s="1"/>
  <c r="E50" i="13"/>
  <c r="AO49" i="13"/>
  <c r="Y49" i="13"/>
  <c r="X49" i="13"/>
  <c r="W49" i="13"/>
  <c r="V49" i="13"/>
  <c r="M49" i="13"/>
  <c r="P49" i="13" s="1"/>
  <c r="L49" i="13"/>
  <c r="AM49" i="13" s="1" a="1"/>
  <c r="AM49" i="13" s="1"/>
  <c r="F49" i="13"/>
  <c r="I49" i="13" s="1"/>
  <c r="E49" i="13"/>
  <c r="AO48" i="13"/>
  <c r="Y48" i="13"/>
  <c r="X48" i="13"/>
  <c r="W48" i="13"/>
  <c r="V48" i="13"/>
  <c r="M48" i="13"/>
  <c r="P48" i="13" s="1"/>
  <c r="L48" i="13"/>
  <c r="AM48" i="13" s="1" a="1"/>
  <c r="AM48" i="13" s="1"/>
  <c r="F48" i="13"/>
  <c r="I48" i="13" s="1"/>
  <c r="E48" i="13"/>
  <c r="AL48" i="13" s="1" a="1"/>
  <c r="AL48" i="13" s="1"/>
  <c r="AO47" i="13"/>
  <c r="Y47" i="13"/>
  <c r="X47" i="13"/>
  <c r="W47" i="13"/>
  <c r="V47" i="13"/>
  <c r="M47" i="13"/>
  <c r="R47" i="13" s="1"/>
  <c r="L47" i="13"/>
  <c r="N47" i="13" s="1"/>
  <c r="F47" i="13"/>
  <c r="E47" i="13"/>
  <c r="H47" i="13" s="1"/>
  <c r="AO46" i="13"/>
  <c r="Y46" i="13"/>
  <c r="W46" i="13"/>
  <c r="M46" i="13"/>
  <c r="R46" i="13" s="1"/>
  <c r="L46" i="13"/>
  <c r="O46" i="13" s="1"/>
  <c r="AO45" i="13"/>
  <c r="Y45" i="13"/>
  <c r="W45" i="13"/>
  <c r="M45" i="13"/>
  <c r="R45" i="13" s="1"/>
  <c r="L45" i="13"/>
  <c r="N45" i="13" s="1"/>
  <c r="AO44" i="13"/>
  <c r="Y44" i="13"/>
  <c r="X44" i="13"/>
  <c r="W44" i="13"/>
  <c r="V44" i="13"/>
  <c r="M44" i="13"/>
  <c r="R44" i="13" s="1"/>
  <c r="L44" i="13"/>
  <c r="N44" i="13" s="1"/>
  <c r="F44" i="13"/>
  <c r="K44" i="13" s="1"/>
  <c r="E44" i="13"/>
  <c r="AO43" i="13"/>
  <c r="Y43" i="13"/>
  <c r="X43" i="13"/>
  <c r="W43" i="13"/>
  <c r="V43" i="13"/>
  <c r="M43" i="13"/>
  <c r="R43" i="13" s="1"/>
  <c r="L43" i="13"/>
  <c r="O43" i="13" s="1"/>
  <c r="F43" i="13"/>
  <c r="I43" i="13" s="1"/>
  <c r="E43" i="13"/>
  <c r="AO42" i="13"/>
  <c r="Y42" i="13"/>
  <c r="X42" i="13"/>
  <c r="W42" i="13"/>
  <c r="V42" i="13"/>
  <c r="M42" i="13"/>
  <c r="P42" i="13" s="1"/>
  <c r="L42" i="13"/>
  <c r="AM42" i="13" s="1" a="1"/>
  <c r="AM42" i="13" s="1"/>
  <c r="F42" i="13"/>
  <c r="I42" i="13" s="1"/>
  <c r="E42" i="13"/>
  <c r="AL42" i="13" s="1" a="1"/>
  <c r="AL42" i="13" s="1"/>
  <c r="AO41" i="13"/>
  <c r="Y41" i="13"/>
  <c r="X41" i="13"/>
  <c r="W41" i="13"/>
  <c r="V41" i="13"/>
  <c r="M41" i="13"/>
  <c r="P41" i="13" s="1"/>
  <c r="L41" i="13"/>
  <c r="AM41" i="13" s="1" a="1"/>
  <c r="AM41" i="13" s="1"/>
  <c r="F41" i="13"/>
  <c r="E41" i="13"/>
  <c r="H41" i="13" s="1"/>
  <c r="AO40" i="13"/>
  <c r="Y40" i="13"/>
  <c r="X40" i="13"/>
  <c r="W40" i="13"/>
  <c r="V40" i="13"/>
  <c r="M40" i="13"/>
  <c r="R40" i="13" s="1"/>
  <c r="L40" i="13"/>
  <c r="F40" i="13"/>
  <c r="K40" i="13" s="1"/>
  <c r="E40" i="13"/>
  <c r="AO39" i="13"/>
  <c r="AO38" i="13"/>
  <c r="Y38" i="13"/>
  <c r="X38" i="13"/>
  <c r="W38" i="13"/>
  <c r="V38" i="13"/>
  <c r="M38" i="13"/>
  <c r="R38" i="13" s="1"/>
  <c r="L38" i="13"/>
  <c r="O38" i="13" s="1"/>
  <c r="F38" i="13"/>
  <c r="I38" i="13" s="1"/>
  <c r="E38" i="13"/>
  <c r="AL38" i="13" s="1" a="1"/>
  <c r="AL38" i="13" s="1"/>
  <c r="AO37" i="13"/>
  <c r="Y37" i="13"/>
  <c r="X37" i="13"/>
  <c r="W37" i="13"/>
  <c r="V37" i="13"/>
  <c r="M37" i="13"/>
  <c r="P37" i="13" s="1"/>
  <c r="L37" i="13"/>
  <c r="AM37" i="13" s="1" a="1"/>
  <c r="AM37" i="13" s="1"/>
  <c r="F37" i="13"/>
  <c r="E37" i="13"/>
  <c r="H37" i="13" s="1"/>
  <c r="AO36" i="13"/>
  <c r="Y36" i="13"/>
  <c r="X36" i="13"/>
  <c r="W36" i="13"/>
  <c r="V36" i="13"/>
  <c r="M36" i="13"/>
  <c r="P36" i="13" s="1"/>
  <c r="L36" i="13"/>
  <c r="AM36" i="13" s="1" a="1"/>
  <c r="AM36" i="13" s="1"/>
  <c r="F36" i="13"/>
  <c r="E36" i="13"/>
  <c r="AO35" i="13"/>
  <c r="Y35" i="13"/>
  <c r="X35" i="13"/>
  <c r="W35" i="13"/>
  <c r="V35" i="13"/>
  <c r="M35" i="13"/>
  <c r="R35" i="13" s="1"/>
  <c r="L35" i="13"/>
  <c r="N35" i="13" s="1"/>
  <c r="F35" i="13"/>
  <c r="E35" i="13"/>
  <c r="AL35" i="13" s="1" a="1"/>
  <c r="AL35" i="13" s="1"/>
  <c r="AO34" i="13"/>
  <c r="Y34" i="13"/>
  <c r="X34" i="13"/>
  <c r="W34" i="13"/>
  <c r="M34" i="13"/>
  <c r="R34" i="13" s="1"/>
  <c r="L34" i="13"/>
  <c r="O34" i="13" s="1"/>
  <c r="F34" i="13"/>
  <c r="AO33" i="13"/>
  <c r="X33" i="13"/>
  <c r="V33" i="13"/>
  <c r="F33" i="13"/>
  <c r="E33" i="13"/>
  <c r="AO32" i="13"/>
  <c r="Y32" i="13"/>
  <c r="X32" i="13"/>
  <c r="W32" i="13"/>
  <c r="M32" i="13"/>
  <c r="P32" i="13" s="1"/>
  <c r="L32" i="13"/>
  <c r="O32" i="13" s="1"/>
  <c r="F32" i="13"/>
  <c r="AO31" i="13"/>
  <c r="Y31" i="13"/>
  <c r="X31" i="13"/>
  <c r="W31" i="13"/>
  <c r="M31" i="13"/>
  <c r="R31" i="13" s="1"/>
  <c r="L31" i="13"/>
  <c r="N31" i="13" s="1"/>
  <c r="F31" i="13"/>
  <c r="AO30" i="13"/>
  <c r="Y30" i="13"/>
  <c r="X30" i="13"/>
  <c r="W30" i="13"/>
  <c r="V30" i="13"/>
  <c r="M30" i="13"/>
  <c r="P30" i="13" s="1"/>
  <c r="L30" i="13"/>
  <c r="N30" i="13" s="1"/>
  <c r="F30" i="13"/>
  <c r="E30" i="13"/>
  <c r="AL30" i="13" s="1" a="1"/>
  <c r="AL30" i="13" s="1"/>
  <c r="AO29" i="13"/>
  <c r="Y29" i="13"/>
  <c r="X29" i="13"/>
  <c r="W29" i="13"/>
  <c r="V29" i="13"/>
  <c r="M29" i="13"/>
  <c r="R29" i="13" s="1"/>
  <c r="L29" i="13"/>
  <c r="O29" i="13" s="1"/>
  <c r="F29" i="13"/>
  <c r="I29" i="13" s="1"/>
  <c r="E29" i="13"/>
  <c r="AO28" i="13"/>
  <c r="Y28" i="13"/>
  <c r="X28" i="13"/>
  <c r="W28" i="13"/>
  <c r="V28" i="13"/>
  <c r="M28" i="13"/>
  <c r="P28" i="13" s="1"/>
  <c r="L28" i="13"/>
  <c r="AM28" i="13" s="1" a="1"/>
  <c r="AM28" i="13" s="1"/>
  <c r="F28" i="13"/>
  <c r="I28" i="13" s="1"/>
  <c r="E28" i="13"/>
  <c r="H28" i="13" s="1"/>
  <c r="AO27" i="13"/>
  <c r="Y27" i="13"/>
  <c r="W27" i="13"/>
  <c r="M27" i="13"/>
  <c r="P27" i="13" s="1"/>
  <c r="L27" i="13"/>
  <c r="AM27" i="13" s="1" a="1"/>
  <c r="AM27" i="13" s="1"/>
  <c r="AO26" i="13"/>
  <c r="Y26" i="13"/>
  <c r="X26" i="13"/>
  <c r="W26" i="13"/>
  <c r="V26" i="13"/>
  <c r="M26" i="13"/>
  <c r="P26" i="13" s="1"/>
  <c r="L26" i="13"/>
  <c r="N26" i="13" s="1"/>
  <c r="F26" i="13"/>
  <c r="I26" i="13" s="1"/>
  <c r="E26" i="13"/>
  <c r="AL26" i="13" s="1" a="1"/>
  <c r="AL26" i="13" s="1"/>
  <c r="AO25" i="13"/>
  <c r="Y25" i="13"/>
  <c r="X25" i="13"/>
  <c r="W25" i="13"/>
  <c r="V25" i="13"/>
  <c r="M25" i="13"/>
  <c r="R25" i="13" s="1"/>
  <c r="L25" i="13"/>
  <c r="O25" i="13" s="1"/>
  <c r="F25" i="13"/>
  <c r="I25" i="13" s="1"/>
  <c r="E25" i="13"/>
  <c r="H25" i="13" s="1"/>
  <c r="AO24" i="13"/>
  <c r="Y24" i="13"/>
  <c r="X24" i="13"/>
  <c r="W24" i="13"/>
  <c r="V24" i="13"/>
  <c r="M24" i="13"/>
  <c r="P24" i="13" s="1"/>
  <c r="L24" i="13"/>
  <c r="AM24" i="13" s="1" a="1"/>
  <c r="AM24" i="13" s="1"/>
  <c r="F24" i="13"/>
  <c r="I24" i="13" s="1"/>
  <c r="E24" i="13"/>
  <c r="H24" i="13" s="1"/>
  <c r="AO23" i="13"/>
  <c r="Y23" i="13"/>
  <c r="X23" i="13"/>
  <c r="W23" i="13"/>
  <c r="V23" i="13"/>
  <c r="M23" i="13"/>
  <c r="P23" i="13" s="1"/>
  <c r="L23" i="13"/>
  <c r="AM23" i="13" s="1" a="1"/>
  <c r="AM23" i="13" s="1"/>
  <c r="F23" i="13"/>
  <c r="I23" i="13" s="1"/>
  <c r="E23" i="13"/>
  <c r="AL23" i="13" s="1" a="1"/>
  <c r="AL23" i="13" s="1"/>
  <c r="AO22" i="13"/>
  <c r="Y22" i="13"/>
  <c r="W22" i="13"/>
  <c r="M22" i="13"/>
  <c r="P22" i="13" s="1"/>
  <c r="L22" i="13"/>
  <c r="N22" i="13" s="1"/>
  <c r="AR22" i="13" s="1"/>
  <c r="AO21" i="13"/>
  <c r="Y21" i="13"/>
  <c r="X21" i="13"/>
  <c r="W21" i="13"/>
  <c r="V21" i="13"/>
  <c r="M21" i="13"/>
  <c r="P21" i="13" s="1"/>
  <c r="L21" i="13"/>
  <c r="AM21" i="13" s="1" a="1"/>
  <c r="AM21" i="13" s="1"/>
  <c r="F21" i="13"/>
  <c r="I21" i="13" s="1"/>
  <c r="E21" i="13"/>
  <c r="AL21" i="13" s="1" a="1"/>
  <c r="AL21" i="13" s="1"/>
  <c r="AO20" i="13"/>
  <c r="Y20" i="13"/>
  <c r="X20" i="13"/>
  <c r="W20" i="13"/>
  <c r="V20" i="13"/>
  <c r="M20" i="13"/>
  <c r="R20" i="13" s="1"/>
  <c r="L20" i="13"/>
  <c r="N20" i="13" s="1"/>
  <c r="F20" i="13"/>
  <c r="I20" i="13" s="1"/>
  <c r="E20" i="13"/>
  <c r="H20" i="13" s="1"/>
  <c r="AO19" i="13"/>
  <c r="Y19" i="13"/>
  <c r="X19" i="13"/>
  <c r="W19" i="13"/>
  <c r="M19" i="13"/>
  <c r="R19" i="13" s="1"/>
  <c r="L19" i="13"/>
  <c r="O19" i="13" s="1"/>
  <c r="F19" i="13"/>
  <c r="AO18" i="13"/>
  <c r="Y18" i="13"/>
  <c r="X18" i="13"/>
  <c r="W18" i="13"/>
  <c r="M18" i="13"/>
  <c r="R18" i="13" s="1"/>
  <c r="L18" i="13"/>
  <c r="O18" i="13" s="1"/>
  <c r="F18" i="13"/>
  <c r="AO17" i="13"/>
  <c r="Y17" i="13"/>
  <c r="X17" i="13"/>
  <c r="W17" i="13"/>
  <c r="V17" i="13"/>
  <c r="M17" i="13"/>
  <c r="R17" i="13" s="1"/>
  <c r="L17" i="13"/>
  <c r="O17" i="13" s="1"/>
  <c r="F17" i="13"/>
  <c r="I17" i="13" s="1"/>
  <c r="E17" i="13"/>
  <c r="AL17" i="13" s="1" a="1"/>
  <c r="AL17" i="13" s="1"/>
  <c r="AO16" i="13"/>
  <c r="Y16" i="13"/>
  <c r="X16" i="13"/>
  <c r="W16" i="13"/>
  <c r="V16" i="13"/>
  <c r="M16" i="13"/>
  <c r="P16" i="13" s="1"/>
  <c r="L16" i="13"/>
  <c r="AM16" i="13" s="1" a="1"/>
  <c r="AM16" i="13" s="1"/>
  <c r="F16" i="13"/>
  <c r="I16" i="13" s="1"/>
  <c r="E16" i="13"/>
  <c r="H16" i="13" s="1"/>
  <c r="AO15" i="13"/>
  <c r="Y15" i="13"/>
  <c r="X15" i="13"/>
  <c r="W15" i="13"/>
  <c r="V15" i="13"/>
  <c r="M15" i="13"/>
  <c r="P15" i="13" s="1"/>
  <c r="L15" i="13"/>
  <c r="AM15" i="13" s="1" a="1"/>
  <c r="AM15" i="13" s="1"/>
  <c r="F15" i="13"/>
  <c r="K15" i="13" s="1"/>
  <c r="E15" i="13"/>
  <c r="H15" i="13" s="1"/>
  <c r="AO14" i="13"/>
  <c r="Y14" i="13"/>
  <c r="X14" i="13"/>
  <c r="W14" i="13"/>
  <c r="M14" i="13"/>
  <c r="P14" i="13" s="1"/>
  <c r="L14" i="13"/>
  <c r="O14" i="13" s="1"/>
  <c r="F14" i="13"/>
  <c r="AO13" i="13"/>
  <c r="Y13" i="13"/>
  <c r="X13" i="13"/>
  <c r="W13" i="13"/>
  <c r="V13" i="13"/>
  <c r="M13" i="13"/>
  <c r="P13" i="13" s="1"/>
  <c r="L13" i="13"/>
  <c r="N13" i="13" s="1"/>
  <c r="F13" i="13"/>
  <c r="I13" i="13" s="1"/>
  <c r="E13" i="13"/>
  <c r="AL13" i="13" s="1" a="1"/>
  <c r="AL13" i="13" s="1"/>
  <c r="AO12" i="13"/>
  <c r="Y12" i="13"/>
  <c r="X12" i="13"/>
  <c r="V12" i="13"/>
  <c r="M12" i="13"/>
  <c r="F12" i="13"/>
  <c r="I12" i="13" s="1"/>
  <c r="E12" i="13"/>
  <c r="AL12" i="13" s="1" a="1"/>
  <c r="AL12" i="13" s="1"/>
  <c r="AO11" i="13"/>
  <c r="Y11" i="13"/>
  <c r="X11" i="13"/>
  <c r="W11" i="13"/>
  <c r="V11" i="13"/>
  <c r="M11" i="13"/>
  <c r="P11" i="13" s="1"/>
  <c r="L11" i="13"/>
  <c r="N11" i="13" s="1"/>
  <c r="F11" i="13"/>
  <c r="E11" i="13"/>
  <c r="H11" i="13" s="1"/>
  <c r="AO10" i="13"/>
  <c r="Y10" i="13"/>
  <c r="X10" i="13"/>
  <c r="W10" i="13"/>
  <c r="V10" i="13"/>
  <c r="M10" i="13"/>
  <c r="R10" i="13" s="1"/>
  <c r="L10" i="13"/>
  <c r="O10" i="13" s="1"/>
  <c r="F10" i="13"/>
  <c r="E10" i="13"/>
  <c r="H10" i="13" s="1"/>
  <c r="AO9" i="13"/>
  <c r="Y9" i="13"/>
  <c r="X9" i="13"/>
  <c r="W9" i="13"/>
  <c r="V9" i="13"/>
  <c r="M9" i="13"/>
  <c r="P9" i="13" s="1"/>
  <c r="L9" i="13"/>
  <c r="AM9" i="13" s="1" a="1"/>
  <c r="AM9" i="13" s="1"/>
  <c r="F9" i="13"/>
  <c r="E9" i="13"/>
  <c r="H9" i="13" s="1"/>
  <c r="AO8" i="13"/>
  <c r="Y8" i="13"/>
  <c r="X8" i="13"/>
  <c r="W8" i="13"/>
  <c r="V8" i="13"/>
  <c r="M8" i="13"/>
  <c r="P8" i="13" s="1"/>
  <c r="L8" i="13"/>
  <c r="AM8" i="13" s="1" a="1"/>
  <c r="AM8" i="13" s="1"/>
  <c r="F8" i="13"/>
  <c r="E8" i="13"/>
  <c r="H8" i="13" s="1"/>
  <c r="AO7" i="13"/>
  <c r="Y7" i="13"/>
  <c r="X7" i="13"/>
  <c r="W7" i="13"/>
  <c r="V7" i="13"/>
  <c r="M7" i="13"/>
  <c r="R7" i="13" s="1"/>
  <c r="L7" i="13"/>
  <c r="N7" i="13" s="1"/>
  <c r="F7" i="13"/>
  <c r="E7" i="13"/>
  <c r="AL7" i="13" s="1" a="1"/>
  <c r="AL7" i="13" s="1"/>
  <c r="AO6" i="13"/>
  <c r="Y6" i="13"/>
  <c r="X6" i="13"/>
  <c r="W6" i="13"/>
  <c r="V6" i="13"/>
  <c r="M6" i="13"/>
  <c r="R6" i="13" s="1"/>
  <c r="L6" i="13"/>
  <c r="O6" i="13" s="1"/>
  <c r="F6" i="13"/>
  <c r="K6" i="13" s="1"/>
  <c r="E6" i="13"/>
  <c r="AL6" i="13" s="1" a="1"/>
  <c r="AL6" i="13" s="1"/>
  <c r="AO5" i="13"/>
  <c r="Y5" i="13"/>
  <c r="W5" i="13"/>
  <c r="M5" i="13"/>
  <c r="P5" i="13" s="1"/>
  <c r="L5" i="13"/>
  <c r="AM5" i="13" s="1" a="1"/>
  <c r="AM5" i="13" s="1"/>
  <c r="AO4" i="13"/>
  <c r="Y4" i="13"/>
  <c r="X4" i="13"/>
  <c r="W4" i="13"/>
  <c r="V4" i="13"/>
  <c r="M4" i="13"/>
  <c r="P4" i="13" s="1"/>
  <c r="L4" i="13"/>
  <c r="AM4" i="13" s="1" a="1"/>
  <c r="AM4" i="13" s="1"/>
  <c r="F4" i="13"/>
  <c r="I4" i="13" s="1"/>
  <c r="E4" i="13"/>
  <c r="H4" i="13" s="1"/>
  <c r="AO3" i="13"/>
  <c r="Y3" i="13"/>
  <c r="W3" i="13"/>
  <c r="M3" i="13"/>
  <c r="P3" i="13" s="1"/>
  <c r="L3" i="13"/>
  <c r="AM3" i="13" s="1" a="1"/>
  <c r="AM3" i="13" s="1"/>
  <c r="AO2" i="13"/>
  <c r="Y2" i="13"/>
  <c r="X2" i="13"/>
  <c r="W2" i="13"/>
  <c r="V2" i="13"/>
  <c r="M2" i="13"/>
  <c r="P2" i="13" s="1"/>
  <c r="L2" i="13"/>
  <c r="AM2" i="13" s="1" a="1"/>
  <c r="AM2" i="13" s="1"/>
  <c r="F2" i="13"/>
  <c r="I2" i="13" s="1"/>
  <c r="E2" i="13"/>
  <c r="AL2" i="13" s="1" a="1"/>
  <c r="AL2" i="13" s="1"/>
  <c r="F23" i="26" l="1" a="1"/>
  <c r="F23" i="26" s="1"/>
  <c r="D25" i="26" a="1"/>
  <c r="D25" i="26" s="1"/>
  <c r="M47" i="6"/>
  <c r="O1502" i="6"/>
  <c r="W1502" i="6"/>
  <c r="T1497" i="6"/>
  <c r="O1070" i="6"/>
  <c r="O1493" i="6"/>
  <c r="O1489" i="6"/>
  <c r="O1492" i="6"/>
  <c r="O1491" i="6"/>
  <c r="W1491" i="6"/>
  <c r="O1490" i="6"/>
  <c r="W1490" i="6"/>
  <c r="W1011" i="6"/>
  <c r="W1489" i="6"/>
  <c r="O1436" i="6"/>
  <c r="O1483" i="6"/>
  <c r="W1436" i="6"/>
  <c r="W1483" i="6"/>
  <c r="T1482" i="6"/>
  <c r="O1157" i="6"/>
  <c r="W1480" i="6"/>
  <c r="O1480" i="6"/>
  <c r="O1479" i="6"/>
  <c r="W1479" i="6"/>
  <c r="O1477" i="6"/>
  <c r="O1476" i="6"/>
  <c r="W1476" i="6"/>
  <c r="W1477" i="6"/>
  <c r="T1478" i="6"/>
  <c r="O1469" i="6"/>
  <c r="O1472" i="6"/>
  <c r="O1468" i="6"/>
  <c r="V86" i="6"/>
  <c r="O1467" i="6"/>
  <c r="V138" i="6"/>
  <c r="X470" i="13" s="1"/>
  <c r="V443" i="6"/>
  <c r="V89" i="6"/>
  <c r="O1463" i="6"/>
  <c r="W1463" i="6"/>
  <c r="O1464" i="6"/>
  <c r="W1464" i="6"/>
  <c r="O1465" i="6"/>
  <c r="R1465" i="6" s="1"/>
  <c r="W1465" i="6"/>
  <c r="W1460" i="6"/>
  <c r="O1460" i="6"/>
  <c r="R1460" i="6" s="1"/>
  <c r="O1457" i="6"/>
  <c r="O1453" i="6"/>
  <c r="W1453" i="6"/>
  <c r="O1450" i="6"/>
  <c r="O1452" i="6"/>
  <c r="O1448" i="6"/>
  <c r="W1447" i="6"/>
  <c r="O1449" i="6"/>
  <c r="W1449" i="6"/>
  <c r="O1443" i="6"/>
  <c r="W1443" i="6"/>
  <c r="O1447" i="6"/>
  <c r="W1421" i="6"/>
  <c r="O1435" i="6"/>
  <c r="O1349" i="6"/>
  <c r="W1349" i="6"/>
  <c r="O1408" i="6"/>
  <c r="O1433" i="6"/>
  <c r="W1408" i="6"/>
  <c r="W1433" i="6"/>
  <c r="O1429" i="6"/>
  <c r="O1430" i="6"/>
  <c r="O1431" i="6"/>
  <c r="O1409" i="6"/>
  <c r="O1399" i="6"/>
  <c r="R1399" i="6" s="1"/>
  <c r="W1399" i="6"/>
  <c r="W1405" i="6"/>
  <c r="H696" i="13"/>
  <c r="G696" i="13"/>
  <c r="AQ696" i="13" s="1"/>
  <c r="S696" i="13"/>
  <c r="AA696" i="13" s="1"/>
  <c r="W1069" i="6"/>
  <c r="V696" i="13"/>
  <c r="Z696" i="13" s="1"/>
  <c r="E688" i="13"/>
  <c r="H688" i="13" s="1"/>
  <c r="E690" i="13"/>
  <c r="O1425" i="6"/>
  <c r="M48" i="6"/>
  <c r="O1421" i="6"/>
  <c r="O1352" i="6"/>
  <c r="W1352" i="6"/>
  <c r="O1418" i="6"/>
  <c r="O1389" i="6"/>
  <c r="O1414" i="6"/>
  <c r="W1389" i="6"/>
  <c r="W1414" i="6"/>
  <c r="W1418" i="6"/>
  <c r="O1412" i="6"/>
  <c r="O1417" i="6"/>
  <c r="W1412" i="6"/>
  <c r="W1417" i="6"/>
  <c r="O1411" i="6"/>
  <c r="W1411" i="6"/>
  <c r="O1406" i="6"/>
  <c r="O1403" i="6"/>
  <c r="R1403" i="6" s="1"/>
  <c r="W1403" i="6"/>
  <c r="O1405" i="6"/>
  <c r="R1405" i="6" s="1"/>
  <c r="E392" i="13"/>
  <c r="H392" i="13" s="1"/>
  <c r="W81" i="6"/>
  <c r="O1400" i="6"/>
  <c r="W1400" i="6"/>
  <c r="O1350" i="6"/>
  <c r="E677" i="13"/>
  <c r="H677" i="13" s="1"/>
  <c r="E678" i="13"/>
  <c r="V677" i="13"/>
  <c r="V678" i="13"/>
  <c r="Z678" i="13" s="1"/>
  <c r="O1386" i="6"/>
  <c r="X256" i="13"/>
  <c r="X677" i="13"/>
  <c r="M161" i="6"/>
  <c r="F677" i="13"/>
  <c r="T677" i="13" s="1"/>
  <c r="W1386" i="6"/>
  <c r="T1385" i="6"/>
  <c r="N70" i="13"/>
  <c r="AR70" i="13" s="1"/>
  <c r="O1379" i="6"/>
  <c r="O1382" i="6"/>
  <c r="W1382" i="6"/>
  <c r="O1377" i="6"/>
  <c r="W1377" i="6"/>
  <c r="O679" i="6"/>
  <c r="O1380" i="6"/>
  <c r="E517" i="13"/>
  <c r="H517" i="13" s="1"/>
  <c r="O1373" i="6"/>
  <c r="R1373" i="6" s="1"/>
  <c r="W283" i="6"/>
  <c r="W1373" i="6"/>
  <c r="O1370" i="6"/>
  <c r="W1370" i="6"/>
  <c r="O1371" i="6"/>
  <c r="W1371" i="6"/>
  <c r="O1366" i="6"/>
  <c r="W1366" i="6"/>
  <c r="W398" i="6"/>
  <c r="W1368" i="6"/>
  <c r="O1365" i="6"/>
  <c r="O1369" i="6"/>
  <c r="O1360" i="6"/>
  <c r="R1360" i="6" s="1"/>
  <c r="W1360" i="6"/>
  <c r="O1342" i="6"/>
  <c r="O1361" i="6"/>
  <c r="R1361" i="6" s="1"/>
  <c r="W1342" i="6"/>
  <c r="W1361" i="6"/>
  <c r="W1359" i="6"/>
  <c r="O489" i="6"/>
  <c r="O1358" i="6"/>
  <c r="W489" i="6"/>
  <c r="W1358" i="6"/>
  <c r="O1351" i="6"/>
  <c r="W1350" i="6"/>
  <c r="O1346" i="6"/>
  <c r="W1337" i="6"/>
  <c r="W1346" i="6"/>
  <c r="O1339" i="6"/>
  <c r="W1339" i="6"/>
  <c r="O1340" i="6"/>
  <c r="W1340" i="6"/>
  <c r="O1341" i="6"/>
  <c r="O1289" i="6"/>
  <c r="O1343" i="6"/>
  <c r="W1289" i="6"/>
  <c r="W1343" i="6"/>
  <c r="O1329" i="6"/>
  <c r="O1337" i="6"/>
  <c r="O1334" i="6"/>
  <c r="W21" i="6"/>
  <c r="W1327" i="6"/>
  <c r="N56" i="13"/>
  <c r="AR56" i="13" s="1"/>
  <c r="W1326" i="6"/>
  <c r="O1318" i="6"/>
  <c r="O1326" i="6"/>
  <c r="E413" i="13"/>
  <c r="H413" i="13" s="1"/>
  <c r="O1325" i="6"/>
  <c r="V413" i="13"/>
  <c r="Z413" i="13" s="1"/>
  <c r="W1325" i="6"/>
  <c r="O1322" i="6"/>
  <c r="W1322" i="6"/>
  <c r="W1318" i="6"/>
  <c r="O1317" i="6"/>
  <c r="W1317" i="6"/>
  <c r="O1311" i="6"/>
  <c r="O1312" i="6"/>
  <c r="W1311" i="6"/>
  <c r="W1312" i="6"/>
  <c r="O1310" i="6"/>
  <c r="W1310" i="6"/>
  <c r="O1313" i="6"/>
  <c r="W1313" i="6"/>
  <c r="O1316" i="6"/>
  <c r="O1319" i="6"/>
  <c r="O1314" i="6"/>
  <c r="W1319" i="6"/>
  <c r="W1314" i="6"/>
  <c r="W1276" i="6"/>
  <c r="O1057" i="6"/>
  <c r="O1305" i="6"/>
  <c r="W1305" i="6"/>
  <c r="O1298" i="6"/>
  <c r="O1308" i="6"/>
  <c r="W1308" i="6"/>
  <c r="O1301" i="6"/>
  <c r="W1301" i="6"/>
  <c r="O859" i="6"/>
  <c r="O1307" i="6"/>
  <c r="R1307" i="6" s="1"/>
  <c r="W859" i="6"/>
  <c r="W1307" i="6"/>
  <c r="W1157" i="6"/>
  <c r="O1283" i="6"/>
  <c r="W1283" i="6"/>
  <c r="O1094" i="6"/>
  <c r="O1302" i="6"/>
  <c r="O1303" i="6"/>
  <c r="W1298" i="6"/>
  <c r="O1297" i="6"/>
  <c r="O1295" i="6"/>
  <c r="W1235" i="6"/>
  <c r="W1295" i="6"/>
  <c r="W1297" i="6"/>
  <c r="T1300" i="6"/>
  <c r="O1299" i="6"/>
  <c r="W1299" i="6"/>
  <c r="O1272" i="6"/>
  <c r="O1262" i="6"/>
  <c r="O1290" i="6"/>
  <c r="W1290" i="6"/>
  <c r="O914" i="6"/>
  <c r="O1292" i="6"/>
  <c r="W914" i="6"/>
  <c r="W1292" i="6"/>
  <c r="O1291" i="6"/>
  <c r="W1291" i="6"/>
  <c r="O1286" i="6"/>
  <c r="W1272" i="6"/>
  <c r="O1285" i="6"/>
  <c r="W1285" i="6"/>
  <c r="O1279" i="6"/>
  <c r="O1280" i="6"/>
  <c r="W1279" i="6"/>
  <c r="W1280" i="6"/>
  <c r="O1208" i="6"/>
  <c r="O1276" i="6"/>
  <c r="O1278" i="6"/>
  <c r="W1278" i="6"/>
  <c r="O1274" i="6"/>
  <c r="O1273" i="6"/>
  <c r="O1268" i="6"/>
  <c r="O1271" i="6"/>
  <c r="W1273" i="6"/>
  <c r="W1274" i="6"/>
  <c r="W1268" i="6"/>
  <c r="W1271" i="6"/>
  <c r="T1274" i="6"/>
  <c r="T1273" i="6"/>
  <c r="O1269" i="6"/>
  <c r="O1265" i="6"/>
  <c r="W1265" i="6"/>
  <c r="O1250" i="6"/>
  <c r="W1250" i="6"/>
  <c r="O1235" i="6"/>
  <c r="R1235" i="6" s="1"/>
  <c r="O1257" i="6"/>
  <c r="W1257" i="6"/>
  <c r="W1262" i="6"/>
  <c r="O1252" i="6"/>
  <c r="W1252" i="6"/>
  <c r="O1251" i="6"/>
  <c r="W1251" i="6"/>
  <c r="O1245" i="6"/>
  <c r="W1205" i="6"/>
  <c r="O1248" i="6"/>
  <c r="W1248" i="6"/>
  <c r="O1247" i="6"/>
  <c r="O1239" i="6"/>
  <c r="W1247" i="6"/>
  <c r="W1239" i="6"/>
  <c r="O1242" i="6"/>
  <c r="O1243" i="6"/>
  <c r="W1242" i="6"/>
  <c r="W1243" i="6"/>
  <c r="W1245" i="6"/>
  <c r="O1236" i="6"/>
  <c r="N40" i="13"/>
  <c r="AR40" i="13" s="1"/>
  <c r="W1208" i="6"/>
  <c r="O1106" i="6"/>
  <c r="O1241" i="6"/>
  <c r="W1106" i="6"/>
  <c r="W1241" i="6"/>
  <c r="O1227" i="6"/>
  <c r="T1243" i="6"/>
  <c r="W1236" i="6"/>
  <c r="O1211" i="6"/>
  <c r="W1211" i="6"/>
  <c r="O1234" i="6"/>
  <c r="W1234" i="6"/>
  <c r="W1229" i="6"/>
  <c r="O1233" i="6"/>
  <c r="O1232" i="6"/>
  <c r="O1229" i="6"/>
  <c r="W1233" i="6"/>
  <c r="W1232" i="6"/>
  <c r="O1226" i="6"/>
  <c r="O1212" i="6"/>
  <c r="W1212" i="6"/>
  <c r="O1219" i="6"/>
  <c r="W1219" i="6"/>
  <c r="O1220" i="6"/>
  <c r="O1225" i="6"/>
  <c r="O1218" i="6"/>
  <c r="O1216" i="6"/>
  <c r="O1017" i="6"/>
  <c r="O1223" i="6"/>
  <c r="R1223" i="6" s="1"/>
  <c r="O1217" i="6"/>
  <c r="O1201" i="6"/>
  <c r="O1215" i="6"/>
  <c r="O1189" i="6"/>
  <c r="O1214" i="6"/>
  <c r="V475" i="6"/>
  <c r="O1210" i="6"/>
  <c r="O1205" i="6"/>
  <c r="O1206" i="6"/>
  <c r="W1206" i="6"/>
  <c r="O1202" i="6"/>
  <c r="V37" i="6"/>
  <c r="O1203" i="6"/>
  <c r="W1201" i="6"/>
  <c r="O1198" i="6"/>
  <c r="W1198" i="6"/>
  <c r="O1089" i="6"/>
  <c r="O1197" i="6"/>
  <c r="O1182" i="6"/>
  <c r="W1182" i="6"/>
  <c r="O1183" i="6"/>
  <c r="O1186" i="6"/>
  <c r="W1186" i="6"/>
  <c r="O1170" i="6"/>
  <c r="M188" i="6"/>
  <c r="O1181" i="6"/>
  <c r="W188" i="6"/>
  <c r="W1181" i="6"/>
  <c r="W446" i="6"/>
  <c r="W1176" i="6"/>
  <c r="O753" i="6"/>
  <c r="O1173" i="6"/>
  <c r="W753" i="6"/>
  <c r="W1173" i="6"/>
  <c r="O1084" i="6"/>
  <c r="W1084" i="6"/>
  <c r="E131" i="13"/>
  <c r="S131" i="13" s="1"/>
  <c r="O1167" i="6"/>
  <c r="V131" i="13"/>
  <c r="W1167" i="6"/>
  <c r="O1152" i="6"/>
  <c r="W1152" i="6"/>
  <c r="V51" i="6"/>
  <c r="O1159" i="6"/>
  <c r="O1151" i="6"/>
  <c r="W1151" i="6"/>
  <c r="O1164" i="6"/>
  <c r="O1163" i="6"/>
  <c r="W1164" i="6"/>
  <c r="W1163" i="6"/>
  <c r="O1150" i="6"/>
  <c r="O1149" i="6"/>
  <c r="W1149" i="6"/>
  <c r="O1154" i="6"/>
  <c r="O1153" i="6"/>
  <c r="W1153" i="6"/>
  <c r="O1147" i="6"/>
  <c r="O1146" i="6"/>
  <c r="O1139" i="6"/>
  <c r="W1139" i="6"/>
  <c r="O1137" i="6"/>
  <c r="O1044" i="6"/>
  <c r="O1136" i="6"/>
  <c r="W1136" i="6"/>
  <c r="O1116" i="6"/>
  <c r="O1115" i="6"/>
  <c r="W1115" i="6"/>
  <c r="O1126" i="6"/>
  <c r="O1135" i="6"/>
  <c r="W1126" i="6"/>
  <c r="W1135" i="6"/>
  <c r="O1122" i="6"/>
  <c r="O1124" i="6"/>
  <c r="O1125" i="6"/>
  <c r="W1125" i="6"/>
  <c r="E417" i="13"/>
  <c r="G417" i="13" s="1"/>
  <c r="AQ417" i="13" s="1"/>
  <c r="O1110" i="6"/>
  <c r="W467" i="6"/>
  <c r="W1110" i="6"/>
  <c r="W1123" i="6"/>
  <c r="T1121" i="6"/>
  <c r="E292" i="13"/>
  <c r="H292" i="13" s="1"/>
  <c r="O1118" i="6"/>
  <c r="V292" i="13"/>
  <c r="Z292" i="13" s="1"/>
  <c r="W1118" i="6"/>
  <c r="O1113" i="6"/>
  <c r="W1113" i="6"/>
  <c r="O1112" i="6"/>
  <c r="W1112" i="6"/>
  <c r="O1098" i="6"/>
  <c r="W1098" i="6"/>
  <c r="O1111" i="6"/>
  <c r="W1111" i="6"/>
  <c r="O1107" i="6"/>
  <c r="O1109" i="6"/>
  <c r="O1108" i="6"/>
  <c r="W1108" i="6"/>
  <c r="W1109" i="6"/>
  <c r="O1101" i="6"/>
  <c r="W1101" i="6"/>
  <c r="O1092" i="6"/>
  <c r="W1092" i="6"/>
  <c r="V509" i="6"/>
  <c r="W510" i="6" s="1"/>
  <c r="O1093" i="6"/>
  <c r="O1077" i="6"/>
  <c r="W1077" i="6"/>
  <c r="O1068" i="6"/>
  <c r="O1087" i="6"/>
  <c r="W1087" i="6"/>
  <c r="G493" i="13"/>
  <c r="AQ493" i="13" s="1"/>
  <c r="V458" i="6"/>
  <c r="O966" i="6"/>
  <c r="O1069" i="6"/>
  <c r="O1066" i="6"/>
  <c r="W1066" i="6"/>
  <c r="O1064" i="6"/>
  <c r="O1063" i="6"/>
  <c r="W1064" i="6"/>
  <c r="W1063" i="6"/>
  <c r="V459" i="6"/>
  <c r="V460" i="6"/>
  <c r="V461" i="6"/>
  <c r="V141" i="6"/>
  <c r="W141" i="6" s="1"/>
  <c r="V203" i="6"/>
  <c r="X213" i="13" s="1"/>
  <c r="V373" i="6"/>
  <c r="W979" i="6" s="1"/>
  <c r="V128" i="6"/>
  <c r="W128" i="6" s="1"/>
  <c r="M521" i="6"/>
  <c r="V521" i="6"/>
  <c r="W521" i="6" s="1"/>
  <c r="V377" i="6"/>
  <c r="X490" i="13" s="1"/>
  <c r="V427" i="6"/>
  <c r="V490" i="13" s="1"/>
  <c r="V361" i="6"/>
  <c r="V511" i="6"/>
  <c r="O1060" i="6"/>
  <c r="W1060" i="6"/>
  <c r="M533" i="6"/>
  <c r="W1008" i="6"/>
  <c r="O985" i="6"/>
  <c r="W1043" i="6"/>
  <c r="V101" i="6"/>
  <c r="V104" i="6"/>
  <c r="V505" i="6"/>
  <c r="V235" i="6"/>
  <c r="O1043" i="6"/>
  <c r="O1026" i="6"/>
  <c r="W1026" i="6"/>
  <c r="V512" i="6"/>
  <c r="V38" i="6"/>
  <c r="O140" i="6"/>
  <c r="O1053" i="6"/>
  <c r="W140" i="6"/>
  <c r="W1053" i="6"/>
  <c r="O991" i="6"/>
  <c r="O1052" i="6"/>
  <c r="W991" i="6"/>
  <c r="W1052" i="6"/>
  <c r="O589" i="6"/>
  <c r="O1048" i="6"/>
  <c r="O1041" i="6"/>
  <c r="O1031" i="6"/>
  <c r="O1030" i="6"/>
  <c r="O1047" i="6"/>
  <c r="T1046" i="6"/>
  <c r="M503" i="6"/>
  <c r="O1040" i="6"/>
  <c r="E495" i="13"/>
  <c r="S495" i="13" s="1"/>
  <c r="O1039" i="6"/>
  <c r="E550" i="13"/>
  <c r="H550" i="13" s="1"/>
  <c r="O1038" i="6"/>
  <c r="W472" i="6"/>
  <c r="W1038" i="6"/>
  <c r="O1033" i="6"/>
  <c r="E577" i="13"/>
  <c r="G577" i="13" s="1"/>
  <c r="O1028" i="6"/>
  <c r="O616" i="6"/>
  <c r="O156" i="6"/>
  <c r="O1025" i="6"/>
  <c r="W156" i="6"/>
  <c r="W1025" i="6"/>
  <c r="O1022" i="6"/>
  <c r="O1021" i="6"/>
  <c r="W1021" i="6"/>
  <c r="M102" i="6"/>
  <c r="O1020" i="6"/>
  <c r="W1020" i="6"/>
  <c r="W998" i="6"/>
  <c r="O611" i="6"/>
  <c r="O1018" i="6"/>
  <c r="O1013" i="6"/>
  <c r="O973" i="6"/>
  <c r="O1014" i="6"/>
  <c r="W1014" i="6"/>
  <c r="O1009" i="6"/>
  <c r="O1003" i="6"/>
  <c r="W1003" i="6"/>
  <c r="O843" i="6"/>
  <c r="W843" i="6"/>
  <c r="O961" i="6"/>
  <c r="W961" i="6"/>
  <c r="O861" i="6"/>
  <c r="M53" i="6"/>
  <c r="O1012" i="6"/>
  <c r="O790" i="6"/>
  <c r="E561" i="13"/>
  <c r="G561" i="13" s="1"/>
  <c r="O1008" i="6"/>
  <c r="E536" i="13"/>
  <c r="H536" i="13" s="1"/>
  <c r="O1011" i="6"/>
  <c r="O1004" i="6"/>
  <c r="O1007" i="6"/>
  <c r="V529" i="6"/>
  <c r="W1024" i="6" s="1"/>
  <c r="O1006" i="6"/>
  <c r="O1005" i="6"/>
  <c r="W1005" i="6"/>
  <c r="O1000" i="6"/>
  <c r="O1001" i="6"/>
  <c r="O999" i="6"/>
  <c r="W1000" i="6"/>
  <c r="W1001" i="6"/>
  <c r="W999" i="6"/>
  <c r="O992" i="6"/>
  <c r="O993" i="6"/>
  <c r="W992" i="6"/>
  <c r="W993" i="6"/>
  <c r="T1003" i="6"/>
  <c r="O835" i="6"/>
  <c r="O998" i="6"/>
  <c r="O208" i="6"/>
  <c r="O997" i="6"/>
  <c r="W208" i="6"/>
  <c r="W997" i="6"/>
  <c r="O792" i="6"/>
  <c r="O989" i="6"/>
  <c r="O984" i="6"/>
  <c r="W792" i="6"/>
  <c r="W989" i="6"/>
  <c r="W984" i="6"/>
  <c r="O990" i="6"/>
  <c r="W990" i="6"/>
  <c r="W986" i="6"/>
  <c r="W982" i="6"/>
  <c r="O987" i="6"/>
  <c r="W919" i="6"/>
  <c r="W985" i="6"/>
  <c r="M173" i="6"/>
  <c r="O983" i="6"/>
  <c r="W173" i="6"/>
  <c r="W983" i="6"/>
  <c r="W980" i="6"/>
  <c r="O972" i="6"/>
  <c r="W972" i="6"/>
  <c r="O974" i="6"/>
  <c r="O978" i="6"/>
  <c r="W978" i="6"/>
  <c r="W974" i="6"/>
  <c r="O979" i="6"/>
  <c r="W923" i="6"/>
  <c r="O971" i="6"/>
  <c r="W971" i="6"/>
  <c r="O975" i="6"/>
  <c r="O976" i="6"/>
  <c r="W973" i="6"/>
  <c r="O967" i="6"/>
  <c r="W967" i="6"/>
  <c r="O970" i="6"/>
  <c r="W970" i="6"/>
  <c r="O600" i="6"/>
  <c r="O969" i="6"/>
  <c r="W600" i="6"/>
  <c r="W969" i="6"/>
  <c r="W794" i="6"/>
  <c r="W966" i="6"/>
  <c r="O964" i="6"/>
  <c r="W964" i="6"/>
  <c r="O40" i="6"/>
  <c r="O965" i="6"/>
  <c r="W40" i="6"/>
  <c r="W965" i="6"/>
  <c r="O884" i="6"/>
  <c r="W884" i="6"/>
  <c r="O963" i="6"/>
  <c r="O962" i="6"/>
  <c r="W962" i="6"/>
  <c r="O954" i="6"/>
  <c r="W954" i="6"/>
  <c r="E132" i="13"/>
  <c r="H132" i="13" s="1"/>
  <c r="O960" i="6"/>
  <c r="V132" i="13"/>
  <c r="W960" i="6"/>
  <c r="O20" i="6"/>
  <c r="O956" i="6"/>
  <c r="W20" i="6"/>
  <c r="W956" i="6"/>
  <c r="O285" i="6"/>
  <c r="O941" i="6"/>
  <c r="R941" i="6" s="1"/>
  <c r="W285" i="6"/>
  <c r="W941" i="6"/>
  <c r="O942" i="6"/>
  <c r="W942" i="6"/>
  <c r="O945" i="6"/>
  <c r="O950" i="6"/>
  <c r="O949" i="6"/>
  <c r="W945" i="6"/>
  <c r="W949" i="6"/>
  <c r="W950" i="6"/>
  <c r="O932" i="6"/>
  <c r="O738" i="6"/>
  <c r="O947" i="6"/>
  <c r="O948" i="6"/>
  <c r="W738" i="6"/>
  <c r="W947" i="6"/>
  <c r="W948" i="6"/>
  <c r="O943" i="6"/>
  <c r="W943" i="6"/>
  <c r="W26" i="6"/>
  <c r="W932" i="6"/>
  <c r="O927" i="6"/>
  <c r="O930" i="6"/>
  <c r="W930" i="6"/>
  <c r="W927" i="6"/>
  <c r="O937" i="6"/>
  <c r="W937" i="6"/>
  <c r="O745" i="6"/>
  <c r="O931" i="6"/>
  <c r="O936" i="6"/>
  <c r="W936" i="6"/>
  <c r="W926" i="6"/>
  <c r="O791" i="6"/>
  <c r="O929" i="6"/>
  <c r="W791" i="6"/>
  <c r="W929" i="6"/>
  <c r="O878" i="6"/>
  <c r="W878" i="6"/>
  <c r="O920" i="6"/>
  <c r="O933" i="6"/>
  <c r="W920" i="6"/>
  <c r="W933" i="6"/>
  <c r="O922" i="6"/>
  <c r="W922" i="6"/>
  <c r="O939" i="6"/>
  <c r="O938" i="6"/>
  <c r="W938" i="6"/>
  <c r="W939" i="6"/>
  <c r="O923" i="6"/>
  <c r="R923" i="6" s="1"/>
  <c r="O924" i="6"/>
  <c r="R924" i="6" s="1"/>
  <c r="O810" i="6"/>
  <c r="O925" i="6"/>
  <c r="W925" i="6"/>
  <c r="O886" i="6"/>
  <c r="W886" i="6"/>
  <c r="M162" i="6"/>
  <c r="O919" i="6"/>
  <c r="O905" i="6"/>
  <c r="O838" i="6"/>
  <c r="O917" i="6"/>
  <c r="O904" i="6"/>
  <c r="O912" i="6"/>
  <c r="O911" i="6"/>
  <c r="W904" i="6"/>
  <c r="W911" i="6"/>
  <c r="W912" i="6"/>
  <c r="O895" i="6"/>
  <c r="W895" i="6"/>
  <c r="W821" i="6"/>
  <c r="O918" i="6"/>
  <c r="W918" i="6"/>
  <c r="O907" i="6"/>
  <c r="O892" i="6"/>
  <c r="O906" i="6"/>
  <c r="W906" i="6"/>
  <c r="O908" i="6"/>
  <c r="O900" i="6"/>
  <c r="E462" i="13"/>
  <c r="S462" i="13" s="1"/>
  <c r="O902" i="6"/>
  <c r="W64" i="6"/>
  <c r="W902" i="6"/>
  <c r="W905" i="6"/>
  <c r="W897" i="6"/>
  <c r="O896" i="6"/>
  <c r="O882" i="6"/>
  <c r="O874" i="6"/>
  <c r="O894" i="6"/>
  <c r="W874" i="6"/>
  <c r="W894" i="6"/>
  <c r="O802" i="6"/>
  <c r="O893" i="6"/>
  <c r="W802" i="6"/>
  <c r="W893" i="6"/>
  <c r="W892" i="6"/>
  <c r="M49" i="6"/>
  <c r="O888" i="6"/>
  <c r="O889" i="6"/>
  <c r="W49" i="6"/>
  <c r="W888" i="6"/>
  <c r="W889" i="6"/>
  <c r="O597" i="6"/>
  <c r="O887" i="6"/>
  <c r="W597" i="6"/>
  <c r="W887" i="6"/>
  <c r="O5" i="6"/>
  <c r="O883" i="6"/>
  <c r="W5" i="6"/>
  <c r="W883" i="6"/>
  <c r="O875" i="6"/>
  <c r="W875" i="6"/>
  <c r="O869" i="6"/>
  <c r="O876" i="6"/>
  <c r="R876" i="6" s="1"/>
  <c r="W876" i="6"/>
  <c r="O399" i="6"/>
  <c r="O872" i="6"/>
  <c r="O871" i="6"/>
  <c r="W871" i="6"/>
  <c r="O868" i="6"/>
  <c r="R868" i="6" s="1"/>
  <c r="W868" i="6"/>
  <c r="O865" i="6"/>
  <c r="O864" i="6"/>
  <c r="O858" i="6"/>
  <c r="W858" i="6"/>
  <c r="O687" i="6"/>
  <c r="O870" i="6"/>
  <c r="W687" i="6"/>
  <c r="W870" i="6"/>
  <c r="O856" i="6"/>
  <c r="W856" i="6"/>
  <c r="O739" i="6"/>
  <c r="O866" i="6"/>
  <c r="W739" i="6"/>
  <c r="W866" i="6"/>
  <c r="E541" i="13"/>
  <c r="G541" i="13" s="1"/>
  <c r="AQ541" i="13" s="1"/>
  <c r="O863" i="6"/>
  <c r="W861" i="6"/>
  <c r="O855" i="6"/>
  <c r="O854" i="6"/>
  <c r="O852" i="6"/>
  <c r="W852" i="6"/>
  <c r="O853" i="6"/>
  <c r="E531" i="13"/>
  <c r="H531" i="13" s="1"/>
  <c r="O850" i="6"/>
  <c r="W374" i="6"/>
  <c r="W850" i="6"/>
  <c r="G87" i="13"/>
  <c r="AQ87" i="13" s="1"/>
  <c r="W845" i="6"/>
  <c r="O844" i="6"/>
  <c r="O839" i="6"/>
  <c r="O840" i="6"/>
  <c r="O824" i="6"/>
  <c r="W835" i="6"/>
  <c r="O832" i="6"/>
  <c r="M286" i="6"/>
  <c r="O836" i="6"/>
  <c r="W286" i="6"/>
  <c r="W836" i="6"/>
  <c r="G242" i="13"/>
  <c r="AQ242" i="13" s="1"/>
  <c r="W824" i="6"/>
  <c r="T808" i="6"/>
  <c r="T833" i="6"/>
  <c r="O823" i="6"/>
  <c r="O822" i="6"/>
  <c r="W823" i="6"/>
  <c r="W822" i="6"/>
  <c r="O801" i="6"/>
  <c r="O821" i="6"/>
  <c r="O820" i="6"/>
  <c r="W44" i="6"/>
  <c r="W811" i="6"/>
  <c r="O815" i="6"/>
  <c r="O816" i="6"/>
  <c r="M514" i="6"/>
  <c r="O812" i="6"/>
  <c r="W817" i="6"/>
  <c r="M383" i="6"/>
  <c r="O818" i="6"/>
  <c r="W383" i="6"/>
  <c r="W818" i="6"/>
  <c r="O60" i="6"/>
  <c r="O813" i="6"/>
  <c r="O807" i="6"/>
  <c r="W744" i="6"/>
  <c r="W810" i="6"/>
  <c r="W803" i="6"/>
  <c r="O806" i="6"/>
  <c r="W806" i="6"/>
  <c r="O805" i="6"/>
  <c r="O37" i="6"/>
  <c r="O804" i="6"/>
  <c r="O803" i="6"/>
  <c r="O793" i="6"/>
  <c r="W793" i="6"/>
  <c r="W801" i="6"/>
  <c r="W796" i="6"/>
  <c r="O795" i="6"/>
  <c r="W795" i="6"/>
  <c r="O693" i="6"/>
  <c r="O794" i="6"/>
  <c r="O789" i="6"/>
  <c r="N93" i="13"/>
  <c r="AR93" i="13" s="1"/>
  <c r="O787" i="6"/>
  <c r="W787" i="6"/>
  <c r="O786" i="6"/>
  <c r="O784" i="6"/>
  <c r="W784" i="6"/>
  <c r="O783" i="6"/>
  <c r="W783" i="6"/>
  <c r="O550" i="6"/>
  <c r="O785" i="6"/>
  <c r="R785" i="6" s="1"/>
  <c r="O779" i="6"/>
  <c r="O777" i="6"/>
  <c r="O776" i="6"/>
  <c r="W88" i="6"/>
  <c r="W776" i="6"/>
  <c r="O775" i="6"/>
  <c r="W775" i="6"/>
  <c r="W772" i="6"/>
  <c r="O774" i="6"/>
  <c r="O773" i="6"/>
  <c r="W773" i="6"/>
  <c r="O772" i="6"/>
  <c r="T774" i="6"/>
  <c r="M24" i="6"/>
  <c r="O769" i="6"/>
  <c r="W24" i="6"/>
  <c r="W769" i="6"/>
  <c r="O766" i="6"/>
  <c r="W766" i="6"/>
  <c r="M116" i="6"/>
  <c r="O765" i="6"/>
  <c r="W116" i="6"/>
  <c r="W765" i="6"/>
  <c r="O759" i="6"/>
  <c r="W759" i="6"/>
  <c r="O762" i="6"/>
  <c r="E376" i="13"/>
  <c r="H376" i="13" s="1"/>
  <c r="O760" i="6"/>
  <c r="R760" i="6" s="1"/>
  <c r="W182" i="6"/>
  <c r="W760" i="6"/>
  <c r="O11" i="6"/>
  <c r="O761" i="6"/>
  <c r="W761" i="6"/>
  <c r="O744" i="6"/>
  <c r="O756" i="6"/>
  <c r="O750" i="6"/>
  <c r="O755" i="6"/>
  <c r="W755" i="6"/>
  <c r="O757" i="6"/>
  <c r="W757" i="6"/>
  <c r="W756" i="6"/>
  <c r="O751" i="6"/>
  <c r="O754" i="6"/>
  <c r="W751" i="6"/>
  <c r="W754" i="6"/>
  <c r="R556" i="6"/>
  <c r="O749" i="6"/>
  <c r="W749" i="6"/>
  <c r="O746" i="6"/>
  <c r="W746" i="6"/>
  <c r="O747" i="6"/>
  <c r="O748" i="6"/>
  <c r="W748" i="6"/>
  <c r="W747" i="6"/>
  <c r="O742" i="6"/>
  <c r="W742" i="6"/>
  <c r="O735" i="6"/>
  <c r="W735" i="6"/>
  <c r="O736" i="6"/>
  <c r="O737" i="6"/>
  <c r="W736" i="6"/>
  <c r="W737" i="6"/>
  <c r="O734" i="6"/>
  <c r="O731" i="6"/>
  <c r="O732" i="6"/>
  <c r="W731" i="6"/>
  <c r="W732" i="6"/>
  <c r="W734" i="6"/>
  <c r="O730" i="6"/>
  <c r="W730" i="6"/>
  <c r="M224" i="6"/>
  <c r="O729" i="6"/>
  <c r="W224" i="6"/>
  <c r="W729" i="6"/>
  <c r="O728" i="6"/>
  <c r="W728" i="6"/>
  <c r="M142" i="6"/>
  <c r="O726" i="6"/>
  <c r="W142" i="6"/>
  <c r="W726" i="6"/>
  <c r="O711" i="6"/>
  <c r="O727" i="6"/>
  <c r="W711" i="6"/>
  <c r="W727" i="6"/>
  <c r="O724" i="6"/>
  <c r="W724" i="6"/>
  <c r="O722" i="6"/>
  <c r="O723" i="6"/>
  <c r="W723" i="6"/>
  <c r="W386" i="6"/>
  <c r="W722" i="6"/>
  <c r="M518" i="6"/>
  <c r="O721" i="6"/>
  <c r="R721" i="6" s="1"/>
  <c r="W717" i="6"/>
  <c r="O720" i="6"/>
  <c r="W720" i="6"/>
  <c r="O717" i="6"/>
  <c r="W710" i="6"/>
  <c r="O703" i="6"/>
  <c r="R703" i="6" s="1"/>
  <c r="O715" i="6"/>
  <c r="W715" i="6"/>
  <c r="O716" i="6"/>
  <c r="W716" i="6"/>
  <c r="O714" i="6"/>
  <c r="W703" i="6"/>
  <c r="E469" i="13"/>
  <c r="S469" i="13" s="1"/>
  <c r="O710" i="6"/>
  <c r="O712" i="6"/>
  <c r="E5" i="13"/>
  <c r="H5" i="13" s="1"/>
  <c r="O705" i="6"/>
  <c r="R705" i="6" s="1"/>
  <c r="W254" i="6"/>
  <c r="W705" i="6"/>
  <c r="W712" i="6"/>
  <c r="W709" i="6"/>
  <c r="M117" i="6"/>
  <c r="O709" i="6"/>
  <c r="O708" i="6"/>
  <c r="W708" i="6"/>
  <c r="O706" i="6"/>
  <c r="O707" i="6"/>
  <c r="W707" i="6"/>
  <c r="O701" i="6"/>
  <c r="M544" i="6"/>
  <c r="O704" i="6"/>
  <c r="O695" i="6"/>
  <c r="V468" i="6"/>
  <c r="W1493" i="6" s="1"/>
  <c r="O699" i="6"/>
  <c r="O610" i="6"/>
  <c r="O698" i="6"/>
  <c r="W610" i="6"/>
  <c r="W698" i="6"/>
  <c r="O697" i="6"/>
  <c r="W697" i="6"/>
  <c r="W695" i="6"/>
  <c r="M259" i="6"/>
  <c r="O696" i="6"/>
  <c r="W696" i="6"/>
  <c r="W290" i="6"/>
  <c r="W693" i="6"/>
  <c r="O694" i="6"/>
  <c r="W694" i="6"/>
  <c r="O691" i="6"/>
  <c r="W691" i="6"/>
  <c r="O688" i="6"/>
  <c r="W688" i="6"/>
  <c r="O690" i="6"/>
  <c r="W690" i="6"/>
  <c r="E344" i="13"/>
  <c r="S344" i="13" s="1"/>
  <c r="W675" i="6"/>
  <c r="O686" i="6"/>
  <c r="W686" i="6"/>
  <c r="O685" i="6"/>
  <c r="O682" i="6"/>
  <c r="O680" i="6"/>
  <c r="O681" i="6"/>
  <c r="W682" i="6"/>
  <c r="W680" i="6"/>
  <c r="W681" i="6"/>
  <c r="O677" i="6"/>
  <c r="W677" i="6"/>
  <c r="X93" i="13"/>
  <c r="O683" i="6"/>
  <c r="W683" i="6"/>
  <c r="W607" i="6"/>
  <c r="O684" i="6"/>
  <c r="W684" i="6"/>
  <c r="O675" i="6"/>
  <c r="W670" i="6"/>
  <c r="M482" i="6"/>
  <c r="O678" i="6"/>
  <c r="O674" i="6"/>
  <c r="W674" i="6"/>
  <c r="M28" i="6"/>
  <c r="O672" i="6"/>
  <c r="V73" i="13"/>
  <c r="W672" i="6"/>
  <c r="O668" i="6"/>
  <c r="E457" i="13"/>
  <c r="S457" i="13" s="1"/>
  <c r="O670" i="6"/>
  <c r="W668" i="6"/>
  <c r="T665" i="6"/>
  <c r="O667" i="6"/>
  <c r="W666" i="6"/>
  <c r="O666" i="6"/>
  <c r="V268" i="13"/>
  <c r="Z268" i="13" s="1"/>
  <c r="W663" i="6"/>
  <c r="O656" i="6"/>
  <c r="O654" i="6"/>
  <c r="E268" i="13"/>
  <c r="S268" i="13" s="1"/>
  <c r="O663" i="6"/>
  <c r="M19" i="6"/>
  <c r="O547" i="6"/>
  <c r="O664" i="6"/>
  <c r="W650" i="6"/>
  <c r="E545" i="13"/>
  <c r="S545" i="13" s="1"/>
  <c r="O662" i="6"/>
  <c r="W451" i="6"/>
  <c r="W662" i="6"/>
  <c r="O661" i="6"/>
  <c r="O659" i="6"/>
  <c r="O658" i="6"/>
  <c r="O655" i="6"/>
  <c r="W654" i="6"/>
  <c r="W655" i="6"/>
  <c r="O650" i="6"/>
  <c r="O645" i="6"/>
  <c r="O652" i="6"/>
  <c r="W652" i="6"/>
  <c r="E96" i="13"/>
  <c r="H96" i="13" s="1"/>
  <c r="O648" i="6"/>
  <c r="V96" i="13"/>
  <c r="W648" i="6"/>
  <c r="O643" i="6"/>
  <c r="M476" i="6"/>
  <c r="O644" i="6"/>
  <c r="M541" i="6"/>
  <c r="O646" i="6"/>
  <c r="W643" i="6"/>
  <c r="W644" i="6"/>
  <c r="W295" i="6"/>
  <c r="O636" i="6"/>
  <c r="O637" i="6"/>
  <c r="O639" i="6"/>
  <c r="W639" i="6"/>
  <c r="W636" i="6"/>
  <c r="E559" i="13"/>
  <c r="H559" i="13" s="1"/>
  <c r="O641" i="6"/>
  <c r="O640" i="6"/>
  <c r="W640" i="6"/>
  <c r="W637" i="6"/>
  <c r="M294" i="6"/>
  <c r="E524" i="13"/>
  <c r="S524" i="13" s="1"/>
  <c r="O638" i="6"/>
  <c r="W293" i="6"/>
  <c r="W638" i="6"/>
  <c r="M18" i="6"/>
  <c r="O634" i="6"/>
  <c r="O633" i="6"/>
  <c r="W633" i="6"/>
  <c r="W632" i="6"/>
  <c r="O632" i="6"/>
  <c r="N71" i="13"/>
  <c r="AR71" i="13" s="1"/>
  <c r="W626" i="6"/>
  <c r="W629" i="6"/>
  <c r="O96" i="6"/>
  <c r="O629" i="6"/>
  <c r="E34" i="13"/>
  <c r="S34" i="13" s="1"/>
  <c r="O630" i="6"/>
  <c r="O447" i="6"/>
  <c r="O628" i="6"/>
  <c r="O627" i="6"/>
  <c r="O626" i="6"/>
  <c r="W601" i="6"/>
  <c r="M36" i="6"/>
  <c r="O608" i="6"/>
  <c r="O599" i="6"/>
  <c r="W36" i="6"/>
  <c r="W608" i="6"/>
  <c r="W599" i="6"/>
  <c r="O618" i="6"/>
  <c r="W619" i="6"/>
  <c r="W609" i="6"/>
  <c r="O619" i="6"/>
  <c r="O609" i="6"/>
  <c r="W618" i="6"/>
  <c r="O532" i="6"/>
  <c r="O613" i="6"/>
  <c r="W614" i="6"/>
  <c r="O471" i="6"/>
  <c r="O617" i="6"/>
  <c r="V548" i="13"/>
  <c r="Z548" i="13" s="1"/>
  <c r="W617" i="6"/>
  <c r="O615" i="6"/>
  <c r="W615" i="6"/>
  <c r="O614" i="6"/>
  <c r="O612" i="6"/>
  <c r="W14" i="6"/>
  <c r="W612" i="6"/>
  <c r="O607" i="6"/>
  <c r="O606" i="6"/>
  <c r="W606" i="6"/>
  <c r="O605" i="6"/>
  <c r="R605" i="6" s="1"/>
  <c r="O604" i="6"/>
  <c r="R604" i="6" s="1"/>
  <c r="W605" i="6"/>
  <c r="W604" i="6"/>
  <c r="O603" i="6"/>
  <c r="W603" i="6"/>
  <c r="W490" i="6"/>
  <c r="W602" i="6"/>
  <c r="O490" i="6"/>
  <c r="O602" i="6"/>
  <c r="R602" i="6" s="1"/>
  <c r="O601" i="6"/>
  <c r="L501" i="15"/>
  <c r="L270" i="15"/>
  <c r="L320" i="15"/>
  <c r="L384" i="15"/>
  <c r="L503" i="15"/>
  <c r="L22" i="15"/>
  <c r="L451" i="15"/>
  <c r="L500" i="15"/>
  <c r="L292" i="15"/>
  <c r="L73" i="15"/>
  <c r="O598" i="6"/>
  <c r="O593" i="6"/>
  <c r="O590" i="6"/>
  <c r="O592" i="6"/>
  <c r="O591" i="6"/>
  <c r="W590" i="6"/>
  <c r="W591" i="6"/>
  <c r="W592" i="6"/>
  <c r="W593" i="6"/>
  <c r="O107" i="6"/>
  <c r="O595" i="6"/>
  <c r="W359" i="6"/>
  <c r="M543" i="6"/>
  <c r="O594" i="6"/>
  <c r="M359" i="6"/>
  <c r="O596" i="6"/>
  <c r="N94" i="13"/>
  <c r="AR94" i="13" s="1"/>
  <c r="W586" i="6"/>
  <c r="O587" i="6"/>
  <c r="W269" i="6"/>
  <c r="W587" i="6"/>
  <c r="E538" i="13"/>
  <c r="S538" i="13" s="1"/>
  <c r="O586" i="6"/>
  <c r="O585" i="6"/>
  <c r="W316" i="6"/>
  <c r="W585" i="6"/>
  <c r="W484" i="6"/>
  <c r="W583" i="6"/>
  <c r="M94" i="6"/>
  <c r="O584" i="6"/>
  <c r="V476" i="13"/>
  <c r="Z476" i="13" s="1"/>
  <c r="W584" i="6"/>
  <c r="E554" i="13"/>
  <c r="S554" i="13" s="1"/>
  <c r="O583" i="6"/>
  <c r="W531" i="6"/>
  <c r="X446" i="13"/>
  <c r="V109" i="13"/>
  <c r="Z109" i="13" s="1"/>
  <c r="L470" i="15"/>
  <c r="E109" i="13"/>
  <c r="S109" i="13" s="1"/>
  <c r="L93" i="15"/>
  <c r="M118" i="6"/>
  <c r="O566" i="6"/>
  <c r="E522" i="13"/>
  <c r="H522" i="13" s="1"/>
  <c r="W118" i="6"/>
  <c r="W566" i="6"/>
  <c r="L267" i="15"/>
  <c r="L456" i="15"/>
  <c r="L134" i="15"/>
  <c r="L497" i="15"/>
  <c r="L269" i="15"/>
  <c r="L509" i="15"/>
  <c r="L473" i="15"/>
  <c r="L444" i="15"/>
  <c r="L70" i="15"/>
  <c r="L161" i="15"/>
  <c r="L455" i="15"/>
  <c r="L465" i="15"/>
  <c r="L150" i="15"/>
  <c r="L506" i="15"/>
  <c r="X73" i="13"/>
  <c r="V523" i="13"/>
  <c r="Z523" i="13" s="1"/>
  <c r="O567" i="6"/>
  <c r="L132" i="15"/>
  <c r="L490" i="15"/>
  <c r="L426" i="15"/>
  <c r="L213" i="15"/>
  <c r="L449" i="15"/>
  <c r="L223" i="15"/>
  <c r="L158" i="15"/>
  <c r="L302" i="15"/>
  <c r="L105" i="15"/>
  <c r="L5" i="15"/>
  <c r="L170" i="15"/>
  <c r="L137" i="15"/>
  <c r="L268" i="15"/>
  <c r="L476" i="15"/>
  <c r="L446" i="15"/>
  <c r="L525" i="15"/>
  <c r="L412" i="15"/>
  <c r="L521" i="15"/>
  <c r="L83" i="15"/>
  <c r="L526" i="15"/>
  <c r="L216" i="15"/>
  <c r="L96" i="15"/>
  <c r="L59" i="15"/>
  <c r="L413" i="15"/>
  <c r="L445" i="15"/>
  <c r="L516" i="15"/>
  <c r="L523" i="15"/>
  <c r="L541" i="15"/>
  <c r="L479" i="15"/>
  <c r="L102" i="15"/>
  <c r="L504" i="15"/>
  <c r="L524" i="15"/>
  <c r="L263" i="15"/>
  <c r="L53" i="15"/>
  <c r="W569" i="6"/>
  <c r="W563" i="6"/>
  <c r="O571" i="6"/>
  <c r="L252" i="15"/>
  <c r="O564" i="6"/>
  <c r="O582" i="6"/>
  <c r="J583" i="15"/>
  <c r="L424" i="15"/>
  <c r="J584" i="15"/>
  <c r="C583" i="15"/>
  <c r="K583" i="15"/>
  <c r="G584" i="15"/>
  <c r="B583" i="15"/>
  <c r="D583" i="15" s="1"/>
  <c r="L494" i="15"/>
  <c r="O557" i="15"/>
  <c r="O562" i="6"/>
  <c r="O546" i="15"/>
  <c r="O559" i="15"/>
  <c r="O34" i="15"/>
  <c r="L511" i="15"/>
  <c r="L514" i="15"/>
  <c r="L517" i="15"/>
  <c r="L520" i="15"/>
  <c r="J522" i="15"/>
  <c r="O522" i="15"/>
  <c r="M528" i="15"/>
  <c r="M530" i="15"/>
  <c r="M532" i="15"/>
  <c r="L534" i="15"/>
  <c r="L537" i="15"/>
  <c r="L539" i="15"/>
  <c r="L542" i="15"/>
  <c r="L544" i="15"/>
  <c r="L546" i="15"/>
  <c r="L548" i="15"/>
  <c r="L551" i="15"/>
  <c r="L553" i="15"/>
  <c r="L555" i="15"/>
  <c r="L557" i="15"/>
  <c r="L559" i="15"/>
  <c r="L561" i="15"/>
  <c r="L563" i="15"/>
  <c r="L565" i="15"/>
  <c r="L567" i="15"/>
  <c r="L569" i="15"/>
  <c r="J570" i="15"/>
  <c r="O570" i="15"/>
  <c r="M572" i="15"/>
  <c r="M574" i="15"/>
  <c r="M576" i="15"/>
  <c r="M578" i="15"/>
  <c r="M580" i="15"/>
  <c r="M582" i="15"/>
  <c r="M584" i="15"/>
  <c r="O8" i="15"/>
  <c r="O13" i="15"/>
  <c r="O20" i="15"/>
  <c r="O25" i="15"/>
  <c r="O30" i="15"/>
  <c r="O38" i="15"/>
  <c r="O43" i="15"/>
  <c r="O49" i="15"/>
  <c r="O56" i="15"/>
  <c r="O62" i="15"/>
  <c r="O68" i="15"/>
  <c r="O74" i="15"/>
  <c r="O78" i="15"/>
  <c r="O82" i="15"/>
  <c r="O98" i="15"/>
  <c r="O103" i="15"/>
  <c r="O110" i="15"/>
  <c r="O114" i="15"/>
  <c r="O122" i="15"/>
  <c r="O128" i="15"/>
  <c r="O135" i="15"/>
  <c r="O141" i="15"/>
  <c r="O146" i="15"/>
  <c r="O151" i="15"/>
  <c r="O155" i="15"/>
  <c r="O162" i="15"/>
  <c r="O166" i="15"/>
  <c r="O172" i="15"/>
  <c r="O176" i="15"/>
  <c r="O181" i="15"/>
  <c r="O185" i="15"/>
  <c r="O189" i="15"/>
  <c r="O193" i="15"/>
  <c r="O200" i="15"/>
  <c r="O205" i="15"/>
  <c r="O210" i="15"/>
  <c r="O218" i="15"/>
  <c r="O225" i="15"/>
  <c r="O229" i="15"/>
  <c r="O234" i="15"/>
  <c r="O238" i="15"/>
  <c r="O243" i="15"/>
  <c r="O251" i="15"/>
  <c r="O257" i="15"/>
  <c r="O262" i="15"/>
  <c r="O271" i="15"/>
  <c r="O275" i="15"/>
  <c r="O280" i="15"/>
  <c r="O284" i="15"/>
  <c r="M511" i="15"/>
  <c r="L515" i="15"/>
  <c r="M519" i="15"/>
  <c r="K522" i="15"/>
  <c r="M527" i="15"/>
  <c r="L530" i="15"/>
  <c r="J532" i="15"/>
  <c r="L533" i="15"/>
  <c r="M536" i="15"/>
  <c r="M539" i="15"/>
  <c r="L543" i="15"/>
  <c r="M545" i="15"/>
  <c r="M548" i="15"/>
  <c r="L552" i="15"/>
  <c r="M554" i="15"/>
  <c r="M557" i="15"/>
  <c r="L560" i="15"/>
  <c r="M562" i="15"/>
  <c r="M565" i="15"/>
  <c r="L568" i="15"/>
  <c r="L571" i="15"/>
  <c r="M573" i="15"/>
  <c r="L576" i="15"/>
  <c r="L579" i="15"/>
  <c r="M581" i="15"/>
  <c r="L584" i="15"/>
  <c r="O9" i="15"/>
  <c r="O16" i="15"/>
  <c r="O24" i="15"/>
  <c r="O35" i="15"/>
  <c r="O41" i="15"/>
  <c r="O48" i="15"/>
  <c r="O57" i="15"/>
  <c r="O64" i="15"/>
  <c r="O72" i="15"/>
  <c r="O79" i="15"/>
  <c r="O86" i="15"/>
  <c r="O101" i="15"/>
  <c r="O111" i="15"/>
  <c r="O118" i="15"/>
  <c r="O126" i="15"/>
  <c r="O136" i="15"/>
  <c r="O143" i="15"/>
  <c r="O149" i="15"/>
  <c r="O156" i="15"/>
  <c r="O164" i="15"/>
  <c r="O171" i="15"/>
  <c r="O177" i="15"/>
  <c r="O183" i="15"/>
  <c r="O188" i="15"/>
  <c r="O195" i="15"/>
  <c r="O203" i="15"/>
  <c r="O209" i="15"/>
  <c r="O219" i="15"/>
  <c r="O227" i="15"/>
  <c r="O233" i="15"/>
  <c r="O239" i="15"/>
  <c r="O249" i="15"/>
  <c r="O255" i="15"/>
  <c r="O264" i="15"/>
  <c r="O273" i="15"/>
  <c r="O278" i="15"/>
  <c r="O285" i="15"/>
  <c r="O291" i="15"/>
  <c r="O297" i="15"/>
  <c r="O301" i="15"/>
  <c r="O306" i="15"/>
  <c r="O310" i="15"/>
  <c r="O314" i="15"/>
  <c r="O318" i="15"/>
  <c r="O324" i="15"/>
  <c r="O329" i="15"/>
  <c r="O333" i="15"/>
  <c r="O337" i="15"/>
  <c r="O342" i="15"/>
  <c r="O347" i="15"/>
  <c r="O351" i="15"/>
  <c r="O355" i="15"/>
  <c r="O360" i="15"/>
  <c r="O364" i="15"/>
  <c r="O368" i="15"/>
  <c r="O372" i="15"/>
  <c r="O377" i="15"/>
  <c r="O381" i="15"/>
  <c r="O386" i="15"/>
  <c r="O390" i="15"/>
  <c r="O395" i="15"/>
  <c r="O399" i="15"/>
  <c r="O403" i="15"/>
  <c r="O407" i="15"/>
  <c r="O411" i="15"/>
  <c r="O418" i="15"/>
  <c r="O422" i="15"/>
  <c r="O430" i="15"/>
  <c r="O435" i="15"/>
  <c r="O439" i="15"/>
  <c r="O499" i="15"/>
  <c r="M7" i="15"/>
  <c r="M11" i="15"/>
  <c r="M15" i="15"/>
  <c r="M19" i="15"/>
  <c r="M24" i="15"/>
  <c r="M29" i="15"/>
  <c r="M34" i="15"/>
  <c r="M38" i="15"/>
  <c r="M43" i="15"/>
  <c r="M49" i="15"/>
  <c r="M54" i="15"/>
  <c r="M58" i="15"/>
  <c r="M63" i="15"/>
  <c r="M67" i="15"/>
  <c r="M72" i="15"/>
  <c r="M77" i="15"/>
  <c r="M81" i="15"/>
  <c r="M86" i="15"/>
  <c r="M92" i="15"/>
  <c r="M98" i="15"/>
  <c r="M103" i="15"/>
  <c r="M108" i="15"/>
  <c r="M113" i="15"/>
  <c r="M117" i="15"/>
  <c r="M121" i="15"/>
  <c r="M125" i="15"/>
  <c r="M129" i="15"/>
  <c r="M136" i="15"/>
  <c r="M141" i="15"/>
  <c r="M145" i="15"/>
  <c r="M149" i="15"/>
  <c r="M154" i="15"/>
  <c r="M159" i="15"/>
  <c r="M164" i="15"/>
  <c r="M168" i="15"/>
  <c r="M173" i="15"/>
  <c r="M177" i="15"/>
  <c r="M181" i="15"/>
  <c r="M185" i="15"/>
  <c r="M189" i="15"/>
  <c r="M193" i="15"/>
  <c r="M197" i="15"/>
  <c r="M202" i="15"/>
  <c r="M206" i="15"/>
  <c r="M210" i="15"/>
  <c r="M217" i="15"/>
  <c r="M221" i="15"/>
  <c r="M226" i="15"/>
  <c r="M230" i="15"/>
  <c r="M234" i="15"/>
  <c r="M238" i="15"/>
  <c r="M242" i="15"/>
  <c r="M247" i="15"/>
  <c r="M251" i="15"/>
  <c r="M257" i="15"/>
  <c r="M261" i="15"/>
  <c r="M266" i="15"/>
  <c r="M274" i="15"/>
  <c r="M278" i="15"/>
  <c r="M283" i="15"/>
  <c r="M287" i="15"/>
  <c r="M291" i="15"/>
  <c r="M296" i="15"/>
  <c r="M300" i="15"/>
  <c r="M305" i="15"/>
  <c r="M309" i="15"/>
  <c r="M313" i="15"/>
  <c r="M317" i="15"/>
  <c r="M322" i="15"/>
  <c r="M326" i="15"/>
  <c r="M331" i="15"/>
  <c r="M335" i="15"/>
  <c r="M515" i="15"/>
  <c r="L527" i="15"/>
  <c r="L531" i="15"/>
  <c r="L532" i="15"/>
  <c r="L536" i="15"/>
  <c r="L540" i="15"/>
  <c r="M544" i="15"/>
  <c r="M547" i="15"/>
  <c r="M552" i="15"/>
  <c r="L556" i="15"/>
  <c r="M559" i="15"/>
  <c r="M563" i="15"/>
  <c r="M566" i="15"/>
  <c r="M571" i="15"/>
  <c r="L575" i="15"/>
  <c r="L578" i="15"/>
  <c r="L582" i="15"/>
  <c r="O6" i="15"/>
  <c r="O15" i="15"/>
  <c r="O26" i="15"/>
  <c r="O37" i="15"/>
  <c r="O47" i="15"/>
  <c r="O58" i="15"/>
  <c r="O69" i="15"/>
  <c r="O77" i="15"/>
  <c r="O89" i="15"/>
  <c r="O106" i="15"/>
  <c r="O117" i="15"/>
  <c r="O129" i="15"/>
  <c r="O140" i="15"/>
  <c r="O148" i="15"/>
  <c r="O157" i="15"/>
  <c r="O167" i="15"/>
  <c r="O175" i="15"/>
  <c r="O184" i="15"/>
  <c r="O191" i="15"/>
  <c r="O202" i="15"/>
  <c r="O211" i="15"/>
  <c r="O221" i="15"/>
  <c r="O232" i="15"/>
  <c r="O240" i="15"/>
  <c r="O253" i="15"/>
  <c r="O261" i="15"/>
  <c r="O274" i="15"/>
  <c r="O282" i="15"/>
  <c r="O289" i="15"/>
  <c r="O298" i="15"/>
  <c r="O304" i="15"/>
  <c r="O309" i="15"/>
  <c r="O315" i="15"/>
  <c r="O321" i="15"/>
  <c r="O328" i="15"/>
  <c r="O334" i="15"/>
  <c r="O339" i="15"/>
  <c r="O346" i="15"/>
  <c r="O352" i="15"/>
  <c r="O357" i="15"/>
  <c r="O363" i="15"/>
  <c r="O369" i="15"/>
  <c r="O374" i="15"/>
  <c r="O380" i="15"/>
  <c r="O387" i="15"/>
  <c r="O393" i="15"/>
  <c r="O398" i="15"/>
  <c r="O404" i="15"/>
  <c r="O409" i="15"/>
  <c r="O416" i="15"/>
  <c r="O423" i="15"/>
  <c r="O432" i="15"/>
  <c r="O438" i="15"/>
  <c r="O2" i="15"/>
  <c r="M9" i="15"/>
  <c r="M14" i="15"/>
  <c r="M20" i="15"/>
  <c r="M26" i="15"/>
  <c r="M32" i="15"/>
  <c r="M40" i="15"/>
  <c r="M47" i="15"/>
  <c r="M52" i="15"/>
  <c r="M60" i="15"/>
  <c r="M65" i="15"/>
  <c r="M71" i="15"/>
  <c r="M78" i="15"/>
  <c r="L512" i="15"/>
  <c r="M517" i="15"/>
  <c r="L528" i="15"/>
  <c r="M531" i="15"/>
  <c r="O532" i="15"/>
  <c r="M537" i="15"/>
  <c r="M540" i="15"/>
  <c r="L545" i="15"/>
  <c r="L550" i="15"/>
  <c r="M553" i="15"/>
  <c r="M556" i="15"/>
  <c r="M560" i="15"/>
  <c r="L564" i="15"/>
  <c r="M567" i="15"/>
  <c r="K570" i="15"/>
  <c r="L572" i="15"/>
  <c r="M575" i="15"/>
  <c r="M579" i="15"/>
  <c r="L583" i="15"/>
  <c r="O7" i="15"/>
  <c r="O17" i="15"/>
  <c r="O28" i="15"/>
  <c r="O40" i="15"/>
  <c r="O50" i="15"/>
  <c r="O61" i="15"/>
  <c r="O71" i="15"/>
  <c r="O80" i="15"/>
  <c r="O99" i="15"/>
  <c r="O108" i="15"/>
  <c r="O121" i="15"/>
  <c r="O130" i="15"/>
  <c r="O142" i="15"/>
  <c r="O152" i="15"/>
  <c r="O159" i="15"/>
  <c r="O169" i="15"/>
  <c r="O178" i="15"/>
  <c r="O186" i="15"/>
  <c r="O192" i="15"/>
  <c r="O204" i="15"/>
  <c r="O214" i="15"/>
  <c r="O226" i="15"/>
  <c r="O235" i="15"/>
  <c r="O241" i="15"/>
  <c r="O254" i="15"/>
  <c r="O265" i="15"/>
  <c r="O276" i="15"/>
  <c r="O283" i="15"/>
  <c r="O293" i="15"/>
  <c r="O299" i="15"/>
  <c r="O305" i="15"/>
  <c r="O311" i="15"/>
  <c r="O316" i="15"/>
  <c r="O323" i="15"/>
  <c r="O330" i="15"/>
  <c r="O335" i="15"/>
  <c r="O341" i="15"/>
  <c r="O348" i="15"/>
  <c r="O353" i="15"/>
  <c r="O358" i="15"/>
  <c r="O365" i="15"/>
  <c r="O370" i="15"/>
  <c r="O375" i="15"/>
  <c r="O382" i="15"/>
  <c r="O388" i="15"/>
  <c r="O394" i="15"/>
  <c r="O400" i="15"/>
  <c r="O405" i="15"/>
  <c r="O410" i="15"/>
  <c r="O419" i="15"/>
  <c r="O428" i="15"/>
  <c r="O434" i="15"/>
  <c r="O441" i="15"/>
  <c r="M4" i="15"/>
  <c r="M10" i="15"/>
  <c r="M16" i="15"/>
  <c r="M21" i="15"/>
  <c r="M28" i="15"/>
  <c r="M35" i="15"/>
  <c r="M41" i="15"/>
  <c r="M48" i="15"/>
  <c r="M55" i="15"/>
  <c r="M61" i="15"/>
  <c r="M66" i="15"/>
  <c r="M74" i="15"/>
  <c r="M79" i="15"/>
  <c r="M85" i="15"/>
  <c r="M94" i="15"/>
  <c r="M100" i="15"/>
  <c r="M107" i="15"/>
  <c r="M114" i="15"/>
  <c r="M119" i="15"/>
  <c r="M124" i="15"/>
  <c r="M130" i="15"/>
  <c r="M139" i="15"/>
  <c r="M144" i="15"/>
  <c r="M151" i="15"/>
  <c r="M156" i="15"/>
  <c r="M163" i="15"/>
  <c r="M169" i="15"/>
  <c r="M175" i="15"/>
  <c r="M180" i="15"/>
  <c r="M186" i="15"/>
  <c r="M191" i="15"/>
  <c r="M196" i="15"/>
  <c r="M203" i="15"/>
  <c r="M208" i="15"/>
  <c r="M215" i="15"/>
  <c r="M222" i="15"/>
  <c r="M228" i="15"/>
  <c r="M233" i="15"/>
  <c r="M239" i="15"/>
  <c r="M244" i="15"/>
  <c r="M250" i="15"/>
  <c r="M258" i="15"/>
  <c r="M264" i="15"/>
  <c r="M273" i="15"/>
  <c r="M280" i="15"/>
  <c r="M285" i="15"/>
  <c r="M290" i="15"/>
  <c r="M297" i="15"/>
  <c r="M303" i="15"/>
  <c r="M308" i="15"/>
  <c r="M314" i="15"/>
  <c r="M319" i="15"/>
  <c r="M325" i="15"/>
  <c r="M332" i="15"/>
  <c r="M337" i="15"/>
  <c r="M341" i="15"/>
  <c r="M345" i="15"/>
  <c r="M349" i="15"/>
  <c r="M353" i="15"/>
  <c r="M357" i="15"/>
  <c r="M362" i="15"/>
  <c r="M366" i="15"/>
  <c r="M370" i="15"/>
  <c r="M374" i="15"/>
  <c r="M378" i="15"/>
  <c r="M382" i="15"/>
  <c r="M387" i="15"/>
  <c r="M391" i="15"/>
  <c r="M395" i="15"/>
  <c r="M399" i="15"/>
  <c r="M403" i="15"/>
  <c r="M407" i="15"/>
  <c r="M411" i="15"/>
  <c r="M417" i="15"/>
  <c r="M421" i="15"/>
  <c r="M427" i="15"/>
  <c r="M431" i="15"/>
  <c r="M436" i="15"/>
  <c r="M440" i="15"/>
  <c r="M447" i="15"/>
  <c r="M454" i="15"/>
  <c r="M462" i="15"/>
  <c r="M469" i="15"/>
  <c r="M481" i="15"/>
  <c r="M485" i="15"/>
  <c r="M489" i="15"/>
  <c r="M495" i="15"/>
  <c r="M505" i="15"/>
  <c r="L4" i="15"/>
  <c r="L9" i="15"/>
  <c r="L13" i="15"/>
  <c r="L17" i="15"/>
  <c r="L21" i="15"/>
  <c r="L26" i="15"/>
  <c r="L31" i="15"/>
  <c r="L36" i="15"/>
  <c r="L41" i="15"/>
  <c r="L47" i="15"/>
  <c r="L51" i="15"/>
  <c r="M520" i="15"/>
  <c r="M529" i="15"/>
  <c r="M534" i="15"/>
  <c r="M543" i="15"/>
  <c r="M551" i="15"/>
  <c r="M558" i="15"/>
  <c r="L566" i="15"/>
  <c r="M570" i="15"/>
  <c r="M577" i="15"/>
  <c r="O4" i="15"/>
  <c r="O23" i="15"/>
  <c r="O44" i="15"/>
  <c r="O67" i="15"/>
  <c r="O85" i="15"/>
  <c r="O113" i="15"/>
  <c r="O139" i="15"/>
  <c r="O154" i="15"/>
  <c r="O174" i="15"/>
  <c r="O190" i="15"/>
  <c r="O208" i="15"/>
  <c r="O230" i="15"/>
  <c r="O250" i="15"/>
  <c r="O272" i="15"/>
  <c r="O288" i="15"/>
  <c r="O303" i="15"/>
  <c r="O313" i="15"/>
  <c r="O326" i="15"/>
  <c r="O338" i="15"/>
  <c r="O350" i="15"/>
  <c r="O362" i="15"/>
  <c r="O373" i="15"/>
  <c r="O385" i="15"/>
  <c r="O397" i="15"/>
  <c r="O408" i="15"/>
  <c r="O421" i="15"/>
  <c r="O437" i="15"/>
  <c r="M8" i="15"/>
  <c r="M18" i="15"/>
  <c r="M31" i="15"/>
  <c r="M44" i="15"/>
  <c r="M57" i="15"/>
  <c r="M69" i="15"/>
  <c r="M82" i="15"/>
  <c r="M89" i="15"/>
  <c r="M101" i="15"/>
  <c r="M111" i="15"/>
  <c r="M118" i="15"/>
  <c r="M126" i="15"/>
  <c r="M135" i="15"/>
  <c r="M143" i="15"/>
  <c r="M152" i="15"/>
  <c r="M160" i="15"/>
  <c r="M167" i="15"/>
  <c r="M176" i="15"/>
  <c r="M183" i="15"/>
  <c r="M190" i="15"/>
  <c r="M198" i="15"/>
  <c r="M205" i="15"/>
  <c r="M214" i="15"/>
  <c r="M224" i="15"/>
  <c r="M231" i="15"/>
  <c r="M237" i="15"/>
  <c r="M245" i="15"/>
  <c r="M254" i="15"/>
  <c r="M262" i="15"/>
  <c r="M275" i="15"/>
  <c r="M282" i="15"/>
  <c r="M289" i="15"/>
  <c r="M298" i="15"/>
  <c r="M306" i="15"/>
  <c r="M312" i="15"/>
  <c r="M321" i="15"/>
  <c r="M329" i="15"/>
  <c r="M336" i="15"/>
  <c r="M342" i="15"/>
  <c r="M347" i="15"/>
  <c r="M352" i="15"/>
  <c r="M358" i="15"/>
  <c r="M364" i="15"/>
  <c r="M369" i="15"/>
  <c r="M375" i="15"/>
  <c r="M380" i="15"/>
  <c r="M386" i="15"/>
  <c r="M392" i="15"/>
  <c r="M397" i="15"/>
  <c r="M402" i="15"/>
  <c r="M408" i="15"/>
  <c r="M415" i="15"/>
  <c r="M420" i="15"/>
  <c r="M428" i="15"/>
  <c r="M434" i="15"/>
  <c r="M439" i="15"/>
  <c r="M448" i="15"/>
  <c r="M459" i="15"/>
  <c r="M466" i="15"/>
  <c r="M482" i="15"/>
  <c r="M487" i="15"/>
  <c r="M493" i="15"/>
  <c r="M507" i="15"/>
  <c r="L7" i="15"/>
  <c r="L12" i="15"/>
  <c r="L18" i="15"/>
  <c r="L24" i="15"/>
  <c r="L30" i="15"/>
  <c r="L37" i="15"/>
  <c r="L43" i="15"/>
  <c r="L50" i="15"/>
  <c r="L56" i="15"/>
  <c r="L61" i="15"/>
  <c r="L65" i="15"/>
  <c r="L69" i="15"/>
  <c r="L75" i="15"/>
  <c r="L79" i="15"/>
  <c r="L84" i="15"/>
  <c r="L88" i="15"/>
  <c r="L95" i="15"/>
  <c r="L100" i="15"/>
  <c r="L106" i="15"/>
  <c r="L111" i="15"/>
  <c r="L115" i="15"/>
  <c r="L119" i="15"/>
  <c r="L123" i="15"/>
  <c r="L127" i="15"/>
  <c r="L133" i="15"/>
  <c r="L139" i="15"/>
  <c r="L143" i="15"/>
  <c r="L147" i="15"/>
  <c r="L152" i="15"/>
  <c r="L156" i="15"/>
  <c r="L162" i="15"/>
  <c r="L166" i="15"/>
  <c r="L171" i="15"/>
  <c r="L175" i="15"/>
  <c r="L179" i="15"/>
  <c r="L183" i="15"/>
  <c r="L187" i="15"/>
  <c r="L191" i="15"/>
  <c r="L195" i="15"/>
  <c r="L199" i="15"/>
  <c r="L204" i="15"/>
  <c r="L208" i="15"/>
  <c r="L214" i="15"/>
  <c r="L219" i="15"/>
  <c r="L224" i="15"/>
  <c r="L228" i="15"/>
  <c r="L232" i="15"/>
  <c r="L236" i="15"/>
  <c r="L240" i="15"/>
  <c r="L244" i="15"/>
  <c r="L249" i="15"/>
  <c r="L254" i="15"/>
  <c r="L259" i="15"/>
  <c r="L264" i="15"/>
  <c r="L272" i="15"/>
  <c r="L276" i="15"/>
  <c r="L281" i="15"/>
  <c r="L285" i="15"/>
  <c r="L289" i="15"/>
  <c r="L294" i="15"/>
  <c r="L298" i="15"/>
  <c r="L303" i="15"/>
  <c r="L307" i="15"/>
  <c r="L311" i="15"/>
  <c r="L315" i="15"/>
  <c r="L319" i="15"/>
  <c r="L324" i="15"/>
  <c r="L329" i="15"/>
  <c r="L333" i="15"/>
  <c r="L337" i="15"/>
  <c r="L341" i="15"/>
  <c r="M512" i="15"/>
  <c r="L522" i="15"/>
  <c r="L538" i="15"/>
  <c r="M546" i="15"/>
  <c r="L554" i="15"/>
  <c r="M561" i="15"/>
  <c r="M568" i="15"/>
  <c r="L573" i="15"/>
  <c r="L580" i="15"/>
  <c r="O10" i="15"/>
  <c r="O29" i="15"/>
  <c r="O52" i="15"/>
  <c r="O75" i="15"/>
  <c r="O100" i="15"/>
  <c r="O123" i="15"/>
  <c r="O145" i="15"/>
  <c r="O163" i="15"/>
  <c r="O179" i="15"/>
  <c r="O196" i="15"/>
  <c r="O215" i="15"/>
  <c r="O236" i="15"/>
  <c r="O258" i="15"/>
  <c r="O277" i="15"/>
  <c r="O295" i="15"/>
  <c r="O307" i="15"/>
  <c r="O317" i="15"/>
  <c r="O331" i="15"/>
  <c r="O343" i="15"/>
  <c r="O354" i="15"/>
  <c r="O366" i="15"/>
  <c r="O378" i="15"/>
  <c r="O389" i="15"/>
  <c r="O401" i="15"/>
  <c r="O414" i="15"/>
  <c r="O429" i="15"/>
  <c r="O443" i="15"/>
  <c r="M12" i="15"/>
  <c r="M23" i="15"/>
  <c r="M36" i="15"/>
  <c r="M50" i="15"/>
  <c r="M62" i="15"/>
  <c r="M75" i="15"/>
  <c r="M84" i="15"/>
  <c r="M95" i="15"/>
  <c r="M104" i="15"/>
  <c r="M112" i="15"/>
  <c r="M120" i="15"/>
  <c r="M127" i="15"/>
  <c r="M138" i="15"/>
  <c r="M146" i="15"/>
  <c r="M153" i="15"/>
  <c r="M162" i="15"/>
  <c r="M171" i="15"/>
  <c r="M178" i="15"/>
  <c r="M184" i="15"/>
  <c r="M192" i="15"/>
  <c r="M199" i="15"/>
  <c r="M207" i="15"/>
  <c r="M218" i="15"/>
  <c r="M225" i="15"/>
  <c r="M232" i="15"/>
  <c r="M240" i="15"/>
  <c r="M248" i="15"/>
  <c r="M255" i="15"/>
  <c r="M265" i="15"/>
  <c r="M276" i="15"/>
  <c r="M284" i="15"/>
  <c r="M293" i="15"/>
  <c r="M299" i="15"/>
  <c r="M307" i="15"/>
  <c r="M315" i="15"/>
  <c r="M323" i="15"/>
  <c r="M330" i="15"/>
  <c r="M338" i="15"/>
  <c r="M343" i="15"/>
  <c r="M348" i="15"/>
  <c r="M354" i="15"/>
  <c r="M360" i="15"/>
  <c r="M365" i="15"/>
  <c r="M371" i="15"/>
  <c r="M376" i="15"/>
  <c r="M381" i="15"/>
  <c r="M388" i="15"/>
  <c r="M393" i="15"/>
  <c r="M398" i="15"/>
  <c r="M404" i="15"/>
  <c r="M409" i="15"/>
  <c r="M416" i="15"/>
  <c r="M422" i="15"/>
  <c r="M429" i="15"/>
  <c r="M435" i="15"/>
  <c r="M441" i="15"/>
  <c r="M450" i="15"/>
  <c r="M460" i="15"/>
  <c r="M474" i="15"/>
  <c r="M483" i="15"/>
  <c r="M488" i="15"/>
  <c r="M496" i="15"/>
  <c r="M508" i="15"/>
  <c r="L8" i="15"/>
  <c r="L14" i="15"/>
  <c r="L19" i="15"/>
  <c r="L25" i="15"/>
  <c r="L32" i="15"/>
  <c r="L38" i="15"/>
  <c r="L44" i="15"/>
  <c r="L52" i="15"/>
  <c r="L57" i="15"/>
  <c r="L62" i="15"/>
  <c r="L66" i="15"/>
  <c r="L71" i="15"/>
  <c r="L76" i="15"/>
  <c r="L80" i="15"/>
  <c r="L85" i="15"/>
  <c r="L89" i="15"/>
  <c r="L97" i="15"/>
  <c r="L101" i="15"/>
  <c r="L107" i="15"/>
  <c r="L112" i="15"/>
  <c r="L116" i="15"/>
  <c r="L120" i="15"/>
  <c r="L124" i="15"/>
  <c r="L128" i="15"/>
  <c r="L135" i="15"/>
  <c r="L140" i="15"/>
  <c r="L144" i="15"/>
  <c r="L148" i="15"/>
  <c r="L153" i="15"/>
  <c r="L157" i="15"/>
  <c r="L163" i="15"/>
  <c r="L167" i="15"/>
  <c r="L172" i="15"/>
  <c r="L176" i="15"/>
  <c r="L180" i="15"/>
  <c r="L184" i="15"/>
  <c r="L188" i="15"/>
  <c r="L192" i="15"/>
  <c r="L196" i="15"/>
  <c r="L200" i="15"/>
  <c r="L205" i="15"/>
  <c r="L209" i="15"/>
  <c r="L215" i="15"/>
  <c r="L220" i="15"/>
  <c r="L225" i="15"/>
  <c r="L229" i="15"/>
  <c r="L233" i="15"/>
  <c r="L237" i="15"/>
  <c r="L241" i="15"/>
  <c r="L245" i="15"/>
  <c r="L250" i="15"/>
  <c r="L255" i="15"/>
  <c r="L260" i="15"/>
  <c r="L265" i="15"/>
  <c r="L273" i="15"/>
  <c r="L277" i="15"/>
  <c r="L282" i="15"/>
  <c r="L286" i="15"/>
  <c r="L290" i="15"/>
  <c r="L295" i="15"/>
  <c r="L299" i="15"/>
  <c r="L304" i="15"/>
  <c r="L308" i="15"/>
  <c r="L312" i="15"/>
  <c r="L316" i="15"/>
  <c r="L321" i="15"/>
  <c r="L325" i="15"/>
  <c r="L330" i="15"/>
  <c r="L334" i="15"/>
  <c r="L338" i="15"/>
  <c r="L342" i="15"/>
  <c r="L346" i="15"/>
  <c r="L529" i="15"/>
  <c r="M542" i="15"/>
  <c r="L558" i="15"/>
  <c r="L570" i="15"/>
  <c r="M583" i="15"/>
  <c r="O42" i="15"/>
  <c r="O81" i="15"/>
  <c r="O133" i="15"/>
  <c r="O173" i="15"/>
  <c r="O207" i="15"/>
  <c r="O245" i="15"/>
  <c r="O286" i="15"/>
  <c r="O312" i="15"/>
  <c r="O336" i="15"/>
  <c r="O361" i="15"/>
  <c r="O383" i="15"/>
  <c r="O406" i="15"/>
  <c r="O436" i="15"/>
  <c r="M17" i="15"/>
  <c r="M42" i="15"/>
  <c r="M68" i="15"/>
  <c r="M88" i="15"/>
  <c r="M110" i="15"/>
  <c r="M123" i="15"/>
  <c r="M142" i="15"/>
  <c r="M157" i="15"/>
  <c r="M174" i="15"/>
  <c r="M188" i="15"/>
  <c r="M204" i="15"/>
  <c r="M220" i="15"/>
  <c r="M236" i="15"/>
  <c r="M253" i="15"/>
  <c r="M272" i="15"/>
  <c r="M288" i="15"/>
  <c r="M304" i="15"/>
  <c r="M318" i="15"/>
  <c r="M334" i="15"/>
  <c r="M346" i="15"/>
  <c r="M356" i="15"/>
  <c r="M368" i="15"/>
  <c r="M379" i="15"/>
  <c r="M390" i="15"/>
  <c r="M401" i="15"/>
  <c r="M414" i="15"/>
  <c r="M425" i="15"/>
  <c r="M438" i="15"/>
  <c r="M458" i="15"/>
  <c r="M478" i="15"/>
  <c r="M492" i="15"/>
  <c r="L6" i="15"/>
  <c r="L16" i="15"/>
  <c r="L29" i="15"/>
  <c r="L42" i="15"/>
  <c r="L55" i="15"/>
  <c r="L64" i="15"/>
  <c r="L74" i="15"/>
  <c r="L82" i="15"/>
  <c r="L94" i="15"/>
  <c r="L104" i="15"/>
  <c r="L114" i="15"/>
  <c r="L122" i="15"/>
  <c r="L130" i="15"/>
  <c r="L142" i="15"/>
  <c r="L151" i="15"/>
  <c r="L160" i="15"/>
  <c r="L169" i="15"/>
  <c r="L178" i="15"/>
  <c r="L186" i="15"/>
  <c r="L194" i="15"/>
  <c r="L203" i="15"/>
  <c r="L211" i="15"/>
  <c r="L222" i="15"/>
  <c r="L231" i="15"/>
  <c r="L239" i="15"/>
  <c r="L248" i="15"/>
  <c r="L258" i="15"/>
  <c r="L271" i="15"/>
  <c r="L280" i="15"/>
  <c r="L288" i="15"/>
  <c r="L297" i="15"/>
  <c r="L306" i="15"/>
  <c r="L314" i="15"/>
  <c r="L323" i="15"/>
  <c r="L332" i="15"/>
  <c r="L340" i="15"/>
  <c r="L347" i="15"/>
  <c r="L351" i="15"/>
  <c r="L355" i="15"/>
  <c r="L360" i="15"/>
  <c r="L364" i="15"/>
  <c r="L368" i="15"/>
  <c r="L372" i="15"/>
  <c r="L376" i="15"/>
  <c r="L380" i="15"/>
  <c r="L385" i="15"/>
  <c r="L389" i="15"/>
  <c r="L393" i="15"/>
  <c r="L397" i="15"/>
  <c r="L401" i="15"/>
  <c r="L405" i="15"/>
  <c r="L409" i="15"/>
  <c r="L415" i="15"/>
  <c r="L419" i="15"/>
  <c r="L423" i="15"/>
  <c r="L429" i="15"/>
  <c r="L434" i="15"/>
  <c r="L438" i="15"/>
  <c r="L442" i="15"/>
  <c r="L450" i="15"/>
  <c r="L459" i="15"/>
  <c r="L464" i="15"/>
  <c r="L475" i="15"/>
  <c r="L483" i="15"/>
  <c r="L487" i="15"/>
  <c r="L492" i="15"/>
  <c r="L498" i="15"/>
  <c r="L508" i="15"/>
  <c r="K7" i="15"/>
  <c r="N7" i="15" s="1"/>
  <c r="K11" i="15"/>
  <c r="N11" i="15" s="1"/>
  <c r="K17" i="15"/>
  <c r="K24" i="15"/>
  <c r="K29" i="15"/>
  <c r="K37" i="15"/>
  <c r="K42" i="15"/>
  <c r="N42" i="15" s="1"/>
  <c r="K48" i="15"/>
  <c r="K54" i="15"/>
  <c r="K61" i="15"/>
  <c r="K67" i="15"/>
  <c r="K72" i="15"/>
  <c r="K77" i="15"/>
  <c r="K81" i="15"/>
  <c r="K89" i="15"/>
  <c r="K101" i="15"/>
  <c r="K108" i="15"/>
  <c r="K113" i="15"/>
  <c r="K121" i="15"/>
  <c r="K126" i="15"/>
  <c r="K133" i="15"/>
  <c r="K140" i="15"/>
  <c r="K145" i="15"/>
  <c r="K149" i="15"/>
  <c r="K154" i="15"/>
  <c r="K159" i="15"/>
  <c r="K165" i="15"/>
  <c r="K171" i="15"/>
  <c r="K175" i="15"/>
  <c r="K179" i="15"/>
  <c r="K184" i="15"/>
  <c r="N184" i="15" s="1"/>
  <c r="K188" i="15"/>
  <c r="K192" i="15"/>
  <c r="K199" i="15"/>
  <c r="K204" i="15"/>
  <c r="K209" i="15"/>
  <c r="K215" i="15"/>
  <c r="K221" i="15"/>
  <c r="K228" i="15"/>
  <c r="K233" i="15"/>
  <c r="K237" i="15"/>
  <c r="K241" i="15"/>
  <c r="K250" i="15"/>
  <c r="K255" i="15"/>
  <c r="K261" i="15"/>
  <c r="K266" i="15"/>
  <c r="K274" i="15"/>
  <c r="K278" i="15"/>
  <c r="K283" i="15"/>
  <c r="K288" i="15"/>
  <c r="K295" i="15"/>
  <c r="K299" i="15"/>
  <c r="K304" i="15"/>
  <c r="K308" i="15"/>
  <c r="K312" i="15"/>
  <c r="K316" i="15"/>
  <c r="K321" i="15"/>
  <c r="K326" i="15"/>
  <c r="N326" i="15" s="1"/>
  <c r="K331" i="15"/>
  <c r="K335" i="15"/>
  <c r="K339" i="15"/>
  <c r="K345" i="15"/>
  <c r="K349" i="15"/>
  <c r="K353" i="15"/>
  <c r="K357" i="15"/>
  <c r="K362" i="15"/>
  <c r="K366" i="15"/>
  <c r="K370" i="15"/>
  <c r="K374" i="15"/>
  <c r="K379" i="15"/>
  <c r="K383" i="15"/>
  <c r="K388" i="15"/>
  <c r="K393" i="15"/>
  <c r="K397" i="15"/>
  <c r="K401" i="15"/>
  <c r="K405" i="15"/>
  <c r="K409" i="15"/>
  <c r="K415" i="15"/>
  <c r="N415" i="15" s="1"/>
  <c r="K420" i="15"/>
  <c r="N420" i="15" s="1"/>
  <c r="K428" i="15"/>
  <c r="N428" i="15" s="1"/>
  <c r="K432" i="15"/>
  <c r="K437" i="15"/>
  <c r="K443" i="15"/>
  <c r="J4" i="15"/>
  <c r="J9" i="15"/>
  <c r="J15" i="15"/>
  <c r="J21" i="15"/>
  <c r="J26" i="15"/>
  <c r="J35" i="15"/>
  <c r="J40" i="15"/>
  <c r="J44" i="15"/>
  <c r="J50" i="15"/>
  <c r="J57" i="15"/>
  <c r="J63" i="15"/>
  <c r="J69" i="15"/>
  <c r="J75" i="15"/>
  <c r="J79" i="15"/>
  <c r="J85" i="15"/>
  <c r="J99" i="15"/>
  <c r="J104" i="15"/>
  <c r="J111" i="15"/>
  <c r="J117" i="15"/>
  <c r="J123" i="15"/>
  <c r="J129" i="15"/>
  <c r="J136" i="15"/>
  <c r="J142" i="15"/>
  <c r="J147" i="15"/>
  <c r="J152" i="15"/>
  <c r="J156" i="15"/>
  <c r="J163" i="15"/>
  <c r="J167" i="15"/>
  <c r="J173" i="15"/>
  <c r="J177" i="15"/>
  <c r="J182" i="15"/>
  <c r="J186" i="15"/>
  <c r="J190" i="15"/>
  <c r="J195" i="15"/>
  <c r="J202" i="15"/>
  <c r="J207" i="15"/>
  <c r="J211" i="15"/>
  <c r="J219" i="15"/>
  <c r="J226" i="15"/>
  <c r="J230" i="15"/>
  <c r="J235" i="15"/>
  <c r="J239" i="15"/>
  <c r="J245" i="15"/>
  <c r="J253" i="15"/>
  <c r="J258" i="15"/>
  <c r="J264" i="15"/>
  <c r="J272" i="15"/>
  <c r="J276" i="15"/>
  <c r="J281" i="15"/>
  <c r="J285" i="15"/>
  <c r="J291" i="15"/>
  <c r="J297" i="15"/>
  <c r="J301" i="15"/>
  <c r="J306" i="15"/>
  <c r="J310" i="15"/>
  <c r="J314" i="15"/>
  <c r="J318" i="15"/>
  <c r="J324" i="15"/>
  <c r="J329" i="15"/>
  <c r="J333" i="15"/>
  <c r="J337" i="15"/>
  <c r="J342" i="15"/>
  <c r="J347" i="15"/>
  <c r="J351" i="15"/>
  <c r="J355" i="15"/>
  <c r="J360" i="15"/>
  <c r="J364" i="15"/>
  <c r="J368" i="15"/>
  <c r="J372" i="15"/>
  <c r="J377" i="15"/>
  <c r="J381" i="15"/>
  <c r="J386" i="15"/>
  <c r="J390" i="15"/>
  <c r="J395" i="15"/>
  <c r="J399" i="15"/>
  <c r="J403" i="15"/>
  <c r="J407" i="15"/>
  <c r="J411" i="15"/>
  <c r="J418" i="15"/>
  <c r="J422" i="15"/>
  <c r="J430" i="15"/>
  <c r="J435" i="15"/>
  <c r="J439" i="15"/>
  <c r="J499" i="15"/>
  <c r="M514" i="15"/>
  <c r="K532" i="15"/>
  <c r="L547" i="15"/>
  <c r="L562" i="15"/>
  <c r="L574" i="15"/>
  <c r="O11" i="15"/>
  <c r="O54" i="15"/>
  <c r="O104" i="15"/>
  <c r="O147" i="15"/>
  <c r="O182" i="15"/>
  <c r="O220" i="15"/>
  <c r="O259" i="15"/>
  <c r="O296" i="15"/>
  <c r="O319" i="15"/>
  <c r="O345" i="15"/>
  <c r="O367" i="15"/>
  <c r="O391" i="15"/>
  <c r="O415" i="15"/>
  <c r="O458" i="15"/>
  <c r="M25" i="15"/>
  <c r="M51" i="15"/>
  <c r="M76" i="15"/>
  <c r="M97" i="15"/>
  <c r="M115" i="15"/>
  <c r="M128" i="15"/>
  <c r="M147" i="15"/>
  <c r="M165" i="15"/>
  <c r="M179" i="15"/>
  <c r="M194" i="15"/>
  <c r="M209" i="15"/>
  <c r="M227" i="15"/>
  <c r="M241" i="15"/>
  <c r="M259" i="15"/>
  <c r="M277" i="15"/>
  <c r="M294" i="15"/>
  <c r="M310" i="15"/>
  <c r="M324" i="15"/>
  <c r="M339" i="15"/>
  <c r="M350" i="15"/>
  <c r="M361" i="15"/>
  <c r="M372" i="15"/>
  <c r="M383" i="15"/>
  <c r="M394" i="15"/>
  <c r="M405" i="15"/>
  <c r="M418" i="15"/>
  <c r="M430" i="15"/>
  <c r="M442" i="15"/>
  <c r="M463" i="15"/>
  <c r="M484" i="15"/>
  <c r="M498" i="15"/>
  <c r="L10" i="15"/>
  <c r="L20" i="15"/>
  <c r="L34" i="15"/>
  <c r="L48" i="15"/>
  <c r="L58" i="15"/>
  <c r="L67" i="15"/>
  <c r="L77" i="15"/>
  <c r="L86" i="15"/>
  <c r="L98" i="15"/>
  <c r="L108" i="15"/>
  <c r="L117" i="15"/>
  <c r="L125" i="15"/>
  <c r="L136" i="15"/>
  <c r="L145" i="15"/>
  <c r="L154" i="15"/>
  <c r="L164" i="15"/>
  <c r="L173" i="15"/>
  <c r="L181" i="15"/>
  <c r="L189" i="15"/>
  <c r="L197" i="15"/>
  <c r="L206" i="15"/>
  <c r="L217" i="15"/>
  <c r="L226" i="15"/>
  <c r="L234" i="15"/>
  <c r="L242" i="15"/>
  <c r="L251" i="15"/>
  <c r="L261" i="15"/>
  <c r="L274" i="15"/>
  <c r="L283" i="15"/>
  <c r="L291" i="15"/>
  <c r="L300" i="15"/>
  <c r="L309" i="15"/>
  <c r="L317" i="15"/>
  <c r="L326" i="15"/>
  <c r="L335" i="15"/>
  <c r="L343" i="15"/>
  <c r="L348" i="15"/>
  <c r="L352" i="15"/>
  <c r="L356" i="15"/>
  <c r="L361" i="15"/>
  <c r="L365" i="15"/>
  <c r="L369" i="15"/>
  <c r="L373" i="15"/>
  <c r="L377" i="15"/>
  <c r="L381" i="15"/>
  <c r="L386" i="15"/>
  <c r="L390" i="15"/>
  <c r="L394" i="15"/>
  <c r="L398" i="15"/>
  <c r="L402" i="15"/>
  <c r="L406" i="15"/>
  <c r="L410" i="15"/>
  <c r="L416" i="15"/>
  <c r="L420" i="15"/>
  <c r="L425" i="15"/>
  <c r="L430" i="15"/>
  <c r="L435" i="15"/>
  <c r="L439" i="15"/>
  <c r="L443" i="15"/>
  <c r="L452" i="15"/>
  <c r="L460" i="15"/>
  <c r="L466" i="15"/>
  <c r="L478" i="15"/>
  <c r="L484" i="15"/>
  <c r="L488" i="15"/>
  <c r="L493" i="15"/>
  <c r="L499" i="15"/>
  <c r="L2" i="15"/>
  <c r="K8" i="15"/>
  <c r="K13" i="15"/>
  <c r="K20" i="15"/>
  <c r="K25" i="15"/>
  <c r="K30" i="15"/>
  <c r="K38" i="15"/>
  <c r="K43" i="15"/>
  <c r="K49" i="15"/>
  <c r="K56" i="15"/>
  <c r="K62" i="15"/>
  <c r="K68" i="15"/>
  <c r="N68" i="15" s="1"/>
  <c r="K74" i="15"/>
  <c r="K78" i="15"/>
  <c r="K82" i="15"/>
  <c r="K98" i="15"/>
  <c r="N98" i="15" s="1"/>
  <c r="K103" i="15"/>
  <c r="N103" i="15" s="1"/>
  <c r="K110" i="15"/>
  <c r="K114" i="15"/>
  <c r="K122" i="15"/>
  <c r="K128" i="15"/>
  <c r="K135" i="15"/>
  <c r="K141" i="15"/>
  <c r="K146" i="15"/>
  <c r="K151" i="15"/>
  <c r="K155" i="15"/>
  <c r="K162" i="15"/>
  <c r="K166" i="15"/>
  <c r="K172" i="15"/>
  <c r="K176" i="15"/>
  <c r="K181" i="15"/>
  <c r="K185" i="15"/>
  <c r="K189" i="15"/>
  <c r="K193" i="15"/>
  <c r="K200" i="15"/>
  <c r="K205" i="15"/>
  <c r="N205" i="15" s="1"/>
  <c r="K210" i="15"/>
  <c r="K218" i="15"/>
  <c r="K225" i="15"/>
  <c r="K229" i="15"/>
  <c r="K234" i="15"/>
  <c r="K238" i="15"/>
  <c r="K243" i="15"/>
  <c r="K251" i="15"/>
  <c r="K257" i="15"/>
  <c r="K262" i="15"/>
  <c r="K271" i="15"/>
  <c r="K275" i="15"/>
  <c r="K280" i="15"/>
  <c r="K284" i="15"/>
  <c r="K289" i="15"/>
  <c r="K296" i="15"/>
  <c r="K300" i="15"/>
  <c r="K305" i="15"/>
  <c r="K309" i="15"/>
  <c r="K313" i="15"/>
  <c r="K317" i="15"/>
  <c r="K323" i="15"/>
  <c r="K328" i="15"/>
  <c r="K332" i="15"/>
  <c r="K336" i="15"/>
  <c r="K341" i="15"/>
  <c r="K346" i="15"/>
  <c r="K350" i="15"/>
  <c r="K354" i="15"/>
  <c r="N354" i="15" s="1"/>
  <c r="K358" i="15"/>
  <c r="K363" i="15"/>
  <c r="K367" i="15"/>
  <c r="K371" i="15"/>
  <c r="K375" i="15"/>
  <c r="K380" i="15"/>
  <c r="K385" i="15"/>
  <c r="K389" i="15"/>
  <c r="K394" i="15"/>
  <c r="K398" i="15"/>
  <c r="K402" i="15"/>
  <c r="K406" i="15"/>
  <c r="K410" i="15"/>
  <c r="K416" i="15"/>
  <c r="K421" i="15"/>
  <c r="K429" i="15"/>
  <c r="K434" i="15"/>
  <c r="K438" i="15"/>
  <c r="K458" i="15"/>
  <c r="J6" i="15"/>
  <c r="J10" i="15"/>
  <c r="J16" i="15"/>
  <c r="J23" i="15"/>
  <c r="J28" i="15"/>
  <c r="J36" i="15"/>
  <c r="J41" i="15"/>
  <c r="J47" i="15"/>
  <c r="J52" i="15"/>
  <c r="J58" i="15"/>
  <c r="J64" i="15"/>
  <c r="J71" i="15"/>
  <c r="J76" i="15"/>
  <c r="J80" i="15"/>
  <c r="J86" i="15"/>
  <c r="J100" i="15"/>
  <c r="J106" i="15"/>
  <c r="J112" i="15"/>
  <c r="J118" i="15"/>
  <c r="J124" i="15"/>
  <c r="J130" i="15"/>
  <c r="J139" i="15"/>
  <c r="J143" i="15"/>
  <c r="J148" i="15"/>
  <c r="J153" i="15"/>
  <c r="J157" i="15"/>
  <c r="J164" i="15"/>
  <c r="J169" i="15"/>
  <c r="J174" i="15"/>
  <c r="J178" i="15"/>
  <c r="J183" i="15"/>
  <c r="J187" i="15"/>
  <c r="J191" i="15"/>
  <c r="J196" i="15"/>
  <c r="J203" i="15"/>
  <c r="J208" i="15"/>
  <c r="J214" i="15"/>
  <c r="J220" i="15"/>
  <c r="J227" i="15"/>
  <c r="J232" i="15"/>
  <c r="J236" i="15"/>
  <c r="J240" i="15"/>
  <c r="J249" i="15"/>
  <c r="J254" i="15"/>
  <c r="J259" i="15"/>
  <c r="J265" i="15"/>
  <c r="J273" i="15"/>
  <c r="J277" i="15"/>
  <c r="J282" i="15"/>
  <c r="J286" i="15"/>
  <c r="J293" i="15"/>
  <c r="J298" i="15"/>
  <c r="J303" i="15"/>
  <c r="J307" i="15"/>
  <c r="J311" i="15"/>
  <c r="J315" i="15"/>
  <c r="J319" i="15"/>
  <c r="J325" i="15"/>
  <c r="J330" i="15"/>
  <c r="J334" i="15"/>
  <c r="J338" i="15"/>
  <c r="J343" i="15"/>
  <c r="J348" i="15"/>
  <c r="J352" i="15"/>
  <c r="J356" i="15"/>
  <c r="J361" i="15"/>
  <c r="J365" i="15"/>
  <c r="J369" i="15"/>
  <c r="J373" i="15"/>
  <c r="J378" i="15"/>
  <c r="J382" i="15"/>
  <c r="J387" i="15"/>
  <c r="J391" i="15"/>
  <c r="J396" i="15"/>
  <c r="J400" i="15"/>
  <c r="J404" i="15"/>
  <c r="J408" i="15"/>
  <c r="J414" i="15"/>
  <c r="J419" i="15"/>
  <c r="J423" i="15"/>
  <c r="J431" i="15"/>
  <c r="J436" i="15"/>
  <c r="J441" i="15"/>
  <c r="J2" i="15"/>
  <c r="M538" i="15"/>
  <c r="M569" i="15"/>
  <c r="O36" i="15"/>
  <c r="O124" i="15"/>
  <c r="O199" i="15"/>
  <c r="O281" i="15"/>
  <c r="O332" i="15"/>
  <c r="O379" i="15"/>
  <c r="O431" i="15"/>
  <c r="M37" i="15"/>
  <c r="M87" i="15"/>
  <c r="M122" i="15"/>
  <c r="M155" i="15"/>
  <c r="M187" i="15"/>
  <c r="M219" i="15"/>
  <c r="M249" i="15"/>
  <c r="M286" i="15"/>
  <c r="M316" i="15"/>
  <c r="M344" i="15"/>
  <c r="M367" i="15"/>
  <c r="M389" i="15"/>
  <c r="M410" i="15"/>
  <c r="M437" i="15"/>
  <c r="M475" i="15"/>
  <c r="M2" i="15"/>
  <c r="L28" i="15"/>
  <c r="L54" i="15"/>
  <c r="L72" i="15"/>
  <c r="L92" i="15"/>
  <c r="L113" i="15"/>
  <c r="L129" i="15"/>
  <c r="L149" i="15"/>
  <c r="L168" i="15"/>
  <c r="L185" i="15"/>
  <c r="L202" i="15"/>
  <c r="L221" i="15"/>
  <c r="L238" i="15"/>
  <c r="L257" i="15"/>
  <c r="L278" i="15"/>
  <c r="L296" i="15"/>
  <c r="L313" i="15"/>
  <c r="L331" i="15"/>
  <c r="L345" i="15"/>
  <c r="L354" i="15"/>
  <c r="L363" i="15"/>
  <c r="L371" i="15"/>
  <c r="L379" i="15"/>
  <c r="L388" i="15"/>
  <c r="L396" i="15"/>
  <c r="L404" i="15"/>
  <c r="L414" i="15"/>
  <c r="L422" i="15"/>
  <c r="L432" i="15"/>
  <c r="L441" i="15"/>
  <c r="L458" i="15"/>
  <c r="L474" i="15"/>
  <c r="L486" i="15"/>
  <c r="L496" i="15"/>
  <c r="K6" i="15"/>
  <c r="K16" i="15"/>
  <c r="K28" i="15"/>
  <c r="K41" i="15"/>
  <c r="N41" i="15" s="1"/>
  <c r="K52" i="15"/>
  <c r="K64" i="15"/>
  <c r="K76" i="15"/>
  <c r="N76" i="15" s="1"/>
  <c r="K86" i="15"/>
  <c r="K106" i="15"/>
  <c r="K118" i="15"/>
  <c r="K130" i="15"/>
  <c r="K143" i="15"/>
  <c r="K153" i="15"/>
  <c r="N153" i="15" s="1"/>
  <c r="K164" i="15"/>
  <c r="K174" i="15"/>
  <c r="K183" i="15"/>
  <c r="K191" i="15"/>
  <c r="K203" i="15"/>
  <c r="K214" i="15"/>
  <c r="N214" i="15" s="1"/>
  <c r="K227" i="15"/>
  <c r="N227" i="15" s="1"/>
  <c r="K236" i="15"/>
  <c r="K249" i="15"/>
  <c r="K259" i="15"/>
  <c r="K273" i="15"/>
  <c r="K282" i="15"/>
  <c r="K293" i="15"/>
  <c r="K303" i="15"/>
  <c r="K311" i="15"/>
  <c r="K319" i="15"/>
  <c r="K330" i="15"/>
  <c r="K338" i="15"/>
  <c r="K348" i="15"/>
  <c r="K356" i="15"/>
  <c r="K365" i="15"/>
  <c r="K373" i="15"/>
  <c r="K382" i="15"/>
  <c r="K391" i="15"/>
  <c r="K400" i="15"/>
  <c r="K408" i="15"/>
  <c r="N408" i="15" s="1"/>
  <c r="K419" i="15"/>
  <c r="K431" i="15"/>
  <c r="K441" i="15"/>
  <c r="J8" i="15"/>
  <c r="J20" i="15"/>
  <c r="J30" i="15"/>
  <c r="J43" i="15"/>
  <c r="J56" i="15"/>
  <c r="J68" i="15"/>
  <c r="J78" i="15"/>
  <c r="J98" i="15"/>
  <c r="J110" i="15"/>
  <c r="J122" i="15"/>
  <c r="J135" i="15"/>
  <c r="J146" i="15"/>
  <c r="J155" i="15"/>
  <c r="J166" i="15"/>
  <c r="J176" i="15"/>
  <c r="J185" i="15"/>
  <c r="J193" i="15"/>
  <c r="J205" i="15"/>
  <c r="J218" i="15"/>
  <c r="J229" i="15"/>
  <c r="J238" i="15"/>
  <c r="J251" i="15"/>
  <c r="J262" i="15"/>
  <c r="J275" i="15"/>
  <c r="J284" i="15"/>
  <c r="J296" i="15"/>
  <c r="J305" i="15"/>
  <c r="J313" i="15"/>
  <c r="J323" i="15"/>
  <c r="J332" i="15"/>
  <c r="J341" i="15"/>
  <c r="J350" i="15"/>
  <c r="J358" i="15"/>
  <c r="J367" i="15"/>
  <c r="J375" i="15"/>
  <c r="J385" i="15"/>
  <c r="J394" i="15"/>
  <c r="J402" i="15"/>
  <c r="J410" i="15"/>
  <c r="J421" i="15"/>
  <c r="J434" i="15"/>
  <c r="J458" i="15"/>
  <c r="L519" i="15"/>
  <c r="M550" i="15"/>
  <c r="L577" i="15"/>
  <c r="O63" i="15"/>
  <c r="O153" i="15"/>
  <c r="O228" i="15"/>
  <c r="O300" i="15"/>
  <c r="O349" i="15"/>
  <c r="O396" i="15"/>
  <c r="M6" i="15"/>
  <c r="M56" i="15"/>
  <c r="M99" i="15"/>
  <c r="M133" i="15"/>
  <c r="M166" i="15"/>
  <c r="M195" i="15"/>
  <c r="M229" i="15"/>
  <c r="M260" i="15"/>
  <c r="M295" i="15"/>
  <c r="M328" i="15"/>
  <c r="M351" i="15"/>
  <c r="M373" i="15"/>
  <c r="M396" i="15"/>
  <c r="M419" i="15"/>
  <c r="M443" i="15"/>
  <c r="M486" i="15"/>
  <c r="L11" i="15"/>
  <c r="L35" i="15"/>
  <c r="L60" i="15"/>
  <c r="L78" i="15"/>
  <c r="L99" i="15"/>
  <c r="L118" i="15"/>
  <c r="L138" i="15"/>
  <c r="L155" i="15"/>
  <c r="L174" i="15"/>
  <c r="L190" i="15"/>
  <c r="L207" i="15"/>
  <c r="L227" i="15"/>
  <c r="L243" i="15"/>
  <c r="L262" i="15"/>
  <c r="L284" i="15"/>
  <c r="L301" i="15"/>
  <c r="L318" i="15"/>
  <c r="L336" i="15"/>
  <c r="L349" i="15"/>
  <c r="L357" i="15"/>
  <c r="L366" i="15"/>
  <c r="L374" i="15"/>
  <c r="L382" i="15"/>
  <c r="L391" i="15"/>
  <c r="L399" i="15"/>
  <c r="L407" i="15"/>
  <c r="L417" i="15"/>
  <c r="L427" i="15"/>
  <c r="L436" i="15"/>
  <c r="L447" i="15"/>
  <c r="L462" i="15"/>
  <c r="L481" i="15"/>
  <c r="L489" i="15"/>
  <c r="L505" i="15"/>
  <c r="K9" i="15"/>
  <c r="K21" i="15"/>
  <c r="N21" i="15" s="1"/>
  <c r="K35" i="15"/>
  <c r="K44" i="15"/>
  <c r="K57" i="15"/>
  <c r="K69" i="15"/>
  <c r="K79" i="15"/>
  <c r="K99" i="15"/>
  <c r="K111" i="15"/>
  <c r="K123" i="15"/>
  <c r="K136" i="15"/>
  <c r="K147" i="15"/>
  <c r="K156" i="15"/>
  <c r="K167" i="15"/>
  <c r="N167" i="15" s="1"/>
  <c r="K177" i="15"/>
  <c r="K186" i="15"/>
  <c r="K195" i="15"/>
  <c r="K207" i="15"/>
  <c r="K219" i="15"/>
  <c r="K230" i="15"/>
  <c r="N230" i="15" s="1"/>
  <c r="K239" i="15"/>
  <c r="N239" i="15" s="1"/>
  <c r="K253" i="15"/>
  <c r="N253" i="15" s="1"/>
  <c r="K264" i="15"/>
  <c r="K276" i="15"/>
  <c r="K285" i="15"/>
  <c r="K297" i="15"/>
  <c r="K306" i="15"/>
  <c r="K314" i="15"/>
  <c r="K324" i="15"/>
  <c r="K333" i="15"/>
  <c r="K342" i="15"/>
  <c r="K351" i="15"/>
  <c r="K360" i="15"/>
  <c r="N360" i="15" s="1"/>
  <c r="K368" i="15"/>
  <c r="K377" i="15"/>
  <c r="K386" i="15"/>
  <c r="N386" i="15" s="1"/>
  <c r="K395" i="15"/>
  <c r="K403" i="15"/>
  <c r="K411" i="15"/>
  <c r="N411" i="15" s="1"/>
  <c r="K422" i="15"/>
  <c r="K435" i="15"/>
  <c r="K499" i="15"/>
  <c r="J11" i="15"/>
  <c r="J24" i="15"/>
  <c r="J37" i="15"/>
  <c r="J48" i="15"/>
  <c r="J61" i="15"/>
  <c r="J72" i="15"/>
  <c r="J81" i="15"/>
  <c r="J101" i="15"/>
  <c r="J113" i="15"/>
  <c r="J126" i="15"/>
  <c r="J140" i="15"/>
  <c r="J149" i="15"/>
  <c r="J159" i="15"/>
  <c r="J171" i="15"/>
  <c r="J179" i="15"/>
  <c r="J188" i="15"/>
  <c r="J199" i="15"/>
  <c r="J209" i="15"/>
  <c r="J221" i="15"/>
  <c r="J233" i="15"/>
  <c r="J241" i="15"/>
  <c r="J255" i="15"/>
  <c r="J266" i="15"/>
  <c r="J278" i="15"/>
  <c r="J288" i="15"/>
  <c r="J299" i="15"/>
  <c r="J308" i="15"/>
  <c r="J316" i="15"/>
  <c r="J326" i="15"/>
  <c r="J335" i="15"/>
  <c r="J345" i="15"/>
  <c r="J353" i="15"/>
  <c r="J362" i="15"/>
  <c r="J370" i="15"/>
  <c r="J379" i="15"/>
  <c r="J388" i="15"/>
  <c r="J397" i="15"/>
  <c r="J405" i="15"/>
  <c r="J415" i="15"/>
  <c r="J428" i="15"/>
  <c r="J437" i="15"/>
  <c r="M522" i="15"/>
  <c r="M555" i="15"/>
  <c r="L581" i="15"/>
  <c r="O76" i="15"/>
  <c r="O165" i="15"/>
  <c r="O237" i="15"/>
  <c r="O308" i="15"/>
  <c r="O356" i="15"/>
  <c r="O402" i="15"/>
  <c r="M13" i="15"/>
  <c r="M64" i="15"/>
  <c r="M106" i="15"/>
  <c r="M140" i="15"/>
  <c r="M172" i="15"/>
  <c r="M200" i="15"/>
  <c r="M235" i="15"/>
  <c r="M271" i="15"/>
  <c r="M301" i="15"/>
  <c r="M333" i="15"/>
  <c r="M355" i="15"/>
  <c r="M377" i="15"/>
  <c r="M400" i="15"/>
  <c r="M423" i="15"/>
  <c r="M452" i="15"/>
  <c r="M491" i="15"/>
  <c r="L15" i="15"/>
  <c r="L40" i="15"/>
  <c r="L63" i="15"/>
  <c r="L81" i="15"/>
  <c r="L103" i="15"/>
  <c r="L121" i="15"/>
  <c r="L141" i="15"/>
  <c r="L159" i="15"/>
  <c r="L177" i="15"/>
  <c r="L193" i="15"/>
  <c r="L210" i="15"/>
  <c r="L230" i="15"/>
  <c r="L247" i="15"/>
  <c r="L266" i="15"/>
  <c r="L287" i="15"/>
  <c r="L305" i="15"/>
  <c r="L322" i="15"/>
  <c r="L339" i="15"/>
  <c r="L350" i="15"/>
  <c r="L358" i="15"/>
  <c r="L367" i="15"/>
  <c r="L375" i="15"/>
  <c r="L383" i="15"/>
  <c r="L392" i="15"/>
  <c r="L400" i="15"/>
  <c r="L408" i="15"/>
  <c r="L418" i="15"/>
  <c r="L428" i="15"/>
  <c r="L437" i="15"/>
  <c r="L448" i="15"/>
  <c r="L463" i="15"/>
  <c r="L482" i="15"/>
  <c r="L491" i="15"/>
  <c r="L507" i="15"/>
  <c r="K10" i="15"/>
  <c r="K23" i="15"/>
  <c r="K36" i="15"/>
  <c r="K47" i="15"/>
  <c r="K58" i="15"/>
  <c r="K71" i="15"/>
  <c r="K80" i="15"/>
  <c r="K100" i="15"/>
  <c r="N100" i="15" s="1"/>
  <c r="K112" i="15"/>
  <c r="K124" i="15"/>
  <c r="K139" i="15"/>
  <c r="K148" i="15"/>
  <c r="K157" i="15"/>
  <c r="K169" i="15"/>
  <c r="K178" i="15"/>
  <c r="N178" i="15" s="1"/>
  <c r="K187" i="15"/>
  <c r="K196" i="15"/>
  <c r="K208" i="15"/>
  <c r="N208" i="15" s="1"/>
  <c r="K220" i="15"/>
  <c r="K232" i="15"/>
  <c r="K240" i="15"/>
  <c r="K254" i="15"/>
  <c r="K265" i="15"/>
  <c r="K277" i="15"/>
  <c r="K286" i="15"/>
  <c r="K298" i="15"/>
  <c r="O112" i="15"/>
  <c r="O371" i="15"/>
  <c r="M116" i="15"/>
  <c r="M243" i="15"/>
  <c r="M363" i="15"/>
  <c r="M464" i="15"/>
  <c r="L68" i="15"/>
  <c r="L146" i="15"/>
  <c r="L218" i="15"/>
  <c r="L293" i="15"/>
  <c r="L353" i="15"/>
  <c r="L387" i="15"/>
  <c r="L421" i="15"/>
  <c r="L469" i="15"/>
  <c r="K15" i="15"/>
  <c r="K63" i="15"/>
  <c r="N63" i="15" s="1"/>
  <c r="K117" i="15"/>
  <c r="K163" i="15"/>
  <c r="K202" i="15"/>
  <c r="K245" i="15"/>
  <c r="K291" i="15"/>
  <c r="N291" i="15" s="1"/>
  <c r="K315" i="15"/>
  <c r="K334" i="15"/>
  <c r="K352" i="15"/>
  <c r="K369" i="15"/>
  <c r="N369" i="15" s="1"/>
  <c r="K387" i="15"/>
  <c r="K404" i="15"/>
  <c r="K423" i="15"/>
  <c r="K2" i="15"/>
  <c r="J25" i="15"/>
  <c r="J49" i="15"/>
  <c r="J74" i="15"/>
  <c r="J103" i="15"/>
  <c r="J128" i="15"/>
  <c r="J151" i="15"/>
  <c r="J172" i="15"/>
  <c r="J189" i="15"/>
  <c r="J210" i="15"/>
  <c r="J234" i="15"/>
  <c r="J257" i="15"/>
  <c r="J280" i="15"/>
  <c r="J300" i="15"/>
  <c r="J317" i="15"/>
  <c r="J336" i="15"/>
  <c r="J354" i="15"/>
  <c r="J371" i="15"/>
  <c r="J389" i="15"/>
  <c r="J406" i="15"/>
  <c r="J429" i="15"/>
  <c r="B532" i="15"/>
  <c r="D532" i="15" s="1"/>
  <c r="B570" i="15"/>
  <c r="D570" i="15" s="1"/>
  <c r="O21" i="15"/>
  <c r="O325" i="15"/>
  <c r="M80" i="15"/>
  <c r="M211" i="15"/>
  <c r="M340" i="15"/>
  <c r="M432" i="15"/>
  <c r="L49" i="15"/>
  <c r="L126" i="15"/>
  <c r="L198" i="15"/>
  <c r="L275" i="15"/>
  <c r="L344" i="15"/>
  <c r="L378" i="15"/>
  <c r="L411" i="15"/>
  <c r="L454" i="15"/>
  <c r="K4" i="15"/>
  <c r="K50" i="15"/>
  <c r="N50" i="15" s="1"/>
  <c r="K104" i="15"/>
  <c r="K152" i="15"/>
  <c r="K190" i="15"/>
  <c r="K235" i="15"/>
  <c r="K281" i="15"/>
  <c r="K310" i="15"/>
  <c r="K329" i="15"/>
  <c r="N329" i="15" s="1"/>
  <c r="K347" i="15"/>
  <c r="K364" i="15"/>
  <c r="K381" i="15"/>
  <c r="N381" i="15" s="1"/>
  <c r="K399" i="15"/>
  <c r="K418" i="15"/>
  <c r="N418" i="15" s="1"/>
  <c r="K439" i="15"/>
  <c r="J17" i="15"/>
  <c r="J42" i="15"/>
  <c r="J67" i="15"/>
  <c r="J89" i="15"/>
  <c r="J121" i="15"/>
  <c r="J145" i="15"/>
  <c r="J165" i="15"/>
  <c r="J184" i="15"/>
  <c r="J204" i="15"/>
  <c r="J228" i="15"/>
  <c r="J250" i="15"/>
  <c r="J274" i="15"/>
  <c r="J295" i="15"/>
  <c r="J312" i="15"/>
  <c r="J331" i="15"/>
  <c r="J349" i="15"/>
  <c r="J366" i="15"/>
  <c r="J383" i="15"/>
  <c r="J401" i="15"/>
  <c r="J420" i="15"/>
  <c r="J443" i="15"/>
  <c r="C522" i="15"/>
  <c r="M533" i="15"/>
  <c r="O187" i="15"/>
  <c r="O420" i="15"/>
  <c r="M148" i="15"/>
  <c r="M281" i="15"/>
  <c r="M385" i="15"/>
  <c r="M499" i="15"/>
  <c r="L87" i="15"/>
  <c r="L165" i="15"/>
  <c r="L235" i="15"/>
  <c r="L310" i="15"/>
  <c r="L362" i="15"/>
  <c r="L395" i="15"/>
  <c r="L431" i="15"/>
  <c r="L485" i="15"/>
  <c r="K26" i="15"/>
  <c r="N26" i="15" s="1"/>
  <c r="K75" i="15"/>
  <c r="K129" i="15"/>
  <c r="K173" i="15"/>
  <c r="K211" i="15"/>
  <c r="K258" i="15"/>
  <c r="K301" i="15"/>
  <c r="K318" i="15"/>
  <c r="K337" i="15"/>
  <c r="K355" i="15"/>
  <c r="K372" i="15"/>
  <c r="K390" i="15"/>
  <c r="K407" i="15"/>
  <c r="K430" i="15"/>
  <c r="J7" i="15"/>
  <c r="J29" i="15"/>
  <c r="J54" i="15"/>
  <c r="J77" i="15"/>
  <c r="J108" i="15"/>
  <c r="J133" i="15"/>
  <c r="J154" i="15"/>
  <c r="J175" i="15"/>
  <c r="J192" i="15"/>
  <c r="J215" i="15"/>
  <c r="J237" i="15"/>
  <c r="J261" i="15"/>
  <c r="J283" i="15"/>
  <c r="J304" i="15"/>
  <c r="J321" i="15"/>
  <c r="J339" i="15"/>
  <c r="J357" i="15"/>
  <c r="J374" i="15"/>
  <c r="J393" i="15"/>
  <c r="J409" i="15"/>
  <c r="J432" i="15"/>
  <c r="C532" i="15"/>
  <c r="B522" i="15"/>
  <c r="D522" i="15" s="1"/>
  <c r="C570" i="15"/>
  <c r="M564" i="15"/>
  <c r="O266" i="15"/>
  <c r="M30" i="15"/>
  <c r="M182" i="15"/>
  <c r="M311" i="15"/>
  <c r="M406" i="15"/>
  <c r="L23" i="15"/>
  <c r="L110" i="15"/>
  <c r="L182" i="15"/>
  <c r="L253" i="15"/>
  <c r="L328" i="15"/>
  <c r="L370" i="15"/>
  <c r="L403" i="15"/>
  <c r="L440" i="15"/>
  <c r="L495" i="15"/>
  <c r="K40" i="15"/>
  <c r="K85" i="15"/>
  <c r="N85" i="15" s="1"/>
  <c r="K142" i="15"/>
  <c r="K182" i="15"/>
  <c r="K226" i="15"/>
  <c r="K272" i="15"/>
  <c r="K307" i="15"/>
  <c r="N307" i="15" s="1"/>
  <c r="K325" i="15"/>
  <c r="K343" i="15"/>
  <c r="K361" i="15"/>
  <c r="K378" i="15"/>
  <c r="K396" i="15"/>
  <c r="K414" i="15"/>
  <c r="K436" i="15"/>
  <c r="J13" i="15"/>
  <c r="J38" i="15"/>
  <c r="J62" i="15"/>
  <c r="J82" i="15"/>
  <c r="J114" i="15"/>
  <c r="J141" i="15"/>
  <c r="J162" i="15"/>
  <c r="J181" i="15"/>
  <c r="J200" i="15"/>
  <c r="J225" i="15"/>
  <c r="J243" i="15"/>
  <c r="J271" i="15"/>
  <c r="J289" i="15"/>
  <c r="J309" i="15"/>
  <c r="J328" i="15"/>
  <c r="J346" i="15"/>
  <c r="J363" i="15"/>
  <c r="J380" i="15"/>
  <c r="J398" i="15"/>
  <c r="J416" i="15"/>
  <c r="J438" i="15"/>
  <c r="B8" i="15"/>
  <c r="D8" i="15" s="1"/>
  <c r="B13" i="15"/>
  <c r="D13" i="15" s="1"/>
  <c r="B4" i="15"/>
  <c r="D4" i="15" s="1"/>
  <c r="B9" i="15"/>
  <c r="D9" i="15" s="1"/>
  <c r="B6" i="15"/>
  <c r="D6" i="15" s="1"/>
  <c r="B15" i="15"/>
  <c r="D15" i="15" s="1"/>
  <c r="B21" i="15"/>
  <c r="D21" i="15" s="1"/>
  <c r="B26" i="15"/>
  <c r="D26" i="15" s="1"/>
  <c r="B35" i="15"/>
  <c r="D35" i="15" s="1"/>
  <c r="B40" i="15"/>
  <c r="D40" i="15" s="1"/>
  <c r="B44" i="15"/>
  <c r="D44" i="15" s="1"/>
  <c r="B50" i="15"/>
  <c r="D50" i="15" s="1"/>
  <c r="B57" i="15"/>
  <c r="D57" i="15" s="1"/>
  <c r="B63" i="15"/>
  <c r="D63" i="15" s="1"/>
  <c r="B69" i="15"/>
  <c r="D69" i="15" s="1"/>
  <c r="B75" i="15"/>
  <c r="D75" i="15" s="1"/>
  <c r="B79" i="15"/>
  <c r="D79" i="15" s="1"/>
  <c r="B85" i="15"/>
  <c r="D85" i="15" s="1"/>
  <c r="B99" i="15"/>
  <c r="D99" i="15" s="1"/>
  <c r="B104" i="15"/>
  <c r="D104" i="15" s="1"/>
  <c r="B111" i="15"/>
  <c r="D111" i="15" s="1"/>
  <c r="B117" i="15"/>
  <c r="D117" i="15" s="1"/>
  <c r="B123" i="15"/>
  <c r="D123" i="15" s="1"/>
  <c r="B129" i="15"/>
  <c r="D129" i="15" s="1"/>
  <c r="B136" i="15"/>
  <c r="D136" i="15" s="1"/>
  <c r="B142" i="15"/>
  <c r="D142" i="15" s="1"/>
  <c r="B147" i="15"/>
  <c r="D147" i="15" s="1"/>
  <c r="B152" i="15"/>
  <c r="D152" i="15" s="1"/>
  <c r="B156" i="15"/>
  <c r="D156" i="15" s="1"/>
  <c r="B163" i="15"/>
  <c r="D163" i="15" s="1"/>
  <c r="B167" i="15"/>
  <c r="D167" i="15" s="1"/>
  <c r="B173" i="15"/>
  <c r="D173" i="15" s="1"/>
  <c r="B177" i="15"/>
  <c r="D177" i="15" s="1"/>
  <c r="B182" i="15"/>
  <c r="D182" i="15" s="1"/>
  <c r="B186" i="15"/>
  <c r="D186" i="15" s="1"/>
  <c r="B190" i="15"/>
  <c r="D190" i="15" s="1"/>
  <c r="B195" i="15"/>
  <c r="D195" i="15" s="1"/>
  <c r="B202" i="15"/>
  <c r="D202" i="15" s="1"/>
  <c r="B207" i="15"/>
  <c r="D207" i="15" s="1"/>
  <c r="B211" i="15"/>
  <c r="D211" i="15" s="1"/>
  <c r="B219" i="15"/>
  <c r="D219" i="15" s="1"/>
  <c r="B226" i="15"/>
  <c r="D226" i="15" s="1"/>
  <c r="B230" i="15"/>
  <c r="D230" i="15" s="1"/>
  <c r="B235" i="15"/>
  <c r="D235" i="15" s="1"/>
  <c r="B239" i="15"/>
  <c r="D239" i="15" s="1"/>
  <c r="B245" i="15"/>
  <c r="D245" i="15" s="1"/>
  <c r="B253" i="15"/>
  <c r="D253" i="15" s="1"/>
  <c r="B258" i="15"/>
  <c r="D258" i="15" s="1"/>
  <c r="B264" i="15"/>
  <c r="D264" i="15" s="1"/>
  <c r="B272" i="15"/>
  <c r="D272" i="15" s="1"/>
  <c r="B276" i="15"/>
  <c r="D276" i="15" s="1"/>
  <c r="B281" i="15"/>
  <c r="D281" i="15" s="1"/>
  <c r="B285" i="15"/>
  <c r="D285" i="15" s="1"/>
  <c r="B291" i="15"/>
  <c r="D291" i="15" s="1"/>
  <c r="B297" i="15"/>
  <c r="D297" i="15" s="1"/>
  <c r="B301" i="15"/>
  <c r="D301" i="15" s="1"/>
  <c r="B306" i="15"/>
  <c r="D306" i="15" s="1"/>
  <c r="B310" i="15"/>
  <c r="D310" i="15" s="1"/>
  <c r="B314" i="15"/>
  <c r="D314" i="15" s="1"/>
  <c r="B318" i="15"/>
  <c r="D318" i="15" s="1"/>
  <c r="B324" i="15"/>
  <c r="D324" i="15" s="1"/>
  <c r="B329" i="15"/>
  <c r="D329" i="15" s="1"/>
  <c r="B333" i="15"/>
  <c r="D333" i="15" s="1"/>
  <c r="B337" i="15"/>
  <c r="D337" i="15" s="1"/>
  <c r="B342" i="15"/>
  <c r="D342" i="15" s="1"/>
  <c r="B347" i="15"/>
  <c r="D347" i="15" s="1"/>
  <c r="B351" i="15"/>
  <c r="D351" i="15" s="1"/>
  <c r="B355" i="15"/>
  <c r="D355" i="15" s="1"/>
  <c r="B360" i="15"/>
  <c r="D360" i="15" s="1"/>
  <c r="B364" i="15"/>
  <c r="D364" i="15" s="1"/>
  <c r="B368" i="15"/>
  <c r="D368" i="15" s="1"/>
  <c r="B372" i="15"/>
  <c r="D372" i="15" s="1"/>
  <c r="B377" i="15"/>
  <c r="D377" i="15" s="1"/>
  <c r="B381" i="15"/>
  <c r="D381" i="15" s="1"/>
  <c r="B386" i="15"/>
  <c r="D386" i="15" s="1"/>
  <c r="B390" i="15"/>
  <c r="D390" i="15" s="1"/>
  <c r="B395" i="15"/>
  <c r="D395" i="15" s="1"/>
  <c r="B399" i="15"/>
  <c r="D399" i="15" s="1"/>
  <c r="B403" i="15"/>
  <c r="D403" i="15" s="1"/>
  <c r="B407" i="15"/>
  <c r="D407" i="15" s="1"/>
  <c r="B411" i="15"/>
  <c r="D411" i="15" s="1"/>
  <c r="B418" i="15"/>
  <c r="D418" i="15" s="1"/>
  <c r="B422" i="15"/>
  <c r="D422" i="15" s="1"/>
  <c r="B430" i="15"/>
  <c r="D430" i="15" s="1"/>
  <c r="B435" i="15"/>
  <c r="D435" i="15" s="1"/>
  <c r="B439" i="15"/>
  <c r="D439" i="15" s="1"/>
  <c r="B499" i="15"/>
  <c r="D499" i="15" s="1"/>
  <c r="C7" i="15"/>
  <c r="C11" i="15"/>
  <c r="C16" i="15"/>
  <c r="C23" i="15"/>
  <c r="C28" i="15"/>
  <c r="C36" i="15"/>
  <c r="C41" i="15"/>
  <c r="C47" i="15"/>
  <c r="C52" i="15"/>
  <c r="C58" i="15"/>
  <c r="C64" i="15"/>
  <c r="C71" i="15"/>
  <c r="C76" i="15"/>
  <c r="C80" i="15"/>
  <c r="C86" i="15"/>
  <c r="C98" i="15"/>
  <c r="C103" i="15"/>
  <c r="C110" i="15"/>
  <c r="C114" i="15"/>
  <c r="C121" i="15"/>
  <c r="C126" i="15"/>
  <c r="C133" i="15"/>
  <c r="C140" i="15"/>
  <c r="C145" i="15"/>
  <c r="C149" i="15"/>
  <c r="C154" i="15"/>
  <c r="C159" i="15"/>
  <c r="C165" i="15"/>
  <c r="C171" i="15"/>
  <c r="C175" i="15"/>
  <c r="C179" i="15"/>
  <c r="C184" i="15"/>
  <c r="C188" i="15"/>
  <c r="C192" i="15"/>
  <c r="C197" i="15"/>
  <c r="C203" i="15"/>
  <c r="C207" i="15"/>
  <c r="C211" i="15"/>
  <c r="C218" i="15"/>
  <c r="C224" i="15"/>
  <c r="C228" i="15"/>
  <c r="C233" i="15"/>
  <c r="C237" i="15"/>
  <c r="C241" i="15"/>
  <c r="C245" i="15"/>
  <c r="C253" i="15"/>
  <c r="C258" i="15"/>
  <c r="C262" i="15"/>
  <c r="C271" i="15"/>
  <c r="C275" i="15"/>
  <c r="C280" i="15"/>
  <c r="C284" i="15"/>
  <c r="C289" i="15"/>
  <c r="C296" i="15"/>
  <c r="C300" i="15"/>
  <c r="C305" i="15"/>
  <c r="C309" i="15"/>
  <c r="C313" i="15"/>
  <c r="C317" i="15"/>
  <c r="C323" i="15"/>
  <c r="C328" i="15"/>
  <c r="C332" i="15"/>
  <c r="C336" i="15"/>
  <c r="C341" i="15"/>
  <c r="C346" i="15"/>
  <c r="C350" i="15"/>
  <c r="C354" i="15"/>
  <c r="C358" i="15"/>
  <c r="C363" i="15"/>
  <c r="C367" i="15"/>
  <c r="C371" i="15"/>
  <c r="C375" i="15"/>
  <c r="C380" i="15"/>
  <c r="C385" i="15"/>
  <c r="C389" i="15"/>
  <c r="C394" i="15"/>
  <c r="C398" i="15"/>
  <c r="C402" i="15"/>
  <c r="C406" i="15"/>
  <c r="C410" i="15"/>
  <c r="C416" i="15"/>
  <c r="C421" i="15"/>
  <c r="C428" i="15"/>
  <c r="C432" i="15"/>
  <c r="C437" i="15"/>
  <c r="C441" i="15"/>
  <c r="C475" i="15"/>
  <c r="C484" i="15"/>
  <c r="C488" i="15"/>
  <c r="C2" i="15"/>
  <c r="B7" i="15"/>
  <c r="D7" i="15" s="1"/>
  <c r="B16" i="15"/>
  <c r="D16" i="15" s="1"/>
  <c r="B23" i="15"/>
  <c r="D23" i="15" s="1"/>
  <c r="B28" i="15"/>
  <c r="D28" i="15" s="1"/>
  <c r="B36" i="15"/>
  <c r="D36" i="15" s="1"/>
  <c r="B41" i="15"/>
  <c r="D41" i="15" s="1"/>
  <c r="B47" i="15"/>
  <c r="D47" i="15" s="1"/>
  <c r="B52" i="15"/>
  <c r="D52" i="15" s="1"/>
  <c r="B58" i="15"/>
  <c r="D58" i="15" s="1"/>
  <c r="B64" i="15"/>
  <c r="D64" i="15" s="1"/>
  <c r="B71" i="15"/>
  <c r="D71" i="15" s="1"/>
  <c r="B76" i="15"/>
  <c r="D76" i="15" s="1"/>
  <c r="B80" i="15"/>
  <c r="D80" i="15" s="1"/>
  <c r="B86" i="15"/>
  <c r="D86" i="15" s="1"/>
  <c r="B100" i="15"/>
  <c r="D100" i="15" s="1"/>
  <c r="B106" i="15"/>
  <c r="D106" i="15" s="1"/>
  <c r="B112" i="15"/>
  <c r="D112" i="15" s="1"/>
  <c r="B118" i="15"/>
  <c r="D118" i="15" s="1"/>
  <c r="B124" i="15"/>
  <c r="D124" i="15" s="1"/>
  <c r="B130" i="15"/>
  <c r="D130" i="15" s="1"/>
  <c r="B139" i="15"/>
  <c r="D139" i="15" s="1"/>
  <c r="B143" i="15"/>
  <c r="D143" i="15" s="1"/>
  <c r="B148" i="15"/>
  <c r="D148" i="15" s="1"/>
  <c r="B153" i="15"/>
  <c r="D153" i="15" s="1"/>
  <c r="B157" i="15"/>
  <c r="D157" i="15" s="1"/>
  <c r="B164" i="15"/>
  <c r="D164" i="15" s="1"/>
  <c r="B169" i="15"/>
  <c r="D169" i="15" s="1"/>
  <c r="B174" i="15"/>
  <c r="D174" i="15" s="1"/>
  <c r="B178" i="15"/>
  <c r="D178" i="15" s="1"/>
  <c r="B183" i="15"/>
  <c r="D183" i="15" s="1"/>
  <c r="B187" i="15"/>
  <c r="D187" i="15" s="1"/>
  <c r="B191" i="15"/>
  <c r="D191" i="15" s="1"/>
  <c r="B196" i="15"/>
  <c r="D196" i="15" s="1"/>
  <c r="B203" i="15"/>
  <c r="D203" i="15" s="1"/>
  <c r="E203" i="15" s="1"/>
  <c r="B208" i="15"/>
  <c r="D208" i="15" s="1"/>
  <c r="B214" i="15"/>
  <c r="D214" i="15" s="1"/>
  <c r="B220" i="15"/>
  <c r="D220" i="15" s="1"/>
  <c r="B227" i="15"/>
  <c r="D227" i="15" s="1"/>
  <c r="B232" i="15"/>
  <c r="D232" i="15" s="1"/>
  <c r="B236" i="15"/>
  <c r="D236" i="15" s="1"/>
  <c r="B240" i="15"/>
  <c r="D240" i="15" s="1"/>
  <c r="B249" i="15"/>
  <c r="D249" i="15" s="1"/>
  <c r="B254" i="15"/>
  <c r="D254" i="15" s="1"/>
  <c r="B259" i="15"/>
  <c r="D259" i="15" s="1"/>
  <c r="B265" i="15"/>
  <c r="D265" i="15" s="1"/>
  <c r="B273" i="15"/>
  <c r="D273" i="15" s="1"/>
  <c r="B277" i="15"/>
  <c r="D277" i="15" s="1"/>
  <c r="B282" i="15"/>
  <c r="D282" i="15" s="1"/>
  <c r="B286" i="15"/>
  <c r="D286" i="15" s="1"/>
  <c r="B293" i="15"/>
  <c r="D293" i="15" s="1"/>
  <c r="B298" i="15"/>
  <c r="D298" i="15" s="1"/>
  <c r="B303" i="15"/>
  <c r="D303" i="15" s="1"/>
  <c r="B307" i="15"/>
  <c r="D307" i="15" s="1"/>
  <c r="B311" i="15"/>
  <c r="D311" i="15" s="1"/>
  <c r="B315" i="15"/>
  <c r="D315" i="15" s="1"/>
  <c r="B319" i="15"/>
  <c r="D319" i="15" s="1"/>
  <c r="B325" i="15"/>
  <c r="D325" i="15" s="1"/>
  <c r="B330" i="15"/>
  <c r="D330" i="15" s="1"/>
  <c r="B334" i="15"/>
  <c r="D334" i="15" s="1"/>
  <c r="B338" i="15"/>
  <c r="D338" i="15" s="1"/>
  <c r="B343" i="15"/>
  <c r="D343" i="15" s="1"/>
  <c r="B348" i="15"/>
  <c r="D348" i="15" s="1"/>
  <c r="B352" i="15"/>
  <c r="D352" i="15" s="1"/>
  <c r="B356" i="15"/>
  <c r="D356" i="15" s="1"/>
  <c r="B361" i="15"/>
  <c r="D361" i="15" s="1"/>
  <c r="B365" i="15"/>
  <c r="D365" i="15" s="1"/>
  <c r="B369" i="15"/>
  <c r="D369" i="15" s="1"/>
  <c r="B373" i="15"/>
  <c r="D373" i="15" s="1"/>
  <c r="B378" i="15"/>
  <c r="D378" i="15" s="1"/>
  <c r="B382" i="15"/>
  <c r="D382" i="15" s="1"/>
  <c r="B387" i="15"/>
  <c r="D387" i="15" s="1"/>
  <c r="B391" i="15"/>
  <c r="D391" i="15" s="1"/>
  <c r="B396" i="15"/>
  <c r="D396" i="15" s="1"/>
  <c r="B400" i="15"/>
  <c r="D400" i="15" s="1"/>
  <c r="B404" i="15"/>
  <c r="D404" i="15" s="1"/>
  <c r="B408" i="15"/>
  <c r="D408" i="15" s="1"/>
  <c r="B414" i="15"/>
  <c r="D414" i="15" s="1"/>
  <c r="B419" i="15"/>
  <c r="D419" i="15" s="1"/>
  <c r="B423" i="15"/>
  <c r="D423" i="15" s="1"/>
  <c r="B431" i="15"/>
  <c r="D431" i="15" s="1"/>
  <c r="B436" i="15"/>
  <c r="D436" i="15" s="1"/>
  <c r="B441" i="15"/>
  <c r="D441" i="15" s="1"/>
  <c r="B2" i="15"/>
  <c r="D2" i="15" s="1"/>
  <c r="C8" i="15"/>
  <c r="C12" i="15"/>
  <c r="C17" i="15"/>
  <c r="C24" i="15"/>
  <c r="C29" i="15"/>
  <c r="C37" i="15"/>
  <c r="C42" i="15"/>
  <c r="C48" i="15"/>
  <c r="C54" i="15"/>
  <c r="C61" i="15"/>
  <c r="C67" i="15"/>
  <c r="C72" i="15"/>
  <c r="C77" i="15"/>
  <c r="C81" i="15"/>
  <c r="C87" i="15"/>
  <c r="C99" i="15"/>
  <c r="C104" i="15"/>
  <c r="C111" i="15"/>
  <c r="C117" i="15"/>
  <c r="C122" i="15"/>
  <c r="C128" i="15"/>
  <c r="C135" i="15"/>
  <c r="C141" i="15"/>
  <c r="C146" i="15"/>
  <c r="C151" i="15"/>
  <c r="C155" i="15"/>
  <c r="C162" i="15"/>
  <c r="C166" i="15"/>
  <c r="C172" i="15"/>
  <c r="C176" i="15"/>
  <c r="C181" i="15"/>
  <c r="C185" i="15"/>
  <c r="C189" i="15"/>
  <c r="C193" i="15"/>
  <c r="C199" i="15"/>
  <c r="C204" i="15"/>
  <c r="C208" i="15"/>
  <c r="C214" i="15"/>
  <c r="C219" i="15"/>
  <c r="C225" i="15"/>
  <c r="C229" i="15"/>
  <c r="C234" i="15"/>
  <c r="C238" i="15"/>
  <c r="C242" i="15"/>
  <c r="C249" i="15"/>
  <c r="C254" i="15"/>
  <c r="C259" i="15"/>
  <c r="C264" i="15"/>
  <c r="C272" i="15"/>
  <c r="C276" i="15"/>
  <c r="C281" i="15"/>
  <c r="C285" i="15"/>
  <c r="C291" i="15"/>
  <c r="C297" i="15"/>
  <c r="C301" i="15"/>
  <c r="C306" i="15"/>
  <c r="C310" i="15"/>
  <c r="C314" i="15"/>
  <c r="C318" i="15"/>
  <c r="C324" i="15"/>
  <c r="C329" i="15"/>
  <c r="C333" i="15"/>
  <c r="C337" i="15"/>
  <c r="C342" i="15"/>
  <c r="C347" i="15"/>
  <c r="C351" i="15"/>
  <c r="C355" i="15"/>
  <c r="C360" i="15"/>
  <c r="C364" i="15"/>
  <c r="C368" i="15"/>
  <c r="C372" i="15"/>
  <c r="C377" i="15"/>
  <c r="C381" i="15"/>
  <c r="C386" i="15"/>
  <c r="C390" i="15"/>
  <c r="C395" i="15"/>
  <c r="C399" i="15"/>
  <c r="C403" i="15"/>
  <c r="C407" i="15"/>
  <c r="C411" i="15"/>
  <c r="C418" i="15"/>
  <c r="C422" i="15"/>
  <c r="C429" i="15"/>
  <c r="C434" i="15"/>
  <c r="C438" i="15"/>
  <c r="C442" i="15"/>
  <c r="C478" i="15"/>
  <c r="C485" i="15"/>
  <c r="C491" i="15"/>
  <c r="B10" i="15"/>
  <c r="D10" i="15" s="1"/>
  <c r="B17" i="15"/>
  <c r="D17" i="15" s="1"/>
  <c r="B24" i="15"/>
  <c r="D24" i="15" s="1"/>
  <c r="E24" i="15" s="1"/>
  <c r="B29" i="15"/>
  <c r="D29" i="15" s="1"/>
  <c r="B37" i="15"/>
  <c r="D37" i="15" s="1"/>
  <c r="E37" i="15" s="1"/>
  <c r="B42" i="15"/>
  <c r="D42" i="15" s="1"/>
  <c r="B48" i="15"/>
  <c r="D48" i="15" s="1"/>
  <c r="E48" i="15" s="1"/>
  <c r="B54" i="15"/>
  <c r="D54" i="15" s="1"/>
  <c r="E54" i="15" s="1"/>
  <c r="B61" i="15"/>
  <c r="D61" i="15" s="1"/>
  <c r="B67" i="15"/>
  <c r="D67" i="15" s="1"/>
  <c r="E67" i="15" s="1"/>
  <c r="B72" i="15"/>
  <c r="D72" i="15" s="1"/>
  <c r="E72" i="15" s="1"/>
  <c r="B77" i="15"/>
  <c r="D77" i="15" s="1"/>
  <c r="E77" i="15" s="1"/>
  <c r="B81" i="15"/>
  <c r="D81" i="15" s="1"/>
  <c r="E81" i="15" s="1"/>
  <c r="B89" i="15"/>
  <c r="D89" i="15" s="1"/>
  <c r="B101" i="15"/>
  <c r="D101" i="15" s="1"/>
  <c r="B108" i="15"/>
  <c r="D108" i="15" s="1"/>
  <c r="B113" i="15"/>
  <c r="D113" i="15" s="1"/>
  <c r="B121" i="15"/>
  <c r="D121" i="15" s="1"/>
  <c r="B126" i="15"/>
  <c r="D126" i="15" s="1"/>
  <c r="B133" i="15"/>
  <c r="D133" i="15" s="1"/>
  <c r="B140" i="15"/>
  <c r="D140" i="15" s="1"/>
  <c r="B145" i="15"/>
  <c r="D145" i="15" s="1"/>
  <c r="B149" i="15"/>
  <c r="D149" i="15" s="1"/>
  <c r="B154" i="15"/>
  <c r="D154" i="15" s="1"/>
  <c r="B159" i="15"/>
  <c r="D159" i="15" s="1"/>
  <c r="B165" i="15"/>
  <c r="D165" i="15" s="1"/>
  <c r="B171" i="15"/>
  <c r="D171" i="15" s="1"/>
  <c r="B175" i="15"/>
  <c r="D175" i="15" s="1"/>
  <c r="B179" i="15"/>
  <c r="D179" i="15" s="1"/>
  <c r="B184" i="15"/>
  <c r="D184" i="15" s="1"/>
  <c r="B188" i="15"/>
  <c r="D188" i="15" s="1"/>
  <c r="B192" i="15"/>
  <c r="D192" i="15" s="1"/>
  <c r="B199" i="15"/>
  <c r="D199" i="15" s="1"/>
  <c r="B204" i="15"/>
  <c r="D204" i="15" s="1"/>
  <c r="B209" i="15"/>
  <c r="D209" i="15" s="1"/>
  <c r="B215" i="15"/>
  <c r="D215" i="15" s="1"/>
  <c r="B221" i="15"/>
  <c r="D221" i="15" s="1"/>
  <c r="B228" i="15"/>
  <c r="D228" i="15" s="1"/>
  <c r="B233" i="15"/>
  <c r="D233" i="15" s="1"/>
  <c r="B237" i="15"/>
  <c r="D237" i="15" s="1"/>
  <c r="B241" i="15"/>
  <c r="D241" i="15" s="1"/>
  <c r="B250" i="15"/>
  <c r="D250" i="15" s="1"/>
  <c r="B255" i="15"/>
  <c r="D255" i="15" s="1"/>
  <c r="B261" i="15"/>
  <c r="D261" i="15" s="1"/>
  <c r="B266" i="15"/>
  <c r="D266" i="15" s="1"/>
  <c r="B274" i="15"/>
  <c r="D274" i="15" s="1"/>
  <c r="B278" i="15"/>
  <c r="D278" i="15" s="1"/>
  <c r="B283" i="15"/>
  <c r="D283" i="15" s="1"/>
  <c r="B288" i="15"/>
  <c r="D288" i="15" s="1"/>
  <c r="B295" i="15"/>
  <c r="D295" i="15" s="1"/>
  <c r="B299" i="15"/>
  <c r="D299" i="15" s="1"/>
  <c r="B304" i="15"/>
  <c r="D304" i="15" s="1"/>
  <c r="B308" i="15"/>
  <c r="D308" i="15" s="1"/>
  <c r="B312" i="15"/>
  <c r="D312" i="15" s="1"/>
  <c r="B316" i="15"/>
  <c r="D316" i="15" s="1"/>
  <c r="B321" i="15"/>
  <c r="D321" i="15" s="1"/>
  <c r="B326" i="15"/>
  <c r="D326" i="15" s="1"/>
  <c r="B331" i="15"/>
  <c r="D331" i="15" s="1"/>
  <c r="B335" i="15"/>
  <c r="D335" i="15" s="1"/>
  <c r="B339" i="15"/>
  <c r="D339" i="15" s="1"/>
  <c r="B345" i="15"/>
  <c r="D345" i="15" s="1"/>
  <c r="B349" i="15"/>
  <c r="D349" i="15" s="1"/>
  <c r="B353" i="15"/>
  <c r="D353" i="15" s="1"/>
  <c r="B357" i="15"/>
  <c r="D357" i="15" s="1"/>
  <c r="B362" i="15"/>
  <c r="D362" i="15" s="1"/>
  <c r="B366" i="15"/>
  <c r="D366" i="15" s="1"/>
  <c r="B370" i="15"/>
  <c r="D370" i="15" s="1"/>
  <c r="B374" i="15"/>
  <c r="D374" i="15" s="1"/>
  <c r="B379" i="15"/>
  <c r="D379" i="15" s="1"/>
  <c r="B383" i="15"/>
  <c r="D383" i="15" s="1"/>
  <c r="B388" i="15"/>
  <c r="D388" i="15" s="1"/>
  <c r="B393" i="15"/>
  <c r="D393" i="15" s="1"/>
  <c r="B397" i="15"/>
  <c r="D397" i="15" s="1"/>
  <c r="B401" i="15"/>
  <c r="D401" i="15" s="1"/>
  <c r="B405" i="15"/>
  <c r="D405" i="15" s="1"/>
  <c r="B409" i="15"/>
  <c r="D409" i="15" s="1"/>
  <c r="B415" i="15"/>
  <c r="D415" i="15" s="1"/>
  <c r="B420" i="15"/>
  <c r="D420" i="15" s="1"/>
  <c r="B428" i="15"/>
  <c r="D428" i="15" s="1"/>
  <c r="B432" i="15"/>
  <c r="D432" i="15" s="1"/>
  <c r="B437" i="15"/>
  <c r="D437" i="15" s="1"/>
  <c r="B443" i="15"/>
  <c r="D443" i="15" s="1"/>
  <c r="C4" i="15"/>
  <c r="C9" i="15"/>
  <c r="C13" i="15"/>
  <c r="C20" i="15"/>
  <c r="C25" i="15"/>
  <c r="C30" i="15"/>
  <c r="C38" i="15"/>
  <c r="C43" i="15"/>
  <c r="C49" i="15"/>
  <c r="C56" i="15"/>
  <c r="C62" i="15"/>
  <c r="C68" i="15"/>
  <c r="C74" i="15"/>
  <c r="C78" i="15"/>
  <c r="C82" i="15"/>
  <c r="C89" i="15"/>
  <c r="C100" i="15"/>
  <c r="C106" i="15"/>
  <c r="C112" i="15"/>
  <c r="C118" i="15"/>
  <c r="C123" i="15"/>
  <c r="C129" i="15"/>
  <c r="C136" i="15"/>
  <c r="C142" i="15"/>
  <c r="C147" i="15"/>
  <c r="C152" i="15"/>
  <c r="C156" i="15"/>
  <c r="C163" i="15"/>
  <c r="C167" i="15"/>
  <c r="C173" i="15"/>
  <c r="C177" i="15"/>
  <c r="C182" i="15"/>
  <c r="C186" i="15"/>
  <c r="C190" i="15"/>
  <c r="C195" i="15"/>
  <c r="C200" i="15"/>
  <c r="C205" i="15"/>
  <c r="C209" i="15"/>
  <c r="C215" i="15"/>
  <c r="C220" i="15"/>
  <c r="C226" i="15"/>
  <c r="C230" i="15"/>
  <c r="C235" i="15"/>
  <c r="C239" i="15"/>
  <c r="C243" i="15"/>
  <c r="C250" i="15"/>
  <c r="C255" i="15"/>
  <c r="C260" i="15"/>
  <c r="C265" i="15"/>
  <c r="C273" i="15"/>
  <c r="C277" i="15"/>
  <c r="C282" i="15"/>
  <c r="C286" i="15"/>
  <c r="C293" i="15"/>
  <c r="C298" i="15"/>
  <c r="C303" i="15"/>
  <c r="C307" i="15"/>
  <c r="C311" i="15"/>
  <c r="C315" i="15"/>
  <c r="C319" i="15"/>
  <c r="C325" i="15"/>
  <c r="C330" i="15"/>
  <c r="C334" i="15"/>
  <c r="C338" i="15"/>
  <c r="C343" i="15"/>
  <c r="C348" i="15"/>
  <c r="C352" i="15"/>
  <c r="C356" i="15"/>
  <c r="C361" i="15"/>
  <c r="C365" i="15"/>
  <c r="C369" i="15"/>
  <c r="C373" i="15"/>
  <c r="C378" i="15"/>
  <c r="C382" i="15"/>
  <c r="C387" i="15"/>
  <c r="C391" i="15"/>
  <c r="C396" i="15"/>
  <c r="C400" i="15"/>
  <c r="C404" i="15"/>
  <c r="C408" i="15"/>
  <c r="C414" i="15"/>
  <c r="C419" i="15"/>
  <c r="C423" i="15"/>
  <c r="C430" i="15"/>
  <c r="C435" i="15"/>
  <c r="C439" i="15"/>
  <c r="C443" i="15"/>
  <c r="C482" i="15"/>
  <c r="C486" i="15"/>
  <c r="C493" i="15"/>
  <c r="B11" i="15"/>
  <c r="D11" i="15" s="1"/>
  <c r="B20" i="15"/>
  <c r="D20" i="15" s="1"/>
  <c r="B25" i="15"/>
  <c r="D25" i="15" s="1"/>
  <c r="B30" i="15"/>
  <c r="D30" i="15" s="1"/>
  <c r="E30" i="15" s="1"/>
  <c r="B38" i="15"/>
  <c r="D38" i="15" s="1"/>
  <c r="B43" i="15"/>
  <c r="D43" i="15" s="1"/>
  <c r="B49" i="15"/>
  <c r="D49" i="15" s="1"/>
  <c r="E49" i="15" s="1"/>
  <c r="B56" i="15"/>
  <c r="D56" i="15" s="1"/>
  <c r="B62" i="15"/>
  <c r="D62" i="15" s="1"/>
  <c r="B68" i="15"/>
  <c r="D68" i="15" s="1"/>
  <c r="B74" i="15"/>
  <c r="D74" i="15" s="1"/>
  <c r="B78" i="15"/>
  <c r="D78" i="15" s="1"/>
  <c r="E78" i="15" s="1"/>
  <c r="B82" i="15"/>
  <c r="D82" i="15" s="1"/>
  <c r="E82" i="15" s="1"/>
  <c r="B98" i="15"/>
  <c r="D98" i="15" s="1"/>
  <c r="E98" i="15" s="1"/>
  <c r="B103" i="15"/>
  <c r="D103" i="15" s="1"/>
  <c r="E103" i="15" s="1"/>
  <c r="B110" i="15"/>
  <c r="D110" i="15" s="1"/>
  <c r="E110" i="15" s="1"/>
  <c r="B114" i="15"/>
  <c r="D114" i="15" s="1"/>
  <c r="E114" i="15" s="1"/>
  <c r="B122" i="15"/>
  <c r="D122" i="15" s="1"/>
  <c r="B128" i="15"/>
  <c r="D128" i="15" s="1"/>
  <c r="B135" i="15"/>
  <c r="D135" i="15" s="1"/>
  <c r="B141" i="15"/>
  <c r="D141" i="15" s="1"/>
  <c r="B146" i="15"/>
  <c r="D146" i="15" s="1"/>
  <c r="B151" i="15"/>
  <c r="D151" i="15" s="1"/>
  <c r="B155" i="15"/>
  <c r="D155" i="15" s="1"/>
  <c r="B162" i="15"/>
  <c r="D162" i="15" s="1"/>
  <c r="B166" i="15"/>
  <c r="D166" i="15" s="1"/>
  <c r="B172" i="15"/>
  <c r="D172" i="15" s="1"/>
  <c r="B176" i="15"/>
  <c r="D176" i="15" s="1"/>
  <c r="B181" i="15"/>
  <c r="D181" i="15" s="1"/>
  <c r="B185" i="15"/>
  <c r="D185" i="15" s="1"/>
  <c r="B189" i="15"/>
  <c r="D189" i="15" s="1"/>
  <c r="B193" i="15"/>
  <c r="D193" i="15" s="1"/>
  <c r="B200" i="15"/>
  <c r="D200" i="15" s="1"/>
  <c r="B205" i="15"/>
  <c r="D205" i="15" s="1"/>
  <c r="B210" i="15"/>
  <c r="D210" i="15" s="1"/>
  <c r="B218" i="15"/>
  <c r="D218" i="15" s="1"/>
  <c r="B225" i="15"/>
  <c r="D225" i="15" s="1"/>
  <c r="B229" i="15"/>
  <c r="D229" i="15" s="1"/>
  <c r="B234" i="15"/>
  <c r="D234" i="15" s="1"/>
  <c r="B238" i="15"/>
  <c r="D238" i="15" s="1"/>
  <c r="B243" i="15"/>
  <c r="D243" i="15" s="1"/>
  <c r="B251" i="15"/>
  <c r="D251" i="15" s="1"/>
  <c r="B257" i="15"/>
  <c r="D257" i="15" s="1"/>
  <c r="B262" i="15"/>
  <c r="D262" i="15" s="1"/>
  <c r="B271" i="15"/>
  <c r="D271" i="15" s="1"/>
  <c r="B275" i="15"/>
  <c r="D275" i="15" s="1"/>
  <c r="B280" i="15"/>
  <c r="D280" i="15" s="1"/>
  <c r="B284" i="15"/>
  <c r="D284" i="15" s="1"/>
  <c r="B289" i="15"/>
  <c r="D289" i="15" s="1"/>
  <c r="B296" i="15"/>
  <c r="D296" i="15" s="1"/>
  <c r="B300" i="15"/>
  <c r="D300" i="15" s="1"/>
  <c r="B305" i="15"/>
  <c r="D305" i="15" s="1"/>
  <c r="B309" i="15"/>
  <c r="D309" i="15" s="1"/>
  <c r="B313" i="15"/>
  <c r="D313" i="15" s="1"/>
  <c r="B317" i="15"/>
  <c r="D317" i="15" s="1"/>
  <c r="B323" i="15"/>
  <c r="D323" i="15" s="1"/>
  <c r="B341" i="15"/>
  <c r="D341" i="15" s="1"/>
  <c r="B358" i="15"/>
  <c r="D358" i="15" s="1"/>
  <c r="E358" i="15" s="1"/>
  <c r="B375" i="15"/>
  <c r="D375" i="15" s="1"/>
  <c r="B394" i="15"/>
  <c r="D394" i="15" s="1"/>
  <c r="B410" i="15"/>
  <c r="D410" i="15" s="1"/>
  <c r="B434" i="15"/>
  <c r="D434" i="15" s="1"/>
  <c r="C10" i="15"/>
  <c r="C35" i="15"/>
  <c r="C57" i="15"/>
  <c r="C79" i="15"/>
  <c r="C108" i="15"/>
  <c r="C130" i="15"/>
  <c r="C153" i="15"/>
  <c r="C174" i="15"/>
  <c r="C191" i="15"/>
  <c r="C210" i="15"/>
  <c r="C232" i="15"/>
  <c r="C251" i="15"/>
  <c r="E251" i="15" s="1"/>
  <c r="C274" i="15"/>
  <c r="C295" i="15"/>
  <c r="C312" i="15"/>
  <c r="C331" i="15"/>
  <c r="C349" i="15"/>
  <c r="C366" i="15"/>
  <c r="C383" i="15"/>
  <c r="C401" i="15"/>
  <c r="C420" i="15"/>
  <c r="C440" i="15"/>
  <c r="C499" i="15"/>
  <c r="B354" i="15"/>
  <c r="D354" i="15" s="1"/>
  <c r="C75" i="15"/>
  <c r="C124" i="15"/>
  <c r="C206" i="15"/>
  <c r="C266" i="15"/>
  <c r="C308" i="15"/>
  <c r="C326" i="15"/>
  <c r="C362" i="15"/>
  <c r="C397" i="15"/>
  <c r="C436" i="15"/>
  <c r="B328" i="15"/>
  <c r="D328" i="15" s="1"/>
  <c r="B346" i="15"/>
  <c r="D346" i="15" s="1"/>
  <c r="B363" i="15"/>
  <c r="D363" i="15" s="1"/>
  <c r="B380" i="15"/>
  <c r="D380" i="15" s="1"/>
  <c r="B398" i="15"/>
  <c r="D398" i="15" s="1"/>
  <c r="B416" i="15"/>
  <c r="D416" i="15" s="1"/>
  <c r="B438" i="15"/>
  <c r="D438" i="15" s="1"/>
  <c r="C15" i="15"/>
  <c r="C40" i="15"/>
  <c r="C63" i="15"/>
  <c r="C85" i="15"/>
  <c r="C113" i="15"/>
  <c r="C139" i="15"/>
  <c r="C157" i="15"/>
  <c r="C178" i="15"/>
  <c r="C196" i="15"/>
  <c r="C217" i="15"/>
  <c r="C236" i="15"/>
  <c r="C257" i="15"/>
  <c r="C278" i="15"/>
  <c r="C299" i="15"/>
  <c r="C316" i="15"/>
  <c r="C335" i="15"/>
  <c r="C353" i="15"/>
  <c r="C370" i="15"/>
  <c r="C388" i="15"/>
  <c r="C405" i="15"/>
  <c r="C427" i="15"/>
  <c r="C458" i="15"/>
  <c r="C26" i="15"/>
  <c r="C148" i="15"/>
  <c r="C187" i="15"/>
  <c r="C244" i="15"/>
  <c r="C288" i="15"/>
  <c r="C345" i="15"/>
  <c r="C379" i="15"/>
  <c r="C415" i="15"/>
  <c r="C487" i="15"/>
  <c r="B332" i="15"/>
  <c r="D332" i="15" s="1"/>
  <c r="B350" i="15"/>
  <c r="D350" i="15" s="1"/>
  <c r="B367" i="15"/>
  <c r="D367" i="15" s="1"/>
  <c r="B385" i="15"/>
  <c r="D385" i="15" s="1"/>
  <c r="B402" i="15"/>
  <c r="D402" i="15" s="1"/>
  <c r="B421" i="15"/>
  <c r="D421" i="15" s="1"/>
  <c r="B458" i="15"/>
  <c r="D458" i="15" s="1"/>
  <c r="C21" i="15"/>
  <c r="C44" i="15"/>
  <c r="C69" i="15"/>
  <c r="C92" i="15"/>
  <c r="C119" i="15"/>
  <c r="C143" i="15"/>
  <c r="C164" i="15"/>
  <c r="C183" i="15"/>
  <c r="C202" i="15"/>
  <c r="C221" i="15"/>
  <c r="C240" i="15"/>
  <c r="C261" i="15"/>
  <c r="C283" i="15"/>
  <c r="C304" i="15"/>
  <c r="C321" i="15"/>
  <c r="C339" i="15"/>
  <c r="C357" i="15"/>
  <c r="C374" i="15"/>
  <c r="C393" i="15"/>
  <c r="C409" i="15"/>
  <c r="C431" i="15"/>
  <c r="C483" i="15"/>
  <c r="B336" i="15"/>
  <c r="D336" i="15" s="1"/>
  <c r="B371" i="15"/>
  <c r="D371" i="15" s="1"/>
  <c r="B389" i="15"/>
  <c r="D389" i="15" s="1"/>
  <c r="B406" i="15"/>
  <c r="D406" i="15" s="1"/>
  <c r="B429" i="15"/>
  <c r="D429" i="15" s="1"/>
  <c r="C6" i="15"/>
  <c r="C50" i="15"/>
  <c r="C101" i="15"/>
  <c r="C169" i="15"/>
  <c r="C227" i="15"/>
  <c r="K572" i="15"/>
  <c r="N572" i="15" s="1"/>
  <c r="B572" i="15"/>
  <c r="D572" i="15" s="1"/>
  <c r="C572" i="15"/>
  <c r="J572" i="15"/>
  <c r="B584" i="15"/>
  <c r="D584" i="15" s="1"/>
  <c r="F584" i="15"/>
  <c r="H584" i="15" s="1"/>
  <c r="W582" i="6"/>
  <c r="G532" i="15"/>
  <c r="G570" i="15"/>
  <c r="F522" i="15"/>
  <c r="H522" i="15" s="1"/>
  <c r="F570" i="15"/>
  <c r="H570" i="15" s="1"/>
  <c r="G522" i="15"/>
  <c r="F532" i="15"/>
  <c r="H532" i="15" s="1"/>
  <c r="G7" i="15"/>
  <c r="G11" i="15"/>
  <c r="G17" i="15"/>
  <c r="G24" i="15"/>
  <c r="G29" i="15"/>
  <c r="G37" i="15"/>
  <c r="G42" i="15"/>
  <c r="G48" i="15"/>
  <c r="G54" i="15"/>
  <c r="G61" i="15"/>
  <c r="G67" i="15"/>
  <c r="G72" i="15"/>
  <c r="G77" i="15"/>
  <c r="G81" i="15"/>
  <c r="G89" i="15"/>
  <c r="G101" i="15"/>
  <c r="G108" i="15"/>
  <c r="G113" i="15"/>
  <c r="G121" i="15"/>
  <c r="G126" i="15"/>
  <c r="G133" i="15"/>
  <c r="G140" i="15"/>
  <c r="G145" i="15"/>
  <c r="G149" i="15"/>
  <c r="G154" i="15"/>
  <c r="G159" i="15"/>
  <c r="G165" i="15"/>
  <c r="G171" i="15"/>
  <c r="G175" i="15"/>
  <c r="G179" i="15"/>
  <c r="G184" i="15"/>
  <c r="G188" i="15"/>
  <c r="G192" i="15"/>
  <c r="G199" i="15"/>
  <c r="G204" i="15"/>
  <c r="G209" i="15"/>
  <c r="G215" i="15"/>
  <c r="G221" i="15"/>
  <c r="G228" i="15"/>
  <c r="G233" i="15"/>
  <c r="G237" i="15"/>
  <c r="G241" i="15"/>
  <c r="G250" i="15"/>
  <c r="G255" i="15"/>
  <c r="G261" i="15"/>
  <c r="G266" i="15"/>
  <c r="G274" i="15"/>
  <c r="G278" i="15"/>
  <c r="G283" i="15"/>
  <c r="G288" i="15"/>
  <c r="G295" i="15"/>
  <c r="G299" i="15"/>
  <c r="G304" i="15"/>
  <c r="G308" i="15"/>
  <c r="G312" i="15"/>
  <c r="G316" i="15"/>
  <c r="G321" i="15"/>
  <c r="G8" i="15"/>
  <c r="G13" i="15"/>
  <c r="G20" i="15"/>
  <c r="G25" i="15"/>
  <c r="G30" i="15"/>
  <c r="G38" i="15"/>
  <c r="G43" i="15"/>
  <c r="G49" i="15"/>
  <c r="G56" i="15"/>
  <c r="G62" i="15"/>
  <c r="G68" i="15"/>
  <c r="G74" i="15"/>
  <c r="G78" i="15"/>
  <c r="G82" i="15"/>
  <c r="G98" i="15"/>
  <c r="G103" i="15"/>
  <c r="G110" i="15"/>
  <c r="G114" i="15"/>
  <c r="G122" i="15"/>
  <c r="G128" i="15"/>
  <c r="G135" i="15"/>
  <c r="G141" i="15"/>
  <c r="G146" i="15"/>
  <c r="G151" i="15"/>
  <c r="G155" i="15"/>
  <c r="G162" i="15"/>
  <c r="G166" i="15"/>
  <c r="G172" i="15"/>
  <c r="G176" i="15"/>
  <c r="G181" i="15"/>
  <c r="G185" i="15"/>
  <c r="G189" i="15"/>
  <c r="G193" i="15"/>
  <c r="G200" i="15"/>
  <c r="G205" i="15"/>
  <c r="G210" i="15"/>
  <c r="G218" i="15"/>
  <c r="G225" i="15"/>
  <c r="G229" i="15"/>
  <c r="G234" i="15"/>
  <c r="G238" i="15"/>
  <c r="G243" i="15"/>
  <c r="G251" i="15"/>
  <c r="G257" i="15"/>
  <c r="G262" i="15"/>
  <c r="G271" i="15"/>
  <c r="G275" i="15"/>
  <c r="G280" i="15"/>
  <c r="G284" i="15"/>
  <c r="G289" i="15"/>
  <c r="G296" i="15"/>
  <c r="G300" i="15"/>
  <c r="G305" i="15"/>
  <c r="G309" i="15"/>
  <c r="G313" i="15"/>
  <c r="G317" i="15"/>
  <c r="G10" i="15"/>
  <c r="G23" i="15"/>
  <c r="G36" i="15"/>
  <c r="G47" i="15"/>
  <c r="G58" i="15"/>
  <c r="G71" i="15"/>
  <c r="G80" i="15"/>
  <c r="G100" i="15"/>
  <c r="G112" i="15"/>
  <c r="G124" i="15"/>
  <c r="G139" i="15"/>
  <c r="G148" i="15"/>
  <c r="G157" i="15"/>
  <c r="G169" i="15"/>
  <c r="G178" i="15"/>
  <c r="G187" i="15"/>
  <c r="G196" i="15"/>
  <c r="G208" i="15"/>
  <c r="G4" i="15"/>
  <c r="G15" i="15"/>
  <c r="G26" i="15"/>
  <c r="G40" i="15"/>
  <c r="G50" i="15"/>
  <c r="G63" i="15"/>
  <c r="G75" i="15"/>
  <c r="G85" i="15"/>
  <c r="G104" i="15"/>
  <c r="G117" i="15"/>
  <c r="G129" i="15"/>
  <c r="G142" i="15"/>
  <c r="G152" i="15"/>
  <c r="G163" i="15"/>
  <c r="G173" i="15"/>
  <c r="G182" i="15"/>
  <c r="G190" i="15"/>
  <c r="G202" i="15"/>
  <c r="G211" i="15"/>
  <c r="G226" i="15"/>
  <c r="G235" i="15"/>
  <c r="G245" i="15"/>
  <c r="G258" i="15"/>
  <c r="G272" i="15"/>
  <c r="G281" i="15"/>
  <c r="G291" i="15"/>
  <c r="G301" i="15"/>
  <c r="G310" i="15"/>
  <c r="G318" i="15"/>
  <c r="G325" i="15"/>
  <c r="G330" i="15"/>
  <c r="G334" i="15"/>
  <c r="G338" i="15"/>
  <c r="G343" i="15"/>
  <c r="G348" i="15"/>
  <c r="G352" i="15"/>
  <c r="G356" i="15"/>
  <c r="G361" i="15"/>
  <c r="G365" i="15"/>
  <c r="G369" i="15"/>
  <c r="G373" i="15"/>
  <c r="G378" i="15"/>
  <c r="G382" i="15"/>
  <c r="G387" i="15"/>
  <c r="G391" i="15"/>
  <c r="G396" i="15"/>
  <c r="G400" i="15"/>
  <c r="G404" i="15"/>
  <c r="G408" i="15"/>
  <c r="G414" i="15"/>
  <c r="G419" i="15"/>
  <c r="G423" i="15"/>
  <c r="G431" i="15"/>
  <c r="G436" i="15"/>
  <c r="G441" i="15"/>
  <c r="G2" i="15"/>
  <c r="F8" i="15"/>
  <c r="H8" i="15" s="1"/>
  <c r="F13" i="15"/>
  <c r="H13" i="15" s="1"/>
  <c r="F20" i="15"/>
  <c r="H20" i="15" s="1"/>
  <c r="F25" i="15"/>
  <c r="H25" i="15" s="1"/>
  <c r="F30" i="15"/>
  <c r="H30" i="15" s="1"/>
  <c r="F38" i="15"/>
  <c r="H38" i="15" s="1"/>
  <c r="F43" i="15"/>
  <c r="H43" i="15" s="1"/>
  <c r="F49" i="15"/>
  <c r="H49" i="15" s="1"/>
  <c r="F56" i="15"/>
  <c r="H56" i="15" s="1"/>
  <c r="F62" i="15"/>
  <c r="H62" i="15" s="1"/>
  <c r="F68" i="15"/>
  <c r="H68" i="15" s="1"/>
  <c r="F74" i="15"/>
  <c r="H74" i="15" s="1"/>
  <c r="F78" i="15"/>
  <c r="H78" i="15" s="1"/>
  <c r="F82" i="15"/>
  <c r="H82" i="15" s="1"/>
  <c r="F98" i="15"/>
  <c r="H98" i="15" s="1"/>
  <c r="F103" i="15"/>
  <c r="H103" i="15" s="1"/>
  <c r="F110" i="15"/>
  <c r="H110" i="15" s="1"/>
  <c r="F114" i="15"/>
  <c r="H114" i="15" s="1"/>
  <c r="F122" i="15"/>
  <c r="H122" i="15" s="1"/>
  <c r="F128" i="15"/>
  <c r="H128" i="15" s="1"/>
  <c r="F135" i="15"/>
  <c r="H135" i="15" s="1"/>
  <c r="F141" i="15"/>
  <c r="H141" i="15" s="1"/>
  <c r="F146" i="15"/>
  <c r="H146" i="15" s="1"/>
  <c r="F151" i="15"/>
  <c r="H151" i="15" s="1"/>
  <c r="F155" i="15"/>
  <c r="H155" i="15" s="1"/>
  <c r="F162" i="15"/>
  <c r="H162" i="15" s="1"/>
  <c r="F166" i="15"/>
  <c r="H166" i="15" s="1"/>
  <c r="F172" i="15"/>
  <c r="H172" i="15" s="1"/>
  <c r="F176" i="15"/>
  <c r="H176" i="15" s="1"/>
  <c r="F181" i="15"/>
  <c r="H181" i="15" s="1"/>
  <c r="F185" i="15"/>
  <c r="H185" i="15" s="1"/>
  <c r="F189" i="15"/>
  <c r="H189" i="15" s="1"/>
  <c r="F193" i="15"/>
  <c r="H193" i="15" s="1"/>
  <c r="F200" i="15"/>
  <c r="H200" i="15" s="1"/>
  <c r="F205" i="15"/>
  <c r="H205" i="15" s="1"/>
  <c r="F210" i="15"/>
  <c r="H210" i="15" s="1"/>
  <c r="F218" i="15"/>
  <c r="H218" i="15" s="1"/>
  <c r="F225" i="15"/>
  <c r="H225" i="15" s="1"/>
  <c r="F229" i="15"/>
  <c r="H229" i="15" s="1"/>
  <c r="G6" i="15"/>
  <c r="G28" i="15"/>
  <c r="G52" i="15"/>
  <c r="G76" i="15"/>
  <c r="G106" i="15"/>
  <c r="G130" i="15"/>
  <c r="G153" i="15"/>
  <c r="G174" i="15"/>
  <c r="G191" i="15"/>
  <c r="G214" i="15"/>
  <c r="G230" i="15"/>
  <c r="G240" i="15"/>
  <c r="G259" i="15"/>
  <c r="G276" i="15"/>
  <c r="G286" i="15"/>
  <c r="G303" i="15"/>
  <c r="G314" i="15"/>
  <c r="G324" i="15"/>
  <c r="G331" i="15"/>
  <c r="G336" i="15"/>
  <c r="G342" i="15"/>
  <c r="G349" i="15"/>
  <c r="G354" i="15"/>
  <c r="G360" i="15"/>
  <c r="G366" i="15"/>
  <c r="G371" i="15"/>
  <c r="G377" i="15"/>
  <c r="G383" i="15"/>
  <c r="G389" i="15"/>
  <c r="G395" i="15"/>
  <c r="G401" i="15"/>
  <c r="G406" i="15"/>
  <c r="G411" i="15"/>
  <c r="G420" i="15"/>
  <c r="G429" i="15"/>
  <c r="G435" i="15"/>
  <c r="G443" i="15"/>
  <c r="F6" i="15"/>
  <c r="H6" i="15" s="1"/>
  <c r="F11" i="15"/>
  <c r="H11" i="15" s="1"/>
  <c r="F21" i="15"/>
  <c r="H21" i="15" s="1"/>
  <c r="F28" i="15"/>
  <c r="H28" i="15" s="1"/>
  <c r="F37" i="15"/>
  <c r="H37" i="15" s="1"/>
  <c r="F44" i="15"/>
  <c r="H44" i="15" s="1"/>
  <c r="F52" i="15"/>
  <c r="H52" i="15" s="1"/>
  <c r="F61" i="15"/>
  <c r="H61" i="15" s="1"/>
  <c r="F69" i="15"/>
  <c r="H69" i="15" s="1"/>
  <c r="F76" i="15"/>
  <c r="H76" i="15" s="1"/>
  <c r="F81" i="15"/>
  <c r="H81" i="15" s="1"/>
  <c r="F99" i="15"/>
  <c r="H99" i="15" s="1"/>
  <c r="F106" i="15"/>
  <c r="H106" i="15" s="1"/>
  <c r="F113" i="15"/>
  <c r="H113" i="15" s="1"/>
  <c r="F123" i="15"/>
  <c r="H123" i="15" s="1"/>
  <c r="F130" i="15"/>
  <c r="H130" i="15" s="1"/>
  <c r="F140" i="15"/>
  <c r="H140" i="15" s="1"/>
  <c r="F147" i="15"/>
  <c r="H147" i="15" s="1"/>
  <c r="F153" i="15"/>
  <c r="H153" i="15" s="1"/>
  <c r="F159" i="15"/>
  <c r="H159" i="15" s="1"/>
  <c r="F167" i="15"/>
  <c r="H167" i="15" s="1"/>
  <c r="F174" i="15"/>
  <c r="H174" i="15" s="1"/>
  <c r="F179" i="15"/>
  <c r="H179" i="15" s="1"/>
  <c r="I179" i="15" s="1"/>
  <c r="F186" i="15"/>
  <c r="H186" i="15" s="1"/>
  <c r="F191" i="15"/>
  <c r="H191" i="15" s="1"/>
  <c r="F199" i="15"/>
  <c r="H199" i="15" s="1"/>
  <c r="F207" i="15"/>
  <c r="H207" i="15" s="1"/>
  <c r="F214" i="15"/>
  <c r="H214" i="15" s="1"/>
  <c r="F221" i="15"/>
  <c r="H221" i="15" s="1"/>
  <c r="F230" i="15"/>
  <c r="H230" i="15" s="1"/>
  <c r="F235" i="15"/>
  <c r="H235" i="15" s="1"/>
  <c r="F239" i="15"/>
  <c r="H239" i="15" s="1"/>
  <c r="F245" i="15"/>
  <c r="H245" i="15" s="1"/>
  <c r="F253" i="15"/>
  <c r="H253" i="15" s="1"/>
  <c r="F258" i="15"/>
  <c r="H258" i="15" s="1"/>
  <c r="I258" i="15" s="1"/>
  <c r="F264" i="15"/>
  <c r="H264" i="15" s="1"/>
  <c r="F272" i="15"/>
  <c r="H272" i="15" s="1"/>
  <c r="F276" i="15"/>
  <c r="H276" i="15" s="1"/>
  <c r="F281" i="15"/>
  <c r="H281" i="15" s="1"/>
  <c r="F285" i="15"/>
  <c r="H285" i="15" s="1"/>
  <c r="F291" i="15"/>
  <c r="H291" i="15" s="1"/>
  <c r="F297" i="15"/>
  <c r="H297" i="15" s="1"/>
  <c r="F301" i="15"/>
  <c r="H301" i="15" s="1"/>
  <c r="F306" i="15"/>
  <c r="H306" i="15" s="1"/>
  <c r="F310" i="15"/>
  <c r="H310" i="15" s="1"/>
  <c r="F314" i="15"/>
  <c r="H314" i="15" s="1"/>
  <c r="F318" i="15"/>
  <c r="H318" i="15" s="1"/>
  <c r="F324" i="15"/>
  <c r="H324" i="15" s="1"/>
  <c r="F329" i="15"/>
  <c r="H329" i="15" s="1"/>
  <c r="F333" i="15"/>
  <c r="H333" i="15" s="1"/>
  <c r="F337" i="15"/>
  <c r="H337" i="15" s="1"/>
  <c r="F342" i="15"/>
  <c r="H342" i="15" s="1"/>
  <c r="F347" i="15"/>
  <c r="H347" i="15" s="1"/>
  <c r="F351" i="15"/>
  <c r="H351" i="15" s="1"/>
  <c r="F355" i="15"/>
  <c r="H355" i="15" s="1"/>
  <c r="F360" i="15"/>
  <c r="H360" i="15" s="1"/>
  <c r="F364" i="15"/>
  <c r="H364" i="15" s="1"/>
  <c r="F368" i="15"/>
  <c r="H368" i="15" s="1"/>
  <c r="F372" i="15"/>
  <c r="H372" i="15" s="1"/>
  <c r="F377" i="15"/>
  <c r="H377" i="15" s="1"/>
  <c r="F381" i="15"/>
  <c r="H381" i="15" s="1"/>
  <c r="F386" i="15"/>
  <c r="H386" i="15" s="1"/>
  <c r="F390" i="15"/>
  <c r="H390" i="15" s="1"/>
  <c r="F395" i="15"/>
  <c r="H395" i="15" s="1"/>
  <c r="F399" i="15"/>
  <c r="H399" i="15" s="1"/>
  <c r="F403" i="15"/>
  <c r="H403" i="15" s="1"/>
  <c r="F407" i="15"/>
  <c r="H407" i="15" s="1"/>
  <c r="F411" i="15"/>
  <c r="H411" i="15" s="1"/>
  <c r="F418" i="15"/>
  <c r="H418" i="15" s="1"/>
  <c r="F422" i="15"/>
  <c r="H422" i="15" s="1"/>
  <c r="F430" i="15"/>
  <c r="H430" i="15" s="1"/>
  <c r="F435" i="15"/>
  <c r="H435" i="15" s="1"/>
  <c r="F439" i="15"/>
  <c r="H439" i="15" s="1"/>
  <c r="F499" i="15"/>
  <c r="H499" i="15" s="1"/>
  <c r="F357" i="15"/>
  <c r="H357" i="15" s="1"/>
  <c r="F370" i="15"/>
  <c r="H370" i="15" s="1"/>
  <c r="F379" i="15"/>
  <c r="H379" i="15" s="1"/>
  <c r="F388" i="15"/>
  <c r="H388" i="15" s="1"/>
  <c r="F397" i="15"/>
  <c r="H397" i="15" s="1"/>
  <c r="F405" i="15"/>
  <c r="H405" i="15" s="1"/>
  <c r="F420" i="15"/>
  <c r="H420" i="15" s="1"/>
  <c r="F432" i="15"/>
  <c r="H432" i="15" s="1"/>
  <c r="F437" i="15"/>
  <c r="H437" i="15" s="1"/>
  <c r="G21" i="15"/>
  <c r="G44" i="15"/>
  <c r="G69" i="15"/>
  <c r="G99" i="15"/>
  <c r="G123" i="15"/>
  <c r="G147" i="15"/>
  <c r="G167" i="15"/>
  <c r="G186" i="15"/>
  <c r="G207" i="15"/>
  <c r="G227" i="15"/>
  <c r="G254" i="15"/>
  <c r="G273" i="15"/>
  <c r="G285" i="15"/>
  <c r="G298" i="15"/>
  <c r="G311" i="15"/>
  <c r="G323" i="15"/>
  <c r="G329" i="15"/>
  <c r="G335" i="15"/>
  <c r="G341" i="15"/>
  <c r="G353" i="15"/>
  <c r="G364" i="15"/>
  <c r="G370" i="15"/>
  <c r="G381" i="15"/>
  <c r="G394" i="15"/>
  <c r="G405" i="15"/>
  <c r="G418" i="15"/>
  <c r="G434" i="15"/>
  <c r="F4" i="15"/>
  <c r="H4" i="15" s="1"/>
  <c r="F17" i="15"/>
  <c r="H17" i="15" s="1"/>
  <c r="F36" i="15"/>
  <c r="H36" i="15" s="1"/>
  <c r="F50" i="15"/>
  <c r="H50" i="15" s="1"/>
  <c r="F67" i="15"/>
  <c r="H67" i="15" s="1"/>
  <c r="F80" i="15"/>
  <c r="H80" i="15" s="1"/>
  <c r="F104" i="15"/>
  <c r="H104" i="15" s="1"/>
  <c r="F121" i="15"/>
  <c r="H121" i="15" s="1"/>
  <c r="F139" i="15"/>
  <c r="H139" i="15" s="1"/>
  <c r="F152" i="15"/>
  <c r="H152" i="15" s="1"/>
  <c r="F165" i="15"/>
  <c r="H165" i="15" s="1"/>
  <c r="F178" i="15"/>
  <c r="H178" i="15" s="1"/>
  <c r="F190" i="15"/>
  <c r="H190" i="15" s="1"/>
  <c r="F204" i="15"/>
  <c r="H204" i="15" s="1"/>
  <c r="F228" i="15"/>
  <c r="H228" i="15" s="1"/>
  <c r="F238" i="15"/>
  <c r="H238" i="15" s="1"/>
  <c r="F251" i="15"/>
  <c r="H251" i="15" s="1"/>
  <c r="F271" i="15"/>
  <c r="H271" i="15" s="1"/>
  <c r="F275" i="15"/>
  <c r="H275" i="15" s="1"/>
  <c r="I275" i="15" s="1"/>
  <c r="F284" i="15"/>
  <c r="H284" i="15" s="1"/>
  <c r="F296" i="15"/>
  <c r="H296" i="15" s="1"/>
  <c r="F305" i="15"/>
  <c r="H305" i="15" s="1"/>
  <c r="F313" i="15"/>
  <c r="H313" i="15" s="1"/>
  <c r="F317" i="15"/>
  <c r="H317" i="15" s="1"/>
  <c r="F328" i="15"/>
  <c r="H328" i="15" s="1"/>
  <c r="F336" i="15"/>
  <c r="H336" i="15" s="1"/>
  <c r="F346" i="15"/>
  <c r="H346" i="15" s="1"/>
  <c r="F354" i="15"/>
  <c r="H354" i="15" s="1"/>
  <c r="F367" i="15"/>
  <c r="H367" i="15" s="1"/>
  <c r="F371" i="15"/>
  <c r="H371" i="15" s="1"/>
  <c r="F380" i="15"/>
  <c r="H380" i="15" s="1"/>
  <c r="F389" i="15"/>
  <c r="H389" i="15" s="1"/>
  <c r="F398" i="15"/>
  <c r="H398" i="15" s="1"/>
  <c r="F406" i="15"/>
  <c r="H406" i="15" s="1"/>
  <c r="F416" i="15"/>
  <c r="H416" i="15" s="1"/>
  <c r="F429" i="15"/>
  <c r="H429" i="15" s="1"/>
  <c r="F438" i="15"/>
  <c r="H438" i="15" s="1"/>
  <c r="G9" i="15"/>
  <c r="G35" i="15"/>
  <c r="G57" i="15"/>
  <c r="G79" i="15"/>
  <c r="G111" i="15"/>
  <c r="G136" i="15"/>
  <c r="G156" i="15"/>
  <c r="G177" i="15"/>
  <c r="G195" i="15"/>
  <c r="G219" i="15"/>
  <c r="G232" i="15"/>
  <c r="G249" i="15"/>
  <c r="G264" i="15"/>
  <c r="G277" i="15"/>
  <c r="G293" i="15"/>
  <c r="G306" i="15"/>
  <c r="G315" i="15"/>
  <c r="G326" i="15"/>
  <c r="G332" i="15"/>
  <c r="G337" i="15"/>
  <c r="G345" i="15"/>
  <c r="G350" i="15"/>
  <c r="G355" i="15"/>
  <c r="G362" i="15"/>
  <c r="G367" i="15"/>
  <c r="G372" i="15"/>
  <c r="G379" i="15"/>
  <c r="G385" i="15"/>
  <c r="G390" i="15"/>
  <c r="G397" i="15"/>
  <c r="G402" i="15"/>
  <c r="G407" i="15"/>
  <c r="G415" i="15"/>
  <c r="G421" i="15"/>
  <c r="G430" i="15"/>
  <c r="G437" i="15"/>
  <c r="G458" i="15"/>
  <c r="F7" i="15"/>
  <c r="H7" i="15" s="1"/>
  <c r="F15" i="15"/>
  <c r="H15" i="15" s="1"/>
  <c r="F23" i="15"/>
  <c r="H23" i="15" s="1"/>
  <c r="F29" i="15"/>
  <c r="H29" i="15" s="1"/>
  <c r="F40" i="15"/>
  <c r="H40" i="15" s="1"/>
  <c r="F47" i="15"/>
  <c r="H47" i="15" s="1"/>
  <c r="I47" i="15" s="1"/>
  <c r="F54" i="15"/>
  <c r="H54" i="15" s="1"/>
  <c r="F63" i="15"/>
  <c r="H63" i="15" s="1"/>
  <c r="F71" i="15"/>
  <c r="H71" i="15" s="1"/>
  <c r="F77" i="15"/>
  <c r="H77" i="15" s="1"/>
  <c r="F85" i="15"/>
  <c r="H85" i="15" s="1"/>
  <c r="F100" i="15"/>
  <c r="H100" i="15" s="1"/>
  <c r="F108" i="15"/>
  <c r="H108" i="15" s="1"/>
  <c r="F117" i="15"/>
  <c r="H117" i="15" s="1"/>
  <c r="I117" i="15" s="1"/>
  <c r="F124" i="15"/>
  <c r="H124" i="15" s="1"/>
  <c r="F133" i="15"/>
  <c r="H133" i="15" s="1"/>
  <c r="F142" i="15"/>
  <c r="H142" i="15" s="1"/>
  <c r="F148" i="15"/>
  <c r="H148" i="15" s="1"/>
  <c r="F154" i="15"/>
  <c r="H154" i="15" s="1"/>
  <c r="F163" i="15"/>
  <c r="H163" i="15" s="1"/>
  <c r="F169" i="15"/>
  <c r="H169" i="15" s="1"/>
  <c r="F175" i="15"/>
  <c r="H175" i="15" s="1"/>
  <c r="I175" i="15" s="1"/>
  <c r="F182" i="15"/>
  <c r="H182" i="15" s="1"/>
  <c r="F187" i="15"/>
  <c r="H187" i="15" s="1"/>
  <c r="F192" i="15"/>
  <c r="H192" i="15" s="1"/>
  <c r="F202" i="15"/>
  <c r="H202" i="15" s="1"/>
  <c r="F208" i="15"/>
  <c r="H208" i="15" s="1"/>
  <c r="F215" i="15"/>
  <c r="H215" i="15" s="1"/>
  <c r="F226" i="15"/>
  <c r="H226" i="15" s="1"/>
  <c r="F232" i="15"/>
  <c r="H232" i="15" s="1"/>
  <c r="F236" i="15"/>
  <c r="H236" i="15" s="1"/>
  <c r="F240" i="15"/>
  <c r="H240" i="15" s="1"/>
  <c r="F249" i="15"/>
  <c r="H249" i="15" s="1"/>
  <c r="F254" i="15"/>
  <c r="H254" i="15" s="1"/>
  <c r="F259" i="15"/>
  <c r="H259" i="15" s="1"/>
  <c r="F265" i="15"/>
  <c r="H265" i="15" s="1"/>
  <c r="F273" i="15"/>
  <c r="H273" i="15" s="1"/>
  <c r="F277" i="15"/>
  <c r="H277" i="15" s="1"/>
  <c r="F282" i="15"/>
  <c r="H282" i="15" s="1"/>
  <c r="F286" i="15"/>
  <c r="H286" i="15" s="1"/>
  <c r="F293" i="15"/>
  <c r="H293" i="15" s="1"/>
  <c r="F298" i="15"/>
  <c r="H298" i="15" s="1"/>
  <c r="F303" i="15"/>
  <c r="H303" i="15" s="1"/>
  <c r="F307" i="15"/>
  <c r="H307" i="15" s="1"/>
  <c r="F311" i="15"/>
  <c r="H311" i="15" s="1"/>
  <c r="F315" i="15"/>
  <c r="H315" i="15" s="1"/>
  <c r="F319" i="15"/>
  <c r="H319" i="15" s="1"/>
  <c r="F325" i="15"/>
  <c r="H325" i="15" s="1"/>
  <c r="F330" i="15"/>
  <c r="H330" i="15" s="1"/>
  <c r="F334" i="15"/>
  <c r="H334" i="15" s="1"/>
  <c r="F338" i="15"/>
  <c r="H338" i="15" s="1"/>
  <c r="F343" i="15"/>
  <c r="H343" i="15" s="1"/>
  <c r="F348" i="15"/>
  <c r="H348" i="15" s="1"/>
  <c r="F352" i="15"/>
  <c r="H352" i="15" s="1"/>
  <c r="F356" i="15"/>
  <c r="H356" i="15" s="1"/>
  <c r="F361" i="15"/>
  <c r="H361" i="15" s="1"/>
  <c r="F365" i="15"/>
  <c r="H365" i="15" s="1"/>
  <c r="F369" i="15"/>
  <c r="H369" i="15" s="1"/>
  <c r="F373" i="15"/>
  <c r="H373" i="15" s="1"/>
  <c r="F378" i="15"/>
  <c r="H378" i="15" s="1"/>
  <c r="F382" i="15"/>
  <c r="H382" i="15" s="1"/>
  <c r="F387" i="15"/>
  <c r="H387" i="15" s="1"/>
  <c r="F391" i="15"/>
  <c r="H391" i="15" s="1"/>
  <c r="F396" i="15"/>
  <c r="H396" i="15" s="1"/>
  <c r="F400" i="15"/>
  <c r="H400" i="15" s="1"/>
  <c r="F404" i="15"/>
  <c r="H404" i="15" s="1"/>
  <c r="F408" i="15"/>
  <c r="H408" i="15" s="1"/>
  <c r="F414" i="15"/>
  <c r="H414" i="15" s="1"/>
  <c r="F419" i="15"/>
  <c r="H419" i="15" s="1"/>
  <c r="F423" i="15"/>
  <c r="H423" i="15" s="1"/>
  <c r="F431" i="15"/>
  <c r="H431" i="15" s="1"/>
  <c r="F436" i="15"/>
  <c r="H436" i="15" s="1"/>
  <c r="F441" i="15"/>
  <c r="H441" i="15" s="1"/>
  <c r="F2" i="15"/>
  <c r="H2" i="15" s="1"/>
  <c r="F353" i="15"/>
  <c r="H353" i="15" s="1"/>
  <c r="F366" i="15"/>
  <c r="H366" i="15" s="1"/>
  <c r="F374" i="15"/>
  <c r="H374" i="15" s="1"/>
  <c r="F393" i="15"/>
  <c r="H393" i="15" s="1"/>
  <c r="F401" i="15"/>
  <c r="H401" i="15" s="1"/>
  <c r="F415" i="15"/>
  <c r="H415" i="15" s="1"/>
  <c r="F428" i="15"/>
  <c r="H428" i="15" s="1"/>
  <c r="G239" i="15"/>
  <c r="G347" i="15"/>
  <c r="G358" i="15"/>
  <c r="G375" i="15"/>
  <c r="G388" i="15"/>
  <c r="G399" i="15"/>
  <c r="G410" i="15"/>
  <c r="G428" i="15"/>
  <c r="G439" i="15"/>
  <c r="F10" i="15"/>
  <c r="H10" i="15" s="1"/>
  <c r="F26" i="15"/>
  <c r="H26" i="15" s="1"/>
  <c r="F42" i="15"/>
  <c r="H42" i="15" s="1"/>
  <c r="F58" i="15"/>
  <c r="H58" i="15" s="1"/>
  <c r="F75" i="15"/>
  <c r="H75" i="15" s="1"/>
  <c r="I75" i="15" s="1"/>
  <c r="F89" i="15"/>
  <c r="H89" i="15" s="1"/>
  <c r="I89" i="15" s="1"/>
  <c r="F112" i="15"/>
  <c r="H112" i="15" s="1"/>
  <c r="F129" i="15"/>
  <c r="H129" i="15" s="1"/>
  <c r="F145" i="15"/>
  <c r="H145" i="15" s="1"/>
  <c r="F157" i="15"/>
  <c r="H157" i="15" s="1"/>
  <c r="F173" i="15"/>
  <c r="H173" i="15" s="1"/>
  <c r="F184" i="15"/>
  <c r="H184" i="15" s="1"/>
  <c r="F196" i="15"/>
  <c r="H196" i="15" s="1"/>
  <c r="F211" i="15"/>
  <c r="H211" i="15" s="1"/>
  <c r="F220" i="15"/>
  <c r="H220" i="15" s="1"/>
  <c r="F234" i="15"/>
  <c r="H234" i="15" s="1"/>
  <c r="F243" i="15"/>
  <c r="H243" i="15" s="1"/>
  <c r="F257" i="15"/>
  <c r="H257" i="15" s="1"/>
  <c r="F262" i="15"/>
  <c r="H262" i="15" s="1"/>
  <c r="F280" i="15"/>
  <c r="H280" i="15" s="1"/>
  <c r="F289" i="15"/>
  <c r="H289" i="15" s="1"/>
  <c r="F300" i="15"/>
  <c r="H300" i="15" s="1"/>
  <c r="F309" i="15"/>
  <c r="H309" i="15" s="1"/>
  <c r="F323" i="15"/>
  <c r="H323" i="15" s="1"/>
  <c r="F332" i="15"/>
  <c r="H332" i="15" s="1"/>
  <c r="F341" i="15"/>
  <c r="H341" i="15" s="1"/>
  <c r="F350" i="15"/>
  <c r="H350" i="15" s="1"/>
  <c r="F358" i="15"/>
  <c r="H358" i="15" s="1"/>
  <c r="F363" i="15"/>
  <c r="H363" i="15" s="1"/>
  <c r="F375" i="15"/>
  <c r="H375" i="15" s="1"/>
  <c r="F385" i="15"/>
  <c r="H385" i="15" s="1"/>
  <c r="F394" i="15"/>
  <c r="H394" i="15" s="1"/>
  <c r="F402" i="15"/>
  <c r="H402" i="15" s="1"/>
  <c r="F410" i="15"/>
  <c r="H410" i="15" s="1"/>
  <c r="F421" i="15"/>
  <c r="H421" i="15" s="1"/>
  <c r="F434" i="15"/>
  <c r="H434" i="15" s="1"/>
  <c r="I434" i="15" s="1"/>
  <c r="F458" i="15"/>
  <c r="H458" i="15" s="1"/>
  <c r="G16" i="15"/>
  <c r="G41" i="15"/>
  <c r="G64" i="15"/>
  <c r="G86" i="15"/>
  <c r="G118" i="15"/>
  <c r="G143" i="15"/>
  <c r="G164" i="15"/>
  <c r="G183" i="15"/>
  <c r="G203" i="15"/>
  <c r="G220" i="15"/>
  <c r="G236" i="15"/>
  <c r="G253" i="15"/>
  <c r="G265" i="15"/>
  <c r="G282" i="15"/>
  <c r="G297" i="15"/>
  <c r="G307" i="15"/>
  <c r="G319" i="15"/>
  <c r="G328" i="15"/>
  <c r="G333" i="15"/>
  <c r="G339" i="15"/>
  <c r="G346" i="15"/>
  <c r="G351" i="15"/>
  <c r="G357" i="15"/>
  <c r="G363" i="15"/>
  <c r="G368" i="15"/>
  <c r="G374" i="15"/>
  <c r="G380" i="15"/>
  <c r="G386" i="15"/>
  <c r="G393" i="15"/>
  <c r="G398" i="15"/>
  <c r="G403" i="15"/>
  <c r="G409" i="15"/>
  <c r="G416" i="15"/>
  <c r="G422" i="15"/>
  <c r="G432" i="15"/>
  <c r="G438" i="15"/>
  <c r="G499" i="15"/>
  <c r="F9" i="15"/>
  <c r="H9" i="15" s="1"/>
  <c r="F16" i="15"/>
  <c r="H16" i="15" s="1"/>
  <c r="F24" i="15"/>
  <c r="H24" i="15" s="1"/>
  <c r="F35" i="15"/>
  <c r="H35" i="15" s="1"/>
  <c r="F41" i="15"/>
  <c r="H41" i="15" s="1"/>
  <c r="F48" i="15"/>
  <c r="H48" i="15" s="1"/>
  <c r="F57" i="15"/>
  <c r="H57" i="15" s="1"/>
  <c r="F64" i="15"/>
  <c r="H64" i="15" s="1"/>
  <c r="F72" i="15"/>
  <c r="H72" i="15" s="1"/>
  <c r="I72" i="15" s="1"/>
  <c r="F79" i="15"/>
  <c r="H79" i="15" s="1"/>
  <c r="F86" i="15"/>
  <c r="H86" i="15" s="1"/>
  <c r="F101" i="15"/>
  <c r="H101" i="15" s="1"/>
  <c r="F111" i="15"/>
  <c r="H111" i="15" s="1"/>
  <c r="F118" i="15"/>
  <c r="H118" i="15" s="1"/>
  <c r="F126" i="15"/>
  <c r="H126" i="15" s="1"/>
  <c r="F136" i="15"/>
  <c r="H136" i="15" s="1"/>
  <c r="F143" i="15"/>
  <c r="H143" i="15" s="1"/>
  <c r="F149" i="15"/>
  <c r="H149" i="15" s="1"/>
  <c r="F156" i="15"/>
  <c r="H156" i="15" s="1"/>
  <c r="F164" i="15"/>
  <c r="H164" i="15" s="1"/>
  <c r="F171" i="15"/>
  <c r="H171" i="15" s="1"/>
  <c r="F177" i="15"/>
  <c r="H177" i="15" s="1"/>
  <c r="F183" i="15"/>
  <c r="H183" i="15" s="1"/>
  <c r="F188" i="15"/>
  <c r="H188" i="15" s="1"/>
  <c r="F195" i="15"/>
  <c r="H195" i="15" s="1"/>
  <c r="F203" i="15"/>
  <c r="H203" i="15" s="1"/>
  <c r="F209" i="15"/>
  <c r="H209" i="15" s="1"/>
  <c r="F219" i="15"/>
  <c r="H219" i="15" s="1"/>
  <c r="F227" i="15"/>
  <c r="H227" i="15" s="1"/>
  <c r="F233" i="15"/>
  <c r="H233" i="15" s="1"/>
  <c r="F237" i="15"/>
  <c r="H237" i="15" s="1"/>
  <c r="F241" i="15"/>
  <c r="H241" i="15" s="1"/>
  <c r="F250" i="15"/>
  <c r="H250" i="15" s="1"/>
  <c r="F255" i="15"/>
  <c r="H255" i="15" s="1"/>
  <c r="F261" i="15"/>
  <c r="H261" i="15" s="1"/>
  <c r="F266" i="15"/>
  <c r="H266" i="15" s="1"/>
  <c r="F274" i="15"/>
  <c r="H274" i="15" s="1"/>
  <c r="F278" i="15"/>
  <c r="H278" i="15" s="1"/>
  <c r="F283" i="15"/>
  <c r="H283" i="15" s="1"/>
  <c r="F288" i="15"/>
  <c r="H288" i="15" s="1"/>
  <c r="F295" i="15"/>
  <c r="H295" i="15" s="1"/>
  <c r="F299" i="15"/>
  <c r="H299" i="15" s="1"/>
  <c r="F304" i="15"/>
  <c r="H304" i="15" s="1"/>
  <c r="F308" i="15"/>
  <c r="H308" i="15" s="1"/>
  <c r="F312" i="15"/>
  <c r="H312" i="15" s="1"/>
  <c r="F316" i="15"/>
  <c r="H316" i="15" s="1"/>
  <c r="F321" i="15"/>
  <c r="H321" i="15" s="1"/>
  <c r="F326" i="15"/>
  <c r="H326" i="15" s="1"/>
  <c r="F331" i="15"/>
  <c r="H331" i="15" s="1"/>
  <c r="F335" i="15"/>
  <c r="H335" i="15" s="1"/>
  <c r="F339" i="15"/>
  <c r="H339" i="15" s="1"/>
  <c r="F345" i="15"/>
  <c r="H345" i="15" s="1"/>
  <c r="F349" i="15"/>
  <c r="H349" i="15" s="1"/>
  <c r="I349" i="15" s="1"/>
  <c r="F362" i="15"/>
  <c r="H362" i="15" s="1"/>
  <c r="F383" i="15"/>
  <c r="H383" i="15" s="1"/>
  <c r="F409" i="15"/>
  <c r="H409" i="15" s="1"/>
  <c r="F443" i="15"/>
  <c r="H443" i="15" s="1"/>
  <c r="G572" i="15"/>
  <c r="F572" i="15"/>
  <c r="H572" i="15" s="1"/>
  <c r="C584" i="15"/>
  <c r="K584" i="15"/>
  <c r="F583" i="15"/>
  <c r="H583" i="15" s="1"/>
  <c r="I583" i="15" s="1"/>
  <c r="O580" i="6"/>
  <c r="O579" i="6"/>
  <c r="W579" i="6"/>
  <c r="W580" i="6"/>
  <c r="O224" i="15"/>
  <c r="O427" i="15"/>
  <c r="O487" i="15"/>
  <c r="O484" i="15"/>
  <c r="O92" i="15"/>
  <c r="W575" i="6"/>
  <c r="L131" i="15"/>
  <c r="O120" i="15"/>
  <c r="O542" i="15"/>
  <c r="O540" i="15"/>
  <c r="O548" i="15"/>
  <c r="O547" i="15"/>
  <c r="O553" i="15"/>
  <c r="O576" i="15"/>
  <c r="O566" i="15"/>
  <c r="O575" i="15"/>
  <c r="O571" i="15"/>
  <c r="O198" i="15"/>
  <c r="L256" i="15"/>
  <c r="O565" i="6"/>
  <c r="O576" i="6"/>
  <c r="O568" i="6"/>
  <c r="M537" i="6"/>
  <c r="O578" i="6"/>
  <c r="W576" i="6"/>
  <c r="O577" i="6"/>
  <c r="W347" i="6"/>
  <c r="W577" i="6"/>
  <c r="O569" i="6"/>
  <c r="O575" i="6"/>
  <c r="O51" i="6"/>
  <c r="O574" i="6"/>
  <c r="O579" i="15"/>
  <c r="O580" i="15"/>
  <c r="O581" i="15"/>
  <c r="O506" i="6"/>
  <c r="O573" i="6"/>
  <c r="W506" i="6"/>
  <c r="W573" i="6"/>
  <c r="O522" i="6"/>
  <c r="O570" i="6"/>
  <c r="E557" i="13"/>
  <c r="S557" i="13" s="1"/>
  <c r="O572" i="6"/>
  <c r="O578" i="15"/>
  <c r="O568" i="15"/>
  <c r="O565" i="15"/>
  <c r="W571" i="6"/>
  <c r="W567" i="6"/>
  <c r="L359" i="15"/>
  <c r="L212" i="15"/>
  <c r="L468" i="15"/>
  <c r="L3" i="15"/>
  <c r="L535" i="15"/>
  <c r="O545" i="15"/>
  <c r="O552" i="15"/>
  <c r="O417" i="15"/>
  <c r="O555" i="15"/>
  <c r="O533" i="15"/>
  <c r="O538" i="15"/>
  <c r="W564" i="6"/>
  <c r="W568" i="6"/>
  <c r="O563" i="6"/>
  <c r="O560" i="6"/>
  <c r="O561" i="6"/>
  <c r="O561" i="15"/>
  <c r="O194" i="15"/>
  <c r="O582" i="15"/>
  <c r="L549" i="15"/>
  <c r="W565" i="6"/>
  <c r="O505" i="15"/>
  <c r="O507" i="15"/>
  <c r="O496" i="15"/>
  <c r="O376" i="15"/>
  <c r="O517" i="15"/>
  <c r="W560" i="6"/>
  <c r="W561" i="6"/>
  <c r="O537" i="15"/>
  <c r="O544" i="15"/>
  <c r="O563" i="15"/>
  <c r="O567" i="15"/>
  <c r="O564" i="15"/>
  <c r="O144" i="15"/>
  <c r="O562" i="15"/>
  <c r="O560" i="15"/>
  <c r="O107" i="15"/>
  <c r="K471" i="15"/>
  <c r="J471" i="15"/>
  <c r="F471" i="15"/>
  <c r="H471" i="15" s="1"/>
  <c r="B471" i="15"/>
  <c r="D471" i="15" s="1"/>
  <c r="K480" i="15"/>
  <c r="J480" i="15"/>
  <c r="F480" i="15"/>
  <c r="H480" i="15" s="1"/>
  <c r="B480" i="15"/>
  <c r="D480" i="15" s="1"/>
  <c r="G197" i="15"/>
  <c r="F197" i="15"/>
  <c r="H197" i="15" s="1"/>
  <c r="K197" i="15"/>
  <c r="J197" i="15"/>
  <c r="B197" i="15"/>
  <c r="D197" i="15" s="1"/>
  <c r="K206" i="15"/>
  <c r="J206" i="15"/>
  <c r="F206" i="15"/>
  <c r="H206" i="15" s="1"/>
  <c r="G206" i="15"/>
  <c r="B206" i="15"/>
  <c r="D206" i="15" s="1"/>
  <c r="K478" i="15"/>
  <c r="J478" i="15"/>
  <c r="G478" i="15"/>
  <c r="F478" i="15"/>
  <c r="H478" i="15" s="1"/>
  <c r="B478" i="15"/>
  <c r="D478" i="15" s="1"/>
  <c r="F486" i="15"/>
  <c r="H486" i="15" s="1"/>
  <c r="K486" i="15"/>
  <c r="J486" i="15"/>
  <c r="G486" i="15"/>
  <c r="B486" i="15"/>
  <c r="D486" i="15" s="1"/>
  <c r="F487" i="15"/>
  <c r="H487" i="15" s="1"/>
  <c r="K487" i="15"/>
  <c r="J487" i="15"/>
  <c r="G487" i="15"/>
  <c r="B487" i="15"/>
  <c r="D487" i="15" s="1"/>
  <c r="K502" i="15"/>
  <c r="J502" i="15"/>
  <c r="F502" i="15"/>
  <c r="H502" i="15" s="1"/>
  <c r="B502" i="15"/>
  <c r="D502" i="15" s="1"/>
  <c r="K491" i="15"/>
  <c r="J491" i="15"/>
  <c r="G491" i="15"/>
  <c r="F491" i="15"/>
  <c r="H491" i="15" s="1"/>
  <c r="B491" i="15"/>
  <c r="D491" i="15" s="1"/>
  <c r="K33" i="15"/>
  <c r="J33" i="15"/>
  <c r="F33" i="15"/>
  <c r="H33" i="15" s="1"/>
  <c r="B33" i="15"/>
  <c r="D33" i="15" s="1"/>
  <c r="F483" i="15"/>
  <c r="H483" i="15" s="1"/>
  <c r="J483" i="15"/>
  <c r="G483" i="15"/>
  <c r="K483" i="15"/>
  <c r="B483" i="15"/>
  <c r="D483" i="15" s="1"/>
  <c r="K488" i="15"/>
  <c r="J488" i="15"/>
  <c r="G488" i="15"/>
  <c r="F488" i="15"/>
  <c r="H488" i="15" s="1"/>
  <c r="B488" i="15"/>
  <c r="D488" i="15" s="1"/>
  <c r="L33" i="15"/>
  <c r="C33" i="15"/>
  <c r="F433" i="15"/>
  <c r="H433" i="15" s="1"/>
  <c r="K433" i="15"/>
  <c r="J433" i="15"/>
  <c r="B433" i="15"/>
  <c r="D433" i="15" s="1"/>
  <c r="G440" i="15"/>
  <c r="K440" i="15"/>
  <c r="J440" i="15"/>
  <c r="F440" i="15"/>
  <c r="H440" i="15" s="1"/>
  <c r="B440" i="15"/>
  <c r="D440" i="15" s="1"/>
  <c r="K244" i="15"/>
  <c r="J244" i="15"/>
  <c r="F244" i="15"/>
  <c r="H244" i="15" s="1"/>
  <c r="G244" i="15"/>
  <c r="B244" i="15"/>
  <c r="D244" i="15" s="1"/>
  <c r="K510" i="15"/>
  <c r="J510" i="15"/>
  <c r="F510" i="15"/>
  <c r="H510" i="15" s="1"/>
  <c r="B510" i="15"/>
  <c r="D510" i="15" s="1"/>
  <c r="F453" i="15"/>
  <c r="H453" i="15" s="1"/>
  <c r="K453" i="15"/>
  <c r="J453" i="15"/>
  <c r="B453" i="15"/>
  <c r="D453" i="15" s="1"/>
  <c r="G242" i="15"/>
  <c r="F242" i="15"/>
  <c r="H242" i="15" s="1"/>
  <c r="K242" i="15"/>
  <c r="J242" i="15"/>
  <c r="B242" i="15"/>
  <c r="D242" i="15" s="1"/>
  <c r="K92" i="15"/>
  <c r="J92" i="15"/>
  <c r="G92" i="15"/>
  <c r="F92" i="15"/>
  <c r="H92" i="15" s="1"/>
  <c r="B92" i="15"/>
  <c r="D92" i="15" s="1"/>
  <c r="L477" i="15"/>
  <c r="C477" i="15"/>
  <c r="L480" i="15"/>
  <c r="C480" i="15"/>
  <c r="L502" i="15"/>
  <c r="C502" i="15"/>
  <c r="G224" i="15"/>
  <c r="F224" i="15"/>
  <c r="H224" i="15" s="1"/>
  <c r="K224" i="15"/>
  <c r="J224" i="15"/>
  <c r="B224" i="15"/>
  <c r="D224" i="15" s="1"/>
  <c r="L39" i="15"/>
  <c r="K472" i="15"/>
  <c r="J472" i="15"/>
  <c r="F472" i="15"/>
  <c r="H472" i="15" s="1"/>
  <c r="B472" i="15"/>
  <c r="D472" i="15" s="1"/>
  <c r="G475" i="15"/>
  <c r="F475" i="15"/>
  <c r="H475" i="15" s="1"/>
  <c r="K475" i="15"/>
  <c r="J475" i="15"/>
  <c r="B475" i="15"/>
  <c r="D475" i="15" s="1"/>
  <c r="K442" i="15"/>
  <c r="J442" i="15"/>
  <c r="G442" i="15"/>
  <c r="F442" i="15"/>
  <c r="H442" i="15" s="1"/>
  <c r="B442" i="15"/>
  <c r="D442" i="15" s="1"/>
  <c r="F477" i="15"/>
  <c r="H477" i="15" s="1"/>
  <c r="K477" i="15"/>
  <c r="J477" i="15"/>
  <c r="B477" i="15"/>
  <c r="D477" i="15" s="1"/>
  <c r="K427" i="15"/>
  <c r="J427" i="15"/>
  <c r="G427" i="15"/>
  <c r="F427" i="15"/>
  <c r="H427" i="15" s="1"/>
  <c r="B427" i="15"/>
  <c r="D427" i="15" s="1"/>
  <c r="G87" i="15"/>
  <c r="F87" i="15"/>
  <c r="H87" i="15" s="1"/>
  <c r="J87" i="15"/>
  <c r="K87" i="15"/>
  <c r="B87" i="15"/>
  <c r="D87" i="15" s="1"/>
  <c r="F493" i="15"/>
  <c r="H493" i="15" s="1"/>
  <c r="G493" i="15"/>
  <c r="K493" i="15"/>
  <c r="J493" i="15"/>
  <c r="B493" i="15"/>
  <c r="D493" i="15" s="1"/>
  <c r="K485" i="15"/>
  <c r="J485" i="15"/>
  <c r="G485" i="15"/>
  <c r="F485" i="15"/>
  <c r="H485" i="15" s="1"/>
  <c r="B485" i="15"/>
  <c r="D485" i="15" s="1"/>
  <c r="G482" i="15"/>
  <c r="K482" i="15"/>
  <c r="J482" i="15"/>
  <c r="F482" i="15"/>
  <c r="H482" i="15" s="1"/>
  <c r="B482" i="15"/>
  <c r="D482" i="15" s="1"/>
  <c r="K484" i="15"/>
  <c r="J484" i="15"/>
  <c r="G484" i="15"/>
  <c r="F484" i="15"/>
  <c r="H484" i="15" s="1"/>
  <c r="B484" i="15"/>
  <c r="D484" i="15" s="1"/>
  <c r="K119" i="15"/>
  <c r="J119" i="15"/>
  <c r="F119" i="15"/>
  <c r="H119" i="15" s="1"/>
  <c r="G119" i="15"/>
  <c r="B119" i="15"/>
  <c r="D119" i="15" s="1"/>
  <c r="L472" i="15"/>
  <c r="C472" i="15"/>
  <c r="L471" i="15"/>
  <c r="C471" i="15"/>
  <c r="K217" i="15"/>
  <c r="J217" i="15"/>
  <c r="F217" i="15"/>
  <c r="H217" i="15" s="1"/>
  <c r="G217" i="15"/>
  <c r="B217" i="15"/>
  <c r="D217" i="15" s="1"/>
  <c r="F12" i="15"/>
  <c r="H12" i="15" s="1"/>
  <c r="G12" i="15"/>
  <c r="K12" i="15"/>
  <c r="J12" i="15"/>
  <c r="B12" i="15"/>
  <c r="D12" i="15" s="1"/>
  <c r="K260" i="15"/>
  <c r="J260" i="15"/>
  <c r="F260" i="15"/>
  <c r="H260" i="15" s="1"/>
  <c r="G260" i="15"/>
  <c r="B260" i="15"/>
  <c r="D260" i="15" s="1"/>
  <c r="L510" i="15"/>
  <c r="C510" i="15"/>
  <c r="L433" i="15"/>
  <c r="C433" i="15"/>
  <c r="L453" i="15"/>
  <c r="C453" i="15"/>
  <c r="K467" i="15"/>
  <c r="J467" i="15"/>
  <c r="F467" i="15"/>
  <c r="H467" i="15" s="1"/>
  <c r="B467" i="15"/>
  <c r="D467" i="15" s="1"/>
  <c r="C467" i="15"/>
  <c r="K448" i="15"/>
  <c r="J448" i="15"/>
  <c r="F448" i="15"/>
  <c r="H448" i="15" s="1"/>
  <c r="G448" i="15"/>
  <c r="B448" i="15"/>
  <c r="D448" i="15" s="1"/>
  <c r="C448" i="15"/>
  <c r="O452" i="15"/>
  <c r="J452" i="15"/>
  <c r="K452" i="15"/>
  <c r="G452" i="15"/>
  <c r="F452" i="15"/>
  <c r="H452" i="15" s="1"/>
  <c r="B452" i="15"/>
  <c r="D452" i="15" s="1"/>
  <c r="C452" i="15"/>
  <c r="K14" i="15"/>
  <c r="J14" i="15"/>
  <c r="G14" i="15"/>
  <c r="F14" i="15"/>
  <c r="H14" i="15" s="1"/>
  <c r="C14" i="15"/>
  <c r="B14" i="15"/>
  <c r="D14" i="15" s="1"/>
  <c r="J248" i="15"/>
  <c r="G248" i="15"/>
  <c r="K248" i="15"/>
  <c r="F248" i="15"/>
  <c r="H248" i="15" s="1"/>
  <c r="B248" i="15"/>
  <c r="D248" i="15" s="1"/>
  <c r="C248" i="15"/>
  <c r="K132" i="15"/>
  <c r="J132" i="15"/>
  <c r="F132" i="15"/>
  <c r="H132" i="15" s="1"/>
  <c r="B132" i="15"/>
  <c r="D132" i="15" s="1"/>
  <c r="K19" i="15"/>
  <c r="J19" i="15"/>
  <c r="G19" i="15"/>
  <c r="F19" i="15"/>
  <c r="H19" i="15" s="1"/>
  <c r="B19" i="15"/>
  <c r="D19" i="15" s="1"/>
  <c r="C19" i="15"/>
  <c r="M27" i="15"/>
  <c r="L27" i="15"/>
  <c r="M45" i="15"/>
  <c r="L45" i="15"/>
  <c r="K474" i="15"/>
  <c r="J474" i="15"/>
  <c r="G474" i="15"/>
  <c r="F474" i="15"/>
  <c r="H474" i="15" s="1"/>
  <c r="C474" i="15"/>
  <c r="B474" i="15"/>
  <c r="D474" i="15" s="1"/>
  <c r="M46" i="15"/>
  <c r="L46" i="15"/>
  <c r="K490" i="15"/>
  <c r="J490" i="15"/>
  <c r="F490" i="15"/>
  <c r="H490" i="15" s="1"/>
  <c r="B490" i="15"/>
  <c r="D490" i="15" s="1"/>
  <c r="K267" i="15"/>
  <c r="J267" i="15"/>
  <c r="F267" i="15"/>
  <c r="H267" i="15" s="1"/>
  <c r="B267" i="15"/>
  <c r="D267" i="15" s="1"/>
  <c r="C267" i="15"/>
  <c r="K32" i="15"/>
  <c r="J32" i="15"/>
  <c r="G32" i="15"/>
  <c r="F32" i="15"/>
  <c r="H32" i="15" s="1"/>
  <c r="B32" i="15"/>
  <c r="D32" i="15" s="1"/>
  <c r="C32" i="15"/>
  <c r="J180" i="15"/>
  <c r="K180" i="15"/>
  <c r="G180" i="15"/>
  <c r="F180" i="15"/>
  <c r="H180" i="15" s="1"/>
  <c r="C180" i="15"/>
  <c r="B180" i="15"/>
  <c r="D180" i="15" s="1"/>
  <c r="K511" i="15"/>
  <c r="F511" i="15"/>
  <c r="H511" i="15" s="1"/>
  <c r="G511" i="15"/>
  <c r="J511" i="15"/>
  <c r="C511" i="15"/>
  <c r="B511" i="15"/>
  <c r="D511" i="15" s="1"/>
  <c r="J513" i="15"/>
  <c r="K513" i="15"/>
  <c r="F513" i="15"/>
  <c r="H513" i="15" s="1"/>
  <c r="B513" i="15"/>
  <c r="D513" i="15" s="1"/>
  <c r="C513" i="15"/>
  <c r="J527" i="15"/>
  <c r="K527" i="15"/>
  <c r="F527" i="15"/>
  <c r="H527" i="15" s="1"/>
  <c r="G527" i="15"/>
  <c r="B527" i="15"/>
  <c r="D527" i="15" s="1"/>
  <c r="C527" i="15"/>
  <c r="O14" i="15"/>
  <c r="F536" i="15"/>
  <c r="H536" i="15" s="1"/>
  <c r="G536" i="15"/>
  <c r="J536" i="15"/>
  <c r="K536" i="15"/>
  <c r="C536" i="15"/>
  <c r="B536" i="15"/>
  <c r="D536" i="15" s="1"/>
  <c r="O512" i="15"/>
  <c r="O340" i="15"/>
  <c r="O514" i="15"/>
  <c r="O115" i="15"/>
  <c r="L279" i="15"/>
  <c r="O466" i="15"/>
  <c r="O138" i="15"/>
  <c r="K107" i="15"/>
  <c r="J107" i="15"/>
  <c r="F107" i="15"/>
  <c r="H107" i="15" s="1"/>
  <c r="G107" i="15"/>
  <c r="B107" i="15"/>
  <c r="D107" i="15" s="1"/>
  <c r="C107" i="15"/>
  <c r="K120" i="15"/>
  <c r="J120" i="15"/>
  <c r="F120" i="15"/>
  <c r="H120" i="15" s="1"/>
  <c r="G120" i="15"/>
  <c r="B120" i="15"/>
  <c r="D120" i="15" s="1"/>
  <c r="C120" i="15"/>
  <c r="F542" i="15"/>
  <c r="H542" i="15" s="1"/>
  <c r="G542" i="15"/>
  <c r="J542" i="15"/>
  <c r="K542" i="15"/>
  <c r="C542" i="15"/>
  <c r="B542" i="15"/>
  <c r="D542" i="15" s="1"/>
  <c r="F540" i="15"/>
  <c r="H540" i="15" s="1"/>
  <c r="G540" i="15"/>
  <c r="J540" i="15"/>
  <c r="K540" i="15"/>
  <c r="C540" i="15"/>
  <c r="B540" i="15"/>
  <c r="D540" i="15" s="1"/>
  <c r="J548" i="15"/>
  <c r="K548" i="15"/>
  <c r="F548" i="15"/>
  <c r="H548" i="15" s="1"/>
  <c r="G548" i="15"/>
  <c r="C548" i="15"/>
  <c r="B548" i="15"/>
  <c r="D548" i="15" s="1"/>
  <c r="G547" i="15"/>
  <c r="J547" i="15"/>
  <c r="K547" i="15"/>
  <c r="F547" i="15"/>
  <c r="H547" i="15" s="1"/>
  <c r="C547" i="15"/>
  <c r="B547" i="15"/>
  <c r="D547" i="15" s="1"/>
  <c r="O94" i="15"/>
  <c r="F549" i="15"/>
  <c r="H549" i="15" s="1"/>
  <c r="J549" i="15"/>
  <c r="K549" i="15"/>
  <c r="C549" i="15"/>
  <c r="B549" i="15"/>
  <c r="D549" i="15" s="1"/>
  <c r="G553" i="15"/>
  <c r="J553" i="15"/>
  <c r="K553" i="15"/>
  <c r="F553" i="15"/>
  <c r="H553" i="15" s="1"/>
  <c r="B553" i="15"/>
  <c r="D553" i="15" s="1"/>
  <c r="C553" i="15"/>
  <c r="G557" i="15"/>
  <c r="J557" i="15"/>
  <c r="K557" i="15"/>
  <c r="F557" i="15"/>
  <c r="H557" i="15" s="1"/>
  <c r="B557" i="15"/>
  <c r="D557" i="15" s="1"/>
  <c r="C557" i="15"/>
  <c r="F546" i="15"/>
  <c r="H546" i="15" s="1"/>
  <c r="G546" i="15"/>
  <c r="J546" i="15"/>
  <c r="K546" i="15"/>
  <c r="C546" i="15"/>
  <c r="B546" i="15"/>
  <c r="D546" i="15" s="1"/>
  <c r="K559" i="15"/>
  <c r="F559" i="15"/>
  <c r="H559" i="15" s="1"/>
  <c r="G559" i="15"/>
  <c r="J559" i="15"/>
  <c r="B559" i="15"/>
  <c r="D559" i="15" s="1"/>
  <c r="C559" i="15"/>
  <c r="G561" i="15"/>
  <c r="J561" i="15"/>
  <c r="K561" i="15"/>
  <c r="F561" i="15"/>
  <c r="H561" i="15" s="1"/>
  <c r="B561" i="15"/>
  <c r="D561" i="15" s="1"/>
  <c r="C561" i="15"/>
  <c r="K34" i="15"/>
  <c r="J34" i="15"/>
  <c r="F34" i="15"/>
  <c r="H34" i="15" s="1"/>
  <c r="G34" i="15"/>
  <c r="B34" i="15"/>
  <c r="D34" i="15" s="1"/>
  <c r="C34" i="15"/>
  <c r="O461" i="15"/>
  <c r="O489" i="15"/>
  <c r="M528" i="6"/>
  <c r="V528" i="6"/>
  <c r="J566" i="15"/>
  <c r="K566" i="15"/>
  <c r="F566" i="15"/>
  <c r="H566" i="15" s="1"/>
  <c r="G566" i="15"/>
  <c r="C566" i="15"/>
  <c r="B566" i="15"/>
  <c r="D566" i="15" s="1"/>
  <c r="J575" i="15"/>
  <c r="K575" i="15"/>
  <c r="F575" i="15"/>
  <c r="H575" i="15" s="1"/>
  <c r="G575" i="15"/>
  <c r="C575" i="15"/>
  <c r="B575" i="15"/>
  <c r="D575" i="15" s="1"/>
  <c r="K576" i="15"/>
  <c r="F576" i="15"/>
  <c r="H576" i="15" s="1"/>
  <c r="G576" i="15"/>
  <c r="J576" i="15"/>
  <c r="C576" i="15"/>
  <c r="B576" i="15"/>
  <c r="D576" i="15" s="1"/>
  <c r="J571" i="15"/>
  <c r="K571" i="15"/>
  <c r="F571" i="15"/>
  <c r="H571" i="15" s="1"/>
  <c r="G571" i="15"/>
  <c r="B571" i="15"/>
  <c r="D571" i="15" s="1"/>
  <c r="C571" i="15"/>
  <c r="K198" i="15"/>
  <c r="J198" i="15"/>
  <c r="G198" i="15"/>
  <c r="F198" i="15"/>
  <c r="H198" i="15" s="1"/>
  <c r="C198" i="15"/>
  <c r="B198" i="15"/>
  <c r="D198" i="15" s="1"/>
  <c r="K579" i="15"/>
  <c r="G579" i="15"/>
  <c r="J579" i="15"/>
  <c r="F579" i="15"/>
  <c r="H579" i="15" s="1"/>
  <c r="B579" i="15"/>
  <c r="D579" i="15" s="1"/>
  <c r="C579" i="15"/>
  <c r="K580" i="15"/>
  <c r="F580" i="15"/>
  <c r="H580" i="15" s="1"/>
  <c r="G580" i="15"/>
  <c r="J580" i="15"/>
  <c r="C580" i="15"/>
  <c r="B580" i="15"/>
  <c r="D580" i="15" s="1"/>
  <c r="F581" i="15"/>
  <c r="H581" i="15" s="1"/>
  <c r="G581" i="15"/>
  <c r="J581" i="15"/>
  <c r="K581" i="15"/>
  <c r="C581" i="15"/>
  <c r="B581" i="15"/>
  <c r="D581" i="15" s="1"/>
  <c r="G578" i="15"/>
  <c r="J578" i="15"/>
  <c r="K578" i="15"/>
  <c r="F578" i="15"/>
  <c r="H578" i="15" s="1"/>
  <c r="C578" i="15"/>
  <c r="B578" i="15"/>
  <c r="D578" i="15" s="1"/>
  <c r="F568" i="15"/>
  <c r="H568" i="15" s="1"/>
  <c r="G568" i="15"/>
  <c r="J568" i="15"/>
  <c r="K568" i="15"/>
  <c r="C568" i="15"/>
  <c r="B568" i="15"/>
  <c r="D568" i="15" s="1"/>
  <c r="G565" i="15"/>
  <c r="J565" i="15"/>
  <c r="K565" i="15"/>
  <c r="F565" i="15"/>
  <c r="H565" i="15" s="1"/>
  <c r="B565" i="15"/>
  <c r="D565" i="15" s="1"/>
  <c r="C565" i="15"/>
  <c r="G582" i="15"/>
  <c r="J582" i="15"/>
  <c r="K582" i="15"/>
  <c r="F582" i="15"/>
  <c r="H582" i="15" s="1"/>
  <c r="C582" i="15"/>
  <c r="B582" i="15"/>
  <c r="D582" i="15" s="1"/>
  <c r="O18" i="15"/>
  <c r="K18" i="15"/>
  <c r="J18" i="15"/>
  <c r="G18" i="15"/>
  <c r="F18" i="15"/>
  <c r="H18" i="15" s="1"/>
  <c r="C18" i="15"/>
  <c r="B18" i="15"/>
  <c r="D18" i="15" s="1"/>
  <c r="K444" i="15"/>
  <c r="J444" i="15"/>
  <c r="F444" i="15"/>
  <c r="H444" i="15" s="1"/>
  <c r="B444" i="15"/>
  <c r="D444" i="15" s="1"/>
  <c r="C444" i="15"/>
  <c r="K455" i="15"/>
  <c r="J455" i="15"/>
  <c r="F455" i="15"/>
  <c r="H455" i="15" s="1"/>
  <c r="B455" i="15"/>
  <c r="D455" i="15" s="1"/>
  <c r="C455" i="15"/>
  <c r="K451" i="15"/>
  <c r="J451" i="15"/>
  <c r="F451" i="15"/>
  <c r="H451" i="15" s="1"/>
  <c r="B451" i="15"/>
  <c r="D451" i="15" s="1"/>
  <c r="C451" i="15"/>
  <c r="K461" i="15"/>
  <c r="J461" i="15"/>
  <c r="F461" i="15"/>
  <c r="H461" i="15" s="1"/>
  <c r="B461" i="15"/>
  <c r="D461" i="15" s="1"/>
  <c r="J88" i="15"/>
  <c r="G88" i="15"/>
  <c r="F88" i="15"/>
  <c r="H88" i="15" s="1"/>
  <c r="K88" i="15"/>
  <c r="C88" i="15"/>
  <c r="B88" i="15"/>
  <c r="D88" i="15" s="1"/>
  <c r="K263" i="15"/>
  <c r="J263" i="15"/>
  <c r="F263" i="15"/>
  <c r="H263" i="15" s="1"/>
  <c r="B263" i="15"/>
  <c r="D263" i="15" s="1"/>
  <c r="C263" i="15"/>
  <c r="J457" i="15"/>
  <c r="K457" i="15"/>
  <c r="F457" i="15"/>
  <c r="H457" i="15" s="1"/>
  <c r="B457" i="15"/>
  <c r="D457" i="15" s="1"/>
  <c r="J105" i="15"/>
  <c r="K105" i="15"/>
  <c r="F105" i="15"/>
  <c r="H105" i="15" s="1"/>
  <c r="C105" i="15"/>
  <c r="B105" i="15"/>
  <c r="D105" i="15" s="1"/>
  <c r="O31" i="15"/>
  <c r="K31" i="15"/>
  <c r="J31" i="15"/>
  <c r="G31" i="15"/>
  <c r="F31" i="15"/>
  <c r="H31" i="15" s="1"/>
  <c r="B31" i="15"/>
  <c r="D31" i="15" s="1"/>
  <c r="C31" i="15"/>
  <c r="K247" i="15"/>
  <c r="J247" i="15"/>
  <c r="G247" i="15"/>
  <c r="F247" i="15"/>
  <c r="H247" i="15" s="1"/>
  <c r="B247" i="15"/>
  <c r="D247" i="15" s="1"/>
  <c r="C247" i="15"/>
  <c r="O469" i="15"/>
  <c r="K469" i="15"/>
  <c r="J469" i="15"/>
  <c r="F469" i="15"/>
  <c r="H469" i="15" s="1"/>
  <c r="G469" i="15"/>
  <c r="C469" i="15"/>
  <c r="B469" i="15"/>
  <c r="D469" i="15" s="1"/>
  <c r="K470" i="15"/>
  <c r="J470" i="15"/>
  <c r="F470" i="15"/>
  <c r="H470" i="15" s="1"/>
  <c r="B470" i="15"/>
  <c r="D470" i="15" s="1"/>
  <c r="M109" i="15"/>
  <c r="L109" i="15"/>
  <c r="K479" i="15"/>
  <c r="J479" i="15"/>
  <c r="F479" i="15"/>
  <c r="H479" i="15" s="1"/>
  <c r="B479" i="15"/>
  <c r="D479" i="15" s="1"/>
  <c r="C479" i="15"/>
  <c r="M246" i="15"/>
  <c r="L246" i="15"/>
  <c r="K302" i="15"/>
  <c r="J302" i="15"/>
  <c r="F302" i="15"/>
  <c r="H302" i="15" s="1"/>
  <c r="B302" i="15"/>
  <c r="D302" i="15" s="1"/>
  <c r="C302" i="15"/>
  <c r="K497" i="15"/>
  <c r="J497" i="15"/>
  <c r="F497" i="15"/>
  <c r="H497" i="15" s="1"/>
  <c r="B497" i="15"/>
  <c r="D497" i="15" s="1"/>
  <c r="C497" i="15"/>
  <c r="J212" i="15"/>
  <c r="K212" i="15"/>
  <c r="F212" i="15"/>
  <c r="H212" i="15" s="1"/>
  <c r="B212" i="15"/>
  <c r="D212" i="15" s="1"/>
  <c r="C212" i="15"/>
  <c r="K270" i="15"/>
  <c r="J270" i="15"/>
  <c r="F270" i="15"/>
  <c r="H270" i="15" s="1"/>
  <c r="B270" i="15"/>
  <c r="D270" i="15" s="1"/>
  <c r="C270" i="15"/>
  <c r="K39" i="15"/>
  <c r="J39" i="15"/>
  <c r="F39" i="15"/>
  <c r="H39" i="15" s="1"/>
  <c r="B39" i="15"/>
  <c r="D39" i="15" s="1"/>
  <c r="C39" i="15"/>
  <c r="K268" i="15"/>
  <c r="J268" i="15"/>
  <c r="F268" i="15"/>
  <c r="H268" i="15" s="1"/>
  <c r="C268" i="15"/>
  <c r="B268" i="15"/>
  <c r="D268" i="15" s="1"/>
  <c r="J65" i="15"/>
  <c r="K65" i="15"/>
  <c r="F65" i="15"/>
  <c r="H65" i="15" s="1"/>
  <c r="G65" i="15"/>
  <c r="C65" i="15"/>
  <c r="B65" i="15"/>
  <c r="D65" i="15" s="1"/>
  <c r="K96" i="15"/>
  <c r="J96" i="15"/>
  <c r="F96" i="15"/>
  <c r="H96" i="15" s="1"/>
  <c r="C96" i="15"/>
  <c r="B96" i="15"/>
  <c r="D96" i="15" s="1"/>
  <c r="K131" i="15"/>
  <c r="J131" i="15"/>
  <c r="F131" i="15"/>
  <c r="H131" i="15" s="1"/>
  <c r="B131" i="15"/>
  <c r="D131" i="15" s="1"/>
  <c r="C131" i="15"/>
  <c r="K116" i="15"/>
  <c r="J116" i="15"/>
  <c r="F116" i="15"/>
  <c r="H116" i="15" s="1"/>
  <c r="G116" i="15"/>
  <c r="C116" i="15"/>
  <c r="B116" i="15"/>
  <c r="D116" i="15" s="1"/>
  <c r="J84" i="15"/>
  <c r="G84" i="15"/>
  <c r="F84" i="15"/>
  <c r="H84" i="15" s="1"/>
  <c r="K84" i="15"/>
  <c r="C84" i="15"/>
  <c r="B84" i="15"/>
  <c r="D84" i="15" s="1"/>
  <c r="J524" i="15"/>
  <c r="K524" i="15"/>
  <c r="F524" i="15"/>
  <c r="H524" i="15" s="1"/>
  <c r="C524" i="15"/>
  <c r="B524" i="15"/>
  <c r="D524" i="15" s="1"/>
  <c r="F529" i="15"/>
  <c r="H529" i="15" s="1"/>
  <c r="G529" i="15"/>
  <c r="J529" i="15"/>
  <c r="K529" i="15"/>
  <c r="C529" i="15"/>
  <c r="B529" i="15"/>
  <c r="D529" i="15" s="1"/>
  <c r="J541" i="15"/>
  <c r="K541" i="15"/>
  <c r="F541" i="15"/>
  <c r="H541" i="15" s="1"/>
  <c r="B541" i="15"/>
  <c r="D541" i="15" s="1"/>
  <c r="C541" i="15"/>
  <c r="K287" i="15"/>
  <c r="J287" i="15"/>
  <c r="G287" i="15"/>
  <c r="F287" i="15"/>
  <c r="H287" i="15" s="1"/>
  <c r="B287" i="15"/>
  <c r="D287" i="15" s="1"/>
  <c r="C287" i="15"/>
  <c r="J168" i="15"/>
  <c r="K168" i="15"/>
  <c r="G168" i="15"/>
  <c r="F168" i="15"/>
  <c r="H168" i="15" s="1"/>
  <c r="B168" i="15"/>
  <c r="D168" i="15" s="1"/>
  <c r="C168" i="15"/>
  <c r="J558" i="15"/>
  <c r="K558" i="15"/>
  <c r="F558" i="15"/>
  <c r="H558" i="15" s="1"/>
  <c r="G558" i="15"/>
  <c r="C558" i="15"/>
  <c r="B558" i="15"/>
  <c r="D558" i="15" s="1"/>
  <c r="O247" i="15"/>
  <c r="G574" i="15"/>
  <c r="J574" i="15"/>
  <c r="K574" i="15"/>
  <c r="F574" i="15"/>
  <c r="H574" i="15" s="1"/>
  <c r="C574" i="15"/>
  <c r="B574" i="15"/>
  <c r="D574" i="15" s="1"/>
  <c r="O327" i="15"/>
  <c r="K327" i="15"/>
  <c r="J327" i="15"/>
  <c r="F327" i="15"/>
  <c r="H327" i="15" s="1"/>
  <c r="B327" i="15"/>
  <c r="D327" i="15" s="1"/>
  <c r="K22" i="15"/>
  <c r="J22" i="15"/>
  <c r="F22" i="15"/>
  <c r="H22" i="15" s="1"/>
  <c r="C22" i="15"/>
  <c r="B22" i="15"/>
  <c r="D22" i="15" s="1"/>
  <c r="K170" i="15"/>
  <c r="J170" i="15"/>
  <c r="F170" i="15"/>
  <c r="H170" i="15" s="1"/>
  <c r="C170" i="15"/>
  <c r="B170" i="15"/>
  <c r="D170" i="15" s="1"/>
  <c r="K150" i="15"/>
  <c r="J150" i="15"/>
  <c r="F150" i="15"/>
  <c r="H150" i="15" s="1"/>
  <c r="C150" i="15"/>
  <c r="B150" i="15"/>
  <c r="D150" i="15" s="1"/>
  <c r="K231" i="15"/>
  <c r="J231" i="15"/>
  <c r="G231" i="15"/>
  <c r="F231" i="15"/>
  <c r="H231" i="15" s="1"/>
  <c r="B231" i="15"/>
  <c r="D231" i="15" s="1"/>
  <c r="C231" i="15"/>
  <c r="K456" i="15"/>
  <c r="J456" i="15"/>
  <c r="F456" i="15"/>
  <c r="H456" i="15" s="1"/>
  <c r="B456" i="15"/>
  <c r="D456" i="15" s="1"/>
  <c r="C456" i="15"/>
  <c r="K449" i="15"/>
  <c r="J449" i="15"/>
  <c r="F449" i="15"/>
  <c r="H449" i="15" s="1"/>
  <c r="B449" i="15"/>
  <c r="D449" i="15" s="1"/>
  <c r="C449" i="15"/>
  <c r="O125" i="15"/>
  <c r="J125" i="15"/>
  <c r="K125" i="15"/>
  <c r="G125" i="15"/>
  <c r="F125" i="15"/>
  <c r="H125" i="15" s="1"/>
  <c r="C125" i="15"/>
  <c r="B125" i="15"/>
  <c r="D125" i="15" s="1"/>
  <c r="K446" i="15"/>
  <c r="J446" i="15"/>
  <c r="F446" i="15"/>
  <c r="H446" i="15" s="1"/>
  <c r="C446" i="15"/>
  <c r="B446" i="15"/>
  <c r="D446" i="15" s="1"/>
  <c r="K194" i="15"/>
  <c r="J194" i="15"/>
  <c r="G194" i="15"/>
  <c r="F194" i="15"/>
  <c r="H194" i="15" s="1"/>
  <c r="C194" i="15"/>
  <c r="B194" i="15"/>
  <c r="D194" i="15" s="1"/>
  <c r="K223" i="15"/>
  <c r="J223" i="15"/>
  <c r="F223" i="15"/>
  <c r="H223" i="15" s="1"/>
  <c r="B223" i="15"/>
  <c r="D223" i="15" s="1"/>
  <c r="C223" i="15"/>
  <c r="J73" i="15"/>
  <c r="K73" i="15"/>
  <c r="F73" i="15"/>
  <c r="H73" i="15" s="1"/>
  <c r="B73" i="15"/>
  <c r="D73" i="15" s="1"/>
  <c r="O45" i="15"/>
  <c r="J45" i="15"/>
  <c r="K45" i="15"/>
  <c r="F45" i="15"/>
  <c r="H45" i="15" s="1"/>
  <c r="B45" i="15"/>
  <c r="D45" i="15" s="1"/>
  <c r="O459" i="15"/>
  <c r="K459" i="15"/>
  <c r="J459" i="15"/>
  <c r="F459" i="15"/>
  <c r="H459" i="15" s="1"/>
  <c r="G459" i="15"/>
  <c r="B459" i="15"/>
  <c r="D459" i="15" s="1"/>
  <c r="C459" i="15"/>
  <c r="K454" i="15"/>
  <c r="J454" i="15"/>
  <c r="G454" i="15"/>
  <c r="F454" i="15"/>
  <c r="H454" i="15" s="1"/>
  <c r="C454" i="15"/>
  <c r="B454" i="15"/>
  <c r="D454" i="15" s="1"/>
  <c r="K91" i="15"/>
  <c r="J91" i="15"/>
  <c r="F91" i="15"/>
  <c r="H91" i="15" s="1"/>
  <c r="B91" i="15"/>
  <c r="D91" i="15" s="1"/>
  <c r="O51" i="15"/>
  <c r="K51" i="15"/>
  <c r="J51" i="15"/>
  <c r="G51" i="15"/>
  <c r="F51" i="15"/>
  <c r="H51" i="15" s="1"/>
  <c r="B51" i="15"/>
  <c r="D51" i="15" s="1"/>
  <c r="C51" i="15"/>
  <c r="K359" i="15"/>
  <c r="J359" i="15"/>
  <c r="F359" i="15"/>
  <c r="H359" i="15" s="1"/>
  <c r="B359" i="15"/>
  <c r="D359" i="15" s="1"/>
  <c r="O463" i="15"/>
  <c r="K463" i="15"/>
  <c r="J463" i="15"/>
  <c r="G463" i="15"/>
  <c r="F463" i="15"/>
  <c r="H463" i="15" s="1"/>
  <c r="B463" i="15"/>
  <c r="D463" i="15" s="1"/>
  <c r="C463" i="15"/>
  <c r="O460" i="15"/>
  <c r="J460" i="15"/>
  <c r="G460" i="15"/>
  <c r="F460" i="15"/>
  <c r="H460" i="15" s="1"/>
  <c r="K460" i="15"/>
  <c r="C460" i="15"/>
  <c r="B460" i="15"/>
  <c r="D460" i="15" s="1"/>
  <c r="K158" i="15"/>
  <c r="J158" i="15"/>
  <c r="F158" i="15"/>
  <c r="H158" i="15" s="1"/>
  <c r="C158" i="15"/>
  <c r="B158" i="15"/>
  <c r="D158" i="15" s="1"/>
  <c r="O246" i="15"/>
  <c r="K246" i="15"/>
  <c r="J246" i="15"/>
  <c r="F246" i="15"/>
  <c r="H246" i="15" s="1"/>
  <c r="B246" i="15"/>
  <c r="D246" i="15" s="1"/>
  <c r="K90" i="15"/>
  <c r="J90" i="15"/>
  <c r="C90" i="15"/>
  <c r="B90" i="15"/>
  <c r="D90" i="15" s="1"/>
  <c r="O109" i="15"/>
  <c r="J109" i="15"/>
  <c r="K109" i="15"/>
  <c r="F109" i="15"/>
  <c r="H109" i="15" s="1"/>
  <c r="B109" i="15"/>
  <c r="D109" i="15" s="1"/>
  <c r="K465" i="15"/>
  <c r="J465" i="15"/>
  <c r="F465" i="15"/>
  <c r="H465" i="15" s="1"/>
  <c r="C465" i="15"/>
  <c r="B465" i="15"/>
  <c r="D465" i="15" s="1"/>
  <c r="O46" i="15"/>
  <c r="K46" i="15"/>
  <c r="J46" i="15"/>
  <c r="F46" i="15"/>
  <c r="H46" i="15" s="1"/>
  <c r="B46" i="15"/>
  <c r="D46" i="15" s="1"/>
  <c r="O462" i="15"/>
  <c r="K462" i="15"/>
  <c r="J462" i="15"/>
  <c r="G462" i="15"/>
  <c r="F462" i="15"/>
  <c r="H462" i="15" s="1"/>
  <c r="C462" i="15"/>
  <c r="B462" i="15"/>
  <c r="D462" i="15" s="1"/>
  <c r="J93" i="15"/>
  <c r="K93" i="15"/>
  <c r="F93" i="15"/>
  <c r="H93" i="15" s="1"/>
  <c r="B93" i="15"/>
  <c r="D93" i="15" s="1"/>
  <c r="J320" i="15"/>
  <c r="K320" i="15"/>
  <c r="F320" i="15"/>
  <c r="H320" i="15" s="1"/>
  <c r="C320" i="15"/>
  <c r="B320" i="15"/>
  <c r="D320" i="15" s="1"/>
  <c r="K138" i="15"/>
  <c r="J138" i="15"/>
  <c r="F138" i="15"/>
  <c r="H138" i="15" s="1"/>
  <c r="B138" i="15"/>
  <c r="D138" i="15" s="1"/>
  <c r="L91" i="15"/>
  <c r="J473" i="15"/>
  <c r="F473" i="15"/>
  <c r="H473" i="15" s="1"/>
  <c r="K473" i="15"/>
  <c r="C473" i="15"/>
  <c r="B473" i="15"/>
  <c r="D473" i="15" s="1"/>
  <c r="K115" i="15"/>
  <c r="J115" i="15"/>
  <c r="G115" i="15"/>
  <c r="F115" i="15"/>
  <c r="H115" i="15" s="1"/>
  <c r="B115" i="15"/>
  <c r="D115" i="15" s="1"/>
  <c r="C115" i="15"/>
  <c r="L457" i="15"/>
  <c r="K294" i="15"/>
  <c r="J294" i="15"/>
  <c r="G294" i="15"/>
  <c r="F294" i="15"/>
  <c r="H294" i="15" s="1"/>
  <c r="C294" i="15"/>
  <c r="B294" i="15"/>
  <c r="D294" i="15" s="1"/>
  <c r="K292" i="15"/>
  <c r="J292" i="15"/>
  <c r="F292" i="15"/>
  <c r="H292" i="15" s="1"/>
  <c r="C292" i="15"/>
  <c r="B292" i="15"/>
  <c r="D292" i="15" s="1"/>
  <c r="K413" i="15"/>
  <c r="J413" i="15"/>
  <c r="F413" i="15"/>
  <c r="H413" i="15" s="1"/>
  <c r="C413" i="15"/>
  <c r="B413" i="15"/>
  <c r="D413" i="15" s="1"/>
  <c r="O481" i="15"/>
  <c r="J481" i="15"/>
  <c r="K481" i="15"/>
  <c r="F481" i="15"/>
  <c r="H481" i="15" s="1"/>
  <c r="G481" i="15"/>
  <c r="C481" i="15"/>
  <c r="B481" i="15"/>
  <c r="D481" i="15" s="1"/>
  <c r="J256" i="15"/>
  <c r="K256" i="15"/>
  <c r="F256" i="15"/>
  <c r="H256" i="15" s="1"/>
  <c r="C256" i="15"/>
  <c r="B256" i="15"/>
  <c r="D256" i="15" s="1"/>
  <c r="O492" i="15"/>
  <c r="K492" i="15"/>
  <c r="J492" i="15"/>
  <c r="G492" i="15"/>
  <c r="F492" i="15"/>
  <c r="H492" i="15" s="1"/>
  <c r="B492" i="15"/>
  <c r="D492" i="15" s="1"/>
  <c r="C492" i="15"/>
  <c r="K322" i="15"/>
  <c r="J322" i="15"/>
  <c r="G322" i="15"/>
  <c r="F322" i="15"/>
  <c r="H322" i="15" s="1"/>
  <c r="B322" i="15"/>
  <c r="D322" i="15" s="1"/>
  <c r="C322" i="15"/>
  <c r="J160" i="15"/>
  <c r="G160" i="15"/>
  <c r="K160" i="15"/>
  <c r="F160" i="15"/>
  <c r="H160" i="15" s="1"/>
  <c r="C160" i="15"/>
  <c r="B160" i="15"/>
  <c r="D160" i="15" s="1"/>
  <c r="O495" i="15"/>
  <c r="K495" i="15"/>
  <c r="J495" i="15"/>
  <c r="G495" i="15"/>
  <c r="F495" i="15"/>
  <c r="H495" i="15" s="1"/>
  <c r="B495" i="15"/>
  <c r="D495" i="15" s="1"/>
  <c r="C495" i="15"/>
  <c r="J161" i="15"/>
  <c r="K161" i="15"/>
  <c r="F161" i="15"/>
  <c r="H161" i="15" s="1"/>
  <c r="C161" i="15"/>
  <c r="B161" i="15"/>
  <c r="D161" i="15" s="1"/>
  <c r="K426" i="15"/>
  <c r="J426" i="15"/>
  <c r="F426" i="15"/>
  <c r="H426" i="15" s="1"/>
  <c r="C426" i="15"/>
  <c r="B426" i="15"/>
  <c r="D426" i="15" s="1"/>
  <c r="K496" i="15"/>
  <c r="J496" i="15"/>
  <c r="G496" i="15"/>
  <c r="F496" i="15"/>
  <c r="H496" i="15" s="1"/>
  <c r="B496" i="15"/>
  <c r="D496" i="15" s="1"/>
  <c r="C496" i="15"/>
  <c r="K213" i="15"/>
  <c r="J213" i="15"/>
  <c r="F213" i="15"/>
  <c r="H213" i="15" s="1"/>
  <c r="C213" i="15"/>
  <c r="B213" i="15"/>
  <c r="D213" i="15" s="1"/>
  <c r="K503" i="15"/>
  <c r="J503" i="15"/>
  <c r="F503" i="15"/>
  <c r="H503" i="15" s="1"/>
  <c r="B503" i="15"/>
  <c r="D503" i="15" s="1"/>
  <c r="C503" i="15"/>
  <c r="K269" i="15"/>
  <c r="J269" i="15"/>
  <c r="F269" i="15"/>
  <c r="H269" i="15" s="1"/>
  <c r="C269" i="15"/>
  <c r="B269" i="15"/>
  <c r="D269" i="15" s="1"/>
  <c r="K501" i="15"/>
  <c r="J501" i="15"/>
  <c r="F501" i="15"/>
  <c r="H501" i="15" s="1"/>
  <c r="B501" i="15"/>
  <c r="D501" i="15" s="1"/>
  <c r="C501" i="15"/>
  <c r="O290" i="15"/>
  <c r="K290" i="15"/>
  <c r="J290" i="15"/>
  <c r="G290" i="15"/>
  <c r="F290" i="15"/>
  <c r="H290" i="15" s="1"/>
  <c r="C290" i="15"/>
  <c r="B290" i="15"/>
  <c r="D290" i="15" s="1"/>
  <c r="K494" i="15"/>
  <c r="J494" i="15"/>
  <c r="F494" i="15"/>
  <c r="H494" i="15" s="1"/>
  <c r="C494" i="15"/>
  <c r="B494" i="15"/>
  <c r="D494" i="15" s="1"/>
  <c r="K500" i="15"/>
  <c r="J500" i="15"/>
  <c r="F500" i="15"/>
  <c r="H500" i="15" s="1"/>
  <c r="C500" i="15"/>
  <c r="B500" i="15"/>
  <c r="D500" i="15" s="1"/>
  <c r="K102" i="15"/>
  <c r="J102" i="15"/>
  <c r="F102" i="15"/>
  <c r="H102" i="15" s="1"/>
  <c r="C102" i="15"/>
  <c r="B102" i="15"/>
  <c r="D102" i="15" s="1"/>
  <c r="J216" i="15"/>
  <c r="K216" i="15"/>
  <c r="F216" i="15"/>
  <c r="H216" i="15" s="1"/>
  <c r="B216" i="15"/>
  <c r="D216" i="15" s="1"/>
  <c r="C216" i="15"/>
  <c r="K505" i="15"/>
  <c r="J505" i="15"/>
  <c r="F505" i="15"/>
  <c r="H505" i="15" s="1"/>
  <c r="G505" i="15"/>
  <c r="C505" i="15"/>
  <c r="B505" i="15"/>
  <c r="D505" i="15" s="1"/>
  <c r="K508" i="15"/>
  <c r="G508" i="15"/>
  <c r="F508" i="15"/>
  <c r="H508" i="15" s="1"/>
  <c r="J508" i="15"/>
  <c r="B508" i="15"/>
  <c r="D508" i="15" s="1"/>
  <c r="C508" i="15"/>
  <c r="K507" i="15"/>
  <c r="J507" i="15"/>
  <c r="G507" i="15"/>
  <c r="F507" i="15"/>
  <c r="H507" i="15" s="1"/>
  <c r="B507" i="15"/>
  <c r="D507" i="15" s="1"/>
  <c r="C507" i="15"/>
  <c r="K83" i="15"/>
  <c r="J83" i="15"/>
  <c r="F83" i="15"/>
  <c r="H83" i="15" s="1"/>
  <c r="B83" i="15"/>
  <c r="D83" i="15" s="1"/>
  <c r="C83" i="15"/>
  <c r="K506" i="15"/>
  <c r="J506" i="15"/>
  <c r="F506" i="15"/>
  <c r="H506" i="15" s="1"/>
  <c r="C506" i="15"/>
  <c r="B506" i="15"/>
  <c r="D506" i="15" s="1"/>
  <c r="K376" i="15"/>
  <c r="F376" i="15"/>
  <c r="H376" i="15" s="1"/>
  <c r="J376" i="15"/>
  <c r="G376" i="15"/>
  <c r="C376" i="15"/>
  <c r="B376" i="15"/>
  <c r="D376" i="15" s="1"/>
  <c r="K134" i="15"/>
  <c r="J134" i="15"/>
  <c r="F134" i="15"/>
  <c r="H134" i="15" s="1"/>
  <c r="C134" i="15"/>
  <c r="B134" i="15"/>
  <c r="D134" i="15" s="1"/>
  <c r="J509" i="15"/>
  <c r="K509" i="15"/>
  <c r="F509" i="15"/>
  <c r="H509" i="15" s="1"/>
  <c r="B509" i="15"/>
  <c r="D509" i="15" s="1"/>
  <c r="C509" i="15"/>
  <c r="K201" i="15"/>
  <c r="J201" i="15"/>
  <c r="F201" i="15"/>
  <c r="H201" i="15" s="1"/>
  <c r="B201" i="15"/>
  <c r="D201" i="15" s="1"/>
  <c r="C201" i="15"/>
  <c r="K279" i="15"/>
  <c r="J279" i="15"/>
  <c r="F279" i="15"/>
  <c r="H279" i="15" s="1"/>
  <c r="B279" i="15"/>
  <c r="D279" i="15" s="1"/>
  <c r="C279" i="15"/>
  <c r="F512" i="15"/>
  <c r="H512" i="15" s="1"/>
  <c r="G512" i="15"/>
  <c r="J512" i="15"/>
  <c r="K512" i="15"/>
  <c r="C512" i="15"/>
  <c r="B512" i="15"/>
  <c r="D512" i="15" s="1"/>
  <c r="K340" i="15"/>
  <c r="J340" i="15"/>
  <c r="G340" i="15"/>
  <c r="F340" i="15"/>
  <c r="H340" i="15" s="1"/>
  <c r="C340" i="15"/>
  <c r="B340" i="15"/>
  <c r="D340" i="15" s="1"/>
  <c r="L513" i="15"/>
  <c r="J5" i="15"/>
  <c r="K5" i="15"/>
  <c r="F5" i="15"/>
  <c r="H5" i="15" s="1"/>
  <c r="C5" i="15"/>
  <c r="B5" i="15"/>
  <c r="D5" i="15" s="1"/>
  <c r="F514" i="15"/>
  <c r="H514" i="15" s="1"/>
  <c r="G514" i="15"/>
  <c r="J514" i="15"/>
  <c r="K514" i="15"/>
  <c r="C514" i="15"/>
  <c r="B514" i="15"/>
  <c r="D514" i="15" s="1"/>
  <c r="K70" i="15"/>
  <c r="J70" i="15"/>
  <c r="F70" i="15"/>
  <c r="H70" i="15" s="1"/>
  <c r="B70" i="15"/>
  <c r="D70" i="15" s="1"/>
  <c r="C70" i="15"/>
  <c r="G515" i="15"/>
  <c r="J515" i="15"/>
  <c r="K515" i="15"/>
  <c r="F515" i="15"/>
  <c r="H515" i="15" s="1"/>
  <c r="B515" i="15"/>
  <c r="D515" i="15" s="1"/>
  <c r="C515" i="15"/>
  <c r="K516" i="15"/>
  <c r="F516" i="15"/>
  <c r="H516" i="15" s="1"/>
  <c r="J516" i="15"/>
  <c r="C516" i="15"/>
  <c r="B516" i="15"/>
  <c r="D516" i="15" s="1"/>
  <c r="K518" i="15"/>
  <c r="F518" i="15"/>
  <c r="H518" i="15" s="1"/>
  <c r="J518" i="15"/>
  <c r="C518" i="15"/>
  <c r="B518" i="15"/>
  <c r="D518" i="15" s="1"/>
  <c r="G517" i="15"/>
  <c r="J517" i="15"/>
  <c r="K517" i="15"/>
  <c r="F517" i="15"/>
  <c r="H517" i="15" s="1"/>
  <c r="B517" i="15"/>
  <c r="D517" i="15" s="1"/>
  <c r="C517" i="15"/>
  <c r="G519" i="15"/>
  <c r="J519" i="15"/>
  <c r="K519" i="15"/>
  <c r="F519" i="15"/>
  <c r="H519" i="15" s="1"/>
  <c r="C519" i="15"/>
  <c r="B519" i="15"/>
  <c r="D519" i="15" s="1"/>
  <c r="F521" i="15"/>
  <c r="H521" i="15" s="1"/>
  <c r="J521" i="15"/>
  <c r="K521" i="15"/>
  <c r="C521" i="15"/>
  <c r="B521" i="15"/>
  <c r="D521" i="15" s="1"/>
  <c r="F525" i="15"/>
  <c r="H525" i="15" s="1"/>
  <c r="J525" i="15"/>
  <c r="K525" i="15"/>
  <c r="B525" i="15"/>
  <c r="D525" i="15" s="1"/>
  <c r="C525" i="15"/>
  <c r="K523" i="15"/>
  <c r="F523" i="15"/>
  <c r="H523" i="15" s="1"/>
  <c r="J523" i="15"/>
  <c r="B523" i="15"/>
  <c r="D523" i="15" s="1"/>
  <c r="C523" i="15"/>
  <c r="O528" i="15"/>
  <c r="O531" i="15"/>
  <c r="O448" i="15"/>
  <c r="O534" i="15"/>
  <c r="K533" i="15"/>
  <c r="F533" i="15"/>
  <c r="H533" i="15" s="1"/>
  <c r="G533" i="15"/>
  <c r="J533" i="15"/>
  <c r="B533" i="15"/>
  <c r="D533" i="15" s="1"/>
  <c r="C533" i="15"/>
  <c r="O66" i="15"/>
  <c r="G537" i="15"/>
  <c r="J537" i="15"/>
  <c r="K537" i="15"/>
  <c r="F537" i="15"/>
  <c r="H537" i="15" s="1"/>
  <c r="B537" i="15"/>
  <c r="D537" i="15" s="1"/>
  <c r="C537" i="15"/>
  <c r="J538" i="15"/>
  <c r="K538" i="15"/>
  <c r="F538" i="15"/>
  <c r="H538" i="15" s="1"/>
  <c r="G538" i="15"/>
  <c r="C538" i="15"/>
  <c r="B538" i="15"/>
  <c r="D538" i="15" s="1"/>
  <c r="K545" i="15"/>
  <c r="F545" i="15"/>
  <c r="H545" i="15" s="1"/>
  <c r="G545" i="15"/>
  <c r="J545" i="15"/>
  <c r="B545" i="15"/>
  <c r="D545" i="15" s="1"/>
  <c r="C545" i="15"/>
  <c r="K94" i="15"/>
  <c r="J94" i="15"/>
  <c r="G94" i="15"/>
  <c r="F94" i="15"/>
  <c r="H94" i="15" s="1"/>
  <c r="C94" i="15"/>
  <c r="B94" i="15"/>
  <c r="D94" i="15" s="1"/>
  <c r="F552" i="15"/>
  <c r="H552" i="15" s="1"/>
  <c r="G552" i="15"/>
  <c r="J552" i="15"/>
  <c r="K552" i="15"/>
  <c r="C552" i="15"/>
  <c r="B552" i="15"/>
  <c r="D552" i="15" s="1"/>
  <c r="K417" i="15"/>
  <c r="J417" i="15"/>
  <c r="F417" i="15"/>
  <c r="H417" i="15" s="1"/>
  <c r="G417" i="15"/>
  <c r="C417" i="15"/>
  <c r="B417" i="15"/>
  <c r="D417" i="15" s="1"/>
  <c r="O551" i="15"/>
  <c r="O554" i="15"/>
  <c r="K555" i="15"/>
  <c r="F555" i="15"/>
  <c r="H555" i="15" s="1"/>
  <c r="G555" i="15"/>
  <c r="J555" i="15"/>
  <c r="C555" i="15"/>
  <c r="B555" i="15"/>
  <c r="D555" i="15" s="1"/>
  <c r="J544" i="15"/>
  <c r="K544" i="15"/>
  <c r="F544" i="15"/>
  <c r="H544" i="15" s="1"/>
  <c r="G544" i="15"/>
  <c r="C544" i="15"/>
  <c r="B544" i="15"/>
  <c r="D544" i="15" s="1"/>
  <c r="O19" i="15"/>
  <c r="O569" i="15"/>
  <c r="K563" i="15"/>
  <c r="F563" i="15"/>
  <c r="H563" i="15" s="1"/>
  <c r="G563" i="15"/>
  <c r="J563" i="15"/>
  <c r="C563" i="15"/>
  <c r="B563" i="15"/>
  <c r="D563" i="15" s="1"/>
  <c r="K567" i="15"/>
  <c r="F567" i="15"/>
  <c r="H567" i="15" s="1"/>
  <c r="G567" i="15"/>
  <c r="J567" i="15"/>
  <c r="C567" i="15"/>
  <c r="B567" i="15"/>
  <c r="D567" i="15" s="1"/>
  <c r="F564" i="15"/>
  <c r="H564" i="15" s="1"/>
  <c r="G564" i="15"/>
  <c r="J564" i="15"/>
  <c r="K564" i="15"/>
  <c r="C564" i="15"/>
  <c r="B564" i="15"/>
  <c r="D564" i="15" s="1"/>
  <c r="K144" i="15"/>
  <c r="J144" i="15"/>
  <c r="G144" i="15"/>
  <c r="F144" i="15"/>
  <c r="H144" i="15" s="1"/>
  <c r="C144" i="15"/>
  <c r="B144" i="15"/>
  <c r="D144" i="15" s="1"/>
  <c r="J562" i="15"/>
  <c r="K562" i="15"/>
  <c r="F562" i="15"/>
  <c r="H562" i="15" s="1"/>
  <c r="G562" i="15"/>
  <c r="C562" i="15"/>
  <c r="B562" i="15"/>
  <c r="D562" i="15" s="1"/>
  <c r="F560" i="15"/>
  <c r="H560" i="15" s="1"/>
  <c r="G560" i="15"/>
  <c r="J560" i="15"/>
  <c r="K560" i="15"/>
  <c r="C560" i="15"/>
  <c r="B560" i="15"/>
  <c r="D560" i="15" s="1"/>
  <c r="O322" i="15"/>
  <c r="F577" i="15"/>
  <c r="H577" i="15" s="1"/>
  <c r="G577" i="15"/>
  <c r="J577" i="15"/>
  <c r="K577" i="15"/>
  <c r="C577" i="15"/>
  <c r="B577" i="15"/>
  <c r="D577" i="15" s="1"/>
  <c r="L467" i="15"/>
  <c r="K3" i="15"/>
  <c r="J3" i="15"/>
  <c r="F3" i="15"/>
  <c r="H3" i="15" s="1"/>
  <c r="B3" i="15"/>
  <c r="D3" i="15" s="1"/>
  <c r="C3" i="15"/>
  <c r="J252" i="15"/>
  <c r="K252" i="15"/>
  <c r="F252" i="15"/>
  <c r="H252" i="15" s="1"/>
  <c r="B252" i="15"/>
  <c r="D252" i="15" s="1"/>
  <c r="K445" i="15"/>
  <c r="J445" i="15"/>
  <c r="F445" i="15"/>
  <c r="H445" i="15" s="1"/>
  <c r="C445" i="15"/>
  <c r="B445" i="15"/>
  <c r="D445" i="15" s="1"/>
  <c r="O447" i="15"/>
  <c r="K447" i="15"/>
  <c r="J447" i="15"/>
  <c r="G447" i="15"/>
  <c r="F447" i="15"/>
  <c r="H447" i="15" s="1"/>
  <c r="B447" i="15"/>
  <c r="D447" i="15" s="1"/>
  <c r="C447" i="15"/>
  <c r="O450" i="15"/>
  <c r="K450" i="15"/>
  <c r="J450" i="15"/>
  <c r="G450" i="15"/>
  <c r="F450" i="15"/>
  <c r="H450" i="15" s="1"/>
  <c r="C450" i="15"/>
  <c r="B450" i="15"/>
  <c r="D450" i="15" s="1"/>
  <c r="K344" i="15"/>
  <c r="J344" i="15"/>
  <c r="G344" i="15"/>
  <c r="F344" i="15"/>
  <c r="H344" i="15" s="1"/>
  <c r="C344" i="15"/>
  <c r="B344" i="15"/>
  <c r="D344" i="15" s="1"/>
  <c r="J468" i="15"/>
  <c r="K468" i="15"/>
  <c r="F468" i="15"/>
  <c r="H468" i="15" s="1"/>
  <c r="C468" i="15"/>
  <c r="B468" i="15"/>
  <c r="D468" i="15" s="1"/>
  <c r="O27" i="15"/>
  <c r="K27" i="15"/>
  <c r="J27" i="15"/>
  <c r="F27" i="15"/>
  <c r="H27" i="15" s="1"/>
  <c r="B27" i="15"/>
  <c r="D27" i="15" s="1"/>
  <c r="K464" i="15"/>
  <c r="J464" i="15"/>
  <c r="F464" i="15"/>
  <c r="H464" i="15" s="1"/>
  <c r="G464" i="15"/>
  <c r="C464" i="15"/>
  <c r="B464" i="15"/>
  <c r="D464" i="15" s="1"/>
  <c r="J53" i="15"/>
  <c r="K53" i="15"/>
  <c r="F53" i="15"/>
  <c r="H53" i="15" s="1"/>
  <c r="C53" i="15"/>
  <c r="B53" i="15"/>
  <c r="D53" i="15" s="1"/>
  <c r="K466" i="15"/>
  <c r="J466" i="15"/>
  <c r="G466" i="15"/>
  <c r="F466" i="15"/>
  <c r="H466" i="15" s="1"/>
  <c r="C466" i="15"/>
  <c r="B466" i="15"/>
  <c r="D466" i="15" s="1"/>
  <c r="J137" i="15"/>
  <c r="K137" i="15"/>
  <c r="F137" i="15"/>
  <c r="H137" i="15" s="1"/>
  <c r="C137" i="15"/>
  <c r="B137" i="15"/>
  <c r="D137" i="15" s="1"/>
  <c r="O60" i="15"/>
  <c r="G60" i="15"/>
  <c r="K60" i="15"/>
  <c r="J60" i="15"/>
  <c r="F60" i="15"/>
  <c r="H60" i="15" s="1"/>
  <c r="B60" i="15"/>
  <c r="D60" i="15" s="1"/>
  <c r="C60" i="15"/>
  <c r="M327" i="15"/>
  <c r="L327" i="15"/>
  <c r="K392" i="15"/>
  <c r="G392" i="15"/>
  <c r="F392" i="15"/>
  <c r="H392" i="15" s="1"/>
  <c r="J392" i="15"/>
  <c r="B392" i="15"/>
  <c r="D392" i="15" s="1"/>
  <c r="C392" i="15"/>
  <c r="J97" i="15"/>
  <c r="K97" i="15"/>
  <c r="F97" i="15"/>
  <c r="H97" i="15" s="1"/>
  <c r="G97" i="15"/>
  <c r="C97" i="15"/>
  <c r="B97" i="15"/>
  <c r="D97" i="15" s="1"/>
  <c r="L461" i="15"/>
  <c r="M461" i="15"/>
  <c r="K476" i="15"/>
  <c r="J476" i="15"/>
  <c r="F476" i="15"/>
  <c r="H476" i="15" s="1"/>
  <c r="B476" i="15"/>
  <c r="D476" i="15" s="1"/>
  <c r="C476" i="15"/>
  <c r="K95" i="15"/>
  <c r="J95" i="15"/>
  <c r="G95" i="15"/>
  <c r="F95" i="15"/>
  <c r="H95" i="15" s="1"/>
  <c r="B95" i="15"/>
  <c r="D95" i="15" s="1"/>
  <c r="C95" i="15"/>
  <c r="J489" i="15"/>
  <c r="K489" i="15"/>
  <c r="F489" i="15"/>
  <c r="H489" i="15" s="1"/>
  <c r="G489" i="15"/>
  <c r="C489" i="15"/>
  <c r="B489" i="15"/>
  <c r="D489" i="15" s="1"/>
  <c r="O498" i="15"/>
  <c r="K498" i="15"/>
  <c r="J498" i="15"/>
  <c r="G498" i="15"/>
  <c r="F498" i="15"/>
  <c r="H498" i="15" s="1"/>
  <c r="C498" i="15"/>
  <c r="B498" i="15"/>
  <c r="D498" i="15" s="1"/>
  <c r="K384" i="15"/>
  <c r="F384" i="15"/>
  <c r="H384" i="15" s="1"/>
  <c r="J384" i="15"/>
  <c r="B384" i="15"/>
  <c r="D384" i="15" s="1"/>
  <c r="C384" i="15"/>
  <c r="J504" i="15"/>
  <c r="K504" i="15"/>
  <c r="F504" i="15"/>
  <c r="H504" i="15" s="1"/>
  <c r="B504" i="15"/>
  <c r="D504" i="15" s="1"/>
  <c r="C504" i="15"/>
  <c r="K412" i="15"/>
  <c r="F412" i="15"/>
  <c r="H412" i="15" s="1"/>
  <c r="J412" i="15"/>
  <c r="C412" i="15"/>
  <c r="B412" i="15"/>
  <c r="D412" i="15" s="1"/>
  <c r="K222" i="15"/>
  <c r="J222" i="15"/>
  <c r="G222" i="15"/>
  <c r="F222" i="15"/>
  <c r="H222" i="15" s="1"/>
  <c r="C222" i="15"/>
  <c r="B222" i="15"/>
  <c r="D222" i="15" s="1"/>
  <c r="J520" i="15"/>
  <c r="K520" i="15"/>
  <c r="F520" i="15"/>
  <c r="H520" i="15" s="1"/>
  <c r="G520" i="15"/>
  <c r="C520" i="15"/>
  <c r="B520" i="15"/>
  <c r="D520" i="15" s="1"/>
  <c r="J424" i="15"/>
  <c r="K424" i="15"/>
  <c r="F424" i="15"/>
  <c r="H424" i="15" s="1"/>
  <c r="C424" i="15"/>
  <c r="B424" i="15"/>
  <c r="D424" i="15" s="1"/>
  <c r="J535" i="15"/>
  <c r="K535" i="15"/>
  <c r="F535" i="15"/>
  <c r="H535" i="15" s="1"/>
  <c r="B535" i="15"/>
  <c r="D535" i="15" s="1"/>
  <c r="C535" i="15"/>
  <c r="J550" i="15"/>
  <c r="K550" i="15"/>
  <c r="F550" i="15"/>
  <c r="H550" i="15" s="1"/>
  <c r="G550" i="15"/>
  <c r="C550" i="15"/>
  <c r="B550" i="15"/>
  <c r="D550" i="15" s="1"/>
  <c r="F556" i="15"/>
  <c r="H556" i="15" s="1"/>
  <c r="G556" i="15"/>
  <c r="J556" i="15"/>
  <c r="K556" i="15"/>
  <c r="C556" i="15"/>
  <c r="B556" i="15"/>
  <c r="D556" i="15" s="1"/>
  <c r="K425" i="15"/>
  <c r="J425" i="15"/>
  <c r="G425" i="15"/>
  <c r="F425" i="15"/>
  <c r="H425" i="15" s="1"/>
  <c r="B425" i="15"/>
  <c r="D425" i="15" s="1"/>
  <c r="C425" i="15"/>
  <c r="F573" i="15"/>
  <c r="H573" i="15" s="1"/>
  <c r="G573" i="15"/>
  <c r="J573" i="15"/>
  <c r="K573" i="15"/>
  <c r="C573" i="15"/>
  <c r="B573" i="15"/>
  <c r="D573" i="15" s="1"/>
  <c r="O464" i="15"/>
  <c r="O474" i="15"/>
  <c r="O65" i="15"/>
  <c r="O231" i="15"/>
  <c r="O511" i="15"/>
  <c r="O344" i="15"/>
  <c r="O454" i="15"/>
  <c r="O222" i="15"/>
  <c r="O116" i="15"/>
  <c r="O84" i="15"/>
  <c r="O520" i="15"/>
  <c r="F526" i="15"/>
  <c r="H526" i="15" s="1"/>
  <c r="J526" i="15"/>
  <c r="K526" i="15"/>
  <c r="C526" i="15"/>
  <c r="B526" i="15"/>
  <c r="D526" i="15" s="1"/>
  <c r="L201" i="15"/>
  <c r="L518" i="15"/>
  <c r="K59" i="15"/>
  <c r="J59" i="15"/>
  <c r="F59" i="15"/>
  <c r="H59" i="15" s="1"/>
  <c r="B59" i="15"/>
  <c r="D59" i="15" s="1"/>
  <c r="C59" i="15"/>
  <c r="K55" i="15"/>
  <c r="J55" i="15"/>
  <c r="G55" i="15"/>
  <c r="F55" i="15"/>
  <c r="H55" i="15" s="1"/>
  <c r="B55" i="15"/>
  <c r="D55" i="15" s="1"/>
  <c r="C55" i="15"/>
  <c r="O529" i="15"/>
  <c r="K528" i="15"/>
  <c r="F528" i="15"/>
  <c r="H528" i="15" s="1"/>
  <c r="G528" i="15"/>
  <c r="J528" i="15"/>
  <c r="C528" i="15"/>
  <c r="B528" i="15"/>
  <c r="D528" i="15" s="1"/>
  <c r="J531" i="15"/>
  <c r="K531" i="15"/>
  <c r="F531" i="15"/>
  <c r="H531" i="15" s="1"/>
  <c r="G531" i="15"/>
  <c r="C531" i="15"/>
  <c r="B531" i="15"/>
  <c r="D531" i="15" s="1"/>
  <c r="G530" i="15"/>
  <c r="J530" i="15"/>
  <c r="K530" i="15"/>
  <c r="F530" i="15"/>
  <c r="H530" i="15" s="1"/>
  <c r="C530" i="15"/>
  <c r="B530" i="15"/>
  <c r="D530" i="15" s="1"/>
  <c r="F534" i="15"/>
  <c r="H534" i="15" s="1"/>
  <c r="G534" i="15"/>
  <c r="J534" i="15"/>
  <c r="K534" i="15"/>
  <c r="C534" i="15"/>
  <c r="B534" i="15"/>
  <c r="D534" i="15" s="1"/>
  <c r="K66" i="15"/>
  <c r="J66" i="15"/>
  <c r="G66" i="15"/>
  <c r="F66" i="15"/>
  <c r="H66" i="15" s="1"/>
  <c r="C66" i="15"/>
  <c r="B66" i="15"/>
  <c r="D66" i="15" s="1"/>
  <c r="G543" i="15"/>
  <c r="J543" i="15"/>
  <c r="K543" i="15"/>
  <c r="F543" i="15"/>
  <c r="H543" i="15" s="1"/>
  <c r="B543" i="15"/>
  <c r="D543" i="15" s="1"/>
  <c r="C543" i="15"/>
  <c r="K539" i="15"/>
  <c r="F539" i="15"/>
  <c r="H539" i="15" s="1"/>
  <c r="G539" i="15"/>
  <c r="J539" i="15"/>
  <c r="C539" i="15"/>
  <c r="B539" i="15"/>
  <c r="D539" i="15" s="1"/>
  <c r="O550" i="15"/>
  <c r="K551" i="15"/>
  <c r="F551" i="15"/>
  <c r="H551" i="15" s="1"/>
  <c r="G551" i="15"/>
  <c r="J551" i="15"/>
  <c r="B551" i="15"/>
  <c r="D551" i="15" s="1"/>
  <c r="C551" i="15"/>
  <c r="J554" i="15"/>
  <c r="K554" i="15"/>
  <c r="F554" i="15"/>
  <c r="H554" i="15" s="1"/>
  <c r="G554" i="15"/>
  <c r="C554" i="15"/>
  <c r="B554" i="15"/>
  <c r="D554" i="15" s="1"/>
  <c r="O168" i="15"/>
  <c r="K127" i="15"/>
  <c r="J127" i="15"/>
  <c r="G127" i="15"/>
  <c r="F127" i="15"/>
  <c r="H127" i="15" s="1"/>
  <c r="B127" i="15"/>
  <c r="D127" i="15" s="1"/>
  <c r="C127" i="15"/>
  <c r="O556" i="15"/>
  <c r="G569" i="15"/>
  <c r="J569" i="15"/>
  <c r="K569" i="15"/>
  <c r="F569" i="15"/>
  <c r="H569" i="15" s="1"/>
  <c r="B569" i="15"/>
  <c r="D569" i="15" s="1"/>
  <c r="C569" i="15"/>
  <c r="O519" i="15"/>
  <c r="O508" i="15"/>
  <c r="O55" i="15"/>
  <c r="O294" i="15"/>
  <c r="O530" i="15"/>
  <c r="O543" i="15"/>
  <c r="O127" i="15"/>
  <c r="O248" i="15"/>
  <c r="O475" i="15"/>
  <c r="O392" i="15"/>
  <c r="O260" i="15"/>
  <c r="O97" i="15"/>
  <c r="O160" i="15"/>
  <c r="O95" i="15"/>
  <c r="O32" i="15"/>
  <c r="O180" i="15"/>
  <c r="O527" i="15"/>
  <c r="O536" i="15"/>
  <c r="O287" i="15"/>
  <c r="O558" i="15"/>
  <c r="O124" i="6"/>
  <c r="M3" i="6"/>
  <c r="O557" i="6"/>
  <c r="V470" i="13"/>
  <c r="W557" i="6"/>
  <c r="M132" i="13"/>
  <c r="R555" i="6"/>
  <c r="H581" i="13"/>
  <c r="S581" i="13"/>
  <c r="AA581" i="13" s="1"/>
  <c r="AB581" i="13" s="1"/>
  <c r="G581" i="13"/>
  <c r="H580" i="13"/>
  <c r="S580" i="13"/>
  <c r="AA580" i="13" s="1"/>
  <c r="AB580" i="13" s="1"/>
  <c r="G580" i="13"/>
  <c r="E503" i="13"/>
  <c r="H503" i="13" s="1"/>
  <c r="O554" i="6"/>
  <c r="W131" i="6"/>
  <c r="W554" i="6"/>
  <c r="O549" i="6"/>
  <c r="V549" i="6"/>
  <c r="E576" i="13"/>
  <c r="S576" i="13" s="1"/>
  <c r="V538" i="6"/>
  <c r="W1088" i="6" s="1"/>
  <c r="O553" i="6"/>
  <c r="V553" i="6"/>
  <c r="W1304" i="6" s="1"/>
  <c r="E568" i="13"/>
  <c r="H568" i="13" s="1"/>
  <c r="V534" i="6"/>
  <c r="E560" i="13"/>
  <c r="S560" i="13" s="1"/>
  <c r="V516" i="6"/>
  <c r="W1091" i="6" s="1"/>
  <c r="W493" i="6"/>
  <c r="F267" i="13"/>
  <c r="T267" i="13" s="1"/>
  <c r="W55" i="13"/>
  <c r="M102" i="13"/>
  <c r="M252" i="13"/>
  <c r="W540" i="13"/>
  <c r="L322" i="13"/>
  <c r="N322" i="13" s="1"/>
  <c r="AR322" i="13" s="1"/>
  <c r="E543" i="13"/>
  <c r="G543" i="13" s="1"/>
  <c r="AQ543" i="13" s="1"/>
  <c r="V5" i="13"/>
  <c r="Z5" i="13" s="1"/>
  <c r="V417" i="13"/>
  <c r="Z417" i="13" s="1"/>
  <c r="X131" i="13"/>
  <c r="V376" i="13"/>
  <c r="Z376" i="13" s="1"/>
  <c r="V481" i="13"/>
  <c r="Z481" i="13" s="1"/>
  <c r="V22" i="13"/>
  <c r="Z22" i="13" s="1"/>
  <c r="V194" i="13"/>
  <c r="Z194" i="13" s="1"/>
  <c r="V505" i="13"/>
  <c r="Z505" i="13" s="1"/>
  <c r="W472" i="13"/>
  <c r="Z472" i="13" s="1"/>
  <c r="W480" i="13"/>
  <c r="Z480" i="13" s="1"/>
  <c r="W484" i="13"/>
  <c r="Z484" i="13" s="1"/>
  <c r="Y33" i="13"/>
  <c r="V46" i="13"/>
  <c r="Z46" i="13" s="1"/>
  <c r="V512" i="13"/>
  <c r="Z512" i="13" s="1"/>
  <c r="W244" i="13"/>
  <c r="Z244" i="13" s="1"/>
  <c r="V256" i="13"/>
  <c r="E55" i="13"/>
  <c r="H55" i="13" s="1"/>
  <c r="M53" i="13"/>
  <c r="T53" i="13" s="1"/>
  <c r="M433" i="13"/>
  <c r="T433" i="13" s="1"/>
  <c r="M477" i="13"/>
  <c r="T477" i="13" s="1"/>
  <c r="V533" i="13"/>
  <c r="V127" i="13"/>
  <c r="Z127" i="13" s="1"/>
  <c r="L484" i="13"/>
  <c r="O484" i="13" s="1"/>
  <c r="F5" i="13"/>
  <c r="M472" i="13"/>
  <c r="T472" i="13" s="1"/>
  <c r="F473" i="13"/>
  <c r="T473" i="13" s="1"/>
  <c r="M502" i="13"/>
  <c r="T502" i="13" s="1"/>
  <c r="F525" i="13"/>
  <c r="T525" i="13" s="1"/>
  <c r="V554" i="13"/>
  <c r="Z554" i="13" s="1"/>
  <c r="E556" i="13"/>
  <c r="H556" i="13" s="1"/>
  <c r="X90" i="13"/>
  <c r="V520" i="13"/>
  <c r="Z520" i="13" s="1"/>
  <c r="O448" i="6"/>
  <c r="R448" i="6" s="1"/>
  <c r="V138" i="13"/>
  <c r="Z138" i="13" s="1"/>
  <c r="X532" i="13"/>
  <c r="O537" i="6"/>
  <c r="W53" i="13"/>
  <c r="F302" i="13"/>
  <c r="T302" i="13" s="1"/>
  <c r="F524" i="13"/>
  <c r="V545" i="13"/>
  <c r="Z545" i="13" s="1"/>
  <c r="E470" i="13"/>
  <c r="H470" i="13" s="1"/>
  <c r="V120" i="13"/>
  <c r="Z120" i="13" s="1"/>
  <c r="E198" i="13"/>
  <c r="G198" i="13" s="1"/>
  <c r="AQ198" i="13" s="1"/>
  <c r="M39" i="13"/>
  <c r="E51" i="13"/>
  <c r="H51" i="13" s="1"/>
  <c r="L95" i="13"/>
  <c r="N95" i="13" s="1"/>
  <c r="AR95" i="13" s="1"/>
  <c r="W322" i="13"/>
  <c r="M510" i="13"/>
  <c r="T510" i="13" s="1"/>
  <c r="F538" i="13"/>
  <c r="T538" i="13" s="1"/>
  <c r="E571" i="13"/>
  <c r="G571" i="13" s="1"/>
  <c r="V3" i="13"/>
  <c r="V223" i="13"/>
  <c r="Z223" i="13" s="1"/>
  <c r="W517" i="6"/>
  <c r="X91" i="13"/>
  <c r="F292" i="13"/>
  <c r="T292" i="13" s="1"/>
  <c r="M471" i="13"/>
  <c r="T471" i="13" s="1"/>
  <c r="F509" i="13"/>
  <c r="G509" i="13" s="1"/>
  <c r="L533" i="13"/>
  <c r="N533" i="13" s="1"/>
  <c r="AR533" i="13" s="1"/>
  <c r="E551" i="13"/>
  <c r="G551" i="13" s="1"/>
  <c r="AQ551" i="13" s="1"/>
  <c r="E558" i="13"/>
  <c r="S558" i="13" s="1"/>
  <c r="L92" i="13"/>
  <c r="N92" i="13" s="1"/>
  <c r="AR92" i="13" s="1"/>
  <c r="L212" i="13"/>
  <c r="O212" i="13" s="1"/>
  <c r="E65" i="13"/>
  <c r="H65" i="13" s="1"/>
  <c r="E66" i="13"/>
  <c r="S66" i="13" s="1"/>
  <c r="M96" i="13"/>
  <c r="F134" i="13"/>
  <c r="G134" i="13" s="1"/>
  <c r="F270" i="13"/>
  <c r="T270" i="13" s="1"/>
  <c r="F320" i="13"/>
  <c r="T320" i="13" s="1"/>
  <c r="F384" i="13"/>
  <c r="T384" i="13" s="1"/>
  <c r="E511" i="13"/>
  <c r="S511" i="13" s="1"/>
  <c r="E527" i="13"/>
  <c r="S527" i="13" s="1"/>
  <c r="V534" i="13"/>
  <c r="Z534" i="13" s="1"/>
  <c r="V543" i="13"/>
  <c r="Z543" i="13" s="1"/>
  <c r="O231" i="6"/>
  <c r="R231" i="6" s="1"/>
  <c r="E213" i="13"/>
  <c r="H213" i="13" s="1"/>
  <c r="E501" i="13"/>
  <c r="H501" i="13" s="1"/>
  <c r="E340" i="13"/>
  <c r="G340" i="13" s="1"/>
  <c r="AQ340" i="13" s="1"/>
  <c r="X518" i="13"/>
  <c r="W33" i="13"/>
  <c r="W39" i="13"/>
  <c r="W433" i="13"/>
  <c r="W12" i="13"/>
  <c r="Z12" i="13" s="1"/>
  <c r="W440" i="13"/>
  <c r="Z440" i="13" s="1"/>
  <c r="W92" i="13"/>
  <c r="Z92" i="13" s="1"/>
  <c r="Y433" i="13"/>
  <c r="W132" i="13"/>
  <c r="W88" i="13"/>
  <c r="E144" i="13"/>
  <c r="H144" i="13" s="1"/>
  <c r="F252" i="13"/>
  <c r="G252" i="13" s="1"/>
  <c r="F22" i="13"/>
  <c r="T22" i="13" s="1"/>
  <c r="F102" i="13"/>
  <c r="W160" i="13"/>
  <c r="L260" i="13"/>
  <c r="N260" i="13" s="1"/>
  <c r="AR260" i="13" s="1"/>
  <c r="F456" i="13"/>
  <c r="T456" i="13" s="1"/>
  <c r="F470" i="13"/>
  <c r="E548" i="13"/>
  <c r="G548" i="13" s="1"/>
  <c r="AQ548" i="13" s="1"/>
  <c r="L119" i="13"/>
  <c r="O119" i="13" s="1"/>
  <c r="W485" i="13"/>
  <c r="Z485" i="13" s="1"/>
  <c r="V18" i="13"/>
  <c r="Z18" i="13" s="1"/>
  <c r="V60" i="13"/>
  <c r="Z60" i="13" s="1"/>
  <c r="M424" i="13"/>
  <c r="L453" i="13"/>
  <c r="O453" i="13" s="1"/>
  <c r="F132" i="13"/>
  <c r="W87" i="13"/>
  <c r="Z87" i="13" s="1"/>
  <c r="W252" i="13"/>
  <c r="W260" i="13"/>
  <c r="Z260" i="13" s="1"/>
  <c r="F444" i="13"/>
  <c r="T444" i="13" s="1"/>
  <c r="L59" i="13"/>
  <c r="O59" i="13" s="1"/>
  <c r="V392" i="13"/>
  <c r="L433" i="13"/>
  <c r="S433" i="13" s="1"/>
  <c r="E523" i="13"/>
  <c r="H523" i="13" s="1"/>
  <c r="V31" i="13"/>
  <c r="Z31" i="13" s="1"/>
  <c r="W453" i="13"/>
  <c r="Z453" i="13" s="1"/>
  <c r="L540" i="13"/>
  <c r="O540" i="13" s="1"/>
  <c r="E14" i="13"/>
  <c r="H14" i="13" s="1"/>
  <c r="L472" i="13"/>
  <c r="O472" i="13" s="1"/>
  <c r="L53" i="13"/>
  <c r="W206" i="13"/>
  <c r="Z206" i="13" s="1"/>
  <c r="W102" i="13"/>
  <c r="W95" i="13"/>
  <c r="W90" i="13"/>
  <c r="W287" i="13"/>
  <c r="W96" i="13"/>
  <c r="L12" i="13"/>
  <c r="O12" i="13" s="1"/>
  <c r="M59" i="13"/>
  <c r="T59" i="13" s="1"/>
  <c r="V84" i="13"/>
  <c r="Z84" i="13" s="1"/>
  <c r="L180" i="13"/>
  <c r="O180" i="13" s="1"/>
  <c r="F465" i="13"/>
  <c r="T465" i="13" s="1"/>
  <c r="V694" i="13"/>
  <c r="Z694" i="13" s="1"/>
  <c r="E547" i="13"/>
  <c r="H547" i="13" s="1"/>
  <c r="E107" i="13"/>
  <c r="H107" i="13" s="1"/>
  <c r="V115" i="13"/>
  <c r="Z115" i="13" s="1"/>
  <c r="F468" i="13"/>
  <c r="T468" i="13" s="1"/>
  <c r="W442" i="13"/>
  <c r="Z442" i="13" s="1"/>
  <c r="W197" i="13"/>
  <c r="Z197" i="13" s="1"/>
  <c r="W217" i="13"/>
  <c r="Z217" i="13" s="1"/>
  <c r="L224" i="13"/>
  <c r="N224" i="13" s="1"/>
  <c r="AR224" i="13" s="1"/>
  <c r="L242" i="13"/>
  <c r="O242" i="13" s="1"/>
  <c r="L33" i="13"/>
  <c r="O33" i="13" s="1"/>
  <c r="L87" i="13"/>
  <c r="O87" i="13" s="1"/>
  <c r="L88" i="13"/>
  <c r="O88" i="13" s="1"/>
  <c r="M90" i="13"/>
  <c r="L96" i="13"/>
  <c r="O96" i="13" s="1"/>
  <c r="L97" i="13"/>
  <c r="N97" i="13" s="1"/>
  <c r="AR97" i="13" s="1"/>
  <c r="F131" i="13"/>
  <c r="T131" i="13" s="1"/>
  <c r="W212" i="13"/>
  <c r="L252" i="13"/>
  <c r="O252" i="13" s="1"/>
  <c r="E425" i="13"/>
  <c r="G425" i="13" s="1"/>
  <c r="M453" i="13"/>
  <c r="T453" i="13" s="1"/>
  <c r="E492" i="13"/>
  <c r="S492" i="13" s="1"/>
  <c r="V531" i="13"/>
  <c r="Z531" i="13" s="1"/>
  <c r="L536" i="13"/>
  <c r="O536" i="13" s="1"/>
  <c r="V540" i="13"/>
  <c r="V508" i="13"/>
  <c r="Z508" i="13" s="1"/>
  <c r="W427" i="13"/>
  <c r="Z427" i="13" s="1"/>
  <c r="W59" i="13"/>
  <c r="L39" i="13"/>
  <c r="L90" i="13"/>
  <c r="O90" i="13" s="1"/>
  <c r="F150" i="13"/>
  <c r="T150" i="13" s="1"/>
  <c r="E322" i="13"/>
  <c r="H322" i="13" s="1"/>
  <c r="M33" i="13"/>
  <c r="T33" i="13" s="1"/>
  <c r="F161" i="13"/>
  <c r="T161" i="13" s="1"/>
  <c r="E168" i="13"/>
  <c r="H168" i="13" s="1"/>
  <c r="E426" i="13"/>
  <c r="H426" i="13" s="1"/>
  <c r="E566" i="13"/>
  <c r="G566" i="13" s="1"/>
  <c r="E579" i="13"/>
  <c r="H579" i="13" s="1"/>
  <c r="L55" i="13"/>
  <c r="O55" i="13" s="1"/>
  <c r="L197" i="13"/>
  <c r="O197" i="13" s="1"/>
  <c r="W97" i="13"/>
  <c r="W247" i="13"/>
  <c r="W510" i="13"/>
  <c r="Z510" i="13" s="1"/>
  <c r="W180" i="13"/>
  <c r="W478" i="13"/>
  <c r="Z478" i="13" s="1"/>
  <c r="W248" i="13"/>
  <c r="W486" i="13"/>
  <c r="Z486" i="13" s="1"/>
  <c r="W491" i="13"/>
  <c r="Z491" i="13" s="1"/>
  <c r="F213" i="13"/>
  <c r="T213" i="13" s="1"/>
  <c r="F256" i="13"/>
  <c r="T256" i="13" s="1"/>
  <c r="L471" i="13"/>
  <c r="O471" i="13" s="1"/>
  <c r="L485" i="13"/>
  <c r="O485" i="13" s="1"/>
  <c r="W533" i="13"/>
  <c r="E570" i="13"/>
  <c r="H570" i="13" s="1"/>
  <c r="E32" i="13"/>
  <c r="G32" i="13" s="1"/>
  <c r="AQ32" i="13" s="1"/>
  <c r="E70" i="13"/>
  <c r="S70" i="13" s="1"/>
  <c r="F39" i="13"/>
  <c r="W119" i="13"/>
  <c r="Z119" i="13" s="1"/>
  <c r="L132" i="13"/>
  <c r="F158" i="13"/>
  <c r="T158" i="13" s="1"/>
  <c r="L160" i="13"/>
  <c r="N160" i="13" s="1"/>
  <c r="AR160" i="13" s="1"/>
  <c r="L244" i="13"/>
  <c r="O244" i="13" s="1"/>
  <c r="L247" i="13"/>
  <c r="O247" i="13" s="1"/>
  <c r="L287" i="13"/>
  <c r="O287" i="13" s="1"/>
  <c r="E444" i="13"/>
  <c r="S444" i="13" s="1"/>
  <c r="E574" i="13"/>
  <c r="H574" i="13" s="1"/>
  <c r="E294" i="13"/>
  <c r="S294" i="13" s="1"/>
  <c r="M114" i="6"/>
  <c r="R114" i="6" s="1"/>
  <c r="V302" i="13"/>
  <c r="Z302" i="13" s="1"/>
  <c r="Y424" i="13"/>
  <c r="W483" i="13"/>
  <c r="Z483" i="13" s="1"/>
  <c r="W470" i="13"/>
  <c r="F105" i="13"/>
  <c r="T105" i="13" s="1"/>
  <c r="F137" i="13"/>
  <c r="G137" i="13" s="1"/>
  <c r="J137" i="13" s="1"/>
  <c r="F268" i="13"/>
  <c r="T268" i="13" s="1"/>
  <c r="E279" i="13"/>
  <c r="S279" i="13" s="1"/>
  <c r="L470" i="13"/>
  <c r="O470" i="13" s="1"/>
  <c r="L477" i="13"/>
  <c r="O477" i="13" s="1"/>
  <c r="O22" i="6"/>
  <c r="E446" i="13"/>
  <c r="H446" i="13" s="1"/>
  <c r="O44" i="6"/>
  <c r="E463" i="13"/>
  <c r="G463" i="13" s="1"/>
  <c r="AQ463" i="13" s="1"/>
  <c r="L487" i="13"/>
  <c r="O487" i="13" s="1"/>
  <c r="L493" i="13"/>
  <c r="O493" i="13" s="1"/>
  <c r="L491" i="13"/>
  <c r="O491" i="13" s="1"/>
  <c r="L480" i="13"/>
  <c r="O480" i="13" s="1"/>
  <c r="L440" i="13"/>
  <c r="O440" i="13" s="1"/>
  <c r="W242" i="13"/>
  <c r="Z242" i="13" s="1"/>
  <c r="L424" i="13"/>
  <c r="O424" i="13" s="1"/>
  <c r="L427" i="13"/>
  <c r="O427" i="13" s="1"/>
  <c r="L478" i="13"/>
  <c r="O478" i="13" s="1"/>
  <c r="L502" i="13"/>
  <c r="O502" i="13" s="1"/>
  <c r="M442" i="6"/>
  <c r="F455" i="13"/>
  <c r="T455" i="13" s="1"/>
  <c r="O540" i="6"/>
  <c r="E578" i="13"/>
  <c r="S578" i="13" s="1"/>
  <c r="W493" i="13"/>
  <c r="Z493" i="13" s="1"/>
  <c r="W482" i="13"/>
  <c r="Z482" i="13" s="1"/>
  <c r="E150" i="13"/>
  <c r="L206" i="13"/>
  <c r="O206" i="13" s="1"/>
  <c r="E327" i="13"/>
  <c r="G327" i="13" s="1"/>
  <c r="J327" i="13" s="1"/>
  <c r="W392" i="13"/>
  <c r="L442" i="13"/>
  <c r="O442" i="13" s="1"/>
  <c r="M256" i="6"/>
  <c r="E514" i="13"/>
  <c r="H514" i="13" s="1"/>
  <c r="M291" i="6"/>
  <c r="E520" i="13"/>
  <c r="G520" i="13" s="1"/>
  <c r="AQ520" i="13" s="1"/>
  <c r="V341" i="6"/>
  <c r="V466" i="13" s="1"/>
  <c r="Z466" i="13" s="1"/>
  <c r="E466" i="13"/>
  <c r="H466" i="13" s="1"/>
  <c r="V380" i="6"/>
  <c r="X522" i="13" s="1"/>
  <c r="F522" i="13"/>
  <c r="T522" i="13" s="1"/>
  <c r="L392" i="13"/>
  <c r="O392" i="13" s="1"/>
  <c r="L510" i="13"/>
  <c r="O510" i="13" s="1"/>
  <c r="L488" i="13"/>
  <c r="S488" i="13" s="1"/>
  <c r="L217" i="13"/>
  <c r="O217" i="13" s="1"/>
  <c r="L248" i="13"/>
  <c r="O248" i="13" s="1"/>
  <c r="L475" i="13"/>
  <c r="N475" i="13" s="1"/>
  <c r="AR475" i="13" s="1"/>
  <c r="E481" i="13"/>
  <c r="H481" i="13" s="1"/>
  <c r="W69" i="6"/>
  <c r="V469" i="13"/>
  <c r="Z469" i="13" s="1"/>
  <c r="W471" i="13"/>
  <c r="Z471" i="13" s="1"/>
  <c r="M480" i="13"/>
  <c r="T480" i="13" s="1"/>
  <c r="V340" i="13"/>
  <c r="Z340" i="13" s="1"/>
  <c r="F476" i="13"/>
  <c r="T476" i="13" s="1"/>
  <c r="O355" i="6"/>
  <c r="V116" i="13"/>
  <c r="Z116" i="13" s="1"/>
  <c r="F93" i="13"/>
  <c r="T93" i="13" s="1"/>
  <c r="V91" i="13"/>
  <c r="W382" i="6"/>
  <c r="W530" i="6"/>
  <c r="O468" i="13"/>
  <c r="N576" i="13"/>
  <c r="AR576" i="13" s="1"/>
  <c r="W542" i="6"/>
  <c r="W548" i="6"/>
  <c r="E546" i="13"/>
  <c r="S546" i="13" s="1"/>
  <c r="O551" i="6"/>
  <c r="O523" i="6"/>
  <c r="V523" i="6"/>
  <c r="M526" i="6"/>
  <c r="W424" i="13"/>
  <c r="E507" i="13"/>
  <c r="S507" i="13" s="1"/>
  <c r="E508" i="13"/>
  <c r="H508" i="13" s="1"/>
  <c r="N535" i="13"/>
  <c r="Q535" i="13" s="1"/>
  <c r="O55" i="6"/>
  <c r="O552" i="6"/>
  <c r="X252" i="13"/>
  <c r="V496" i="13"/>
  <c r="Z496" i="13" s="1"/>
  <c r="W525" i="6"/>
  <c r="W527" i="6"/>
  <c r="V500" i="13"/>
  <c r="Z500" i="13" s="1"/>
  <c r="X359" i="13"/>
  <c r="V216" i="13"/>
  <c r="Z216" i="13" s="1"/>
  <c r="V344" i="13"/>
  <c r="Z344" i="13" s="1"/>
  <c r="V97" i="13"/>
  <c r="M515" i="6"/>
  <c r="W86" i="6"/>
  <c r="W519" i="6"/>
  <c r="W535" i="6"/>
  <c r="X3" i="13"/>
  <c r="M475" i="6"/>
  <c r="W475" i="13"/>
  <c r="Z475" i="13" s="1"/>
  <c r="W536" i="13"/>
  <c r="W502" i="13"/>
  <c r="Z502" i="13" s="1"/>
  <c r="W487" i="13"/>
  <c r="Z487" i="13" s="1"/>
  <c r="L486" i="13"/>
  <c r="O486" i="13" s="1"/>
  <c r="L102" i="13"/>
  <c r="L483" i="13"/>
  <c r="O483" i="13" s="1"/>
  <c r="L482" i="13"/>
  <c r="O482" i="13" s="1"/>
  <c r="R124" i="13"/>
  <c r="AU124" i="13" s="1"/>
  <c r="S250" i="13"/>
  <c r="O250" i="13"/>
  <c r="P479" i="13"/>
  <c r="N421" i="13"/>
  <c r="Q421" i="13" s="1"/>
  <c r="O428" i="13"/>
  <c r="O431" i="13"/>
  <c r="N467" i="13"/>
  <c r="Q467" i="13" s="1"/>
  <c r="N468" i="13"/>
  <c r="Q468" i="13" s="1"/>
  <c r="P66" i="13"/>
  <c r="N101" i="13"/>
  <c r="Q101" i="13" s="1"/>
  <c r="P157" i="13"/>
  <c r="P216" i="13"/>
  <c r="T498" i="13"/>
  <c r="O289" i="13"/>
  <c r="O328" i="13"/>
  <c r="T87" i="13"/>
  <c r="R240" i="13"/>
  <c r="S351" i="13"/>
  <c r="N351" i="13"/>
  <c r="AR351" i="13" s="1"/>
  <c r="AU387" i="13"/>
  <c r="O388" i="13"/>
  <c r="O446" i="13"/>
  <c r="AM446" i="13" a="1"/>
  <c r="AM446" i="13" s="1"/>
  <c r="P448" i="13"/>
  <c r="R486" i="13"/>
  <c r="P201" i="13"/>
  <c r="R229" i="13"/>
  <c r="R293" i="13"/>
  <c r="AU293" i="13" s="1"/>
  <c r="N406" i="13"/>
  <c r="Q406" i="13" s="1"/>
  <c r="AM415" i="13" a="1"/>
  <c r="AM415" i="13" s="1"/>
  <c r="N539" i="13"/>
  <c r="AR539" i="13" s="1"/>
  <c r="O56" i="13"/>
  <c r="N72" i="13"/>
  <c r="Q72" i="13" s="1"/>
  <c r="P122" i="13"/>
  <c r="R125" i="13"/>
  <c r="T129" i="13"/>
  <c r="O155" i="13"/>
  <c r="R196" i="13"/>
  <c r="O226" i="13"/>
  <c r="N308" i="13"/>
  <c r="Q308" i="13" s="1"/>
  <c r="N367" i="13"/>
  <c r="Q367" i="13" s="1"/>
  <c r="O370" i="13"/>
  <c r="AM539" i="13" a="1"/>
  <c r="AM539" i="13" s="1"/>
  <c r="N567" i="13"/>
  <c r="AR567" i="13" s="1"/>
  <c r="N42" i="13"/>
  <c r="AR42" i="13" s="1"/>
  <c r="O68" i="13"/>
  <c r="R106" i="13"/>
  <c r="P211" i="13"/>
  <c r="N283" i="13"/>
  <c r="AR283" i="13" s="1"/>
  <c r="P320" i="13"/>
  <c r="O374" i="13"/>
  <c r="O406" i="13"/>
  <c r="P498" i="13"/>
  <c r="N543" i="13"/>
  <c r="Q543" i="13" s="1"/>
  <c r="O283" i="13"/>
  <c r="E564" i="13"/>
  <c r="G564" i="13" s="1"/>
  <c r="E565" i="13"/>
  <c r="G565" i="13" s="1"/>
  <c r="AQ565" i="13" s="1"/>
  <c r="V384" i="13"/>
  <c r="Z384" i="13" s="1"/>
  <c r="O518" i="6"/>
  <c r="O525" i="6"/>
  <c r="O527" i="6"/>
  <c r="N9" i="13"/>
  <c r="AR9" i="13" s="1"/>
  <c r="O20" i="13"/>
  <c r="O48" i="13"/>
  <c r="N79" i="13"/>
  <c r="Q79" i="13" s="1"/>
  <c r="O86" i="13"/>
  <c r="O111" i="13"/>
  <c r="O120" i="13"/>
  <c r="P214" i="13"/>
  <c r="O220" i="13"/>
  <c r="S282" i="13"/>
  <c r="N282" i="13"/>
  <c r="Q282" i="13" s="1"/>
  <c r="T287" i="13"/>
  <c r="S289" i="13"/>
  <c r="N289" i="13"/>
  <c r="O309" i="13"/>
  <c r="O336" i="13"/>
  <c r="R341" i="13"/>
  <c r="R344" i="13"/>
  <c r="N355" i="13"/>
  <c r="Q355" i="13" s="1"/>
  <c r="N358" i="13"/>
  <c r="AR358" i="13" s="1"/>
  <c r="O378" i="13"/>
  <c r="N393" i="13"/>
  <c r="AR393" i="13" s="1"/>
  <c r="O410" i="13"/>
  <c r="N522" i="13"/>
  <c r="AR522" i="13" s="1"/>
  <c r="P528" i="13"/>
  <c r="P529" i="13"/>
  <c r="N688" i="13"/>
  <c r="AR688" i="13" s="1"/>
  <c r="O535" i="13"/>
  <c r="N551" i="13"/>
  <c r="Q551" i="13" s="1"/>
  <c r="O7" i="13"/>
  <c r="N108" i="13"/>
  <c r="Q108" i="13" s="1"/>
  <c r="P111" i="13"/>
  <c r="O149" i="13"/>
  <c r="T210" i="13"/>
  <c r="N211" i="13"/>
  <c r="AR211" i="13" s="1"/>
  <c r="O313" i="13"/>
  <c r="AM325" i="13" a="1"/>
  <c r="AM325" i="13" s="1"/>
  <c r="N443" i="13"/>
  <c r="Q443" i="13" s="1"/>
  <c r="N459" i="13"/>
  <c r="AR459" i="13" s="1"/>
  <c r="N497" i="13"/>
  <c r="AR497" i="13" s="1"/>
  <c r="O498" i="13"/>
  <c r="N574" i="13"/>
  <c r="AR574" i="13" s="1"/>
  <c r="P129" i="13"/>
  <c r="R209" i="13"/>
  <c r="P266" i="13"/>
  <c r="P385" i="13"/>
  <c r="P391" i="13"/>
  <c r="P449" i="13"/>
  <c r="P469" i="13"/>
  <c r="P489" i="13"/>
  <c r="O497" i="13"/>
  <c r="AM57" i="13" a="1"/>
  <c r="AM57" i="13" s="1"/>
  <c r="O57" i="13"/>
  <c r="P40" i="13"/>
  <c r="AM327" i="13" a="1"/>
  <c r="AM327" i="13" s="1"/>
  <c r="N327" i="13"/>
  <c r="P381" i="13"/>
  <c r="O31" i="13"/>
  <c r="O36" i="13"/>
  <c r="O64" i="13"/>
  <c r="T86" i="13"/>
  <c r="P86" i="13"/>
  <c r="R131" i="13"/>
  <c r="O195" i="13"/>
  <c r="N214" i="13"/>
  <c r="AR214" i="13" s="1"/>
  <c r="N232" i="13"/>
  <c r="AR232" i="13" s="1"/>
  <c r="R236" i="13"/>
  <c r="AU236" i="13" s="1"/>
  <c r="P236" i="13"/>
  <c r="R246" i="13"/>
  <c r="R326" i="13"/>
  <c r="P326" i="13"/>
  <c r="AM436" i="13" a="1"/>
  <c r="AM436" i="13" s="1"/>
  <c r="O436" i="13"/>
  <c r="R476" i="13"/>
  <c r="P476" i="13"/>
  <c r="AM504" i="13" a="1"/>
  <c r="AM504" i="13" s="1"/>
  <c r="N504" i="13"/>
  <c r="Q504" i="13" s="1"/>
  <c r="AM435" i="13" a="1"/>
  <c r="AM435" i="13" s="1"/>
  <c r="N435" i="13"/>
  <c r="Q435" i="13" s="1"/>
  <c r="R26" i="13"/>
  <c r="P52" i="13"/>
  <c r="P97" i="13"/>
  <c r="R123" i="13"/>
  <c r="R308" i="13"/>
  <c r="P308" i="13"/>
  <c r="AM417" i="13" a="1"/>
  <c r="AM417" i="13" s="1"/>
  <c r="N417" i="13"/>
  <c r="Q417" i="13" s="1"/>
  <c r="N24" i="13"/>
  <c r="AR24" i="13" s="1"/>
  <c r="N27" i="13"/>
  <c r="Q27" i="13" s="1"/>
  <c r="O47" i="13"/>
  <c r="P74" i="13"/>
  <c r="O93" i="13"/>
  <c r="P94" i="13"/>
  <c r="N105" i="13"/>
  <c r="Q105" i="13" s="1"/>
  <c r="AM105" i="13" a="1"/>
  <c r="AM105" i="13" s="1"/>
  <c r="AM134" i="13" a="1"/>
  <c r="AM134" i="13" s="1"/>
  <c r="O134" i="13"/>
  <c r="P164" i="13"/>
  <c r="O222" i="13"/>
  <c r="AM222" i="13" a="1"/>
  <c r="AM222" i="13" s="1"/>
  <c r="R282" i="13"/>
  <c r="P282" i="13"/>
  <c r="AM319" i="13" a="1"/>
  <c r="AM319" i="13" s="1"/>
  <c r="O319" i="13"/>
  <c r="P346" i="13"/>
  <c r="R346" i="13"/>
  <c r="R373" i="13"/>
  <c r="AU373" i="13" s="1"/>
  <c r="P373" i="13"/>
  <c r="AM394" i="13" a="1"/>
  <c r="AM394" i="13" s="1"/>
  <c r="O394" i="13"/>
  <c r="AM398" i="13" a="1"/>
  <c r="AM398" i="13" s="1"/>
  <c r="O398" i="13"/>
  <c r="R517" i="13"/>
  <c r="AM554" i="13" a="1"/>
  <c r="AM554" i="13" s="1"/>
  <c r="N554" i="13"/>
  <c r="Q554" i="13" s="1"/>
  <c r="N5" i="13"/>
  <c r="AR5" i="13" s="1"/>
  <c r="R11" i="13"/>
  <c r="O22" i="13"/>
  <c r="AM22" i="13" a="1"/>
  <c r="AM22" i="13" s="1"/>
  <c r="R36" i="13"/>
  <c r="O44" i="13"/>
  <c r="P50" i="13"/>
  <c r="N67" i="13"/>
  <c r="AR67" i="13" s="1"/>
  <c r="O67" i="13"/>
  <c r="O78" i="13"/>
  <c r="R81" i="13"/>
  <c r="AU81" i="13" s="1"/>
  <c r="P81" i="13"/>
  <c r="O107" i="13"/>
  <c r="AM107" i="13" a="1"/>
  <c r="AM107" i="13" s="1"/>
  <c r="P149" i="13"/>
  <c r="R149" i="13"/>
  <c r="P153" i="13"/>
  <c r="N169" i="13"/>
  <c r="Q169" i="13" s="1"/>
  <c r="O173" i="13"/>
  <c r="O181" i="13"/>
  <c r="R205" i="13"/>
  <c r="AU205" i="13" s="1"/>
  <c r="N236" i="13"/>
  <c r="AR236" i="13" s="1"/>
  <c r="N267" i="13"/>
  <c r="O267" i="13"/>
  <c r="AM292" i="13" a="1"/>
  <c r="AM292" i="13" s="1"/>
  <c r="N292" i="13"/>
  <c r="AR292" i="13" s="1"/>
  <c r="AM301" i="13" a="1"/>
  <c r="AM301" i="13" s="1"/>
  <c r="O301" i="13"/>
  <c r="P306" i="13"/>
  <c r="AM307" i="13" a="1"/>
  <c r="AM307" i="13" s="1"/>
  <c r="N307" i="13"/>
  <c r="AR307" i="13" s="1"/>
  <c r="AM332" i="13" a="1"/>
  <c r="AM332" i="13" s="1"/>
  <c r="N332" i="13"/>
  <c r="Q332" i="13" s="1"/>
  <c r="R335" i="13"/>
  <c r="AU335" i="13" s="1"/>
  <c r="P335" i="13"/>
  <c r="AM371" i="13" a="1"/>
  <c r="AM371" i="13" s="1"/>
  <c r="N371" i="13"/>
  <c r="Q371" i="13" s="1"/>
  <c r="AM409" i="13" a="1"/>
  <c r="AM409" i="13" s="1"/>
  <c r="N409" i="13"/>
  <c r="Q409" i="13" s="1"/>
  <c r="AM413" i="13" a="1"/>
  <c r="AM413" i="13" s="1"/>
  <c r="O413" i="13"/>
  <c r="AM425" i="13" a="1"/>
  <c r="AM425" i="13" s="1"/>
  <c r="O425" i="13"/>
  <c r="R443" i="13"/>
  <c r="P443" i="13"/>
  <c r="AM449" i="13" a="1"/>
  <c r="AM449" i="13" s="1"/>
  <c r="O449" i="13"/>
  <c r="R464" i="13"/>
  <c r="P464" i="13"/>
  <c r="AM500" i="13" a="1"/>
  <c r="AM500" i="13" s="1"/>
  <c r="N500" i="13"/>
  <c r="Q500" i="13" s="1"/>
  <c r="N549" i="13"/>
  <c r="AR549" i="13" s="1"/>
  <c r="O549" i="13"/>
  <c r="AM573" i="13"/>
  <c r="N573" i="13"/>
  <c r="AR573" i="13" s="1"/>
  <c r="R578" i="13"/>
  <c r="P578" i="13"/>
  <c r="AM258" i="13" a="1"/>
  <c r="AM258" i="13" s="1"/>
  <c r="O258" i="13"/>
  <c r="AM317" i="13" a="1"/>
  <c r="AM317" i="13" s="1"/>
  <c r="O317" i="13"/>
  <c r="P365" i="13"/>
  <c r="R365" i="13"/>
  <c r="AU365" i="13" s="1"/>
  <c r="R526" i="13"/>
  <c r="P526" i="13"/>
  <c r="N534" i="13"/>
  <c r="AR534" i="13" s="1"/>
  <c r="O534" i="13"/>
  <c r="N548" i="13"/>
  <c r="AR548" i="13" s="1"/>
  <c r="O548" i="13"/>
  <c r="N131" i="13"/>
  <c r="Q131" i="13" s="1"/>
  <c r="O131" i="13"/>
  <c r="P234" i="13"/>
  <c r="R234" i="13"/>
  <c r="P280" i="13"/>
  <c r="R280" i="13"/>
  <c r="AM286" i="13" a="1"/>
  <c r="AM286" i="13" s="1"/>
  <c r="O286" i="13"/>
  <c r="AM362" i="13" a="1"/>
  <c r="AM362" i="13" s="1"/>
  <c r="N362" i="13"/>
  <c r="AR362" i="13" s="1"/>
  <c r="R463" i="13"/>
  <c r="AU463" i="13" s="1"/>
  <c r="P463" i="13"/>
  <c r="P91" i="13"/>
  <c r="AM140" i="13" a="1"/>
  <c r="AM140" i="13" s="1"/>
  <c r="N140" i="13"/>
  <c r="Q140" i="13" s="1"/>
  <c r="R147" i="13"/>
  <c r="AU147" i="13" s="1"/>
  <c r="P147" i="13"/>
  <c r="P207" i="13"/>
  <c r="R207" i="13"/>
  <c r="AU207" i="13" s="1"/>
  <c r="P244" i="13"/>
  <c r="N254" i="13"/>
  <c r="AR254" i="13" s="1"/>
  <c r="O254" i="13"/>
  <c r="R298" i="13"/>
  <c r="AU298" i="13" s="1"/>
  <c r="P298" i="13"/>
  <c r="AM387" i="13" a="1"/>
  <c r="AM387" i="13" s="1"/>
  <c r="O387" i="13"/>
  <c r="R441" i="13"/>
  <c r="P441" i="13"/>
  <c r="R456" i="13"/>
  <c r="P456" i="13"/>
  <c r="AM476" i="13" a="1"/>
  <c r="AM476" i="13" s="1"/>
  <c r="N476" i="13"/>
  <c r="AR476" i="13" s="1"/>
  <c r="R499" i="13"/>
  <c r="AU499" i="13" s="1"/>
  <c r="P499" i="13"/>
  <c r="O506" i="13"/>
  <c r="N506" i="13"/>
  <c r="Q506" i="13" s="1"/>
  <c r="AM506" i="13" a="1"/>
  <c r="AM506" i="13" s="1"/>
  <c r="R548" i="13"/>
  <c r="P548" i="13"/>
  <c r="T443" i="13"/>
  <c r="T52" i="13"/>
  <c r="R276" i="13"/>
  <c r="AU276" i="13" s="1"/>
  <c r="P284" i="13"/>
  <c r="P296" i="13"/>
  <c r="R314" i="13"/>
  <c r="P401" i="13"/>
  <c r="P420" i="13"/>
  <c r="P432" i="13"/>
  <c r="P452" i="13"/>
  <c r="P488" i="13"/>
  <c r="P493" i="13"/>
  <c r="P509" i="13"/>
  <c r="P694" i="13"/>
  <c r="R541" i="13"/>
  <c r="P542" i="13"/>
  <c r="AR291" i="13"/>
  <c r="Q291" i="13"/>
  <c r="N455" i="13"/>
  <c r="AR455" i="13" s="1"/>
  <c r="AM455" i="13" a="1"/>
  <c r="AM455" i="13" s="1"/>
  <c r="R462" i="13"/>
  <c r="P462" i="13"/>
  <c r="O512" i="13"/>
  <c r="AM512" i="13" a="1"/>
  <c r="AM512" i="13" s="1"/>
  <c r="N512" i="13"/>
  <c r="AR512" i="13" s="1"/>
  <c r="N552" i="13"/>
  <c r="AR552" i="13" s="1"/>
  <c r="AM552" i="13" a="1"/>
  <c r="AM552" i="13" s="1"/>
  <c r="O552" i="13"/>
  <c r="R14" i="13"/>
  <c r="P29" i="13"/>
  <c r="P35" i="13"/>
  <c r="P62" i="13"/>
  <c r="R75" i="13"/>
  <c r="P88" i="13"/>
  <c r="O100" i="13"/>
  <c r="O101" i="13"/>
  <c r="P105" i="13"/>
  <c r="P115" i="13"/>
  <c r="O118" i="13"/>
  <c r="R120" i="13"/>
  <c r="O126" i="13"/>
  <c r="P130" i="13"/>
  <c r="P133" i="13"/>
  <c r="O140" i="13"/>
  <c r="P148" i="13"/>
  <c r="R151" i="13"/>
  <c r="R155" i="13"/>
  <c r="AU155" i="13" s="1"/>
  <c r="N158" i="13"/>
  <c r="AR158" i="13" s="1"/>
  <c r="N159" i="13"/>
  <c r="Q159" i="13" s="1"/>
  <c r="R162" i="13"/>
  <c r="AU162" i="13" s="1"/>
  <c r="T173" i="13"/>
  <c r="N181" i="13"/>
  <c r="Q181" i="13" s="1"/>
  <c r="P185" i="13"/>
  <c r="R186" i="13"/>
  <c r="N191" i="13"/>
  <c r="AR191" i="13" s="1"/>
  <c r="N195" i="13"/>
  <c r="AR195" i="13" s="1"/>
  <c r="O202" i="13"/>
  <c r="N219" i="13"/>
  <c r="AR219" i="13" s="1"/>
  <c r="T224" i="13"/>
  <c r="P225" i="13"/>
  <c r="O233" i="13"/>
  <c r="O239" i="13"/>
  <c r="P249" i="13"/>
  <c r="P255" i="13"/>
  <c r="N258" i="13"/>
  <c r="Q258" i="13" s="1"/>
  <c r="O271" i="13"/>
  <c r="Q273" i="13"/>
  <c r="O275" i="13"/>
  <c r="S286" i="13"/>
  <c r="N286" i="13"/>
  <c r="Q286" i="13" s="1"/>
  <c r="O288" i="13"/>
  <c r="P289" i="13"/>
  <c r="O292" i="13"/>
  <c r="N301" i="13"/>
  <c r="AR301" i="13" s="1"/>
  <c r="O307" i="13"/>
  <c r="N312" i="13"/>
  <c r="Q312" i="13" s="1"/>
  <c r="N316" i="13"/>
  <c r="Q316" i="13" s="1"/>
  <c r="P318" i="13"/>
  <c r="R323" i="13"/>
  <c r="AU323" i="13" s="1"/>
  <c r="S328" i="13"/>
  <c r="N328" i="13"/>
  <c r="Q328" i="13" s="1"/>
  <c r="O330" i="13"/>
  <c r="O334" i="13"/>
  <c r="N337" i="13"/>
  <c r="Q337" i="13" s="1"/>
  <c r="P339" i="13"/>
  <c r="N347" i="13"/>
  <c r="Q347" i="13" s="1"/>
  <c r="N350" i="13"/>
  <c r="AR350" i="13" s="1"/>
  <c r="R351" i="13"/>
  <c r="N354" i="13"/>
  <c r="AR354" i="13" s="1"/>
  <c r="T358" i="13"/>
  <c r="R358" i="13"/>
  <c r="R359" i="13"/>
  <c r="R363" i="13"/>
  <c r="AU363" i="13" s="1"/>
  <c r="N370" i="13"/>
  <c r="AR370" i="13" s="1"/>
  <c r="R371" i="13"/>
  <c r="N375" i="13"/>
  <c r="Q375" i="13" s="1"/>
  <c r="P377" i="13"/>
  <c r="N388" i="13"/>
  <c r="AR388" i="13" s="1"/>
  <c r="P393" i="13"/>
  <c r="N398" i="13"/>
  <c r="AR398" i="13" s="1"/>
  <c r="O402" i="13"/>
  <c r="P405" i="13"/>
  <c r="P409" i="13"/>
  <c r="O415" i="13"/>
  <c r="O417" i="13"/>
  <c r="O421" i="13"/>
  <c r="S428" i="13"/>
  <c r="N428" i="13"/>
  <c r="O429" i="13"/>
  <c r="R435" i="13"/>
  <c r="P439" i="13"/>
  <c r="N447" i="13"/>
  <c r="Q447" i="13" s="1"/>
  <c r="P454" i="13"/>
  <c r="AM454" i="13" a="1"/>
  <c r="AM454" i="13" s="1"/>
  <c r="O463" i="13"/>
  <c r="O466" i="13"/>
  <c r="AM466" i="13" a="1"/>
  <c r="AM466" i="13" s="1"/>
  <c r="N511" i="13"/>
  <c r="Q511" i="13" s="1"/>
  <c r="O511" i="13"/>
  <c r="AM518" i="13" a="1"/>
  <c r="AM518" i="13" s="1"/>
  <c r="O518" i="13"/>
  <c r="N518" i="13"/>
  <c r="Q518" i="13" s="1"/>
  <c r="O527" i="13"/>
  <c r="N527" i="13"/>
  <c r="R695" i="13"/>
  <c r="AM575" i="13"/>
  <c r="O575" i="13"/>
  <c r="N575" i="13"/>
  <c r="AR575" i="13" s="1"/>
  <c r="AM525" i="13" a="1"/>
  <c r="AM525" i="13" s="1"/>
  <c r="O525" i="13"/>
  <c r="N525" i="13"/>
  <c r="AR525" i="13" s="1"/>
  <c r="P543" i="13"/>
  <c r="R543" i="13"/>
  <c r="R566" i="13"/>
  <c r="P566" i="13"/>
  <c r="P6" i="13"/>
  <c r="P10" i="13"/>
  <c r="P18" i="13"/>
  <c r="N21" i="13"/>
  <c r="Q21" i="13" s="1"/>
  <c r="N23" i="13"/>
  <c r="Q23" i="13" s="1"/>
  <c r="P25" i="13"/>
  <c r="N32" i="13"/>
  <c r="AR32" i="13" s="1"/>
  <c r="AM32" i="13" a="1"/>
  <c r="AM32" i="13" s="1"/>
  <c r="T35" i="13"/>
  <c r="N41" i="13"/>
  <c r="Q41" i="13" s="1"/>
  <c r="S49" i="13"/>
  <c r="N49" i="13"/>
  <c r="AR49" i="13" s="1"/>
  <c r="O51" i="13"/>
  <c r="N54" i="13"/>
  <c r="Q54" i="13" s="1"/>
  <c r="N58" i="13"/>
  <c r="AR58" i="13" s="1"/>
  <c r="N60" i="13"/>
  <c r="AR60" i="13" s="1"/>
  <c r="T62" i="13"/>
  <c r="N69" i="13"/>
  <c r="Q69" i="13" s="1"/>
  <c r="P78" i="13"/>
  <c r="N80" i="13"/>
  <c r="AR80" i="13" s="1"/>
  <c r="R82" i="13"/>
  <c r="AU82" i="13" s="1"/>
  <c r="N89" i="13"/>
  <c r="Q89" i="13" s="1"/>
  <c r="R93" i="13"/>
  <c r="P100" i="13"/>
  <c r="N112" i="13"/>
  <c r="Q112" i="13" s="1"/>
  <c r="T115" i="13"/>
  <c r="R118" i="13"/>
  <c r="O124" i="13"/>
  <c r="R126" i="13"/>
  <c r="N154" i="13"/>
  <c r="Q154" i="13" s="1"/>
  <c r="N165" i="13"/>
  <c r="Q165" i="13" s="1"/>
  <c r="N183" i="13"/>
  <c r="Q183" i="13" s="1"/>
  <c r="N190" i="13"/>
  <c r="AR190" i="13" s="1"/>
  <c r="N205" i="13"/>
  <c r="AR205" i="13" s="1"/>
  <c r="O215" i="13"/>
  <c r="N216" i="13"/>
  <c r="AR216" i="13" s="1"/>
  <c r="T219" i="13"/>
  <c r="P219" i="13"/>
  <c r="O231" i="13"/>
  <c r="O237" i="13"/>
  <c r="O295" i="13"/>
  <c r="N311" i="13"/>
  <c r="AR311" i="13" s="1"/>
  <c r="P312" i="13"/>
  <c r="T318" i="13"/>
  <c r="N333" i="13"/>
  <c r="AR333" i="13" s="1"/>
  <c r="AU334" i="13"/>
  <c r="P334" i="13"/>
  <c r="R337" i="13"/>
  <c r="AU337" i="13" s="1"/>
  <c r="T339" i="13"/>
  <c r="N346" i="13"/>
  <c r="AR346" i="13" s="1"/>
  <c r="R350" i="13"/>
  <c r="R354" i="13"/>
  <c r="R375" i="13"/>
  <c r="T377" i="13"/>
  <c r="N382" i="13"/>
  <c r="AR382" i="13" s="1"/>
  <c r="O391" i="13"/>
  <c r="S401" i="13"/>
  <c r="N401" i="13"/>
  <c r="AR401" i="13" s="1"/>
  <c r="T402" i="13"/>
  <c r="R412" i="13"/>
  <c r="T415" i="13"/>
  <c r="N432" i="13"/>
  <c r="Q432" i="13" s="1"/>
  <c r="N441" i="13"/>
  <c r="Q441" i="13" s="1"/>
  <c r="N444" i="13"/>
  <c r="AR444" i="13" s="1"/>
  <c r="P447" i="13"/>
  <c r="N448" i="13"/>
  <c r="AR448" i="13" s="1"/>
  <c r="O455" i="13"/>
  <c r="AM456" i="13" a="1"/>
  <c r="AM456" i="13" s="1"/>
  <c r="N458" i="13"/>
  <c r="AR458" i="13" s="1"/>
  <c r="O495" i="13"/>
  <c r="AM495" i="13" a="1"/>
  <c r="AM495" i="13" s="1"/>
  <c r="R503" i="13"/>
  <c r="P503" i="13"/>
  <c r="O515" i="13"/>
  <c r="O520" i="13"/>
  <c r="AM520" i="13" a="1"/>
  <c r="AM520" i="13" s="1"/>
  <c r="R523" i="13"/>
  <c r="P523" i="13"/>
  <c r="AM532" i="13" a="1"/>
  <c r="AM532" i="13" s="1"/>
  <c r="O532" i="13"/>
  <c r="N8" i="13"/>
  <c r="Q8" i="13" s="1"/>
  <c r="O15" i="13"/>
  <c r="N3" i="13"/>
  <c r="AR3" i="13" s="1"/>
  <c r="N4" i="13"/>
  <c r="Q4" i="13" s="1"/>
  <c r="R13" i="13"/>
  <c r="R15" i="13"/>
  <c r="AU15" i="13" s="1"/>
  <c r="P19" i="13"/>
  <c r="N28" i="13"/>
  <c r="AR28" i="13" s="1"/>
  <c r="R30" i="13"/>
  <c r="O40" i="13"/>
  <c r="T41" i="13"/>
  <c r="O41" i="13"/>
  <c r="P43" i="13"/>
  <c r="P46" i="13"/>
  <c r="N48" i="13"/>
  <c r="Q48" i="13" s="1"/>
  <c r="O52" i="13"/>
  <c r="O54" i="13"/>
  <c r="N57" i="13"/>
  <c r="Q57" i="13" s="1"/>
  <c r="P63" i="13"/>
  <c r="P65" i="13"/>
  <c r="S68" i="13"/>
  <c r="N68" i="13"/>
  <c r="Q68" i="13" s="1"/>
  <c r="AM69" i="13" a="1"/>
  <c r="AM69" i="13" s="1"/>
  <c r="R83" i="13"/>
  <c r="O89" i="13"/>
  <c r="R117" i="13"/>
  <c r="R127" i="13"/>
  <c r="R145" i="13"/>
  <c r="AU145" i="13" s="1"/>
  <c r="P168" i="13"/>
  <c r="R181" i="13"/>
  <c r="O190" i="13"/>
  <c r="R203" i="13"/>
  <c r="R213" i="13"/>
  <c r="P223" i="13"/>
  <c r="P242" i="13"/>
  <c r="P274" i="13"/>
  <c r="R278" i="13"/>
  <c r="P300" i="13"/>
  <c r="P304" i="13"/>
  <c r="O311" i="13"/>
  <c r="R321" i="13"/>
  <c r="AM333" i="13" a="1"/>
  <c r="AM333" i="13" s="1"/>
  <c r="R340" i="13"/>
  <c r="P369" i="13"/>
  <c r="P397" i="13"/>
  <c r="P438" i="13"/>
  <c r="O444" i="13"/>
  <c r="AM448" i="13" a="1"/>
  <c r="AM448" i="13" s="1"/>
  <c r="P450" i="13"/>
  <c r="O458" i="13"/>
  <c r="R474" i="13"/>
  <c r="P474" i="13"/>
  <c r="N505" i="13"/>
  <c r="Q505" i="13" s="1"/>
  <c r="O505" i="13"/>
  <c r="R520" i="13"/>
  <c r="P520" i="13"/>
  <c r="P522" i="13"/>
  <c r="R522" i="13"/>
  <c r="AM695" i="13" a="1"/>
  <c r="AM695" i="13" s="1"/>
  <c r="O695" i="13"/>
  <c r="N695" i="13"/>
  <c r="Q695" i="13" s="1"/>
  <c r="R534" i="13"/>
  <c r="P534" i="13"/>
  <c r="N550" i="13"/>
  <c r="O550" i="13"/>
  <c r="O553" i="13"/>
  <c r="N553" i="13"/>
  <c r="AR553" i="13" s="1"/>
  <c r="O504" i="13"/>
  <c r="O522" i="13"/>
  <c r="O551" i="13"/>
  <c r="O567" i="13"/>
  <c r="O573" i="13"/>
  <c r="AM576" i="13"/>
  <c r="T553" i="6"/>
  <c r="O574" i="15" s="1"/>
  <c r="M553" i="6"/>
  <c r="AU489" i="13"/>
  <c r="R154" i="13"/>
  <c r="AU154" i="13" s="1"/>
  <c r="AM243" i="13" a="1"/>
  <c r="AM243" i="13" s="1"/>
  <c r="O243" i="13"/>
  <c r="AM255" i="13" a="1"/>
  <c r="AM255" i="13" s="1"/>
  <c r="N255" i="13"/>
  <c r="AR255" i="13" s="1"/>
  <c r="R144" i="13"/>
  <c r="R159" i="13"/>
  <c r="AU159" i="13" s="1"/>
  <c r="R169" i="13"/>
  <c r="AU169" i="13" s="1"/>
  <c r="N210" i="13"/>
  <c r="AR210" i="13" s="1"/>
  <c r="O210" i="13"/>
  <c r="R257" i="13"/>
  <c r="P257" i="13"/>
  <c r="P495" i="13"/>
  <c r="R495" i="13"/>
  <c r="AU495" i="13" s="1"/>
  <c r="R556" i="13"/>
  <c r="P556" i="13"/>
  <c r="P110" i="13"/>
  <c r="P116" i="13"/>
  <c r="AM125" i="13" a="1"/>
  <c r="AM125" i="13" s="1"/>
  <c r="N135" i="13"/>
  <c r="Q135" i="13" s="1"/>
  <c r="P139" i="13"/>
  <c r="AU140" i="13"/>
  <c r="N141" i="13"/>
  <c r="Q141" i="13" s="1"/>
  <c r="N144" i="13"/>
  <c r="P172" i="13"/>
  <c r="AM186" i="13" a="1"/>
  <c r="AM186" i="13" s="1"/>
  <c r="N186" i="13"/>
  <c r="AR186" i="13" s="1"/>
  <c r="P190" i="13"/>
  <c r="R190" i="13"/>
  <c r="P193" i="13"/>
  <c r="AM196" i="13" a="1"/>
  <c r="AM196" i="13" s="1"/>
  <c r="N196" i="13"/>
  <c r="AR196" i="13" s="1"/>
  <c r="R200" i="13"/>
  <c r="O208" i="13"/>
  <c r="AM213" i="13" a="1"/>
  <c r="AM213" i="13" s="1"/>
  <c r="N213" i="13"/>
  <c r="AR213" i="13" s="1"/>
  <c r="R227" i="13"/>
  <c r="AU227" i="13" s="1"/>
  <c r="P227" i="13"/>
  <c r="N230" i="13"/>
  <c r="Q230" i="13" s="1"/>
  <c r="O230" i="13"/>
  <c r="AM241" i="13" a="1"/>
  <c r="AM241" i="13" s="1"/>
  <c r="O241" i="13"/>
  <c r="R247" i="13"/>
  <c r="P247" i="13"/>
  <c r="R251" i="13"/>
  <c r="P251" i="13"/>
  <c r="R279" i="13"/>
  <c r="P279" i="13"/>
  <c r="R285" i="13"/>
  <c r="P285" i="13"/>
  <c r="AM293" i="13" a="1"/>
  <c r="AM293" i="13" s="1"/>
  <c r="N293" i="13"/>
  <c r="Q293" i="13" s="1"/>
  <c r="O293" i="13"/>
  <c r="N302" i="13"/>
  <c r="AM302" i="13" a="1"/>
  <c r="AM302" i="13" s="1"/>
  <c r="O302" i="13"/>
  <c r="R310" i="13"/>
  <c r="P310" i="13"/>
  <c r="R330" i="13"/>
  <c r="P330" i="13"/>
  <c r="AM461" i="13" a="1"/>
  <c r="AM461" i="13" s="1"/>
  <c r="O461" i="13"/>
  <c r="O465" i="13"/>
  <c r="N465" i="13"/>
  <c r="AM465" i="13" a="1"/>
  <c r="AM465" i="13" s="1"/>
  <c r="R473" i="13"/>
  <c r="P473" i="13"/>
  <c r="AM481" i="13" a="1"/>
  <c r="AM481" i="13" s="1"/>
  <c r="O481" i="13"/>
  <c r="N481" i="13"/>
  <c r="P518" i="13"/>
  <c r="R518" i="13"/>
  <c r="AM259" i="13" a="1"/>
  <c r="AM259" i="13" s="1"/>
  <c r="O259" i="13"/>
  <c r="N259" i="13"/>
  <c r="R492" i="13"/>
  <c r="P492" i="13"/>
  <c r="AU40" i="13"/>
  <c r="P61" i="13"/>
  <c r="O3" i="13"/>
  <c r="O4" i="13"/>
  <c r="T7" i="13"/>
  <c r="P7" i="13"/>
  <c r="T8" i="13"/>
  <c r="O8" i="13"/>
  <c r="O11" i="13"/>
  <c r="O13" i="13"/>
  <c r="N14" i="13"/>
  <c r="AR14" i="13" s="1"/>
  <c r="P17" i="13"/>
  <c r="P20" i="13"/>
  <c r="O21" i="13"/>
  <c r="R22" i="13"/>
  <c r="O23" i="13"/>
  <c r="O26" i="13"/>
  <c r="S27" i="13"/>
  <c r="O27" i="13"/>
  <c r="O30" i="13"/>
  <c r="P31" i="13"/>
  <c r="P34" i="13"/>
  <c r="P38" i="13"/>
  <c r="R41" i="13"/>
  <c r="P44" i="13"/>
  <c r="O45" i="13"/>
  <c r="P47" i="13"/>
  <c r="R48" i="13"/>
  <c r="P51" i="13"/>
  <c r="AM51" i="13" a="1"/>
  <c r="AM51" i="13" s="1"/>
  <c r="R54" i="13"/>
  <c r="P56" i="13"/>
  <c r="R57" i="13"/>
  <c r="O60" i="13"/>
  <c r="S63" i="13"/>
  <c r="N63" i="13"/>
  <c r="Q63" i="13" s="1"/>
  <c r="P67" i="13"/>
  <c r="P68" i="13"/>
  <c r="O70" i="13"/>
  <c r="O72" i="13"/>
  <c r="N75" i="13"/>
  <c r="Q75" i="13" s="1"/>
  <c r="P77" i="13"/>
  <c r="T79" i="13"/>
  <c r="O79" i="13"/>
  <c r="O82" i="13"/>
  <c r="O83" i="13"/>
  <c r="P85" i="13"/>
  <c r="R89" i="13"/>
  <c r="P95" i="13"/>
  <c r="P99" i="13"/>
  <c r="R101" i="13"/>
  <c r="P104" i="13"/>
  <c r="R107" i="13"/>
  <c r="O108" i="13"/>
  <c r="T110" i="13"/>
  <c r="O112" i="13"/>
  <c r="P114" i="13"/>
  <c r="O117" i="13"/>
  <c r="N125" i="13"/>
  <c r="AR125" i="13" s="1"/>
  <c r="N127" i="13"/>
  <c r="Q127" i="13" s="1"/>
  <c r="N130" i="13"/>
  <c r="Q130" i="13" s="1"/>
  <c r="AM131" i="13" a="1"/>
  <c r="AM131" i="13" s="1"/>
  <c r="N133" i="13"/>
  <c r="Q133" i="13" s="1"/>
  <c r="R134" i="13"/>
  <c r="O135" i="13"/>
  <c r="P140" i="13"/>
  <c r="O141" i="13"/>
  <c r="P143" i="13"/>
  <c r="O144" i="13"/>
  <c r="N145" i="13"/>
  <c r="Q145" i="13" s="1"/>
  <c r="N148" i="13"/>
  <c r="Q148" i="13" s="1"/>
  <c r="N151" i="13"/>
  <c r="Q151" i="13" s="1"/>
  <c r="O154" i="13"/>
  <c r="O158" i="13"/>
  <c r="O159" i="13"/>
  <c r="T160" i="13"/>
  <c r="T165" i="13"/>
  <c r="O165" i="13"/>
  <c r="N166" i="13"/>
  <c r="O169" i="13"/>
  <c r="N170" i="13"/>
  <c r="Q170" i="13" s="1"/>
  <c r="P173" i="13"/>
  <c r="R173" i="13"/>
  <c r="P174" i="13"/>
  <c r="R174" i="13"/>
  <c r="AU174" i="13" s="1"/>
  <c r="R176" i="13"/>
  <c r="P176" i="13"/>
  <c r="P177" i="13"/>
  <c r="R178" i="13"/>
  <c r="AU178" i="13" s="1"/>
  <c r="R187" i="13"/>
  <c r="R191" i="13"/>
  <c r="P194" i="13"/>
  <c r="R198" i="13"/>
  <c r="T200" i="13"/>
  <c r="O204" i="13"/>
  <c r="N207" i="13"/>
  <c r="AR207" i="13" s="1"/>
  <c r="R221" i="13"/>
  <c r="P221" i="13"/>
  <c r="AM240" i="13" a="1"/>
  <c r="AM240" i="13" s="1"/>
  <c r="N240" i="13"/>
  <c r="AR240" i="13" s="1"/>
  <c r="AM246" i="13" a="1"/>
  <c r="AM246" i="13" s="1"/>
  <c r="N246" i="13"/>
  <c r="AR246" i="13" s="1"/>
  <c r="R253" i="13"/>
  <c r="P253" i="13"/>
  <c r="AM290" i="13" a="1"/>
  <c r="AM290" i="13" s="1"/>
  <c r="O290" i="13"/>
  <c r="N290" i="13"/>
  <c r="R399" i="13"/>
  <c r="P399" i="13"/>
  <c r="P427" i="13"/>
  <c r="R427" i="13"/>
  <c r="P468" i="13"/>
  <c r="R468" i="13"/>
  <c r="O508" i="13"/>
  <c r="AM508" i="13" a="1"/>
  <c r="AM508" i="13" s="1"/>
  <c r="N508" i="13"/>
  <c r="AR508" i="13" s="1"/>
  <c r="R72" i="13"/>
  <c r="R158" i="13"/>
  <c r="AM187" i="13" a="1"/>
  <c r="AM187" i="13" s="1"/>
  <c r="N187" i="13"/>
  <c r="Q187" i="13" s="1"/>
  <c r="R189" i="13"/>
  <c r="AU189" i="13" s="1"/>
  <c r="P189" i="13"/>
  <c r="AM198" i="13" a="1"/>
  <c r="AM198" i="13" s="1"/>
  <c r="N198" i="13"/>
  <c r="AR198" i="13" s="1"/>
  <c r="R238" i="13"/>
  <c r="P238" i="13"/>
  <c r="AM264" i="13" a="1"/>
  <c r="AM264" i="13" s="1"/>
  <c r="N264" i="13"/>
  <c r="O264" i="13"/>
  <c r="P272" i="13"/>
  <c r="R272" i="13"/>
  <c r="N294" i="13"/>
  <c r="AR294" i="13" s="1"/>
  <c r="AM294" i="13" a="1"/>
  <c r="AM294" i="13" s="1"/>
  <c r="O294" i="13"/>
  <c r="AM439" i="13" a="1"/>
  <c r="AM439" i="13" s="1"/>
  <c r="O439" i="13"/>
  <c r="N439" i="13"/>
  <c r="AR446" i="13"/>
  <c r="O501" i="13"/>
  <c r="N501" i="13"/>
  <c r="Q501" i="13" s="1"/>
  <c r="AM501" i="13" a="1"/>
  <c r="AM501" i="13" s="1"/>
  <c r="AM14" i="13" a="1"/>
  <c r="AM14" i="13" s="1"/>
  <c r="R3" i="13"/>
  <c r="R4" i="13"/>
  <c r="R8" i="13"/>
  <c r="T11" i="13"/>
  <c r="N15" i="13"/>
  <c r="Q15" i="13" s="1"/>
  <c r="N16" i="13"/>
  <c r="R21" i="13"/>
  <c r="R23" i="13"/>
  <c r="R27" i="13"/>
  <c r="R32" i="13"/>
  <c r="O35" i="13"/>
  <c r="S36" i="13"/>
  <c r="N36" i="13"/>
  <c r="Q36" i="13" s="1"/>
  <c r="N37" i="13"/>
  <c r="P45" i="13"/>
  <c r="AM45" i="13" a="1"/>
  <c r="AM45" i="13" s="1"/>
  <c r="O62" i="13"/>
  <c r="O63" i="13"/>
  <c r="S64" i="13"/>
  <c r="N64" i="13"/>
  <c r="T75" i="13"/>
  <c r="O75" i="13"/>
  <c r="N76" i="13"/>
  <c r="R79" i="13"/>
  <c r="T83" i="13"/>
  <c r="N84" i="13"/>
  <c r="O94" i="13"/>
  <c r="N103" i="13"/>
  <c r="O106" i="13"/>
  <c r="R108" i="13"/>
  <c r="N111" i="13"/>
  <c r="Q111" i="13" s="1"/>
  <c r="R112" i="13"/>
  <c r="T117" i="13"/>
  <c r="N118" i="13"/>
  <c r="Q118" i="13" s="1"/>
  <c r="N120" i="13"/>
  <c r="Q120" i="13" s="1"/>
  <c r="O123" i="13"/>
  <c r="N124" i="13"/>
  <c r="Q124" i="13" s="1"/>
  <c r="N126" i="13"/>
  <c r="Q126" i="13" s="1"/>
  <c r="O127" i="13"/>
  <c r="O130" i="13"/>
  <c r="T133" i="13"/>
  <c r="O133" i="13"/>
  <c r="R135" i="13"/>
  <c r="R141" i="13"/>
  <c r="AU141" i="13" s="1"/>
  <c r="T143" i="13"/>
  <c r="O145" i="13"/>
  <c r="O148" i="13"/>
  <c r="N149" i="13"/>
  <c r="Q149" i="13" s="1"/>
  <c r="O151" i="13"/>
  <c r="N155" i="13"/>
  <c r="Q155" i="13" s="1"/>
  <c r="N162" i="13"/>
  <c r="Q162" i="13" s="1"/>
  <c r="R165" i="13"/>
  <c r="R166" i="13"/>
  <c r="AU166" i="13" s="1"/>
  <c r="R170" i="13"/>
  <c r="N173" i="13"/>
  <c r="Q173" i="13" s="1"/>
  <c r="N174" i="13"/>
  <c r="AM177" i="13" a="1"/>
  <c r="AM177" i="13" s="1"/>
  <c r="O177" i="13"/>
  <c r="AM178" i="13" a="1"/>
  <c r="AM178" i="13" s="1"/>
  <c r="N178" i="13"/>
  <c r="Q178" i="13" s="1"/>
  <c r="P180" i="13"/>
  <c r="R180" i="13"/>
  <c r="N218" i="13"/>
  <c r="AR218" i="13" s="1"/>
  <c r="O218" i="13"/>
  <c r="AM245" i="13" a="1"/>
  <c r="AM245" i="13" s="1"/>
  <c r="O245" i="13"/>
  <c r="R256" i="13"/>
  <c r="P256" i="13"/>
  <c r="AM276" i="13" a="1"/>
  <c r="AM276" i="13" s="1"/>
  <c r="N276" i="13"/>
  <c r="Q276" i="13" s="1"/>
  <c r="AI276" i="13" s="1"/>
  <c r="P292" i="13"/>
  <c r="R292" i="13"/>
  <c r="AR315" i="13"/>
  <c r="Q315" i="13"/>
  <c r="R361" i="13"/>
  <c r="P361" i="13"/>
  <c r="AM379" i="13" a="1"/>
  <c r="AM379" i="13" s="1"/>
  <c r="N379" i="13"/>
  <c r="Q379" i="13" s="1"/>
  <c r="N423" i="13"/>
  <c r="AR423" i="13" s="1"/>
  <c r="O423" i="13"/>
  <c r="AM423" i="13" a="1"/>
  <c r="AM423" i="13" s="1"/>
  <c r="O460" i="13"/>
  <c r="N460" i="13"/>
  <c r="AM460" i="13" a="1"/>
  <c r="AM460" i="13" s="1"/>
  <c r="P504" i="13"/>
  <c r="R504" i="13"/>
  <c r="N227" i="13"/>
  <c r="AR227" i="13" s="1"/>
  <c r="O228" i="13"/>
  <c r="P232" i="13"/>
  <c r="O235" i="13"/>
  <c r="N251" i="13"/>
  <c r="AR251" i="13" s="1"/>
  <c r="T254" i="13"/>
  <c r="N256" i="13"/>
  <c r="AR256" i="13" s="1"/>
  <c r="P258" i="13"/>
  <c r="N261" i="13"/>
  <c r="N263" i="13"/>
  <c r="N265" i="13"/>
  <c r="AR265" i="13" s="1"/>
  <c r="N270" i="13"/>
  <c r="Q270" i="13" s="1"/>
  <c r="AM270" i="13" a="1"/>
  <c r="AM270" i="13" s="1"/>
  <c r="O270" i="13"/>
  <c r="AM273" i="13" a="1"/>
  <c r="AM273" i="13" s="1"/>
  <c r="O273" i="13"/>
  <c r="O281" i="13"/>
  <c r="O285" i="13"/>
  <c r="R286" i="13"/>
  <c r="R287" i="13"/>
  <c r="P287" i="13"/>
  <c r="P288" i="13"/>
  <c r="AM291" i="13" a="1"/>
  <c r="AM291" i="13" s="1"/>
  <c r="O291" i="13"/>
  <c r="AM299" i="13" a="1"/>
  <c r="AM299" i="13" s="1"/>
  <c r="O299" i="13"/>
  <c r="AM305" i="13" a="1"/>
  <c r="AM305" i="13" s="1"/>
  <c r="O305" i="13"/>
  <c r="R316" i="13"/>
  <c r="AM321" i="13" a="1"/>
  <c r="AM321" i="13" s="1"/>
  <c r="N321" i="13"/>
  <c r="Q321" i="13" s="1"/>
  <c r="AM341" i="13" a="1"/>
  <c r="AM341" i="13" s="1"/>
  <c r="O341" i="13"/>
  <c r="N341" i="13"/>
  <c r="AR341" i="13" s="1"/>
  <c r="R357" i="13"/>
  <c r="AU357" i="13" s="1"/>
  <c r="P357" i="13"/>
  <c r="P367" i="13"/>
  <c r="R367" i="13"/>
  <c r="AM405" i="13" a="1"/>
  <c r="AM405" i="13" s="1"/>
  <c r="O405" i="13"/>
  <c r="N405" i="13"/>
  <c r="Q405" i="13" s="1"/>
  <c r="AM416" i="13" a="1"/>
  <c r="AM416" i="13" s="1"/>
  <c r="O416" i="13"/>
  <c r="N416" i="13"/>
  <c r="AR416" i="13" s="1"/>
  <c r="O418" i="13"/>
  <c r="N418" i="13"/>
  <c r="AR418" i="13" s="1"/>
  <c r="R428" i="13"/>
  <c r="AU428" i="13" s="1"/>
  <c r="N434" i="13"/>
  <c r="AR434" i="13" s="1"/>
  <c r="O434" i="13"/>
  <c r="R455" i="13"/>
  <c r="P455" i="13"/>
  <c r="AR466" i="13"/>
  <c r="P500" i="13"/>
  <c r="R500" i="13"/>
  <c r="N521" i="13"/>
  <c r="Q521" i="13" s="1"/>
  <c r="O521" i="13"/>
  <c r="T238" i="13"/>
  <c r="S241" i="13"/>
  <c r="T253" i="13"/>
  <c r="O261" i="13"/>
  <c r="O263" i="13"/>
  <c r="AM265" i="13" a="1"/>
  <c r="AM265" i="13" s="1"/>
  <c r="N266" i="13"/>
  <c r="AR266" i="13" s="1"/>
  <c r="O266" i="13"/>
  <c r="AM298" i="13" a="1"/>
  <c r="AM298" i="13" s="1"/>
  <c r="N298" i="13"/>
  <c r="Q298" i="13" s="1"/>
  <c r="AM304" i="13" a="1"/>
  <c r="AM304" i="13" s="1"/>
  <c r="N304" i="13"/>
  <c r="Q304" i="13" s="1"/>
  <c r="O329" i="13"/>
  <c r="AM329" i="13" a="1"/>
  <c r="AM329" i="13" s="1"/>
  <c r="N329" i="13"/>
  <c r="AR329" i="13" s="1"/>
  <c r="R331" i="13"/>
  <c r="P331" i="13"/>
  <c r="R349" i="13"/>
  <c r="AU349" i="13" s="1"/>
  <c r="P349" i="13"/>
  <c r="R353" i="13"/>
  <c r="P353" i="13"/>
  <c r="P355" i="13"/>
  <c r="R355" i="13"/>
  <c r="O381" i="13"/>
  <c r="AM381" i="13" a="1"/>
  <c r="AM381" i="13" s="1"/>
  <c r="N381" i="13"/>
  <c r="Q381" i="13" s="1"/>
  <c r="AM397" i="13" a="1"/>
  <c r="AM397" i="13" s="1"/>
  <c r="O397" i="13"/>
  <c r="N397" i="13"/>
  <c r="AR397" i="13" s="1"/>
  <c r="O422" i="13"/>
  <c r="N422" i="13"/>
  <c r="AR422" i="13" s="1"/>
  <c r="R431" i="13"/>
  <c r="P431" i="13"/>
  <c r="R470" i="13"/>
  <c r="P470" i="13"/>
  <c r="N479" i="13"/>
  <c r="AR479" i="13" s="1"/>
  <c r="AM479" i="13" a="1"/>
  <c r="AM479" i="13" s="1"/>
  <c r="O479" i="13"/>
  <c r="P505" i="13"/>
  <c r="R505" i="13"/>
  <c r="O514" i="13"/>
  <c r="N514" i="13"/>
  <c r="AR514" i="13" s="1"/>
  <c r="R516" i="13"/>
  <c r="P516" i="13"/>
  <c r="R519" i="13"/>
  <c r="P519" i="13"/>
  <c r="AM531" i="13" a="1"/>
  <c r="AM531" i="13" s="1"/>
  <c r="O531" i="13"/>
  <c r="N531" i="13"/>
  <c r="Q531" i="13" s="1"/>
  <c r="O544" i="13"/>
  <c r="N544" i="13"/>
  <c r="AR544" i="13" s="1"/>
  <c r="AM544" i="13" a="1"/>
  <c r="AM544" i="13" s="1"/>
  <c r="AM277" i="13" a="1"/>
  <c r="AM277" i="13" s="1"/>
  <c r="N277" i="13"/>
  <c r="AM297" i="13" a="1"/>
  <c r="AM297" i="13" s="1"/>
  <c r="N297" i="13"/>
  <c r="AM303" i="13" a="1"/>
  <c r="AM303" i="13" s="1"/>
  <c r="N303" i="13"/>
  <c r="AM315" i="13" a="1"/>
  <c r="AM315" i="13" s="1"/>
  <c r="O315" i="13"/>
  <c r="O340" i="13"/>
  <c r="N340" i="13"/>
  <c r="AR340" i="13" s="1"/>
  <c r="AM342" i="13" a="1"/>
  <c r="AM342" i="13" s="1"/>
  <c r="N342" i="13"/>
  <c r="R345" i="13"/>
  <c r="P345" i="13"/>
  <c r="P347" i="13"/>
  <c r="R347" i="13"/>
  <c r="AM366" i="13" a="1"/>
  <c r="AM366" i="13" s="1"/>
  <c r="O366" i="13"/>
  <c r="N366" i="13"/>
  <c r="AR366" i="13" s="1"/>
  <c r="N390" i="13"/>
  <c r="AR390" i="13" s="1"/>
  <c r="O390" i="13"/>
  <c r="R407" i="13"/>
  <c r="P407" i="13"/>
  <c r="N419" i="13"/>
  <c r="AR419" i="13" s="1"/>
  <c r="O419" i="13"/>
  <c r="R457" i="13"/>
  <c r="P457" i="13"/>
  <c r="O503" i="13"/>
  <c r="N503" i="13"/>
  <c r="P515" i="13"/>
  <c r="R515" i="13"/>
  <c r="R537" i="13"/>
  <c r="P537" i="13"/>
  <c r="O327" i="13"/>
  <c r="O332" i="13"/>
  <c r="R336" i="13"/>
  <c r="AU336" i="13" s="1"/>
  <c r="O346" i="13"/>
  <c r="O350" i="13"/>
  <c r="O354" i="13"/>
  <c r="O358" i="13"/>
  <c r="O362" i="13"/>
  <c r="O382" i="13"/>
  <c r="P387" i="13"/>
  <c r="O393" i="13"/>
  <c r="O401" i="13"/>
  <c r="AU409" i="13"/>
  <c r="O409" i="13"/>
  <c r="P413" i="13"/>
  <c r="P415" i="13"/>
  <c r="R425" i="13"/>
  <c r="O432" i="13"/>
  <c r="O441" i="13"/>
  <c r="O443" i="13"/>
  <c r="O447" i="13"/>
  <c r="O459" i="13"/>
  <c r="AM463" i="13" a="1"/>
  <c r="AM463" i="13" s="1"/>
  <c r="O467" i="13"/>
  <c r="O476" i="13"/>
  <c r="R484" i="13"/>
  <c r="P484" i="13"/>
  <c r="Q495" i="13"/>
  <c r="AR495" i="13"/>
  <c r="AM507" i="13" a="1"/>
  <c r="AM507" i="13" s="1"/>
  <c r="N507" i="13"/>
  <c r="AM517" i="13" a="1"/>
  <c r="AM517" i="13" s="1"/>
  <c r="R521" i="13"/>
  <c r="P521" i="13"/>
  <c r="O541" i="13"/>
  <c r="AM541" i="13" a="1"/>
  <c r="AM541" i="13" s="1"/>
  <c r="N541" i="13"/>
  <c r="AR541" i="13" s="1"/>
  <c r="AM545" i="13" a="1"/>
  <c r="AM545" i="13" s="1"/>
  <c r="O545" i="13"/>
  <c r="N545" i="13"/>
  <c r="R549" i="13"/>
  <c r="P549" i="13"/>
  <c r="N565" i="13"/>
  <c r="AM565" i="13"/>
  <c r="O565" i="13"/>
  <c r="P576" i="13"/>
  <c r="R576" i="13"/>
  <c r="AM334" i="13" a="1"/>
  <c r="AM334" i="13" s="1"/>
  <c r="T361" i="13"/>
  <c r="S366" i="13"/>
  <c r="S397" i="13"/>
  <c r="T398" i="13"/>
  <c r="T431" i="13"/>
  <c r="AM494" i="13" a="1"/>
  <c r="AM494" i="13" s="1"/>
  <c r="O494" i="13"/>
  <c r="AM498" i="13" a="1"/>
  <c r="AM498" i="13" s="1"/>
  <c r="P513" i="13"/>
  <c r="AM526" i="13" a="1"/>
  <c r="AM526" i="13" s="1"/>
  <c r="N526" i="13"/>
  <c r="AR526" i="13" s="1"/>
  <c r="AM688" i="13" a="1"/>
  <c r="AM688" i="13" s="1"/>
  <c r="P539" i="13"/>
  <c r="R539" i="13"/>
  <c r="S293" i="13"/>
  <c r="T310" i="13"/>
  <c r="N319" i="13"/>
  <c r="N320" i="13"/>
  <c r="AR320" i="13" s="1"/>
  <c r="N323" i="13"/>
  <c r="Q323" i="13" s="1"/>
  <c r="O325" i="13"/>
  <c r="AM330" i="13" a="1"/>
  <c r="AM330" i="13" s="1"/>
  <c r="N336" i="13"/>
  <c r="AR336" i="13" s="1"/>
  <c r="R342" i="13"/>
  <c r="N363" i="13"/>
  <c r="Q363" i="13" s="1"/>
  <c r="S374" i="13"/>
  <c r="N374" i="13"/>
  <c r="N378" i="13"/>
  <c r="AR378" i="13" s="1"/>
  <c r="R379" i="13"/>
  <c r="T381" i="13"/>
  <c r="P383" i="13"/>
  <c r="N387" i="13"/>
  <c r="Q387" i="13" s="1"/>
  <c r="AM391" i="13" a="1"/>
  <c r="AM391" i="13" s="1"/>
  <c r="N394" i="13"/>
  <c r="Q394" i="13" s="1"/>
  <c r="P395" i="13"/>
  <c r="N402" i="13"/>
  <c r="Q402" i="13" s="1"/>
  <c r="P403" i="13"/>
  <c r="N410" i="13"/>
  <c r="AR410" i="13" s="1"/>
  <c r="P411" i="13"/>
  <c r="N413" i="13"/>
  <c r="Q413" i="13" s="1"/>
  <c r="R418" i="13"/>
  <c r="AU418" i="13" s="1"/>
  <c r="P419" i="13"/>
  <c r="T420" i="13"/>
  <c r="R422" i="13"/>
  <c r="P423" i="13"/>
  <c r="N425" i="13"/>
  <c r="Q425" i="13" s="1"/>
  <c r="N429" i="13"/>
  <c r="P430" i="13"/>
  <c r="P434" i="13"/>
  <c r="N436" i="13"/>
  <c r="Q436" i="13" s="1"/>
  <c r="P445" i="13"/>
  <c r="P451" i="13"/>
  <c r="O454" i="13"/>
  <c r="O456" i="13"/>
  <c r="P461" i="13"/>
  <c r="P475" i="13"/>
  <c r="T484" i="13"/>
  <c r="R487" i="13"/>
  <c r="R490" i="13"/>
  <c r="P490" i="13"/>
  <c r="AM496" i="13" a="1"/>
  <c r="AM496" i="13" s="1"/>
  <c r="N496" i="13"/>
  <c r="AR496" i="13" s="1"/>
  <c r="AM505" i="13" a="1"/>
  <c r="AM505" i="13" s="1"/>
  <c r="O507" i="13"/>
  <c r="R514" i="13"/>
  <c r="N517" i="13"/>
  <c r="AR517" i="13" s="1"/>
  <c r="N519" i="13"/>
  <c r="AR519" i="13" s="1"/>
  <c r="AM519" i="13" a="1"/>
  <c r="AM519" i="13" s="1"/>
  <c r="N520" i="13"/>
  <c r="Q520" i="13" s="1"/>
  <c r="R531" i="13"/>
  <c r="N532" i="13"/>
  <c r="AM542" i="13" a="1"/>
  <c r="AM542" i="13" s="1"/>
  <c r="N542" i="13"/>
  <c r="AR542" i="13" s="1"/>
  <c r="R558" i="13"/>
  <c r="P558" i="13"/>
  <c r="R564" i="13"/>
  <c r="P564" i="13"/>
  <c r="R579" i="13"/>
  <c r="P579" i="13"/>
  <c r="S506" i="13"/>
  <c r="T520" i="13"/>
  <c r="AM534" i="13" a="1"/>
  <c r="AM534" i="13" s="1"/>
  <c r="P535" i="13"/>
  <c r="T543" i="13"/>
  <c r="O543" i="13"/>
  <c r="P547" i="13"/>
  <c r="AM549" i="13" a="1"/>
  <c r="AM549" i="13" s="1"/>
  <c r="AM550" i="13" a="1"/>
  <c r="AM550" i="13" s="1"/>
  <c r="AM563" i="13" a="1"/>
  <c r="AM563" i="13" s="1"/>
  <c r="N563" i="13"/>
  <c r="R567" i="13"/>
  <c r="AM553" i="13" a="1"/>
  <c r="AM553" i="13" s="1"/>
  <c r="AM566" i="13"/>
  <c r="N566" i="13"/>
  <c r="AR566" i="13" s="1"/>
  <c r="R568" i="13"/>
  <c r="P568" i="13"/>
  <c r="R577" i="13"/>
  <c r="AU577" i="13" s="1"/>
  <c r="P577" i="13"/>
  <c r="R573" i="13"/>
  <c r="O574" i="13"/>
  <c r="P575" i="13"/>
  <c r="P561" i="13"/>
  <c r="P562" i="13"/>
  <c r="S498" i="13"/>
  <c r="M552" i="6"/>
  <c r="O25" i="6"/>
  <c r="E455" i="13"/>
  <c r="H455" i="13" s="1"/>
  <c r="M80" i="6"/>
  <c r="F45" i="13"/>
  <c r="T45" i="13" s="1"/>
  <c r="M290" i="6"/>
  <c r="E694" i="13"/>
  <c r="H694" i="13" s="1"/>
  <c r="M299" i="6"/>
  <c r="F497" i="13"/>
  <c r="T497" i="13" s="1"/>
  <c r="V579" i="13"/>
  <c r="Z579" i="13" s="1"/>
  <c r="F27" i="13"/>
  <c r="T27" i="13" s="1"/>
  <c r="F46" i="13"/>
  <c r="T46" i="13" s="1"/>
  <c r="F449" i="13"/>
  <c r="T449" i="13" s="1"/>
  <c r="E450" i="13"/>
  <c r="S450" i="13" s="1"/>
  <c r="E518" i="13"/>
  <c r="S518" i="13" s="1"/>
  <c r="W119" i="6"/>
  <c r="W13" i="6"/>
  <c r="V447" i="13"/>
  <c r="Z447" i="13" s="1"/>
  <c r="W31" i="6"/>
  <c r="V248" i="13"/>
  <c r="W37" i="6"/>
  <c r="W65" i="6"/>
  <c r="V247" i="13"/>
  <c r="O132" i="6"/>
  <c r="E270" i="13"/>
  <c r="S270" i="13" s="1"/>
  <c r="M151" i="6"/>
  <c r="E102" i="13"/>
  <c r="W476" i="6"/>
  <c r="V168" i="13"/>
  <c r="Z168" i="13" s="1"/>
  <c r="F424" i="13"/>
  <c r="O528" i="6"/>
  <c r="E555" i="13"/>
  <c r="S555" i="13" s="1"/>
  <c r="W513" i="6"/>
  <c r="V34" i="13"/>
  <c r="Z34" i="13" s="1"/>
  <c r="V563" i="13"/>
  <c r="Z563" i="13" s="1"/>
  <c r="O533" i="6"/>
  <c r="E573" i="13"/>
  <c r="H573" i="13" s="1"/>
  <c r="M303" i="6"/>
  <c r="F500" i="13"/>
  <c r="T500" i="13" s="1"/>
  <c r="V575" i="13"/>
  <c r="Z575" i="13" s="1"/>
  <c r="E248" i="13"/>
  <c r="V322" i="13"/>
  <c r="F426" i="13"/>
  <c r="T426" i="13" s="1"/>
  <c r="E479" i="13"/>
  <c r="H479" i="13" s="1"/>
  <c r="E489" i="13"/>
  <c r="S489" i="13" s="1"/>
  <c r="E456" i="13"/>
  <c r="O151" i="6"/>
  <c r="W399" i="6"/>
  <c r="V66" i="13"/>
  <c r="Z66" i="13" s="1"/>
  <c r="W415" i="6"/>
  <c r="V535" i="13"/>
  <c r="Z535" i="13" s="1"/>
  <c r="O449" i="6"/>
  <c r="E542" i="13"/>
  <c r="S542" i="13" s="1"/>
  <c r="O455" i="6"/>
  <c r="E544" i="13"/>
  <c r="S544" i="13" s="1"/>
  <c r="W466" i="6"/>
  <c r="V287" i="13"/>
  <c r="V488" i="6"/>
  <c r="M21" i="6"/>
  <c r="E452" i="13"/>
  <c r="H452" i="13" s="1"/>
  <c r="O71" i="6"/>
  <c r="M71" i="6"/>
  <c r="E60" i="13"/>
  <c r="S60" i="13" s="1"/>
  <c r="M98" i="6"/>
  <c r="F109" i="13"/>
  <c r="W121" i="6"/>
  <c r="V495" i="13"/>
  <c r="Z495" i="13" s="1"/>
  <c r="W165" i="6"/>
  <c r="V507" i="13"/>
  <c r="Z507" i="13" s="1"/>
  <c r="M216" i="6"/>
  <c r="F223" i="13"/>
  <c r="T223" i="13" s="1"/>
  <c r="E39" i="13"/>
  <c r="E290" i="13"/>
  <c r="G290" i="13" s="1"/>
  <c r="AQ290" i="13" s="1"/>
  <c r="V503" i="13"/>
  <c r="Z503" i="13" s="1"/>
  <c r="E504" i="13"/>
  <c r="S504" i="13" s="1"/>
  <c r="W54" i="6"/>
  <c r="V90" i="13"/>
  <c r="V465" i="13"/>
  <c r="W60" i="6"/>
  <c r="O133" i="6"/>
  <c r="M133" i="6"/>
  <c r="E269" i="13"/>
  <c r="S269" i="13" s="1"/>
  <c r="O182" i="6"/>
  <c r="M182" i="6"/>
  <c r="X212" i="13"/>
  <c r="W205" i="6"/>
  <c r="V180" i="13"/>
  <c r="V83" i="13"/>
  <c r="Z83" i="13" s="1"/>
  <c r="M252" i="6"/>
  <c r="F269" i="13"/>
  <c r="T269" i="13" s="1"/>
  <c r="M270" i="6"/>
  <c r="F451" i="13"/>
  <c r="T451" i="13" s="1"/>
  <c r="M314" i="6"/>
  <c r="F201" i="13"/>
  <c r="T201" i="13" s="1"/>
  <c r="O398" i="6"/>
  <c r="E120" i="13"/>
  <c r="G120" i="13" s="1"/>
  <c r="AQ120" i="13" s="1"/>
  <c r="M418" i="6"/>
  <c r="M421" i="6"/>
  <c r="F70" i="13"/>
  <c r="T70" i="13" s="1"/>
  <c r="O446" i="6"/>
  <c r="E540" i="13"/>
  <c r="O469" i="6"/>
  <c r="W471" i="6"/>
  <c r="W475" i="6"/>
  <c r="V551" i="13"/>
  <c r="Z551" i="13" s="1"/>
  <c r="M551" i="6"/>
  <c r="E454" i="13"/>
  <c r="G454" i="13" s="1"/>
  <c r="AQ454" i="13" s="1"/>
  <c r="E115" i="13"/>
  <c r="S115" i="13" s="1"/>
  <c r="V88" i="13"/>
  <c r="O171" i="6"/>
  <c r="R171" i="6" s="1"/>
  <c r="V39" i="13"/>
  <c r="V102" i="13"/>
  <c r="O480" i="6"/>
  <c r="R480" i="6" s="1"/>
  <c r="V160" i="13"/>
  <c r="O548" i="6"/>
  <c r="V158" i="13"/>
  <c r="Z158" i="13" s="1"/>
  <c r="O373" i="6"/>
  <c r="V263" i="13"/>
  <c r="Z263" i="13" s="1"/>
  <c r="V107" i="13"/>
  <c r="Z107" i="13" s="1"/>
  <c r="V562" i="13"/>
  <c r="Z562" i="13" s="1"/>
  <c r="E158" i="13"/>
  <c r="H158" i="13" s="1"/>
  <c r="V231" i="13"/>
  <c r="Z231" i="13" s="1"/>
  <c r="V462" i="13"/>
  <c r="Z462" i="13" s="1"/>
  <c r="E467" i="13"/>
  <c r="S467" i="13" s="1"/>
  <c r="E496" i="13"/>
  <c r="S496" i="13" s="1"/>
  <c r="F506" i="13"/>
  <c r="T506" i="13" s="1"/>
  <c r="F513" i="13"/>
  <c r="T513" i="13" s="1"/>
  <c r="E530" i="13"/>
  <c r="H530" i="13" s="1"/>
  <c r="E534" i="13"/>
  <c r="S534" i="13" s="1"/>
  <c r="E553" i="13"/>
  <c r="G553" i="13" s="1"/>
  <c r="AQ553" i="13" s="1"/>
  <c r="E572" i="13"/>
  <c r="S572" i="13" s="1"/>
  <c r="E448" i="13"/>
  <c r="S448" i="13" s="1"/>
  <c r="O48" i="6"/>
  <c r="R48" i="6" s="1"/>
  <c r="O470" i="6"/>
  <c r="O502" i="6"/>
  <c r="R502" i="6" s="1"/>
  <c r="V513" i="13"/>
  <c r="O379" i="6"/>
  <c r="O476" i="6"/>
  <c r="AR31" i="13"/>
  <c r="Q31" i="13"/>
  <c r="AR62" i="13"/>
  <c r="Q62" i="13"/>
  <c r="AR7" i="13"/>
  <c r="Q7" i="13"/>
  <c r="AR26" i="13"/>
  <c r="Q26" i="13"/>
  <c r="AR52" i="13"/>
  <c r="Q52" i="13"/>
  <c r="AR30" i="13"/>
  <c r="Q30" i="13"/>
  <c r="AR45" i="13"/>
  <c r="Q45" i="13"/>
  <c r="AR47" i="13"/>
  <c r="Q47" i="13"/>
  <c r="AR51" i="13"/>
  <c r="Q51" i="13"/>
  <c r="AR11" i="13"/>
  <c r="Q11" i="13"/>
  <c r="AR13" i="13"/>
  <c r="Q13" i="13"/>
  <c r="AR20" i="13"/>
  <c r="Q20" i="13"/>
  <c r="AR35" i="13"/>
  <c r="Q35" i="13"/>
  <c r="AR44" i="13"/>
  <c r="Q44" i="13"/>
  <c r="AM18" i="13" a="1"/>
  <c r="AM18" i="13" s="1"/>
  <c r="AM34" i="13" a="1"/>
  <c r="AM34" i="13" s="1"/>
  <c r="AU44" i="13"/>
  <c r="AM46" i="13" a="1"/>
  <c r="AM46" i="13" s="1"/>
  <c r="AM50" i="13" a="1"/>
  <c r="AM50" i="13" s="1"/>
  <c r="AM61" i="13" a="1"/>
  <c r="AM61" i="13" s="1"/>
  <c r="N116" i="13"/>
  <c r="O116" i="13"/>
  <c r="P183" i="13"/>
  <c r="R183" i="13"/>
  <c r="R5" i="13"/>
  <c r="AM7" i="13" a="1"/>
  <c r="AM7" i="13" s="1"/>
  <c r="R9" i="13"/>
  <c r="AM11" i="13" a="1"/>
  <c r="AM11" i="13" s="1"/>
  <c r="AM13" i="13" a="1"/>
  <c r="AM13" i="13" s="1"/>
  <c r="R16" i="13"/>
  <c r="AM20" i="13" a="1"/>
  <c r="AM20" i="13" s="1"/>
  <c r="R24" i="13"/>
  <c r="AM26" i="13" a="1"/>
  <c r="AM26" i="13" s="1"/>
  <c r="R28" i="13"/>
  <c r="AM30" i="13" a="1"/>
  <c r="AM30" i="13" s="1"/>
  <c r="AM31" i="13" a="1"/>
  <c r="AM31" i="13" s="1"/>
  <c r="AM35" i="13" a="1"/>
  <c r="AM35" i="13" s="1"/>
  <c r="R37" i="13"/>
  <c r="R42" i="13"/>
  <c r="AM44" i="13" a="1"/>
  <c r="AM44" i="13" s="1"/>
  <c r="AM47" i="13" a="1"/>
  <c r="AM47" i="13" s="1"/>
  <c r="R49" i="13"/>
  <c r="AM52" i="13" a="1"/>
  <c r="AM52" i="13" s="1"/>
  <c r="R58" i="13"/>
  <c r="R60" i="13"/>
  <c r="AU60" i="13" s="1"/>
  <c r="AM62" i="13" a="1"/>
  <c r="AM62" i="13" s="1"/>
  <c r="AU63" i="13"/>
  <c r="R64" i="13"/>
  <c r="AU64" i="13" s="1"/>
  <c r="AM67" i="13" a="1"/>
  <c r="AM67" i="13" s="1"/>
  <c r="AU68" i="13"/>
  <c r="R69" i="13"/>
  <c r="AM73" i="13" a="1"/>
  <c r="AM73" i="13" s="1"/>
  <c r="Q74" i="13"/>
  <c r="AR74" i="13"/>
  <c r="R84" i="13"/>
  <c r="P84" i="13"/>
  <c r="R121" i="13"/>
  <c r="P121" i="13"/>
  <c r="R128" i="13"/>
  <c r="AU128" i="13" s="1"/>
  <c r="P128" i="13"/>
  <c r="R138" i="13"/>
  <c r="P138" i="13"/>
  <c r="R142" i="13"/>
  <c r="AU142" i="13" s="1"/>
  <c r="P142" i="13"/>
  <c r="R146" i="13"/>
  <c r="AU146" i="13" s="1"/>
  <c r="P146" i="13"/>
  <c r="R150" i="13"/>
  <c r="P150" i="13"/>
  <c r="R161" i="13"/>
  <c r="P161" i="13"/>
  <c r="N168" i="13"/>
  <c r="O168" i="13"/>
  <c r="R175" i="13"/>
  <c r="P175" i="13"/>
  <c r="R179" i="13"/>
  <c r="P179" i="13"/>
  <c r="R182" i="13"/>
  <c r="P182" i="13"/>
  <c r="AR226" i="13"/>
  <c r="Q226" i="13"/>
  <c r="AR231" i="13"/>
  <c r="Q231" i="13"/>
  <c r="AR250" i="13"/>
  <c r="Q250" i="13"/>
  <c r="AM19" i="13" a="1"/>
  <c r="AM19" i="13" s="1"/>
  <c r="AM29" i="13" a="1"/>
  <c r="AM29" i="13" s="1"/>
  <c r="AU67" i="13"/>
  <c r="N77" i="13"/>
  <c r="O77" i="13"/>
  <c r="N81" i="13"/>
  <c r="O81" i="13"/>
  <c r="N104" i="13"/>
  <c r="O104" i="13"/>
  <c r="N114" i="13"/>
  <c r="O114" i="13"/>
  <c r="N153" i="13"/>
  <c r="O153" i="13"/>
  <c r="N172" i="13"/>
  <c r="O172" i="13"/>
  <c r="N2" i="13"/>
  <c r="R2" i="13"/>
  <c r="O2" i="13"/>
  <c r="O5" i="13"/>
  <c r="N6" i="13"/>
  <c r="T9" i="13"/>
  <c r="O9" i="13"/>
  <c r="N10" i="13"/>
  <c r="O16" i="13"/>
  <c r="N17" i="13"/>
  <c r="N18" i="13"/>
  <c r="N19" i="13"/>
  <c r="O24" i="13"/>
  <c r="N25" i="13"/>
  <c r="O28" i="13"/>
  <c r="N29" i="13"/>
  <c r="N34" i="13"/>
  <c r="T37" i="13"/>
  <c r="O37" i="13"/>
  <c r="N38" i="13"/>
  <c r="O42" i="13"/>
  <c r="S43" i="13"/>
  <c r="N43" i="13"/>
  <c r="N46" i="13"/>
  <c r="O49" i="13"/>
  <c r="S50" i="13"/>
  <c r="N50" i="13"/>
  <c r="T55" i="13"/>
  <c r="O58" i="13"/>
  <c r="N61" i="13"/>
  <c r="N65" i="13"/>
  <c r="N66" i="13"/>
  <c r="T69" i="13"/>
  <c r="P70" i="13"/>
  <c r="O71" i="13"/>
  <c r="O73" i="13"/>
  <c r="R76" i="13"/>
  <c r="P76" i="13"/>
  <c r="R80" i="13"/>
  <c r="P80" i="13"/>
  <c r="N91" i="13"/>
  <c r="O91" i="13"/>
  <c r="R98" i="13"/>
  <c r="P98" i="13"/>
  <c r="R103" i="13"/>
  <c r="P103" i="13"/>
  <c r="AR107" i="13"/>
  <c r="Q107" i="13"/>
  <c r="N115" i="13"/>
  <c r="O115" i="13"/>
  <c r="N122" i="13"/>
  <c r="O122" i="13"/>
  <c r="N129" i="13"/>
  <c r="O129" i="13"/>
  <c r="AR134" i="13"/>
  <c r="Q134" i="13"/>
  <c r="N139" i="13"/>
  <c r="O139" i="13"/>
  <c r="N143" i="13"/>
  <c r="O143" i="13"/>
  <c r="N147" i="13"/>
  <c r="O147" i="13"/>
  <c r="R163" i="13"/>
  <c r="AU163" i="13" s="1"/>
  <c r="P163" i="13"/>
  <c r="N176" i="13"/>
  <c r="O176" i="13"/>
  <c r="O189" i="13"/>
  <c r="N189" i="13"/>
  <c r="AM189" i="13" a="1"/>
  <c r="AM189" i="13" s="1"/>
  <c r="AM6" i="13" a="1"/>
  <c r="AM6" i="13" s="1"/>
  <c r="AM10" i="13" a="1"/>
  <c r="AM10" i="13" s="1"/>
  <c r="AM17" i="13" a="1"/>
  <c r="AM17" i="13" s="1"/>
  <c r="AM25" i="13" a="1"/>
  <c r="AM25" i="13" s="1"/>
  <c r="AM38" i="13" a="1"/>
  <c r="AM38" i="13" s="1"/>
  <c r="AM43" i="13" a="1"/>
  <c r="AM43" i="13" s="1"/>
  <c r="AM66" i="13" a="1"/>
  <c r="AM66" i="13" s="1"/>
  <c r="Q73" i="13"/>
  <c r="N110" i="13"/>
  <c r="O110" i="13"/>
  <c r="R137" i="13"/>
  <c r="P137" i="13"/>
  <c r="N157" i="13"/>
  <c r="O157" i="13"/>
  <c r="R167" i="13"/>
  <c r="P167" i="13"/>
  <c r="AU6" i="13"/>
  <c r="T10" i="13"/>
  <c r="Q22" i="13"/>
  <c r="S40" i="13"/>
  <c r="S44" i="13"/>
  <c r="AU50" i="13"/>
  <c r="T61" i="13"/>
  <c r="AU65" i="13"/>
  <c r="O65" i="13"/>
  <c r="T66" i="13"/>
  <c r="S67" i="13"/>
  <c r="T71" i="13"/>
  <c r="P71" i="13"/>
  <c r="P73" i="13"/>
  <c r="O74" i="13"/>
  <c r="AM74" i="13" a="1"/>
  <c r="AM74" i="13" s="1"/>
  <c r="AM77" i="13" a="1"/>
  <c r="AM77" i="13" s="1"/>
  <c r="AM81" i="13" a="1"/>
  <c r="AM81" i="13" s="1"/>
  <c r="N85" i="13"/>
  <c r="O85" i="13"/>
  <c r="N99" i="13"/>
  <c r="O99" i="13"/>
  <c r="AM104" i="13" a="1"/>
  <c r="AM104" i="13" s="1"/>
  <c r="R109" i="13"/>
  <c r="P109" i="13"/>
  <c r="AM110" i="13" a="1"/>
  <c r="AM110" i="13" s="1"/>
  <c r="R113" i="13"/>
  <c r="AU113" i="13" s="1"/>
  <c r="P113" i="13"/>
  <c r="AM114" i="13" a="1"/>
  <c r="AM114" i="13" s="1"/>
  <c r="AM116" i="13" a="1"/>
  <c r="AM116" i="13" s="1"/>
  <c r="R136" i="13"/>
  <c r="P136" i="13"/>
  <c r="R152" i="13"/>
  <c r="AU152" i="13" s="1"/>
  <c r="P152" i="13"/>
  <c r="AM153" i="13" a="1"/>
  <c r="AM153" i="13" s="1"/>
  <c r="R156" i="13"/>
  <c r="P156" i="13"/>
  <c r="AM157" i="13" a="1"/>
  <c r="AM157" i="13" s="1"/>
  <c r="N164" i="13"/>
  <c r="O164" i="13"/>
  <c r="R171" i="13"/>
  <c r="P171" i="13"/>
  <c r="AM172" i="13" a="1"/>
  <c r="AM172" i="13" s="1"/>
  <c r="S74" i="13"/>
  <c r="AM76" i="13" a="1"/>
  <c r="AM76" i="13" s="1"/>
  <c r="N78" i="13"/>
  <c r="AM80" i="13" a="1"/>
  <c r="AM80" i="13" s="1"/>
  <c r="N82" i="13"/>
  <c r="N83" i="13"/>
  <c r="AM84" i="13" a="1"/>
  <c r="AM84" i="13" s="1"/>
  <c r="S86" i="13"/>
  <c r="N86" i="13"/>
  <c r="R87" i="13"/>
  <c r="T95" i="13"/>
  <c r="AM98" i="13" a="1"/>
  <c r="AM98" i="13" s="1"/>
  <c r="N100" i="13"/>
  <c r="AM103" i="13" a="1"/>
  <c r="AM103" i="13" s="1"/>
  <c r="N106" i="13"/>
  <c r="AM109" i="13" a="1"/>
  <c r="AM109" i="13" s="1"/>
  <c r="AM113" i="13" a="1"/>
  <c r="AM113" i="13" s="1"/>
  <c r="N117" i="13"/>
  <c r="AM121" i="13" a="1"/>
  <c r="AM121" i="13" s="1"/>
  <c r="N123" i="13"/>
  <c r="AM128" i="13" a="1"/>
  <c r="AM128" i="13" s="1"/>
  <c r="AM136" i="13" a="1"/>
  <c r="AM136" i="13" s="1"/>
  <c r="AM137" i="13" a="1"/>
  <c r="AM137" i="13" s="1"/>
  <c r="AM138" i="13" a="1"/>
  <c r="AM138" i="13" s="1"/>
  <c r="AU139" i="13"/>
  <c r="AM142" i="13" a="1"/>
  <c r="AM142" i="13" s="1"/>
  <c r="AM146" i="13" a="1"/>
  <c r="AM146" i="13" s="1"/>
  <c r="AU153" i="13"/>
  <c r="AM156" i="13" a="1"/>
  <c r="AM156" i="13" s="1"/>
  <c r="AM163" i="13" a="1"/>
  <c r="AM163" i="13" s="1"/>
  <c r="AU164" i="13"/>
  <c r="AM167" i="13" a="1"/>
  <c r="AM167" i="13" s="1"/>
  <c r="AM171" i="13" a="1"/>
  <c r="AM171" i="13" s="1"/>
  <c r="AU172" i="13"/>
  <c r="AM175" i="13" a="1"/>
  <c r="AM175" i="13" s="1"/>
  <c r="AR177" i="13"/>
  <c r="AM179" i="13" a="1"/>
  <c r="AM179" i="13" s="1"/>
  <c r="AR222" i="13"/>
  <c r="Q222" i="13"/>
  <c r="AR235" i="13"/>
  <c r="Q235" i="13"/>
  <c r="N98" i="13"/>
  <c r="N109" i="13"/>
  <c r="T112" i="13"/>
  <c r="N113" i="13"/>
  <c r="N121" i="13"/>
  <c r="T125" i="13"/>
  <c r="T127" i="13"/>
  <c r="N128" i="13"/>
  <c r="T135" i="13"/>
  <c r="N136" i="13"/>
  <c r="N137" i="13"/>
  <c r="N138" i="13"/>
  <c r="N142" i="13"/>
  <c r="N146" i="13"/>
  <c r="T149" i="13"/>
  <c r="N150" i="13"/>
  <c r="AM150" i="13" a="1"/>
  <c r="AM150" i="13" s="1"/>
  <c r="T151" i="13"/>
  <c r="N152" i="13"/>
  <c r="N156" i="13"/>
  <c r="P160" i="13"/>
  <c r="S161" i="13"/>
  <c r="N161" i="13"/>
  <c r="AM161" i="13" a="1"/>
  <c r="AM161" i="13" s="1"/>
  <c r="O162" i="13"/>
  <c r="N163" i="13"/>
  <c r="O166" i="13"/>
  <c r="N167" i="13"/>
  <c r="T170" i="13"/>
  <c r="O170" i="13"/>
  <c r="N171" i="13"/>
  <c r="O174" i="13"/>
  <c r="N175" i="13"/>
  <c r="N179" i="13"/>
  <c r="N182" i="13"/>
  <c r="P184" i="13"/>
  <c r="R184" i="13"/>
  <c r="AU184" i="13" s="1"/>
  <c r="AR204" i="13"/>
  <c r="Q204" i="13"/>
  <c r="T76" i="13"/>
  <c r="T138" i="13"/>
  <c r="S147" i="13"/>
  <c r="T180" i="13"/>
  <c r="O182" i="13"/>
  <c r="O185" i="13"/>
  <c r="N185" i="13"/>
  <c r="AR239" i="13"/>
  <c r="Q239" i="13"/>
  <c r="O183" i="13"/>
  <c r="N184" i="13"/>
  <c r="O187" i="13"/>
  <c r="N188" i="13"/>
  <c r="O191" i="13"/>
  <c r="N192" i="13"/>
  <c r="R192" i="13"/>
  <c r="P195" i="13"/>
  <c r="O196" i="13"/>
  <c r="O198" i="13"/>
  <c r="N199" i="13"/>
  <c r="R199" i="13"/>
  <c r="N202" i="13"/>
  <c r="R202" i="13"/>
  <c r="P204" i="13"/>
  <c r="AM204" i="13" a="1"/>
  <c r="AM204" i="13" s="1"/>
  <c r="O205" i="13"/>
  <c r="O207" i="13"/>
  <c r="N208" i="13"/>
  <c r="R208" i="13"/>
  <c r="P210" i="13"/>
  <c r="AM210" i="13" a="1"/>
  <c r="AM210" i="13" s="1"/>
  <c r="AU211" i="13"/>
  <c r="O211" i="13"/>
  <c r="P212" i="13"/>
  <c r="O213" i="13"/>
  <c r="O214" i="13"/>
  <c r="N215" i="13"/>
  <c r="R215" i="13"/>
  <c r="AU215" i="13" s="1"/>
  <c r="O216" i="13"/>
  <c r="P218" i="13"/>
  <c r="AM218" i="13" a="1"/>
  <c r="AM218" i="13" s="1"/>
  <c r="O219" i="13"/>
  <c r="N220" i="13"/>
  <c r="R220" i="13"/>
  <c r="P222" i="13"/>
  <c r="P224" i="13"/>
  <c r="P226" i="13"/>
  <c r="AM226" i="13" a="1"/>
  <c r="AM226" i="13" s="1"/>
  <c r="O227" i="13"/>
  <c r="N228" i="13"/>
  <c r="R228" i="13"/>
  <c r="P230" i="13"/>
  <c r="AM230" i="13" a="1"/>
  <c r="AM230" i="13" s="1"/>
  <c r="P231" i="13"/>
  <c r="AM231" i="13" a="1"/>
  <c r="AM231" i="13" s="1"/>
  <c r="O232" i="13"/>
  <c r="N233" i="13"/>
  <c r="R233" i="13"/>
  <c r="P235" i="13"/>
  <c r="AM235" i="13" a="1"/>
  <c r="AM235" i="13" s="1"/>
  <c r="O236" i="13"/>
  <c r="N237" i="13"/>
  <c r="R237" i="13"/>
  <c r="P239" i="13"/>
  <c r="AM239" i="13" a="1"/>
  <c r="AM239" i="13" s="1"/>
  <c r="O240" i="13"/>
  <c r="N241" i="13"/>
  <c r="R241" i="13"/>
  <c r="N243" i="13"/>
  <c r="R243" i="13"/>
  <c r="N245" i="13"/>
  <c r="R245" i="13"/>
  <c r="O246" i="13"/>
  <c r="T247" i="13"/>
  <c r="P248" i="13"/>
  <c r="P250" i="13"/>
  <c r="AM250" i="13" a="1"/>
  <c r="AM250" i="13" s="1"/>
  <c r="O251" i="13"/>
  <c r="P254" i="13"/>
  <c r="AM254" i="13" a="1"/>
  <c r="AM254" i="13" s="1"/>
  <c r="O255" i="13"/>
  <c r="Q257" i="13"/>
  <c r="R261" i="13"/>
  <c r="N262" i="13"/>
  <c r="AM262" i="13" a="1"/>
  <c r="AM262" i="13" s="1"/>
  <c r="R263" i="13"/>
  <c r="P265" i="13"/>
  <c r="P267" i="13"/>
  <c r="O268" i="13"/>
  <c r="AR268" i="13"/>
  <c r="R269" i="13"/>
  <c r="P269" i="13"/>
  <c r="AR269" i="13"/>
  <c r="R270" i="13"/>
  <c r="P270" i="13"/>
  <c r="R271" i="13"/>
  <c r="P271" i="13"/>
  <c r="AM272" i="13" a="1"/>
  <c r="AM272" i="13" s="1"/>
  <c r="AM279" i="13" a="1"/>
  <c r="AM279" i="13" s="1"/>
  <c r="O279" i="13"/>
  <c r="N279" i="13"/>
  <c r="O184" i="13"/>
  <c r="O188" i="13"/>
  <c r="O192" i="13"/>
  <c r="N193" i="13"/>
  <c r="N194" i="13"/>
  <c r="O199" i="13"/>
  <c r="N200" i="13"/>
  <c r="N201" i="13"/>
  <c r="AM201" i="13" a="1"/>
  <c r="AM201" i="13" s="1"/>
  <c r="N203" i="13"/>
  <c r="T206" i="13"/>
  <c r="S209" i="13"/>
  <c r="N209" i="13"/>
  <c r="N221" i="13"/>
  <c r="N223" i="13"/>
  <c r="N225" i="13"/>
  <c r="N229" i="13"/>
  <c r="N234" i="13"/>
  <c r="N238" i="13"/>
  <c r="T241" i="13"/>
  <c r="N249" i="13"/>
  <c r="N253" i="13"/>
  <c r="P262" i="13"/>
  <c r="AM267" i="13" a="1"/>
  <c r="AM267" i="13" s="1"/>
  <c r="P268" i="13"/>
  <c r="O269" i="13"/>
  <c r="N272" i="13"/>
  <c r="O274" i="13"/>
  <c r="N274" i="13"/>
  <c r="AM274" i="13" a="1"/>
  <c r="AM274" i="13" s="1"/>
  <c r="AR275" i="13"/>
  <c r="Q275" i="13"/>
  <c r="O278" i="13"/>
  <c r="N278" i="13"/>
  <c r="AM278" i="13" a="1"/>
  <c r="AM278" i="13" s="1"/>
  <c r="AR285" i="13"/>
  <c r="Q285" i="13"/>
  <c r="AI285" i="13" s="1"/>
  <c r="AU185" i="13"/>
  <c r="O193" i="13"/>
  <c r="O194" i="13"/>
  <c r="P197" i="13"/>
  <c r="O200" i="13"/>
  <c r="O203" i="13"/>
  <c r="O209" i="13"/>
  <c r="T221" i="13"/>
  <c r="O221" i="13"/>
  <c r="S222" i="13"/>
  <c r="O223" i="13"/>
  <c r="T225" i="13"/>
  <c r="O225" i="13"/>
  <c r="O229" i="13"/>
  <c r="O234" i="13"/>
  <c r="O238" i="13"/>
  <c r="AU244" i="13"/>
  <c r="AU249" i="13"/>
  <c r="O249" i="13"/>
  <c r="O253" i="13"/>
  <c r="O257" i="13"/>
  <c r="AM257" i="13" a="1"/>
  <c r="AM257" i="13" s="1"/>
  <c r="AM266" i="13" a="1"/>
  <c r="AM266" i="13" s="1"/>
  <c r="AM268" i="13" a="1"/>
  <c r="AM268" i="13" s="1"/>
  <c r="AM269" i="13" a="1"/>
  <c r="AM269" i="13" s="1"/>
  <c r="Q271" i="13"/>
  <c r="P273" i="13"/>
  <c r="R273" i="13"/>
  <c r="P277" i="13"/>
  <c r="R277" i="13"/>
  <c r="O280" i="13"/>
  <c r="N280" i="13"/>
  <c r="AM280" i="13" a="1"/>
  <c r="AM280" i="13" s="1"/>
  <c r="AR281" i="13"/>
  <c r="Q281" i="13"/>
  <c r="AI281" i="13" s="1"/>
  <c r="O284" i="13"/>
  <c r="N284" i="13"/>
  <c r="AU204" i="13"/>
  <c r="R259" i="13"/>
  <c r="R264" i="13"/>
  <c r="P283" i="13"/>
  <c r="R283" i="13"/>
  <c r="AR288" i="13"/>
  <c r="Q288" i="13"/>
  <c r="AM271" i="13" a="1"/>
  <c r="AM271" i="13" s="1"/>
  <c r="P275" i="13"/>
  <c r="AM275" i="13" a="1"/>
  <c r="AM275" i="13" s="1"/>
  <c r="O276" i="13"/>
  <c r="P281" i="13"/>
  <c r="AM281" i="13" a="1"/>
  <c r="AM281" i="13" s="1"/>
  <c r="O282" i="13"/>
  <c r="AM285" i="13" a="1"/>
  <c r="AM285" i="13" s="1"/>
  <c r="AM288" i="13" a="1"/>
  <c r="AM288" i="13" s="1"/>
  <c r="R290" i="13"/>
  <c r="R291" i="13"/>
  <c r="AM296" i="13" a="1"/>
  <c r="AM296" i="13" s="1"/>
  <c r="AM300" i="13" a="1"/>
  <c r="AM300" i="13" s="1"/>
  <c r="AM306" i="13" a="1"/>
  <c r="AM306" i="13" s="1"/>
  <c r="AM310" i="13" a="1"/>
  <c r="AM310" i="13" s="1"/>
  <c r="AU311" i="13"/>
  <c r="AM314" i="13" a="1"/>
  <c r="AM314" i="13" s="1"/>
  <c r="AM318" i="13" a="1"/>
  <c r="AM318" i="13" s="1"/>
  <c r="R324" i="13"/>
  <c r="R328" i="13"/>
  <c r="AU328" i="13" s="1"/>
  <c r="R332" i="13"/>
  <c r="AU332" i="13" s="1"/>
  <c r="O339" i="13"/>
  <c r="N339" i="13"/>
  <c r="AM339" i="13" a="1"/>
  <c r="AM339" i="13" s="1"/>
  <c r="O349" i="13"/>
  <c r="N349" i="13"/>
  <c r="AM349" i="13" a="1"/>
  <c r="AM349" i="13" s="1"/>
  <c r="P360" i="13"/>
  <c r="R360" i="13"/>
  <c r="P368" i="13"/>
  <c r="R368" i="13"/>
  <c r="N400" i="13"/>
  <c r="AM400" i="13" a="1"/>
  <c r="AM400" i="13" s="1"/>
  <c r="O400" i="13"/>
  <c r="N414" i="13"/>
  <c r="AM414" i="13" a="1"/>
  <c r="AM414" i="13" s="1"/>
  <c r="O414" i="13"/>
  <c r="Q415" i="13"/>
  <c r="AR415" i="13"/>
  <c r="P508" i="13"/>
  <c r="R508" i="13"/>
  <c r="P536" i="13"/>
  <c r="R536" i="13"/>
  <c r="T283" i="13"/>
  <c r="T290" i="13"/>
  <c r="T291" i="13"/>
  <c r="R294" i="13"/>
  <c r="N295" i="13"/>
  <c r="R295" i="13"/>
  <c r="P297" i="13"/>
  <c r="O298" i="13"/>
  <c r="N299" i="13"/>
  <c r="R299" i="13"/>
  <c r="P301" i="13"/>
  <c r="P302" i="13"/>
  <c r="P303" i="13"/>
  <c r="O304" i="13"/>
  <c r="N305" i="13"/>
  <c r="R305" i="13"/>
  <c r="P307" i="13"/>
  <c r="O308" i="13"/>
  <c r="S309" i="13"/>
  <c r="N309" i="13"/>
  <c r="R309" i="13"/>
  <c r="P311" i="13"/>
  <c r="O312" i="13"/>
  <c r="N313" i="13"/>
  <c r="R313" i="13"/>
  <c r="P315" i="13"/>
  <c r="O316" i="13"/>
  <c r="S317" i="13"/>
  <c r="N317" i="13"/>
  <c r="R317" i="13"/>
  <c r="AU317" i="13" s="1"/>
  <c r="P319" i="13"/>
  <c r="O320" i="13"/>
  <c r="T321" i="13"/>
  <c r="O321" i="13"/>
  <c r="O323" i="13"/>
  <c r="N324" i="13"/>
  <c r="AM324" i="13" a="1"/>
  <c r="AM324" i="13" s="1"/>
  <c r="P325" i="13"/>
  <c r="R327" i="13"/>
  <c r="P329" i="13"/>
  <c r="Q330" i="13"/>
  <c r="N331" i="13"/>
  <c r="P333" i="13"/>
  <c r="Q334" i="13"/>
  <c r="O335" i="13"/>
  <c r="AM335" i="13" a="1"/>
  <c r="AM335" i="13" s="1"/>
  <c r="O345" i="13"/>
  <c r="N345" i="13"/>
  <c r="AM345" i="13" a="1"/>
  <c r="AM345" i="13" s="1"/>
  <c r="P356" i="13"/>
  <c r="R356" i="13"/>
  <c r="AU356" i="13" s="1"/>
  <c r="O359" i="13"/>
  <c r="AM359" i="13" a="1"/>
  <c r="AM359" i="13" s="1"/>
  <c r="N359" i="13"/>
  <c r="O361" i="13"/>
  <c r="N361" i="13"/>
  <c r="AM361" i="13" a="1"/>
  <c r="AM361" i="13" s="1"/>
  <c r="O369" i="13"/>
  <c r="N369" i="13"/>
  <c r="P376" i="13"/>
  <c r="R376" i="13"/>
  <c r="O383" i="13"/>
  <c r="AM383" i="13" a="1"/>
  <c r="AM383" i="13" s="1"/>
  <c r="N383" i="13"/>
  <c r="O385" i="13"/>
  <c r="AM385" i="13" a="1"/>
  <c r="AM385" i="13" s="1"/>
  <c r="N385" i="13"/>
  <c r="O389" i="13"/>
  <c r="AM389" i="13" a="1"/>
  <c r="AM389" i="13" s="1"/>
  <c r="N389" i="13"/>
  <c r="R390" i="13"/>
  <c r="P390" i="13"/>
  <c r="N396" i="13"/>
  <c r="AM396" i="13" a="1"/>
  <c r="AM396" i="13" s="1"/>
  <c r="O396" i="13"/>
  <c r="AM420" i="13" a="1"/>
  <c r="AM420" i="13" s="1"/>
  <c r="O420" i="13"/>
  <c r="N420" i="13"/>
  <c r="O437" i="13"/>
  <c r="N437" i="13"/>
  <c r="AM464" i="13" a="1"/>
  <c r="AM464" i="13" s="1"/>
  <c r="O464" i="13"/>
  <c r="N464" i="13"/>
  <c r="O469" i="13"/>
  <c r="N469" i="13"/>
  <c r="AM469" i="13" a="1"/>
  <c r="AM469" i="13" s="1"/>
  <c r="AM499" i="13" a="1"/>
  <c r="AM499" i="13" s="1"/>
  <c r="O499" i="13"/>
  <c r="N499" i="13"/>
  <c r="T260" i="13"/>
  <c r="T262" i="13"/>
  <c r="T278" i="13"/>
  <c r="T294" i="13"/>
  <c r="T295" i="13"/>
  <c r="N296" i="13"/>
  <c r="N300" i="13"/>
  <c r="N306" i="13"/>
  <c r="N310" i="13"/>
  <c r="N314" i="13"/>
  <c r="N318" i="13"/>
  <c r="Q325" i="13"/>
  <c r="N326" i="13"/>
  <c r="O331" i="13"/>
  <c r="P343" i="13"/>
  <c r="R343" i="13"/>
  <c r="P352" i="13"/>
  <c r="R352" i="13"/>
  <c r="O357" i="13"/>
  <c r="N357" i="13"/>
  <c r="AM357" i="13" a="1"/>
  <c r="AM357" i="13" s="1"/>
  <c r="P364" i="13"/>
  <c r="R364" i="13"/>
  <c r="AU364" i="13" s="1"/>
  <c r="P372" i="13"/>
  <c r="R372" i="13"/>
  <c r="AU372" i="13" s="1"/>
  <c r="AU374" i="13"/>
  <c r="O377" i="13"/>
  <c r="N377" i="13"/>
  <c r="AM377" i="13" a="1"/>
  <c r="AM377" i="13" s="1"/>
  <c r="Q384" i="13"/>
  <c r="AR384" i="13"/>
  <c r="R386" i="13"/>
  <c r="P386" i="13"/>
  <c r="N408" i="13"/>
  <c r="AM408" i="13" a="1"/>
  <c r="AM408" i="13" s="1"/>
  <c r="O408" i="13"/>
  <c r="AR454" i="13"/>
  <c r="Q454" i="13"/>
  <c r="O457" i="13"/>
  <c r="AM457" i="13" a="1"/>
  <c r="AM457" i="13" s="1"/>
  <c r="N457" i="13"/>
  <c r="O473" i="13"/>
  <c r="N473" i="13"/>
  <c r="AM473" i="13" a="1"/>
  <c r="AM473" i="13" s="1"/>
  <c r="O492" i="13"/>
  <c r="AM492" i="13" a="1"/>
  <c r="AM492" i="13" s="1"/>
  <c r="N492" i="13"/>
  <c r="P496" i="13"/>
  <c r="R496" i="13"/>
  <c r="R511" i="13"/>
  <c r="P511" i="13"/>
  <c r="P525" i="13"/>
  <c r="R525" i="13"/>
  <c r="O326" i="13"/>
  <c r="AR335" i="13"/>
  <c r="Q335" i="13"/>
  <c r="P338" i="13"/>
  <c r="R338" i="13"/>
  <c r="AM344" i="13" a="1"/>
  <c r="AM344" i="13" s="1"/>
  <c r="O344" i="13"/>
  <c r="N344" i="13"/>
  <c r="P348" i="13"/>
  <c r="R348" i="13"/>
  <c r="AU348" i="13" s="1"/>
  <c r="O353" i="13"/>
  <c r="N353" i="13"/>
  <c r="AM353" i="13" a="1"/>
  <c r="AM353" i="13" s="1"/>
  <c r="O365" i="13"/>
  <c r="N365" i="13"/>
  <c r="AM365" i="13" a="1"/>
  <c r="AM365" i="13" s="1"/>
  <c r="O373" i="13"/>
  <c r="N373" i="13"/>
  <c r="AM373" i="13" a="1"/>
  <c r="AM373" i="13" s="1"/>
  <c r="R380" i="13"/>
  <c r="P380" i="13"/>
  <c r="Q391" i="13"/>
  <c r="AR391" i="13"/>
  <c r="N404" i="13"/>
  <c r="AM404" i="13" a="1"/>
  <c r="AM404" i="13" s="1"/>
  <c r="O404" i="13"/>
  <c r="N438" i="13"/>
  <c r="AM438" i="13" a="1"/>
  <c r="AM438" i="13" s="1"/>
  <c r="O438" i="13"/>
  <c r="AM445" i="13" a="1"/>
  <c r="AM445" i="13" s="1"/>
  <c r="O445" i="13"/>
  <c r="N445" i="13"/>
  <c r="AM450" i="13" a="1"/>
  <c r="AM450" i="13" s="1"/>
  <c r="O450" i="13"/>
  <c r="N450" i="13"/>
  <c r="R551" i="13"/>
  <c r="AU329" i="13"/>
  <c r="T333" i="13"/>
  <c r="O337" i="13"/>
  <c r="N338" i="13"/>
  <c r="T342" i="13"/>
  <c r="O342" i="13"/>
  <c r="N343" i="13"/>
  <c r="T347" i="13"/>
  <c r="O347" i="13"/>
  <c r="S348" i="13"/>
  <c r="N348" i="13"/>
  <c r="O351" i="13"/>
  <c r="N352" i="13"/>
  <c r="O355" i="13"/>
  <c r="S356" i="13"/>
  <c r="N356" i="13"/>
  <c r="N360" i="13"/>
  <c r="P362" i="13"/>
  <c r="O363" i="13"/>
  <c r="N364" i="13"/>
  <c r="P366" i="13"/>
  <c r="O367" i="13"/>
  <c r="N368" i="13"/>
  <c r="P370" i="13"/>
  <c r="O371" i="13"/>
  <c r="N372" i="13"/>
  <c r="P374" i="13"/>
  <c r="T375" i="13"/>
  <c r="O375" i="13"/>
  <c r="N376" i="13"/>
  <c r="P378" i="13"/>
  <c r="O379" i="13"/>
  <c r="O380" i="13"/>
  <c r="AM380" i="13" a="1"/>
  <c r="AM380" i="13" s="1"/>
  <c r="P384" i="13"/>
  <c r="O386" i="13"/>
  <c r="AM386" i="13" a="1"/>
  <c r="AM386" i="13" s="1"/>
  <c r="R389" i="13"/>
  <c r="AU389" i="13" s="1"/>
  <c r="AM390" i="13" a="1"/>
  <c r="AM390" i="13" s="1"/>
  <c r="R417" i="13"/>
  <c r="R421" i="13"/>
  <c r="O426" i="13"/>
  <c r="AM426" i="13" a="1"/>
  <c r="AM426" i="13" s="1"/>
  <c r="N426" i="13"/>
  <c r="R429" i="13"/>
  <c r="AU429" i="13" s="1"/>
  <c r="P442" i="13"/>
  <c r="P446" i="13"/>
  <c r="R446" i="13"/>
  <c r="AM451" i="13" a="1"/>
  <c r="AM451" i="13" s="1"/>
  <c r="O451" i="13"/>
  <c r="N451" i="13"/>
  <c r="P459" i="13"/>
  <c r="R459" i="13"/>
  <c r="P465" i="13"/>
  <c r="R465" i="13"/>
  <c r="P467" i="13"/>
  <c r="R467" i="13"/>
  <c r="P483" i="13"/>
  <c r="AR498" i="13"/>
  <c r="Q498" i="13"/>
  <c r="AM559" i="13" a="1"/>
  <c r="AM559" i="13" s="1"/>
  <c r="O559" i="13"/>
  <c r="N559" i="13"/>
  <c r="O338" i="13"/>
  <c r="T343" i="13"/>
  <c r="O343" i="13"/>
  <c r="O348" i="13"/>
  <c r="O352" i="13"/>
  <c r="O356" i="13"/>
  <c r="T360" i="13"/>
  <c r="O360" i="13"/>
  <c r="S361" i="13"/>
  <c r="O364" i="13"/>
  <c r="O368" i="13"/>
  <c r="S369" i="13"/>
  <c r="O372" i="13"/>
  <c r="O376" i="13"/>
  <c r="S377" i="13"/>
  <c r="T380" i="13"/>
  <c r="R382" i="13"/>
  <c r="S383" i="13"/>
  <c r="AM384" i="13" a="1"/>
  <c r="AM384" i="13" s="1"/>
  <c r="O384" i="13"/>
  <c r="R388" i="13"/>
  <c r="AU388" i="13" s="1"/>
  <c r="AR412" i="13"/>
  <c r="O430" i="13"/>
  <c r="N430" i="13"/>
  <c r="AM430" i="13" a="1"/>
  <c r="AM430" i="13" s="1"/>
  <c r="AR431" i="13"/>
  <c r="Q431" i="13"/>
  <c r="P437" i="13"/>
  <c r="AM452" i="13" a="1"/>
  <c r="AM452" i="13" s="1"/>
  <c r="O452" i="13"/>
  <c r="N452" i="13"/>
  <c r="AR456" i="13"/>
  <c r="Q456" i="13"/>
  <c r="P458" i="13"/>
  <c r="R458" i="13"/>
  <c r="AR463" i="13"/>
  <c r="Q463" i="13"/>
  <c r="AM474" i="13" a="1"/>
  <c r="AM474" i="13" s="1"/>
  <c r="O474" i="13"/>
  <c r="N474" i="13"/>
  <c r="P481" i="13"/>
  <c r="R481" i="13"/>
  <c r="AU481" i="13" s="1"/>
  <c r="P491" i="13"/>
  <c r="R491" i="13"/>
  <c r="AR494" i="13"/>
  <c r="Q494" i="13"/>
  <c r="N528" i="13"/>
  <c r="AM528" i="13" a="1"/>
  <c r="AM528" i="13" s="1"/>
  <c r="O528" i="13"/>
  <c r="Q380" i="13"/>
  <c r="Q386" i="13"/>
  <c r="R394" i="13"/>
  <c r="AU394" i="13" s="1"/>
  <c r="N395" i="13"/>
  <c r="AM395" i="13" a="1"/>
  <c r="AM395" i="13" s="1"/>
  <c r="P396" i="13"/>
  <c r="R398" i="13"/>
  <c r="S399" i="13"/>
  <c r="N399" i="13"/>
  <c r="AM399" i="13" a="1"/>
  <c r="AM399" i="13" s="1"/>
  <c r="AU400" i="13"/>
  <c r="P400" i="13"/>
  <c r="R402" i="13"/>
  <c r="S403" i="13"/>
  <c r="N403" i="13"/>
  <c r="AM403" i="13" a="1"/>
  <c r="AM403" i="13" s="1"/>
  <c r="P404" i="13"/>
  <c r="R406" i="13"/>
  <c r="AU406" i="13" s="1"/>
  <c r="N407" i="13"/>
  <c r="AM407" i="13" a="1"/>
  <c r="AM407" i="13" s="1"/>
  <c r="AU408" i="13"/>
  <c r="P408" i="13"/>
  <c r="R410" i="13"/>
  <c r="AU410" i="13" s="1"/>
  <c r="N411" i="13"/>
  <c r="AM411" i="13" a="1"/>
  <c r="AM411" i="13" s="1"/>
  <c r="AM412" i="13" a="1"/>
  <c r="AM412" i="13" s="1"/>
  <c r="O412" i="13"/>
  <c r="P414" i="13"/>
  <c r="R416" i="13"/>
  <c r="T417" i="13"/>
  <c r="T421" i="13"/>
  <c r="P426" i="13"/>
  <c r="AM431" i="13" a="1"/>
  <c r="AM431" i="13" s="1"/>
  <c r="AM434" i="13" a="1"/>
  <c r="AM434" i="13" s="1"/>
  <c r="R436" i="13"/>
  <c r="R442" i="13"/>
  <c r="P444" i="13"/>
  <c r="R444" i="13"/>
  <c r="P460" i="13"/>
  <c r="R460" i="13"/>
  <c r="AU460" i="13" s="1"/>
  <c r="O462" i="13"/>
  <c r="N462" i="13"/>
  <c r="P466" i="13"/>
  <c r="R466" i="13"/>
  <c r="R483" i="13"/>
  <c r="AU483" i="13" s="1"/>
  <c r="R501" i="13"/>
  <c r="R512" i="13"/>
  <c r="R546" i="13"/>
  <c r="P546" i="13"/>
  <c r="P555" i="13"/>
  <c r="R555" i="13"/>
  <c r="N561" i="13"/>
  <c r="AM561" i="13" a="1"/>
  <c r="AM561" i="13" s="1"/>
  <c r="O561" i="13"/>
  <c r="R570" i="13"/>
  <c r="P570" i="13"/>
  <c r="AU447" i="13"/>
  <c r="Q489" i="13"/>
  <c r="R507" i="13"/>
  <c r="AM509" i="13" a="1"/>
  <c r="AM509" i="13" s="1"/>
  <c r="O509" i="13"/>
  <c r="AR694" i="13"/>
  <c r="Q694" i="13"/>
  <c r="AM524" i="13" a="1"/>
  <c r="AM524" i="13" s="1"/>
  <c r="O524" i="13"/>
  <c r="N524" i="13"/>
  <c r="R688" i="13"/>
  <c r="AM530" i="13" a="1"/>
  <c r="AM530" i="13" s="1"/>
  <c r="O530" i="13"/>
  <c r="N530" i="13"/>
  <c r="R532" i="13"/>
  <c r="AM538" i="13" a="1"/>
  <c r="AM538" i="13" s="1"/>
  <c r="O538" i="13"/>
  <c r="N538" i="13"/>
  <c r="Q555" i="13"/>
  <c r="AR555" i="13"/>
  <c r="AM569" i="13"/>
  <c r="O569" i="13"/>
  <c r="N569" i="13"/>
  <c r="O571" i="13"/>
  <c r="N571" i="13"/>
  <c r="T436" i="13"/>
  <c r="T466" i="13"/>
  <c r="T467" i="13"/>
  <c r="AM490" i="13" a="1"/>
  <c r="AM490" i="13" s="1"/>
  <c r="R497" i="13"/>
  <c r="R506" i="13"/>
  <c r="AM513" i="13" a="1"/>
  <c r="AM513" i="13" s="1"/>
  <c r="AM516" i="13" a="1"/>
  <c r="AM516" i="13" s="1"/>
  <c r="AM694" i="13" a="1"/>
  <c r="AM694" i="13" s="1"/>
  <c r="AM523" i="13" a="1"/>
  <c r="AM523" i="13" s="1"/>
  <c r="O523" i="13"/>
  <c r="N523" i="13"/>
  <c r="AM529" i="13" a="1"/>
  <c r="AM529" i="13" s="1"/>
  <c r="O529" i="13"/>
  <c r="N529" i="13"/>
  <c r="AM537" i="13" a="1"/>
  <c r="AM537" i="13" s="1"/>
  <c r="O537" i="13"/>
  <c r="N537" i="13"/>
  <c r="R545" i="13"/>
  <c r="O547" i="13"/>
  <c r="N547" i="13"/>
  <c r="AM547" i="13" a="1"/>
  <c r="AM547" i="13" s="1"/>
  <c r="R554" i="13"/>
  <c r="AM556" i="13" a="1"/>
  <c r="AM556" i="13" s="1"/>
  <c r="O556" i="13"/>
  <c r="N556" i="13"/>
  <c r="O560" i="13"/>
  <c r="N560" i="13"/>
  <c r="R563" i="13"/>
  <c r="R569" i="13"/>
  <c r="P569" i="13"/>
  <c r="R571" i="13"/>
  <c r="P571" i="13"/>
  <c r="S400" i="13"/>
  <c r="AU430" i="13"/>
  <c r="N449" i="13"/>
  <c r="N461" i="13"/>
  <c r="T474" i="13"/>
  <c r="AU475" i="13"/>
  <c r="O489" i="13"/>
  <c r="AM489" i="13" a="1"/>
  <c r="AM489" i="13" s="1"/>
  <c r="N490" i="13"/>
  <c r="R494" i="13"/>
  <c r="N509" i="13"/>
  <c r="AM511" i="13" a="1"/>
  <c r="AM511" i="13" s="1"/>
  <c r="N513" i="13"/>
  <c r="N515" i="13"/>
  <c r="N516" i="13"/>
  <c r="O694" i="13"/>
  <c r="AM521" i="13" a="1"/>
  <c r="AM521" i="13" s="1"/>
  <c r="P524" i="13"/>
  <c r="P530" i="13"/>
  <c r="P538" i="13"/>
  <c r="R544" i="13"/>
  <c r="AM546" i="13" a="1"/>
  <c r="AM546" i="13" s="1"/>
  <c r="O546" i="13"/>
  <c r="N546" i="13"/>
  <c r="AM548" i="13" a="1"/>
  <c r="AM548" i="13" s="1"/>
  <c r="P557" i="13"/>
  <c r="R560" i="13"/>
  <c r="P560" i="13"/>
  <c r="AM568" i="13"/>
  <c r="N568" i="13"/>
  <c r="O568" i="13"/>
  <c r="AM570" i="13"/>
  <c r="O570" i="13"/>
  <c r="N570" i="13"/>
  <c r="O572" i="13"/>
  <c r="N572" i="13"/>
  <c r="T545" i="13"/>
  <c r="R550" i="13"/>
  <c r="R553" i="13"/>
  <c r="AM558" i="13" a="1"/>
  <c r="AM558" i="13" s="1"/>
  <c r="O558" i="13"/>
  <c r="N558" i="13"/>
  <c r="AM562" i="13" a="1"/>
  <c r="AM562" i="13" s="1"/>
  <c r="O562" i="13"/>
  <c r="N562" i="13"/>
  <c r="O564" i="13"/>
  <c r="AM564" i="13"/>
  <c r="N564" i="13"/>
  <c r="R565" i="13"/>
  <c r="AM578" i="13"/>
  <c r="O578" i="13"/>
  <c r="N578" i="13"/>
  <c r="AM579" i="13"/>
  <c r="O579" i="13"/>
  <c r="N579" i="13"/>
  <c r="T412" i="13"/>
  <c r="S521" i="13"/>
  <c r="R552" i="13"/>
  <c r="AU552" i="13" s="1"/>
  <c r="AM555" i="13" a="1"/>
  <c r="AM555" i="13" s="1"/>
  <c r="O555" i="13"/>
  <c r="AM557" i="13" a="1"/>
  <c r="AM557" i="13" s="1"/>
  <c r="O557" i="13"/>
  <c r="N557" i="13"/>
  <c r="P559" i="13"/>
  <c r="AU561" i="13"/>
  <c r="R574" i="13"/>
  <c r="AM577" i="13"/>
  <c r="N577" i="13"/>
  <c r="S137" i="13"/>
  <c r="T503" i="13"/>
  <c r="T574" i="13"/>
  <c r="T461" i="13"/>
  <c r="T558" i="13"/>
  <c r="T562" i="13"/>
  <c r="T571" i="13"/>
  <c r="M550" i="6"/>
  <c r="X132" i="13"/>
  <c r="E73" i="13"/>
  <c r="S73" i="13" s="1"/>
  <c r="E88" i="13"/>
  <c r="E90" i="13"/>
  <c r="V125" i="13"/>
  <c r="Z125" i="13" s="1"/>
  <c r="E246" i="13"/>
  <c r="S246" i="13" s="1"/>
  <c r="E267" i="13"/>
  <c r="S267" i="13" s="1"/>
  <c r="E473" i="13"/>
  <c r="S473" i="13" s="1"/>
  <c r="F504" i="13"/>
  <c r="T504" i="13" s="1"/>
  <c r="E519" i="13"/>
  <c r="H519" i="13" s="1"/>
  <c r="V522" i="13"/>
  <c r="F523" i="13"/>
  <c r="T523" i="13" s="1"/>
  <c r="V527" i="13"/>
  <c r="Z527" i="13" s="1"/>
  <c r="V530" i="13"/>
  <c r="Z530" i="13" s="1"/>
  <c r="E575" i="13"/>
  <c r="S575" i="13" s="1"/>
  <c r="W276" i="6"/>
  <c r="O242" i="6"/>
  <c r="R242" i="6" s="1"/>
  <c r="O412" i="6"/>
  <c r="R412" i="6" s="1"/>
  <c r="O318" i="6"/>
  <c r="O286" i="6"/>
  <c r="V440" i="6"/>
  <c r="W465" i="6"/>
  <c r="O543" i="6"/>
  <c r="M549" i="6"/>
  <c r="F73" i="13"/>
  <c r="T73" i="13" s="1"/>
  <c r="E116" i="13"/>
  <c r="S116" i="13" s="1"/>
  <c r="E212" i="13"/>
  <c r="F263" i="13"/>
  <c r="T263" i="13" s="1"/>
  <c r="V290" i="13"/>
  <c r="Z290" i="13" s="1"/>
  <c r="E465" i="13"/>
  <c r="S465" i="13" s="1"/>
  <c r="V511" i="13"/>
  <c r="Z511" i="13" s="1"/>
  <c r="E513" i="13"/>
  <c r="S513" i="13" s="1"/>
  <c r="V517" i="13"/>
  <c r="Z517" i="13" s="1"/>
  <c r="V524" i="13"/>
  <c r="Z524" i="13" s="1"/>
  <c r="O225" i="6"/>
  <c r="R225" i="6" s="1"/>
  <c r="M40" i="6"/>
  <c r="E97" i="13"/>
  <c r="V501" i="13"/>
  <c r="Z501" i="13" s="1"/>
  <c r="O376" i="6"/>
  <c r="R376" i="6" s="1"/>
  <c r="O188" i="6"/>
  <c r="X497" i="13"/>
  <c r="E526" i="13"/>
  <c r="S526" i="13" s="1"/>
  <c r="O475" i="6"/>
  <c r="M523" i="6"/>
  <c r="V51" i="13"/>
  <c r="Z51" i="13" s="1"/>
  <c r="V65" i="13"/>
  <c r="Z65" i="13" s="1"/>
  <c r="E84" i="13"/>
  <c r="S84" i="13" s="1"/>
  <c r="F212" i="13"/>
  <c r="T212" i="13" s="1"/>
  <c r="E216" i="13"/>
  <c r="S216" i="13" s="1"/>
  <c r="V270" i="13"/>
  <c r="Z270" i="13" s="1"/>
  <c r="E302" i="13"/>
  <c r="S302" i="13" s="1"/>
  <c r="E445" i="13"/>
  <c r="H445" i="13" s="1"/>
  <c r="V460" i="13"/>
  <c r="Z460" i="13" s="1"/>
  <c r="E461" i="13"/>
  <c r="H461" i="13" s="1"/>
  <c r="V463" i="13"/>
  <c r="Z463" i="13" s="1"/>
  <c r="F490" i="13"/>
  <c r="T490" i="13" s="1"/>
  <c r="E494" i="13"/>
  <c r="H494" i="13" s="1"/>
  <c r="E497" i="13"/>
  <c r="S497" i="13" s="1"/>
  <c r="V514" i="13"/>
  <c r="Z514" i="13" s="1"/>
  <c r="E515" i="13"/>
  <c r="H515" i="13" s="1"/>
  <c r="E516" i="13"/>
  <c r="S516" i="13" s="1"/>
  <c r="V538" i="13"/>
  <c r="Z538" i="13" s="1"/>
  <c r="M37" i="6"/>
  <c r="W252" i="6"/>
  <c r="O483" i="6"/>
  <c r="E59" i="13"/>
  <c r="V59" i="13"/>
  <c r="M522" i="6"/>
  <c r="Z420" i="13"/>
  <c r="M548" i="6"/>
  <c r="Z412" i="13"/>
  <c r="O73" i="6"/>
  <c r="R73" i="6" s="1"/>
  <c r="M22" i="6"/>
  <c r="M23" i="6"/>
  <c r="O74" i="6"/>
  <c r="R74" i="6" s="1"/>
  <c r="V93" i="13"/>
  <c r="O142" i="6"/>
  <c r="E500" i="13"/>
  <c r="H500" i="13" s="1"/>
  <c r="V95" i="13"/>
  <c r="X457" i="13"/>
  <c r="V464" i="13"/>
  <c r="Z464" i="13" s="1"/>
  <c r="O290" i="6"/>
  <c r="O359" i="6"/>
  <c r="X494" i="13"/>
  <c r="O541" i="6"/>
  <c r="H154" i="13"/>
  <c r="V452" i="13"/>
  <c r="Z452" i="13" s="1"/>
  <c r="O274" i="6"/>
  <c r="R274" i="6" s="1"/>
  <c r="O311" i="6"/>
  <c r="O302" i="6"/>
  <c r="V14" i="13"/>
  <c r="Z14" i="13" s="1"/>
  <c r="V294" i="13"/>
  <c r="Z294" i="13" s="1"/>
  <c r="V448" i="13"/>
  <c r="Z448" i="13" s="1"/>
  <c r="M12" i="6"/>
  <c r="R12" i="6" s="1"/>
  <c r="O23" i="6"/>
  <c r="W80" i="6"/>
  <c r="M127" i="6"/>
  <c r="O162" i="6"/>
  <c r="R162" i="6" s="1"/>
  <c r="O172" i="6"/>
  <c r="R172" i="6" s="1"/>
  <c r="O259" i="6"/>
  <c r="O333" i="6"/>
  <c r="X279" i="13"/>
  <c r="Z279" i="13" s="1"/>
  <c r="O387" i="6"/>
  <c r="M399" i="6"/>
  <c r="V201" i="13"/>
  <c r="V70" i="13"/>
  <c r="Z70" i="13" s="1"/>
  <c r="O488" i="6"/>
  <c r="X201" i="13"/>
  <c r="O545" i="6"/>
  <c r="R545" i="6" s="1"/>
  <c r="O348" i="6"/>
  <c r="O72" i="6"/>
  <c r="E3" i="13"/>
  <c r="S3" i="13" s="1"/>
  <c r="V32" i="13"/>
  <c r="Z32" i="13" s="1"/>
  <c r="E83" i="13"/>
  <c r="S83" i="13" s="1"/>
  <c r="E91" i="13"/>
  <c r="S91" i="13" s="1"/>
  <c r="E93" i="13"/>
  <c r="H124" i="13"/>
  <c r="E125" i="13"/>
  <c r="H125" i="13" s="1"/>
  <c r="E160" i="13"/>
  <c r="F216" i="13"/>
  <c r="T216" i="13" s="1"/>
  <c r="V222" i="13"/>
  <c r="Z222" i="13" s="1"/>
  <c r="E223" i="13"/>
  <c r="E256" i="13"/>
  <c r="S256" i="13" s="1"/>
  <c r="V269" i="13"/>
  <c r="Z269" i="13" s="1"/>
  <c r="H280" i="13"/>
  <c r="H341" i="13"/>
  <c r="F413" i="13"/>
  <c r="T413" i="13" s="1"/>
  <c r="V424" i="13"/>
  <c r="F445" i="13"/>
  <c r="T445" i="13" s="1"/>
  <c r="F446" i="13"/>
  <c r="T446" i="13" s="1"/>
  <c r="E449" i="13"/>
  <c r="S449" i="13" s="1"/>
  <c r="E464" i="13"/>
  <c r="H464" i="13" s="1"/>
  <c r="E476" i="13"/>
  <c r="H476" i="13" s="1"/>
  <c r="F494" i="13"/>
  <c r="T494" i="13" s="1"/>
  <c r="F516" i="13"/>
  <c r="T516" i="13" s="1"/>
  <c r="F518" i="13"/>
  <c r="T518" i="13" s="1"/>
  <c r="V550" i="13"/>
  <c r="Z550" i="13" s="1"/>
  <c r="V561" i="13"/>
  <c r="Z561" i="13" s="1"/>
  <c r="E562" i="13"/>
  <c r="S562" i="13" s="1"/>
  <c r="W3" i="6"/>
  <c r="O214" i="6"/>
  <c r="O36" i="6"/>
  <c r="V456" i="13"/>
  <c r="Z456" i="13" s="1"/>
  <c r="M60" i="6"/>
  <c r="O62" i="6"/>
  <c r="R62" i="6" s="1"/>
  <c r="M64" i="6"/>
  <c r="O64" i="6"/>
  <c r="M99" i="6"/>
  <c r="R99" i="6" s="1"/>
  <c r="W133" i="6"/>
  <c r="M140" i="6"/>
  <c r="O481" i="6"/>
  <c r="R481" i="6" s="1"/>
  <c r="O224" i="6"/>
  <c r="M253" i="6"/>
  <c r="O294" i="6"/>
  <c r="O372" i="6"/>
  <c r="W384" i="6"/>
  <c r="W429" i="6"/>
  <c r="M484" i="6"/>
  <c r="O484" i="6"/>
  <c r="O245" i="6"/>
  <c r="O211" i="6"/>
  <c r="O529" i="6"/>
  <c r="M529" i="6"/>
  <c r="F3" i="13"/>
  <c r="T3" i="13" s="1"/>
  <c r="E18" i="13"/>
  <c r="G18" i="13" s="1"/>
  <c r="E22" i="13"/>
  <c r="H22" i="13" s="1"/>
  <c r="E53" i="13"/>
  <c r="F91" i="13"/>
  <c r="T91" i="13" s="1"/>
  <c r="E94" i="13"/>
  <c r="H94" i="13" s="1"/>
  <c r="G122" i="13"/>
  <c r="J122" i="13" s="1"/>
  <c r="E194" i="13"/>
  <c r="S194" i="13" s="1"/>
  <c r="E263" i="13"/>
  <c r="H263" i="13" s="1"/>
  <c r="Z274" i="13"/>
  <c r="E359" i="13"/>
  <c r="H359" i="13" s="1"/>
  <c r="E384" i="13"/>
  <c r="F457" i="13"/>
  <c r="T457" i="13" s="1"/>
  <c r="E474" i="13"/>
  <c r="S474" i="13" s="1"/>
  <c r="T478" i="13"/>
  <c r="E512" i="13"/>
  <c r="S512" i="13" s="1"/>
  <c r="E525" i="13"/>
  <c r="E537" i="13"/>
  <c r="H537" i="13" s="1"/>
  <c r="E552" i="13"/>
  <c r="S552" i="13" s="1"/>
  <c r="V557" i="13"/>
  <c r="Z557" i="13" s="1"/>
  <c r="E563" i="13"/>
  <c r="O388" i="6"/>
  <c r="R388" i="6" s="1"/>
  <c r="O7" i="6"/>
  <c r="R7" i="6" s="1"/>
  <c r="M45" i="6"/>
  <c r="M55" i="6"/>
  <c r="O366" i="6"/>
  <c r="V359" i="13"/>
  <c r="O284" i="6"/>
  <c r="O503" i="6"/>
  <c r="V503" i="6"/>
  <c r="O516" i="6"/>
  <c r="M516" i="6"/>
  <c r="M540" i="6"/>
  <c r="E19" i="13"/>
  <c r="H19" i="13" s="1"/>
  <c r="V45" i="13"/>
  <c r="Z45" i="13" s="1"/>
  <c r="E46" i="13"/>
  <c r="H46" i="13" s="1"/>
  <c r="E95" i="13"/>
  <c r="F96" i="13"/>
  <c r="E127" i="13"/>
  <c r="H127" i="13" s="1"/>
  <c r="E138" i="13"/>
  <c r="S138" i="13" s="1"/>
  <c r="E201" i="13"/>
  <c r="E231" i="13"/>
  <c r="H231" i="13" s="1"/>
  <c r="F246" i="13"/>
  <c r="T246" i="13" s="1"/>
  <c r="F279" i="13"/>
  <c r="T279" i="13" s="1"/>
  <c r="E287" i="13"/>
  <c r="H287" i="13" s="1"/>
  <c r="F359" i="13"/>
  <c r="T359" i="13" s="1"/>
  <c r="E424" i="13"/>
  <c r="H424" i="13" s="1"/>
  <c r="V459" i="13"/>
  <c r="Z459" i="13" s="1"/>
  <c r="E468" i="13"/>
  <c r="S468" i="13" s="1"/>
  <c r="F479" i="13"/>
  <c r="T479" i="13" s="1"/>
  <c r="E490" i="13"/>
  <c r="S490" i="13" s="1"/>
  <c r="E505" i="13"/>
  <c r="S505" i="13" s="1"/>
  <c r="E528" i="13"/>
  <c r="H528" i="13" s="1"/>
  <c r="E529" i="13"/>
  <c r="H529" i="13" s="1"/>
  <c r="E532" i="13"/>
  <c r="E533" i="13"/>
  <c r="H533" i="13" s="1"/>
  <c r="E549" i="13"/>
  <c r="H549" i="13" s="1"/>
  <c r="M20" i="6"/>
  <c r="O442" i="6"/>
  <c r="R442" i="6" s="1"/>
  <c r="M25" i="6"/>
  <c r="M42" i="6"/>
  <c r="R42" i="6" s="1"/>
  <c r="O305" i="6"/>
  <c r="M166" i="6"/>
  <c r="M280" i="6"/>
  <c r="M285" i="6"/>
  <c r="M308" i="6"/>
  <c r="M310" i="6"/>
  <c r="M372" i="6"/>
  <c r="M406" i="6"/>
  <c r="M415" i="6"/>
  <c r="O415" i="6"/>
  <c r="M466" i="6"/>
  <c r="R466" i="6" s="1"/>
  <c r="M472" i="6"/>
  <c r="O472" i="6"/>
  <c r="M490" i="6"/>
  <c r="M524" i="6"/>
  <c r="O524" i="6"/>
  <c r="O508" i="6"/>
  <c r="O190" i="6"/>
  <c r="R190" i="6" s="1"/>
  <c r="X449" i="13"/>
  <c r="O380" i="6"/>
  <c r="V445" i="13"/>
  <c r="Z445" i="13" s="1"/>
  <c r="M532" i="6"/>
  <c r="O546" i="6"/>
  <c r="I9" i="13"/>
  <c r="K570" i="13"/>
  <c r="M547" i="6"/>
  <c r="G152" i="13"/>
  <c r="AQ152" i="13" s="1"/>
  <c r="Z239" i="13"/>
  <c r="Z343" i="13"/>
  <c r="I409" i="13"/>
  <c r="T409" i="13"/>
  <c r="H38" i="13"/>
  <c r="Z142" i="13"/>
  <c r="Z259" i="13"/>
  <c r="I343" i="13"/>
  <c r="AL485" i="13" a="1"/>
  <c r="AL485" i="13" s="1"/>
  <c r="T341" i="13"/>
  <c r="H54" i="13"/>
  <c r="H68" i="13"/>
  <c r="Z110" i="13"/>
  <c r="V150" i="13"/>
  <c r="Z150" i="13" s="1"/>
  <c r="I189" i="13"/>
  <c r="T189" i="13"/>
  <c r="K251" i="13"/>
  <c r="T251" i="13"/>
  <c r="Z339" i="13"/>
  <c r="Z341" i="13"/>
  <c r="S360" i="13"/>
  <c r="I414" i="13"/>
  <c r="T414" i="13"/>
  <c r="G110" i="13"/>
  <c r="J110" i="13" s="1"/>
  <c r="Z118" i="13"/>
  <c r="G202" i="13"/>
  <c r="AQ202" i="13" s="1"/>
  <c r="K24" i="13"/>
  <c r="T24" i="13"/>
  <c r="G80" i="13"/>
  <c r="J80" i="13" s="1"/>
  <c r="K101" i="13"/>
  <c r="S101" i="13"/>
  <c r="I129" i="13"/>
  <c r="Z133" i="13"/>
  <c r="G140" i="13"/>
  <c r="AQ140" i="13" s="1"/>
  <c r="I163" i="13"/>
  <c r="T163" i="13"/>
  <c r="Z174" i="13"/>
  <c r="G177" i="13"/>
  <c r="AQ177" i="13" s="1"/>
  <c r="Z193" i="13"/>
  <c r="I238" i="13"/>
  <c r="I241" i="13"/>
  <c r="K265" i="13"/>
  <c r="AU265" i="13" s="1"/>
  <c r="Z283" i="13"/>
  <c r="Z325" i="13"/>
  <c r="T353" i="13"/>
  <c r="I387" i="13"/>
  <c r="T387" i="13"/>
  <c r="I389" i="13"/>
  <c r="T389" i="13"/>
  <c r="H405" i="13"/>
  <c r="H428" i="13"/>
  <c r="Z455" i="13"/>
  <c r="G472" i="13"/>
  <c r="AQ472" i="13" s="1"/>
  <c r="H498" i="13"/>
  <c r="Z549" i="13"/>
  <c r="Z578" i="13"/>
  <c r="W502" i="6"/>
  <c r="K69" i="13"/>
  <c r="Z69" i="13"/>
  <c r="G72" i="13"/>
  <c r="J72" i="13" s="1"/>
  <c r="I112" i="13"/>
  <c r="I185" i="13"/>
  <c r="T185" i="13"/>
  <c r="K187" i="13"/>
  <c r="H251" i="13"/>
  <c r="I310" i="13"/>
  <c r="H352" i="13"/>
  <c r="S352" i="13"/>
  <c r="K370" i="13"/>
  <c r="AU370" i="13" s="1"/>
  <c r="T370" i="13"/>
  <c r="Z381" i="13"/>
  <c r="Z409" i="13"/>
  <c r="Z473" i="13"/>
  <c r="G477" i="13"/>
  <c r="J477" i="13" s="1"/>
  <c r="J485" i="13"/>
  <c r="G499" i="13"/>
  <c r="AQ499" i="13" s="1"/>
  <c r="T563" i="13"/>
  <c r="Z569" i="13"/>
  <c r="K20" i="13"/>
  <c r="AU20" i="13" s="1"/>
  <c r="H23" i="13"/>
  <c r="S23" i="13"/>
  <c r="H48" i="13"/>
  <c r="H122" i="13"/>
  <c r="I140" i="13"/>
  <c r="T140" i="13"/>
  <c r="S159" i="13"/>
  <c r="H166" i="13"/>
  <c r="H169" i="13"/>
  <c r="H172" i="13"/>
  <c r="S172" i="13"/>
  <c r="Z175" i="13"/>
  <c r="Z178" i="13"/>
  <c r="H200" i="13"/>
  <c r="S200" i="13"/>
  <c r="G247" i="13"/>
  <c r="AQ247" i="13" s="1"/>
  <c r="G305" i="13"/>
  <c r="J305" i="13" s="1"/>
  <c r="I332" i="13"/>
  <c r="T332" i="13"/>
  <c r="K358" i="13"/>
  <c r="H58" i="13"/>
  <c r="Z157" i="13"/>
  <c r="Z196" i="13"/>
  <c r="G215" i="13"/>
  <c r="AQ215" i="13" s="1"/>
  <c r="H230" i="13"/>
  <c r="Z286" i="13"/>
  <c r="Z317" i="13"/>
  <c r="G330" i="13"/>
  <c r="AQ330" i="13" s="1"/>
  <c r="G352" i="13"/>
  <c r="G353" i="13"/>
  <c r="AQ353" i="13" s="1"/>
  <c r="Z356" i="13"/>
  <c r="H362" i="13"/>
  <c r="H391" i="13"/>
  <c r="AL391" i="13" a="1"/>
  <c r="AL391" i="13" s="1"/>
  <c r="G480" i="13"/>
  <c r="J480" i="13" s="1"/>
  <c r="K289" i="13"/>
  <c r="AU289" i="13" s="1"/>
  <c r="T289" i="13"/>
  <c r="I289" i="13"/>
  <c r="K43" i="13"/>
  <c r="AU43" i="13" s="1"/>
  <c r="T68" i="13"/>
  <c r="I75" i="13"/>
  <c r="T154" i="13"/>
  <c r="K183" i="13"/>
  <c r="K193" i="13"/>
  <c r="AU193" i="13" s="1"/>
  <c r="T193" i="13"/>
  <c r="I193" i="13"/>
  <c r="I207" i="13"/>
  <c r="T207" i="13"/>
  <c r="K209" i="13"/>
  <c r="I211" i="13"/>
  <c r="T211" i="13"/>
  <c r="AL219" i="13" a="1"/>
  <c r="AL219" i="13" s="1"/>
  <c r="H219" i="13"/>
  <c r="S264" i="13"/>
  <c r="I293" i="13"/>
  <c r="T293" i="13"/>
  <c r="T297" i="13"/>
  <c r="I297" i="13"/>
  <c r="H358" i="13"/>
  <c r="G358" i="13"/>
  <c r="AQ358" i="13" s="1"/>
  <c r="K360" i="13"/>
  <c r="H367" i="13"/>
  <c r="S367" i="13"/>
  <c r="AL386" i="13" a="1"/>
  <c r="AL386" i="13" s="1"/>
  <c r="G386" i="13"/>
  <c r="J386" i="13" s="1"/>
  <c r="I408" i="13"/>
  <c r="T408" i="13"/>
  <c r="I417" i="13"/>
  <c r="I420" i="13"/>
  <c r="K549" i="13"/>
  <c r="T549" i="13"/>
  <c r="I549" i="13"/>
  <c r="T565" i="13"/>
  <c r="I568" i="13"/>
  <c r="K568" i="13"/>
  <c r="I6" i="13"/>
  <c r="T6" i="13"/>
  <c r="I11" i="13"/>
  <c r="Z11" i="13"/>
  <c r="Z13" i="13"/>
  <c r="Z17" i="13"/>
  <c r="T34" i="13"/>
  <c r="G42" i="13"/>
  <c r="T50" i="13"/>
  <c r="G57" i="13"/>
  <c r="AQ57" i="13" s="1"/>
  <c r="K61" i="13"/>
  <c r="AU61" i="13" s="1"/>
  <c r="Z64" i="13"/>
  <c r="H67" i="13"/>
  <c r="T67" i="13"/>
  <c r="Z68" i="13"/>
  <c r="H87" i="13"/>
  <c r="I117" i="13"/>
  <c r="Z128" i="13"/>
  <c r="Z135" i="13"/>
  <c r="I143" i="13"/>
  <c r="T153" i="13"/>
  <c r="H162" i="13"/>
  <c r="Z164" i="13"/>
  <c r="AL173" i="13" a="1"/>
  <c r="AL173" i="13" s="1"/>
  <c r="S173" i="13"/>
  <c r="H173" i="13"/>
  <c r="I199" i="13"/>
  <c r="T199" i="13"/>
  <c r="K199" i="13"/>
  <c r="I204" i="13"/>
  <c r="T204" i="13"/>
  <c r="Z207" i="13"/>
  <c r="Z211" i="13"/>
  <c r="K272" i="13"/>
  <c r="Z282" i="13"/>
  <c r="Z291" i="13"/>
  <c r="Z293" i="13"/>
  <c r="I339" i="13"/>
  <c r="AL345" i="13" a="1"/>
  <c r="AL345" i="13" s="1"/>
  <c r="G345" i="13"/>
  <c r="AQ345" i="13" s="1"/>
  <c r="I347" i="13"/>
  <c r="Z347" i="13"/>
  <c r="H370" i="13"/>
  <c r="K401" i="13"/>
  <c r="AU401" i="13" s="1"/>
  <c r="T401" i="13"/>
  <c r="I401" i="13"/>
  <c r="S393" i="13"/>
  <c r="H393" i="13"/>
  <c r="G423" i="13"/>
  <c r="AQ423" i="13" s="1"/>
  <c r="AL440" i="13" a="1"/>
  <c r="AL440" i="13" s="1"/>
  <c r="I567" i="13"/>
  <c r="T567" i="13"/>
  <c r="K567" i="13"/>
  <c r="Z9" i="13"/>
  <c r="K25" i="13"/>
  <c r="AU25" i="13" s="1"/>
  <c r="T25" i="13"/>
  <c r="Z28" i="13"/>
  <c r="AL28" i="13" a="1"/>
  <c r="AL28" i="13" s="1"/>
  <c r="G30" i="13"/>
  <c r="G33" i="13"/>
  <c r="J33" i="13" s="1"/>
  <c r="Z40" i="13"/>
  <c r="H42" i="13"/>
  <c r="Z44" i="13"/>
  <c r="I60" i="13"/>
  <c r="T60" i="13"/>
  <c r="Z67" i="13"/>
  <c r="H74" i="13"/>
  <c r="I76" i="13"/>
  <c r="G79" i="13"/>
  <c r="J79" i="13" s="1"/>
  <c r="K117" i="13"/>
  <c r="Z117" i="13"/>
  <c r="G191" i="13"/>
  <c r="AQ191" i="13" s="1"/>
  <c r="T195" i="13"/>
  <c r="I195" i="13"/>
  <c r="AL203" i="13" a="1"/>
  <c r="AL203" i="13" s="1"/>
  <c r="S203" i="13"/>
  <c r="H203" i="13"/>
  <c r="H229" i="13"/>
  <c r="G271" i="13"/>
  <c r="J271" i="13" s="1"/>
  <c r="AL272" i="13" a="1"/>
  <c r="AL272" i="13" s="1"/>
  <c r="H272" i="13"/>
  <c r="AL316" i="13" a="1"/>
  <c r="AL316" i="13" s="1"/>
  <c r="G316" i="13"/>
  <c r="J316" i="13" s="1"/>
  <c r="K331" i="13"/>
  <c r="Z337" i="13"/>
  <c r="Z364" i="13"/>
  <c r="I372" i="13"/>
  <c r="T372" i="13"/>
  <c r="H401" i="13"/>
  <c r="K432" i="13"/>
  <c r="AU432" i="13" s="1"/>
  <c r="T432" i="13"/>
  <c r="K443" i="13"/>
  <c r="K471" i="13"/>
  <c r="Z477" i="13"/>
  <c r="AL477" i="13" a="1"/>
  <c r="AL477" i="13" s="1"/>
  <c r="T491" i="13"/>
  <c r="K491" i="13"/>
  <c r="T547" i="13"/>
  <c r="T576" i="13"/>
  <c r="Z225" i="13"/>
  <c r="Z323" i="13"/>
  <c r="Z334" i="13"/>
  <c r="Z355" i="13"/>
  <c r="Z363" i="13"/>
  <c r="Z418" i="13"/>
  <c r="Z431" i="13"/>
  <c r="H57" i="13"/>
  <c r="I63" i="13"/>
  <c r="T63" i="13"/>
  <c r="AL67" i="13" a="1"/>
  <c r="AL67" i="13" s="1"/>
  <c r="K86" i="13"/>
  <c r="AU86" i="13" s="1"/>
  <c r="AL108" i="13" a="1"/>
  <c r="AL108" i="13" s="1"/>
  <c r="S108" i="13"/>
  <c r="H108" i="13"/>
  <c r="H123" i="13"/>
  <c r="G123" i="13"/>
  <c r="J123" i="13" s="1"/>
  <c r="AL139" i="13" a="1"/>
  <c r="AL139" i="13" s="1"/>
  <c r="G139" i="13"/>
  <c r="AQ139" i="13" s="1"/>
  <c r="AL146" i="13" a="1"/>
  <c r="AL146" i="13" s="1"/>
  <c r="H146" i="13"/>
  <c r="G146" i="13"/>
  <c r="AQ146" i="13" s="1"/>
  <c r="AL153" i="13" a="1"/>
  <c r="AL153" i="13" s="1"/>
  <c r="S153" i="13"/>
  <c r="H153" i="13"/>
  <c r="G153" i="13"/>
  <c r="K177" i="13"/>
  <c r="AU177" i="13" s="1"/>
  <c r="T177" i="13"/>
  <c r="I177" i="13"/>
  <c r="AL204" i="13" a="1"/>
  <c r="AL204" i="13" s="1"/>
  <c r="G204" i="13"/>
  <c r="AL227" i="13" a="1"/>
  <c r="AL227" i="13" s="1"/>
  <c r="S227" i="13"/>
  <c r="G227" i="13"/>
  <c r="T232" i="13"/>
  <c r="I232" i="13"/>
  <c r="T346" i="13"/>
  <c r="I346" i="13"/>
  <c r="AL368" i="13" a="1"/>
  <c r="AL368" i="13" s="1"/>
  <c r="G368" i="13"/>
  <c r="AQ368" i="13" s="1"/>
  <c r="H368" i="13"/>
  <c r="K407" i="13"/>
  <c r="T407" i="13"/>
  <c r="I407" i="13"/>
  <c r="T411" i="13"/>
  <c r="I411" i="13"/>
  <c r="T419" i="13"/>
  <c r="I419" i="13"/>
  <c r="T441" i="13"/>
  <c r="K441" i="13"/>
  <c r="I441" i="13"/>
  <c r="G486" i="13"/>
  <c r="AQ486" i="13" s="1"/>
  <c r="H486" i="13"/>
  <c r="T507" i="13"/>
  <c r="K507" i="13"/>
  <c r="K514" i="13"/>
  <c r="T514" i="13"/>
  <c r="Z8" i="13"/>
  <c r="I10" i="13"/>
  <c r="G62" i="13"/>
  <c r="J62" i="13" s="1"/>
  <c r="H77" i="13"/>
  <c r="Z77" i="13"/>
  <c r="I79" i="13"/>
  <c r="Z100" i="13"/>
  <c r="K167" i="13"/>
  <c r="T167" i="13"/>
  <c r="I167" i="13"/>
  <c r="T218" i="13"/>
  <c r="I218" i="13"/>
  <c r="T242" i="13"/>
  <c r="K242" i="13"/>
  <c r="AU242" i="13" s="1"/>
  <c r="S326" i="13"/>
  <c r="AL326" i="13" a="1"/>
  <c r="AL326" i="13" s="1"/>
  <c r="K434" i="13"/>
  <c r="AU434" i="13" s="1"/>
  <c r="T434" i="13"/>
  <c r="I434" i="13"/>
  <c r="T438" i="13"/>
  <c r="K438" i="13"/>
  <c r="AU438" i="13" s="1"/>
  <c r="I438" i="13"/>
  <c r="I8" i="13"/>
  <c r="Z10" i="13"/>
  <c r="G21" i="13"/>
  <c r="J21" i="13" s="1"/>
  <c r="S21" i="13"/>
  <c r="AL33" i="13" a="1"/>
  <c r="AL33" i="13" s="1"/>
  <c r="I37" i="13"/>
  <c r="H50" i="13"/>
  <c r="Z63" i="13"/>
  <c r="H2" i="13"/>
  <c r="Z4" i="13"/>
  <c r="AL4" i="13" a="1"/>
  <c r="AL4" i="13" s="1"/>
  <c r="G6" i="13"/>
  <c r="H7" i="13"/>
  <c r="S7" i="13"/>
  <c r="G20" i="13"/>
  <c r="G23" i="13"/>
  <c r="I35" i="13"/>
  <c r="K37" i="13"/>
  <c r="Z37" i="13"/>
  <c r="I41" i="13"/>
  <c r="H44" i="13"/>
  <c r="T44" i="13"/>
  <c r="K49" i="13"/>
  <c r="Z50" i="13"/>
  <c r="G58" i="13"/>
  <c r="AQ58" i="13" s="1"/>
  <c r="I61" i="13"/>
  <c r="T64" i="13"/>
  <c r="I69" i="13"/>
  <c r="G71" i="13"/>
  <c r="K75" i="13"/>
  <c r="K76" i="13"/>
  <c r="G82" i="13"/>
  <c r="AQ82" i="13" s="1"/>
  <c r="G85" i="13"/>
  <c r="J85" i="13" s="1"/>
  <c r="AL184" i="13" a="1"/>
  <c r="AL184" i="13" s="1"/>
  <c r="S184" i="13"/>
  <c r="H184" i="13"/>
  <c r="AL210" i="13" a="1"/>
  <c r="AL210" i="13" s="1"/>
  <c r="S210" i="13"/>
  <c r="H210" i="13"/>
  <c r="G210" i="13"/>
  <c r="AQ210" i="13" s="1"/>
  <c r="T217" i="13"/>
  <c r="I217" i="13"/>
  <c r="I228" i="13"/>
  <c r="K228" i="13"/>
  <c r="T237" i="13"/>
  <c r="I237" i="13"/>
  <c r="AL253" i="13" a="1"/>
  <c r="AL253" i="13" s="1"/>
  <c r="H253" i="13"/>
  <c r="T266" i="13"/>
  <c r="I266" i="13"/>
  <c r="I299" i="13"/>
  <c r="T299" i="13"/>
  <c r="K299" i="13"/>
  <c r="T312" i="13"/>
  <c r="K312" i="13"/>
  <c r="AU312" i="13" s="1"/>
  <c r="I312" i="13"/>
  <c r="T458" i="13"/>
  <c r="K458" i="13"/>
  <c r="I458" i="13"/>
  <c r="K103" i="13"/>
  <c r="T103" i="13"/>
  <c r="I103" i="13"/>
  <c r="T118" i="13"/>
  <c r="K118" i="13"/>
  <c r="K148" i="13"/>
  <c r="AU148" i="13" s="1"/>
  <c r="T148" i="13"/>
  <c r="I148" i="13"/>
  <c r="AL187" i="13" a="1"/>
  <c r="AL187" i="13" s="1"/>
  <c r="G187" i="13"/>
  <c r="T235" i="13"/>
  <c r="I235" i="13"/>
  <c r="I275" i="13"/>
  <c r="K275" i="13"/>
  <c r="AU275" i="13" s="1"/>
  <c r="K281" i="13"/>
  <c r="AU281" i="13" s="1"/>
  <c r="T281" i="13"/>
  <c r="I281" i="13"/>
  <c r="T306" i="13"/>
  <c r="K306" i="13"/>
  <c r="AU306" i="13" s="1"/>
  <c r="T379" i="13"/>
  <c r="I379" i="13"/>
  <c r="AL429" i="13" a="1"/>
  <c r="AL429" i="13" s="1"/>
  <c r="G429" i="13"/>
  <c r="J429" i="13" s="1"/>
  <c r="H447" i="13"/>
  <c r="S447" i="13"/>
  <c r="W57" i="6"/>
  <c r="V457" i="13"/>
  <c r="W130" i="6"/>
  <c r="V212" i="13"/>
  <c r="T111" i="13"/>
  <c r="K112" i="13"/>
  <c r="H121" i="13"/>
  <c r="I124" i="13"/>
  <c r="T124" i="13"/>
  <c r="G126" i="13"/>
  <c r="S126" i="13"/>
  <c r="Z165" i="13"/>
  <c r="H188" i="13"/>
  <c r="S188" i="13"/>
  <c r="K191" i="13"/>
  <c r="H197" i="13"/>
  <c r="K202" i="13"/>
  <c r="Z205" i="13"/>
  <c r="Z208" i="13"/>
  <c r="G214" i="13"/>
  <c r="AQ214" i="13" s="1"/>
  <c r="I215" i="13"/>
  <c r="T215" i="13"/>
  <c r="Z221" i="13"/>
  <c r="G230" i="13"/>
  <c r="AQ230" i="13" s="1"/>
  <c r="AL236" i="13" a="1"/>
  <c r="AL236" i="13" s="1"/>
  <c r="S236" i="13"/>
  <c r="H236" i="13"/>
  <c r="T244" i="13"/>
  <c r="I244" i="13"/>
  <c r="AL250" i="13" a="1"/>
  <c r="AL250" i="13" s="1"/>
  <c r="G250" i="13"/>
  <c r="Z251" i="13"/>
  <c r="H262" i="13"/>
  <c r="K271" i="13"/>
  <c r="S275" i="13"/>
  <c r="I276" i="13"/>
  <c r="T276" i="13"/>
  <c r="H284" i="13"/>
  <c r="H288" i="13"/>
  <c r="S288" i="13"/>
  <c r="Z289" i="13"/>
  <c r="Z295" i="13"/>
  <c r="K297" i="13"/>
  <c r="AU297" i="13" s="1"/>
  <c r="AL298" i="13" a="1"/>
  <c r="AL298" i="13" s="1"/>
  <c r="G298" i="13"/>
  <c r="G301" i="13"/>
  <c r="J301" i="13" s="1"/>
  <c r="AL329" i="13" a="1"/>
  <c r="AL329" i="13" s="1"/>
  <c r="H329" i="13"/>
  <c r="AL333" i="13" a="1"/>
  <c r="AL333" i="13" s="1"/>
  <c r="S333" i="13"/>
  <c r="H333" i="13"/>
  <c r="G375" i="13"/>
  <c r="AQ375" i="13" s="1"/>
  <c r="AL375" i="13" a="1"/>
  <c r="AL375" i="13" s="1"/>
  <c r="H375" i="13"/>
  <c r="K399" i="13"/>
  <c r="T399" i="13"/>
  <c r="I399" i="13"/>
  <c r="AL428" i="13" a="1"/>
  <c r="AL428" i="13" s="1"/>
  <c r="G428" i="13"/>
  <c r="J428" i="13" s="1"/>
  <c r="T442" i="13"/>
  <c r="G491" i="13"/>
  <c r="J491" i="13" s="1"/>
  <c r="T537" i="13"/>
  <c r="T552" i="13"/>
  <c r="V468" i="13"/>
  <c r="W41" i="6"/>
  <c r="V461" i="13"/>
  <c r="V516" i="13"/>
  <c r="Z516" i="13" s="1"/>
  <c r="Z103" i="13"/>
  <c r="Z136" i="13"/>
  <c r="I147" i="13"/>
  <c r="T147" i="13"/>
  <c r="I151" i="13"/>
  <c r="Z155" i="13"/>
  <c r="Z195" i="13"/>
  <c r="H214" i="13"/>
  <c r="Z233" i="13"/>
  <c r="AL261" i="13" a="1"/>
  <c r="AL261" i="13" s="1"/>
  <c r="S261" i="13"/>
  <c r="K285" i="13"/>
  <c r="T285" i="13"/>
  <c r="I285" i="13"/>
  <c r="AL297" i="13" a="1"/>
  <c r="AL297" i="13" s="1"/>
  <c r="G297" i="13"/>
  <c r="J297" i="13" s="1"/>
  <c r="K307" i="13"/>
  <c r="AU307" i="13" s="1"/>
  <c r="T307" i="13"/>
  <c r="I307" i="13"/>
  <c r="AL308" i="13" a="1"/>
  <c r="AL308" i="13" s="1"/>
  <c r="G308" i="13"/>
  <c r="J308" i="13" s="1"/>
  <c r="H314" i="13"/>
  <c r="S324" i="13"/>
  <c r="AL332" i="13" a="1"/>
  <c r="AL332" i="13" s="1"/>
  <c r="G332" i="13"/>
  <c r="AQ332" i="13" s="1"/>
  <c r="K340" i="13"/>
  <c r="I340" i="13"/>
  <c r="T351" i="13"/>
  <c r="K351" i="13"/>
  <c r="I351" i="13"/>
  <c r="AL393" i="13" a="1"/>
  <c r="AL393" i="13" s="1"/>
  <c r="G393" i="13"/>
  <c r="AQ393" i="13" s="1"/>
  <c r="G427" i="13"/>
  <c r="AQ427" i="13" s="1"/>
  <c r="H427" i="13"/>
  <c r="AL437" i="13" a="1"/>
  <c r="AL437" i="13" s="1"/>
  <c r="H437" i="13"/>
  <c r="G482" i="13"/>
  <c r="AQ482" i="13" s="1"/>
  <c r="K492" i="13"/>
  <c r="T492" i="13"/>
  <c r="I492" i="13"/>
  <c r="T505" i="13"/>
  <c r="T515" i="13"/>
  <c r="T533" i="13"/>
  <c r="K107" i="13"/>
  <c r="I128" i="13"/>
  <c r="T128" i="13"/>
  <c r="Z130" i="13"/>
  <c r="I133" i="13"/>
  <c r="Z137" i="13"/>
  <c r="Z141" i="13"/>
  <c r="S145" i="13"/>
  <c r="T146" i="13"/>
  <c r="Z147" i="13"/>
  <c r="Z149" i="13"/>
  <c r="G154" i="13"/>
  <c r="AQ154" i="13" s="1"/>
  <c r="Z156" i="13"/>
  <c r="H159" i="13"/>
  <c r="H161" i="13"/>
  <c r="Z161" i="13"/>
  <c r="G163" i="13"/>
  <c r="AQ163" i="13" s="1"/>
  <c r="I164" i="13"/>
  <c r="T164" i="13"/>
  <c r="Z171" i="13"/>
  <c r="I174" i="13"/>
  <c r="T174" i="13"/>
  <c r="H176" i="13"/>
  <c r="H180" i="13"/>
  <c r="T181" i="13"/>
  <c r="G183" i="13"/>
  <c r="AQ183" i="13" s="1"/>
  <c r="H192" i="13"/>
  <c r="S192" i="13"/>
  <c r="G200" i="13"/>
  <c r="I206" i="13"/>
  <c r="S235" i="13"/>
  <c r="G235" i="13"/>
  <c r="AQ235" i="13" s="1"/>
  <c r="K250" i="13"/>
  <c r="AU250" i="13" s="1"/>
  <c r="I254" i="13"/>
  <c r="K257" i="13"/>
  <c r="I260" i="13"/>
  <c r="K260" i="13"/>
  <c r="AL303" i="13" a="1"/>
  <c r="AL303" i="13" s="1"/>
  <c r="H303" i="13"/>
  <c r="T324" i="13"/>
  <c r="I324" i="13"/>
  <c r="T330" i="13"/>
  <c r="K330" i="13"/>
  <c r="I330" i="13"/>
  <c r="T338" i="13"/>
  <c r="I338" i="13"/>
  <c r="S349" i="13"/>
  <c r="H349" i="13"/>
  <c r="T369" i="13"/>
  <c r="I369" i="13"/>
  <c r="K386" i="13"/>
  <c r="T386" i="13"/>
  <c r="I386" i="13"/>
  <c r="AL395" i="13" a="1"/>
  <c r="AL395" i="13" s="1"/>
  <c r="AL398" i="13" a="1"/>
  <c r="AL398" i="13" s="1"/>
  <c r="S398" i="13"/>
  <c r="H398" i="13"/>
  <c r="I400" i="13"/>
  <c r="T400" i="13"/>
  <c r="AL404" i="13" a="1"/>
  <c r="AL404" i="13" s="1"/>
  <c r="G404" i="13"/>
  <c r="AQ404" i="13" s="1"/>
  <c r="S414" i="13"/>
  <c r="H414" i="13"/>
  <c r="AL431" i="13" a="1"/>
  <c r="AL431" i="13" s="1"/>
  <c r="G431" i="13"/>
  <c r="AQ431" i="13" s="1"/>
  <c r="S460" i="13"/>
  <c r="K477" i="13"/>
  <c r="I477" i="13"/>
  <c r="K550" i="13"/>
  <c r="T550" i="13"/>
  <c r="V565" i="13"/>
  <c r="Z565" i="13" s="1"/>
  <c r="T483" i="13"/>
  <c r="V564" i="13"/>
  <c r="Z564" i="13" s="1"/>
  <c r="Z312" i="13"/>
  <c r="Z319" i="13"/>
  <c r="Z335" i="13"/>
  <c r="Z346" i="13"/>
  <c r="Z372" i="13"/>
  <c r="Z389" i="13"/>
  <c r="Z400" i="13"/>
  <c r="Z408" i="13"/>
  <c r="Z421" i="13"/>
  <c r="I475" i="13"/>
  <c r="T475" i="13"/>
  <c r="AL480" i="13" a="1"/>
  <c r="AL480" i="13" s="1"/>
  <c r="I483" i="13"/>
  <c r="V492" i="13"/>
  <c r="Z492" i="13" s="1"/>
  <c r="I510" i="13"/>
  <c r="T553" i="13"/>
  <c r="Z255" i="13"/>
  <c r="Z273" i="13"/>
  <c r="Z299" i="13"/>
  <c r="Z303" i="13"/>
  <c r="Z309" i="13"/>
  <c r="Z311" i="13"/>
  <c r="Z313" i="13"/>
  <c r="AL313" i="13" a="1"/>
  <c r="AL313" i="13" s="1"/>
  <c r="I317" i="13"/>
  <c r="T317" i="13"/>
  <c r="Z327" i="13"/>
  <c r="Z336" i="13"/>
  <c r="K342" i="13"/>
  <c r="Z342" i="13"/>
  <c r="Z349" i="13"/>
  <c r="Z354" i="13"/>
  <c r="I361" i="13"/>
  <c r="I363" i="13"/>
  <c r="T363" i="13"/>
  <c r="Z373" i="13"/>
  <c r="Z377" i="13"/>
  <c r="Z388" i="13"/>
  <c r="Z390" i="13"/>
  <c r="I394" i="13"/>
  <c r="T394" i="13"/>
  <c r="Z396" i="13"/>
  <c r="I406" i="13"/>
  <c r="T406" i="13"/>
  <c r="I410" i="13"/>
  <c r="T410" i="13"/>
  <c r="I418" i="13"/>
  <c r="T418" i="13"/>
  <c r="I433" i="13"/>
  <c r="Z437" i="13"/>
  <c r="S451" i="13"/>
  <c r="T481" i="13"/>
  <c r="K484" i="13"/>
  <c r="H485" i="13"/>
  <c r="H488" i="13"/>
  <c r="AL488" i="13" a="1"/>
  <c r="AL488" i="13" s="1"/>
  <c r="I491" i="13"/>
  <c r="K510" i="13"/>
  <c r="V519" i="13"/>
  <c r="Z519" i="13" s="1"/>
  <c r="K521" i="13"/>
  <c r="T548" i="13"/>
  <c r="W267" i="6"/>
  <c r="W248" i="6"/>
  <c r="M546" i="6"/>
  <c r="T546" i="6" s="1"/>
  <c r="Z567" i="13"/>
  <c r="W73" i="6"/>
  <c r="W442" i="6"/>
  <c r="W74" i="6"/>
  <c r="W89" i="6"/>
  <c r="W246" i="6"/>
  <c r="W376" i="6"/>
  <c r="W305" i="6"/>
  <c r="W274" i="6"/>
  <c r="W318" i="6"/>
  <c r="W288" i="6"/>
  <c r="K23" i="13"/>
  <c r="T30" i="13"/>
  <c r="K30" i="13"/>
  <c r="I30" i="13"/>
  <c r="K33" i="13"/>
  <c r="I33" i="13"/>
  <c r="T47" i="13"/>
  <c r="K47" i="13"/>
  <c r="AU47" i="13" s="1"/>
  <c r="I47" i="13"/>
  <c r="T56" i="13"/>
  <c r="K56" i="13"/>
  <c r="AU56" i="13" s="1"/>
  <c r="I56" i="13"/>
  <c r="K98" i="13"/>
  <c r="T98" i="13"/>
  <c r="I98" i="13"/>
  <c r="AL111" i="13" a="1"/>
  <c r="AL111" i="13" s="1"/>
  <c r="S111" i="13"/>
  <c r="H111" i="13"/>
  <c r="G111" i="13"/>
  <c r="K123" i="13"/>
  <c r="I123" i="13"/>
  <c r="I126" i="13"/>
  <c r="T126" i="13"/>
  <c r="T130" i="13"/>
  <c r="I130" i="13"/>
  <c r="AL142" i="13" a="1"/>
  <c r="AL142" i="13" s="1"/>
  <c r="H142" i="13"/>
  <c r="K156" i="13"/>
  <c r="T156" i="13"/>
  <c r="I156" i="13"/>
  <c r="AL167" i="13" a="1"/>
  <c r="AL167" i="13" s="1"/>
  <c r="H167" i="13"/>
  <c r="G167" i="13"/>
  <c r="AQ167" i="13" s="1"/>
  <c r="S167" i="13"/>
  <c r="T168" i="13"/>
  <c r="T171" i="13"/>
  <c r="I171" i="13"/>
  <c r="I192" i="13"/>
  <c r="T192" i="13"/>
  <c r="H228" i="13"/>
  <c r="AL228" i="13" a="1"/>
  <c r="AL228" i="13" s="1"/>
  <c r="G228" i="13"/>
  <c r="AQ228" i="13" s="1"/>
  <c r="I229" i="13"/>
  <c r="K229" i="13"/>
  <c r="T255" i="13"/>
  <c r="K255" i="13"/>
  <c r="AU255" i="13" s="1"/>
  <c r="I255" i="13"/>
  <c r="AL265" i="13" a="1"/>
  <c r="AL265" i="13" s="1"/>
  <c r="H265" i="13"/>
  <c r="G265" i="13"/>
  <c r="J265" i="13" s="1"/>
  <c r="T325" i="13"/>
  <c r="I325" i="13"/>
  <c r="T376" i="13"/>
  <c r="K453" i="13"/>
  <c r="I453" i="13"/>
  <c r="K2" i="13"/>
  <c r="S2" i="13"/>
  <c r="H6" i="13"/>
  <c r="I7" i="13"/>
  <c r="I15" i="13"/>
  <c r="T15" i="13"/>
  <c r="T19" i="13"/>
  <c r="S20" i="13"/>
  <c r="T23" i="13"/>
  <c r="S31" i="13"/>
  <c r="G31" i="13"/>
  <c r="AQ31" i="13" s="1"/>
  <c r="K36" i="13"/>
  <c r="T36" i="13"/>
  <c r="AL78" i="13" a="1"/>
  <c r="AL78" i="13" s="1"/>
  <c r="H78" i="13"/>
  <c r="T84" i="13"/>
  <c r="T106" i="13"/>
  <c r="I106" i="13"/>
  <c r="K114" i="13"/>
  <c r="AU114" i="13" s="1"/>
  <c r="I114" i="13"/>
  <c r="T123" i="13"/>
  <c r="T157" i="13"/>
  <c r="I157" i="13"/>
  <c r="I188" i="13"/>
  <c r="T188" i="13"/>
  <c r="S199" i="13"/>
  <c r="H199" i="13"/>
  <c r="I203" i="13"/>
  <c r="T203" i="13"/>
  <c r="AL209" i="13" a="1"/>
  <c r="AL209" i="13" s="1"/>
  <c r="H209" i="13"/>
  <c r="G209" i="13"/>
  <c r="T220" i="13"/>
  <c r="I220" i="13"/>
  <c r="T226" i="13"/>
  <c r="I226" i="13"/>
  <c r="T229" i="13"/>
  <c r="T245" i="13"/>
  <c r="K245" i="13"/>
  <c r="I245" i="13"/>
  <c r="AL257" i="13" a="1"/>
  <c r="AL257" i="13" s="1"/>
  <c r="H257" i="13"/>
  <c r="G257" i="13"/>
  <c r="J257" i="13" s="1"/>
  <c r="I261" i="13"/>
  <c r="K261" i="13"/>
  <c r="K282" i="13"/>
  <c r="T282" i="13"/>
  <c r="I282" i="13"/>
  <c r="K286" i="13"/>
  <c r="T286" i="13"/>
  <c r="I286" i="13"/>
  <c r="T288" i="13"/>
  <c r="I288" i="13"/>
  <c r="K288" i="13"/>
  <c r="AU288" i="13" s="1"/>
  <c r="K308" i="13"/>
  <c r="T308" i="13"/>
  <c r="I308" i="13"/>
  <c r="T322" i="13"/>
  <c r="S357" i="13"/>
  <c r="H357" i="13"/>
  <c r="S365" i="13"/>
  <c r="AL365" i="13" a="1"/>
  <c r="AL365" i="13" s="1"/>
  <c r="S408" i="13"/>
  <c r="H408" i="13"/>
  <c r="T416" i="13"/>
  <c r="I416" i="13"/>
  <c r="T422" i="13"/>
  <c r="I422" i="13"/>
  <c r="T2" i="13"/>
  <c r="K7" i="13"/>
  <c r="AU7" i="13" s="1"/>
  <c r="Z15" i="13"/>
  <c r="AL20" i="13" a="1"/>
  <c r="AL20" i="13" s="1"/>
  <c r="K21" i="13"/>
  <c r="Z24" i="13"/>
  <c r="Z25" i="13"/>
  <c r="AL29" i="13" a="1"/>
  <c r="AL29" i="13" s="1"/>
  <c r="H29" i="13"/>
  <c r="K31" i="13"/>
  <c r="AU31" i="13" s="1"/>
  <c r="T31" i="13"/>
  <c r="I31" i="13"/>
  <c r="AL49" i="13" a="1"/>
  <c r="AL49" i="13" s="1"/>
  <c r="G49" i="13"/>
  <c r="K72" i="13"/>
  <c r="I72" i="13"/>
  <c r="T74" i="13"/>
  <c r="T80" i="13"/>
  <c r="K80" i="13"/>
  <c r="I80" i="13"/>
  <c r="T82" i="13"/>
  <c r="T85" i="13"/>
  <c r="K85" i="13"/>
  <c r="AU85" i="13" s="1"/>
  <c r="I85" i="13"/>
  <c r="H119" i="13"/>
  <c r="G119" i="13"/>
  <c r="AL119" i="13" a="1"/>
  <c r="AL119" i="13" s="1"/>
  <c r="K126" i="13"/>
  <c r="T175" i="13"/>
  <c r="I175" i="13"/>
  <c r="I184" i="13"/>
  <c r="T184" i="13"/>
  <c r="K192" i="13"/>
  <c r="S228" i="13"/>
  <c r="T231" i="13"/>
  <c r="T243" i="13"/>
  <c r="K243" i="13"/>
  <c r="I243" i="13"/>
  <c r="G244" i="13"/>
  <c r="S265" i="13"/>
  <c r="T273" i="13"/>
  <c r="K273" i="13"/>
  <c r="I273" i="13"/>
  <c r="AL336" i="13" a="1"/>
  <c r="AL336" i="13" s="1"/>
  <c r="H336" i="13"/>
  <c r="T344" i="13"/>
  <c r="G2" i="13"/>
  <c r="AQ2" i="13" s="1"/>
  <c r="S6" i="13"/>
  <c r="G7" i="13"/>
  <c r="AQ7" i="13" s="1"/>
  <c r="K8" i="13"/>
  <c r="K9" i="13"/>
  <c r="K10" i="13"/>
  <c r="AU10" i="13" s="1"/>
  <c r="K11" i="13"/>
  <c r="Z16" i="13"/>
  <c r="AL16" i="13" a="1"/>
  <c r="AL16" i="13" s="1"/>
  <c r="T32" i="13"/>
  <c r="AL43" i="13" a="1"/>
  <c r="AL43" i="13" s="1"/>
  <c r="G43" i="13"/>
  <c r="K62" i="13"/>
  <c r="AU62" i="13" s="1"/>
  <c r="I62" i="13"/>
  <c r="T72" i="13"/>
  <c r="S81" i="13"/>
  <c r="H81" i="13"/>
  <c r="AL86" i="13" a="1"/>
  <c r="AL86" i="13" s="1"/>
  <c r="G86" i="13"/>
  <c r="J86" i="13" s="1"/>
  <c r="K104" i="13"/>
  <c r="AU104" i="13" s="1"/>
  <c r="T104" i="13"/>
  <c r="I104" i="13"/>
  <c r="T136" i="13"/>
  <c r="I136" i="13"/>
  <c r="I145" i="13"/>
  <c r="T145" i="13"/>
  <c r="I159" i="13"/>
  <c r="T159" i="13"/>
  <c r="K188" i="13"/>
  <c r="K203" i="13"/>
  <c r="I240" i="13"/>
  <c r="T240" i="13"/>
  <c r="T248" i="13"/>
  <c r="I248" i="13"/>
  <c r="I253" i="13"/>
  <c r="K253" i="13"/>
  <c r="S257" i="13"/>
  <c r="AL260" i="13" a="1"/>
  <c r="AL260" i="13" s="1"/>
  <c r="G260" i="13"/>
  <c r="AQ260" i="13" s="1"/>
  <c r="I262" i="13"/>
  <c r="K262" i="13"/>
  <c r="AU262" i="13" s="1"/>
  <c r="I264" i="13"/>
  <c r="K264" i="13"/>
  <c r="AL306" i="13" a="1"/>
  <c r="AL306" i="13" s="1"/>
  <c r="S306" i="13"/>
  <c r="G306" i="13"/>
  <c r="J306" i="13" s="1"/>
  <c r="K309" i="13"/>
  <c r="T309" i="13"/>
  <c r="T315" i="13"/>
  <c r="K315" i="13"/>
  <c r="AU315" i="13" s="1"/>
  <c r="I315" i="13"/>
  <c r="H331" i="13"/>
  <c r="G331" i="13"/>
  <c r="S331" i="13"/>
  <c r="AL385" i="13" a="1"/>
  <c r="AL385" i="13" s="1"/>
  <c r="H385" i="13"/>
  <c r="G385" i="13"/>
  <c r="S385" i="13"/>
  <c r="I393" i="13"/>
  <c r="T393" i="13"/>
  <c r="K393" i="13"/>
  <c r="AU393" i="13" s="1"/>
  <c r="S432" i="13"/>
  <c r="AL432" i="13" a="1"/>
  <c r="AL432" i="13" s="1"/>
  <c r="Z26" i="13"/>
  <c r="K35" i="13"/>
  <c r="AU35" i="13" s="1"/>
  <c r="S35" i="13"/>
  <c r="H36" i="13"/>
  <c r="S38" i="13"/>
  <c r="T43" i="13"/>
  <c r="T49" i="13"/>
  <c r="S54" i="13"/>
  <c r="S61" i="13"/>
  <c r="I71" i="13"/>
  <c r="T94" i="13"/>
  <c r="T108" i="13"/>
  <c r="S121" i="13"/>
  <c r="H139" i="13"/>
  <c r="S139" i="13"/>
  <c r="H140" i="13"/>
  <c r="G145" i="13"/>
  <c r="AQ145" i="13" s="1"/>
  <c r="Z148" i="13"/>
  <c r="H152" i="13"/>
  <c r="S152" i="13"/>
  <c r="I154" i="13"/>
  <c r="H156" i="13"/>
  <c r="G159" i="13"/>
  <c r="S162" i="13"/>
  <c r="H163" i="13"/>
  <c r="G166" i="13"/>
  <c r="I169" i="13"/>
  <c r="T169" i="13"/>
  <c r="I173" i="13"/>
  <c r="K176" i="13"/>
  <c r="S176" i="13"/>
  <c r="H177" i="13"/>
  <c r="Z179" i="13"/>
  <c r="Z181" i="13"/>
  <c r="H183" i="13"/>
  <c r="G184" i="13"/>
  <c r="AQ184" i="13" s="1"/>
  <c r="Z185" i="13"/>
  <c r="H187" i="13"/>
  <c r="G188" i="13"/>
  <c r="AQ188" i="13" s="1"/>
  <c r="Z189" i="13"/>
  <c r="H191" i="13"/>
  <c r="G192" i="13"/>
  <c r="K197" i="13"/>
  <c r="AU197" i="13" s="1"/>
  <c r="T197" i="13"/>
  <c r="I200" i="13"/>
  <c r="H202" i="13"/>
  <c r="G203" i="13"/>
  <c r="AQ203" i="13" s="1"/>
  <c r="H204" i="13"/>
  <c r="I210" i="13"/>
  <c r="K214" i="13"/>
  <c r="AU214" i="13" s="1"/>
  <c r="S214" i="13"/>
  <c r="H215" i="13"/>
  <c r="K218" i="13"/>
  <c r="AU218" i="13" s="1"/>
  <c r="I219" i="13"/>
  <c r="Z220" i="13"/>
  <c r="Z226" i="13"/>
  <c r="T228" i="13"/>
  <c r="G229" i="13"/>
  <c r="AQ229" i="13" s="1"/>
  <c r="K230" i="13"/>
  <c r="AU230" i="13" s="1"/>
  <c r="S230" i="13"/>
  <c r="K232" i="13"/>
  <c r="AU232" i="13" s="1"/>
  <c r="H234" i="13"/>
  <c r="Z234" i="13"/>
  <c r="K235" i="13"/>
  <c r="AU235" i="13" s="1"/>
  <c r="T236" i="13"/>
  <c r="K237" i="13"/>
  <c r="K238" i="13"/>
  <c r="H240" i="13"/>
  <c r="K241" i="13"/>
  <c r="Z241" i="13"/>
  <c r="G243" i="13"/>
  <c r="G245" i="13"/>
  <c r="AQ245" i="13" s="1"/>
  <c r="I247" i="13"/>
  <c r="G249" i="13"/>
  <c r="AQ249" i="13" s="1"/>
  <c r="Z249" i="13"/>
  <c r="G253" i="13"/>
  <c r="J253" i="13" s="1"/>
  <c r="K254" i="13"/>
  <c r="AU254" i="13" s="1"/>
  <c r="T257" i="13"/>
  <c r="G261" i="13"/>
  <c r="G262" i="13"/>
  <c r="J262" i="13" s="1"/>
  <c r="G264" i="13"/>
  <c r="T265" i="13"/>
  <c r="K266" i="13"/>
  <c r="AU266" i="13" s="1"/>
  <c r="S271" i="13"/>
  <c r="T301" i="13"/>
  <c r="K301" i="13"/>
  <c r="AU301" i="13" s="1"/>
  <c r="T319" i="13"/>
  <c r="I319" i="13"/>
  <c r="AL337" i="13" a="1"/>
  <c r="AL337" i="13" s="1"/>
  <c r="H337" i="13"/>
  <c r="I368" i="13"/>
  <c r="K368" i="13"/>
  <c r="AQ391" i="13"/>
  <c r="J391" i="13"/>
  <c r="S407" i="13"/>
  <c r="H407" i="13"/>
  <c r="H439" i="13"/>
  <c r="G439" i="13"/>
  <c r="AL439" i="13" a="1"/>
  <c r="AL439" i="13" s="1"/>
  <c r="H441" i="13"/>
  <c r="AL441" i="13" a="1"/>
  <c r="AL441" i="13" s="1"/>
  <c r="S459" i="13"/>
  <c r="H459" i="13"/>
  <c r="Z29" i="13"/>
  <c r="S30" i="13"/>
  <c r="Z36" i="13"/>
  <c r="Z47" i="13"/>
  <c r="I52" i="13"/>
  <c r="Z56" i="13"/>
  <c r="S57" i="13"/>
  <c r="I65" i="13"/>
  <c r="T65" i="13"/>
  <c r="K71" i="13"/>
  <c r="AU71" i="13" s="1"/>
  <c r="S71" i="13"/>
  <c r="Z75" i="13"/>
  <c r="Z76" i="13"/>
  <c r="Z78" i="13"/>
  <c r="K79" i="13"/>
  <c r="S79" i="13"/>
  <c r="T81" i="13"/>
  <c r="H82" i="13"/>
  <c r="Z98" i="13"/>
  <c r="Z104" i="13"/>
  <c r="Z112" i="13"/>
  <c r="Z114" i="13"/>
  <c r="S122" i="13"/>
  <c r="S124" i="13"/>
  <c r="H126" i="13"/>
  <c r="Z143" i="13"/>
  <c r="H145" i="13"/>
  <c r="I146" i="13"/>
  <c r="Z151" i="13"/>
  <c r="I153" i="13"/>
  <c r="S154" i="13"/>
  <c r="I155" i="13"/>
  <c r="T155" i="13"/>
  <c r="Z169" i="13"/>
  <c r="K173" i="13"/>
  <c r="Z182" i="13"/>
  <c r="S183" i="13"/>
  <c r="Z186" i="13"/>
  <c r="S187" i="13"/>
  <c r="Z190" i="13"/>
  <c r="S191" i="13"/>
  <c r="K200" i="13"/>
  <c r="S202" i="13"/>
  <c r="K210" i="13"/>
  <c r="AU210" i="13" s="1"/>
  <c r="Z218" i="13"/>
  <c r="K219" i="13"/>
  <c r="AU219" i="13" s="1"/>
  <c r="T230" i="13"/>
  <c r="Z232" i="13"/>
  <c r="Z237" i="13"/>
  <c r="Z238" i="13"/>
  <c r="Z240" i="13"/>
  <c r="Z246" i="13"/>
  <c r="Z254" i="13"/>
  <c r="Z258" i="13"/>
  <c r="Z266" i="13"/>
  <c r="S272" i="13"/>
  <c r="AL276" i="13" a="1"/>
  <c r="AL276" i="13" s="1"/>
  <c r="S276" i="13"/>
  <c r="H276" i="13"/>
  <c r="I280" i="13"/>
  <c r="K280" i="13"/>
  <c r="T305" i="13"/>
  <c r="K305" i="13"/>
  <c r="K316" i="13"/>
  <c r="I316" i="13"/>
  <c r="S334" i="13"/>
  <c r="H334" i="13"/>
  <c r="T350" i="13"/>
  <c r="K350" i="13"/>
  <c r="I350" i="13"/>
  <c r="H351" i="13"/>
  <c r="G351" i="13"/>
  <c r="AQ351" i="13" s="1"/>
  <c r="T354" i="13"/>
  <c r="K354" i="13"/>
  <c r="I354" i="13"/>
  <c r="AL397" i="13" a="1"/>
  <c r="AL397" i="13" s="1"/>
  <c r="H397" i="13"/>
  <c r="G397" i="13"/>
  <c r="AL406" i="13" a="1"/>
  <c r="AL406" i="13" s="1"/>
  <c r="H406" i="13"/>
  <c r="G406" i="13"/>
  <c r="J406" i="13" s="1"/>
  <c r="S406" i="13"/>
  <c r="S410" i="13"/>
  <c r="H410" i="13"/>
  <c r="S418" i="13"/>
  <c r="H418" i="13"/>
  <c r="AL430" i="13" a="1"/>
  <c r="AL430" i="13" s="1"/>
  <c r="S430" i="13"/>
  <c r="H430" i="13"/>
  <c r="G430" i="13"/>
  <c r="J430" i="13" s="1"/>
  <c r="S435" i="13"/>
  <c r="AL435" i="13" a="1"/>
  <c r="AL435" i="13" s="1"/>
  <c r="H435" i="13"/>
  <c r="H438" i="13"/>
  <c r="AL438" i="13" a="1"/>
  <c r="AL438" i="13" s="1"/>
  <c r="T454" i="13"/>
  <c r="G35" i="13"/>
  <c r="J35" i="13" s="1"/>
  <c r="G38" i="13"/>
  <c r="H40" i="13"/>
  <c r="T40" i="13"/>
  <c r="K41" i="13"/>
  <c r="Z41" i="13"/>
  <c r="S42" i="13"/>
  <c r="T51" i="13"/>
  <c r="K52" i="13"/>
  <c r="AU52" i="13" s="1"/>
  <c r="Z52" i="13"/>
  <c r="G54" i="13"/>
  <c r="S58" i="13"/>
  <c r="G61" i="13"/>
  <c r="S62" i="13"/>
  <c r="H63" i="13"/>
  <c r="H64" i="13"/>
  <c r="S72" i="13"/>
  <c r="S80" i="13"/>
  <c r="S82" i="13"/>
  <c r="S85" i="13"/>
  <c r="I86" i="13"/>
  <c r="Z89" i="13"/>
  <c r="Z99" i="13"/>
  <c r="AL99" i="13" a="1"/>
  <c r="AL99" i="13" s="1"/>
  <c r="G101" i="13"/>
  <c r="J101" i="13" s="1"/>
  <c r="G108" i="13"/>
  <c r="J108" i="13" s="1"/>
  <c r="Z113" i="13"/>
  <c r="I118" i="13"/>
  <c r="G121" i="13"/>
  <c r="S123" i="13"/>
  <c r="G124" i="13"/>
  <c r="J124" i="13" s="1"/>
  <c r="H128" i="13"/>
  <c r="Z129" i="13"/>
  <c r="I135" i="13"/>
  <c r="H137" i="13"/>
  <c r="S140" i="13"/>
  <c r="I141" i="13"/>
  <c r="T141" i="13"/>
  <c r="I142" i="13"/>
  <c r="T142" i="13"/>
  <c r="S146" i="13"/>
  <c r="H147" i="13"/>
  <c r="H148" i="13"/>
  <c r="I149" i="13"/>
  <c r="G162" i="13"/>
  <c r="S163" i="13"/>
  <c r="H164" i="13"/>
  <c r="I165" i="13"/>
  <c r="S166" i="13"/>
  <c r="G172" i="13"/>
  <c r="AQ172" i="13" s="1"/>
  <c r="G173" i="13"/>
  <c r="AQ173" i="13" s="1"/>
  <c r="G176" i="13"/>
  <c r="S177" i="13"/>
  <c r="I178" i="13"/>
  <c r="T178" i="13"/>
  <c r="G180" i="13"/>
  <c r="AQ180" i="13" s="1"/>
  <c r="G197" i="13"/>
  <c r="J197" i="13" s="1"/>
  <c r="S204" i="13"/>
  <c r="I205" i="13"/>
  <c r="T205" i="13"/>
  <c r="S215" i="13"/>
  <c r="I221" i="13"/>
  <c r="I224" i="13"/>
  <c r="I225" i="13"/>
  <c r="S229" i="13"/>
  <c r="I242" i="13"/>
  <c r="S243" i="13"/>
  <c r="S245" i="13"/>
  <c r="S253" i="13"/>
  <c r="S262" i="13"/>
  <c r="K277" i="13"/>
  <c r="T277" i="13"/>
  <c r="I277" i="13"/>
  <c r="Z277" i="13"/>
  <c r="AL281" i="13" a="1"/>
  <c r="AL281" i="13" s="1"/>
  <c r="H281" i="13"/>
  <c r="S281" i="13"/>
  <c r="AL285" i="13" a="1"/>
  <c r="AL285" i="13" s="1"/>
  <c r="H285" i="13"/>
  <c r="S285" i="13"/>
  <c r="H296" i="13"/>
  <c r="Z296" i="13"/>
  <c r="S297" i="13"/>
  <c r="T298" i="13"/>
  <c r="I301" i="13"/>
  <c r="T311" i="13"/>
  <c r="I311" i="13"/>
  <c r="T316" i="13"/>
  <c r="T323" i="13"/>
  <c r="AL328" i="13" a="1"/>
  <c r="AL328" i="13" s="1"/>
  <c r="H328" i="13"/>
  <c r="G328" i="13"/>
  <c r="AL335" i="13" a="1"/>
  <c r="AL335" i="13" s="1"/>
  <c r="H335" i="13"/>
  <c r="T355" i="13"/>
  <c r="K355" i="13"/>
  <c r="I355" i="13"/>
  <c r="T367" i="13"/>
  <c r="K367" i="13"/>
  <c r="T368" i="13"/>
  <c r="K371" i="13"/>
  <c r="T371" i="13"/>
  <c r="I371" i="13"/>
  <c r="H383" i="13"/>
  <c r="G383" i="13"/>
  <c r="AL383" i="13" a="1"/>
  <c r="AL383" i="13" s="1"/>
  <c r="H403" i="13"/>
  <c r="G403" i="13"/>
  <c r="S409" i="13"/>
  <c r="H409" i="13"/>
  <c r="S439" i="13"/>
  <c r="G478" i="13"/>
  <c r="J478" i="13" s="1"/>
  <c r="K480" i="13"/>
  <c r="K482" i="13"/>
  <c r="G484" i="13"/>
  <c r="AQ484" i="13" s="1"/>
  <c r="S499" i="13"/>
  <c r="T508" i="13"/>
  <c r="T511" i="13"/>
  <c r="T694" i="13"/>
  <c r="G521" i="13"/>
  <c r="AQ521" i="13" s="1"/>
  <c r="T526" i="13"/>
  <c r="H535" i="13"/>
  <c r="S535" i="13"/>
  <c r="T551" i="13"/>
  <c r="O267" i="6"/>
  <c r="R267" i="6" s="1"/>
  <c r="M10" i="6"/>
  <c r="O270" i="6"/>
  <c r="R270" i="6" s="1"/>
  <c r="M29" i="6"/>
  <c r="O29" i="6"/>
  <c r="M41" i="6"/>
  <c r="O41" i="6"/>
  <c r="O43" i="6"/>
  <c r="M43" i="6"/>
  <c r="W108" i="6"/>
  <c r="W48" i="6"/>
  <c r="O250" i="6"/>
  <c r="R250" i="6" s="1"/>
  <c r="O59" i="6"/>
  <c r="M93" i="6"/>
  <c r="O93" i="6"/>
  <c r="O338" i="6"/>
  <c r="O95" i="6"/>
  <c r="O230" i="6"/>
  <c r="R230" i="6" s="1"/>
  <c r="O131" i="6"/>
  <c r="Z278" i="13"/>
  <c r="G280" i="13"/>
  <c r="G284" i="13"/>
  <c r="S307" i="13"/>
  <c r="S315" i="13"/>
  <c r="K324" i="13"/>
  <c r="S329" i="13"/>
  <c r="T331" i="13"/>
  <c r="H332" i="13"/>
  <c r="I333" i="13"/>
  <c r="H345" i="13"/>
  <c r="Z348" i="13"/>
  <c r="G350" i="13"/>
  <c r="AQ350" i="13" s="1"/>
  <c r="T352" i="13"/>
  <c r="H353" i="13"/>
  <c r="S353" i="13"/>
  <c r="I358" i="13"/>
  <c r="K361" i="13"/>
  <c r="K362" i="13"/>
  <c r="AU362" i="13" s="1"/>
  <c r="T362" i="13"/>
  <c r="Z365" i="13"/>
  <c r="G367" i="13"/>
  <c r="K369" i="13"/>
  <c r="AU369" i="13" s="1"/>
  <c r="K375" i="13"/>
  <c r="S375" i="13"/>
  <c r="AL381" i="13" a="1"/>
  <c r="AL381" i="13" s="1"/>
  <c r="H386" i="13"/>
  <c r="S391" i="13"/>
  <c r="I398" i="13"/>
  <c r="Z401" i="13"/>
  <c r="H404" i="13"/>
  <c r="G405" i="13"/>
  <c r="Z416" i="13"/>
  <c r="Z422" i="13"/>
  <c r="H423" i="13"/>
  <c r="T425" i="13"/>
  <c r="H429" i="13"/>
  <c r="I431" i="13"/>
  <c r="K433" i="13"/>
  <c r="S434" i="13"/>
  <c r="H436" i="13"/>
  <c r="G440" i="13"/>
  <c r="I443" i="13"/>
  <c r="I471" i="13"/>
  <c r="G483" i="13"/>
  <c r="J483" i="13" s="1"/>
  <c r="I484" i="13"/>
  <c r="H487" i="13"/>
  <c r="AL487" i="13" a="1"/>
  <c r="AL487" i="13" s="1"/>
  <c r="I489" i="13"/>
  <c r="T489" i="13"/>
  <c r="H493" i="13"/>
  <c r="AL499" i="13" a="1"/>
  <c r="AL499" i="13" s="1"/>
  <c r="Z695" i="13"/>
  <c r="T544" i="13"/>
  <c r="K569" i="13"/>
  <c r="T569" i="13"/>
  <c r="O14" i="6"/>
  <c r="M14" i="6"/>
  <c r="W214" i="6"/>
  <c r="W33" i="6"/>
  <c r="W53" i="6"/>
  <c r="W191" i="6"/>
  <c r="W70" i="6"/>
  <c r="W201" i="6"/>
  <c r="W125" i="6"/>
  <c r="O542" i="6"/>
  <c r="M139" i="6"/>
  <c r="O303" i="6"/>
  <c r="R303" i="6" s="1"/>
  <c r="O144" i="6"/>
  <c r="Z324" i="13"/>
  <c r="S330" i="13"/>
  <c r="K333" i="13"/>
  <c r="AU333" i="13" s="1"/>
  <c r="Z338" i="13"/>
  <c r="S345" i="13"/>
  <c r="Z357" i="13"/>
  <c r="S358" i="13"/>
  <c r="Z361" i="13"/>
  <c r="Z369" i="13"/>
  <c r="Z371" i="13"/>
  <c r="K398" i="13"/>
  <c r="S404" i="13"/>
  <c r="S423" i="13"/>
  <c r="Z425" i="13"/>
  <c r="S429" i="13"/>
  <c r="K431" i="13"/>
  <c r="Z436" i="13"/>
  <c r="AL502" i="13" a="1"/>
  <c r="AL502" i="13" s="1"/>
  <c r="G502" i="13"/>
  <c r="J502" i="13" s="1"/>
  <c r="T519" i="13"/>
  <c r="AL521" i="13" a="1"/>
  <c r="AL521" i="13" s="1"/>
  <c r="H521" i="13"/>
  <c r="T527" i="13"/>
  <c r="T542" i="13"/>
  <c r="O9" i="6"/>
  <c r="M9" i="6"/>
  <c r="O80" i="6"/>
  <c r="R80" i="6" s="1"/>
  <c r="O30" i="6"/>
  <c r="M30" i="6"/>
  <c r="O32" i="6"/>
  <c r="M32" i="6"/>
  <c r="W98" i="6"/>
  <c r="W56" i="6"/>
  <c r="W58" i="6"/>
  <c r="O268" i="6"/>
  <c r="R268" i="6" s="1"/>
  <c r="O67" i="6"/>
  <c r="M69" i="6"/>
  <c r="O69" i="6"/>
  <c r="M88" i="6"/>
  <c r="O88" i="6"/>
  <c r="M121" i="6"/>
  <c r="O121" i="6"/>
  <c r="W124" i="6"/>
  <c r="V497" i="13"/>
  <c r="O136" i="6"/>
  <c r="M135" i="6"/>
  <c r="T272" i="13"/>
  <c r="G275" i="13"/>
  <c r="S280" i="13"/>
  <c r="S284" i="13"/>
  <c r="G288" i="13"/>
  <c r="J288" i="13" s="1"/>
  <c r="S298" i="13"/>
  <c r="H300" i="13"/>
  <c r="Z300" i="13"/>
  <c r="S301" i="13"/>
  <c r="H304" i="13"/>
  <c r="Z304" i="13"/>
  <c r="S305" i="13"/>
  <c r="I306" i="13"/>
  <c r="G307" i="13"/>
  <c r="J307" i="13" s="1"/>
  <c r="S308" i="13"/>
  <c r="H309" i="13"/>
  <c r="K310" i="13"/>
  <c r="Z310" i="13"/>
  <c r="G315" i="13"/>
  <c r="J315" i="13" s="1"/>
  <c r="S316" i="13"/>
  <c r="H317" i="13"/>
  <c r="I318" i="13"/>
  <c r="Z318" i="13"/>
  <c r="Z321" i="13"/>
  <c r="G324" i="13"/>
  <c r="G329" i="13"/>
  <c r="S332" i="13"/>
  <c r="G333" i="13"/>
  <c r="AQ333" i="13" s="1"/>
  <c r="I334" i="13"/>
  <c r="T334" i="13"/>
  <c r="I335" i="13"/>
  <c r="T335" i="13"/>
  <c r="I336" i="13"/>
  <c r="T336" i="13"/>
  <c r="I337" i="13"/>
  <c r="T337" i="13"/>
  <c r="I342" i="13"/>
  <c r="K343" i="13"/>
  <c r="T345" i="13"/>
  <c r="K346" i="13"/>
  <c r="K347" i="13"/>
  <c r="S350" i="13"/>
  <c r="G360" i="13"/>
  <c r="AQ360" i="13" s="1"/>
  <c r="H361" i="13"/>
  <c r="I364" i="13"/>
  <c r="T364" i="13"/>
  <c r="S368" i="13"/>
  <c r="H369" i="13"/>
  <c r="I373" i="13"/>
  <c r="T373" i="13"/>
  <c r="G381" i="13"/>
  <c r="AQ381" i="13" s="1"/>
  <c r="S381" i="13"/>
  <c r="S386" i="13"/>
  <c r="I388" i="13"/>
  <c r="T388" i="13"/>
  <c r="G398" i="13"/>
  <c r="H399" i="13"/>
  <c r="H400" i="13"/>
  <c r="I402" i="13"/>
  <c r="S405" i="13"/>
  <c r="I415" i="13"/>
  <c r="I421" i="13"/>
  <c r="H472" i="13"/>
  <c r="AL472" i="13" a="1"/>
  <c r="AL472" i="13" s="1"/>
  <c r="T482" i="13"/>
  <c r="AL486" i="13" a="1"/>
  <c r="AL486" i="13" s="1"/>
  <c r="K559" i="13"/>
  <c r="AU559" i="13" s="1"/>
  <c r="T559" i="13"/>
  <c r="Z566" i="13"/>
  <c r="K579" i="13"/>
  <c r="T579" i="13"/>
  <c r="M13" i="6"/>
  <c r="O13" i="6"/>
  <c r="O365" i="6"/>
  <c r="M15" i="6"/>
  <c r="M39" i="6"/>
  <c r="O39" i="6"/>
  <c r="O46" i="6"/>
  <c r="M46" i="6"/>
  <c r="O57" i="6"/>
  <c r="M57" i="6"/>
  <c r="W268" i="6"/>
  <c r="W67" i="6"/>
  <c r="W348" i="6"/>
  <c r="W72" i="6"/>
  <c r="O81" i="6"/>
  <c r="M81" i="6"/>
  <c r="O87" i="6"/>
  <c r="M87" i="6"/>
  <c r="W350" i="6"/>
  <c r="W94" i="6"/>
  <c r="W366" i="6"/>
  <c r="W97" i="6"/>
  <c r="W438" i="6"/>
  <c r="W102" i="6"/>
  <c r="O203" i="6"/>
  <c r="M129" i="6"/>
  <c r="W481" i="6"/>
  <c r="W186" i="6"/>
  <c r="M205" i="6"/>
  <c r="O205" i="6"/>
  <c r="O226" i="6"/>
  <c r="R226" i="6" s="1"/>
  <c r="W66" i="6"/>
  <c r="W4" i="6"/>
  <c r="W225" i="6"/>
  <c r="W105" i="6"/>
  <c r="O106" i="6"/>
  <c r="R106" i="6" s="1"/>
  <c r="O313" i="6"/>
  <c r="R313" i="6" s="1"/>
  <c r="W171" i="6"/>
  <c r="O531" i="6"/>
  <c r="O154" i="6"/>
  <c r="W162" i="6"/>
  <c r="O165" i="6"/>
  <c r="R165" i="6" s="1"/>
  <c r="O187" i="6"/>
  <c r="M234" i="6"/>
  <c r="O247" i="6"/>
  <c r="O256" i="6"/>
  <c r="M277" i="6"/>
  <c r="O277" i="6"/>
  <c r="O360" i="6"/>
  <c r="O281" i="6"/>
  <c r="M281" i="6"/>
  <c r="M283" i="6"/>
  <c r="O283" i="6"/>
  <c r="O429" i="6"/>
  <c r="O394" i="6"/>
  <c r="M394" i="6"/>
  <c r="M451" i="6"/>
  <c r="O451" i="6"/>
  <c r="M491" i="6"/>
  <c r="O491" i="6"/>
  <c r="V494" i="6"/>
  <c r="V55" i="13" s="1"/>
  <c r="M494" i="6"/>
  <c r="M501" i="6"/>
  <c r="V501" i="6"/>
  <c r="T499" i="13"/>
  <c r="T517" i="13"/>
  <c r="T521" i="13"/>
  <c r="T528" i="13"/>
  <c r="T568" i="13"/>
  <c r="T570" i="13"/>
  <c r="T573" i="13"/>
  <c r="O216" i="6"/>
  <c r="R216" i="6" s="1"/>
  <c r="W270" i="6"/>
  <c r="O265" i="6"/>
  <c r="O512" i="6"/>
  <c r="M180" i="6"/>
  <c r="M189" i="6"/>
  <c r="M208" i="6"/>
  <c r="O234" i="6"/>
  <c r="M247" i="6"/>
  <c r="M262" i="6"/>
  <c r="M324" i="6"/>
  <c r="V324" i="6"/>
  <c r="W1429" i="6" s="1"/>
  <c r="O361" i="6"/>
  <c r="M361" i="6"/>
  <c r="M341" i="6"/>
  <c r="M455" i="6"/>
  <c r="V455" i="6"/>
  <c r="O460" i="6"/>
  <c r="M458" i="6"/>
  <c r="O467" i="6"/>
  <c r="M467" i="6"/>
  <c r="O509" i="6"/>
  <c r="M509" i="6"/>
  <c r="W452" i="6"/>
  <c r="W292" i="6"/>
  <c r="O392" i="6"/>
  <c r="W390" i="6"/>
  <c r="W387" i="6"/>
  <c r="O493" i="6"/>
  <c r="M435" i="6"/>
  <c r="O440" i="6"/>
  <c r="M440" i="6"/>
  <c r="M454" i="6"/>
  <c r="O454" i="6"/>
  <c r="O496" i="6"/>
  <c r="V496" i="6"/>
  <c r="M496" i="6"/>
  <c r="M488" i="6"/>
  <c r="O418" i="6"/>
  <c r="O511" i="6"/>
  <c r="O514" i="6"/>
  <c r="O544" i="6"/>
  <c r="AL11" i="13" a="1"/>
  <c r="AL11" i="13" s="1"/>
  <c r="AL37" i="13" a="1"/>
  <c r="AL37" i="13" s="1"/>
  <c r="AL41" i="13" a="1"/>
  <c r="AL41" i="13" s="1"/>
  <c r="S45" i="13"/>
  <c r="AL47" i="13" a="1"/>
  <c r="AL47" i="13" s="1"/>
  <c r="AL52" i="13" a="1"/>
  <c r="AL52" i="13" s="1"/>
  <c r="AL56" i="13" a="1"/>
  <c r="AL56" i="13" s="1"/>
  <c r="AL69" i="13" a="1"/>
  <c r="AL69" i="13" s="1"/>
  <c r="AL76" i="13" a="1"/>
  <c r="AL76" i="13" s="1"/>
  <c r="AL104" i="13" a="1"/>
  <c r="AL104" i="13" s="1"/>
  <c r="T107" i="13"/>
  <c r="K110" i="13"/>
  <c r="AU110" i="13" s="1"/>
  <c r="S110" i="13"/>
  <c r="AL110" i="13" a="1"/>
  <c r="AL110" i="13" s="1"/>
  <c r="H112" i="13"/>
  <c r="S113" i="13"/>
  <c r="G113" i="13"/>
  <c r="T113" i="13"/>
  <c r="T119" i="13"/>
  <c r="I119" i="13"/>
  <c r="AL25" i="13" a="1"/>
  <c r="AL25" i="13" s="1"/>
  <c r="Z2" i="13"/>
  <c r="G4" i="13"/>
  <c r="K4" i="13"/>
  <c r="S4" i="13"/>
  <c r="Z6" i="13"/>
  <c r="Z7" i="13"/>
  <c r="AL8" i="13" a="1"/>
  <c r="AL8" i="13" s="1"/>
  <c r="G12" i="13"/>
  <c r="K12" i="13"/>
  <c r="T12" i="13"/>
  <c r="G13" i="13"/>
  <c r="K13" i="13"/>
  <c r="S13" i="13"/>
  <c r="T14" i="13"/>
  <c r="G16" i="13"/>
  <c r="K16" i="13"/>
  <c r="S16" i="13"/>
  <c r="G17" i="13"/>
  <c r="K17" i="13"/>
  <c r="AU17" i="13" s="1"/>
  <c r="S17" i="13"/>
  <c r="T20" i="13"/>
  <c r="H21" i="13"/>
  <c r="T21" i="13"/>
  <c r="Z23" i="13"/>
  <c r="AL24" i="13" a="1"/>
  <c r="AL24" i="13" s="1"/>
  <c r="G26" i="13"/>
  <c r="K26" i="13"/>
  <c r="S26" i="13"/>
  <c r="Z27" i="13"/>
  <c r="G28" i="13"/>
  <c r="K28" i="13"/>
  <c r="S28" i="13"/>
  <c r="G29" i="13"/>
  <c r="K29" i="13"/>
  <c r="AU29" i="13" s="1"/>
  <c r="S29" i="13"/>
  <c r="H30" i="13"/>
  <c r="H31" i="13"/>
  <c r="H33" i="13"/>
  <c r="H35" i="13"/>
  <c r="I36" i="13"/>
  <c r="AL36" i="13" a="1"/>
  <c r="AL36" i="13" s="1"/>
  <c r="K38" i="13"/>
  <c r="AU38" i="13" s="1"/>
  <c r="I40" i="13"/>
  <c r="AL40" i="13" a="1"/>
  <c r="AL40" i="13" s="1"/>
  <c r="K42" i="13"/>
  <c r="H43" i="13"/>
  <c r="I44" i="13"/>
  <c r="AL44" i="13" a="1"/>
  <c r="AL44" i="13" s="1"/>
  <c r="G48" i="13"/>
  <c r="K48" i="13"/>
  <c r="S48" i="13"/>
  <c r="H49" i="13"/>
  <c r="I50" i="13"/>
  <c r="AL50" i="13" a="1"/>
  <c r="AL50" i="13" s="1"/>
  <c r="K54" i="13"/>
  <c r="K57" i="13"/>
  <c r="K58" i="13"/>
  <c r="H61" i="13"/>
  <c r="H62" i="13"/>
  <c r="I64" i="13"/>
  <c r="AL64" i="13" a="1"/>
  <c r="AL64" i="13" s="1"/>
  <c r="I67" i="13"/>
  <c r="I68" i="13"/>
  <c r="AL68" i="13" a="1"/>
  <c r="AL68" i="13" s="1"/>
  <c r="H71" i="13"/>
  <c r="H72" i="13"/>
  <c r="Z74" i="13"/>
  <c r="AL75" i="13" a="1"/>
  <c r="AL75" i="13" s="1"/>
  <c r="G77" i="13"/>
  <c r="K77" i="13"/>
  <c r="AU77" i="13" s="1"/>
  <c r="S77" i="13"/>
  <c r="G78" i="13"/>
  <c r="K78" i="13"/>
  <c r="AU78" i="13" s="1"/>
  <c r="S78" i="13"/>
  <c r="H79" i="13"/>
  <c r="H80" i="13"/>
  <c r="I81" i="13"/>
  <c r="Z81" i="13"/>
  <c r="AL81" i="13" a="1"/>
  <c r="AL81" i="13" s="1"/>
  <c r="I82" i="13"/>
  <c r="Z82" i="13"/>
  <c r="H85" i="13"/>
  <c r="H86" i="13"/>
  <c r="G89" i="13"/>
  <c r="K89" i="13"/>
  <c r="S89" i="13"/>
  <c r="G92" i="13"/>
  <c r="K92" i="13"/>
  <c r="T92" i="13"/>
  <c r="G99" i="13"/>
  <c r="K99" i="13"/>
  <c r="AU99" i="13" s="1"/>
  <c r="S99" i="13"/>
  <c r="G100" i="13"/>
  <c r="K100" i="13"/>
  <c r="AU100" i="13" s="1"/>
  <c r="S100" i="13"/>
  <c r="H101" i="13"/>
  <c r="T101" i="13"/>
  <c r="AL103" i="13" a="1"/>
  <c r="AL103" i="13" s="1"/>
  <c r="Z105" i="13"/>
  <c r="K106" i="13"/>
  <c r="S106" i="13"/>
  <c r="AL106" i="13" a="1"/>
  <c r="AL106" i="13" s="1"/>
  <c r="H118" i="13"/>
  <c r="S118" i="13"/>
  <c r="G118" i="13"/>
  <c r="AL118" i="13" a="1"/>
  <c r="AL118" i="13" s="1"/>
  <c r="K121" i="13"/>
  <c r="I121" i="13"/>
  <c r="T121" i="13"/>
  <c r="K122" i="13"/>
  <c r="AU122" i="13" s="1"/>
  <c r="I122" i="13"/>
  <c r="T122" i="13"/>
  <c r="AL10" i="13" a="1"/>
  <c r="AL10" i="13" s="1"/>
  <c r="AL15" i="13" a="1"/>
  <c r="AL15" i="13" s="1"/>
  <c r="T4" i="13"/>
  <c r="G8" i="13"/>
  <c r="S8" i="13"/>
  <c r="G9" i="13"/>
  <c r="S9" i="13"/>
  <c r="G10" i="13"/>
  <c r="S10" i="13"/>
  <c r="G11" i="13"/>
  <c r="S11" i="13"/>
  <c r="H12" i="13"/>
  <c r="H13" i="13"/>
  <c r="T13" i="13"/>
  <c r="G15" i="13"/>
  <c r="S15" i="13"/>
  <c r="T16" i="13"/>
  <c r="H17" i="13"/>
  <c r="T17" i="13"/>
  <c r="T18" i="13"/>
  <c r="Z20" i="13"/>
  <c r="Z21" i="13"/>
  <c r="G24" i="13"/>
  <c r="S24" i="13"/>
  <c r="G25" i="13"/>
  <c r="S25" i="13"/>
  <c r="H26" i="13"/>
  <c r="T26" i="13"/>
  <c r="H27" i="13"/>
  <c r="T28" i="13"/>
  <c r="T29" i="13"/>
  <c r="Z30" i="13"/>
  <c r="Z35" i="13"/>
  <c r="G37" i="13"/>
  <c r="S37" i="13"/>
  <c r="T38" i="13"/>
  <c r="G41" i="13"/>
  <c r="S41" i="13"/>
  <c r="T42" i="13"/>
  <c r="Z43" i="13"/>
  <c r="G47" i="13"/>
  <c r="S47" i="13"/>
  <c r="T48" i="13"/>
  <c r="Z49" i="13"/>
  <c r="G52" i="13"/>
  <c r="S52" i="13"/>
  <c r="T54" i="13"/>
  <c r="G56" i="13"/>
  <c r="S56" i="13"/>
  <c r="T57" i="13"/>
  <c r="T58" i="13"/>
  <c r="Z61" i="13"/>
  <c r="Z62" i="13"/>
  <c r="AL63" i="13" a="1"/>
  <c r="AL63" i="13" s="1"/>
  <c r="G69" i="13"/>
  <c r="S69" i="13"/>
  <c r="Z71" i="13"/>
  <c r="Z72" i="13"/>
  <c r="G75" i="13"/>
  <c r="S75" i="13"/>
  <c r="G76" i="13"/>
  <c r="S76" i="13"/>
  <c r="T77" i="13"/>
  <c r="T78" i="13"/>
  <c r="Z79" i="13"/>
  <c r="Z80" i="13"/>
  <c r="Z85" i="13"/>
  <c r="Z86" i="13"/>
  <c r="T88" i="13"/>
  <c r="H89" i="13"/>
  <c r="T89" i="13"/>
  <c r="H92" i="13"/>
  <c r="G98" i="13"/>
  <c r="S98" i="13"/>
  <c r="T99" i="13"/>
  <c r="H100" i="13"/>
  <c r="T100" i="13"/>
  <c r="Z101" i="13"/>
  <c r="G103" i="13"/>
  <c r="S103" i="13"/>
  <c r="G104" i="13"/>
  <c r="S104" i="13"/>
  <c r="H105" i="13"/>
  <c r="G106" i="13"/>
  <c r="Z106" i="13"/>
  <c r="K108" i="13"/>
  <c r="I110" i="13"/>
  <c r="S112" i="13"/>
  <c r="H113" i="13"/>
  <c r="S114" i="13"/>
  <c r="G114" i="13"/>
  <c r="T114" i="13"/>
  <c r="AL114" i="13" a="1"/>
  <c r="AL114" i="13" s="1"/>
  <c r="AL9" i="13" a="1"/>
  <c r="AL9" i="13" s="1"/>
  <c r="G36" i="13"/>
  <c r="Z38" i="13"/>
  <c r="G40" i="13"/>
  <c r="Z42" i="13"/>
  <c r="G44" i="13"/>
  <c r="Z48" i="13"/>
  <c r="G50" i="13"/>
  <c r="Z54" i="13"/>
  <c r="Z57" i="13"/>
  <c r="Z58" i="13"/>
  <c r="G63" i="13"/>
  <c r="G64" i="13"/>
  <c r="G67" i="13"/>
  <c r="G68" i="13"/>
  <c r="G74" i="13"/>
  <c r="G81" i="13"/>
  <c r="S105" i="13"/>
  <c r="K111" i="13"/>
  <c r="AU111" i="13" s="1"/>
  <c r="G112" i="13"/>
  <c r="I113" i="13"/>
  <c r="H117" i="13"/>
  <c r="S117" i="13"/>
  <c r="G117" i="13"/>
  <c r="AL117" i="13" a="1"/>
  <c r="AL117" i="13" s="1"/>
  <c r="T120" i="13"/>
  <c r="T116" i="13"/>
  <c r="Z123" i="13"/>
  <c r="Z124" i="13"/>
  <c r="Z126" i="13"/>
  <c r="G129" i="13"/>
  <c r="K129" i="13"/>
  <c r="AU129" i="13" s="1"/>
  <c r="S129" i="13"/>
  <c r="G130" i="13"/>
  <c r="K130" i="13"/>
  <c r="AU130" i="13" s="1"/>
  <c r="S130" i="13"/>
  <c r="G133" i="13"/>
  <c r="K133" i="13"/>
  <c r="AU133" i="13" s="1"/>
  <c r="S133" i="13"/>
  <c r="Z134" i="13"/>
  <c r="G135" i="13"/>
  <c r="K135" i="13"/>
  <c r="S135" i="13"/>
  <c r="G136" i="13"/>
  <c r="K136" i="13"/>
  <c r="S136" i="13"/>
  <c r="T139" i="13"/>
  <c r="Z140" i="13"/>
  <c r="G143" i="13"/>
  <c r="K143" i="13"/>
  <c r="AU143" i="13" s="1"/>
  <c r="S143" i="13"/>
  <c r="T144" i="13"/>
  <c r="Z145" i="13"/>
  <c r="Z146" i="13"/>
  <c r="AL147" i="13" a="1"/>
  <c r="AL147" i="13" s="1"/>
  <c r="G149" i="13"/>
  <c r="K149" i="13"/>
  <c r="S149" i="13"/>
  <c r="G151" i="13"/>
  <c r="K151" i="13"/>
  <c r="S151" i="13"/>
  <c r="T152" i="13"/>
  <c r="Z153" i="13"/>
  <c r="Z154" i="13"/>
  <c r="AL155" i="13" a="1"/>
  <c r="AL155" i="13" s="1"/>
  <c r="G157" i="13"/>
  <c r="K157" i="13"/>
  <c r="AU157" i="13" s="1"/>
  <c r="S157" i="13"/>
  <c r="Z159" i="13"/>
  <c r="T162" i="13"/>
  <c r="Z163" i="13"/>
  <c r="G165" i="13"/>
  <c r="K165" i="13"/>
  <c r="S165" i="13"/>
  <c r="T166" i="13"/>
  <c r="Z167" i="13"/>
  <c r="G170" i="13"/>
  <c r="Z170" i="13"/>
  <c r="G171" i="13"/>
  <c r="K171" i="13"/>
  <c r="S171" i="13"/>
  <c r="T172" i="13"/>
  <c r="Z173" i="13"/>
  <c r="G175" i="13"/>
  <c r="K175" i="13"/>
  <c r="S175" i="13"/>
  <c r="T176" i="13"/>
  <c r="Z177" i="13"/>
  <c r="G179" i="13"/>
  <c r="K179" i="13"/>
  <c r="S179" i="13"/>
  <c r="G182" i="13"/>
  <c r="K182" i="13"/>
  <c r="S182" i="13"/>
  <c r="T183" i="13"/>
  <c r="Z184" i="13"/>
  <c r="G186" i="13"/>
  <c r="K186" i="13"/>
  <c r="S186" i="13"/>
  <c r="T187" i="13"/>
  <c r="Z188" i="13"/>
  <c r="G190" i="13"/>
  <c r="K190" i="13"/>
  <c r="S190" i="13"/>
  <c r="T191" i="13"/>
  <c r="Z192" i="13"/>
  <c r="T194" i="13"/>
  <c r="G195" i="13"/>
  <c r="K195" i="13"/>
  <c r="AU195" i="13" s="1"/>
  <c r="S195" i="13"/>
  <c r="G196" i="13"/>
  <c r="K196" i="13"/>
  <c r="S196" i="13"/>
  <c r="T198" i="13"/>
  <c r="Z199" i="13"/>
  <c r="AL199" i="13" a="1"/>
  <c r="AL199" i="13" s="1"/>
  <c r="Z200" i="13"/>
  <c r="T202" i="13"/>
  <c r="Z203" i="13"/>
  <c r="Z204" i="13"/>
  <c r="G208" i="13"/>
  <c r="K208" i="13"/>
  <c r="S208" i="13"/>
  <c r="T209" i="13"/>
  <c r="Z210" i="13"/>
  <c r="T214" i="13"/>
  <c r="Z215" i="13"/>
  <c r="G220" i="13"/>
  <c r="K220" i="13"/>
  <c r="S220" i="13"/>
  <c r="G221" i="13"/>
  <c r="K221" i="13"/>
  <c r="S221" i="13"/>
  <c r="G222" i="13"/>
  <c r="AQ222" i="13" s="1"/>
  <c r="T222" i="13"/>
  <c r="G224" i="13"/>
  <c r="K224" i="13"/>
  <c r="AU224" i="13" s="1"/>
  <c r="G225" i="13"/>
  <c r="K225" i="13"/>
  <c r="AU225" i="13" s="1"/>
  <c r="S225" i="13"/>
  <c r="G226" i="13"/>
  <c r="K226" i="13"/>
  <c r="AU226" i="13" s="1"/>
  <c r="S226" i="13"/>
  <c r="H227" i="13"/>
  <c r="T227" i="13"/>
  <c r="Z228" i="13"/>
  <c r="Z229" i="13"/>
  <c r="Z230" i="13"/>
  <c r="G233" i="13"/>
  <c r="K233" i="13"/>
  <c r="S233" i="13"/>
  <c r="G234" i="13"/>
  <c r="K234" i="13"/>
  <c r="S234" i="13"/>
  <c r="H235" i="13"/>
  <c r="I236" i="13"/>
  <c r="Z236" i="13"/>
  <c r="G239" i="13"/>
  <c r="K239" i="13"/>
  <c r="AU239" i="13" s="1"/>
  <c r="S239" i="13"/>
  <c r="G240" i="13"/>
  <c r="K240" i="13"/>
  <c r="S240" i="13"/>
  <c r="H241" i="13"/>
  <c r="H242" i="13"/>
  <c r="H243" i="13"/>
  <c r="H244" i="13"/>
  <c r="AL244" i="13" a="1"/>
  <c r="AL244" i="13" s="1"/>
  <c r="H245" i="13"/>
  <c r="H247" i="13"/>
  <c r="K248" i="13"/>
  <c r="AU248" i="13" s="1"/>
  <c r="S254" i="13"/>
  <c r="G254" i="13"/>
  <c r="H254" i="13"/>
  <c r="Z108" i="13"/>
  <c r="Z111" i="13"/>
  <c r="Z121" i="13"/>
  <c r="Z122" i="13"/>
  <c r="AL123" i="13" a="1"/>
  <c r="AL123" i="13" s="1"/>
  <c r="G128" i="13"/>
  <c r="S128" i="13"/>
  <c r="H129" i="13"/>
  <c r="H130" i="13"/>
  <c r="H133" i="13"/>
  <c r="H134" i="13"/>
  <c r="H135" i="13"/>
  <c r="H136" i="13"/>
  <c r="I139" i="13"/>
  <c r="Z139" i="13"/>
  <c r="G141" i="13"/>
  <c r="S141" i="13"/>
  <c r="G142" i="13"/>
  <c r="S142" i="13"/>
  <c r="H143" i="13"/>
  <c r="Z144" i="13"/>
  <c r="G147" i="13"/>
  <c r="G148" i="13"/>
  <c r="S148" i="13"/>
  <c r="H149" i="13"/>
  <c r="H151" i="13"/>
  <c r="I152" i="13"/>
  <c r="Z152" i="13"/>
  <c r="G155" i="13"/>
  <c r="S155" i="13"/>
  <c r="G156" i="13"/>
  <c r="S156" i="13"/>
  <c r="H157" i="13"/>
  <c r="I162" i="13"/>
  <c r="Z162" i="13"/>
  <c r="G164" i="13"/>
  <c r="S164" i="13"/>
  <c r="H165" i="13"/>
  <c r="I166" i="13"/>
  <c r="Z166" i="13"/>
  <c r="G169" i="13"/>
  <c r="S169" i="13"/>
  <c r="H170" i="13"/>
  <c r="H171" i="13"/>
  <c r="I172" i="13"/>
  <c r="Z172" i="13"/>
  <c r="G174" i="13"/>
  <c r="S174" i="13"/>
  <c r="H175" i="13"/>
  <c r="Z176" i="13"/>
  <c r="G178" i="13"/>
  <c r="S178" i="13"/>
  <c r="H179" i="13"/>
  <c r="T179" i="13"/>
  <c r="I180" i="13"/>
  <c r="G181" i="13"/>
  <c r="S181" i="13"/>
  <c r="H182" i="13"/>
  <c r="T182" i="13"/>
  <c r="Z183" i="13"/>
  <c r="G185" i="13"/>
  <c r="S185" i="13"/>
  <c r="H186" i="13"/>
  <c r="T186" i="13"/>
  <c r="Z187" i="13"/>
  <c r="G189" i="13"/>
  <c r="S189" i="13"/>
  <c r="H190" i="13"/>
  <c r="T190" i="13"/>
  <c r="Z191" i="13"/>
  <c r="G193" i="13"/>
  <c r="S193" i="13"/>
  <c r="H195" i="13"/>
  <c r="H196" i="13"/>
  <c r="T196" i="13"/>
  <c r="Z198" i="13"/>
  <c r="Z202" i="13"/>
  <c r="G205" i="13"/>
  <c r="S205" i="13"/>
  <c r="G206" i="13"/>
  <c r="K206" i="13"/>
  <c r="G207" i="13"/>
  <c r="S207" i="13"/>
  <c r="H208" i="13"/>
  <c r="T208" i="13"/>
  <c r="Z209" i="13"/>
  <c r="G211" i="13"/>
  <c r="S211" i="13"/>
  <c r="Z214" i="13"/>
  <c r="G217" i="13"/>
  <c r="G218" i="13"/>
  <c r="S218" i="13"/>
  <c r="G219" i="13"/>
  <c r="S219" i="13"/>
  <c r="H220" i="13"/>
  <c r="H221" i="13"/>
  <c r="H222" i="13"/>
  <c r="H224" i="13"/>
  <c r="AL224" i="13" a="1"/>
  <c r="AL224" i="13" s="1"/>
  <c r="H225" i="13"/>
  <c r="H226" i="13"/>
  <c r="I227" i="13"/>
  <c r="Z227" i="13"/>
  <c r="G232" i="13"/>
  <c r="S232" i="13"/>
  <c r="H233" i="13"/>
  <c r="T233" i="13"/>
  <c r="T234" i="13"/>
  <c r="Z235" i="13"/>
  <c r="AL235" i="13" a="1"/>
  <c r="AL235" i="13" s="1"/>
  <c r="J236" i="13"/>
  <c r="G237" i="13"/>
  <c r="S237" i="13"/>
  <c r="G238" i="13"/>
  <c r="S238" i="13"/>
  <c r="H239" i="13"/>
  <c r="T239" i="13"/>
  <c r="AL241" i="13" a="1"/>
  <c r="AL241" i="13" s="1"/>
  <c r="Z243" i="13"/>
  <c r="Z245" i="13"/>
  <c r="S249" i="13"/>
  <c r="AL249" i="13" a="1"/>
  <c r="AL249" i="13" s="1"/>
  <c r="I249" i="13"/>
  <c r="H252" i="13"/>
  <c r="S273" i="13"/>
  <c r="G273" i="13"/>
  <c r="H273" i="13"/>
  <c r="T274" i="13"/>
  <c r="K274" i="13"/>
  <c r="AU274" i="13" s="1"/>
  <c r="I274" i="13"/>
  <c r="S277" i="13"/>
  <c r="G277" i="13"/>
  <c r="H277" i="13"/>
  <c r="AL277" i="13" a="1"/>
  <c r="AL277" i="13" s="1"/>
  <c r="S134" i="13"/>
  <c r="H141" i="13"/>
  <c r="S170" i="13"/>
  <c r="H174" i="13"/>
  <c r="H178" i="13"/>
  <c r="K180" i="13"/>
  <c r="H181" i="13"/>
  <c r="H185" i="13"/>
  <c r="H189" i="13"/>
  <c r="H193" i="13"/>
  <c r="G199" i="13"/>
  <c r="H206" i="13"/>
  <c r="H207" i="13"/>
  <c r="H211" i="13"/>
  <c r="H217" i="13"/>
  <c r="H218" i="13"/>
  <c r="I222" i="13"/>
  <c r="AU222" i="13"/>
  <c r="H232" i="13"/>
  <c r="H237" i="13"/>
  <c r="H238" i="13"/>
  <c r="K247" i="13"/>
  <c r="T249" i="13"/>
  <c r="S258" i="13"/>
  <c r="H258" i="13"/>
  <c r="T259" i="13"/>
  <c r="K259" i="13"/>
  <c r="I259" i="13"/>
  <c r="AL273" i="13" a="1"/>
  <c r="AL273" i="13" s="1"/>
  <c r="G241" i="13"/>
  <c r="S255" i="13"/>
  <c r="G255" i="13"/>
  <c r="H255" i="13"/>
  <c r="S266" i="13"/>
  <c r="G266" i="13"/>
  <c r="H266" i="13"/>
  <c r="G251" i="13"/>
  <c r="S251" i="13"/>
  <c r="AL259" i="13" a="1"/>
  <c r="AL259" i="13" s="1"/>
  <c r="AQ272" i="13"/>
  <c r="AL274" i="13" a="1"/>
  <c r="AL274" i="13" s="1"/>
  <c r="AQ276" i="13"/>
  <c r="I278" i="13"/>
  <c r="AL278" i="13" a="1"/>
  <c r="AL278" i="13" s="1"/>
  <c r="AQ281" i="13"/>
  <c r="H282" i="13"/>
  <c r="I283" i="13"/>
  <c r="AL283" i="13" a="1"/>
  <c r="AL283" i="13" s="1"/>
  <c r="AQ285" i="13"/>
  <c r="H286" i="13"/>
  <c r="I287" i="13"/>
  <c r="H289" i="13"/>
  <c r="I290" i="13"/>
  <c r="I291" i="13"/>
  <c r="AL291" i="13" a="1"/>
  <c r="AL291" i="13" s="1"/>
  <c r="H293" i="13"/>
  <c r="I295" i="13"/>
  <c r="AL295" i="13" a="1"/>
  <c r="AL295" i="13" s="1"/>
  <c r="AL299" i="13" a="1"/>
  <c r="AL299" i="13" s="1"/>
  <c r="AL311" i="13" a="1"/>
  <c r="AL311" i="13" s="1"/>
  <c r="AL312" i="13" a="1"/>
  <c r="AL312" i="13" s="1"/>
  <c r="AL319" i="13" a="1"/>
  <c r="AL319" i="13" s="1"/>
  <c r="S320" i="13"/>
  <c r="I321" i="13"/>
  <c r="AL321" i="13" a="1"/>
  <c r="AL321" i="13" s="1"/>
  <c r="H323" i="13"/>
  <c r="H324" i="13"/>
  <c r="S325" i="13"/>
  <c r="G325" i="13"/>
  <c r="AL325" i="13" a="1"/>
  <c r="AL325" i="13" s="1"/>
  <c r="T327" i="13"/>
  <c r="AL282" i="13" a="1"/>
  <c r="AL282" i="13" s="1"/>
  <c r="AL286" i="13" a="1"/>
  <c r="AL286" i="13" s="1"/>
  <c r="K287" i="13"/>
  <c r="K290" i="13"/>
  <c r="AL293" i="13" a="1"/>
  <c r="AL293" i="13" s="1"/>
  <c r="G296" i="13"/>
  <c r="K296" i="13"/>
  <c r="AU296" i="13" s="1"/>
  <c r="S296" i="13"/>
  <c r="H297" i="13"/>
  <c r="I298" i="13"/>
  <c r="Z298" i="13"/>
  <c r="G300" i="13"/>
  <c r="K300" i="13"/>
  <c r="AU300" i="13" s="1"/>
  <c r="S300" i="13"/>
  <c r="H301" i="13"/>
  <c r="G303" i="13"/>
  <c r="K303" i="13"/>
  <c r="AU303" i="13" s="1"/>
  <c r="S303" i="13"/>
  <c r="G304" i="13"/>
  <c r="K304" i="13"/>
  <c r="AU304" i="13" s="1"/>
  <c r="S304" i="13"/>
  <c r="H305" i="13"/>
  <c r="H306" i="13"/>
  <c r="H307" i="13"/>
  <c r="H308" i="13"/>
  <c r="I309" i="13"/>
  <c r="AL309" i="13" a="1"/>
  <c r="AL309" i="13" s="1"/>
  <c r="AL310" i="13" a="1"/>
  <c r="AL310" i="13" s="1"/>
  <c r="G313" i="13"/>
  <c r="K313" i="13"/>
  <c r="S313" i="13"/>
  <c r="G314" i="13"/>
  <c r="K314" i="13"/>
  <c r="S314" i="13"/>
  <c r="H315" i="13"/>
  <c r="H316" i="13"/>
  <c r="AL317" i="13" a="1"/>
  <c r="AL317" i="13" s="1"/>
  <c r="AL318" i="13" a="1"/>
  <c r="AL318" i="13" s="1"/>
  <c r="I323" i="13"/>
  <c r="H250" i="13"/>
  <c r="T250" i="13"/>
  <c r="Z253" i="13"/>
  <c r="Z257" i="13"/>
  <c r="G259" i="13"/>
  <c r="S259" i="13"/>
  <c r="H260" i="13"/>
  <c r="H261" i="13"/>
  <c r="T261" i="13"/>
  <c r="Z262" i="13"/>
  <c r="H264" i="13"/>
  <c r="T264" i="13"/>
  <c r="Z265" i="13"/>
  <c r="H271" i="13"/>
  <c r="T271" i="13"/>
  <c r="Z272" i="13"/>
  <c r="G274" i="13"/>
  <c r="S274" i="13"/>
  <c r="H275" i="13"/>
  <c r="T275" i="13"/>
  <c r="Z276" i="13"/>
  <c r="G278" i="13"/>
  <c r="K278" i="13"/>
  <c r="S278" i="13"/>
  <c r="T280" i="13"/>
  <c r="Z281" i="13"/>
  <c r="G283" i="13"/>
  <c r="K283" i="13"/>
  <c r="S283" i="13"/>
  <c r="T284" i="13"/>
  <c r="Z285" i="13"/>
  <c r="Z288" i="13"/>
  <c r="G291" i="13"/>
  <c r="K291" i="13"/>
  <c r="S291" i="13"/>
  <c r="G295" i="13"/>
  <c r="K295" i="13"/>
  <c r="S295" i="13"/>
  <c r="T296" i="13"/>
  <c r="Z297" i="13"/>
  <c r="G299" i="13"/>
  <c r="S299" i="13"/>
  <c r="T300" i="13"/>
  <c r="Z301" i="13"/>
  <c r="T303" i="13"/>
  <c r="T304" i="13"/>
  <c r="Z305" i="13"/>
  <c r="Z306" i="13"/>
  <c r="Z307" i="13"/>
  <c r="Z308" i="13"/>
  <c r="G310" i="13"/>
  <c r="S310" i="13"/>
  <c r="G311" i="13"/>
  <c r="S311" i="13"/>
  <c r="G312" i="13"/>
  <c r="S312" i="13"/>
  <c r="T313" i="13"/>
  <c r="T314" i="13"/>
  <c r="Z315" i="13"/>
  <c r="Z316" i="13"/>
  <c r="G318" i="13"/>
  <c r="K318" i="13"/>
  <c r="AU318" i="13" s="1"/>
  <c r="S318" i="13"/>
  <c r="G319" i="13"/>
  <c r="K319" i="13"/>
  <c r="AU319" i="13" s="1"/>
  <c r="S319" i="13"/>
  <c r="Z320" i="13"/>
  <c r="G321" i="13"/>
  <c r="K321" i="13"/>
  <c r="S321" i="13"/>
  <c r="S323" i="13"/>
  <c r="H325" i="13"/>
  <c r="Z250" i="13"/>
  <c r="Z261" i="13"/>
  <c r="Z264" i="13"/>
  <c r="Z267" i="13"/>
  <c r="Z271" i="13"/>
  <c r="Z275" i="13"/>
  <c r="Z280" i="13"/>
  <c r="G282" i="13"/>
  <c r="Z284" i="13"/>
  <c r="G286" i="13"/>
  <c r="G289" i="13"/>
  <c r="G293" i="13"/>
  <c r="G309" i="13"/>
  <c r="Z314" i="13"/>
  <c r="G317" i="13"/>
  <c r="G323" i="13"/>
  <c r="K326" i="13"/>
  <c r="I326" i="13"/>
  <c r="T326" i="13"/>
  <c r="K325" i="13"/>
  <c r="AU325" i="13" s="1"/>
  <c r="H326" i="13"/>
  <c r="T328" i="13"/>
  <c r="T329" i="13"/>
  <c r="Z330" i="13"/>
  <c r="Z331" i="13"/>
  <c r="AL331" i="13" a="1"/>
  <c r="AL331" i="13" s="1"/>
  <c r="Z332" i="13"/>
  <c r="Z333" i="13"/>
  <c r="AL334" i="13" a="1"/>
  <c r="AL334" i="13" s="1"/>
  <c r="G338" i="13"/>
  <c r="K338" i="13"/>
  <c r="S338" i="13"/>
  <c r="G339" i="13"/>
  <c r="K339" i="13"/>
  <c r="AU339" i="13" s="1"/>
  <c r="S339" i="13"/>
  <c r="T340" i="13"/>
  <c r="G342" i="13"/>
  <c r="S342" i="13"/>
  <c r="G343" i="13"/>
  <c r="S343" i="13"/>
  <c r="G346" i="13"/>
  <c r="S346" i="13"/>
  <c r="G347" i="13"/>
  <c r="S347" i="13"/>
  <c r="H348" i="13"/>
  <c r="T348" i="13"/>
  <c r="T349" i="13"/>
  <c r="Z350" i="13"/>
  <c r="Z351" i="13"/>
  <c r="AL351" i="13" a="1"/>
  <c r="AL351" i="13" s="1"/>
  <c r="G354" i="13"/>
  <c r="S354" i="13"/>
  <c r="G355" i="13"/>
  <c r="S355" i="13"/>
  <c r="H356" i="13"/>
  <c r="T356" i="13"/>
  <c r="T357" i="13"/>
  <c r="Z358" i="13"/>
  <c r="I360" i="13"/>
  <c r="Z360" i="13"/>
  <c r="AL360" i="13" a="1"/>
  <c r="AL360" i="13" s="1"/>
  <c r="AL361" i="13" a="1"/>
  <c r="AL361" i="13" s="1"/>
  <c r="G363" i="13"/>
  <c r="S363" i="13"/>
  <c r="G364" i="13"/>
  <c r="S364" i="13"/>
  <c r="H365" i="13"/>
  <c r="T365" i="13"/>
  <c r="H366" i="13"/>
  <c r="T366" i="13"/>
  <c r="I367" i="13"/>
  <c r="Z367" i="13"/>
  <c r="Z368" i="13"/>
  <c r="AL369" i="13" a="1"/>
  <c r="AL369" i="13" s="1"/>
  <c r="G371" i="13"/>
  <c r="S371" i="13"/>
  <c r="G372" i="13"/>
  <c r="S372" i="13"/>
  <c r="G373" i="13"/>
  <c r="S373" i="13"/>
  <c r="H374" i="13"/>
  <c r="T374" i="13"/>
  <c r="I375" i="13"/>
  <c r="H377" i="13"/>
  <c r="I378" i="13"/>
  <c r="G379" i="13"/>
  <c r="Z379" i="13"/>
  <c r="AL379" i="13" a="1"/>
  <c r="AL379" i="13" s="1"/>
  <c r="I380" i="13"/>
  <c r="T382" i="13"/>
  <c r="K382" i="13"/>
  <c r="S388" i="13"/>
  <c r="G388" i="13"/>
  <c r="H389" i="13"/>
  <c r="T390" i="13"/>
  <c r="K390" i="13"/>
  <c r="H402" i="13"/>
  <c r="S402" i="13"/>
  <c r="G402" i="13"/>
  <c r="H416" i="13"/>
  <c r="S416" i="13"/>
  <c r="G416" i="13"/>
  <c r="H420" i="13"/>
  <c r="S420" i="13"/>
  <c r="G420" i="13"/>
  <c r="I423" i="13"/>
  <c r="T423" i="13"/>
  <c r="K423" i="13"/>
  <c r="AU423" i="13" s="1"/>
  <c r="Z326" i="13"/>
  <c r="I328" i="13"/>
  <c r="Z328" i="13"/>
  <c r="I329" i="13"/>
  <c r="Z329" i="13"/>
  <c r="AL330" i="13" a="1"/>
  <c r="AL330" i="13" s="1"/>
  <c r="G334" i="13"/>
  <c r="G335" i="13"/>
  <c r="S335" i="13"/>
  <c r="G336" i="13"/>
  <c r="S336" i="13"/>
  <c r="G337" i="13"/>
  <c r="S337" i="13"/>
  <c r="H338" i="13"/>
  <c r="H339" i="13"/>
  <c r="G341" i="13"/>
  <c r="K341" i="13"/>
  <c r="S341" i="13"/>
  <c r="H342" i="13"/>
  <c r="H343" i="13"/>
  <c r="K345" i="13"/>
  <c r="H346" i="13"/>
  <c r="H347" i="13"/>
  <c r="I348" i="13"/>
  <c r="AL348" i="13" a="1"/>
  <c r="AL348" i="13" s="1"/>
  <c r="I349" i="13"/>
  <c r="AL349" i="13" a="1"/>
  <c r="AL349" i="13" s="1"/>
  <c r="AL350" i="13" a="1"/>
  <c r="AL350" i="13" s="1"/>
  <c r="K352" i="13"/>
  <c r="K353" i="13"/>
  <c r="H354" i="13"/>
  <c r="H355" i="13"/>
  <c r="I356" i="13"/>
  <c r="AL356" i="13" a="1"/>
  <c r="AL356" i="13" s="1"/>
  <c r="I357" i="13"/>
  <c r="AL357" i="13" a="1"/>
  <c r="AL357" i="13" s="1"/>
  <c r="AL358" i="13" a="1"/>
  <c r="AL358" i="13" s="1"/>
  <c r="G361" i="13"/>
  <c r="G362" i="13"/>
  <c r="S362" i="13"/>
  <c r="H363" i="13"/>
  <c r="H364" i="13"/>
  <c r="I365" i="13"/>
  <c r="I366" i="13"/>
  <c r="AL366" i="13" a="1"/>
  <c r="AL366" i="13" s="1"/>
  <c r="AL367" i="13" a="1"/>
  <c r="AL367" i="13" s="1"/>
  <c r="G369" i="13"/>
  <c r="G370" i="13"/>
  <c r="S370" i="13"/>
  <c r="H371" i="13"/>
  <c r="H372" i="13"/>
  <c r="H373" i="13"/>
  <c r="I374" i="13"/>
  <c r="AL374" i="13" a="1"/>
  <c r="AL374" i="13" s="1"/>
  <c r="I377" i="13"/>
  <c r="S378" i="13"/>
  <c r="G378" i="13"/>
  <c r="T378" i="13"/>
  <c r="AL378" i="13" a="1"/>
  <c r="AL378" i="13" s="1"/>
  <c r="K381" i="13"/>
  <c r="AU381" i="13" s="1"/>
  <c r="G382" i="13"/>
  <c r="I391" i="13"/>
  <c r="T391" i="13"/>
  <c r="K391" i="13"/>
  <c r="AU391" i="13" s="1"/>
  <c r="I395" i="13"/>
  <c r="T395" i="13"/>
  <c r="K395" i="13"/>
  <c r="AU395" i="13" s="1"/>
  <c r="S412" i="13"/>
  <c r="H421" i="13"/>
  <c r="S421" i="13"/>
  <c r="G421" i="13"/>
  <c r="I430" i="13"/>
  <c r="T430" i="13"/>
  <c r="H433" i="13"/>
  <c r="G433" i="13"/>
  <c r="AL433" i="13" a="1"/>
  <c r="AL433" i="13" s="1"/>
  <c r="T450" i="13"/>
  <c r="T469" i="13"/>
  <c r="I487" i="13"/>
  <c r="T487" i="13"/>
  <c r="K487" i="13"/>
  <c r="K380" i="13"/>
  <c r="S380" i="13"/>
  <c r="AL380" i="13" a="1"/>
  <c r="AL380" i="13" s="1"/>
  <c r="I383" i="13"/>
  <c r="T383" i="13"/>
  <c r="K383" i="13"/>
  <c r="AU383" i="13" s="1"/>
  <c r="S387" i="13"/>
  <c r="G387" i="13"/>
  <c r="AL387" i="13" a="1"/>
  <c r="AL387" i="13" s="1"/>
  <c r="H388" i="13"/>
  <c r="AL388" i="13" a="1"/>
  <c r="AL388" i="13" s="1"/>
  <c r="S389" i="13"/>
  <c r="G389" i="13"/>
  <c r="H394" i="13"/>
  <c r="S394" i="13"/>
  <c r="G394" i="13"/>
  <c r="AL394" i="13" a="1"/>
  <c r="AL394" i="13" s="1"/>
  <c r="I396" i="13"/>
  <c r="T396" i="13"/>
  <c r="K396" i="13"/>
  <c r="AU396" i="13" s="1"/>
  <c r="T403" i="13"/>
  <c r="I404" i="13"/>
  <c r="T404" i="13"/>
  <c r="K404" i="13"/>
  <c r="AU404" i="13" s="1"/>
  <c r="I405" i="13"/>
  <c r="T405" i="13"/>
  <c r="K405" i="13"/>
  <c r="AU405" i="13" s="1"/>
  <c r="H411" i="13"/>
  <c r="S411" i="13"/>
  <c r="G411" i="13"/>
  <c r="AL411" i="13" a="1"/>
  <c r="AL411" i="13" s="1"/>
  <c r="H422" i="13"/>
  <c r="S422" i="13"/>
  <c r="G422" i="13"/>
  <c r="I429" i="13"/>
  <c r="T429" i="13"/>
  <c r="H432" i="13"/>
  <c r="G432" i="13"/>
  <c r="H434" i="13"/>
  <c r="G434" i="13"/>
  <c r="AQ488" i="13"/>
  <c r="J488" i="13"/>
  <c r="T496" i="13"/>
  <c r="G326" i="13"/>
  <c r="Z345" i="13"/>
  <c r="G348" i="13"/>
  <c r="G349" i="13"/>
  <c r="Z352" i="13"/>
  <c r="Z353" i="13"/>
  <c r="G356" i="13"/>
  <c r="G357" i="13"/>
  <c r="G365" i="13"/>
  <c r="G366" i="13"/>
  <c r="G374" i="13"/>
  <c r="G377" i="13"/>
  <c r="K377" i="13"/>
  <c r="AU377" i="13" s="1"/>
  <c r="AL377" i="13" a="1"/>
  <c r="AL377" i="13" s="1"/>
  <c r="H378" i="13"/>
  <c r="K379" i="13"/>
  <c r="S379" i="13"/>
  <c r="G380" i="13"/>
  <c r="Z380" i="13"/>
  <c r="I381" i="13"/>
  <c r="H382" i="13"/>
  <c r="S382" i="13"/>
  <c r="I385" i="13"/>
  <c r="T385" i="13"/>
  <c r="K385" i="13"/>
  <c r="AU385" i="13" s="1"/>
  <c r="H390" i="13"/>
  <c r="S390" i="13"/>
  <c r="G390" i="13"/>
  <c r="T392" i="13"/>
  <c r="I397" i="13"/>
  <c r="T397" i="13"/>
  <c r="K397" i="13"/>
  <c r="AU397" i="13" s="1"/>
  <c r="H412" i="13"/>
  <c r="G412" i="13"/>
  <c r="H415" i="13"/>
  <c r="S415" i="13"/>
  <c r="G415" i="13"/>
  <c r="AL415" i="13" a="1"/>
  <c r="AL415" i="13" s="1"/>
  <c r="H419" i="13"/>
  <c r="S419" i="13"/>
  <c r="G419" i="13"/>
  <c r="AL419" i="13" a="1"/>
  <c r="AL419" i="13" s="1"/>
  <c r="I428" i="13"/>
  <c r="T428" i="13"/>
  <c r="H442" i="13"/>
  <c r="G442" i="13"/>
  <c r="I448" i="13"/>
  <c r="T448" i="13"/>
  <c r="K448" i="13"/>
  <c r="AU448" i="13" s="1"/>
  <c r="AL475" i="13" a="1"/>
  <c r="AL475" i="13" s="1"/>
  <c r="H475" i="13"/>
  <c r="G475" i="13"/>
  <c r="Z386" i="13"/>
  <c r="Z393" i="13"/>
  <c r="G395" i="13"/>
  <c r="S395" i="13"/>
  <c r="G396" i="13"/>
  <c r="S396" i="13"/>
  <c r="AL400" i="13" a="1"/>
  <c r="AL400" i="13" s="1"/>
  <c r="AL401" i="13" a="1"/>
  <c r="AL401" i="13" s="1"/>
  <c r="AL408" i="13" a="1"/>
  <c r="AL408" i="13" s="1"/>
  <c r="AL409" i="13" a="1"/>
  <c r="AL409" i="13" s="1"/>
  <c r="AL410" i="13" a="1"/>
  <c r="AL410" i="13" s="1"/>
  <c r="AL414" i="13" a="1"/>
  <c r="AL414" i="13" s="1"/>
  <c r="K417" i="13"/>
  <c r="AL418" i="13" a="1"/>
  <c r="AL418" i="13" s="1"/>
  <c r="I435" i="13"/>
  <c r="K435" i="13"/>
  <c r="I437" i="13"/>
  <c r="K437" i="13"/>
  <c r="AU437" i="13" s="1"/>
  <c r="S438" i="13"/>
  <c r="K439" i="13"/>
  <c r="AU439" i="13" s="1"/>
  <c r="I439" i="13"/>
  <c r="T439" i="13"/>
  <c r="T440" i="13"/>
  <c r="K440" i="13"/>
  <c r="I440" i="13"/>
  <c r="S441" i="13"/>
  <c r="J443" i="13"/>
  <c r="AQ443" i="13"/>
  <c r="T452" i="13"/>
  <c r="H458" i="13"/>
  <c r="S458" i="13"/>
  <c r="G458" i="13"/>
  <c r="I459" i="13"/>
  <c r="T459" i="13"/>
  <c r="T462" i="13"/>
  <c r="I464" i="13"/>
  <c r="T464" i="13"/>
  <c r="I488" i="13"/>
  <c r="T488" i="13"/>
  <c r="K488" i="13"/>
  <c r="AU488" i="13" s="1"/>
  <c r="I493" i="13"/>
  <c r="T493" i="13"/>
  <c r="K493" i="13"/>
  <c r="AU493" i="13" s="1"/>
  <c r="Z383" i="13"/>
  <c r="Z385" i="13"/>
  <c r="H396" i="13"/>
  <c r="AL399" i="13" a="1"/>
  <c r="AL399" i="13" s="1"/>
  <c r="K402" i="13"/>
  <c r="AL407" i="13" a="1"/>
  <c r="AL407" i="13" s="1"/>
  <c r="K411" i="13"/>
  <c r="AU411" i="13" s="1"/>
  <c r="K415" i="13"/>
  <c r="AU415" i="13" s="1"/>
  <c r="K416" i="13"/>
  <c r="K419" i="13"/>
  <c r="AU419" i="13" s="1"/>
  <c r="K420" i="13"/>
  <c r="AU420" i="13" s="1"/>
  <c r="K421" i="13"/>
  <c r="K422" i="13"/>
  <c r="K427" i="13"/>
  <c r="T427" i="13"/>
  <c r="Z432" i="13"/>
  <c r="Z434" i="13"/>
  <c r="Z438" i="13"/>
  <c r="Z441" i="13"/>
  <c r="Z444" i="13"/>
  <c r="Z451" i="13"/>
  <c r="AL453" i="13" a="1"/>
  <c r="AL453" i="13" s="1"/>
  <c r="AL458" i="13" a="1"/>
  <c r="AL458" i="13" s="1"/>
  <c r="AL471" i="13" a="1"/>
  <c r="AL471" i="13" s="1"/>
  <c r="H471" i="13"/>
  <c r="G471" i="13"/>
  <c r="I485" i="13"/>
  <c r="T485" i="13"/>
  <c r="K485" i="13"/>
  <c r="J487" i="13"/>
  <c r="I495" i="13"/>
  <c r="T495" i="13"/>
  <c r="T501" i="13"/>
  <c r="Z397" i="13"/>
  <c r="G399" i="13"/>
  <c r="G400" i="13"/>
  <c r="G401" i="13"/>
  <c r="Z404" i="13"/>
  <c r="Z405" i="13"/>
  <c r="G407" i="13"/>
  <c r="G408" i="13"/>
  <c r="G409" i="13"/>
  <c r="G410" i="13"/>
  <c r="G414" i="13"/>
  <c r="G418" i="13"/>
  <c r="Z423" i="13"/>
  <c r="Z426" i="13"/>
  <c r="S431" i="13"/>
  <c r="T435" i="13"/>
  <c r="I436" i="13"/>
  <c r="K436" i="13"/>
  <c r="T437" i="13"/>
  <c r="G438" i="13"/>
  <c r="G441" i="13"/>
  <c r="AL443" i="13" a="1"/>
  <c r="AL443" i="13" s="1"/>
  <c r="H443" i="13"/>
  <c r="S443" i="13"/>
  <c r="I447" i="13"/>
  <c r="T447" i="13"/>
  <c r="G453" i="13"/>
  <c r="K459" i="13"/>
  <c r="I460" i="13"/>
  <c r="T460" i="13"/>
  <c r="I463" i="13"/>
  <c r="T463" i="13"/>
  <c r="I486" i="13"/>
  <c r="T486" i="13"/>
  <c r="K486" i="13"/>
  <c r="S509" i="13"/>
  <c r="H509" i="13"/>
  <c r="Z428" i="13"/>
  <c r="Z429" i="13"/>
  <c r="G435" i="13"/>
  <c r="G436" i="13"/>
  <c r="S436" i="13"/>
  <c r="G437" i="13"/>
  <c r="S437" i="13"/>
  <c r="G447" i="13"/>
  <c r="AQ447" i="13" s="1"/>
  <c r="G459" i="13"/>
  <c r="AQ459" i="13" s="1"/>
  <c r="G460" i="13"/>
  <c r="AQ460" i="13" s="1"/>
  <c r="I472" i="13"/>
  <c r="I474" i="13"/>
  <c r="H477" i="13"/>
  <c r="H478" i="13"/>
  <c r="AL478" i="13" a="1"/>
  <c r="AL478" i="13" s="1"/>
  <c r="H480" i="13"/>
  <c r="H482" i="13"/>
  <c r="AL482" i="13" a="1"/>
  <c r="AL482" i="13" s="1"/>
  <c r="H483" i="13"/>
  <c r="AL483" i="13" a="1"/>
  <c r="AL483" i="13" s="1"/>
  <c r="H484" i="13"/>
  <c r="AL484" i="13" a="1"/>
  <c r="AL484" i="13" s="1"/>
  <c r="H491" i="13"/>
  <c r="AL491" i="13" a="1"/>
  <c r="AL491" i="13" s="1"/>
  <c r="I498" i="13"/>
  <c r="I499" i="13"/>
  <c r="H502" i="13"/>
  <c r="H506" i="13"/>
  <c r="G510" i="13"/>
  <c r="AL510" i="13" a="1"/>
  <c r="AL510" i="13" s="1"/>
  <c r="K474" i="13"/>
  <c r="I480" i="13"/>
  <c r="I481" i="13"/>
  <c r="K498" i="13"/>
  <c r="AU498" i="13" s="1"/>
  <c r="T512" i="13"/>
  <c r="G498" i="13"/>
  <c r="AQ498" i="13" s="1"/>
  <c r="I507" i="13"/>
  <c r="K688" i="13"/>
  <c r="K534" i="13"/>
  <c r="K535" i="13"/>
  <c r="AU535" i="13" s="1"/>
  <c r="K536" i="13"/>
  <c r="T536" i="13"/>
  <c r="K539" i="13"/>
  <c r="S539" i="13"/>
  <c r="Z504" i="13"/>
  <c r="Z506" i="13"/>
  <c r="Z521" i="13"/>
  <c r="T529" i="13"/>
  <c r="T688" i="13"/>
  <c r="G695" i="13"/>
  <c r="S695" i="13"/>
  <c r="T530" i="13"/>
  <c r="T531" i="13"/>
  <c r="T534" i="13"/>
  <c r="G535" i="13"/>
  <c r="AQ535" i="13" s="1"/>
  <c r="T535" i="13"/>
  <c r="G539" i="13"/>
  <c r="AQ539" i="13" s="1"/>
  <c r="T539" i="13"/>
  <c r="Z509" i="13"/>
  <c r="I514" i="13"/>
  <c r="H695" i="13"/>
  <c r="T695" i="13"/>
  <c r="T541" i="13"/>
  <c r="T554" i="13"/>
  <c r="T546" i="13"/>
  <c r="I550" i="13"/>
  <c r="I552" i="13"/>
  <c r="T555" i="13"/>
  <c r="T556" i="13"/>
  <c r="T557" i="13"/>
  <c r="T560" i="13"/>
  <c r="T561" i="13"/>
  <c r="T564" i="13"/>
  <c r="T566" i="13"/>
  <c r="G567" i="13"/>
  <c r="S567" i="13"/>
  <c r="G569" i="13"/>
  <c r="S569" i="13"/>
  <c r="T572" i="13"/>
  <c r="Z574" i="13"/>
  <c r="T575" i="13"/>
  <c r="T577" i="13"/>
  <c r="T578" i="13"/>
  <c r="M6" i="6"/>
  <c r="R6" i="6" s="1"/>
  <c r="O500" i="6"/>
  <c r="O367" i="6"/>
  <c r="R367" i="6" s="1"/>
  <c r="O178" i="6"/>
  <c r="O84" i="6"/>
  <c r="M16" i="6"/>
  <c r="O27" i="6"/>
  <c r="O77" i="6"/>
  <c r="R77" i="6" s="1"/>
  <c r="O38" i="6"/>
  <c r="O200" i="6"/>
  <c r="O176" i="6"/>
  <c r="O275" i="6"/>
  <c r="R275" i="6" s="1"/>
  <c r="O210" i="6"/>
  <c r="O137" i="6"/>
  <c r="O175" i="6"/>
  <c r="O111" i="6"/>
  <c r="O75" i="6"/>
  <c r="R75" i="6" s="1"/>
  <c r="O126" i="6"/>
  <c r="O45" i="6"/>
  <c r="O505" i="6"/>
  <c r="O235" i="6"/>
  <c r="O101" i="6"/>
  <c r="O104" i="6"/>
  <c r="M51" i="6"/>
  <c r="O52" i="6"/>
  <c r="O257" i="6"/>
  <c r="O145" i="6"/>
  <c r="O199" i="6"/>
  <c r="O185" i="6"/>
  <c r="O112" i="6"/>
  <c r="R112" i="6" s="1"/>
  <c r="O92" i="6"/>
  <c r="M65" i="6"/>
  <c r="O65" i="6"/>
  <c r="I561" i="13"/>
  <c r="H567" i="13"/>
  <c r="H569" i="13"/>
  <c r="I577" i="13"/>
  <c r="M5" i="6"/>
  <c r="M8" i="6"/>
  <c r="W52" i="6"/>
  <c r="O19" i="6"/>
  <c r="O21" i="6"/>
  <c r="O24" i="6"/>
  <c r="W25" i="6"/>
  <c r="O26" i="6"/>
  <c r="M31" i="6"/>
  <c r="R31" i="6" s="1"/>
  <c r="M33" i="6"/>
  <c r="M34" i="6"/>
  <c r="O35" i="6"/>
  <c r="O456" i="6"/>
  <c r="O453" i="6"/>
  <c r="O487" i="6"/>
  <c r="R487" i="6" s="1"/>
  <c r="O408" i="6"/>
  <c r="O177" i="6"/>
  <c r="O168" i="6"/>
  <c r="O517" i="6"/>
  <c r="O90" i="6"/>
  <c r="R90" i="6" s="1"/>
  <c r="M44" i="6"/>
  <c r="O329" i="6"/>
  <c r="O243" i="6"/>
  <c r="R243" i="6" s="1"/>
  <c r="O304" i="6"/>
  <c r="O108" i="6"/>
  <c r="W403" i="6"/>
  <c r="W439" i="6"/>
  <c r="O341" i="6"/>
  <c r="O53" i="6"/>
  <c r="O98" i="6"/>
  <c r="M56" i="6"/>
  <c r="M63" i="6"/>
  <c r="O63" i="6"/>
  <c r="O191" i="6"/>
  <c r="R191" i="6" s="1"/>
  <c r="M70" i="6"/>
  <c r="O70" i="6"/>
  <c r="O479" i="6"/>
  <c r="O309" i="6"/>
  <c r="O298" i="6"/>
  <c r="O264" i="6"/>
  <c r="O197" i="6"/>
  <c r="O192" i="6"/>
  <c r="O330" i="6"/>
  <c r="O266" i="6"/>
  <c r="O301" i="6"/>
  <c r="O209" i="6"/>
  <c r="O206" i="6"/>
  <c r="O198" i="6"/>
  <c r="O115" i="6"/>
  <c r="O220" i="6"/>
  <c r="O79" i="6"/>
  <c r="O66" i="6"/>
  <c r="O16" i="6"/>
  <c r="W17" i="6"/>
  <c r="O536" i="6"/>
  <c r="O526" i="6"/>
  <c r="O431" i="6"/>
  <c r="O308" i="6"/>
  <c r="O324" i="6"/>
  <c r="O215" i="6"/>
  <c r="R215" i="6" s="1"/>
  <c r="O76" i="6"/>
  <c r="O160" i="6"/>
  <c r="R160" i="6" s="1"/>
  <c r="O153" i="6"/>
  <c r="O113" i="6"/>
  <c r="W160" i="6"/>
  <c r="W113" i="6"/>
  <c r="W153" i="6"/>
  <c r="O272" i="6"/>
  <c r="O229" i="6"/>
  <c r="O157" i="6"/>
  <c r="O158" i="6"/>
  <c r="O83" i="6"/>
  <c r="O61" i="6"/>
  <c r="O417" i="6"/>
  <c r="O439" i="6"/>
  <c r="O416" i="6"/>
  <c r="O403" i="6"/>
  <c r="R403" i="6" s="1"/>
  <c r="O105" i="6"/>
  <c r="R105" i="6" s="1"/>
  <c r="O50" i="6"/>
  <c r="R50" i="6" s="1"/>
  <c r="O279" i="6"/>
  <c r="O170" i="6"/>
  <c r="R170" i="6" s="1"/>
  <c r="O196" i="6"/>
  <c r="O54" i="6"/>
  <c r="R54" i="6" s="1"/>
  <c r="O56" i="6"/>
  <c r="O289" i="6"/>
  <c r="O110" i="6"/>
  <c r="O260" i="6"/>
  <c r="O179" i="6"/>
  <c r="O237" i="6"/>
  <c r="O122" i="6"/>
  <c r="M68" i="6"/>
  <c r="O68" i="6"/>
  <c r="O78" i="6"/>
  <c r="R78" i="6" s="1"/>
  <c r="O3" i="6"/>
  <c r="O4" i="6"/>
  <c r="O8" i="6"/>
  <c r="O169" i="6"/>
  <c r="R169" i="6" s="1"/>
  <c r="O119" i="6"/>
  <c r="W9" i="6"/>
  <c r="O10" i="6"/>
  <c r="M11" i="6"/>
  <c r="O463" i="6"/>
  <c r="R463" i="6" s="1"/>
  <c r="O251" i="6"/>
  <c r="O255" i="6"/>
  <c r="O193" i="6"/>
  <c r="O15" i="6"/>
  <c r="O17" i="6"/>
  <c r="O18" i="6"/>
  <c r="O409" i="6"/>
  <c r="R409" i="6" s="1"/>
  <c r="O351" i="6"/>
  <c r="M26" i="6"/>
  <c r="O28" i="6"/>
  <c r="W28" i="6"/>
  <c r="W29" i="6"/>
  <c r="W30" i="6"/>
  <c r="O33" i="6"/>
  <c r="O34" i="6"/>
  <c r="M35" i="6"/>
  <c r="O356" i="6"/>
  <c r="O343" i="6"/>
  <c r="O241" i="6"/>
  <c r="O82" i="6"/>
  <c r="O240" i="6"/>
  <c r="O258" i="6"/>
  <c r="O204" i="6"/>
  <c r="O273" i="6"/>
  <c r="O120" i="6"/>
  <c r="O207" i="6"/>
  <c r="O195" i="6"/>
  <c r="O239" i="6"/>
  <c r="O109" i="6"/>
  <c r="W45" i="6"/>
  <c r="O47" i="6"/>
  <c r="R47" i="6" s="1"/>
  <c r="O49" i="6"/>
  <c r="W199" i="6"/>
  <c r="W185" i="6"/>
  <c r="W145" i="6"/>
  <c r="O58" i="6"/>
  <c r="W289" i="6"/>
  <c r="W78" i="6"/>
  <c r="W68" i="6"/>
  <c r="W260" i="6"/>
  <c r="O535" i="6"/>
  <c r="O519" i="6"/>
  <c r="O263" i="6"/>
  <c r="R263" i="6" s="1"/>
  <c r="O138" i="6"/>
  <c r="O86" i="6"/>
  <c r="W317" i="6"/>
  <c r="W181" i="6"/>
  <c r="W106" i="6"/>
  <c r="W169" i="6"/>
  <c r="O428" i="6"/>
  <c r="R428" i="6" s="1"/>
  <c r="O123" i="6"/>
  <c r="M59" i="6"/>
  <c r="O443" i="6"/>
  <c r="O89" i="6"/>
  <c r="M72" i="6"/>
  <c r="M77" i="6"/>
  <c r="W343" i="6"/>
  <c r="W85" i="6"/>
  <c r="O464" i="6"/>
  <c r="O434" i="6"/>
  <c r="O306" i="6"/>
  <c r="O228" i="6"/>
  <c r="O317" i="6"/>
  <c r="O181" i="6"/>
  <c r="M96" i="6"/>
  <c r="W96" i="6"/>
  <c r="O97" i="6"/>
  <c r="O100" i="6"/>
  <c r="R100" i="6" s="1"/>
  <c r="O515" i="6"/>
  <c r="O427" i="6"/>
  <c r="O377" i="6"/>
  <c r="O148" i="6"/>
  <c r="O164" i="6"/>
  <c r="M107" i="6"/>
  <c r="O116" i="6"/>
  <c r="W117" i="6"/>
  <c r="O485" i="6"/>
  <c r="O473" i="6"/>
  <c r="O299" i="6"/>
  <c r="R299" i="6" s="1"/>
  <c r="O227" i="6"/>
  <c r="M124" i="6"/>
  <c r="M67" i="6"/>
  <c r="M73" i="6"/>
  <c r="M78" i="6"/>
  <c r="M90" i="6"/>
  <c r="O159" i="6"/>
  <c r="O91" i="6"/>
  <c r="R91" i="6" s="1"/>
  <c r="O350" i="6"/>
  <c r="O94" i="6"/>
  <c r="M95" i="6"/>
  <c r="O497" i="6"/>
  <c r="O246" i="6"/>
  <c r="R246" i="6" s="1"/>
  <c r="O117" i="6"/>
  <c r="W301" i="6"/>
  <c r="O276" i="6"/>
  <c r="R276" i="6" s="1"/>
  <c r="O85" i="6"/>
  <c r="R85" i="6" s="1"/>
  <c r="M86" i="6"/>
  <c r="O450" i="6"/>
  <c r="O414" i="6"/>
  <c r="O155" i="6"/>
  <c r="O232" i="6"/>
  <c r="M92" i="6"/>
  <c r="W363" i="6"/>
  <c r="W146" i="6"/>
  <c r="W93" i="6"/>
  <c r="M97" i="6"/>
  <c r="O438" i="6"/>
  <c r="O102" i="6"/>
  <c r="O161" i="6"/>
  <c r="O521" i="6"/>
  <c r="M103" i="6"/>
  <c r="R103" i="6" s="1"/>
  <c r="O345" i="6"/>
  <c r="O402" i="6"/>
  <c r="O327" i="6"/>
  <c r="O312" i="6"/>
  <c r="O194" i="6"/>
  <c r="O223" i="6"/>
  <c r="O118" i="6"/>
  <c r="O174" i="6"/>
  <c r="O213" i="6"/>
  <c r="M123" i="6"/>
  <c r="O201" i="6"/>
  <c r="R201" i="6" s="1"/>
  <c r="O125" i="6"/>
  <c r="R125" i="6" s="1"/>
  <c r="O128" i="6"/>
  <c r="M128" i="6"/>
  <c r="W129" i="6"/>
  <c r="O371" i="6"/>
  <c r="O363" i="6"/>
  <c r="O127" i="6"/>
  <c r="O129" i="6"/>
  <c r="M131" i="6"/>
  <c r="M132" i="6"/>
  <c r="M134" i="6"/>
  <c r="O135" i="6"/>
  <c r="O139" i="6"/>
  <c r="O141" i="6"/>
  <c r="M144" i="6"/>
  <c r="M147" i="6"/>
  <c r="M148" i="6"/>
  <c r="W150" i="6"/>
  <c r="M156" i="6"/>
  <c r="M160" i="6"/>
  <c r="O163" i="6"/>
  <c r="M169" i="6"/>
  <c r="W219" i="6"/>
  <c r="W426" i="6"/>
  <c r="M179" i="6"/>
  <c r="M183" i="6"/>
  <c r="O184" i="6"/>
  <c r="M186" i="6"/>
  <c r="W190" i="6"/>
  <c r="M192" i="6"/>
  <c r="O217" i="6"/>
  <c r="R217" i="6" s="1"/>
  <c r="W323" i="6"/>
  <c r="W218" i="6"/>
  <c r="W332" i="6"/>
  <c r="W504" i="6"/>
  <c r="M254" i="6"/>
  <c r="O261" i="6"/>
  <c r="O254" i="6"/>
  <c r="M263" i="6"/>
  <c r="M130" i="6"/>
  <c r="W371" i="6"/>
  <c r="W232" i="6"/>
  <c r="O426" i="6"/>
  <c r="O221" i="6"/>
  <c r="O219" i="6"/>
  <c r="O222" i="6"/>
  <c r="R222" i="6" s="1"/>
  <c r="O248" i="6"/>
  <c r="O134" i="6"/>
  <c r="O147" i="6"/>
  <c r="W149" i="6"/>
  <c r="O150" i="6"/>
  <c r="W166" i="6"/>
  <c r="O167" i="6"/>
  <c r="O173" i="6"/>
  <c r="O183" i="6"/>
  <c r="R183" i="6" s="1"/>
  <c r="O186" i="6"/>
  <c r="W189" i="6"/>
  <c r="O202" i="6"/>
  <c r="R202" i="6" s="1"/>
  <c r="O212" i="6"/>
  <c r="O381" i="6"/>
  <c r="R381" i="6" s="1"/>
  <c r="O332" i="6"/>
  <c r="O323" i="6"/>
  <c r="O218" i="6"/>
  <c r="R218" i="6" s="1"/>
  <c r="O252" i="6"/>
  <c r="R252" i="6" s="1"/>
  <c r="O130" i="6"/>
  <c r="O507" i="6"/>
  <c r="R507" i="6" s="1"/>
  <c r="O423" i="6"/>
  <c r="O375" i="6"/>
  <c r="O364" i="6"/>
  <c r="O238" i="6"/>
  <c r="R238" i="6" s="1"/>
  <c r="O143" i="6"/>
  <c r="O146" i="6"/>
  <c r="O149" i="6"/>
  <c r="O358" i="6"/>
  <c r="O236" i="6"/>
  <c r="O152" i="6"/>
  <c r="R152" i="6" s="1"/>
  <c r="W152" i="6"/>
  <c r="M154" i="6"/>
  <c r="O166" i="6"/>
  <c r="O180" i="6"/>
  <c r="W180" i="6"/>
  <c r="M187" i="6"/>
  <c r="O504" i="6"/>
  <c r="O404" i="6"/>
  <c r="O233" i="6"/>
  <c r="O189" i="6"/>
  <c r="O499" i="6"/>
  <c r="O445" i="6"/>
  <c r="O400" i="6"/>
  <c r="O420" i="6"/>
  <c r="O353" i="6"/>
  <c r="O314" i="6"/>
  <c r="M211" i="6"/>
  <c r="O325" i="6"/>
  <c r="M230" i="6"/>
  <c r="M244" i="6"/>
  <c r="O244" i="6"/>
  <c r="M267" i="6"/>
  <c r="O413" i="6"/>
  <c r="O462" i="6"/>
  <c r="O368" i="6"/>
  <c r="O401" i="6"/>
  <c r="O278" i="6"/>
  <c r="M269" i="6"/>
  <c r="O292" i="6"/>
  <c r="O287" i="6"/>
  <c r="O307" i="6"/>
  <c r="O269" i="6"/>
  <c r="O297" i="6"/>
  <c r="O432" i="6"/>
  <c r="O422" i="6"/>
  <c r="O441" i="6"/>
  <c r="O424" i="6"/>
  <c r="O411" i="6"/>
  <c r="O405" i="6"/>
  <c r="O396" i="6"/>
  <c r="O393" i="6"/>
  <c r="O320" i="6"/>
  <c r="O321" i="6"/>
  <c r="O328" i="6"/>
  <c r="O335" i="6"/>
  <c r="O337" i="6"/>
  <c r="O370" i="6"/>
  <c r="O430" i="6"/>
  <c r="O478" i="6"/>
  <c r="O407" i="6"/>
  <c r="O369" i="6"/>
  <c r="O271" i="6"/>
  <c r="O288" i="6"/>
  <c r="O425" i="6"/>
  <c r="R425" i="6" s="1"/>
  <c r="O474" i="6"/>
  <c r="O293" i="6"/>
  <c r="O295" i="6"/>
  <c r="O296" i="6"/>
  <c r="O300" i="6"/>
  <c r="O315" i="6"/>
  <c r="O316" i="6"/>
  <c r="O342" i="6"/>
  <c r="O352" i="6"/>
  <c r="O374" i="6"/>
  <c r="M374" i="6"/>
  <c r="W230" i="6"/>
  <c r="O331" i="6"/>
  <c r="R331" i="6" s="1"/>
  <c r="O322" i="6"/>
  <c r="O253" i="6"/>
  <c r="W261" i="6"/>
  <c r="O262" i="6"/>
  <c r="O280" i="6"/>
  <c r="W280" i="6"/>
  <c r="O498" i="6"/>
  <c r="R498" i="6" s="1"/>
  <c r="O389" i="6"/>
  <c r="O419" i="6"/>
  <c r="O282" i="6"/>
  <c r="O291" i="6"/>
  <c r="O378" i="6"/>
  <c r="O319" i="6"/>
  <c r="O326" i="6"/>
  <c r="O334" i="6"/>
  <c r="O336" i="6"/>
  <c r="V340" i="6"/>
  <c r="M340" i="6"/>
  <c r="O486" i="6"/>
  <c r="O457" i="6"/>
  <c r="M347" i="6"/>
  <c r="F24" i="26" s="1" a="1"/>
  <c r="F24" i="26" s="1"/>
  <c r="O347" i="6"/>
  <c r="O349" i="6"/>
  <c r="H238" i="6"/>
  <c r="O249" i="6"/>
  <c r="O452" i="6"/>
  <c r="O421" i="6"/>
  <c r="R421" i="6" s="1"/>
  <c r="W259" i="6"/>
  <c r="M293" i="6"/>
  <c r="M295" i="6"/>
  <c r="W297" i="6"/>
  <c r="O310" i="6"/>
  <c r="M316" i="6"/>
  <c r="W441" i="6"/>
  <c r="W328" i="6"/>
  <c r="M331" i="6"/>
  <c r="O340" i="6"/>
  <c r="O339" i="6"/>
  <c r="O346" i="6"/>
  <c r="V339" i="6"/>
  <c r="M339" i="6"/>
  <c r="O494" i="6"/>
  <c r="O362" i="6"/>
  <c r="M344" i="6"/>
  <c r="O344" i="6"/>
  <c r="V346" i="6"/>
  <c r="M346" i="6"/>
  <c r="W370" i="6"/>
  <c r="O354" i="6"/>
  <c r="M378" i="6"/>
  <c r="M379" i="6"/>
  <c r="M380" i="6"/>
  <c r="M381" i="6"/>
  <c r="O382" i="6"/>
  <c r="O383" i="6"/>
  <c r="O386" i="6"/>
  <c r="O391" i="6"/>
  <c r="M392" i="6"/>
  <c r="M398" i="6"/>
  <c r="O385" i="6"/>
  <c r="O390" i="6"/>
  <c r="O406" i="6"/>
  <c r="M409" i="6"/>
  <c r="M412" i="6"/>
  <c r="O433" i="6"/>
  <c r="M354" i="6"/>
  <c r="V354" i="6"/>
  <c r="M382" i="6"/>
  <c r="M386" i="6"/>
  <c r="W394" i="6"/>
  <c r="M425" i="6"/>
  <c r="O501" i="6"/>
  <c r="O444" i="6"/>
  <c r="O477" i="6"/>
  <c r="W419" i="6"/>
  <c r="O495" i="6"/>
  <c r="O530" i="6"/>
  <c r="O437" i="6"/>
  <c r="O436" i="6"/>
  <c r="O384" i="6"/>
  <c r="O395" i="6"/>
  <c r="O397" i="6"/>
  <c r="O410" i="6"/>
  <c r="R410" i="6" s="1"/>
  <c r="M438" i="6"/>
  <c r="M446" i="6"/>
  <c r="M447" i="6"/>
  <c r="V447" i="6"/>
  <c r="M449" i="6"/>
  <c r="M487" i="6"/>
  <c r="M489" i="6"/>
  <c r="R489" i="6" s="1"/>
  <c r="W491" i="6"/>
  <c r="O492" i="6"/>
  <c r="M510" i="6"/>
  <c r="O539" i="6"/>
  <c r="M539" i="6"/>
  <c r="V449" i="6"/>
  <c r="W1230" i="6" s="1"/>
  <c r="O468" i="6"/>
  <c r="V469" i="6"/>
  <c r="M469" i="6"/>
  <c r="M470" i="6"/>
  <c r="M471" i="6"/>
  <c r="O482" i="6"/>
  <c r="O520" i="6"/>
  <c r="M520" i="6"/>
  <c r="O534" i="6"/>
  <c r="M534" i="6"/>
  <c r="X468" i="13"/>
  <c r="W421" i="6"/>
  <c r="M426" i="6"/>
  <c r="O461" i="6"/>
  <c r="O459" i="6"/>
  <c r="M495" i="6"/>
  <c r="M506" i="6"/>
  <c r="O510" i="6"/>
  <c r="O538" i="6"/>
  <c r="M538" i="6"/>
  <c r="O435" i="6"/>
  <c r="M444" i="6"/>
  <c r="O458" i="6"/>
  <c r="O465" i="6"/>
  <c r="R465" i="6" s="1"/>
  <c r="M468" i="6"/>
  <c r="V482" i="6"/>
  <c r="W678" i="6" s="1"/>
  <c r="O513" i="6"/>
  <c r="M513" i="6"/>
  <c r="Z219" i="13"/>
  <c r="Z362" i="13"/>
  <c r="Z366" i="13"/>
  <c r="Z370" i="13"/>
  <c r="AU378" i="13"/>
  <c r="AU414" i="13"/>
  <c r="Z419" i="13"/>
  <c r="Z374" i="13"/>
  <c r="Z387" i="13"/>
  <c r="Z391" i="13"/>
  <c r="Z394" i="13"/>
  <c r="Z398" i="13"/>
  <c r="Z402" i="13"/>
  <c r="Z406" i="13"/>
  <c r="Z410" i="13"/>
  <c r="Z411" i="13"/>
  <c r="AU366" i="13"/>
  <c r="Z375" i="13"/>
  <c r="Z378" i="13"/>
  <c r="Z382" i="13"/>
  <c r="Z395" i="13"/>
  <c r="Z399" i="13"/>
  <c r="Z403" i="13"/>
  <c r="Z407" i="13"/>
  <c r="Z414" i="13"/>
  <c r="Z415" i="13"/>
  <c r="W10" i="6"/>
  <c r="H11" i="6"/>
  <c r="V450" i="13"/>
  <c r="Z450" i="13" s="1"/>
  <c r="W19" i="6"/>
  <c r="W409" i="6"/>
  <c r="V446" i="13"/>
  <c r="W351" i="6"/>
  <c r="H27" i="6"/>
  <c r="W35" i="6"/>
  <c r="H43" i="6"/>
  <c r="H71" i="6"/>
  <c r="H82" i="6"/>
  <c r="V474" i="13"/>
  <c r="Z474" i="13" s="1"/>
  <c r="W159" i="6"/>
  <c r="W91" i="6"/>
  <c r="H98" i="6"/>
  <c r="W110" i="6"/>
  <c r="W122" i="6"/>
  <c r="Z435" i="13"/>
  <c r="Z439" i="13"/>
  <c r="Z499" i="13"/>
  <c r="W6" i="6"/>
  <c r="H7" i="6"/>
  <c r="T1432" i="6" s="1"/>
  <c r="W365" i="6"/>
  <c r="W15" i="6"/>
  <c r="W215" i="6"/>
  <c r="W308" i="6"/>
  <c r="W76" i="6"/>
  <c r="W22" i="6"/>
  <c r="H23" i="6"/>
  <c r="V454" i="13"/>
  <c r="Z454" i="13" s="1"/>
  <c r="W265" i="6"/>
  <c r="H39" i="6"/>
  <c r="T1213" i="6" s="1"/>
  <c r="W272" i="6"/>
  <c r="W229" i="6"/>
  <c r="W83" i="6"/>
  <c r="W47" i="6"/>
  <c r="W158" i="6"/>
  <c r="W157" i="6"/>
  <c r="X461" i="13"/>
  <c r="W90" i="6"/>
  <c r="H95" i="6"/>
  <c r="Z430" i="13"/>
  <c r="Z443" i="13"/>
  <c r="Z458" i="13"/>
  <c r="Z573" i="13"/>
  <c r="W84" i="6"/>
  <c r="W500" i="6"/>
  <c r="W11" i="6"/>
  <c r="W367" i="6"/>
  <c r="W178" i="6"/>
  <c r="W255" i="6"/>
  <c r="W193" i="6"/>
  <c r="W18" i="6"/>
  <c r="H19" i="6"/>
  <c r="W34" i="6"/>
  <c r="H35" i="6"/>
  <c r="W239" i="6"/>
  <c r="W207" i="6"/>
  <c r="W195" i="6"/>
  <c r="W273" i="6"/>
  <c r="W120" i="6"/>
  <c r="W240" i="6"/>
  <c r="W204" i="6"/>
  <c r="W43" i="6"/>
  <c r="W109" i="6"/>
  <c r="W258" i="6"/>
  <c r="W50" i="6"/>
  <c r="H51" i="6"/>
  <c r="H75" i="6"/>
  <c r="W82" i="6"/>
  <c r="H83" i="6"/>
  <c r="W388" i="6"/>
  <c r="W7" i="6"/>
  <c r="H15" i="6"/>
  <c r="W355" i="6"/>
  <c r="W23" i="6"/>
  <c r="W216" i="6"/>
  <c r="W27" i="6"/>
  <c r="H31" i="6"/>
  <c r="T1264" i="6" s="1"/>
  <c r="W487" i="6"/>
  <c r="W408" i="6"/>
  <c r="W456" i="6"/>
  <c r="W168" i="6"/>
  <c r="W453" i="6"/>
  <c r="W39" i="6"/>
  <c r="W177" i="6"/>
  <c r="W275" i="6"/>
  <c r="W200" i="6"/>
  <c r="W176" i="6"/>
  <c r="W210" i="6"/>
  <c r="W175" i="6"/>
  <c r="W111" i="6"/>
  <c r="W75" i="6"/>
  <c r="W137" i="6"/>
  <c r="W126" i="6"/>
  <c r="H47" i="6"/>
  <c r="W61" i="6"/>
  <c r="W77" i="6"/>
  <c r="W164" i="6"/>
  <c r="W148" i="6"/>
  <c r="W107" i="6"/>
  <c r="W357" i="6"/>
  <c r="W279" i="6"/>
  <c r="W196" i="6"/>
  <c r="W55" i="6"/>
  <c r="V467" i="13"/>
  <c r="Z467" i="13" s="1"/>
  <c r="W250" i="6"/>
  <c r="W59" i="6"/>
  <c r="W263" i="6"/>
  <c r="W464" i="6"/>
  <c r="W306" i="6"/>
  <c r="W434" i="6"/>
  <c r="W87" i="6"/>
  <c r="W313" i="6"/>
  <c r="W99" i="6"/>
  <c r="V479" i="13"/>
  <c r="Z479" i="13" s="1"/>
  <c r="W103" i="6"/>
  <c r="W223" i="6"/>
  <c r="W345" i="6"/>
  <c r="W402" i="6"/>
  <c r="W312" i="6"/>
  <c r="W194" i="6"/>
  <c r="W213" i="6"/>
  <c r="W222" i="6"/>
  <c r="W139" i="6"/>
  <c r="W364" i="6"/>
  <c r="W507" i="6"/>
  <c r="W423" i="6"/>
  <c r="V494" i="13"/>
  <c r="W375" i="6"/>
  <c r="W238" i="6"/>
  <c r="W143" i="6"/>
  <c r="W217" i="6"/>
  <c r="W147" i="6"/>
  <c r="H179" i="6"/>
  <c r="W445" i="6"/>
  <c r="W353" i="6"/>
  <c r="W211" i="6"/>
  <c r="W420" i="6"/>
  <c r="W400" i="6"/>
  <c r="W325" i="6"/>
  <c r="W314" i="6"/>
  <c r="W499" i="6"/>
  <c r="W245" i="6"/>
  <c r="W311" i="6"/>
  <c r="W271" i="6"/>
  <c r="W234" i="6"/>
  <c r="H259" i="6"/>
  <c r="W478" i="6"/>
  <c r="W369" i="6"/>
  <c r="W333" i="6"/>
  <c r="W300" i="6"/>
  <c r="W262" i="6"/>
  <c r="V515" i="13"/>
  <c r="Z515" i="13" s="1"/>
  <c r="W264" i="6"/>
  <c r="H271" i="6"/>
  <c r="W379" i="6"/>
  <c r="H380" i="6"/>
  <c r="W407" i="6"/>
  <c r="H408" i="6"/>
  <c r="W430" i="6"/>
  <c r="W338" i="6"/>
  <c r="W95" i="6"/>
  <c r="H119" i="6"/>
  <c r="W428" i="6"/>
  <c r="W123" i="6"/>
  <c r="W470" i="6"/>
  <c r="W167" i="6"/>
  <c r="W127" i="6"/>
  <c r="W508" i="6"/>
  <c r="W202" i="6"/>
  <c r="W184" i="6"/>
  <c r="W163" i="6"/>
  <c r="W138" i="6"/>
  <c r="W161" i="6"/>
  <c r="H163" i="6"/>
  <c r="W174" i="6"/>
  <c r="W226" i="6"/>
  <c r="W187" i="6"/>
  <c r="H191" i="6"/>
  <c r="W233" i="6"/>
  <c r="W412" i="6"/>
  <c r="W253" i="6"/>
  <c r="W266" i="6"/>
  <c r="H267" i="6"/>
  <c r="W362" i="6"/>
  <c r="W344" i="6"/>
  <c r="H368" i="6"/>
  <c r="H420" i="6"/>
  <c r="H428" i="6"/>
  <c r="H440" i="6"/>
  <c r="W454" i="6"/>
  <c r="V536" i="13"/>
  <c r="W136" i="6"/>
  <c r="W183" i="6"/>
  <c r="W135" i="6"/>
  <c r="W236" i="6"/>
  <c r="W151" i="6"/>
  <c r="W358" i="6"/>
  <c r="W480" i="6"/>
  <c r="W212" i="6"/>
  <c r="H183" i="6"/>
  <c r="W483" i="6"/>
  <c r="W247" i="6"/>
  <c r="W294" i="6"/>
  <c r="W296" i="6"/>
  <c r="W378" i="6"/>
  <c r="H329" i="6"/>
  <c r="H333" i="6"/>
  <c r="H348" i="6"/>
  <c r="H372" i="6"/>
  <c r="T1471" i="6" s="1"/>
  <c r="W395" i="6"/>
  <c r="V532" i="13"/>
  <c r="W418" i="6"/>
  <c r="W391" i="6"/>
  <c r="W495" i="6"/>
  <c r="W134" i="6"/>
  <c r="H138" i="6"/>
  <c r="T758" i="6" s="1"/>
  <c r="W154" i="6"/>
  <c r="W170" i="6"/>
  <c r="H171" i="6"/>
  <c r="H190" i="6"/>
  <c r="T981" i="6" s="1"/>
  <c r="X513" i="13"/>
  <c r="W331" i="6"/>
  <c r="H261" i="6"/>
  <c r="T1498" i="6" s="1"/>
  <c r="H266" i="6"/>
  <c r="H270" i="6"/>
  <c r="H317" i="6"/>
  <c r="W327" i="6"/>
  <c r="H432" i="6"/>
  <c r="X465" i="13"/>
  <c r="W443" i="6"/>
  <c r="W498" i="6"/>
  <c r="W389" i="6"/>
  <c r="W315" i="6"/>
  <c r="W360" i="6"/>
  <c r="W448" i="6"/>
  <c r="W310" i="6"/>
  <c r="W352" i="6"/>
  <c r="W337" i="6"/>
  <c r="W321" i="6"/>
  <c r="H388" i="6"/>
  <c r="H470" i="6"/>
  <c r="H490" i="6"/>
  <c r="V556" i="13"/>
  <c r="Z556" i="13" s="1"/>
  <c r="V572" i="13"/>
  <c r="Z572" i="13" s="1"/>
  <c r="W479" i="6"/>
  <c r="W330" i="6"/>
  <c r="W298" i="6"/>
  <c r="W231" i="6"/>
  <c r="W463" i="6"/>
  <c r="W251" i="6"/>
  <c r="W356" i="6"/>
  <c r="W243" i="6"/>
  <c r="W329" i="6"/>
  <c r="W79" i="6"/>
  <c r="W450" i="6"/>
  <c r="W115" i="6"/>
  <c r="W299" i="6"/>
  <c r="W227" i="6"/>
  <c r="W473" i="6"/>
  <c r="W303" i="6"/>
  <c r="W155" i="6"/>
  <c r="W179" i="6"/>
  <c r="W404" i="6"/>
  <c r="W192" i="6"/>
  <c r="W206" i="6"/>
  <c r="W209" i="6"/>
  <c r="W381" i="6"/>
  <c r="W228" i="6"/>
  <c r="H231" i="6"/>
  <c r="W237" i="6"/>
  <c r="W241" i="6"/>
  <c r="W326" i="6"/>
  <c r="W322" i="6"/>
  <c r="W244" i="6"/>
  <c r="W249" i="6"/>
  <c r="H263" i="6"/>
  <c r="W281" i="6"/>
  <c r="W304" i="6"/>
  <c r="W309" i="6"/>
  <c r="H314" i="6"/>
  <c r="W319" i="6"/>
  <c r="W320" i="6"/>
  <c r="H332" i="6"/>
  <c r="W335" i="6"/>
  <c r="W336" i="6"/>
  <c r="H356" i="6"/>
  <c r="H367" i="6"/>
  <c r="T810" i="6" s="1"/>
  <c r="H376" i="6"/>
  <c r="T1247" i="6" s="1"/>
  <c r="H379" i="6"/>
  <c r="W436" i="6"/>
  <c r="H419" i="6"/>
  <c r="W435" i="6"/>
  <c r="H454" i="6"/>
  <c r="W485" i="6"/>
  <c r="H486" i="6"/>
  <c r="H494" i="6"/>
  <c r="V518" i="13"/>
  <c r="V525" i="13"/>
  <c r="Z525" i="13" s="1"/>
  <c r="V577" i="13"/>
  <c r="Z577" i="13" s="1"/>
  <c r="W417" i="6"/>
  <c r="W416" i="6"/>
  <c r="W92" i="6"/>
  <c r="W112" i="6"/>
  <c r="W497" i="6"/>
  <c r="W197" i="6"/>
  <c r="W198" i="6"/>
  <c r="H203" i="6"/>
  <c r="H215" i="6"/>
  <c r="W220" i="6"/>
  <c r="W221" i="6"/>
  <c r="H227" i="6"/>
  <c r="H243" i="6"/>
  <c r="W257" i="6"/>
  <c r="W462" i="6"/>
  <c r="W413" i="6"/>
  <c r="W401" i="6"/>
  <c r="W307" i="6"/>
  <c r="W287" i="6"/>
  <c r="W368" i="6"/>
  <c r="H275" i="6"/>
  <c r="W278" i="6"/>
  <c r="H279" i="6"/>
  <c r="T1002" i="6" s="1"/>
  <c r="W282" i="6"/>
  <c r="W284" i="6"/>
  <c r="W302" i="6"/>
  <c r="H298" i="6"/>
  <c r="W486" i="6"/>
  <c r="W457" i="6"/>
  <c r="W372" i="6"/>
  <c r="W411" i="6"/>
  <c r="H412" i="6"/>
  <c r="W414" i="6"/>
  <c r="W422" i="6"/>
  <c r="H448" i="6"/>
  <c r="H466" i="6"/>
  <c r="W492" i="6"/>
  <c r="H498" i="6"/>
  <c r="T629" i="6" s="1"/>
  <c r="H502" i="6"/>
  <c r="W474" i="6"/>
  <c r="W396" i="6"/>
  <c r="W424" i="6"/>
  <c r="W432" i="6"/>
  <c r="H515" i="6"/>
  <c r="T908" i="6" s="1"/>
  <c r="W291" i="6"/>
  <c r="H299" i="6"/>
  <c r="H303" i="6"/>
  <c r="H311" i="6"/>
  <c r="T1062" i="6" s="1"/>
  <c r="H315" i="6"/>
  <c r="H322" i="6"/>
  <c r="T648" i="6" s="1"/>
  <c r="H326" i="6"/>
  <c r="H330" i="6"/>
  <c r="W334" i="6"/>
  <c r="H338" i="6"/>
  <c r="W342" i="6"/>
  <c r="W349" i="6"/>
  <c r="H353" i="6"/>
  <c r="H357" i="6"/>
  <c r="H377" i="6"/>
  <c r="H381" i="6"/>
  <c r="W385" i="6"/>
  <c r="W393" i="6"/>
  <c r="W397" i="6"/>
  <c r="W405" i="6"/>
  <c r="H409" i="6"/>
  <c r="H421" i="6"/>
  <c r="H425" i="6"/>
  <c r="W425" i="6"/>
  <c r="W433" i="6"/>
  <c r="W437" i="6"/>
  <c r="H544" i="6"/>
  <c r="T558" i="6" s="1"/>
  <c r="O572" i="15" s="1"/>
  <c r="T1506" i="6" l="1"/>
  <c r="T1504" i="6"/>
  <c r="W551" i="6"/>
  <c r="W1497" i="6"/>
  <c r="W1495" i="6"/>
  <c r="T641" i="6"/>
  <c r="W51" i="6"/>
  <c r="T1489" i="6"/>
  <c r="S688" i="13"/>
  <c r="T1487" i="6"/>
  <c r="K724" i="13" s="1"/>
  <c r="AU724" i="13" s="1"/>
  <c r="U1487" i="6" a="1"/>
  <c r="U1487" i="6" s="1"/>
  <c r="I724" i="13" s="1"/>
  <c r="R1487" i="6"/>
  <c r="AL724" i="13" s="1" a="1"/>
  <c r="AL724" i="13" s="1"/>
  <c r="W813" i="6"/>
  <c r="W656" i="6"/>
  <c r="W1189" i="6"/>
  <c r="W1214" i="6"/>
  <c r="W1457" i="6"/>
  <c r="AL720" i="13" a="1"/>
  <c r="AL720" i="13" s="1"/>
  <c r="W1406" i="6"/>
  <c r="T1481" i="6"/>
  <c r="R1478" i="6"/>
  <c r="T1477" i="6"/>
  <c r="T1476" i="6"/>
  <c r="W1472" i="6"/>
  <c r="W1468" i="6"/>
  <c r="W1469" i="6"/>
  <c r="T1470" i="6"/>
  <c r="W896" i="6"/>
  <c r="W1022" i="6"/>
  <c r="W907" i="6"/>
  <c r="W1448" i="6"/>
  <c r="W1467" i="6"/>
  <c r="W750" i="6"/>
  <c r="W832" i="6"/>
  <c r="W1107" i="6"/>
  <c r="W1150" i="6"/>
  <c r="T1467" i="6"/>
  <c r="AL659" i="13" a="1"/>
  <c r="AL659" i="13" s="1"/>
  <c r="T1461" i="6"/>
  <c r="T1462" i="6"/>
  <c r="T1458" i="6"/>
  <c r="U1455" i="6" a="1"/>
  <c r="U1455" i="6" s="1"/>
  <c r="I636" i="13" s="1"/>
  <c r="T1455" i="6"/>
  <c r="K636" i="13" s="1"/>
  <c r="AU636" i="13" s="1"/>
  <c r="W1452" i="6"/>
  <c r="AL700" i="13" a="1"/>
  <c r="AL700" i="13" s="1"/>
  <c r="W38" i="6"/>
  <c r="W1450" i="6"/>
  <c r="T1448" i="6"/>
  <c r="W1435" i="6"/>
  <c r="T1445" i="6"/>
  <c r="Z256" i="13"/>
  <c r="R1434" i="6"/>
  <c r="AL196" i="13" s="1" a="1"/>
  <c r="AL196" i="13" s="1"/>
  <c r="J196" i="13" s="1"/>
  <c r="T1434" i="6"/>
  <c r="T1433" i="6"/>
  <c r="W1431" i="6"/>
  <c r="E43" i="15"/>
  <c r="W1430" i="6"/>
  <c r="AL687" i="13" a="1"/>
  <c r="AL687" i="13" s="1"/>
  <c r="G688" i="13"/>
  <c r="AQ688" i="13" s="1"/>
  <c r="G392" i="13"/>
  <c r="AQ392" i="13" s="1"/>
  <c r="T593" i="6"/>
  <c r="V449" i="13"/>
  <c r="Z449" i="13" s="1"/>
  <c r="AL701" i="13" a="1"/>
  <c r="AL701" i="13" s="1"/>
  <c r="H690" i="13"/>
  <c r="G690" i="13"/>
  <c r="AQ690" i="13" s="1"/>
  <c r="S690" i="13"/>
  <c r="AA690" i="13" s="1"/>
  <c r="AP696" i="13"/>
  <c r="AS696" i="13"/>
  <c r="AT696" i="13" s="1"/>
  <c r="AJ696" i="13"/>
  <c r="AB696" i="13"/>
  <c r="AK696" i="13"/>
  <c r="W361" i="6"/>
  <c r="V690" i="13"/>
  <c r="Z690" i="13" s="1"/>
  <c r="W1425" i="6"/>
  <c r="T1423" i="6"/>
  <c r="T1421" i="6"/>
  <c r="T1420" i="6"/>
  <c r="W1409" i="6"/>
  <c r="R1411" i="6"/>
  <c r="T1490" i="6" s="1"/>
  <c r="Z677" i="13"/>
  <c r="S517" i="13"/>
  <c r="AA517" i="13" s="1"/>
  <c r="AB517" i="13" s="1"/>
  <c r="G517" i="13"/>
  <c r="AQ517" i="13" s="1"/>
  <c r="T1400" i="6"/>
  <c r="S677" i="13"/>
  <c r="AA677" i="13" s="1"/>
  <c r="R188" i="6"/>
  <c r="R233" i="6" s="1"/>
  <c r="R404" i="6" s="1"/>
  <c r="R504" i="6" s="1"/>
  <c r="U1181" i="6" s="1" a="1"/>
  <c r="U1181" i="6" s="1"/>
  <c r="I32" i="13" s="1"/>
  <c r="H678" i="13"/>
  <c r="S678" i="13"/>
  <c r="AA678" i="13" s="1"/>
  <c r="G678" i="13"/>
  <c r="AQ678" i="13" s="1"/>
  <c r="T1397" i="6"/>
  <c r="T1398" i="6"/>
  <c r="R1395" i="6"/>
  <c r="R1397" i="6" s="1"/>
  <c r="AL602" i="13" s="1" a="1"/>
  <c r="AL602" i="13" s="1"/>
  <c r="T1395" i="6"/>
  <c r="T1394" i="6"/>
  <c r="T1392" i="6"/>
  <c r="G677" i="13"/>
  <c r="AQ677" i="13" s="1"/>
  <c r="R161" i="6"/>
  <c r="T1386" i="6"/>
  <c r="T1384" i="6"/>
  <c r="T1381" i="6"/>
  <c r="U1383" i="6" a="1"/>
  <c r="U1383" i="6" s="1"/>
  <c r="I603" i="13" s="1"/>
  <c r="R1383" i="6"/>
  <c r="AL603" i="13" s="1" a="1"/>
  <c r="AL603" i="13" s="1"/>
  <c r="T1383" i="6"/>
  <c r="K603" i="13" s="1"/>
  <c r="AU603" i="13" s="1"/>
  <c r="W679" i="6"/>
  <c r="W1380" i="6"/>
  <c r="T1377" i="6"/>
  <c r="W1379" i="6"/>
  <c r="T1378" i="6"/>
  <c r="R1375" i="6"/>
  <c r="T1375" i="6"/>
  <c r="R1372" i="6"/>
  <c r="AL284" i="13" s="1" a="1"/>
  <c r="AL284" i="13" s="1"/>
  <c r="J284" i="13" s="1"/>
  <c r="U1372" i="6" a="1"/>
  <c r="U1372" i="6" s="1"/>
  <c r="I284" i="13" s="1"/>
  <c r="T1374" i="6"/>
  <c r="T1372" i="6"/>
  <c r="K284" i="13" s="1"/>
  <c r="AU284" i="13" s="1"/>
  <c r="T1371" i="6"/>
  <c r="W1365" i="6"/>
  <c r="W1369" i="6"/>
  <c r="T1369" i="6"/>
  <c r="T1357" i="6"/>
  <c r="R1364" i="6"/>
  <c r="AL662" i="13" s="1" a="1"/>
  <c r="AL662" i="13" s="1"/>
  <c r="R1362" i="6"/>
  <c r="R1393" i="6" s="1"/>
  <c r="R1500" i="6" s="1"/>
  <c r="T1355" i="6"/>
  <c r="T1364" i="6"/>
  <c r="T1363" i="6"/>
  <c r="U1358" i="6" a="1"/>
  <c r="U1358" i="6" s="1"/>
  <c r="I543" i="13" s="1"/>
  <c r="T1362" i="6"/>
  <c r="R1358" i="6"/>
  <c r="AL543" i="13" s="1" a="1"/>
  <c r="AL543" i="13" s="1"/>
  <c r="T1358" i="6"/>
  <c r="K543" i="13" s="1"/>
  <c r="AU543" i="13" s="1"/>
  <c r="AL423" i="13" a="1"/>
  <c r="AL423" i="13" s="1"/>
  <c r="J423" i="13" s="1"/>
  <c r="T1354" i="6"/>
  <c r="V19" i="13"/>
  <c r="Z19" i="13" s="1"/>
  <c r="R1353" i="6"/>
  <c r="AL624" i="13" s="1" a="1"/>
  <c r="AL624" i="13" s="1"/>
  <c r="U1353" i="6" a="1"/>
  <c r="U1353" i="6" s="1"/>
  <c r="I624" i="13" s="1"/>
  <c r="R40" i="6"/>
  <c r="T965" i="6" s="1"/>
  <c r="K51" i="13" s="1"/>
  <c r="AU51" i="13" s="1"/>
  <c r="V498" i="13"/>
  <c r="Z498" i="13" s="1"/>
  <c r="W1351" i="6"/>
  <c r="T1353" i="6"/>
  <c r="K624" i="13" s="1"/>
  <c r="AU624" i="13" s="1"/>
  <c r="T1350" i="6"/>
  <c r="T1349" i="6"/>
  <c r="T1347" i="6"/>
  <c r="W1341" i="6"/>
  <c r="W1329" i="6"/>
  <c r="W1334" i="6"/>
  <c r="U1330" i="6" a="1"/>
  <c r="U1330" i="6" s="1"/>
  <c r="I616" i="13" s="1"/>
  <c r="AL669" i="13" a="1"/>
  <c r="AL669" i="13" s="1"/>
  <c r="T1330" i="6"/>
  <c r="K616" i="13" s="1"/>
  <c r="AU616" i="13" s="1"/>
  <c r="S413" i="13"/>
  <c r="AA413" i="13" s="1"/>
  <c r="T1328" i="6"/>
  <c r="T1326" i="6"/>
  <c r="T1322" i="6"/>
  <c r="R1321" i="6"/>
  <c r="R1328" i="6" s="1"/>
  <c r="R1354" i="6" s="1"/>
  <c r="R1357" i="6" s="1"/>
  <c r="R1378" i="6" s="1"/>
  <c r="R1391" i="6" s="1"/>
  <c r="R1444" i="6" s="1"/>
  <c r="W1316" i="6"/>
  <c r="T1308" i="6"/>
  <c r="AL666" i="13" a="1"/>
  <c r="AL666" i="13" s="1"/>
  <c r="T1301" i="6"/>
  <c r="K464" i="13" s="1"/>
  <c r="AU464" i="13" s="1"/>
  <c r="I585" i="13"/>
  <c r="T1306" i="6"/>
  <c r="W1303" i="6"/>
  <c r="W1302" i="6"/>
  <c r="R1295" i="6"/>
  <c r="R1297" i="6" s="1"/>
  <c r="R1337" i="6" s="1"/>
  <c r="R1346" i="6" s="1"/>
  <c r="T1284" i="6"/>
  <c r="T1283" i="6"/>
  <c r="T1298" i="6"/>
  <c r="T1297" i="6"/>
  <c r="T1295" i="6"/>
  <c r="T1289" i="6"/>
  <c r="W1286" i="6"/>
  <c r="T1288" i="6"/>
  <c r="T1282" i="6"/>
  <c r="R1281" i="6"/>
  <c r="R1363" i="6" s="1"/>
  <c r="T1437" i="6" s="1"/>
  <c r="T1281" i="6"/>
  <c r="T1280" i="6"/>
  <c r="T1279" i="6"/>
  <c r="R1272" i="6"/>
  <c r="R1301" i="6" s="1"/>
  <c r="T1360" i="6" s="1"/>
  <c r="T1272" i="6"/>
  <c r="T1270" i="6"/>
  <c r="R1259" i="6"/>
  <c r="R1260" i="6" s="1"/>
  <c r="R1261" i="6" s="1"/>
  <c r="T1401" i="6" s="1"/>
  <c r="AL664" i="13" a="1"/>
  <c r="AL664" i="13" s="1"/>
  <c r="W458" i="6"/>
  <c r="W1269" i="6"/>
  <c r="R1263" i="6"/>
  <c r="R1264" i="6" s="1"/>
  <c r="T1309" i="6" s="1"/>
  <c r="T1250" i="6"/>
  <c r="T1258" i="6"/>
  <c r="T1257" i="6"/>
  <c r="T1253" i="6"/>
  <c r="T1263" i="6"/>
  <c r="T1261" i="6"/>
  <c r="T1259" i="6"/>
  <c r="T1260" i="6"/>
  <c r="T1254" i="6"/>
  <c r="T1256" i="6"/>
  <c r="T1255" i="6"/>
  <c r="I104" i="15"/>
  <c r="T1246" i="6"/>
  <c r="T1248" i="6"/>
  <c r="AL92" i="13" a="1"/>
  <c r="AL92" i="13" s="1"/>
  <c r="T1245" i="6"/>
  <c r="R1238" i="6"/>
  <c r="U1294" i="6" s="1" a="1"/>
  <c r="U1294" i="6" s="1"/>
  <c r="U1238" i="6" a="1"/>
  <c r="U1238" i="6" s="1"/>
  <c r="R1237" i="6"/>
  <c r="R1293" i="6" s="1"/>
  <c r="T1344" i="6" s="1"/>
  <c r="U1237" i="6" a="1"/>
  <c r="U1237" i="6" s="1"/>
  <c r="T1237" i="6"/>
  <c r="T1238" i="6"/>
  <c r="T1231" i="6"/>
  <c r="W1226" i="6"/>
  <c r="W1227" i="6"/>
  <c r="E25" i="15"/>
  <c r="W1225" i="6"/>
  <c r="W1217" i="6"/>
  <c r="W1216" i="6"/>
  <c r="T1224" i="6"/>
  <c r="E17" i="15"/>
  <c r="W1218" i="6"/>
  <c r="W1220" i="6"/>
  <c r="T1220" i="6"/>
  <c r="W1215" i="6"/>
  <c r="W1210" i="6"/>
  <c r="W1213" i="6"/>
  <c r="T1212" i="6"/>
  <c r="T1211" i="6"/>
  <c r="Z131" i="13"/>
  <c r="T1205" i="6"/>
  <c r="W1203" i="6"/>
  <c r="W1202" i="6"/>
  <c r="R1200" i="6"/>
  <c r="R1207" i="6" s="1"/>
  <c r="AL612" i="13" s="1" a="1"/>
  <c r="AL612" i="13" s="1"/>
  <c r="T1200" i="6"/>
  <c r="K612" i="13" s="1"/>
  <c r="AU612" i="13" s="1"/>
  <c r="U1200" i="6" a="1"/>
  <c r="U1200" i="6" s="1"/>
  <c r="I612" i="13" s="1"/>
  <c r="T1199" i="6"/>
  <c r="T1190" i="6"/>
  <c r="W1183" i="6"/>
  <c r="R1194" i="6"/>
  <c r="R1195" i="6" s="1"/>
  <c r="R1196" i="6" s="1"/>
  <c r="R1169" i="6"/>
  <c r="U1404" i="6" s="1" a="1"/>
  <c r="U1404" i="6" s="1"/>
  <c r="S417" i="13"/>
  <c r="AA417" i="13" s="1"/>
  <c r="H131" i="13"/>
  <c r="I196" i="15"/>
  <c r="T1196" i="6"/>
  <c r="T1195" i="6"/>
  <c r="T1194" i="6"/>
  <c r="R1191" i="6"/>
  <c r="AL87" i="13" s="1" a="1"/>
  <c r="AL87" i="13" s="1"/>
  <c r="J87" i="13" s="1"/>
  <c r="T1193" i="6"/>
  <c r="U1191" i="6" a="1"/>
  <c r="U1191" i="6" s="1"/>
  <c r="I87" i="13" s="1"/>
  <c r="T1191" i="6"/>
  <c r="K87" i="13" s="1"/>
  <c r="AU87" i="13" s="1"/>
  <c r="U1187" i="6" a="1"/>
  <c r="U1187" i="6" s="1"/>
  <c r="I619" i="13" s="1"/>
  <c r="T1188" i="6"/>
  <c r="T1187" i="6"/>
  <c r="K619" i="13" s="1"/>
  <c r="AU619" i="13" s="1"/>
  <c r="T1186" i="6"/>
  <c r="T1185" i="6"/>
  <c r="T1184" i="6"/>
  <c r="T1183" i="6"/>
  <c r="W1170" i="6"/>
  <c r="T1169" i="6"/>
  <c r="T1179" i="6"/>
  <c r="R1180" i="6"/>
  <c r="T1182" i="6"/>
  <c r="U1180" i="6" a="1"/>
  <c r="U1180" i="6" s="1"/>
  <c r="T1180" i="6"/>
  <c r="T1178" i="6"/>
  <c r="U1174" i="6" a="1"/>
  <c r="U1174" i="6" s="1"/>
  <c r="U1175" i="6" a="1"/>
  <c r="U1175" i="6" s="1"/>
  <c r="R1175" i="6"/>
  <c r="R1174" i="6"/>
  <c r="T1496" i="6" s="1"/>
  <c r="T1175" i="6"/>
  <c r="T1174" i="6"/>
  <c r="U1171" i="6" a="1"/>
  <c r="U1171" i="6" s="1"/>
  <c r="I630" i="13" s="1"/>
  <c r="T1171" i="6"/>
  <c r="K630" i="13" s="1"/>
  <c r="AU630" i="13" s="1"/>
  <c r="T1168" i="6"/>
  <c r="T1167" i="6"/>
  <c r="W1159" i="6"/>
  <c r="T1152" i="6"/>
  <c r="T1151" i="6"/>
  <c r="U1166" i="6" a="1"/>
  <c r="U1166" i="6" s="1"/>
  <c r="I638" i="13" s="1"/>
  <c r="AL347" i="13" a="1"/>
  <c r="AL347" i="13" s="1"/>
  <c r="J347" i="13" s="1"/>
  <c r="AI347" i="13" s="1"/>
  <c r="T1166" i="6"/>
  <c r="K638" i="13" s="1"/>
  <c r="AU638" i="13" s="1"/>
  <c r="T1164" i="6"/>
  <c r="T1165" i="6"/>
  <c r="T1163" i="6"/>
  <c r="T1162" i="6"/>
  <c r="T1161" i="6"/>
  <c r="T1160" i="6"/>
  <c r="W427" i="6"/>
  <c r="R1158" i="6"/>
  <c r="AL580" i="13" s="1" a="1"/>
  <c r="AL580" i="13" s="1"/>
  <c r="J580" i="13" s="1"/>
  <c r="AI580" i="13" s="1"/>
  <c r="U1158" i="6" a="1"/>
  <c r="U1158" i="6" s="1"/>
  <c r="I580" i="13" s="1"/>
  <c r="T1158" i="6"/>
  <c r="K580" i="13" s="1"/>
  <c r="AU580" i="13" s="1"/>
  <c r="T1155" i="6"/>
  <c r="W1154" i="6"/>
  <c r="T1150" i="6"/>
  <c r="T1149" i="6"/>
  <c r="R1148" i="6"/>
  <c r="I345" i="15"/>
  <c r="W1147" i="6"/>
  <c r="T1148" i="6"/>
  <c r="W1146" i="6"/>
  <c r="T1146" i="6"/>
  <c r="T1144" i="6"/>
  <c r="R1141" i="6"/>
  <c r="R1188" i="6" s="1"/>
  <c r="T1142" i="6"/>
  <c r="W1040" i="6"/>
  <c r="W1140" i="6"/>
  <c r="T1141" i="6"/>
  <c r="U1138" i="6" a="1"/>
  <c r="U1138" i="6" s="1"/>
  <c r="R1138" i="6"/>
  <c r="T1277" i="6" s="1"/>
  <c r="T1138" i="6"/>
  <c r="W1137" i="6"/>
  <c r="W1122" i="6"/>
  <c r="AL98" i="13" a="1"/>
  <c r="AL98" i="13" s="1"/>
  <c r="R1134" i="6"/>
  <c r="T1134" i="6"/>
  <c r="T1133" i="6"/>
  <c r="W1124" i="6"/>
  <c r="T1132" i="6"/>
  <c r="W505" i="6"/>
  <c r="T1131" i="6"/>
  <c r="W1116" i="6"/>
  <c r="W509" i="6"/>
  <c r="H417" i="13"/>
  <c r="R208" i="6"/>
  <c r="U997" i="6" s="1" a="1"/>
  <c r="U997" i="6" s="1"/>
  <c r="I511" i="13" s="1"/>
  <c r="V558" i="13"/>
  <c r="Z558" i="13" s="1"/>
  <c r="V213" i="13"/>
  <c r="Z213" i="13" s="1"/>
  <c r="T1125" i="6"/>
  <c r="W511" i="6"/>
  <c r="S292" i="13"/>
  <c r="AA292" i="13" s="1"/>
  <c r="T1116" i="6"/>
  <c r="R140" i="6"/>
  <c r="R1053" i="6" s="1"/>
  <c r="AL290" i="13" s="1" a="1"/>
  <c r="AL290" i="13" s="1"/>
  <c r="R173" i="6"/>
  <c r="R219" i="6" s="1"/>
  <c r="R221" i="6" s="1"/>
  <c r="R426" i="6" s="1"/>
  <c r="T983" i="6" s="1"/>
  <c r="V489" i="13"/>
  <c r="Z489" i="13" s="1"/>
  <c r="T1115" i="6"/>
  <c r="T1110" i="6"/>
  <c r="U1128" i="6" a="1"/>
  <c r="U1128" i="6" s="1"/>
  <c r="I625" i="13" s="1"/>
  <c r="T1128" i="6"/>
  <c r="K625" i="13" s="1"/>
  <c r="AU625" i="13" s="1"/>
  <c r="T1126" i="6"/>
  <c r="AL648" i="13" a="1"/>
  <c r="AL648" i="13" s="1"/>
  <c r="J648" i="13" s="1"/>
  <c r="AI648" i="13" s="1"/>
  <c r="AV648" i="13" s="1"/>
  <c r="T1124" i="6"/>
  <c r="U1114" i="6" a="1"/>
  <c r="U1114" i="6" s="1"/>
  <c r="T1114" i="6"/>
  <c r="R1114" i="6"/>
  <c r="U1117" i="6" s="1" a="1"/>
  <c r="U1117" i="6" s="1"/>
  <c r="G536" i="13"/>
  <c r="AQ536" i="13" s="1"/>
  <c r="T1108" i="6"/>
  <c r="T1107" i="6"/>
  <c r="R1104" i="6"/>
  <c r="AL647" i="13" s="1" a="1"/>
  <c r="AL647" i="13" s="1"/>
  <c r="R1100" i="6"/>
  <c r="AL646" i="13" s="1" a="1"/>
  <c r="AL646" i="13" s="1"/>
  <c r="T1099" i="6"/>
  <c r="T1100" i="6"/>
  <c r="T1101" i="6"/>
  <c r="T1098" i="6"/>
  <c r="U1105" i="6" a="1"/>
  <c r="U1105" i="6" s="1"/>
  <c r="I631" i="13" s="1"/>
  <c r="T1105" i="6"/>
  <c r="K631" i="13" s="1"/>
  <c r="AU631" i="13" s="1"/>
  <c r="W1031" i="6"/>
  <c r="T1104" i="6"/>
  <c r="U1102" i="6" a="1"/>
  <c r="U1102" i="6" s="1"/>
  <c r="I633" i="13" s="1"/>
  <c r="R1102" i="6"/>
  <c r="T1103" i="6"/>
  <c r="T1102" i="6"/>
  <c r="K633" i="13" s="1"/>
  <c r="AU633" i="13" s="1"/>
  <c r="V53" i="13"/>
  <c r="Z53" i="13" s="1"/>
  <c r="T1097" i="6"/>
  <c r="N138" i="15"/>
  <c r="N574" i="15"/>
  <c r="N65" i="15"/>
  <c r="N579" i="15"/>
  <c r="N553" i="15"/>
  <c r="W373" i="6"/>
  <c r="W377" i="6"/>
  <c r="R53" i="6"/>
  <c r="R341" i="6" s="1"/>
  <c r="U1012" i="6" s="1" a="1"/>
  <c r="U1012" i="6" s="1"/>
  <c r="I466" i="13" s="1"/>
  <c r="R5" i="6"/>
  <c r="U883" i="6" s="1" a="1"/>
  <c r="U883" i="6" s="1"/>
  <c r="I18" i="13" s="1"/>
  <c r="R20" i="6"/>
  <c r="T956" i="6" s="1"/>
  <c r="K125" i="13" s="1"/>
  <c r="AU125" i="13" s="1"/>
  <c r="V529" i="13"/>
  <c r="Z529" i="13" s="1"/>
  <c r="W515" i="6"/>
  <c r="N168" i="15"/>
  <c r="W869" i="6"/>
  <c r="T1096" i="6"/>
  <c r="W1093" i="6"/>
  <c r="W863" i="6"/>
  <c r="W1094" i="6"/>
  <c r="T1095" i="6"/>
  <c r="T1094" i="6"/>
  <c r="T1092" i="6"/>
  <c r="W512" i="6"/>
  <c r="S561" i="13"/>
  <c r="AA561" i="13" s="1"/>
  <c r="U1086" i="6" a="1"/>
  <c r="U1086" i="6" s="1"/>
  <c r="W104" i="6"/>
  <c r="W461" i="6"/>
  <c r="W101" i="6"/>
  <c r="W235" i="6"/>
  <c r="R102" i="6"/>
  <c r="R49" i="6"/>
  <c r="T403" i="6" s="1"/>
  <c r="R399" i="6"/>
  <c r="U872" i="6" s="1" a="1"/>
  <c r="U872" i="6" s="1"/>
  <c r="I66" i="13" s="1"/>
  <c r="V688" i="13"/>
  <c r="Z688" i="13" s="1"/>
  <c r="R533" i="6"/>
  <c r="R1057" i="6" s="1"/>
  <c r="T1320" i="6" s="1"/>
  <c r="K573" i="13" s="1"/>
  <c r="AU573" i="13" s="1"/>
  <c r="W546" i="6"/>
  <c r="W459" i="6"/>
  <c r="W460" i="6"/>
  <c r="V94" i="13"/>
  <c r="Z94" i="13" s="1"/>
  <c r="W574" i="6"/>
  <c r="R1086" i="6"/>
  <c r="R1131" i="6" s="1"/>
  <c r="W203" i="6"/>
  <c r="R156" i="6"/>
  <c r="R1025" i="6" s="1"/>
  <c r="T1352" i="6" s="1"/>
  <c r="K505" i="13" s="1"/>
  <c r="AU505" i="13" s="1"/>
  <c r="R503" i="6"/>
  <c r="R1040" i="6" s="1"/>
  <c r="U1140" i="6" s="1" a="1"/>
  <c r="U1140" i="6" s="1"/>
  <c r="I553" i="13" s="1"/>
  <c r="T1086" i="6"/>
  <c r="T1083" i="6"/>
  <c r="AL493" i="13" a="1"/>
  <c r="AL493" i="13" s="1"/>
  <c r="J493" i="13" s="1"/>
  <c r="T1075" i="6"/>
  <c r="R1075" i="6"/>
  <c r="T1082" i="6" s="1"/>
  <c r="U1075" i="6" a="1"/>
  <c r="U1075" i="6" s="1"/>
  <c r="R1078" i="6"/>
  <c r="R1356" i="6" s="1"/>
  <c r="AL642" i="13" a="1"/>
  <c r="AL642" i="13" s="1"/>
  <c r="AL645" i="13" a="1"/>
  <c r="AL645" i="13" s="1"/>
  <c r="W900" i="6"/>
  <c r="T1074" i="6"/>
  <c r="T1001" i="6"/>
  <c r="S550" i="13"/>
  <c r="AA550" i="13" s="1"/>
  <c r="W595" i="6"/>
  <c r="AL638" i="13" a="1"/>
  <c r="AL638" i="13" s="1"/>
  <c r="R1072" i="6"/>
  <c r="G550" i="13"/>
  <c r="AQ550" i="13" s="1"/>
  <c r="T1073" i="6"/>
  <c r="V547" i="13"/>
  <c r="Z547" i="13" s="1"/>
  <c r="W1070" i="6"/>
  <c r="T1072" i="6"/>
  <c r="E38" i="15"/>
  <c r="T1071" i="6"/>
  <c r="W1068" i="6"/>
  <c r="T1068" i="6"/>
  <c r="AL627" i="13" a="1"/>
  <c r="AL627" i="13" s="1"/>
  <c r="AL639" i="13" a="1"/>
  <c r="AL639" i="13" s="1"/>
  <c r="W1033" i="6"/>
  <c r="W1030" i="6"/>
  <c r="T1067" i="6"/>
  <c r="T1065" i="6"/>
  <c r="T1064" i="6"/>
  <c r="T1063" i="6"/>
  <c r="S577" i="13"/>
  <c r="AA577" i="13" s="1"/>
  <c r="AB577" i="13" s="1"/>
  <c r="H577" i="13"/>
  <c r="H561" i="13"/>
  <c r="R1062" i="6"/>
  <c r="T1061" i="6"/>
  <c r="T1060" i="6"/>
  <c r="AL636" i="13" a="1"/>
  <c r="AL636" i="13" s="1"/>
  <c r="T1059" i="6"/>
  <c r="T1058" i="6"/>
  <c r="G495" i="13"/>
  <c r="AQ495" i="13" s="1"/>
  <c r="H495" i="13"/>
  <c r="W987" i="6"/>
  <c r="W667" i="6"/>
  <c r="W714" i="6"/>
  <c r="W786" i="6"/>
  <c r="W1004" i="6"/>
  <c r="W598" i="6"/>
  <c r="W963" i="6"/>
  <c r="W1047" i="6"/>
  <c r="W807" i="6"/>
  <c r="W804" i="6"/>
  <c r="AL631" i="13" a="1"/>
  <c r="AL631" i="13" s="1"/>
  <c r="W534" i="6"/>
  <c r="W1056" i="6"/>
  <c r="T1056" i="6"/>
  <c r="T1055" i="6"/>
  <c r="T1054" i="6"/>
  <c r="T1053" i="6"/>
  <c r="T1052" i="6"/>
  <c r="W1048" i="6"/>
  <c r="W1041" i="6"/>
  <c r="AL619" i="13" a="1"/>
  <c r="AL619" i="13" s="1"/>
  <c r="AL621" i="13" a="1"/>
  <c r="AL621" i="13" s="1"/>
  <c r="AL620" i="13" a="1"/>
  <c r="AL620" i="13" s="1"/>
  <c r="T1051" i="6"/>
  <c r="T1049" i="6"/>
  <c r="T1050" i="6"/>
  <c r="T1048" i="6"/>
  <c r="T1047" i="6"/>
  <c r="AL616" i="13" a="1"/>
  <c r="AL616" i="13" s="1"/>
  <c r="AL630" i="13" a="1"/>
  <c r="AL630" i="13" s="1"/>
  <c r="AL625" i="13" a="1"/>
  <c r="AL625" i="13" s="1"/>
  <c r="AL632" i="13" a="1"/>
  <c r="AL632" i="13" s="1"/>
  <c r="AL629" i="13" a="1"/>
  <c r="AL629" i="13" s="1"/>
  <c r="AL626" i="13" a="1"/>
  <c r="AL626" i="13" s="1"/>
  <c r="R1037" i="6"/>
  <c r="AL574" i="13" s="1"/>
  <c r="T1045" i="6"/>
  <c r="T1044" i="6"/>
  <c r="T1043" i="6"/>
  <c r="T1042" i="6"/>
  <c r="T1040" i="6"/>
  <c r="T1041" i="6"/>
  <c r="T1037" i="6"/>
  <c r="T1036" i="6"/>
  <c r="T1035" i="6"/>
  <c r="T1034" i="6"/>
  <c r="T1032" i="6"/>
  <c r="T1031" i="6"/>
  <c r="T1030" i="6"/>
  <c r="W616" i="6"/>
  <c r="T1027" i="6"/>
  <c r="T1026" i="6"/>
  <c r="R1023" i="6"/>
  <c r="R1249" i="6" s="1"/>
  <c r="T1025" i="6"/>
  <c r="T1023" i="6"/>
  <c r="T1020" i="6"/>
  <c r="T1019" i="6"/>
  <c r="W611" i="6"/>
  <c r="W1018" i="6"/>
  <c r="T1018" i="6"/>
  <c r="T1017" i="6"/>
  <c r="T1016" i="6"/>
  <c r="I204" i="15"/>
  <c r="W1013" i="6"/>
  <c r="K585" i="13"/>
  <c r="AU585" i="13" s="1"/>
  <c r="W1012" i="6"/>
  <c r="W1009" i="6"/>
  <c r="R1010" i="6"/>
  <c r="T1331" i="6" s="1"/>
  <c r="K613" i="13" s="1"/>
  <c r="AU613" i="13" s="1"/>
  <c r="T1011" i="6"/>
  <c r="W1007" i="6"/>
  <c r="T1010" i="6"/>
  <c r="T1009" i="6"/>
  <c r="T1008" i="6"/>
  <c r="W529" i="6"/>
  <c r="W1006" i="6"/>
  <c r="T1005" i="6"/>
  <c r="R1002" i="6"/>
  <c r="T1376" i="6" s="1"/>
  <c r="R992" i="6"/>
  <c r="R993" i="6" s="1"/>
  <c r="R1005" i="6" s="1"/>
  <c r="R1278" i="6" s="1"/>
  <c r="R1279" i="6" s="1"/>
  <c r="R1280" i="6" s="1"/>
  <c r="R995" i="6"/>
  <c r="AL614" i="13" s="1" a="1"/>
  <c r="AL614" i="13" s="1"/>
  <c r="T994" i="6"/>
  <c r="T995" i="6"/>
  <c r="T999" i="6"/>
  <c r="R997" i="6"/>
  <c r="AL511" i="13" s="1" a="1"/>
  <c r="AL511" i="13" s="1"/>
  <c r="T1000" i="6"/>
  <c r="T993" i="6"/>
  <c r="T992" i="6"/>
  <c r="T991" i="6"/>
  <c r="R988" i="6"/>
  <c r="AL569" i="13" s="1"/>
  <c r="J569" i="13" s="1"/>
  <c r="T990" i="6"/>
  <c r="T989" i="6"/>
  <c r="T988" i="6"/>
  <c r="T987" i="6"/>
  <c r="T986" i="6"/>
  <c r="T982" i="6"/>
  <c r="T984" i="6"/>
  <c r="T980" i="6"/>
  <c r="T978" i="6"/>
  <c r="W975" i="6"/>
  <c r="W976" i="6"/>
  <c r="T976" i="6"/>
  <c r="T975" i="6"/>
  <c r="T974" i="6"/>
  <c r="T972" i="6"/>
  <c r="AL324" i="13" a="1"/>
  <c r="AL324" i="13" s="1"/>
  <c r="J324" i="13" s="1"/>
  <c r="R967" i="6"/>
  <c r="R1108" i="6" s="1"/>
  <c r="R1109" i="6" s="1"/>
  <c r="T970" i="6"/>
  <c r="T971" i="6"/>
  <c r="T969" i="6"/>
  <c r="T968" i="6"/>
  <c r="T967" i="6"/>
  <c r="T964" i="6"/>
  <c r="R285" i="6"/>
  <c r="R288" i="6" s="1"/>
  <c r="U941" i="6" s="1" a="1"/>
  <c r="U941" i="6" s="1"/>
  <c r="I519" i="13" s="1"/>
  <c r="T963" i="6"/>
  <c r="T962" i="6"/>
  <c r="AL611" i="13" a="1"/>
  <c r="AL611" i="13" s="1"/>
  <c r="AL610" i="13" a="1"/>
  <c r="AL610" i="13" s="1"/>
  <c r="T960" i="6"/>
  <c r="T958" i="6"/>
  <c r="R956" i="6"/>
  <c r="AL125" i="13" s="1" a="1"/>
  <c r="AL125" i="13" s="1"/>
  <c r="T957" i="6"/>
  <c r="T955" i="6"/>
  <c r="T954" i="6"/>
  <c r="T864" i="6"/>
  <c r="T953" i="6"/>
  <c r="E56" i="15"/>
  <c r="T942" i="6"/>
  <c r="AL205" i="13" a="1"/>
  <c r="AL205" i="13" s="1"/>
  <c r="J205" i="13" s="1"/>
  <c r="P572" i="13"/>
  <c r="T952" i="6"/>
  <c r="T950" i="6"/>
  <c r="T951" i="6"/>
  <c r="T949" i="6"/>
  <c r="AM572" i="13"/>
  <c r="R572" i="13"/>
  <c r="R946" i="6"/>
  <c r="U1192" i="6" s="1" a="1"/>
  <c r="U1192" i="6" s="1"/>
  <c r="T946" i="6"/>
  <c r="T945" i="6"/>
  <c r="T944" i="6"/>
  <c r="T943" i="6"/>
  <c r="R932" i="6"/>
  <c r="R964" i="6" s="1"/>
  <c r="G462" i="13"/>
  <c r="AQ462" i="13" s="1"/>
  <c r="H462" i="13"/>
  <c r="T927" i="6"/>
  <c r="T928" i="6"/>
  <c r="T930" i="6"/>
  <c r="T932" i="6"/>
  <c r="T934" i="6"/>
  <c r="T935" i="6"/>
  <c r="K478" i="13"/>
  <c r="W924" i="6"/>
  <c r="T938" i="6"/>
  <c r="T939" i="6"/>
  <c r="I271" i="15"/>
  <c r="T922" i="6"/>
  <c r="T925" i="6"/>
  <c r="I234" i="15"/>
  <c r="T921" i="6"/>
  <c r="T920" i="6"/>
  <c r="R910" i="6"/>
  <c r="R913" i="6" s="1"/>
  <c r="R916" i="6" s="1"/>
  <c r="AL215" i="13" s="1" a="1"/>
  <c r="AL215" i="13" s="1"/>
  <c r="J215" i="13" s="1"/>
  <c r="U915" i="6" a="1"/>
  <c r="U915" i="6" s="1"/>
  <c r="I589" i="13" s="1"/>
  <c r="T909" i="6"/>
  <c r="T910" i="6"/>
  <c r="T911" i="6"/>
  <c r="T912" i="6"/>
  <c r="T913" i="6"/>
  <c r="T915" i="6"/>
  <c r="K589" i="13" s="1"/>
  <c r="AU589" i="13" s="1"/>
  <c r="W882" i="6"/>
  <c r="T916" i="6"/>
  <c r="W908" i="6"/>
  <c r="T917" i="6"/>
  <c r="T904" i="6"/>
  <c r="T906" i="6"/>
  <c r="T907" i="6"/>
  <c r="R899" i="6"/>
  <c r="T903" i="6" s="1"/>
  <c r="T899" i="6"/>
  <c r="U899" i="6" a="1"/>
  <c r="U899" i="6" s="1"/>
  <c r="T897" i="6"/>
  <c r="R880" i="6"/>
  <c r="R881" i="6" s="1"/>
  <c r="AL604" i="13" s="1" a="1"/>
  <c r="AL604" i="13" s="1"/>
  <c r="E74" i="15"/>
  <c r="T882" i="6"/>
  <c r="R286" i="6"/>
  <c r="R302" i="6" s="1"/>
  <c r="R883" i="6"/>
  <c r="AL18" i="13" s="1" a="1"/>
  <c r="AL18" i="13" s="1"/>
  <c r="J18" i="13" s="1"/>
  <c r="W865" i="6"/>
  <c r="Z96" i="13"/>
  <c r="T880" i="6"/>
  <c r="T881" i="6"/>
  <c r="E61" i="15"/>
  <c r="W864" i="6"/>
  <c r="T874" i="6"/>
  <c r="H541" i="13"/>
  <c r="T873" i="6"/>
  <c r="N560" i="15"/>
  <c r="N544" i="15"/>
  <c r="R872" i="6"/>
  <c r="AL66" i="13" s="1" a="1"/>
  <c r="AL66" i="13" s="1"/>
  <c r="N573" i="15"/>
  <c r="N340" i="15"/>
  <c r="T871" i="6"/>
  <c r="R593" i="13"/>
  <c r="T856" i="6"/>
  <c r="S541" i="13"/>
  <c r="AA541" i="13" s="1"/>
  <c r="W789" i="6"/>
  <c r="W862" i="6"/>
  <c r="T865" i="6"/>
  <c r="S531" i="13"/>
  <c r="AA531" i="13" s="1"/>
  <c r="AP531" i="13" s="1"/>
  <c r="T860" i="6"/>
  <c r="T859" i="6"/>
  <c r="W855" i="6"/>
  <c r="W854" i="6"/>
  <c r="G531" i="13"/>
  <c r="AQ531" i="13" s="1"/>
  <c r="T855" i="6"/>
  <c r="T854" i="6"/>
  <c r="W853" i="6"/>
  <c r="T852" i="6"/>
  <c r="T851" i="6"/>
  <c r="T847" i="6"/>
  <c r="T846" i="6"/>
  <c r="R842" i="6"/>
  <c r="R1270" i="6" s="1"/>
  <c r="R1300" i="6" s="1"/>
  <c r="W844" i="6"/>
  <c r="R60" i="6"/>
  <c r="R89" i="6" s="1"/>
  <c r="U443" i="6" s="1" a="1"/>
  <c r="R514" i="6"/>
  <c r="R812" i="6" s="1"/>
  <c r="U1501" i="6" s="1" a="1"/>
  <c r="U1501" i="6" s="1"/>
  <c r="I566" i="13" s="1"/>
  <c r="T843" i="6"/>
  <c r="W839" i="6"/>
  <c r="W840" i="6"/>
  <c r="T842" i="6"/>
  <c r="R841" i="6"/>
  <c r="AL588" i="13" s="1" a="1"/>
  <c r="AL588" i="13" s="1"/>
  <c r="T840" i="6"/>
  <c r="T841" i="6"/>
  <c r="R837" i="6"/>
  <c r="T836" i="6"/>
  <c r="T835" i="6"/>
  <c r="E29" i="15"/>
  <c r="R383" i="6"/>
  <c r="U818" i="6" s="1" a="1"/>
  <c r="U818" i="6" s="1"/>
  <c r="I530" i="13" s="1"/>
  <c r="AL242" i="13" a="1"/>
  <c r="AL242" i="13" s="1"/>
  <c r="J242" i="13" s="1"/>
  <c r="T832" i="6"/>
  <c r="T831" i="6"/>
  <c r="T830" i="6"/>
  <c r="T829" i="6"/>
  <c r="T828" i="6"/>
  <c r="T827" i="6"/>
  <c r="T826" i="6"/>
  <c r="T825" i="6"/>
  <c r="R116" i="6"/>
  <c r="U765" i="6" s="1" a="1"/>
  <c r="U765" i="6" s="1"/>
  <c r="I322" i="13" s="1"/>
  <c r="T824" i="6"/>
  <c r="R37" i="6"/>
  <c r="R38" i="6" s="1"/>
  <c r="R512" i="6" s="1"/>
  <c r="R550" i="6"/>
  <c r="U785" i="6" s="1" a="1"/>
  <c r="U785" i="6" s="1"/>
  <c r="I574" i="13" s="1"/>
  <c r="T823" i="6"/>
  <c r="T822" i="6"/>
  <c r="W820" i="6"/>
  <c r="T811" i="6"/>
  <c r="W815" i="6"/>
  <c r="W816" i="6"/>
  <c r="R814" i="6"/>
  <c r="U890" i="6" s="1" a="1"/>
  <c r="U890" i="6" s="1"/>
  <c r="U819" i="6" a="1"/>
  <c r="U819" i="6" s="1"/>
  <c r="R819" i="6"/>
  <c r="U877" i="6" s="1" a="1"/>
  <c r="U877" i="6" s="1"/>
  <c r="E42" i="15"/>
  <c r="T819" i="6"/>
  <c r="R818" i="6"/>
  <c r="AL530" i="13" s="1" a="1"/>
  <c r="AL530" i="13" s="1"/>
  <c r="T815" i="6"/>
  <c r="T814" i="6"/>
  <c r="T812" i="6"/>
  <c r="T809" i="6"/>
  <c r="E62" i="15"/>
  <c r="W805" i="6"/>
  <c r="T806" i="6"/>
  <c r="T805" i="6"/>
  <c r="T804" i="6"/>
  <c r="T802" i="6"/>
  <c r="I10" i="15"/>
  <c r="T799" i="6"/>
  <c r="T792" i="6"/>
  <c r="T793" i="6"/>
  <c r="R788" i="6"/>
  <c r="T788" i="6"/>
  <c r="I303" i="15"/>
  <c r="T786" i="6"/>
  <c r="U780" i="6" a="1"/>
  <c r="U780" i="6" s="1"/>
  <c r="T784" i="6"/>
  <c r="R780" i="6"/>
  <c r="T780" i="6"/>
  <c r="W779" i="6"/>
  <c r="T778" i="6"/>
  <c r="W777" i="6"/>
  <c r="W774" i="6"/>
  <c r="R24" i="6"/>
  <c r="I354" i="15"/>
  <c r="T766" i="6"/>
  <c r="R765" i="6"/>
  <c r="AL322" i="13" s="1" a="1"/>
  <c r="AL322" i="13" s="1"/>
  <c r="G376" i="13"/>
  <c r="AQ376" i="13" s="1"/>
  <c r="R11" i="6"/>
  <c r="R84" i="6" s="1"/>
  <c r="R178" i="6" s="1"/>
  <c r="T367" i="6" s="1"/>
  <c r="S376" i="13"/>
  <c r="AA376" i="13" s="1"/>
  <c r="AJ376" i="13" s="1"/>
  <c r="U764" i="6" a="1"/>
  <c r="U764" i="6" s="1"/>
  <c r="R764" i="6"/>
  <c r="U800" i="6" s="1" a="1"/>
  <c r="U800" i="6" s="1"/>
  <c r="T764" i="6"/>
  <c r="P593" i="13"/>
  <c r="W762" i="6"/>
  <c r="T763" i="6"/>
  <c r="T755" i="6"/>
  <c r="T757" i="6"/>
  <c r="T756" i="6"/>
  <c r="T752" i="6"/>
  <c r="T747" i="6"/>
  <c r="T748" i="6"/>
  <c r="U743" i="6" a="1"/>
  <c r="U743" i="6" s="1"/>
  <c r="T743" i="6"/>
  <c r="R743" i="6"/>
  <c r="T742" i="6"/>
  <c r="AL596" i="13" a="1"/>
  <c r="AL596" i="13" s="1"/>
  <c r="T741" i="6"/>
  <c r="T740" i="6"/>
  <c r="T737" i="6"/>
  <c r="T736" i="6"/>
  <c r="R735" i="6"/>
  <c r="R1273" i="6" s="1"/>
  <c r="R1274" i="6" s="1"/>
  <c r="R1314" i="6" s="1"/>
  <c r="T735" i="6"/>
  <c r="T734" i="6"/>
  <c r="T733" i="6"/>
  <c r="R224" i="6"/>
  <c r="R729" i="6" s="1"/>
  <c r="U753" i="6" s="1" a="1"/>
  <c r="U753" i="6" s="1"/>
  <c r="T731" i="6"/>
  <c r="T732" i="6"/>
  <c r="R142" i="6"/>
  <c r="R143" i="6" s="1"/>
  <c r="R149" i="6" s="1"/>
  <c r="U238" i="6" s="1" a="1"/>
  <c r="T730" i="6"/>
  <c r="T729" i="6"/>
  <c r="T728" i="6"/>
  <c r="R726" i="6"/>
  <c r="R725" i="6"/>
  <c r="T725" i="6"/>
  <c r="T726" i="6"/>
  <c r="O493" i="15"/>
  <c r="O206" i="15"/>
  <c r="I366" i="15"/>
  <c r="G469" i="13"/>
  <c r="AQ469" i="13" s="1"/>
  <c r="R117" i="6"/>
  <c r="T246" i="6" s="1"/>
  <c r="R259" i="6"/>
  <c r="U421" i="6" s="1" a="1"/>
  <c r="U421" i="6" s="1"/>
  <c r="R518" i="6"/>
  <c r="U721" i="6" s="1" a="1"/>
  <c r="U721" i="6" s="1"/>
  <c r="I564" i="13" s="1"/>
  <c r="R719" i="6"/>
  <c r="AL594" i="13" s="1" a="1"/>
  <c r="AL594" i="13" s="1"/>
  <c r="T718" i="6"/>
  <c r="T719" i="6"/>
  <c r="S5" i="13"/>
  <c r="K119" i="13"/>
  <c r="H469" i="13"/>
  <c r="T715" i="6"/>
  <c r="G5" i="13"/>
  <c r="AQ5" i="13" s="1"/>
  <c r="T712" i="6"/>
  <c r="T711" i="6"/>
  <c r="T708" i="6"/>
  <c r="W706" i="6"/>
  <c r="W701" i="6"/>
  <c r="T702" i="6"/>
  <c r="T701" i="6"/>
  <c r="W468" i="6"/>
  <c r="W699" i="6"/>
  <c r="T699" i="6"/>
  <c r="T696" i="6"/>
  <c r="G344" i="13"/>
  <c r="AQ344" i="13" s="1"/>
  <c r="T693" i="6"/>
  <c r="T692" i="6"/>
  <c r="T694" i="6"/>
  <c r="H344" i="13"/>
  <c r="T691" i="6"/>
  <c r="H457" i="13"/>
  <c r="T689" i="6"/>
  <c r="T688" i="6"/>
  <c r="Z93" i="13"/>
  <c r="R28" i="6"/>
  <c r="U113" i="6" s="1" a="1"/>
  <c r="U113" i="6" s="1"/>
  <c r="R482" i="6"/>
  <c r="R678" i="6" s="1"/>
  <c r="AL552" i="13" s="1" a="1"/>
  <c r="AL552" i="13" s="1"/>
  <c r="W685" i="6"/>
  <c r="T677" i="6"/>
  <c r="T680" i="6"/>
  <c r="T681" i="6"/>
  <c r="T682" i="6"/>
  <c r="T683" i="6"/>
  <c r="T686" i="6"/>
  <c r="T685" i="6"/>
  <c r="R547" i="6"/>
  <c r="T664" i="6" s="1"/>
  <c r="K425" i="13" s="1"/>
  <c r="AU425" i="13" s="1"/>
  <c r="T679" i="6"/>
  <c r="R675" i="6"/>
  <c r="T678" i="6"/>
  <c r="G545" i="13"/>
  <c r="AQ545" i="13" s="1"/>
  <c r="T676" i="6"/>
  <c r="T675" i="6"/>
  <c r="Z73" i="13"/>
  <c r="T674" i="6"/>
  <c r="AL589" i="13" a="1"/>
  <c r="AL589" i="13" s="1"/>
  <c r="T673" i="6"/>
  <c r="T672" i="6"/>
  <c r="T671" i="6"/>
  <c r="H268" i="13"/>
  <c r="R541" i="6"/>
  <c r="U646" i="6" s="1" a="1"/>
  <c r="U646" i="6" s="1"/>
  <c r="I575" i="13" s="1"/>
  <c r="R19" i="6"/>
  <c r="R665" i="6"/>
  <c r="S559" i="13"/>
  <c r="AA559" i="13" s="1"/>
  <c r="AS559" i="13" s="1"/>
  <c r="AT559" i="13" s="1"/>
  <c r="H545" i="13"/>
  <c r="R664" i="6"/>
  <c r="AL425" i="13" s="1" a="1"/>
  <c r="AL425" i="13" s="1"/>
  <c r="J425" i="13" s="1"/>
  <c r="AI425" i="13" s="1"/>
  <c r="T663" i="6"/>
  <c r="W444" i="6"/>
  <c r="W661" i="6"/>
  <c r="T662" i="6"/>
  <c r="T660" i="6"/>
  <c r="W658" i="6"/>
  <c r="W659" i="6"/>
  <c r="N147" i="15"/>
  <c r="T656" i="6"/>
  <c r="T657" i="6"/>
  <c r="R651" i="6"/>
  <c r="R653" i="6" s="1"/>
  <c r="T650" i="6"/>
  <c r="T649" i="6"/>
  <c r="T655" i="6"/>
  <c r="T654" i="6"/>
  <c r="T653" i="6"/>
  <c r="T651" i="6"/>
  <c r="R471" i="6"/>
  <c r="T617" i="6" s="1"/>
  <c r="R648" i="6"/>
  <c r="U744" i="6" s="1" a="1"/>
  <c r="U744" i="6" s="1"/>
  <c r="T647" i="6"/>
  <c r="R476" i="6"/>
  <c r="R492" i="6" s="1"/>
  <c r="R644" i="6" s="1"/>
  <c r="T738" i="6" s="1"/>
  <c r="AL354" i="13" a="1"/>
  <c r="AL354" i="13" s="1"/>
  <c r="J354" i="13" s="1"/>
  <c r="R646" i="6"/>
  <c r="AL575" i="13" s="1"/>
  <c r="W645" i="6"/>
  <c r="H524" i="13"/>
  <c r="R18" i="6"/>
  <c r="R76" i="6" s="1"/>
  <c r="U215" i="6" s="1" a="1"/>
  <c r="G559" i="13"/>
  <c r="AQ559" i="13" s="1"/>
  <c r="T642" i="6"/>
  <c r="W523" i="6"/>
  <c r="W641" i="6"/>
  <c r="AL289" i="13" a="1"/>
  <c r="AL289" i="13" s="1"/>
  <c r="J289" i="13" s="1"/>
  <c r="AL587" i="13" a="1"/>
  <c r="AL587" i="13" s="1"/>
  <c r="T631" i="6"/>
  <c r="G524" i="13"/>
  <c r="AQ524" i="13" s="1"/>
  <c r="R294" i="6"/>
  <c r="R296" i="6" s="1"/>
  <c r="T378" i="6" s="1"/>
  <c r="R96" i="6"/>
  <c r="R181" i="6" s="1"/>
  <c r="R228" i="6" s="1"/>
  <c r="R317" i="6" s="1"/>
  <c r="R629" i="6" s="1"/>
  <c r="R654" i="6" s="1"/>
  <c r="R759" i="6" s="1"/>
  <c r="U1403" i="6" s="1" a="1"/>
  <c r="U1403" i="6" s="1"/>
  <c r="R447" i="6"/>
  <c r="T627" i="6" s="1"/>
  <c r="R543" i="6"/>
  <c r="U594" i="6" s="1" a="1"/>
  <c r="U594" i="6" s="1"/>
  <c r="T636" i="6"/>
  <c r="W634" i="6"/>
  <c r="T635" i="6"/>
  <c r="T634" i="6"/>
  <c r="T633" i="6"/>
  <c r="G34" i="13"/>
  <c r="AQ34" i="13" s="1"/>
  <c r="H34" i="13"/>
  <c r="AM152" i="13" a="1"/>
  <c r="AM152" i="13" s="1"/>
  <c r="AM71" i="13" a="1"/>
  <c r="AM71" i="13" s="1"/>
  <c r="Q71" i="13" s="1"/>
  <c r="I383" i="15"/>
  <c r="I81" i="15"/>
  <c r="E380" i="15"/>
  <c r="N86" i="15"/>
  <c r="E367" i="15"/>
  <c r="N52" i="15"/>
  <c r="N315" i="15"/>
  <c r="N319" i="15"/>
  <c r="W627" i="6"/>
  <c r="W628" i="6"/>
  <c r="T628" i="6"/>
  <c r="U625" i="6" a="1"/>
  <c r="U625" i="6" s="1"/>
  <c r="I582" i="13" s="1"/>
  <c r="R36" i="6"/>
  <c r="R82" i="6" s="1"/>
  <c r="U241" i="6" s="1" a="1"/>
  <c r="U241" i="6" s="1"/>
  <c r="R625" i="6"/>
  <c r="AL582" i="13" s="1" a="1"/>
  <c r="AL582" i="13" s="1"/>
  <c r="J582" i="13" s="1"/>
  <c r="AI582" i="13" s="1"/>
  <c r="AV582" i="13" s="1"/>
  <c r="T625" i="6"/>
  <c r="K582" i="13" s="1"/>
  <c r="AU582" i="13" s="1"/>
  <c r="R532" i="6"/>
  <c r="R613" i="6" s="1"/>
  <c r="U745" i="6" s="1" a="1"/>
  <c r="U745" i="6" s="1"/>
  <c r="O482" i="15"/>
  <c r="I143" i="15"/>
  <c r="E68" i="15"/>
  <c r="R620" i="6"/>
  <c r="R622" i="6" s="1"/>
  <c r="T620" i="6"/>
  <c r="T621" i="6"/>
  <c r="T619" i="6"/>
  <c r="T618" i="6"/>
  <c r="T615" i="6"/>
  <c r="T613" i="6"/>
  <c r="T609" i="6"/>
  <c r="T608" i="6"/>
  <c r="E20" i="15"/>
  <c r="N391" i="15"/>
  <c r="N331" i="15"/>
  <c r="R490" i="6"/>
  <c r="R491" i="6" s="1"/>
  <c r="AL127" i="13" s="1" a="1"/>
  <c r="AL127" i="13" s="1"/>
  <c r="R107" i="6"/>
  <c r="R148" i="6" s="1"/>
  <c r="R164" i="6" s="1"/>
  <c r="T377" i="6" s="1"/>
  <c r="R359" i="6"/>
  <c r="U597" i="6" s="1" a="1"/>
  <c r="U597" i="6" s="1"/>
  <c r="W596" i="6"/>
  <c r="O242" i="15"/>
  <c r="R594" i="6"/>
  <c r="T592" i="6"/>
  <c r="T590" i="6"/>
  <c r="T591" i="6"/>
  <c r="W589" i="6"/>
  <c r="I411" i="15"/>
  <c r="H538" i="13"/>
  <c r="R118" i="6"/>
  <c r="R174" i="6" s="1"/>
  <c r="R194" i="6" s="1"/>
  <c r="R213" i="6" s="1"/>
  <c r="R223" i="6" s="1"/>
  <c r="R312" i="6" s="1"/>
  <c r="R327" i="6" s="1"/>
  <c r="R345" i="6" s="1"/>
  <c r="R402" i="6" s="1"/>
  <c r="R566" i="6" s="1"/>
  <c r="T1310" i="6" s="1"/>
  <c r="H554" i="13"/>
  <c r="R94" i="6"/>
  <c r="U350" i="6" s="1" a="1"/>
  <c r="U350" i="6" s="1"/>
  <c r="G554" i="13"/>
  <c r="AQ554" i="13" s="1"/>
  <c r="N554" i="15"/>
  <c r="N144" i="15"/>
  <c r="N94" i="15"/>
  <c r="N519" i="15"/>
  <c r="N495" i="15"/>
  <c r="T587" i="6"/>
  <c r="T588" i="6"/>
  <c r="N556" i="15"/>
  <c r="N392" i="15"/>
  <c r="N565" i="15"/>
  <c r="N561" i="15"/>
  <c r="N97" i="15"/>
  <c r="N496" i="15"/>
  <c r="N460" i="15"/>
  <c r="N555" i="15"/>
  <c r="H109" i="13"/>
  <c r="G109" i="13"/>
  <c r="AQ109" i="13" s="1"/>
  <c r="S522" i="13"/>
  <c r="AA522" i="13" s="1"/>
  <c r="AS522" i="13" s="1"/>
  <c r="AT522" i="13" s="1"/>
  <c r="Z446" i="13"/>
  <c r="I421" i="15"/>
  <c r="N34" i="15"/>
  <c r="N427" i="15"/>
  <c r="N474" i="15"/>
  <c r="N87" i="15"/>
  <c r="N287" i="15"/>
  <c r="N247" i="15"/>
  <c r="N566" i="15"/>
  <c r="N322" i="15"/>
  <c r="N582" i="15"/>
  <c r="N517" i="15"/>
  <c r="N452" i="15"/>
  <c r="N484" i="15"/>
  <c r="N483" i="15"/>
  <c r="I171" i="15"/>
  <c r="N226" i="15"/>
  <c r="N334" i="15"/>
  <c r="N79" i="15"/>
  <c r="N275" i="15"/>
  <c r="N335" i="15"/>
  <c r="N511" i="15"/>
  <c r="I230" i="15"/>
  <c r="N562" i="15"/>
  <c r="N515" i="15"/>
  <c r="N552" i="15"/>
  <c r="N567" i="15"/>
  <c r="N537" i="15"/>
  <c r="N534" i="15"/>
  <c r="N14" i="15"/>
  <c r="I17" i="15"/>
  <c r="E175" i="15"/>
  <c r="E133" i="15"/>
  <c r="N539" i="15"/>
  <c r="E188" i="15"/>
  <c r="E149" i="15"/>
  <c r="N110" i="15"/>
  <c r="I227" i="15"/>
  <c r="I36" i="15"/>
  <c r="I420" i="15"/>
  <c r="E179" i="15"/>
  <c r="E140" i="15"/>
  <c r="N235" i="15"/>
  <c r="N255" i="15"/>
  <c r="N12" i="15"/>
  <c r="N462" i="15"/>
  <c r="N31" i="15"/>
  <c r="N466" i="15"/>
  <c r="N538" i="15"/>
  <c r="N450" i="15"/>
  <c r="N417" i="15"/>
  <c r="N542" i="15"/>
  <c r="R269" i="6"/>
  <c r="R278" i="6" s="1"/>
  <c r="R287" i="6" s="1"/>
  <c r="R292" i="6" s="1"/>
  <c r="R307" i="6" s="1"/>
  <c r="U368" i="6" s="1" a="1"/>
  <c r="R186" i="6"/>
  <c r="T481" i="6" s="1"/>
  <c r="E171" i="15"/>
  <c r="E126" i="15"/>
  <c r="N512" i="15"/>
  <c r="E484" i="15"/>
  <c r="N491" i="15"/>
  <c r="I339" i="15"/>
  <c r="I86" i="15"/>
  <c r="N488" i="15"/>
  <c r="N489" i="15"/>
  <c r="N508" i="15"/>
  <c r="N407" i="15"/>
  <c r="N368" i="15"/>
  <c r="N297" i="15"/>
  <c r="N123" i="15"/>
  <c r="I232" i="15"/>
  <c r="N498" i="15"/>
  <c r="N564" i="15"/>
  <c r="N376" i="15"/>
  <c r="N507" i="15"/>
  <c r="N578" i="15"/>
  <c r="N559" i="15"/>
  <c r="N486" i="15"/>
  <c r="I254" i="15"/>
  <c r="I202" i="15"/>
  <c r="I148" i="15"/>
  <c r="I77" i="15"/>
  <c r="I15" i="15"/>
  <c r="I429" i="15"/>
  <c r="E184" i="15"/>
  <c r="E145" i="15"/>
  <c r="N436" i="15"/>
  <c r="N422" i="15"/>
  <c r="N186" i="15"/>
  <c r="I410" i="15"/>
  <c r="I342" i="15"/>
  <c r="E192" i="15"/>
  <c r="E154" i="15"/>
  <c r="E522" i="15"/>
  <c r="I41" i="15"/>
  <c r="E89" i="15"/>
  <c r="E453" i="15"/>
  <c r="E433" i="15"/>
  <c r="E33" i="15"/>
  <c r="I301" i="15"/>
  <c r="N194" i="15"/>
  <c r="I415" i="15"/>
  <c r="N575" i="15"/>
  <c r="N546" i="15"/>
  <c r="N548" i="15"/>
  <c r="N206" i="15"/>
  <c r="N355" i="15"/>
  <c r="N550" i="15"/>
  <c r="N492" i="15"/>
  <c r="N558" i="15"/>
  <c r="I280" i="15"/>
  <c r="I317" i="15"/>
  <c r="E165" i="15"/>
  <c r="E121" i="15"/>
  <c r="N364" i="15"/>
  <c r="N104" i="15"/>
  <c r="N245" i="15"/>
  <c r="N210" i="15"/>
  <c r="I350" i="15"/>
  <c r="I313" i="15"/>
  <c r="E389" i="15"/>
  <c r="E159" i="15"/>
  <c r="N58" i="15"/>
  <c r="N306" i="15"/>
  <c r="N136" i="15"/>
  <c r="N441" i="15"/>
  <c r="N293" i="15"/>
  <c r="N203" i="15"/>
  <c r="N402" i="15"/>
  <c r="N249" i="15"/>
  <c r="N527" i="15"/>
  <c r="N32" i="15"/>
  <c r="I183" i="15"/>
  <c r="I353" i="15"/>
  <c r="N394" i="15"/>
  <c r="E206" i="15"/>
  <c r="E483" i="15"/>
  <c r="E478" i="15"/>
  <c r="E87" i="15"/>
  <c r="I321" i="15"/>
  <c r="I304" i="15"/>
  <c r="I283" i="15"/>
  <c r="I261" i="15"/>
  <c r="I237" i="15"/>
  <c r="I154" i="15"/>
  <c r="I54" i="15"/>
  <c r="E583" i="15"/>
  <c r="H557" i="13"/>
  <c r="N569" i="15"/>
  <c r="N290" i="15"/>
  <c r="N160" i="15"/>
  <c r="N125" i="15"/>
  <c r="N469" i="15"/>
  <c r="N543" i="15"/>
  <c r="N66" i="15"/>
  <c r="N528" i="15"/>
  <c r="N576" i="15"/>
  <c r="N119" i="15"/>
  <c r="N224" i="15"/>
  <c r="N197" i="15"/>
  <c r="N584" i="15"/>
  <c r="G557" i="13"/>
  <c r="AQ557" i="13" s="1"/>
  <c r="R51" i="6"/>
  <c r="R101" i="6" s="1"/>
  <c r="R104" i="6" s="1"/>
  <c r="R235" i="6" s="1"/>
  <c r="R505" i="6" s="1"/>
  <c r="R546" i="6" s="1"/>
  <c r="R574" i="6" s="1"/>
  <c r="R598" i="6" s="1"/>
  <c r="T667" i="6" s="1"/>
  <c r="N571" i="15"/>
  <c r="N540" i="15"/>
  <c r="N482" i="15"/>
  <c r="N217" i="15"/>
  <c r="N440" i="15"/>
  <c r="E485" i="15"/>
  <c r="N442" i="15"/>
  <c r="E488" i="15"/>
  <c r="E486" i="15"/>
  <c r="N234" i="15"/>
  <c r="N49" i="15"/>
  <c r="N108" i="15"/>
  <c r="N29" i="15"/>
  <c r="N164" i="15"/>
  <c r="N251" i="15"/>
  <c r="N309" i="15"/>
  <c r="N181" i="15"/>
  <c r="N274" i="15"/>
  <c r="N145" i="15"/>
  <c r="N67" i="15"/>
  <c r="I584" i="15"/>
  <c r="R506" i="6"/>
  <c r="T573" i="6" s="1"/>
  <c r="N425" i="15"/>
  <c r="N95" i="15"/>
  <c r="N514" i="15"/>
  <c r="N454" i="15"/>
  <c r="N529" i="15"/>
  <c r="N116" i="15"/>
  <c r="N18" i="15"/>
  <c r="N547" i="15"/>
  <c r="N107" i="15"/>
  <c r="N180" i="15"/>
  <c r="N493" i="15"/>
  <c r="N475" i="15"/>
  <c r="N325" i="15"/>
  <c r="N4" i="15"/>
  <c r="N69" i="15"/>
  <c r="N431" i="15"/>
  <c r="N416" i="15"/>
  <c r="N380" i="15"/>
  <c r="N225" i="15"/>
  <c r="N162" i="15"/>
  <c r="N38" i="15"/>
  <c r="N250" i="15"/>
  <c r="N228" i="15"/>
  <c r="W562" i="6"/>
  <c r="N55" i="15"/>
  <c r="N533" i="15"/>
  <c r="N51" i="15"/>
  <c r="N581" i="15"/>
  <c r="N485" i="15"/>
  <c r="E442" i="15"/>
  <c r="I209" i="15"/>
  <c r="I156" i="15"/>
  <c r="I126" i="15"/>
  <c r="I57" i="15"/>
  <c r="I24" i="15"/>
  <c r="I401" i="15"/>
  <c r="I431" i="15"/>
  <c r="I408" i="15"/>
  <c r="I391" i="15"/>
  <c r="I373" i="15"/>
  <c r="I356" i="15"/>
  <c r="I338" i="15"/>
  <c r="I296" i="15"/>
  <c r="I251" i="15"/>
  <c r="I190" i="15"/>
  <c r="I139" i="15"/>
  <c r="I4" i="15"/>
  <c r="I318" i="15"/>
  <c r="I281" i="15"/>
  <c r="I235" i="15"/>
  <c r="N378" i="15"/>
  <c r="N142" i="15"/>
  <c r="N173" i="15"/>
  <c r="N117" i="15"/>
  <c r="N395" i="15"/>
  <c r="N324" i="15"/>
  <c r="N156" i="15"/>
  <c r="N111" i="15"/>
  <c r="N9" i="15"/>
  <c r="N348" i="15"/>
  <c r="N143" i="15"/>
  <c r="N358" i="15"/>
  <c r="N323" i="15"/>
  <c r="N176" i="15"/>
  <c r="N379" i="15"/>
  <c r="N362" i="15"/>
  <c r="N345" i="15"/>
  <c r="R522" i="6"/>
  <c r="T570" i="6" s="1"/>
  <c r="K144" i="13" s="1"/>
  <c r="AU144" i="13" s="1"/>
  <c r="N127" i="15"/>
  <c r="N60" i="15"/>
  <c r="N563" i="15"/>
  <c r="N459" i="15"/>
  <c r="N580" i="15"/>
  <c r="N536" i="15"/>
  <c r="N19" i="15"/>
  <c r="E119" i="15"/>
  <c r="E475" i="15"/>
  <c r="N242" i="15"/>
  <c r="I335" i="15"/>
  <c r="I316" i="15"/>
  <c r="I299" i="15"/>
  <c r="I278" i="15"/>
  <c r="I255" i="15"/>
  <c r="I233" i="15"/>
  <c r="I149" i="15"/>
  <c r="I48" i="15"/>
  <c r="I298" i="15"/>
  <c r="I178" i="15"/>
  <c r="I50" i="15"/>
  <c r="E406" i="15"/>
  <c r="E354" i="15"/>
  <c r="E86" i="15"/>
  <c r="E64" i="15"/>
  <c r="E41" i="15"/>
  <c r="E16" i="15"/>
  <c r="N272" i="15"/>
  <c r="N372" i="15"/>
  <c r="N303" i="15"/>
  <c r="N259" i="15"/>
  <c r="N130" i="15"/>
  <c r="N28" i="15"/>
  <c r="N371" i="15"/>
  <c r="N336" i="15"/>
  <c r="N317" i="15"/>
  <c r="N300" i="15"/>
  <c r="N280" i="15"/>
  <c r="N189" i="15"/>
  <c r="N128" i="15"/>
  <c r="N532" i="15"/>
  <c r="N393" i="15"/>
  <c r="N283" i="15"/>
  <c r="N261" i="15"/>
  <c r="N237" i="15"/>
  <c r="N192" i="15"/>
  <c r="N154" i="15"/>
  <c r="N77" i="15"/>
  <c r="I572" i="15"/>
  <c r="I402" i="15"/>
  <c r="I332" i="15"/>
  <c r="I153" i="15"/>
  <c r="I52" i="15"/>
  <c r="E260" i="15"/>
  <c r="N40" i="15"/>
  <c r="N430" i="15"/>
  <c r="N258" i="15"/>
  <c r="N157" i="15"/>
  <c r="N10" i="15"/>
  <c r="N342" i="15"/>
  <c r="N177" i="15"/>
  <c r="N35" i="15"/>
  <c r="N330" i="15"/>
  <c r="N118" i="15"/>
  <c r="N332" i="15"/>
  <c r="N43" i="15"/>
  <c r="N299" i="15"/>
  <c r="N233" i="15"/>
  <c r="N171" i="15"/>
  <c r="N24" i="15"/>
  <c r="N88" i="15"/>
  <c r="E12" i="15"/>
  <c r="E482" i="15"/>
  <c r="E224" i="15"/>
  <c r="E487" i="15"/>
  <c r="E197" i="15"/>
  <c r="E584" i="15"/>
  <c r="I326" i="15"/>
  <c r="I219" i="15"/>
  <c r="I188" i="15"/>
  <c r="I136" i="15"/>
  <c r="I101" i="15"/>
  <c r="I35" i="15"/>
  <c r="I300" i="15"/>
  <c r="I257" i="15"/>
  <c r="I436" i="15"/>
  <c r="I414" i="15"/>
  <c r="I396" i="15"/>
  <c r="I378" i="15"/>
  <c r="I361" i="15"/>
  <c r="I343" i="15"/>
  <c r="I325" i="15"/>
  <c r="I286" i="15"/>
  <c r="I215" i="15"/>
  <c r="I187" i="15"/>
  <c r="I163" i="15"/>
  <c r="I133" i="15"/>
  <c r="I100" i="15"/>
  <c r="I63" i="15"/>
  <c r="I29" i="15"/>
  <c r="I371" i="15"/>
  <c r="I152" i="15"/>
  <c r="I80" i="15"/>
  <c r="I377" i="15"/>
  <c r="I210" i="15"/>
  <c r="I189" i="15"/>
  <c r="I172" i="15"/>
  <c r="I151" i="15"/>
  <c r="I128" i="15"/>
  <c r="I103" i="15"/>
  <c r="I74" i="15"/>
  <c r="I49" i="15"/>
  <c r="I25" i="15"/>
  <c r="E371" i="15"/>
  <c r="E394" i="15"/>
  <c r="E323" i="15"/>
  <c r="E305" i="15"/>
  <c r="E284" i="15"/>
  <c r="E262" i="15"/>
  <c r="E238" i="15"/>
  <c r="E218" i="15"/>
  <c r="E193" i="15"/>
  <c r="E176" i="15"/>
  <c r="E155" i="15"/>
  <c r="E135" i="15"/>
  <c r="E250" i="15"/>
  <c r="E432" i="15"/>
  <c r="E237" i="15"/>
  <c r="E249" i="15"/>
  <c r="N396" i="15"/>
  <c r="N399" i="15"/>
  <c r="N163" i="15"/>
  <c r="N277" i="15"/>
  <c r="N232" i="15"/>
  <c r="N282" i="15"/>
  <c r="N438" i="15"/>
  <c r="N398" i="15"/>
  <c r="N346" i="15"/>
  <c r="N141" i="15"/>
  <c r="N114" i="15"/>
  <c r="N82" i="15"/>
  <c r="N62" i="15"/>
  <c r="N366" i="15"/>
  <c r="N349" i="15"/>
  <c r="N312" i="15"/>
  <c r="N204" i="15"/>
  <c r="N121" i="15"/>
  <c r="I229" i="15"/>
  <c r="I205" i="15"/>
  <c r="I185" i="15"/>
  <c r="I166" i="15"/>
  <c r="I146" i="15"/>
  <c r="I122" i="15"/>
  <c r="I98" i="15"/>
  <c r="I68" i="15"/>
  <c r="I43" i="15"/>
  <c r="I20" i="15"/>
  <c r="I570" i="15"/>
  <c r="E429" i="15"/>
  <c r="E336" i="15"/>
  <c r="E375" i="15"/>
  <c r="E317" i="15"/>
  <c r="E300" i="15"/>
  <c r="E280" i="15"/>
  <c r="E234" i="15"/>
  <c r="E428" i="15"/>
  <c r="E71" i="15"/>
  <c r="E47" i="15"/>
  <c r="E23" i="15"/>
  <c r="E245" i="15"/>
  <c r="E207" i="15"/>
  <c r="N390" i="15"/>
  <c r="N152" i="15"/>
  <c r="N2" i="15"/>
  <c r="N265" i="15"/>
  <c r="N220" i="15"/>
  <c r="N139" i="15"/>
  <c r="N285" i="15"/>
  <c r="N195" i="15"/>
  <c r="N382" i="15"/>
  <c r="N183" i="15"/>
  <c r="N434" i="15"/>
  <c r="N305" i="15"/>
  <c r="N193" i="15"/>
  <c r="N308" i="15"/>
  <c r="N288" i="15"/>
  <c r="N266" i="15"/>
  <c r="N199" i="15"/>
  <c r="N159" i="15"/>
  <c r="N81" i="15"/>
  <c r="N61" i="15"/>
  <c r="N222" i="15"/>
  <c r="N464" i="15"/>
  <c r="N344" i="15"/>
  <c r="N577" i="15"/>
  <c r="N545" i="15"/>
  <c r="N481" i="15"/>
  <c r="N463" i="15"/>
  <c r="N568" i="15"/>
  <c r="E217" i="15"/>
  <c r="E244" i="15"/>
  <c r="N244" i="15"/>
  <c r="I458" i="15"/>
  <c r="I289" i="15"/>
  <c r="I243" i="15"/>
  <c r="I145" i="15"/>
  <c r="I259" i="15"/>
  <c r="I208" i="15"/>
  <c r="I182" i="15"/>
  <c r="I124" i="15"/>
  <c r="I85" i="15"/>
  <c r="I23" i="15"/>
  <c r="I67" i="15"/>
  <c r="E421" i="15"/>
  <c r="E350" i="15"/>
  <c r="E189" i="15"/>
  <c r="E172" i="15"/>
  <c r="E151" i="15"/>
  <c r="E128" i="15"/>
  <c r="E233" i="15"/>
  <c r="E2" i="15"/>
  <c r="N318" i="15"/>
  <c r="N310" i="15"/>
  <c r="N36" i="15"/>
  <c r="N435" i="15"/>
  <c r="N57" i="15"/>
  <c r="N273" i="15"/>
  <c r="N375" i="15"/>
  <c r="N341" i="15"/>
  <c r="N284" i="15"/>
  <c r="N262" i="15"/>
  <c r="N238" i="15"/>
  <c r="N218" i="15"/>
  <c r="N135" i="15"/>
  <c r="N78" i="15"/>
  <c r="N8" i="15"/>
  <c r="N397" i="15"/>
  <c r="N221" i="15"/>
  <c r="N113" i="15"/>
  <c r="N551" i="15"/>
  <c r="N531" i="15"/>
  <c r="N520" i="15"/>
  <c r="N447" i="15"/>
  <c r="N505" i="15"/>
  <c r="N115" i="15"/>
  <c r="N231" i="15"/>
  <c r="N84" i="15"/>
  <c r="N198" i="15"/>
  <c r="N557" i="15"/>
  <c r="N120" i="15"/>
  <c r="N248" i="15"/>
  <c r="E493" i="15"/>
  <c r="E440" i="15"/>
  <c r="N478" i="15"/>
  <c r="I203" i="15"/>
  <c r="I118" i="15"/>
  <c r="I16" i="15"/>
  <c r="I184" i="15"/>
  <c r="I2" i="15"/>
  <c r="I423" i="15"/>
  <c r="I404" i="15"/>
  <c r="I387" i="15"/>
  <c r="I369" i="15"/>
  <c r="I352" i="15"/>
  <c r="I334" i="15"/>
  <c r="I315" i="15"/>
  <c r="I389" i="15"/>
  <c r="I121" i="15"/>
  <c r="I314" i="15"/>
  <c r="I225" i="15"/>
  <c r="I200" i="15"/>
  <c r="I181" i="15"/>
  <c r="I162" i="15"/>
  <c r="I141" i="15"/>
  <c r="I114" i="15"/>
  <c r="I82" i="15"/>
  <c r="I62" i="15"/>
  <c r="I38" i="15"/>
  <c r="I13" i="15"/>
  <c r="E402" i="15"/>
  <c r="E332" i="15"/>
  <c r="E438" i="15"/>
  <c r="E313" i="15"/>
  <c r="E296" i="15"/>
  <c r="E275" i="15"/>
  <c r="E229" i="15"/>
  <c r="E259" i="15"/>
  <c r="E441" i="15"/>
  <c r="N361" i="15"/>
  <c r="N129" i="15"/>
  <c r="N423" i="15"/>
  <c r="N352" i="15"/>
  <c r="N298" i="15"/>
  <c r="N124" i="15"/>
  <c r="N257" i="15"/>
  <c r="N151" i="15"/>
  <c r="N74" i="15"/>
  <c r="N25" i="15"/>
  <c r="N409" i="15"/>
  <c r="N374" i="15"/>
  <c r="N357" i="15"/>
  <c r="N175" i="15"/>
  <c r="N54" i="15"/>
  <c r="O217" i="15"/>
  <c r="N530" i="15"/>
  <c r="N448" i="15"/>
  <c r="N260" i="15"/>
  <c r="E92" i="15"/>
  <c r="N92" i="15"/>
  <c r="E491" i="15"/>
  <c r="N487" i="15"/>
  <c r="I443" i="15"/>
  <c r="I331" i="15"/>
  <c r="I312" i="15"/>
  <c r="I295" i="15"/>
  <c r="I274" i="15"/>
  <c r="I250" i="15"/>
  <c r="I195" i="15"/>
  <c r="I111" i="15"/>
  <c r="I9" i="15"/>
  <c r="I309" i="15"/>
  <c r="I42" i="15"/>
  <c r="I311" i="15"/>
  <c r="I226" i="15"/>
  <c r="I192" i="15"/>
  <c r="I169" i="15"/>
  <c r="I142" i="15"/>
  <c r="I108" i="15"/>
  <c r="I71" i="15"/>
  <c r="I40" i="15"/>
  <c r="I7" i="15"/>
  <c r="I228" i="15"/>
  <c r="I165" i="15"/>
  <c r="I310" i="15"/>
  <c r="I291" i="15"/>
  <c r="I272" i="15"/>
  <c r="I245" i="15"/>
  <c r="I191" i="15"/>
  <c r="I106" i="15"/>
  <c r="I6" i="15"/>
  <c r="I532" i="15"/>
  <c r="E385" i="15"/>
  <c r="E410" i="15"/>
  <c r="E341" i="15"/>
  <c r="E200" i="15"/>
  <c r="E181" i="15"/>
  <c r="E162" i="15"/>
  <c r="E141" i="15"/>
  <c r="E11" i="15"/>
  <c r="E443" i="15"/>
  <c r="E215" i="15"/>
  <c r="E241" i="15"/>
  <c r="E199" i="15"/>
  <c r="E80" i="15"/>
  <c r="E58" i="15"/>
  <c r="E36" i="15"/>
  <c r="N414" i="15"/>
  <c r="N343" i="15"/>
  <c r="N202" i="15"/>
  <c r="N15" i="15"/>
  <c r="N286" i="15"/>
  <c r="N196" i="15"/>
  <c r="N219" i="15"/>
  <c r="N365" i="15"/>
  <c r="N313" i="15"/>
  <c r="N296" i="15"/>
  <c r="N185" i="15"/>
  <c r="N388" i="15"/>
  <c r="N278" i="15"/>
  <c r="N188" i="15"/>
  <c r="N149" i="15"/>
  <c r="N101" i="15"/>
  <c r="N72" i="15"/>
  <c r="N48" i="15"/>
  <c r="I364" i="15"/>
  <c r="I329" i="15"/>
  <c r="I319" i="15"/>
  <c r="I282" i="15"/>
  <c r="I236" i="15"/>
  <c r="I398" i="15"/>
  <c r="I367" i="15"/>
  <c r="I328" i="15"/>
  <c r="I397" i="15"/>
  <c r="I357" i="15"/>
  <c r="I430" i="15"/>
  <c r="I390" i="15"/>
  <c r="I372" i="15"/>
  <c r="I355" i="15"/>
  <c r="I207" i="15"/>
  <c r="I123" i="15"/>
  <c r="I21" i="15"/>
  <c r="E210" i="15"/>
  <c r="E405" i="15"/>
  <c r="E388" i="15"/>
  <c r="E370" i="15"/>
  <c r="E335" i="15"/>
  <c r="E316" i="15"/>
  <c r="E299" i="15"/>
  <c r="E101" i="15"/>
  <c r="E423" i="15"/>
  <c r="E404" i="15"/>
  <c r="E387" i="15"/>
  <c r="E369" i="15"/>
  <c r="E352" i="15"/>
  <c r="E334" i="15"/>
  <c r="E315" i="15"/>
  <c r="E298" i="15"/>
  <c r="E277" i="15"/>
  <c r="E254" i="15"/>
  <c r="E232" i="15"/>
  <c r="E148" i="15"/>
  <c r="E124" i="15"/>
  <c r="E430" i="15"/>
  <c r="E407" i="15"/>
  <c r="E390" i="15"/>
  <c r="E372" i="15"/>
  <c r="E355" i="15"/>
  <c r="E337" i="15"/>
  <c r="E318" i="15"/>
  <c r="E301" i="15"/>
  <c r="E281" i="15"/>
  <c r="E258" i="15"/>
  <c r="E235" i="15"/>
  <c r="E190" i="15"/>
  <c r="E173" i="15"/>
  <c r="E152" i="15"/>
  <c r="E129" i="15"/>
  <c r="E104" i="15"/>
  <c r="E50" i="15"/>
  <c r="E26" i="15"/>
  <c r="E9" i="15"/>
  <c r="N80" i="15"/>
  <c r="N419" i="15"/>
  <c r="N311" i="15"/>
  <c r="N155" i="15"/>
  <c r="N56" i="15"/>
  <c r="N30" i="15"/>
  <c r="N437" i="15"/>
  <c r="N241" i="15"/>
  <c r="N179" i="15"/>
  <c r="N140" i="15"/>
  <c r="I358" i="15"/>
  <c r="I393" i="15"/>
  <c r="I277" i="15"/>
  <c r="I276" i="15"/>
  <c r="I522" i="15"/>
  <c r="W224" i="13"/>
  <c r="Z224" i="13" s="1"/>
  <c r="N294" i="15"/>
  <c r="I385" i="15"/>
  <c r="I262" i="15"/>
  <c r="I220" i="15"/>
  <c r="I173" i="15"/>
  <c r="I112" i="15"/>
  <c r="I428" i="15"/>
  <c r="I374" i="15"/>
  <c r="I441" i="15"/>
  <c r="I419" i="15"/>
  <c r="I400" i="15"/>
  <c r="I382" i="15"/>
  <c r="I365" i="15"/>
  <c r="I348" i="15"/>
  <c r="I330" i="15"/>
  <c r="I293" i="15"/>
  <c r="I273" i="15"/>
  <c r="I249" i="15"/>
  <c r="I416" i="15"/>
  <c r="I380" i="15"/>
  <c r="I346" i="15"/>
  <c r="I379" i="15"/>
  <c r="I439" i="15"/>
  <c r="I418" i="15"/>
  <c r="I399" i="15"/>
  <c r="I381" i="15"/>
  <c r="I347" i="15"/>
  <c r="I221" i="15"/>
  <c r="I167" i="15"/>
  <c r="I140" i="15"/>
  <c r="I69" i="15"/>
  <c r="I37" i="15"/>
  <c r="I218" i="15"/>
  <c r="I193" i="15"/>
  <c r="I176" i="15"/>
  <c r="I155" i="15"/>
  <c r="I135" i="15"/>
  <c r="I110" i="15"/>
  <c r="I78" i="15"/>
  <c r="I56" i="15"/>
  <c r="I30" i="15"/>
  <c r="I8" i="15"/>
  <c r="E416" i="15"/>
  <c r="E346" i="15"/>
  <c r="E309" i="15"/>
  <c r="E289" i="15"/>
  <c r="E271" i="15"/>
  <c r="E243" i="15"/>
  <c r="E225" i="15"/>
  <c r="E255" i="15"/>
  <c r="E437" i="15"/>
  <c r="E415" i="15"/>
  <c r="E397" i="15"/>
  <c r="E379" i="15"/>
  <c r="E362" i="15"/>
  <c r="E345" i="15"/>
  <c r="E326" i="15"/>
  <c r="E308" i="15"/>
  <c r="E288" i="15"/>
  <c r="E266" i="15"/>
  <c r="E221" i="15"/>
  <c r="E113" i="15"/>
  <c r="E10" i="15"/>
  <c r="E427" i="15"/>
  <c r="E242" i="15"/>
  <c r="I409" i="15"/>
  <c r="I308" i="15"/>
  <c r="I288" i="15"/>
  <c r="I266" i="15"/>
  <c r="I241" i="15"/>
  <c r="I164" i="15"/>
  <c r="I64" i="15"/>
  <c r="I375" i="15"/>
  <c r="I341" i="15"/>
  <c r="I211" i="15"/>
  <c r="I157" i="15"/>
  <c r="I26" i="15"/>
  <c r="I307" i="15"/>
  <c r="I265" i="15"/>
  <c r="I240" i="15"/>
  <c r="I406" i="15"/>
  <c r="I336" i="15"/>
  <c r="I305" i="15"/>
  <c r="I405" i="15"/>
  <c r="I370" i="15"/>
  <c r="I435" i="15"/>
  <c r="I395" i="15"/>
  <c r="I360" i="15"/>
  <c r="I324" i="15"/>
  <c r="I306" i="15"/>
  <c r="I285" i="15"/>
  <c r="I264" i="15"/>
  <c r="I239" i="15"/>
  <c r="I214" i="15"/>
  <c r="I186" i="15"/>
  <c r="I159" i="15"/>
  <c r="I130" i="15"/>
  <c r="I99" i="15"/>
  <c r="I61" i="15"/>
  <c r="I28" i="15"/>
  <c r="E458" i="15"/>
  <c r="E398" i="15"/>
  <c r="E328" i="15"/>
  <c r="E209" i="15"/>
  <c r="E409" i="15"/>
  <c r="I363" i="15"/>
  <c r="I438" i="15"/>
  <c r="I437" i="15"/>
  <c r="I407" i="15"/>
  <c r="I337" i="15"/>
  <c r="E353" i="15"/>
  <c r="E278" i="15"/>
  <c r="E187" i="15"/>
  <c r="E169" i="15"/>
  <c r="E100" i="15"/>
  <c r="E75" i="15"/>
  <c r="N410" i="15"/>
  <c r="N37" i="15"/>
  <c r="N570" i="15"/>
  <c r="T574" i="6"/>
  <c r="R537" i="6"/>
  <c r="T578" i="6" s="1"/>
  <c r="K198" i="13" s="1"/>
  <c r="AU198" i="13" s="1"/>
  <c r="I362" i="15"/>
  <c r="I177" i="15"/>
  <c r="I79" i="15"/>
  <c r="I394" i="15"/>
  <c r="I323" i="15"/>
  <c r="I129" i="15"/>
  <c r="I58" i="15"/>
  <c r="I284" i="15"/>
  <c r="I238" i="15"/>
  <c r="I432" i="15"/>
  <c r="I388" i="15"/>
  <c r="I499" i="15"/>
  <c r="I422" i="15"/>
  <c r="I403" i="15"/>
  <c r="I386" i="15"/>
  <c r="I368" i="15"/>
  <c r="I351" i="15"/>
  <c r="I333" i="15"/>
  <c r="I297" i="15"/>
  <c r="I253" i="15"/>
  <c r="I199" i="15"/>
  <c r="I174" i="15"/>
  <c r="I147" i="15"/>
  <c r="I113" i="15"/>
  <c r="I76" i="15"/>
  <c r="I44" i="15"/>
  <c r="I11" i="15"/>
  <c r="E572" i="15"/>
  <c r="E257" i="15"/>
  <c r="E363" i="15"/>
  <c r="E434" i="15"/>
  <c r="E205" i="15"/>
  <c r="E185" i="15"/>
  <c r="E166" i="15"/>
  <c r="E146" i="15"/>
  <c r="E122" i="15"/>
  <c r="E420" i="15"/>
  <c r="E401" i="15"/>
  <c r="E383" i="15"/>
  <c r="E366" i="15"/>
  <c r="E349" i="15"/>
  <c r="E331" i="15"/>
  <c r="E393" i="15"/>
  <c r="E374" i="15"/>
  <c r="E357" i="15"/>
  <c r="E339" i="15"/>
  <c r="E321" i="15"/>
  <c r="E304" i="15"/>
  <c r="E283" i="15"/>
  <c r="E261" i="15"/>
  <c r="E108" i="15"/>
  <c r="E208" i="15"/>
  <c r="E431" i="15"/>
  <c r="E408" i="15"/>
  <c r="E391" i="15"/>
  <c r="E373" i="15"/>
  <c r="E356" i="15"/>
  <c r="E338" i="15"/>
  <c r="E319" i="15"/>
  <c r="E303" i="15"/>
  <c r="E282" i="15"/>
  <c r="E236" i="15"/>
  <c r="E214" i="15"/>
  <c r="E191" i="15"/>
  <c r="E174" i="15"/>
  <c r="E153" i="15"/>
  <c r="E130" i="15"/>
  <c r="E106" i="15"/>
  <c r="E76" i="15"/>
  <c r="E52" i="15"/>
  <c r="E28" i="15"/>
  <c r="E211" i="15"/>
  <c r="E435" i="15"/>
  <c r="E411" i="15"/>
  <c r="E395" i="15"/>
  <c r="E377" i="15"/>
  <c r="E360" i="15"/>
  <c r="E342" i="15"/>
  <c r="E324" i="15"/>
  <c r="E306" i="15"/>
  <c r="E285" i="15"/>
  <c r="E264" i="15"/>
  <c r="E239" i="15"/>
  <c r="E219" i="15"/>
  <c r="E195" i="15"/>
  <c r="E177" i="15"/>
  <c r="E156" i="15"/>
  <c r="E136" i="15"/>
  <c r="E111" i="15"/>
  <c r="E79" i="15"/>
  <c r="E57" i="15"/>
  <c r="E35" i="15"/>
  <c r="E6" i="15"/>
  <c r="E8" i="15"/>
  <c r="N182" i="15"/>
  <c r="N337" i="15"/>
  <c r="N211" i="15"/>
  <c r="N190" i="15"/>
  <c r="E532" i="15"/>
  <c r="N387" i="15"/>
  <c r="N187" i="15"/>
  <c r="N148" i="15"/>
  <c r="N47" i="15"/>
  <c r="N499" i="15"/>
  <c r="N403" i="15"/>
  <c r="N333" i="15"/>
  <c r="N207" i="15"/>
  <c r="N356" i="15"/>
  <c r="N236" i="15"/>
  <c r="N191" i="15"/>
  <c r="N106" i="15"/>
  <c r="N6" i="15"/>
  <c r="N363" i="15"/>
  <c r="N328" i="15"/>
  <c r="N289" i="15"/>
  <c r="N271" i="15"/>
  <c r="N243" i="15"/>
  <c r="N200" i="15"/>
  <c r="N13" i="15"/>
  <c r="N443" i="15"/>
  <c r="N401" i="15"/>
  <c r="N383" i="15"/>
  <c r="N295" i="15"/>
  <c r="N165" i="15"/>
  <c r="N89" i="15"/>
  <c r="N17" i="15"/>
  <c r="N522" i="15"/>
  <c r="N583" i="15"/>
  <c r="E312" i="15"/>
  <c r="E295" i="15"/>
  <c r="E274" i="15"/>
  <c r="E228" i="15"/>
  <c r="E204" i="15"/>
  <c r="E419" i="15"/>
  <c r="E400" i="15"/>
  <c r="E382" i="15"/>
  <c r="E365" i="15"/>
  <c r="E348" i="15"/>
  <c r="E330" i="15"/>
  <c r="E311" i="15"/>
  <c r="E293" i="15"/>
  <c r="E273" i="15"/>
  <c r="E227" i="15"/>
  <c r="E183" i="15"/>
  <c r="E164" i="15"/>
  <c r="E143" i="15"/>
  <c r="E118" i="15"/>
  <c r="E499" i="15"/>
  <c r="E422" i="15"/>
  <c r="E403" i="15"/>
  <c r="E386" i="15"/>
  <c r="E368" i="15"/>
  <c r="E351" i="15"/>
  <c r="E333" i="15"/>
  <c r="E314" i="15"/>
  <c r="E297" i="15"/>
  <c r="E276" i="15"/>
  <c r="E253" i="15"/>
  <c r="E230" i="15"/>
  <c r="E186" i="15"/>
  <c r="E167" i="15"/>
  <c r="E147" i="15"/>
  <c r="E123" i="15"/>
  <c r="E99" i="15"/>
  <c r="E69" i="15"/>
  <c r="E44" i="15"/>
  <c r="E21" i="15"/>
  <c r="E4" i="15"/>
  <c r="N301" i="15"/>
  <c r="N439" i="15"/>
  <c r="N281" i="15"/>
  <c r="N254" i="15"/>
  <c r="N169" i="15"/>
  <c r="N71" i="15"/>
  <c r="N23" i="15"/>
  <c r="N351" i="15"/>
  <c r="N314" i="15"/>
  <c r="N276" i="15"/>
  <c r="N99" i="15"/>
  <c r="N44" i="15"/>
  <c r="N373" i="15"/>
  <c r="N338" i="15"/>
  <c r="N174" i="15"/>
  <c r="N429" i="15"/>
  <c r="N406" i="15"/>
  <c r="N389" i="15"/>
  <c r="N172" i="15"/>
  <c r="N432" i="15"/>
  <c r="N339" i="15"/>
  <c r="N321" i="15"/>
  <c r="N304" i="15"/>
  <c r="N215" i="15"/>
  <c r="N133" i="15"/>
  <c r="E436" i="15"/>
  <c r="E414" i="15"/>
  <c r="E396" i="15"/>
  <c r="E378" i="15"/>
  <c r="E361" i="15"/>
  <c r="E343" i="15"/>
  <c r="E325" i="15"/>
  <c r="E307" i="15"/>
  <c r="E286" i="15"/>
  <c r="E265" i="15"/>
  <c r="E240" i="15"/>
  <c r="E220" i="15"/>
  <c r="E196" i="15"/>
  <c r="E178" i="15"/>
  <c r="E157" i="15"/>
  <c r="E139" i="15"/>
  <c r="E112" i="15"/>
  <c r="E7" i="15"/>
  <c r="E439" i="15"/>
  <c r="E418" i="15"/>
  <c r="E399" i="15"/>
  <c r="E381" i="15"/>
  <c r="E364" i="15"/>
  <c r="E347" i="15"/>
  <c r="E329" i="15"/>
  <c r="E310" i="15"/>
  <c r="E291" i="15"/>
  <c r="E272" i="15"/>
  <c r="E226" i="15"/>
  <c r="E202" i="15"/>
  <c r="E182" i="15"/>
  <c r="E163" i="15"/>
  <c r="E142" i="15"/>
  <c r="E117" i="15"/>
  <c r="E85" i="15"/>
  <c r="E63" i="15"/>
  <c r="E40" i="15"/>
  <c r="E15" i="15"/>
  <c r="E13" i="15"/>
  <c r="N75" i="15"/>
  <c r="N347" i="15"/>
  <c r="E570" i="15"/>
  <c r="N404" i="15"/>
  <c r="N240" i="15"/>
  <c r="N112" i="15"/>
  <c r="N377" i="15"/>
  <c r="N264" i="15"/>
  <c r="N400" i="15"/>
  <c r="N64" i="15"/>
  <c r="N16" i="15"/>
  <c r="N458" i="15"/>
  <c r="N421" i="15"/>
  <c r="N385" i="15"/>
  <c r="N367" i="15"/>
  <c r="N350" i="15"/>
  <c r="N229" i="15"/>
  <c r="N166" i="15"/>
  <c r="N146" i="15"/>
  <c r="N122" i="15"/>
  <c r="N20" i="15"/>
  <c r="N405" i="15"/>
  <c r="N370" i="15"/>
  <c r="N353" i="15"/>
  <c r="N316" i="15"/>
  <c r="N209" i="15"/>
  <c r="N126" i="15"/>
  <c r="R579" i="6"/>
  <c r="R580" i="6" s="1"/>
  <c r="U684" i="6" s="1" a="1"/>
  <c r="U684" i="6" s="1"/>
  <c r="T582" i="6"/>
  <c r="K217" i="13"/>
  <c r="T581" i="6"/>
  <c r="T580" i="6"/>
  <c r="R578" i="6"/>
  <c r="AL198" i="13" s="1" a="1"/>
  <c r="AL198" i="13" s="1"/>
  <c r="J198" i="13" s="1"/>
  <c r="T579" i="6"/>
  <c r="R576" i="6"/>
  <c r="T577" i="6"/>
  <c r="T576" i="6"/>
  <c r="T575" i="6"/>
  <c r="I160" i="15"/>
  <c r="R570" i="6"/>
  <c r="AL144" i="13" s="1" a="1"/>
  <c r="AL144" i="13" s="1"/>
  <c r="R124" i="6"/>
  <c r="U227" i="6" s="1" a="1"/>
  <c r="U227" i="6" s="1"/>
  <c r="E477" i="15"/>
  <c r="N461" i="15"/>
  <c r="E543" i="15"/>
  <c r="E425" i="15"/>
  <c r="E95" i="15"/>
  <c r="I60" i="15"/>
  <c r="I464" i="15"/>
  <c r="E525" i="15"/>
  <c r="E517" i="15"/>
  <c r="E515" i="15"/>
  <c r="E201" i="15"/>
  <c r="E501" i="15"/>
  <c r="E496" i="15"/>
  <c r="E495" i="15"/>
  <c r="I459" i="15"/>
  <c r="E287" i="15"/>
  <c r="E270" i="15"/>
  <c r="E247" i="15"/>
  <c r="E32" i="15"/>
  <c r="E554" i="15"/>
  <c r="I498" i="15"/>
  <c r="E97" i="15"/>
  <c r="I466" i="15"/>
  <c r="E53" i="15"/>
  <c r="E468" i="15"/>
  <c r="I447" i="15"/>
  <c r="E577" i="15"/>
  <c r="E521" i="15"/>
  <c r="E5" i="15"/>
  <c r="E506" i="15"/>
  <c r="I507" i="15"/>
  <c r="E290" i="15"/>
  <c r="E269" i="15"/>
  <c r="I492" i="15"/>
  <c r="I115" i="15"/>
  <c r="E473" i="15"/>
  <c r="E320" i="15"/>
  <c r="I194" i="15"/>
  <c r="E446" i="15"/>
  <c r="I231" i="15"/>
  <c r="E150" i="15"/>
  <c r="E574" i="15"/>
  <c r="E524" i="15"/>
  <c r="E469" i="15"/>
  <c r="E105" i="15"/>
  <c r="E582" i="15"/>
  <c r="E568" i="15"/>
  <c r="E581" i="15"/>
  <c r="I198" i="15"/>
  <c r="E575" i="15"/>
  <c r="E549" i="15"/>
  <c r="E548" i="15"/>
  <c r="E542" i="15"/>
  <c r="E474" i="15"/>
  <c r="I19" i="15"/>
  <c r="I14" i="15"/>
  <c r="E472" i="15"/>
  <c r="T566" i="6"/>
  <c r="I119" i="15"/>
  <c r="E569" i="15"/>
  <c r="E551" i="15"/>
  <c r="E59" i="15"/>
  <c r="I97" i="15"/>
  <c r="E392" i="15"/>
  <c r="E60" i="15"/>
  <c r="E447" i="15"/>
  <c r="E3" i="15"/>
  <c r="E523" i="15"/>
  <c r="E279" i="15"/>
  <c r="E507" i="15"/>
  <c r="E492" i="15"/>
  <c r="E115" i="15"/>
  <c r="E231" i="15"/>
  <c r="E39" i="15"/>
  <c r="E302" i="15"/>
  <c r="E444" i="15"/>
  <c r="E565" i="15"/>
  <c r="I34" i="15"/>
  <c r="E561" i="15"/>
  <c r="E553" i="15"/>
  <c r="E120" i="15"/>
  <c r="I107" i="15"/>
  <c r="E19" i="15"/>
  <c r="I475" i="15"/>
  <c r="I539" i="15"/>
  <c r="I543" i="15"/>
  <c r="I528" i="15"/>
  <c r="I577" i="15"/>
  <c r="I563" i="15"/>
  <c r="I545" i="15"/>
  <c r="I517" i="15"/>
  <c r="I515" i="15"/>
  <c r="I512" i="15"/>
  <c r="I505" i="15"/>
  <c r="I481" i="15"/>
  <c r="I568" i="15"/>
  <c r="I581" i="15"/>
  <c r="I566" i="15"/>
  <c r="I542" i="15"/>
  <c r="I12" i="15"/>
  <c r="I579" i="15"/>
  <c r="I452" i="15"/>
  <c r="I486" i="15"/>
  <c r="I217" i="15"/>
  <c r="I440" i="15"/>
  <c r="I484" i="15"/>
  <c r="I92" i="15"/>
  <c r="I491" i="15"/>
  <c r="E502" i="15"/>
  <c r="I487" i="15"/>
  <c r="I551" i="15"/>
  <c r="E539" i="15"/>
  <c r="E66" i="15"/>
  <c r="E530" i="15"/>
  <c r="I531" i="15"/>
  <c r="E528" i="15"/>
  <c r="E526" i="15"/>
  <c r="E573" i="15"/>
  <c r="I573" i="15"/>
  <c r="I425" i="15"/>
  <c r="E556" i="15"/>
  <c r="I556" i="15"/>
  <c r="I550" i="15"/>
  <c r="I520" i="15"/>
  <c r="E222" i="15"/>
  <c r="E489" i="15"/>
  <c r="I392" i="15"/>
  <c r="E137" i="15"/>
  <c r="E464" i="15"/>
  <c r="E344" i="15"/>
  <c r="I450" i="15"/>
  <c r="E445" i="15"/>
  <c r="E562" i="15"/>
  <c r="I144" i="15"/>
  <c r="E564" i="15"/>
  <c r="I564" i="15"/>
  <c r="E563" i="15"/>
  <c r="E544" i="15"/>
  <c r="E552" i="15"/>
  <c r="I552" i="15"/>
  <c r="I94" i="15"/>
  <c r="I538" i="15"/>
  <c r="E519" i="15"/>
  <c r="E518" i="15"/>
  <c r="E134" i="15"/>
  <c r="E102" i="15"/>
  <c r="I496" i="15"/>
  <c r="E426" i="15"/>
  <c r="I495" i="15"/>
  <c r="E256" i="15"/>
  <c r="E413" i="15"/>
  <c r="I294" i="15"/>
  <c r="E462" i="15"/>
  <c r="E465" i="15"/>
  <c r="E158" i="15"/>
  <c r="I460" i="15"/>
  <c r="I454" i="15"/>
  <c r="E125" i="15"/>
  <c r="E170" i="15"/>
  <c r="I574" i="15"/>
  <c r="I558" i="15"/>
  <c r="I287" i="15"/>
  <c r="E84" i="15"/>
  <c r="I116" i="15"/>
  <c r="E268" i="15"/>
  <c r="I247" i="15"/>
  <c r="I88" i="15"/>
  <c r="I18" i="15"/>
  <c r="I582" i="15"/>
  <c r="I580" i="15"/>
  <c r="I576" i="15"/>
  <c r="I557" i="15"/>
  <c r="E536" i="15"/>
  <c r="I536" i="15"/>
  <c r="E180" i="15"/>
  <c r="I32" i="15"/>
  <c r="I260" i="15"/>
  <c r="I482" i="15"/>
  <c r="E510" i="15"/>
  <c r="I206" i="15"/>
  <c r="I31" i="15"/>
  <c r="E511" i="15"/>
  <c r="I180" i="15"/>
  <c r="E448" i="15"/>
  <c r="E471" i="15"/>
  <c r="I485" i="15"/>
  <c r="I493" i="15"/>
  <c r="I87" i="15"/>
  <c r="I427" i="15"/>
  <c r="I442" i="15"/>
  <c r="I488" i="15"/>
  <c r="I483" i="15"/>
  <c r="I224" i="15"/>
  <c r="E480" i="15"/>
  <c r="I242" i="15"/>
  <c r="I244" i="15"/>
  <c r="I478" i="15"/>
  <c r="I197" i="15"/>
  <c r="I554" i="15"/>
  <c r="I530" i="15"/>
  <c r="I55" i="15"/>
  <c r="E424" i="15"/>
  <c r="E498" i="15"/>
  <c r="E466" i="15"/>
  <c r="I567" i="15"/>
  <c r="I555" i="15"/>
  <c r="I537" i="15"/>
  <c r="I519" i="15"/>
  <c r="E516" i="15"/>
  <c r="E514" i="15"/>
  <c r="I514" i="15"/>
  <c r="E340" i="15"/>
  <c r="E376" i="15"/>
  <c r="E505" i="15"/>
  <c r="E500" i="15"/>
  <c r="I290" i="15"/>
  <c r="E213" i="15"/>
  <c r="E161" i="15"/>
  <c r="E160" i="15"/>
  <c r="I322" i="15"/>
  <c r="E481" i="15"/>
  <c r="E292" i="15"/>
  <c r="E460" i="15"/>
  <c r="I51" i="15"/>
  <c r="E194" i="15"/>
  <c r="E22" i="15"/>
  <c r="E529" i="15"/>
  <c r="I529" i="15"/>
  <c r="E96" i="15"/>
  <c r="N109" i="15"/>
  <c r="I469" i="15"/>
  <c r="E88" i="15"/>
  <c r="E578" i="15"/>
  <c r="E580" i="15"/>
  <c r="E198" i="15"/>
  <c r="I571" i="15"/>
  <c r="E576" i="15"/>
  <c r="I575" i="15"/>
  <c r="E566" i="15"/>
  <c r="E546" i="15"/>
  <c r="I546" i="15"/>
  <c r="E547" i="15"/>
  <c r="I548" i="15"/>
  <c r="E540" i="15"/>
  <c r="I540" i="15"/>
  <c r="I527" i="15"/>
  <c r="E513" i="15"/>
  <c r="I511" i="15"/>
  <c r="N46" i="15"/>
  <c r="I474" i="15"/>
  <c r="N45" i="15"/>
  <c r="E14" i="15"/>
  <c r="R3" i="6"/>
  <c r="R4" i="6" s="1"/>
  <c r="R66" i="6" s="1"/>
  <c r="R79" i="6" s="1"/>
  <c r="R115" i="6" s="1"/>
  <c r="R192" i="6" s="1"/>
  <c r="U197" i="6" s="1" a="1"/>
  <c r="I569" i="15"/>
  <c r="I127" i="15"/>
  <c r="I66" i="15"/>
  <c r="E534" i="15"/>
  <c r="I534" i="15"/>
  <c r="E531" i="15"/>
  <c r="E55" i="15"/>
  <c r="E550" i="15"/>
  <c r="E520" i="15"/>
  <c r="I222" i="15"/>
  <c r="E412" i="15"/>
  <c r="E504" i="15"/>
  <c r="I489" i="15"/>
  <c r="I344" i="15"/>
  <c r="E450" i="15"/>
  <c r="E560" i="15"/>
  <c r="I560" i="15"/>
  <c r="I562" i="15"/>
  <c r="E144" i="15"/>
  <c r="E567" i="15"/>
  <c r="I544" i="15"/>
  <c r="E555" i="15"/>
  <c r="E417" i="15"/>
  <c r="E94" i="15"/>
  <c r="E538" i="15"/>
  <c r="E533" i="15"/>
  <c r="I533" i="15"/>
  <c r="I340" i="15"/>
  <c r="E512" i="15"/>
  <c r="E509" i="15"/>
  <c r="I376" i="15"/>
  <c r="E508" i="15"/>
  <c r="I508" i="15"/>
  <c r="E216" i="15"/>
  <c r="E494" i="15"/>
  <c r="E322" i="15"/>
  <c r="E294" i="15"/>
  <c r="I462" i="15"/>
  <c r="E90" i="15"/>
  <c r="I463" i="15"/>
  <c r="E51" i="15"/>
  <c r="E454" i="15"/>
  <c r="I125" i="15"/>
  <c r="E449" i="15"/>
  <c r="E558" i="15"/>
  <c r="I168" i="15"/>
  <c r="I84" i="15"/>
  <c r="E116" i="15"/>
  <c r="E65" i="15"/>
  <c r="E212" i="15"/>
  <c r="N246" i="15"/>
  <c r="E451" i="15"/>
  <c r="E18" i="15"/>
  <c r="I565" i="15"/>
  <c r="I578" i="15"/>
  <c r="E579" i="15"/>
  <c r="E571" i="15"/>
  <c r="E34" i="15"/>
  <c r="I561" i="15"/>
  <c r="E559" i="15"/>
  <c r="I559" i="15"/>
  <c r="E557" i="15"/>
  <c r="I553" i="15"/>
  <c r="I547" i="15"/>
  <c r="I120" i="15"/>
  <c r="E107" i="15"/>
  <c r="E527" i="15"/>
  <c r="E248" i="15"/>
  <c r="I248" i="15"/>
  <c r="E452" i="15"/>
  <c r="E127" i="15"/>
  <c r="E535" i="15"/>
  <c r="E384" i="15"/>
  <c r="I95" i="15"/>
  <c r="E476" i="15"/>
  <c r="N327" i="15"/>
  <c r="I417" i="15"/>
  <c r="E545" i="15"/>
  <c r="E537" i="15"/>
  <c r="E70" i="15"/>
  <c r="E83" i="15"/>
  <c r="E503" i="15"/>
  <c r="E463" i="15"/>
  <c r="E459" i="15"/>
  <c r="E223" i="15"/>
  <c r="E456" i="15"/>
  <c r="E168" i="15"/>
  <c r="E541" i="15"/>
  <c r="E131" i="15"/>
  <c r="I65" i="15"/>
  <c r="E497" i="15"/>
  <c r="E479" i="15"/>
  <c r="E31" i="15"/>
  <c r="E263" i="15"/>
  <c r="E455" i="15"/>
  <c r="E267" i="15"/>
  <c r="N27" i="15"/>
  <c r="I448" i="15"/>
  <c r="E467" i="15"/>
  <c r="S217" i="13"/>
  <c r="AA217" i="13" s="1"/>
  <c r="AB217" i="13" s="1"/>
  <c r="R549" i="6"/>
  <c r="AL570" i="13" s="1"/>
  <c r="Z33" i="13"/>
  <c r="R553" i="6"/>
  <c r="W380" i="6"/>
  <c r="W488" i="13"/>
  <c r="Z488" i="13" s="1"/>
  <c r="T524" i="13"/>
  <c r="AA524" i="13" s="1"/>
  <c r="AS524" i="13" s="1"/>
  <c r="AT524" i="13" s="1"/>
  <c r="G65" i="13"/>
  <c r="AQ65" i="13" s="1"/>
  <c r="S440" i="13"/>
  <c r="AA440" i="13" s="1"/>
  <c r="AJ440" i="13" s="1"/>
  <c r="G527" i="13"/>
  <c r="AQ527" i="13" s="1"/>
  <c r="AL314" i="13" a="1"/>
  <c r="AL314" i="13" s="1"/>
  <c r="J314" i="13" s="1"/>
  <c r="N485" i="13"/>
  <c r="AR485" i="13" s="1"/>
  <c r="O260" i="13"/>
  <c r="O533" i="13"/>
  <c r="N102" i="13"/>
  <c r="AR102" i="13" s="1"/>
  <c r="O95" i="13"/>
  <c r="N488" i="13"/>
  <c r="AR488" i="13" s="1"/>
  <c r="N217" i="13"/>
  <c r="AR217" i="13" s="1"/>
  <c r="S453" i="13"/>
  <c r="AA453" i="13" s="1"/>
  <c r="AK453" i="13" s="1"/>
  <c r="S180" i="13"/>
  <c r="AA180" i="13" s="1"/>
  <c r="N180" i="13"/>
  <c r="AR180" i="13" s="1"/>
  <c r="N132" i="13"/>
  <c r="AR132" i="13" s="1"/>
  <c r="T132" i="13"/>
  <c r="H576" i="13"/>
  <c r="G568" i="13"/>
  <c r="AQ568" i="13" s="1"/>
  <c r="G576" i="13"/>
  <c r="AQ576" i="13" s="1"/>
  <c r="I502" i="13"/>
  <c r="R540" i="6"/>
  <c r="V568" i="13"/>
  <c r="Z568" i="13" s="1"/>
  <c r="H560" i="13"/>
  <c r="G560" i="13"/>
  <c r="AQ560" i="13" s="1"/>
  <c r="H543" i="13"/>
  <c r="S503" i="13"/>
  <c r="AA503" i="13" s="1"/>
  <c r="S327" i="13"/>
  <c r="AA327" i="13" s="1"/>
  <c r="AB327" i="13" s="1"/>
  <c r="S543" i="13"/>
  <c r="AA543" i="13" s="1"/>
  <c r="AS543" i="13" s="1"/>
  <c r="AT543" i="13" s="1"/>
  <c r="G503" i="13"/>
  <c r="AQ503" i="13" s="1"/>
  <c r="G168" i="13"/>
  <c r="AQ168" i="13" s="1"/>
  <c r="S466" i="13"/>
  <c r="AA466" i="13" s="1"/>
  <c r="H511" i="13"/>
  <c r="S168" i="13"/>
  <c r="AA168" i="13" s="1"/>
  <c r="G14" i="13"/>
  <c r="AQ14" i="13" s="1"/>
  <c r="K502" i="13"/>
  <c r="W341" i="6"/>
  <c r="G161" i="13"/>
  <c r="AQ161" i="13" s="1"/>
  <c r="G144" i="13"/>
  <c r="AQ144" i="13" s="1"/>
  <c r="Z490" i="13"/>
  <c r="S579" i="13"/>
  <c r="AA579" i="13" s="1"/>
  <c r="AS579" i="13" s="1"/>
  <c r="AT579" i="13" s="1"/>
  <c r="H507" i="13"/>
  <c r="T559" i="6"/>
  <c r="G39" i="13"/>
  <c r="AQ39" i="13" s="1"/>
  <c r="N487" i="13"/>
  <c r="AR487" i="13" s="1"/>
  <c r="O97" i="13"/>
  <c r="G481" i="13"/>
  <c r="AQ481" i="13" s="1"/>
  <c r="S97" i="13"/>
  <c r="S471" i="13"/>
  <c r="AA471" i="13" s="1"/>
  <c r="AK471" i="13" s="1"/>
  <c r="R554" i="6"/>
  <c r="T607" i="6" s="1"/>
  <c r="T102" i="13"/>
  <c r="AQ581" i="13"/>
  <c r="AQ580" i="13"/>
  <c r="AJ580" i="13"/>
  <c r="AS580" i="13"/>
  <c r="AT580" i="13" s="1"/>
  <c r="AP580" i="13"/>
  <c r="AK580" i="13"/>
  <c r="AS581" i="13"/>
  <c r="AT581" i="13" s="1"/>
  <c r="AJ581" i="13"/>
  <c r="AK581" i="13"/>
  <c r="AP581" i="13"/>
  <c r="R291" i="6"/>
  <c r="U425" i="6" s="1" a="1"/>
  <c r="U425" i="6" s="1"/>
  <c r="S568" i="13"/>
  <c r="AA568" i="13" s="1"/>
  <c r="T556" i="6"/>
  <c r="O584" i="15" s="1"/>
  <c r="T557" i="6"/>
  <c r="O475" i="13"/>
  <c r="T555" i="6"/>
  <c r="O583" i="15" s="1"/>
  <c r="T554" i="6"/>
  <c r="H340" i="13"/>
  <c r="W549" i="6"/>
  <c r="V570" i="13"/>
  <c r="Z570" i="13" s="1"/>
  <c r="W538" i="6"/>
  <c r="V576" i="13"/>
  <c r="Z576" i="13" s="1"/>
  <c r="S96" i="13"/>
  <c r="N96" i="13"/>
  <c r="AR96" i="13" s="1"/>
  <c r="Z287" i="13"/>
  <c r="G538" i="13"/>
  <c r="AQ538" i="13" s="1"/>
  <c r="S33" i="13"/>
  <c r="AA33" i="13" s="1"/>
  <c r="AN33" i="13" s="1"/>
  <c r="S51" i="13"/>
  <c r="AA51" i="13" s="1"/>
  <c r="AB51" i="13" s="1"/>
  <c r="G55" i="13"/>
  <c r="AQ55" i="13" s="1"/>
  <c r="S59" i="13"/>
  <c r="AA59" i="13" s="1"/>
  <c r="W553" i="6"/>
  <c r="V571" i="13"/>
  <c r="Z571" i="13" s="1"/>
  <c r="W516" i="6"/>
  <c r="V560" i="13"/>
  <c r="Z560" i="13" s="1"/>
  <c r="N493" i="13"/>
  <c r="AR493" i="13" s="1"/>
  <c r="S340" i="13"/>
  <c r="AA340" i="13" s="1"/>
  <c r="Z533" i="13"/>
  <c r="S442" i="13"/>
  <c r="AA442" i="13" s="1"/>
  <c r="G51" i="13"/>
  <c r="AQ51" i="13" s="1"/>
  <c r="T509" i="13"/>
  <c r="AA509" i="13" s="1"/>
  <c r="S480" i="13"/>
  <c r="AA480" i="13" s="1"/>
  <c r="AP480" i="13" s="1"/>
  <c r="O322" i="13"/>
  <c r="H566" i="13"/>
  <c r="T137" i="13"/>
  <c r="AA137" i="13" s="1"/>
  <c r="G570" i="13"/>
  <c r="AQ570" i="13" s="1"/>
  <c r="S566" i="13"/>
  <c r="AA566" i="13" s="1"/>
  <c r="Z97" i="13"/>
  <c r="Z252" i="13"/>
  <c r="G578" i="13"/>
  <c r="AQ578" i="13" s="1"/>
  <c r="H327" i="13"/>
  <c r="S213" i="13"/>
  <c r="AA213" i="13" s="1"/>
  <c r="G292" i="13"/>
  <c r="AQ292" i="13" s="1"/>
  <c r="S198" i="13"/>
  <c r="AA198" i="13" s="1"/>
  <c r="G466" i="13"/>
  <c r="AQ466" i="13" s="1"/>
  <c r="H279" i="13"/>
  <c r="S65" i="13"/>
  <c r="AA65" i="13" s="1"/>
  <c r="AB65" i="13" s="1"/>
  <c r="S574" i="13"/>
  <c r="AA574" i="13" s="1"/>
  <c r="S470" i="13"/>
  <c r="G66" i="13"/>
  <c r="AQ66" i="13" s="1"/>
  <c r="G320" i="13"/>
  <c r="AQ320" i="13" s="1"/>
  <c r="G322" i="13"/>
  <c r="AQ322" i="13" s="1"/>
  <c r="H492" i="13"/>
  <c r="S508" i="13"/>
  <c r="AA508" i="13" s="1"/>
  <c r="G131" i="13"/>
  <c r="AQ131" i="13" s="1"/>
  <c r="S244" i="13"/>
  <c r="AA244" i="13" s="1"/>
  <c r="G514" i="13"/>
  <c r="AQ514" i="13" s="1"/>
  <c r="S14" i="13"/>
  <c r="AA14" i="13" s="1"/>
  <c r="AB14" i="13" s="1"/>
  <c r="S107" i="13"/>
  <c r="AA107" i="13" s="1"/>
  <c r="Z132" i="13"/>
  <c r="N242" i="13"/>
  <c r="AR242" i="13" s="1"/>
  <c r="N88" i="13"/>
  <c r="AR88" i="13" s="1"/>
  <c r="N12" i="13"/>
  <c r="AR12" i="13" s="1"/>
  <c r="S523" i="13"/>
  <c r="AA523" i="13" s="1"/>
  <c r="AB523" i="13" s="1"/>
  <c r="G294" i="13"/>
  <c r="AQ294" i="13" s="1"/>
  <c r="S242" i="13"/>
  <c r="AA242" i="13" s="1"/>
  <c r="AP242" i="13" s="1"/>
  <c r="O132" i="13"/>
  <c r="H578" i="13"/>
  <c r="G508" i="13"/>
  <c r="AQ508" i="13" s="1"/>
  <c r="S55" i="13"/>
  <c r="AA55" i="13" s="1"/>
  <c r="G105" i="13"/>
  <c r="AQ105" i="13" s="1"/>
  <c r="S446" i="13"/>
  <c r="AA446" i="13" s="1"/>
  <c r="AN446" i="13" s="1"/>
  <c r="S132" i="13"/>
  <c r="S491" i="13"/>
  <c r="AA491" i="13" s="1"/>
  <c r="AB491" i="13" s="1"/>
  <c r="H198" i="13"/>
  <c r="Z59" i="13"/>
  <c r="N440" i="13"/>
  <c r="AR440" i="13" s="1"/>
  <c r="N491" i="13"/>
  <c r="AR491" i="13" s="1"/>
  <c r="S224" i="13"/>
  <c r="AA224" i="13" s="1"/>
  <c r="N119" i="13"/>
  <c r="AR119" i="13" s="1"/>
  <c r="N502" i="13"/>
  <c r="AR502" i="13" s="1"/>
  <c r="O433" i="13"/>
  <c r="O224" i="13"/>
  <c r="Z540" i="13"/>
  <c r="T252" i="13"/>
  <c r="S247" i="13"/>
  <c r="AA247" i="13" s="1"/>
  <c r="AJ247" i="13" s="1"/>
  <c r="N470" i="13"/>
  <c r="AR470" i="13" s="1"/>
  <c r="AR535" i="13"/>
  <c r="Z55" i="13"/>
  <c r="N248" i="13"/>
  <c r="AR248" i="13" s="1"/>
  <c r="S12" i="13"/>
  <c r="AA12" i="13" s="1"/>
  <c r="N55" i="13"/>
  <c r="AR55" i="13" s="1"/>
  <c r="S248" i="13"/>
  <c r="AA248" i="13" s="1"/>
  <c r="AS248" i="13" s="1"/>
  <c r="AT248" i="13" s="1"/>
  <c r="S472" i="13"/>
  <c r="AA472" i="13" s="1"/>
  <c r="N247" i="13"/>
  <c r="AR247" i="13" s="1"/>
  <c r="N472" i="13"/>
  <c r="S502" i="13"/>
  <c r="AA502" i="13" s="1"/>
  <c r="AB502" i="13" s="1"/>
  <c r="Z95" i="13"/>
  <c r="N244" i="13"/>
  <c r="AR244" i="13" s="1"/>
  <c r="O488" i="13"/>
  <c r="N252" i="13"/>
  <c r="Q252" i="13" s="1"/>
  <c r="N53" i="13"/>
  <c r="AR53" i="13" s="1"/>
  <c r="H32" i="13"/>
  <c r="G558" i="13"/>
  <c r="AQ558" i="13" s="1"/>
  <c r="S322" i="13"/>
  <c r="AA322" i="13" s="1"/>
  <c r="G492" i="13"/>
  <c r="AQ492" i="13" s="1"/>
  <c r="S32" i="13"/>
  <c r="AA32" i="13" s="1"/>
  <c r="H558" i="13"/>
  <c r="Z522" i="13"/>
  <c r="S501" i="13"/>
  <c r="AA501" i="13" s="1"/>
  <c r="AS501" i="13" s="1"/>
  <c r="AT501" i="13" s="1"/>
  <c r="G501" i="13"/>
  <c r="AQ501" i="13" s="1"/>
  <c r="S426" i="13"/>
  <c r="AA426" i="13" s="1"/>
  <c r="G213" i="13"/>
  <c r="AQ213" i="13" s="1"/>
  <c r="G132" i="13"/>
  <c r="AQ132" i="13" s="1"/>
  <c r="G107" i="13"/>
  <c r="AQ107" i="13" s="1"/>
  <c r="H66" i="13"/>
  <c r="H294" i="13"/>
  <c r="G456" i="13"/>
  <c r="J456" i="13" s="1"/>
  <c r="AI456" i="13" s="1"/>
  <c r="Z359" i="13"/>
  <c r="R523" i="6"/>
  <c r="M486" i="6"/>
  <c r="H527" i="13"/>
  <c r="G525" i="13"/>
  <c r="AQ525" i="13" s="1"/>
  <c r="T5" i="13"/>
  <c r="G574" i="13"/>
  <c r="AQ574" i="13" s="1"/>
  <c r="O87" i="15"/>
  <c r="N453" i="13"/>
  <c r="AR453" i="13" s="1"/>
  <c r="R310" i="6"/>
  <c r="U448" i="6" s="1" a="1"/>
  <c r="U448" i="6" s="1"/>
  <c r="T39" i="13"/>
  <c r="G150" i="13"/>
  <c r="J150" i="13" s="1"/>
  <c r="N39" i="13"/>
  <c r="AR39" i="13" s="1"/>
  <c r="S260" i="13"/>
  <c r="AA260" i="13" s="1"/>
  <c r="S119" i="13"/>
  <c r="AA119" i="13" s="1"/>
  <c r="S485" i="13"/>
  <c r="AA485" i="13" s="1"/>
  <c r="S514" i="13"/>
  <c r="AA514" i="13" s="1"/>
  <c r="AB514" i="13" s="1"/>
  <c r="G93" i="13"/>
  <c r="AQ93" i="13" s="1"/>
  <c r="R22" i="6"/>
  <c r="R351" i="6" s="1"/>
  <c r="S88" i="13"/>
  <c r="AA88" i="13" s="1"/>
  <c r="Z180" i="13"/>
  <c r="W477" i="6"/>
  <c r="W392" i="6"/>
  <c r="G470" i="13"/>
  <c r="AQ470" i="13" s="1"/>
  <c r="AA216" i="13"/>
  <c r="AB216" i="13" s="1"/>
  <c r="N480" i="13"/>
  <c r="Q480" i="13" s="1"/>
  <c r="AI480" i="13" s="1"/>
  <c r="Z91" i="13"/>
  <c r="R280" i="6"/>
  <c r="R318" i="6" s="1"/>
  <c r="R606" i="6" s="1"/>
  <c r="R751" i="6" s="1"/>
  <c r="U754" i="6" s="1" a="1"/>
  <c r="U754" i="6" s="1"/>
  <c r="S482" i="13"/>
  <c r="AA482" i="13" s="1"/>
  <c r="AB482" i="13" s="1"/>
  <c r="H546" i="13"/>
  <c r="G522" i="13"/>
  <c r="AQ522" i="13" s="1"/>
  <c r="G546" i="13"/>
  <c r="AQ546" i="13" s="1"/>
  <c r="S150" i="13"/>
  <c r="AA150" i="13" s="1"/>
  <c r="H70" i="13"/>
  <c r="S92" i="13"/>
  <c r="AA92" i="13" s="1"/>
  <c r="S493" i="13"/>
  <c r="AA493" i="13" s="1"/>
  <c r="V559" i="13"/>
  <c r="Z559" i="13" s="1"/>
  <c r="T96" i="13"/>
  <c r="S477" i="13"/>
  <c r="AA477" i="13" s="1"/>
  <c r="T470" i="13"/>
  <c r="N197" i="13"/>
  <c r="AR197" i="13" s="1"/>
  <c r="O39" i="13"/>
  <c r="O92" i="13"/>
  <c r="O53" i="13"/>
  <c r="N477" i="13"/>
  <c r="Q477" i="13" s="1"/>
  <c r="AI477" i="13" s="1"/>
  <c r="S484" i="13"/>
  <c r="AA484" i="13" s="1"/>
  <c r="S252" i="13"/>
  <c r="S571" i="13"/>
  <c r="AA571" i="13" s="1"/>
  <c r="AK571" i="13" s="1"/>
  <c r="Z424" i="13"/>
  <c r="S570" i="13"/>
  <c r="AA570" i="13" s="1"/>
  <c r="N427" i="13"/>
  <c r="AR427" i="13" s="1"/>
  <c r="S556" i="13"/>
  <c r="AA556" i="13" s="1"/>
  <c r="G556" i="13"/>
  <c r="AQ556" i="13" s="1"/>
  <c r="S520" i="13"/>
  <c r="AA520" i="13" s="1"/>
  <c r="S427" i="13"/>
  <c r="AA427" i="13" s="1"/>
  <c r="S475" i="13"/>
  <c r="AA475" i="13" s="1"/>
  <c r="S95" i="13"/>
  <c r="AA95" i="13" s="1"/>
  <c r="Q576" i="13"/>
  <c r="N442" i="13"/>
  <c r="AR442" i="13" s="1"/>
  <c r="N59" i="13"/>
  <c r="AR59" i="13" s="1"/>
  <c r="H571" i="13"/>
  <c r="R44" i="6"/>
  <c r="H520" i="13"/>
  <c r="H150" i="13"/>
  <c r="S197" i="13"/>
  <c r="AA197" i="13" s="1"/>
  <c r="R55" i="6"/>
  <c r="U552" i="6" s="1" a="1"/>
  <c r="U552" i="6" s="1"/>
  <c r="G384" i="13"/>
  <c r="AQ384" i="13" s="1"/>
  <c r="S53" i="13"/>
  <c r="AA53" i="13" s="1"/>
  <c r="N392" i="13"/>
  <c r="AR392" i="13" s="1"/>
  <c r="AR183" i="13"/>
  <c r="Z88" i="13"/>
  <c r="Z247" i="13"/>
  <c r="Z248" i="13"/>
  <c r="S392" i="13"/>
  <c r="AA392" i="13" s="1"/>
  <c r="N33" i="13"/>
  <c r="Q33" i="13" s="1"/>
  <c r="AI33" i="13" s="1"/>
  <c r="N287" i="13"/>
  <c r="AR287" i="13" s="1"/>
  <c r="N484" i="13"/>
  <c r="AR484" i="13" s="1"/>
  <c r="AR441" i="13"/>
  <c r="R469" i="6"/>
  <c r="T551" i="6" s="1"/>
  <c r="R151" i="6"/>
  <c r="R236" i="6" s="1"/>
  <c r="U358" i="6" s="1" a="1"/>
  <c r="U358" i="6" s="1"/>
  <c r="Q24" i="13"/>
  <c r="AA254" i="13"/>
  <c r="AU240" i="13"/>
  <c r="Q207" i="13"/>
  <c r="AR79" i="13"/>
  <c r="O442" i="15"/>
  <c r="N90" i="13"/>
  <c r="AR90" i="13" s="1"/>
  <c r="Z433" i="13"/>
  <c r="Q196" i="13"/>
  <c r="Q459" i="13"/>
  <c r="AU182" i="13"/>
  <c r="Q522" i="13"/>
  <c r="Z392" i="13"/>
  <c r="N424" i="13"/>
  <c r="AR424" i="13" s="1"/>
  <c r="N433" i="13"/>
  <c r="Q433" i="13" s="1"/>
  <c r="Z3" i="13"/>
  <c r="AA402" i="13"/>
  <c r="R446" i="6"/>
  <c r="AU149" i="13"/>
  <c r="Z160" i="13"/>
  <c r="S481" i="13"/>
  <c r="AA481" i="13" s="1"/>
  <c r="AB481" i="13" s="1"/>
  <c r="Z470" i="13"/>
  <c r="R127" i="6"/>
  <c r="R167" i="6" s="1"/>
  <c r="R470" i="6" s="1"/>
  <c r="R802" i="6" s="1"/>
  <c r="R893" i="6" s="1"/>
  <c r="R920" i="6" s="1"/>
  <c r="R933" i="6" s="1"/>
  <c r="R1026" i="6" s="1"/>
  <c r="R1084" i="6" s="1"/>
  <c r="R1349" i="6" s="1"/>
  <c r="G579" i="13"/>
  <c r="AQ579" i="13" s="1"/>
  <c r="H444" i="13"/>
  <c r="G268" i="13"/>
  <c r="AQ268" i="13" s="1"/>
  <c r="G547" i="13"/>
  <c r="AQ547" i="13" s="1"/>
  <c r="S510" i="13"/>
  <c r="AA510" i="13" s="1"/>
  <c r="G444" i="13"/>
  <c r="AQ444" i="13" s="1"/>
  <c r="Z532" i="13"/>
  <c r="Z536" i="13"/>
  <c r="W494" i="6"/>
  <c r="S536" i="13"/>
  <c r="AA536" i="13" s="1"/>
  <c r="S206" i="13"/>
  <c r="AA206" i="13" s="1"/>
  <c r="H548" i="13"/>
  <c r="S547" i="13"/>
  <c r="AA547" i="13" s="1"/>
  <c r="S144" i="13"/>
  <c r="AA144" i="13" s="1"/>
  <c r="AB144" i="13" s="1"/>
  <c r="S551" i="13"/>
  <c r="AA551" i="13" s="1"/>
  <c r="AB551" i="13" s="1"/>
  <c r="S425" i="13"/>
  <c r="AA425" i="13" s="1"/>
  <c r="S87" i="13"/>
  <c r="AA87" i="13" s="1"/>
  <c r="H463" i="13"/>
  <c r="R475" i="6"/>
  <c r="T1210" i="6" s="1"/>
  <c r="K551" i="13" s="1"/>
  <c r="AU551" i="13" s="1"/>
  <c r="S212" i="13"/>
  <c r="AA212" i="13" s="1"/>
  <c r="AS212" i="13" s="1"/>
  <c r="AT212" i="13" s="1"/>
  <c r="S463" i="13"/>
  <c r="AA463" i="13" s="1"/>
  <c r="AB463" i="13" s="1"/>
  <c r="Q549" i="13"/>
  <c r="AR527" i="13"/>
  <c r="AR282" i="13"/>
  <c r="S540" i="13"/>
  <c r="Z322" i="13"/>
  <c r="T424" i="13"/>
  <c r="S102" i="13"/>
  <c r="S478" i="13"/>
  <c r="AA478" i="13" s="1"/>
  <c r="AB478" i="13" s="1"/>
  <c r="N212" i="13"/>
  <c r="AR212" i="13" s="1"/>
  <c r="N510" i="13"/>
  <c r="AR510" i="13" s="1"/>
  <c r="N87" i="13"/>
  <c r="AR87" i="13" s="1"/>
  <c r="S487" i="13"/>
  <c r="AA487" i="13" s="1"/>
  <c r="H551" i="13"/>
  <c r="H425" i="13"/>
  <c r="S160" i="13"/>
  <c r="AA160" i="13" s="1"/>
  <c r="S90" i="13"/>
  <c r="N536" i="13"/>
  <c r="AR536" i="13" s="1"/>
  <c r="T134" i="13"/>
  <c r="AA134" i="13" s="1"/>
  <c r="Z518" i="13"/>
  <c r="R139" i="6"/>
  <c r="U222" i="6" s="1" a="1"/>
  <c r="U222" i="6" s="1"/>
  <c r="R35" i="6"/>
  <c r="T77" i="6" s="1"/>
  <c r="G507" i="13"/>
  <c r="AQ507" i="13" s="1"/>
  <c r="AU4" i="13"/>
  <c r="G511" i="13"/>
  <c r="AQ511" i="13" s="1"/>
  <c r="R256" i="6"/>
  <c r="AL514" i="13" s="1" a="1"/>
  <c r="AL514" i="13" s="1"/>
  <c r="S548" i="13"/>
  <c r="AA548" i="13" s="1"/>
  <c r="AB548" i="13" s="1"/>
  <c r="AI101" i="13"/>
  <c r="AA62" i="13"/>
  <c r="AA35" i="13"/>
  <c r="AB35" i="13" s="1"/>
  <c r="AU351" i="13"/>
  <c r="AU443" i="13"/>
  <c r="AI271" i="13"/>
  <c r="R472" i="6"/>
  <c r="T1038" i="6" s="1"/>
  <c r="Q534" i="13"/>
  <c r="N478" i="13"/>
  <c r="AR478" i="13" s="1"/>
  <c r="AR355" i="13"/>
  <c r="N206" i="13"/>
  <c r="AR206" i="13" s="1"/>
  <c r="O102" i="13"/>
  <c r="Q67" i="13"/>
  <c r="Z102" i="13"/>
  <c r="Z90" i="13"/>
  <c r="N471" i="13"/>
  <c r="Q471" i="13" s="1"/>
  <c r="O160" i="13"/>
  <c r="N540" i="13"/>
  <c r="AR540" i="13" s="1"/>
  <c r="W324" i="6"/>
  <c r="R95" i="6"/>
  <c r="U338" i="6" s="1" a="1"/>
  <c r="U338" i="6" s="1"/>
  <c r="Q519" i="13"/>
  <c r="AR402" i="13"/>
  <c r="Q232" i="13"/>
  <c r="AR68" i="13"/>
  <c r="Q240" i="13"/>
  <c r="Q80" i="13"/>
  <c r="AI80" i="13" s="1"/>
  <c r="AU98" i="13"/>
  <c r="Q410" i="13"/>
  <c r="AR394" i="13"/>
  <c r="R26" i="6"/>
  <c r="R27" i="6" s="1"/>
  <c r="T216" i="6" s="1"/>
  <c r="AA131" i="13"/>
  <c r="AU196" i="13"/>
  <c r="AU26" i="13"/>
  <c r="AU347" i="13"/>
  <c r="AU126" i="13"/>
  <c r="AU308" i="13"/>
  <c r="AU36" i="13"/>
  <c r="AR131" i="13"/>
  <c r="T73" i="6"/>
  <c r="K327" i="13" s="1"/>
  <c r="AU327" i="13" s="1"/>
  <c r="R253" i="6"/>
  <c r="U412" i="6" s="1" a="1"/>
  <c r="U412" i="6" s="1"/>
  <c r="R211" i="6"/>
  <c r="R245" i="6" s="1"/>
  <c r="T314" i="6" s="1"/>
  <c r="AU379" i="13"/>
  <c r="AU314" i="13"/>
  <c r="AA52" i="13"/>
  <c r="AU13" i="13"/>
  <c r="R121" i="6"/>
  <c r="AU183" i="13"/>
  <c r="AR405" i="13"/>
  <c r="AR316" i="13"/>
  <c r="Q254" i="13"/>
  <c r="AA86" i="13"/>
  <c r="Q125" i="13"/>
  <c r="AR4" i="13"/>
  <c r="Q497" i="13"/>
  <c r="S483" i="13"/>
  <c r="AA483" i="13" s="1"/>
  <c r="R398" i="6"/>
  <c r="AL120" i="13" s="1" a="1"/>
  <c r="AL120" i="13" s="1"/>
  <c r="R132" i="6"/>
  <c r="T190" i="6" s="1"/>
  <c r="R33" i="6"/>
  <c r="R214" i="6" s="1"/>
  <c r="T886" i="6" s="1"/>
  <c r="K344" i="13" s="1"/>
  <c r="AU344" i="13" s="1"/>
  <c r="R10" i="6"/>
  <c r="U267" i="6" s="1" a="1"/>
  <c r="U267" i="6" s="1"/>
  <c r="R70" i="6"/>
  <c r="T191" i="6" s="1"/>
  <c r="R21" i="6"/>
  <c r="AL452" i="13" s="1" a="1"/>
  <c r="AL452" i="13" s="1"/>
  <c r="AU536" i="13"/>
  <c r="AA219" i="13"/>
  <c r="AU350" i="13"/>
  <c r="AA351" i="13"/>
  <c r="Q401" i="13"/>
  <c r="AR108" i="13"/>
  <c r="Q49" i="13"/>
  <c r="R435" i="6"/>
  <c r="R493" i="6" s="1"/>
  <c r="T586" i="6" s="1"/>
  <c r="R59" i="6"/>
  <c r="U250" i="6" s="1" a="1"/>
  <c r="U250" i="6" s="1"/>
  <c r="AU106" i="13"/>
  <c r="R451" i="6"/>
  <c r="R14" i="6"/>
  <c r="R193" i="6" s="1"/>
  <c r="R255" i="6" s="1"/>
  <c r="U612" i="6" s="1" a="1"/>
  <c r="U612" i="6" s="1"/>
  <c r="AU117" i="13"/>
  <c r="AR148" i="13"/>
  <c r="Q283" i="13"/>
  <c r="AR506" i="13"/>
  <c r="AA129" i="13"/>
  <c r="R440" i="6"/>
  <c r="AL539" i="13" s="1" a="1"/>
  <c r="AL539" i="13" s="1"/>
  <c r="R234" i="6"/>
  <c r="U271" i="6" s="1" a="1"/>
  <c r="U271" i="6" s="1"/>
  <c r="R205" i="6"/>
  <c r="AL180" i="13" s="1" a="1"/>
  <c r="AL180" i="13" s="1"/>
  <c r="R13" i="6"/>
  <c r="AL447" i="13" s="1" a="1"/>
  <c r="AL447" i="13" s="1"/>
  <c r="R9" i="6"/>
  <c r="T119" i="6" s="1"/>
  <c r="G515" i="13"/>
  <c r="AQ515" i="13" s="1"/>
  <c r="R415" i="6"/>
  <c r="AL535" i="13" s="1" a="1"/>
  <c r="AL535" i="13" s="1"/>
  <c r="AR521" i="13"/>
  <c r="AR505" i="13"/>
  <c r="Q448" i="13"/>
  <c r="AR289" i="13"/>
  <c r="R496" i="6"/>
  <c r="T863" i="6" s="1"/>
  <c r="R135" i="6"/>
  <c r="R136" i="6" s="1"/>
  <c r="T183" i="6" s="1"/>
  <c r="R290" i="6"/>
  <c r="Q476" i="13"/>
  <c r="AR308" i="13"/>
  <c r="Q190" i="13"/>
  <c r="AR551" i="13"/>
  <c r="Q42" i="13"/>
  <c r="R455" i="6"/>
  <c r="AI288" i="13"/>
  <c r="AU76" i="13"/>
  <c r="R25" i="6"/>
  <c r="U442" i="6" s="1" a="1"/>
  <c r="U442" i="6" s="1"/>
  <c r="AR432" i="13"/>
  <c r="N483" i="13"/>
  <c r="AR483" i="13" s="1"/>
  <c r="Q382" i="13"/>
  <c r="Q393" i="13"/>
  <c r="AR112" i="13"/>
  <c r="AR101" i="13"/>
  <c r="AR467" i="13"/>
  <c r="R166" i="6"/>
  <c r="T305" i="6" s="1"/>
  <c r="R15" i="6"/>
  <c r="R365" i="6" s="1"/>
  <c r="H534" i="13"/>
  <c r="AR276" i="13"/>
  <c r="R72" i="6"/>
  <c r="R348" i="6" s="1"/>
  <c r="T687" i="6" s="1"/>
  <c r="R458" i="6"/>
  <c r="R459" i="6" s="1"/>
  <c r="R460" i="6" s="1"/>
  <c r="R461" i="6" s="1"/>
  <c r="R1269" i="6" s="1"/>
  <c r="AU208" i="13"/>
  <c r="R488" i="6"/>
  <c r="R528" i="6" s="1"/>
  <c r="T562" i="6" s="1"/>
  <c r="R454" i="6"/>
  <c r="R1011" i="6" s="1"/>
  <c r="R1489" i="6" s="1"/>
  <c r="T1492" i="6" s="1"/>
  <c r="R187" i="6"/>
  <c r="U226" i="6" s="1" a="1"/>
  <c r="U226" i="6" s="1"/>
  <c r="AU253" i="13"/>
  <c r="R484" i="6"/>
  <c r="R64" i="6"/>
  <c r="R902" i="6" s="1"/>
  <c r="U977" i="6" s="1" a="1"/>
  <c r="U977" i="6" s="1"/>
  <c r="Q544" i="13"/>
  <c r="AR54" i="13"/>
  <c r="Q5" i="13"/>
  <c r="R534" i="6"/>
  <c r="R1056" i="6" s="1"/>
  <c r="R180" i="6"/>
  <c r="T502" i="6" s="1"/>
  <c r="R134" i="6"/>
  <c r="T171" i="6" s="1"/>
  <c r="R45" i="6"/>
  <c r="T74" i="6" s="1"/>
  <c r="K27" i="13" s="1"/>
  <c r="AU27" i="13" s="1"/>
  <c r="AU417" i="13"/>
  <c r="R131" i="6"/>
  <c r="T230" i="6" s="1"/>
  <c r="R93" i="6"/>
  <c r="R146" i="6" s="1"/>
  <c r="R363" i="6" s="1"/>
  <c r="R371" i="6" s="1"/>
  <c r="R41" i="6"/>
  <c r="T90" i="6" s="1"/>
  <c r="R23" i="6"/>
  <c r="R355" i="6" s="1"/>
  <c r="U707" i="6" s="1" a="1"/>
  <c r="U707" i="6" s="1"/>
  <c r="AR72" i="13"/>
  <c r="R71" i="6"/>
  <c r="AL60" i="13" s="1" a="1"/>
  <c r="AL60" i="13" s="1"/>
  <c r="W488" i="6"/>
  <c r="W528" i="6"/>
  <c r="W526" i="6"/>
  <c r="R293" i="6"/>
  <c r="U379" i="6" s="1" a="1"/>
  <c r="U379" i="6" s="1"/>
  <c r="R281" i="6"/>
  <c r="R282" i="6" s="1"/>
  <c r="R284" i="6" s="1"/>
  <c r="W536" i="6"/>
  <c r="R129" i="6"/>
  <c r="R141" i="6" s="1"/>
  <c r="R372" i="6"/>
  <c r="R373" i="6" s="1"/>
  <c r="R513" i="6"/>
  <c r="U630" i="6" s="1" a="1"/>
  <c r="U630" i="6" s="1"/>
  <c r="I34" i="13" s="1"/>
  <c r="R538" i="6"/>
  <c r="T616" i="6" s="1"/>
  <c r="R520" i="6"/>
  <c r="R262" i="6"/>
  <c r="R300" i="6" s="1"/>
  <c r="R333" i="6" s="1"/>
  <c r="R369" i="6" s="1"/>
  <c r="R407" i="6" s="1"/>
  <c r="R430" i="6" s="1"/>
  <c r="R478" i="6" s="1"/>
  <c r="R144" i="6"/>
  <c r="R150" i="6" s="1"/>
  <c r="U303" i="6" s="1" a="1"/>
  <c r="U303" i="6" s="1"/>
  <c r="H565" i="13"/>
  <c r="AU341" i="13"/>
  <c r="AU390" i="13"/>
  <c r="AU326" i="13"/>
  <c r="AU58" i="13"/>
  <c r="R467" i="6"/>
  <c r="S565" i="13"/>
  <c r="AA565" i="13" s="1"/>
  <c r="AB565" i="13" s="1"/>
  <c r="S486" i="13"/>
  <c r="AA486" i="13" s="1"/>
  <c r="AU441" i="13"/>
  <c r="AU358" i="13"/>
  <c r="Q434" i="13"/>
  <c r="N482" i="13"/>
  <c r="AR482" i="13" s="1"/>
  <c r="N486" i="13"/>
  <c r="AR486" i="13" s="1"/>
  <c r="Q191" i="13"/>
  <c r="Q294" i="13"/>
  <c r="AR105" i="13"/>
  <c r="R133" i="6"/>
  <c r="U252" i="6" s="1" a="1"/>
  <c r="U252" i="6" s="1"/>
  <c r="Q444" i="13"/>
  <c r="AR421" i="13"/>
  <c r="R130" i="6"/>
  <c r="R163" i="6" s="1"/>
  <c r="T184" i="6" s="1"/>
  <c r="R539" i="6"/>
  <c r="T1028" i="6" s="1"/>
  <c r="R189" i="6"/>
  <c r="U274" i="6" s="1" a="1"/>
  <c r="U274" i="6" s="1"/>
  <c r="AU321" i="13"/>
  <c r="AU135" i="13"/>
  <c r="W501" i="6"/>
  <c r="R81" i="6"/>
  <c r="T1402" i="6" s="1"/>
  <c r="AI108" i="13"/>
  <c r="AI308" i="13"/>
  <c r="AU209" i="13"/>
  <c r="V555" i="13"/>
  <c r="Z555" i="13" s="1"/>
  <c r="Q542" i="13"/>
  <c r="Q548" i="13"/>
  <c r="Q350" i="13"/>
  <c r="Q416" i="13"/>
  <c r="Q211" i="13"/>
  <c r="AR169" i="13"/>
  <c r="Q553" i="13"/>
  <c r="Q1" i="16"/>
  <c r="Q28" i="13"/>
  <c r="Q566" i="13"/>
  <c r="AR363" i="13"/>
  <c r="R531" i="6"/>
  <c r="R519" i="6"/>
  <c r="R542" i="6"/>
  <c r="T571" i="6" s="1"/>
  <c r="R517" i="6"/>
  <c r="R525" i="6"/>
  <c r="R527" i="6" s="1"/>
  <c r="U640" i="6" s="1" a="1"/>
  <c r="U640" i="6" s="1"/>
  <c r="AL579" i="13"/>
  <c r="AI79" i="13"/>
  <c r="AU42" i="13"/>
  <c r="AI124" i="13"/>
  <c r="AU271" i="13"/>
  <c r="AR468" i="13"/>
  <c r="Q455" i="13"/>
  <c r="Q340" i="13"/>
  <c r="AR406" i="13"/>
  <c r="Q397" i="13"/>
  <c r="Q32" i="13"/>
  <c r="AU435" i="13"/>
  <c r="AU186" i="13"/>
  <c r="AU101" i="13"/>
  <c r="AU24" i="13"/>
  <c r="AR504" i="13"/>
  <c r="AR165" i="13"/>
  <c r="AA498" i="13"/>
  <c r="AU486" i="13"/>
  <c r="AI443" i="13"/>
  <c r="AU151" i="13"/>
  <c r="AA133" i="13"/>
  <c r="AB133" i="13" s="1"/>
  <c r="AU375" i="13"/>
  <c r="AU280" i="13"/>
  <c r="AU80" i="13"/>
  <c r="AA68" i="13"/>
  <c r="AI72" i="13"/>
  <c r="AR443" i="13"/>
  <c r="Q370" i="13"/>
  <c r="AR347" i="13"/>
  <c r="Q265" i="13"/>
  <c r="AI265" i="13" s="1"/>
  <c r="AR133" i="13"/>
  <c r="Q14" i="13"/>
  <c r="AU57" i="13"/>
  <c r="AU251" i="13"/>
  <c r="Q346" i="13"/>
  <c r="AR135" i="13"/>
  <c r="AR127" i="13"/>
  <c r="AR554" i="13"/>
  <c r="AA415" i="13"/>
  <c r="AU295" i="13"/>
  <c r="AU278" i="13"/>
  <c r="Q398" i="13"/>
  <c r="Q216" i="13"/>
  <c r="Q186" i="13"/>
  <c r="Q210" i="13"/>
  <c r="AR144" i="13"/>
  <c r="AR151" i="13"/>
  <c r="Q3" i="13"/>
  <c r="AR57" i="13"/>
  <c r="AR149" i="13"/>
  <c r="Q351" i="13"/>
  <c r="Q311" i="13"/>
  <c r="AU688" i="13"/>
  <c r="AU313" i="13"/>
  <c r="AU310" i="13"/>
  <c r="AU316" i="13"/>
  <c r="AU261" i="13"/>
  <c r="AU285" i="13"/>
  <c r="Q423" i="13"/>
  <c r="Q255" i="13"/>
  <c r="AR23" i="13"/>
  <c r="AR181" i="13"/>
  <c r="AR48" i="13"/>
  <c r="Q458" i="13"/>
  <c r="Q60" i="13"/>
  <c r="AA328" i="13"/>
  <c r="AA250" i="13"/>
  <c r="AB250" i="13" s="1"/>
  <c r="AU136" i="13"/>
  <c r="AU72" i="13"/>
  <c r="AU112" i="13"/>
  <c r="Q539" i="13"/>
  <c r="AR409" i="13"/>
  <c r="Q333" i="13"/>
  <c r="AR298" i="13"/>
  <c r="Q195" i="13"/>
  <c r="Q266" i="13"/>
  <c r="AR141" i="13"/>
  <c r="AR417" i="13"/>
  <c r="AR447" i="13"/>
  <c r="AU345" i="13"/>
  <c r="AU291" i="13"/>
  <c r="AU234" i="13"/>
  <c r="AU165" i="13"/>
  <c r="AU361" i="13"/>
  <c r="AU173" i="13"/>
  <c r="AU238" i="13"/>
  <c r="AU123" i="13"/>
  <c r="AU492" i="13"/>
  <c r="Q512" i="13"/>
  <c r="Q573" i="13"/>
  <c r="AR531" i="13"/>
  <c r="AR435" i="13"/>
  <c r="AR375" i="13"/>
  <c r="AR21" i="13"/>
  <c r="Q58" i="13"/>
  <c r="AA105" i="13"/>
  <c r="AU229" i="13"/>
  <c r="AU191" i="13"/>
  <c r="AU75" i="13"/>
  <c r="AA7" i="13"/>
  <c r="AA256" i="13"/>
  <c r="Q525" i="13"/>
  <c r="AR500" i="13"/>
  <c r="AR381" i="13"/>
  <c r="Q366" i="13"/>
  <c r="AR337" i="13"/>
  <c r="AR312" i="13"/>
  <c r="AR293" i="13"/>
  <c r="AR178" i="13"/>
  <c r="AR15" i="13"/>
  <c r="Q307" i="13"/>
  <c r="AI307" i="13" s="1"/>
  <c r="AR36" i="13"/>
  <c r="AU354" i="13"/>
  <c r="Q567" i="13"/>
  <c r="AR543" i="13"/>
  <c r="Q526" i="13"/>
  <c r="AR379" i="13"/>
  <c r="AR371" i="13"/>
  <c r="AR173" i="13"/>
  <c r="AR159" i="13"/>
  <c r="AR27" i="13"/>
  <c r="AR69" i="13"/>
  <c r="AU121" i="13"/>
  <c r="AA286" i="13"/>
  <c r="AB286" i="13" s="1"/>
  <c r="AU282" i="13"/>
  <c r="AA210" i="13"/>
  <c r="AU49" i="13"/>
  <c r="Q574" i="13"/>
  <c r="Q508" i="13"/>
  <c r="Q552" i="13"/>
  <c r="Q390" i="13"/>
  <c r="Q419" i="13"/>
  <c r="AR187" i="13"/>
  <c r="Q688" i="13"/>
  <c r="Q9" i="13"/>
  <c r="AR332" i="13"/>
  <c r="AR367" i="13"/>
  <c r="AU422" i="13"/>
  <c r="AU380" i="13"/>
  <c r="AU371" i="13"/>
  <c r="AI35" i="13"/>
  <c r="AU200" i="13"/>
  <c r="AU237" i="13"/>
  <c r="AU11" i="13"/>
  <c r="AU286" i="13"/>
  <c r="AU23" i="13"/>
  <c r="AU257" i="13"/>
  <c r="AU340" i="13"/>
  <c r="AU299" i="13"/>
  <c r="AI316" i="13"/>
  <c r="AR518" i="13"/>
  <c r="Q422" i="13"/>
  <c r="Q362" i="13"/>
  <c r="Q358" i="13"/>
  <c r="AR413" i="13"/>
  <c r="Q251" i="13"/>
  <c r="Q246" i="13"/>
  <c r="Q214" i="13"/>
  <c r="AR270" i="13"/>
  <c r="Q218" i="13"/>
  <c r="S445" i="13"/>
  <c r="AA445" i="13" s="1"/>
  <c r="AA173" i="13"/>
  <c r="AA377" i="13"/>
  <c r="AL564" i="13"/>
  <c r="J564" i="13" s="1"/>
  <c r="H564" i="13"/>
  <c r="AA554" i="13"/>
  <c r="AA143" i="13"/>
  <c r="AA41" i="13"/>
  <c r="AA253" i="13"/>
  <c r="AA282" i="13"/>
  <c r="S564" i="13"/>
  <c r="AA564" i="13" s="1"/>
  <c r="H270" i="13"/>
  <c r="AA401" i="13"/>
  <c r="AA339" i="13"/>
  <c r="AB339" i="13" s="1"/>
  <c r="AA358" i="13"/>
  <c r="AA398" i="13"/>
  <c r="AA112" i="13"/>
  <c r="AA110" i="13"/>
  <c r="AA527" i="13"/>
  <c r="AA49" i="13"/>
  <c r="AB49" i="13" s="1"/>
  <c r="AA289" i="13"/>
  <c r="AB289" i="13" s="1"/>
  <c r="AA443" i="13"/>
  <c r="AB443" i="13" s="1"/>
  <c r="AA428" i="13"/>
  <c r="S120" i="13"/>
  <c r="AA120" i="13" s="1"/>
  <c r="R516" i="6"/>
  <c r="T611" i="6" s="1"/>
  <c r="R529" i="6"/>
  <c r="R1006" i="6" s="1"/>
  <c r="R1024" i="6" s="1"/>
  <c r="AA200" i="13"/>
  <c r="AA270" i="13"/>
  <c r="AA495" i="13"/>
  <c r="AB495" i="13" s="1"/>
  <c r="H454" i="13"/>
  <c r="AA318" i="13"/>
  <c r="AA79" i="13"/>
  <c r="R524" i="6"/>
  <c r="R572" i="6" s="1"/>
  <c r="AA545" i="13"/>
  <c r="AA115" i="13"/>
  <c r="AR8" i="13"/>
  <c r="AU386" i="13"/>
  <c r="AU514" i="13"/>
  <c r="AR520" i="13"/>
  <c r="Q320" i="13"/>
  <c r="AU459" i="13"/>
  <c r="AU487" i="13"/>
  <c r="AU352" i="13"/>
  <c r="AU290" i="13"/>
  <c r="AA238" i="13"/>
  <c r="AU233" i="13"/>
  <c r="AA117" i="13"/>
  <c r="AA37" i="13"/>
  <c r="AA10" i="13"/>
  <c r="AU346" i="13"/>
  <c r="AU398" i="13"/>
  <c r="AU569" i="13"/>
  <c r="AU355" i="13"/>
  <c r="AI391" i="13"/>
  <c r="AU264" i="13"/>
  <c r="AU521" i="13"/>
  <c r="AU507" i="13"/>
  <c r="AU549" i="13"/>
  <c r="AU69" i="13"/>
  <c r="Q575" i="13"/>
  <c r="Q496" i="13"/>
  <c r="AR501" i="13"/>
  <c r="Q541" i="13"/>
  <c r="AR425" i="13"/>
  <c r="AA361" i="13"/>
  <c r="Q336" i="13"/>
  <c r="Q292" i="13"/>
  <c r="Q329" i="13"/>
  <c r="AR436" i="13"/>
  <c r="AR304" i="13"/>
  <c r="Q213" i="13"/>
  <c r="Q198" i="13"/>
  <c r="AR145" i="13"/>
  <c r="AR89" i="13"/>
  <c r="Q388" i="13"/>
  <c r="AR328" i="13"/>
  <c r="Q301" i="13"/>
  <c r="AI301" i="13" s="1"/>
  <c r="AR258" i="13"/>
  <c r="AU190" i="13"/>
  <c r="AU324" i="13"/>
  <c r="AU30" i="13"/>
  <c r="AU202" i="13"/>
  <c r="Q514" i="13"/>
  <c r="AR695" i="13"/>
  <c r="Q418" i="13"/>
  <c r="Q354" i="13"/>
  <c r="Q341" i="13"/>
  <c r="Q236" i="13"/>
  <c r="AI236" i="13" s="1"/>
  <c r="Q219" i="13"/>
  <c r="Q205" i="13"/>
  <c r="AR286" i="13"/>
  <c r="AR154" i="13"/>
  <c r="AR140" i="13"/>
  <c r="AR124" i="13"/>
  <c r="AR75" i="13"/>
  <c r="AR41" i="13"/>
  <c r="AR511" i="13"/>
  <c r="Q267" i="13"/>
  <c r="AR267" i="13"/>
  <c r="Q327" i="13"/>
  <c r="AI327" i="13" s="1"/>
  <c r="AR327" i="13"/>
  <c r="AI21" i="13"/>
  <c r="AU103" i="13"/>
  <c r="AI315" i="13"/>
  <c r="AU9" i="13"/>
  <c r="AI257" i="13"/>
  <c r="AI386" i="13"/>
  <c r="AU241" i="13"/>
  <c r="AU309" i="13"/>
  <c r="AU550" i="13"/>
  <c r="AU118" i="13"/>
  <c r="AU539" i="13"/>
  <c r="AU534" i="13"/>
  <c r="AU338" i="13"/>
  <c r="AU245" i="13"/>
  <c r="AU360" i="13"/>
  <c r="AU474" i="13"/>
  <c r="AU382" i="13"/>
  <c r="AU179" i="13"/>
  <c r="AI406" i="13"/>
  <c r="AU203" i="13"/>
  <c r="AU458" i="13"/>
  <c r="AI62" i="13"/>
  <c r="AU407" i="13"/>
  <c r="AU491" i="13"/>
  <c r="AU568" i="13"/>
  <c r="AU171" i="13"/>
  <c r="AU48" i="13"/>
  <c r="AU192" i="13"/>
  <c r="AU2" i="13"/>
  <c r="AU107" i="13"/>
  <c r="AU228" i="13"/>
  <c r="AU331" i="13"/>
  <c r="AA518" i="13"/>
  <c r="AK518" i="13" s="1"/>
  <c r="AA504" i="13"/>
  <c r="Q517" i="13"/>
  <c r="AR321" i="13"/>
  <c r="AR230" i="13"/>
  <c r="AR130" i="13"/>
  <c r="AR155" i="13"/>
  <c r="AR118" i="13"/>
  <c r="Q550" i="13"/>
  <c r="AR550" i="13"/>
  <c r="AU421" i="13"/>
  <c r="AU353" i="13"/>
  <c r="AU220" i="13"/>
  <c r="AU54" i="13"/>
  <c r="AU28" i="13"/>
  <c r="AU16" i="13"/>
  <c r="AU368" i="13"/>
  <c r="AU243" i="13"/>
  <c r="AA293" i="13"/>
  <c r="Q479" i="13"/>
  <c r="Q378" i="13"/>
  <c r="AR323" i="13"/>
  <c r="Q227" i="13"/>
  <c r="AR170" i="13"/>
  <c r="AR120" i="13"/>
  <c r="AR63" i="13"/>
  <c r="Q428" i="13"/>
  <c r="AI428" i="13" s="1"/>
  <c r="AR428" i="13"/>
  <c r="AU427" i="13"/>
  <c r="AA420" i="13"/>
  <c r="AA343" i="13"/>
  <c r="AU247" i="13"/>
  <c r="AU221" i="13"/>
  <c r="AU431" i="13"/>
  <c r="AU277" i="13"/>
  <c r="AU41" i="13"/>
  <c r="AA309" i="13"/>
  <c r="AU330" i="13"/>
  <c r="AU567" i="13"/>
  <c r="AR387" i="13"/>
  <c r="AR111" i="13"/>
  <c r="AR162" i="13"/>
  <c r="AR126" i="13"/>
  <c r="AA27" i="13"/>
  <c r="R67" i="6"/>
  <c r="U268" i="6" s="1" a="1"/>
  <c r="U268" i="6" s="1"/>
  <c r="R145" i="6"/>
  <c r="R185" i="6" s="1"/>
  <c r="R199" i="6" s="1"/>
  <c r="T257" i="6" s="1"/>
  <c r="AU416" i="13"/>
  <c r="AU402" i="13"/>
  <c r="AU283" i="13"/>
  <c r="AU287" i="13"/>
  <c r="AU259" i="13"/>
  <c r="AU305" i="13"/>
  <c r="AU273" i="13"/>
  <c r="AU21" i="13"/>
  <c r="AU484" i="13"/>
  <c r="AU37" i="13"/>
  <c r="AU108" i="13"/>
  <c r="AU367" i="13"/>
  <c r="AU176" i="13"/>
  <c r="AU399" i="13"/>
  <c r="AU167" i="13"/>
  <c r="AU272" i="13"/>
  <c r="AU187" i="13"/>
  <c r="AU570" i="13"/>
  <c r="R552" i="6"/>
  <c r="AL467" i="13" s="1" a="1"/>
  <c r="AL467" i="13" s="1"/>
  <c r="AU436" i="13"/>
  <c r="AU180" i="13"/>
  <c r="AU175" i="13"/>
  <c r="AU89" i="13"/>
  <c r="AU579" i="13"/>
  <c r="AU343" i="13"/>
  <c r="R30" i="6"/>
  <c r="AU79" i="13"/>
  <c r="AU8" i="13"/>
  <c r="AU156" i="13"/>
  <c r="AU342" i="13"/>
  <c r="AU199" i="13"/>
  <c r="AA36" i="13"/>
  <c r="AA506" i="13"/>
  <c r="AA431" i="13"/>
  <c r="AA310" i="13"/>
  <c r="AA75" i="13"/>
  <c r="AA11" i="13"/>
  <c r="AA63" i="13"/>
  <c r="G549" i="13"/>
  <c r="AQ549" i="13" s="1"/>
  <c r="AA83" i="13"/>
  <c r="AA366" i="13"/>
  <c r="AA507" i="13"/>
  <c r="AB507" i="13" s="1"/>
  <c r="AA8" i="13"/>
  <c r="AA241" i="13"/>
  <c r="AA269" i="13"/>
  <c r="H540" i="13"/>
  <c r="S456" i="13"/>
  <c r="AA456" i="13" s="1"/>
  <c r="AA397" i="13"/>
  <c r="AB397" i="13" s="1"/>
  <c r="G450" i="13"/>
  <c r="AQ450" i="13" s="1"/>
  <c r="AA381" i="13"/>
  <c r="AA344" i="13"/>
  <c r="AB344" i="13" s="1"/>
  <c r="Z465" i="13"/>
  <c r="Z513" i="13"/>
  <c r="G555" i="13"/>
  <c r="AQ555" i="13" s="1"/>
  <c r="AA374" i="13"/>
  <c r="AA165" i="13"/>
  <c r="AA40" i="13"/>
  <c r="AA64" i="13"/>
  <c r="AB64" i="13" s="1"/>
  <c r="AA468" i="13"/>
  <c r="S455" i="13"/>
  <c r="AA455" i="13" s="1"/>
  <c r="AR532" i="13"/>
  <c r="Q532" i="13"/>
  <c r="AR319" i="13"/>
  <c r="Q319" i="13"/>
  <c r="AR503" i="13"/>
  <c r="AR460" i="13"/>
  <c r="Q460" i="13"/>
  <c r="AR76" i="13"/>
  <c r="Q76" i="13"/>
  <c r="AR64" i="13"/>
  <c r="Q64" i="13"/>
  <c r="AR37" i="13"/>
  <c r="Q37" i="13"/>
  <c r="AR16" i="13"/>
  <c r="Q16" i="13"/>
  <c r="AR290" i="13"/>
  <c r="Q290" i="13"/>
  <c r="AR545" i="13"/>
  <c r="Q545" i="13"/>
  <c r="Q342" i="13"/>
  <c r="AR342" i="13"/>
  <c r="AR297" i="13"/>
  <c r="Q297" i="13"/>
  <c r="AI297" i="13" s="1"/>
  <c r="Q174" i="13"/>
  <c r="AR174" i="13"/>
  <c r="AR103" i="13"/>
  <c r="Q103" i="13"/>
  <c r="AR84" i="13"/>
  <c r="Q84" i="13"/>
  <c r="Q439" i="13"/>
  <c r="AR439" i="13"/>
  <c r="AR465" i="13"/>
  <c r="Q465" i="13"/>
  <c r="Q302" i="13"/>
  <c r="AR302" i="13"/>
  <c r="AR563" i="13"/>
  <c r="Q563" i="13"/>
  <c r="AR429" i="13"/>
  <c r="Q429" i="13"/>
  <c r="AI429" i="13" s="1"/>
  <c r="AR565" i="13"/>
  <c r="Q565" i="13"/>
  <c r="Q263" i="13"/>
  <c r="AR263" i="13"/>
  <c r="AR264" i="13"/>
  <c r="Q264" i="13"/>
  <c r="AR259" i="13"/>
  <c r="Q259" i="13"/>
  <c r="AR374" i="13"/>
  <c r="Q374" i="13"/>
  <c r="AR507" i="13"/>
  <c r="Q507" i="13"/>
  <c r="AR303" i="13"/>
  <c r="Q303" i="13"/>
  <c r="AR277" i="13"/>
  <c r="Q277" i="13"/>
  <c r="Q261" i="13"/>
  <c r="AR261" i="13"/>
  <c r="Q166" i="13"/>
  <c r="AR166" i="13"/>
  <c r="AR481" i="13"/>
  <c r="Q481" i="13"/>
  <c r="AA380" i="13"/>
  <c r="G513" i="13"/>
  <c r="AQ513" i="13" s="1"/>
  <c r="S454" i="13"/>
  <c r="AA454" i="13" s="1"/>
  <c r="AB454" i="13" s="1"/>
  <c r="AA383" i="13"/>
  <c r="G70" i="13"/>
  <c r="AQ70" i="13" s="1"/>
  <c r="H39" i="13"/>
  <c r="AA538" i="13"/>
  <c r="AB538" i="13" s="1"/>
  <c r="AA43" i="13"/>
  <c r="H102" i="13"/>
  <c r="G572" i="13"/>
  <c r="H572" i="13"/>
  <c r="S452" i="13"/>
  <c r="AA452" i="13" s="1"/>
  <c r="AA497" i="13"/>
  <c r="H544" i="13"/>
  <c r="J333" i="13"/>
  <c r="H60" i="13"/>
  <c r="G27" i="13"/>
  <c r="AQ27" i="13" s="1"/>
  <c r="AA544" i="13"/>
  <c r="G426" i="13"/>
  <c r="J426" i="13" s="1"/>
  <c r="G223" i="13"/>
  <c r="G544" i="13"/>
  <c r="AQ544" i="13" s="1"/>
  <c r="AA60" i="13"/>
  <c r="H518" i="13"/>
  <c r="H504" i="13"/>
  <c r="S494" i="13"/>
  <c r="AA494" i="13" s="1"/>
  <c r="AQ265" i="13"/>
  <c r="G60" i="13"/>
  <c r="AQ60" i="13" s="1"/>
  <c r="AA295" i="13"/>
  <c r="G489" i="13"/>
  <c r="AQ489" i="13" s="1"/>
  <c r="AA557" i="13"/>
  <c r="AB557" i="13" s="1"/>
  <c r="AA348" i="13"/>
  <c r="AB348" i="13" s="1"/>
  <c r="AA225" i="13"/>
  <c r="G302" i="13"/>
  <c r="AQ302" i="13" s="1"/>
  <c r="AA558" i="13"/>
  <c r="G467" i="13"/>
  <c r="AQ467" i="13" s="1"/>
  <c r="G448" i="13"/>
  <c r="AQ448" i="13" s="1"/>
  <c r="J191" i="13"/>
  <c r="AA333" i="13"/>
  <c r="AA294" i="13"/>
  <c r="AB294" i="13" s="1"/>
  <c r="T109" i="13"/>
  <c r="AA109" i="13" s="1"/>
  <c r="AB109" i="13" s="1"/>
  <c r="AA365" i="13"/>
  <c r="AA285" i="13"/>
  <c r="AA67" i="13"/>
  <c r="H489" i="13"/>
  <c r="AA209" i="13"/>
  <c r="H59" i="13"/>
  <c r="AA84" i="13"/>
  <c r="S290" i="13"/>
  <c r="AA290" i="13" s="1"/>
  <c r="AB290" i="13" s="1"/>
  <c r="G59" i="13"/>
  <c r="AQ59" i="13" s="1"/>
  <c r="G575" i="13"/>
  <c r="AA575" i="13"/>
  <c r="AB575" i="13" s="1"/>
  <c r="G530" i="13"/>
  <c r="AQ530" i="13" s="1"/>
  <c r="AA372" i="13"/>
  <c r="AA284" i="13"/>
  <c r="AA302" i="13"/>
  <c r="H267" i="13"/>
  <c r="H212" i="13"/>
  <c r="H84" i="13"/>
  <c r="G457" i="13"/>
  <c r="AQ457" i="13" s="1"/>
  <c r="H88" i="13"/>
  <c r="AA578" i="13"/>
  <c r="H575" i="13"/>
  <c r="AQ429" i="13"/>
  <c r="G267" i="13"/>
  <c r="AQ267" i="13" s="1"/>
  <c r="G248" i="13"/>
  <c r="AQ248" i="13" s="1"/>
  <c r="AQ108" i="13"/>
  <c r="H512" i="13"/>
  <c r="G88" i="13"/>
  <c r="AQ88" i="13" s="1"/>
  <c r="G84" i="13"/>
  <c r="AQ84" i="13" s="1"/>
  <c r="AA44" i="13"/>
  <c r="AA50" i="13"/>
  <c r="H302" i="13"/>
  <c r="AA513" i="13"/>
  <c r="AJ513" i="13" s="1"/>
  <c r="S39" i="13"/>
  <c r="H542" i="13"/>
  <c r="J140" i="13"/>
  <c r="AI140" i="13" s="1"/>
  <c r="AA69" i="13"/>
  <c r="G115" i="13"/>
  <c r="AQ115" i="13" s="1"/>
  <c r="S530" i="13"/>
  <c r="AA530" i="13" s="1"/>
  <c r="AB530" i="13" s="1"/>
  <c r="H290" i="13"/>
  <c r="H467" i="13"/>
  <c r="AA449" i="13"/>
  <c r="AA572" i="13"/>
  <c r="G542" i="13"/>
  <c r="AA439" i="13"/>
  <c r="AB439" i="13" s="1"/>
  <c r="H115" i="13"/>
  <c r="H448" i="13"/>
  <c r="AA353" i="13"/>
  <c r="AA467" i="13"/>
  <c r="AB467" i="13" s="1"/>
  <c r="AA66" i="13"/>
  <c r="AB66" i="13" s="1"/>
  <c r="H248" i="13"/>
  <c r="H97" i="13"/>
  <c r="AA542" i="13"/>
  <c r="Z212" i="13"/>
  <c r="G269" i="13"/>
  <c r="AQ269" i="13" s="1"/>
  <c r="H555" i="13"/>
  <c r="G496" i="13"/>
  <c r="AQ496" i="13" s="1"/>
  <c r="H513" i="13"/>
  <c r="AA355" i="13"/>
  <c r="H269" i="13"/>
  <c r="J154" i="13"/>
  <c r="AI154" i="13" s="1"/>
  <c r="S694" i="13"/>
  <c r="AA694" i="13" s="1"/>
  <c r="H496" i="13"/>
  <c r="AA444" i="13"/>
  <c r="H160" i="13"/>
  <c r="H90" i="13"/>
  <c r="G201" i="13"/>
  <c r="AQ201" i="13" s="1"/>
  <c r="G534" i="13"/>
  <c r="AQ534" i="13" s="1"/>
  <c r="H456" i="13"/>
  <c r="G449" i="13"/>
  <c r="AQ449" i="13" s="1"/>
  <c r="AA342" i="13"/>
  <c r="AA164" i="13"/>
  <c r="AB164" i="13" s="1"/>
  <c r="S158" i="13"/>
  <c r="AA158" i="13" s="1"/>
  <c r="G158" i="13"/>
  <c r="AQ158" i="13" s="1"/>
  <c r="AA151" i="13"/>
  <c r="G694" i="13"/>
  <c r="AQ694" i="13" s="1"/>
  <c r="R394" i="6"/>
  <c r="R429" i="6" s="1"/>
  <c r="AA375" i="13"/>
  <c r="G270" i="13"/>
  <c r="J270" i="13" s="1"/>
  <c r="AI270" i="13" s="1"/>
  <c r="AA400" i="13"/>
  <c r="AA492" i="13"/>
  <c r="AB492" i="13" s="1"/>
  <c r="AA360" i="13"/>
  <c r="AA465" i="13"/>
  <c r="AP465" i="13" s="1"/>
  <c r="AA70" i="13"/>
  <c r="R182" i="6"/>
  <c r="AL376" i="13" s="1" a="1"/>
  <c r="AL376" i="13" s="1"/>
  <c r="G474" i="13"/>
  <c r="AQ474" i="13" s="1"/>
  <c r="AA496" i="13"/>
  <c r="AB496" i="13" s="1"/>
  <c r="AA291" i="13"/>
  <c r="AA222" i="13"/>
  <c r="AA76" i="13"/>
  <c r="H450" i="13"/>
  <c r="AA61" i="13"/>
  <c r="Z457" i="13"/>
  <c r="G455" i="13"/>
  <c r="J455" i="13" s="1"/>
  <c r="W431" i="6"/>
  <c r="R449" i="6"/>
  <c r="R354" i="6"/>
  <c r="R392" i="6" s="1"/>
  <c r="R406" i="6" s="1"/>
  <c r="R444" i="6" s="1"/>
  <c r="R477" i="6" s="1"/>
  <c r="R501" i="6" s="1"/>
  <c r="R661" i="6" s="1"/>
  <c r="R685" i="6" s="1"/>
  <c r="R805" i="6" s="1"/>
  <c r="R882" i="6" s="1"/>
  <c r="R344" i="6"/>
  <c r="R362" i="6" s="1"/>
  <c r="R494" i="6" s="1"/>
  <c r="R596" i="6" s="1"/>
  <c r="R672" i="6" s="1"/>
  <c r="T703" i="6" s="1"/>
  <c r="G506" i="13"/>
  <c r="J506" i="13" s="1"/>
  <c r="AI506" i="13" s="1"/>
  <c r="G452" i="13"/>
  <c r="AQ452" i="13" s="1"/>
  <c r="G45" i="13"/>
  <c r="AQ45" i="13" s="1"/>
  <c r="AA45" i="13"/>
  <c r="AB45" i="13" s="1"/>
  <c r="R154" i="6"/>
  <c r="R212" i="6" s="1"/>
  <c r="G573" i="13"/>
  <c r="AQ573" i="13" s="1"/>
  <c r="AA236" i="13"/>
  <c r="AB236" i="13" s="1"/>
  <c r="AA317" i="13"/>
  <c r="H120" i="13"/>
  <c r="G494" i="13"/>
  <c r="AQ494" i="13" s="1"/>
  <c r="T313" i="6"/>
  <c r="S479" i="13"/>
  <c r="AA479" i="13" s="1"/>
  <c r="AB479" i="13" s="1"/>
  <c r="AA448" i="13"/>
  <c r="AB448" i="13" s="1"/>
  <c r="AA403" i="13"/>
  <c r="AB403" i="13" s="1"/>
  <c r="AA347" i="13"/>
  <c r="AA320" i="13"/>
  <c r="AQ124" i="13"/>
  <c r="G116" i="13"/>
  <c r="AQ116" i="13" s="1"/>
  <c r="S573" i="13"/>
  <c r="AA573" i="13" s="1"/>
  <c r="AB573" i="13" s="1"/>
  <c r="H553" i="13"/>
  <c r="AA262" i="13"/>
  <c r="G102" i="13"/>
  <c r="AQ102" i="13" s="1"/>
  <c r="H73" i="13"/>
  <c r="AA451" i="13"/>
  <c r="AA369" i="13"/>
  <c r="Y719" i="13" s="1"/>
  <c r="Z719" i="13" s="1"/>
  <c r="AB719" i="13" s="1"/>
  <c r="T549" i="6"/>
  <c r="O573" i="15" s="1"/>
  <c r="T550" i="6"/>
  <c r="O577" i="15" s="1"/>
  <c r="AA267" i="13"/>
  <c r="T376" i="6"/>
  <c r="T388" i="6"/>
  <c r="R63" i="6"/>
  <c r="AL31" i="13" s="1" a="1"/>
  <c r="AL31" i="13" s="1"/>
  <c r="AA436" i="13"/>
  <c r="G497" i="13"/>
  <c r="AQ497" i="13" s="1"/>
  <c r="AA462" i="13"/>
  <c r="AB462" i="13" s="1"/>
  <c r="R247" i="6"/>
  <c r="R483" i="6" s="1"/>
  <c r="AL340" i="13" s="1" a="1"/>
  <c r="G451" i="13"/>
  <c r="J451" i="13" s="1"/>
  <c r="S553" i="13"/>
  <c r="AA553" i="13" s="1"/>
  <c r="AP553" i="13" s="1"/>
  <c r="AA526" i="13"/>
  <c r="AK526" i="13" s="1"/>
  <c r="AA283" i="13"/>
  <c r="H216" i="13"/>
  <c r="AQ257" i="13"/>
  <c r="AA221" i="13"/>
  <c r="Z497" i="13"/>
  <c r="AA34" i="13"/>
  <c r="G504" i="13"/>
  <c r="J504" i="13" s="1"/>
  <c r="AI504" i="13" s="1"/>
  <c r="AQ477" i="13"/>
  <c r="AA422" i="13"/>
  <c r="AA450" i="13"/>
  <c r="AA421" i="13"/>
  <c r="AA356" i="13"/>
  <c r="AA326" i="13"/>
  <c r="H256" i="13"/>
  <c r="AA170" i="13"/>
  <c r="G212" i="13"/>
  <c r="AQ212" i="13" s="1"/>
  <c r="AA521" i="13"/>
  <c r="G516" i="13"/>
  <c r="AQ516" i="13" s="1"/>
  <c r="G473" i="13"/>
  <c r="AA71" i="13"/>
  <c r="G523" i="13"/>
  <c r="AQ523" i="13" s="1"/>
  <c r="S515" i="13"/>
  <c r="AA515" i="13" s="1"/>
  <c r="AB515" i="13" s="1"/>
  <c r="H562" i="13"/>
  <c r="AA433" i="13"/>
  <c r="AA268" i="13"/>
  <c r="AB268" i="13" s="1"/>
  <c r="AA474" i="13"/>
  <c r="AA473" i="13"/>
  <c r="AA412" i="13"/>
  <c r="AB412" i="13" s="1"/>
  <c r="J351" i="13"/>
  <c r="AA341" i="13"/>
  <c r="AB341" i="13" s="1"/>
  <c r="AA321" i="13"/>
  <c r="AA278" i="13"/>
  <c r="AQ305" i="13"/>
  <c r="AA161" i="13"/>
  <c r="AA149" i="13"/>
  <c r="AA135" i="13"/>
  <c r="AA9" i="13"/>
  <c r="AB9" i="13" s="1"/>
  <c r="AA74" i="13"/>
  <c r="AA147" i="13"/>
  <c r="AA399" i="13"/>
  <c r="H473" i="13"/>
  <c r="AA138" i="13"/>
  <c r="AA516" i="13"/>
  <c r="AA337" i="13"/>
  <c r="AB337" i="13" s="1"/>
  <c r="AA335" i="13"/>
  <c r="AA329" i="13"/>
  <c r="J228" i="13"/>
  <c r="AA57" i="13"/>
  <c r="AQ137" i="13"/>
  <c r="G73" i="13"/>
  <c r="AQ73" i="13" s="1"/>
  <c r="H516" i="13"/>
  <c r="AA279" i="13"/>
  <c r="AB279" i="13" s="1"/>
  <c r="AA73" i="13"/>
  <c r="AA178" i="13"/>
  <c r="AA562" i="13"/>
  <c r="AR557" i="13"/>
  <c r="Q557" i="13"/>
  <c r="Q572" i="13"/>
  <c r="AR572" i="13"/>
  <c r="Q516" i="13"/>
  <c r="AR516" i="13"/>
  <c r="AR556" i="13"/>
  <c r="Q556" i="13"/>
  <c r="AR547" i="13"/>
  <c r="Q547" i="13"/>
  <c r="AR529" i="13"/>
  <c r="Q529" i="13"/>
  <c r="Q569" i="13"/>
  <c r="AR569" i="13"/>
  <c r="AR462" i="13"/>
  <c r="Q462" i="13"/>
  <c r="AR411" i="13"/>
  <c r="Q411" i="13"/>
  <c r="AR395" i="13"/>
  <c r="Q395" i="13"/>
  <c r="AR452" i="13"/>
  <c r="Q452" i="13"/>
  <c r="AR559" i="13"/>
  <c r="Q559" i="13"/>
  <c r="AR364" i="13"/>
  <c r="Q364" i="13"/>
  <c r="AR360" i="13"/>
  <c r="Q360" i="13"/>
  <c r="AR352" i="13"/>
  <c r="Q352" i="13"/>
  <c r="AR438" i="13"/>
  <c r="Q438" i="13"/>
  <c r="AR353" i="13"/>
  <c r="Q353" i="13"/>
  <c r="Q457" i="13"/>
  <c r="AR457" i="13"/>
  <c r="AR318" i="13"/>
  <c r="Q318" i="13"/>
  <c r="AR306" i="13"/>
  <c r="Q306" i="13"/>
  <c r="AI306" i="13" s="1"/>
  <c r="Q499" i="13"/>
  <c r="AR499" i="13"/>
  <c r="AR469" i="13"/>
  <c r="Q469" i="13"/>
  <c r="AR396" i="13"/>
  <c r="Q396" i="13"/>
  <c r="AR385" i="13"/>
  <c r="Q385" i="13"/>
  <c r="Q331" i="13"/>
  <c r="AR331" i="13"/>
  <c r="AR400" i="13"/>
  <c r="Q400" i="13"/>
  <c r="AR339" i="13"/>
  <c r="Q339" i="13"/>
  <c r="Q272" i="13"/>
  <c r="AI272" i="13" s="1"/>
  <c r="AR272" i="13"/>
  <c r="AR238" i="13"/>
  <c r="Q238" i="13"/>
  <c r="AR223" i="13"/>
  <c r="Q223" i="13"/>
  <c r="AR200" i="13"/>
  <c r="Q200" i="13"/>
  <c r="AR193" i="13"/>
  <c r="Q193" i="13"/>
  <c r="Q233" i="13"/>
  <c r="AR233" i="13"/>
  <c r="Q202" i="13"/>
  <c r="AR202" i="13"/>
  <c r="AR163" i="13"/>
  <c r="Q163" i="13"/>
  <c r="AR161" i="13"/>
  <c r="Q161" i="13"/>
  <c r="AR150" i="13"/>
  <c r="Q150" i="13"/>
  <c r="AR142" i="13"/>
  <c r="Q142" i="13"/>
  <c r="AR136" i="13"/>
  <c r="Q136" i="13"/>
  <c r="AR98" i="13"/>
  <c r="Q98" i="13"/>
  <c r="Q117" i="13"/>
  <c r="AR117" i="13"/>
  <c r="AR164" i="13"/>
  <c r="Q164" i="13"/>
  <c r="AR85" i="13"/>
  <c r="Q85" i="13"/>
  <c r="AI85" i="13" s="1"/>
  <c r="AR115" i="13"/>
  <c r="Q115" i="13"/>
  <c r="AR65" i="13"/>
  <c r="Q65" i="13"/>
  <c r="AR46" i="13"/>
  <c r="Q46" i="13"/>
  <c r="AR38" i="13"/>
  <c r="Q38" i="13"/>
  <c r="AR172" i="13"/>
  <c r="Q172" i="13"/>
  <c r="AR114" i="13"/>
  <c r="Q114" i="13"/>
  <c r="AR81" i="13"/>
  <c r="Q81" i="13"/>
  <c r="AR168" i="13"/>
  <c r="Q168" i="13"/>
  <c r="Q577" i="13"/>
  <c r="AR577" i="13"/>
  <c r="AR558" i="13"/>
  <c r="Q558" i="13"/>
  <c r="AR515" i="13"/>
  <c r="Q449" i="13"/>
  <c r="AR449" i="13"/>
  <c r="AR571" i="13"/>
  <c r="AR524" i="13"/>
  <c r="Q524" i="13"/>
  <c r="AR407" i="13"/>
  <c r="Q407" i="13"/>
  <c r="AR403" i="13"/>
  <c r="Q403" i="13"/>
  <c r="AR474" i="13"/>
  <c r="Q474" i="13"/>
  <c r="AR430" i="13"/>
  <c r="Q430" i="13"/>
  <c r="AI430" i="13" s="1"/>
  <c r="AR368" i="13"/>
  <c r="Q368" i="13"/>
  <c r="AR356" i="13"/>
  <c r="Q356" i="13"/>
  <c r="AR338" i="13"/>
  <c r="Q338" i="13"/>
  <c r="AR404" i="13"/>
  <c r="Q404" i="13"/>
  <c r="AR365" i="13"/>
  <c r="Q365" i="13"/>
  <c r="AR344" i="13"/>
  <c r="Q344" i="13"/>
  <c r="AR377" i="13"/>
  <c r="Q377" i="13"/>
  <c r="AR300" i="13"/>
  <c r="Q300" i="13"/>
  <c r="AR437" i="13"/>
  <c r="Q437" i="13"/>
  <c r="Q389" i="13"/>
  <c r="AR389" i="13"/>
  <c r="AR361" i="13"/>
  <c r="Q361" i="13"/>
  <c r="AR317" i="13"/>
  <c r="Q317" i="13"/>
  <c r="AR299" i="13"/>
  <c r="Q299" i="13"/>
  <c r="AR349" i="13"/>
  <c r="Q349" i="13"/>
  <c r="AR284" i="13"/>
  <c r="Q284" i="13"/>
  <c r="AR278" i="13"/>
  <c r="Q278" i="13"/>
  <c r="AR253" i="13"/>
  <c r="Q253" i="13"/>
  <c r="AI253" i="13" s="1"/>
  <c r="AR234" i="13"/>
  <c r="Q234" i="13"/>
  <c r="AR221" i="13"/>
  <c r="Q221" i="13"/>
  <c r="AR203" i="13"/>
  <c r="Q203" i="13"/>
  <c r="Q245" i="13"/>
  <c r="AR245" i="13"/>
  <c r="Q241" i="13"/>
  <c r="AR241" i="13"/>
  <c r="Q215" i="13"/>
  <c r="AR215" i="13"/>
  <c r="Q192" i="13"/>
  <c r="AR192" i="13"/>
  <c r="AR184" i="13"/>
  <c r="Q184" i="13"/>
  <c r="AR185" i="13"/>
  <c r="Q185" i="13"/>
  <c r="Q182" i="13"/>
  <c r="AR182" i="13"/>
  <c r="AR179" i="13"/>
  <c r="Q179" i="13"/>
  <c r="AR167" i="13"/>
  <c r="Q167" i="13"/>
  <c r="AR152" i="13"/>
  <c r="Q152" i="13"/>
  <c r="AR109" i="13"/>
  <c r="Q109" i="13"/>
  <c r="Q106" i="13"/>
  <c r="AR106" i="13"/>
  <c r="AR143" i="13"/>
  <c r="Q143" i="13"/>
  <c r="AR122" i="13"/>
  <c r="Q122" i="13"/>
  <c r="AI122" i="13" s="1"/>
  <c r="AR61" i="13"/>
  <c r="Q61" i="13"/>
  <c r="AR50" i="13"/>
  <c r="Q50" i="13"/>
  <c r="AR43" i="13"/>
  <c r="Q43" i="13"/>
  <c r="AR29" i="13"/>
  <c r="Q29" i="13"/>
  <c r="AR19" i="13"/>
  <c r="Q19" i="13"/>
  <c r="AR6" i="13"/>
  <c r="Q6" i="13"/>
  <c r="AR116" i="13"/>
  <c r="Q116" i="13"/>
  <c r="G263" i="13"/>
  <c r="AQ263" i="13" s="1"/>
  <c r="AR578" i="13"/>
  <c r="Q578" i="13"/>
  <c r="AR562" i="13"/>
  <c r="Q562" i="13"/>
  <c r="AR546" i="13"/>
  <c r="Q546" i="13"/>
  <c r="Q509" i="13"/>
  <c r="AR509" i="13"/>
  <c r="Q461" i="13"/>
  <c r="AR461" i="13"/>
  <c r="AR560" i="13"/>
  <c r="Q560" i="13"/>
  <c r="AR561" i="13"/>
  <c r="Q561" i="13"/>
  <c r="AR528" i="13"/>
  <c r="Q528" i="13"/>
  <c r="AR376" i="13"/>
  <c r="Q376" i="13"/>
  <c r="AR372" i="13"/>
  <c r="Q372" i="13"/>
  <c r="AR348" i="13"/>
  <c r="Q348" i="13"/>
  <c r="AR343" i="13"/>
  <c r="Q343" i="13"/>
  <c r="AR450" i="13"/>
  <c r="Q450" i="13"/>
  <c r="AR373" i="13"/>
  <c r="Q373" i="13"/>
  <c r="AR492" i="13"/>
  <c r="Q492" i="13"/>
  <c r="AR473" i="13"/>
  <c r="Q473" i="13"/>
  <c r="Q326" i="13"/>
  <c r="AR326" i="13"/>
  <c r="AR314" i="13"/>
  <c r="Q314" i="13"/>
  <c r="AR296" i="13"/>
  <c r="Q296" i="13"/>
  <c r="AR464" i="13"/>
  <c r="Q464" i="13"/>
  <c r="AR369" i="13"/>
  <c r="AR345" i="13"/>
  <c r="Q345" i="13"/>
  <c r="AR324" i="13"/>
  <c r="Q324" i="13"/>
  <c r="AR313" i="13"/>
  <c r="Q313" i="13"/>
  <c r="AR309" i="13"/>
  <c r="Q309" i="13"/>
  <c r="AR295" i="13"/>
  <c r="Q295" i="13"/>
  <c r="AR280" i="13"/>
  <c r="Q280" i="13"/>
  <c r="AR274" i="13"/>
  <c r="Q274" i="13"/>
  <c r="AR249" i="13"/>
  <c r="Q249" i="13"/>
  <c r="AR229" i="13"/>
  <c r="Q229" i="13"/>
  <c r="AR209" i="13"/>
  <c r="Q209" i="13"/>
  <c r="AR279" i="13"/>
  <c r="Q279" i="13"/>
  <c r="AR262" i="13"/>
  <c r="Q262" i="13"/>
  <c r="AI262" i="13" s="1"/>
  <c r="Q237" i="13"/>
  <c r="AR237" i="13"/>
  <c r="Q199" i="13"/>
  <c r="AR199" i="13"/>
  <c r="AR171" i="13"/>
  <c r="Q171" i="13"/>
  <c r="AR146" i="13"/>
  <c r="Q146" i="13"/>
  <c r="AR138" i="13"/>
  <c r="Q138" i="13"/>
  <c r="Q123" i="13"/>
  <c r="AI123" i="13" s="1"/>
  <c r="AR123" i="13"/>
  <c r="Q83" i="13"/>
  <c r="AR83" i="13"/>
  <c r="Q78" i="13"/>
  <c r="AR78" i="13"/>
  <c r="AR99" i="13"/>
  <c r="Q99" i="13"/>
  <c r="AR110" i="13"/>
  <c r="Q110" i="13"/>
  <c r="AI110" i="13" s="1"/>
  <c r="AR176" i="13"/>
  <c r="Q176" i="13"/>
  <c r="AR91" i="13"/>
  <c r="Q91" i="13"/>
  <c r="AR66" i="13"/>
  <c r="Q66" i="13"/>
  <c r="AR18" i="13"/>
  <c r="Q18" i="13"/>
  <c r="AR10" i="13"/>
  <c r="Q10" i="13"/>
  <c r="AR2" i="13"/>
  <c r="Q2" i="13"/>
  <c r="AR153" i="13"/>
  <c r="Q153" i="13"/>
  <c r="AR104" i="13"/>
  <c r="Q104" i="13"/>
  <c r="AR77" i="13"/>
  <c r="Q77" i="13"/>
  <c r="AR579" i="13"/>
  <c r="Q579" i="13"/>
  <c r="AR564" i="13"/>
  <c r="Q564" i="13"/>
  <c r="Q570" i="13"/>
  <c r="AR570" i="13"/>
  <c r="Q568" i="13"/>
  <c r="AR568" i="13"/>
  <c r="Q513" i="13"/>
  <c r="AR513" i="13"/>
  <c r="Q490" i="13"/>
  <c r="AR490" i="13"/>
  <c r="AR537" i="13"/>
  <c r="Q537" i="13"/>
  <c r="AR523" i="13"/>
  <c r="Q523" i="13"/>
  <c r="AR538" i="13"/>
  <c r="Q538" i="13"/>
  <c r="AR530" i="13"/>
  <c r="Q530" i="13"/>
  <c r="AR399" i="13"/>
  <c r="Q399" i="13"/>
  <c r="AR451" i="13"/>
  <c r="Q451" i="13"/>
  <c r="AR426" i="13"/>
  <c r="Q426" i="13"/>
  <c r="AR445" i="13"/>
  <c r="Q445" i="13"/>
  <c r="AR408" i="13"/>
  <c r="Q408" i="13"/>
  <c r="AR357" i="13"/>
  <c r="Q357" i="13"/>
  <c r="AR310" i="13"/>
  <c r="Q310" i="13"/>
  <c r="Q420" i="13"/>
  <c r="AR420" i="13"/>
  <c r="AR383" i="13"/>
  <c r="Q383" i="13"/>
  <c r="Q359" i="13"/>
  <c r="AR359" i="13"/>
  <c r="AR305" i="13"/>
  <c r="Q305" i="13"/>
  <c r="AI305" i="13" s="1"/>
  <c r="AR414" i="13"/>
  <c r="Q414" i="13"/>
  <c r="AR225" i="13"/>
  <c r="Q225" i="13"/>
  <c r="AR201" i="13"/>
  <c r="Q201" i="13"/>
  <c r="AR194" i="13"/>
  <c r="Q194" i="13"/>
  <c r="Q243" i="13"/>
  <c r="AR243" i="13"/>
  <c r="AR228" i="13"/>
  <c r="Q220" i="13"/>
  <c r="AR220" i="13"/>
  <c r="Q208" i="13"/>
  <c r="AR208" i="13"/>
  <c r="AR188" i="13"/>
  <c r="AR175" i="13"/>
  <c r="Q175" i="13"/>
  <c r="AR156" i="13"/>
  <c r="Q156" i="13"/>
  <c r="AR137" i="13"/>
  <c r="Q137" i="13"/>
  <c r="AI137" i="13" s="1"/>
  <c r="AR128" i="13"/>
  <c r="Q128" i="13"/>
  <c r="AR121" i="13"/>
  <c r="Q121" i="13"/>
  <c r="AR113" i="13"/>
  <c r="Q113" i="13"/>
  <c r="Q100" i="13"/>
  <c r="AR100" i="13"/>
  <c r="Q86" i="13"/>
  <c r="AI86" i="13" s="1"/>
  <c r="AR86" i="13"/>
  <c r="Q82" i="13"/>
  <c r="AR82" i="13"/>
  <c r="AR157" i="13"/>
  <c r="Q157" i="13"/>
  <c r="AR189" i="13"/>
  <c r="Q189" i="13"/>
  <c r="AR147" i="13"/>
  <c r="Q147" i="13"/>
  <c r="AR139" i="13"/>
  <c r="Q139" i="13"/>
  <c r="AR129" i="13"/>
  <c r="Q129" i="13"/>
  <c r="AR34" i="13"/>
  <c r="Q34" i="13"/>
  <c r="AR25" i="13"/>
  <c r="Q25" i="13"/>
  <c r="AR17" i="13"/>
  <c r="Q17" i="13"/>
  <c r="S533" i="13"/>
  <c r="AA533" i="13" s="1"/>
  <c r="AP533" i="13" s="1"/>
  <c r="G465" i="13"/>
  <c r="AQ465" i="13" s="1"/>
  <c r="J393" i="13"/>
  <c r="H497" i="13"/>
  <c r="AA370" i="13"/>
  <c r="J360" i="13"/>
  <c r="S461" i="13"/>
  <c r="AA461" i="13" s="1"/>
  <c r="H246" i="13"/>
  <c r="AA227" i="13"/>
  <c r="AA47" i="13"/>
  <c r="AB47" i="13" s="1"/>
  <c r="H116" i="13"/>
  <c r="H526" i="13"/>
  <c r="G537" i="13"/>
  <c r="AQ537" i="13" s="1"/>
  <c r="G505" i="13"/>
  <c r="AQ505" i="13" s="1"/>
  <c r="H465" i="13"/>
  <c r="G461" i="13"/>
  <c r="AQ461" i="13" s="1"/>
  <c r="AA388" i="13"/>
  <c r="AB388" i="13" s="1"/>
  <c r="S519" i="13"/>
  <c r="AA519" i="13" s="1"/>
  <c r="AB519" i="13" s="1"/>
  <c r="AQ483" i="13"/>
  <c r="AQ80" i="13"/>
  <c r="G519" i="13"/>
  <c r="AQ519" i="13" s="1"/>
  <c r="G526" i="13"/>
  <c r="AQ526" i="13" s="1"/>
  <c r="R468" i="6"/>
  <c r="R123" i="6"/>
  <c r="U428" i="6" s="1" a="1"/>
  <c r="U428" i="6" s="1"/>
  <c r="R56" i="6"/>
  <c r="R58" i="6" s="1"/>
  <c r="T98" i="6" s="1"/>
  <c r="K109" i="13" s="1"/>
  <c r="AU109" i="13" s="1"/>
  <c r="R69" i="6"/>
  <c r="W440" i="6"/>
  <c r="V539" i="13"/>
  <c r="Z539" i="13" s="1"/>
  <c r="R39" i="6"/>
  <c r="T168" i="6" s="1"/>
  <c r="R43" i="6"/>
  <c r="R109" i="6" s="1"/>
  <c r="R120" i="6" s="1"/>
  <c r="R195" i="6" s="1"/>
  <c r="R204" i="6" s="1"/>
  <c r="R207" i="6" s="1"/>
  <c r="R239" i="6" s="1"/>
  <c r="R240" i="6" s="1"/>
  <c r="R258" i="6" s="1"/>
  <c r="R273" i="6" s="1"/>
  <c r="R655" i="6" s="1"/>
  <c r="R29" i="6"/>
  <c r="T270" i="6" s="1"/>
  <c r="AQ478" i="13"/>
  <c r="J484" i="13"/>
  <c r="AA338" i="13"/>
  <c r="G216" i="13"/>
  <c r="AQ122" i="13"/>
  <c r="J183" i="13"/>
  <c r="AI183" i="13" s="1"/>
  <c r="AA257" i="13"/>
  <c r="AB257" i="13" s="1"/>
  <c r="S464" i="13"/>
  <c r="AA464" i="13" s="1"/>
  <c r="AA288" i="13"/>
  <c r="G562" i="13"/>
  <c r="AQ562" i="13" s="1"/>
  <c r="AQ315" i="13"/>
  <c r="S93" i="13"/>
  <c r="AA93" i="13" s="1"/>
  <c r="AS93" i="13" s="1"/>
  <c r="AT93" i="13" s="1"/>
  <c r="AA350" i="13"/>
  <c r="AA6" i="13"/>
  <c r="J229" i="13"/>
  <c r="AA214" i="13"/>
  <c r="AA195" i="13"/>
  <c r="AA172" i="13"/>
  <c r="AB172" i="13" s="1"/>
  <c r="S127" i="13"/>
  <c r="AA127" i="13" s="1"/>
  <c r="AB127" i="13" s="1"/>
  <c r="H93" i="13"/>
  <c r="S22" i="13"/>
  <c r="AA22" i="13" s="1"/>
  <c r="AA159" i="13"/>
  <c r="AB159" i="13" s="1"/>
  <c r="G22" i="13"/>
  <c r="AQ22" i="13" s="1"/>
  <c r="S563" i="13"/>
  <c r="AA563" i="13" s="1"/>
  <c r="AB563" i="13" s="1"/>
  <c r="G464" i="13"/>
  <c r="AQ464" i="13" s="1"/>
  <c r="AA389" i="13"/>
  <c r="AQ307" i="13"/>
  <c r="AA139" i="13"/>
  <c r="AQ123" i="13"/>
  <c r="J7" i="13"/>
  <c r="AI7" i="13" s="1"/>
  <c r="AA552" i="13"/>
  <c r="S359" i="13"/>
  <c r="AA359" i="13" s="1"/>
  <c r="AQ301" i="13"/>
  <c r="J249" i="13"/>
  <c r="AA104" i="13"/>
  <c r="G518" i="13"/>
  <c r="AQ430" i="13"/>
  <c r="AA441" i="13"/>
  <c r="S263" i="13"/>
  <c r="AA263" i="13" s="1"/>
  <c r="AB263" i="13" s="1"/>
  <c r="S223" i="13"/>
  <c r="AA223" i="13" s="1"/>
  <c r="S201" i="13"/>
  <c r="AA201" i="13" s="1"/>
  <c r="H223" i="13"/>
  <c r="J203" i="13"/>
  <c r="G125" i="13"/>
  <c r="AQ125" i="13" s="1"/>
  <c r="S125" i="13"/>
  <c r="AA125" i="13" s="1"/>
  <c r="AA24" i="13"/>
  <c r="AQ110" i="13"/>
  <c r="G446" i="13"/>
  <c r="G552" i="13"/>
  <c r="AQ552" i="13" s="1"/>
  <c r="G512" i="13"/>
  <c r="AQ512" i="13" s="1"/>
  <c r="G468" i="13"/>
  <c r="H468" i="13"/>
  <c r="AA405" i="13"/>
  <c r="J330" i="13"/>
  <c r="AI330" i="13" s="1"/>
  <c r="AQ308" i="13"/>
  <c r="S287" i="13"/>
  <c r="AA287" i="13" s="1"/>
  <c r="AP287" i="13" s="1"/>
  <c r="AQ253" i="13"/>
  <c r="H201" i="13"/>
  <c r="AA189" i="13"/>
  <c r="AA142" i="13"/>
  <c r="AA175" i="13"/>
  <c r="G46" i="13"/>
  <c r="AQ46" i="13" s="1"/>
  <c r="AA42" i="13"/>
  <c r="S549" i="13"/>
  <c r="AA549" i="13" s="1"/>
  <c r="AB549" i="13" s="1"/>
  <c r="AA332" i="13"/>
  <c r="H552" i="13"/>
  <c r="S528" i="13"/>
  <c r="AA528" i="13" s="1"/>
  <c r="AA391" i="13"/>
  <c r="AA323" i="13"/>
  <c r="AA688" i="13"/>
  <c r="AA457" i="13"/>
  <c r="AK457" i="13" s="1"/>
  <c r="AA411" i="13"/>
  <c r="J431" i="13"/>
  <c r="AI431" i="13" s="1"/>
  <c r="AA346" i="13"/>
  <c r="G287" i="13"/>
  <c r="AQ287" i="13" s="1"/>
  <c r="AQ271" i="13"/>
  <c r="J139" i="13"/>
  <c r="AA169" i="13"/>
  <c r="J163" i="13"/>
  <c r="S46" i="13"/>
  <c r="AA46" i="13" s="1"/>
  <c r="AB46" i="13" s="1"/>
  <c r="J472" i="13"/>
  <c r="AA215" i="13"/>
  <c r="AA163" i="13"/>
  <c r="G279" i="13"/>
  <c r="G95" i="13"/>
  <c r="AQ95" i="13" s="1"/>
  <c r="AA3" i="13"/>
  <c r="Z201" i="13"/>
  <c r="H449" i="13"/>
  <c r="AA430" i="13"/>
  <c r="J350" i="13"/>
  <c r="AA271" i="13"/>
  <c r="AQ262" i="13"/>
  <c r="AA211" i="13"/>
  <c r="AB211" i="13" s="1"/>
  <c r="J184" i="13"/>
  <c r="G160" i="13"/>
  <c r="AA156" i="13"/>
  <c r="S231" i="13"/>
  <c r="AA231" i="13" s="1"/>
  <c r="AB231" i="13" s="1"/>
  <c r="AA171" i="13"/>
  <c r="AA106" i="13"/>
  <c r="AB106" i="13" s="1"/>
  <c r="AQ33" i="13"/>
  <c r="S18" i="13"/>
  <c r="AA18" i="13" s="1"/>
  <c r="AB18" i="13" s="1"/>
  <c r="AA301" i="13"/>
  <c r="AA511" i="13"/>
  <c r="H91" i="13"/>
  <c r="G91" i="13"/>
  <c r="AQ91" i="13" s="1"/>
  <c r="AA432" i="13"/>
  <c r="AB432" i="13" s="1"/>
  <c r="G3" i="13"/>
  <c r="S94" i="13"/>
  <c r="AA94" i="13" s="1"/>
  <c r="G94" i="13"/>
  <c r="AQ94" i="13" s="1"/>
  <c r="G19" i="13"/>
  <c r="AQ19" i="13" s="1"/>
  <c r="AA534" i="13"/>
  <c r="G413" i="13"/>
  <c r="AA364" i="13"/>
  <c r="AA280" i="13"/>
  <c r="G256" i="13"/>
  <c r="AQ256" i="13" s="1"/>
  <c r="J172" i="13"/>
  <c r="G231" i="13"/>
  <c r="AQ231" i="13" s="1"/>
  <c r="AA174" i="13"/>
  <c r="AA202" i="13"/>
  <c r="AA162" i="13"/>
  <c r="AA130" i="13"/>
  <c r="AA58" i="13"/>
  <c r="AA25" i="13"/>
  <c r="H18" i="13"/>
  <c r="AA91" i="13"/>
  <c r="AS91" i="13" s="1"/>
  <c r="AT91" i="13" s="1"/>
  <c r="AA305" i="13"/>
  <c r="AB305" i="13" s="1"/>
  <c r="G528" i="13"/>
  <c r="AQ528" i="13" s="1"/>
  <c r="AA126" i="13"/>
  <c r="H95" i="13"/>
  <c r="S529" i="13"/>
  <c r="AA529" i="13" s="1"/>
  <c r="H3" i="13"/>
  <c r="S19" i="13"/>
  <c r="AA19" i="13" s="1"/>
  <c r="Z494" i="13"/>
  <c r="AA567" i="13"/>
  <c r="G529" i="13"/>
  <c r="AQ529" i="13" s="1"/>
  <c r="AQ502" i="13"/>
  <c r="AA489" i="13"/>
  <c r="AA459" i="13"/>
  <c r="AA387" i="13"/>
  <c r="J353" i="13"/>
  <c r="AA264" i="13"/>
  <c r="AB264" i="13" s="1"/>
  <c r="J188" i="13"/>
  <c r="AA185" i="13"/>
  <c r="J167" i="13"/>
  <c r="G96" i="13"/>
  <c r="AQ96" i="13" s="1"/>
  <c r="AQ86" i="13"/>
  <c r="AQ21" i="13"/>
  <c r="G359" i="13"/>
  <c r="H474" i="13"/>
  <c r="AA410" i="13"/>
  <c r="AA276" i="13"/>
  <c r="AA188" i="13"/>
  <c r="AB188" i="13" s="1"/>
  <c r="AA167" i="13"/>
  <c r="G533" i="13"/>
  <c r="H505" i="13"/>
  <c r="AQ327" i="13"/>
  <c r="G138" i="13"/>
  <c r="AQ138" i="13" s="1"/>
  <c r="H194" i="13"/>
  <c r="AA226" i="13"/>
  <c r="AA136" i="13"/>
  <c r="AA15" i="13"/>
  <c r="AB15" i="13" s="1"/>
  <c r="J2" i="13"/>
  <c r="AQ79" i="13"/>
  <c r="J358" i="13"/>
  <c r="AA299" i="13"/>
  <c r="AQ306" i="13"/>
  <c r="AQ324" i="13"/>
  <c r="AQ316" i="13"/>
  <c r="AQ297" i="13"/>
  <c r="J202" i="13"/>
  <c r="AA273" i="13"/>
  <c r="J173" i="13"/>
  <c r="AI173" i="13" s="1"/>
  <c r="AA101" i="13"/>
  <c r="G500" i="13"/>
  <c r="AA414" i="13"/>
  <c r="AA505" i="13"/>
  <c r="AB505" i="13" s="1"/>
  <c r="S537" i="13"/>
  <c r="AA537" i="13" s="1"/>
  <c r="AK537" i="13" s="1"/>
  <c r="S476" i="13"/>
  <c r="AA476" i="13" s="1"/>
  <c r="AA488" i="13"/>
  <c r="AA385" i="13"/>
  <c r="AA429" i="13"/>
  <c r="AQ288" i="13"/>
  <c r="AA255" i="13"/>
  <c r="J210" i="13"/>
  <c r="AA191" i="13"/>
  <c r="AA38" i="13"/>
  <c r="AA72" i="13"/>
  <c r="H138" i="13"/>
  <c r="H384" i="13"/>
  <c r="G563" i="13"/>
  <c r="H525" i="13"/>
  <c r="S500" i="13"/>
  <c r="AA500" i="13" s="1"/>
  <c r="AB500" i="13" s="1"/>
  <c r="AA490" i="13"/>
  <c r="AP490" i="13" s="1"/>
  <c r="S424" i="13"/>
  <c r="AA419" i="13"/>
  <c r="AB419" i="13" s="1"/>
  <c r="J381" i="13"/>
  <c r="AI381" i="13" s="1"/>
  <c r="AA354" i="13"/>
  <c r="J152" i="13"/>
  <c r="J177" i="13"/>
  <c r="AI177" i="13" s="1"/>
  <c r="AA240" i="13"/>
  <c r="G83" i="13"/>
  <c r="G53" i="13"/>
  <c r="AQ53" i="13" s="1"/>
  <c r="G445" i="13"/>
  <c r="AQ445" i="13" s="1"/>
  <c r="S384" i="13"/>
  <c r="AA384" i="13" s="1"/>
  <c r="H53" i="13"/>
  <c r="H563" i="13"/>
  <c r="S532" i="13"/>
  <c r="J521" i="13"/>
  <c r="AI521" i="13" s="1"/>
  <c r="AA535" i="13"/>
  <c r="G476" i="13"/>
  <c r="AQ476" i="13" s="1"/>
  <c r="AQ480" i="13"/>
  <c r="AQ406" i="13"/>
  <c r="AA312" i="13"/>
  <c r="AB312" i="13" s="1"/>
  <c r="AA246" i="13"/>
  <c r="AA155" i="13"/>
  <c r="J260" i="13"/>
  <c r="AA194" i="13"/>
  <c r="AA187" i="13"/>
  <c r="AA56" i="13"/>
  <c r="AA122" i="13"/>
  <c r="AQ85" i="13"/>
  <c r="AQ35" i="13"/>
  <c r="G490" i="13"/>
  <c r="AQ490" i="13" s="1"/>
  <c r="AA409" i="13"/>
  <c r="AB409" i="13" s="1"/>
  <c r="AA23" i="13"/>
  <c r="G246" i="13"/>
  <c r="AA569" i="13"/>
  <c r="AB569" i="13" s="1"/>
  <c r="H532" i="13"/>
  <c r="S525" i="13"/>
  <c r="AA525" i="13" s="1"/>
  <c r="AA447" i="13"/>
  <c r="AA435" i="13"/>
  <c r="AB435" i="13" s="1"/>
  <c r="AA259" i="13"/>
  <c r="AA251" i="13"/>
  <c r="G127" i="13"/>
  <c r="AQ127" i="13" s="1"/>
  <c r="G194" i="13"/>
  <c r="AQ194" i="13" s="1"/>
  <c r="H83" i="13"/>
  <c r="AA20" i="13"/>
  <c r="AB20" i="13" s="1"/>
  <c r="G424" i="13"/>
  <c r="AQ424" i="13" s="1"/>
  <c r="H490" i="13"/>
  <c r="AA229" i="13"/>
  <c r="AA407" i="13"/>
  <c r="J404" i="13"/>
  <c r="R374" i="6"/>
  <c r="U850" i="6" s="1" a="1"/>
  <c r="U850" i="6" s="1"/>
  <c r="G479" i="13"/>
  <c r="T547" i="6"/>
  <c r="O425" i="15" s="1"/>
  <c r="AA80" i="13"/>
  <c r="AA145" i="13"/>
  <c r="AB145" i="13" s="1"/>
  <c r="W503" i="6"/>
  <c r="V553" i="13"/>
  <c r="Z553" i="13" s="1"/>
  <c r="AA396" i="13"/>
  <c r="AA499" i="13"/>
  <c r="AB499" i="13" s="1"/>
  <c r="AA85" i="13"/>
  <c r="AA469" i="13"/>
  <c r="AA108" i="13"/>
  <c r="AA203" i="13"/>
  <c r="AB203" i="13" s="1"/>
  <c r="AQ298" i="13"/>
  <c r="J298" i="13"/>
  <c r="AI298" i="13" s="1"/>
  <c r="AQ126" i="13"/>
  <c r="J126" i="13"/>
  <c r="AI126" i="13" s="1"/>
  <c r="AQ23" i="13"/>
  <c r="J23" i="13"/>
  <c r="AI23" i="13" s="1"/>
  <c r="AQ6" i="13"/>
  <c r="J6" i="13"/>
  <c r="AQ153" i="13"/>
  <c r="J153" i="13"/>
  <c r="J30" i="13"/>
  <c r="AI30" i="13" s="1"/>
  <c r="AQ30" i="13"/>
  <c r="AQ352" i="13"/>
  <c r="J352" i="13"/>
  <c r="AQ367" i="13"/>
  <c r="J367" i="13"/>
  <c r="AI367" i="13" s="1"/>
  <c r="AQ386" i="13"/>
  <c r="AA379" i="13"/>
  <c r="AB379" i="13" s="1"/>
  <c r="AA336" i="13"/>
  <c r="AA205" i="13"/>
  <c r="AA166" i="13"/>
  <c r="AB166" i="13" s="1"/>
  <c r="AQ571" i="13"/>
  <c r="AQ200" i="13"/>
  <c r="J200" i="13"/>
  <c r="AA324" i="13"/>
  <c r="AB324" i="13" s="1"/>
  <c r="AQ42" i="13"/>
  <c r="J42" i="13"/>
  <c r="AA438" i="13"/>
  <c r="J146" i="13"/>
  <c r="AQ284" i="13"/>
  <c r="J499" i="13"/>
  <c r="AA297" i="13"/>
  <c r="J368" i="13"/>
  <c r="AQ197" i="13"/>
  <c r="AQ72" i="13"/>
  <c r="J486" i="13"/>
  <c r="J71" i="13"/>
  <c r="AQ71" i="13"/>
  <c r="AA560" i="13"/>
  <c r="AA512" i="13"/>
  <c r="AQ491" i="13"/>
  <c r="AA394" i="13"/>
  <c r="J375" i="13"/>
  <c r="AI375" i="13" s="1"/>
  <c r="AA349" i="13"/>
  <c r="AB349" i="13" s="1"/>
  <c r="AA261" i="13"/>
  <c r="J230" i="13"/>
  <c r="AI230" i="13" s="1"/>
  <c r="AA181" i="13"/>
  <c r="AB181" i="13" s="1"/>
  <c r="AA148" i="13"/>
  <c r="J145" i="13"/>
  <c r="AI145" i="13" s="1"/>
  <c r="AA98" i="13"/>
  <c r="AB98" i="13" s="1"/>
  <c r="AA316" i="13"/>
  <c r="AQ209" i="13"/>
  <c r="J209" i="13"/>
  <c r="J261" i="13"/>
  <c r="AQ261" i="13"/>
  <c r="J20" i="13"/>
  <c r="AI20" i="13" s="1"/>
  <c r="AQ20" i="13"/>
  <c r="AQ204" i="13"/>
  <c r="J204" i="13"/>
  <c r="AI204" i="13" s="1"/>
  <c r="Z461" i="13"/>
  <c r="AA395" i="13"/>
  <c r="AA404" i="13"/>
  <c r="J332" i="13"/>
  <c r="AI332" i="13" s="1"/>
  <c r="AA319" i="13"/>
  <c r="AA275" i="13"/>
  <c r="AA325" i="13"/>
  <c r="J245" i="13"/>
  <c r="J235" i="13"/>
  <c r="AI235" i="13" s="1"/>
  <c r="J214" i="13"/>
  <c r="AA220" i="13"/>
  <c r="AA152" i="13"/>
  <c r="AA54" i="13"/>
  <c r="AB54" i="13" s="1"/>
  <c r="AA386" i="13"/>
  <c r="AB386" i="13" s="1"/>
  <c r="J58" i="13"/>
  <c r="AA406" i="13"/>
  <c r="AB406" i="13" s="1"/>
  <c r="AA154" i="13"/>
  <c r="AB154" i="13" s="1"/>
  <c r="J57" i="13"/>
  <c r="AI57" i="13" s="1"/>
  <c r="AA298" i="13"/>
  <c r="AB298" i="13" s="1"/>
  <c r="AA352" i="13"/>
  <c r="AB352" i="13" s="1"/>
  <c r="AA243" i="13"/>
  <c r="AA140" i="13"/>
  <c r="AB140" i="13" s="1"/>
  <c r="AA418" i="13"/>
  <c r="AB418" i="13" s="1"/>
  <c r="AA124" i="13"/>
  <c r="AA184" i="13"/>
  <c r="AA192" i="13"/>
  <c r="AA235" i="13"/>
  <c r="AA111" i="13"/>
  <c r="AA153" i="13"/>
  <c r="AA393" i="13"/>
  <c r="AA408" i="13"/>
  <c r="AA367" i="13"/>
  <c r="AA277" i="13"/>
  <c r="AA232" i="13"/>
  <c r="AA218" i="13"/>
  <c r="AA193" i="13"/>
  <c r="AA141" i="13"/>
  <c r="AA183" i="13"/>
  <c r="AA176" i="13"/>
  <c r="AB176" i="13" s="1"/>
  <c r="AA118" i="13"/>
  <c r="AA281" i="13"/>
  <c r="AB281" i="13" s="1"/>
  <c r="AA204" i="13"/>
  <c r="AB204" i="13" s="1"/>
  <c r="AA123" i="13"/>
  <c r="AB123" i="13" s="1"/>
  <c r="AA30" i="13"/>
  <c r="AB30" i="13" s="1"/>
  <c r="AA245" i="13"/>
  <c r="AA199" i="13"/>
  <c r="AQ187" i="13"/>
  <c r="J187" i="13"/>
  <c r="AI187" i="13" s="1"/>
  <c r="AQ227" i="13"/>
  <c r="J227" i="13"/>
  <c r="J482" i="13"/>
  <c r="AQ280" i="13"/>
  <c r="J280" i="13"/>
  <c r="AQ176" i="13"/>
  <c r="J176" i="13"/>
  <c r="AA146" i="13"/>
  <c r="AB146" i="13" s="1"/>
  <c r="J82" i="13"/>
  <c r="J61" i="13"/>
  <c r="AQ61" i="13"/>
  <c r="J345" i="13"/>
  <c r="J49" i="13"/>
  <c r="AQ49" i="13"/>
  <c r="AA576" i="13"/>
  <c r="AA311" i="13"/>
  <c r="AQ101" i="13"/>
  <c r="AQ62" i="13"/>
  <c r="AA330" i="13"/>
  <c r="AB330" i="13" s="1"/>
  <c r="J244" i="13"/>
  <c r="AQ244" i="13"/>
  <c r="Z468" i="13"/>
  <c r="AQ428" i="13"/>
  <c r="AA458" i="13"/>
  <c r="AB458" i="13" s="1"/>
  <c r="AA423" i="13"/>
  <c r="J243" i="13"/>
  <c r="AQ243" i="13"/>
  <c r="AQ192" i="13"/>
  <c r="J192" i="13"/>
  <c r="AQ159" i="13"/>
  <c r="J159" i="13"/>
  <c r="AI159" i="13" s="1"/>
  <c r="AQ331" i="13"/>
  <c r="J331" i="13"/>
  <c r="AA306" i="13"/>
  <c r="J43" i="13"/>
  <c r="AQ43" i="13"/>
  <c r="AA382" i="13"/>
  <c r="AA128" i="13"/>
  <c r="AA308" i="13"/>
  <c r="AB308" i="13" s="1"/>
  <c r="AA434" i="13"/>
  <c r="AB434" i="13" s="1"/>
  <c r="AA307" i="13"/>
  <c r="AB307" i="13" s="1"/>
  <c r="AA362" i="13"/>
  <c r="AB362" i="13" s="1"/>
  <c r="AA416" i="13"/>
  <c r="AB416" i="13" s="1"/>
  <c r="AA373" i="13"/>
  <c r="AA371" i="13"/>
  <c r="AB371" i="13" s="1"/>
  <c r="AA363" i="13"/>
  <c r="AA207" i="13"/>
  <c r="AA157" i="13"/>
  <c r="AA121" i="13"/>
  <c r="AA21" i="13"/>
  <c r="AA437" i="13"/>
  <c r="AA460" i="13"/>
  <c r="AB460" i="13" s="1"/>
  <c r="AA357" i="13"/>
  <c r="AB357" i="13" s="1"/>
  <c r="AA274" i="13"/>
  <c r="AA266" i="13"/>
  <c r="AA237" i="13"/>
  <c r="AA103" i="13"/>
  <c r="AB103" i="13" s="1"/>
  <c r="AA368" i="13"/>
  <c r="AB368" i="13" s="1"/>
  <c r="AA315" i="13"/>
  <c r="AB315" i="13" s="1"/>
  <c r="AA177" i="13"/>
  <c r="AB177" i="13" s="1"/>
  <c r="AA82" i="13"/>
  <c r="AB82" i="13" s="1"/>
  <c r="R323" i="6"/>
  <c r="U332" i="6" s="1" a="1"/>
  <c r="U332" i="6" s="1"/>
  <c r="R438" i="6"/>
  <c r="T106" i="6"/>
  <c r="K46" i="13" s="1"/>
  <c r="AU46" i="13" s="1"/>
  <c r="R16" i="6"/>
  <c r="R17" i="6" s="1"/>
  <c r="R52" i="6" s="1"/>
  <c r="AA114" i="13"/>
  <c r="R46" i="6"/>
  <c r="AL460" i="13" s="1" a="1"/>
  <c r="AL460" i="13" s="1"/>
  <c r="J250" i="13"/>
  <c r="AI250" i="13" s="1"/>
  <c r="AQ250" i="13"/>
  <c r="R34" i="6"/>
  <c r="R265" i="6" s="1"/>
  <c r="R569" i="6" s="1"/>
  <c r="R1003" i="6" s="1"/>
  <c r="R1476" i="6" s="1"/>
  <c r="R1477" i="6" s="1"/>
  <c r="R277" i="6"/>
  <c r="AL222" i="13" s="1" a="1"/>
  <c r="AL222" i="13" s="1"/>
  <c r="R57" i="6"/>
  <c r="R92" i="6" s="1"/>
  <c r="AQ38" i="13"/>
  <c r="J38" i="13"/>
  <c r="AA272" i="13"/>
  <c r="AB272" i="13" s="1"/>
  <c r="AQ439" i="13"/>
  <c r="J439" i="13"/>
  <c r="AA230" i="13"/>
  <c r="AB230" i="13" s="1"/>
  <c r="AA81" i="13"/>
  <c r="AB81" i="13" s="1"/>
  <c r="AA228" i="13"/>
  <c r="AB228" i="13" s="1"/>
  <c r="AQ119" i="13"/>
  <c r="J119" i="13"/>
  <c r="AA2" i="13"/>
  <c r="J111" i="13"/>
  <c r="AI111" i="13" s="1"/>
  <c r="AQ111" i="13"/>
  <c r="R521" i="6"/>
  <c r="AL489" i="13" s="1" a="1"/>
  <c r="AL489" i="13" s="1"/>
  <c r="R8" i="6"/>
  <c r="T231" i="6" s="1"/>
  <c r="AA390" i="13"/>
  <c r="R509" i="6"/>
  <c r="R510" i="6" s="1"/>
  <c r="R511" i="6" s="1"/>
  <c r="R1021" i="6" s="1"/>
  <c r="AL618" i="13" s="1" a="1"/>
  <c r="AL618" i="13" s="1"/>
  <c r="J398" i="13"/>
  <c r="AQ398" i="13"/>
  <c r="AQ329" i="13"/>
  <c r="J329" i="13"/>
  <c r="R32" i="6"/>
  <c r="AL459" i="13" s="1" a="1"/>
  <c r="AL459" i="13" s="1"/>
  <c r="J440" i="13"/>
  <c r="AQ440" i="13"/>
  <c r="AQ403" i="13"/>
  <c r="AQ383" i="13"/>
  <c r="J383" i="13"/>
  <c r="AQ54" i="13"/>
  <c r="J54" i="13"/>
  <c r="AI54" i="13" s="1"/>
  <c r="AQ397" i="13"/>
  <c r="J397" i="13"/>
  <c r="AQ166" i="13"/>
  <c r="J166" i="13"/>
  <c r="AA331" i="13"/>
  <c r="AB331" i="13" s="1"/>
  <c r="R97" i="6"/>
  <c r="T366" i="6" s="1"/>
  <c r="W496" i="6"/>
  <c r="V541" i="13"/>
  <c r="Z541" i="13" s="1"/>
  <c r="R361" i="6"/>
  <c r="AL688" i="13" s="1" a="1"/>
  <c r="AL688" i="13" s="1"/>
  <c r="R87" i="6"/>
  <c r="R306" i="6" s="1"/>
  <c r="R434" i="6" s="1"/>
  <c r="R464" i="6" s="1"/>
  <c r="R563" i="6" s="1"/>
  <c r="R636" i="6" s="1"/>
  <c r="R650" i="6" s="1"/>
  <c r="R878" i="6" s="1"/>
  <c r="R954" i="6" s="1"/>
  <c r="R974" i="6" s="1"/>
  <c r="R978" i="6" s="1"/>
  <c r="R1066" i="6" s="1"/>
  <c r="T1066" i="6" s="1"/>
  <c r="J275" i="13"/>
  <c r="AI275" i="13" s="1"/>
  <c r="AQ275" i="13"/>
  <c r="AQ328" i="13"/>
  <c r="J328" i="13"/>
  <c r="AI328" i="13" s="1"/>
  <c r="J264" i="13"/>
  <c r="AQ264" i="13"/>
  <c r="AQ385" i="13"/>
  <c r="J385" i="13"/>
  <c r="AA31" i="13"/>
  <c r="AB31" i="13" s="1"/>
  <c r="R382" i="6"/>
  <c r="R384" i="6" s="1"/>
  <c r="R385" i="6" s="1"/>
  <c r="R390" i="6" s="1"/>
  <c r="R391" i="6" s="1"/>
  <c r="R395" i="6" s="1"/>
  <c r="R397" i="6" s="1"/>
  <c r="U418" i="6" s="1" a="1"/>
  <c r="R147" i="6"/>
  <c r="U217" i="6" s="1" a="1"/>
  <c r="U217" i="6" s="1"/>
  <c r="W455" i="6"/>
  <c r="V544" i="13"/>
  <c r="Z544" i="13" s="1"/>
  <c r="R283" i="6"/>
  <c r="AL517" i="13" s="1" a="1"/>
  <c r="AL517" i="13" s="1"/>
  <c r="R88" i="6"/>
  <c r="R155" i="6" s="1"/>
  <c r="R232" i="6" s="1"/>
  <c r="R414" i="6" s="1"/>
  <c r="R450" i="6" s="1"/>
  <c r="T776" i="6" s="1"/>
  <c r="AA345" i="13"/>
  <c r="AB345" i="13" s="1"/>
  <c r="AQ405" i="13"/>
  <c r="J405" i="13"/>
  <c r="AI405" i="13" s="1"/>
  <c r="AQ162" i="13"/>
  <c r="J162" i="13"/>
  <c r="AI162" i="13" s="1"/>
  <c r="AQ121" i="13"/>
  <c r="J121" i="13"/>
  <c r="AA334" i="13"/>
  <c r="AB334" i="13" s="1"/>
  <c r="AA265" i="13"/>
  <c r="AB265" i="13" s="1"/>
  <c r="W469" i="6"/>
  <c r="V546" i="13"/>
  <c r="Z546" i="13" s="1"/>
  <c r="R386" i="6"/>
  <c r="R387" i="6" s="1"/>
  <c r="R722" i="6" s="1"/>
  <c r="R316" i="6"/>
  <c r="R320" i="6" s="1"/>
  <c r="R321" i="6" s="1"/>
  <c r="R328" i="6" s="1"/>
  <c r="R334" i="6" s="1"/>
  <c r="R335" i="6" s="1"/>
  <c r="R336" i="6" s="1"/>
  <c r="R337" i="6" s="1"/>
  <c r="R342" i="6" s="1"/>
  <c r="R349" i="6" s="1"/>
  <c r="R352" i="6" s="1"/>
  <c r="R370" i="6" s="1"/>
  <c r="R393" i="6" s="1"/>
  <c r="R396" i="6" s="1"/>
  <c r="R405" i="6" s="1"/>
  <c r="R411" i="6" s="1"/>
  <c r="R422" i="6" s="1"/>
  <c r="R424" i="6" s="1"/>
  <c r="R432" i="6" s="1"/>
  <c r="R441" i="6" s="1"/>
  <c r="R585" i="6" s="1"/>
  <c r="R618" i="6" s="1"/>
  <c r="R674" i="6" s="1"/>
  <c r="R295" i="6"/>
  <c r="R297" i="6" s="1"/>
  <c r="T380" i="6" s="1"/>
  <c r="U313" i="6" a="1"/>
  <c r="U313" i="6" s="1"/>
  <c r="R254" i="6"/>
  <c r="R128" i="6"/>
  <c r="AL498" i="13" s="1" a="1"/>
  <c r="AL498" i="13" s="1"/>
  <c r="U105" i="6" a="1"/>
  <c r="U105" i="6" s="1"/>
  <c r="R86" i="6"/>
  <c r="R68" i="6"/>
  <c r="T78" i="6" s="1"/>
  <c r="AQ569" i="13"/>
  <c r="AA555" i="13"/>
  <c r="J453" i="13"/>
  <c r="AQ453" i="13"/>
  <c r="J441" i="13"/>
  <c r="AI441" i="13" s="1"/>
  <c r="AQ441" i="13"/>
  <c r="AQ410" i="13"/>
  <c r="J410" i="13"/>
  <c r="J399" i="13"/>
  <c r="AQ399" i="13"/>
  <c r="AL444" i="13" a="1"/>
  <c r="AL444" i="13" s="1"/>
  <c r="AL426" i="13" a="1"/>
  <c r="AL426" i="13" s="1"/>
  <c r="AQ442" i="13"/>
  <c r="AQ377" i="13"/>
  <c r="J377" i="13"/>
  <c r="AQ366" i="13"/>
  <c r="J366" i="13"/>
  <c r="AQ356" i="13"/>
  <c r="J356" i="13"/>
  <c r="AQ348" i="13"/>
  <c r="J348" i="13"/>
  <c r="J434" i="13"/>
  <c r="AQ434" i="13"/>
  <c r="AL456" i="13" a="1"/>
  <c r="AL456" i="13" s="1"/>
  <c r="AQ369" i="13"/>
  <c r="J369" i="13"/>
  <c r="AQ361" i="13"/>
  <c r="J361" i="13"/>
  <c r="AQ334" i="13"/>
  <c r="J334" i="13"/>
  <c r="AI334" i="13" s="1"/>
  <c r="AQ416" i="13"/>
  <c r="J416" i="13"/>
  <c r="AQ402" i="13"/>
  <c r="J402" i="13"/>
  <c r="AI402" i="13" s="1"/>
  <c r="J343" i="13"/>
  <c r="AQ343" i="13"/>
  <c r="J339" i="13"/>
  <c r="AQ339" i="13"/>
  <c r="AQ319" i="13"/>
  <c r="J319" i="13"/>
  <c r="AQ299" i="13"/>
  <c r="J299" i="13"/>
  <c r="AQ278" i="13"/>
  <c r="J278" i="13"/>
  <c r="AQ313" i="13"/>
  <c r="J313" i="13"/>
  <c r="AQ303" i="13"/>
  <c r="J303" i="13"/>
  <c r="AQ238" i="13"/>
  <c r="J238" i="13"/>
  <c r="AQ218" i="13"/>
  <c r="J218" i="13"/>
  <c r="AQ178" i="13"/>
  <c r="J178" i="13"/>
  <c r="AI178" i="13" s="1"/>
  <c r="AQ169" i="13"/>
  <c r="J169" i="13"/>
  <c r="AI169" i="13" s="1"/>
  <c r="AQ155" i="13"/>
  <c r="J155" i="13"/>
  <c r="AI155" i="13" s="1"/>
  <c r="AQ254" i="13"/>
  <c r="J254" i="13"/>
  <c r="AL248" i="13" a="1"/>
  <c r="AL248" i="13" s="1"/>
  <c r="J234" i="13"/>
  <c r="AQ234" i="13"/>
  <c r="J225" i="13"/>
  <c r="AQ225" i="13"/>
  <c r="AQ196" i="13"/>
  <c r="J186" i="13"/>
  <c r="AQ186" i="13"/>
  <c r="J179" i="13"/>
  <c r="AQ179" i="13"/>
  <c r="J171" i="13"/>
  <c r="AQ171" i="13"/>
  <c r="J136" i="13"/>
  <c r="AQ136" i="13"/>
  <c r="J133" i="13"/>
  <c r="AI133" i="13" s="1"/>
  <c r="AQ133" i="13"/>
  <c r="J130" i="13"/>
  <c r="AI130" i="13" s="1"/>
  <c r="AQ130" i="13"/>
  <c r="AL134" i="13" a="1"/>
  <c r="AL134" i="13" s="1"/>
  <c r="J112" i="13"/>
  <c r="AI112" i="13" s="1"/>
  <c r="AQ112" i="13"/>
  <c r="AL150" i="13" a="1"/>
  <c r="AL150" i="13" s="1"/>
  <c r="AQ76" i="13"/>
  <c r="J76" i="13"/>
  <c r="AQ47" i="13"/>
  <c r="J47" i="13"/>
  <c r="AI47" i="13" s="1"/>
  <c r="AQ41" i="13"/>
  <c r="J41" i="13"/>
  <c r="AI41" i="13" s="1"/>
  <c r="AA100" i="13"/>
  <c r="AB100" i="13" s="1"/>
  <c r="AQ78" i="13"/>
  <c r="J78" i="13"/>
  <c r="AA48" i="13"/>
  <c r="AB48" i="13" s="1"/>
  <c r="AL45" i="13" a="1"/>
  <c r="AL45" i="13" s="1"/>
  <c r="AA29" i="13"/>
  <c r="AB29" i="13" s="1"/>
  <c r="AA26" i="13"/>
  <c r="AB26" i="13" s="1"/>
  <c r="AQ16" i="13"/>
  <c r="J16" i="13"/>
  <c r="AA13" i="13"/>
  <c r="AB13" i="13" s="1"/>
  <c r="AQ4" i="13"/>
  <c r="J4" i="13"/>
  <c r="AI4" i="13" s="1"/>
  <c r="AA116" i="13"/>
  <c r="AB116" i="13" s="1"/>
  <c r="AA113" i="13"/>
  <c r="AB113" i="13" s="1"/>
  <c r="R304" i="6"/>
  <c r="R329" i="6" s="1"/>
  <c r="W482" i="6"/>
  <c r="V552" i="13"/>
  <c r="Z552" i="13" s="1"/>
  <c r="W447" i="6"/>
  <c r="V537" i="13"/>
  <c r="Z537" i="13" s="1"/>
  <c r="R339" i="6"/>
  <c r="R340" i="6" s="1"/>
  <c r="R346" i="6" s="1"/>
  <c r="U388" i="6" a="1"/>
  <c r="U388" i="6" s="1"/>
  <c r="U276" i="6" a="1"/>
  <c r="U276" i="6" s="1"/>
  <c r="AQ577" i="13"/>
  <c r="AQ566" i="13"/>
  <c r="AQ561" i="13"/>
  <c r="R65" i="6"/>
  <c r="AL247" i="13" s="1" a="1"/>
  <c r="AL247" i="13" s="1"/>
  <c r="AL549" i="13" a="1"/>
  <c r="AL549" i="13" s="1"/>
  <c r="AL534" i="13" a="1"/>
  <c r="AL534" i="13" s="1"/>
  <c r="AA695" i="13"/>
  <c r="AB695" i="13" s="1"/>
  <c r="AA539" i="13"/>
  <c r="AL504" i="13" a="1"/>
  <c r="AL504" i="13" s="1"/>
  <c r="AL507" i="13" a="1"/>
  <c r="AL507" i="13" s="1"/>
  <c r="AQ436" i="13"/>
  <c r="J436" i="13"/>
  <c r="AI436" i="13" s="1"/>
  <c r="AL525" i="13" a="1"/>
  <c r="AL525" i="13" s="1"/>
  <c r="J438" i="13"/>
  <c r="AQ438" i="13"/>
  <c r="AQ418" i="13"/>
  <c r="J418" i="13"/>
  <c r="AQ409" i="13"/>
  <c r="J409" i="13"/>
  <c r="AI409" i="13" s="1"/>
  <c r="AL446" i="13" a="1"/>
  <c r="AL446" i="13" s="1"/>
  <c r="AQ395" i="13"/>
  <c r="J395" i="13"/>
  <c r="J365" i="13"/>
  <c r="AQ365" i="13"/>
  <c r="AQ422" i="13"/>
  <c r="J422" i="13"/>
  <c r="AQ411" i="13"/>
  <c r="J411" i="13"/>
  <c r="AQ394" i="13"/>
  <c r="J394" i="13"/>
  <c r="AI394" i="13" s="1"/>
  <c r="AQ433" i="13"/>
  <c r="J433" i="13"/>
  <c r="AQ382" i="13"/>
  <c r="J382" i="13"/>
  <c r="AQ378" i="13"/>
  <c r="J378" i="13"/>
  <c r="AQ341" i="13"/>
  <c r="J341" i="13"/>
  <c r="AQ336" i="13"/>
  <c r="J336" i="13"/>
  <c r="AQ420" i="13"/>
  <c r="J420" i="13"/>
  <c r="AQ388" i="13"/>
  <c r="J388" i="13"/>
  <c r="AQ379" i="13"/>
  <c r="J379" i="13"/>
  <c r="AI379" i="13" s="1"/>
  <c r="J373" i="13"/>
  <c r="AQ373" i="13"/>
  <c r="J371" i="13"/>
  <c r="AI371" i="13" s="1"/>
  <c r="AQ371" i="13"/>
  <c r="J363" i="13"/>
  <c r="AI363" i="13" s="1"/>
  <c r="AQ363" i="13"/>
  <c r="J355" i="13"/>
  <c r="AI355" i="13" s="1"/>
  <c r="AQ355" i="13"/>
  <c r="AQ347" i="13"/>
  <c r="J323" i="13"/>
  <c r="AI323" i="13" s="1"/>
  <c r="AQ323" i="13"/>
  <c r="AQ293" i="13"/>
  <c r="J293" i="13"/>
  <c r="AI293" i="13" s="1"/>
  <c r="AQ286" i="13"/>
  <c r="J286" i="13"/>
  <c r="AI286" i="13" s="1"/>
  <c r="AQ312" i="13"/>
  <c r="J312" i="13"/>
  <c r="AI312" i="13" s="1"/>
  <c r="AQ310" i="13"/>
  <c r="J310" i="13"/>
  <c r="AQ283" i="13"/>
  <c r="J283" i="13"/>
  <c r="AQ274" i="13"/>
  <c r="J274" i="13"/>
  <c r="AQ314" i="13"/>
  <c r="AQ304" i="13"/>
  <c r="J304" i="13"/>
  <c r="AI304" i="13" s="1"/>
  <c r="AQ300" i="13"/>
  <c r="J300" i="13"/>
  <c r="AA296" i="13"/>
  <c r="AB296" i="13" s="1"/>
  <c r="AQ255" i="13"/>
  <c r="J255" i="13"/>
  <c r="AQ199" i="13"/>
  <c r="J199" i="13"/>
  <c r="AL252" i="13" a="1"/>
  <c r="AL252" i="13" s="1"/>
  <c r="AQ211" i="13"/>
  <c r="J211" i="13"/>
  <c r="AQ206" i="13"/>
  <c r="J206" i="13"/>
  <c r="AQ193" i="13"/>
  <c r="J193" i="13"/>
  <c r="AQ185" i="13"/>
  <c r="J185" i="13"/>
  <c r="AQ174" i="13"/>
  <c r="J174" i="13"/>
  <c r="AQ148" i="13"/>
  <c r="J148" i="13"/>
  <c r="AI148" i="13" s="1"/>
  <c r="AQ142" i="13"/>
  <c r="J142" i="13"/>
  <c r="J239" i="13"/>
  <c r="AI239" i="13" s="1"/>
  <c r="AQ239" i="13"/>
  <c r="AA233" i="13"/>
  <c r="AB233" i="13" s="1"/>
  <c r="J226" i="13"/>
  <c r="AI226" i="13" s="1"/>
  <c r="AQ226" i="13"/>
  <c r="J220" i="13"/>
  <c r="AQ220" i="13"/>
  <c r="AA208" i="13"/>
  <c r="AB208" i="13" s="1"/>
  <c r="AA190" i="13"/>
  <c r="AB190" i="13" s="1"/>
  <c r="J182" i="13"/>
  <c r="AQ182" i="13"/>
  <c r="J165" i="13"/>
  <c r="AI165" i="13" s="1"/>
  <c r="AQ165" i="13"/>
  <c r="J134" i="13"/>
  <c r="AI134" i="13" s="1"/>
  <c r="AQ134" i="13"/>
  <c r="AL246" i="13" a="1"/>
  <c r="AL246" i="13" s="1"/>
  <c r="AQ74" i="13"/>
  <c r="AQ68" i="13"/>
  <c r="J68" i="13"/>
  <c r="AI68" i="13" s="1"/>
  <c r="AQ64" i="13"/>
  <c r="J64" i="13"/>
  <c r="AQ50" i="13"/>
  <c r="J50" i="13"/>
  <c r="AQ44" i="13"/>
  <c r="J44" i="13"/>
  <c r="AI44" i="13" s="1"/>
  <c r="AQ114" i="13"/>
  <c r="J114" i="13"/>
  <c r="AQ104" i="13"/>
  <c r="J104" i="13"/>
  <c r="AL65" i="13" a="1"/>
  <c r="AL65" i="13" s="1"/>
  <c r="AQ56" i="13"/>
  <c r="J56" i="13"/>
  <c r="AQ25" i="13"/>
  <c r="J25" i="13"/>
  <c r="AQ11" i="13"/>
  <c r="J11" i="13"/>
  <c r="AI11" i="13" s="1"/>
  <c r="AQ9" i="13"/>
  <c r="J9" i="13"/>
  <c r="AL170" i="13" a="1"/>
  <c r="AL170" i="13" s="1"/>
  <c r="J118" i="13"/>
  <c r="AI118" i="13" s="1"/>
  <c r="AQ118" i="13"/>
  <c r="AQ99" i="13"/>
  <c r="J99" i="13"/>
  <c r="AQ89" i="13"/>
  <c r="J89" i="13"/>
  <c r="AI89" i="13" s="1"/>
  <c r="AA77" i="13"/>
  <c r="AB77" i="13" s="1"/>
  <c r="AQ28" i="13"/>
  <c r="J28" i="13"/>
  <c r="AQ17" i="13"/>
  <c r="J17" i="13"/>
  <c r="AQ12" i="13"/>
  <c r="J12" i="13"/>
  <c r="AL455" i="13" a="1"/>
  <c r="AL455" i="13" s="1"/>
  <c r="AL506" i="13" a="1"/>
  <c r="AL506" i="13" s="1"/>
  <c r="AL473" i="13" a="1"/>
  <c r="AL473" i="13" s="1"/>
  <c r="AL492" i="13" a="1"/>
  <c r="AL492" i="13" s="1"/>
  <c r="AL481" i="13" a="1"/>
  <c r="AL481" i="13" s="1"/>
  <c r="AL451" i="13" a="1"/>
  <c r="AL451" i="13" s="1"/>
  <c r="AL327" i="13" a="1"/>
  <c r="AL327" i="13" s="1"/>
  <c r="AL287" i="13" a="1"/>
  <c r="AL287" i="13" s="1"/>
  <c r="AL279" i="13" a="1"/>
  <c r="AL279" i="13" s="1"/>
  <c r="AL270" i="13" a="1"/>
  <c r="AL270" i="13" s="1"/>
  <c r="AL269" i="13" a="1"/>
  <c r="AL269" i="13" s="1"/>
  <c r="AL161" i="13" a="1"/>
  <c r="AL161" i="13" s="1"/>
  <c r="AL137" i="13" a="1"/>
  <c r="AL137" i="13" s="1"/>
  <c r="AL27" i="13" a="1"/>
  <c r="AL27" i="13" s="1"/>
  <c r="W406" i="6"/>
  <c r="W354" i="6"/>
  <c r="V528" i="13"/>
  <c r="Z528" i="13" s="1"/>
  <c r="U323" i="6" a="1"/>
  <c r="U323" i="6" s="1"/>
  <c r="U201" i="6" a="1"/>
  <c r="U201" i="6" s="1"/>
  <c r="J435" i="13"/>
  <c r="AI435" i="13" s="1"/>
  <c r="AQ435" i="13"/>
  <c r="AL509" i="13" a="1"/>
  <c r="AL509" i="13" s="1"/>
  <c r="AQ425" i="13"/>
  <c r="AQ408" i="13"/>
  <c r="J408" i="13"/>
  <c r="AQ401" i="13"/>
  <c r="J401" i="13"/>
  <c r="AL479" i="13" a="1"/>
  <c r="AL479" i="13" s="1"/>
  <c r="AQ458" i="13"/>
  <c r="J458" i="13"/>
  <c r="AQ475" i="13"/>
  <c r="J475" i="13"/>
  <c r="AQ419" i="13"/>
  <c r="J419" i="13"/>
  <c r="AQ415" i="13"/>
  <c r="J415" i="13"/>
  <c r="AI415" i="13" s="1"/>
  <c r="AQ412" i="13"/>
  <c r="J412" i="13"/>
  <c r="AI412" i="13" s="1"/>
  <c r="AQ380" i="13"/>
  <c r="J380" i="13"/>
  <c r="AI380" i="13" s="1"/>
  <c r="AQ374" i="13"/>
  <c r="J374" i="13"/>
  <c r="J432" i="13"/>
  <c r="AI432" i="13" s="1"/>
  <c r="AQ432" i="13"/>
  <c r="AQ389" i="13"/>
  <c r="J389" i="13"/>
  <c r="AA378" i="13"/>
  <c r="AB378" i="13" s="1"/>
  <c r="AL359" i="13" a="1"/>
  <c r="AL359" i="13" s="1"/>
  <c r="J342" i="13"/>
  <c r="AQ342" i="13"/>
  <c r="AQ317" i="13"/>
  <c r="J317" i="13"/>
  <c r="AQ309" i="13"/>
  <c r="J309" i="13"/>
  <c r="AQ295" i="13"/>
  <c r="J295" i="13"/>
  <c r="AQ259" i="13"/>
  <c r="J259" i="13"/>
  <c r="AL412" i="13" a="1"/>
  <c r="AL412" i="13" s="1"/>
  <c r="AL320" i="13" a="1"/>
  <c r="AL320" i="13" s="1"/>
  <c r="AA313" i="13"/>
  <c r="AB313" i="13" s="1"/>
  <c r="AA303" i="13"/>
  <c r="AB303" i="13" s="1"/>
  <c r="AL267" i="13" a="1"/>
  <c r="AL267" i="13" s="1"/>
  <c r="AQ273" i="13"/>
  <c r="J273" i="13"/>
  <c r="AI273" i="13" s="1"/>
  <c r="J252" i="13"/>
  <c r="AQ252" i="13"/>
  <c r="AQ237" i="13"/>
  <c r="J237" i="13"/>
  <c r="AQ232" i="13"/>
  <c r="J232" i="13"/>
  <c r="AQ219" i="13"/>
  <c r="J219" i="13"/>
  <c r="AQ217" i="13"/>
  <c r="J217" i="13"/>
  <c r="AQ156" i="13"/>
  <c r="J156" i="13"/>
  <c r="AQ147" i="13"/>
  <c r="J147" i="13"/>
  <c r="AQ128" i="13"/>
  <c r="J128" i="13"/>
  <c r="J240" i="13"/>
  <c r="AQ240" i="13"/>
  <c r="AA234" i="13"/>
  <c r="AB234" i="13" s="1"/>
  <c r="J224" i="13"/>
  <c r="AQ224" i="13"/>
  <c r="J221" i="13"/>
  <c r="AQ221" i="13"/>
  <c r="AA196" i="13"/>
  <c r="AB196" i="13" s="1"/>
  <c r="AA186" i="13"/>
  <c r="AB186" i="13" s="1"/>
  <c r="AA179" i="13"/>
  <c r="AB179" i="13" s="1"/>
  <c r="J175" i="13"/>
  <c r="AQ175" i="13"/>
  <c r="J170" i="13"/>
  <c r="AI170" i="13" s="1"/>
  <c r="AQ170" i="13"/>
  <c r="J151" i="13"/>
  <c r="AI151" i="13" s="1"/>
  <c r="AQ151" i="13"/>
  <c r="J143" i="13"/>
  <c r="AQ143" i="13"/>
  <c r="J67" i="13"/>
  <c r="AQ67" i="13"/>
  <c r="J63" i="13"/>
  <c r="AI63" i="13" s="1"/>
  <c r="AQ63" i="13"/>
  <c r="AQ36" i="13"/>
  <c r="J36" i="13"/>
  <c r="AI36" i="13" s="1"/>
  <c r="AQ106" i="13"/>
  <c r="J106" i="13"/>
  <c r="AQ98" i="13"/>
  <c r="J98" i="13"/>
  <c r="AQ75" i="13"/>
  <c r="J75" i="13"/>
  <c r="AI75" i="13" s="1"/>
  <c r="AQ52" i="13"/>
  <c r="J52" i="13"/>
  <c r="AI52" i="13" s="1"/>
  <c r="AQ15" i="13"/>
  <c r="J15" i="13"/>
  <c r="AI15" i="13" s="1"/>
  <c r="AQ100" i="13"/>
  <c r="J100" i="13"/>
  <c r="AA78" i="13"/>
  <c r="AB78" i="13" s="1"/>
  <c r="AQ48" i="13"/>
  <c r="J48" i="13"/>
  <c r="AI48" i="13" s="1"/>
  <c r="AQ29" i="13"/>
  <c r="J29" i="13"/>
  <c r="AQ26" i="13"/>
  <c r="J26" i="13"/>
  <c r="AI26" i="13" s="1"/>
  <c r="AQ18" i="13"/>
  <c r="AA16" i="13"/>
  <c r="AB16" i="13" s="1"/>
  <c r="J13" i="13"/>
  <c r="AI13" i="13" s="1"/>
  <c r="AQ13" i="13"/>
  <c r="AA4" i="13"/>
  <c r="AB4" i="13" s="1"/>
  <c r="AL22" i="13" a="1"/>
  <c r="AL22" i="13" s="1"/>
  <c r="R497" i="6"/>
  <c r="R709" i="6" s="1"/>
  <c r="R971" i="6" s="1"/>
  <c r="R1447" i="6" s="1"/>
  <c r="W449" i="6"/>
  <c r="V542" i="13"/>
  <c r="Z542" i="13" s="1"/>
  <c r="U376" i="6" a="1"/>
  <c r="U376" i="6" s="1"/>
  <c r="W346" i="6"/>
  <c r="W340" i="6"/>
  <c r="W339" i="6"/>
  <c r="V526" i="13"/>
  <c r="Z526" i="13" s="1"/>
  <c r="R347" i="6"/>
  <c r="R457" i="6" s="1"/>
  <c r="U486" i="6" s="1" a="1"/>
  <c r="U486" i="6" s="1"/>
  <c r="U170" i="6" a="1"/>
  <c r="U170" i="6" s="1"/>
  <c r="U106" i="6" a="1"/>
  <c r="U106" i="6" s="1"/>
  <c r="AQ564" i="13"/>
  <c r="U73" i="6" a="1"/>
  <c r="U73" i="6" s="1"/>
  <c r="U75" i="6" a="1"/>
  <c r="U75" i="6" s="1"/>
  <c r="J567" i="13"/>
  <c r="AQ567" i="13"/>
  <c r="AQ695" i="13"/>
  <c r="J695" i="13"/>
  <c r="AI695" i="13" s="1"/>
  <c r="AA546" i="13"/>
  <c r="AQ510" i="13"/>
  <c r="J510" i="13"/>
  <c r="AQ437" i="13"/>
  <c r="J437" i="13"/>
  <c r="AL513" i="13" a="1"/>
  <c r="AL513" i="13" s="1"/>
  <c r="J509" i="13"/>
  <c r="AQ509" i="13"/>
  <c r="AQ414" i="13"/>
  <c r="J414" i="13"/>
  <c r="J407" i="13"/>
  <c r="AQ407" i="13"/>
  <c r="AQ400" i="13"/>
  <c r="J400" i="13"/>
  <c r="J471" i="13"/>
  <c r="AQ471" i="13"/>
  <c r="AL500" i="13" a="1"/>
  <c r="AL500" i="13" s="1"/>
  <c r="AQ396" i="13"/>
  <c r="J396" i="13"/>
  <c r="AQ390" i="13"/>
  <c r="J390" i="13"/>
  <c r="AQ357" i="13"/>
  <c r="J357" i="13"/>
  <c r="AQ349" i="13"/>
  <c r="J349" i="13"/>
  <c r="AQ326" i="13"/>
  <c r="J326" i="13"/>
  <c r="J387" i="13"/>
  <c r="AI387" i="13" s="1"/>
  <c r="AQ387" i="13"/>
  <c r="AQ421" i="13"/>
  <c r="J421" i="13"/>
  <c r="AI421" i="13" s="1"/>
  <c r="AQ370" i="13"/>
  <c r="J370" i="13"/>
  <c r="AQ362" i="13"/>
  <c r="J362" i="13"/>
  <c r="AQ337" i="13"/>
  <c r="J337" i="13"/>
  <c r="AI337" i="13" s="1"/>
  <c r="AQ335" i="13"/>
  <c r="J335" i="13"/>
  <c r="AI335" i="13" s="1"/>
  <c r="J372" i="13"/>
  <c r="AQ372" i="13"/>
  <c r="J364" i="13"/>
  <c r="AQ364" i="13"/>
  <c r="AQ354" i="13"/>
  <c r="J346" i="13"/>
  <c r="AQ346" i="13"/>
  <c r="J338" i="13"/>
  <c r="AQ338" i="13"/>
  <c r="AQ289" i="13"/>
  <c r="AQ282" i="13"/>
  <c r="J282" i="13"/>
  <c r="AI282" i="13" s="1"/>
  <c r="AQ321" i="13"/>
  <c r="J321" i="13"/>
  <c r="AI321" i="13" s="1"/>
  <c r="AQ318" i="13"/>
  <c r="J318" i="13"/>
  <c r="AQ311" i="13"/>
  <c r="J311" i="13"/>
  <c r="AQ291" i="13"/>
  <c r="J291" i="13"/>
  <c r="AI291" i="13" s="1"/>
  <c r="AA314" i="13"/>
  <c r="AB314" i="13" s="1"/>
  <c r="AA304" i="13"/>
  <c r="AB304" i="13" s="1"/>
  <c r="AA300" i="13"/>
  <c r="AB300" i="13" s="1"/>
  <c r="AQ296" i="13"/>
  <c r="J296" i="13"/>
  <c r="J325" i="13"/>
  <c r="AI325" i="13" s="1"/>
  <c r="AQ325" i="13"/>
  <c r="J251" i="13"/>
  <c r="AQ251" i="13"/>
  <c r="AQ266" i="13"/>
  <c r="J266" i="13"/>
  <c r="AQ241" i="13"/>
  <c r="J241" i="13"/>
  <c r="AQ277" i="13"/>
  <c r="J277" i="13"/>
  <c r="AA249" i="13"/>
  <c r="AB249" i="13" s="1"/>
  <c r="AQ207" i="13"/>
  <c r="J207" i="13"/>
  <c r="AQ205" i="13"/>
  <c r="AQ189" i="13"/>
  <c r="J189" i="13"/>
  <c r="AQ181" i="13"/>
  <c r="AQ164" i="13"/>
  <c r="J164" i="13"/>
  <c r="AQ141" i="13"/>
  <c r="J141" i="13"/>
  <c r="AI141" i="13" s="1"/>
  <c r="AA239" i="13"/>
  <c r="AB239" i="13" s="1"/>
  <c r="J233" i="13"/>
  <c r="AQ233" i="13"/>
  <c r="J208" i="13"/>
  <c r="AQ208" i="13"/>
  <c r="J195" i="13"/>
  <c r="AQ195" i="13"/>
  <c r="J190" i="13"/>
  <c r="AQ190" i="13"/>
  <c r="AA182" i="13"/>
  <c r="AB182" i="13" s="1"/>
  <c r="J157" i="13"/>
  <c r="AQ157" i="13"/>
  <c r="J149" i="13"/>
  <c r="AI149" i="13" s="1"/>
  <c r="AQ149" i="13"/>
  <c r="J135" i="13"/>
  <c r="AI135" i="13" s="1"/>
  <c r="AQ135" i="13"/>
  <c r="J129" i="13"/>
  <c r="AQ129" i="13"/>
  <c r="J117" i="13"/>
  <c r="AQ117" i="13"/>
  <c r="AQ81" i="13"/>
  <c r="J81" i="13"/>
  <c r="AQ40" i="13"/>
  <c r="J40" i="13"/>
  <c r="AQ103" i="13"/>
  <c r="J103" i="13"/>
  <c r="AQ69" i="13"/>
  <c r="J69" i="13"/>
  <c r="AI69" i="13" s="1"/>
  <c r="AQ37" i="13"/>
  <c r="J37" i="13"/>
  <c r="AQ24" i="13"/>
  <c r="J24" i="13"/>
  <c r="AQ10" i="13"/>
  <c r="J10" i="13"/>
  <c r="AQ8" i="13"/>
  <c r="J8" i="13"/>
  <c r="AI8" i="13" s="1"/>
  <c r="AA99" i="13"/>
  <c r="AB99" i="13" s="1"/>
  <c r="AQ92" i="13"/>
  <c r="J92" i="13"/>
  <c r="AA89" i="13"/>
  <c r="AB89" i="13" s="1"/>
  <c r="AQ77" i="13"/>
  <c r="J77" i="13"/>
  <c r="AL46" i="13" a="1"/>
  <c r="AL46" i="13" s="1"/>
  <c r="AA28" i="13"/>
  <c r="AB28" i="13" s="1"/>
  <c r="AA17" i="13"/>
  <c r="AB17" i="13" s="1"/>
  <c r="AQ113" i="13"/>
  <c r="AL105" i="13" a="1"/>
  <c r="AL105" i="13" s="1"/>
  <c r="R500" i="6"/>
  <c r="R761" i="6" s="1"/>
  <c r="T105" i="6"/>
  <c r="K246" i="13" s="1"/>
  <c r="AU246" i="13" s="1"/>
  <c r="R244" i="6"/>
  <c r="T249" i="6" s="1"/>
  <c r="R473" i="6"/>
  <c r="R485" i="6" s="1"/>
  <c r="R564" i="6" s="1"/>
  <c r="R643" i="6" s="1"/>
  <c r="R364" i="6"/>
  <c r="R375" i="6" s="1"/>
  <c r="R423" i="6" s="1"/>
  <c r="T323" i="6"/>
  <c r="R544" i="6"/>
  <c r="U704" i="6" s="1" a="1"/>
  <c r="U704" i="6" s="1"/>
  <c r="R452" i="6"/>
  <c r="T201" i="6"/>
  <c r="T75" i="6"/>
  <c r="R159" i="6"/>
  <c r="AL474" i="13" s="1" a="1"/>
  <c r="AL474" i="13" s="1"/>
  <c r="R248" i="6"/>
  <c r="R416" i="6"/>
  <c r="R417" i="6" s="1"/>
  <c r="R439" i="6" s="1"/>
  <c r="R888" i="6" s="1"/>
  <c r="R508" i="6"/>
  <c r="T568" i="6" s="1"/>
  <c r="R308" i="6"/>
  <c r="R324" i="6" s="1"/>
  <c r="R431" i="6" s="1"/>
  <c r="U526" i="6" s="1" a="1"/>
  <c r="U526" i="6" s="1"/>
  <c r="R111" i="6"/>
  <c r="R126" i="6" s="1"/>
  <c r="R137" i="6" s="1"/>
  <c r="R175" i="6" s="1"/>
  <c r="R176" i="6" s="1"/>
  <c r="U200" i="6" s="1" a="1"/>
  <c r="T170" i="6"/>
  <c r="R110" i="6"/>
  <c r="R122" i="6" s="1"/>
  <c r="T179" i="6" s="1"/>
  <c r="O93" i="15" s="1"/>
  <c r="R251" i="6"/>
  <c r="T463" i="6" s="1"/>
  <c r="T276" i="6"/>
  <c r="R61" i="6"/>
  <c r="R83" i="6" s="1"/>
  <c r="R157" i="6" s="1"/>
  <c r="R158" i="6" s="1"/>
  <c r="R229" i="6" s="1"/>
  <c r="R272" i="6" s="1"/>
  <c r="T1502" i="6" s="1"/>
  <c r="R108" i="6"/>
  <c r="U243" i="6" s="1" a="1"/>
  <c r="R196" i="6"/>
  <c r="R279" i="6" s="1"/>
  <c r="R474" i="6"/>
  <c r="R567" i="6" s="1"/>
  <c r="R599" i="6" s="1"/>
  <c r="T923" i="6" s="1"/>
  <c r="AL713" i="13" l="1" a="1"/>
  <c r="AL713" i="13" s="1"/>
  <c r="J713" i="13" s="1"/>
  <c r="AI713" i="13" s="1"/>
  <c r="AV713" i="13" s="1"/>
  <c r="R1506" i="6"/>
  <c r="R1502" i="6"/>
  <c r="T1501" i="6"/>
  <c r="K566" i="13" s="1"/>
  <c r="AU566" i="13" s="1"/>
  <c r="R1501" i="6"/>
  <c r="AL566" i="13" s="1"/>
  <c r="J566" i="13" s="1"/>
  <c r="AI566" i="13" s="1"/>
  <c r="U1500" i="6" a="1"/>
  <c r="U1500" i="6" s="1"/>
  <c r="AL665" i="13" a="1"/>
  <c r="AL665" i="13" s="1"/>
  <c r="J665" i="13" s="1"/>
  <c r="AI665" i="13" s="1"/>
  <c r="AV665" i="13" s="1"/>
  <c r="T1500" i="6"/>
  <c r="K623" i="13"/>
  <c r="AU623" i="13" s="1"/>
  <c r="U1496" i="6" a="1"/>
  <c r="U1496" i="6" s="1"/>
  <c r="I623" i="13" s="1"/>
  <c r="R1496" i="6"/>
  <c r="R1503" i="6" s="1"/>
  <c r="R1492" i="6"/>
  <c r="AL536" i="13" s="1" a="1"/>
  <c r="AL536" i="13" s="1"/>
  <c r="J536" i="13" s="1"/>
  <c r="R1490" i="6"/>
  <c r="AL726" i="13" s="1" a="1"/>
  <c r="AL726" i="13" s="1"/>
  <c r="AN724" i="13"/>
  <c r="J724" i="13"/>
  <c r="AI724" i="13" s="1"/>
  <c r="AV724" i="13" s="1"/>
  <c r="J720" i="13"/>
  <c r="AI720" i="13" s="1"/>
  <c r="AV720" i="13" s="1"/>
  <c r="AN720" i="13"/>
  <c r="AB427" i="13"/>
  <c r="AK461" i="13"/>
  <c r="AJ488" i="13"/>
  <c r="AK224" i="13"/>
  <c r="J659" i="13"/>
  <c r="AI659" i="13" s="1"/>
  <c r="AV659" i="13" s="1"/>
  <c r="AN659" i="13"/>
  <c r="AN713" i="13"/>
  <c r="J700" i="13"/>
  <c r="AI700" i="13" s="1"/>
  <c r="AV700" i="13" s="1"/>
  <c r="AN700" i="13"/>
  <c r="U1447" i="6" a="1"/>
  <c r="U1447" i="6" s="1"/>
  <c r="T1447" i="6"/>
  <c r="T1444" i="6"/>
  <c r="K181" i="13" s="1"/>
  <c r="AU181" i="13" s="1"/>
  <c r="U1444" i="6" a="1"/>
  <c r="U1444" i="6" s="1"/>
  <c r="I181" i="13" s="1"/>
  <c r="R1445" i="6"/>
  <c r="U1437" i="6" a="1"/>
  <c r="U1437" i="6" s="1"/>
  <c r="R1437" i="6"/>
  <c r="J687" i="13"/>
  <c r="AI687" i="13" s="1"/>
  <c r="AN687" i="13"/>
  <c r="J701" i="13"/>
  <c r="AI701" i="13" s="1"/>
  <c r="AV701" i="13" s="1"/>
  <c r="AN701" i="13"/>
  <c r="AB690" i="13"/>
  <c r="AJ690" i="13"/>
  <c r="AP690" i="13"/>
  <c r="AK690" i="13"/>
  <c r="AS690" i="13"/>
  <c r="AT690" i="13" s="1"/>
  <c r="AL690" i="13" a="1"/>
  <c r="AL690" i="13" s="1"/>
  <c r="T1424" i="6"/>
  <c r="K628" i="13" s="1"/>
  <c r="AU628" i="13" s="1"/>
  <c r="U1424" i="6" a="1"/>
  <c r="U1424" i="6" s="1"/>
  <c r="I628" i="13" s="1"/>
  <c r="R1424" i="6"/>
  <c r="AL628" i="13" s="1" a="1"/>
  <c r="AL628" i="13" s="1"/>
  <c r="R1421" i="6"/>
  <c r="AL158" i="13" s="1" a="1"/>
  <c r="AL158" i="13" s="1"/>
  <c r="J158" i="13" s="1"/>
  <c r="T1419" i="6"/>
  <c r="R1419" i="6"/>
  <c r="R1401" i="6"/>
  <c r="AL584" i="13" s="1" a="1"/>
  <c r="AL584" i="13" s="1"/>
  <c r="U1401" i="6" a="1"/>
  <c r="U1401" i="6" s="1"/>
  <c r="I584" i="13" s="1"/>
  <c r="T1403" i="6"/>
  <c r="U1402" i="6" a="1"/>
  <c r="U1402" i="6" s="1"/>
  <c r="I392" i="13" s="1"/>
  <c r="T1404" i="6"/>
  <c r="K641" i="13" s="1"/>
  <c r="AU641" i="13" s="1"/>
  <c r="K392" i="13"/>
  <c r="I641" i="13"/>
  <c r="AL392" i="13" a="1"/>
  <c r="AL392" i="13" s="1"/>
  <c r="AL641" i="13" a="1"/>
  <c r="AL641" i="13" s="1"/>
  <c r="K584" i="13"/>
  <c r="AU584" i="13" s="1"/>
  <c r="AK678" i="13"/>
  <c r="AP678" i="13"/>
  <c r="AS678" i="13"/>
  <c r="AT678" i="13" s="1"/>
  <c r="AJ678" i="13"/>
  <c r="AB678" i="13"/>
  <c r="U1393" i="6" a="1"/>
  <c r="U1393" i="6" s="1"/>
  <c r="I665" i="13" s="1"/>
  <c r="T1393" i="6"/>
  <c r="AS677" i="13"/>
  <c r="AT677" i="13" s="1"/>
  <c r="AK677" i="13"/>
  <c r="AB677" i="13"/>
  <c r="AJ677" i="13"/>
  <c r="AP677" i="13"/>
  <c r="U161" i="6" a="1"/>
  <c r="U161" i="6" s="1"/>
  <c r="I678" i="13" s="1"/>
  <c r="T1391" i="6"/>
  <c r="R1385" i="6"/>
  <c r="AL674" i="13" s="1" a="1"/>
  <c r="AL674" i="13" s="1"/>
  <c r="R1384" i="6"/>
  <c r="AL676" i="13" s="1" a="1"/>
  <c r="AL676" i="13" s="1"/>
  <c r="J676" i="13" s="1"/>
  <c r="AI676" i="13" s="1"/>
  <c r="AV676" i="13" s="1"/>
  <c r="U1376" i="6" a="1"/>
  <c r="U1376" i="6" s="1"/>
  <c r="R1376" i="6"/>
  <c r="T1373" i="6"/>
  <c r="K517" i="13" s="1"/>
  <c r="AU517" i="13" s="1"/>
  <c r="U1373" i="6" a="1"/>
  <c r="U1373" i="6" s="1"/>
  <c r="I517" i="13" s="1"/>
  <c r="T1368" i="6"/>
  <c r="K120" i="13" s="1"/>
  <c r="AU120" i="13" s="1"/>
  <c r="U1368" i="6" a="1"/>
  <c r="U1368" i="6" s="1"/>
  <c r="I120" i="13" s="1"/>
  <c r="AB19" i="13"/>
  <c r="U965" i="6" a="1"/>
  <c r="U965" i="6" s="1"/>
  <c r="I51" i="13" s="1"/>
  <c r="R965" i="6"/>
  <c r="AL51" i="13" s="1" a="1"/>
  <c r="AL51" i="13" s="1"/>
  <c r="J51" i="13" s="1"/>
  <c r="AI51" i="13" s="1"/>
  <c r="U1360" i="6" a="1"/>
  <c r="U1360" i="6" s="1"/>
  <c r="U1356" i="6" a="1"/>
  <c r="U1356" i="6" s="1"/>
  <c r="I403" i="13" s="1"/>
  <c r="T1356" i="6"/>
  <c r="K403" i="13" s="1"/>
  <c r="AU403" i="13" s="1"/>
  <c r="U1352" i="6" a="1"/>
  <c r="U1352" i="6" s="1"/>
  <c r="I505" i="13" s="1"/>
  <c r="R1352" i="6"/>
  <c r="T1346" i="6"/>
  <c r="U1346" i="6" a="1"/>
  <c r="U1346" i="6" s="1"/>
  <c r="R1344" i="6"/>
  <c r="U1344" i="6" a="1"/>
  <c r="U1344" i="6" s="1"/>
  <c r="J669" i="13"/>
  <c r="AI669" i="13" s="1"/>
  <c r="AV669" i="13" s="1"/>
  <c r="AN669" i="13"/>
  <c r="U1331" i="6" a="1"/>
  <c r="U1331" i="6" s="1"/>
  <c r="I613" i="13" s="1"/>
  <c r="U1337" i="6" a="1"/>
  <c r="U1337" i="6" s="1"/>
  <c r="R1331" i="6"/>
  <c r="AL613" i="13" s="1" a="1"/>
  <c r="AL613" i="13" s="1"/>
  <c r="T1337" i="6"/>
  <c r="AL181" i="13" a="1"/>
  <c r="AL181" i="13" s="1"/>
  <c r="J181" i="13" s="1"/>
  <c r="AI181" i="13" s="1"/>
  <c r="T1327" i="6"/>
  <c r="K452" i="13" s="1"/>
  <c r="AU452" i="13" s="1"/>
  <c r="U1327" i="6" a="1"/>
  <c r="U1327" i="6" s="1"/>
  <c r="I452" i="13" s="1"/>
  <c r="T1319" i="6"/>
  <c r="U1319" i="6" a="1"/>
  <c r="U1319" i="6" s="1"/>
  <c r="R1319" i="6"/>
  <c r="U1310" i="6" a="1"/>
  <c r="U1310" i="6" s="1"/>
  <c r="U1309" i="6" a="1"/>
  <c r="U1309" i="6" s="1"/>
  <c r="U1320" i="6" a="1"/>
  <c r="U1320" i="6" s="1"/>
  <c r="I573" i="13" s="1"/>
  <c r="R1310" i="6"/>
  <c r="T1314" i="6"/>
  <c r="U1314" i="6" a="1"/>
  <c r="U1314" i="6" s="1"/>
  <c r="AL573" i="13"/>
  <c r="J666" i="13"/>
  <c r="AI666" i="13" s="1"/>
  <c r="AV666" i="13" s="1"/>
  <c r="AN666" i="13"/>
  <c r="AL468" i="13" a="1"/>
  <c r="AL468" i="13" s="1"/>
  <c r="J468" i="13" s="1"/>
  <c r="AI468" i="13" s="1"/>
  <c r="U1304" i="6" a="1"/>
  <c r="U1304" i="6" s="1"/>
  <c r="I571" i="13" s="1"/>
  <c r="T1304" i="6"/>
  <c r="K571" i="13" s="1"/>
  <c r="AU571" i="13" s="1"/>
  <c r="R1304" i="6"/>
  <c r="AL571" i="13" s="1"/>
  <c r="J571" i="13" s="1"/>
  <c r="R1284" i="6"/>
  <c r="AL650" i="13" s="1" a="1"/>
  <c r="AL650" i="13" s="1"/>
  <c r="R1294" i="6"/>
  <c r="T1293" i="6"/>
  <c r="T1294" i="6"/>
  <c r="U1293" i="6" a="1"/>
  <c r="U1293" i="6" s="1"/>
  <c r="U1278" i="6" a="1"/>
  <c r="U1278" i="6" s="1"/>
  <c r="T1278" i="6"/>
  <c r="U1277" i="6" a="1"/>
  <c r="U1277" i="6" s="1"/>
  <c r="R1277" i="6"/>
  <c r="U1333" i="6" s="1" a="1"/>
  <c r="U1333" i="6" s="1"/>
  <c r="J664" i="13"/>
  <c r="T1269" i="6"/>
  <c r="K94" i="13" s="1"/>
  <c r="AU94" i="13" s="1"/>
  <c r="U1269" i="6" a="1"/>
  <c r="U1269" i="6" s="1"/>
  <c r="I94" i="13" s="1"/>
  <c r="J662" i="13"/>
  <c r="R1254" i="6"/>
  <c r="R1255" i="6" s="1"/>
  <c r="R1256" i="6" s="1"/>
  <c r="AL649" i="13" s="1" a="1"/>
  <c r="AL649" i="13" s="1"/>
  <c r="U1252" i="6" a="1"/>
  <c r="U1252" i="6" s="1"/>
  <c r="T1252" i="6"/>
  <c r="R1252" i="6"/>
  <c r="AL608" i="13" a="1"/>
  <c r="AL608" i="13" s="1"/>
  <c r="J608" i="13" s="1"/>
  <c r="R1244" i="6"/>
  <c r="U1244" i="6" a="1"/>
  <c r="U1244" i="6" s="1"/>
  <c r="T1244" i="6"/>
  <c r="U1230" i="6" a="1"/>
  <c r="U1230" i="6" s="1"/>
  <c r="I542" i="13" s="1"/>
  <c r="T1230" i="6"/>
  <c r="K542" i="13" s="1"/>
  <c r="AU542" i="13" s="1"/>
  <c r="R1230" i="6"/>
  <c r="AL542" i="13" s="1" a="1"/>
  <c r="AL542" i="13" s="1"/>
  <c r="J542" i="13" s="1"/>
  <c r="AI542" i="13" s="1"/>
  <c r="T1209" i="6"/>
  <c r="K644" i="13" s="1"/>
  <c r="AU644" i="13" s="1"/>
  <c r="U1210" i="6" a="1"/>
  <c r="U1210" i="6" s="1"/>
  <c r="I551" i="13" s="1"/>
  <c r="U1209" i="6" a="1"/>
  <c r="U1209" i="6" s="1"/>
  <c r="I644" i="13" s="1"/>
  <c r="R1209" i="6"/>
  <c r="R1505" i="6" s="1"/>
  <c r="R1210" i="6"/>
  <c r="R1205" i="6"/>
  <c r="AL223" i="13" s="1" a="1"/>
  <c r="AL223" i="13" s="1"/>
  <c r="J223" i="13" s="1"/>
  <c r="AI223" i="13" s="1"/>
  <c r="T1207" i="6"/>
  <c r="R1179" i="6"/>
  <c r="R1190" i="6"/>
  <c r="U403" i="6" a="1"/>
  <c r="U403" i="6" s="1"/>
  <c r="M263" i="15" s="1"/>
  <c r="N263" i="15" s="1"/>
  <c r="R1192" i="6"/>
  <c r="T1192" i="6"/>
  <c r="J612" i="13"/>
  <c r="AI612" i="13" s="1"/>
  <c r="AV612" i="13" s="1"/>
  <c r="AN612" i="13"/>
  <c r="R1181" i="6"/>
  <c r="AL32" i="13" s="1" a="1"/>
  <c r="AL32" i="13" s="1"/>
  <c r="T1181" i="6"/>
  <c r="K32" i="13" s="1"/>
  <c r="AU32" i="13" s="1"/>
  <c r="AB41" i="13"/>
  <c r="T883" i="6"/>
  <c r="K18" i="13" s="1"/>
  <c r="AU18" i="13" s="1"/>
  <c r="T161" i="6"/>
  <c r="K678" i="13" s="1"/>
  <c r="AU678" i="13" s="1"/>
  <c r="T1156" i="6"/>
  <c r="K442" i="13" s="1"/>
  <c r="AU442" i="13" s="1"/>
  <c r="U1156" i="6" a="1"/>
  <c r="U1156" i="6" s="1"/>
  <c r="I442" i="13" s="1"/>
  <c r="R1156" i="6"/>
  <c r="AL442" i="13" s="1" a="1"/>
  <c r="AL442" i="13" s="1"/>
  <c r="J442" i="13" s="1"/>
  <c r="T997" i="6"/>
  <c r="K511" i="13" s="1"/>
  <c r="AU511" i="13" s="1"/>
  <c r="T1140" i="6"/>
  <c r="K553" i="13" s="1"/>
  <c r="AU553" i="13" s="1"/>
  <c r="R1140" i="6"/>
  <c r="AL553" i="13" s="1" a="1"/>
  <c r="AL553" i="13" s="1"/>
  <c r="J553" i="13" s="1"/>
  <c r="AI553" i="13" s="1"/>
  <c r="AV553" i="13" s="1"/>
  <c r="U956" i="6" a="1"/>
  <c r="U956" i="6" s="1"/>
  <c r="I125" i="13" s="1"/>
  <c r="AB558" i="13"/>
  <c r="R1110" i="6"/>
  <c r="AN648" i="13"/>
  <c r="R1120" i="6"/>
  <c r="U1120" i="6" a="1"/>
  <c r="U1120" i="6" s="1"/>
  <c r="T1120" i="6"/>
  <c r="I595" i="13"/>
  <c r="T1117" i="6"/>
  <c r="K595" i="13" s="1"/>
  <c r="AU595" i="13" s="1"/>
  <c r="R1117" i="6"/>
  <c r="AL595" i="13" s="1" a="1"/>
  <c r="AL595" i="13" s="1"/>
  <c r="J595" i="13" s="1"/>
  <c r="AI595" i="13" s="1"/>
  <c r="AV595" i="13" s="1"/>
  <c r="J646" i="13"/>
  <c r="AI646" i="13" s="1"/>
  <c r="AV646" i="13" s="1"/>
  <c r="AN646" i="13"/>
  <c r="AN647" i="13"/>
  <c r="J647" i="13"/>
  <c r="AI647" i="13" s="1"/>
  <c r="AV647" i="13" s="1"/>
  <c r="AB94" i="13"/>
  <c r="T872" i="6"/>
  <c r="K66" i="13" s="1"/>
  <c r="AU66" i="13" s="1"/>
  <c r="AB688" i="13"/>
  <c r="U1082" i="6" a="1"/>
  <c r="U1082" i="6" s="1"/>
  <c r="I599" i="13" s="1"/>
  <c r="J645" i="13"/>
  <c r="AI645" i="13" s="1"/>
  <c r="AV645" i="13" s="1"/>
  <c r="AN645" i="13"/>
  <c r="J642" i="13"/>
  <c r="AI642" i="13" s="1"/>
  <c r="AV642" i="13" s="1"/>
  <c r="AN642" i="13"/>
  <c r="AB547" i="13"/>
  <c r="K599" i="13"/>
  <c r="AL599" i="13" a="1"/>
  <c r="AL599" i="13" s="1"/>
  <c r="J599" i="13" s="1"/>
  <c r="J638" i="13"/>
  <c r="AI638" i="13" s="1"/>
  <c r="AV638" i="13" s="1"/>
  <c r="AN638" i="13"/>
  <c r="AB544" i="13"/>
  <c r="AB468" i="13"/>
  <c r="AB497" i="13"/>
  <c r="J627" i="13"/>
  <c r="AI627" i="13" s="1"/>
  <c r="AV627" i="13" s="1"/>
  <c r="AN627" i="13"/>
  <c r="J639" i="13"/>
  <c r="AI639" i="13" s="1"/>
  <c r="AV639" i="13" s="1"/>
  <c r="AN639" i="13"/>
  <c r="R1063" i="6"/>
  <c r="R1064" i="6" s="1"/>
  <c r="AL107" i="13" s="1" a="1"/>
  <c r="AL107" i="13" s="1"/>
  <c r="J107" i="13" s="1"/>
  <c r="AI107" i="13" s="1"/>
  <c r="AB526" i="13"/>
  <c r="AB88" i="13"/>
  <c r="J636" i="13"/>
  <c r="AI636" i="13" s="1"/>
  <c r="AV636" i="13" s="1"/>
  <c r="AN636" i="13"/>
  <c r="AB2" i="13"/>
  <c r="AL568" i="13"/>
  <c r="J568" i="13" s="1"/>
  <c r="AI568" i="13" s="1"/>
  <c r="J631" i="13"/>
  <c r="AI631" i="13" s="1"/>
  <c r="AV631" i="13" s="1"/>
  <c r="AN631" i="13"/>
  <c r="AB180" i="13"/>
  <c r="AB522" i="13"/>
  <c r="AB528" i="13"/>
  <c r="AB537" i="13"/>
  <c r="AB461" i="13"/>
  <c r="AB541" i="13"/>
  <c r="AB536" i="13"/>
  <c r="AB553" i="13"/>
  <c r="AB518" i="13"/>
  <c r="AB247" i="13"/>
  <c r="AB559" i="13"/>
  <c r="AB55" i="13"/>
  <c r="AB449" i="13"/>
  <c r="AB201" i="13"/>
  <c r="AB552" i="13"/>
  <c r="AB494" i="13"/>
  <c r="AB3" i="13"/>
  <c r="AB570" i="13"/>
  <c r="AB488" i="13"/>
  <c r="AB224" i="13"/>
  <c r="AB242" i="13"/>
  <c r="AJ276" i="13"/>
  <c r="AB276" i="13"/>
  <c r="AP185" i="13"/>
  <c r="AB185" i="13"/>
  <c r="AP387" i="13"/>
  <c r="AV387" i="13" s="1"/>
  <c r="AB387" i="13"/>
  <c r="AJ411" i="13"/>
  <c r="AB411" i="13"/>
  <c r="AJ391" i="13"/>
  <c r="AB391" i="13"/>
  <c r="AS142" i="13"/>
  <c r="AT142" i="13" s="1"/>
  <c r="AB142" i="13"/>
  <c r="AS223" i="13"/>
  <c r="AT223" i="13" s="1"/>
  <c r="AB223" i="13"/>
  <c r="AP139" i="13"/>
  <c r="AB139" i="13"/>
  <c r="AK369" i="13"/>
  <c r="AB369" i="13"/>
  <c r="AN262" i="13"/>
  <c r="AB262" i="13"/>
  <c r="AN61" i="13"/>
  <c r="AB61" i="13"/>
  <c r="AP69" i="13"/>
  <c r="AV69" i="13" s="1"/>
  <c r="AB69" i="13"/>
  <c r="AS578" i="13"/>
  <c r="AT578" i="13" s="1"/>
  <c r="AB578" i="13"/>
  <c r="AK372" i="13"/>
  <c r="AB372" i="13"/>
  <c r="AK209" i="13"/>
  <c r="AB209" i="13"/>
  <c r="AJ365" i="13"/>
  <c r="AB365" i="13"/>
  <c r="AK333" i="13"/>
  <c r="AB333" i="13"/>
  <c r="AS60" i="13"/>
  <c r="AT60" i="13" s="1"/>
  <c r="AB60" i="13"/>
  <c r="AJ374" i="13"/>
  <c r="AB374" i="13"/>
  <c r="AP241" i="13"/>
  <c r="AB241" i="13"/>
  <c r="AK83" i="13"/>
  <c r="AB83" i="13"/>
  <c r="AS75" i="13"/>
  <c r="AT75" i="13" s="1"/>
  <c r="AB75" i="13"/>
  <c r="AK36" i="13"/>
  <c r="AB36" i="13"/>
  <c r="AP27" i="13"/>
  <c r="AB27" i="13"/>
  <c r="AK361" i="13"/>
  <c r="AB361" i="13"/>
  <c r="AP545" i="13"/>
  <c r="AB545" i="13"/>
  <c r="AN110" i="13"/>
  <c r="AB110" i="13"/>
  <c r="AP282" i="13"/>
  <c r="AV282" i="13" s="1"/>
  <c r="AB282" i="13"/>
  <c r="AS554" i="13"/>
  <c r="AT554" i="13" s="1"/>
  <c r="AB554" i="13"/>
  <c r="AS173" i="13"/>
  <c r="AT173" i="13" s="1"/>
  <c r="AB173" i="13"/>
  <c r="AK256" i="13"/>
  <c r="AB256" i="13"/>
  <c r="AS68" i="13"/>
  <c r="AT68" i="13" s="1"/>
  <c r="AB68" i="13"/>
  <c r="AJ498" i="13"/>
  <c r="AB498" i="13"/>
  <c r="AP219" i="13"/>
  <c r="AB219" i="13"/>
  <c r="AJ52" i="13"/>
  <c r="AB52" i="13"/>
  <c r="AS425" i="13"/>
  <c r="AT425" i="13" s="1"/>
  <c r="AB425" i="13"/>
  <c r="AS510" i="13"/>
  <c r="AT510" i="13" s="1"/>
  <c r="AB510" i="13"/>
  <c r="AB160" i="13"/>
  <c r="AB433" i="13"/>
  <c r="AJ475" i="13"/>
  <c r="AB475" i="13"/>
  <c r="AP556" i="13"/>
  <c r="AB556" i="13"/>
  <c r="AS150" i="13"/>
  <c r="AT150" i="13" s="1"/>
  <c r="AB150" i="13"/>
  <c r="AK508" i="13"/>
  <c r="AB508" i="13"/>
  <c r="AB53" i="13"/>
  <c r="AK137" i="13"/>
  <c r="AB137" i="13"/>
  <c r="AS509" i="13"/>
  <c r="AT509" i="13" s="1"/>
  <c r="AB509" i="13"/>
  <c r="AS340" i="13"/>
  <c r="AT340" i="13" s="1"/>
  <c r="AB340" i="13"/>
  <c r="AB571" i="13"/>
  <c r="AB490" i="13"/>
  <c r="AS466" i="13"/>
  <c r="AT466" i="13" s="1"/>
  <c r="AB466" i="13"/>
  <c r="AJ390" i="13"/>
  <c r="AB390" i="13"/>
  <c r="AN121" i="13"/>
  <c r="AB121" i="13"/>
  <c r="AK393" i="13"/>
  <c r="AB393" i="13"/>
  <c r="AS192" i="13"/>
  <c r="AT192" i="13" s="1"/>
  <c r="AB192" i="13"/>
  <c r="AN275" i="13"/>
  <c r="AB275" i="13"/>
  <c r="AP469" i="13"/>
  <c r="AB469" i="13"/>
  <c r="AN407" i="13"/>
  <c r="AB407" i="13"/>
  <c r="AK525" i="13"/>
  <c r="AB525" i="13"/>
  <c r="AK194" i="13"/>
  <c r="AB194" i="13"/>
  <c r="AP516" i="13"/>
  <c r="AB516" i="13"/>
  <c r="AS147" i="13"/>
  <c r="AT147" i="13" s="1"/>
  <c r="AB147" i="13"/>
  <c r="AN135" i="13"/>
  <c r="AB135" i="13"/>
  <c r="AK278" i="13"/>
  <c r="AB278" i="13"/>
  <c r="AJ521" i="13"/>
  <c r="AB521" i="13"/>
  <c r="AK326" i="13"/>
  <c r="AB326" i="13"/>
  <c r="AJ422" i="13"/>
  <c r="AB422" i="13"/>
  <c r="AK34" i="13"/>
  <c r="AB34" i="13"/>
  <c r="AP158" i="13"/>
  <c r="AB158" i="13"/>
  <c r="AS237" i="13"/>
  <c r="AT237" i="13" s="1"/>
  <c r="AB237" i="13"/>
  <c r="AP157" i="13"/>
  <c r="AB157" i="13"/>
  <c r="AN373" i="13"/>
  <c r="AB373" i="13"/>
  <c r="AP245" i="13"/>
  <c r="AB245" i="13"/>
  <c r="AK141" i="13"/>
  <c r="AB141" i="13"/>
  <c r="AK277" i="13"/>
  <c r="AB277" i="13"/>
  <c r="AS153" i="13"/>
  <c r="AT153" i="13" s="1"/>
  <c r="AB153" i="13"/>
  <c r="AP184" i="13"/>
  <c r="AB184" i="13"/>
  <c r="AS243" i="13"/>
  <c r="AT243" i="13" s="1"/>
  <c r="AB243" i="13"/>
  <c r="AP319" i="13"/>
  <c r="AB319" i="13"/>
  <c r="AN148" i="13"/>
  <c r="AB148" i="13"/>
  <c r="AS512" i="13"/>
  <c r="AT512" i="13" s="1"/>
  <c r="AB512" i="13"/>
  <c r="AN297" i="13"/>
  <c r="AB297" i="13"/>
  <c r="AN85" i="13"/>
  <c r="AB85" i="13"/>
  <c r="AS229" i="13"/>
  <c r="AT229" i="13" s="1"/>
  <c r="AB229" i="13"/>
  <c r="AS259" i="13"/>
  <c r="AT259" i="13" s="1"/>
  <c r="AB259" i="13"/>
  <c r="AK122" i="13"/>
  <c r="AB122" i="13"/>
  <c r="AJ535" i="13"/>
  <c r="AB535" i="13"/>
  <c r="AP354" i="13"/>
  <c r="AB354" i="13"/>
  <c r="AP191" i="13"/>
  <c r="AB191" i="13"/>
  <c r="AK429" i="13"/>
  <c r="AB429" i="13"/>
  <c r="AS101" i="13"/>
  <c r="AT101" i="13" s="1"/>
  <c r="AB101" i="13"/>
  <c r="AP299" i="13"/>
  <c r="AB299" i="13"/>
  <c r="AP410" i="13"/>
  <c r="AB410" i="13"/>
  <c r="AK459" i="13"/>
  <c r="AB459" i="13"/>
  <c r="AS567" i="13"/>
  <c r="AT567" i="13" s="1"/>
  <c r="AB567" i="13"/>
  <c r="AK529" i="13"/>
  <c r="AB529" i="13"/>
  <c r="AN25" i="13"/>
  <c r="AB25" i="13"/>
  <c r="AP202" i="13"/>
  <c r="AB202" i="13"/>
  <c r="AK534" i="13"/>
  <c r="AB534" i="13"/>
  <c r="AK511" i="13"/>
  <c r="AB511" i="13"/>
  <c r="AK271" i="13"/>
  <c r="AB271" i="13"/>
  <c r="AJ163" i="13"/>
  <c r="AB163" i="13"/>
  <c r="AN42" i="13"/>
  <c r="AB42" i="13"/>
  <c r="AS189" i="13"/>
  <c r="AT189" i="13" s="1"/>
  <c r="AB189" i="13"/>
  <c r="AP104" i="13"/>
  <c r="AB104" i="13"/>
  <c r="AS338" i="13"/>
  <c r="AT338" i="13" s="1"/>
  <c r="AB338" i="13"/>
  <c r="AS178" i="13"/>
  <c r="AT178" i="13" s="1"/>
  <c r="AB178" i="13"/>
  <c r="AJ329" i="13"/>
  <c r="AB329" i="13"/>
  <c r="AK138" i="13"/>
  <c r="AB138" i="13"/>
  <c r="AS74" i="13"/>
  <c r="AT74" i="13" s="1"/>
  <c r="AB74" i="13"/>
  <c r="AS149" i="13"/>
  <c r="AT149" i="13" s="1"/>
  <c r="AB149" i="13"/>
  <c r="AJ321" i="13"/>
  <c r="AB321" i="13"/>
  <c r="AS473" i="13"/>
  <c r="AT473" i="13" s="1"/>
  <c r="AB473" i="13"/>
  <c r="AK71" i="13"/>
  <c r="AB71" i="13"/>
  <c r="AJ356" i="13"/>
  <c r="AB356" i="13"/>
  <c r="AP283" i="13"/>
  <c r="AB283" i="13"/>
  <c r="AN436" i="13"/>
  <c r="AB436" i="13"/>
  <c r="AS267" i="13"/>
  <c r="AT267" i="13" s="1"/>
  <c r="AB267" i="13"/>
  <c r="AN451" i="13"/>
  <c r="AB451" i="13"/>
  <c r="AP320" i="13"/>
  <c r="AB320" i="13"/>
  <c r="AS70" i="13"/>
  <c r="AT70" i="13" s="1"/>
  <c r="AB70" i="13"/>
  <c r="AS400" i="13"/>
  <c r="AT400" i="13" s="1"/>
  <c r="AB400" i="13"/>
  <c r="AN444" i="13"/>
  <c r="AB444" i="13"/>
  <c r="AS353" i="13"/>
  <c r="AT353" i="13" s="1"/>
  <c r="AB353" i="13"/>
  <c r="AP413" i="13"/>
  <c r="AB413" i="13"/>
  <c r="AN380" i="13"/>
  <c r="AB380" i="13"/>
  <c r="AK292" i="13"/>
  <c r="AB292" i="13"/>
  <c r="AN456" i="13"/>
  <c r="AB456" i="13"/>
  <c r="AJ8" i="13"/>
  <c r="AB8" i="13"/>
  <c r="AK310" i="13"/>
  <c r="AB310" i="13"/>
  <c r="AJ343" i="13"/>
  <c r="AB343" i="13"/>
  <c r="AN293" i="13"/>
  <c r="AB293" i="13"/>
  <c r="AP10" i="13"/>
  <c r="AB10" i="13"/>
  <c r="AS238" i="13"/>
  <c r="AT238" i="13" s="1"/>
  <c r="AB238" i="13"/>
  <c r="AS112" i="13"/>
  <c r="AT112" i="13" s="1"/>
  <c r="AB112" i="13"/>
  <c r="AP401" i="13"/>
  <c r="AB401" i="13"/>
  <c r="AK253" i="13"/>
  <c r="AB253" i="13"/>
  <c r="AS445" i="13"/>
  <c r="AT445" i="13" s="1"/>
  <c r="AB445" i="13"/>
  <c r="AN7" i="13"/>
  <c r="AB7" i="13"/>
  <c r="AN105" i="13"/>
  <c r="AB105" i="13"/>
  <c r="AP486" i="13"/>
  <c r="AB486" i="13"/>
  <c r="AP129" i="13"/>
  <c r="AB129" i="13"/>
  <c r="AP483" i="13"/>
  <c r="AB483" i="13"/>
  <c r="AP86" i="13"/>
  <c r="AV86" i="13" s="1"/>
  <c r="AB86" i="13"/>
  <c r="AP131" i="13"/>
  <c r="AB131" i="13"/>
  <c r="AS134" i="13"/>
  <c r="AT134" i="13" s="1"/>
  <c r="AB134" i="13"/>
  <c r="AJ493" i="13"/>
  <c r="AB493" i="13"/>
  <c r="AJ485" i="13"/>
  <c r="AB485" i="13"/>
  <c r="AN426" i="13"/>
  <c r="AB426" i="13"/>
  <c r="AB59" i="13"/>
  <c r="AP213" i="13"/>
  <c r="AB213" i="13"/>
  <c r="AK503" i="13"/>
  <c r="AB503" i="13"/>
  <c r="AB568" i="13"/>
  <c r="AK382" i="13"/>
  <c r="AB382" i="13"/>
  <c r="AJ423" i="13"/>
  <c r="AB423" i="13"/>
  <c r="AJ199" i="13"/>
  <c r="AB199" i="13"/>
  <c r="AK232" i="13"/>
  <c r="AB232" i="13"/>
  <c r="AS261" i="13"/>
  <c r="AT261" i="13" s="1"/>
  <c r="AB261" i="13"/>
  <c r="AK251" i="13"/>
  <c r="AB251" i="13"/>
  <c r="AK23" i="13"/>
  <c r="AB23" i="13"/>
  <c r="AP162" i="13"/>
  <c r="AV162" i="13" s="1"/>
  <c r="AB162" i="13"/>
  <c r="AS214" i="13"/>
  <c r="AT214" i="13" s="1"/>
  <c r="AB214" i="13"/>
  <c r="AP464" i="13"/>
  <c r="AB464" i="13"/>
  <c r="AK227" i="13"/>
  <c r="AB227" i="13"/>
  <c r="AP291" i="13"/>
  <c r="AV291" i="13" s="1"/>
  <c r="AB291" i="13"/>
  <c r="AS437" i="13"/>
  <c r="AT437" i="13" s="1"/>
  <c r="AB437" i="13"/>
  <c r="AK311" i="13"/>
  <c r="AB311" i="13"/>
  <c r="AS118" i="13"/>
  <c r="AT118" i="13" s="1"/>
  <c r="AB118" i="13"/>
  <c r="AJ367" i="13"/>
  <c r="AB367" i="13"/>
  <c r="AJ152" i="13"/>
  <c r="AB152" i="13"/>
  <c r="AJ316" i="13"/>
  <c r="AB316" i="13"/>
  <c r="AK438" i="13"/>
  <c r="AB438" i="13"/>
  <c r="AK205" i="13"/>
  <c r="AB205" i="13"/>
  <c r="AJ56" i="13"/>
  <c r="AB56" i="13"/>
  <c r="AP155" i="13"/>
  <c r="AV155" i="13" s="1"/>
  <c r="AB155" i="13"/>
  <c r="AK384" i="13"/>
  <c r="AB384" i="13"/>
  <c r="AS240" i="13"/>
  <c r="AT240" i="13" s="1"/>
  <c r="AB240" i="13"/>
  <c r="AK489" i="13"/>
  <c r="AB489" i="13"/>
  <c r="AJ441" i="13"/>
  <c r="AB441" i="13"/>
  <c r="AP389" i="13"/>
  <c r="AB389" i="13"/>
  <c r="AJ6" i="13"/>
  <c r="AB6" i="13"/>
  <c r="AS335" i="13"/>
  <c r="AT335" i="13" s="1"/>
  <c r="AB335" i="13"/>
  <c r="AN161" i="13"/>
  <c r="AB161" i="13"/>
  <c r="AP474" i="13"/>
  <c r="AB474" i="13"/>
  <c r="AK170" i="13"/>
  <c r="AB170" i="13"/>
  <c r="AJ421" i="13"/>
  <c r="AB421" i="13"/>
  <c r="AN221" i="13"/>
  <c r="AB221" i="13"/>
  <c r="AB347" i="13"/>
  <c r="AJ317" i="13"/>
  <c r="AB317" i="13"/>
  <c r="AP76" i="13"/>
  <c r="AB76" i="13"/>
  <c r="AP151" i="13"/>
  <c r="AV151" i="13" s="1"/>
  <c r="AB151" i="13"/>
  <c r="AS342" i="13"/>
  <c r="AT342" i="13" s="1"/>
  <c r="AB342" i="13"/>
  <c r="AS355" i="13"/>
  <c r="AT355" i="13" s="1"/>
  <c r="AB355" i="13"/>
  <c r="AP572" i="13"/>
  <c r="AB572" i="13"/>
  <c r="AP50" i="13"/>
  <c r="AB50" i="13"/>
  <c r="AK302" i="13"/>
  <c r="AB302" i="13"/>
  <c r="AK84" i="13"/>
  <c r="AB84" i="13"/>
  <c r="AN67" i="13"/>
  <c r="AB67" i="13"/>
  <c r="AP225" i="13"/>
  <c r="AB225" i="13"/>
  <c r="AK295" i="13"/>
  <c r="AB295" i="13"/>
  <c r="AP452" i="13"/>
  <c r="AB452" i="13"/>
  <c r="AP43" i="13"/>
  <c r="AB43" i="13"/>
  <c r="AK383" i="13"/>
  <c r="AB383" i="13"/>
  <c r="AB40" i="13"/>
  <c r="AB513" i="13"/>
  <c r="AP381" i="13"/>
  <c r="AV381" i="13" s="1"/>
  <c r="AB381" i="13"/>
  <c r="AN63" i="13"/>
  <c r="AB63" i="13"/>
  <c r="AN431" i="13"/>
  <c r="AB431" i="13"/>
  <c r="AK420" i="13"/>
  <c r="AB420" i="13"/>
  <c r="AK504" i="13"/>
  <c r="AB504" i="13"/>
  <c r="AN37" i="13"/>
  <c r="AB37" i="13"/>
  <c r="AN79" i="13"/>
  <c r="AB79" i="13"/>
  <c r="AJ270" i="13"/>
  <c r="AB270" i="13"/>
  <c r="AP120" i="13"/>
  <c r="AB120" i="13"/>
  <c r="AS398" i="13"/>
  <c r="AT398" i="13" s="1"/>
  <c r="AB398" i="13"/>
  <c r="AS210" i="13"/>
  <c r="AT210" i="13" s="1"/>
  <c r="AB210" i="13"/>
  <c r="AP415" i="13"/>
  <c r="AV415" i="13" s="1"/>
  <c r="AB415" i="13"/>
  <c r="AN351" i="13"/>
  <c r="AB351" i="13"/>
  <c r="AB322" i="13"/>
  <c r="AP206" i="13"/>
  <c r="AB206" i="13"/>
  <c r="AN254" i="13"/>
  <c r="AB254" i="13"/>
  <c r="AP520" i="13"/>
  <c r="AB520" i="13"/>
  <c r="AP484" i="13"/>
  <c r="AB484" i="13"/>
  <c r="AK477" i="13"/>
  <c r="AB477" i="13"/>
  <c r="AK92" i="13"/>
  <c r="AB92" i="13"/>
  <c r="AB91" i="13"/>
  <c r="AJ119" i="13"/>
  <c r="AB119" i="13"/>
  <c r="AB359" i="13"/>
  <c r="AK32" i="13"/>
  <c r="AB32" i="13"/>
  <c r="AJ12" i="13"/>
  <c r="AB12" i="13"/>
  <c r="AJ244" i="13"/>
  <c r="AB244" i="13"/>
  <c r="AS566" i="13"/>
  <c r="AT566" i="13" s="1"/>
  <c r="AB566" i="13"/>
  <c r="AJ442" i="13"/>
  <c r="AB442" i="13"/>
  <c r="AB560" i="13"/>
  <c r="AB576" i="13"/>
  <c r="AS168" i="13"/>
  <c r="AT168" i="13" s="1"/>
  <c r="AB168" i="13"/>
  <c r="AJ183" i="13"/>
  <c r="AB183" i="13"/>
  <c r="AK395" i="13"/>
  <c r="AB395" i="13"/>
  <c r="AK38" i="13"/>
  <c r="AB38" i="13"/>
  <c r="AS476" i="13"/>
  <c r="AT476" i="13" s="1"/>
  <c r="AB476" i="13"/>
  <c r="AP226" i="13"/>
  <c r="AV226" i="13" s="1"/>
  <c r="AB226" i="13"/>
  <c r="AN156" i="13"/>
  <c r="AB156" i="13"/>
  <c r="AN370" i="13"/>
  <c r="AB370" i="13"/>
  <c r="AK562" i="13"/>
  <c r="AB562" i="13"/>
  <c r="AK266" i="13"/>
  <c r="AB266" i="13"/>
  <c r="AS207" i="13"/>
  <c r="AT207" i="13" s="1"/>
  <c r="AB207" i="13"/>
  <c r="AS193" i="13"/>
  <c r="AT193" i="13" s="1"/>
  <c r="AB193" i="13"/>
  <c r="AK111" i="13"/>
  <c r="AB111" i="13"/>
  <c r="AN124" i="13"/>
  <c r="AB124" i="13"/>
  <c r="AN385" i="13"/>
  <c r="AB385" i="13"/>
  <c r="AK167" i="13"/>
  <c r="AB167" i="13"/>
  <c r="AB58" i="13"/>
  <c r="AJ174" i="13"/>
  <c r="AB174" i="13"/>
  <c r="AK280" i="13"/>
  <c r="AB280" i="13"/>
  <c r="AJ301" i="13"/>
  <c r="AB301" i="13"/>
  <c r="AN171" i="13"/>
  <c r="AB171" i="13"/>
  <c r="AJ215" i="13"/>
  <c r="AB215" i="13"/>
  <c r="AP169" i="13"/>
  <c r="AV169" i="13" s="1"/>
  <c r="AB169" i="13"/>
  <c r="AK346" i="13"/>
  <c r="AB346" i="13"/>
  <c r="AS24" i="13"/>
  <c r="AT24" i="13" s="1"/>
  <c r="AB24" i="13"/>
  <c r="AB542" i="13"/>
  <c r="AB546" i="13"/>
  <c r="AP114" i="13"/>
  <c r="AB114" i="13"/>
  <c r="AK274" i="13"/>
  <c r="AB274" i="13"/>
  <c r="AJ21" i="13"/>
  <c r="AB21" i="13"/>
  <c r="AN363" i="13"/>
  <c r="AB363" i="13"/>
  <c r="AP128" i="13"/>
  <c r="AB128" i="13"/>
  <c r="AS306" i="13"/>
  <c r="AT306" i="13" s="1"/>
  <c r="AB306" i="13"/>
  <c r="AP218" i="13"/>
  <c r="AB218" i="13"/>
  <c r="AK408" i="13"/>
  <c r="AB408" i="13"/>
  <c r="AJ235" i="13"/>
  <c r="AB235" i="13"/>
  <c r="AN220" i="13"/>
  <c r="AB220" i="13"/>
  <c r="AP325" i="13"/>
  <c r="AV325" i="13" s="1"/>
  <c r="AB325" i="13"/>
  <c r="AK404" i="13"/>
  <c r="AB404" i="13"/>
  <c r="AK394" i="13"/>
  <c r="AB394" i="13"/>
  <c r="AS336" i="13"/>
  <c r="AT336" i="13" s="1"/>
  <c r="AB336" i="13"/>
  <c r="AS108" i="13"/>
  <c r="AT108" i="13" s="1"/>
  <c r="AB108" i="13"/>
  <c r="AP396" i="13"/>
  <c r="AB396" i="13"/>
  <c r="AP80" i="13"/>
  <c r="AV80" i="13" s="1"/>
  <c r="AB80" i="13"/>
  <c r="AS447" i="13"/>
  <c r="AT447" i="13" s="1"/>
  <c r="AB447" i="13"/>
  <c r="AS187" i="13"/>
  <c r="AT187" i="13" s="1"/>
  <c r="AB187" i="13"/>
  <c r="AK246" i="13"/>
  <c r="AB246" i="13"/>
  <c r="AK72" i="13"/>
  <c r="AB72" i="13"/>
  <c r="AP255" i="13"/>
  <c r="AB255" i="13"/>
  <c r="AJ414" i="13"/>
  <c r="AB414" i="13"/>
  <c r="AP273" i="13"/>
  <c r="AV273" i="13" s="1"/>
  <c r="AB273" i="13"/>
  <c r="AJ550" i="13"/>
  <c r="AB550" i="13"/>
  <c r="AS136" i="13"/>
  <c r="AT136" i="13" s="1"/>
  <c r="AB136" i="13"/>
  <c r="AP126" i="13"/>
  <c r="AV126" i="13" s="1"/>
  <c r="AB126" i="13"/>
  <c r="AN130" i="13"/>
  <c r="AB130" i="13"/>
  <c r="AS364" i="13"/>
  <c r="AT364" i="13" s="1"/>
  <c r="AB364" i="13"/>
  <c r="AK430" i="13"/>
  <c r="AB430" i="13"/>
  <c r="AN323" i="13"/>
  <c r="AB323" i="13"/>
  <c r="AJ332" i="13"/>
  <c r="AB332" i="13"/>
  <c r="AN175" i="13"/>
  <c r="AB175" i="13"/>
  <c r="AS405" i="13"/>
  <c r="AT405" i="13" s="1"/>
  <c r="AB405" i="13"/>
  <c r="AP125" i="13"/>
  <c r="AB125" i="13"/>
  <c r="AP22" i="13"/>
  <c r="AB22" i="13"/>
  <c r="AJ195" i="13"/>
  <c r="AB195" i="13"/>
  <c r="AJ350" i="13"/>
  <c r="AB350" i="13"/>
  <c r="AK288" i="13"/>
  <c r="AB288" i="13"/>
  <c r="AB539" i="13"/>
  <c r="AS57" i="13"/>
  <c r="AT57" i="13" s="1"/>
  <c r="AB57" i="13"/>
  <c r="AS399" i="13"/>
  <c r="AT399" i="13" s="1"/>
  <c r="AB399" i="13"/>
  <c r="AS450" i="13"/>
  <c r="AT450" i="13" s="1"/>
  <c r="AB450" i="13"/>
  <c r="AS561" i="13"/>
  <c r="AT561" i="13" s="1"/>
  <c r="AB561" i="13"/>
  <c r="AJ417" i="13"/>
  <c r="AB417" i="13"/>
  <c r="AB457" i="13"/>
  <c r="AK222" i="13"/>
  <c r="AB222" i="13"/>
  <c r="AP360" i="13"/>
  <c r="AB360" i="13"/>
  <c r="AP375" i="13"/>
  <c r="AV375" i="13" s="1"/>
  <c r="AB375" i="13"/>
  <c r="AK694" i="13"/>
  <c r="AB694" i="13"/>
  <c r="AB212" i="13"/>
  <c r="AP44" i="13"/>
  <c r="AV44" i="13" s="1"/>
  <c r="AB44" i="13"/>
  <c r="AB284" i="13"/>
  <c r="AJ285" i="13"/>
  <c r="AB285" i="13"/>
  <c r="AS455" i="13"/>
  <c r="AT455" i="13" s="1"/>
  <c r="AB455" i="13"/>
  <c r="AN165" i="13"/>
  <c r="AB165" i="13"/>
  <c r="AB465" i="13"/>
  <c r="AS269" i="13"/>
  <c r="AT269" i="13" s="1"/>
  <c r="AB269" i="13"/>
  <c r="AJ366" i="13"/>
  <c r="AB366" i="13"/>
  <c r="AJ11" i="13"/>
  <c r="AB11" i="13"/>
  <c r="AK506" i="13"/>
  <c r="AB506" i="13"/>
  <c r="AJ309" i="13"/>
  <c r="AB309" i="13"/>
  <c r="AN117" i="13"/>
  <c r="AB117" i="13"/>
  <c r="AK115" i="13"/>
  <c r="AB115" i="13"/>
  <c r="AJ318" i="13"/>
  <c r="AB318" i="13"/>
  <c r="AS200" i="13"/>
  <c r="AT200" i="13" s="1"/>
  <c r="AB200" i="13"/>
  <c r="AN428" i="13"/>
  <c r="AB428" i="13"/>
  <c r="AS527" i="13"/>
  <c r="AT527" i="13" s="1"/>
  <c r="AB527" i="13"/>
  <c r="AK358" i="13"/>
  <c r="AB358" i="13"/>
  <c r="AS564" i="13"/>
  <c r="AT564" i="13" s="1"/>
  <c r="AB564" i="13"/>
  <c r="AP143" i="13"/>
  <c r="AB143" i="13"/>
  <c r="AS377" i="13"/>
  <c r="AT377" i="13" s="1"/>
  <c r="AB377" i="13"/>
  <c r="AP328" i="13"/>
  <c r="AV328" i="13" s="1"/>
  <c r="AB328" i="13"/>
  <c r="AB555" i="13"/>
  <c r="AJ62" i="13"/>
  <c r="AB62" i="13"/>
  <c r="AP487" i="13"/>
  <c r="AB487" i="13"/>
  <c r="AP87" i="13"/>
  <c r="AB87" i="13"/>
  <c r="AP402" i="13"/>
  <c r="AV402" i="13" s="1"/>
  <c r="AB402" i="13"/>
  <c r="AB392" i="13"/>
  <c r="AB248" i="13"/>
  <c r="AP197" i="13"/>
  <c r="AB197" i="13"/>
  <c r="AS260" i="13"/>
  <c r="AT260" i="13" s="1"/>
  <c r="AB260" i="13"/>
  <c r="AB446" i="13"/>
  <c r="AB93" i="13"/>
  <c r="AB524" i="13"/>
  <c r="AB376" i="13"/>
  <c r="AB501" i="13"/>
  <c r="AB531" i="13"/>
  <c r="AB471" i="13"/>
  <c r="AB543" i="13"/>
  <c r="AB95" i="13"/>
  <c r="AK107" i="13"/>
  <c r="AB107" i="13"/>
  <c r="AK574" i="13"/>
  <c r="AB574" i="13"/>
  <c r="AK198" i="13"/>
  <c r="AB198" i="13"/>
  <c r="AB533" i="13"/>
  <c r="AB287" i="13"/>
  <c r="AB33" i="13"/>
  <c r="AB73" i="13"/>
  <c r="AB480" i="13"/>
  <c r="AB440" i="13"/>
  <c r="AB579" i="13"/>
  <c r="AB472" i="13"/>
  <c r="AB453" i="13"/>
  <c r="R1044" i="6"/>
  <c r="AN499" i="13"/>
  <c r="J618" i="13"/>
  <c r="AI618" i="13" s="1"/>
  <c r="AV618" i="13" s="1"/>
  <c r="AN618" i="13"/>
  <c r="J621" i="13"/>
  <c r="AI621" i="13" s="1"/>
  <c r="AV621" i="13" s="1"/>
  <c r="AN621" i="13"/>
  <c r="J620" i="13"/>
  <c r="AI620" i="13" s="1"/>
  <c r="AV620" i="13" s="1"/>
  <c r="AN620" i="13"/>
  <c r="J619" i="13"/>
  <c r="AI619" i="13" s="1"/>
  <c r="AV619" i="13" s="1"/>
  <c r="AN619" i="13"/>
  <c r="R1030" i="6"/>
  <c r="R1031" i="6" s="1"/>
  <c r="J626" i="13"/>
  <c r="AI626" i="13" s="1"/>
  <c r="AV626" i="13" s="1"/>
  <c r="AN626" i="13"/>
  <c r="J630" i="13"/>
  <c r="AI630" i="13" s="1"/>
  <c r="AV630" i="13" s="1"/>
  <c r="AN630" i="13"/>
  <c r="AN629" i="13"/>
  <c r="J629" i="13"/>
  <c r="AI629" i="13" s="1"/>
  <c r="AV629" i="13" s="1"/>
  <c r="J632" i="13"/>
  <c r="AI632" i="13" s="1"/>
  <c r="AV632" i="13" s="1"/>
  <c r="AN632" i="13"/>
  <c r="J616" i="13"/>
  <c r="AI616" i="13" s="1"/>
  <c r="AV616" i="13" s="1"/>
  <c r="AN616" i="13"/>
  <c r="J625" i="13"/>
  <c r="AI625" i="13" s="1"/>
  <c r="AV625" i="13" s="1"/>
  <c r="AN625" i="13"/>
  <c r="R1029" i="6"/>
  <c r="U1441" i="6" s="1" a="1"/>
  <c r="U1441" i="6" s="1"/>
  <c r="J624" i="13"/>
  <c r="AI624" i="13" s="1"/>
  <c r="AV624" i="13" s="1"/>
  <c r="AN624" i="13"/>
  <c r="R1039" i="6"/>
  <c r="AL495" i="13" s="1" a="1"/>
  <c r="AL495" i="13" s="1"/>
  <c r="J495" i="13" s="1"/>
  <c r="AI495" i="13" s="1"/>
  <c r="T1039" i="6"/>
  <c r="R1038" i="6"/>
  <c r="AL550" i="13" s="1" a="1"/>
  <c r="AL550" i="13" s="1"/>
  <c r="J550" i="13" s="1"/>
  <c r="AI550" i="13" s="1"/>
  <c r="AS557" i="13"/>
  <c r="AT557" i="13" s="1"/>
  <c r="T1029" i="6"/>
  <c r="R1028" i="6"/>
  <c r="AL577" i="13" s="1"/>
  <c r="J577" i="13" s="1"/>
  <c r="AI577" i="13" s="1"/>
  <c r="R1020" i="6"/>
  <c r="R1017" i="6"/>
  <c r="R1012" i="6"/>
  <c r="AL466" i="13" s="1" a="1"/>
  <c r="AL466" i="13" s="1"/>
  <c r="J466" i="13" s="1"/>
  <c r="AI466" i="13" s="1"/>
  <c r="T1012" i="6"/>
  <c r="K466" i="13" s="1"/>
  <c r="AU466" i="13" s="1"/>
  <c r="R1008" i="6"/>
  <c r="AL561" i="13" s="1" a="1"/>
  <c r="AL561" i="13" s="1"/>
  <c r="J561" i="13" s="1"/>
  <c r="AI561" i="13" s="1"/>
  <c r="AL563" i="13" a="1"/>
  <c r="AL563" i="13" s="1"/>
  <c r="J563" i="13" s="1"/>
  <c r="AI563" i="13" s="1"/>
  <c r="T1006" i="6"/>
  <c r="K563" i="13" s="1"/>
  <c r="AU563" i="13" s="1"/>
  <c r="U1006" i="6" a="1"/>
  <c r="U1006" i="6" s="1"/>
  <c r="I563" i="13" s="1"/>
  <c r="J614" i="13"/>
  <c r="AI614" i="13" s="1"/>
  <c r="AV614" i="13" s="1"/>
  <c r="AN614" i="13"/>
  <c r="U983" i="6" a="1"/>
  <c r="U983" i="6" s="1"/>
  <c r="R983" i="6"/>
  <c r="U1087" i="6" s="1" a="1"/>
  <c r="U1087" i="6" s="1"/>
  <c r="AJ164" i="13"/>
  <c r="R977" i="6"/>
  <c r="AL462" i="13" s="1" a="1"/>
  <c r="AL462" i="13" s="1"/>
  <c r="J462" i="13" s="1"/>
  <c r="AI462" i="13" s="1"/>
  <c r="T977" i="6"/>
  <c r="AI324" i="13"/>
  <c r="R960" i="6"/>
  <c r="U973" i="6" s="1" a="1"/>
  <c r="U973" i="6" s="1"/>
  <c r="J610" i="13"/>
  <c r="AI610" i="13" s="1"/>
  <c r="AV610" i="13" s="1"/>
  <c r="AN610" i="13"/>
  <c r="J611" i="13"/>
  <c r="AI611" i="13" s="1"/>
  <c r="AV611" i="13" s="1"/>
  <c r="AN611" i="13"/>
  <c r="AJ412" i="13"/>
  <c r="AJ322" i="13"/>
  <c r="T941" i="6"/>
  <c r="K519" i="13" s="1"/>
  <c r="AU519" i="13" s="1"/>
  <c r="AJ462" i="13"/>
  <c r="U933" i="6" a="1"/>
  <c r="U933" i="6" s="1"/>
  <c r="T933" i="6"/>
  <c r="U923" i="6" a="1"/>
  <c r="U923" i="6" s="1"/>
  <c r="AY12" i="13"/>
  <c r="U919" i="6" a="1"/>
  <c r="U919" i="6" s="1"/>
  <c r="T919" i="6"/>
  <c r="R919" i="6"/>
  <c r="AS133" i="13"/>
  <c r="AT133" i="13" s="1"/>
  <c r="U903" i="6" a="1"/>
  <c r="U903" i="6" s="1"/>
  <c r="I596" i="13" s="1"/>
  <c r="U905" i="6" a="1"/>
  <c r="U905" i="6" s="1"/>
  <c r="R905" i="6"/>
  <c r="T905" i="6"/>
  <c r="K596" i="13"/>
  <c r="AU596" i="13" s="1"/>
  <c r="U898" i="6" a="1"/>
  <c r="U898" i="6" s="1"/>
  <c r="T902" i="6"/>
  <c r="U902" i="6" a="1"/>
  <c r="U902" i="6" s="1"/>
  <c r="I462" i="13" s="1"/>
  <c r="T898" i="6"/>
  <c r="R898" i="6"/>
  <c r="U893" i="6" a="1"/>
  <c r="U893" i="6" s="1"/>
  <c r="T893" i="6"/>
  <c r="U889" i="6" a="1"/>
  <c r="U889" i="6" s="1"/>
  <c r="R889" i="6"/>
  <c r="T889" i="6"/>
  <c r="T888" i="6"/>
  <c r="R890" i="6"/>
  <c r="T890" i="6"/>
  <c r="U888" i="6" a="1"/>
  <c r="U888" i="6" s="1"/>
  <c r="U886" i="6" a="1"/>
  <c r="U886" i="6" s="1"/>
  <c r="I344" i="13" s="1"/>
  <c r="R886" i="6"/>
  <c r="AL344" i="13" s="1" a="1"/>
  <c r="AL344" i="13" s="1"/>
  <c r="J344" i="13" s="1"/>
  <c r="AI344" i="13" s="1"/>
  <c r="T878" i="6"/>
  <c r="U878" i="6" a="1"/>
  <c r="U878" i="6" s="1"/>
  <c r="R877" i="6"/>
  <c r="T877" i="6"/>
  <c r="J602" i="13"/>
  <c r="AI602" i="13" s="1"/>
  <c r="AV602" i="13" s="1"/>
  <c r="AN602" i="13"/>
  <c r="T869" i="6"/>
  <c r="R869" i="6"/>
  <c r="U869" i="6" a="1"/>
  <c r="U869" i="6" s="1"/>
  <c r="U863" i="6" a="1"/>
  <c r="U863" i="6" s="1"/>
  <c r="R863" i="6"/>
  <c r="J604" i="13"/>
  <c r="AI604" i="13" s="1"/>
  <c r="AV604" i="13" s="1"/>
  <c r="AN604" i="13"/>
  <c r="T765" i="6"/>
  <c r="K322" i="13" s="1"/>
  <c r="T850" i="6"/>
  <c r="R850" i="6"/>
  <c r="R849" i="6"/>
  <c r="T849" i="6"/>
  <c r="T818" i="6"/>
  <c r="K530" i="13" s="1"/>
  <c r="AU530" i="13" s="1"/>
  <c r="R843" i="6"/>
  <c r="AL448" i="13" s="1" a="1"/>
  <c r="AL448" i="13" s="1"/>
  <c r="J448" i="13" s="1"/>
  <c r="AI448" i="13" s="1"/>
  <c r="J603" i="13"/>
  <c r="AI603" i="13" s="1"/>
  <c r="AV603" i="13" s="1"/>
  <c r="AN603" i="13"/>
  <c r="R836" i="6"/>
  <c r="R834" i="6"/>
  <c r="T834" i="6"/>
  <c r="AS35" i="13"/>
  <c r="AT35" i="13" s="1"/>
  <c r="R822" i="6"/>
  <c r="R823" i="6" s="1"/>
  <c r="U861" i="6" s="1" a="1"/>
  <c r="U861" i="6" s="1"/>
  <c r="T785" i="6"/>
  <c r="K574" i="13" s="1"/>
  <c r="AU574" i="13" s="1"/>
  <c r="R811" i="6"/>
  <c r="AL463" i="13" s="1" a="1"/>
  <c r="AL463" i="13" s="1"/>
  <c r="J463" i="13" s="1"/>
  <c r="AI463" i="13" s="1"/>
  <c r="R804" i="6"/>
  <c r="T800" i="6"/>
  <c r="R800" i="6"/>
  <c r="R535" i="6"/>
  <c r="R557" i="6" s="1"/>
  <c r="R656" i="6" s="1"/>
  <c r="U750" i="6" s="1" a="1"/>
  <c r="U750" i="6" s="1"/>
  <c r="R781" i="6"/>
  <c r="U782" i="6" s="1" a="1"/>
  <c r="U782" i="6" s="1"/>
  <c r="U781" i="6" a="1"/>
  <c r="U781" i="6" s="1"/>
  <c r="T781" i="6"/>
  <c r="U776" i="6" a="1"/>
  <c r="U776" i="6" s="1"/>
  <c r="R776" i="6"/>
  <c r="AK257" i="13"/>
  <c r="U759" i="6" a="1"/>
  <c r="U759" i="6" s="1"/>
  <c r="T759" i="6"/>
  <c r="U761" i="6" a="1"/>
  <c r="U761" i="6" s="1"/>
  <c r="R763" i="6"/>
  <c r="AL445" i="13" a="1"/>
  <c r="AL445" i="13" s="1"/>
  <c r="J445" i="13" s="1"/>
  <c r="AI445" i="13" s="1"/>
  <c r="T760" i="6"/>
  <c r="K376" i="13" s="1"/>
  <c r="AU376" i="13" s="1"/>
  <c r="U760" i="6" a="1"/>
  <c r="U760" i="6" s="1"/>
  <c r="I376" i="13" s="1"/>
  <c r="T761" i="6"/>
  <c r="K445" i="13" s="1"/>
  <c r="AU445" i="13" s="1"/>
  <c r="R754" i="6"/>
  <c r="T754" i="6"/>
  <c r="T753" i="6"/>
  <c r="R753" i="6"/>
  <c r="U1173" i="6" s="1" a="1"/>
  <c r="U1173" i="6" s="1"/>
  <c r="I512" i="13" s="1"/>
  <c r="T751" i="6"/>
  <c r="U751" i="6" a="1"/>
  <c r="U751" i="6" s="1"/>
  <c r="P527" i="13"/>
  <c r="R745" i="6"/>
  <c r="T745" i="6"/>
  <c r="R744" i="6"/>
  <c r="T744" i="6"/>
  <c r="J596" i="13"/>
  <c r="AI596" i="13" s="1"/>
  <c r="AV596" i="13" s="1"/>
  <c r="AN596" i="13"/>
  <c r="AS127" i="13"/>
  <c r="AT127" i="13" s="1"/>
  <c r="U738" i="6" a="1"/>
  <c r="U738" i="6" s="1"/>
  <c r="R738" i="6"/>
  <c r="U947" i="6" s="1" a="1"/>
  <c r="U947" i="6" s="1"/>
  <c r="R730" i="6"/>
  <c r="T421" i="6"/>
  <c r="U246" i="6" a="1"/>
  <c r="U246" i="6" s="1"/>
  <c r="M302" i="15" s="1"/>
  <c r="N302" i="15" s="1"/>
  <c r="U722" i="6" a="1"/>
  <c r="U722" i="6" s="1"/>
  <c r="I533" i="13" s="1"/>
  <c r="AL533" i="13" a="1"/>
  <c r="AL533" i="13" s="1"/>
  <c r="T722" i="6"/>
  <c r="K533" i="13" s="1"/>
  <c r="T721" i="6"/>
  <c r="K564" i="13" s="1"/>
  <c r="AU564" i="13" s="1"/>
  <c r="J594" i="13"/>
  <c r="AI594" i="13" s="1"/>
  <c r="AV594" i="13" s="1"/>
  <c r="AN594" i="13"/>
  <c r="AA5" i="13"/>
  <c r="U703" i="6" a="1"/>
  <c r="U703" i="6" s="1"/>
  <c r="T709" i="6"/>
  <c r="AL302" i="13" a="1"/>
  <c r="AL302" i="13" s="1"/>
  <c r="J302" i="13" s="1"/>
  <c r="AI302" i="13" s="1"/>
  <c r="U709" i="6" a="1"/>
  <c r="U709" i="6" s="1"/>
  <c r="T704" i="6"/>
  <c r="R707" i="6"/>
  <c r="T707" i="6"/>
  <c r="T706" i="6"/>
  <c r="R704" i="6"/>
  <c r="R706" i="6"/>
  <c r="U706" i="6" a="1"/>
  <c r="U706" i="6" s="1"/>
  <c r="R699" i="6"/>
  <c r="AS433" i="13"/>
  <c r="AT433" i="13" s="1"/>
  <c r="R696" i="6"/>
  <c r="U801" i="6" s="1" a="1"/>
  <c r="U801" i="6" s="1"/>
  <c r="T113" i="6"/>
  <c r="R113" i="6"/>
  <c r="R153" i="6" s="1"/>
  <c r="U160" i="6" s="1" a="1"/>
  <c r="U160" i="6" s="1"/>
  <c r="R693" i="6"/>
  <c r="R687" i="6"/>
  <c r="U687" i="6" a="1"/>
  <c r="U687" i="6" s="1"/>
  <c r="U664" i="6" a="1"/>
  <c r="U664" i="6" s="1"/>
  <c r="I425" i="13" s="1"/>
  <c r="T684" i="6"/>
  <c r="R684" i="6"/>
  <c r="U690" i="6" s="1" a="1"/>
  <c r="U690" i="6" s="1"/>
  <c r="R679" i="6"/>
  <c r="AL73" i="13" a="1"/>
  <c r="AL73" i="13" s="1"/>
  <c r="J73" i="13" s="1"/>
  <c r="AI73" i="13" s="1"/>
  <c r="J589" i="13"/>
  <c r="AI589" i="13" s="1"/>
  <c r="AV589" i="13" s="1"/>
  <c r="AN589" i="13"/>
  <c r="R673" i="6"/>
  <c r="T669" i="6"/>
  <c r="K450" i="13" s="1"/>
  <c r="AU450" i="13" s="1"/>
  <c r="U669" i="6" a="1"/>
  <c r="U669" i="6" s="1"/>
  <c r="I450" i="13" s="1"/>
  <c r="R669" i="6"/>
  <c r="AL450" i="13" s="1" a="1"/>
  <c r="AL450" i="13" s="1"/>
  <c r="J450" i="13" s="1"/>
  <c r="AI450" i="13" s="1"/>
  <c r="U617" i="6" a="1"/>
  <c r="U617" i="6" s="1"/>
  <c r="T646" i="6"/>
  <c r="K575" i="13" s="1"/>
  <c r="AU575" i="13" s="1"/>
  <c r="R667" i="6"/>
  <c r="R662" i="6"/>
  <c r="U791" i="6" s="1" a="1"/>
  <c r="U791" i="6" s="1"/>
  <c r="U661" i="6" a="1"/>
  <c r="U661" i="6" s="1"/>
  <c r="T661" i="6"/>
  <c r="R657" i="6"/>
  <c r="R617" i="6"/>
  <c r="T594" i="6"/>
  <c r="J588" i="13"/>
  <c r="AI588" i="13" s="1"/>
  <c r="AV588" i="13" s="1"/>
  <c r="AN588" i="13"/>
  <c r="AP327" i="13"/>
  <c r="AV327" i="13" s="1"/>
  <c r="U644" i="6" a="1"/>
  <c r="U644" i="6" s="1"/>
  <c r="U643" i="6" a="1"/>
  <c r="U643" i="6" s="1"/>
  <c r="T644" i="6"/>
  <c r="T643" i="6"/>
  <c r="U627" i="6" a="1"/>
  <c r="U627" i="6" s="1"/>
  <c r="R641" i="6"/>
  <c r="AL559" i="13" s="1" a="1"/>
  <c r="AL559" i="13" s="1"/>
  <c r="J559" i="13" s="1"/>
  <c r="AI559" i="13" s="1"/>
  <c r="J587" i="13"/>
  <c r="AI587" i="13" s="1"/>
  <c r="AV587" i="13" s="1"/>
  <c r="AN587" i="13"/>
  <c r="R640" i="6"/>
  <c r="AL501" i="13" s="1" a="1"/>
  <c r="AL501" i="13" s="1"/>
  <c r="J501" i="13" s="1"/>
  <c r="AI501" i="13" s="1"/>
  <c r="T640" i="6"/>
  <c r="K501" i="13" s="1"/>
  <c r="AU501" i="13" s="1"/>
  <c r="R627" i="6"/>
  <c r="R628" i="6" s="1"/>
  <c r="U789" i="6" s="1" a="1"/>
  <c r="U789" i="6" s="1"/>
  <c r="AI71" i="13"/>
  <c r="U82" i="6" a="1"/>
  <c r="U82" i="6" s="1"/>
  <c r="C91" i="15" s="1"/>
  <c r="E91" i="15" s="1"/>
  <c r="T82" i="6"/>
  <c r="U148" i="6" a="1"/>
  <c r="U148" i="6" s="1"/>
  <c r="C490" i="15" s="1"/>
  <c r="E490" i="15" s="1"/>
  <c r="T630" i="6"/>
  <c r="K34" i="13" s="1"/>
  <c r="AU34" i="13" s="1"/>
  <c r="R630" i="6"/>
  <c r="AL34" i="13" s="1" a="1"/>
  <c r="AL34" i="13" s="1"/>
  <c r="J34" i="13" s="1"/>
  <c r="AI34" i="13" s="1"/>
  <c r="AJ73" i="13"/>
  <c r="T148" i="6"/>
  <c r="R623" i="6"/>
  <c r="T623" i="6"/>
  <c r="T622" i="6"/>
  <c r="R616" i="6"/>
  <c r="U616" i="6" a="1"/>
  <c r="U616" i="6" s="1"/>
  <c r="U611" i="6" a="1"/>
  <c r="U611" i="6" s="1"/>
  <c r="T612" i="6"/>
  <c r="R612" i="6"/>
  <c r="R611" i="6"/>
  <c r="U607" i="6" a="1"/>
  <c r="U607" i="6" s="1"/>
  <c r="R607" i="6"/>
  <c r="AL503" i="13" s="1" a="1"/>
  <c r="AL503" i="13" s="1"/>
  <c r="J503" i="13" s="1"/>
  <c r="U606" i="6" a="1"/>
  <c r="U606" i="6" s="1"/>
  <c r="T606" i="6"/>
  <c r="T605" i="6"/>
  <c r="U605" i="6" a="1"/>
  <c r="U605" i="6" s="1"/>
  <c r="T597" i="6"/>
  <c r="U602" i="6" a="1"/>
  <c r="U602" i="6" s="1"/>
  <c r="I127" i="13" s="1"/>
  <c r="T599" i="6"/>
  <c r="U599" i="6" a="1"/>
  <c r="U599" i="6" s="1"/>
  <c r="U601" i="6" a="1"/>
  <c r="U601" i="6" s="1"/>
  <c r="I294" i="13" s="1"/>
  <c r="T601" i="6"/>
  <c r="K294" i="13" s="1"/>
  <c r="AU294" i="13" s="1"/>
  <c r="T602" i="6"/>
  <c r="K127" i="13" s="1"/>
  <c r="AU127" i="13" s="1"/>
  <c r="P12" i="13"/>
  <c r="R12" i="13"/>
  <c r="AU12" i="13" s="1"/>
  <c r="R601" i="6"/>
  <c r="AL294" i="13" s="1" a="1"/>
  <c r="AL294" i="13" s="1"/>
  <c r="R597" i="6"/>
  <c r="R350" i="6"/>
  <c r="U584" i="6" s="1" a="1"/>
  <c r="U584" i="6" s="1"/>
  <c r="I476" i="13" s="1"/>
  <c r="T350" i="6"/>
  <c r="O476" i="15" s="1"/>
  <c r="U481" i="6" a="1"/>
  <c r="U481" i="6" s="1"/>
  <c r="U586" i="6" a="1"/>
  <c r="U586" i="6" s="1"/>
  <c r="R586" i="6"/>
  <c r="U585" i="6" a="1"/>
  <c r="U585" i="6" s="1"/>
  <c r="T585" i="6"/>
  <c r="R584" i="6"/>
  <c r="AL476" i="13" s="1" a="1"/>
  <c r="AL476" i="13" s="1"/>
  <c r="J476" i="13" s="1"/>
  <c r="AI476" i="13" s="1"/>
  <c r="R583" i="6"/>
  <c r="T583" i="6"/>
  <c r="AK88" i="13"/>
  <c r="U578" i="6" a="1"/>
  <c r="U578" i="6" s="1"/>
  <c r="I198" i="13" s="1"/>
  <c r="U573" i="6" a="1"/>
  <c r="U573" i="6" s="1"/>
  <c r="T425" i="6"/>
  <c r="O521" i="15" s="1"/>
  <c r="U570" i="6" a="1"/>
  <c r="U570" i="6" s="1"/>
  <c r="I144" i="13" s="1"/>
  <c r="R573" i="6"/>
  <c r="O477" i="15"/>
  <c r="T227" i="6"/>
  <c r="R227" i="6"/>
  <c r="T299" i="6" s="1"/>
  <c r="R582" i="6"/>
  <c r="U569" i="6" a="1"/>
  <c r="U569" i="6" s="1"/>
  <c r="I454" i="13" s="1"/>
  <c r="U572" i="6" a="1"/>
  <c r="U572" i="6" s="1"/>
  <c r="I557" i="13" s="1"/>
  <c r="U568" i="6" a="1"/>
  <c r="U568" i="6" s="1"/>
  <c r="U571" i="6" a="1"/>
  <c r="U571" i="6" s="1"/>
  <c r="I384" i="13" s="1"/>
  <c r="AL557" i="13" a="1"/>
  <c r="AL557" i="13" s="1"/>
  <c r="J557" i="13" s="1"/>
  <c r="AI557" i="13" s="1"/>
  <c r="T572" i="6"/>
  <c r="K557" i="13" s="1"/>
  <c r="AU557" i="13" s="1"/>
  <c r="R571" i="6"/>
  <c r="AL384" i="13" s="1" a="1"/>
  <c r="AL384" i="13" s="1"/>
  <c r="J384" i="13" s="1"/>
  <c r="AI384" i="13" s="1"/>
  <c r="AL454" i="13" a="1"/>
  <c r="AL454" i="13" s="1"/>
  <c r="J454" i="13" s="1"/>
  <c r="AI454" i="13" s="1"/>
  <c r="T569" i="6"/>
  <c r="K454" i="13" s="1"/>
  <c r="AU454" i="13" s="1"/>
  <c r="R568" i="6"/>
  <c r="U564" i="6" s="1" a="1"/>
  <c r="U564" i="6" s="1"/>
  <c r="AN582" i="13"/>
  <c r="T563" i="6"/>
  <c r="T564" i="6"/>
  <c r="T567" i="6"/>
  <c r="R562" i="6"/>
  <c r="U589" i="6" s="1" a="1"/>
  <c r="U589" i="6" s="1"/>
  <c r="I555" i="13" s="1"/>
  <c r="O33" i="15"/>
  <c r="O433" i="15"/>
  <c r="I327" i="13"/>
  <c r="G327" i="15"/>
  <c r="I327" i="15" s="1"/>
  <c r="C327" i="15"/>
  <c r="E327" i="15" s="1"/>
  <c r="M70" i="15"/>
  <c r="N70" i="15" s="1"/>
  <c r="G70" i="15"/>
  <c r="I70" i="15" s="1"/>
  <c r="K506" i="13"/>
  <c r="AU506" i="13" s="1"/>
  <c r="O506" i="15"/>
  <c r="K426" i="13"/>
  <c r="AU426" i="13" s="1"/>
  <c r="O426" i="15"/>
  <c r="C73" i="15"/>
  <c r="E73" i="15" s="1"/>
  <c r="I444" i="13"/>
  <c r="G444" i="15"/>
  <c r="I444" i="15" s="1"/>
  <c r="M444" i="15"/>
  <c r="N444" i="15" s="1"/>
  <c r="K546" i="13"/>
  <c r="AU546" i="13" s="1"/>
  <c r="O549" i="15"/>
  <c r="I426" i="13"/>
  <c r="M426" i="15"/>
  <c r="N426" i="15" s="1"/>
  <c r="G426" i="15"/>
  <c r="I426" i="15" s="1"/>
  <c r="I473" i="13"/>
  <c r="M473" i="15"/>
  <c r="N473" i="15" s="1"/>
  <c r="G473" i="15"/>
  <c r="I473" i="15" s="1"/>
  <c r="I412" i="13"/>
  <c r="M412" i="15"/>
  <c r="N412" i="15" s="1"/>
  <c r="G412" i="15"/>
  <c r="I412" i="15" s="1"/>
  <c r="R510" i="13"/>
  <c r="AU510" i="13" s="1"/>
  <c r="K473" i="13"/>
  <c r="AU473" i="13" s="1"/>
  <c r="O473" i="15"/>
  <c r="G476" i="15"/>
  <c r="I476" i="15" s="1"/>
  <c r="M476" i="15"/>
  <c r="N476" i="15" s="1"/>
  <c r="I246" i="13"/>
  <c r="G246" i="15"/>
  <c r="I246" i="15" s="1"/>
  <c r="C246" i="15"/>
  <c r="E246" i="15" s="1"/>
  <c r="O523" i="15"/>
  <c r="K444" i="13"/>
  <c r="AU444" i="13" s="1"/>
  <c r="O444" i="15"/>
  <c r="K479" i="13"/>
  <c r="AU479" i="13" s="1"/>
  <c r="O479" i="15"/>
  <c r="I137" i="13"/>
  <c r="M137" i="15"/>
  <c r="N137" i="15" s="1"/>
  <c r="G137" i="15"/>
  <c r="I137" i="15" s="1"/>
  <c r="O501" i="15"/>
  <c r="K270" i="13"/>
  <c r="AU270" i="13" s="1"/>
  <c r="O270" i="15"/>
  <c r="M384" i="15"/>
  <c r="N384" i="15" s="1"/>
  <c r="G384" i="15"/>
  <c r="I384" i="15" s="1"/>
  <c r="I467" i="13"/>
  <c r="M467" i="15"/>
  <c r="N467" i="15" s="1"/>
  <c r="G467" i="15"/>
  <c r="I467" i="15" s="1"/>
  <c r="G521" i="15"/>
  <c r="I521" i="15" s="1"/>
  <c r="M521" i="15"/>
  <c r="N521" i="15" s="1"/>
  <c r="P477" i="13"/>
  <c r="M477" i="15"/>
  <c r="N477" i="15" s="1"/>
  <c r="G477" i="15"/>
  <c r="I477" i="15" s="1"/>
  <c r="K150" i="13"/>
  <c r="AU150" i="13" s="1"/>
  <c r="O150" i="15"/>
  <c r="I161" i="13"/>
  <c r="M161" i="15"/>
  <c r="N161" i="15" s="1"/>
  <c r="G161" i="15"/>
  <c r="I161" i="15" s="1"/>
  <c r="K503" i="13"/>
  <c r="AU503" i="13" s="1"/>
  <c r="O503" i="15"/>
  <c r="I134" i="13"/>
  <c r="M134" i="15"/>
  <c r="N134" i="15" s="1"/>
  <c r="G134" i="15"/>
  <c r="I134" i="15" s="1"/>
  <c r="I455" i="13"/>
  <c r="M455" i="15"/>
  <c r="N455" i="15" s="1"/>
  <c r="G455" i="15"/>
  <c r="I455" i="15" s="1"/>
  <c r="I170" i="13"/>
  <c r="M170" i="15"/>
  <c r="N170" i="15" s="1"/>
  <c r="G170" i="15"/>
  <c r="I170" i="15" s="1"/>
  <c r="K223" i="13"/>
  <c r="AU223" i="13" s="1"/>
  <c r="O223" i="15"/>
  <c r="I504" i="13"/>
  <c r="M504" i="15"/>
  <c r="N504" i="15" s="1"/>
  <c r="G504" i="15"/>
  <c r="I504" i="15" s="1"/>
  <c r="I479" i="13"/>
  <c r="M479" i="15"/>
  <c r="N479" i="15" s="1"/>
  <c r="G479" i="15"/>
  <c r="I479" i="15" s="1"/>
  <c r="K22" i="13"/>
  <c r="AU22" i="13" s="1"/>
  <c r="O22" i="15"/>
  <c r="I509" i="13"/>
  <c r="M509" i="15"/>
  <c r="N509" i="15" s="1"/>
  <c r="G509" i="15"/>
  <c r="I509" i="15" s="1"/>
  <c r="I500" i="13"/>
  <c r="M500" i="15"/>
  <c r="N500" i="15" s="1"/>
  <c r="G500" i="15"/>
  <c r="I500" i="15" s="1"/>
  <c r="O445" i="15"/>
  <c r="O524" i="15"/>
  <c r="O302" i="15"/>
  <c r="C359" i="15"/>
  <c r="E359" i="15" s="1"/>
  <c r="I46" i="13"/>
  <c r="G46" i="15"/>
  <c r="I46" i="15" s="1"/>
  <c r="C46" i="15"/>
  <c r="E46" i="15" s="1"/>
  <c r="O413" i="15"/>
  <c r="K451" i="13"/>
  <c r="AU451" i="13" s="1"/>
  <c r="O451" i="15"/>
  <c r="O263" i="15"/>
  <c r="K504" i="13"/>
  <c r="AU504" i="13" s="1"/>
  <c r="O504" i="15"/>
  <c r="I269" i="13"/>
  <c r="M269" i="15"/>
  <c r="N269" i="15" s="1"/>
  <c r="G269" i="15"/>
  <c r="I269" i="15" s="1"/>
  <c r="G525" i="15"/>
  <c r="I525" i="15" s="1"/>
  <c r="M525" i="15"/>
  <c r="N525" i="15" s="1"/>
  <c r="K267" i="13"/>
  <c r="AU267" i="13" s="1"/>
  <c r="O267" i="15"/>
  <c r="O268" i="15"/>
  <c r="I105" i="13"/>
  <c r="M105" i="15"/>
  <c r="N105" i="15" s="1"/>
  <c r="G105" i="15"/>
  <c r="I105" i="15" s="1"/>
  <c r="K320" i="13"/>
  <c r="AU320" i="13" s="1"/>
  <c r="O320" i="15"/>
  <c r="G292" i="15"/>
  <c r="I292" i="15" s="1"/>
  <c r="M292" i="15"/>
  <c r="N292" i="15" s="1"/>
  <c r="I102" i="13"/>
  <c r="I525" i="13"/>
  <c r="G526" i="15"/>
  <c r="I526" i="15" s="1"/>
  <c r="M526" i="15"/>
  <c r="N526" i="15" s="1"/>
  <c r="AJ65" i="13"/>
  <c r="AK180" i="13"/>
  <c r="J161" i="13"/>
  <c r="AI161" i="13" s="1"/>
  <c r="AA132" i="13"/>
  <c r="AB132" i="13" s="1"/>
  <c r="AJ14" i="13"/>
  <c r="J144" i="13"/>
  <c r="AV580" i="13"/>
  <c r="AR472" i="13"/>
  <c r="AA102" i="13"/>
  <c r="AS102" i="13" s="1"/>
  <c r="AT102" i="13" s="1"/>
  <c r="AN580" i="13"/>
  <c r="J570" i="13"/>
  <c r="AI570" i="13" s="1"/>
  <c r="AJ66" i="13"/>
  <c r="AA96" i="13"/>
  <c r="AS96" i="13" s="1"/>
  <c r="AT96" i="13" s="1"/>
  <c r="AJ514" i="13"/>
  <c r="AJ538" i="13"/>
  <c r="T351" i="6"/>
  <c r="R338" i="6"/>
  <c r="U1118" i="6" s="1" a="1"/>
  <c r="U1118" i="6" s="1"/>
  <c r="I292" i="13" s="1"/>
  <c r="R271" i="6"/>
  <c r="U311" i="6" s="1" a="1"/>
  <c r="U311" i="6" s="1"/>
  <c r="T448" i="6"/>
  <c r="T338" i="6"/>
  <c r="T493" i="6"/>
  <c r="T267" i="6"/>
  <c r="AA470" i="13"/>
  <c r="AJ213" i="13"/>
  <c r="J105" i="13"/>
  <c r="AI105" i="13" s="1"/>
  <c r="AI360" i="13"/>
  <c r="AI205" i="13"/>
  <c r="AN394" i="13"/>
  <c r="AK491" i="13"/>
  <c r="U351" i="6" a="1"/>
  <c r="U351" i="6" s="1"/>
  <c r="R379" i="6"/>
  <c r="U638" i="6" s="1" a="1"/>
  <c r="U638" i="6" s="1"/>
  <c r="I524" i="13" s="1"/>
  <c r="U77" i="6" a="1"/>
  <c r="U77" i="6" s="1"/>
  <c r="U305" i="6" a="1"/>
  <c r="U305" i="6" s="1"/>
  <c r="U171" i="6" a="1"/>
  <c r="U171" i="6" s="1"/>
  <c r="T217" i="6"/>
  <c r="R305" i="6"/>
  <c r="J320" i="13"/>
  <c r="AI320" i="13" s="1"/>
  <c r="U551" i="6" a="1"/>
  <c r="U551" i="6" s="1"/>
  <c r="AK55" i="13"/>
  <c r="AI190" i="13"/>
  <c r="Q453" i="13"/>
  <c r="AI453" i="13" s="1"/>
  <c r="AP527" i="13"/>
  <c r="AP398" i="13"/>
  <c r="AJ294" i="13"/>
  <c r="AA252" i="13"/>
  <c r="AS252" i="13" s="1"/>
  <c r="AT252" i="13" s="1"/>
  <c r="AI98" i="13"/>
  <c r="AP160" i="13"/>
  <c r="AS160" i="13"/>
  <c r="AT160" i="13" s="1"/>
  <c r="AK160" i="13"/>
  <c r="AI283" i="13"/>
  <c r="AS402" i="13"/>
  <c r="AT402" i="13" s="1"/>
  <c r="AP351" i="13"/>
  <c r="AR471" i="13"/>
  <c r="AK402" i="13"/>
  <c r="AK351" i="13"/>
  <c r="AN402" i="13"/>
  <c r="AJ351" i="13"/>
  <c r="AK392" i="13"/>
  <c r="AI252" i="13"/>
  <c r="AJ33" i="13"/>
  <c r="AK536" i="13"/>
  <c r="AR252" i="13"/>
  <c r="AS33" i="13"/>
  <c r="AT33" i="13" s="1"/>
  <c r="AJ254" i="13"/>
  <c r="AP68" i="13"/>
  <c r="AV68" i="13" s="1"/>
  <c r="J574" i="13"/>
  <c r="AI574" i="13" s="1"/>
  <c r="AQ456" i="13"/>
  <c r="AJ492" i="13"/>
  <c r="J27" i="13"/>
  <c r="AI27" i="13" s="1"/>
  <c r="AS309" i="13"/>
  <c r="AT309" i="13" s="1"/>
  <c r="AQ150" i="13"/>
  <c r="AJ216" i="13"/>
  <c r="AP216" i="13"/>
  <c r="J525" i="13"/>
  <c r="AI525" i="13" s="1"/>
  <c r="AK216" i="13"/>
  <c r="AS328" i="13"/>
  <c r="AT328" i="13" s="1"/>
  <c r="AP377" i="13"/>
  <c r="AJ543" i="13"/>
  <c r="U168" i="6" a="1"/>
  <c r="U168" i="6" s="1"/>
  <c r="J513" i="13"/>
  <c r="AI513" i="13" s="1"/>
  <c r="AA39" i="13"/>
  <c r="AP39" i="13" s="1"/>
  <c r="AS143" i="13"/>
  <c r="AT143" i="13" s="1"/>
  <c r="AI186" i="13"/>
  <c r="R168" i="6"/>
  <c r="R177" i="6" s="1"/>
  <c r="U408" i="6" s="1" a="1"/>
  <c r="U408" i="6" s="1"/>
  <c r="AP238" i="13"/>
  <c r="AJ87" i="13"/>
  <c r="AP543" i="13"/>
  <c r="T552" i="6"/>
  <c r="AS569" i="13"/>
  <c r="AT569" i="13" s="1"/>
  <c r="AI296" i="13"/>
  <c r="AS420" i="13"/>
  <c r="AT420" i="13" s="1"/>
  <c r="AP88" i="13"/>
  <c r="AI333" i="13"/>
  <c r="AK343" i="13"/>
  <c r="AI372" i="13"/>
  <c r="AP254" i="13"/>
  <c r="AI433" i="13"/>
  <c r="AS295" i="13"/>
  <c r="AT295" i="13" s="1"/>
  <c r="AR33" i="13"/>
  <c r="AR477" i="13"/>
  <c r="AS431" i="13"/>
  <c r="AT431" i="13" s="1"/>
  <c r="AN225" i="13"/>
  <c r="AS254" i="13"/>
  <c r="AT254" i="13" s="1"/>
  <c r="AK254" i="13"/>
  <c r="AS256" i="13"/>
  <c r="AT256" i="13" s="1"/>
  <c r="AR480" i="13"/>
  <c r="AI10" i="13"/>
  <c r="AS394" i="13"/>
  <c r="AT394" i="13" s="1"/>
  <c r="AR433" i="13"/>
  <c r="T163" i="6"/>
  <c r="AI219" i="13"/>
  <c r="U163" i="6" a="1"/>
  <c r="U163" i="6" s="1"/>
  <c r="AP566" i="13"/>
  <c r="R551" i="6"/>
  <c r="J579" i="13"/>
  <c r="AI579" i="13" s="1"/>
  <c r="AI103" i="13"/>
  <c r="AJ566" i="13"/>
  <c r="T252" i="6"/>
  <c r="AI232" i="13"/>
  <c r="AJ370" i="13"/>
  <c r="AJ438" i="13"/>
  <c r="AS216" i="13"/>
  <c r="AT216" i="13" s="1"/>
  <c r="AN328" i="13"/>
  <c r="T412" i="6"/>
  <c r="AK481" i="13"/>
  <c r="AP481" i="13"/>
  <c r="T379" i="6"/>
  <c r="T250" i="6"/>
  <c r="U74" i="6" a="1"/>
  <c r="U74" i="6" s="1"/>
  <c r="AK87" i="13"/>
  <c r="AI191" i="13"/>
  <c r="T271" i="6"/>
  <c r="AI24" i="13"/>
  <c r="AI259" i="13"/>
  <c r="AN420" i="13"/>
  <c r="AJ402" i="13"/>
  <c r="AI434" i="13"/>
  <c r="AJ520" i="13"/>
  <c r="U493" i="6" a="1"/>
  <c r="U493" i="6" s="1"/>
  <c r="AK328" i="13"/>
  <c r="AS351" i="13"/>
  <c r="AT351" i="13" s="1"/>
  <c r="AN270" i="13"/>
  <c r="AK398" i="13"/>
  <c r="AI358" i="13"/>
  <c r="AK62" i="13"/>
  <c r="AI350" i="13"/>
  <c r="J444" i="13"/>
  <c r="AI444" i="13" s="1"/>
  <c r="AP62" i="13"/>
  <c r="AV62" i="13" s="1"/>
  <c r="AI77" i="13"/>
  <c r="AI207" i="13"/>
  <c r="AI471" i="13"/>
  <c r="U90" i="6" a="1"/>
  <c r="U90" i="6" s="1"/>
  <c r="U191" i="6" a="1"/>
  <c r="U191" i="6" s="1"/>
  <c r="AI16" i="13"/>
  <c r="AN143" i="13"/>
  <c r="AI196" i="13"/>
  <c r="AK520" i="13"/>
  <c r="AK428" i="13"/>
  <c r="AK543" i="13"/>
  <c r="AS62" i="13"/>
  <c r="AT62" i="13" s="1"/>
  <c r="AN398" i="13"/>
  <c r="AS459" i="13"/>
  <c r="AT459" i="13" s="1"/>
  <c r="AS8" i="13"/>
  <c r="AT8" i="13" s="1"/>
  <c r="AS481" i="13"/>
  <c r="AT481" i="13" s="1"/>
  <c r="AS148" i="13"/>
  <c r="AT148" i="13" s="1"/>
  <c r="AP456" i="13"/>
  <c r="AV456" i="13" s="1"/>
  <c r="AI439" i="13"/>
  <c r="AK27" i="13"/>
  <c r="AJ200" i="13"/>
  <c r="AK200" i="13"/>
  <c r="AI266" i="13"/>
  <c r="AP431" i="13"/>
  <c r="AV431" i="13" s="1"/>
  <c r="AP8" i="13"/>
  <c r="AV8" i="13" s="1"/>
  <c r="AP24" i="13"/>
  <c r="AS105" i="13"/>
  <c r="AT105" i="13" s="1"/>
  <c r="AS438" i="13"/>
  <c r="AT438" i="13" s="1"/>
  <c r="AI28" i="13"/>
  <c r="AI211" i="13"/>
  <c r="AJ456" i="13"/>
  <c r="AJ227" i="13"/>
  <c r="AN366" i="13"/>
  <c r="AI166" i="13"/>
  <c r="AS40" i="13"/>
  <c r="AT40" i="13" s="1"/>
  <c r="AP292" i="13"/>
  <c r="AP210" i="13"/>
  <c r="AN200" i="13"/>
  <c r="AP200" i="13"/>
  <c r="AJ431" i="13"/>
  <c r="AK8" i="13"/>
  <c r="AK24" i="13"/>
  <c r="AI309" i="13"/>
  <c r="AK380" i="13"/>
  <c r="AN438" i="13"/>
  <c r="AI182" i="13"/>
  <c r="AI220" i="13"/>
  <c r="AI420" i="13"/>
  <c r="AS456" i="13"/>
  <c r="AT456" i="13" s="1"/>
  <c r="AP366" i="13"/>
  <c r="AK40" i="13"/>
  <c r="AJ292" i="13"/>
  <c r="AS84" i="13"/>
  <c r="AT84" i="13" s="1"/>
  <c r="AI210" i="13"/>
  <c r="J575" i="13"/>
  <c r="AI575" i="13" s="1"/>
  <c r="AK108" i="13"/>
  <c r="AP178" i="13"/>
  <c r="AV178" i="13" s="1"/>
  <c r="AP370" i="13"/>
  <c r="AJ112" i="13"/>
  <c r="AJ206" i="13"/>
  <c r="AN295" i="13"/>
  <c r="AJ243" i="13"/>
  <c r="AS370" i="13"/>
  <c r="AT370" i="13" s="1"/>
  <c r="AK366" i="13"/>
  <c r="AJ40" i="13"/>
  <c r="AK35" i="13"/>
  <c r="AS503" i="13"/>
  <c r="AT503" i="13" s="1"/>
  <c r="AP321" i="13"/>
  <c r="AV321" i="13" s="1"/>
  <c r="AK68" i="13"/>
  <c r="U231" i="6" a="1"/>
  <c r="U231" i="6" s="1"/>
  <c r="AI280" i="13"/>
  <c r="T274" i="6"/>
  <c r="AI311" i="13"/>
  <c r="AK219" i="13"/>
  <c r="AJ295" i="13"/>
  <c r="AN506" i="13"/>
  <c r="AP35" i="13"/>
  <c r="AV35" i="13" s="1"/>
  <c r="AJ68" i="13"/>
  <c r="AP256" i="13"/>
  <c r="AA424" i="13"/>
  <c r="AB424" i="13" s="1"/>
  <c r="T222" i="6"/>
  <c r="AI195" i="13"/>
  <c r="AI241" i="13"/>
  <c r="AN401" i="13"/>
  <c r="AI67" i="13"/>
  <c r="AJ225" i="13"/>
  <c r="AI458" i="13"/>
  <c r="AI401" i="13"/>
  <c r="AN129" i="13"/>
  <c r="AI254" i="13"/>
  <c r="AP295" i="13"/>
  <c r="AI366" i="13"/>
  <c r="AN35" i="13"/>
  <c r="AI215" i="13"/>
  <c r="AK522" i="13"/>
  <c r="AN44" i="13"/>
  <c r="AS87" i="13"/>
  <c r="AT87" i="13" s="1"/>
  <c r="AN62" i="13"/>
  <c r="AJ268" i="13"/>
  <c r="AK478" i="13"/>
  <c r="AS165" i="13"/>
  <c r="AT165" i="13" s="1"/>
  <c r="AS225" i="13"/>
  <c r="AT225" i="13" s="1"/>
  <c r="AI255" i="13"/>
  <c r="AP11" i="13"/>
  <c r="AV11" i="13" s="1"/>
  <c r="T185" i="6"/>
  <c r="O457" i="15" s="1"/>
  <c r="AK401" i="13"/>
  <c r="AI106" i="13"/>
  <c r="AK225" i="13"/>
  <c r="AS253" i="13"/>
  <c r="AT253" i="13" s="1"/>
  <c r="AI419" i="13"/>
  <c r="AI388" i="13"/>
  <c r="AI382" i="13"/>
  <c r="AI418" i="13"/>
  <c r="AJ134" i="13"/>
  <c r="U185" i="6" a="1"/>
  <c r="U185" i="6" s="1"/>
  <c r="AS284" i="13"/>
  <c r="AT284" i="13" s="1"/>
  <c r="AP340" i="13"/>
  <c r="AI397" i="13"/>
  <c r="AJ35" i="13"/>
  <c r="AN68" i="13"/>
  <c r="T268" i="6"/>
  <c r="AN343" i="13"/>
  <c r="AI370" i="13"/>
  <c r="AS129" i="13"/>
  <c r="AT129" i="13" s="1"/>
  <c r="AN219" i="13"/>
  <c r="AK134" i="13"/>
  <c r="AK482" i="13"/>
  <c r="AP343" i="13"/>
  <c r="AI240" i="13"/>
  <c r="AK131" i="13"/>
  <c r="AI156" i="13"/>
  <c r="U92" i="6" a="1"/>
  <c r="U92" i="6" s="1"/>
  <c r="AI142" i="13"/>
  <c r="AI193" i="13"/>
  <c r="AN232" i="13"/>
  <c r="AI378" i="13"/>
  <c r="AN86" i="13"/>
  <c r="AN134" i="13"/>
  <c r="AI410" i="13"/>
  <c r="AN38" i="13"/>
  <c r="AJ284" i="13"/>
  <c r="AI243" i="13"/>
  <c r="AS7" i="13"/>
  <c r="AT7" i="13" s="1"/>
  <c r="AI209" i="13"/>
  <c r="AP503" i="13"/>
  <c r="T332" i="6"/>
  <c r="R332" i="6"/>
  <c r="T381" i="6" s="1"/>
  <c r="AJ131" i="13"/>
  <c r="AS86" i="13"/>
  <c r="AT86" i="13" s="1"/>
  <c r="AP134" i="13"/>
  <c r="AV134" i="13" s="1"/>
  <c r="AS88" i="13"/>
  <c r="AT88" i="13" s="1"/>
  <c r="AK284" i="13"/>
  <c r="AS32" i="13"/>
  <c r="AT32" i="13" s="1"/>
  <c r="AK513" i="13"/>
  <c r="AP284" i="13"/>
  <c r="AK67" i="13"/>
  <c r="AP513" i="13"/>
  <c r="AS67" i="13"/>
  <c r="AT67" i="13" s="1"/>
  <c r="AS513" i="13"/>
  <c r="AT513" i="13" s="1"/>
  <c r="AN513" i="13"/>
  <c r="AJ67" i="13"/>
  <c r="AN15" i="13"/>
  <c r="AS15" i="13"/>
  <c r="AT15" i="13" s="1"/>
  <c r="AP15" i="13"/>
  <c r="AV15" i="13" s="1"/>
  <c r="AK15" i="13"/>
  <c r="AK495" i="13"/>
  <c r="AS495" i="13"/>
  <c r="AT495" i="13" s="1"/>
  <c r="AS49" i="13"/>
  <c r="AT49" i="13" s="1"/>
  <c r="AN49" i="13"/>
  <c r="AS541" i="13"/>
  <c r="AT541" i="13" s="1"/>
  <c r="AP541" i="13"/>
  <c r="AP339" i="13"/>
  <c r="AJ339" i="13"/>
  <c r="AS41" i="13"/>
  <c r="AT41" i="13" s="1"/>
  <c r="AP41" i="13"/>
  <c r="AV41" i="13" s="1"/>
  <c r="AS286" i="13"/>
  <c r="AT286" i="13" s="1"/>
  <c r="AN286" i="13"/>
  <c r="AJ250" i="13"/>
  <c r="AS250" i="13"/>
  <c r="AT250" i="13" s="1"/>
  <c r="AK250" i="13"/>
  <c r="AJ415" i="13"/>
  <c r="AN415" i="13"/>
  <c r="AS415" i="13"/>
  <c r="AT415" i="13" s="1"/>
  <c r="AK415" i="13"/>
  <c r="AS483" i="13"/>
  <c r="AT483" i="13" s="1"/>
  <c r="AJ483" i="13"/>
  <c r="AK483" i="13"/>
  <c r="AN133" i="13"/>
  <c r="AJ133" i="13"/>
  <c r="AP133" i="13"/>
  <c r="AV133" i="13" s="1"/>
  <c r="AK133" i="13"/>
  <c r="AP498" i="13"/>
  <c r="AS498" i="13"/>
  <c r="AT498" i="13" s="1"/>
  <c r="AK498" i="13"/>
  <c r="AI411" i="13"/>
  <c r="U230" i="6" a="1"/>
  <c r="U230" i="6" s="1"/>
  <c r="U502" i="6" a="1"/>
  <c r="U502" i="6" s="1"/>
  <c r="AS419" i="13"/>
  <c r="AT419" i="13" s="1"/>
  <c r="AK419" i="13"/>
  <c r="AN419" i="13"/>
  <c r="T80" i="6"/>
  <c r="K45" i="13" s="1"/>
  <c r="AU45" i="13" s="1"/>
  <c r="U80" i="6" a="1"/>
  <c r="U80" i="6" s="1"/>
  <c r="R119" i="6"/>
  <c r="U169" i="6" s="1" a="1"/>
  <c r="U169" i="6" s="1"/>
  <c r="U119" i="6" a="1"/>
  <c r="U119" i="6" s="1"/>
  <c r="AN52" i="13"/>
  <c r="AS52" i="13"/>
  <c r="AT52" i="13" s="1"/>
  <c r="AP52" i="13"/>
  <c r="AV52" i="13" s="1"/>
  <c r="AK52" i="13"/>
  <c r="T226" i="6"/>
  <c r="AS496" i="13"/>
  <c r="AT496" i="13" s="1"/>
  <c r="AK496" i="13"/>
  <c r="AP66" i="13"/>
  <c r="AK66" i="13"/>
  <c r="AS66" i="13"/>
  <c r="AT66" i="13" s="1"/>
  <c r="AS572" i="13"/>
  <c r="AT572" i="13" s="1"/>
  <c r="AK572" i="13"/>
  <c r="AI200" i="13"/>
  <c r="AI208" i="13"/>
  <c r="AI100" i="13"/>
  <c r="AJ37" i="13"/>
  <c r="AS131" i="13"/>
  <c r="AT131" i="13" s="1"/>
  <c r="AI389" i="13"/>
  <c r="U190" i="6" a="1"/>
  <c r="U190" i="6" s="1"/>
  <c r="AI9" i="13"/>
  <c r="AJ129" i="13"/>
  <c r="AJ219" i="13"/>
  <c r="AS219" i="13"/>
  <c r="AT219" i="13" s="1"/>
  <c r="AI300" i="13"/>
  <c r="AI373" i="13"/>
  <c r="AJ86" i="13"/>
  <c r="AJ143" i="13"/>
  <c r="AI416" i="13"/>
  <c r="AS520" i="13"/>
  <c r="AT520" i="13" s="1"/>
  <c r="AJ328" i="13"/>
  <c r="AK566" i="13"/>
  <c r="AI398" i="13"/>
  <c r="AI49" i="13"/>
  <c r="AK527" i="13"/>
  <c r="AI42" i="13"/>
  <c r="AJ377" i="13"/>
  <c r="AI29" i="13"/>
  <c r="AI341" i="13"/>
  <c r="AI38" i="13"/>
  <c r="AI393" i="13"/>
  <c r="AI351" i="13"/>
  <c r="T442" i="6"/>
  <c r="AK76" i="13"/>
  <c r="AI346" i="13"/>
  <c r="AI567" i="13"/>
  <c r="AI295" i="13"/>
  <c r="AI64" i="13"/>
  <c r="AK129" i="13"/>
  <c r="AI336" i="13"/>
  <c r="AK86" i="13"/>
  <c r="AI78" i="13"/>
  <c r="AK143" i="13"/>
  <c r="AJ527" i="13"/>
  <c r="AJ398" i="13"/>
  <c r="AI404" i="13"/>
  <c r="AN377" i="13"/>
  <c r="AI423" i="13"/>
  <c r="AI163" i="13"/>
  <c r="AK377" i="13"/>
  <c r="AV480" i="13"/>
  <c r="R249" i="6"/>
  <c r="T358" i="6"/>
  <c r="AP438" i="13"/>
  <c r="AI146" i="13"/>
  <c r="AI202" i="13"/>
  <c r="AI198" i="13"/>
  <c r="AI362" i="13"/>
  <c r="AI395" i="13"/>
  <c r="U270" i="6" a="1"/>
  <c r="U270" i="6" s="1"/>
  <c r="AI136" i="13"/>
  <c r="AI218" i="13"/>
  <c r="AI319" i="13"/>
  <c r="T92" i="6"/>
  <c r="AI251" i="13"/>
  <c r="AI354" i="13"/>
  <c r="AI143" i="13"/>
  <c r="AI374" i="13"/>
  <c r="AI303" i="13"/>
  <c r="AI377" i="13"/>
  <c r="AI264" i="13"/>
  <c r="AI176" i="13"/>
  <c r="AI58" i="13"/>
  <c r="AI172" i="13"/>
  <c r="AI455" i="13"/>
  <c r="AJ110" i="13"/>
  <c r="AS273" i="13"/>
  <c r="AT273" i="13" s="1"/>
  <c r="AK213" i="13"/>
  <c r="AJ114" i="13"/>
  <c r="AP105" i="13"/>
  <c r="AJ105" i="13"/>
  <c r="AN141" i="13"/>
  <c r="AK475" i="13"/>
  <c r="AQ572" i="13"/>
  <c r="AP495" i="13"/>
  <c r="AS224" i="13"/>
  <c r="AT224" i="13" s="1"/>
  <c r="AK210" i="13"/>
  <c r="AJ544" i="13"/>
  <c r="AJ536" i="13"/>
  <c r="AS10" i="13"/>
  <c r="AT10" i="13" s="1"/>
  <c r="AK114" i="13"/>
  <c r="AK105" i="13"/>
  <c r="AP374" i="13"/>
  <c r="AS327" i="13"/>
  <c r="AT327" i="13" s="1"/>
  <c r="AJ495" i="13"/>
  <c r="AJ282" i="13"/>
  <c r="AN358" i="13"/>
  <c r="AP358" i="13"/>
  <c r="AS213" i="13"/>
  <c r="AT213" i="13" s="1"/>
  <c r="AS323" i="13"/>
  <c r="AT323" i="13" s="1"/>
  <c r="AP442" i="13"/>
  <c r="AK442" i="13"/>
  <c r="AP536" i="13"/>
  <c r="AK10" i="13"/>
  <c r="AS247" i="13"/>
  <c r="AT247" i="13" s="1"/>
  <c r="AP335" i="13"/>
  <c r="AV335" i="13" s="1"/>
  <c r="AS257" i="13"/>
  <c r="AT257" i="13" s="1"/>
  <c r="AS310" i="13"/>
  <c r="AT310" i="13" s="1"/>
  <c r="AP494" i="13"/>
  <c r="AK544" i="13"/>
  <c r="AJ554" i="13"/>
  <c r="AJ210" i="13"/>
  <c r="AN210" i="13"/>
  <c r="AJ241" i="13"/>
  <c r="AS241" i="13"/>
  <c r="AT241" i="13" s="1"/>
  <c r="AS504" i="13"/>
  <c r="AT504" i="13" s="1"/>
  <c r="AP173" i="13"/>
  <c r="AV173" i="13" s="1"/>
  <c r="AI171" i="13"/>
  <c r="AI313" i="13"/>
  <c r="AI343" i="13"/>
  <c r="AI82" i="13"/>
  <c r="AI153" i="13"/>
  <c r="AI99" i="13"/>
  <c r="AI274" i="13"/>
  <c r="AI345" i="13"/>
  <c r="AI2" i="13"/>
  <c r="AI104" i="13"/>
  <c r="AI314" i="13"/>
  <c r="AI329" i="13"/>
  <c r="AI331" i="13"/>
  <c r="AI229" i="13"/>
  <c r="AJ189" i="13"/>
  <c r="AP411" i="13"/>
  <c r="AJ237" i="13"/>
  <c r="AK425" i="13"/>
  <c r="AI348" i="13"/>
  <c r="AI245" i="13"/>
  <c r="AS322" i="13"/>
  <c r="AT322" i="13" s="1"/>
  <c r="AJ503" i="13"/>
  <c r="AP67" i="13"/>
  <c r="AJ148" i="13"/>
  <c r="AK41" i="13"/>
  <c r="AI81" i="13"/>
  <c r="AI157" i="13"/>
  <c r="AJ419" i="13"/>
  <c r="AI407" i="13"/>
  <c r="AI437" i="13"/>
  <c r="AJ136" i="13"/>
  <c r="AN339" i="13"/>
  <c r="AK541" i="13"/>
  <c r="AI365" i="13"/>
  <c r="AI299" i="13"/>
  <c r="AJ355" i="13"/>
  <c r="AI361" i="13"/>
  <c r="AP250" i="13"/>
  <c r="AV250" i="13" s="1"/>
  <c r="AP428" i="13"/>
  <c r="AV428" i="13" s="1"/>
  <c r="AS428" i="13"/>
  <c r="AT428" i="13" s="1"/>
  <c r="AJ486" i="13"/>
  <c r="AP392" i="13"/>
  <c r="AK49" i="13"/>
  <c r="AJ7" i="13"/>
  <c r="AI184" i="13"/>
  <c r="AN361" i="13"/>
  <c r="AP361" i="13"/>
  <c r="AS484" i="13"/>
  <c r="AT484" i="13" s="1"/>
  <c r="AJ41" i="13"/>
  <c r="AN41" i="13"/>
  <c r="AI338" i="13"/>
  <c r="AJ399" i="13"/>
  <c r="AP419" i="13"/>
  <c r="AI400" i="13"/>
  <c r="AI221" i="13"/>
  <c r="AS339" i="13"/>
  <c r="AT339" i="13" s="1"/>
  <c r="AJ541" i="13"/>
  <c r="AJ117" i="13"/>
  <c r="AJ387" i="13"/>
  <c r="AK485" i="13"/>
  <c r="AN250" i="13"/>
  <c r="AJ428" i="13"/>
  <c r="AI385" i="13"/>
  <c r="AP49" i="13"/>
  <c r="AI43" i="13"/>
  <c r="AP7" i="13"/>
  <c r="AV7" i="13" s="1"/>
  <c r="AP36" i="13"/>
  <c r="AV36" i="13" s="1"/>
  <c r="AI214" i="13"/>
  <c r="AI261" i="13"/>
  <c r="AK293" i="13"/>
  <c r="AK484" i="13"/>
  <c r="AI164" i="13"/>
  <c r="AI390" i="13"/>
  <c r="AK339" i="13"/>
  <c r="AS488" i="13"/>
  <c r="AT488" i="13" s="1"/>
  <c r="AJ75" i="13"/>
  <c r="AP318" i="13"/>
  <c r="AI438" i="13"/>
  <c r="AK347" i="13"/>
  <c r="AN162" i="13"/>
  <c r="AJ49" i="13"/>
  <c r="AI61" i="13"/>
  <c r="AK7" i="13"/>
  <c r="AI368" i="13"/>
  <c r="AJ484" i="13"/>
  <c r="AP286" i="13"/>
  <c r="AV286" i="13" s="1"/>
  <c r="AJ286" i="13"/>
  <c r="AK286" i="13"/>
  <c r="AN269" i="13"/>
  <c r="AN274" i="13"/>
  <c r="AI277" i="13"/>
  <c r="AK283" i="13"/>
  <c r="AJ323" i="13"/>
  <c r="AI364" i="13"/>
  <c r="AS401" i="13"/>
  <c r="AT401" i="13" s="1"/>
  <c r="AI326" i="13"/>
  <c r="AI396" i="13"/>
  <c r="AJ522" i="13"/>
  <c r="AI564" i="13"/>
  <c r="AK22" i="13"/>
  <c r="AJ253" i="13"/>
  <c r="AJ150" i="13"/>
  <c r="AJ394" i="13"/>
  <c r="AN411" i="13"/>
  <c r="AK411" i="13"/>
  <c r="AI408" i="13"/>
  <c r="AN471" i="13"/>
  <c r="AI17" i="13"/>
  <c r="AP75" i="13"/>
  <c r="AV75" i="13" s="1"/>
  <c r="AI114" i="13"/>
  <c r="AI50" i="13"/>
  <c r="AN237" i="13"/>
  <c r="AK318" i="13"/>
  <c r="AS475" i="13"/>
  <c r="AT475" i="13" s="1"/>
  <c r="AP468" i="13"/>
  <c r="AJ556" i="13"/>
  <c r="AK112" i="13"/>
  <c r="AP112" i="13"/>
  <c r="AV112" i="13" s="1"/>
  <c r="AS117" i="13"/>
  <c r="AT117" i="13" s="1"/>
  <c r="AP117" i="13"/>
  <c r="AI234" i="13"/>
  <c r="AI278" i="13"/>
  <c r="AI339" i="13"/>
  <c r="AJ494" i="13"/>
  <c r="AS544" i="13"/>
  <c r="AT544" i="13" s="1"/>
  <c r="AJ392" i="13"/>
  <c r="AJ340" i="13"/>
  <c r="AI121" i="13"/>
  <c r="AP32" i="13"/>
  <c r="AS270" i="13"/>
  <c r="AT270" i="13" s="1"/>
  <c r="AP309" i="13"/>
  <c r="AJ293" i="13"/>
  <c r="AI352" i="13"/>
  <c r="AN36" i="13"/>
  <c r="AI353" i="13"/>
  <c r="AJ361" i="13"/>
  <c r="AP269" i="13"/>
  <c r="AS361" i="13"/>
  <c r="AT361" i="13" s="1"/>
  <c r="AI189" i="13"/>
  <c r="AI318" i="13"/>
  <c r="AK323" i="13"/>
  <c r="AP323" i="13"/>
  <c r="AV323" i="13" s="1"/>
  <c r="AK417" i="13"/>
  <c r="AJ401" i="13"/>
  <c r="AI175" i="13"/>
  <c r="AN253" i="13"/>
  <c r="AP253" i="13"/>
  <c r="AV253" i="13" s="1"/>
  <c r="AN170" i="13"/>
  <c r="AN301" i="13"/>
  <c r="AI317" i="13"/>
  <c r="AI342" i="13"/>
  <c r="AP394" i="13"/>
  <c r="AV394" i="13" s="1"/>
  <c r="AS411" i="13"/>
  <c r="AT411" i="13" s="1"/>
  <c r="AS492" i="13"/>
  <c r="AT492" i="13" s="1"/>
  <c r="AS471" i="13"/>
  <c r="AT471" i="13" s="1"/>
  <c r="AN75" i="13"/>
  <c r="AK75" i="13"/>
  <c r="AJ149" i="13"/>
  <c r="AI185" i="13"/>
  <c r="AI422" i="13"/>
  <c r="AP475" i="13"/>
  <c r="AN112" i="13"/>
  <c r="AK117" i="13"/>
  <c r="AK494" i="13"/>
  <c r="AP544" i="13"/>
  <c r="AS392" i="13"/>
  <c r="AT392" i="13" s="1"/>
  <c r="AK340" i="13"/>
  <c r="AJ32" i="13"/>
  <c r="AN309" i="13"/>
  <c r="AI227" i="13"/>
  <c r="AK545" i="13"/>
  <c r="AS36" i="13"/>
  <c r="AT36" i="13" s="1"/>
  <c r="AI203" i="13"/>
  <c r="AJ269" i="13"/>
  <c r="AS417" i="13"/>
  <c r="AT417" i="13" s="1"/>
  <c r="AI349" i="13"/>
  <c r="AK157" i="13"/>
  <c r="AN128" i="13"/>
  <c r="AI199" i="13"/>
  <c r="AI310" i="13"/>
  <c r="AN318" i="13"/>
  <c r="AI150" i="13"/>
  <c r="AI179" i="13"/>
  <c r="AI225" i="13"/>
  <c r="AI238" i="13"/>
  <c r="AI356" i="13"/>
  <c r="AI399" i="13"/>
  <c r="AS494" i="13"/>
  <c r="AT494" i="13" s="1"/>
  <c r="AI383" i="13"/>
  <c r="AK309" i="13"/>
  <c r="AJ36" i="13"/>
  <c r="AS545" i="13"/>
  <c r="AT545" i="13" s="1"/>
  <c r="AS293" i="13"/>
  <c r="AT293" i="13" s="1"/>
  <c r="AP293" i="13"/>
  <c r="AV293" i="13" s="1"/>
  <c r="AI6" i="13"/>
  <c r="AP522" i="13"/>
  <c r="AI152" i="13"/>
  <c r="AK269" i="13"/>
  <c r="AK110" i="13"/>
  <c r="AJ165" i="13"/>
  <c r="AK238" i="13"/>
  <c r="AP33" i="13"/>
  <c r="AV33" i="13" s="1"/>
  <c r="AJ224" i="13"/>
  <c r="AN118" i="13"/>
  <c r="AP37" i="13"/>
  <c r="AJ420" i="13"/>
  <c r="AP422" i="13"/>
  <c r="AK488" i="13"/>
  <c r="AS571" i="13"/>
  <c r="AT571" i="13" s="1"/>
  <c r="AK294" i="13"/>
  <c r="AK11" i="13"/>
  <c r="AK206" i="13"/>
  <c r="AK355" i="13"/>
  <c r="AP355" i="13"/>
  <c r="AV355" i="13" s="1"/>
  <c r="AS485" i="13"/>
  <c r="AT485" i="13" s="1"/>
  <c r="AP506" i="13"/>
  <c r="AV506" i="13" s="1"/>
  <c r="AP554" i="13"/>
  <c r="AN137" i="13"/>
  <c r="AP83" i="13"/>
  <c r="AN282" i="13"/>
  <c r="AN477" i="13"/>
  <c r="AN173" i="13"/>
  <c r="AK173" i="13"/>
  <c r="AP478" i="13"/>
  <c r="AJ173" i="13"/>
  <c r="AJ572" i="13"/>
  <c r="AN238" i="13"/>
  <c r="AN391" i="13"/>
  <c r="AP118" i="13"/>
  <c r="AV118" i="13" s="1"/>
  <c r="AS11" i="13"/>
  <c r="AT11" i="13" s="1"/>
  <c r="AN11" i="13"/>
  <c r="AS206" i="13"/>
  <c r="AT206" i="13" s="1"/>
  <c r="AN355" i="13"/>
  <c r="AN387" i="13"/>
  <c r="AP485" i="13"/>
  <c r="AS506" i="13"/>
  <c r="AT506" i="13" s="1"/>
  <c r="AJ506" i="13"/>
  <c r="AK554" i="13"/>
  <c r="AP224" i="13"/>
  <c r="AK282" i="13"/>
  <c r="AJ477" i="13"/>
  <c r="AJ147" i="13"/>
  <c r="AS110" i="13"/>
  <c r="AT110" i="13" s="1"/>
  <c r="AK165" i="13"/>
  <c r="AP165" i="13"/>
  <c r="AV165" i="13" s="1"/>
  <c r="AJ223" i="13"/>
  <c r="AK33" i="13"/>
  <c r="AK37" i="13"/>
  <c r="AN245" i="13"/>
  <c r="AJ205" i="13"/>
  <c r="AP420" i="13"/>
  <c r="AP488" i="13"/>
  <c r="AK538" i="13"/>
  <c r="AP110" i="13"/>
  <c r="AV110" i="13" s="1"/>
  <c r="AJ238" i="13"/>
  <c r="AJ561" i="13"/>
  <c r="AS37" i="13"/>
  <c r="AT37" i="13" s="1"/>
  <c r="AK245" i="13"/>
  <c r="AP205" i="13"/>
  <c r="AS538" i="13"/>
  <c r="AT538" i="13" s="1"/>
  <c r="AP73" i="13"/>
  <c r="AS387" i="13"/>
  <c r="AT387" i="13" s="1"/>
  <c r="AJ559" i="13"/>
  <c r="AJ222" i="13"/>
  <c r="AS486" i="13"/>
  <c r="AT486" i="13" s="1"/>
  <c r="AS282" i="13"/>
  <c r="AT282" i="13" s="1"/>
  <c r="AN381" i="13"/>
  <c r="AJ448" i="13"/>
  <c r="AS27" i="13"/>
  <c r="AT27" i="13" s="1"/>
  <c r="AP115" i="13"/>
  <c r="AS478" i="13"/>
  <c r="AT478" i="13" s="1"/>
  <c r="AJ358" i="13"/>
  <c r="AP289" i="13"/>
  <c r="AS289" i="13"/>
  <c r="AT289" i="13" s="1"/>
  <c r="AN27" i="13"/>
  <c r="AS115" i="13"/>
  <c r="AT115" i="13" s="1"/>
  <c r="AJ478" i="13"/>
  <c r="AS358" i="13"/>
  <c r="AT358" i="13" s="1"/>
  <c r="AJ289" i="13"/>
  <c r="AK289" i="13"/>
  <c r="AS480" i="13"/>
  <c r="AT480" i="13" s="1"/>
  <c r="AS227" i="13"/>
  <c r="AT227" i="13" s="1"/>
  <c r="AP526" i="13"/>
  <c r="AJ27" i="13"/>
  <c r="AS83" i="13"/>
  <c r="AT83" i="13" s="1"/>
  <c r="AJ480" i="13"/>
  <c r="AN480" i="13"/>
  <c r="AJ575" i="13"/>
  <c r="AS443" i="13"/>
  <c r="AT443" i="13" s="1"/>
  <c r="AJ443" i="13"/>
  <c r="AP443" i="13"/>
  <c r="AV443" i="13" s="1"/>
  <c r="AK443" i="13"/>
  <c r="AK95" i="13"/>
  <c r="AP95" i="13"/>
  <c r="AP463" i="13"/>
  <c r="AJ463" i="13"/>
  <c r="AK70" i="13"/>
  <c r="AP70" i="13"/>
  <c r="AP400" i="13"/>
  <c r="AJ400" i="13"/>
  <c r="AN164" i="13"/>
  <c r="AS164" i="13"/>
  <c r="AT164" i="13" s="1"/>
  <c r="AK454" i="13"/>
  <c r="AS454" i="13"/>
  <c r="AT454" i="13" s="1"/>
  <c r="AK542" i="13"/>
  <c r="AS542" i="13"/>
  <c r="AT542" i="13" s="1"/>
  <c r="AK467" i="13"/>
  <c r="AS467" i="13"/>
  <c r="AT467" i="13" s="1"/>
  <c r="AS449" i="13"/>
  <c r="AT449" i="13" s="1"/>
  <c r="AK449" i="13"/>
  <c r="AK578" i="13"/>
  <c r="AP578" i="13"/>
  <c r="AJ372" i="13"/>
  <c r="AP372" i="13"/>
  <c r="AP290" i="13"/>
  <c r="AJ290" i="13"/>
  <c r="AS558" i="13"/>
  <c r="AT558" i="13" s="1"/>
  <c r="AP558" i="13"/>
  <c r="AS348" i="13"/>
  <c r="AT348" i="13" s="1"/>
  <c r="AK348" i="13"/>
  <c r="AK497" i="13"/>
  <c r="AS497" i="13"/>
  <c r="AT497" i="13" s="1"/>
  <c r="AK523" i="13"/>
  <c r="AS523" i="13"/>
  <c r="AT523" i="13" s="1"/>
  <c r="AJ64" i="13"/>
  <c r="AN64" i="13"/>
  <c r="AP344" i="13"/>
  <c r="AK344" i="13"/>
  <c r="AN397" i="13"/>
  <c r="AS397" i="13"/>
  <c r="AT397" i="13" s="1"/>
  <c r="AJ397" i="13"/>
  <c r="AP507" i="13"/>
  <c r="AJ507" i="13"/>
  <c r="AK63" i="13"/>
  <c r="AS63" i="13"/>
  <c r="AT63" i="13" s="1"/>
  <c r="AK472" i="13"/>
  <c r="AP472" i="13"/>
  <c r="AJ472" i="13"/>
  <c r="AS472" i="13"/>
  <c r="AT472" i="13" s="1"/>
  <c r="AP504" i="13"/>
  <c r="AV504" i="13" s="1"/>
  <c r="AJ504" i="13"/>
  <c r="AN504" i="13"/>
  <c r="AN327" i="13"/>
  <c r="AK327" i="13"/>
  <c r="AJ327" i="13"/>
  <c r="AP79" i="13"/>
  <c r="AV79" i="13" s="1"/>
  <c r="AJ79" i="13"/>
  <c r="AS79" i="13"/>
  <c r="AT79" i="13" s="1"/>
  <c r="AK79" i="13"/>
  <c r="AJ103" i="13"/>
  <c r="AP103" i="13"/>
  <c r="AN443" i="13"/>
  <c r="AK458" i="13"/>
  <c r="AN458" i="13"/>
  <c r="AN379" i="13"/>
  <c r="AP379" i="13"/>
  <c r="AV379" i="13" s="1"/>
  <c r="AP312" i="13"/>
  <c r="AV312" i="13" s="1"/>
  <c r="AK312" i="13"/>
  <c r="AS337" i="13"/>
  <c r="AT337" i="13" s="1"/>
  <c r="AP337" i="13"/>
  <c r="AV337" i="13" s="1"/>
  <c r="AN9" i="13"/>
  <c r="AS9" i="13"/>
  <c r="AT9" i="13" s="1"/>
  <c r="AS341" i="13"/>
  <c r="AT341" i="13" s="1"/>
  <c r="AP341" i="13"/>
  <c r="AQ455" i="13"/>
  <c r="AJ563" i="13"/>
  <c r="AS343" i="13"/>
  <c r="AT343" i="13" s="1"/>
  <c r="AK431" i="13"/>
  <c r="AJ10" i="13"/>
  <c r="AP207" i="13"/>
  <c r="AK370" i="13"/>
  <c r="AJ557" i="13"/>
  <c r="AS318" i="13"/>
  <c r="AT318" i="13" s="1"/>
  <c r="AJ481" i="13"/>
  <c r="AK456" i="13"/>
  <c r="AP227" i="13"/>
  <c r="AK365" i="13"/>
  <c r="AK162" i="13"/>
  <c r="AS366" i="13"/>
  <c r="AT366" i="13" s="1"/>
  <c r="AP40" i="13"/>
  <c r="AK270" i="13"/>
  <c r="AP477" i="13"/>
  <c r="AV477" i="13" s="1"/>
  <c r="AS518" i="13"/>
  <c r="AT518" i="13" s="1"/>
  <c r="AK273" i="13"/>
  <c r="AS536" i="13"/>
  <c r="AT536" i="13" s="1"/>
  <c r="AN8" i="13"/>
  <c r="AN10" i="13"/>
  <c r="AJ471" i="13"/>
  <c r="AP471" i="13"/>
  <c r="AP538" i="13"/>
  <c r="AK389" i="13"/>
  <c r="AP440" i="13"/>
  <c r="AJ15" i="13"/>
  <c r="AJ267" i="13"/>
  <c r="AJ242" i="13"/>
  <c r="AJ320" i="13"/>
  <c r="AK387" i="13"/>
  <c r="AQ468" i="13"/>
  <c r="AJ545" i="13"/>
  <c r="AN227" i="13"/>
  <c r="AP365" i="13"/>
  <c r="AS292" i="13"/>
  <c r="AT292" i="13" s="1"/>
  <c r="AS477" i="13"/>
  <c r="AT477" i="13" s="1"/>
  <c r="AP270" i="13"/>
  <c r="AV270" i="13" s="1"/>
  <c r="AP518" i="13"/>
  <c r="AJ518" i="13"/>
  <c r="AS416" i="13"/>
  <c r="AT416" i="13" s="1"/>
  <c r="AJ193" i="13"/>
  <c r="AJ274" i="13"/>
  <c r="AI284" i="13"/>
  <c r="AI167" i="13"/>
  <c r="AK128" i="13"/>
  <c r="AS373" i="13"/>
  <c r="AT373" i="13" s="1"/>
  <c r="AI25" i="13"/>
  <c r="AI76" i="13"/>
  <c r="AI569" i="13"/>
  <c r="R33" i="13"/>
  <c r="AU33" i="13" s="1"/>
  <c r="AI129" i="13"/>
  <c r="AI357" i="13"/>
  <c r="AI509" i="13"/>
  <c r="AI147" i="13"/>
  <c r="AI192" i="13"/>
  <c r="AI499" i="13"/>
  <c r="AI37" i="13"/>
  <c r="AI117" i="13"/>
  <c r="AI233" i="13"/>
  <c r="AI414" i="13"/>
  <c r="AI128" i="13"/>
  <c r="AI237" i="13"/>
  <c r="AI174" i="13"/>
  <c r="AI139" i="13"/>
  <c r="O491" i="15"/>
  <c r="O119" i="15"/>
  <c r="O478" i="15"/>
  <c r="O488" i="15"/>
  <c r="O197" i="15"/>
  <c r="O539" i="15"/>
  <c r="O440" i="15"/>
  <c r="O485" i="15"/>
  <c r="P217" i="13"/>
  <c r="O12" i="15"/>
  <c r="O483" i="15"/>
  <c r="O244" i="15"/>
  <c r="P132" i="13"/>
  <c r="AI249" i="13"/>
  <c r="P33" i="13"/>
  <c r="AJ449" i="13"/>
  <c r="AP454" i="13"/>
  <c r="AS114" i="13"/>
  <c r="AT114" i="13" s="1"/>
  <c r="AP164" i="13"/>
  <c r="AS278" i="13"/>
  <c r="AT278" i="13" s="1"/>
  <c r="AJ287" i="13"/>
  <c r="AN348" i="13"/>
  <c r="AN374" i="13"/>
  <c r="AK374" i="13"/>
  <c r="AS410" i="13"/>
  <c r="AT410" i="13" s="1"/>
  <c r="J45" i="13"/>
  <c r="AI45" i="13" s="1"/>
  <c r="AJ310" i="13"/>
  <c r="AS209" i="13"/>
  <c r="AT209" i="13" s="1"/>
  <c r="AP397" i="13"/>
  <c r="AJ383" i="13"/>
  <c r="AS43" i="13"/>
  <c r="AT43" i="13" s="1"/>
  <c r="AK64" i="13"/>
  <c r="AS344" i="13"/>
  <c r="AT344" i="13" s="1"/>
  <c r="AK400" i="13"/>
  <c r="AS507" i="13"/>
  <c r="AT507" i="13" s="1"/>
  <c r="AJ63" i="13"/>
  <c r="AP285" i="13"/>
  <c r="AV285" i="13" s="1"/>
  <c r="AK241" i="13"/>
  <c r="AN241" i="13"/>
  <c r="AJ220" i="13"/>
  <c r="AP467" i="13"/>
  <c r="AJ558" i="13"/>
  <c r="AN22" i="13"/>
  <c r="AN372" i="13"/>
  <c r="AP497" i="13"/>
  <c r="AP496" i="13"/>
  <c r="AJ578" i="13"/>
  <c r="AJ567" i="13"/>
  <c r="AS220" i="13"/>
  <c r="AT220" i="13" s="1"/>
  <c r="AJ260" i="13"/>
  <c r="AJ344" i="13"/>
  <c r="AP449" i="13"/>
  <c r="AJ454" i="13"/>
  <c r="AJ467" i="13"/>
  <c r="AK558" i="13"/>
  <c r="AS22" i="13"/>
  <c r="AT22" i="13" s="1"/>
  <c r="AN114" i="13"/>
  <c r="AK171" i="13"/>
  <c r="AK164" i="13"/>
  <c r="AN278" i="13"/>
  <c r="AS372" i="13"/>
  <c r="AT372" i="13" s="1"/>
  <c r="AJ497" i="13"/>
  <c r="AS469" i="13"/>
  <c r="AT469" i="13" s="1"/>
  <c r="AJ348" i="13"/>
  <c r="AS374" i="13"/>
  <c r="AT374" i="13" s="1"/>
  <c r="AP310" i="13"/>
  <c r="AK397" i="13"/>
  <c r="AK120" i="13"/>
  <c r="AN383" i="13"/>
  <c r="AN43" i="13"/>
  <c r="AS64" i="13"/>
  <c r="AT64" i="13" s="1"/>
  <c r="AN400" i="13"/>
  <c r="AP63" i="13"/>
  <c r="AV63" i="13" s="1"/>
  <c r="AK507" i="13"/>
  <c r="AK169" i="13"/>
  <c r="AJ22" i="13"/>
  <c r="AK195" i="13"/>
  <c r="AP348" i="13"/>
  <c r="AQ216" i="13"/>
  <c r="AN310" i="13"/>
  <c r="AJ403" i="13"/>
  <c r="AP521" i="13"/>
  <c r="AV521" i="13" s="1"/>
  <c r="AP64" i="13"/>
  <c r="AJ212" i="13"/>
  <c r="AS499" i="13"/>
  <c r="AT499" i="13" s="1"/>
  <c r="AJ162" i="13"/>
  <c r="AJ482" i="13"/>
  <c r="J573" i="13"/>
  <c r="AI573" i="13" s="1"/>
  <c r="AK147" i="13"/>
  <c r="AS50" i="13"/>
  <c r="AT50" i="13" s="1"/>
  <c r="AK480" i="13"/>
  <c r="AJ381" i="13"/>
  <c r="AK381" i="13"/>
  <c r="AS381" i="13"/>
  <c r="AT381" i="13" s="1"/>
  <c r="AJ70" i="13"/>
  <c r="AS76" i="13"/>
  <c r="AT76" i="13" s="1"/>
  <c r="AN76" i="13"/>
  <c r="AK243" i="13"/>
  <c r="AP243" i="13"/>
  <c r="AP220" i="13"/>
  <c r="AK223" i="13"/>
  <c r="J267" i="13"/>
  <c r="AI267" i="13" s="1"/>
  <c r="AS245" i="13"/>
  <c r="AT245" i="13" s="1"/>
  <c r="AJ141" i="13"/>
  <c r="AS141" i="13"/>
  <c r="AT141" i="13" s="1"/>
  <c r="AK212" i="13"/>
  <c r="AK247" i="13"/>
  <c r="AK150" i="13"/>
  <c r="AJ346" i="13"/>
  <c r="AN433" i="13"/>
  <c r="AS380" i="13"/>
  <c r="AT380" i="13" s="1"/>
  <c r="AK422" i="13"/>
  <c r="AK440" i="13"/>
  <c r="AK465" i="13"/>
  <c r="AN437" i="13"/>
  <c r="AJ571" i="13"/>
  <c r="AP571" i="13"/>
  <c r="AP557" i="13"/>
  <c r="AP267" i="13"/>
  <c r="AS294" i="13"/>
  <c r="AT294" i="13" s="1"/>
  <c r="AK410" i="13"/>
  <c r="AJ468" i="13"/>
  <c r="AN277" i="13"/>
  <c r="AJ373" i="13"/>
  <c r="AK436" i="13"/>
  <c r="AS574" i="13"/>
  <c r="AT574" i="13" s="1"/>
  <c r="AS137" i="13"/>
  <c r="AT137" i="13" s="1"/>
  <c r="AN365" i="13"/>
  <c r="AP84" i="13"/>
  <c r="AN50" i="13"/>
  <c r="AJ50" i="13"/>
  <c r="AJ76" i="13"/>
  <c r="AN243" i="13"/>
  <c r="AK220" i="13"/>
  <c r="AP391" i="13"/>
  <c r="AV391" i="13" s="1"/>
  <c r="AJ450" i="13"/>
  <c r="AJ55" i="13"/>
  <c r="AJ245" i="13"/>
  <c r="AP141" i="13"/>
  <c r="AV141" i="13" s="1"/>
  <c r="AP212" i="13"/>
  <c r="AP247" i="13"/>
  <c r="AN150" i="13"/>
  <c r="AS346" i="13"/>
  <c r="AT346" i="13" s="1"/>
  <c r="AJ433" i="13"/>
  <c r="AP380" i="13"/>
  <c r="AV380" i="13" s="1"/>
  <c r="AS440" i="13"/>
  <c r="AT440" i="13" s="1"/>
  <c r="AS465" i="13"/>
  <c r="AT465" i="13" s="1"/>
  <c r="AK557" i="13"/>
  <c r="AN267" i="13"/>
  <c r="AP294" i="13"/>
  <c r="AK468" i="13"/>
  <c r="AS175" i="13"/>
  <c r="AT175" i="13" s="1"/>
  <c r="AQ223" i="13"/>
  <c r="AK325" i="13"/>
  <c r="AK373" i="13"/>
  <c r="AP373" i="13"/>
  <c r="AJ487" i="13"/>
  <c r="AJ531" i="13"/>
  <c r="AJ137" i="13"/>
  <c r="AP137" i="13"/>
  <c r="AV137" i="13" s="1"/>
  <c r="AS365" i="13"/>
  <c r="AT365" i="13" s="1"/>
  <c r="AJ139" i="13"/>
  <c r="AK510" i="13"/>
  <c r="AS288" i="13"/>
  <c r="AT288" i="13" s="1"/>
  <c r="AJ84" i="13"/>
  <c r="AJ369" i="13"/>
  <c r="AK50" i="13"/>
  <c r="AP168" i="13"/>
  <c r="AP223" i="13"/>
  <c r="AK299" i="13"/>
  <c r="AS389" i="13"/>
  <c r="AT389" i="13" s="1"/>
  <c r="AS69" i="13"/>
  <c r="AT69" i="13" s="1"/>
  <c r="AP150" i="13"/>
  <c r="AJ380" i="13"/>
  <c r="AJ466" i="13"/>
  <c r="AK267" i="13"/>
  <c r="AN410" i="13"/>
  <c r="AS468" i="13"/>
  <c r="AT468" i="13" s="1"/>
  <c r="AN151" i="13"/>
  <c r="AK320" i="13"/>
  <c r="AK448" i="13"/>
  <c r="AS356" i="13"/>
  <c r="AT356" i="13" s="1"/>
  <c r="AP248" i="13"/>
  <c r="AI18" i="13"/>
  <c r="AP523" i="13"/>
  <c r="AS562" i="13"/>
  <c r="AT562" i="13" s="1"/>
  <c r="AP563" i="13"/>
  <c r="AN202" i="13"/>
  <c r="AJ473" i="13"/>
  <c r="AP383" i="13"/>
  <c r="AJ43" i="13"/>
  <c r="AS333" i="13"/>
  <c r="AT333" i="13" s="1"/>
  <c r="AJ135" i="13"/>
  <c r="AJ157" i="13"/>
  <c r="AN195" i="13"/>
  <c r="AJ128" i="13"/>
  <c r="AS128" i="13"/>
  <c r="AT128" i="13" s="1"/>
  <c r="AK412" i="13"/>
  <c r="AS426" i="13"/>
  <c r="AT426" i="13" s="1"/>
  <c r="AK202" i="13"/>
  <c r="AP473" i="13"/>
  <c r="AS383" i="13"/>
  <c r="AT383" i="13" s="1"/>
  <c r="AK43" i="13"/>
  <c r="AP6" i="13"/>
  <c r="AJ333" i="13"/>
  <c r="AS135" i="13"/>
  <c r="AT135" i="13" s="1"/>
  <c r="AP195" i="13"/>
  <c r="AS493" i="13"/>
  <c r="AT493" i="13" s="1"/>
  <c r="AP180" i="13"/>
  <c r="AJ25" i="13"/>
  <c r="AP421" i="13"/>
  <c r="AV421" i="13" s="1"/>
  <c r="AP57" i="13"/>
  <c r="AV57" i="13" s="1"/>
  <c r="AS302" i="13"/>
  <c r="AT302" i="13" s="1"/>
  <c r="AS441" i="13"/>
  <c r="AT441" i="13" s="1"/>
  <c r="AP561" i="13"/>
  <c r="AS171" i="13"/>
  <c r="AT171" i="13" s="1"/>
  <c r="AK207" i="13"/>
  <c r="AP170" i="13"/>
  <c r="AV170" i="13" s="1"/>
  <c r="AS170" i="13"/>
  <c r="AT170" i="13" s="1"/>
  <c r="AN375" i="13"/>
  <c r="AJ278" i="13"/>
  <c r="AK335" i="13"/>
  <c r="AK469" i="13"/>
  <c r="AP135" i="13"/>
  <c r="AV135" i="13" s="1"/>
  <c r="AJ306" i="13"/>
  <c r="AJ342" i="13"/>
  <c r="AK416" i="13"/>
  <c r="AS382" i="13"/>
  <c r="AT382" i="13" s="1"/>
  <c r="AK493" i="13"/>
  <c r="AK514" i="13"/>
  <c r="AP562" i="13"/>
  <c r="AK556" i="13"/>
  <c r="AJ180" i="13"/>
  <c r="AP274" i="13"/>
  <c r="AK413" i="13"/>
  <c r="AS412" i="13"/>
  <c r="AT412" i="13" s="1"/>
  <c r="AN412" i="13"/>
  <c r="AK421" i="13"/>
  <c r="AJ426" i="13"/>
  <c r="AP426" i="13"/>
  <c r="AK57" i="13"/>
  <c r="AP302" i="13"/>
  <c r="AP430" i="13"/>
  <c r="AV430" i="13" s="1"/>
  <c r="AS120" i="13"/>
  <c r="AT120" i="13" s="1"/>
  <c r="AK473" i="13"/>
  <c r="AJ44" i="13"/>
  <c r="AK44" i="13"/>
  <c r="AN333" i="13"/>
  <c r="AQ426" i="13"/>
  <c r="AK60" i="13"/>
  <c r="AJ138" i="13"/>
  <c r="AK360" i="13"/>
  <c r="AP441" i="13"/>
  <c r="AV441" i="13" s="1"/>
  <c r="AK561" i="13"/>
  <c r="AP119" i="13"/>
  <c r="AN207" i="13"/>
  <c r="AJ170" i="13"/>
  <c r="AP278" i="13"/>
  <c r="AJ364" i="13"/>
  <c r="AN335" i="13"/>
  <c r="AQ575" i="13"/>
  <c r="AK135" i="13"/>
  <c r="AP306" i="13"/>
  <c r="AV306" i="13" s="1"/>
  <c r="AP493" i="13"/>
  <c r="AS514" i="13"/>
  <c r="AT514" i="13" s="1"/>
  <c r="AS556" i="13"/>
  <c r="AT556" i="13" s="1"/>
  <c r="AS180" i="13"/>
  <c r="AT180" i="13" s="1"/>
  <c r="AK104" i="13"/>
  <c r="AP142" i="13"/>
  <c r="AS274" i="13"/>
  <c r="AT274" i="13" s="1"/>
  <c r="AS413" i="13"/>
  <c r="AT413" i="13" s="1"/>
  <c r="AP412" i="13"/>
  <c r="AV412" i="13" s="1"/>
  <c r="AS421" i="13"/>
  <c r="AT421" i="13" s="1"/>
  <c r="AN421" i="13"/>
  <c r="AK426" i="13"/>
  <c r="AN57" i="13"/>
  <c r="AJ302" i="13"/>
  <c r="AJ120" i="13"/>
  <c r="AN473" i="13"/>
  <c r="AP60" i="13"/>
  <c r="AP138" i="13"/>
  <c r="AS44" i="13"/>
  <c r="AT44" i="13" s="1"/>
  <c r="J269" i="13"/>
  <c r="AI269" i="13" s="1"/>
  <c r="AP451" i="13"/>
  <c r="AK462" i="13"/>
  <c r="AJ207" i="13"/>
  <c r="AJ335" i="13"/>
  <c r="AJ57" i="13"/>
  <c r="AJ60" i="13"/>
  <c r="AP333" i="13"/>
  <c r="AI426" i="13"/>
  <c r="AS184" i="13"/>
  <c r="AT184" i="13" s="1"/>
  <c r="AN414" i="13"/>
  <c r="AJ115" i="13"/>
  <c r="AS151" i="13"/>
  <c r="AT151" i="13" s="1"/>
  <c r="AJ175" i="13"/>
  <c r="AP148" i="13"/>
  <c r="AV148" i="13" s="1"/>
  <c r="AS174" i="13"/>
  <c r="AT174" i="13" s="1"/>
  <c r="AJ277" i="13"/>
  <c r="AJ257" i="13"/>
  <c r="AK290" i="13"/>
  <c r="AN320" i="13"/>
  <c r="AK363" i="13"/>
  <c r="AJ336" i="13"/>
  <c r="AP436" i="13"/>
  <c r="AV436" i="13" s="1"/>
  <c r="AS436" i="13"/>
  <c r="AT436" i="13" s="1"/>
  <c r="AJ574" i="13"/>
  <c r="AP574" i="13"/>
  <c r="AP559" i="13"/>
  <c r="AJ88" i="13"/>
  <c r="AJ209" i="13"/>
  <c r="AJ455" i="13"/>
  <c r="AS448" i="13"/>
  <c r="AT448" i="13" s="1"/>
  <c r="AK575" i="13"/>
  <c r="AK139" i="13"/>
  <c r="AP510" i="13"/>
  <c r="AS526" i="13"/>
  <c r="AT526" i="13" s="1"/>
  <c r="AK376" i="13"/>
  <c r="AN376" i="13" s="1"/>
  <c r="AN285" i="13"/>
  <c r="AN147" i="13"/>
  <c r="AS195" i="13"/>
  <c r="AT195" i="13" s="1"/>
  <c r="AJ410" i="13"/>
  <c r="AP514" i="13"/>
  <c r="AJ151" i="13"/>
  <c r="AK175" i="13"/>
  <c r="AP175" i="13"/>
  <c r="AK148" i="13"/>
  <c r="AP277" i="13"/>
  <c r="AN257" i="13"/>
  <c r="AP257" i="13"/>
  <c r="AV257" i="13" s="1"/>
  <c r="AS290" i="13"/>
  <c r="AT290" i="13" s="1"/>
  <c r="AS320" i="13"/>
  <c r="AT320" i="13" s="1"/>
  <c r="AJ436" i="13"/>
  <c r="AK559" i="13"/>
  <c r="AK563" i="13"/>
  <c r="AP209" i="13"/>
  <c r="AP448" i="13"/>
  <c r="AP575" i="13"/>
  <c r="AS575" i="13"/>
  <c r="AT575" i="13" s="1"/>
  <c r="AP512" i="13"/>
  <c r="AJ526" i="13"/>
  <c r="AP542" i="13"/>
  <c r="AP376" i="13"/>
  <c r="AJ34" i="13"/>
  <c r="AS285" i="13"/>
  <c r="AT285" i="13" s="1"/>
  <c r="AQ270" i="13"/>
  <c r="AP369" i="13"/>
  <c r="AJ452" i="13"/>
  <c r="AP338" i="13"/>
  <c r="AK151" i="13"/>
  <c r="AS277" i="13"/>
  <c r="AT277" i="13" s="1"/>
  <c r="AS563" i="13"/>
  <c r="AT563" i="13" s="1"/>
  <c r="AN209" i="13"/>
  <c r="AP405" i="13"/>
  <c r="AV405" i="13" s="1"/>
  <c r="AN139" i="13"/>
  <c r="AJ214" i="13"/>
  <c r="J22" i="13"/>
  <c r="AI22" i="13" s="1"/>
  <c r="AS482" i="13"/>
  <c r="AT482" i="13" s="1"/>
  <c r="AK285" i="13"/>
  <c r="AS138" i="13"/>
  <c r="AT138" i="13" s="1"/>
  <c r="AP147" i="13"/>
  <c r="AS369" i="13"/>
  <c r="AT369" i="13" s="1"/>
  <c r="AJ261" i="13"/>
  <c r="AK512" i="13"/>
  <c r="AS167" i="13"/>
  <c r="AT167" i="13" s="1"/>
  <c r="AK14" i="13"/>
  <c r="AJ512" i="13"/>
  <c r="AP12" i="13"/>
  <c r="AQ451" i="13"/>
  <c r="AK479" i="13"/>
  <c r="AN479" i="13"/>
  <c r="AN273" i="13"/>
  <c r="AS326" i="13"/>
  <c r="AT326" i="13" s="1"/>
  <c r="AP61" i="13"/>
  <c r="AJ71" i="13"/>
  <c r="AN71" i="13" s="1"/>
  <c r="AJ20" i="13"/>
  <c r="AN20" i="13"/>
  <c r="AP251" i="13"/>
  <c r="AN251" i="13"/>
  <c r="AQ563" i="13"/>
  <c r="AP565" i="13"/>
  <c r="AJ565" i="13"/>
  <c r="AJ430" i="13"/>
  <c r="AS430" i="13"/>
  <c r="AT430" i="13" s="1"/>
  <c r="AK159" i="13"/>
  <c r="AS159" i="13"/>
  <c r="AT159" i="13" s="1"/>
  <c r="AS451" i="13"/>
  <c r="AT451" i="13" s="1"/>
  <c r="AN279" i="13"/>
  <c r="AJ279" i="13"/>
  <c r="AS279" i="13"/>
  <c r="AT279" i="13" s="1"/>
  <c r="AS329" i="13"/>
  <c r="AT329" i="13" s="1"/>
  <c r="AK329" i="13"/>
  <c r="AN329" i="13"/>
  <c r="AJ516" i="13"/>
  <c r="AK516" i="13"/>
  <c r="AN455" i="13"/>
  <c r="AK455" i="13"/>
  <c r="AK466" i="13"/>
  <c r="AP466" i="13"/>
  <c r="J473" i="13"/>
  <c r="AI473" i="13" s="1"/>
  <c r="AQ473" i="13"/>
  <c r="AK356" i="13"/>
  <c r="AN356" i="13"/>
  <c r="AP356" i="13"/>
  <c r="AS236" i="13"/>
  <c r="AT236" i="13" s="1"/>
  <c r="AN236" i="13"/>
  <c r="AJ236" i="13"/>
  <c r="AN45" i="13"/>
  <c r="AS45" i="13"/>
  <c r="AT45" i="13" s="1"/>
  <c r="AJ291" i="13"/>
  <c r="AN291" i="13"/>
  <c r="AS291" i="13"/>
  <c r="AT291" i="13" s="1"/>
  <c r="AS109" i="13"/>
  <c r="AT109" i="13" s="1"/>
  <c r="AK109" i="13"/>
  <c r="AJ109" i="13"/>
  <c r="AP109" i="13"/>
  <c r="AK444" i="13"/>
  <c r="AP444" i="13"/>
  <c r="AJ444" i="13"/>
  <c r="AN353" i="13"/>
  <c r="AK353" i="13"/>
  <c r="AP353" i="13"/>
  <c r="AQ542" i="13"/>
  <c r="AJ542" i="13"/>
  <c r="AP198" i="13"/>
  <c r="AJ198" i="13"/>
  <c r="AN198" i="13" s="1"/>
  <c r="AP53" i="13"/>
  <c r="AS53" i="13"/>
  <c r="AT53" i="13" s="1"/>
  <c r="AK451" i="13"/>
  <c r="AJ451" i="13"/>
  <c r="AS262" i="13"/>
  <c r="AT262" i="13" s="1"/>
  <c r="AP262" i="13"/>
  <c r="AV262" i="13" s="1"/>
  <c r="AJ262" i="13"/>
  <c r="AJ347" i="13"/>
  <c r="AS347" i="13"/>
  <c r="AT347" i="13" s="1"/>
  <c r="AP439" i="13"/>
  <c r="AS439" i="13"/>
  <c r="AT439" i="13" s="1"/>
  <c r="AJ439" i="13"/>
  <c r="AK226" i="13"/>
  <c r="AS283" i="13"/>
  <c r="AT283" i="13" s="1"/>
  <c r="AS360" i="13"/>
  <c r="AT360" i="13" s="1"/>
  <c r="AN360" i="13"/>
  <c r="AK399" i="13"/>
  <c r="AP399" i="13"/>
  <c r="AK341" i="13"/>
  <c r="AJ379" i="13"/>
  <c r="AS458" i="13"/>
  <c r="AT458" i="13" s="1"/>
  <c r="AJ158" i="13"/>
  <c r="AK221" i="13"/>
  <c r="AK439" i="13"/>
  <c r="AS226" i="13"/>
  <c r="AT226" i="13" s="1"/>
  <c r="AJ273" i="13"/>
  <c r="AJ283" i="13"/>
  <c r="AJ360" i="13"/>
  <c r="AN399" i="13"/>
  <c r="AN341" i="13"/>
  <c r="AP417" i="13"/>
  <c r="AS379" i="13"/>
  <c r="AT379" i="13" s="1"/>
  <c r="AS442" i="13"/>
  <c r="AT442" i="13" s="1"/>
  <c r="AJ458" i="13"/>
  <c r="AP453" i="13"/>
  <c r="AP462" i="13"/>
  <c r="AQ506" i="13"/>
  <c r="AS55" i="13"/>
  <c r="AT55" i="13" s="1"/>
  <c r="AK69" i="13"/>
  <c r="AJ248" i="13"/>
  <c r="AJ256" i="13"/>
  <c r="AJ171" i="13"/>
  <c r="AK158" i="13"/>
  <c r="AK189" i="13"/>
  <c r="AS251" i="13"/>
  <c r="AT251" i="13" s="1"/>
  <c r="AJ375" i="13"/>
  <c r="AK433" i="13"/>
  <c r="AN422" i="13"/>
  <c r="AP492" i="13"/>
  <c r="AJ469" i="13"/>
  <c r="AS550" i="13"/>
  <c r="AT550" i="13" s="1"/>
  <c r="AK291" i="13"/>
  <c r="AJ523" i="13"/>
  <c r="AP347" i="13"/>
  <c r="AV347" i="13" s="1"/>
  <c r="AN439" i="13"/>
  <c r="AP329" i="13"/>
  <c r="AP363" i="13"/>
  <c r="AV363" i="13" s="1"/>
  <c r="AS363" i="13"/>
  <c r="AT363" i="13" s="1"/>
  <c r="AJ363" i="13"/>
  <c r="AP416" i="13"/>
  <c r="AJ416" i="13"/>
  <c r="AN416" i="13" s="1"/>
  <c r="AP382" i="13"/>
  <c r="AN382" i="13"/>
  <c r="AJ382" i="13"/>
  <c r="AN306" i="13"/>
  <c r="AK306" i="13"/>
  <c r="AS71" i="13"/>
  <c r="AT71" i="13" s="1"/>
  <c r="AS98" i="13"/>
  <c r="AT98" i="13" s="1"/>
  <c r="AJ353" i="13"/>
  <c r="AP425" i="13"/>
  <c r="AV425" i="13" s="1"/>
  <c r="AJ425" i="13"/>
  <c r="AK279" i="13"/>
  <c r="AQ3" i="13"/>
  <c r="AJ3" i="13"/>
  <c r="AS211" i="13"/>
  <c r="AT211" i="13" s="1"/>
  <c r="AP211" i="13"/>
  <c r="AS516" i="13"/>
  <c r="AT516" i="13" s="1"/>
  <c r="J279" i="13"/>
  <c r="AI279" i="13" s="1"/>
  <c r="AQ279" i="13"/>
  <c r="AS423" i="13"/>
  <c r="AT423" i="13" s="1"/>
  <c r="AK423" i="13"/>
  <c r="AP576" i="13"/>
  <c r="AJ576" i="13"/>
  <c r="AS576" i="13"/>
  <c r="AT576" i="13" s="1"/>
  <c r="AJ530" i="13"/>
  <c r="AK530" i="13"/>
  <c r="AK74" i="13"/>
  <c r="AP74" i="13"/>
  <c r="AJ74" i="13"/>
  <c r="AK9" i="13"/>
  <c r="AP9" i="13"/>
  <c r="AK161" i="13"/>
  <c r="AP161" i="13"/>
  <c r="AJ161" i="13"/>
  <c r="AK509" i="13"/>
  <c r="AN509" i="13"/>
  <c r="AS268" i="13"/>
  <c r="AT268" i="13" s="1"/>
  <c r="AK268" i="13"/>
  <c r="AP71" i="13"/>
  <c r="AJ326" i="13"/>
  <c r="AN326" i="13"/>
  <c r="AJ221" i="13"/>
  <c r="AS221" i="13"/>
  <c r="AT221" i="13" s="1"/>
  <c r="AK317" i="13"/>
  <c r="AN317" i="13"/>
  <c r="AP317" i="13"/>
  <c r="AS317" i="13"/>
  <c r="AT317" i="13" s="1"/>
  <c r="AJ61" i="13"/>
  <c r="AK61" i="13"/>
  <c r="AS61" i="13"/>
  <c r="AT61" i="13" s="1"/>
  <c r="AP222" i="13"/>
  <c r="AS222" i="13"/>
  <c r="AT222" i="13" s="1"/>
  <c r="AN342" i="13"/>
  <c r="AK342" i="13"/>
  <c r="AN283" i="13"/>
  <c r="AS462" i="13"/>
  <c r="AT462" i="13" s="1"/>
  <c r="AJ69" i="13"/>
  <c r="AS375" i="13"/>
  <c r="AT375" i="13" s="1"/>
  <c r="AP342" i="13"/>
  <c r="AP509" i="13"/>
  <c r="AK576" i="13"/>
  <c r="AJ9" i="13"/>
  <c r="AJ341" i="13"/>
  <c r="AK379" i="13"/>
  <c r="AP458" i="13"/>
  <c r="AP55" i="13"/>
  <c r="AN69" i="13"/>
  <c r="AP171" i="13"/>
  <c r="AS158" i="13"/>
  <c r="AT158" i="13" s="1"/>
  <c r="AS205" i="13"/>
  <c r="AT205" i="13" s="1"/>
  <c r="AJ251" i="13"/>
  <c r="AK375" i="13"/>
  <c r="AP433" i="13"/>
  <c r="AS422" i="13"/>
  <c r="AT422" i="13" s="1"/>
  <c r="AK492" i="13"/>
  <c r="AJ496" i="13"/>
  <c r="AJ509" i="13"/>
  <c r="AQ504" i="13"/>
  <c r="AP221" i="13"/>
  <c r="AP268" i="13"/>
  <c r="AP423" i="13"/>
  <c r="AS508" i="13"/>
  <c r="AT508" i="13" s="1"/>
  <c r="AS121" i="13"/>
  <c r="AT121" i="13" s="1"/>
  <c r="AP455" i="13"/>
  <c r="AN429" i="13"/>
  <c r="AP326" i="13"/>
  <c r="AS198" i="13"/>
  <c r="AT198" i="13" s="1"/>
  <c r="AS161" i="13"/>
  <c r="AT161" i="13" s="1"/>
  <c r="AK237" i="13"/>
  <c r="AP237" i="13"/>
  <c r="AS460" i="13"/>
  <c r="AT460" i="13" s="1"/>
  <c r="AP460" i="13"/>
  <c r="AS157" i="13"/>
  <c r="AT157" i="13" s="1"/>
  <c r="AN157" i="13"/>
  <c r="AK262" i="13"/>
  <c r="AS444" i="13"/>
  <c r="AT444" i="13" s="1"/>
  <c r="AK248" i="13"/>
  <c r="AP279" i="13"/>
  <c r="AS92" i="13"/>
  <c r="AT92" i="13" s="1"/>
  <c r="AI451" i="13"/>
  <c r="AJ167" i="13"/>
  <c r="AK215" i="13"/>
  <c r="AP359" i="13"/>
  <c r="AS359" i="13"/>
  <c r="AT359" i="13" s="1"/>
  <c r="AJ359" i="13"/>
  <c r="AN359" i="13"/>
  <c r="AK359" i="13"/>
  <c r="AN108" i="13"/>
  <c r="AJ168" i="13"/>
  <c r="AP260" i="13"/>
  <c r="AN169" i="13"/>
  <c r="AK178" i="13"/>
  <c r="AS299" i="13"/>
  <c r="AT299" i="13" s="1"/>
  <c r="AN299" i="13"/>
  <c r="AN389" i="13"/>
  <c r="AK441" i="13"/>
  <c r="AK452" i="13"/>
  <c r="AP450" i="13"/>
  <c r="AJ453" i="13"/>
  <c r="AP459" i="13"/>
  <c r="AP569" i="13"/>
  <c r="AN103" i="13"/>
  <c r="AK103" i="13"/>
  <c r="AS119" i="13"/>
  <c r="AT119" i="13" s="1"/>
  <c r="AK136" i="13"/>
  <c r="AP136" i="13"/>
  <c r="AK364" i="13"/>
  <c r="AP364" i="13"/>
  <c r="AK337" i="13"/>
  <c r="AJ465" i="13"/>
  <c r="AP437" i="13"/>
  <c r="AJ95" i="13"/>
  <c r="AK149" i="13"/>
  <c r="AP149" i="13"/>
  <c r="AV149" i="13" s="1"/>
  <c r="AJ232" i="13"/>
  <c r="AS232" i="13"/>
  <c r="AT232" i="13" s="1"/>
  <c r="AS287" i="13"/>
  <c r="AT287" i="13" s="1"/>
  <c r="AK321" i="13"/>
  <c r="AK338" i="13"/>
  <c r="AJ562" i="13"/>
  <c r="AP45" i="13"/>
  <c r="AP25" i="13"/>
  <c r="AS104" i="13"/>
  <c r="AT104" i="13" s="1"/>
  <c r="AN104" i="13"/>
  <c r="AK142" i="13"/>
  <c r="AK211" i="13"/>
  <c r="AK242" i="13"/>
  <c r="AN266" i="13"/>
  <c r="AS312" i="13"/>
  <c r="AT312" i="13" s="1"/>
  <c r="AN312" i="13"/>
  <c r="AS393" i="13"/>
  <c r="AT393" i="13" s="1"/>
  <c r="AJ499" i="13"/>
  <c r="AP479" i="13"/>
  <c r="AS479" i="13"/>
  <c r="AT479" i="13" s="1"/>
  <c r="AP501" i="13"/>
  <c r="AS202" i="13"/>
  <c r="AT202" i="13" s="1"/>
  <c r="AK531" i="13"/>
  <c r="AP564" i="13"/>
  <c r="AK405" i="13"/>
  <c r="AK447" i="13"/>
  <c r="AP214" i="13"/>
  <c r="AP403" i="13"/>
  <c r="AK463" i="13"/>
  <c r="AN521" i="13"/>
  <c r="AP236" i="13"/>
  <c r="AV236" i="13" s="1"/>
  <c r="AN6" i="13"/>
  <c r="AN167" i="13"/>
  <c r="AP167" i="13"/>
  <c r="AP511" i="13"/>
  <c r="AP524" i="13"/>
  <c r="AK474" i="13"/>
  <c r="AP108" i="13"/>
  <c r="AV108" i="13" s="1"/>
  <c r="AK168" i="13"/>
  <c r="AK260" i="13"/>
  <c r="AJ169" i="13"/>
  <c r="AS169" i="13"/>
  <c r="AT169" i="13" s="1"/>
  <c r="AN178" i="13"/>
  <c r="AJ299" i="13"/>
  <c r="AJ389" i="13"/>
  <c r="AN441" i="13"/>
  <c r="AS452" i="13"/>
  <c r="AT452" i="13" s="1"/>
  <c r="AK450" i="13"/>
  <c r="AN453" i="13"/>
  <c r="AS453" i="13"/>
  <c r="AT453" i="13" s="1"/>
  <c r="AJ459" i="13"/>
  <c r="AJ569" i="13"/>
  <c r="AS103" i="13"/>
  <c r="AT103" i="13" s="1"/>
  <c r="AK119" i="13"/>
  <c r="AN136" i="13"/>
  <c r="AN364" i="13"/>
  <c r="AN337" i="13"/>
  <c r="AK437" i="13"/>
  <c r="AJ524" i="13"/>
  <c r="AS95" i="13"/>
  <c r="AT95" i="13" s="1"/>
  <c r="AN149" i="13"/>
  <c r="AP232" i="13"/>
  <c r="AK287" i="13"/>
  <c r="AS321" i="13"/>
  <c r="AT321" i="13" s="1"/>
  <c r="AN321" i="13"/>
  <c r="AN338" i="13"/>
  <c r="AJ474" i="13"/>
  <c r="AK45" i="13"/>
  <c r="AJ45" i="13"/>
  <c r="AK25" i="13"/>
  <c r="AJ104" i="13"/>
  <c r="AN142" i="13"/>
  <c r="AN211" i="13"/>
  <c r="AS242" i="13"/>
  <c r="AT242" i="13" s="1"/>
  <c r="AJ312" i="13"/>
  <c r="AK499" i="13"/>
  <c r="AP499" i="13"/>
  <c r="AJ479" i="13"/>
  <c r="AJ202" i="13"/>
  <c r="AS531" i="13"/>
  <c r="AT531" i="13" s="1"/>
  <c r="AS560" i="13"/>
  <c r="AT560" i="13" s="1"/>
  <c r="AJ564" i="13"/>
  <c r="AN405" i="13"/>
  <c r="AN214" i="13"/>
  <c r="AK214" i="13"/>
  <c r="AK403" i="13"/>
  <c r="AS463" i="13"/>
  <c r="AT463" i="13" s="1"/>
  <c r="AS521" i="13"/>
  <c r="AT521" i="13" s="1"/>
  <c r="AK521" i="13"/>
  <c r="AK236" i="13"/>
  <c r="AS6" i="13"/>
  <c r="AT6" i="13" s="1"/>
  <c r="AS34" i="13"/>
  <c r="AT34" i="13" s="1"/>
  <c r="AK524" i="13"/>
  <c r="AJ510" i="13"/>
  <c r="T428" i="6"/>
  <c r="R380" i="6"/>
  <c r="U645" i="6" s="1" a="1"/>
  <c r="U645" i="6" s="1"/>
  <c r="AJ108" i="13"/>
  <c r="AJ178" i="13"/>
  <c r="AK569" i="13"/>
  <c r="AJ337" i="13"/>
  <c r="AJ437" i="13"/>
  <c r="AJ338" i="13"/>
  <c r="AS25" i="13"/>
  <c r="AT25" i="13" s="1"/>
  <c r="AJ142" i="13"/>
  <c r="AJ211" i="13"/>
  <c r="AK564" i="13"/>
  <c r="AJ405" i="13"/>
  <c r="AS403" i="13"/>
  <c r="AT403" i="13" s="1"/>
  <c r="AK6" i="13"/>
  <c r="AK414" i="13"/>
  <c r="AP34" i="13"/>
  <c r="AS474" i="13"/>
  <c r="AT474" i="13" s="1"/>
  <c r="AK322" i="13"/>
  <c r="AP322" i="13"/>
  <c r="AJ552" i="13"/>
  <c r="AS181" i="13"/>
  <c r="AT181" i="13" s="1"/>
  <c r="AJ181" i="13"/>
  <c r="AK181" i="13"/>
  <c r="AN246" i="13"/>
  <c r="AP246" i="13"/>
  <c r="AJ246" i="13"/>
  <c r="AS246" i="13"/>
  <c r="AT246" i="13" s="1"/>
  <c r="AJ349" i="13"/>
  <c r="AK349" i="13"/>
  <c r="AN349" i="13"/>
  <c r="AP349" i="13"/>
  <c r="AN80" i="13"/>
  <c r="AJ80" i="13"/>
  <c r="AS80" i="13"/>
  <c r="AT80" i="13" s="1"/>
  <c r="AN435" i="13"/>
  <c r="AS435" i="13"/>
  <c r="AT435" i="13" s="1"/>
  <c r="AJ435" i="13"/>
  <c r="AK435" i="13"/>
  <c r="AJ409" i="13"/>
  <c r="AP409" i="13"/>
  <c r="AV409" i="13" s="1"/>
  <c r="AK409" i="13"/>
  <c r="AK51" i="13"/>
  <c r="AP51" i="13"/>
  <c r="AS51" i="13"/>
  <c r="AT51" i="13" s="1"/>
  <c r="AJ187" i="13"/>
  <c r="AK187" i="13"/>
  <c r="AN187" i="13"/>
  <c r="AP187" i="13"/>
  <c r="AV187" i="13" s="1"/>
  <c r="AP181" i="13"/>
  <c r="AS349" i="13"/>
  <c r="AT349" i="13" s="1"/>
  <c r="AK80" i="13"/>
  <c r="AJ51" i="13"/>
  <c r="AP435" i="13"/>
  <c r="AV435" i="13" s="1"/>
  <c r="AK59" i="13"/>
  <c r="AP59" i="13"/>
  <c r="AJ118" i="13"/>
  <c r="AK118" i="13"/>
  <c r="AP193" i="13"/>
  <c r="AN193" i="13"/>
  <c r="AK193" i="13"/>
  <c r="AN111" i="13"/>
  <c r="AJ111" i="13"/>
  <c r="AS111" i="13"/>
  <c r="AT111" i="13" s="1"/>
  <c r="AP111" i="13"/>
  <c r="AV111" i="13" s="1"/>
  <c r="AJ352" i="13"/>
  <c r="AP352" i="13"/>
  <c r="AS352" i="13"/>
  <c r="AT352" i="13" s="1"/>
  <c r="AK65" i="13"/>
  <c r="AP65" i="13"/>
  <c r="AS65" i="13"/>
  <c r="AT65" i="13" s="1"/>
  <c r="AK535" i="13"/>
  <c r="AP535" i="13"/>
  <c r="AS535" i="13"/>
  <c r="AT535" i="13" s="1"/>
  <c r="AJ240" i="13"/>
  <c r="AN240" i="13"/>
  <c r="AP240" i="13"/>
  <c r="AK240" i="13"/>
  <c r="AS191" i="13"/>
  <c r="AT191" i="13" s="1"/>
  <c r="AJ191" i="13"/>
  <c r="AS385" i="13"/>
  <c r="AT385" i="13" s="1"/>
  <c r="AJ385" i="13"/>
  <c r="AP385" i="13"/>
  <c r="AK385" i="13"/>
  <c r="AN101" i="13"/>
  <c r="AJ101" i="13"/>
  <c r="AP550" i="13"/>
  <c r="AK550" i="13"/>
  <c r="AJ226" i="13"/>
  <c r="AN226" i="13"/>
  <c r="J359" i="13"/>
  <c r="AI359" i="13" s="1"/>
  <c r="AQ359" i="13"/>
  <c r="AK185" i="13"/>
  <c r="AS185" i="13"/>
  <c r="AT185" i="13" s="1"/>
  <c r="AJ185" i="13"/>
  <c r="AN185" i="13"/>
  <c r="AN264" i="13"/>
  <c r="AK264" i="13"/>
  <c r="AS264" i="13"/>
  <c r="AT264" i="13" s="1"/>
  <c r="AJ264" i="13"/>
  <c r="AS489" i="13"/>
  <c r="AT489" i="13" s="1"/>
  <c r="AJ489" i="13"/>
  <c r="AP489" i="13"/>
  <c r="AP567" i="13"/>
  <c r="AN567" i="13"/>
  <c r="AK567" i="13"/>
  <c r="AS565" i="13"/>
  <c r="AT565" i="13" s="1"/>
  <c r="AK565" i="13"/>
  <c r="AK58" i="13"/>
  <c r="AS58" i="13"/>
  <c r="AT58" i="13" s="1"/>
  <c r="AP58" i="13"/>
  <c r="AJ58" i="13"/>
  <c r="AN58" i="13" s="1"/>
  <c r="AP174" i="13"/>
  <c r="AN174" i="13"/>
  <c r="AK174" i="13"/>
  <c r="AQ413" i="13"/>
  <c r="AJ413" i="13"/>
  <c r="AS301" i="13"/>
  <c r="AT301" i="13" s="1"/>
  <c r="AP301" i="13"/>
  <c r="AV301" i="13" s="1"/>
  <c r="AK301" i="13"/>
  <c r="AS156" i="13"/>
  <c r="AT156" i="13" s="1"/>
  <c r="AJ156" i="13"/>
  <c r="AK156" i="13"/>
  <c r="AP156" i="13"/>
  <c r="AN271" i="13"/>
  <c r="AS271" i="13"/>
  <c r="AT271" i="13" s="1"/>
  <c r="AN346" i="13"/>
  <c r="AP346" i="13"/>
  <c r="AS457" i="13"/>
  <c r="AT457" i="13" s="1"/>
  <c r="AJ457" i="13"/>
  <c r="AP457" i="13"/>
  <c r="AK391" i="13"/>
  <c r="AS391" i="13"/>
  <c r="AT391" i="13" s="1"/>
  <c r="AS42" i="13"/>
  <c r="AT42" i="13" s="1"/>
  <c r="AJ42" i="13"/>
  <c r="AK42" i="13"/>
  <c r="AP42" i="13"/>
  <c r="AN189" i="13"/>
  <c r="AP189" i="13"/>
  <c r="AN24" i="13"/>
  <c r="AJ24" i="13"/>
  <c r="AK552" i="13"/>
  <c r="AP552" i="13"/>
  <c r="AS552" i="13"/>
  <c r="AT552" i="13" s="1"/>
  <c r="AN159" i="13"/>
  <c r="AP159" i="13"/>
  <c r="AV159" i="13" s="1"/>
  <c r="AJ159" i="13"/>
  <c r="AP127" i="13"/>
  <c r="AK127" i="13"/>
  <c r="AJ127" i="13"/>
  <c r="AS350" i="13"/>
  <c r="AT350" i="13" s="1"/>
  <c r="AP350" i="13"/>
  <c r="AK350" i="13"/>
  <c r="AN350" i="13"/>
  <c r="AP288" i="13"/>
  <c r="AV288" i="13" s="1"/>
  <c r="AJ288" i="13"/>
  <c r="AN288" i="13"/>
  <c r="AJ553" i="13"/>
  <c r="AS553" i="13"/>
  <c r="AT553" i="13" s="1"/>
  <c r="AK553" i="13"/>
  <c r="AS461" i="13"/>
  <c r="AT461" i="13" s="1"/>
  <c r="AJ461" i="13"/>
  <c r="AP461" i="13"/>
  <c r="AK533" i="13"/>
  <c r="AS533" i="13"/>
  <c r="AT533" i="13" s="1"/>
  <c r="AK73" i="13"/>
  <c r="AS73" i="13"/>
  <c r="AT73" i="13" s="1"/>
  <c r="AP393" i="13"/>
  <c r="AJ53" i="13"/>
  <c r="AN430" i="13"/>
  <c r="AK486" i="13"/>
  <c r="AS162" i="13"/>
  <c r="AT162" i="13" s="1"/>
  <c r="AS139" i="13"/>
  <c r="AT139" i="13" s="1"/>
  <c r="AP482" i="13"/>
  <c r="AS376" i="13"/>
  <c r="AT376" i="13" s="1"/>
  <c r="AS414" i="13"/>
  <c r="AT414" i="13" s="1"/>
  <c r="AS215" i="13"/>
  <c r="AT215" i="13" s="1"/>
  <c r="AP414" i="13"/>
  <c r="AP215" i="13"/>
  <c r="AJ59" i="13"/>
  <c r="AS217" i="13"/>
  <c r="AT217" i="13" s="1"/>
  <c r="AK217" i="13"/>
  <c r="AJ217" i="13"/>
  <c r="AS21" i="13"/>
  <c r="AT21" i="13" s="1"/>
  <c r="AN21" i="13"/>
  <c r="AP21" i="13"/>
  <c r="AV21" i="13" s="1"/>
  <c r="AK21" i="13"/>
  <c r="AP362" i="13"/>
  <c r="AS362" i="13"/>
  <c r="AT362" i="13" s="1"/>
  <c r="AJ362" i="13"/>
  <c r="AN362" i="13"/>
  <c r="AQ533" i="13"/>
  <c r="AJ533" i="13"/>
  <c r="AK579" i="13"/>
  <c r="AJ579" i="13"/>
  <c r="AP579" i="13"/>
  <c r="AJ305" i="13"/>
  <c r="AN305" i="13"/>
  <c r="AN106" i="13"/>
  <c r="AK106" i="13"/>
  <c r="AJ106" i="13"/>
  <c r="AP106" i="13"/>
  <c r="AS3" i="13"/>
  <c r="AT3" i="13" s="1"/>
  <c r="AK3" i="13"/>
  <c r="AP3" i="13"/>
  <c r="AJ46" i="13"/>
  <c r="AK46" i="13"/>
  <c r="AP46" i="13"/>
  <c r="AS46" i="13"/>
  <c r="AT46" i="13" s="1"/>
  <c r="AK688" i="13"/>
  <c r="AS688" i="13"/>
  <c r="AT688" i="13" s="1"/>
  <c r="AP515" i="13"/>
  <c r="AJ515" i="13"/>
  <c r="AS125" i="13"/>
  <c r="AT125" i="13" s="1"/>
  <c r="AK125" i="13"/>
  <c r="AJ125" i="13"/>
  <c r="AK263" i="13"/>
  <c r="AP263" i="13"/>
  <c r="AJ263" i="13"/>
  <c r="AJ551" i="13"/>
  <c r="AP551" i="13"/>
  <c r="AS551" i="13"/>
  <c r="AT551" i="13" s="1"/>
  <c r="AS172" i="13"/>
  <c r="AT172" i="13" s="1"/>
  <c r="AK172" i="13"/>
  <c r="AN172" i="13"/>
  <c r="AP172" i="13"/>
  <c r="AS464" i="13"/>
  <c r="AT464" i="13" s="1"/>
  <c r="AK464" i="13"/>
  <c r="AJ464" i="13"/>
  <c r="AK388" i="13"/>
  <c r="AS388" i="13"/>
  <c r="AT388" i="13" s="1"/>
  <c r="AP388" i="13"/>
  <c r="AJ388" i="13"/>
  <c r="AN47" i="13"/>
  <c r="AS47" i="13"/>
  <c r="AT47" i="13" s="1"/>
  <c r="AK47" i="13"/>
  <c r="AP47" i="13"/>
  <c r="AV47" i="13" s="1"/>
  <c r="AJ47" i="13"/>
  <c r="AK551" i="13"/>
  <c r="U261" i="6" a="1"/>
  <c r="U261" i="6" s="1"/>
  <c r="R261" i="6"/>
  <c r="T261" i="6"/>
  <c r="AP91" i="13"/>
  <c r="AN280" i="13"/>
  <c r="AK577" i="13"/>
  <c r="AS577" i="13"/>
  <c r="AT577" i="13" s="1"/>
  <c r="AP311" i="13"/>
  <c r="AJ311" i="13"/>
  <c r="AN311" i="13"/>
  <c r="AS311" i="13"/>
  <c r="AT311" i="13" s="1"/>
  <c r="AS396" i="13"/>
  <c r="AT396" i="13" s="1"/>
  <c r="AJ396" i="13"/>
  <c r="AN396" i="13"/>
  <c r="AK396" i="13"/>
  <c r="AJ145" i="13"/>
  <c r="AK145" i="13"/>
  <c r="AP259" i="13"/>
  <c r="AN259" i="13"/>
  <c r="AJ259" i="13"/>
  <c r="AK259" i="13"/>
  <c r="AP525" i="13"/>
  <c r="AJ525" i="13"/>
  <c r="AS525" i="13"/>
  <c r="AT525" i="13" s="1"/>
  <c r="AN525" i="13"/>
  <c r="AN23" i="13"/>
  <c r="AJ23" i="13"/>
  <c r="AP23" i="13"/>
  <c r="AV23" i="13" s="1"/>
  <c r="AS23" i="13"/>
  <c r="AT23" i="13" s="1"/>
  <c r="AJ107" i="13"/>
  <c r="AP107" i="13"/>
  <c r="AS107" i="13"/>
  <c r="AT107" i="13" s="1"/>
  <c r="AS56" i="13"/>
  <c r="AT56" i="13" s="1"/>
  <c r="AK56" i="13"/>
  <c r="AP56" i="13"/>
  <c r="AJ155" i="13"/>
  <c r="AN155" i="13"/>
  <c r="AS155" i="13"/>
  <c r="AT155" i="13" s="1"/>
  <c r="AK155" i="13"/>
  <c r="AK445" i="13"/>
  <c r="AP445" i="13"/>
  <c r="AJ445" i="13"/>
  <c r="AQ83" i="13"/>
  <c r="AJ83" i="13"/>
  <c r="AS354" i="13"/>
  <c r="AT354" i="13" s="1"/>
  <c r="AJ354" i="13"/>
  <c r="AK354" i="13"/>
  <c r="AS72" i="13"/>
  <c r="AT72" i="13" s="1"/>
  <c r="AJ72" i="13"/>
  <c r="AN72" i="13"/>
  <c r="AP72" i="13"/>
  <c r="AV72" i="13" s="1"/>
  <c r="AJ255" i="13"/>
  <c r="AN255" i="13"/>
  <c r="AK255" i="13"/>
  <c r="AS255" i="13"/>
  <c r="AT255" i="13" s="1"/>
  <c r="AK476" i="13"/>
  <c r="AJ476" i="13"/>
  <c r="AP476" i="13"/>
  <c r="AJ357" i="13"/>
  <c r="AP357" i="13"/>
  <c r="AP371" i="13"/>
  <c r="AV371" i="13" s="1"/>
  <c r="AS371" i="13"/>
  <c r="AT371" i="13" s="1"/>
  <c r="AJ371" i="13"/>
  <c r="AN371" i="13"/>
  <c r="AS505" i="13"/>
  <c r="AT505" i="13" s="1"/>
  <c r="AJ505" i="13"/>
  <c r="AP130" i="13"/>
  <c r="AV130" i="13" s="1"/>
  <c r="AK130" i="13"/>
  <c r="AJ130" i="13"/>
  <c r="AS130" i="13"/>
  <c r="AT130" i="13" s="1"/>
  <c r="AJ534" i="13"/>
  <c r="AP534" i="13"/>
  <c r="AS534" i="13"/>
  <c r="AT534" i="13" s="1"/>
  <c r="AQ160" i="13"/>
  <c r="AJ160" i="13"/>
  <c r="AP201" i="13"/>
  <c r="AS201" i="13"/>
  <c r="AT201" i="13" s="1"/>
  <c r="AK201" i="13"/>
  <c r="AQ518" i="13"/>
  <c r="AK570" i="13"/>
  <c r="AP570" i="13"/>
  <c r="AJ570" i="13"/>
  <c r="AK93" i="13"/>
  <c r="AJ93" i="13"/>
  <c r="AP93" i="13"/>
  <c r="AJ144" i="13"/>
  <c r="AS144" i="13"/>
  <c r="AT144" i="13" s="1"/>
  <c r="AK144" i="13"/>
  <c r="U409" i="6" a="1"/>
  <c r="U409" i="6" s="1"/>
  <c r="T409" i="6"/>
  <c r="T203" i="6"/>
  <c r="R203" i="6"/>
  <c r="AL213" i="13" s="1" a="1"/>
  <c r="AL213" i="13" s="1"/>
  <c r="AN46" i="13"/>
  <c r="AJ201" i="13"/>
  <c r="J46" i="13"/>
  <c r="AI46" i="13" s="1"/>
  <c r="AK362" i="13"/>
  <c r="AS263" i="13"/>
  <c r="AT263" i="13" s="1"/>
  <c r="AK371" i="13"/>
  <c r="AP144" i="13"/>
  <c r="R366" i="6"/>
  <c r="U366" i="6" a="1"/>
  <c r="U366" i="6" s="1"/>
  <c r="U184" i="6" a="1"/>
  <c r="U184" i="6" s="1"/>
  <c r="R184" i="6"/>
  <c r="T202" i="6" s="1"/>
  <c r="AP145" i="13"/>
  <c r="AV145" i="13" s="1"/>
  <c r="AN332" i="13"/>
  <c r="AP176" i="13"/>
  <c r="AN176" i="13"/>
  <c r="AS218" i="13"/>
  <c r="AT218" i="13" s="1"/>
  <c r="AJ218" i="13"/>
  <c r="AN218" i="13"/>
  <c r="AK218" i="13"/>
  <c r="AP408" i="13"/>
  <c r="AN408" i="13"/>
  <c r="AS235" i="13"/>
  <c r="AT235" i="13" s="1"/>
  <c r="AK235" i="13"/>
  <c r="AN235" i="13"/>
  <c r="AP235" i="13"/>
  <c r="AV235" i="13" s="1"/>
  <c r="AP54" i="13"/>
  <c r="AV54" i="13" s="1"/>
  <c r="AK54" i="13"/>
  <c r="AJ319" i="13"/>
  <c r="AN319" i="13"/>
  <c r="AS319" i="13"/>
  <c r="AT319" i="13" s="1"/>
  <c r="AK319" i="13"/>
  <c r="AJ395" i="13"/>
  <c r="AP395" i="13"/>
  <c r="AS395" i="13"/>
  <c r="AT395" i="13" s="1"/>
  <c r="AN395" i="13"/>
  <c r="AK98" i="13"/>
  <c r="AP98" i="13"/>
  <c r="AJ98" i="13"/>
  <c r="AK446" i="13"/>
  <c r="AP297" i="13"/>
  <c r="AV297" i="13" s="1"/>
  <c r="AK297" i="13"/>
  <c r="AJ297" i="13"/>
  <c r="AS297" i="13"/>
  <c r="AT297" i="13" s="1"/>
  <c r="AJ166" i="13"/>
  <c r="AP166" i="13"/>
  <c r="AN336" i="13"/>
  <c r="AK336" i="13"/>
  <c r="AP336" i="13"/>
  <c r="AP203" i="13"/>
  <c r="AK203" i="13"/>
  <c r="AP85" i="13"/>
  <c r="AV85" i="13" s="1"/>
  <c r="AK85" i="13"/>
  <c r="AJ85" i="13"/>
  <c r="AS85" i="13"/>
  <c r="AT85" i="13" s="1"/>
  <c r="AP217" i="13"/>
  <c r="AN388" i="13"/>
  <c r="AS106" i="13"/>
  <c r="AT106" i="13" s="1"/>
  <c r="AJ172" i="13"/>
  <c r="AK176" i="13"/>
  <c r="AS570" i="13"/>
  <c r="AT570" i="13" s="1"/>
  <c r="AN352" i="13"/>
  <c r="AK352" i="13"/>
  <c r="AS59" i="13"/>
  <c r="AT59" i="13" s="1"/>
  <c r="AJ537" i="13"/>
  <c r="AJ94" i="13"/>
  <c r="T548" i="6"/>
  <c r="O515" i="15" s="1"/>
  <c r="R548" i="6"/>
  <c r="AJ529" i="13"/>
  <c r="AN409" i="13"/>
  <c r="AK19" i="13"/>
  <c r="AS19" i="13"/>
  <c r="AT19" i="13" s="1"/>
  <c r="AK124" i="13"/>
  <c r="AS409" i="13"/>
  <c r="AT409" i="13" s="1"/>
  <c r="AQ446" i="13"/>
  <c r="J446" i="13"/>
  <c r="AI446" i="13" s="1"/>
  <c r="AJ266" i="13"/>
  <c r="AN325" i="13"/>
  <c r="AS408" i="13"/>
  <c r="AT408" i="13" s="1"/>
  <c r="AK487" i="13"/>
  <c r="AP508" i="13"/>
  <c r="AJ501" i="13"/>
  <c r="AJ91" i="13"/>
  <c r="AJ271" i="13"/>
  <c r="AJ280" i="13"/>
  <c r="AS280" i="13"/>
  <c r="AT280" i="13" s="1"/>
  <c r="AN54" i="13"/>
  <c r="AS176" i="13"/>
  <c r="AT176" i="13" s="1"/>
  <c r="AP429" i="13"/>
  <c r="AV429" i="13" s="1"/>
  <c r="AS429" i="13"/>
  <c r="AT429" i="13" s="1"/>
  <c r="AP688" i="13"/>
  <c r="AS529" i="13"/>
  <c r="AT529" i="13" s="1"/>
  <c r="AP332" i="13"/>
  <c r="AV332" i="13" s="1"/>
  <c r="AK505" i="13"/>
  <c r="AK163" i="13"/>
  <c r="AN163" i="13"/>
  <c r="AS515" i="13"/>
  <c r="AT515" i="13" s="1"/>
  <c r="AP266" i="13"/>
  <c r="AJ325" i="13"/>
  <c r="AJ408" i="13"/>
  <c r="AS487" i="13"/>
  <c r="AT487" i="13" s="1"/>
  <c r="AJ508" i="13"/>
  <c r="AK91" i="13"/>
  <c r="AP271" i="13"/>
  <c r="AV271" i="13" s="1"/>
  <c r="AP280" i="13"/>
  <c r="AJ54" i="13"/>
  <c r="AS54" i="13"/>
  <c r="AT54" i="13" s="1"/>
  <c r="AJ176" i="13"/>
  <c r="AS384" i="13"/>
  <c r="AT384" i="13" s="1"/>
  <c r="AJ429" i="13"/>
  <c r="AJ688" i="13"/>
  <c r="AP529" i="13"/>
  <c r="AK197" i="13"/>
  <c r="AP305" i="13"/>
  <c r="AV305" i="13" s="1"/>
  <c r="AK332" i="13"/>
  <c r="AP505" i="13"/>
  <c r="AS163" i="13"/>
  <c r="AT163" i="13" s="1"/>
  <c r="AK515" i="13"/>
  <c r="AS266" i="13"/>
  <c r="AT266" i="13" s="1"/>
  <c r="AS325" i="13"/>
  <c r="AT325" i="13" s="1"/>
  <c r="AK501" i="13"/>
  <c r="AJ38" i="13"/>
  <c r="AK305" i="13"/>
  <c r="AS332" i="13"/>
  <c r="AT332" i="13" s="1"/>
  <c r="AS305" i="13"/>
  <c r="AT305" i="13" s="1"/>
  <c r="AP163" i="13"/>
  <c r="AS231" i="13"/>
  <c r="AT231" i="13" s="1"/>
  <c r="AK231" i="13"/>
  <c r="AJ231" i="13"/>
  <c r="AP231" i="13"/>
  <c r="AK188" i="13"/>
  <c r="AP188" i="13"/>
  <c r="AN126" i="13"/>
  <c r="AS126" i="13"/>
  <c r="AT126" i="13" s="1"/>
  <c r="AK12" i="13"/>
  <c r="AJ121" i="13"/>
  <c r="AK121" i="13"/>
  <c r="AP152" i="13"/>
  <c r="AK275" i="13"/>
  <c r="AN166" i="13"/>
  <c r="AK166" i="13"/>
  <c r="AJ460" i="13"/>
  <c r="AP19" i="13"/>
  <c r="AS145" i="13"/>
  <c r="AT145" i="13" s="1"/>
  <c r="AN192" i="13"/>
  <c r="AS203" i="13"/>
  <c r="AT203" i="13" s="1"/>
  <c r="AK126" i="13"/>
  <c r="AJ188" i="13"/>
  <c r="AP276" i="13"/>
  <c r="AV276" i="13" s="1"/>
  <c r="AS276" i="13"/>
  <c r="AT276" i="13" s="1"/>
  <c r="AS446" i="13"/>
  <c r="AT446" i="13" s="1"/>
  <c r="AP446" i="13"/>
  <c r="AJ446" i="13"/>
  <c r="AJ432" i="13"/>
  <c r="AP432" i="13"/>
  <c r="AV432" i="13" s="1"/>
  <c r="AK390" i="13"/>
  <c r="AS12" i="13"/>
  <c r="AT12" i="13" s="1"/>
  <c r="AP121" i="13"/>
  <c r="AK53" i="13"/>
  <c r="AK101" i="13"/>
  <c r="AP101" i="13"/>
  <c r="AV101" i="13" s="1"/>
  <c r="AP183" i="13"/>
  <c r="AV183" i="13" s="1"/>
  <c r="AS275" i="13"/>
  <c r="AT275" i="13" s="1"/>
  <c r="AP264" i="13"/>
  <c r="AN404" i="13"/>
  <c r="AS166" i="13"/>
  <c r="AT166" i="13" s="1"/>
  <c r="AN191" i="13"/>
  <c r="AK191" i="13"/>
  <c r="AK460" i="13"/>
  <c r="AJ19" i="13"/>
  <c r="AN145" i="13"/>
  <c r="AJ197" i="13"/>
  <c r="AN203" i="13"/>
  <c r="AS511" i="13"/>
  <c r="AT511" i="13" s="1"/>
  <c r="AN276" i="13"/>
  <c r="AN432" i="13"/>
  <c r="AJ203" i="13"/>
  <c r="AS316" i="13"/>
  <c r="AT316" i="13" s="1"/>
  <c r="AJ126" i="13"/>
  <c r="AN153" i="13"/>
  <c r="AS188" i="13"/>
  <c r="AT188" i="13" s="1"/>
  <c r="AJ511" i="13"/>
  <c r="AN511" i="13" s="1"/>
  <c r="AK276" i="13"/>
  <c r="AK432" i="13"/>
  <c r="AS432" i="13"/>
  <c r="AT432" i="13" s="1"/>
  <c r="J500" i="13"/>
  <c r="AI500" i="13" s="1"/>
  <c r="AQ500" i="13"/>
  <c r="AP548" i="13"/>
  <c r="AS548" i="13"/>
  <c r="AT548" i="13" s="1"/>
  <c r="AJ548" i="13"/>
  <c r="AK548" i="13"/>
  <c r="AP390" i="13"/>
  <c r="AN390" i="13"/>
  <c r="AJ577" i="13"/>
  <c r="AP577" i="13"/>
  <c r="AN357" i="13"/>
  <c r="AK357" i="13"/>
  <c r="AJ560" i="13"/>
  <c r="AS14" i="13"/>
  <c r="AT14" i="13" s="1"/>
  <c r="AP261" i="13"/>
  <c r="AJ490" i="13"/>
  <c r="AP92" i="13"/>
  <c r="AN184" i="13"/>
  <c r="AP94" i="13"/>
  <c r="AJ153" i="13"/>
  <c r="AN229" i="13"/>
  <c r="AS390" i="13"/>
  <c r="AT390" i="13" s="1"/>
  <c r="AP38" i="13"/>
  <c r="AS38" i="13"/>
  <c r="AT38" i="13" s="1"/>
  <c r="AS357" i="13"/>
  <c r="AT357" i="13" s="1"/>
  <c r="AK560" i="13"/>
  <c r="AP560" i="13"/>
  <c r="AP14" i="13"/>
  <c r="AS194" i="13"/>
  <c r="AT194" i="13" s="1"/>
  <c r="AN261" i="13"/>
  <c r="AJ92" i="13"/>
  <c r="AJ184" i="13"/>
  <c r="AS491" i="13"/>
  <c r="AT491" i="13" s="1"/>
  <c r="AP153" i="13"/>
  <c r="AK261" i="13"/>
  <c r="AP122" i="13"/>
  <c r="AV122" i="13" s="1"/>
  <c r="AK184" i="13"/>
  <c r="AJ393" i="13"/>
  <c r="AS537" i="13"/>
  <c r="AT537" i="13" s="1"/>
  <c r="AP20" i="13"/>
  <c r="AV20" i="13" s="1"/>
  <c r="AS20" i="13"/>
  <c r="AT20" i="13" s="1"/>
  <c r="AK152" i="13"/>
  <c r="AN152" i="13" s="1"/>
  <c r="AN183" i="13"/>
  <c r="AK183" i="13"/>
  <c r="AJ275" i="13"/>
  <c r="AP384" i="13"/>
  <c r="AP194" i="13"/>
  <c r="AJ404" i="13"/>
  <c r="AS404" i="13"/>
  <c r="AT404" i="13" s="1"/>
  <c r="AP447" i="13"/>
  <c r="AK490" i="13"/>
  <c r="AS530" i="13"/>
  <c r="AT530" i="13" s="1"/>
  <c r="AN122" i="13"/>
  <c r="AS94" i="13"/>
  <c r="AT94" i="13" s="1"/>
  <c r="AJ192" i="13"/>
  <c r="AN199" i="13"/>
  <c r="AP367" i="13"/>
  <c r="AV367" i="13" s="1"/>
  <c r="AJ229" i="13"/>
  <c r="J246" i="13"/>
  <c r="AI246" i="13" s="1"/>
  <c r="AQ246" i="13"/>
  <c r="AP537" i="13"/>
  <c r="AK20" i="13"/>
  <c r="AS152" i="13"/>
  <c r="AT152" i="13" s="1"/>
  <c r="AS183" i="13"/>
  <c r="AT183" i="13" s="1"/>
  <c r="AP275" i="13"/>
  <c r="AV275" i="13" s="1"/>
  <c r="AJ384" i="13"/>
  <c r="AJ194" i="13"/>
  <c r="AP404" i="13"/>
  <c r="AJ447" i="13"/>
  <c r="AS490" i="13"/>
  <c r="AT490" i="13" s="1"/>
  <c r="AP530" i="13"/>
  <c r="AS122" i="13"/>
  <c r="AT122" i="13" s="1"/>
  <c r="AK94" i="13"/>
  <c r="AP192" i="13"/>
  <c r="AP316" i="13"/>
  <c r="AV316" i="13" s="1"/>
  <c r="AJ491" i="13"/>
  <c r="AP491" i="13"/>
  <c r="AP229" i="13"/>
  <c r="AN393" i="13"/>
  <c r="AJ122" i="13"/>
  <c r="AK192" i="13"/>
  <c r="AN316" i="13"/>
  <c r="AK367" i="13"/>
  <c r="AS124" i="13"/>
  <c r="AT124" i="13" s="1"/>
  <c r="AK153" i="13"/>
  <c r="AK229" i="13"/>
  <c r="AS407" i="13"/>
  <c r="AT407" i="13" s="1"/>
  <c r="AP407" i="13"/>
  <c r="AJ407" i="13"/>
  <c r="AK407" i="13"/>
  <c r="AK199" i="13"/>
  <c r="AS199" i="13"/>
  <c r="AT199" i="13" s="1"/>
  <c r="AK316" i="13"/>
  <c r="AP199" i="13"/>
  <c r="J479" i="13"/>
  <c r="AI479" i="13" s="1"/>
  <c r="AQ479" i="13"/>
  <c r="AN367" i="13"/>
  <c r="AS367" i="13"/>
  <c r="AT367" i="13" s="1"/>
  <c r="AJ694" i="13"/>
  <c r="AS694" i="13"/>
  <c r="AT694" i="13" s="1"/>
  <c r="T303" i="6"/>
  <c r="AJ124" i="13"/>
  <c r="AP124" i="13"/>
  <c r="AV124" i="13" s="1"/>
  <c r="AP694" i="13"/>
  <c r="U112" i="6" a="1"/>
  <c r="U112" i="6" s="1"/>
  <c r="T112" i="6"/>
  <c r="AJ281" i="13"/>
  <c r="AS281" i="13"/>
  <c r="AT281" i="13" s="1"/>
  <c r="AN281" i="13"/>
  <c r="AK281" i="13"/>
  <c r="AP281" i="13"/>
  <c r="AV281" i="13" s="1"/>
  <c r="AN418" i="13"/>
  <c r="AS418" i="13"/>
  <c r="AT418" i="13" s="1"/>
  <c r="AK418" i="13"/>
  <c r="AP418" i="13"/>
  <c r="AJ418" i="13"/>
  <c r="AK547" i="13"/>
  <c r="AP547" i="13"/>
  <c r="AJ547" i="13"/>
  <c r="AS547" i="13"/>
  <c r="AT547" i="13" s="1"/>
  <c r="AK406" i="13"/>
  <c r="AP406" i="13"/>
  <c r="AV406" i="13" s="1"/>
  <c r="AJ406" i="13"/>
  <c r="AS406" i="13"/>
  <c r="AT406" i="13" s="1"/>
  <c r="AJ386" i="13"/>
  <c r="AK386" i="13"/>
  <c r="AP386" i="13"/>
  <c r="AV386" i="13" s="1"/>
  <c r="AP30" i="13"/>
  <c r="AV30" i="13" s="1"/>
  <c r="AK30" i="13"/>
  <c r="AJ30" i="13"/>
  <c r="AN30" i="13"/>
  <c r="AS30" i="13"/>
  <c r="AT30" i="13" s="1"/>
  <c r="AJ140" i="13"/>
  <c r="AS140" i="13"/>
  <c r="AT140" i="13" s="1"/>
  <c r="AN140" i="13"/>
  <c r="AK140" i="13"/>
  <c r="AP140" i="13"/>
  <c r="AV140" i="13" s="1"/>
  <c r="AJ298" i="13"/>
  <c r="AS298" i="13"/>
  <c r="AT298" i="13" s="1"/>
  <c r="AK298" i="13"/>
  <c r="AN298" i="13"/>
  <c r="AP298" i="13"/>
  <c r="AV298" i="13" s="1"/>
  <c r="AS197" i="13"/>
  <c r="AT197" i="13" s="1"/>
  <c r="AS386" i="13"/>
  <c r="AT386" i="13" s="1"/>
  <c r="AN123" i="13"/>
  <c r="AP123" i="13"/>
  <c r="AV123" i="13" s="1"/>
  <c r="AJ123" i="13"/>
  <c r="AS123" i="13"/>
  <c r="AT123" i="13" s="1"/>
  <c r="AK123" i="13"/>
  <c r="AS244" i="13"/>
  <c r="AT244" i="13" s="1"/>
  <c r="AP244" i="13"/>
  <c r="AK244" i="13"/>
  <c r="AN386" i="13"/>
  <c r="AK204" i="13"/>
  <c r="AS204" i="13"/>
  <c r="AT204" i="13" s="1"/>
  <c r="AN204" i="13"/>
  <c r="AP204" i="13"/>
  <c r="AV204" i="13" s="1"/>
  <c r="AJ204" i="13"/>
  <c r="AK154" i="13"/>
  <c r="AP154" i="13"/>
  <c r="AV154" i="13" s="1"/>
  <c r="AJ154" i="13"/>
  <c r="AS154" i="13"/>
  <c r="AT154" i="13" s="1"/>
  <c r="AN154" i="13"/>
  <c r="AJ324" i="13"/>
  <c r="AS324" i="13"/>
  <c r="AT324" i="13" s="1"/>
  <c r="AK324" i="13"/>
  <c r="AP324" i="13"/>
  <c r="AK82" i="13"/>
  <c r="AN82" i="13"/>
  <c r="AP82" i="13"/>
  <c r="AJ82" i="13"/>
  <c r="AS82" i="13"/>
  <c r="AT82" i="13" s="1"/>
  <c r="AN434" i="13"/>
  <c r="AS434" i="13"/>
  <c r="AT434" i="13" s="1"/>
  <c r="AP434" i="13"/>
  <c r="AJ434" i="13"/>
  <c r="AK434" i="13"/>
  <c r="AJ177" i="13"/>
  <c r="AN177" i="13"/>
  <c r="AS177" i="13"/>
  <c r="AT177" i="13" s="1"/>
  <c r="AK177" i="13"/>
  <c r="AP177" i="13"/>
  <c r="AV177" i="13" s="1"/>
  <c r="AP308" i="13"/>
  <c r="AV308" i="13" s="1"/>
  <c r="AK308" i="13"/>
  <c r="AJ308" i="13"/>
  <c r="AS308" i="13"/>
  <c r="AT308" i="13" s="1"/>
  <c r="AN308" i="13"/>
  <c r="AK330" i="13"/>
  <c r="AN330" i="13"/>
  <c r="AP330" i="13"/>
  <c r="AV330" i="13" s="1"/>
  <c r="AJ330" i="13"/>
  <c r="AS330" i="13"/>
  <c r="AT330" i="13" s="1"/>
  <c r="AP146" i="13"/>
  <c r="AJ146" i="13"/>
  <c r="AN146" i="13"/>
  <c r="AS146" i="13"/>
  <c r="AT146" i="13" s="1"/>
  <c r="AK146" i="13"/>
  <c r="AS315" i="13"/>
  <c r="AT315" i="13" s="1"/>
  <c r="AN315" i="13"/>
  <c r="AP315" i="13"/>
  <c r="AV315" i="13" s="1"/>
  <c r="AK315" i="13"/>
  <c r="AJ315" i="13"/>
  <c r="AS549" i="13"/>
  <c r="AT549" i="13" s="1"/>
  <c r="AK549" i="13"/>
  <c r="AJ549" i="13"/>
  <c r="AP549" i="13"/>
  <c r="AS502" i="13"/>
  <c r="AT502" i="13" s="1"/>
  <c r="AK502" i="13"/>
  <c r="AJ502" i="13"/>
  <c r="AP502" i="13"/>
  <c r="AJ368" i="13"/>
  <c r="AN368" i="13"/>
  <c r="AS368" i="13"/>
  <c r="AT368" i="13" s="1"/>
  <c r="AK368" i="13"/>
  <c r="AP368" i="13"/>
  <c r="AP307" i="13"/>
  <c r="AV307" i="13" s="1"/>
  <c r="AK307" i="13"/>
  <c r="AJ307" i="13"/>
  <c r="AS307" i="13"/>
  <c r="AT307" i="13" s="1"/>
  <c r="AN307" i="13"/>
  <c r="U225" i="6" a="1"/>
  <c r="U225" i="6" s="1"/>
  <c r="T225" i="6"/>
  <c r="AP517" i="13"/>
  <c r="AS517" i="13"/>
  <c r="AT517" i="13" s="1"/>
  <c r="AK517" i="13"/>
  <c r="AJ517" i="13"/>
  <c r="AP31" i="13"/>
  <c r="AJ31" i="13"/>
  <c r="AS31" i="13"/>
  <c r="AT31" i="13" s="1"/>
  <c r="AK31" i="13"/>
  <c r="AP230" i="13"/>
  <c r="AV230" i="13" s="1"/>
  <c r="AJ230" i="13"/>
  <c r="AN230" i="13"/>
  <c r="AS230" i="13"/>
  <c r="AT230" i="13" s="1"/>
  <c r="AK230" i="13"/>
  <c r="R377" i="6"/>
  <c r="R427" i="6" s="1"/>
  <c r="R179" i="6"/>
  <c r="R237" i="6" s="1"/>
  <c r="R260" i="6" s="1"/>
  <c r="R289" i="6" s="1"/>
  <c r="R378" i="6"/>
  <c r="U639" i="6" s="1" a="1"/>
  <c r="U639" i="6" s="1"/>
  <c r="AN265" i="13"/>
  <c r="AJ265" i="13"/>
  <c r="AS265" i="13"/>
  <c r="AT265" i="13" s="1"/>
  <c r="AK265" i="13"/>
  <c r="AP265" i="13"/>
  <c r="AV265" i="13" s="1"/>
  <c r="AK573" i="13"/>
  <c r="AP573" i="13"/>
  <c r="AJ573" i="13"/>
  <c r="AS573" i="13"/>
  <c r="AT573" i="13" s="1"/>
  <c r="AJ2" i="13"/>
  <c r="AS2" i="13"/>
  <c r="AT2" i="13" s="1"/>
  <c r="AK2" i="13"/>
  <c r="AN2" i="13"/>
  <c r="AP2" i="13"/>
  <c r="AK334" i="13"/>
  <c r="AP334" i="13"/>
  <c r="AV334" i="13" s="1"/>
  <c r="AJ334" i="13"/>
  <c r="AN334" i="13"/>
  <c r="AS334" i="13"/>
  <c r="AT334" i="13" s="1"/>
  <c r="AK345" i="13"/>
  <c r="AP345" i="13"/>
  <c r="AS345" i="13"/>
  <c r="AT345" i="13" s="1"/>
  <c r="AJ345" i="13"/>
  <c r="AN345" i="13"/>
  <c r="AP528" i="13"/>
  <c r="AS528" i="13"/>
  <c r="AT528" i="13" s="1"/>
  <c r="AK528" i="13"/>
  <c r="AJ528" i="13"/>
  <c r="AP568" i="13"/>
  <c r="AJ568" i="13"/>
  <c r="AS568" i="13"/>
  <c r="AT568" i="13" s="1"/>
  <c r="AK568" i="13"/>
  <c r="AP228" i="13"/>
  <c r="AJ228" i="13"/>
  <c r="AS228" i="13"/>
  <c r="AT228" i="13" s="1"/>
  <c r="AK228" i="13"/>
  <c r="T192" i="6"/>
  <c r="AP331" i="13"/>
  <c r="AJ331" i="13"/>
  <c r="AN331" i="13"/>
  <c r="AS331" i="13"/>
  <c r="AT331" i="13" s="1"/>
  <c r="AK331" i="13"/>
  <c r="AP519" i="13"/>
  <c r="AS519" i="13"/>
  <c r="AT519" i="13" s="1"/>
  <c r="AK519" i="13"/>
  <c r="AJ519" i="13"/>
  <c r="AP81" i="13"/>
  <c r="AJ81" i="13"/>
  <c r="AS81" i="13"/>
  <c r="AT81" i="13" s="1"/>
  <c r="AK81" i="13"/>
  <c r="AN81" i="13"/>
  <c r="AS272" i="13"/>
  <c r="AT272" i="13" s="1"/>
  <c r="AK272" i="13"/>
  <c r="AP272" i="13"/>
  <c r="AV272" i="13" s="1"/>
  <c r="AN272" i="13"/>
  <c r="AJ272" i="13"/>
  <c r="T507" i="6"/>
  <c r="U507" i="6" a="1"/>
  <c r="U507" i="6" s="1"/>
  <c r="AL497" i="13" a="1"/>
  <c r="AL497" i="13" s="1"/>
  <c r="U315" i="6" a="1"/>
  <c r="U315" i="6" s="1"/>
  <c r="T315" i="6"/>
  <c r="T486" i="6"/>
  <c r="R257" i="6"/>
  <c r="R98" i="6"/>
  <c r="AN249" i="13"/>
  <c r="AK249" i="13"/>
  <c r="AS249" i="13"/>
  <c r="AT249" i="13" s="1"/>
  <c r="AJ249" i="13"/>
  <c r="AP249" i="13"/>
  <c r="AJ427" i="13"/>
  <c r="AP427" i="13"/>
  <c r="AS427" i="13"/>
  <c r="AT427" i="13" s="1"/>
  <c r="AK427" i="13"/>
  <c r="U378" i="6" a="1"/>
  <c r="U378" i="6" s="1"/>
  <c r="AS78" i="13"/>
  <c r="AT78" i="13" s="1"/>
  <c r="AN78" i="13"/>
  <c r="AK78" i="13"/>
  <c r="AP78" i="13"/>
  <c r="AJ78" i="13"/>
  <c r="AP179" i="13"/>
  <c r="AJ179" i="13"/>
  <c r="AS179" i="13"/>
  <c r="AT179" i="13" s="1"/>
  <c r="AN179" i="13"/>
  <c r="AK179" i="13"/>
  <c r="AN313" i="13"/>
  <c r="AK313" i="13"/>
  <c r="AP313" i="13"/>
  <c r="AJ313" i="13"/>
  <c r="AS313" i="13"/>
  <c r="AT313" i="13" s="1"/>
  <c r="U367" i="6" a="1"/>
  <c r="U367" i="6" s="1"/>
  <c r="U98" i="6" a="1"/>
  <c r="U98" i="6" s="1"/>
  <c r="AS77" i="13"/>
  <c r="AT77" i="13" s="1"/>
  <c r="AN77" i="13"/>
  <c r="AK77" i="13"/>
  <c r="AP77" i="13"/>
  <c r="AJ77" i="13"/>
  <c r="AS296" i="13"/>
  <c r="AT296" i="13" s="1"/>
  <c r="AN296" i="13"/>
  <c r="AK296" i="13"/>
  <c r="AP296" i="13"/>
  <c r="AJ296" i="13"/>
  <c r="AJ539" i="13"/>
  <c r="AP539" i="13"/>
  <c r="AS539" i="13"/>
  <c r="AT539" i="13" s="1"/>
  <c r="AK539" i="13"/>
  <c r="U426" i="6" a="1"/>
  <c r="U426" i="6" s="1"/>
  <c r="AS29" i="13"/>
  <c r="AT29" i="13" s="1"/>
  <c r="AN29" i="13"/>
  <c r="AK29" i="13"/>
  <c r="AP29" i="13"/>
  <c r="AJ29" i="13"/>
  <c r="AS555" i="13"/>
  <c r="AT555" i="13" s="1"/>
  <c r="AK555" i="13"/>
  <c r="AJ555" i="13"/>
  <c r="AP555" i="13"/>
  <c r="U78" i="6" a="1"/>
  <c r="U78" i="6" s="1"/>
  <c r="U179" i="6" a="1"/>
  <c r="U179" i="6" s="1"/>
  <c r="M93" i="15" s="1"/>
  <c r="N93" i="15" s="1"/>
  <c r="AL340" i="13"/>
  <c r="R358" i="6"/>
  <c r="AL102" i="13" s="1" a="1"/>
  <c r="AL102" i="13" s="1"/>
  <c r="J102" i="13" s="1"/>
  <c r="AN28" i="13"/>
  <c r="AK28" i="13"/>
  <c r="AP28" i="13"/>
  <c r="AJ28" i="13"/>
  <c r="AS28" i="13"/>
  <c r="AT28" i="13" s="1"/>
  <c r="AS89" i="13"/>
  <c r="AT89" i="13" s="1"/>
  <c r="AN89" i="13"/>
  <c r="AK89" i="13"/>
  <c r="AP89" i="13"/>
  <c r="AV89" i="13" s="1"/>
  <c r="AJ89" i="13"/>
  <c r="AN99" i="13"/>
  <c r="AK99" i="13"/>
  <c r="AP99" i="13"/>
  <c r="AJ99" i="13"/>
  <c r="AS99" i="13"/>
  <c r="AT99" i="13" s="1"/>
  <c r="AS239" i="13"/>
  <c r="AT239" i="13" s="1"/>
  <c r="AN239" i="13"/>
  <c r="AK239" i="13"/>
  <c r="AP239" i="13"/>
  <c r="AV239" i="13" s="1"/>
  <c r="AJ239" i="13"/>
  <c r="AS300" i="13"/>
  <c r="AT300" i="13" s="1"/>
  <c r="AN300" i="13"/>
  <c r="AK300" i="13"/>
  <c r="AP300" i="13"/>
  <c r="AJ300" i="13"/>
  <c r="AL520" i="13" a="1"/>
  <c r="AL520" i="13" s="1"/>
  <c r="AN16" i="13"/>
  <c r="AK16" i="13"/>
  <c r="AP16" i="13"/>
  <c r="AJ16" i="13"/>
  <c r="AS16" i="13"/>
  <c r="AT16" i="13" s="1"/>
  <c r="AP186" i="13"/>
  <c r="AJ186" i="13"/>
  <c r="AS186" i="13"/>
  <c r="AT186" i="13" s="1"/>
  <c r="AN186" i="13"/>
  <c r="AK186" i="13"/>
  <c r="AL464" i="13" a="1"/>
  <c r="AL464" i="13" s="1"/>
  <c r="U480" i="6" a="1"/>
  <c r="U480" i="6" s="1"/>
  <c r="AP208" i="13"/>
  <c r="AJ208" i="13"/>
  <c r="AS208" i="13"/>
  <c r="AT208" i="13" s="1"/>
  <c r="AN208" i="13"/>
  <c r="AK208" i="13"/>
  <c r="R241" i="6"/>
  <c r="R343" i="6" s="1"/>
  <c r="T241" i="6"/>
  <c r="AK113" i="13"/>
  <c r="AS113" i="13"/>
  <c r="AT113" i="13" s="1"/>
  <c r="AJ113" i="13"/>
  <c r="AP113" i="13"/>
  <c r="T138" i="6"/>
  <c r="R138" i="6"/>
  <c r="U138" i="6" a="1"/>
  <c r="U138" i="6" s="1"/>
  <c r="U257" i="6" a="1"/>
  <c r="U257" i="6" s="1"/>
  <c r="R486" i="6"/>
  <c r="AS17" i="13"/>
  <c r="AT17" i="13" s="1"/>
  <c r="AN17" i="13"/>
  <c r="AK17" i="13"/>
  <c r="AP17" i="13"/>
  <c r="AJ17" i="13"/>
  <c r="AS304" i="13"/>
  <c r="AT304" i="13" s="1"/>
  <c r="AN304" i="13"/>
  <c r="AK304" i="13"/>
  <c r="AP304" i="13"/>
  <c r="AV304" i="13" s="1"/>
  <c r="AJ304" i="13"/>
  <c r="AS546" i="13"/>
  <c r="AT546" i="13" s="1"/>
  <c r="AK546" i="13"/>
  <c r="AP546" i="13"/>
  <c r="AJ546" i="13"/>
  <c r="AK4" i="13"/>
  <c r="AS4" i="13"/>
  <c r="AT4" i="13" s="1"/>
  <c r="AP4" i="13"/>
  <c r="AV4" i="13" s="1"/>
  <c r="AJ4" i="13"/>
  <c r="AN4" i="13" s="1"/>
  <c r="AP196" i="13"/>
  <c r="AJ196" i="13"/>
  <c r="AS196" i="13"/>
  <c r="AT196" i="13" s="1"/>
  <c r="AK196" i="13"/>
  <c r="AP234" i="13"/>
  <c r="AJ234" i="13"/>
  <c r="AS234" i="13"/>
  <c r="AT234" i="13" s="1"/>
  <c r="AN234" i="13"/>
  <c r="AK234" i="13"/>
  <c r="AL496" i="13" a="1"/>
  <c r="AL496" i="13" s="1"/>
  <c r="U192" i="6" a="1"/>
  <c r="U192" i="6" s="1"/>
  <c r="U377" i="6" a="1"/>
  <c r="U377" i="6" s="1"/>
  <c r="AL95" i="13" a="1"/>
  <c r="AL95" i="13" s="1"/>
  <c r="AL519" i="13" a="1"/>
  <c r="AL519" i="13" s="1"/>
  <c r="AP190" i="13"/>
  <c r="AJ190" i="13"/>
  <c r="AS190" i="13"/>
  <c r="AT190" i="13" s="1"/>
  <c r="AN190" i="13"/>
  <c r="AK190" i="13"/>
  <c r="AS695" i="13"/>
  <c r="AT695" i="13" s="1"/>
  <c r="AN695" i="13"/>
  <c r="AK695" i="13"/>
  <c r="AP695" i="13"/>
  <c r="AV695" i="13" s="1"/>
  <c r="AJ695" i="13"/>
  <c r="AS116" i="13"/>
  <c r="AT116" i="13" s="1"/>
  <c r="AK116" i="13"/>
  <c r="AP116" i="13"/>
  <c r="AJ116" i="13"/>
  <c r="AP18" i="13"/>
  <c r="AS18" i="13"/>
  <c r="AT18" i="13" s="1"/>
  <c r="AK18" i="13"/>
  <c r="AJ18" i="13"/>
  <c r="AS48" i="13"/>
  <c r="AT48" i="13" s="1"/>
  <c r="AN48" i="13"/>
  <c r="AK48" i="13"/>
  <c r="AP48" i="13"/>
  <c r="AV48" i="13" s="1"/>
  <c r="AJ48" i="13"/>
  <c r="AN500" i="13"/>
  <c r="AK500" i="13"/>
  <c r="AP500" i="13"/>
  <c r="AJ500" i="13"/>
  <c r="AS500" i="13"/>
  <c r="AT500" i="13" s="1"/>
  <c r="U216" i="6" a="1"/>
  <c r="U216" i="6" s="1"/>
  <c r="U203" i="6" a="1"/>
  <c r="U203" i="6" s="1"/>
  <c r="AP182" i="13"/>
  <c r="AJ182" i="13"/>
  <c r="AS182" i="13"/>
  <c r="AT182" i="13" s="1"/>
  <c r="AN182" i="13"/>
  <c r="AK182" i="13"/>
  <c r="AS314" i="13"/>
  <c r="AT314" i="13" s="1"/>
  <c r="AK314" i="13"/>
  <c r="AP314" i="13"/>
  <c r="AJ314" i="13"/>
  <c r="U279" i="6" a="1"/>
  <c r="U279" i="6" s="1"/>
  <c r="U183" i="6" a="1"/>
  <c r="U183" i="6" s="1"/>
  <c r="AS303" i="13"/>
  <c r="AT303" i="13" s="1"/>
  <c r="AN303" i="13"/>
  <c r="AK303" i="13"/>
  <c r="AP303" i="13"/>
  <c r="AJ303" i="13"/>
  <c r="AK378" i="13"/>
  <c r="AJ378" i="13"/>
  <c r="AP378" i="13"/>
  <c r="AS378" i="13"/>
  <c r="AT378" i="13" s="1"/>
  <c r="AN378" i="13"/>
  <c r="U463" i="6" a="1"/>
  <c r="U463" i="6" s="1"/>
  <c r="U249" i="6" a="1"/>
  <c r="U249" i="6" s="1"/>
  <c r="AP233" i="13"/>
  <c r="AJ233" i="13"/>
  <c r="AS233" i="13"/>
  <c r="AT233" i="13" s="1"/>
  <c r="AN233" i="13"/>
  <c r="AK233" i="13"/>
  <c r="U314" i="6" a="1"/>
  <c r="U314" i="6" s="1"/>
  <c r="U380" i="6" a="1"/>
  <c r="U380" i="6" s="1"/>
  <c r="AS13" i="13"/>
  <c r="AT13" i="13" s="1"/>
  <c r="AN13" i="13"/>
  <c r="AP13" i="13"/>
  <c r="AV13" i="13" s="1"/>
  <c r="AJ13" i="13"/>
  <c r="AK13" i="13"/>
  <c r="AS26" i="13"/>
  <c r="AT26" i="13" s="1"/>
  <c r="AN26" i="13"/>
  <c r="AP26" i="13"/>
  <c r="AV26" i="13" s="1"/>
  <c r="AJ26" i="13"/>
  <c r="AK26" i="13"/>
  <c r="AS100" i="13"/>
  <c r="AT100" i="13" s="1"/>
  <c r="AN100" i="13"/>
  <c r="AK100" i="13"/>
  <c r="AP100" i="13"/>
  <c r="AJ100" i="13"/>
  <c r="U418" i="6"/>
  <c r="R418" i="6"/>
  <c r="R433" i="6" s="1"/>
  <c r="R436" i="6" s="1"/>
  <c r="R437" i="6" s="1"/>
  <c r="U495" i="6" s="1" a="1"/>
  <c r="T418" i="6"/>
  <c r="R102" i="13"/>
  <c r="P102" i="13"/>
  <c r="P96" i="13"/>
  <c r="R96" i="13"/>
  <c r="P252" i="13"/>
  <c r="R252" i="13"/>
  <c r="P39" i="13"/>
  <c r="R39" i="13"/>
  <c r="T526" i="6"/>
  <c r="R526" i="6"/>
  <c r="R536" i="6" s="1"/>
  <c r="R634" i="6" s="1"/>
  <c r="T368" i="6"/>
  <c r="U368" i="6"/>
  <c r="R368" i="6"/>
  <c r="R401" i="6" s="1"/>
  <c r="R413" i="6" s="1"/>
  <c r="R462" i="6" s="1"/>
  <c r="R587" i="6" s="1"/>
  <c r="R197" i="6"/>
  <c r="U198" i="6" s="1" a="1"/>
  <c r="T197" i="6"/>
  <c r="U197" i="6"/>
  <c r="T200" i="6"/>
  <c r="R200" i="6"/>
  <c r="U210" i="6" s="1" a="1"/>
  <c r="U200" i="6"/>
  <c r="U238" i="6"/>
  <c r="T238" i="6"/>
  <c r="T243" i="6"/>
  <c r="U243" i="6"/>
  <c r="J492" i="13"/>
  <c r="AI492" i="13" s="1"/>
  <c r="T480" i="6"/>
  <c r="J31" i="13"/>
  <c r="AI31" i="13" s="1"/>
  <c r="J66" i="13"/>
  <c r="AI66" i="13" s="1"/>
  <c r="J489" i="13"/>
  <c r="AI489" i="13" s="1"/>
  <c r="J533" i="13"/>
  <c r="J392" i="13"/>
  <c r="J447" i="13"/>
  <c r="AI447" i="13" s="1"/>
  <c r="J460" i="13"/>
  <c r="AI460" i="13" s="1"/>
  <c r="J514" i="13"/>
  <c r="AI514" i="13" s="1"/>
  <c r="J376" i="13"/>
  <c r="AI376" i="13" s="1"/>
  <c r="J222" i="13"/>
  <c r="AI222" i="13" s="1"/>
  <c r="T279" i="6"/>
  <c r="J517" i="13"/>
  <c r="AI517" i="13" s="1"/>
  <c r="J535" i="13"/>
  <c r="AI535" i="13" s="1"/>
  <c r="J539" i="13"/>
  <c r="AI539" i="13" s="1"/>
  <c r="R132" i="13"/>
  <c r="J459" i="13"/>
  <c r="AI459" i="13" s="1"/>
  <c r="R314" i="6"/>
  <c r="R325" i="6" s="1"/>
  <c r="U353" i="6" s="1" a="1"/>
  <c r="J60" i="13"/>
  <c r="AI60" i="13" s="1"/>
  <c r="J127" i="13"/>
  <c r="AI127" i="13" s="1"/>
  <c r="J65" i="13"/>
  <c r="AI65" i="13" s="1"/>
  <c r="J247" i="13"/>
  <c r="J287" i="13"/>
  <c r="J543" i="13"/>
  <c r="AI543" i="13" s="1"/>
  <c r="R315" i="6"/>
  <c r="R360" i="6" s="1"/>
  <c r="R389" i="6" s="1"/>
  <c r="U419" i="6" s="1" a="1"/>
  <c r="T426" i="6"/>
  <c r="J125" i="13"/>
  <c r="AI125" i="13" s="1"/>
  <c r="J290" i="13"/>
  <c r="AI290" i="13" s="1"/>
  <c r="J452" i="13"/>
  <c r="AI452" i="13" s="1"/>
  <c r="J530" i="13"/>
  <c r="AI530" i="13" s="1"/>
  <c r="J507" i="13"/>
  <c r="AI507" i="13" s="1"/>
  <c r="J534" i="13"/>
  <c r="AI534" i="13" s="1"/>
  <c r="J511" i="13"/>
  <c r="AI511" i="13" s="1"/>
  <c r="J552" i="13"/>
  <c r="AI552" i="13" s="1"/>
  <c r="AN467" i="13"/>
  <c r="J467" i="13"/>
  <c r="AI467" i="13" s="1"/>
  <c r="R443" i="6"/>
  <c r="T443" i="6"/>
  <c r="U443" i="6"/>
  <c r="J474" i="13"/>
  <c r="AI474" i="13" s="1"/>
  <c r="J498" i="13"/>
  <c r="AI498" i="13" s="1"/>
  <c r="T215" i="6"/>
  <c r="U215" i="6"/>
  <c r="J688" i="13"/>
  <c r="AI688" i="13" s="1"/>
  <c r="J120" i="13"/>
  <c r="AI120" i="13" s="1"/>
  <c r="J180" i="13"/>
  <c r="J248" i="13"/>
  <c r="J322" i="13"/>
  <c r="R433" i="13"/>
  <c r="AU433" i="13" s="1"/>
  <c r="J481" i="13"/>
  <c r="AI481" i="13" s="1"/>
  <c r="J549" i="13"/>
  <c r="AI549" i="13" s="1"/>
  <c r="R1267" i="6" l="1"/>
  <c r="AL663" i="13" s="1" a="1"/>
  <c r="AL663" i="13" s="1"/>
  <c r="T1505" i="6"/>
  <c r="K665" i="13"/>
  <c r="AU665" i="13" s="1"/>
  <c r="AL623" i="13" a="1"/>
  <c r="AL623" i="13" s="1"/>
  <c r="J623" i="13" s="1"/>
  <c r="AI623" i="13" s="1"/>
  <c r="AV623" i="13" s="1"/>
  <c r="T1503" i="6"/>
  <c r="AN665" i="13"/>
  <c r="J726" i="13"/>
  <c r="AI726" i="13" s="1"/>
  <c r="AV726" i="13" s="1"/>
  <c r="AN726" i="13"/>
  <c r="R1497" i="6"/>
  <c r="AL546" i="13" s="1" a="1"/>
  <c r="AL546" i="13" s="1"/>
  <c r="R1428" i="6"/>
  <c r="AL609" i="13" s="1" a="1"/>
  <c r="AL609" i="13" s="1"/>
  <c r="AN609" i="13" s="1"/>
  <c r="U1428" i="6" a="1"/>
  <c r="U1428" i="6" s="1"/>
  <c r="I609" i="13" s="1"/>
  <c r="T1428" i="6"/>
  <c r="K609" i="13" s="1"/>
  <c r="AU609" i="13" s="1"/>
  <c r="AB470" i="13"/>
  <c r="AV687" i="13"/>
  <c r="AL160" i="13" a="1"/>
  <c r="AL160" i="13" s="1"/>
  <c r="U1465" i="6" a="1"/>
  <c r="U1465" i="6" s="1"/>
  <c r="I160" i="13" s="1"/>
  <c r="T1465" i="6"/>
  <c r="K160" i="13" s="1"/>
  <c r="AU160" i="13" s="1"/>
  <c r="R1459" i="6"/>
  <c r="AL657" i="13" s="1" a="1"/>
  <c r="AL657" i="13" s="1"/>
  <c r="J657" i="13" s="1"/>
  <c r="T1459" i="6"/>
  <c r="K657" i="13" s="1"/>
  <c r="AU657" i="13" s="1"/>
  <c r="U1459" i="6" a="1"/>
  <c r="U1459" i="6" s="1"/>
  <c r="I657" i="13" s="1"/>
  <c r="R1454" i="6"/>
  <c r="U1454" i="6" a="1"/>
  <c r="U1454" i="6" s="1"/>
  <c r="T1454" i="6"/>
  <c r="K302" i="13"/>
  <c r="AU302" i="13" s="1"/>
  <c r="R1446" i="6"/>
  <c r="T1446" i="6"/>
  <c r="R1441" i="6"/>
  <c r="T1441" i="6"/>
  <c r="J690" i="13"/>
  <c r="AI690" i="13" s="1"/>
  <c r="AV690" i="13" s="1"/>
  <c r="AN690" i="13"/>
  <c r="I695" i="13"/>
  <c r="AN628" i="13"/>
  <c r="J628" i="13"/>
  <c r="AI628" i="13" s="1"/>
  <c r="AV628" i="13" s="1"/>
  <c r="T1422" i="6"/>
  <c r="R1422" i="6"/>
  <c r="AL505" i="13" s="1" a="1"/>
  <c r="AL505" i="13" s="1"/>
  <c r="J505" i="13" s="1"/>
  <c r="AI505" i="13" s="1"/>
  <c r="AV505" i="13" s="1"/>
  <c r="I95" i="13"/>
  <c r="K95" i="13"/>
  <c r="AU95" i="13" s="1"/>
  <c r="AN641" i="13"/>
  <c r="J641" i="13"/>
  <c r="AI641" i="13" s="1"/>
  <c r="AV641" i="13" s="1"/>
  <c r="AN584" i="13"/>
  <c r="J584" i="13"/>
  <c r="AI584" i="13" s="1"/>
  <c r="AV584" i="13" s="1"/>
  <c r="AL115" i="13" a="1"/>
  <c r="AL115" i="13" s="1"/>
  <c r="J115" i="13" s="1"/>
  <c r="AI115" i="13" s="1"/>
  <c r="AV115" i="13" s="1"/>
  <c r="U1399" i="6" a="1"/>
  <c r="U1399" i="6" s="1"/>
  <c r="I115" i="13" s="1"/>
  <c r="T1399" i="6"/>
  <c r="K115" i="13" s="1"/>
  <c r="AU115" i="13" s="1"/>
  <c r="AL256" i="13" a="1"/>
  <c r="AL256" i="13" s="1"/>
  <c r="J256" i="13" s="1"/>
  <c r="AL678" i="13" a="1"/>
  <c r="AL678" i="13" s="1"/>
  <c r="AN196" i="13"/>
  <c r="AL677" i="13" a="1"/>
  <c r="AL677" i="13" s="1"/>
  <c r="J677" i="13" s="1"/>
  <c r="AI677" i="13" s="1"/>
  <c r="AV677" i="13" s="1"/>
  <c r="K256" i="13"/>
  <c r="AU256" i="13" s="1"/>
  <c r="K677" i="13"/>
  <c r="AU677" i="13" s="1"/>
  <c r="M256" i="15"/>
  <c r="N256" i="15" s="1"/>
  <c r="I677" i="13"/>
  <c r="I256" i="13"/>
  <c r="G256" i="15"/>
  <c r="I256" i="15" s="1"/>
  <c r="T1390" i="6"/>
  <c r="R1390" i="6"/>
  <c r="U1390" i="6" a="1"/>
  <c r="U1390" i="6" s="1"/>
  <c r="AV181" i="13"/>
  <c r="J674" i="13"/>
  <c r="AI674" i="13" s="1"/>
  <c r="AV674" i="13" s="1"/>
  <c r="AN674" i="13"/>
  <c r="AN676" i="13"/>
  <c r="R1380" i="6"/>
  <c r="AL544" i="13" s="1" a="1"/>
  <c r="AL544" i="13" s="1"/>
  <c r="T1380" i="6"/>
  <c r="K544" i="13" s="1"/>
  <c r="AU544" i="13" s="1"/>
  <c r="U1380" i="6" a="1"/>
  <c r="U1380" i="6" s="1"/>
  <c r="I544" i="13" s="1"/>
  <c r="AN423" i="13"/>
  <c r="T1345" i="6"/>
  <c r="U1345" i="6" a="1"/>
  <c r="U1345" i="6" s="1"/>
  <c r="R1345" i="6"/>
  <c r="R1342" i="6"/>
  <c r="U1342" i="6" a="1"/>
  <c r="U1342" i="6" s="1"/>
  <c r="T1342" i="6"/>
  <c r="I606" i="13"/>
  <c r="J613" i="13"/>
  <c r="AI613" i="13" s="1"/>
  <c r="AV613" i="13" s="1"/>
  <c r="AN613" i="13"/>
  <c r="R1333" i="6"/>
  <c r="R1410" i="6" s="1"/>
  <c r="R1470" i="6" s="1"/>
  <c r="R1471" i="6" s="1"/>
  <c r="T1333" i="6"/>
  <c r="K606" i="13" s="1"/>
  <c r="AU606" i="13" s="1"/>
  <c r="AL586" i="13" a="1"/>
  <c r="AL586" i="13" s="1"/>
  <c r="AN586" i="13" s="1"/>
  <c r="T1324" i="6"/>
  <c r="K601" i="13" s="1"/>
  <c r="AU601" i="13" s="1"/>
  <c r="R1324" i="6"/>
  <c r="AL601" i="13" s="1" a="1"/>
  <c r="AL601" i="13" s="1"/>
  <c r="U1324" i="6" a="1"/>
  <c r="U1324" i="6" s="1"/>
  <c r="I601" i="13" s="1"/>
  <c r="R1325" i="6"/>
  <c r="U1325" i="6" a="1"/>
  <c r="U1325" i="6" s="1"/>
  <c r="T1325" i="6"/>
  <c r="U1317" i="6" a="1"/>
  <c r="U1317" i="6" s="1"/>
  <c r="R1317" i="6"/>
  <c r="T1317" i="6"/>
  <c r="AN650" i="13"/>
  <c r="J650" i="13"/>
  <c r="AI650" i="13" s="1"/>
  <c r="AV650" i="13" s="1"/>
  <c r="R1296" i="6"/>
  <c r="U1296" i="6" a="1"/>
  <c r="U1296" i="6" s="1"/>
  <c r="T1296" i="6"/>
  <c r="J663" i="13"/>
  <c r="AI663" i="13" s="1"/>
  <c r="AV663" i="13" s="1"/>
  <c r="AN663" i="13"/>
  <c r="AL644" i="13" a="1"/>
  <c r="AL644" i="13" s="1"/>
  <c r="J644" i="13" s="1"/>
  <c r="AI644" i="13" s="1"/>
  <c r="AV644" i="13" s="1"/>
  <c r="T1267" i="6"/>
  <c r="J649" i="13"/>
  <c r="AI649" i="13" s="1"/>
  <c r="AV649" i="13" s="1"/>
  <c r="AN649" i="13"/>
  <c r="U1228" i="6" a="1"/>
  <c r="U1228" i="6" s="1"/>
  <c r="R1228" i="6"/>
  <c r="U1287" i="6" s="1" a="1"/>
  <c r="U1287" i="6" s="1"/>
  <c r="T1228" i="6"/>
  <c r="AN181" i="13"/>
  <c r="AL578" i="13"/>
  <c r="J578" i="13" s="1"/>
  <c r="AI578" i="13" s="1"/>
  <c r="AV578" i="13" s="1"/>
  <c r="U1223" i="6" a="1"/>
  <c r="U1223" i="6" s="1"/>
  <c r="I578" i="13" s="1"/>
  <c r="T1223" i="6"/>
  <c r="K578" i="13" s="1"/>
  <c r="AU578" i="13" s="1"/>
  <c r="R1221" i="6"/>
  <c r="AL654" i="13" s="1" a="1"/>
  <c r="AL654" i="13" s="1"/>
  <c r="J654" i="13" s="1"/>
  <c r="AI654" i="13" s="1"/>
  <c r="AV654" i="13" s="1"/>
  <c r="T1221" i="6"/>
  <c r="K654" i="13" s="1"/>
  <c r="AU654" i="13" s="1"/>
  <c r="U1221" i="6" a="1"/>
  <c r="U1221" i="6" s="1"/>
  <c r="I654" i="13" s="1"/>
  <c r="R1213" i="6"/>
  <c r="AL551" i="13" s="1" a="1"/>
  <c r="AL551" i="13" s="1"/>
  <c r="R1199" i="6"/>
  <c r="G263" i="15"/>
  <c r="I263" i="15" s="1"/>
  <c r="O256" i="15"/>
  <c r="R1173" i="6"/>
  <c r="AL512" i="13" s="1" a="1"/>
  <c r="AL512" i="13" s="1"/>
  <c r="T1173" i="6"/>
  <c r="K512" i="13" s="1"/>
  <c r="AU512" i="13" s="1"/>
  <c r="AN347" i="13"/>
  <c r="R1157" i="6"/>
  <c r="AL96" i="13" s="1" a="1"/>
  <c r="AL96" i="13" s="1"/>
  <c r="J96" i="13" s="1"/>
  <c r="U1157" i="6" a="1"/>
  <c r="U1157" i="6" s="1"/>
  <c r="I96" i="13" s="1"/>
  <c r="T1157" i="6"/>
  <c r="K96" i="13" s="1"/>
  <c r="AU96" i="13" s="1"/>
  <c r="U1143" i="6" a="1"/>
  <c r="U1143" i="6" s="1"/>
  <c r="I565" i="13" s="1"/>
  <c r="T1143" i="6"/>
  <c r="K565" i="13" s="1"/>
  <c r="AU565" i="13" s="1"/>
  <c r="AL565" i="13"/>
  <c r="AN98" i="13"/>
  <c r="R1132" i="6"/>
  <c r="AL417" i="13" s="1" a="1"/>
  <c r="AL417" i="13" s="1"/>
  <c r="U1129" i="6" a="1"/>
  <c r="U1129" i="6" s="1"/>
  <c r="R1129" i="6"/>
  <c r="U1335" i="6" s="1" a="1"/>
  <c r="U1335" i="6" s="1"/>
  <c r="T1129" i="6"/>
  <c r="AN595" i="13"/>
  <c r="T1118" i="6"/>
  <c r="K292" i="13" s="1"/>
  <c r="AU292" i="13" s="1"/>
  <c r="R1118" i="6"/>
  <c r="AL292" i="13" s="1" a="1"/>
  <c r="AL292" i="13" s="1"/>
  <c r="AN284" i="13"/>
  <c r="R1094" i="6"/>
  <c r="U1302" i="6" s="1" a="1"/>
  <c r="U1302" i="6" s="1"/>
  <c r="R1087" i="6"/>
  <c r="U1491" i="6" s="1" a="1"/>
  <c r="U1491" i="6" s="1"/>
  <c r="T1087" i="6"/>
  <c r="AL94" i="13" a="1"/>
  <c r="AL94" i="13" s="1"/>
  <c r="J94" i="13" s="1"/>
  <c r="AL403" i="13" a="1"/>
  <c r="AL403" i="13" s="1"/>
  <c r="J403" i="13" s="1"/>
  <c r="AI403" i="13" s="1"/>
  <c r="AV403" i="13" s="1"/>
  <c r="U1070" i="6" a="1"/>
  <c r="U1070" i="6" s="1"/>
  <c r="R1070" i="6"/>
  <c r="U1493" i="6" s="1" a="1"/>
  <c r="U1493" i="6" s="1"/>
  <c r="T1070" i="6"/>
  <c r="R1068" i="6"/>
  <c r="AN498" i="13"/>
  <c r="AN459" i="13"/>
  <c r="AV299" i="13"/>
  <c r="AV202" i="13"/>
  <c r="AV401" i="13"/>
  <c r="AV129" i="13"/>
  <c r="AV283" i="13"/>
  <c r="AV354" i="13"/>
  <c r="AV320" i="13"/>
  <c r="AV410" i="13"/>
  <c r="AN222" i="13"/>
  <c r="AN107" i="13"/>
  <c r="AV474" i="13"/>
  <c r="AN489" i="13"/>
  <c r="AV396" i="13"/>
  <c r="AV43" i="13"/>
  <c r="AN215" i="13"/>
  <c r="AV139" i="13"/>
  <c r="AV76" i="13"/>
  <c r="AV185" i="13"/>
  <c r="AV255" i="13"/>
  <c r="AV241" i="13"/>
  <c r="AV27" i="13"/>
  <c r="AV22" i="13"/>
  <c r="AV389" i="13"/>
  <c r="AV219" i="13"/>
  <c r="AV120" i="13"/>
  <c r="AN535" i="13"/>
  <c r="AV157" i="13"/>
  <c r="AV245" i="13"/>
  <c r="AV191" i="13"/>
  <c r="AV10" i="13"/>
  <c r="AN534" i="13"/>
  <c r="AV184" i="13"/>
  <c r="AV104" i="13"/>
  <c r="AV319" i="13"/>
  <c r="AN574" i="13"/>
  <c r="AV128" i="13"/>
  <c r="AV114" i="13"/>
  <c r="AV125" i="13"/>
  <c r="AV452" i="13"/>
  <c r="AV143" i="13"/>
  <c r="AV225" i="13"/>
  <c r="AN205" i="13"/>
  <c r="AV50" i="13"/>
  <c r="AV218" i="13"/>
  <c r="AV360" i="13"/>
  <c r="AK5" i="13"/>
  <c r="AB5" i="13"/>
  <c r="AB96" i="13"/>
  <c r="AB252" i="13"/>
  <c r="AB102" i="13"/>
  <c r="R1041" i="6"/>
  <c r="U1088" i="6" s="1" a="1"/>
  <c r="U1088" i="6" s="1"/>
  <c r="I576" i="13" s="1"/>
  <c r="R1018" i="6"/>
  <c r="AN550" i="13"/>
  <c r="R985" i="6"/>
  <c r="AL508" i="13" s="1" a="1"/>
  <c r="AL508" i="13" s="1"/>
  <c r="U985" i="6" a="1"/>
  <c r="U985" i="6" s="1"/>
  <c r="I508" i="13" s="1"/>
  <c r="T985" i="6"/>
  <c r="K508" i="13" s="1"/>
  <c r="AU508" i="13" s="1"/>
  <c r="K462" i="13"/>
  <c r="AU462" i="13" s="1"/>
  <c r="AV324" i="13"/>
  <c r="U979" i="6" a="1"/>
  <c r="U979" i="6" s="1"/>
  <c r="I529" i="13" s="1"/>
  <c r="R979" i="6"/>
  <c r="AL529" i="13" s="1" a="1"/>
  <c r="AL529" i="13" s="1"/>
  <c r="T979" i="6"/>
  <c r="K529" i="13" s="1"/>
  <c r="AU529" i="13" s="1"/>
  <c r="R973" i="6"/>
  <c r="T973" i="6"/>
  <c r="AN324" i="13"/>
  <c r="R970" i="6"/>
  <c r="U1112" i="6" s="1" a="1"/>
  <c r="U1112" i="6" s="1"/>
  <c r="U961" i="6" a="1"/>
  <c r="U961" i="6" s="1"/>
  <c r="I14" i="13" s="1"/>
  <c r="R961" i="6"/>
  <c r="AL14" i="13" s="1" a="1"/>
  <c r="AL14" i="13" s="1"/>
  <c r="T961" i="6"/>
  <c r="K14" i="13" s="1"/>
  <c r="AU14" i="13" s="1"/>
  <c r="R959" i="6"/>
  <c r="U1085" i="6" s="1" a="1"/>
  <c r="U1085" i="6" s="1"/>
  <c r="U959" i="6" a="1"/>
  <c r="U959" i="6" s="1"/>
  <c r="T959" i="6"/>
  <c r="I496" i="13"/>
  <c r="T947" i="6"/>
  <c r="R947" i="6"/>
  <c r="AN462" i="13"/>
  <c r="AN223" i="13"/>
  <c r="K496" i="13"/>
  <c r="AU496" i="13" s="1"/>
  <c r="I520" i="13"/>
  <c r="T931" i="6"/>
  <c r="R931" i="6"/>
  <c r="U931" i="6" a="1"/>
  <c r="U931" i="6" s="1"/>
  <c r="R527" i="13"/>
  <c r="U901" i="6" a="1"/>
  <c r="U901" i="6" s="1"/>
  <c r="I594" i="13" s="1"/>
  <c r="T901" i="6"/>
  <c r="K594" i="13" s="1"/>
  <c r="AU594" i="13" s="1"/>
  <c r="P59" i="13"/>
  <c r="R59" i="13"/>
  <c r="U895" i="6" a="1"/>
  <c r="U895" i="6" s="1"/>
  <c r="I263" i="13" s="1"/>
  <c r="R895" i="6"/>
  <c r="T895" i="6"/>
  <c r="K263" i="13" s="1"/>
  <c r="AU263" i="13" s="1"/>
  <c r="U891" i="6" a="1"/>
  <c r="U891" i="6" s="1"/>
  <c r="I74" i="13" s="1"/>
  <c r="R891" i="6"/>
  <c r="T891" i="6"/>
  <c r="K74" i="13" s="1"/>
  <c r="AU74" i="13" s="1"/>
  <c r="T887" i="6"/>
  <c r="R887" i="6"/>
  <c r="U887" i="6" a="1"/>
  <c r="U887" i="6" s="1"/>
  <c r="R885" i="6"/>
  <c r="T885" i="6"/>
  <c r="U885" i="6" a="1"/>
  <c r="U885" i="6" s="1"/>
  <c r="R884" i="6"/>
  <c r="U884" i="6" a="1"/>
  <c r="U884" i="6" s="1"/>
  <c r="T884" i="6"/>
  <c r="U857" i="6" a="1"/>
  <c r="U857" i="6" s="1"/>
  <c r="R857" i="6"/>
  <c r="T857" i="6"/>
  <c r="U870" i="6" a="1"/>
  <c r="U870" i="6" s="1"/>
  <c r="R870" i="6"/>
  <c r="T870" i="6"/>
  <c r="R861" i="6"/>
  <c r="T861" i="6"/>
  <c r="R859" i="6"/>
  <c r="AN406" i="13"/>
  <c r="R846" i="6"/>
  <c r="R838" i="6"/>
  <c r="T838" i="6"/>
  <c r="R835" i="6"/>
  <c r="U998" i="6" s="1" a="1"/>
  <c r="U998" i="6" s="1"/>
  <c r="I538" i="13" s="1"/>
  <c r="R813" i="6"/>
  <c r="T813" i="6"/>
  <c r="R810" i="6"/>
  <c r="R809" i="6"/>
  <c r="AL592" i="13" s="1" a="1"/>
  <c r="AL592" i="13" s="1"/>
  <c r="R807" i="6"/>
  <c r="U1203" i="6" s="1" a="1"/>
  <c r="U1203" i="6" s="1"/>
  <c r="I19" i="13" s="1"/>
  <c r="T807" i="6"/>
  <c r="R750" i="6"/>
  <c r="R769" i="6"/>
  <c r="U790" i="6" s="1" a="1"/>
  <c r="U790" i="6" s="1"/>
  <c r="T769" i="6"/>
  <c r="R801" i="6"/>
  <c r="U821" i="6" s="1" a="1"/>
  <c r="U821" i="6" s="1"/>
  <c r="T801" i="6"/>
  <c r="T750" i="6"/>
  <c r="U769" i="6" a="1"/>
  <c r="U769" i="6" s="1"/>
  <c r="U794" i="6" a="1"/>
  <c r="U794" i="6" s="1"/>
  <c r="R794" i="6"/>
  <c r="T794" i="6"/>
  <c r="R791" i="6"/>
  <c r="T791" i="6"/>
  <c r="I693" i="13"/>
  <c r="R782" i="6"/>
  <c r="T782" i="6"/>
  <c r="K693" i="13" s="1"/>
  <c r="AU693" i="13" s="1"/>
  <c r="R767" i="6"/>
  <c r="T767" i="6"/>
  <c r="U739" i="6" a="1"/>
  <c r="U739" i="6" s="1"/>
  <c r="R739" i="6"/>
  <c r="T739" i="6"/>
  <c r="O70" i="15"/>
  <c r="R731" i="6"/>
  <c r="R732" i="6" s="1"/>
  <c r="G302" i="15"/>
  <c r="I302" i="15" s="1"/>
  <c r="U153" i="6" a="1"/>
  <c r="U153" i="6" s="1"/>
  <c r="M73" i="15" s="1"/>
  <c r="N73" i="15" s="1"/>
  <c r="I302" i="13"/>
  <c r="AJ5" i="13"/>
  <c r="AP5" i="13"/>
  <c r="AS5" i="13"/>
  <c r="AT5" i="13" s="1"/>
  <c r="AN302" i="13"/>
  <c r="R714" i="6"/>
  <c r="R786" i="6" s="1"/>
  <c r="R963" i="6" s="1"/>
  <c r="R987" i="6" s="1"/>
  <c r="U714" i="6" a="1"/>
  <c r="U714" i="6" s="1"/>
  <c r="T714" i="6"/>
  <c r="AL5" i="13" a="1"/>
  <c r="AL5" i="13" s="1"/>
  <c r="U705" i="6" a="1"/>
  <c r="U705" i="6" s="1"/>
  <c r="I5" i="13" s="1"/>
  <c r="T705" i="6"/>
  <c r="K5" i="13" s="1"/>
  <c r="AU5" i="13" s="1"/>
  <c r="T153" i="6"/>
  <c r="T160" i="6"/>
  <c r="R692" i="6"/>
  <c r="T690" i="6"/>
  <c r="R690" i="6"/>
  <c r="T584" i="6"/>
  <c r="K476" i="13" s="1"/>
  <c r="AU476" i="13" s="1"/>
  <c r="R686" i="6"/>
  <c r="U670" i="6" a="1"/>
  <c r="U670" i="6" s="1"/>
  <c r="I457" i="13" s="1"/>
  <c r="T670" i="6"/>
  <c r="K457" i="13" s="1"/>
  <c r="AU457" i="13" s="1"/>
  <c r="R670" i="6"/>
  <c r="AL457" i="13" s="1" a="1"/>
  <c r="AL457" i="13" s="1"/>
  <c r="R663" i="6"/>
  <c r="R658" i="6"/>
  <c r="T658" i="6"/>
  <c r="AN354" i="13"/>
  <c r="T645" i="6"/>
  <c r="K522" i="13" s="1"/>
  <c r="AU522" i="13" s="1"/>
  <c r="R645" i="6"/>
  <c r="AL522" i="13" s="1" a="1"/>
  <c r="AL522" i="13" s="1"/>
  <c r="AV71" i="13"/>
  <c r="R639" i="6"/>
  <c r="AL523" i="13" s="1" a="1"/>
  <c r="AL523" i="13" s="1"/>
  <c r="T639" i="6"/>
  <c r="K523" i="13" s="1"/>
  <c r="AU523" i="13" s="1"/>
  <c r="R638" i="6"/>
  <c r="AL524" i="13" s="1" a="1"/>
  <c r="AL524" i="13" s="1"/>
  <c r="T638" i="6"/>
  <c r="K524" i="13" s="1"/>
  <c r="AU524" i="13" s="1"/>
  <c r="AN34" i="13"/>
  <c r="AN73" i="13"/>
  <c r="R624" i="6"/>
  <c r="T624" i="6"/>
  <c r="R609" i="6"/>
  <c r="R619" i="6" s="1"/>
  <c r="U626" i="6" s="1" a="1"/>
  <c r="U626" i="6" s="1"/>
  <c r="U614" i="6" a="1"/>
  <c r="U614" i="6" s="1"/>
  <c r="R614" i="6"/>
  <c r="T614" i="6"/>
  <c r="U610" i="6" a="1"/>
  <c r="U610" i="6" s="1"/>
  <c r="T610" i="6"/>
  <c r="R610" i="6"/>
  <c r="U698" i="6" s="1" a="1"/>
  <c r="U698" i="6" s="1"/>
  <c r="T600" i="6"/>
  <c r="U600" i="6" a="1"/>
  <c r="U600" i="6" s="1"/>
  <c r="R600" i="6"/>
  <c r="R593" i="6"/>
  <c r="R589" i="6"/>
  <c r="AL555" i="13" s="1" a="1"/>
  <c r="AL555" i="13" s="1"/>
  <c r="T589" i="6"/>
  <c r="K555" i="13" s="1"/>
  <c r="AU555" i="13" s="1"/>
  <c r="K520" i="13"/>
  <c r="AU520" i="13" s="1"/>
  <c r="R477" i="13"/>
  <c r="AU477" i="13" s="1"/>
  <c r="O497" i="15"/>
  <c r="U299" i="6" a="1"/>
  <c r="U299" i="6" s="1"/>
  <c r="I497" i="13" s="1"/>
  <c r="AL212" i="13" a="1"/>
  <c r="AL212" i="13" s="1"/>
  <c r="K497" i="13"/>
  <c r="AU497" i="13" s="1"/>
  <c r="AV468" i="13"/>
  <c r="O486" i="15"/>
  <c r="R217" i="13"/>
  <c r="AU217" i="13" s="1"/>
  <c r="AN468" i="13"/>
  <c r="R577" i="6"/>
  <c r="R575" i="6"/>
  <c r="O449" i="15"/>
  <c r="AN384" i="13"/>
  <c r="O279" i="15"/>
  <c r="AN65" i="13"/>
  <c r="O494" i="15"/>
  <c r="O5" i="15"/>
  <c r="M433" i="15"/>
  <c r="N433" i="15" s="1"/>
  <c r="G433" i="15"/>
  <c r="I433" i="15" s="1"/>
  <c r="P510" i="13"/>
  <c r="M510" i="15"/>
  <c r="N510" i="15" s="1"/>
  <c r="G510" i="15"/>
  <c r="I510" i="15" s="1"/>
  <c r="K134" i="13"/>
  <c r="AU134" i="13" s="1"/>
  <c r="O134" i="15"/>
  <c r="I506" i="13"/>
  <c r="M506" i="15"/>
  <c r="N506" i="15" s="1"/>
  <c r="G506" i="15"/>
  <c r="I506" i="15" s="1"/>
  <c r="G457" i="15"/>
  <c r="I457" i="15" s="1"/>
  <c r="C457" i="15"/>
  <c r="E457" i="15" s="1"/>
  <c r="I22" i="13"/>
  <c r="M22" i="15"/>
  <c r="N22" i="15" s="1"/>
  <c r="G22" i="15"/>
  <c r="I22" i="15" s="1"/>
  <c r="G461" i="15"/>
  <c r="I461" i="15" s="1"/>
  <c r="C461" i="15"/>
  <c r="E461" i="15" s="1"/>
  <c r="K269" i="13"/>
  <c r="AU269" i="13" s="1"/>
  <c r="O269" i="15"/>
  <c r="O212" i="15"/>
  <c r="G268" i="15"/>
  <c r="I268" i="15" s="1"/>
  <c r="M268" i="15"/>
  <c r="N268" i="15" s="1"/>
  <c r="K525" i="13"/>
  <c r="AU525" i="13" s="1"/>
  <c r="O526" i="15"/>
  <c r="M102" i="15"/>
  <c r="N102" i="15" s="1"/>
  <c r="G96" i="15"/>
  <c r="I96" i="15" s="1"/>
  <c r="G516" i="15"/>
  <c r="I516" i="15" s="1"/>
  <c r="M516" i="15"/>
  <c r="N516" i="15" s="1"/>
  <c r="R472" i="13"/>
  <c r="AU472" i="13" s="1"/>
  <c r="O472" i="15"/>
  <c r="R480" i="13"/>
  <c r="AU480" i="13" s="1"/>
  <c r="O480" i="15"/>
  <c r="K216" i="13"/>
  <c r="AU216" i="13" s="1"/>
  <c r="O216" i="15"/>
  <c r="I158" i="13"/>
  <c r="M158" i="15"/>
  <c r="N158" i="15" s="1"/>
  <c r="G158" i="15"/>
  <c r="I158" i="15" s="1"/>
  <c r="M494" i="15"/>
  <c r="N494" i="15" s="1"/>
  <c r="G494" i="15"/>
  <c r="I494" i="15" s="1"/>
  <c r="I223" i="13"/>
  <c r="M223" i="15"/>
  <c r="N223" i="15" s="1"/>
  <c r="G223" i="15"/>
  <c r="I223" i="15" s="1"/>
  <c r="I83" i="13"/>
  <c r="M83" i="15"/>
  <c r="N83" i="15" s="1"/>
  <c r="G83" i="15"/>
  <c r="I83" i="15" s="1"/>
  <c r="I445" i="13"/>
  <c r="M445" i="15"/>
  <c r="N445" i="15" s="1"/>
  <c r="G445" i="15"/>
  <c r="I445" i="15" s="1"/>
  <c r="I523" i="13"/>
  <c r="G524" i="15"/>
  <c r="I524" i="15" s="1"/>
  <c r="M524" i="15"/>
  <c r="N524" i="15" s="1"/>
  <c r="I456" i="13"/>
  <c r="G456" i="15"/>
  <c r="I456" i="15" s="1"/>
  <c r="M456" i="15"/>
  <c r="N456" i="15" s="1"/>
  <c r="K213" i="13"/>
  <c r="AU213" i="13" s="1"/>
  <c r="O213" i="15"/>
  <c r="G252" i="15"/>
  <c r="I252" i="15" s="1"/>
  <c r="C252" i="15"/>
  <c r="E252" i="15" s="1"/>
  <c r="I503" i="13"/>
  <c r="M503" i="15"/>
  <c r="N503" i="15" s="1"/>
  <c r="G503" i="15"/>
  <c r="I503" i="15" s="1"/>
  <c r="M457" i="15"/>
  <c r="N457" i="15" s="1"/>
  <c r="K384" i="13"/>
  <c r="AU384" i="13" s="1"/>
  <c r="O384" i="15"/>
  <c r="I27" i="13"/>
  <c r="G27" i="15"/>
  <c r="I27" i="15" s="1"/>
  <c r="C27" i="15"/>
  <c r="E27" i="15" s="1"/>
  <c r="G132" i="15"/>
  <c r="I132" i="15" s="1"/>
  <c r="C132" i="15"/>
  <c r="E132" i="15" s="1"/>
  <c r="K170" i="13"/>
  <c r="AU170" i="13" s="1"/>
  <c r="O170" i="15"/>
  <c r="M132" i="15"/>
  <c r="N132" i="15" s="1"/>
  <c r="G33" i="15"/>
  <c r="I33" i="15" s="1"/>
  <c r="G131" i="15"/>
  <c r="I131" i="15" s="1"/>
  <c r="I150" i="13"/>
  <c r="M150" i="15"/>
  <c r="N150" i="15" s="1"/>
  <c r="G150" i="15"/>
  <c r="I150" i="15" s="1"/>
  <c r="I213" i="13"/>
  <c r="M213" i="15"/>
  <c r="N213" i="15" s="1"/>
  <c r="G213" i="15"/>
  <c r="I213" i="15" s="1"/>
  <c r="C470" i="15"/>
  <c r="E470" i="15" s="1"/>
  <c r="I109" i="13"/>
  <c r="G109" i="15"/>
  <c r="I109" i="15" s="1"/>
  <c r="C109" i="15"/>
  <c r="E109" i="15" s="1"/>
  <c r="K456" i="13"/>
  <c r="AU456" i="13" s="1"/>
  <c r="O456" i="15"/>
  <c r="K500" i="13"/>
  <c r="AU500" i="13" s="1"/>
  <c r="O500" i="15"/>
  <c r="O516" i="15"/>
  <c r="O59" i="15"/>
  <c r="P471" i="13"/>
  <c r="M471" i="15"/>
  <c r="N471" i="15" s="1"/>
  <c r="G471" i="15"/>
  <c r="I471" i="15" s="1"/>
  <c r="O83" i="15"/>
  <c r="K158" i="13"/>
  <c r="AU158" i="13" s="1"/>
  <c r="O158" i="15"/>
  <c r="G502" i="15"/>
  <c r="I502" i="15" s="1"/>
  <c r="M502" i="15"/>
  <c r="N502" i="15" s="1"/>
  <c r="M59" i="15"/>
  <c r="N59" i="15" s="1"/>
  <c r="G59" i="15"/>
  <c r="I59" i="15" s="1"/>
  <c r="R471" i="13"/>
  <c r="AU471" i="13" s="1"/>
  <c r="O471" i="15"/>
  <c r="I216" i="13"/>
  <c r="M216" i="15"/>
  <c r="N216" i="15" s="1"/>
  <c r="G216" i="15"/>
  <c r="I216" i="15" s="1"/>
  <c r="M5" i="15"/>
  <c r="N5" i="15" s="1"/>
  <c r="G5" i="15"/>
  <c r="I5" i="15" s="1"/>
  <c r="P480" i="13"/>
  <c r="G480" i="15"/>
  <c r="I480" i="15" s="1"/>
  <c r="M480" i="15"/>
  <c r="N480" i="15" s="1"/>
  <c r="K102" i="13"/>
  <c r="AU102" i="13" s="1"/>
  <c r="K455" i="13"/>
  <c r="AU455" i="13" s="1"/>
  <c r="O455" i="15"/>
  <c r="I270" i="13"/>
  <c r="M270" i="15"/>
  <c r="N270" i="15" s="1"/>
  <c r="G270" i="15"/>
  <c r="I270" i="15" s="1"/>
  <c r="M252" i="15"/>
  <c r="N252" i="15" s="1"/>
  <c r="K509" i="13"/>
  <c r="AU509" i="13" s="1"/>
  <c r="O509" i="15"/>
  <c r="G541" i="15"/>
  <c r="I541" i="15" s="1"/>
  <c r="M541" i="15"/>
  <c r="N541" i="15" s="1"/>
  <c r="K105" i="13"/>
  <c r="AU105" i="13" s="1"/>
  <c r="O105" i="15"/>
  <c r="K412" i="13"/>
  <c r="AU412" i="13" s="1"/>
  <c r="O412" i="15"/>
  <c r="K467" i="13"/>
  <c r="AU467" i="13" s="1"/>
  <c r="O467" i="15"/>
  <c r="O39" i="15"/>
  <c r="O541" i="15"/>
  <c r="M33" i="15"/>
  <c r="N33" i="15" s="1"/>
  <c r="G39" i="15"/>
  <c r="I39" i="15" s="1"/>
  <c r="M131" i="15"/>
  <c r="N131" i="15" s="1"/>
  <c r="O465" i="15"/>
  <c r="R453" i="13"/>
  <c r="AU453" i="13" s="1"/>
  <c r="O453" i="15"/>
  <c r="M449" i="15"/>
  <c r="N449" i="15" s="1"/>
  <c r="G449" i="15"/>
  <c r="I449" i="15" s="1"/>
  <c r="O53" i="15"/>
  <c r="M465" i="15"/>
  <c r="N465" i="15" s="1"/>
  <c r="G465" i="15"/>
  <c r="I465" i="15" s="1"/>
  <c r="P453" i="13"/>
  <c r="M453" i="15"/>
  <c r="N453" i="15" s="1"/>
  <c r="G453" i="15"/>
  <c r="I453" i="15" s="1"/>
  <c r="M53" i="15"/>
  <c r="N53" i="15" s="1"/>
  <c r="G53" i="15"/>
  <c r="I53" i="15" s="1"/>
  <c r="P472" i="13"/>
  <c r="G472" i="15"/>
  <c r="I472" i="15" s="1"/>
  <c r="M472" i="15"/>
  <c r="N472" i="15" s="1"/>
  <c r="I522" i="13"/>
  <c r="G523" i="15"/>
  <c r="I523" i="15" s="1"/>
  <c r="M523" i="15"/>
  <c r="N523" i="15" s="1"/>
  <c r="I501" i="13"/>
  <c r="M501" i="15"/>
  <c r="N501" i="15" s="1"/>
  <c r="G501" i="15"/>
  <c r="I501" i="15" s="1"/>
  <c r="G93" i="15"/>
  <c r="I93" i="15" s="1"/>
  <c r="C93" i="15"/>
  <c r="E93" i="15" s="1"/>
  <c r="M413" i="15"/>
  <c r="N413" i="15" s="1"/>
  <c r="G413" i="15"/>
  <c r="I413" i="15" s="1"/>
  <c r="K161" i="13"/>
  <c r="AU161" i="13" s="1"/>
  <c r="O161" i="15"/>
  <c r="I451" i="13"/>
  <c r="M451" i="15"/>
  <c r="N451" i="15" s="1"/>
  <c r="G451" i="15"/>
  <c r="I451" i="15" s="1"/>
  <c r="I45" i="13"/>
  <c r="G45" i="15"/>
  <c r="I45" i="15" s="1"/>
  <c r="C45" i="15"/>
  <c r="E45" i="15" s="1"/>
  <c r="K137" i="13"/>
  <c r="AU137" i="13" s="1"/>
  <c r="O137" i="15"/>
  <c r="I320" i="13"/>
  <c r="G320" i="15"/>
  <c r="I320" i="15" s="1"/>
  <c r="M320" i="15"/>
  <c r="N320" i="15" s="1"/>
  <c r="O525" i="15"/>
  <c r="I546" i="13"/>
  <c r="G549" i="15"/>
  <c r="I549" i="15" s="1"/>
  <c r="M549" i="15"/>
  <c r="N549" i="15" s="1"/>
  <c r="I267" i="13"/>
  <c r="M267" i="15"/>
  <c r="N267" i="15" s="1"/>
  <c r="G267" i="15"/>
  <c r="I267" i="15" s="1"/>
  <c r="M446" i="15"/>
  <c r="N446" i="15" s="1"/>
  <c r="G446" i="15"/>
  <c r="I446" i="15" s="1"/>
  <c r="O292" i="15"/>
  <c r="O446" i="15"/>
  <c r="G102" i="15"/>
  <c r="I102" i="15" s="1"/>
  <c r="M96" i="15"/>
  <c r="N96" i="15" s="1"/>
  <c r="O132" i="15"/>
  <c r="M39" i="15"/>
  <c r="N39" i="15" s="1"/>
  <c r="O96" i="15"/>
  <c r="AS132" i="13"/>
  <c r="AT132" i="13" s="1"/>
  <c r="AJ470" i="13"/>
  <c r="AN314" i="13"/>
  <c r="AK132" i="13"/>
  <c r="AP132" i="13"/>
  <c r="AJ132" i="13"/>
  <c r="AK102" i="13"/>
  <c r="AP102" i="13"/>
  <c r="AJ102" i="13"/>
  <c r="AN566" i="13"/>
  <c r="AN481" i="13"/>
  <c r="AN66" i="13"/>
  <c r="AN569" i="13"/>
  <c r="AN514" i="13"/>
  <c r="I446" i="13"/>
  <c r="AK96" i="13"/>
  <c r="AP96" i="13"/>
  <c r="R408" i="6"/>
  <c r="R453" i="6" s="1"/>
  <c r="R456" i="6" s="1"/>
  <c r="U487" i="6" s="1" a="1"/>
  <c r="U487" i="6" s="1"/>
  <c r="I468" i="13" s="1"/>
  <c r="AJ96" i="13"/>
  <c r="K446" i="13"/>
  <c r="AU446" i="13" s="1"/>
  <c r="AV388" i="13"/>
  <c r="T408" i="6"/>
  <c r="AV398" i="13"/>
  <c r="AV105" i="13"/>
  <c r="T311" i="6"/>
  <c r="R311" i="6"/>
  <c r="AP470" i="13"/>
  <c r="AS470" i="13"/>
  <c r="AT470" i="13" s="1"/>
  <c r="AK470" i="13"/>
  <c r="AV205" i="13"/>
  <c r="AV543" i="13"/>
  <c r="AV100" i="13"/>
  <c r="AV28" i="13"/>
  <c r="AV351" i="13"/>
  <c r="T169" i="6"/>
  <c r="AP252" i="13"/>
  <c r="AV252" i="13" s="1"/>
  <c r="AJ252" i="13"/>
  <c r="AV237" i="13"/>
  <c r="AV190" i="13"/>
  <c r="AV384" i="13"/>
  <c r="AV377" i="13"/>
  <c r="U381" i="6" a="1"/>
  <c r="U381" i="6" s="1"/>
  <c r="AV24" i="13"/>
  <c r="AV568" i="13"/>
  <c r="AV106" i="13"/>
  <c r="AV501" i="13"/>
  <c r="AV103" i="13"/>
  <c r="AV296" i="13"/>
  <c r="AV98" i="13"/>
  <c r="AN252" i="13"/>
  <c r="AV186" i="13"/>
  <c r="AV499" i="13"/>
  <c r="AN492" i="13"/>
  <c r="AK252" i="13"/>
  <c r="AV498" i="13"/>
  <c r="AV370" i="13"/>
  <c r="AN543" i="13"/>
  <c r="AV66" i="13"/>
  <c r="AV300" i="13"/>
  <c r="AV78" i="13"/>
  <c r="AV339" i="13"/>
  <c r="AV395" i="13"/>
  <c r="AV9" i="13"/>
  <c r="AV574" i="13"/>
  <c r="AV542" i="13"/>
  <c r="AV481" i="13"/>
  <c r="AV463" i="13"/>
  <c r="AN542" i="13"/>
  <c r="AV73" i="13"/>
  <c r="AS39" i="13"/>
  <c r="AT39" i="13" s="1"/>
  <c r="AK39" i="13"/>
  <c r="AV420" i="13"/>
  <c r="AV77" i="13"/>
  <c r="AV434" i="13"/>
  <c r="K212" i="13"/>
  <c r="AU212" i="13" s="1"/>
  <c r="AV211" i="13"/>
  <c r="AV207" i="13"/>
  <c r="AV566" i="13"/>
  <c r="AV42" i="13"/>
  <c r="AV163" i="13"/>
  <c r="AV232" i="13"/>
  <c r="AV196" i="13"/>
  <c r="AV166" i="13"/>
  <c r="AV238" i="13"/>
  <c r="AV525" i="13"/>
  <c r="AV259" i="13"/>
  <c r="AV350" i="13"/>
  <c r="AV433" i="13"/>
  <c r="AV439" i="13"/>
  <c r="AV333" i="13"/>
  <c r="AV341" i="13"/>
  <c r="K279" i="13"/>
  <c r="AU279" i="13" s="1"/>
  <c r="AV229" i="13"/>
  <c r="AV416" i="13"/>
  <c r="AV278" i="13"/>
  <c r="AV274" i="13"/>
  <c r="AV243" i="13"/>
  <c r="AV310" i="13"/>
  <c r="AV471" i="13"/>
  <c r="AV372" i="13"/>
  <c r="I252" i="13"/>
  <c r="AV38" i="13"/>
  <c r="AV193" i="13"/>
  <c r="AV349" i="13"/>
  <c r="AV411" i="13"/>
  <c r="AV358" i="13"/>
  <c r="AV182" i="13"/>
  <c r="AV404" i="13"/>
  <c r="AV311" i="13"/>
  <c r="AV64" i="13"/>
  <c r="AV397" i="13"/>
  <c r="AV419" i="13"/>
  <c r="AV210" i="13"/>
  <c r="AJ39" i="13"/>
  <c r="AV422" i="13"/>
  <c r="AV438" i="13"/>
  <c r="AV51" i="13"/>
  <c r="AV195" i="13"/>
  <c r="AV309" i="13"/>
  <c r="AV67" i="13"/>
  <c r="AV552" i="13"/>
  <c r="AV514" i="13"/>
  <c r="AV156" i="13"/>
  <c r="AV364" i="13"/>
  <c r="AV220" i="13"/>
  <c r="AV513" i="13"/>
  <c r="AV254" i="13"/>
  <c r="AV374" i="13"/>
  <c r="AN495" i="13"/>
  <c r="AV549" i="13"/>
  <c r="R319" i="6"/>
  <c r="T319" i="6"/>
  <c r="U319" i="6" a="1"/>
  <c r="U319" i="6" s="1"/>
  <c r="AK424" i="13"/>
  <c r="AP424" i="13"/>
  <c r="AJ424" i="13"/>
  <c r="AS424" i="13"/>
  <c r="AT424" i="13" s="1"/>
  <c r="AV314" i="13"/>
  <c r="AV16" i="13"/>
  <c r="AV29" i="13"/>
  <c r="AV418" i="13"/>
  <c r="AV336" i="13"/>
  <c r="AV455" i="13"/>
  <c r="AV458" i="13"/>
  <c r="AV266" i="13"/>
  <c r="AV240" i="13"/>
  <c r="AV577" i="13"/>
  <c r="AV567" i="13"/>
  <c r="AV208" i="13"/>
  <c r="AV176" i="13"/>
  <c r="AV444" i="13"/>
  <c r="AV570" i="13"/>
  <c r="AV423" i="13"/>
  <c r="AV142" i="13"/>
  <c r="AV295" i="13"/>
  <c r="P433" i="13"/>
  <c r="AV284" i="13"/>
  <c r="AV200" i="13"/>
  <c r="AV366" i="13"/>
  <c r="AV343" i="13"/>
  <c r="AN507" i="13"/>
  <c r="AV280" i="13"/>
  <c r="AV346" i="13"/>
  <c r="AV326" i="13"/>
  <c r="AV353" i="13"/>
  <c r="AV378" i="13"/>
  <c r="AV303" i="13"/>
  <c r="AV17" i="13"/>
  <c r="AV121" i="13"/>
  <c r="AV215" i="13"/>
  <c r="AV382" i="13"/>
  <c r="AV345" i="13"/>
  <c r="AV153" i="13"/>
  <c r="AV189" i="13"/>
  <c r="AV58" i="13"/>
  <c r="AV198" i="13"/>
  <c r="AV147" i="13"/>
  <c r="AV209" i="13"/>
  <c r="AV575" i="13"/>
  <c r="AV373" i="13"/>
  <c r="AV49" i="13"/>
  <c r="AV393" i="13"/>
  <c r="AN575" i="13"/>
  <c r="AV561" i="13"/>
  <c r="AV37" i="13"/>
  <c r="AV495" i="13"/>
  <c r="AN32" i="13"/>
  <c r="AV331" i="13"/>
  <c r="AV152" i="13"/>
  <c r="AV579" i="13"/>
  <c r="AV362" i="13"/>
  <c r="AV221" i="13"/>
  <c r="AV317" i="13"/>
  <c r="AV338" i="13"/>
  <c r="AV234" i="13"/>
  <c r="AV313" i="13"/>
  <c r="AV146" i="13"/>
  <c r="AN463" i="13"/>
  <c r="AV99" i="13"/>
  <c r="AV2" i="13"/>
  <c r="AV385" i="13"/>
  <c r="AV383" i="13"/>
  <c r="T515" i="6"/>
  <c r="U515" i="6" a="1"/>
  <c r="U515" i="6" s="1"/>
  <c r="I490" i="13" s="1"/>
  <c r="AV368" i="13"/>
  <c r="AV264" i="13"/>
  <c r="AV408" i="13"/>
  <c r="AV214" i="13"/>
  <c r="AV356" i="13"/>
  <c r="AV557" i="13"/>
  <c r="AV407" i="13"/>
  <c r="AN213" i="13"/>
  <c r="AV172" i="13"/>
  <c r="AV269" i="13"/>
  <c r="AV352" i="13"/>
  <c r="AV342" i="13"/>
  <c r="AN425" i="13"/>
  <c r="AV150" i="13"/>
  <c r="AV164" i="13"/>
  <c r="AV318" i="13"/>
  <c r="AV361" i="13"/>
  <c r="AV329" i="13"/>
  <c r="AV174" i="13"/>
  <c r="AV167" i="13"/>
  <c r="AV25" i="13"/>
  <c r="AV175" i="13"/>
  <c r="AV400" i="13"/>
  <c r="AV136" i="13"/>
  <c r="AV171" i="13"/>
  <c r="AV251" i="13"/>
  <c r="AV61" i="13"/>
  <c r="AV559" i="13"/>
  <c r="AN340" i="13"/>
  <c r="AV179" i="13"/>
  <c r="AV82" i="13"/>
  <c r="AV261" i="13"/>
  <c r="AV390" i="13"/>
  <c r="AV357" i="13"/>
  <c r="AV6" i="13"/>
  <c r="AV348" i="13"/>
  <c r="AV233" i="13"/>
  <c r="AV466" i="13"/>
  <c r="AV81" i="13"/>
  <c r="AV203" i="13"/>
  <c r="AV564" i="13"/>
  <c r="AV569" i="13"/>
  <c r="AV161" i="13"/>
  <c r="AV399" i="13"/>
  <c r="AV277" i="13"/>
  <c r="AN448" i="13"/>
  <c r="AV365" i="13"/>
  <c r="AV199" i="13"/>
  <c r="AV437" i="13"/>
  <c r="AN561" i="13"/>
  <c r="AN344" i="13"/>
  <c r="AV279" i="13"/>
  <c r="AV573" i="13"/>
  <c r="AN501" i="13"/>
  <c r="AV60" i="13"/>
  <c r="AV249" i="13"/>
  <c r="AV45" i="13"/>
  <c r="AV451" i="13"/>
  <c r="AV117" i="13"/>
  <c r="AV227" i="13"/>
  <c r="AN60" i="13"/>
  <c r="AN454" i="13"/>
  <c r="AV290" i="13"/>
  <c r="AV467" i="13"/>
  <c r="AV454" i="13"/>
  <c r="AV18" i="13"/>
  <c r="AV414" i="13"/>
  <c r="AV509" i="13"/>
  <c r="AV223" i="13"/>
  <c r="AV302" i="13"/>
  <c r="AV344" i="13"/>
  <c r="AN568" i="13"/>
  <c r="AN573" i="13"/>
  <c r="AN570" i="13"/>
  <c r="AN559" i="13"/>
  <c r="AN578" i="13"/>
  <c r="AN120" i="13"/>
  <c r="AN579" i="13"/>
  <c r="AN577" i="13"/>
  <c r="AN564" i="13"/>
  <c r="AN563" i="13"/>
  <c r="AN290" i="13"/>
  <c r="AN450" i="13"/>
  <c r="AN557" i="13"/>
  <c r="AV192" i="13"/>
  <c r="AV453" i="13"/>
  <c r="AV445" i="13"/>
  <c r="AN115" i="13"/>
  <c r="AV448" i="13"/>
  <c r="AV507" i="13"/>
  <c r="AV492" i="13"/>
  <c r="AV473" i="13"/>
  <c r="O88" i="15"/>
  <c r="O102" i="15"/>
  <c r="O510" i="15"/>
  <c r="AN51" i="13"/>
  <c r="AV267" i="13"/>
  <c r="AV426" i="13"/>
  <c r="AV34" i="13"/>
  <c r="AV376" i="13"/>
  <c r="AV222" i="13"/>
  <c r="AV563" i="13"/>
  <c r="AN452" i="13"/>
  <c r="AV535" i="13"/>
  <c r="J32" i="13"/>
  <c r="AI32" i="13" s="1"/>
  <c r="AV32" i="13" s="1"/>
  <c r="AV479" i="13"/>
  <c r="AN447" i="13"/>
  <c r="AN688" i="13"/>
  <c r="AN474" i="13"/>
  <c r="AV127" i="13"/>
  <c r="AV459" i="13"/>
  <c r="AN466" i="13"/>
  <c r="AN530" i="13"/>
  <c r="AV476" i="13"/>
  <c r="AN445" i="13"/>
  <c r="AV462" i="13"/>
  <c r="AV447" i="13"/>
  <c r="AN125" i="13"/>
  <c r="AN553" i="13"/>
  <c r="AN517" i="13"/>
  <c r="AV534" i="13"/>
  <c r="AV65" i="13"/>
  <c r="AV460" i="13"/>
  <c r="AN476" i="13"/>
  <c r="AN127" i="13"/>
  <c r="AN552" i="13"/>
  <c r="AV107" i="13"/>
  <c r="AV359" i="13"/>
  <c r="AV688" i="13"/>
  <c r="AV500" i="13"/>
  <c r="AV46" i="13"/>
  <c r="AV539" i="13"/>
  <c r="R515" i="6"/>
  <c r="AV246" i="13"/>
  <c r="AV450" i="13"/>
  <c r="AV511" i="13"/>
  <c r="AV489" i="13"/>
  <c r="J213" i="13"/>
  <c r="AI213" i="13" s="1"/>
  <c r="AV213" i="13" s="1"/>
  <c r="AV550" i="13"/>
  <c r="U202" i="6" a="1"/>
  <c r="U202" i="6" s="1"/>
  <c r="I212" i="13" s="1"/>
  <c r="AN31" i="13"/>
  <c r="AN460" i="13"/>
  <c r="AV446" i="13"/>
  <c r="AV530" i="13"/>
  <c r="AV517" i="13"/>
  <c r="AN549" i="13"/>
  <c r="AN18" i="13"/>
  <c r="J340" i="13"/>
  <c r="AI340" i="13" s="1"/>
  <c r="AV340" i="13" s="1"/>
  <c r="AN539" i="13"/>
  <c r="AV31" i="13"/>
  <c r="AN5" i="13"/>
  <c r="J5" i="13"/>
  <c r="AI5" i="13" s="1"/>
  <c r="J212" i="13"/>
  <c r="AN519" i="13"/>
  <c r="J519" i="13"/>
  <c r="AI519" i="13" s="1"/>
  <c r="AV519" i="13" s="1"/>
  <c r="AN294" i="13"/>
  <c r="J294" i="13"/>
  <c r="AI294" i="13" s="1"/>
  <c r="AV294" i="13" s="1"/>
  <c r="AN497" i="13"/>
  <c r="J497" i="13"/>
  <c r="AI497" i="13" s="1"/>
  <c r="AV497" i="13" s="1"/>
  <c r="J95" i="13"/>
  <c r="J464" i="13"/>
  <c r="AI464" i="13" s="1"/>
  <c r="AV464" i="13" s="1"/>
  <c r="AN464" i="13"/>
  <c r="AN520" i="13"/>
  <c r="J520" i="13"/>
  <c r="AI520" i="13" s="1"/>
  <c r="AV520" i="13" s="1"/>
  <c r="J160" i="13"/>
  <c r="AN496" i="13"/>
  <c r="J496" i="13"/>
  <c r="AI496" i="13" s="1"/>
  <c r="AV496" i="13" s="1"/>
  <c r="T263" i="6"/>
  <c r="U263" i="6" a="1"/>
  <c r="U263" i="6" s="1"/>
  <c r="G470" i="15" s="1"/>
  <c r="I470" i="15" s="1"/>
  <c r="T356" i="6"/>
  <c r="R356" i="6"/>
  <c r="R608" i="6" s="1"/>
  <c r="U356" i="6" a="1"/>
  <c r="U356" i="6" s="1"/>
  <c r="AL109" i="13" a="1"/>
  <c r="AL109" i="13" s="1"/>
  <c r="T210" i="6"/>
  <c r="R210" i="6"/>
  <c r="U275" i="6" s="1" a="1"/>
  <c r="U210" i="6"/>
  <c r="T353" i="6"/>
  <c r="U353" i="6"/>
  <c r="R353" i="6"/>
  <c r="R400" i="6" s="1"/>
  <c r="U420" i="6" s="1" a="1"/>
  <c r="T198" i="6"/>
  <c r="U198" i="6"/>
  <c r="R198" i="6"/>
  <c r="U206" i="6" s="1" a="1"/>
  <c r="U419" i="6"/>
  <c r="R419" i="6"/>
  <c r="U498" i="6" s="1" a="1"/>
  <c r="T419" i="6"/>
  <c r="R495" i="6"/>
  <c r="R530" i="6" s="1"/>
  <c r="T495" i="6"/>
  <c r="U495" i="6"/>
  <c r="AN623" i="13" l="1"/>
  <c r="J546" i="13"/>
  <c r="AI546" i="13" s="1"/>
  <c r="AV546" i="13" s="1"/>
  <c r="AN546" i="13"/>
  <c r="I547" i="13"/>
  <c r="T1493" i="6"/>
  <c r="K547" i="13" s="1"/>
  <c r="AU547" i="13" s="1"/>
  <c r="R1493" i="6"/>
  <c r="AL547" i="13" s="1" a="1"/>
  <c r="AL547" i="13" s="1"/>
  <c r="R1491" i="6"/>
  <c r="AL83" i="13" s="1" a="1"/>
  <c r="AL83" i="13" s="1"/>
  <c r="T1491" i="6"/>
  <c r="K83" i="13" s="1"/>
  <c r="AU83" i="13" s="1"/>
  <c r="AL617" i="13" a="1"/>
  <c r="AL617" i="13" s="1"/>
  <c r="U1473" i="6" a="1"/>
  <c r="U1473" i="6" s="1"/>
  <c r="I617" i="13" s="1"/>
  <c r="T1473" i="6"/>
  <c r="K617" i="13" s="1"/>
  <c r="AU617" i="13" s="1"/>
  <c r="J609" i="13"/>
  <c r="AI609" i="13" s="1"/>
  <c r="AV609" i="13" s="1"/>
  <c r="R1463" i="6"/>
  <c r="U1463" i="6" a="1"/>
  <c r="U1463" i="6" s="1"/>
  <c r="I138" i="13" s="1"/>
  <c r="T1463" i="6"/>
  <c r="R1461" i="6"/>
  <c r="R1462" i="6" s="1"/>
  <c r="AN617" i="13"/>
  <c r="J617" i="13"/>
  <c r="AI617" i="13" s="1"/>
  <c r="AV617" i="13" s="1"/>
  <c r="AL581" i="13" a="1"/>
  <c r="AL581" i="13" s="1"/>
  <c r="U1456" i="6" a="1"/>
  <c r="U1456" i="6" s="1"/>
  <c r="I581" i="13" s="1"/>
  <c r="T1456" i="6"/>
  <c r="K581" i="13" s="1"/>
  <c r="AU581" i="13" s="1"/>
  <c r="R1443" i="6"/>
  <c r="AL91" i="13" s="1" a="1"/>
  <c r="AL91" i="13" s="1"/>
  <c r="T1443" i="6"/>
  <c r="K91" i="13" s="1"/>
  <c r="AU91" i="13" s="1"/>
  <c r="U1443" i="6" a="1"/>
  <c r="U1443" i="6" s="1"/>
  <c r="I91" i="13" s="1"/>
  <c r="J581" i="13"/>
  <c r="AI581" i="13" s="1"/>
  <c r="AV581" i="13" s="1"/>
  <c r="AN581" i="13"/>
  <c r="AL693" i="13" a="1"/>
  <c r="AL693" i="13" s="1"/>
  <c r="AL695" i="13" a="1"/>
  <c r="AL695" i="13" s="1"/>
  <c r="K695" i="13"/>
  <c r="AU695" i="13" s="1"/>
  <c r="AN505" i="13"/>
  <c r="R1415" i="6"/>
  <c r="U1438" i="6" s="1" a="1"/>
  <c r="U1438" i="6" s="1"/>
  <c r="U1415" i="6" a="1"/>
  <c r="U1415" i="6" s="1"/>
  <c r="T1415" i="6"/>
  <c r="U1405" i="6" a="1"/>
  <c r="U1405" i="6" s="1"/>
  <c r="I413" i="13" s="1"/>
  <c r="T1405" i="6"/>
  <c r="K413" i="13" s="1"/>
  <c r="AU413" i="13" s="1"/>
  <c r="AL606" i="13" a="1"/>
  <c r="AL606" i="13" s="1"/>
  <c r="J678" i="13"/>
  <c r="AI678" i="13" s="1"/>
  <c r="AV678" i="13" s="1"/>
  <c r="AN678" i="13"/>
  <c r="AN677" i="13"/>
  <c r="U1388" i="6" a="1"/>
  <c r="U1388" i="6" s="1"/>
  <c r="T1388" i="6"/>
  <c r="R1388" i="6"/>
  <c r="J544" i="13"/>
  <c r="AI544" i="13" s="1"/>
  <c r="AV544" i="13" s="1"/>
  <c r="AN544" i="13"/>
  <c r="U1361" i="6" a="1"/>
  <c r="U1361" i="6" s="1"/>
  <c r="T1361" i="6"/>
  <c r="R1340" i="6"/>
  <c r="AL84" i="13" s="1" a="1"/>
  <c r="AL84" i="13" s="1"/>
  <c r="T1340" i="6"/>
  <c r="K84" i="13" s="1"/>
  <c r="AU84" i="13" s="1"/>
  <c r="U1340" i="6" a="1"/>
  <c r="U1340" i="6" s="1"/>
  <c r="I84" i="13" s="1"/>
  <c r="I600" i="13"/>
  <c r="R1335" i="6"/>
  <c r="AL600" i="13" s="1" a="1"/>
  <c r="AL600" i="13" s="1"/>
  <c r="T1335" i="6"/>
  <c r="K600" i="13" s="1"/>
  <c r="AU600" i="13" s="1"/>
  <c r="J586" i="13"/>
  <c r="AI586" i="13" s="1"/>
  <c r="AV586" i="13" s="1"/>
  <c r="AL39" i="13" a="1"/>
  <c r="AL39" i="13" s="1"/>
  <c r="J39" i="13" s="1"/>
  <c r="I39" i="13"/>
  <c r="K39" i="13"/>
  <c r="AU39" i="13" s="1"/>
  <c r="R1323" i="6"/>
  <c r="U1323" i="6" a="1"/>
  <c r="U1323" i="6" s="1"/>
  <c r="T1323" i="6"/>
  <c r="R1315" i="6"/>
  <c r="AL168" i="13" s="1" a="1"/>
  <c r="AL168" i="13" s="1"/>
  <c r="U1315" i="6" a="1"/>
  <c r="U1315" i="6" s="1"/>
  <c r="I168" i="13" s="1"/>
  <c r="T1315" i="6"/>
  <c r="K168" i="13" s="1"/>
  <c r="AU168" i="13" s="1"/>
  <c r="AL531" i="13" a="1"/>
  <c r="AL531" i="13" s="1"/>
  <c r="U1307" i="6" a="1"/>
  <c r="U1307" i="6" s="1"/>
  <c r="I531" i="13" s="1"/>
  <c r="T1307" i="6"/>
  <c r="K531" i="13" s="1"/>
  <c r="AU531" i="13" s="1"/>
  <c r="T1302" i="6"/>
  <c r="R1302" i="6"/>
  <c r="U1303" i="6" s="1" a="1"/>
  <c r="U1303" i="6" s="1"/>
  <c r="I541" i="13" s="1"/>
  <c r="R1287" i="6"/>
  <c r="T1287" i="6"/>
  <c r="T1275" i="6"/>
  <c r="K605" i="13" s="1"/>
  <c r="AU605" i="13" s="1"/>
  <c r="U1275" i="6" a="1"/>
  <c r="U1275" i="6" s="1"/>
  <c r="I605" i="13" s="1"/>
  <c r="R1275" i="6"/>
  <c r="AN644" i="13"/>
  <c r="R1246" i="6"/>
  <c r="AL527" i="13" a="1"/>
  <c r="AL527" i="13" s="1"/>
  <c r="J527" i="13" s="1"/>
  <c r="I527" i="13"/>
  <c r="K527" i="13"/>
  <c r="AU527" i="13" s="1"/>
  <c r="AN654" i="13"/>
  <c r="J551" i="13"/>
  <c r="AI551" i="13" s="1"/>
  <c r="AV551" i="13" s="1"/>
  <c r="AN551" i="13"/>
  <c r="R1203" i="6"/>
  <c r="AL19" i="13" s="1" a="1"/>
  <c r="AL19" i="13" s="1"/>
  <c r="T1203" i="6"/>
  <c r="K19" i="13" s="1"/>
  <c r="AU19" i="13" s="1"/>
  <c r="R1189" i="6"/>
  <c r="U1189" i="6" a="1"/>
  <c r="U1189" i="6" s="1"/>
  <c r="T1189" i="6"/>
  <c r="R1186" i="6"/>
  <c r="AL216" i="13" s="1" a="1"/>
  <c r="AL216" i="13" s="1"/>
  <c r="J512" i="13"/>
  <c r="AI512" i="13" s="1"/>
  <c r="AV512" i="13" s="1"/>
  <c r="AN512" i="13"/>
  <c r="R1167" i="6"/>
  <c r="R1163" i="6"/>
  <c r="R1164" i="6" s="1"/>
  <c r="J565" i="13"/>
  <c r="AI565" i="13" s="1"/>
  <c r="AV565" i="13" s="1"/>
  <c r="AN565" i="13"/>
  <c r="R1136" i="6"/>
  <c r="U1136" i="6" a="1"/>
  <c r="U1136" i="6" s="1"/>
  <c r="T1136" i="6"/>
  <c r="J417" i="13"/>
  <c r="AI417" i="13" s="1"/>
  <c r="AV417" i="13" s="1"/>
  <c r="AN417" i="13"/>
  <c r="R1116" i="6"/>
  <c r="J292" i="13"/>
  <c r="AI292" i="13" s="1"/>
  <c r="AV292" i="13" s="1"/>
  <c r="AN292" i="13"/>
  <c r="R1112" i="6"/>
  <c r="T1112" i="6"/>
  <c r="AL560" i="13" a="1"/>
  <c r="AL560" i="13" s="1"/>
  <c r="U1091" i="6" a="1"/>
  <c r="U1091" i="6" s="1"/>
  <c r="I560" i="13" s="1"/>
  <c r="T1091" i="6"/>
  <c r="K560" i="13" s="1"/>
  <c r="AU560" i="13" s="1"/>
  <c r="AN403" i="13"/>
  <c r="T1088" i="6"/>
  <c r="K576" i="13" s="1"/>
  <c r="AU576" i="13" s="1"/>
  <c r="R1088" i="6"/>
  <c r="AL576" i="13" s="1"/>
  <c r="J576" i="13" s="1"/>
  <c r="AI576" i="13" s="1"/>
  <c r="AV576" i="13" s="1"/>
  <c r="R1085" i="6"/>
  <c r="T1085" i="6"/>
  <c r="R1073" i="6"/>
  <c r="R1051" i="6"/>
  <c r="AL634" i="13" s="1" a="1"/>
  <c r="AL634" i="13" s="1"/>
  <c r="J560" i="13"/>
  <c r="AI560" i="13" s="1"/>
  <c r="AV560" i="13" s="1"/>
  <c r="AN560" i="13"/>
  <c r="T1014" i="6"/>
  <c r="K132" i="13" s="1"/>
  <c r="AU132" i="13" s="1"/>
  <c r="U1014" i="6" a="1"/>
  <c r="U1014" i="6" s="1"/>
  <c r="I132" i="13" s="1"/>
  <c r="R1014" i="6"/>
  <c r="AL132" i="13" s="1" a="1"/>
  <c r="AL132" i="13" s="1"/>
  <c r="U1004" i="6" a="1"/>
  <c r="U1004" i="6" s="1"/>
  <c r="R1004" i="6"/>
  <c r="R1047" i="6" s="1"/>
  <c r="T1004" i="6"/>
  <c r="R998" i="6"/>
  <c r="AL538" i="13" s="1" a="1"/>
  <c r="AL538" i="13" s="1"/>
  <c r="T998" i="6"/>
  <c r="K538" i="13" s="1"/>
  <c r="AU538" i="13" s="1"/>
  <c r="J508" i="13"/>
  <c r="AI508" i="13" s="1"/>
  <c r="AV508" i="13" s="1"/>
  <c r="AN508" i="13"/>
  <c r="J529" i="13"/>
  <c r="AI529" i="13" s="1"/>
  <c r="AV529" i="13" s="1"/>
  <c r="AN529" i="13"/>
  <c r="R969" i="6"/>
  <c r="R966" i="6"/>
  <c r="U966" i="6" a="1"/>
  <c r="U966" i="6" s="1"/>
  <c r="T966" i="6"/>
  <c r="J14" i="13"/>
  <c r="AI14" i="13" s="1"/>
  <c r="AV14" i="13" s="1"/>
  <c r="AN14" i="13"/>
  <c r="R928" i="6"/>
  <c r="R934" i="6" s="1"/>
  <c r="R927" i="6"/>
  <c r="R930" i="6" s="1"/>
  <c r="I572" i="13"/>
  <c r="K572" i="13"/>
  <c r="AU572" i="13" s="1"/>
  <c r="AL572" i="13"/>
  <c r="R929" i="6"/>
  <c r="U1242" i="6" s="1" a="1"/>
  <c r="U1242" i="6" s="1"/>
  <c r="U929" i="6" a="1"/>
  <c r="U929" i="6" s="1"/>
  <c r="T929" i="6"/>
  <c r="R917" i="6"/>
  <c r="C138" i="15"/>
  <c r="E138" i="15" s="1"/>
  <c r="G138" i="15"/>
  <c r="I138" i="15" s="1"/>
  <c r="P599" i="13"/>
  <c r="T867" i="6"/>
  <c r="R867" i="6"/>
  <c r="U867" i="6" a="1"/>
  <c r="U867" i="6" s="1"/>
  <c r="U866" i="6" a="1"/>
  <c r="U866" i="6" s="1"/>
  <c r="R866" i="6"/>
  <c r="T866" i="6"/>
  <c r="J531" i="13"/>
  <c r="AI531" i="13" s="1"/>
  <c r="AV531" i="13" s="1"/>
  <c r="AN531" i="13"/>
  <c r="R790" i="6"/>
  <c r="AL194" i="13" s="1" a="1"/>
  <c r="AL194" i="13" s="1"/>
  <c r="AN194" i="13" s="1"/>
  <c r="AN601" i="13"/>
  <c r="J601" i="13"/>
  <c r="AI601" i="13" s="1"/>
  <c r="AV601" i="13" s="1"/>
  <c r="R832" i="6"/>
  <c r="R824" i="6"/>
  <c r="R821" i="6"/>
  <c r="R1239" i="6" s="1"/>
  <c r="T821" i="6"/>
  <c r="J592" i="13"/>
  <c r="AI592" i="13" s="1"/>
  <c r="AV592" i="13" s="1"/>
  <c r="AN592" i="13"/>
  <c r="T790" i="6"/>
  <c r="K194" i="13" s="1"/>
  <c r="AU194" i="13" s="1"/>
  <c r="I194" i="13"/>
  <c r="T789" i="6"/>
  <c r="R789" i="6"/>
  <c r="U862" i="6" s="1" a="1"/>
  <c r="U862" i="6" s="1"/>
  <c r="I537" i="13" s="1"/>
  <c r="U783" i="6" a="1"/>
  <c r="U783" i="6" s="1"/>
  <c r="R783" i="6"/>
  <c r="T783" i="6"/>
  <c r="AN693" i="13"/>
  <c r="J693" i="13"/>
  <c r="AI693" i="13" s="1"/>
  <c r="AV693" i="13" s="1"/>
  <c r="R773" i="6"/>
  <c r="U773" i="6" a="1"/>
  <c r="U773" i="6" s="1"/>
  <c r="T773" i="6"/>
  <c r="R771" i="6"/>
  <c r="T771" i="6"/>
  <c r="R757" i="6"/>
  <c r="R752" i="6"/>
  <c r="AL113" i="13" s="1" a="1"/>
  <c r="AL113" i="13" s="1"/>
  <c r="I73" i="13"/>
  <c r="G73" i="15"/>
  <c r="I73" i="15" s="1"/>
  <c r="AV5" i="13"/>
  <c r="P440" i="13"/>
  <c r="R713" i="6"/>
  <c r="U768" i="6" s="1" a="1"/>
  <c r="U768" i="6" s="1"/>
  <c r="U713" i="6" a="1"/>
  <c r="U713" i="6" s="1"/>
  <c r="T713" i="6"/>
  <c r="R710" i="6"/>
  <c r="T710" i="6"/>
  <c r="U710" i="6" a="1"/>
  <c r="U710" i="6" s="1"/>
  <c r="P119" i="13"/>
  <c r="O73" i="15"/>
  <c r="K73" i="13"/>
  <c r="AU73" i="13" s="1"/>
  <c r="R698" i="6"/>
  <c r="T698" i="6"/>
  <c r="R677" i="6"/>
  <c r="R659" i="6"/>
  <c r="T659" i="6"/>
  <c r="R92" i="13"/>
  <c r="AU92" i="13" s="1"/>
  <c r="P92" i="13"/>
  <c r="J522" i="13"/>
  <c r="AI522" i="13" s="1"/>
  <c r="AV522" i="13" s="1"/>
  <c r="AN522" i="13"/>
  <c r="AN523" i="13"/>
  <c r="J523" i="13"/>
  <c r="AI523" i="13" s="1"/>
  <c r="AV523" i="13" s="1"/>
  <c r="J524" i="13"/>
  <c r="AI524" i="13" s="1"/>
  <c r="AV524" i="13" s="1"/>
  <c r="AN524" i="13"/>
  <c r="R637" i="6"/>
  <c r="U697" i="6" s="1" a="1"/>
  <c r="U697" i="6" s="1"/>
  <c r="T637" i="6"/>
  <c r="U637" i="6" a="1"/>
  <c r="U637" i="6" s="1"/>
  <c r="R633" i="6"/>
  <c r="P482" i="13"/>
  <c r="R626" i="6"/>
  <c r="U666" i="6" s="1" a="1"/>
  <c r="U666" i="6" s="1"/>
  <c r="T626" i="6"/>
  <c r="G497" i="15"/>
  <c r="I497" i="15" s="1"/>
  <c r="AL424" i="13" a="1"/>
  <c r="AL424" i="13" s="1"/>
  <c r="J424" i="13" s="1"/>
  <c r="U604" i="6" a="1"/>
  <c r="U604" i="6" s="1"/>
  <c r="T604" i="6"/>
  <c r="R595" i="6"/>
  <c r="M497" i="15"/>
  <c r="N497" i="15" s="1"/>
  <c r="J555" i="13"/>
  <c r="AI555" i="13" s="1"/>
  <c r="AV555" i="13" s="1"/>
  <c r="AN555" i="13"/>
  <c r="Q217" i="13"/>
  <c r="AI217" i="13" s="1"/>
  <c r="AV217" i="13" s="1"/>
  <c r="AN217" i="13"/>
  <c r="T560" i="6"/>
  <c r="R560" i="6"/>
  <c r="M212" i="15"/>
  <c r="N212" i="15" s="1"/>
  <c r="O91" i="15"/>
  <c r="O535" i="15"/>
  <c r="G212" i="15"/>
  <c r="I212" i="15" s="1"/>
  <c r="M490" i="15"/>
  <c r="N490" i="15" s="1"/>
  <c r="G91" i="15"/>
  <c r="I91" i="15" s="1"/>
  <c r="M91" i="15"/>
  <c r="N91" i="15" s="1"/>
  <c r="M470" i="15"/>
  <c r="N470" i="15" s="1"/>
  <c r="M535" i="15"/>
  <c r="N535" i="15" s="1"/>
  <c r="O131" i="15"/>
  <c r="G468" i="15"/>
  <c r="I468" i="15" s="1"/>
  <c r="O470" i="15"/>
  <c r="K490" i="13"/>
  <c r="AU490" i="13" s="1"/>
  <c r="O490" i="15"/>
  <c r="I279" i="13"/>
  <c r="M279" i="15"/>
  <c r="N279" i="15" s="1"/>
  <c r="G279" i="15"/>
  <c r="I279" i="15" s="1"/>
  <c r="K252" i="13"/>
  <c r="AU252" i="13" s="1"/>
  <c r="O252" i="15"/>
  <c r="G535" i="15"/>
  <c r="I535" i="15" s="1"/>
  <c r="G490" i="15"/>
  <c r="I490" i="15" s="1"/>
  <c r="M468" i="15"/>
  <c r="N468" i="15" s="1"/>
  <c r="T487" i="6"/>
  <c r="K468" i="13" s="1"/>
  <c r="AU468" i="13" s="1"/>
  <c r="T322" i="6"/>
  <c r="R322" i="6"/>
  <c r="U322" i="6" a="1"/>
  <c r="U322" i="6" s="1"/>
  <c r="Q59" i="13"/>
  <c r="AN109" i="13"/>
  <c r="J109" i="13"/>
  <c r="AI109" i="13" s="1"/>
  <c r="AV109" i="13" s="1"/>
  <c r="J457" i="13"/>
  <c r="AI457" i="13" s="1"/>
  <c r="AV457" i="13" s="1"/>
  <c r="AN457" i="13"/>
  <c r="T498" i="6"/>
  <c r="U498" i="6"/>
  <c r="R420" i="6"/>
  <c r="R445" i="6" s="1"/>
  <c r="U499" i="6" s="1" a="1"/>
  <c r="T420" i="6"/>
  <c r="U420" i="6"/>
  <c r="U275" i="6"/>
  <c r="I359" i="13" s="1"/>
  <c r="T275" i="6"/>
  <c r="K359" i="13" s="1"/>
  <c r="AU359" i="13" s="1"/>
  <c r="U206" i="6"/>
  <c r="R206" i="6"/>
  <c r="U209" i="6" s="1" a="1"/>
  <c r="T206" i="6"/>
  <c r="T1507" i="6" l="1"/>
  <c r="R1507" i="6"/>
  <c r="AL605" i="13" s="1" a="1"/>
  <c r="AL605" i="13" s="1"/>
  <c r="J605" i="13" s="1"/>
  <c r="AN547" i="13"/>
  <c r="J547" i="13"/>
  <c r="AI547" i="13" s="1"/>
  <c r="AV547" i="13" s="1"/>
  <c r="J83" i="13"/>
  <c r="AI83" i="13" s="1"/>
  <c r="AV83" i="13" s="1"/>
  <c r="AN83" i="13"/>
  <c r="R1475" i="6"/>
  <c r="AL704" i="13" s="1" a="1"/>
  <c r="AL704" i="13" s="1"/>
  <c r="K138" i="13"/>
  <c r="AU138" i="13" s="1"/>
  <c r="AL138" i="13" a="1"/>
  <c r="AL138" i="13" s="1"/>
  <c r="R1438" i="6"/>
  <c r="T1438" i="6"/>
  <c r="R1432" i="6"/>
  <c r="R1413" i="6"/>
  <c r="U1439" i="6" s="1" a="1"/>
  <c r="U1439" i="6" s="1"/>
  <c r="T1413" i="6"/>
  <c r="U1413" i="6" a="1"/>
  <c r="U1413" i="6" s="1"/>
  <c r="R1407" i="6"/>
  <c r="AL643" i="13" s="1" a="1"/>
  <c r="AL643" i="13" s="1"/>
  <c r="J643" i="13" s="1"/>
  <c r="AI643" i="13" s="1"/>
  <c r="AV643" i="13" s="1"/>
  <c r="T1407" i="6"/>
  <c r="U1407" i="6" a="1"/>
  <c r="U1407" i="6" s="1"/>
  <c r="I643" i="13" s="1"/>
  <c r="AN606" i="13"/>
  <c r="J606" i="13"/>
  <c r="AI606" i="13" s="1"/>
  <c r="AV606" i="13" s="1"/>
  <c r="K643" i="13"/>
  <c r="AU643" i="13" s="1"/>
  <c r="K424" i="13"/>
  <c r="I424" i="13"/>
  <c r="R1348" i="6"/>
  <c r="U1348" i="6" a="1"/>
  <c r="U1348" i="6" s="1"/>
  <c r="T1348" i="6"/>
  <c r="AN84" i="13"/>
  <c r="J84" i="13"/>
  <c r="AI84" i="13" s="1"/>
  <c r="AV84" i="13" s="1"/>
  <c r="AN600" i="13"/>
  <c r="J600" i="13"/>
  <c r="AI600" i="13" s="1"/>
  <c r="AV600" i="13" s="1"/>
  <c r="J168" i="13"/>
  <c r="AI168" i="13" s="1"/>
  <c r="AV168" i="13" s="1"/>
  <c r="AN168" i="13"/>
  <c r="R1303" i="6"/>
  <c r="AL541" i="13" s="1" a="1"/>
  <c r="AL541" i="13" s="1"/>
  <c r="T1303" i="6"/>
  <c r="K541" i="13" s="1"/>
  <c r="AU541" i="13" s="1"/>
  <c r="R1265" i="6"/>
  <c r="T1265" i="6"/>
  <c r="U1265" i="6" a="1"/>
  <c r="U1265" i="6" s="1"/>
  <c r="R1247" i="6"/>
  <c r="R1408" i="6" s="1"/>
  <c r="R1433" i="6" s="1"/>
  <c r="U1480" i="6" s="1" a="1"/>
  <c r="U1480" i="6" s="1"/>
  <c r="I70" i="13" s="1"/>
  <c r="R1242" i="6"/>
  <c r="T1242" i="6"/>
  <c r="R1236" i="6"/>
  <c r="T1236" i="6"/>
  <c r="U1236" i="6" a="1"/>
  <c r="U1236" i="6" s="1"/>
  <c r="R683" i="6"/>
  <c r="R712" i="6" s="1"/>
  <c r="U1235" i="6" a="1"/>
  <c r="U1235" i="6" s="1"/>
  <c r="I268" i="13" s="1"/>
  <c r="T1235" i="6"/>
  <c r="K268" i="13" s="1"/>
  <c r="AU268" i="13" s="1"/>
  <c r="R1234" i="6"/>
  <c r="U1234" i="6" a="1"/>
  <c r="U1234" i="6" s="1"/>
  <c r="T1234" i="6"/>
  <c r="R1214" i="6"/>
  <c r="AL465" i="13" s="1" a="1"/>
  <c r="AL465" i="13" s="1"/>
  <c r="AN465" i="13" s="1"/>
  <c r="T1214" i="6"/>
  <c r="K465" i="13" s="1"/>
  <c r="AU465" i="13" s="1"/>
  <c r="U1214" i="6" a="1"/>
  <c r="U1214" i="6" s="1"/>
  <c r="I465" i="13" s="1"/>
  <c r="AN19" i="13"/>
  <c r="J19" i="13"/>
  <c r="AI19" i="13" s="1"/>
  <c r="AV19" i="13" s="1"/>
  <c r="AN216" i="13"/>
  <c r="J216" i="13"/>
  <c r="AI216" i="13" s="1"/>
  <c r="AV216" i="13" s="1"/>
  <c r="R1177" i="6"/>
  <c r="U1177" i="6" a="1"/>
  <c r="U1177" i="6" s="1"/>
  <c r="T1177" i="6"/>
  <c r="R1048" i="6"/>
  <c r="U1090" i="6" s="1" a="1"/>
  <c r="U1090" i="6" s="1"/>
  <c r="I635" i="13" s="1"/>
  <c r="R1159" i="6"/>
  <c r="R1183" i="6" s="1"/>
  <c r="U1202" i="6" s="1" a="1"/>
  <c r="U1202" i="6" s="1"/>
  <c r="U1159" i="6" a="1"/>
  <c r="U1159" i="6" s="1"/>
  <c r="T1159" i="6"/>
  <c r="R1149" i="6"/>
  <c r="R1146" i="6"/>
  <c r="U1106" i="6" a="1"/>
  <c r="U1106" i="6" s="1"/>
  <c r="R1106" i="6"/>
  <c r="U1241" i="6" s="1" a="1"/>
  <c r="U1241" i="6" s="1"/>
  <c r="T1106" i="6"/>
  <c r="AL635" i="13" a="1"/>
  <c r="AL635" i="13" s="1"/>
  <c r="R1089" i="6"/>
  <c r="U1089" i="6" a="1"/>
  <c r="U1089" i="6" s="1"/>
  <c r="T1089" i="6"/>
  <c r="AN576" i="13"/>
  <c r="R1079" i="6"/>
  <c r="U1119" i="6" s="1" a="1"/>
  <c r="U1119" i="6" s="1"/>
  <c r="R1074" i="6"/>
  <c r="U1069" i="6" a="1"/>
  <c r="U1069" i="6" s="1"/>
  <c r="I694" i="13" s="1"/>
  <c r="T1069" i="6"/>
  <c r="K694" i="13" s="1"/>
  <c r="AU694" i="13" s="1"/>
  <c r="R1069" i="6"/>
  <c r="AL633" i="13" a="1"/>
  <c r="AL633" i="13" s="1"/>
  <c r="J633" i="13" s="1"/>
  <c r="AI633" i="13" s="1"/>
  <c r="AV633" i="13" s="1"/>
  <c r="J635" i="13"/>
  <c r="AI635" i="13" s="1"/>
  <c r="AV635" i="13" s="1"/>
  <c r="AN635" i="13"/>
  <c r="J634" i="13"/>
  <c r="AI634" i="13" s="1"/>
  <c r="AV634" i="13" s="1"/>
  <c r="AN634" i="13"/>
  <c r="R1042" i="6"/>
  <c r="R1033" i="6"/>
  <c r="T1033" i="6"/>
  <c r="J132" i="13"/>
  <c r="AN132" i="13"/>
  <c r="J538" i="13"/>
  <c r="AI538" i="13" s="1"/>
  <c r="AV538" i="13" s="1"/>
  <c r="AN538" i="13"/>
  <c r="AM591" i="13" a="1"/>
  <c r="AM591" i="13" s="1"/>
  <c r="R943" i="6"/>
  <c r="R944" i="6"/>
  <c r="AL74" i="13" s="1" a="1"/>
  <c r="AL74" i="13" s="1"/>
  <c r="J572" i="13"/>
  <c r="AI572" i="13" s="1"/>
  <c r="AV572" i="13" s="1"/>
  <c r="AN572" i="13"/>
  <c r="U914" i="6" a="1"/>
  <c r="U914" i="6" s="1"/>
  <c r="R914" i="6"/>
  <c r="T914" i="6"/>
  <c r="R900" i="6"/>
  <c r="U896" i="6" a="1"/>
  <c r="U896" i="6" s="1"/>
  <c r="T896" i="6"/>
  <c r="R896" i="6"/>
  <c r="AL494" i="13" a="1"/>
  <c r="AL494" i="13" s="1"/>
  <c r="AN494" i="13" s="1"/>
  <c r="U876" i="6" a="1"/>
  <c r="U876" i="6" s="1"/>
  <c r="I494" i="13" s="1"/>
  <c r="T876" i="6"/>
  <c r="K494" i="13" s="1"/>
  <c r="AU494" i="13" s="1"/>
  <c r="AL231" i="13" a="1"/>
  <c r="AL231" i="13" s="1"/>
  <c r="J231" i="13" s="1"/>
  <c r="AI231" i="13" s="1"/>
  <c r="AV231" i="13" s="1"/>
  <c r="T868" i="6"/>
  <c r="K231" i="13" s="1"/>
  <c r="AU231" i="13" s="1"/>
  <c r="U868" i="6" a="1"/>
  <c r="U868" i="6" s="1"/>
  <c r="I231" i="13" s="1"/>
  <c r="R856" i="6"/>
  <c r="R871" i="6" s="1"/>
  <c r="U937" i="6" s="1" a="1"/>
  <c r="U937" i="6" s="1"/>
  <c r="R599" i="13"/>
  <c r="AU599" i="13" s="1"/>
  <c r="R862" i="6"/>
  <c r="AL537" i="13" s="1" a="1"/>
  <c r="AL537" i="13" s="1"/>
  <c r="T862" i="6"/>
  <c r="K537" i="13" s="1"/>
  <c r="AU537" i="13" s="1"/>
  <c r="J194" i="13"/>
  <c r="AI194" i="13" s="1"/>
  <c r="AV194" i="13" s="1"/>
  <c r="R784" i="6"/>
  <c r="R778" i="6"/>
  <c r="R768" i="6"/>
  <c r="T768" i="6"/>
  <c r="P392" i="13"/>
  <c r="J113" i="13"/>
  <c r="AI113" i="13" s="1"/>
  <c r="AV113" i="13" s="1"/>
  <c r="AN113" i="13"/>
  <c r="R440" i="13"/>
  <c r="AU440" i="13" s="1"/>
  <c r="R482" i="13"/>
  <c r="AU482" i="13" s="1"/>
  <c r="P188" i="13"/>
  <c r="AL469" i="13" a="1"/>
  <c r="AL469" i="13" s="1"/>
  <c r="J469" i="13" s="1"/>
  <c r="AI469" i="13" s="1"/>
  <c r="AV469" i="13" s="1"/>
  <c r="R119" i="13"/>
  <c r="AU119" i="13" s="1"/>
  <c r="R711" i="6"/>
  <c r="I469" i="13"/>
  <c r="K469" i="13"/>
  <c r="AU469" i="13" s="1"/>
  <c r="AN119" i="13"/>
  <c r="R701" i="6"/>
  <c r="T697" i="6"/>
  <c r="R697" i="6"/>
  <c r="U723" i="6" s="1" a="1"/>
  <c r="U723" i="6" s="1"/>
  <c r="AL268" i="13" a="1"/>
  <c r="AL268" i="13" s="1"/>
  <c r="R668" i="6"/>
  <c r="T668" i="6"/>
  <c r="R666" i="6"/>
  <c r="T666" i="6"/>
  <c r="P502" i="13"/>
  <c r="T561" i="6"/>
  <c r="R561" i="6"/>
  <c r="G518" i="15"/>
  <c r="I518" i="15" s="1"/>
  <c r="O468" i="15"/>
  <c r="M359" i="15"/>
  <c r="N359" i="15" s="1"/>
  <c r="M518" i="15"/>
  <c r="N518" i="15" s="1"/>
  <c r="U326" i="6" a="1"/>
  <c r="U326" i="6" s="1"/>
  <c r="R326" i="6"/>
  <c r="T326" i="6"/>
  <c r="J91" i="13"/>
  <c r="AI91" i="13" s="1"/>
  <c r="AV91" i="13" s="1"/>
  <c r="AN91" i="13"/>
  <c r="T209" i="6"/>
  <c r="U209" i="6"/>
  <c r="R209" i="6"/>
  <c r="U220" i="6" s="1" a="1"/>
  <c r="U499" i="6"/>
  <c r="M201" i="15" s="1"/>
  <c r="N201" i="15" s="1"/>
  <c r="T499" i="6"/>
  <c r="R499" i="6"/>
  <c r="R806" i="6" s="1"/>
  <c r="U1285" i="6" s="1" a="1"/>
  <c r="U1285" i="6" s="1"/>
  <c r="U1486" i="6" l="1" a="1"/>
  <c r="U1486" i="6" s="1"/>
  <c r="I651" i="13" s="1"/>
  <c r="T1486" i="6"/>
  <c r="K651" i="13" s="1"/>
  <c r="AU651" i="13" s="1"/>
  <c r="R1486" i="6"/>
  <c r="AL651" i="13" s="1" a="1"/>
  <c r="AL651" i="13" s="1"/>
  <c r="T1480" i="6"/>
  <c r="K70" i="13" s="1"/>
  <c r="AU70" i="13" s="1"/>
  <c r="R1480" i="6"/>
  <c r="AL70" i="13" s="1" a="1"/>
  <c r="AL70" i="13" s="1"/>
  <c r="J70" i="13" s="1"/>
  <c r="J704" i="13"/>
  <c r="AI704" i="13" s="1"/>
  <c r="AV704" i="13" s="1"/>
  <c r="AN704" i="13"/>
  <c r="R1474" i="6"/>
  <c r="U1474" i="6" a="1"/>
  <c r="U1474" i="6" s="1"/>
  <c r="I593" i="13" s="1"/>
  <c r="T1474" i="6"/>
  <c r="K593" i="13" s="1"/>
  <c r="AU593" i="13" s="1"/>
  <c r="J138" i="13"/>
  <c r="AI138" i="13" s="1"/>
  <c r="AV138" i="13" s="1"/>
  <c r="AN138" i="13"/>
  <c r="R1439" i="6"/>
  <c r="T1439" i="6"/>
  <c r="AL694" i="13" a="1"/>
  <c r="AL694" i="13" s="1"/>
  <c r="AL696" i="13" a="1"/>
  <c r="AL696" i="13" s="1"/>
  <c r="I696" i="13"/>
  <c r="R1420" i="6"/>
  <c r="AL427" i="13" s="1" a="1"/>
  <c r="AL427" i="13" s="1"/>
  <c r="J427" i="13" s="1"/>
  <c r="AN643" i="13"/>
  <c r="U1387" i="6" a="1"/>
  <c r="U1387" i="6" s="1"/>
  <c r="R1387" i="6"/>
  <c r="T1387" i="6"/>
  <c r="U1370" i="6" a="1"/>
  <c r="U1370" i="6" s="1"/>
  <c r="R1370" i="6"/>
  <c r="U1449" i="6" s="1" a="1"/>
  <c r="U1449" i="6" s="1"/>
  <c r="T1370" i="6"/>
  <c r="T1366" i="6"/>
  <c r="R1366" i="6"/>
  <c r="U1453" i="6" s="1" a="1"/>
  <c r="U1453" i="6" s="1"/>
  <c r="U1366" i="6" a="1"/>
  <c r="U1366" i="6" s="1"/>
  <c r="J541" i="13"/>
  <c r="AI541" i="13" s="1"/>
  <c r="AV541" i="13" s="1"/>
  <c r="AN541" i="13"/>
  <c r="T1292" i="6"/>
  <c r="K548" i="13" s="1"/>
  <c r="AU548" i="13" s="1"/>
  <c r="U1292" i="6" a="1"/>
  <c r="U1292" i="6" s="1"/>
  <c r="I548" i="13" s="1"/>
  <c r="R1292" i="6"/>
  <c r="AL548" i="13" s="1" a="1"/>
  <c r="AL548" i="13" s="1"/>
  <c r="R1285" i="6"/>
  <c r="AL201" i="13" s="1" a="1"/>
  <c r="AL201" i="13" s="1"/>
  <c r="T1285" i="6"/>
  <c r="K201" i="13" s="1"/>
  <c r="AU201" i="13" s="1"/>
  <c r="T1266" i="6"/>
  <c r="U1266" i="6" a="1"/>
  <c r="U1266" i="6" s="1"/>
  <c r="R1266" i="6"/>
  <c r="R1288" i="6" s="1"/>
  <c r="U1332" i="6" s="1" a="1"/>
  <c r="U1332" i="6" s="1"/>
  <c r="T1262" i="6"/>
  <c r="K518" i="13" s="1"/>
  <c r="AU518" i="13" s="1"/>
  <c r="R1262" i="6"/>
  <c r="AL518" i="13" s="1" a="1"/>
  <c r="AL518" i="13" s="1"/>
  <c r="U1262" i="6" a="1"/>
  <c r="U1262" i="6" s="1"/>
  <c r="I518" i="13" s="1"/>
  <c r="R1243" i="6"/>
  <c r="I556" i="13"/>
  <c r="R1241" i="6"/>
  <c r="AL556" i="13" s="1" a="1"/>
  <c r="AL556" i="13" s="1"/>
  <c r="T1241" i="6"/>
  <c r="K556" i="13" s="1"/>
  <c r="AU556" i="13" s="1"/>
  <c r="J465" i="13"/>
  <c r="AI465" i="13" s="1"/>
  <c r="AV465" i="13" s="1"/>
  <c r="T1202" i="6"/>
  <c r="R1202" i="6"/>
  <c r="R1197" i="6"/>
  <c r="U1197" i="6" a="1"/>
  <c r="U1197" i="6" s="1"/>
  <c r="T1197" i="6"/>
  <c r="R1182" i="6"/>
  <c r="U1170" i="6" a="1"/>
  <c r="U1170" i="6" s="1"/>
  <c r="R1170" i="6"/>
  <c r="T1170" i="6"/>
  <c r="T1090" i="6"/>
  <c r="K635" i="13" s="1"/>
  <c r="AU635" i="13" s="1"/>
  <c r="R908" i="6"/>
  <c r="U924" i="6" s="1" a="1"/>
  <c r="U924" i="6" s="1"/>
  <c r="I528" i="13" s="1"/>
  <c r="T1119" i="6"/>
  <c r="R1119" i="6"/>
  <c r="R1095" i="6"/>
  <c r="R1096" i="6" s="1"/>
  <c r="R1122" i="6" s="1"/>
  <c r="R1124" i="6" s="1"/>
  <c r="R1142" i="6" s="1"/>
  <c r="U1093" i="6" a="1"/>
  <c r="U1093" i="6" s="1"/>
  <c r="I558" i="13" s="1"/>
  <c r="T1093" i="6"/>
  <c r="K558" i="13" s="1"/>
  <c r="AU558" i="13" s="1"/>
  <c r="R1093" i="6"/>
  <c r="AL558" i="13" s="1" a="1"/>
  <c r="AL558" i="13" s="1"/>
  <c r="AN694" i="13"/>
  <c r="J694" i="13"/>
  <c r="AI694" i="13" s="1"/>
  <c r="AV694" i="13" s="1"/>
  <c r="AN633" i="13"/>
  <c r="J494" i="13"/>
  <c r="AI494" i="13" s="1"/>
  <c r="AV494" i="13" s="1"/>
  <c r="R999" i="6"/>
  <c r="R1000" i="6" s="1"/>
  <c r="R1001" i="6" s="1"/>
  <c r="AL263" i="13" s="1" a="1"/>
  <c r="AL263" i="13" s="1"/>
  <c r="AN231" i="13"/>
  <c r="AN591" i="13"/>
  <c r="Q591" i="13"/>
  <c r="AI591" i="13" s="1"/>
  <c r="AV591" i="13" s="1"/>
  <c r="J74" i="13"/>
  <c r="AI74" i="13" s="1"/>
  <c r="AV74" i="13" s="1"/>
  <c r="AN74" i="13"/>
  <c r="R937" i="6"/>
  <c r="U948" i="6" s="1" a="1"/>
  <c r="U948" i="6" s="1"/>
  <c r="I88" i="13" s="1"/>
  <c r="T937" i="6"/>
  <c r="R922" i="6"/>
  <c r="U1291" i="6" s="1" a="1"/>
  <c r="U1291" i="6" s="1"/>
  <c r="I516" i="13" s="1"/>
  <c r="AL490" i="13" a="1"/>
  <c r="AL490" i="13" s="1"/>
  <c r="AN490" i="13" s="1"/>
  <c r="AL528" i="13" a="1"/>
  <c r="AL528" i="13" s="1"/>
  <c r="R907" i="6"/>
  <c r="R864" i="6"/>
  <c r="AN537" i="13"/>
  <c r="J537" i="13"/>
  <c r="AI537" i="13" s="1"/>
  <c r="AV537" i="13" s="1"/>
  <c r="R799" i="6"/>
  <c r="R797" i="6"/>
  <c r="U797" i="6" a="1"/>
  <c r="U797" i="6" s="1"/>
  <c r="T797" i="6"/>
  <c r="P53" i="13"/>
  <c r="R53" i="13"/>
  <c r="R392" i="13"/>
  <c r="AU392" i="13" s="1"/>
  <c r="R55" i="13"/>
  <c r="P55" i="13"/>
  <c r="R728" i="6"/>
  <c r="R727" i="6"/>
  <c r="U727" i="6" a="1"/>
  <c r="U727" i="6" s="1"/>
  <c r="T727" i="6"/>
  <c r="R188" i="13"/>
  <c r="AU188" i="13" s="1"/>
  <c r="T723" i="6"/>
  <c r="R723" i="6"/>
  <c r="AN469" i="13"/>
  <c r="R708" i="6"/>
  <c r="AN268" i="13"/>
  <c r="J268" i="13"/>
  <c r="AI268" i="13" s="1"/>
  <c r="AV268" i="13" s="1"/>
  <c r="R680" i="6"/>
  <c r="R681" i="6" s="1"/>
  <c r="R682" i="6" s="1"/>
  <c r="Q482" i="13"/>
  <c r="AI482" i="13" s="1"/>
  <c r="AV482" i="13" s="1"/>
  <c r="R603" i="6"/>
  <c r="U632" i="6" s="1" a="1"/>
  <c r="U632" i="6" s="1"/>
  <c r="I201" i="13"/>
  <c r="G359" i="15"/>
  <c r="I359" i="15" s="1"/>
  <c r="R502" i="13"/>
  <c r="AU502" i="13" s="1"/>
  <c r="O502" i="15"/>
  <c r="G201" i="15"/>
  <c r="I201" i="15" s="1"/>
  <c r="O201" i="15"/>
  <c r="O359" i="15"/>
  <c r="O518" i="15"/>
  <c r="Q502" i="13"/>
  <c r="AI502" i="13" s="1"/>
  <c r="AV502" i="13" s="1"/>
  <c r="AN502" i="13"/>
  <c r="U331" i="6" a="1"/>
  <c r="U331" i="6" s="1"/>
  <c r="T331" i="6"/>
  <c r="K513" i="13" s="1"/>
  <c r="AU513" i="13" s="1"/>
  <c r="R220" i="6"/>
  <c r="U264" i="6" s="1" a="1"/>
  <c r="U220" i="6"/>
  <c r="T220" i="6"/>
  <c r="J651" i="13" l="1"/>
  <c r="AI651" i="13" s="1"/>
  <c r="AV651" i="13" s="1"/>
  <c r="AN651" i="13"/>
  <c r="U1485" i="6" a="1"/>
  <c r="U1485" i="6" s="1"/>
  <c r="I652" i="13" s="1"/>
  <c r="T1485" i="6"/>
  <c r="K652" i="13" s="1"/>
  <c r="AU652" i="13" s="1"/>
  <c r="R1485" i="6"/>
  <c r="AL652" i="13" s="1" a="1"/>
  <c r="AL652" i="13" s="1"/>
  <c r="R1482" i="6"/>
  <c r="AL593" i="13" s="1" a="1"/>
  <c r="AL593" i="13" s="1"/>
  <c r="J593" i="13" s="1"/>
  <c r="R1453" i="6"/>
  <c r="T1453" i="6"/>
  <c r="R1449" i="6"/>
  <c r="T1449" i="6"/>
  <c r="J696" i="13"/>
  <c r="AI696" i="13" s="1"/>
  <c r="AV696" i="13" s="1"/>
  <c r="AN696" i="13"/>
  <c r="U1396" i="6" a="1"/>
  <c r="U1396" i="6" s="1"/>
  <c r="R1396" i="6"/>
  <c r="T1396" i="6"/>
  <c r="R1332" i="6"/>
  <c r="R1394" i="6" s="1"/>
  <c r="U1440" i="6" s="1" a="1"/>
  <c r="U1440" i="6" s="1"/>
  <c r="T1332" i="6"/>
  <c r="R1289" i="6"/>
  <c r="J548" i="13"/>
  <c r="AI548" i="13" s="1"/>
  <c r="AV548" i="13" s="1"/>
  <c r="AN548" i="13"/>
  <c r="R1291" i="6"/>
  <c r="AL516" i="13" s="1" a="1"/>
  <c r="AL516" i="13" s="1"/>
  <c r="T1291" i="6"/>
  <c r="K516" i="13" s="1"/>
  <c r="AU516" i="13" s="1"/>
  <c r="AN518" i="13"/>
  <c r="J518" i="13"/>
  <c r="AI518" i="13" s="1"/>
  <c r="AV518" i="13" s="1"/>
  <c r="R1248" i="6"/>
  <c r="J556" i="13"/>
  <c r="AI556" i="13" s="1"/>
  <c r="AV556" i="13" s="1"/>
  <c r="AN556" i="13"/>
  <c r="U1240" i="6" a="1"/>
  <c r="U1240" i="6" s="1"/>
  <c r="I562" i="13" s="1"/>
  <c r="R1240" i="6"/>
  <c r="AL562" i="13" s="1" a="1"/>
  <c r="AL562" i="13" s="1"/>
  <c r="J562" i="13" s="1"/>
  <c r="AI562" i="13" s="1"/>
  <c r="AV562" i="13" s="1"/>
  <c r="T1240" i="6"/>
  <c r="K562" i="13" s="1"/>
  <c r="AU562" i="13" s="1"/>
  <c r="R1216" i="6"/>
  <c r="U1218" i="6" s="1" a="1"/>
  <c r="U1218" i="6" s="1"/>
  <c r="T1216" i="6"/>
  <c r="U1216" i="6" a="1"/>
  <c r="U1216" i="6" s="1"/>
  <c r="R1217" i="6"/>
  <c r="R1498" i="6" s="1"/>
  <c r="T1217" i="6"/>
  <c r="U1217" i="6" a="1"/>
  <c r="U1217" i="6" s="1"/>
  <c r="I53" i="13" s="1"/>
  <c r="R1218" i="6"/>
  <c r="AL55" i="13" s="1" a="1"/>
  <c r="AL55" i="13" s="1"/>
  <c r="J55" i="13" s="1"/>
  <c r="R1145" i="6"/>
  <c r="R1160" i="6" s="1"/>
  <c r="R1161" i="6" s="1"/>
  <c r="R1162" i="6" s="1"/>
  <c r="U1172" i="6" s="1" a="1"/>
  <c r="U1172" i="6" s="1"/>
  <c r="T1145" i="6"/>
  <c r="U1145" i="6" a="1"/>
  <c r="U1145" i="6" s="1"/>
  <c r="T924" i="6"/>
  <c r="K528" i="13" s="1"/>
  <c r="AU528" i="13" s="1"/>
  <c r="U1130" i="6" a="1"/>
  <c r="U1130" i="6" s="1"/>
  <c r="R1130" i="6"/>
  <c r="U1336" i="6" s="1" a="1"/>
  <c r="U1336" i="6" s="1"/>
  <c r="T1130" i="6"/>
  <c r="J558" i="13"/>
  <c r="AI558" i="13" s="1"/>
  <c r="AV558" i="13" s="1"/>
  <c r="AN558" i="13"/>
  <c r="U1022" i="6" a="1"/>
  <c r="U1022" i="6" s="1"/>
  <c r="R1022" i="6"/>
  <c r="T1022" i="6"/>
  <c r="AN263" i="13"/>
  <c r="J263" i="13"/>
  <c r="AI263" i="13" s="1"/>
  <c r="AV263" i="13" s="1"/>
  <c r="T948" i="6"/>
  <c r="K88" i="13" s="1"/>
  <c r="AU88" i="13" s="1"/>
  <c r="R948" i="6"/>
  <c r="J490" i="13"/>
  <c r="AI490" i="13" s="1"/>
  <c r="AV490" i="13" s="1"/>
  <c r="J528" i="13"/>
  <c r="AI528" i="13" s="1"/>
  <c r="AV528" i="13" s="1"/>
  <c r="AN528" i="13"/>
  <c r="R865" i="6"/>
  <c r="R485" i="13"/>
  <c r="AU485" i="13" s="1"/>
  <c r="P485" i="13"/>
  <c r="R825" i="6"/>
  <c r="R826" i="6" s="1"/>
  <c r="R827" i="6" s="1"/>
  <c r="R828" i="6" s="1"/>
  <c r="R829" i="6" s="1"/>
  <c r="R792" i="6"/>
  <c r="R772" i="6"/>
  <c r="U795" i="6" s="1" a="1"/>
  <c r="U795" i="6" s="1"/>
  <c r="U772" i="6" a="1"/>
  <c r="U772" i="6" s="1"/>
  <c r="T772" i="6"/>
  <c r="P322" i="13"/>
  <c r="R736" i="6"/>
  <c r="R737" i="6" s="1"/>
  <c r="R742" i="6" s="1"/>
  <c r="R747" i="6" s="1"/>
  <c r="R766" i="6" s="1"/>
  <c r="R787" i="6" s="1"/>
  <c r="AN188" i="13"/>
  <c r="Q188" i="13"/>
  <c r="AI188" i="13" s="1"/>
  <c r="AV188" i="13" s="1"/>
  <c r="T695" i="6"/>
  <c r="U695" i="6" a="1"/>
  <c r="U695" i="6" s="1"/>
  <c r="R695" i="6"/>
  <c r="U717" i="6" s="1" a="1"/>
  <c r="U717" i="6" s="1"/>
  <c r="R632" i="6"/>
  <c r="T632" i="6"/>
  <c r="I513" i="13"/>
  <c r="M513" i="15"/>
  <c r="N513" i="15" s="1"/>
  <c r="G513" i="15"/>
  <c r="I513" i="15" s="1"/>
  <c r="O513" i="15"/>
  <c r="J201" i="13"/>
  <c r="AI201" i="13" s="1"/>
  <c r="AV201" i="13" s="1"/>
  <c r="AN201" i="13"/>
  <c r="U264" i="6"/>
  <c r="R264" i="6"/>
  <c r="U266" i="6" s="1" a="1"/>
  <c r="T264" i="6"/>
  <c r="AL670" i="13" l="1" a="1"/>
  <c r="AL670" i="13" s="1"/>
  <c r="J670" i="13" s="1"/>
  <c r="R1499" i="6"/>
  <c r="AL413" i="13" s="1" a="1"/>
  <c r="AL413" i="13" s="1"/>
  <c r="T1499" i="6"/>
  <c r="K53" i="13"/>
  <c r="AU53" i="13" s="1"/>
  <c r="AL53" i="13" a="1"/>
  <c r="AL53" i="13" s="1"/>
  <c r="J53" i="13" s="1"/>
  <c r="AN652" i="13"/>
  <c r="J652" i="13"/>
  <c r="AI652" i="13" s="1"/>
  <c r="AV652" i="13" s="1"/>
  <c r="U1479" i="6" a="1"/>
  <c r="U1479" i="6" s="1"/>
  <c r="I116" i="13" s="1"/>
  <c r="T1479" i="6"/>
  <c r="K116" i="13" s="1"/>
  <c r="AU116" i="13" s="1"/>
  <c r="R1479" i="6"/>
  <c r="AL116" i="13" s="1" a="1"/>
  <c r="AL116" i="13" s="1"/>
  <c r="AL131" i="13" a="1"/>
  <c r="AL131" i="13" s="1"/>
  <c r="AN131" i="13" s="1"/>
  <c r="U1460" i="6" a="1"/>
  <c r="U1460" i="6" s="1"/>
  <c r="I131" i="13" s="1"/>
  <c r="T1460" i="6"/>
  <c r="K131" i="13" s="1"/>
  <c r="AU131" i="13" s="1"/>
  <c r="J131" i="13"/>
  <c r="AI131" i="13" s="1"/>
  <c r="AV131" i="13" s="1"/>
  <c r="R1440" i="6"/>
  <c r="T1440" i="6"/>
  <c r="U1416" i="6" a="1"/>
  <c r="U1416" i="6" s="1"/>
  <c r="R1416" i="6"/>
  <c r="U1442" i="6" s="1" a="1"/>
  <c r="U1442" i="6" s="1"/>
  <c r="T1416" i="6"/>
  <c r="U1382" i="6" a="1"/>
  <c r="U1382" i="6" s="1"/>
  <c r="I515" i="13" s="1"/>
  <c r="T1382" i="6"/>
  <c r="K515" i="13" s="1"/>
  <c r="AU515" i="13" s="1"/>
  <c r="R1382" i="6"/>
  <c r="AL515" i="13" s="1" a="1"/>
  <c r="AL515" i="13" s="1"/>
  <c r="J515" i="13" s="1"/>
  <c r="U1343" i="6" a="1"/>
  <c r="U1343" i="6" s="1"/>
  <c r="T1343" i="6"/>
  <c r="R1343" i="6"/>
  <c r="I590" i="13"/>
  <c r="R1336" i="6"/>
  <c r="AL590" i="13" s="1" a="1"/>
  <c r="AL590" i="13" s="1"/>
  <c r="T1336" i="6"/>
  <c r="K590" i="13" s="1"/>
  <c r="AU590" i="13" s="1"/>
  <c r="AN516" i="13"/>
  <c r="J516" i="13"/>
  <c r="AI516" i="13" s="1"/>
  <c r="AV516" i="13" s="1"/>
  <c r="AN562" i="13"/>
  <c r="I55" i="13"/>
  <c r="T1218" i="6"/>
  <c r="K55" i="13" s="1"/>
  <c r="AU55" i="13" s="1"/>
  <c r="R1226" i="6"/>
  <c r="U1286" i="6" s="1" a="1"/>
  <c r="U1286" i="6" s="1"/>
  <c r="U1226" i="6" a="1"/>
  <c r="U1226" i="6" s="1"/>
  <c r="T1226" i="6"/>
  <c r="R1172" i="6"/>
  <c r="T1172" i="6"/>
  <c r="R1107" i="6"/>
  <c r="R984" i="6"/>
  <c r="R989" i="6" s="1"/>
  <c r="R972" i="6"/>
  <c r="U879" i="6" a="1"/>
  <c r="U879" i="6" s="1"/>
  <c r="R879" i="6"/>
  <c r="T879" i="6"/>
  <c r="U858" i="6" a="1"/>
  <c r="U858" i="6" s="1"/>
  <c r="T858" i="6"/>
  <c r="R858" i="6"/>
  <c r="T795" i="6"/>
  <c r="R795" i="6"/>
  <c r="U936" i="6" s="1" a="1"/>
  <c r="U936" i="6" s="1"/>
  <c r="R322" i="13"/>
  <c r="AU322" i="13" s="1"/>
  <c r="T762" i="6"/>
  <c r="R762" i="6"/>
  <c r="R774" i="6" s="1"/>
  <c r="P540" i="13"/>
  <c r="P260" i="13"/>
  <c r="R717" i="6"/>
  <c r="T717" i="6"/>
  <c r="R688" i="6"/>
  <c r="R266" i="6"/>
  <c r="U298" i="6" s="1" a="1"/>
  <c r="U266" i="6"/>
  <c r="T266" i="6"/>
  <c r="AN413" i="13" l="1"/>
  <c r="J413" i="13"/>
  <c r="AI413" i="13" s="1"/>
  <c r="AV413" i="13" s="1"/>
  <c r="T1488" i="6"/>
  <c r="K598" i="13" s="1"/>
  <c r="AU598" i="13" s="1"/>
  <c r="U1488" i="6" a="1"/>
  <c r="U1488" i="6" s="1"/>
  <c r="I598" i="13" s="1"/>
  <c r="R1488" i="6"/>
  <c r="AL598" i="13" s="1" a="1"/>
  <c r="AL598" i="13" s="1"/>
  <c r="AN116" i="13"/>
  <c r="J116" i="13"/>
  <c r="AI116" i="13" s="1"/>
  <c r="AV116" i="13" s="1"/>
  <c r="T1442" i="6"/>
  <c r="R1442" i="6"/>
  <c r="R1389" i="6"/>
  <c r="U1389" i="6" a="1"/>
  <c r="U1389" i="6" s="1"/>
  <c r="T1389" i="6"/>
  <c r="AN590" i="13"/>
  <c r="J590" i="13"/>
  <c r="AI590" i="13" s="1"/>
  <c r="AV590" i="13" s="1"/>
  <c r="R1286" i="6"/>
  <c r="U1334" i="6" s="1" a="1"/>
  <c r="U1334" i="6" s="1"/>
  <c r="T1286" i="6"/>
  <c r="R1184" i="6"/>
  <c r="R1185" i="6" s="1"/>
  <c r="R1150" i="6"/>
  <c r="R1115" i="6"/>
  <c r="R1151" i="6" s="1"/>
  <c r="R1212" i="6" s="1"/>
  <c r="R991" i="6"/>
  <c r="T936" i="6"/>
  <c r="R936" i="6"/>
  <c r="R940" i="6"/>
  <c r="U940" i="6" a="1"/>
  <c r="U940" i="6" s="1"/>
  <c r="I583" i="13" s="1"/>
  <c r="T940" i="6"/>
  <c r="K583" i="13" s="1"/>
  <c r="AU583" i="13" s="1"/>
  <c r="R875" i="6"/>
  <c r="U892" i="6" s="1" a="1"/>
  <c r="U892" i="6" s="1"/>
  <c r="U875" i="6" a="1"/>
  <c r="U875" i="6" s="1"/>
  <c r="T875" i="6"/>
  <c r="P90" i="13"/>
  <c r="T777" i="6"/>
  <c r="R777" i="6"/>
  <c r="R260" i="13"/>
  <c r="AU260" i="13" s="1"/>
  <c r="R540" i="13"/>
  <c r="P533" i="13"/>
  <c r="R724" i="6"/>
  <c r="T724" i="6"/>
  <c r="U724" i="6" a="1"/>
  <c r="U724" i="6" s="1"/>
  <c r="R691" i="6"/>
  <c r="R694" i="6" s="1"/>
  <c r="T298" i="6"/>
  <c r="U298" i="6"/>
  <c r="R298" i="6"/>
  <c r="U301" i="6" s="1" a="1"/>
  <c r="T1494" i="6" l="1"/>
  <c r="R1494" i="6"/>
  <c r="AL583" i="13" s="1" a="1"/>
  <c r="AL583" i="13" s="1"/>
  <c r="J598" i="13"/>
  <c r="AI598" i="13" s="1"/>
  <c r="AV598" i="13" s="1"/>
  <c r="AN598" i="13"/>
  <c r="U1484" i="6" a="1"/>
  <c r="U1484" i="6" s="1"/>
  <c r="I655" i="13" s="1"/>
  <c r="T1484" i="6"/>
  <c r="K655" i="13" s="1"/>
  <c r="AU655" i="13" s="1"/>
  <c r="R1484" i="6"/>
  <c r="T1414" i="6"/>
  <c r="R1414" i="6"/>
  <c r="U1436" i="6" s="1" a="1"/>
  <c r="U1436" i="6" s="1"/>
  <c r="U1414" i="6" a="1"/>
  <c r="U1414" i="6" s="1"/>
  <c r="R1406" i="6"/>
  <c r="T1406" i="6"/>
  <c r="U1406" i="6" a="1"/>
  <c r="U1406" i="6" s="1"/>
  <c r="R1334" i="6"/>
  <c r="T1334" i="6"/>
  <c r="R1250" i="6"/>
  <c r="R1257" i="6" s="1"/>
  <c r="U1204" i="6" a="1"/>
  <c r="U1204" i="6" s="1"/>
  <c r="R1204" i="6"/>
  <c r="T1204" i="6"/>
  <c r="R1060" i="6"/>
  <c r="U1113" i="6" s="1" a="1"/>
  <c r="U1113" i="6" s="1"/>
  <c r="I93" i="13" s="1"/>
  <c r="R1052" i="6"/>
  <c r="U1127" i="6" s="1" a="1"/>
  <c r="U1127" i="6" s="1"/>
  <c r="I554" i="13" s="1"/>
  <c r="R892" i="6"/>
  <c r="T892" i="6"/>
  <c r="P478" i="13"/>
  <c r="R478" i="13"/>
  <c r="AU478" i="13" s="1"/>
  <c r="R90" i="13"/>
  <c r="T779" i="6"/>
  <c r="R779" i="6"/>
  <c r="R734" i="6"/>
  <c r="R533" i="13"/>
  <c r="AU533" i="13" s="1"/>
  <c r="R715" i="6"/>
  <c r="R301" i="6"/>
  <c r="U309" i="6" s="1" a="1"/>
  <c r="U301" i="6"/>
  <c r="T301" i="6"/>
  <c r="R1504" i="6" l="1"/>
  <c r="AL655" i="13" s="1" a="1"/>
  <c r="AL655" i="13" s="1"/>
  <c r="J655" i="13" s="1"/>
  <c r="AI655" i="13" s="1"/>
  <c r="AV655" i="13" s="1"/>
  <c r="J583" i="13"/>
  <c r="AI583" i="13" s="1"/>
  <c r="AV583" i="13" s="1"/>
  <c r="AN583" i="13"/>
  <c r="R1448" i="6"/>
  <c r="T1436" i="6"/>
  <c r="R1436" i="6"/>
  <c r="R1341" i="6"/>
  <c r="T1341" i="6"/>
  <c r="U1341" i="6" a="1"/>
  <c r="U1341" i="6" s="1"/>
  <c r="R1283" i="6"/>
  <c r="R1311" i="6" s="1"/>
  <c r="R1312" i="6" s="1"/>
  <c r="R1322" i="6" s="1"/>
  <c r="R1377" i="6" s="1"/>
  <c r="R1386" i="6" s="1"/>
  <c r="AL597" i="13" a="1"/>
  <c r="AL597" i="13" s="1"/>
  <c r="AN597" i="13" s="1"/>
  <c r="U1222" i="6" a="1"/>
  <c r="U1222" i="6" s="1"/>
  <c r="I597" i="13" s="1"/>
  <c r="T1222" i="6"/>
  <c r="K597" i="13" s="1"/>
  <c r="AU597" i="13" s="1"/>
  <c r="R1127" i="6"/>
  <c r="AL554" i="13" s="1" a="1"/>
  <c r="AL554" i="13" s="1"/>
  <c r="J554" i="13" s="1"/>
  <c r="AI554" i="13" s="1"/>
  <c r="AV554" i="13" s="1"/>
  <c r="T1127" i="6"/>
  <c r="K554" i="13" s="1"/>
  <c r="AU554" i="13" s="1"/>
  <c r="T1113" i="6"/>
  <c r="K93" i="13" s="1"/>
  <c r="AU93" i="13" s="1"/>
  <c r="R1113" i="6"/>
  <c r="Q478" i="13"/>
  <c r="AI478" i="13" s="1"/>
  <c r="AV478" i="13" s="1"/>
  <c r="R906" i="6"/>
  <c r="P206" i="13"/>
  <c r="R206" i="13"/>
  <c r="AU206" i="13" s="1"/>
  <c r="R815" i="6"/>
  <c r="R755" i="6"/>
  <c r="R746" i="6"/>
  <c r="U746" i="6" a="1"/>
  <c r="U746" i="6" s="1"/>
  <c r="T746" i="6"/>
  <c r="T309" i="6"/>
  <c r="R309" i="6"/>
  <c r="U330" i="6" s="1" a="1"/>
  <c r="U309" i="6"/>
  <c r="AN655" i="13" l="1"/>
  <c r="U1483" i="6" a="1"/>
  <c r="U1483" i="6" s="1"/>
  <c r="I545" i="13" s="1"/>
  <c r="T1483" i="6"/>
  <c r="K545" i="13" s="1"/>
  <c r="AU545" i="13" s="1"/>
  <c r="R1483" i="6"/>
  <c r="AL545" i="13" s="1" a="1"/>
  <c r="AL545" i="13" s="1"/>
  <c r="J545" i="13" s="1"/>
  <c r="AI545" i="13" s="1"/>
  <c r="AV545" i="13" s="1"/>
  <c r="T1457" i="6"/>
  <c r="R1457" i="6"/>
  <c r="U1457" i="6" a="1"/>
  <c r="U1457" i="6" s="1"/>
  <c r="R1425" i="6"/>
  <c r="U1425" i="6" a="1"/>
  <c r="U1425" i="6" s="1"/>
  <c r="T1425" i="6"/>
  <c r="AL88" i="13" a="1"/>
  <c r="AL88" i="13" s="1"/>
  <c r="J88" i="13" s="1"/>
  <c r="J597" i="13"/>
  <c r="AI597" i="13" s="1"/>
  <c r="AV597" i="13" s="1"/>
  <c r="R1211" i="6"/>
  <c r="AL93" i="13" s="1" a="1"/>
  <c r="AL93" i="13" s="1"/>
  <c r="AN554" i="13"/>
  <c r="R918" i="6"/>
  <c r="R816" i="6"/>
  <c r="T816" i="6"/>
  <c r="U816" i="6" a="1"/>
  <c r="U816" i="6" s="1"/>
  <c r="R775" i="6"/>
  <c r="U775" i="6" a="1"/>
  <c r="U775" i="6" s="1"/>
  <c r="T775" i="6"/>
  <c r="R748" i="6"/>
  <c r="T330" i="6"/>
  <c r="U330" i="6"/>
  <c r="R330" i="6"/>
  <c r="U479" i="6" s="1" a="1"/>
  <c r="AN545" i="13" l="1"/>
  <c r="R1467" i="6"/>
  <c r="T1468" i="6" s="1"/>
  <c r="K470" i="13" s="1"/>
  <c r="AU470" i="13" s="1"/>
  <c r="R1431" i="6"/>
  <c r="AL526" i="13" s="1" a="1"/>
  <c r="AL526" i="13" s="1"/>
  <c r="J526" i="13" s="1"/>
  <c r="AI526" i="13" s="1"/>
  <c r="AV526" i="13" s="1"/>
  <c r="T1431" i="6"/>
  <c r="K526" i="13" s="1"/>
  <c r="AU526" i="13" s="1"/>
  <c r="U1431" i="6" a="1"/>
  <c r="U1431" i="6" s="1"/>
  <c r="I526" i="13" s="1"/>
  <c r="K696" i="13"/>
  <c r="AU696" i="13" s="1"/>
  <c r="J93" i="13"/>
  <c r="R925" i="6"/>
  <c r="T820" i="6"/>
  <c r="R820" i="6"/>
  <c r="R756" i="6"/>
  <c r="R793" i="6" s="1"/>
  <c r="R424" i="13"/>
  <c r="AU424" i="13" s="1"/>
  <c r="O424" i="15"/>
  <c r="R479" i="6"/>
  <c r="T479" i="6"/>
  <c r="U479" i="6"/>
  <c r="R1468" i="6" l="1"/>
  <c r="AL470" i="13" s="1" a="1"/>
  <c r="AL470" i="13" s="1"/>
  <c r="J470" i="13" s="1"/>
  <c r="U1468" i="6" a="1"/>
  <c r="U1468" i="6" s="1"/>
  <c r="I470" i="13" s="1"/>
  <c r="AN526" i="13"/>
  <c r="R938" i="6"/>
  <c r="R939" i="6" s="1"/>
  <c r="T839" i="6"/>
  <c r="R839" i="6"/>
  <c r="R840" i="6" s="1"/>
  <c r="U839" i="6" a="1"/>
  <c r="U839" i="6" s="1"/>
  <c r="R803" i="6"/>
  <c r="U803" i="6" a="1"/>
  <c r="U803" i="6" s="1"/>
  <c r="T803" i="6"/>
  <c r="P424" i="13"/>
  <c r="T565" i="6"/>
  <c r="R565" i="6"/>
  <c r="M424" i="15"/>
  <c r="N424" i="15" s="1"/>
  <c r="G424" i="15"/>
  <c r="I424" i="15" s="1"/>
  <c r="M3" i="15"/>
  <c r="N3" i="15" s="1"/>
  <c r="G3" i="15"/>
  <c r="I3" i="15" s="1"/>
  <c r="O3" i="15"/>
  <c r="R942" i="6" l="1"/>
  <c r="R852" i="6"/>
  <c r="R844" i="6"/>
  <c r="T844" i="6"/>
  <c r="R590" i="6"/>
  <c r="R591" i="6" s="1"/>
  <c r="R592" i="6" s="1"/>
  <c r="R962" i="6" l="1"/>
  <c r="R874" i="6"/>
  <c r="U894" i="6" s="1" a="1"/>
  <c r="U894" i="6" s="1"/>
  <c r="U853" i="6" a="1"/>
  <c r="U853" i="6" s="1"/>
  <c r="R853" i="6"/>
  <c r="T853" i="6"/>
  <c r="R615" i="6"/>
  <c r="R1077" i="6" l="1"/>
  <c r="R894" i="6"/>
  <c r="T894" i="6"/>
  <c r="R854" i="6"/>
  <c r="U652" i="6" a="1"/>
  <c r="U652" i="6" s="1"/>
  <c r="R652" i="6"/>
  <c r="U716" i="6" s="1" a="1"/>
  <c r="U716" i="6" s="1"/>
  <c r="T652" i="6"/>
  <c r="R1101" i="6" l="1"/>
  <c r="U1111" i="6" s="1" a="1"/>
  <c r="U1111" i="6" s="1"/>
  <c r="R904" i="6"/>
  <c r="R855" i="6"/>
  <c r="R716" i="6"/>
  <c r="T716" i="6"/>
  <c r="T1111" i="6" l="1"/>
  <c r="R1111" i="6"/>
  <c r="R975" i="6"/>
  <c r="R976" i="6" s="1"/>
  <c r="R911" i="6"/>
  <c r="R912" i="6" s="1"/>
  <c r="R720" i="6"/>
  <c r="T720" i="6"/>
  <c r="U720" i="6" a="1"/>
  <c r="U720" i="6" s="1"/>
  <c r="R1125" i="6" l="1"/>
  <c r="U1007" i="6" a="1"/>
  <c r="U1007" i="6" s="1"/>
  <c r="R1007" i="6"/>
  <c r="T1007" i="6"/>
  <c r="R945" i="6"/>
  <c r="U749" i="6" a="1"/>
  <c r="U749" i="6" s="1"/>
  <c r="R749" i="6"/>
  <c r="T749" i="6"/>
  <c r="R1152" i="6" l="1"/>
  <c r="R1092" i="6"/>
  <c r="R1009" i="6"/>
  <c r="R949" i="6"/>
  <c r="R950" i="6" s="1"/>
  <c r="U1208" i="6" l="1" a="1"/>
  <c r="U1208" i="6" s="1"/>
  <c r="R1208" i="6"/>
  <c r="T1208" i="6"/>
  <c r="R1098" i="6"/>
  <c r="U1013" i="6" a="1"/>
  <c r="U1013" i="6" s="1"/>
  <c r="R1013" i="6"/>
  <c r="T1013" i="6"/>
  <c r="R990" i="6"/>
  <c r="U1276" i="6" l="1" a="1"/>
  <c r="U1276" i="6" s="1"/>
  <c r="R1276" i="6"/>
  <c r="T1276" i="6"/>
  <c r="T1139" i="6"/>
  <c r="R1139" i="6"/>
  <c r="U1137" i="6" a="1"/>
  <c r="U1137" i="6" s="1"/>
  <c r="T1137" i="6"/>
  <c r="R1137" i="6"/>
  <c r="R1043" i="6"/>
  <c r="N796" i="6"/>
  <c r="O1123" i="6" s="1"/>
  <c r="T1339" i="6" l="1"/>
  <c r="U1339" i="6" a="1"/>
  <c r="U1339" i="6" s="1"/>
  <c r="R1339" i="6"/>
  <c r="R1153" i="6"/>
  <c r="U1153" i="6" a="1"/>
  <c r="U1153" i="6" s="1"/>
  <c r="T1153" i="6"/>
  <c r="R1147" i="6"/>
  <c r="U1147" i="6" a="1"/>
  <c r="U1147" i="6" s="1"/>
  <c r="T1147" i="6"/>
  <c r="U1139" i="6" a="1"/>
  <c r="U1139" i="6" s="1"/>
  <c r="R1126" i="6"/>
  <c r="O980" i="6"/>
  <c r="O986" i="6"/>
  <c r="O982" i="6"/>
  <c r="O897" i="6"/>
  <c r="O926" i="6"/>
  <c r="O817" i="6"/>
  <c r="O845" i="6"/>
  <c r="U796" i="6" a="1"/>
  <c r="U796" i="6" s="1"/>
  <c r="O796" i="6"/>
  <c r="M796" i="6"/>
  <c r="T796" i="6" s="1"/>
  <c r="F532" i="13"/>
  <c r="R1400" i="6" l="1"/>
  <c r="R1198" i="6"/>
  <c r="T1198" i="6"/>
  <c r="U1198" i="6" a="1"/>
  <c r="U1198" i="6" s="1"/>
  <c r="R1154" i="6"/>
  <c r="U1154" i="6" a="1"/>
  <c r="U1154" i="6" s="1"/>
  <c r="T1154" i="6"/>
  <c r="R1135" i="6"/>
  <c r="R796" i="6"/>
  <c r="U817" i="6" s="1" a="1"/>
  <c r="U817" i="6" s="1"/>
  <c r="G532" i="13"/>
  <c r="T532" i="13"/>
  <c r="AA532" i="13" s="1"/>
  <c r="U1412" i="6" l="1" a="1"/>
  <c r="U1412" i="6" s="1"/>
  <c r="R1412" i="6"/>
  <c r="U1417" i="6" s="1" a="1"/>
  <c r="U1417" i="6" s="1"/>
  <c r="T1412" i="6"/>
  <c r="R1215" i="6"/>
  <c r="R1220" i="6" s="1"/>
  <c r="T1215" i="6"/>
  <c r="U1215" i="6" a="1"/>
  <c r="U1215" i="6" s="1"/>
  <c r="R1206" i="6"/>
  <c r="T1206" i="6"/>
  <c r="U1206" i="6" a="1"/>
  <c r="U1206" i="6" s="1"/>
  <c r="R1201" i="6"/>
  <c r="U1201" i="6" a="1"/>
  <c r="U1201" i="6" s="1"/>
  <c r="I461" i="13" s="1"/>
  <c r="T1201" i="6"/>
  <c r="K461" i="13" s="1"/>
  <c r="AU461" i="13" s="1"/>
  <c r="L147" i="25"/>
  <c r="AB532" i="13"/>
  <c r="R817" i="6"/>
  <c r="T817" i="6"/>
  <c r="AK532" i="13"/>
  <c r="AS532" i="13"/>
  <c r="AT532" i="13" s="1"/>
  <c r="AJ532" i="13"/>
  <c r="AP532" i="13"/>
  <c r="L143" i="25" s="1"/>
  <c r="L149" i="25" s="1"/>
  <c r="AQ532" i="13"/>
  <c r="R1417" i="6" l="1"/>
  <c r="T1417" i="6"/>
  <c r="R1245" i="6"/>
  <c r="R1225" i="6"/>
  <c r="T1225" i="6"/>
  <c r="U1225" i="6" a="1"/>
  <c r="U1225" i="6" s="1"/>
  <c r="R1219" i="6"/>
  <c r="U1219" i="6" a="1"/>
  <c r="U1219" i="6" s="1"/>
  <c r="T1219" i="6"/>
  <c r="U845" i="6" a="1"/>
  <c r="U845" i="6" s="1"/>
  <c r="T845" i="6"/>
  <c r="R845" i="6"/>
  <c r="N798" i="6"/>
  <c r="O1367" i="6" s="1"/>
  <c r="R1418" i="6" l="1"/>
  <c r="U1418" i="6" a="1"/>
  <c r="U1418" i="6" s="1"/>
  <c r="T1418" i="6"/>
  <c r="O1015" i="6"/>
  <c r="O1355" i="6"/>
  <c r="R1298" i="6"/>
  <c r="T1229" i="6"/>
  <c r="R1229" i="6"/>
  <c r="U1229" i="6" a="1"/>
  <c r="U1229" i="6" s="1"/>
  <c r="R1227" i="6"/>
  <c r="U1227" i="6" a="1"/>
  <c r="U1227" i="6" s="1"/>
  <c r="T1227" i="6"/>
  <c r="O958" i="6"/>
  <c r="O996" i="6"/>
  <c r="O798" i="6"/>
  <c r="R798" i="6" s="1"/>
  <c r="O935" i="6"/>
  <c r="R897" i="6"/>
  <c r="F258" i="13"/>
  <c r="U798" i="6" a="1"/>
  <c r="U798" i="6" s="1"/>
  <c r="M798" i="6"/>
  <c r="T798" i="6" s="1"/>
  <c r="U1464" i="6" l="1" a="1"/>
  <c r="U1464" i="6" s="1"/>
  <c r="I59" i="13" s="1"/>
  <c r="R1464" i="6"/>
  <c r="AL59" i="13" s="1" a="1"/>
  <c r="AL59" i="13" s="1"/>
  <c r="J59" i="13" s="1"/>
  <c r="AI59" i="13" s="1"/>
  <c r="AV59" i="13" s="1"/>
  <c r="T1464" i="6"/>
  <c r="K59" i="13" s="1"/>
  <c r="AU59" i="13" s="1"/>
  <c r="T1316" i="6"/>
  <c r="U1316" i="6" a="1"/>
  <c r="U1316" i="6" s="1"/>
  <c r="R1316" i="6"/>
  <c r="U1329" i="6" s="1" a="1"/>
  <c r="U1329" i="6" s="1"/>
  <c r="R1308" i="6"/>
  <c r="R1318" i="6" s="1"/>
  <c r="R1326" i="6" s="1"/>
  <c r="R1350" i="6" s="1"/>
  <c r="U1232" i="6" a="1"/>
  <c r="U1232" i="6" s="1"/>
  <c r="R1232" i="6"/>
  <c r="T1232" i="6"/>
  <c r="R935" i="6"/>
  <c r="U926" i="6" a="1"/>
  <c r="U926" i="6" s="1"/>
  <c r="T926" i="6"/>
  <c r="R926" i="6"/>
  <c r="T258" i="13"/>
  <c r="AA258" i="13" s="1"/>
  <c r="G258" i="13"/>
  <c r="AQ258" i="13" s="1"/>
  <c r="R1329" i="6" l="1"/>
  <c r="T1329" i="6"/>
  <c r="AL461" i="13" a="1"/>
  <c r="AL461" i="13" s="1"/>
  <c r="J461" i="13" s="1"/>
  <c r="AI461" i="13" s="1"/>
  <c r="AV461" i="13" s="1"/>
  <c r="U1233" i="6" a="1"/>
  <c r="U1233" i="6" s="1"/>
  <c r="R1233" i="6"/>
  <c r="T1233" i="6"/>
  <c r="AB258" i="13"/>
  <c r="R980" i="6"/>
  <c r="R958" i="6"/>
  <c r="U996" i="6" s="1" a="1"/>
  <c r="U996" i="6" s="1"/>
  <c r="AK258" i="13"/>
  <c r="AP258" i="13"/>
  <c r="AS258" i="13"/>
  <c r="AT258" i="13" s="1"/>
  <c r="AJ258" i="13"/>
  <c r="U1351" i="6" l="1" a="1"/>
  <c r="U1351" i="6" s="1"/>
  <c r="R1351" i="6"/>
  <c r="T1351" i="6"/>
  <c r="AN461" i="13"/>
  <c r="R1251" i="6"/>
  <c r="T1251" i="6"/>
  <c r="U1251" i="6" a="1"/>
  <c r="U1251" i="6" s="1"/>
  <c r="R996" i="6"/>
  <c r="T996" i="6"/>
  <c r="R982" i="6"/>
  <c r="R986" i="6" s="1"/>
  <c r="U1365" i="6" l="1" a="1"/>
  <c r="U1365" i="6" s="1"/>
  <c r="R1365" i="6"/>
  <c r="T1365" i="6"/>
  <c r="R1268" i="6"/>
  <c r="T1271" i="6" s="1"/>
  <c r="T1268" i="6"/>
  <c r="U1268" i="6" a="1"/>
  <c r="U1268" i="6" s="1"/>
  <c r="U1123" i="6" a="1"/>
  <c r="U1123" i="6" s="1"/>
  <c r="I532" i="13" s="1"/>
  <c r="R1123" i="6"/>
  <c r="AL532" i="13" s="1" a="1"/>
  <c r="AL532" i="13" s="1"/>
  <c r="T1123" i="6"/>
  <c r="K532" i="13" s="1"/>
  <c r="AU532" i="13" s="1"/>
  <c r="U1015" i="6" a="1"/>
  <c r="U1015" i="6" s="1"/>
  <c r="T1015" i="6"/>
  <c r="R1015" i="6"/>
  <c r="R1369" i="6" l="1"/>
  <c r="U1379" i="6" s="1" a="1"/>
  <c r="U1379" i="6" s="1"/>
  <c r="R1355" i="6"/>
  <c r="U1271" i="6" a="1"/>
  <c r="U1271" i="6" s="1"/>
  <c r="R1271" i="6"/>
  <c r="AN532" i="13"/>
  <c r="J532" i="13"/>
  <c r="AI532" i="13" s="1"/>
  <c r="AV532" i="13" s="1"/>
  <c r="T1379" i="6" l="1"/>
  <c r="R1379" i="6"/>
  <c r="T1409" i="6" s="1"/>
  <c r="R1367" i="6"/>
  <c r="AL258" i="13" s="1" a="1"/>
  <c r="AL258" i="13" s="1"/>
  <c r="U1367" i="6" a="1"/>
  <c r="U1367" i="6" s="1"/>
  <c r="I258" i="13" s="1"/>
  <c r="T1367" i="6"/>
  <c r="K258" i="13" s="1"/>
  <c r="AU258" i="13" s="1"/>
  <c r="R1290" i="6"/>
  <c r="U1290" i="6" a="1"/>
  <c r="U1290" i="6" s="1"/>
  <c r="T1290" i="6"/>
  <c r="R1409" i="6" l="1"/>
  <c r="R1429" i="6" s="1"/>
  <c r="U1430" i="6" s="1" a="1"/>
  <c r="U1430" i="6" s="1"/>
  <c r="U1409" i="6" a="1"/>
  <c r="U1409" i="6" s="1"/>
  <c r="J258" i="13"/>
  <c r="AI258" i="13" s="1"/>
  <c r="AV258" i="13" s="1"/>
  <c r="AN258" i="13"/>
  <c r="U1299" i="6" a="1"/>
  <c r="U1299" i="6" s="1"/>
  <c r="R1299" i="6"/>
  <c r="T1299" i="6"/>
  <c r="Z39" i="13"/>
  <c r="Q357" i="6"/>
  <c r="N357" i="6"/>
  <c r="R1430" i="6" l="1"/>
  <c r="U1435" i="6" s="1" a="1"/>
  <c r="U1435" i="6" s="1"/>
  <c r="T1430" i="6"/>
  <c r="AB39" i="13"/>
  <c r="U1305" i="6" a="1"/>
  <c r="U1305" i="6" s="1"/>
  <c r="I3" i="13" s="1"/>
  <c r="R1305" i="6"/>
  <c r="R1313" i="6" s="1"/>
  <c r="R1371" i="6" s="1"/>
  <c r="T1305" i="6"/>
  <c r="K3" i="13" s="1"/>
  <c r="AU3" i="13" s="1"/>
  <c r="M357" i="6"/>
  <c r="U357" i="6" a="1"/>
  <c r="U357" i="6" s="1"/>
  <c r="F90" i="15"/>
  <c r="H90" i="15" s="1"/>
  <c r="O357" i="6"/>
  <c r="R357" i="6" s="1"/>
  <c r="AL90" i="13" s="1" a="1"/>
  <c r="AL90" i="13" s="1"/>
  <c r="L90" i="15"/>
  <c r="F90" i="13"/>
  <c r="R1435" i="6" l="1"/>
  <c r="T1450" i="6" s="1"/>
  <c r="T1435" i="6"/>
  <c r="AL3" i="13" a="1"/>
  <c r="AL3" i="13" s="1"/>
  <c r="AN3" i="13" s="1"/>
  <c r="T357" i="6"/>
  <c r="O90" i="15" s="1"/>
  <c r="G90" i="15"/>
  <c r="I90" i="15" s="1"/>
  <c r="M90" i="15"/>
  <c r="N90" i="15" s="1"/>
  <c r="G90" i="13"/>
  <c r="I90" i="13"/>
  <c r="T90" i="13"/>
  <c r="AA90" i="13" s="1"/>
  <c r="U1450" i="6" l="1" a="1"/>
  <c r="U1450" i="6" s="1"/>
  <c r="R1450" i="6"/>
  <c r="U1452" i="6" s="1" a="1"/>
  <c r="U1452" i="6" s="1"/>
  <c r="J3" i="13"/>
  <c r="AI3" i="13" s="1"/>
  <c r="AV3" i="13" s="1"/>
  <c r="K90" i="13"/>
  <c r="AU90" i="13" s="1"/>
  <c r="AK90" i="13"/>
  <c r="AS90" i="13"/>
  <c r="AT90" i="13" s="1"/>
  <c r="AB90" i="13"/>
  <c r="AP90" i="13"/>
  <c r="AJ90" i="13"/>
  <c r="J90" i="13"/>
  <c r="AQ90" i="13"/>
  <c r="T1452" i="6" l="1"/>
  <c r="R1452" i="6"/>
  <c r="Q1176" i="6"/>
  <c r="N1176" i="6"/>
  <c r="F540" i="13" s="1"/>
  <c r="T1469" i="6" l="1"/>
  <c r="U1469" i="6" a="1"/>
  <c r="U1469" i="6" s="1"/>
  <c r="R1469" i="6"/>
  <c r="B13" i="25" a="1"/>
  <c r="B13" i="25" s="1"/>
  <c r="O1176" i="6"/>
  <c r="R1176" i="6" s="1"/>
  <c r="AL540" i="13" s="1" a="1"/>
  <c r="AL540" i="13" s="1"/>
  <c r="U1176" i="6" a="1"/>
  <c r="U1176" i="6" s="1"/>
  <c r="I540" i="13" s="1"/>
  <c r="G540" i="13"/>
  <c r="T540" i="13"/>
  <c r="AA540" i="13" s="1"/>
  <c r="M1176" i="6"/>
  <c r="T1176" i="6" s="1"/>
  <c r="K540" i="13" s="1"/>
  <c r="AU540" i="13" s="1"/>
  <c r="T1472" i="6" l="1"/>
  <c r="U1472" i="6" a="1"/>
  <c r="U1472" i="6" s="1"/>
  <c r="R1472" i="6"/>
  <c r="AP540" i="13"/>
  <c r="AB540" i="13"/>
  <c r="AJ540" i="13"/>
  <c r="AK540" i="13"/>
  <c r="AS540" i="13"/>
  <c r="AT540" i="13" s="1"/>
  <c r="J540" i="13"/>
  <c r="AQ540" i="13"/>
  <c r="U1495" i="6" l="1" a="1"/>
  <c r="U1495" i="6" s="1"/>
  <c r="I449" i="13" s="1"/>
  <c r="R1495" i="6"/>
  <c r="AL449" i="13" s="1" a="1"/>
  <c r="AL449" i="13" s="1"/>
  <c r="AN449" i="13" s="1"/>
  <c r="T1495" i="6"/>
  <c r="K449" i="13"/>
  <c r="AU449" i="13" s="1"/>
  <c r="L151" i="25" s="1"/>
  <c r="K1" i="6"/>
  <c r="Q1359" i="6"/>
  <c r="Q1" i="6" s="1"/>
  <c r="C1" i="18" s="1"/>
  <c r="B5" i="18" s="1"/>
  <c r="J449" i="13" l="1"/>
  <c r="AI449" i="13" s="1"/>
  <c r="AV449" i="13" s="1"/>
  <c r="N1359" i="6"/>
  <c r="P1" i="6"/>
  <c r="A1" i="18" s="1"/>
  <c r="B4" i="18" s="1"/>
  <c r="U1359" i="6" l="1" a="1"/>
  <c r="U1359" i="6" s="1"/>
  <c r="M1359" i="6"/>
  <c r="T1359" i="6" s="1"/>
  <c r="O1359" i="6"/>
  <c r="F97" i="13"/>
  <c r="R1359" i="6" l="1"/>
  <c r="AL97" i="13" s="1" a="1"/>
  <c r="AL97" i="13" s="1"/>
  <c r="I97" i="13"/>
  <c r="K97" i="13"/>
  <c r="AU97" i="13" s="1"/>
  <c r="T97" i="13"/>
  <c r="AA97" i="13" s="1"/>
  <c r="G97" i="13"/>
  <c r="AW725" i="13" l="1"/>
  <c r="AW726" i="13"/>
  <c r="AW722" i="13"/>
  <c r="AW723" i="13"/>
  <c r="AW724" i="13"/>
  <c r="AW719" i="13"/>
  <c r="AW720" i="13"/>
  <c r="AW721" i="13"/>
  <c r="AW715" i="13"/>
  <c r="AW717" i="13"/>
  <c r="AW716" i="13"/>
  <c r="AW718" i="13"/>
  <c r="AW713" i="13"/>
  <c r="AW714" i="13"/>
  <c r="AW709" i="13"/>
  <c r="AW712" i="13"/>
  <c r="AW711" i="13"/>
  <c r="AW710" i="13"/>
  <c r="AW705" i="13"/>
  <c r="AW708" i="13"/>
  <c r="AW707" i="13"/>
  <c r="AW706" i="13"/>
  <c r="AW701" i="13"/>
  <c r="AW704" i="13"/>
  <c r="AW702" i="13"/>
  <c r="AW703" i="13"/>
  <c r="AW699" i="13"/>
  <c r="AW700" i="13"/>
  <c r="AW698" i="13"/>
  <c r="AW696" i="13"/>
  <c r="AW697" i="13"/>
  <c r="AW684" i="13"/>
  <c r="AW690" i="13"/>
  <c r="AW687" i="13"/>
  <c r="AW686" i="13"/>
  <c r="AW692" i="13"/>
  <c r="AW691" i="13"/>
  <c r="AW685" i="13"/>
  <c r="AW682" i="13"/>
  <c r="AW681" i="13"/>
  <c r="AW680" i="13"/>
  <c r="AW683" i="13"/>
  <c r="AW678" i="13"/>
  <c r="AW689" i="13"/>
  <c r="AW679" i="13"/>
  <c r="AW676" i="13"/>
  <c r="AW677" i="13"/>
  <c r="AW675" i="13"/>
  <c r="AW673" i="13"/>
  <c r="AW674" i="13"/>
  <c r="AW670" i="13"/>
  <c r="AW671" i="13"/>
  <c r="AW672" i="13"/>
  <c r="J97" i="13"/>
  <c r="AQ97" i="13"/>
  <c r="AW173" i="13"/>
  <c r="AW471" i="13"/>
  <c r="AW532" i="13"/>
  <c r="AW279" i="13"/>
  <c r="AW44" i="13"/>
  <c r="AW43" i="13"/>
  <c r="AW42" i="13"/>
  <c r="AW67" i="13"/>
  <c r="AW180" i="13"/>
  <c r="AW312" i="13"/>
  <c r="AW337" i="13"/>
  <c r="AW659" i="13"/>
  <c r="AW387" i="13"/>
  <c r="AW628" i="13"/>
  <c r="AW340" i="13"/>
  <c r="AW399" i="13"/>
  <c r="AW206" i="13"/>
  <c r="AW262" i="13"/>
  <c r="AW612" i="13"/>
  <c r="AW406" i="13"/>
  <c r="AW188" i="13"/>
  <c r="AW424" i="13"/>
  <c r="AW227" i="13"/>
  <c r="AW606" i="13"/>
  <c r="AW234" i="13"/>
  <c r="AW589" i="13"/>
  <c r="AW212" i="13"/>
  <c r="AW167" i="13"/>
  <c r="AW650" i="13"/>
  <c r="AW559" i="13"/>
  <c r="AW319" i="13"/>
  <c r="AW347" i="13"/>
  <c r="AW380" i="13"/>
  <c r="AW480" i="13"/>
  <c r="AW104" i="13"/>
  <c r="AW94" i="13"/>
  <c r="AW598" i="13"/>
  <c r="AW639" i="13"/>
  <c r="AW357" i="13"/>
  <c r="AW523" i="13"/>
  <c r="AW277" i="13"/>
  <c r="AW194" i="13"/>
  <c r="AW307" i="13"/>
  <c r="AW346" i="13"/>
  <c r="AW288" i="13"/>
  <c r="AW654" i="13"/>
  <c r="AW694" i="13"/>
  <c r="AW643" i="13"/>
  <c r="AW131" i="13"/>
  <c r="AW211" i="13"/>
  <c r="AW320" i="13"/>
  <c r="AW537" i="13"/>
  <c r="AW9" i="13"/>
  <c r="AW47" i="13"/>
  <c r="AW412" i="13"/>
  <c r="AW117" i="13"/>
  <c r="AW329" i="13"/>
  <c r="AW489" i="13"/>
  <c r="AW351" i="13"/>
  <c r="AW159" i="13"/>
  <c r="AW96" i="13"/>
  <c r="AW72" i="13"/>
  <c r="AW135" i="13"/>
  <c r="AW362" i="13"/>
  <c r="AW658" i="13"/>
  <c r="AW569" i="13"/>
  <c r="AW106" i="13"/>
  <c r="AW385" i="13"/>
  <c r="AW237" i="13"/>
  <c r="AW275" i="13"/>
  <c r="AW368" i="13"/>
  <c r="AW625" i="13"/>
  <c r="AW5" i="13"/>
  <c r="AW334" i="13"/>
  <c r="AW73" i="13"/>
  <c r="AW476" i="13"/>
  <c r="AW37" i="13"/>
  <c r="AW515" i="13"/>
  <c r="AW562" i="13"/>
  <c r="AW316" i="13"/>
  <c r="AW154" i="13"/>
  <c r="AW624" i="13"/>
  <c r="AW215" i="13"/>
  <c r="AW138" i="13"/>
  <c r="AP97" i="13"/>
  <c r="AW384" i="13"/>
  <c r="AW426" i="13"/>
  <c r="AW269" i="13"/>
  <c r="AW561" i="13"/>
  <c r="AW435" i="13"/>
  <c r="AW287" i="13"/>
  <c r="AW314" i="13"/>
  <c r="AW134" i="13"/>
  <c r="AW411" i="13"/>
  <c r="AW114" i="13"/>
  <c r="AW462" i="13"/>
  <c r="AW298" i="13"/>
  <c r="AW461" i="13"/>
  <c r="AW558" i="13"/>
  <c r="AW46" i="13"/>
  <c r="AW56" i="13"/>
  <c r="AW557" i="13"/>
  <c r="AW48" i="13"/>
  <c r="AW139" i="13"/>
  <c r="AW345" i="13"/>
  <c r="AW552" i="13"/>
  <c r="AW590" i="13"/>
  <c r="AW688" i="13"/>
  <c r="AW152" i="13"/>
  <c r="AW86" i="13"/>
  <c r="AW611" i="13"/>
  <c r="AW597" i="13"/>
  <c r="AW22" i="13"/>
  <c r="AW370" i="13"/>
  <c r="AW266" i="13"/>
  <c r="AW36" i="13"/>
  <c r="AW472" i="13"/>
  <c r="AW615" i="13"/>
  <c r="AW427" i="13"/>
  <c r="AW417" i="13"/>
  <c r="AW280" i="13"/>
  <c r="AW57" i="13"/>
  <c r="AW482" i="13"/>
  <c r="AW186" i="13"/>
  <c r="AW475" i="13"/>
  <c r="AW359" i="13"/>
  <c r="AW274" i="13"/>
  <c r="AW182" i="13"/>
  <c r="AW92" i="13"/>
  <c r="AW392" i="13"/>
  <c r="AW35" i="13"/>
  <c r="AW474" i="13"/>
  <c r="AW585" i="13"/>
  <c r="AW640" i="13"/>
  <c r="AW148" i="13"/>
  <c r="AW381" i="13"/>
  <c r="AW23" i="13"/>
  <c r="AW97" i="13"/>
  <c r="AW371" i="13"/>
  <c r="AW479" i="13"/>
  <c r="AW20" i="13"/>
  <c r="AW295" i="13"/>
  <c r="AW448" i="13"/>
  <c r="AW74" i="13"/>
  <c r="AW360" i="13"/>
  <c r="AW505" i="13"/>
  <c r="AW481" i="13"/>
  <c r="AW367" i="13"/>
  <c r="AW220" i="13"/>
  <c r="AW130" i="13"/>
  <c r="AW506" i="13"/>
  <c r="AW459" i="13"/>
  <c r="AW393" i="13"/>
  <c r="AW30" i="13"/>
  <c r="AW528" i="13"/>
  <c r="AW160" i="13"/>
  <c r="AW59" i="13"/>
  <c r="AW369" i="13"/>
  <c r="AW153" i="13"/>
  <c r="AW655" i="13"/>
  <c r="AW271" i="13"/>
  <c r="AW116" i="13"/>
  <c r="AW304" i="13"/>
  <c r="AW18" i="13"/>
  <c r="AW8" i="13"/>
  <c r="AW315" i="13"/>
  <c r="AW335" i="13"/>
  <c r="AW105" i="13"/>
  <c r="AW181" i="13"/>
  <c r="AW110" i="13"/>
  <c r="AW325" i="13"/>
  <c r="AW115" i="13"/>
  <c r="AW516" i="13"/>
  <c r="AW575" i="13"/>
  <c r="AW255" i="13"/>
  <c r="AW556" i="13"/>
  <c r="AW400" i="13"/>
  <c r="AW89" i="13"/>
  <c r="AW256" i="13"/>
  <c r="AW632" i="13"/>
  <c r="AW504" i="13"/>
  <c r="AW460" i="13"/>
  <c r="AW31" i="13"/>
  <c r="AW201" i="13"/>
  <c r="AW169" i="13"/>
  <c r="AW619" i="13"/>
  <c r="AW196" i="13"/>
  <c r="AW66" i="13"/>
  <c r="AW445" i="13"/>
  <c r="AW199" i="13"/>
  <c r="AW366" i="13"/>
  <c r="AW454" i="13"/>
  <c r="AW555" i="13"/>
  <c r="AW65" i="13"/>
  <c r="AW520" i="13"/>
  <c r="AW527" i="13"/>
  <c r="AW33" i="13"/>
  <c r="AW446" i="13"/>
  <c r="AW389" i="13"/>
  <c r="AW636" i="13"/>
  <c r="AW477" i="13"/>
  <c r="AW592" i="13"/>
  <c r="AW341" i="13"/>
  <c r="AW189" i="13"/>
  <c r="AW128" i="13"/>
  <c r="AW285" i="13"/>
  <c r="AW241" i="13"/>
  <c r="AW621" i="13"/>
  <c r="AW281" i="13"/>
  <c r="AW394" i="13"/>
  <c r="AW626" i="13"/>
  <c r="AW60" i="13"/>
  <c r="AW142" i="13"/>
  <c r="AW112" i="13"/>
  <c r="AW361" i="13"/>
  <c r="AW109" i="13"/>
  <c r="AW434" i="13"/>
  <c r="AW123" i="13"/>
  <c r="AW270" i="13"/>
  <c r="AW429" i="13"/>
  <c r="AW11" i="13"/>
  <c r="AW549" i="13"/>
  <c r="AW652" i="13"/>
  <c r="AW7" i="13"/>
  <c r="AW439" i="13"/>
  <c r="AW250" i="13"/>
  <c r="AW179" i="13"/>
  <c r="AW197" i="13"/>
  <c r="AW41" i="13"/>
  <c r="AW38" i="13"/>
  <c r="AW657" i="13"/>
  <c r="AW145" i="13"/>
  <c r="AW184" i="13"/>
  <c r="AW10" i="13"/>
  <c r="AW150" i="13"/>
  <c r="AW208" i="13"/>
  <c r="AW305" i="13"/>
  <c r="AW338" i="13"/>
  <c r="AW69" i="13"/>
  <c r="AW618" i="13"/>
  <c r="AW13" i="13"/>
  <c r="AW517" i="13"/>
  <c r="AW17" i="13"/>
  <c r="AW388" i="13"/>
  <c r="AW80" i="13"/>
  <c r="AW631" i="13"/>
  <c r="AW470" i="13"/>
  <c r="AW644" i="13"/>
  <c r="AW386" i="13"/>
  <c r="AW355" i="13"/>
  <c r="AW418" i="13"/>
  <c r="AW276" i="13"/>
  <c r="AW649" i="13"/>
  <c r="AW695" i="13"/>
  <c r="AW87" i="13"/>
  <c r="AW51" i="13"/>
  <c r="AW224" i="13"/>
  <c r="AW646" i="13"/>
  <c r="AW230" i="13"/>
  <c r="AW576" i="13"/>
  <c r="AW327" i="13"/>
  <c r="AW451" i="13"/>
  <c r="AW111" i="13"/>
  <c r="AW365" i="13"/>
  <c r="AW203" i="13"/>
  <c r="AW52" i="13"/>
  <c r="AW32" i="13"/>
  <c r="AW309" i="13"/>
  <c r="AW248" i="13"/>
  <c r="AW616" i="13"/>
  <c r="AW118" i="13"/>
  <c r="AW210" i="13"/>
  <c r="AW534" i="13"/>
  <c r="AW291" i="13"/>
  <c r="AW623" i="13"/>
  <c r="AW483" i="13"/>
  <c r="AW548" i="13"/>
  <c r="AW263" i="13"/>
  <c r="AW440" i="13"/>
  <c r="AW404" i="13"/>
  <c r="AW149" i="13"/>
  <c r="AW509" i="13"/>
  <c r="AW656" i="13"/>
  <c r="AW642" i="13"/>
  <c r="AW231" i="13"/>
  <c r="AW205" i="13"/>
  <c r="AW342" i="13"/>
  <c r="AW78" i="13"/>
  <c r="AW326" i="13"/>
  <c r="AW12" i="13"/>
  <c r="AW301" i="13"/>
  <c r="AW469" i="13"/>
  <c r="AW443" i="13"/>
  <c r="AW441" i="13"/>
  <c r="AW596" i="13"/>
  <c r="AW498" i="13"/>
  <c r="AW122" i="13"/>
  <c r="AW614" i="13"/>
  <c r="AW187" i="13"/>
  <c r="AW601" i="13"/>
  <c r="AW349" i="13"/>
  <c r="AW126" i="13"/>
  <c r="AW407" i="13"/>
  <c r="AW486" i="13"/>
  <c r="AW582" i="13"/>
  <c r="AW546" i="13"/>
  <c r="AW511" i="13"/>
  <c r="AW554" i="13"/>
  <c r="AW253" i="13"/>
  <c r="AW478" i="13"/>
  <c r="AW452" i="13"/>
  <c r="AW507" i="13"/>
  <c r="AW403" i="13"/>
  <c r="AW77" i="13"/>
  <c r="AW641" i="13"/>
  <c r="AW177" i="13"/>
  <c r="AW198" i="13"/>
  <c r="AW299" i="13"/>
  <c r="AW293" i="13"/>
  <c r="AW239" i="13"/>
  <c r="AW535" i="13"/>
  <c r="AW328" i="13"/>
  <c r="AW465" i="13"/>
  <c r="AW229" i="13"/>
  <c r="AW121" i="13"/>
  <c r="AW540" i="13"/>
  <c r="AW432" i="13"/>
  <c r="AW455" i="13"/>
  <c r="AW324" i="13"/>
  <c r="AW449" i="13"/>
  <c r="AW132" i="13"/>
  <c r="AW84" i="13"/>
  <c r="AW323" i="13"/>
  <c r="AW583" i="13"/>
  <c r="AW541" i="13"/>
  <c r="AW378" i="13"/>
  <c r="AW664" i="13"/>
  <c r="AW382" i="13"/>
  <c r="AW500" i="13"/>
  <c r="AW217" i="13"/>
  <c r="AW71" i="13"/>
  <c r="AW282" i="13"/>
  <c r="AW39" i="13"/>
  <c r="AW164" i="13"/>
  <c r="AW100" i="13"/>
  <c r="AW292" i="13"/>
  <c r="AW634" i="13"/>
  <c r="AW163" i="13"/>
  <c r="AW222" i="13"/>
  <c r="AW137" i="13"/>
  <c r="AW245" i="13"/>
  <c r="AW146" i="13"/>
  <c r="AW574" i="13"/>
  <c r="AW166" i="13"/>
  <c r="AW83" i="13"/>
  <c r="AW136" i="13"/>
  <c r="AW273" i="13"/>
  <c r="AW662" i="13"/>
  <c r="AW425" i="13"/>
  <c r="AW252" i="13"/>
  <c r="AW62" i="13"/>
  <c r="AW693" i="13"/>
  <c r="AW466" i="13"/>
  <c r="AW485" i="13"/>
  <c r="AW178" i="13"/>
  <c r="AW608" i="13"/>
  <c r="AW268" i="13"/>
  <c r="AW353" i="13"/>
  <c r="AW330" i="13"/>
  <c r="AW364" i="13"/>
  <c r="AW162" i="13"/>
  <c r="AW467" i="13"/>
  <c r="AW156" i="13"/>
  <c r="AW219" i="13"/>
  <c r="AW190" i="13"/>
  <c r="AW93" i="13"/>
  <c r="AW610" i="13"/>
  <c r="AW254" i="13"/>
  <c r="AW226" i="13"/>
  <c r="AW419" i="13"/>
  <c r="AW75" i="13"/>
  <c r="AW214" i="13"/>
  <c r="AW91" i="13"/>
  <c r="AW530" i="13"/>
  <c r="AW531" i="13"/>
  <c r="AW502" i="13"/>
  <c r="AW124" i="13"/>
  <c r="AW539" i="13"/>
  <c r="AW158" i="13"/>
  <c r="AW453" i="13"/>
  <c r="AW390" i="13"/>
  <c r="AW551" i="13"/>
  <c r="AW4" i="13"/>
  <c r="AW303" i="13"/>
  <c r="AW191" i="13"/>
  <c r="AW64" i="13"/>
  <c r="AW261" i="13"/>
  <c r="AW563" i="13"/>
  <c r="AW651" i="13"/>
  <c r="AW16" i="13"/>
  <c r="AW514" i="13"/>
  <c r="AW580" i="13"/>
  <c r="AW339" i="13"/>
  <c r="AW416" i="13"/>
  <c r="AW661" i="13"/>
  <c r="AW225" i="13"/>
  <c r="AW101" i="13"/>
  <c r="AW602" i="13"/>
  <c r="AW289" i="13"/>
  <c r="AW354" i="13"/>
  <c r="AW14" i="13"/>
  <c r="AW3" i="13"/>
  <c r="AW431" i="13"/>
  <c r="AW308" i="13"/>
  <c r="AW588" i="13"/>
  <c r="AW645" i="13"/>
  <c r="AW550" i="13"/>
  <c r="AW391" i="13"/>
  <c r="AW258" i="13"/>
  <c r="AW538" i="13"/>
  <c r="AW34" i="13"/>
  <c r="AW573" i="13"/>
  <c r="AW669" i="13"/>
  <c r="AW318" i="13"/>
  <c r="AW568" i="13"/>
  <c r="AW53" i="13"/>
  <c r="AW333" i="13"/>
  <c r="AW278" i="13"/>
  <c r="AW422" i="13"/>
  <c r="AW543" i="13"/>
  <c r="AW553" i="13"/>
  <c r="AW170" i="13"/>
  <c r="AW284" i="13"/>
  <c r="AW175" i="13"/>
  <c r="AW497" i="13"/>
  <c r="AW244" i="13"/>
  <c r="AW49" i="13"/>
  <c r="AW63" i="13"/>
  <c r="AW635" i="13"/>
  <c r="AW566" i="13"/>
  <c r="AW290" i="13"/>
  <c r="AW40" i="13"/>
  <c r="AW428" i="13"/>
  <c r="AW663" i="13"/>
  <c r="AW358" i="13"/>
  <c r="AW525" i="13"/>
  <c r="AW409" i="13"/>
  <c r="AW600" i="13"/>
  <c r="AW240" i="13"/>
  <c r="AW95" i="13"/>
  <c r="AW408" i="13"/>
  <c r="AW88" i="13"/>
  <c r="AW547" i="13"/>
  <c r="AW457" i="13"/>
  <c r="AW594" i="13"/>
  <c r="AW165" i="13"/>
  <c r="AW581" i="13"/>
  <c r="AW415" i="13"/>
  <c r="AW202" i="13"/>
  <c r="AW496" i="13"/>
  <c r="AW356" i="13"/>
  <c r="AW68" i="13"/>
  <c r="AW376" i="13"/>
  <c r="AW108" i="13"/>
  <c r="AW129" i="13"/>
  <c r="AW405" i="13"/>
  <c r="AW587" i="13"/>
  <c r="AW45" i="13"/>
  <c r="AW311" i="13"/>
  <c r="AW524" i="13"/>
  <c r="AW259" i="13"/>
  <c r="AW648" i="13"/>
  <c r="AW238" i="13"/>
  <c r="AW396" i="13"/>
  <c r="AW444" i="13"/>
  <c r="AW464" i="13"/>
  <c r="AW99" i="13"/>
  <c r="AW578" i="13"/>
  <c r="AW28" i="13"/>
  <c r="AW264" i="13"/>
  <c r="AW567" i="13"/>
  <c r="AW306" i="13"/>
  <c r="AW143" i="13"/>
  <c r="AW420" i="13"/>
  <c r="AW593" i="13"/>
  <c r="AW627" i="13"/>
  <c r="AW157" i="13"/>
  <c r="AW458" i="13"/>
  <c r="AW147" i="13"/>
  <c r="AW235" i="13"/>
  <c r="AW665" i="13"/>
  <c r="AW494" i="13"/>
  <c r="AW591" i="13"/>
  <c r="AW630" i="13"/>
  <c r="AW15" i="13"/>
  <c r="AW317" i="13"/>
  <c r="AW513" i="13"/>
  <c r="AW141" i="13"/>
  <c r="AW260" i="13"/>
  <c r="AW193" i="13"/>
  <c r="AW161" i="13"/>
  <c r="AW499" i="13"/>
  <c r="AW82" i="13"/>
  <c r="AW491" i="13"/>
  <c r="AW81" i="13"/>
  <c r="AW433" i="13"/>
  <c r="AW544" i="13"/>
  <c r="AW21" i="13"/>
  <c r="AW560" i="13"/>
  <c r="AW2" i="13"/>
  <c r="AW236" i="13"/>
  <c r="AW487" i="13"/>
  <c r="AW76" i="13"/>
  <c r="AW529" i="13"/>
  <c r="AW302" i="13"/>
  <c r="AW617" i="13"/>
  <c r="AW379" i="13"/>
  <c r="AW492" i="13"/>
  <c r="AW61" i="13"/>
  <c r="AW286" i="13"/>
  <c r="AW322" i="13"/>
  <c r="AW343" i="13"/>
  <c r="AW599" i="13"/>
  <c r="AW265" i="13"/>
  <c r="AW488" i="13"/>
  <c r="AW586" i="13"/>
  <c r="AW172" i="13"/>
  <c r="AW438" i="13"/>
  <c r="AW584" i="13"/>
  <c r="AW668" i="13"/>
  <c r="AW183" i="13"/>
  <c r="AW26" i="13"/>
  <c r="AW463" i="13"/>
  <c r="AW102" i="13"/>
  <c r="AW571" i="13"/>
  <c r="AW228" i="13"/>
  <c r="AW607" i="13"/>
  <c r="AW570" i="13"/>
  <c r="AW246" i="13"/>
  <c r="AW397" i="13"/>
  <c r="AW620" i="13"/>
  <c r="AW321" i="13"/>
  <c r="AW19" i="13"/>
  <c r="AW647" i="13"/>
  <c r="AW127" i="13"/>
  <c r="AW565" i="13"/>
  <c r="AW79" i="13"/>
  <c r="AW512" i="13"/>
  <c r="AW377" i="13"/>
  <c r="AW251" i="13"/>
  <c r="AW398" i="13"/>
  <c r="AW168" i="13"/>
  <c r="AW113" i="13"/>
  <c r="AW200" i="13"/>
  <c r="AW383" i="13"/>
  <c r="AW185" i="13"/>
  <c r="AW171" i="13"/>
  <c r="AW155" i="13"/>
  <c r="AW297" i="13"/>
  <c r="AW374" i="13"/>
  <c r="AW242" i="13"/>
  <c r="AW503" i="13"/>
  <c r="AW564" i="13"/>
  <c r="AW27" i="13"/>
  <c r="AW522" i="13"/>
  <c r="AW447" i="13"/>
  <c r="AW542" i="13"/>
  <c r="AW216" i="13"/>
  <c r="AW85" i="13"/>
  <c r="AW348" i="13"/>
  <c r="AW413" i="13"/>
  <c r="AW207" i="13"/>
  <c r="AW233" i="13"/>
  <c r="AW430" i="13"/>
  <c r="AW629" i="13"/>
  <c r="AW24" i="13"/>
  <c r="AW336" i="13"/>
  <c r="AW58" i="13"/>
  <c r="AW490" i="13"/>
  <c r="AW395" i="13"/>
  <c r="AW144" i="13"/>
  <c r="AW344" i="13"/>
  <c r="AW436" i="13"/>
  <c r="AW209" i="13"/>
  <c r="AW423" i="13"/>
  <c r="AW232" i="13"/>
  <c r="AW267" i="13"/>
  <c r="AW613" i="13"/>
  <c r="AW272" i="13"/>
  <c r="AW450" i="13"/>
  <c r="AW29" i="13"/>
  <c r="AW195" i="13"/>
  <c r="AW103" i="13"/>
  <c r="AW283" i="13"/>
  <c r="AW363" i="13"/>
  <c r="AW545" i="13"/>
  <c r="AW653" i="13"/>
  <c r="AW140" i="13"/>
  <c r="AW609" i="13"/>
  <c r="AW55" i="13"/>
  <c r="AW526" i="13"/>
  <c r="AW151" i="13"/>
  <c r="AW605" i="13"/>
  <c r="AW402" i="13"/>
  <c r="AW296" i="13"/>
  <c r="AW176" i="13"/>
  <c r="AW421" i="13"/>
  <c r="AW473" i="13"/>
  <c r="AW174" i="13"/>
  <c r="AW633" i="13"/>
  <c r="AW603" i="13"/>
  <c r="AW25" i="13"/>
  <c r="AW456" i="13"/>
  <c r="AW493" i="13"/>
  <c r="AW310" i="13"/>
  <c r="AW90" i="13"/>
  <c r="AW243" i="13"/>
  <c r="AW410" i="13"/>
  <c r="AW442" i="13"/>
  <c r="AW638" i="13"/>
  <c r="AW510" i="13"/>
  <c r="AW437" i="13"/>
  <c r="AW414" i="13"/>
  <c r="AW519" i="13"/>
  <c r="AW331" i="13"/>
  <c r="AW401" i="13"/>
  <c r="AW332" i="13"/>
  <c r="AW247" i="13"/>
  <c r="AW518" i="13"/>
  <c r="AW70" i="13"/>
  <c r="AW221" i="13"/>
  <c r="AW6" i="13"/>
  <c r="AW468" i="13"/>
  <c r="AW204" i="13"/>
  <c r="AW107" i="13"/>
  <c r="AW637" i="13"/>
  <c r="AW484" i="13"/>
  <c r="AW372" i="13"/>
  <c r="AW577" i="13"/>
  <c r="AW120" i="13"/>
  <c r="AW213" i="13"/>
  <c r="AW579" i="13"/>
  <c r="AW604" i="13"/>
  <c r="AW313" i="13"/>
  <c r="AW660" i="13"/>
  <c r="AB97" i="13"/>
  <c r="AW595" i="13"/>
  <c r="AW495" i="13"/>
  <c r="AW622" i="13"/>
  <c r="AW223" i="13"/>
  <c r="AW294" i="13"/>
  <c r="AW133" i="13"/>
  <c r="AW300" i="13"/>
  <c r="AW218" i="13"/>
  <c r="AW54" i="13"/>
  <c r="AW521" i="13"/>
  <c r="AW533" i="13"/>
  <c r="AW350" i="13"/>
  <c r="AW501" i="13"/>
  <c r="AW666" i="13"/>
  <c r="AJ97" i="13"/>
  <c r="AW508" i="13"/>
  <c r="AW352" i="13"/>
  <c r="AW192" i="13"/>
  <c r="AW50" i="13"/>
  <c r="AW257" i="13"/>
  <c r="AW98" i="13"/>
  <c r="AW249" i="13"/>
  <c r="AW119" i="13"/>
  <c r="AW572" i="13"/>
  <c r="AW125" i="13"/>
  <c r="AW373" i="13"/>
  <c r="AW536" i="13"/>
  <c r="AW375" i="13"/>
  <c r="AW667" i="13"/>
  <c r="AK97" i="13"/>
  <c r="AS97" i="13"/>
  <c r="AT97" i="13" s="1"/>
  <c r="Q132" i="13"/>
  <c r="AI132" i="13" s="1"/>
  <c r="AV132" i="13" s="1"/>
  <c r="AN478" i="13"/>
  <c r="Q119" i="13"/>
  <c r="AI119" i="13" s="1"/>
  <c r="AV119" i="13" s="1"/>
  <c r="AN482" i="13"/>
  <c r="AM39" i="13" l="1" a="1"/>
  <c r="AM39" i="13" s="1"/>
  <c r="AM206" i="13" a="1"/>
  <c r="AM206" i="13" s="1"/>
  <c r="AM493" i="13" a="1"/>
  <c r="AM493" i="13" s="1"/>
  <c r="AM260" i="13" a="1"/>
  <c r="AM260" i="13" s="1"/>
  <c r="AM40" i="13" a="1"/>
  <c r="AM40" i="13" s="1"/>
  <c r="AM160" i="13" a="1"/>
  <c r="AM160" i="13" s="1"/>
  <c r="AM242" i="13" a="1"/>
  <c r="AM242" i="13" s="1"/>
  <c r="AM664" i="13" a="1"/>
  <c r="AM664" i="13" s="1"/>
  <c r="AM484" i="13" a="1"/>
  <c r="AM484" i="13" s="1"/>
  <c r="AM540" i="13" a="1"/>
  <c r="AM540" i="13" s="1"/>
  <c r="AM605" i="13" a="1"/>
  <c r="AM605" i="13" s="1"/>
  <c r="AM102" i="13" a="1"/>
  <c r="AM102" i="13" s="1"/>
  <c r="AM224" i="13" a="1"/>
  <c r="AM224" i="13" s="1"/>
  <c r="AM322" i="13" a="1"/>
  <c r="AM322" i="13" s="1"/>
  <c r="AM536" i="13" a="1"/>
  <c r="AM536" i="13" s="1"/>
  <c r="AM287" i="13" a="1"/>
  <c r="AM287" i="13" s="1"/>
  <c r="AM442" i="13" a="1"/>
  <c r="AM442" i="13" s="1"/>
  <c r="AM212" i="13" a="1"/>
  <c r="AM212" i="13" s="1"/>
  <c r="AM486" i="13" a="1"/>
  <c r="AM486" i="13" s="1"/>
  <c r="AM180" i="13" a="1"/>
  <c r="AM180" i="13" s="1"/>
  <c r="AM87" i="13" a="1"/>
  <c r="AM87" i="13" s="1"/>
  <c r="AM470" i="13" a="1"/>
  <c r="AM470" i="13" s="1"/>
  <c r="AM657" i="13" a="1"/>
  <c r="AM657" i="13" s="1"/>
  <c r="AM369" i="13" a="1"/>
  <c r="AM369" i="13" s="1"/>
  <c r="AM593" i="13" a="1"/>
  <c r="AM593" i="13" s="1"/>
  <c r="AM97" i="13" a="1"/>
  <c r="AM97" i="13" s="1"/>
  <c r="AM90" i="13" a="1"/>
  <c r="AM90" i="13" s="1"/>
  <c r="AM197" i="13" a="1"/>
  <c r="AM197" i="13" s="1"/>
  <c r="AM88" i="13" a="1"/>
  <c r="AM88" i="13" s="1"/>
  <c r="AM289" i="13" a="1"/>
  <c r="AM289" i="13" s="1"/>
  <c r="AM247" i="13" a="1"/>
  <c r="AM247" i="13" s="1"/>
  <c r="AM228" i="13" a="1"/>
  <c r="AM228" i="13" s="1"/>
  <c r="AM96" i="13" a="1"/>
  <c r="AM96" i="13" s="1"/>
  <c r="AM599" i="13" a="1"/>
  <c r="AM599" i="13" s="1"/>
  <c r="AM158" i="13" a="1"/>
  <c r="AM158" i="13" s="1"/>
  <c r="AM59" i="13" a="1"/>
  <c r="AM59" i="13" s="1"/>
  <c r="AN59" i="13" s="1"/>
  <c r="AM248" i="13" a="1"/>
  <c r="AM248" i="13" s="1"/>
  <c r="AM94" i="13" a="1"/>
  <c r="AM94" i="13" s="1"/>
  <c r="AM56" i="13" a="1"/>
  <c r="AM56" i="13" s="1"/>
  <c r="AM510" i="13" a="1"/>
  <c r="AM510" i="13" s="1"/>
  <c r="AM475" i="13" a="1"/>
  <c r="AM475" i="13" s="1"/>
  <c r="AM485" i="13" a="1"/>
  <c r="AM485" i="13" s="1"/>
  <c r="AM488" i="13" a="1"/>
  <c r="AM488" i="13" s="1"/>
  <c r="AM440" i="13" a="1"/>
  <c r="AM440" i="13" s="1"/>
  <c r="AM571" i="13"/>
  <c r="AN571" i="13" s="1"/>
  <c r="AM483" i="13" a="1"/>
  <c r="AM483" i="13" s="1"/>
  <c r="AM491" i="13" a="1"/>
  <c r="AM491" i="13" s="1"/>
  <c r="AM93" i="13" a="1"/>
  <c r="AM93" i="13" s="1"/>
  <c r="AM533" i="13" a="1"/>
  <c r="AM533" i="13" s="1"/>
  <c r="AM662" i="13" a="1"/>
  <c r="AM662" i="13" s="1"/>
  <c r="AM527" i="13" a="1"/>
  <c r="AM527" i="13" s="1"/>
  <c r="B65" i="25" a="1"/>
  <c r="B65" i="25" s="1"/>
  <c r="AM55" i="13" a="1"/>
  <c r="AM55" i="13" s="1"/>
  <c r="AN55" i="13" s="1"/>
  <c r="AM244" i="13" a="1"/>
  <c r="AM244" i="13" s="1"/>
  <c r="Q244" i="13" s="1"/>
  <c r="AI244" i="13" s="1"/>
  <c r="AV244" i="13" s="1"/>
  <c r="AM503" i="13" a="1"/>
  <c r="AM503" i="13" s="1"/>
  <c r="AM92" i="13" a="1"/>
  <c r="AM92" i="13" s="1"/>
  <c r="Q92" i="13" s="1"/>
  <c r="AI92" i="13" s="1"/>
  <c r="AV92" i="13" s="1"/>
  <c r="AM585" i="13" a="1"/>
  <c r="AM585" i="13" s="1"/>
  <c r="AM487" i="13" a="1"/>
  <c r="AM487" i="13" s="1"/>
  <c r="Q487" i="13" s="1"/>
  <c r="AI487" i="13" s="1"/>
  <c r="AV487" i="13" s="1"/>
  <c r="AM427" i="13" a="1"/>
  <c r="AM427" i="13" s="1"/>
  <c r="AM607" i="13" a="1"/>
  <c r="AM607" i="13" s="1"/>
  <c r="Q607" i="13" s="1"/>
  <c r="AI607" i="13" s="1"/>
  <c r="AV607" i="13" s="1"/>
  <c r="AM515" i="13" a="1"/>
  <c r="AM515" i="13" s="1"/>
  <c r="AM144" i="13" a="1"/>
  <c r="AM144" i="13" s="1"/>
  <c r="Q144" i="13" s="1"/>
  <c r="AI144" i="13" s="1"/>
  <c r="AV144" i="13" s="1"/>
  <c r="AM608" i="13" a="1"/>
  <c r="AM608" i="13" s="1"/>
  <c r="AM256" i="13" a="1"/>
  <c r="AM256" i="13" s="1"/>
  <c r="Q256" i="13" s="1"/>
  <c r="AI256" i="13" s="1"/>
  <c r="AM424" i="13" a="1"/>
  <c r="AM424" i="13" s="1"/>
  <c r="AM70" i="13" a="1"/>
  <c r="AM70" i="13" s="1"/>
  <c r="AM675" i="13" a="1"/>
  <c r="AM675" i="13" s="1"/>
  <c r="AN675" i="13" s="1"/>
  <c r="AM670" i="13" a="1"/>
  <c r="AM670" i="13" s="1"/>
  <c r="AN670" i="13" s="1"/>
  <c r="AM477" i="13" a="1"/>
  <c r="AM477" i="13" s="1"/>
  <c r="AM480" i="13" a="1"/>
  <c r="AM480" i="13" s="1"/>
  <c r="AM482" i="13" a="1"/>
  <c r="AM482" i="13" s="1"/>
  <c r="AM453" i="13" a="1"/>
  <c r="AM453" i="13" s="1"/>
  <c r="AM12" i="13" a="1"/>
  <c r="AM12" i="13" s="1"/>
  <c r="AM95" i="13" a="1"/>
  <c r="AM95" i="13" s="1"/>
  <c r="Q95" i="13" s="1"/>
  <c r="AI95" i="13" s="1"/>
  <c r="AV95" i="13" s="1"/>
  <c r="AM502" i="13" a="1"/>
  <c r="AM502" i="13" s="1"/>
  <c r="AM53" i="13" a="1"/>
  <c r="AM53" i="13" s="1"/>
  <c r="AM217" i="13" a="1"/>
  <c r="AM217" i="13" s="1"/>
  <c r="AM252" i="13" a="1"/>
  <c r="AM252" i="13" s="1"/>
  <c r="AM188" i="13" a="1"/>
  <c r="AM188" i="13" s="1"/>
  <c r="AM471" i="13" a="1"/>
  <c r="AM471" i="13" s="1"/>
  <c r="AM132" i="13" a="1"/>
  <c r="AM132" i="13" s="1"/>
  <c r="AM119" i="13" a="1"/>
  <c r="AM119" i="13" s="1"/>
  <c r="AM478" i="13" a="1"/>
  <c r="AM478" i="13" s="1"/>
  <c r="AM33" i="13" a="1"/>
  <c r="AM33" i="13" s="1"/>
  <c r="AM472" i="13" a="1"/>
  <c r="AM472" i="13" s="1"/>
  <c r="AM392" i="13" a="1"/>
  <c r="AM392" i="13" s="1"/>
  <c r="AM433" i="13" a="1"/>
  <c r="AM433" i="13" s="1"/>
  <c r="Q472" i="13" l="1"/>
  <c r="AI472" i="13" s="1"/>
  <c r="AV472" i="13" s="1"/>
  <c r="AN472" i="13"/>
  <c r="AN53" i="13"/>
  <c r="Q53" i="13"/>
  <c r="AI53" i="13" s="1"/>
  <c r="AV53" i="13" s="1"/>
  <c r="AN95" i="13"/>
  <c r="AN392" i="13"/>
  <c r="Q392" i="13"/>
  <c r="AI392" i="13" s="1"/>
  <c r="AV392" i="13" s="1"/>
  <c r="Q12" i="13"/>
  <c r="AI12" i="13" s="1"/>
  <c r="AV12" i="13" s="1"/>
  <c r="AN12" i="13"/>
  <c r="AN607" i="13"/>
  <c r="Q248" i="13"/>
  <c r="AI248" i="13" s="1"/>
  <c r="AV248" i="13" s="1"/>
  <c r="AN248" i="13"/>
  <c r="AN256" i="13"/>
  <c r="J9" i="25"/>
  <c r="AN92" i="13"/>
  <c r="AN608" i="13"/>
  <c r="Q608" i="13"/>
  <c r="AI608" i="13" s="1"/>
  <c r="AV608" i="13" s="1"/>
  <c r="Q662" i="13"/>
  <c r="AI662" i="13" s="1"/>
  <c r="AV662" i="13" s="1"/>
  <c r="AN662" i="13"/>
  <c r="Q675" i="13"/>
  <c r="AI675" i="13" s="1"/>
  <c r="AV675" i="13" s="1"/>
  <c r="Q424" i="13"/>
  <c r="AI424" i="13" s="1"/>
  <c r="AV424" i="13" s="1"/>
  <c r="AN424" i="13"/>
  <c r="AN144" i="13"/>
  <c r="AN585" i="13"/>
  <c r="Q585" i="13"/>
  <c r="AI585" i="13" s="1"/>
  <c r="AV585" i="13" s="1"/>
  <c r="AN244" i="13"/>
  <c r="Q533" i="13"/>
  <c r="AI533" i="13" s="1"/>
  <c r="AV533" i="13" s="1"/>
  <c r="AN533" i="13"/>
  <c r="Q475" i="13"/>
  <c r="AI475" i="13" s="1"/>
  <c r="AV475" i="13" s="1"/>
  <c r="AN475" i="13"/>
  <c r="AN599" i="13"/>
  <c r="Q599" i="13"/>
  <c r="AI599" i="13" s="1"/>
  <c r="AV599" i="13" s="1"/>
  <c r="Q289" i="13"/>
  <c r="AI289" i="13" s="1"/>
  <c r="AV289" i="13" s="1"/>
  <c r="AN289" i="13"/>
  <c r="AN97" i="13"/>
  <c r="Q97" i="13"/>
  <c r="AI97" i="13" s="1"/>
  <c r="AV97" i="13" s="1"/>
  <c r="AN470" i="13"/>
  <c r="Q470" i="13"/>
  <c r="AI470" i="13" s="1"/>
  <c r="AV470" i="13" s="1"/>
  <c r="AN536" i="13"/>
  <c r="Q536" i="13"/>
  <c r="AI536" i="13" s="1"/>
  <c r="AV536" i="13" s="1"/>
  <c r="Q605" i="13"/>
  <c r="AI605" i="13" s="1"/>
  <c r="AV605" i="13" s="1"/>
  <c r="AN605" i="13"/>
  <c r="AN242" i="13"/>
  <c r="Q242" i="13"/>
  <c r="AI242" i="13" s="1"/>
  <c r="AV242" i="13" s="1"/>
  <c r="Q493" i="13"/>
  <c r="AI493" i="13" s="1"/>
  <c r="AV493" i="13" s="1"/>
  <c r="AN493" i="13"/>
  <c r="AN427" i="13"/>
  <c r="Q427" i="13"/>
  <c r="AI427" i="13" s="1"/>
  <c r="AV427" i="13" s="1"/>
  <c r="Q93" i="13"/>
  <c r="AI93" i="13" s="1"/>
  <c r="AV93" i="13" s="1"/>
  <c r="AN93" i="13"/>
  <c r="AN440" i="13"/>
  <c r="Q440" i="13"/>
  <c r="AI440" i="13" s="1"/>
  <c r="AV440" i="13" s="1"/>
  <c r="AN510" i="13"/>
  <c r="Q510" i="13"/>
  <c r="AI510" i="13" s="1"/>
  <c r="AV510" i="13" s="1"/>
  <c r="Q96" i="13"/>
  <c r="AI96" i="13" s="1"/>
  <c r="AV96" i="13" s="1"/>
  <c r="AN96" i="13"/>
  <c r="Q88" i="13"/>
  <c r="AI88" i="13" s="1"/>
  <c r="AV88" i="13" s="1"/>
  <c r="AN88" i="13"/>
  <c r="Q593" i="13"/>
  <c r="AI593" i="13" s="1"/>
  <c r="AV593" i="13" s="1"/>
  <c r="AN593" i="13"/>
  <c r="AN87" i="13"/>
  <c r="Q87" i="13"/>
  <c r="AI87" i="13" s="1"/>
  <c r="AV87" i="13" s="1"/>
  <c r="Q212" i="13"/>
  <c r="AI212" i="13" s="1"/>
  <c r="AV212" i="13" s="1"/>
  <c r="AN212" i="13"/>
  <c r="Q322" i="13"/>
  <c r="AI322" i="13" s="1"/>
  <c r="AV322" i="13" s="1"/>
  <c r="AN322" i="13"/>
  <c r="Q540" i="13"/>
  <c r="AI540" i="13" s="1"/>
  <c r="AV540" i="13" s="1"/>
  <c r="AN540" i="13"/>
  <c r="AN160" i="13"/>
  <c r="Q160" i="13"/>
  <c r="AI160" i="13" s="1"/>
  <c r="AV160" i="13" s="1"/>
  <c r="AN206" i="13"/>
  <c r="Q206" i="13"/>
  <c r="AI206" i="13" s="1"/>
  <c r="AV206" i="13" s="1"/>
  <c r="Q670" i="13"/>
  <c r="AI670" i="13" s="1"/>
  <c r="AV670" i="13" s="1"/>
  <c r="AN70" i="13"/>
  <c r="Q70" i="13"/>
  <c r="AI70" i="13" s="1"/>
  <c r="AV70" i="13" s="1"/>
  <c r="AV256" i="13"/>
  <c r="AN515" i="13"/>
  <c r="Q515" i="13"/>
  <c r="AI515" i="13" s="1"/>
  <c r="AV515" i="13" s="1"/>
  <c r="AN487" i="13"/>
  <c r="Q55" i="13"/>
  <c r="AI55" i="13" s="1"/>
  <c r="AV55" i="13" s="1"/>
  <c r="Q527" i="13"/>
  <c r="AI527" i="13" s="1"/>
  <c r="AV527" i="13" s="1"/>
  <c r="AN527" i="13"/>
  <c r="AN491" i="13"/>
  <c r="Q491" i="13"/>
  <c r="AI491" i="13" s="1"/>
  <c r="AV491" i="13" s="1"/>
  <c r="Q488" i="13"/>
  <c r="AI488" i="13" s="1"/>
  <c r="AV488" i="13" s="1"/>
  <c r="AN488" i="13"/>
  <c r="Q56" i="13"/>
  <c r="AI56" i="13" s="1"/>
  <c r="AV56" i="13" s="1"/>
  <c r="AN56" i="13"/>
  <c r="Q228" i="13"/>
  <c r="AI228" i="13" s="1"/>
  <c r="AV228" i="13" s="1"/>
  <c r="AN228" i="13"/>
  <c r="Q197" i="13"/>
  <c r="AI197" i="13" s="1"/>
  <c r="AV197" i="13" s="1"/>
  <c r="AN197" i="13"/>
  <c r="AN369" i="13"/>
  <c r="Q369" i="13"/>
  <c r="AI369" i="13" s="1"/>
  <c r="AV369" i="13" s="1"/>
  <c r="AN180" i="13"/>
  <c r="Q180" i="13"/>
  <c r="AI180" i="13" s="1"/>
  <c r="AV180" i="13" s="1"/>
  <c r="AN442" i="13"/>
  <c r="Q442" i="13"/>
  <c r="AI442" i="13" s="1"/>
  <c r="AV442" i="13" s="1"/>
  <c r="Q224" i="13"/>
  <c r="AI224" i="13" s="1"/>
  <c r="AV224" i="13" s="1"/>
  <c r="AN224" i="13"/>
  <c r="AN484" i="13"/>
  <c r="Q484" i="13"/>
  <c r="AI484" i="13" s="1"/>
  <c r="AV484" i="13" s="1"/>
  <c r="AN40" i="13"/>
  <c r="Q40" i="13"/>
  <c r="AI40" i="13" s="1"/>
  <c r="AV40" i="13" s="1"/>
  <c r="Q39" i="13"/>
  <c r="AI39" i="13" s="1"/>
  <c r="AV39" i="13" s="1"/>
  <c r="AN39" i="13"/>
  <c r="AN503" i="13"/>
  <c r="Q503" i="13"/>
  <c r="AI503" i="13" s="1"/>
  <c r="AV503" i="13" s="1"/>
  <c r="Q483" i="13"/>
  <c r="AI483" i="13" s="1"/>
  <c r="AV483" i="13" s="1"/>
  <c r="AN483" i="13"/>
  <c r="AN485" i="13"/>
  <c r="Q485" i="13"/>
  <c r="AI485" i="13" s="1"/>
  <c r="AV485" i="13" s="1"/>
  <c r="Q94" i="13"/>
  <c r="AI94" i="13" s="1"/>
  <c r="AV94" i="13" s="1"/>
  <c r="AN94" i="13"/>
  <c r="AN158" i="13"/>
  <c r="Q158" i="13"/>
  <c r="AI158" i="13" s="1"/>
  <c r="AV158" i="13" s="1"/>
  <c r="AN247" i="13"/>
  <c r="Q247" i="13"/>
  <c r="AI247" i="13" s="1"/>
  <c r="AV247" i="13" s="1"/>
  <c r="AN90" i="13"/>
  <c r="Q90" i="13"/>
  <c r="AI90" i="13" s="1"/>
  <c r="AV90" i="13" s="1"/>
  <c r="Q657" i="13"/>
  <c r="AI657" i="13" s="1"/>
  <c r="AV657" i="13" s="1"/>
  <c r="AN657" i="13"/>
  <c r="AN486" i="13"/>
  <c r="Q486" i="13"/>
  <c r="AI486" i="13" s="1"/>
  <c r="AV486" i="13" s="1"/>
  <c r="AN287" i="13"/>
  <c r="Q287" i="13"/>
  <c r="AI287" i="13" s="1"/>
  <c r="AV287" i="13" s="1"/>
  <c r="AN102" i="13"/>
  <c r="Q102" i="13"/>
  <c r="AI102" i="13" s="1"/>
  <c r="AV102" i="13" s="1"/>
  <c r="AN664" i="13"/>
  <c r="Q664" i="13"/>
  <c r="AI664" i="13" s="1"/>
  <c r="AV664" i="13" s="1"/>
  <c r="Q260" i="13"/>
  <c r="AI260" i="13" s="1"/>
  <c r="AV260" i="13" s="1"/>
  <c r="AN260" i="13"/>
  <c r="Q571" i="13"/>
  <c r="AI571" i="13" s="1"/>
  <c r="AV571" i="13" s="1"/>
  <c r="L146" i="25" l="1"/>
  <c r="L150" i="25"/>
  <c r="L152" i="2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ppend1" description="Connection to the 'Append1' query in the workbook." type="5" refreshedVersion="2" background="1" saveData="1">
    <dbPr connection="Provider=Microsoft.Mashup.OleDb.1;Data Source=$Workbook$;Location=Append1;Extended Properties=&quot;&quot;" command="SELECT * FROM [Append1]"/>
  </connection>
  <connection id="2" xr16:uid="{00000000-0015-0000-FFFF-FFFF01000000}" name="Query - LS" description="Connection to the 'LS' query in the workbook." type="5" refreshedVersion="2" background="1" saveData="1">
    <dbPr connection="Provider=Microsoft.Mashup.OleDb.1;Data Source=$Workbook$;Location=LS;Extended Properties=&quot;&quot;" command="SELECT * FROM [LS]"/>
  </connection>
  <connection id="3" xr16:uid="{00000000-0015-0000-FFFF-FFFF02000000}" name="Query - Portal" description="Connection to the 'Portal' query in the workbook." type="5" refreshedVersion="2" background="1" saveData="1">
    <dbPr connection="Provider=Microsoft.Mashup.OleDb.1;Data Source=$Workbook$;Location=Portal;Extended Properties=&quot;&quot;" command="SELECT * FROM [Portal]"/>
  </connection>
  <connection id="4" xr16:uid="{00000000-0015-0000-FFFF-FFFF03000000}" name="Query - SIP" description="Connection to the 'SIP' query in the workbook." type="5" refreshedVersion="2" background="1" saveData="1">
    <dbPr connection="Provider=Microsoft.Mashup.OleDb.1;Data Source=$Workbook$;Location=SIP;Extended Properties=&quot;&quot;" command="SELECT * FROM [SIP]"/>
  </connection>
  <connection id="5" xr16:uid="{00000000-0015-0000-FFFF-FFFF04000000}" name="Query - Table 0" description="Connection to the 'Table 0' query in the workbook." type="5" refreshedVersion="2" background="1" saveData="1">
    <dbPr connection="Provider=Microsoft.Mashup.OleDb.1;Data Source=$Workbook$;Location=&quot;Table 0&quot;;Extended Properties=&quot;&quot;" command="SELECT * FROM [Table 0]"/>
  </connection>
  <connection id="6" xr16:uid="{00000000-0015-0000-FFFF-FFFF05000000}" name="Query - TAX_C" description="Connection to the 'TAX_C' query in the workbook." type="5" refreshedVersion="2" background="1" saveData="1">
    <dbPr connection="Provider=Microsoft.Mashup.OleDb.1;Data Source=$Workbook$;Location=TAX_C;Extended Properties=&quot;&quot;" command="SELECT * FROM [TAX_C]"/>
  </connection>
  <connection id="7" xr16:uid="{00000000-0015-0000-FFFF-FFFF06000000}" name="Query - TEMP" description="Connection to the 'TEMP' query in the workbook." type="5" refreshedVersion="2" background="1" saveData="1">
    <dbPr connection="Provider=Microsoft.Mashup.OleDb.1;Data Source=$Workbook$;Location=TEMP;Extended Properties=&quot;&quot;" command="SELECT * FROM [TEMP]"/>
  </connection>
  <connection id="8" xr16:uid="{00000000-0015-0000-FFFF-FFFF07000000}" name="WorksheetConnection_2021.10.21 INVESTORS'.xlsx!DivAndTax" type="5" refreshedVersion="2" saveData="1">
    <dbPr connection="" command=""/>
  </connection>
  <connection id="9" xr16:uid="{00000000-0015-0000-FFFF-FFFF08000000}" name="WorksheetConnection_2021.10.21 INVESTORS'.xlsx!LS" type="5" refreshedVersion="2" saveData="1">
    <dbPr connection="" command=""/>
  </connection>
  <connection id="10" xr16:uid="{00000000-0015-0000-FFFF-FFFF09000000}" name="WorksheetConnection_2021.10.21 INVESTORS'.xlsx!SIP" type="5" refreshedVersion="2" saveData="1">
    <dbPr connection="" command="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<sst xmlns="http://schemas.openxmlformats.org/spreadsheetml/2006/main" count="10560" uniqueCount="1576">
  <si>
    <t>INVESTOR NAME</t>
  </si>
  <si>
    <t>INVESTOR CODE</t>
  </si>
  <si>
    <t>Title</t>
  </si>
  <si>
    <t>TYPE OF INVESTOR</t>
  </si>
  <si>
    <t>LS_TOTAL UNITS BUY</t>
  </si>
  <si>
    <t>LS_TOTAL UNITS SOLD</t>
  </si>
  <si>
    <t>LS_TOTAL CURRENT UNITS</t>
  </si>
  <si>
    <t>LS_TOTAL COST VALUE</t>
  </si>
  <si>
    <t>LS_TOTAL COST OF UNITS SOLD</t>
  </si>
  <si>
    <t>LS_TOTAL COST VALUE OF CURRENT UNITS</t>
  </si>
  <si>
    <t>LS_TOTAL REALIZED GAIN</t>
  </si>
  <si>
    <t>SIP_TOTAL UNITS BUY</t>
  </si>
  <si>
    <t>SIP_TOTAL UNITS SOLD</t>
  </si>
  <si>
    <t>SIP_TOTAL CURRENT UNITS</t>
  </si>
  <si>
    <t>SIP_TOTAL COST VALUE</t>
  </si>
  <si>
    <t>SIP_TOTAL COST OF UNITS SOLD</t>
  </si>
  <si>
    <t>SIP_TOTAL COST VALUE OF CURRENT UNITS</t>
  </si>
  <si>
    <t>SIP_TOTAL REALIZED GAIN</t>
  </si>
  <si>
    <t>TOTAL UNITS BUY</t>
  </si>
  <si>
    <t>TOTAL UNITS SOLD</t>
  </si>
  <si>
    <t>BO OPENING BALANCE</t>
  </si>
  <si>
    <t>BO LS UNITS SELL</t>
  </si>
  <si>
    <t>BO SIP UNITS SELL</t>
  </si>
  <si>
    <t>BO LS UNITS REPURCHASE</t>
  </si>
  <si>
    <t>BO SIP UNITS REPURCHASE</t>
  </si>
  <si>
    <t>BO UNITS HOLD</t>
  </si>
  <si>
    <t>TOTAL CURRENT UNITS</t>
  </si>
  <si>
    <t>TOTAL COST VALUE OF CURRENT INVESTMENT</t>
  </si>
  <si>
    <t>LS_WEIGHT</t>
  </si>
  <si>
    <t>SIP_WEIGHT</t>
  </si>
  <si>
    <t>LS_AVERAGE COST</t>
  </si>
  <si>
    <t>SIP_AVERAGE COST</t>
  </si>
  <si>
    <t>AVERAGE COST</t>
  </si>
  <si>
    <t>NAV</t>
  </si>
  <si>
    <t>TOTAL MARKET VALUE</t>
  </si>
  <si>
    <t>LS_TOTAL MARKET VALUE</t>
  </si>
  <si>
    <t>SIP_TOTAL MARKET VALUE</t>
  </si>
  <si>
    <t>TOTAL SELLABLE UNITS</t>
  </si>
  <si>
    <t>MARKET VALUE OF SELLABLE UNITS</t>
  </si>
  <si>
    <t>TOTAL REALIZED GAIN</t>
  </si>
  <si>
    <t>TOTAL UNREALIZED GAIN</t>
  </si>
  <si>
    <t>% of Units Hold</t>
  </si>
  <si>
    <t>HARI PADA SAHA</t>
  </si>
  <si>
    <t>A00002</t>
  </si>
  <si>
    <t>Dear Mr.</t>
  </si>
  <si>
    <t>Individual</t>
  </si>
  <si>
    <t>EKUSH WEALTH MANAGEMENT LIMITED</t>
  </si>
  <si>
    <t>A00003</t>
  </si>
  <si>
    <t>Dear</t>
  </si>
  <si>
    <t>Company/Organization</t>
  </si>
  <si>
    <t>SADIA AHMED</t>
  </si>
  <si>
    <t>A00004</t>
  </si>
  <si>
    <t>Dear Mrs.</t>
  </si>
  <si>
    <t>MORSHEDA MIM</t>
  </si>
  <si>
    <t>A00005</t>
  </si>
  <si>
    <t>MD. JAHANGIR ALAM</t>
  </si>
  <si>
    <t>A00006</t>
  </si>
  <si>
    <t>BISWAS ARIFUR RAHMAN</t>
  </si>
  <si>
    <t>A00007</t>
  </si>
  <si>
    <t>JEWEL SAHA</t>
  </si>
  <si>
    <t>A00008</t>
  </si>
  <si>
    <t>SHIBBIR AHMED</t>
  </si>
  <si>
    <t>A00009</t>
  </si>
  <si>
    <t>SHYAMAL KRISHNA SAHA</t>
  </si>
  <si>
    <t>A00010</t>
  </si>
  <si>
    <t>NASRIN AKHTER</t>
  </si>
  <si>
    <t>A00011</t>
  </si>
  <si>
    <t>Dear Ms.</t>
  </si>
  <si>
    <t>MRINMOY GHOSH</t>
  </si>
  <si>
    <t>A00012</t>
  </si>
  <si>
    <t>MOHAMMAD NAZMUL HOSSAIN</t>
  </si>
  <si>
    <t>A00013</t>
  </si>
  <si>
    <t>ANJANA SAHA</t>
  </si>
  <si>
    <t>A00014</t>
  </si>
  <si>
    <t>ABDUL HAI BHUYAN</t>
  </si>
  <si>
    <t>A00015</t>
  </si>
  <si>
    <t>ALI IMAM</t>
  </si>
  <si>
    <t>A00016</t>
  </si>
  <si>
    <t>UCIL EMPLOYEES' PROVIDENT FUND</t>
  </si>
  <si>
    <t>A00017</t>
  </si>
  <si>
    <t>Providend Fund</t>
  </si>
  <si>
    <t>MD. ZAKIR HOSSEN</t>
  </si>
  <si>
    <t>A00018</t>
  </si>
  <si>
    <t>TANIZA MAZED</t>
  </si>
  <si>
    <t>A00019</t>
  </si>
  <si>
    <t>MRIDUL KUMAR DEY</t>
  </si>
  <si>
    <t>A00020</t>
  </si>
  <si>
    <t>MAMUNUR RASHID</t>
  </si>
  <si>
    <t>A00021</t>
  </si>
  <si>
    <t>MINHAJ UDDIN</t>
  </si>
  <si>
    <t>A00022</t>
  </si>
  <si>
    <t>CRAB EMPLOYEES PROVIDENT FUND</t>
  </si>
  <si>
    <t>A00023</t>
  </si>
  <si>
    <t>CRAB EMPLOYEES GRATUITY FUND</t>
  </si>
  <si>
    <t>A00024</t>
  </si>
  <si>
    <t>Gratuity Fund</t>
  </si>
  <si>
    <t>MD. BADI-UZ-ZAMAN</t>
  </si>
  <si>
    <t>A00025</t>
  </si>
  <si>
    <t>FAHMIDA HAQUE</t>
  </si>
  <si>
    <t>A00026</t>
  </si>
  <si>
    <t>MD. SHAHIDUL ISLAM</t>
  </si>
  <si>
    <t>A00027</t>
  </si>
  <si>
    <t>PRATIMA DEV</t>
  </si>
  <si>
    <t>A00028</t>
  </si>
  <si>
    <t>NUR HAIDAR SARKER</t>
  </si>
  <si>
    <t>A00029</t>
  </si>
  <si>
    <t>UNICAP SECURITIES LIMITED</t>
  </si>
  <si>
    <t>A00030</t>
  </si>
  <si>
    <t>ICB ASSET MANAGEMENT COMPANY LIMITED</t>
  </si>
  <si>
    <t>A00031</t>
  </si>
  <si>
    <t>TANVIR AHMED SIDDIQUI</t>
  </si>
  <si>
    <t>A00032</t>
  </si>
  <si>
    <t>MOHAMMED SELIM</t>
  </si>
  <si>
    <t>A00033</t>
  </si>
  <si>
    <t>MD. MOMINUL HOQUE</t>
  </si>
  <si>
    <t>A00034</t>
  </si>
  <si>
    <t>EHTESHAMUL HAQUE</t>
  </si>
  <si>
    <t>A00035</t>
  </si>
  <si>
    <t>SAYEDA SALAHUDDIN</t>
  </si>
  <si>
    <t>A00036</t>
  </si>
  <si>
    <t>SHAILA SALAHUDDIN</t>
  </si>
  <si>
    <t>A00037</t>
  </si>
  <si>
    <t>M. AMIRULLAH</t>
  </si>
  <si>
    <t>A00038</t>
  </si>
  <si>
    <t>MONIR AHMED</t>
  </si>
  <si>
    <t>A00039</t>
  </si>
  <si>
    <t>MD. SHIFUL ISLAM</t>
  </si>
  <si>
    <t>A00040</t>
  </si>
  <si>
    <t>RAJIB ROY</t>
  </si>
  <si>
    <t>A00041</t>
  </si>
  <si>
    <t>ASIAN TIGER SANDHANI LIFE GROWTH FUND</t>
  </si>
  <si>
    <t>A00042</t>
  </si>
  <si>
    <t>Mutual Fund</t>
  </si>
  <si>
    <t>UCB STOCK BROKERAGE LIMITED</t>
  </si>
  <si>
    <t>A00043</t>
  </si>
  <si>
    <t>M A QUAYOOM</t>
  </si>
  <si>
    <t>A00044</t>
  </si>
  <si>
    <t>AROORA SAMEERA CHOWDHURY</t>
  </si>
  <si>
    <t>A00045</t>
  </si>
  <si>
    <t>ABACI INVESTMENTS LIMITED</t>
  </si>
  <si>
    <t>A00046</t>
  </si>
  <si>
    <t>NATIONAL BANK LTD</t>
  </si>
  <si>
    <t>A00047</t>
  </si>
  <si>
    <t>MD. SAJEDUL HUDA NOVEL</t>
  </si>
  <si>
    <t>A00048</t>
  </si>
  <si>
    <t>PHOENIX INSURANCE CO. LTD. EMPL. P.F.</t>
  </si>
  <si>
    <t>A00049</t>
  </si>
  <si>
    <t>CAPITEC POPULAR LIFE UNIT FUND</t>
  </si>
  <si>
    <t>A00050</t>
  </si>
  <si>
    <t>SATCOM IT LTD. PROVIDENT FUND</t>
  </si>
  <si>
    <t>A00051</t>
  </si>
  <si>
    <t>FARDINA HAFIZ</t>
  </si>
  <si>
    <t>A00052</t>
  </si>
  <si>
    <t>SHUVA SAHA</t>
  </si>
  <si>
    <t>A00053</t>
  </si>
  <si>
    <t>QAZI MUSADDEQ AHMAD</t>
  </si>
  <si>
    <t>A00054</t>
  </si>
  <si>
    <t>KAZI AHSAN MARUF</t>
  </si>
  <si>
    <t>A00055</t>
  </si>
  <si>
    <t>MD. OMAR FARUQUE Al QUADERI</t>
  </si>
  <si>
    <t>A00056</t>
  </si>
  <si>
    <t>H M JAHID HASSAN</t>
  </si>
  <si>
    <t>A00057</t>
  </si>
  <si>
    <t>MD. ATIQUR RAHMAN</t>
  </si>
  <si>
    <t>A00058</t>
  </si>
  <si>
    <t>SYED FAZLE RABBY</t>
  </si>
  <si>
    <t>A00059</t>
  </si>
  <si>
    <t>KANKA SAHA</t>
  </si>
  <si>
    <t>A00060</t>
  </si>
  <si>
    <t>MD EMDAD HOSSAIN</t>
  </si>
  <si>
    <t>A00061</t>
  </si>
  <si>
    <t>ASIF AHMED</t>
  </si>
  <si>
    <t>A00062</t>
  </si>
  <si>
    <t>MOHAMMAD MONJUR ALAM</t>
  </si>
  <si>
    <t>A00063</t>
  </si>
  <si>
    <t>AHMAD ZAHID ZAKI</t>
  </si>
  <si>
    <t>A00064</t>
  </si>
  <si>
    <t>REAZ UDDIN AHMED</t>
  </si>
  <si>
    <t>A00065</t>
  </si>
  <si>
    <t>SUJAN BARUA</t>
  </si>
  <si>
    <t>A00066</t>
  </si>
  <si>
    <t>SANJEEDA SARMIN BADHAN</t>
  </si>
  <si>
    <t>A00067</t>
  </si>
  <si>
    <t>PHOENIX INSURANCE CO. LTD.</t>
  </si>
  <si>
    <t>A00068</t>
  </si>
  <si>
    <t>UNICAP INVESTMENTS LIMITED</t>
  </si>
  <si>
    <t>A00069</t>
  </si>
  <si>
    <t>BABITA RANI BARMAN</t>
  </si>
  <si>
    <t>A00070</t>
  </si>
  <si>
    <t>MD. GIAS UDDIN</t>
  </si>
  <si>
    <t>A00071</t>
  </si>
  <si>
    <t>MD. SHAIFUL AZAM</t>
  </si>
  <si>
    <t>A00072</t>
  </si>
  <si>
    <t>BILKISS ARA</t>
  </si>
  <si>
    <t>A00073</t>
  </si>
  <si>
    <t>ASHIT BARAN SAHA</t>
  </si>
  <si>
    <t>A00074</t>
  </si>
  <si>
    <t>RELIANCE INSURANCE lIMITED</t>
  </si>
  <si>
    <t>A00075</t>
  </si>
  <si>
    <t>MOHAMMAD SAYDUZZAMAN</t>
  </si>
  <si>
    <t>A00076</t>
  </si>
  <si>
    <t>JHARNA RANI SAHA</t>
  </si>
  <si>
    <t>A00077</t>
  </si>
  <si>
    <t>RAHNUMA SULTANA</t>
  </si>
  <si>
    <t>A00078</t>
  </si>
  <si>
    <t>RABEYA JAHAN SOAD</t>
  </si>
  <si>
    <t>A00079</t>
  </si>
  <si>
    <t>SAKIN AMIN KHAN</t>
  </si>
  <si>
    <t>A00080</t>
  </si>
  <si>
    <t>COMMUNITY BANK BANGLADESH LIMITED</t>
  </si>
  <si>
    <t>A00081</t>
  </si>
  <si>
    <t>MD. KAMRUZZAMAN</t>
  </si>
  <si>
    <t>A00082</t>
  </si>
  <si>
    <t>LILY RANI PAUL</t>
  </si>
  <si>
    <t>A00083</t>
  </si>
  <si>
    <t>IFTEKHAR ALAM</t>
  </si>
  <si>
    <t>A00084</t>
  </si>
  <si>
    <t>MOHAMMAD SHAHJAHAN</t>
  </si>
  <si>
    <t>A00085</t>
  </si>
  <si>
    <t>KHAN SALAHUDDIN MOHAMMAD MINHAJ</t>
  </si>
  <si>
    <t>A00086</t>
  </si>
  <si>
    <t>MD. ARIFUL ISLAM</t>
  </si>
  <si>
    <t>A00087</t>
  </si>
  <si>
    <t>MAYA RANI SAHA</t>
  </si>
  <si>
    <t>A00088</t>
  </si>
  <si>
    <t>NARGISH JAHAN</t>
  </si>
  <si>
    <t>A00089</t>
  </si>
  <si>
    <t>FAKARUDDIN ALI AHMED</t>
  </si>
  <si>
    <t>A00090</t>
  </si>
  <si>
    <t>JNANDIP PAUL</t>
  </si>
  <si>
    <t>A00091</t>
  </si>
  <si>
    <t>NANI GOPAL DATTA</t>
  </si>
  <si>
    <t>A00092</t>
  </si>
  <si>
    <t>SWADESH RANJAN SAHA</t>
  </si>
  <si>
    <t>A00093</t>
  </si>
  <si>
    <t>SYED ADNAN HUDA</t>
  </si>
  <si>
    <t>A00094</t>
  </si>
  <si>
    <t>CHAONIKA SAHA</t>
  </si>
  <si>
    <t>A00095</t>
  </si>
  <si>
    <t>SK FEROZ ALAM</t>
  </si>
  <si>
    <t>A00096</t>
  </si>
  <si>
    <t>NANDINI SAHA</t>
  </si>
  <si>
    <t>A00097</t>
  </si>
  <si>
    <t>SHANJIDA SULTANA</t>
  </si>
  <si>
    <t>A00098</t>
  </si>
  <si>
    <t>SHAMSUZZAMAN</t>
  </si>
  <si>
    <t>A00099</t>
  </si>
  <si>
    <t>KAMRUL MOMIN</t>
  </si>
  <si>
    <t>A00100</t>
  </si>
  <si>
    <t>MD RAFIQUL ISLAM KHAN</t>
  </si>
  <si>
    <t>A00101</t>
  </si>
  <si>
    <t>ADNAN RASHID</t>
  </si>
  <si>
    <t>A00102</t>
  </si>
  <si>
    <t>MD. MESBAH UDDIN KHAN</t>
  </si>
  <si>
    <t>A00103</t>
  </si>
  <si>
    <t>NASIR UDDIN BABU</t>
  </si>
  <si>
    <t>A00104</t>
  </si>
  <si>
    <t>RIZIA SULTANA AND MOFAZZAL MAMUN KHAN</t>
  </si>
  <si>
    <t>A00105</t>
  </si>
  <si>
    <t>SYED REZWANUL HUQ</t>
  </si>
  <si>
    <t>A00106</t>
  </si>
  <si>
    <t>NAZMUL AHSAN</t>
  </si>
  <si>
    <t>A00107</t>
  </si>
  <si>
    <t>NABADIP ROY</t>
  </si>
  <si>
    <t>A00108</t>
  </si>
  <si>
    <t>RAHNUMA SANJANA</t>
  </si>
  <si>
    <t>A00109</t>
  </si>
  <si>
    <t>MD. NABIL BARKET</t>
  </si>
  <si>
    <t>A00110</t>
  </si>
  <si>
    <t>RASEDUL ISLAM</t>
  </si>
  <si>
    <t>A00111</t>
  </si>
  <si>
    <t>MOHAMMED HAFIZ UDDIN</t>
  </si>
  <si>
    <t>A00112</t>
  </si>
  <si>
    <t>MD. MONIRUZZAMAN</t>
  </si>
  <si>
    <t>A00113</t>
  </si>
  <si>
    <t>S.M. FERDAUS HOSSAIN</t>
  </si>
  <si>
    <t>A00114</t>
  </si>
  <si>
    <t>ARIFUR RAHMAN</t>
  </si>
  <si>
    <t>A00115</t>
  </si>
  <si>
    <t>N M AL HOSSAIN</t>
  </si>
  <si>
    <t>A00116</t>
  </si>
  <si>
    <t>MOHAMMAD SAIFUDDOWLA</t>
  </si>
  <si>
    <t>A00117</t>
  </si>
  <si>
    <t>MD ABDUL AZIZ</t>
  </si>
  <si>
    <t>A00118</t>
  </si>
  <si>
    <t>AKASH DEEP PAUL</t>
  </si>
  <si>
    <t>A00119</t>
  </si>
  <si>
    <t>SUHAIEB CHOWDHURY</t>
  </si>
  <si>
    <t>A00120</t>
  </si>
  <si>
    <t>MUQIT-AL RAHMAN</t>
  </si>
  <si>
    <t>A00121</t>
  </si>
  <si>
    <t>YASIR MD FAZLE AMIN</t>
  </si>
  <si>
    <t>A00122</t>
  </si>
  <si>
    <t>MD. SAIFUR RAHMAN</t>
  </si>
  <si>
    <t>A00123</t>
  </si>
  <si>
    <t>MD. EMDAD HOSSAIN</t>
  </si>
  <si>
    <t>A00124</t>
  </si>
  <si>
    <t>SHAHRIAR MAHMOOD</t>
  </si>
  <si>
    <t>A00125</t>
  </si>
  <si>
    <t>SHAHIDA NAHRIN BUBLY</t>
  </si>
  <si>
    <t>A00126</t>
  </si>
  <si>
    <t>MD. ZAHID HOSSAIN</t>
  </si>
  <si>
    <t>A00127</t>
  </si>
  <si>
    <t>IFTAKHAR AHMED</t>
  </si>
  <si>
    <t>A00128</t>
  </si>
  <si>
    <t>RAFIKUL HASAN</t>
  </si>
  <si>
    <t>A00129</t>
  </si>
  <si>
    <t>ABDULLAH AL MAMUN</t>
  </si>
  <si>
    <t>A00130</t>
  </si>
  <si>
    <t>ARZUN KUMAR SARKAR</t>
  </si>
  <si>
    <t>A00131</t>
  </si>
  <si>
    <t>MOHAMMED ALI XAHANGIR</t>
  </si>
  <si>
    <t>A00132</t>
  </si>
  <si>
    <t>FAHMIDA KHAN</t>
  </si>
  <si>
    <t>A00133</t>
  </si>
  <si>
    <t>ARKO SAHA</t>
  </si>
  <si>
    <t>A00134</t>
  </si>
  <si>
    <t>HARUN IBNE HOQUE</t>
  </si>
  <si>
    <t>A00135</t>
  </si>
  <si>
    <t>MOHAMMAD MOHIBUL ISLAM</t>
  </si>
  <si>
    <t>A00136</t>
  </si>
  <si>
    <t>RAJIB CHOWDHURY</t>
  </si>
  <si>
    <t>A00137</t>
  </si>
  <si>
    <t>ASMA UL HUSNA</t>
  </si>
  <si>
    <t>A00138</t>
  </si>
  <si>
    <t>MOHAMMAD JASIM UDDIN</t>
  </si>
  <si>
    <t>A00139</t>
  </si>
  <si>
    <t>SULTANA AFCHANA AFRIN</t>
  </si>
  <si>
    <t>A00140</t>
  </si>
  <si>
    <t>MD MINHAZUL AZIZ</t>
  </si>
  <si>
    <t>A00141</t>
  </si>
  <si>
    <t>MOHAMMAD NASIR HOSSAIN</t>
  </si>
  <si>
    <t>A00142</t>
  </si>
  <si>
    <t>MUHAMMAD TAREQ YUSUF</t>
  </si>
  <si>
    <t>A00143</t>
  </si>
  <si>
    <t>MD MIZANUR RAHMAN</t>
  </si>
  <si>
    <t>A00144</t>
  </si>
  <si>
    <t>ASHUTOSH TALUKDER</t>
  </si>
  <si>
    <t>A00145</t>
  </si>
  <si>
    <t>MD. TAREQ IBRAHIM</t>
  </si>
  <si>
    <t>A00146</t>
  </si>
  <si>
    <t>CWT EMERGING BD FIRST GROWTH FUND</t>
  </si>
  <si>
    <t>A00147</t>
  </si>
  <si>
    <t>LITON KUMAR BANIK</t>
  </si>
  <si>
    <t>A00148</t>
  </si>
  <si>
    <t>ASHISH KUMAR GHOSH</t>
  </si>
  <si>
    <t>A00149</t>
  </si>
  <si>
    <t>SATINATH GHOSH</t>
  </si>
  <si>
    <t>A00150</t>
  </si>
  <si>
    <t>JANATA BANK LIMITED</t>
  </si>
  <si>
    <t>A00151</t>
  </si>
  <si>
    <t>ANISUL HAQUE</t>
  </si>
  <si>
    <t>A00152</t>
  </si>
  <si>
    <t>EDGE BANGLADESH MUTUAL FUND</t>
  </si>
  <si>
    <t>A00153</t>
  </si>
  <si>
    <t>EDGE AMC GROWTH FUND</t>
  </si>
  <si>
    <t>A00154</t>
  </si>
  <si>
    <t>SHAHRIN ANWAR</t>
  </si>
  <si>
    <t>A00155</t>
  </si>
  <si>
    <t>MD. MANAZIR KABIR</t>
  </si>
  <si>
    <t>A00156</t>
  </si>
  <si>
    <t>RAFIQUL ANOWAR</t>
  </si>
  <si>
    <t>A00157</t>
  </si>
  <si>
    <t>AMIT KANTI SARKER</t>
  </si>
  <si>
    <t>A00158</t>
  </si>
  <si>
    <t>ABU NAYEEM MOHAMMAD MAHFUZ</t>
  </si>
  <si>
    <t>A00159</t>
  </si>
  <si>
    <t>FAIYEAD AHMEDUL HYE</t>
  </si>
  <si>
    <t>A00160</t>
  </si>
  <si>
    <t>MUMINUL ALAM</t>
  </si>
  <si>
    <t>A00161</t>
  </si>
  <si>
    <t>MOHAMMAD ALAUDDIN</t>
  </si>
  <si>
    <t>A00162</t>
  </si>
  <si>
    <t>ISTIAK AHMED PROBAL</t>
  </si>
  <si>
    <t>A00163</t>
  </si>
  <si>
    <t>MD MAHDI HASAN</t>
  </si>
  <si>
    <t>A00164</t>
  </si>
  <si>
    <t>MD TOFIQUL ISLAM CHOWDHURY</t>
  </si>
  <si>
    <t>A00165</t>
  </si>
  <si>
    <t>SUMAN KUMAR KUNDU</t>
  </si>
  <si>
    <t>A00166</t>
  </si>
  <si>
    <t>REAZUL HAQUE</t>
  </si>
  <si>
    <t>A00167</t>
  </si>
  <si>
    <t>TRIPTI BARUA</t>
  </si>
  <si>
    <t>A00168</t>
  </si>
  <si>
    <t>Dear Miss</t>
  </si>
  <si>
    <t>AL MAMUN</t>
  </si>
  <si>
    <t>A00169</t>
  </si>
  <si>
    <t>SAILA SATTER</t>
  </si>
  <si>
    <t>A00170</t>
  </si>
  <si>
    <t>MOHAMMAD ABDUL HANNAN</t>
  </si>
  <si>
    <t>A00171</t>
  </si>
  <si>
    <t>PHOENIX FINANCE &amp; INVESTMENTS LTD</t>
  </si>
  <si>
    <t>A00172</t>
  </si>
  <si>
    <t>MADHURI KUNDU</t>
  </si>
  <si>
    <t>A00173</t>
  </si>
  <si>
    <t>EVANA YEASMIN</t>
  </si>
  <si>
    <t>A00174</t>
  </si>
  <si>
    <t>FAHIM AHASAN CHOUDHURY</t>
  </si>
  <si>
    <t>A00175</t>
  </si>
  <si>
    <t>SHAHARIAR ALAM</t>
  </si>
  <si>
    <t>A00176</t>
  </si>
  <si>
    <t>MANABENDRA KUMAR DAS</t>
  </si>
  <si>
    <t>A00177</t>
  </si>
  <si>
    <t>KHANDAKER MAHAMADUR AZAD</t>
  </si>
  <si>
    <t>A00178</t>
  </si>
  <si>
    <t>FAZLE RABBI PATHAN</t>
  </si>
  <si>
    <t>A00179</t>
  </si>
  <si>
    <t>SABRIA ISLAM TALUKDER</t>
  </si>
  <si>
    <t>A00180</t>
  </si>
  <si>
    <t>KABIR AHMED TALUKDER</t>
  </si>
  <si>
    <t>A00181</t>
  </si>
  <si>
    <t>MOHAMMAD ENAMUR RAHMAN</t>
  </si>
  <si>
    <t>A00182</t>
  </si>
  <si>
    <t>RAIHAN RASHID MAJUMDAR</t>
  </si>
  <si>
    <t>A00183</t>
  </si>
  <si>
    <t>RABITA RASHID MAJUMDER</t>
  </si>
  <si>
    <t>A00184</t>
  </si>
  <si>
    <t>REZWAN UR RASHID MAJUMDAR</t>
  </si>
  <si>
    <t>A00185</t>
  </si>
  <si>
    <t>KAZI MD. ANISUR RAHMAN</t>
  </si>
  <si>
    <t>A00186</t>
  </si>
  <si>
    <t>SHIHAB MAHMUD</t>
  </si>
  <si>
    <t>A00187</t>
  </si>
  <si>
    <t>FARUK-E AZAM BIN HAIDER</t>
  </si>
  <si>
    <t>A00188</t>
  </si>
  <si>
    <t>MD KAMRUL ISLAM</t>
  </si>
  <si>
    <t>A00189</t>
  </si>
  <si>
    <t>KAMRUL HASAN MAHMUD</t>
  </si>
  <si>
    <t>A00190</t>
  </si>
  <si>
    <t>MD. ALAMGIR HOSSAIN</t>
  </si>
  <si>
    <t>A00191</t>
  </si>
  <si>
    <t>MD. SAJID SAADAT ALI</t>
  </si>
  <si>
    <t>A00192</t>
  </si>
  <si>
    <t>LUNA AKTHER</t>
  </si>
  <si>
    <t>A00193</t>
  </si>
  <si>
    <t>HASIB MUSTABSIR</t>
  </si>
  <si>
    <t>A00194</t>
  </si>
  <si>
    <t>MD. HARUN OR RASHID</t>
  </si>
  <si>
    <t>A00195</t>
  </si>
  <si>
    <t>MUHAMMAD TANVIR ARAFAT</t>
  </si>
  <si>
    <t>A00196</t>
  </si>
  <si>
    <t>MD. WALI ULLAH</t>
  </si>
  <si>
    <t>A00197</t>
  </si>
  <si>
    <t>MD. NIAZ MURSHED</t>
  </si>
  <si>
    <t>A00198</t>
  </si>
  <si>
    <t>DBH EMPLOYEES GRATUITY FUND</t>
  </si>
  <si>
    <t>A00199</t>
  </si>
  <si>
    <t>JOHORA KHATUN</t>
  </si>
  <si>
    <t>A00200</t>
  </si>
  <si>
    <t>MAHMUD ALI ALAMGIR</t>
  </si>
  <si>
    <t>A00201</t>
  </si>
  <si>
    <t>MOHAMMAD MARUFUR RAHMAN SIKDER</t>
  </si>
  <si>
    <t>A00202</t>
  </si>
  <si>
    <t>REZIA RAHMAT</t>
  </si>
  <si>
    <t>A00203</t>
  </si>
  <si>
    <t>MUNTASIR HASAN</t>
  </si>
  <si>
    <t>A00204</t>
  </si>
  <si>
    <t>NAZNIN AKTER</t>
  </si>
  <si>
    <t>A00205</t>
  </si>
  <si>
    <t>SAJJAD CHOWDHURY</t>
  </si>
  <si>
    <t>A00206</t>
  </si>
  <si>
    <t>RAKIBUL ISLAM</t>
  </si>
  <si>
    <t>A00207</t>
  </si>
  <si>
    <t>ZUBAYER SARWAR</t>
  </si>
  <si>
    <t>A00208</t>
  </si>
  <si>
    <t>CHOWDHURY MD. RAIYAN ALAM</t>
  </si>
  <si>
    <t>A00209</t>
  </si>
  <si>
    <t>FARUQUE AHMED &amp; ZAHEDA BEGUM HENA</t>
  </si>
  <si>
    <t>A00210</t>
  </si>
  <si>
    <t>MOHAMMAD HABIB RASHID</t>
  </si>
  <si>
    <t>A00211</t>
  </si>
  <si>
    <t>MAHFUZUL ISLAM</t>
  </si>
  <si>
    <t>A00212</t>
  </si>
  <si>
    <t>FARHANA AKHTER</t>
  </si>
  <si>
    <t>A00213</t>
  </si>
  <si>
    <t>NOOR AL-RAFI</t>
  </si>
  <si>
    <t>A00214</t>
  </si>
  <si>
    <t>K.M SAKIB AHMED</t>
  </si>
  <si>
    <t>A00215</t>
  </si>
  <si>
    <t>SK FEROZ ALAM &amp; MD BULBUL ISLAM</t>
  </si>
  <si>
    <t>A00216</t>
  </si>
  <si>
    <t>TAPU GUHA</t>
  </si>
  <si>
    <t>A00217</t>
  </si>
  <si>
    <t>MOHAMMAD SAMIR UDDIN</t>
  </si>
  <si>
    <t>A00218</t>
  </si>
  <si>
    <t>K M ROHAN AHMED</t>
  </si>
  <si>
    <t>A00219</t>
  </si>
  <si>
    <t>ANWAR ZAHID</t>
  </si>
  <si>
    <t>A00220</t>
  </si>
  <si>
    <t>TAHMID HASAN</t>
  </si>
  <si>
    <t>A00221</t>
  </si>
  <si>
    <t>MIDLAND BANK LIMITED</t>
  </si>
  <si>
    <t>A00222</t>
  </si>
  <si>
    <t>MOHAMMAD AKIB NAWAZ</t>
  </si>
  <si>
    <t>A00223</t>
  </si>
  <si>
    <t>BIJOY CHANDRA DAS</t>
  </si>
  <si>
    <t>A00224</t>
  </si>
  <si>
    <t>RAIS-UR-RUBBI</t>
  </si>
  <si>
    <t>A00225</t>
  </si>
  <si>
    <t>FATEMA-TUZ JOHURA NILA</t>
  </si>
  <si>
    <t>A00226</t>
  </si>
  <si>
    <t>GREEN DELTA SECURITIES LIMITED</t>
  </si>
  <si>
    <t>A00227</t>
  </si>
  <si>
    <t>BALARAM CHANDRA SAHA</t>
  </si>
  <si>
    <t>A00228</t>
  </si>
  <si>
    <t>BACKBONE</t>
  </si>
  <si>
    <t>A00229</t>
  </si>
  <si>
    <t>GOPI NATH GHOSH</t>
  </si>
  <si>
    <t>A00230</t>
  </si>
  <si>
    <t>SULTANA RAZIA</t>
  </si>
  <si>
    <t>A00231</t>
  </si>
  <si>
    <t>SECURE LINK SERVICES BANGLADESH LIMITED</t>
  </si>
  <si>
    <t>A00232</t>
  </si>
  <si>
    <t>QUAZI TOWFIQUE UDDIN</t>
  </si>
  <si>
    <t>A00233</t>
  </si>
  <si>
    <t>MD. ZAHIR UDDIN</t>
  </si>
  <si>
    <t>A00234</t>
  </si>
  <si>
    <t>MD. FERDAUS WAHID</t>
  </si>
  <si>
    <t>A00235</t>
  </si>
  <si>
    <t>MD SHAFIUL AZAM</t>
  </si>
  <si>
    <t>A00236</t>
  </si>
  <si>
    <t>IVA JAMAL</t>
  </si>
  <si>
    <t>A00237</t>
  </si>
  <si>
    <t>ILINE JAMAL</t>
  </si>
  <si>
    <t>A00238</t>
  </si>
  <si>
    <t>TARUN KUMAR SARKER</t>
  </si>
  <si>
    <t>A00239</t>
  </si>
  <si>
    <t>JHARNA AHMED</t>
  </si>
  <si>
    <t>A00240</t>
  </si>
  <si>
    <t>MD KAMAL HOSSAIN</t>
  </si>
  <si>
    <t>A00241</t>
  </si>
  <si>
    <t>MD ABDULLAH-AL- MAMUN</t>
  </si>
  <si>
    <t>A00242</t>
  </si>
  <si>
    <t>MD. MEHEDI HASSAN MILON</t>
  </si>
  <si>
    <t>A00243</t>
  </si>
  <si>
    <t>MOHAMMAD SAMIUL ALAM</t>
  </si>
  <si>
    <t>A00244</t>
  </si>
  <si>
    <t xml:space="preserve">Dear Mr. </t>
  </si>
  <si>
    <t>ZAFOR UDDIN AHMED</t>
  </si>
  <si>
    <t>A00245</t>
  </si>
  <si>
    <t>ABACI INVESTMENTS LTD. EC PROVIDENT FUND</t>
  </si>
  <si>
    <t>A00246</t>
  </si>
  <si>
    <t>SHANTA PAUL</t>
  </si>
  <si>
    <t>A00247</t>
  </si>
  <si>
    <t>ANJAN MALLIK</t>
  </si>
  <si>
    <t>A00248</t>
  </si>
  <si>
    <t>HASINA JANNAT</t>
  </si>
  <si>
    <t>A00249</t>
  </si>
  <si>
    <t>MR. NAYAN KUMAR CHOWDHURY</t>
  </si>
  <si>
    <t>A00250</t>
  </si>
  <si>
    <t>MD. WALIULLAH. SWADESH RANJAN SAHA &amp; MD. MIZZNUR RAHMAN</t>
  </si>
  <si>
    <t>A00251</t>
  </si>
  <si>
    <t>NITYANANDA BISWAS</t>
  </si>
  <si>
    <t>A00252</t>
  </si>
  <si>
    <t>SARDER SAYED AKRAM</t>
  </si>
  <si>
    <t>A00253</t>
  </si>
  <si>
    <t>A00254</t>
  </si>
  <si>
    <t>MAHMUDUL HASSAN</t>
  </si>
  <si>
    <t>A00255</t>
  </si>
  <si>
    <t>TANVIR HASAN</t>
  </si>
  <si>
    <t>A00256</t>
  </si>
  <si>
    <t>S. M. ALI MANZIR PALLAB</t>
  </si>
  <si>
    <t>A00257</t>
  </si>
  <si>
    <t>MD. WALID - AL - ZUBAYER</t>
  </si>
  <si>
    <t>A00258</t>
  </si>
  <si>
    <t>MEHEDI HASSAN RONI</t>
  </si>
  <si>
    <t>A00259</t>
  </si>
  <si>
    <t>CHANCHAL KUMAR SAHA</t>
  </si>
  <si>
    <t>A00260</t>
  </si>
  <si>
    <t>MEHERUN NESSA JUTHY</t>
  </si>
  <si>
    <t>A00261</t>
  </si>
  <si>
    <t>MASTURA MUNIAT</t>
  </si>
  <si>
    <t>A00262</t>
  </si>
  <si>
    <t>JOY SHREE SAHA</t>
  </si>
  <si>
    <t>A00263</t>
  </si>
  <si>
    <t>A S SALAHUDDIN AHMED</t>
  </si>
  <si>
    <t>A00264</t>
  </si>
  <si>
    <t>MOHAMMED SAJEDUR RAHMAN</t>
  </si>
  <si>
    <t>A00265</t>
  </si>
  <si>
    <t>JUBAIR MOHAMMAD HASAN</t>
  </si>
  <si>
    <t>A00266</t>
  </si>
  <si>
    <t>HABIB REDWAN RAFI</t>
  </si>
  <si>
    <t>A00267</t>
  </si>
  <si>
    <t>NAUSHEEN AHMED</t>
  </si>
  <si>
    <t>A00268</t>
  </si>
  <si>
    <t>IMTIAJ ARA</t>
  </si>
  <si>
    <t>A00269</t>
  </si>
  <si>
    <t>NADIRA AKTER</t>
  </si>
  <si>
    <t>A00270</t>
  </si>
  <si>
    <t>ABDULLAH-AL-FAHIM</t>
  </si>
  <si>
    <t>A00271</t>
  </si>
  <si>
    <t>SAJAN KUMAR BASAK</t>
  </si>
  <si>
    <t>A00272</t>
  </si>
  <si>
    <t>JAHAN ARA BEGUM</t>
  </si>
  <si>
    <t>A00273</t>
  </si>
  <si>
    <t>MOHAMMAD SHAHIDUL ISLAM</t>
  </si>
  <si>
    <t>A00274</t>
  </si>
  <si>
    <t>MD. MARUF SIKDER</t>
  </si>
  <si>
    <t>A00275</t>
  </si>
  <si>
    <t>A00276</t>
  </si>
  <si>
    <t>SK. MOINUL HASSAN</t>
  </si>
  <si>
    <t>A00277</t>
  </si>
  <si>
    <t>MD. AHSAN-UZ ZAMAN</t>
  </si>
  <si>
    <t>A00278</t>
  </si>
  <si>
    <t>GOURI TOSH PAUL</t>
  </si>
  <si>
    <t>A00279</t>
  </si>
  <si>
    <t>FARHAN SHAHRIAR DIPTO</t>
  </si>
  <si>
    <t>A00280</t>
  </si>
  <si>
    <t>RAJIB SAHA</t>
  </si>
  <si>
    <t>A00281</t>
  </si>
  <si>
    <t>ALVI RAHMAN</t>
  </si>
  <si>
    <t>A00282</t>
  </si>
  <si>
    <t>MOHAMMAD MIZANUR RAHMAN</t>
  </si>
  <si>
    <t>A00283</t>
  </si>
  <si>
    <t>UMME SALMA KATHA</t>
  </si>
  <si>
    <t>A00284</t>
  </si>
  <si>
    <t>MD. ZAHIRUL ISLAM</t>
  </si>
  <si>
    <t>A00285</t>
  </si>
  <si>
    <t>ASRAFUZZAMAN</t>
  </si>
  <si>
    <t>A00286</t>
  </si>
  <si>
    <t>MD. RAFIQUR RAHMAN</t>
  </si>
  <si>
    <t>A00287</t>
  </si>
  <si>
    <t>MD ABDUS SAMAD AZAD</t>
  </si>
  <si>
    <t>A00288</t>
  </si>
  <si>
    <t>MAHBUB-UL-ANAM KHAN</t>
  </si>
  <si>
    <t>A00289</t>
  </si>
  <si>
    <t>NUR ELAHEE MOLLA</t>
  </si>
  <si>
    <t>A00290</t>
  </si>
  <si>
    <t>SAYEM AHMED</t>
  </si>
  <si>
    <t>A00291</t>
  </si>
  <si>
    <t>RAIS UDDIN AHMAD</t>
  </si>
  <si>
    <t>A00292</t>
  </si>
  <si>
    <t>BENOZEER AHMED</t>
  </si>
  <si>
    <t>A00293</t>
  </si>
  <si>
    <t>SUMAIYA CHOWDHURY RUPTY</t>
  </si>
  <si>
    <t>A00294</t>
  </si>
  <si>
    <t>HARUNUR RASHID</t>
  </si>
  <si>
    <t>A00295</t>
  </si>
  <si>
    <t>SARWAR</t>
  </si>
  <si>
    <t>A00296</t>
  </si>
  <si>
    <t>SOHEL MAHMOOD</t>
  </si>
  <si>
    <t>A00297</t>
  </si>
  <si>
    <t>MOSTAFIZUR RAHMAN</t>
  </si>
  <si>
    <t>A00298</t>
  </si>
  <si>
    <t>MUSHFIQUR RAHMAN</t>
  </si>
  <si>
    <t>A00299</t>
  </si>
  <si>
    <t>MD. ASHADUL HOQUE</t>
  </si>
  <si>
    <t>A00300</t>
  </si>
  <si>
    <t>JANNATUL FERDOUS SHARNA</t>
  </si>
  <si>
    <t>A00301</t>
  </si>
  <si>
    <t>A.T.M. MORSHED KAMAL</t>
  </si>
  <si>
    <t>A00302</t>
  </si>
  <si>
    <t>KHANDAKAR MOHAMMAD NURUL HADIUZZAMAN</t>
  </si>
  <si>
    <t>A00303</t>
  </si>
  <si>
    <t>SYED NAYEEMUDDIN HOSSAIN</t>
  </si>
  <si>
    <t>A00304</t>
  </si>
  <si>
    <t>SHAHNAJ PARVEEN</t>
  </si>
  <si>
    <t>A00305</t>
  </si>
  <si>
    <t>HABIBA CHOWDHURY SHELI</t>
  </si>
  <si>
    <t>A00306</t>
  </si>
  <si>
    <t>CHAYAN KUMAR BARUA</t>
  </si>
  <si>
    <t>A00307</t>
  </si>
  <si>
    <t>MD. MOSABBIR ALAM</t>
  </si>
  <si>
    <t>A00308</t>
  </si>
  <si>
    <t>SAMMIR BIN DELOWER</t>
  </si>
  <si>
    <t>A00309</t>
  </si>
  <si>
    <t>UNMESH RAY HIMEL</t>
  </si>
  <si>
    <t>A00310</t>
  </si>
  <si>
    <t>SHARMEEN MAHMUD</t>
  </si>
  <si>
    <t>A00311</t>
  </si>
  <si>
    <t>MST. NASIRA KHATUN</t>
  </si>
  <si>
    <t>A00312</t>
  </si>
  <si>
    <t>REDOY BARMON</t>
  </si>
  <si>
    <t>A00313</t>
  </si>
  <si>
    <t>RAFAYET ULLAH</t>
  </si>
  <si>
    <t>A00314</t>
  </si>
  <si>
    <t>ZAKIA SULTANA</t>
  </si>
  <si>
    <t>A00315</t>
  </si>
  <si>
    <t>MOUMITA ROY</t>
  </si>
  <si>
    <t>A00316</t>
  </si>
  <si>
    <t>MONSURUL MOHAMMAD SHAHRIAR</t>
  </si>
  <si>
    <t>A00317</t>
  </si>
  <si>
    <t>SHARMIN JAHAN SHANTA</t>
  </si>
  <si>
    <t>A00318</t>
  </si>
  <si>
    <t>MD. MIZANUR RAHMAN</t>
  </si>
  <si>
    <t>A00319</t>
  </si>
  <si>
    <t>MD. SAIFULLAH AL AZAD</t>
  </si>
  <si>
    <t>A00320</t>
  </si>
  <si>
    <t>MD. JAHIRUL ISLAM</t>
  </si>
  <si>
    <t>A00321</t>
  </si>
  <si>
    <t>AHMED BIN MONSUR</t>
  </si>
  <si>
    <t>A00322</t>
  </si>
  <si>
    <t>MUNTASIR MAHMUD RAHMAN</t>
  </si>
  <si>
    <t>A00323</t>
  </si>
  <si>
    <t>MD. NAHIDUR RASHID</t>
  </si>
  <si>
    <t>A00324</t>
  </si>
  <si>
    <t>SAJED MADBAR</t>
  </si>
  <si>
    <t>A00325</t>
  </si>
  <si>
    <t>THE GSP FINANCE COMPANY (BANGLADESH) LIMITED EMPLOYEES PROVIDENT FUND</t>
  </si>
  <si>
    <t>A00326</t>
  </si>
  <si>
    <t>M.A. MALEK SIDDIQUE WALI &amp; CO.</t>
  </si>
  <si>
    <t>A00327</t>
  </si>
  <si>
    <t>SAILENDRA SAHA</t>
  </si>
  <si>
    <t>A00328</t>
  </si>
  <si>
    <t>ASHRAFUL ISLAM</t>
  </si>
  <si>
    <t>A00329</t>
  </si>
  <si>
    <t>TANIA KABIR</t>
  </si>
  <si>
    <t>A00330</t>
  </si>
  <si>
    <t>MD. SHEFATH-UL-ISLAM</t>
  </si>
  <si>
    <t>A00331</t>
  </si>
  <si>
    <t>MOHAMMED FUAD ZIBRAN</t>
  </si>
  <si>
    <t>A00332</t>
  </si>
  <si>
    <t>MD. GOLAM MORTAZA</t>
  </si>
  <si>
    <t>A00333</t>
  </si>
  <si>
    <t>SUSMITA DHAR</t>
  </si>
  <si>
    <t>A00334</t>
  </si>
  <si>
    <t>SHAHED UDDIN MOHAMMED PARVEZ</t>
  </si>
  <si>
    <t>A00335</t>
  </si>
  <si>
    <t>BIPLAB SAHA</t>
  </si>
  <si>
    <t>A00336</t>
  </si>
  <si>
    <t>BISHWAJIT BASAK</t>
  </si>
  <si>
    <t>A00337</t>
  </si>
  <si>
    <t>MOHAMMED ZAHID HOSSAIN</t>
  </si>
  <si>
    <t>A00338</t>
  </si>
  <si>
    <t>SAIDA HOMAIRA</t>
  </si>
  <si>
    <t>A00339</t>
  </si>
  <si>
    <t>ASMAR OSMAN</t>
  </si>
  <si>
    <t>A00340</t>
  </si>
  <si>
    <t>MOHAMMAD IQBAL REZWAN</t>
  </si>
  <si>
    <t>A00341</t>
  </si>
  <si>
    <t>FAISAL BIN MALEQUE</t>
  </si>
  <si>
    <t>A00342</t>
  </si>
  <si>
    <t>MD. IMRAN HOSSAIN</t>
  </si>
  <si>
    <t>A00343</t>
  </si>
  <si>
    <t>DHAKA IMPERIAL COLLEGE TEACHERS STAFF MULTIPURPOSE CO-OPERATIVE SOCIETY LTD.</t>
  </si>
  <si>
    <t>A00344</t>
  </si>
  <si>
    <t>KAZI RASEL</t>
  </si>
  <si>
    <t>A00345</t>
  </si>
  <si>
    <t>NEXXEN EQUITY MANAGEMENT LIMITED</t>
  </si>
  <si>
    <t>A00346</t>
  </si>
  <si>
    <t>EVEREST PHARMACEUTICALS LTD. EMPLOYEES CONTRIBUTORY PROVIDENT FUND</t>
  </si>
  <si>
    <t>A00347</t>
  </si>
  <si>
    <t>A.K.M. ANWARUL HOQ</t>
  </si>
  <si>
    <t>A00348</t>
  </si>
  <si>
    <t>MOHAMMAD MOZNU MOLLAH</t>
  </si>
  <si>
    <t>A00349</t>
  </si>
  <si>
    <t>MD. ZAKIR HOSSAIN</t>
  </si>
  <si>
    <t>A00350</t>
  </si>
  <si>
    <t>MOHAMMAD SAIFUL ISLAM</t>
  </si>
  <si>
    <t>A00351</t>
  </si>
  <si>
    <t>SHIULI RANI SAHA</t>
  </si>
  <si>
    <t>A00352</t>
  </si>
  <si>
    <t>VANGUARD AML GROWTH FUND</t>
  </si>
  <si>
    <t>A00353</t>
  </si>
  <si>
    <t>BRAC BANK LIMITED</t>
  </si>
  <si>
    <t>A00354</t>
  </si>
  <si>
    <t>NRB COMMERCIAL BANK LIMITED</t>
  </si>
  <si>
    <t>A00355</t>
  </si>
  <si>
    <t>HOSNEARA ISLAM</t>
  </si>
  <si>
    <t>A00356</t>
  </si>
  <si>
    <t>MOHAMMAD MOINUL ISLAM</t>
  </si>
  <si>
    <t>A00357</t>
  </si>
  <si>
    <t>MOHAMMAD AMDADUL HOQUE</t>
  </si>
  <si>
    <t>A00358</t>
  </si>
  <si>
    <t>HAFIZA AFRIN TONNY</t>
  </si>
  <si>
    <t>A00359</t>
  </si>
  <si>
    <t>NBL CAPITAL AND EQUITY MANAGEMENT LTD</t>
  </si>
  <si>
    <t>A00360</t>
  </si>
  <si>
    <t>ARIF AHMED</t>
  </si>
  <si>
    <t>A00361</t>
  </si>
  <si>
    <t>MOHAMMAD YASEEN</t>
  </si>
  <si>
    <t>A00362</t>
  </si>
  <si>
    <t>MD. TARIF AZAD KHAN</t>
  </si>
  <si>
    <t>A00363</t>
  </si>
  <si>
    <t>MD. AZHARUL KARIM</t>
  </si>
  <si>
    <t>A00364</t>
  </si>
  <si>
    <t>BANGLADESH FUND</t>
  </si>
  <si>
    <t>A00365</t>
  </si>
  <si>
    <t>NAYEEMA TASNEEM</t>
  </si>
  <si>
    <t>A00366</t>
  </si>
  <si>
    <t>MOHAMMAD DELOWAR HOSSAIN MRIDHA</t>
  </si>
  <si>
    <t>A00367</t>
  </si>
  <si>
    <t>MD. NAZIMUL HAQUE HAQUANNI</t>
  </si>
  <si>
    <t>A00368</t>
  </si>
  <si>
    <t>ASRAAR HOSSAIN</t>
  </si>
  <si>
    <t>A00369</t>
  </si>
  <si>
    <t>ZAIN MOHAMMAD YASEEN</t>
  </si>
  <si>
    <t>A00370</t>
  </si>
  <si>
    <t>MD. AL AMIN SARKER</t>
  </si>
  <si>
    <t>A00371</t>
  </si>
  <si>
    <t>MD. ASIF RAIHAN</t>
  </si>
  <si>
    <t>A00372</t>
  </si>
  <si>
    <t>ZINAT MAHRUKH BANU</t>
  </si>
  <si>
    <t>A00373</t>
  </si>
  <si>
    <t>B.M. MIRAZ HOSSAIN</t>
  </si>
  <si>
    <t>A00374</t>
  </si>
  <si>
    <t>DELTA BRAC HOUSING FINANCE CORPORATION LTD</t>
  </si>
  <si>
    <t>A00375</t>
  </si>
  <si>
    <t>RASIDA BEGUM</t>
  </si>
  <si>
    <t>A00376</t>
  </si>
  <si>
    <t>AMARSTOCK LTD. EMP. PF.</t>
  </si>
  <si>
    <t>A00377</t>
  </si>
  <si>
    <t>SHABBIR KHAN</t>
  </si>
  <si>
    <t>A00378</t>
  </si>
  <si>
    <t>EDGE VENTURES LIMITED</t>
  </si>
  <si>
    <t>A00379</t>
  </si>
  <si>
    <t>CITY BROKERAGE LIMITED</t>
  </si>
  <si>
    <t>A00380</t>
  </si>
  <si>
    <t>ANIK KUMAR GUPTA</t>
  </si>
  <si>
    <t>A00381</t>
  </si>
  <si>
    <t>A00382</t>
  </si>
  <si>
    <t>AZIZUL ISLAM</t>
  </si>
  <si>
    <t>A00383</t>
  </si>
  <si>
    <t>MD. NIZAM UDDIN</t>
  </si>
  <si>
    <t>A00384</t>
  </si>
  <si>
    <t>MD. ABDUL KARIM</t>
  </si>
  <si>
    <t>A00385</t>
  </si>
  <si>
    <t>MD. TANZIRUL AMIN</t>
  </si>
  <si>
    <t>A00386</t>
  </si>
  <si>
    <t>SYED ASIF HOSSAIN</t>
  </si>
  <si>
    <t>A00387</t>
  </si>
  <si>
    <t>REZAUR RAHMAN</t>
  </si>
  <si>
    <t>A00388</t>
  </si>
  <si>
    <t>FOUZIA RAHMAN</t>
  </si>
  <si>
    <t>A00389</t>
  </si>
  <si>
    <t>SABBIR AHMED HEMO</t>
  </si>
  <si>
    <t>A00390</t>
  </si>
  <si>
    <t>SHAIKH MD. ABU HASAN</t>
  </si>
  <si>
    <t>A00391</t>
  </si>
  <si>
    <t>EKUSH WEALTH MANAGEMENT LIMITED EMPLOYEES CONTRIBUTORY PROVIDENT FUND</t>
  </si>
  <si>
    <t>A00392</t>
  </si>
  <si>
    <t>MD. MUKIT MURSHED</t>
  </si>
  <si>
    <t>A00393</t>
  </si>
  <si>
    <t>MD. WABAIDULLAH RAHAMAN</t>
  </si>
  <si>
    <t>A00394</t>
  </si>
  <si>
    <t>B. M. ASIFUR RAHMAN FARHAD</t>
  </si>
  <si>
    <t>A00395</t>
  </si>
  <si>
    <t>FAHMIDA SHARMIN NOWRIN</t>
  </si>
  <si>
    <t>A00396</t>
  </si>
  <si>
    <t>MD. NASIR UDDIN ROBIN</t>
  </si>
  <si>
    <t>A00397</t>
  </si>
  <si>
    <t>MERINA TABASSUM AND MD. MONIRUL ISLAM</t>
  </si>
  <si>
    <t>A00398</t>
  </si>
  <si>
    <t>MOHAMMAD GULAM KIBRIAH</t>
  </si>
  <si>
    <t>A00399</t>
  </si>
  <si>
    <t>MUTUAL TRUST BANK LIMITED</t>
  </si>
  <si>
    <t>A00400</t>
  </si>
  <si>
    <t>SAJAL KANTI HOWLADER</t>
  </si>
  <si>
    <t>A00401</t>
  </si>
  <si>
    <t>TOFIQ AHAMED</t>
  </si>
  <si>
    <t>A00402</t>
  </si>
  <si>
    <t>MIR ARIFUL ISLAM</t>
  </si>
  <si>
    <t>A00403</t>
  </si>
  <si>
    <t>MOHAMMAD ASRARUL HAQUE</t>
  </si>
  <si>
    <t>A00404</t>
  </si>
  <si>
    <t>SHAHINOOR KHANUM</t>
  </si>
  <si>
    <t>A00405</t>
  </si>
  <si>
    <t>SAYDA SULTANA</t>
  </si>
  <si>
    <t>A00406</t>
  </si>
  <si>
    <t>A00407</t>
  </si>
  <si>
    <t>MD. TAZUL ISLAM</t>
  </si>
  <si>
    <t>A00408</t>
  </si>
  <si>
    <t>NADIA FERDOUS NOOR</t>
  </si>
  <si>
    <t>A00409</t>
  </si>
  <si>
    <t>MD. RAKEBUL ISLAM</t>
  </si>
  <si>
    <t>A00410</t>
  </si>
  <si>
    <t>MD. ABDUL MOTALEB</t>
  </si>
  <si>
    <t>A00411</t>
  </si>
  <si>
    <t>MD. BABUL MIAH</t>
  </si>
  <si>
    <t>A00412</t>
  </si>
  <si>
    <t>ARCHONA SAHA</t>
  </si>
  <si>
    <t>A00413</t>
  </si>
  <si>
    <t>TOWHIDUR RAHMAN CHOWDHURY</t>
  </si>
  <si>
    <t>A00414</t>
  </si>
  <si>
    <t>SYED SADEK HUSSAIN</t>
  </si>
  <si>
    <t>A00415</t>
  </si>
  <si>
    <t>NATEQ BE NAZIR IBN MINAR</t>
  </si>
  <si>
    <t>A00416</t>
  </si>
  <si>
    <t>NANDA DULAL SAHA</t>
  </si>
  <si>
    <t>A00417</t>
  </si>
  <si>
    <t>MD. SOHEL ANWAR</t>
  </si>
  <si>
    <t>A00418</t>
  </si>
  <si>
    <t>MAZED AHMED ABDULLAH</t>
  </si>
  <si>
    <t>A00419</t>
  </si>
  <si>
    <t>MAISHA MUSSARRAT</t>
  </si>
  <si>
    <t>A00420</t>
  </si>
  <si>
    <t>MD MOHSINUR RAHMAN</t>
  </si>
  <si>
    <t>A00421</t>
  </si>
  <si>
    <t>SIDDHARTHA SANKAR MALLICK</t>
  </si>
  <si>
    <t>A00422</t>
  </si>
  <si>
    <t>MYAT MOE KHAING</t>
  </si>
  <si>
    <t>A00423</t>
  </si>
  <si>
    <t>SRIJON GHOSH</t>
  </si>
  <si>
    <t>A00424</t>
  </si>
  <si>
    <t>MD. A. RAZZAK</t>
  </si>
  <si>
    <t>A00425</t>
  </si>
  <si>
    <t>TAMRIN AL DEEN</t>
  </si>
  <si>
    <t>A00426</t>
  </si>
  <si>
    <t>ROKSABA KASEM</t>
  </si>
  <si>
    <t>A00427</t>
  </si>
  <si>
    <t>NASRIN AHMED HELA</t>
  </si>
  <si>
    <t>A00428</t>
  </si>
  <si>
    <t>KALLANI ISLAM</t>
  </si>
  <si>
    <t>A00429</t>
  </si>
  <si>
    <t>MD. MOSTAFIJUR RAHMAN</t>
  </si>
  <si>
    <t>A00430</t>
  </si>
  <si>
    <t>MD SHAHADAT HOSSAIN</t>
  </si>
  <si>
    <t>A00431</t>
  </si>
  <si>
    <t>AHMED ASIF</t>
  </si>
  <si>
    <t>A00432</t>
  </si>
  <si>
    <t>AHMED FARUK</t>
  </si>
  <si>
    <t>A00433</t>
  </si>
  <si>
    <t>SYED AHMAD</t>
  </si>
  <si>
    <t>A00434</t>
  </si>
  <si>
    <t>ISHRAT NUR</t>
  </si>
  <si>
    <t>A00435</t>
  </si>
  <si>
    <t>SADIA SYED TAHIA</t>
  </si>
  <si>
    <t>A00436</t>
  </si>
  <si>
    <t>MD. RIFAT MUNJUR SUNNY</t>
  </si>
  <si>
    <t>A00437</t>
  </si>
  <si>
    <t>SANDHANI ASSET MANAGEMENT LIMITED</t>
  </si>
  <si>
    <t>A00438</t>
  </si>
  <si>
    <t>RASHEDUL ISLAM</t>
  </si>
  <si>
    <t>A00439</t>
  </si>
  <si>
    <t>NUSRAT JAHAN TISHA</t>
  </si>
  <si>
    <t>A00440</t>
  </si>
  <si>
    <t>SAIKAT DAS SHANTO</t>
  </si>
  <si>
    <t>A00441</t>
  </si>
  <si>
    <t>KHAN MUHAMMAD FAISOL</t>
  </si>
  <si>
    <t>A00442</t>
  </si>
  <si>
    <t>TAPASH KUMAR PAUL</t>
  </si>
  <si>
    <t>A00443</t>
  </si>
  <si>
    <t>RITA RANI GHOSH</t>
  </si>
  <si>
    <t>A00444</t>
  </si>
  <si>
    <t>FAHMIDA SAEED SAKI</t>
  </si>
  <si>
    <t>A00445</t>
  </si>
  <si>
    <t>MD. MAHMUDUL KABIR</t>
  </si>
  <si>
    <t>A00446</t>
  </si>
  <si>
    <t>MOHAMMAD PARVEZ RANA</t>
  </si>
  <si>
    <t>A00447</t>
  </si>
  <si>
    <t>RABIA AFROZA</t>
  </si>
  <si>
    <t>A00448</t>
  </si>
  <si>
    <t>KHAN MUHAMMAD KAWSER AHMED</t>
  </si>
  <si>
    <t>A00449</t>
  </si>
  <si>
    <t>REKHA PARVIN</t>
  </si>
  <si>
    <t>A00450</t>
  </si>
  <si>
    <t>MD. IFTEKHARUL ISLAM BHUIYAN</t>
  </si>
  <si>
    <t>A00451</t>
  </si>
  <si>
    <t>ROYAL CAPITAL LIMITED</t>
  </si>
  <si>
    <t>A00452</t>
  </si>
  <si>
    <t>MD JAMAL HOSSAIN</t>
  </si>
  <si>
    <t>A00453</t>
  </si>
  <si>
    <t>MOHAMMAD HASAN SHAHRIAR MASUD</t>
  </si>
  <si>
    <t>A00454</t>
  </si>
  <si>
    <t>TAPATI RANI DAS</t>
  </si>
  <si>
    <t>A00455</t>
  </si>
  <si>
    <t>SAMS SAIYADENA ZEESHA</t>
  </si>
  <si>
    <t>A00456</t>
  </si>
  <si>
    <t>AMARSTOCK LIMITED</t>
  </si>
  <si>
    <t>A00457</t>
  </si>
  <si>
    <t>MOHAMMAD ISMAIL</t>
  </si>
  <si>
    <t>A00458</t>
  </si>
  <si>
    <t>DHAKA IMPERIAL COLLEGE EMPLOYEES PROVIDENT FUND</t>
  </si>
  <si>
    <t>A00459</t>
  </si>
  <si>
    <t>MOIN UDDIN SIDDIQUE</t>
  </si>
  <si>
    <t>A00460</t>
  </si>
  <si>
    <t>FARZANA JITU</t>
  </si>
  <si>
    <t>A00461</t>
  </si>
  <si>
    <t>MALLIKA BISWAS</t>
  </si>
  <si>
    <t>A00462</t>
  </si>
  <si>
    <t>UMME SAIKA NILA</t>
  </si>
  <si>
    <t>A00463</t>
  </si>
  <si>
    <t>MOHAMMAD HUMAYAN RASHID</t>
  </si>
  <si>
    <t>A00464</t>
  </si>
  <si>
    <t>EDGE HIGH QUALITY INCOME FUND</t>
  </si>
  <si>
    <t>A00465</t>
  </si>
  <si>
    <t>SANDHANI AML SLIC FIXED INCOME FUND</t>
  </si>
  <si>
    <t>A00466</t>
  </si>
  <si>
    <t>SALMAN ZAMAL</t>
  </si>
  <si>
    <t>A00467</t>
  </si>
  <si>
    <t>MADHAB GHOSH</t>
  </si>
  <si>
    <t>A00468</t>
  </si>
  <si>
    <t>SOURAV SAHA</t>
  </si>
  <si>
    <t>A00469</t>
  </si>
  <si>
    <t>MUHAMMAD SHOHIDUZZAMAN</t>
  </si>
  <si>
    <t>A00470</t>
  </si>
  <si>
    <t>SABIRA SALAM RIDI</t>
  </si>
  <si>
    <t>A00471</t>
  </si>
  <si>
    <t>ABIR SAHA</t>
  </si>
  <si>
    <t>A00472</t>
  </si>
  <si>
    <t>MAMUN SIRAJUL ALAM</t>
  </si>
  <si>
    <t>A00473</t>
  </si>
  <si>
    <t>MICHAEL BEA</t>
  </si>
  <si>
    <t>A00474</t>
  </si>
  <si>
    <t>MD. MONIRUL ISLAM</t>
  </si>
  <si>
    <t>A00475</t>
  </si>
  <si>
    <t>A.K.M REZAUL KARIM</t>
  </si>
  <si>
    <t>A00476</t>
  </si>
  <si>
    <t>NAYEEM JAHANGIR</t>
  </si>
  <si>
    <t>A00477</t>
  </si>
  <si>
    <t>S.M. SAIFUL ISLAM</t>
  </si>
  <si>
    <t>A00478</t>
  </si>
  <si>
    <t>KAZI MAZBAH UDDIN</t>
  </si>
  <si>
    <t>A00479</t>
  </si>
  <si>
    <t>MD. MOHIBULLAH CHOWDHURY</t>
  </si>
  <si>
    <t>A00480</t>
  </si>
  <si>
    <t>NUR-E-SALVEEN</t>
  </si>
  <si>
    <t>A00481</t>
  </si>
  <si>
    <t>MOHAMMAD HASAN</t>
  </si>
  <si>
    <t>A00482</t>
  </si>
  <si>
    <t>ABU MUSA MIRZA KAMRUZZAMAN SHAHEE</t>
  </si>
  <si>
    <t>A00483</t>
  </si>
  <si>
    <t>MOHAMMED MUQEET HALIM</t>
  </si>
  <si>
    <t>A00484</t>
  </si>
  <si>
    <t>ASHIK IQBAL CHOWDHURY</t>
  </si>
  <si>
    <t>A00485</t>
  </si>
  <si>
    <t>SADIA PARVIN</t>
  </si>
  <si>
    <t>A00486</t>
  </si>
  <si>
    <t>SANJIB KUMAR ROY</t>
  </si>
  <si>
    <t>A00487</t>
  </si>
  <si>
    <t>SUMAN SAHA</t>
  </si>
  <si>
    <t>A00488</t>
  </si>
  <si>
    <t>FAZLE KARIM MURAD</t>
  </si>
  <si>
    <t>A00489</t>
  </si>
  <si>
    <t>MUSTAFA KAMAL MASUD</t>
  </si>
  <si>
    <t>A00490</t>
  </si>
  <si>
    <t>MOHAMMED SHARIFUL ISLAM</t>
  </si>
  <si>
    <t>A00491</t>
  </si>
  <si>
    <t>NUSRAT JAHAN</t>
  </si>
  <si>
    <t>A00492</t>
  </si>
  <si>
    <t>SIKDER FAZLE RABBI</t>
  </si>
  <si>
    <t>A00493</t>
  </si>
  <si>
    <t>MD SHAFIQUR RAHMAN MONSI</t>
  </si>
  <si>
    <t>A00494</t>
  </si>
  <si>
    <t>JISHAN SHAMSAD</t>
  </si>
  <si>
    <t>A00495</t>
  </si>
  <si>
    <t>RAJIV HASSAN</t>
  </si>
  <si>
    <t>A00496</t>
  </si>
  <si>
    <t>SHAHRIAR AZAD SHASHI</t>
  </si>
  <si>
    <t>A00497</t>
  </si>
  <si>
    <t>MD. BASHARAT HASAN</t>
  </si>
  <si>
    <t>A00498</t>
  </si>
  <si>
    <t>MUBTASIN KABIR</t>
  </si>
  <si>
    <t>A00499</t>
  </si>
  <si>
    <t>MUHAMMAD SAJJAD HOSSAIN</t>
  </si>
  <si>
    <t>A00500</t>
  </si>
  <si>
    <t>SAIFUL ISLAM</t>
  </si>
  <si>
    <t>A00501</t>
  </si>
  <si>
    <t>KHALED HOSSAIN</t>
  </si>
  <si>
    <t>A00502</t>
  </si>
  <si>
    <t>HUMAIRA TABASSUM READDHE</t>
  </si>
  <si>
    <t>A00503</t>
  </si>
  <si>
    <t>FATEHA KHATUN</t>
  </si>
  <si>
    <t>A00504</t>
  </si>
  <si>
    <t>A.N.M. GOLAM SHABBIR</t>
  </si>
  <si>
    <t>A00505</t>
  </si>
  <si>
    <t>A00506</t>
  </si>
  <si>
    <t>UMMYA ROMAN</t>
  </si>
  <si>
    <t>A00507</t>
  </si>
  <si>
    <t>ASFIA AFRIN TONNY</t>
  </si>
  <si>
    <t>A00508</t>
  </si>
  <si>
    <t>KALPANA RANI</t>
  </si>
  <si>
    <t>A00509</t>
  </si>
  <si>
    <t>JUBAIDA FARHANA HAQUE</t>
  </si>
  <si>
    <t>A00510</t>
  </si>
  <si>
    <t>S.M. MAHBUBUR RAHMAN</t>
  </si>
  <si>
    <t>A00511</t>
  </si>
  <si>
    <t>TANIA AKTER</t>
  </si>
  <si>
    <t>A00512</t>
  </si>
  <si>
    <t>MOIN UDDIN</t>
  </si>
  <si>
    <t>A00513</t>
  </si>
  <si>
    <t>SAIQA MAZED</t>
  </si>
  <si>
    <t>A00514</t>
  </si>
  <si>
    <t>MST. GOLENUR</t>
  </si>
  <si>
    <t>A00515</t>
  </si>
  <si>
    <t>ASHAK ELAHI</t>
  </si>
  <si>
    <t>A00516</t>
  </si>
  <si>
    <t>FARZANA MOSTAFA TITHE</t>
  </si>
  <si>
    <t>A00517</t>
  </si>
  <si>
    <t>BEAUTY BEGUM LOTA</t>
  </si>
  <si>
    <t>A00518</t>
  </si>
  <si>
    <t>MD. JEDAR HOSSAIN</t>
  </si>
  <si>
    <t>A00519</t>
  </si>
  <si>
    <t>A. K. M. MAHMUDUL ALAM</t>
  </si>
  <si>
    <t>SB00002</t>
  </si>
  <si>
    <t xml:space="preserve">H. S. M. SHAFEE BIN ALAM </t>
  </si>
  <si>
    <t>A00520</t>
  </si>
  <si>
    <t>MD SULTAN MAMONUR RASHID</t>
  </si>
  <si>
    <t>A00521</t>
  </si>
  <si>
    <t xml:space="preserve">CWT EMERGING BANGLADESH FIRST GROWTH FUND </t>
  </si>
  <si>
    <t>A00522</t>
  </si>
  <si>
    <t xml:space="preserve">CWT-SADHARAN BIMA GROWTH FUND </t>
  </si>
  <si>
    <t>A00523</t>
  </si>
  <si>
    <t>CWT OPPORTUNITIES FUND</t>
  </si>
  <si>
    <t>A00524</t>
  </si>
  <si>
    <t>MST SANTA ISLAM</t>
  </si>
  <si>
    <t>A00525</t>
  </si>
  <si>
    <t>TAJDIKUL ALAM</t>
  </si>
  <si>
    <t>A00526</t>
  </si>
  <si>
    <t>ASHIK CHOWDHURY OVI</t>
  </si>
  <si>
    <t>A00527</t>
  </si>
  <si>
    <t>SHAH MUNTASIN MUJTABA</t>
  </si>
  <si>
    <t>A00528</t>
  </si>
  <si>
    <t>ADNAN NOOR</t>
  </si>
  <si>
    <t>A00529</t>
  </si>
  <si>
    <t>SHAHEEN SIAM</t>
  </si>
  <si>
    <t>B00002</t>
  </si>
  <si>
    <t>ZINNATUL PERVIN JUI</t>
  </si>
  <si>
    <t>SB00003</t>
  </si>
  <si>
    <t>KAZI HABIBUR RAHMAN</t>
  </si>
  <si>
    <t>A00530</t>
  </si>
  <si>
    <t>3A &amp; COMPANY LTD.</t>
  </si>
  <si>
    <t>A00531</t>
  </si>
  <si>
    <t>A00532</t>
  </si>
  <si>
    <t>AKIB TANVIR ANJUM</t>
  </si>
  <si>
    <t>A00533</t>
  </si>
  <si>
    <t>CHAMPA SAHA</t>
  </si>
  <si>
    <t>A00534</t>
  </si>
  <si>
    <t>ISMAIL HOSSEN</t>
  </si>
  <si>
    <t>A00535</t>
  </si>
  <si>
    <t>MOHAMMAD HASAN IMAM</t>
  </si>
  <si>
    <t>A00536</t>
  </si>
  <si>
    <t>BETAONE INVESTMENTS LIMITED</t>
  </si>
  <si>
    <t>A00537</t>
  </si>
  <si>
    <t>MD MINHAZ UDDIN</t>
  </si>
  <si>
    <t>A00538</t>
  </si>
  <si>
    <t>TANZEEN FERDOUS ALAM</t>
  </si>
  <si>
    <t>A00539</t>
  </si>
  <si>
    <t>MAHMUD ALI ALAMGIR &amp; MOHAMMED ALI XAHANGIR</t>
  </si>
  <si>
    <t>A00540</t>
  </si>
  <si>
    <t>A00541</t>
  </si>
  <si>
    <t>NAZIA TABASSUM</t>
  </si>
  <si>
    <t>A00542</t>
  </si>
  <si>
    <t>RITU SWARNA ROY</t>
  </si>
  <si>
    <t>A00543</t>
  </si>
  <si>
    <t>KAZI MINUDDIN MAMUN</t>
  </si>
  <si>
    <t>A00544</t>
  </si>
  <si>
    <t>MD AYNUL HOQUE</t>
  </si>
  <si>
    <t>A00545</t>
  </si>
  <si>
    <t>ANINDITA SAHA</t>
  </si>
  <si>
    <t>A00546</t>
  </si>
  <si>
    <t>MOHSIN REZA</t>
  </si>
  <si>
    <t>A00547</t>
  </si>
  <si>
    <t>SHIREEN AFROZE</t>
  </si>
  <si>
    <t>A00548</t>
  </si>
  <si>
    <t>TANJINA ZAMAN ANISHA</t>
  </si>
  <si>
    <t>A00549</t>
  </si>
  <si>
    <t>A. K. M. BAZLUR RASHID</t>
  </si>
  <si>
    <t>A00550</t>
  </si>
  <si>
    <t>NRB BANK LIMITED</t>
  </si>
  <si>
    <t>A00551</t>
  </si>
  <si>
    <t>TANZILA NUR</t>
  </si>
  <si>
    <t>A00552</t>
  </si>
  <si>
    <t>FARIZA RAHMAN</t>
  </si>
  <si>
    <t>A00553</t>
  </si>
  <si>
    <t>TAMANNA AFRIN MITUL</t>
  </si>
  <si>
    <t>A00554</t>
  </si>
  <si>
    <t>KH KHAIRUL ALAM NABIL</t>
  </si>
  <si>
    <t>A00555</t>
  </si>
  <si>
    <t>FARIHA FARZANA</t>
  </si>
  <si>
    <t>A00556</t>
  </si>
  <si>
    <t>MD. AKRAM UDDIN</t>
  </si>
  <si>
    <t>A00557</t>
  </si>
  <si>
    <t>MAHMOOD KABIR</t>
  </si>
  <si>
    <t>A00558</t>
  </si>
  <si>
    <t>JAKARIA MD. JONY</t>
  </si>
  <si>
    <t>A00559</t>
  </si>
  <si>
    <t>SADMAN PRODHAN</t>
  </si>
  <si>
    <t>A00560</t>
  </si>
  <si>
    <t>SULTANA MASHQURA JAHAN</t>
  </si>
  <si>
    <t>A00561</t>
  </si>
  <si>
    <t>AFRINA AKTER MISHU</t>
  </si>
  <si>
    <t>A00562</t>
  </si>
  <si>
    <t>MD. SHOWKAT AKBAR</t>
  </si>
  <si>
    <t>A00563</t>
  </si>
  <si>
    <t>IKRAMUL BASHAR</t>
  </si>
  <si>
    <t>A00564</t>
  </si>
  <si>
    <t>AHAMMOD HOSSAIN</t>
  </si>
  <si>
    <t>A00565</t>
  </si>
  <si>
    <t>A00566</t>
  </si>
  <si>
    <t>MD GOLAM SHAON</t>
  </si>
  <si>
    <t>A00567</t>
  </si>
  <si>
    <t>MD. SADEKUR RAHMAN</t>
  </si>
  <si>
    <t>A00568</t>
  </si>
  <si>
    <t>MAKID HAIDER</t>
  </si>
  <si>
    <t>A00569</t>
  </si>
  <si>
    <t>MOHAMMAD SHAHNAWAJ CHOWDHURY</t>
  </si>
  <si>
    <t>A00570</t>
  </si>
  <si>
    <t>RUKAIYA FAHMIDA</t>
  </si>
  <si>
    <t>A00571</t>
  </si>
  <si>
    <t>SILVIA ANWAR</t>
  </si>
  <si>
    <t>A00572</t>
  </si>
  <si>
    <t>NAVID CHOWDHURY</t>
  </si>
  <si>
    <t>A00573</t>
  </si>
  <si>
    <t>ABUL FAZAL MOHAMMAD SAIFUL ISLAM</t>
  </si>
  <si>
    <t>A00574</t>
  </si>
  <si>
    <t>MOHAMMAD ABUL HOSSAIN</t>
  </si>
  <si>
    <t>A00575</t>
  </si>
  <si>
    <t>NISHAT RAHMAN</t>
  </si>
  <si>
    <t>A00576</t>
  </si>
  <si>
    <t>SABBIR-AL-HARUN</t>
  </si>
  <si>
    <t>A00577</t>
  </si>
  <si>
    <t>MD. EHSANUL HOQUE</t>
  </si>
  <si>
    <t>A00578</t>
  </si>
  <si>
    <t>MD. ABUL MOSHAD CHOWDHURY</t>
  </si>
  <si>
    <t>A00579</t>
  </si>
  <si>
    <t>Month</t>
  </si>
  <si>
    <t>Day</t>
  </si>
  <si>
    <t>Date Value</t>
  </si>
  <si>
    <t>Investor</t>
  </si>
  <si>
    <t>Investor ID</t>
  </si>
  <si>
    <t>Frequency</t>
  </si>
  <si>
    <t>Unique Code</t>
  </si>
  <si>
    <t>Column1</t>
  </si>
  <si>
    <t>B/S</t>
  </si>
  <si>
    <t>Amount</t>
  </si>
  <si>
    <t>BO TRANSFER</t>
  </si>
  <si>
    <t>NAV (Strike Rate)</t>
  </si>
  <si>
    <t>Unit</t>
  </si>
  <si>
    <t>Cumulative Unit</t>
  </si>
  <si>
    <t>Unit Capital</t>
  </si>
  <si>
    <t>Unit Premium Reserve</t>
  </si>
  <si>
    <t>NAV at Cost (Average)</t>
  </si>
  <si>
    <t>NAV (At MKT Rate)</t>
  </si>
  <si>
    <t>Realized Gain</t>
  </si>
  <si>
    <t>Cost of Units Sold</t>
  </si>
  <si>
    <t>BO UNIT TRANSFER</t>
  </si>
  <si>
    <t>BO Cumulative Units</t>
  </si>
  <si>
    <t>B</t>
  </si>
  <si>
    <t>YES</t>
  </si>
  <si>
    <t>S</t>
  </si>
  <si>
    <t>Year</t>
  </si>
  <si>
    <t>BEGINNING PERIOD UNITS</t>
  </si>
  <si>
    <t>BEGINNING PERIOD COST VALUE</t>
  </si>
  <si>
    <t>BEGINNING PERIOD MARKET VALUE</t>
  </si>
  <si>
    <t>BEGINNING PERIOD UNREALIZED GAIN</t>
  </si>
  <si>
    <t>ENDING PERIOD UNITS</t>
  </si>
  <si>
    <t>ENDING PERIOD COST VALUE</t>
  </si>
  <si>
    <t>ENDING PERIOD MARKET VALUE</t>
  </si>
  <si>
    <t>ENDING PERIOD UNREALIZED GAIN</t>
  </si>
  <si>
    <t>TOTAL UNITS ADDITION DURING THE PERIOD</t>
  </si>
  <si>
    <t>TOTAL ADDITION AT COST DURING THE PERIOD</t>
  </si>
  <si>
    <t>TOTAL UNITS REDEMPTION DURING THE PERIOD</t>
  </si>
  <si>
    <t>TOTAL REDEMPTION AT COST DURING THE PERIOD</t>
  </si>
  <si>
    <t>NET INVESTMENT DURING THE PERIOD</t>
  </si>
  <si>
    <t>TOTAL GROSS DIVIDEND</t>
  </si>
  <si>
    <t>TOTAL TAX</t>
  </si>
  <si>
    <t>TOTAL NET DIVIDEND</t>
  </si>
  <si>
    <t>DATEVALUE</t>
  </si>
  <si>
    <t>EKUSH STABLE RETURN FUND</t>
  </si>
  <si>
    <t>Investor Transaction History</t>
  </si>
  <si>
    <t>Investor Name:</t>
  </si>
  <si>
    <t>Investor ID:</t>
  </si>
  <si>
    <t>Date</t>
  </si>
  <si>
    <t>Buy/Sell</t>
  </si>
  <si>
    <t>BO UNIT TRANSFER2</t>
  </si>
  <si>
    <t>Lumpsum History</t>
  </si>
  <si>
    <t>SIP History</t>
  </si>
  <si>
    <t>E. Balance</t>
  </si>
  <si>
    <t>Total Investment in Cost Value</t>
  </si>
  <si>
    <t>Current NAV of The Fund</t>
  </si>
  <si>
    <t>MD ASHIQUR RAHMAN</t>
  </si>
  <si>
    <t>A00581</t>
  </si>
  <si>
    <t>A00580</t>
  </si>
  <si>
    <t>ABU BAKAR BIN JAHID</t>
  </si>
  <si>
    <t>MOHAMMAD JAHANGIR HOSSAIN</t>
  </si>
  <si>
    <t>Total Realized Gain</t>
  </si>
  <si>
    <t>Total Unrealized Gain</t>
  </si>
  <si>
    <t>Total Units Invested</t>
  </si>
  <si>
    <t>RAISA ZAMAN</t>
  </si>
  <si>
    <t>A00582</t>
  </si>
  <si>
    <t>A00583</t>
  </si>
  <si>
    <t>MD. RAQUIBUL ISLAM RUSSEAU</t>
  </si>
  <si>
    <t>A00584</t>
  </si>
  <si>
    <t>A00586</t>
  </si>
  <si>
    <t>MAHFUZA ANIKA</t>
  </si>
  <si>
    <t>A00585</t>
  </si>
  <si>
    <t>LANKABANGLA INVESTMENTS LIMITED</t>
  </si>
  <si>
    <t>MONIA ALAM</t>
  </si>
  <si>
    <t>A00587</t>
  </si>
  <si>
    <t>A00588</t>
  </si>
  <si>
    <t xml:space="preserve">Mr. JAKARIA MD. JONY &amp; Ms. JOBAIDA KHANOM </t>
  </si>
  <si>
    <t>MOHAMMAD MAHFUZUL HAQUE</t>
  </si>
  <si>
    <t>A00589</t>
  </si>
  <si>
    <t>PUJA BHATTACHARJEE</t>
  </si>
  <si>
    <t>A00590</t>
  </si>
  <si>
    <t>TAREQ AZIZ</t>
  </si>
  <si>
    <t>A00591</t>
  </si>
  <si>
    <t>A00592</t>
  </si>
  <si>
    <t>MD. RAJIB RAYHAN</t>
  </si>
  <si>
    <t>SHAPNA RANI BARMAN</t>
  </si>
  <si>
    <t>A00593</t>
  </si>
  <si>
    <t>DEBASHISH RAY</t>
  </si>
  <si>
    <t>A00594</t>
  </si>
  <si>
    <t>SHAKERA JEASMIN</t>
  </si>
  <si>
    <t>A00595</t>
  </si>
  <si>
    <t>SHANTA SAHA</t>
  </si>
  <si>
    <t>A00596</t>
  </si>
  <si>
    <t>MD. MUSTAFA KAMAL</t>
  </si>
  <si>
    <t>A00597</t>
  </si>
  <si>
    <t>MONOARA ALAM</t>
  </si>
  <si>
    <t>A00598</t>
  </si>
  <si>
    <t>P00001</t>
  </si>
  <si>
    <t>A00599</t>
  </si>
  <si>
    <t>AMIT KUMAR CHAKRABARTY</t>
  </si>
  <si>
    <t>A00600</t>
  </si>
  <si>
    <t>A00601</t>
  </si>
  <si>
    <t>A00603</t>
  </si>
  <si>
    <t>A00602</t>
  </si>
  <si>
    <t>ROBIUL KHAN</t>
  </si>
  <si>
    <t xml:space="preserve"> Dear Mr. </t>
  </si>
  <si>
    <t xml:space="preserve"> Individual </t>
  </si>
  <si>
    <t>KHURRAM ALAMGIR</t>
  </si>
  <si>
    <t>A00604</t>
  </si>
  <si>
    <t>A00605</t>
  </si>
  <si>
    <t>MAHFUZUL ISLAM &amp; HUMAIRA TABASSUM READDHE</t>
  </si>
  <si>
    <t xml:space="preserve">JOBAIDA KHANOM </t>
  </si>
  <si>
    <t>RAIHAN FERDOUS</t>
  </si>
  <si>
    <t>A00606</t>
  </si>
  <si>
    <t>RAJIB</t>
  </si>
  <si>
    <t>A00607</t>
  </si>
  <si>
    <t>RUMA AKTER</t>
  </si>
  <si>
    <t>A00608</t>
  </si>
  <si>
    <t>A00609</t>
  </si>
  <si>
    <t>MD. RASEL RANA</t>
  </si>
  <si>
    <t>ASHIK SHOBHAN</t>
  </si>
  <si>
    <t>A00610</t>
  </si>
  <si>
    <t>TRIDHARA SAHA</t>
  </si>
  <si>
    <t>A00611</t>
  </si>
  <si>
    <t>RAHAT-UL-AMIN</t>
  </si>
  <si>
    <t>A00613</t>
  </si>
  <si>
    <t>SK SHAHJAHAN RASHED</t>
  </si>
  <si>
    <t>A00612</t>
  </si>
  <si>
    <t>ATIQUR RAHMAN KHAN</t>
  </si>
  <si>
    <t>A00614</t>
  </si>
  <si>
    <t>VANGUARD AML BD FINANCE MUTUAL FUND ONE</t>
  </si>
  <si>
    <t>A00615</t>
  </si>
  <si>
    <t>Annualized Return:</t>
  </si>
  <si>
    <t>SYEDA DIL AFROZE</t>
  </si>
  <si>
    <t>A00616</t>
  </si>
  <si>
    <t>SHARMIN AKTER</t>
  </si>
  <si>
    <t>A00617</t>
  </si>
  <si>
    <t>SHAFAYAT ALAMGIR</t>
  </si>
  <si>
    <t>A00618</t>
  </si>
  <si>
    <t>MD ZAHIR RAYHAN</t>
  </si>
  <si>
    <t>A00619</t>
  </si>
  <si>
    <t>AZIM SALAM KHAN</t>
  </si>
  <si>
    <t>A00620</t>
  </si>
  <si>
    <t>ARIF HASAN KHAN</t>
  </si>
  <si>
    <t>A00621</t>
  </si>
  <si>
    <t>APURBA SWATEE MAHBOOB</t>
  </si>
  <si>
    <t>A00622</t>
  </si>
  <si>
    <t>MD. ASIFUL HUQ</t>
  </si>
  <si>
    <t>A00623</t>
  </si>
  <si>
    <t>SAYEED NASIR</t>
  </si>
  <si>
    <t>A00624</t>
  </si>
  <si>
    <t>AKHTER MOHAMMED MUSA</t>
  </si>
  <si>
    <t>A00625</t>
  </si>
  <si>
    <t>SULTAN HAFEEZ RAHMAN</t>
  </si>
  <si>
    <t>A00626</t>
  </si>
  <si>
    <t>SYED SHIBLI MAHMUD</t>
  </si>
  <si>
    <t>A00627</t>
  </si>
  <si>
    <t>MD. MASUM BILLAH</t>
  </si>
  <si>
    <t>A00628</t>
  </si>
  <si>
    <t>TASNUVA ANAN</t>
  </si>
  <si>
    <t>A00630</t>
  </si>
  <si>
    <t>NAZMUL HASAN KHAN</t>
  </si>
  <si>
    <t>A00631</t>
  </si>
  <si>
    <t>MD. ASHIKUR RAHMAN MILON</t>
  </si>
  <si>
    <t>A00632</t>
  </si>
  <si>
    <t>AVRO SAHA</t>
  </si>
  <si>
    <t>A00633</t>
  </si>
  <si>
    <t>A00634</t>
  </si>
  <si>
    <t>A N M NAUSHAD KHAN</t>
  </si>
  <si>
    <t>A00635</t>
  </si>
  <si>
    <t>A00636</t>
  </si>
  <si>
    <t>mismatch</t>
  </si>
  <si>
    <t>BO ID</t>
  </si>
  <si>
    <t>Column2</t>
  </si>
  <si>
    <t>Column3</t>
  </si>
  <si>
    <t>Column4</t>
  </si>
  <si>
    <t>Column12</t>
  </si>
  <si>
    <t>MD. ABUL KALAM AZAD</t>
  </si>
  <si>
    <t>ELORA SHAHAB SHARMEE</t>
  </si>
  <si>
    <t>A00637</t>
  </si>
  <si>
    <t>SAJIB ARAFAT SIDDIQUI</t>
  </si>
  <si>
    <t>A00638</t>
  </si>
  <si>
    <t>A00639</t>
  </si>
  <si>
    <t>A00640</t>
  </si>
  <si>
    <t>1205080076064176</t>
  </si>
  <si>
    <t>PRIME BANK SECURITIES LIMITED</t>
  </si>
  <si>
    <t>1201830076551917</t>
  </si>
  <si>
    <t>LANKABANGLA SECURITIES PLC.</t>
  </si>
  <si>
    <t>MD. KAMRUL HASAN</t>
  </si>
  <si>
    <t>A00641</t>
  </si>
  <si>
    <t>PUJA GHOSH</t>
  </si>
  <si>
    <t>A00642</t>
  </si>
  <si>
    <t>FAISAL RAHMAN</t>
  </si>
  <si>
    <t>MOHAMMED NURUNNABI BHUIYAN</t>
  </si>
  <si>
    <t>A00643</t>
  </si>
  <si>
    <t>ANONYA CHOWDHURY HIYA</t>
  </si>
  <si>
    <t>A00644</t>
  </si>
  <si>
    <t>S.M. AFZAL REZA</t>
  </si>
  <si>
    <t>A00645</t>
  </si>
  <si>
    <t>RAHNUMA SANJANA &amp; AROOBA SAMEERA</t>
  </si>
  <si>
    <t>A00646</t>
  </si>
  <si>
    <t>SUKANTA SAHA</t>
  </si>
  <si>
    <t>A00647</t>
  </si>
  <si>
    <t>A00648</t>
  </si>
  <si>
    <t>AZAM KHAN</t>
  </si>
  <si>
    <t>A00649</t>
  </si>
  <si>
    <t>MD. MITHU HOWLADER</t>
  </si>
  <si>
    <t>A00650</t>
  </si>
  <si>
    <t>ANJUMAN ARA BEGUM POLY</t>
  </si>
  <si>
    <t>A00651</t>
  </si>
  <si>
    <t>NASREEN BEGUM</t>
  </si>
  <si>
    <t>A00652</t>
  </si>
  <si>
    <t>A00653</t>
  </si>
  <si>
    <t>SHEIKH ASHRAFUL HAQUE</t>
  </si>
  <si>
    <t>A00654</t>
  </si>
  <si>
    <t>RAKIBUL HASSAN</t>
  </si>
  <si>
    <t>A00655</t>
  </si>
  <si>
    <t>SYEDUL TANVIR HOQUE PRIYAM</t>
  </si>
  <si>
    <t>A00656</t>
  </si>
  <si>
    <t>A00658</t>
  </si>
  <si>
    <t>Total Value Creation</t>
  </si>
  <si>
    <t>MASUM AHMED</t>
  </si>
  <si>
    <t>A00657</t>
  </si>
  <si>
    <t>MD. SAIFUL ISLAM</t>
  </si>
  <si>
    <t>RIPAN CHOWDHURY</t>
  </si>
  <si>
    <t>A00659</t>
  </si>
  <si>
    <t>MD SHAHIDUZZAMAN</t>
  </si>
  <si>
    <t>A00660</t>
  </si>
  <si>
    <t>AROOBA SAMEERA CHOWDHURY</t>
  </si>
  <si>
    <t>SUBIR HAGIDOK</t>
  </si>
  <si>
    <t>A00661</t>
  </si>
  <si>
    <t>SONIA REZINA</t>
  </si>
  <si>
    <t>A00662</t>
  </si>
  <si>
    <t>MAYMUNA AKTAR</t>
  </si>
  <si>
    <t>A00663</t>
  </si>
  <si>
    <t>FINEDGE IT</t>
  </si>
  <si>
    <t>A00664</t>
  </si>
  <si>
    <t>JOY SARKAR</t>
  </si>
  <si>
    <t>A00665</t>
  </si>
  <si>
    <t>A00666</t>
  </si>
  <si>
    <t>ZIA UDDIN</t>
  </si>
  <si>
    <t>EVA KHANOM</t>
  </si>
  <si>
    <t>A00667</t>
  </si>
  <si>
    <t>RIDAY PODDER</t>
  </si>
  <si>
    <t>A00668</t>
  </si>
  <si>
    <t>AHNAF ABRAR HASIN</t>
  </si>
  <si>
    <t>A00669</t>
  </si>
  <si>
    <t>IMRANUL GANI FIRA</t>
  </si>
  <si>
    <t>SHANTA MONI SAHA</t>
  </si>
  <si>
    <t>A00671</t>
  </si>
  <si>
    <t>NAYEEM UDDIN</t>
  </si>
  <si>
    <t>A00672</t>
  </si>
  <si>
    <t>SEML FBLSL GROWTH FUND</t>
  </si>
  <si>
    <t>A00673</t>
  </si>
  <si>
    <t>A00675</t>
  </si>
  <si>
    <t>PALASH BISWAS</t>
  </si>
  <si>
    <t>A00674</t>
  </si>
  <si>
    <t>MD MEHEDI HASAN</t>
  </si>
  <si>
    <t>KAZI MUNTASIR ASHRAF</t>
  </si>
  <si>
    <t>A00676</t>
  </si>
  <si>
    <t>MD JAHANGIR ALAM</t>
  </si>
  <si>
    <t>A00677</t>
  </si>
  <si>
    <t>A00679</t>
  </si>
  <si>
    <t>BI0002</t>
  </si>
  <si>
    <t>SAKIBUL HUQ</t>
  </si>
  <si>
    <t>A00678</t>
  </si>
  <si>
    <t>MD. KAMRUZZAMAN SHOVON</t>
  </si>
  <si>
    <t>A00680</t>
  </si>
  <si>
    <t>BI0003</t>
  </si>
  <si>
    <t>A00684</t>
  </si>
  <si>
    <t>A00683</t>
  </si>
  <si>
    <t>S.M.IMAM HOSSAIN CHISTY</t>
  </si>
  <si>
    <t>A00682</t>
  </si>
  <si>
    <t>MD. NAZMUS SAKIB</t>
  </si>
  <si>
    <t>HASAN MUHAMMED RASEL</t>
  </si>
  <si>
    <t>A00685</t>
  </si>
  <si>
    <t>A00687</t>
  </si>
  <si>
    <t>A00688</t>
  </si>
  <si>
    <t>MAMATAZ JAKIR</t>
  </si>
  <si>
    <t>A00686</t>
  </si>
  <si>
    <t>EDUINT LIMITED</t>
  </si>
  <si>
    <t>TAPAN KUMAR KHAN</t>
  </si>
  <si>
    <t>MD. FAKHRUL ISLAM</t>
  </si>
  <si>
    <t>BI0004</t>
  </si>
  <si>
    <t>SUSHMOY SAHA</t>
  </si>
  <si>
    <t>BI0005</t>
  </si>
  <si>
    <t>SAMIN YASAR</t>
  </si>
  <si>
    <t>BI0006</t>
  </si>
  <si>
    <t>TASNIM NOORIN</t>
  </si>
  <si>
    <t>A00689</t>
  </si>
  <si>
    <t>SHIBLY AMRAN</t>
  </si>
  <si>
    <t>A00690</t>
  </si>
  <si>
    <t>IFFAT JAHAN YASHA</t>
  </si>
  <si>
    <t>A00691</t>
  </si>
  <si>
    <t>BI0007</t>
  </si>
  <si>
    <t>MD. RAIHAN UL HASSAN RABBIL</t>
  </si>
  <si>
    <t>BI0008</t>
  </si>
  <si>
    <t>MD. MAHMUD IBNE KASHEM</t>
  </si>
  <si>
    <t>A00692</t>
  </si>
  <si>
    <t>Ending Balance as on</t>
  </si>
  <si>
    <t>K. M. ROHAN AHMED</t>
  </si>
  <si>
    <t>A00695</t>
  </si>
  <si>
    <t xml:space="preserve">MD NURUNNABY TUSHAR </t>
  </si>
  <si>
    <t>A00693</t>
  </si>
  <si>
    <t>MD. ABIR RAHMAN</t>
  </si>
  <si>
    <t>A00694</t>
  </si>
  <si>
    <t>SHILA SAHA</t>
  </si>
  <si>
    <t>MD. RIDWAN SIDDIQUEE</t>
  </si>
  <si>
    <t>BI0009</t>
  </si>
  <si>
    <t>AHMAD OBAIDUS SHAKUR</t>
  </si>
  <si>
    <t>BI0010</t>
  </si>
  <si>
    <t>SABIKUN NAHAR TANHA</t>
  </si>
  <si>
    <t>AL-FARABI AKASH</t>
  </si>
  <si>
    <t>BR0001</t>
  </si>
  <si>
    <t>BR0002</t>
  </si>
  <si>
    <t>KHADIZA PARVIN</t>
  </si>
  <si>
    <t>A00696</t>
  </si>
  <si>
    <t>MD. RAKIBUL ALOM</t>
  </si>
  <si>
    <t>A00697</t>
  </si>
  <si>
    <t>AKID AQTAB ZAMAN</t>
  </si>
  <si>
    <t>A00698</t>
  </si>
  <si>
    <t>ALBIN AHAMED</t>
  </si>
  <si>
    <t>BR0003</t>
  </si>
  <si>
    <t>A.K.M. FAHIM MASHROOR</t>
  </si>
  <si>
    <t>A00699</t>
  </si>
  <si>
    <t>BR0005</t>
  </si>
  <si>
    <t>BR0004</t>
  </si>
  <si>
    <t>A00700</t>
  </si>
  <si>
    <t>SHAHRIAR AZAD SHASHI &amp; MD. MOSHIUR RAHMAN KHAN</t>
  </si>
  <si>
    <t>A00701</t>
  </si>
  <si>
    <t>SYED ASHRAF UDDIN AHMED</t>
  </si>
  <si>
    <t>A00702</t>
  </si>
  <si>
    <t>CHANDAN KUMER DAS - Online</t>
  </si>
  <si>
    <t>A00703</t>
  </si>
  <si>
    <t>DIPANKAR BHATTACHARJEE</t>
  </si>
  <si>
    <t>BI0011</t>
  </si>
  <si>
    <t>SALEEM FARHAN</t>
  </si>
  <si>
    <t>BI0012</t>
  </si>
  <si>
    <t>ARPITA BARUA</t>
  </si>
  <si>
    <t>A00704</t>
  </si>
  <si>
    <t>SANJUKTA BHATTACHARJEE</t>
  </si>
  <si>
    <t>BI0013</t>
  </si>
  <si>
    <t>ZUBAIR IBNE ZAMAN</t>
  </si>
  <si>
    <t>BI0014</t>
  </si>
  <si>
    <t>A00705</t>
  </si>
  <si>
    <t>ISRAT JAHAN BRISTY</t>
  </si>
  <si>
    <t>A00706</t>
  </si>
  <si>
    <t>Registered under the Bangladesh Securities &amp; Exchange Commission 
(Mutual Fund) Rules, 2001.</t>
  </si>
  <si>
    <t>Registration No</t>
  </si>
  <si>
    <t>Sponsor</t>
  </si>
  <si>
    <t>Asset Manager</t>
  </si>
  <si>
    <t>Trustee</t>
  </si>
  <si>
    <t>Custodian</t>
  </si>
  <si>
    <t>:</t>
  </si>
  <si>
    <t>BSEC/Mutual Fund/2022/137</t>
  </si>
  <si>
    <t>Ekush Wealth Management Limited</t>
  </si>
  <si>
    <t>Sandhani Life Insurance Co. Ltd</t>
  </si>
  <si>
    <t>BRAC Bank Limited</t>
  </si>
  <si>
    <t>INVESTMENT CERTIFICATE</t>
  </si>
  <si>
    <t>Investor Code</t>
  </si>
  <si>
    <t>Cost of Investment Amount</t>
  </si>
  <si>
    <t>Cost Price per Unit</t>
  </si>
  <si>
    <t>Unit Purchased</t>
  </si>
  <si>
    <t>BDT</t>
  </si>
  <si>
    <t>Certified by:</t>
  </si>
  <si>
    <t>Kazi Ahsan Maruf, CFA</t>
  </si>
  <si>
    <t>Managing Director</t>
  </si>
  <si>
    <t>Shuva Saha, CFA</t>
  </si>
  <si>
    <t>Head of Compliance</t>
  </si>
  <si>
    <t>A00707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</si>
</sst>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409]mmmm\ d\,\ yyyy;@"/>
    <numFmt numFmtId="166" formatCode="_(* #,##0_);_(* \(#,##0\);_(* &quot;-&quot;??_);_(@_)"/>
    <numFmt numFmtId="167" formatCode="_(* #,##0.000_);_(* \(#,##0.000\);_(* &quot;-&quot;??_);_(@_)"/>
    <numFmt numFmtId="168" formatCode="[$-409]dd\-mmm\-yy;@"/>
    <numFmt numFmtId="169" formatCode="0.000"/>
  </numFmts>
  <fonts count="7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b/>
      <sz val="14"/>
      <color theme="1"/>
      <name val="Bahnschrift"/>
      <family val="2"/>
    </font>
    <font>
      <b/>
      <sz val="10"/>
      <color theme="1"/>
      <name val="Bahnschrift"/>
      <family val="2"/>
    </font>
    <font>
      <sz val="16"/>
      <color theme="1"/>
      <name val="Bahnschrift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Bahnschrift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2060"/>
      <name val="Calibri"/>
      <family val="2"/>
      <scheme val="minor"/>
    </font>
    <font>
      <b/>
      <sz val="12"/>
      <color rgb="FF0D0D0D"/>
      <name val="Bahnschrift"/>
      <family val="2"/>
    </font>
    <font>
      <sz val="12"/>
      <color theme="1"/>
      <name val="Bahnschrift"/>
      <family val="2"/>
    </font>
    <font>
      <b/>
      <sz val="12"/>
      <color theme="1"/>
      <name val="Bahnschrift"/>
      <family val="2"/>
    </font>
    <font>
      <sz val="12"/>
      <color rgb="FF0D0D0D"/>
      <name val="Bahnschrift"/>
      <family val="2"/>
    </font>
    <font>
      <b/>
      <u/>
      <sz val="20"/>
      <color theme="1"/>
      <name val="Bahnschrift"/>
      <family val="2"/>
    </font>
    <font>
      <b/>
      <sz val="20"/>
      <color theme="1"/>
      <name val="Bahnschrif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theme="9"/>
      </patternFill>
    </fill>
    <fill>
      <patternFill patternType="solid">
        <fgColor rgb="FF92D050"/>
        <bgColor theme="9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-0.249977111117893"/>
        <bgColor theme="0"/>
      </patternFill>
    </fill>
    <fill>
      <patternFill patternType="solid">
        <fgColor theme="7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4506668294322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</cellStyleXfs>
  <cellXfs count="345">
    <xf numFmtId="0" fontId="0" fillId="0" borderId="0" xfId="0"/>
    <xf numFmtId="0" fontId="30" fillId="2" borderId="0" xfId="0" applyFont="1" applyFill="1" applyAlignment="1">
      <alignment horizontal="center" vertical="center"/>
    </xf>
    <xf numFmtId="0" fontId="30" fillId="2" borderId="0" xfId="0" applyFont="1" applyFill="1"/>
    <xf numFmtId="165" fontId="30" fillId="2" borderId="0" xfId="0" applyNumberFormat="1" applyFont="1" applyFill="1" applyAlignment="1">
      <alignment horizontal="right"/>
    </xf>
    <xf numFmtId="0" fontId="30" fillId="2" borderId="0" xfId="0" applyFont="1" applyFill="1" applyAlignment="1">
      <alignment horizontal="center"/>
    </xf>
    <xf numFmtId="43" fontId="30" fillId="2" borderId="0" xfId="1" applyFont="1" applyFill="1" applyBorder="1"/>
    <xf numFmtId="2" fontId="30" fillId="2" borderId="0" xfId="0" applyNumberFormat="1" applyFont="1" applyFill="1"/>
    <xf numFmtId="166" fontId="30" fillId="2" borderId="0" xfId="1" applyNumberFormat="1" applyFont="1" applyFill="1" applyBorder="1"/>
    <xf numFmtId="166" fontId="30" fillId="2" borderId="0" xfId="1" applyNumberFormat="1" applyFont="1" applyFill="1"/>
    <xf numFmtId="43" fontId="30" fillId="2" borderId="0" xfId="1" applyFont="1" applyFill="1"/>
    <xf numFmtId="0" fontId="31" fillId="2" borderId="0" xfId="0" applyFont="1" applyFill="1" applyAlignment="1">
      <alignment vertical="center"/>
    </xf>
    <xf numFmtId="165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43" fontId="30" fillId="2" borderId="1" xfId="1" applyFont="1" applyFill="1" applyBorder="1" applyAlignment="1">
      <alignment horizontal="center" vertical="center" wrapText="1"/>
    </xf>
    <xf numFmtId="2" fontId="30" fillId="2" borderId="1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/>
    <xf numFmtId="0" fontId="30" fillId="2" borderId="1" xfId="0" applyFont="1" applyFill="1" applyBorder="1" applyAlignment="1">
      <alignment horizontal="right"/>
    </xf>
    <xf numFmtId="0" fontId="30" fillId="2" borderId="1" xfId="0" applyFont="1" applyFill="1" applyBorder="1"/>
    <xf numFmtId="165" fontId="30" fillId="2" borderId="1" xfId="0" applyNumberFormat="1" applyFont="1" applyFill="1" applyBorder="1" applyAlignment="1">
      <alignment horizontal="right"/>
    </xf>
    <xf numFmtId="0" fontId="30" fillId="2" borderId="1" xfId="0" applyFont="1" applyFill="1" applyBorder="1" applyAlignment="1">
      <alignment horizontal="center"/>
    </xf>
    <xf numFmtId="43" fontId="30" fillId="2" borderId="1" xfId="1" applyFont="1" applyFill="1" applyBorder="1"/>
    <xf numFmtId="2" fontId="30" fillId="2" borderId="1" xfId="0" applyNumberFormat="1" applyFont="1" applyFill="1" applyBorder="1"/>
    <xf numFmtId="0" fontId="32" fillId="2" borderId="3" xfId="0" applyFont="1" applyFill="1" applyBorder="1" applyAlignment="1">
      <alignment vertical="center" wrapText="1"/>
    </xf>
    <xf numFmtId="165" fontId="32" fillId="2" borderId="4" xfId="0" applyNumberFormat="1" applyFont="1" applyFill="1" applyBorder="1" applyAlignment="1">
      <alignment vertical="center" wrapText="1"/>
    </xf>
    <xf numFmtId="165" fontId="32" fillId="2" borderId="5" xfId="0" applyNumberFormat="1" applyFont="1" applyFill="1" applyBorder="1" applyAlignment="1">
      <alignment vertical="center" wrapText="1"/>
    </xf>
    <xf numFmtId="165" fontId="32" fillId="2" borderId="6" xfId="0" applyNumberFormat="1" applyFont="1" applyFill="1" applyBorder="1" applyAlignment="1">
      <alignment vertical="center" wrapText="1"/>
    </xf>
    <xf numFmtId="165" fontId="30" fillId="2" borderId="7" xfId="0" applyNumberFormat="1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43" fontId="30" fillId="2" borderId="7" xfId="1" applyFont="1" applyFill="1" applyBorder="1"/>
    <xf numFmtId="2" fontId="30" fillId="2" borderId="7" xfId="0" applyNumberFormat="1" applyFont="1" applyFill="1" applyBorder="1"/>
    <xf numFmtId="166" fontId="30" fillId="2" borderId="0" xfId="1" applyNumberFormat="1" applyFont="1" applyFill="1" applyAlignment="1">
      <alignment horizontal="center"/>
    </xf>
    <xf numFmtId="0" fontId="32" fillId="2" borderId="0" xfId="0" applyFont="1" applyFill="1"/>
    <xf numFmtId="0" fontId="32" fillId="2" borderId="0" xfId="0" applyFont="1" applyFill="1" applyAlignment="1">
      <alignment horizontal="left"/>
    </xf>
    <xf numFmtId="166" fontId="30" fillId="2" borderId="1" xfId="1" applyNumberFormat="1" applyFont="1" applyFill="1" applyBorder="1" applyAlignment="1">
      <alignment horizontal="center" vertical="center" wrapText="1"/>
    </xf>
    <xf numFmtId="166" fontId="30" fillId="2" borderId="1" xfId="1" applyNumberFormat="1" applyFont="1" applyFill="1" applyBorder="1"/>
    <xf numFmtId="166" fontId="30" fillId="2" borderId="1" xfId="1" applyNumberFormat="1" applyFont="1" applyFill="1" applyBorder="1" applyAlignment="1">
      <alignment horizontal="center"/>
    </xf>
    <xf numFmtId="167" fontId="30" fillId="2" borderId="1" xfId="1" applyNumberFormat="1" applyFont="1" applyFill="1" applyBorder="1"/>
    <xf numFmtId="166" fontId="30" fillId="2" borderId="7" xfId="1" applyNumberFormat="1" applyFont="1" applyFill="1" applyBorder="1"/>
    <xf numFmtId="166" fontId="30" fillId="2" borderId="7" xfId="1" applyNumberFormat="1" applyFont="1" applyFill="1" applyBorder="1" applyAlignment="1">
      <alignment horizontal="center"/>
    </xf>
    <xf numFmtId="43" fontId="30" fillId="2" borderId="0" xfId="1" applyFont="1" applyFill="1" applyAlignment="1">
      <alignment horizontal="center"/>
    </xf>
    <xf numFmtId="43" fontId="30" fillId="2" borderId="0" xfId="0" applyNumberFormat="1" applyFont="1" applyFill="1"/>
    <xf numFmtId="10" fontId="30" fillId="2" borderId="0" xfId="2" applyNumberFormat="1" applyFont="1" applyFill="1"/>
    <xf numFmtId="165" fontId="32" fillId="2" borderId="8" xfId="0" applyNumberFormat="1" applyFont="1" applyFill="1" applyBorder="1" applyAlignment="1">
      <alignment vertical="center" wrapText="1"/>
    </xf>
    <xf numFmtId="9" fontId="30" fillId="2" borderId="0" xfId="0" applyNumberFormat="1" applyFont="1" applyFill="1"/>
    <xf numFmtId="166" fontId="30" fillId="2" borderId="0" xfId="1" applyNumberFormat="1" applyFont="1" applyFill="1" applyBorder="1" applyAlignment="1">
      <alignment horizontal="center"/>
    </xf>
    <xf numFmtId="43" fontId="32" fillId="2" borderId="0" xfId="0" applyNumberFormat="1" applyFont="1" applyFill="1"/>
    <xf numFmtId="0" fontId="0" fillId="0" borderId="0" xfId="0" applyAlignment="1">
      <alignment horizontal="center" vertical="top" wrapText="1"/>
    </xf>
    <xf numFmtId="166" fontId="0" fillId="0" borderId="0" xfId="1" applyNumberFormat="1" applyFont="1"/>
    <xf numFmtId="43" fontId="0" fillId="0" borderId="0" xfId="0" applyNumberFormat="1"/>
    <xf numFmtId="43" fontId="0" fillId="0" borderId="0" xfId="1" applyFont="1"/>
    <xf numFmtId="166" fontId="0" fillId="0" borderId="0" xfId="0" applyNumberFormat="1"/>
    <xf numFmtId="0" fontId="34" fillId="4" borderId="9" xfId="0" applyFont="1" applyFill="1" applyBorder="1" applyAlignment="1">
      <alignment horizontal="center" vertical="top" wrapText="1"/>
    </xf>
    <xf numFmtId="0" fontId="34" fillId="4" borderId="10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4" fillId="4" borderId="11" xfId="0" applyFont="1" applyFill="1" applyBorder="1" applyAlignment="1">
      <alignment horizontal="center" vertical="top" wrapText="1"/>
    </xf>
    <xf numFmtId="0" fontId="34" fillId="4" borderId="12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35" fillId="5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165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43" fontId="0" fillId="0" borderId="0" xfId="1" applyFont="1" applyFill="1" applyAlignment="1">
      <alignment horizontal="center" vertical="top" wrapText="1"/>
    </xf>
    <xf numFmtId="43" fontId="0" fillId="0" borderId="0" xfId="1" applyFont="1" applyAlignment="1">
      <alignment horizontal="center" vertical="top" wrapText="1"/>
    </xf>
    <xf numFmtId="43" fontId="0" fillId="0" borderId="0" xfId="1" applyFont="1" applyAlignment="1">
      <alignment horizontal="right" vertical="top"/>
    </xf>
    <xf numFmtId="167" fontId="0" fillId="0" borderId="0" xfId="1" applyNumberFormat="1" applyFont="1" applyAlignment="1">
      <alignment horizontal="center" vertical="top" wrapText="1"/>
    </xf>
    <xf numFmtId="166" fontId="0" fillId="0" borderId="0" xfId="0" applyNumberFormat="1" applyAlignment="1">
      <alignment horizontal="center" vertical="top" wrapText="1"/>
    </xf>
    <xf numFmtId="166" fontId="0" fillId="0" borderId="0" xfId="1" applyNumberFormat="1" applyFont="1" applyAlignment="1">
      <alignment vertical="top" wrapText="1"/>
    </xf>
    <xf numFmtId="43" fontId="0" fillId="0" borderId="0" xfId="1" applyFont="1" applyAlignment="1">
      <alignment horizontal="right" vertical="top" wrapText="1"/>
    </xf>
    <xf numFmtId="43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36" fillId="0" borderId="17" xfId="0" applyFont="1" applyBorder="1" applyAlignment="1">
      <alignment vertical="top" wrapText="1"/>
    </xf>
    <xf numFmtId="0" fontId="36" fillId="0" borderId="17" xfId="0" applyFont="1" applyBorder="1" applyAlignment="1">
      <alignment vertical="top"/>
    </xf>
    <xf numFmtId="0" fontId="37" fillId="7" borderId="18" xfId="0" applyFont="1" applyFill="1" applyBorder="1" applyAlignment="1">
      <alignment horizontal="center" vertical="center" wrapText="1"/>
    </xf>
    <xf numFmtId="0" fontId="38" fillId="8" borderId="18" xfId="0" applyFont="1" applyFill="1" applyBorder="1" applyAlignment="1">
      <alignment horizontal="center" vertical="center" wrapText="1"/>
    </xf>
    <xf numFmtId="0" fontId="37" fillId="8" borderId="18" xfId="0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39" fillId="7" borderId="18" xfId="0" applyFont="1" applyFill="1" applyBorder="1" applyAlignment="1">
      <alignment horizontal="center" vertical="center" wrapText="1"/>
    </xf>
    <xf numFmtId="43" fontId="0" fillId="0" borderId="0" xfId="1" applyFont="1" applyFill="1" applyBorder="1" applyAlignment="1"/>
    <xf numFmtId="167" fontId="0" fillId="0" borderId="0" xfId="1" applyNumberFormat="1" applyFont="1" applyFill="1" applyBorder="1"/>
    <xf numFmtId="166" fontId="0" fillId="0" borderId="0" xfId="1" applyNumberFormat="1" applyFont="1" applyFill="1" applyBorder="1"/>
    <xf numFmtId="43" fontId="0" fillId="0" borderId="0" xfId="1" applyFont="1" applyFill="1" applyAlignment="1"/>
    <xf numFmtId="167" fontId="0" fillId="0" borderId="0" xfId="1" applyNumberFormat="1" applyFont="1" applyFill="1"/>
    <xf numFmtId="166" fontId="0" fillId="0" borderId="0" xfId="1" applyNumberFormat="1" applyFont="1" applyFill="1"/>
    <xf numFmtId="167" fontId="35" fillId="9" borderId="12" xfId="1" applyNumberFormat="1" applyFont="1" applyFill="1" applyBorder="1" applyAlignment="1">
      <alignment horizontal="center" vertical="center"/>
    </xf>
    <xf numFmtId="0" fontId="35" fillId="0" borderId="0" xfId="0" applyFont="1"/>
    <xf numFmtId="0" fontId="38" fillId="8" borderId="19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43" fontId="0" fillId="0" borderId="0" xfId="1" applyFont="1" applyFill="1"/>
    <xf numFmtId="0" fontId="0" fillId="0" borderId="0" xfId="0" applyAlignment="1">
      <alignment horizontal="center"/>
    </xf>
    <xf numFmtId="168" fontId="40" fillId="0" borderId="0" xfId="0" applyNumberFormat="1" applyFont="1" applyAlignment="1">
      <alignment horizontal="center" vertical="center"/>
    </xf>
    <xf numFmtId="0" fontId="40" fillId="0" borderId="0" xfId="0" applyFont="1"/>
    <xf numFmtId="43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43" fontId="40" fillId="0" borderId="0" xfId="0" applyNumberFormat="1" applyFont="1"/>
    <xf numFmtId="167" fontId="40" fillId="0" borderId="0" xfId="0" applyNumberFormat="1" applyFont="1"/>
    <xf numFmtId="166" fontId="40" fillId="0" borderId="0" xfId="0" applyNumberFormat="1" applyFont="1"/>
    <xf numFmtId="167" fontId="0" fillId="0" borderId="0" xfId="0" applyNumberFormat="1"/>
    <xf numFmtId="166" fontId="0" fillId="10" borderId="0" xfId="0" applyNumberFormat="1" applyFill="1"/>
    <xf numFmtId="166" fontId="0" fillId="11" borderId="0" xfId="0" applyNumberFormat="1" applyFill="1"/>
    <xf numFmtId="10" fontId="0" fillId="0" borderId="0" xfId="2" applyNumberFormat="1" applyFont="1"/>
    <xf numFmtId="10" fontId="0" fillId="0" borderId="0" xfId="0" applyNumberFormat="1"/>
    <xf numFmtId="167" fontId="0" fillId="0" borderId="0" xfId="1" applyNumberFormat="1" applyFont="1"/>
    <xf numFmtId="43" fontId="0" fillId="12" borderId="0" xfId="1" applyFont="1" applyFill="1"/>
    <xf numFmtId="43" fontId="0" fillId="12" borderId="0" xfId="0" applyNumberFormat="1" applyFill="1"/>
    <xf numFmtId="0" fontId="0" fillId="0" borderId="20" xfId="0" applyBorder="1" applyAlignment="1">
      <alignment horizontal="center"/>
    </xf>
    <xf numFmtId="0" fontId="43" fillId="0" borderId="0" xfId="0" applyFont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0" fontId="43" fillId="0" borderId="0" xfId="0" applyFont="1"/>
    <xf numFmtId="43" fontId="43" fillId="0" borderId="0" xfId="0" applyNumberFormat="1" applyFont="1" applyAlignment="1">
      <alignment horizontal="center" vertical="center"/>
    </xf>
    <xf numFmtId="43" fontId="43" fillId="0" borderId="0" xfId="0" applyNumberFormat="1" applyFont="1"/>
    <xf numFmtId="167" fontId="43" fillId="0" borderId="0" xfId="0" applyNumberFormat="1" applyFont="1"/>
    <xf numFmtId="166" fontId="43" fillId="0" borderId="0" xfId="0" applyNumberFormat="1" applyFont="1"/>
    <xf numFmtId="43" fontId="42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right" vertical="top" wrapText="1"/>
    </xf>
    <xf numFmtId="167" fontId="0" fillId="0" borderId="0" xfId="0" applyNumberFormat="1" applyAlignment="1">
      <alignment horizontal="center" vertical="top" wrapText="1"/>
    </xf>
    <xf numFmtId="43" fontId="44" fillId="0" borderId="0" xfId="1" applyFont="1" applyFill="1" applyAlignment="1">
      <alignment horizontal="center" vertical="center"/>
    </xf>
    <xf numFmtId="9" fontId="30" fillId="2" borderId="0" xfId="2" applyFont="1" applyFill="1"/>
    <xf numFmtId="167" fontId="30" fillId="2" borderId="0" xfId="1" applyNumberFormat="1" applyFont="1" applyFill="1"/>
    <xf numFmtId="0" fontId="44" fillId="0" borderId="0" xfId="0" applyFont="1" applyAlignment="1">
      <alignment horizontal="center"/>
    </xf>
    <xf numFmtId="2" fontId="30" fillId="2" borderId="8" xfId="0" applyNumberFormat="1" applyFont="1" applyFill="1" applyBorder="1"/>
    <xf numFmtId="165" fontId="30" fillId="2" borderId="6" xfId="0" applyNumberFormat="1" applyFont="1" applyFill="1" applyBorder="1"/>
    <xf numFmtId="14" fontId="30" fillId="2" borderId="8" xfId="0" applyNumberFormat="1" applyFont="1" applyFill="1" applyBorder="1" applyAlignment="1">
      <alignment horizontal="left"/>
    </xf>
    <xf numFmtId="2" fontId="30" fillId="2" borderId="22" xfId="0" applyNumberFormat="1" applyFont="1" applyFill="1" applyBorder="1"/>
    <xf numFmtId="43" fontId="32" fillId="2" borderId="23" xfId="1" applyFont="1" applyFill="1" applyBorder="1"/>
    <xf numFmtId="167" fontId="30" fillId="2" borderId="25" xfId="1" applyNumberFormat="1" applyFont="1" applyFill="1" applyBorder="1"/>
    <xf numFmtId="165" fontId="30" fillId="2" borderId="27" xfId="0" applyNumberFormat="1" applyFont="1" applyFill="1" applyBorder="1" applyAlignment="1">
      <alignment horizontal="right"/>
    </xf>
    <xf numFmtId="43" fontId="32" fillId="2" borderId="25" xfId="1" applyFont="1" applyFill="1" applyBorder="1"/>
    <xf numFmtId="43" fontId="30" fillId="2" borderId="25" xfId="1" applyFont="1" applyFill="1" applyBorder="1"/>
    <xf numFmtId="165" fontId="30" fillId="2" borderId="0" xfId="0" applyNumberFormat="1" applyFont="1" applyFill="1" applyAlignment="1">
      <alignment horizontal="left"/>
    </xf>
    <xf numFmtId="166" fontId="30" fillId="0" borderId="1" xfId="1" applyNumberFormat="1" applyFont="1" applyFill="1" applyBorder="1"/>
    <xf numFmtId="166" fontId="30" fillId="0" borderId="2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43" fontId="45" fillId="0" borderId="0" xfId="0" applyNumberFormat="1" applyFont="1"/>
    <xf numFmtId="166" fontId="45" fillId="0" borderId="0" xfId="0" applyNumberFormat="1" applyFont="1"/>
    <xf numFmtId="0" fontId="45" fillId="0" borderId="0" xfId="0" applyFont="1"/>
    <xf numFmtId="168" fontId="45" fillId="0" borderId="0" xfId="0" applyNumberFormat="1" applyFont="1" applyAlignment="1">
      <alignment horizontal="center" vertical="center"/>
    </xf>
    <xf numFmtId="43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45" fillId="0" borderId="0" xfId="0" applyNumberFormat="1" applyFont="1"/>
    <xf numFmtId="0" fontId="29" fillId="0" borderId="0" xfId="0" applyFont="1" applyAlignment="1">
      <alignment horizontal="center" vertical="top" wrapText="1"/>
    </xf>
    <xf numFmtId="0" fontId="44" fillId="0" borderId="0" xfId="0" applyFont="1" applyAlignment="1">
      <alignment horizontal="center" vertical="top" wrapText="1"/>
    </xf>
    <xf numFmtId="43" fontId="40" fillId="0" borderId="0" xfId="1" applyFont="1" applyFill="1" applyAlignment="1">
      <alignment horizontal="right" vertical="top"/>
    </xf>
    <xf numFmtId="43" fontId="40" fillId="0" borderId="0" xfId="1" applyFont="1" applyAlignment="1">
      <alignment horizontal="right" vertical="top"/>
    </xf>
    <xf numFmtId="43" fontId="40" fillId="0" borderId="0" xfId="1" applyFont="1" applyAlignment="1">
      <alignment horizontal="right" vertical="top" wrapText="1"/>
    </xf>
    <xf numFmtId="0" fontId="28" fillId="0" borderId="0" xfId="0" applyFont="1" applyAlignment="1">
      <alignment horizontal="center" vertical="top" wrapText="1"/>
    </xf>
    <xf numFmtId="0" fontId="47" fillId="0" borderId="0" xfId="0" applyFont="1" applyAlignment="1">
      <alignment horizontal="center" vertical="center"/>
    </xf>
    <xf numFmtId="43" fontId="48" fillId="0" borderId="0" xfId="0" applyNumberFormat="1" applyFont="1"/>
    <xf numFmtId="166" fontId="48" fillId="0" borderId="0" xfId="0" applyNumberFormat="1" applyFont="1"/>
    <xf numFmtId="0" fontId="48" fillId="0" borderId="0" xfId="0" applyFont="1"/>
    <xf numFmtId="0" fontId="48" fillId="0" borderId="0" xfId="0" applyFont="1" applyAlignment="1">
      <alignment horizontal="center" vertical="center"/>
    </xf>
    <xf numFmtId="168" fontId="48" fillId="0" borderId="0" xfId="0" applyNumberFormat="1" applyFont="1" applyAlignment="1">
      <alignment horizontal="center" vertical="center"/>
    </xf>
    <xf numFmtId="43" fontId="48" fillId="0" borderId="0" xfId="0" applyNumberFormat="1" applyFont="1" applyAlignment="1">
      <alignment horizontal="center" vertical="center"/>
    </xf>
    <xf numFmtId="167" fontId="48" fillId="0" borderId="0" xfId="0" applyNumberFormat="1" applyFont="1"/>
    <xf numFmtId="43" fontId="49" fillId="0" borderId="0" xfId="0" applyNumberFormat="1" applyFont="1"/>
    <xf numFmtId="166" fontId="49" fillId="0" borderId="0" xfId="0" applyNumberFormat="1" applyFont="1"/>
    <xf numFmtId="0" fontId="49" fillId="0" borderId="0" xfId="0" applyFont="1"/>
    <xf numFmtId="43" fontId="40" fillId="0" borderId="0" xfId="0" applyNumberFormat="1" applyFont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166" fontId="27" fillId="0" borderId="0" xfId="0" applyNumberFormat="1" applyFont="1"/>
    <xf numFmtId="0" fontId="25" fillId="0" borderId="0" xfId="0" applyFont="1" applyAlignment="1">
      <alignment horizontal="center" vertical="top" wrapText="1"/>
    </xf>
    <xf numFmtId="164" fontId="0" fillId="0" borderId="0" xfId="0" applyNumberFormat="1"/>
    <xf numFmtId="43" fontId="40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50" fillId="0" borderId="0" xfId="0" applyFont="1" applyAlignment="1">
      <alignment horizontal="right" vertical="top" wrapText="1"/>
    </xf>
    <xf numFmtId="43" fontId="50" fillId="0" borderId="0" xfId="1" applyFont="1" applyAlignment="1">
      <alignment horizontal="right" vertical="top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3" fontId="51" fillId="0" borderId="0" xfId="0" applyNumberFormat="1" applyFont="1"/>
    <xf numFmtId="166" fontId="51" fillId="0" borderId="0" xfId="0" applyNumberFormat="1" applyFont="1"/>
    <xf numFmtId="0" fontId="51" fillId="0" borderId="0" xfId="0" applyFont="1"/>
    <xf numFmtId="0" fontId="52" fillId="0" borderId="0" xfId="0" applyFont="1" applyAlignment="1">
      <alignment horizontal="right" vertical="top" wrapText="1"/>
    </xf>
    <xf numFmtId="43" fontId="53" fillId="0" borderId="0" xfId="0" applyNumberFormat="1" applyFont="1"/>
    <xf numFmtId="166" fontId="53" fillId="0" borderId="0" xfId="0" applyNumberFormat="1" applyFont="1"/>
    <xf numFmtId="0" fontId="53" fillId="0" borderId="0" xfId="0" applyFont="1"/>
    <xf numFmtId="0" fontId="53" fillId="0" borderId="0" xfId="0" applyFont="1" applyAlignment="1">
      <alignment horizontal="center" vertical="center"/>
    </xf>
    <xf numFmtId="168" fontId="53" fillId="0" borderId="0" xfId="0" applyNumberFormat="1" applyFont="1" applyAlignment="1">
      <alignment horizontal="center" vertical="center"/>
    </xf>
    <xf numFmtId="43" fontId="53" fillId="0" borderId="0" xfId="0" applyNumberFormat="1" applyFont="1" applyAlignment="1">
      <alignment horizontal="center" vertical="center"/>
    </xf>
    <xf numFmtId="167" fontId="53" fillId="0" borderId="0" xfId="0" applyNumberFormat="1" applyFont="1"/>
    <xf numFmtId="165" fontId="54" fillId="13" borderId="0" xfId="0" applyNumberFormat="1" applyFont="1" applyFill="1" applyAlignment="1">
      <alignment horizontal="left"/>
    </xf>
    <xf numFmtId="0" fontId="54" fillId="13" borderId="0" xfId="0" applyFont="1" applyFill="1" applyAlignment="1">
      <alignment horizontal="center"/>
    </xf>
    <xf numFmtId="43" fontId="54" fillId="13" borderId="0" xfId="1" applyFont="1" applyFill="1" applyBorder="1"/>
    <xf numFmtId="2" fontId="54" fillId="13" borderId="0" xfId="0" applyNumberFormat="1" applyFont="1" applyFill="1"/>
    <xf numFmtId="166" fontId="54" fillId="13" borderId="0" xfId="1" applyNumberFormat="1" applyFont="1" applyFill="1" applyBorder="1"/>
    <xf numFmtId="10" fontId="54" fillId="13" borderId="0" xfId="2" applyNumberFormat="1" applyFont="1" applyFill="1" applyAlignment="1">
      <alignment horizontal="left"/>
    </xf>
    <xf numFmtId="43" fontId="40" fillId="0" borderId="0" xfId="0" applyNumberFormat="1" applyFont="1" applyAlignment="1">
      <alignment horizontal="right" vertical="top" wrapText="1"/>
    </xf>
    <xf numFmtId="0" fontId="18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14" borderId="0" xfId="0" applyFill="1"/>
    <xf numFmtId="0" fontId="16" fillId="0" borderId="0" xfId="0" applyFont="1" applyAlignment="1">
      <alignment horizontal="center"/>
    </xf>
    <xf numFmtId="0" fontId="55" fillId="14" borderId="0" xfId="0" applyFont="1" applyFill="1"/>
    <xf numFmtId="0" fontId="15" fillId="0" borderId="0" xfId="0" applyFont="1" applyAlignment="1">
      <alignment horizontal="center"/>
    </xf>
    <xf numFmtId="49" fontId="40" fillId="0" borderId="0" xfId="0" applyNumberFormat="1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top" wrapText="1"/>
    </xf>
    <xf numFmtId="43" fontId="56" fillId="0" borderId="0" xfId="0" applyNumberFormat="1" applyFont="1"/>
    <xf numFmtId="166" fontId="56" fillId="0" borderId="0" xfId="0" applyNumberFormat="1" applyFont="1"/>
    <xf numFmtId="0" fontId="56" fillId="0" borderId="0" xfId="0" applyFont="1"/>
    <xf numFmtId="0" fontId="11" fillId="0" borderId="0" xfId="0" applyFont="1" applyAlignment="1">
      <alignment horizontal="center"/>
    </xf>
    <xf numFmtId="168" fontId="57" fillId="0" borderId="0" xfId="0" applyNumberFormat="1" applyFont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center" vertical="center"/>
    </xf>
    <xf numFmtId="43" fontId="57" fillId="0" borderId="0" xfId="0" applyNumberFormat="1" applyFont="1"/>
    <xf numFmtId="167" fontId="57" fillId="0" borderId="0" xfId="0" applyNumberFormat="1" applyFont="1"/>
    <xf numFmtId="166" fontId="57" fillId="0" borderId="0" xfId="0" applyNumberFormat="1" applyFont="1"/>
    <xf numFmtId="0" fontId="10" fillId="0" borderId="0" xfId="0" applyFont="1" applyAlignment="1">
      <alignment horizontal="center"/>
    </xf>
    <xf numFmtId="0" fontId="30" fillId="2" borderId="3" xfId="0" applyFont="1" applyFill="1" applyBorder="1" applyAlignment="1">
      <alignment horizontal="right"/>
    </xf>
    <xf numFmtId="0" fontId="30" fillId="2" borderId="4" xfId="0" applyFont="1" applyFill="1" applyBorder="1"/>
    <xf numFmtId="43" fontId="58" fillId="0" borderId="0" xfId="1" applyFont="1" applyAlignment="1">
      <alignment horizontal="right" vertical="top"/>
    </xf>
    <xf numFmtId="43" fontId="58" fillId="0" borderId="0" xfId="1" applyFont="1" applyAlignment="1">
      <alignment horizontal="right" vertical="top" wrapText="1"/>
    </xf>
    <xf numFmtId="0" fontId="9" fillId="0" borderId="0" xfId="0" applyFont="1" applyAlignment="1">
      <alignment horizontal="center"/>
    </xf>
    <xf numFmtId="43" fontId="59" fillId="0" borderId="0" xfId="0" applyNumberFormat="1" applyFont="1"/>
    <xf numFmtId="166" fontId="59" fillId="0" borderId="0" xfId="0" applyNumberFormat="1" applyFont="1"/>
    <xf numFmtId="0" fontId="59" fillId="0" borderId="0" xfId="0" applyFont="1"/>
    <xf numFmtId="0" fontId="8" fillId="0" borderId="0" xfId="0" applyFont="1"/>
    <xf numFmtId="0" fontId="60" fillId="0" borderId="0" xfId="0" applyFont="1" applyAlignment="1">
      <alignment horizontal="center" vertical="center"/>
    </xf>
    <xf numFmtId="168" fontId="60" fillId="0" borderId="0" xfId="0" applyNumberFormat="1" applyFont="1" applyAlignment="1">
      <alignment horizontal="center" vertical="center"/>
    </xf>
    <xf numFmtId="0" fontId="60" fillId="0" borderId="0" xfId="0" applyFont="1"/>
    <xf numFmtId="43" fontId="60" fillId="0" borderId="0" xfId="0" applyNumberFormat="1" applyFont="1" applyAlignment="1">
      <alignment horizontal="center" vertical="center"/>
    </xf>
    <xf numFmtId="43" fontId="60" fillId="0" borderId="0" xfId="0" applyNumberFormat="1" applyFont="1"/>
    <xf numFmtId="167" fontId="60" fillId="0" borderId="0" xfId="0" applyNumberFormat="1" applyFont="1"/>
    <xf numFmtId="166" fontId="60" fillId="0" borderId="0" xfId="0" applyNumberFormat="1" applyFont="1"/>
    <xf numFmtId="2" fontId="30" fillId="2" borderId="30" xfId="0" applyNumberFormat="1" applyFont="1" applyFill="1" applyBorder="1"/>
    <xf numFmtId="43" fontId="30" fillId="2" borderId="31" xfId="1" applyFont="1" applyFill="1" applyBorder="1"/>
    <xf numFmtId="43" fontId="61" fillId="0" borderId="0" xfId="0" applyNumberFormat="1" applyFont="1"/>
    <xf numFmtId="166" fontId="61" fillId="0" borderId="0" xfId="0" applyNumberFormat="1" applyFont="1"/>
    <xf numFmtId="0" fontId="61" fillId="0" borderId="0" xfId="0" applyFont="1"/>
    <xf numFmtId="0" fontId="61" fillId="0" borderId="0" xfId="0" applyFont="1" applyAlignment="1">
      <alignment horizontal="center" vertical="center"/>
    </xf>
    <xf numFmtId="168" fontId="61" fillId="0" borderId="0" xfId="0" applyNumberFormat="1" applyFont="1" applyAlignment="1">
      <alignment horizontal="center" vertical="center"/>
    </xf>
    <xf numFmtId="43" fontId="61" fillId="0" borderId="0" xfId="0" applyNumberFormat="1" applyFont="1" applyAlignment="1">
      <alignment horizontal="center" vertical="center"/>
    </xf>
    <xf numFmtId="167" fontId="61" fillId="0" borderId="0" xfId="0" applyNumberFormat="1" applyFont="1"/>
    <xf numFmtId="0" fontId="62" fillId="0" borderId="0" xfId="0" applyFont="1" applyAlignment="1">
      <alignment horizontal="right" vertical="top" wrapText="1"/>
    </xf>
    <xf numFmtId="43" fontId="62" fillId="0" borderId="0" xfId="0" applyNumberFormat="1" applyFont="1" applyAlignment="1">
      <alignment horizontal="right" vertical="top" wrapText="1"/>
    </xf>
    <xf numFmtId="0" fontId="63" fillId="0" borderId="0" xfId="0" applyFont="1" applyAlignment="1">
      <alignment horizontal="center" vertical="center"/>
    </xf>
    <xf numFmtId="168" fontId="63" fillId="0" borderId="0" xfId="0" applyNumberFormat="1" applyFont="1" applyAlignment="1">
      <alignment horizontal="center" vertical="center"/>
    </xf>
    <xf numFmtId="0" fontId="63" fillId="0" borderId="0" xfId="0" applyFont="1"/>
    <xf numFmtId="43" fontId="63" fillId="0" borderId="0" xfId="0" applyNumberFormat="1" applyFont="1" applyAlignment="1">
      <alignment horizontal="center" vertical="center"/>
    </xf>
    <xf numFmtId="43" fontId="63" fillId="0" borderId="0" xfId="0" applyNumberFormat="1" applyFont="1"/>
    <xf numFmtId="167" fontId="63" fillId="0" borderId="0" xfId="0" applyNumberFormat="1" applyFont="1"/>
    <xf numFmtId="166" fontId="63" fillId="0" borderId="0" xfId="0" applyNumberFormat="1" applyFont="1"/>
    <xf numFmtId="0" fontId="7" fillId="0" borderId="0" xfId="0" applyFont="1" applyAlignment="1">
      <alignment horizontal="center" vertical="top" wrapText="1"/>
    </xf>
    <xf numFmtId="43" fontId="64" fillId="0" borderId="0" xfId="0" applyNumberFormat="1" applyFont="1"/>
    <xf numFmtId="166" fontId="64" fillId="0" borderId="0" xfId="0" applyNumberFormat="1" applyFont="1"/>
    <xf numFmtId="0" fontId="64" fillId="0" borderId="0" xfId="0" applyFont="1"/>
    <xf numFmtId="43" fontId="65" fillId="0" borderId="0" xfId="0" applyNumberFormat="1" applyFont="1"/>
    <xf numFmtId="166" fontId="65" fillId="0" borderId="0" xfId="0" applyNumberFormat="1" applyFont="1"/>
    <xf numFmtId="0" fontId="65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20" xfId="0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67" fillId="0" borderId="0" xfId="0" applyFont="1"/>
    <xf numFmtId="43" fontId="68" fillId="0" borderId="0" xfId="0" applyNumberFormat="1" applyFont="1"/>
    <xf numFmtId="166" fontId="68" fillId="0" borderId="0" xfId="0" applyNumberFormat="1" applyFont="1"/>
    <xf numFmtId="0" fontId="68" fillId="0" borderId="0" xfId="0" applyFont="1"/>
    <xf numFmtId="0" fontId="68" fillId="0" borderId="0" xfId="0" applyFont="1" applyAlignment="1">
      <alignment horizontal="center" vertical="center"/>
    </xf>
    <xf numFmtId="168" fontId="68" fillId="0" borderId="0" xfId="0" applyNumberFormat="1" applyFont="1" applyAlignment="1">
      <alignment horizontal="center" vertical="center"/>
    </xf>
    <xf numFmtId="43" fontId="68" fillId="0" borderId="0" xfId="0" applyNumberFormat="1" applyFont="1" applyAlignment="1">
      <alignment horizontal="center" vertical="center"/>
    </xf>
    <xf numFmtId="167" fontId="68" fillId="0" borderId="0" xfId="0" applyNumberFormat="1" applyFont="1"/>
    <xf numFmtId="0" fontId="2" fillId="0" borderId="0" xfId="0" applyFont="1"/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top" wrapText="1"/>
    </xf>
    <xf numFmtId="0" fontId="69" fillId="0" borderId="0" xfId="0" applyFont="1" applyAlignment="1">
      <alignment horizontal="center" vertical="center" wrapText="1"/>
    </xf>
    <xf numFmtId="0" fontId="71" fillId="0" borderId="0" xfId="0" applyFont="1"/>
    <xf numFmtId="0" fontId="73" fillId="0" borderId="0" xfId="0" applyFont="1"/>
    <xf numFmtId="0" fontId="73" fillId="0" borderId="0" xfId="0" applyFont="1" applyAlignment="1">
      <alignment vertical="top" wrapText="1"/>
    </xf>
    <xf numFmtId="0" fontId="70" fillId="0" borderId="6" xfId="0" applyFont="1" applyBorder="1" applyAlignment="1">
      <alignment vertical="center" wrapText="1"/>
    </xf>
    <xf numFmtId="0" fontId="70" fillId="0" borderId="8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43" fontId="0" fillId="0" borderId="0" xfId="1" applyFont="1" applyFill="1" applyAlignment="1">
      <alignment horizontal="right" vertical="top"/>
    </xf>
    <xf numFmtId="43" fontId="52" fillId="0" borderId="0" xfId="1" applyFont="1" applyAlignment="1">
      <alignment horizontal="right" vertical="top"/>
    </xf>
    <xf numFmtId="43" fontId="40" fillId="0" borderId="0" xfId="1" applyFont="1"/>
    <xf numFmtId="43" fontId="50" fillId="0" borderId="0" xfId="1" applyFont="1" applyAlignment="1">
      <alignment horizontal="right" vertical="top"/>
    </xf>
    <xf numFmtId="43" fontId="62" fillId="0" borderId="0" xfId="1" applyFont="1" applyAlignment="1">
      <alignment horizontal="right" vertical="top" wrapText="1"/>
    </xf>
    <xf numFmtId="0" fontId="76" fillId="0" borderId="0" xfId="0" applyFont="1"/>
    <xf numFmtId="43" fontId="77" fillId="0" borderId="0" xfId="0" applyNumberFormat="1" applyFont="1"/>
    <xf numFmtId="166" fontId="77" fillId="0" borderId="0" xfId="0" applyNumberFormat="1" applyFont="1"/>
    <xf numFmtId="0" fontId="77" fillId="0" borderId="0" xfId="0" applyFont="1"/>
    <xf numFmtId="0" fontId="77" fillId="0" borderId="0" xfId="0" applyFont="1" applyAlignment="1">
      <alignment horizontal="center" vertical="center"/>
    </xf>
    <xf numFmtId="168" fontId="77" fillId="0" borderId="0" xfId="0" applyNumberFormat="1" applyFont="1" applyAlignment="1">
      <alignment horizontal="center" vertical="center"/>
    </xf>
    <xf numFmtId="43" fontId="77" fillId="0" borderId="0" xfId="0" applyNumberFormat="1" applyFont="1" applyAlignment="1">
      <alignment horizontal="center" vertical="center"/>
    </xf>
    <xf numFmtId="167" fontId="77" fillId="0" borderId="0" xfId="0" applyNumberFormat="1" applyFont="1"/>
    <xf numFmtId="0" fontId="78" fillId="0" borderId="0" xfId="0" applyFont="1" applyAlignment="1">
      <alignment horizontal="center" vertical="center"/>
    </xf>
    <xf numFmtId="168" fontId="78" fillId="0" borderId="0" xfId="0" applyNumberFormat="1" applyFont="1" applyAlignment="1">
      <alignment horizontal="center" vertical="center"/>
    </xf>
    <xf numFmtId="0" fontId="78" fillId="0" borderId="0" xfId="0" applyFont="1"/>
    <xf numFmtId="43" fontId="78" fillId="0" borderId="0" xfId="0" applyNumberFormat="1" applyFont="1" applyAlignment="1">
      <alignment horizontal="center" vertical="center"/>
    </xf>
    <xf numFmtId="43" fontId="78" fillId="0" borderId="0" xfId="0" applyNumberFormat="1" applyFont="1"/>
    <xf numFmtId="167" fontId="78" fillId="0" borderId="0" xfId="0" applyNumberFormat="1" applyFont="1"/>
    <xf numFmtId="166" fontId="78" fillId="0" borderId="0" xfId="0" applyNumberFormat="1" applyFont="1"/>
    <xf numFmtId="165" fontId="30" fillId="2" borderId="29" xfId="0" applyNumberFormat="1" applyFont="1" applyFill="1" applyBorder="1" applyAlignment="1">
      <alignment horizontal="center"/>
    </xf>
    <xf numFmtId="165" fontId="30" fillId="2" borderId="30" xfId="0" applyNumberFormat="1" applyFont="1" applyFill="1" applyBorder="1" applyAlignment="1">
      <alignment horizontal="center"/>
    </xf>
    <xf numFmtId="165" fontId="32" fillId="2" borderId="3" xfId="0" applyNumberFormat="1" applyFont="1" applyFill="1" applyBorder="1" applyAlignment="1">
      <alignment horizontal="center" vertical="center" wrapText="1"/>
    </xf>
    <xf numFmtId="165" fontId="32" fillId="2" borderId="4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/>
    </xf>
    <xf numFmtId="165" fontId="30" fillId="2" borderId="28" xfId="0" applyNumberFormat="1" applyFont="1" applyFill="1" applyBorder="1" applyAlignment="1">
      <alignment horizontal="center"/>
    </xf>
    <xf numFmtId="165" fontId="30" fillId="2" borderId="7" xfId="0" applyNumberFormat="1" applyFont="1" applyFill="1" applyBorder="1" applyAlignment="1">
      <alignment horizontal="center"/>
    </xf>
    <xf numFmtId="165" fontId="30" fillId="2" borderId="24" xfId="0" applyNumberFormat="1" applyFont="1" applyFill="1" applyBorder="1" applyAlignment="1">
      <alignment horizontal="center"/>
    </xf>
    <xf numFmtId="165" fontId="30" fillId="2" borderId="1" xfId="0" applyNumberFormat="1" applyFont="1" applyFill="1" applyBorder="1" applyAlignment="1">
      <alignment horizontal="center"/>
    </xf>
    <xf numFmtId="165" fontId="30" fillId="2" borderId="21" xfId="0" applyNumberFormat="1" applyFont="1" applyFill="1" applyBorder="1" applyAlignment="1">
      <alignment horizontal="center"/>
    </xf>
    <xf numFmtId="165" fontId="30" fillId="2" borderId="22" xfId="0" applyNumberFormat="1" applyFont="1" applyFill="1" applyBorder="1" applyAlignment="1">
      <alignment horizontal="center"/>
    </xf>
    <xf numFmtId="165" fontId="30" fillId="2" borderId="26" xfId="0" applyNumberFormat="1" applyFont="1" applyFill="1" applyBorder="1" applyAlignment="1">
      <alignment horizontal="center"/>
    </xf>
    <xf numFmtId="165" fontId="30" fillId="2" borderId="18" xfId="0" applyNumberFormat="1" applyFont="1" applyFill="1" applyBorder="1" applyAlignment="1">
      <alignment horizontal="center"/>
    </xf>
    <xf numFmtId="165" fontId="32" fillId="2" borderId="6" xfId="0" applyNumberFormat="1" applyFont="1" applyFill="1" applyBorder="1" applyAlignment="1">
      <alignment horizontal="center" vertical="center" wrapText="1"/>
    </xf>
    <xf numFmtId="0" fontId="72" fillId="0" borderId="4" xfId="0" applyFont="1" applyBorder="1" applyAlignment="1">
      <alignment horizontal="center"/>
    </xf>
    <xf numFmtId="0" fontId="71" fillId="0" borderId="0" xfId="0" applyFont="1" applyAlignment="1">
      <alignment horizontal="center"/>
    </xf>
    <xf numFmtId="0" fontId="73" fillId="0" borderId="6" xfId="0" applyFont="1" applyBorder="1" applyAlignment="1">
      <alignment horizontal="left" vertical="center"/>
    </xf>
    <xf numFmtId="0" fontId="73" fillId="0" borderId="8" xfId="0" applyFont="1" applyBorder="1" applyAlignment="1">
      <alignment horizontal="left" vertical="center"/>
    </xf>
    <xf numFmtId="169" fontId="73" fillId="0" borderId="6" xfId="0" applyNumberFormat="1" applyFont="1" applyBorder="1" applyAlignment="1">
      <alignment horizontal="left" vertical="center"/>
    </xf>
    <xf numFmtId="169" fontId="73" fillId="0" borderId="8" xfId="0" applyNumberFormat="1" applyFont="1" applyBorder="1" applyAlignment="1">
      <alignment horizontal="left" vertical="center"/>
    </xf>
    <xf numFmtId="0" fontId="73" fillId="0" borderId="5" xfId="0" applyFont="1" applyBorder="1" applyAlignment="1">
      <alignment horizontal="left" vertical="center"/>
    </xf>
    <xf numFmtId="0" fontId="73" fillId="0" borderId="5" xfId="0" applyFont="1" applyBorder="1" applyAlignment="1">
      <alignment horizontal="left" vertical="center" wrapText="1"/>
    </xf>
    <xf numFmtId="0" fontId="73" fillId="0" borderId="6" xfId="0" applyFont="1" applyBorder="1" applyAlignment="1">
      <alignment horizontal="left" vertical="center" wrapText="1"/>
    </xf>
    <xf numFmtId="0" fontId="73" fillId="0" borderId="8" xfId="0" applyFont="1" applyBorder="1" applyAlignment="1">
      <alignment horizontal="left" vertical="center" wrapText="1"/>
    </xf>
    <xf numFmtId="0" fontId="73" fillId="0" borderId="5" xfId="0" applyFont="1" applyBorder="1" applyAlignment="1">
      <alignment horizontal="right" vertical="center"/>
    </xf>
    <xf numFmtId="0" fontId="73" fillId="0" borderId="6" xfId="0" applyFont="1" applyBorder="1" applyAlignment="1">
      <alignment horizontal="right" vertic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0" fillId="0" borderId="5" xfId="0" applyFont="1" applyBorder="1" applyAlignment="1">
      <alignment horizontal="left" vertical="center" wrapText="1"/>
    </xf>
    <xf numFmtId="0" fontId="70" fillId="0" borderId="6" xfId="0" applyFont="1" applyBorder="1" applyAlignment="1">
      <alignment horizontal="left" vertical="center" wrapText="1"/>
    </xf>
    <xf numFmtId="0" fontId="70" fillId="0" borderId="8" xfId="0" applyFont="1" applyBorder="1" applyAlignment="1">
      <alignment horizontal="left" vertical="center" wrapText="1"/>
    </xf>
    <xf numFmtId="0" fontId="70" fillId="0" borderId="5" xfId="0" applyFont="1" applyBorder="1" applyAlignment="1">
      <alignment horizontal="left" vertical="center"/>
    </xf>
    <xf numFmtId="0" fontId="70" fillId="0" borderId="6" xfId="0" applyFont="1" applyBorder="1" applyAlignment="1">
      <alignment horizontal="left" vertical="center"/>
    </xf>
    <xf numFmtId="165" fontId="70" fillId="0" borderId="0" xfId="0" applyNumberFormat="1" applyFont="1" applyAlignment="1">
      <alignment horizontal="left" vertical="center"/>
    </xf>
    <xf numFmtId="0" fontId="72" fillId="0" borderId="0" xfId="0" applyFont="1" applyAlignment="1">
      <alignment horizontal="center"/>
    </xf>
    <xf numFmtId="0" fontId="71" fillId="0" borderId="0" xfId="0" applyFont="1" applyAlignment="1">
      <alignment horizontal="center" wrapText="1"/>
    </xf>
    <xf numFmtId="0" fontId="73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  <alignment horizontal="center" vertical="top" wrapText="1"/>
    </dxf>
    <dxf>
      <numFmt numFmtId="35" formatCode="_(* #,##0.00_);_(* \(#,##0.00\);_(* &quot;-&quot;??_);_(@_)"/>
      <alignment horizontal="center" vertical="top" wrapText="1"/>
    </dxf>
    <dxf>
      <numFmt numFmtId="35" formatCode="_(* #,##0.00_);_(* \(#,##0.00\);_(* &quot;-&quot;??_);_(@_)"/>
      <alignment horizontal="center" vertical="top" wrapText="1"/>
    </dxf>
    <dxf>
      <numFmt numFmtId="35" formatCode="_(* #,##0.00_);_(* \(#,##0.00\);_(* &quot;-&quot;??_);_(@_)"/>
      <alignment horizontal="center" vertical="top" wrapText="1"/>
    </dxf>
    <dxf>
      <alignment horizontal="center" vertical="top" wrapText="1"/>
    </dxf>
    <dxf>
      <numFmt numFmtId="35" formatCode="_(* #,##0.00_);_(* \(#,##0.00\);_(* &quot;-&quot;??_);_(@_)"/>
      <alignment horizontal="center" vertical="top" wrapText="1"/>
    </dxf>
    <dxf>
      <numFmt numFmtId="35" formatCode="_(* #,##0.00_);_(* \(#,##0.00\);_(* &quot;-&quot;??_);_(@_)"/>
      <alignment horizontal="center" vertical="top" wrapText="1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right" vertical="top" wrapText="1"/>
    </dxf>
    <dxf>
      <numFmt numFmtId="166" formatCode="_(* #,##0_);_(* \(#,##0\);_(* &quot;-&quot;??_);_(@_)"/>
      <alignment vertical="top" wrapText="1"/>
    </dxf>
    <dxf>
      <numFmt numFmtId="166" formatCode="_(* #,##0_);_(* \(#,##0\);_(* &quot;-&quot;??_);_(@_)"/>
      <alignment horizontal="center" vertical="top" wrapText="1"/>
    </dxf>
    <dxf>
      <numFmt numFmtId="167" formatCode="_(* #,##0.000_);_(* \(#,##0.000\);_(* &quot;-&quot;??_);_(@_)"/>
      <alignment horizontal="center" vertical="top" wrapText="1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right" vertical="top"/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alignment horizontal="right" vertical="top"/>
    </dxf>
    <dxf>
      <alignment horizontal="center" vertical="top" wrapText="1"/>
    </dxf>
    <dxf>
      <numFmt numFmtId="0" formatCode="General"/>
      <alignment horizontal="center" vertical="top" wrapText="1"/>
    </dxf>
    <dxf>
      <numFmt numFmtId="0" formatCode="General"/>
      <alignment horizontal="center" vertical="top" wrapText="1"/>
    </dxf>
    <dxf>
      <numFmt numFmtId="0" formatCode="General"/>
      <alignment horizontal="center" vertical="top" wrapText="1"/>
    </dxf>
    <dxf>
      <alignment horizontal="center" vertical="top" wrapText="1"/>
    </dxf>
    <dxf>
      <numFmt numFmtId="0" formatCode="General"/>
      <alignment horizontal="left" vertical="top" wrapText="1"/>
    </dxf>
    <dxf>
      <numFmt numFmtId="165" formatCode="[$-409]mmmm\ d\,\ yyyy;@"/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</dxf>
    <dxf>
      <numFmt numFmtId="35" formatCode="_(* #,##0.00_);_(* \(#,##0.00\);_(* &quot;-&quot;??_);_(@_)"/>
      <fill>
        <patternFill patternType="solid">
          <bgColor theme="5" tint="0.39994506668294322"/>
        </patternFill>
      </fill>
    </dxf>
    <dxf>
      <numFmt numFmtId="167" formatCode="_(* #,##0.000_);_(* \(#,##0.000\);_(* &quot;-&quot;??_);_(@_)"/>
    </dxf>
    <dxf>
      <numFmt numFmtId="167" formatCode="_(* #,##0.000_);_(* \(#,##0.000\);_(* &quot;-&quot;??_);_(@_)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numFmt numFmtId="14" formatCode="0.00%"/>
    </dxf>
    <dxf>
      <numFmt numFmtId="14" formatCode="0.00%"/>
    </dxf>
    <dxf>
      <numFmt numFmtId="166" formatCode="_(* #,##0_);_(* \(#,##0\);_(* &quot;-&quot;??_);_(@_)"/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166" formatCode="_(* #,##0_);_(* \(#,##0\);_(* &quot;-&quot;??_);_(@_)"/>
      <fill>
        <patternFill patternType="solid">
          <fgColor indexed="64"/>
          <bgColor theme="7" tint="0.59999389629810485"/>
        </patternFill>
      </fill>
    </dxf>
    <dxf>
      <numFmt numFmtId="166" formatCode="_(* #,##0_);_(* \(#,##0\);_(* &quot;-&quot;??_);_(@_)"/>
      <fill>
        <patternFill patternType="solid">
          <bgColor theme="7" tint="0.59999389629810485"/>
        </patternFill>
      </fill>
    </dxf>
    <dxf>
      <numFmt numFmtId="166" formatCode="_(* #,##0_);_(* \(#,##0\);_(* &quot;-&quot;??_);_(@_)"/>
      <fill>
        <patternFill patternType="solid">
          <bgColor theme="4" tint="0.59999389629810485"/>
        </patternFill>
      </fill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  <alignment horizontal="center" vertical="center"/>
    </dxf>
    <dxf>
      <numFmt numFmtId="0" formatCode="General"/>
    </dxf>
    <dxf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* #,##0.000_);_(* \(#,##0.0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(* #,##0_);_(* \(#,##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(* #,##0_);_(* \(#,##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* #,##0.000_);_(* \(#,##0.0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</dxf>
    <dxf>
      <numFmt numFmtId="0" formatCode="General"/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168" formatCode="[$-409]dd\-mmm\-yy;@"/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</dxf>
  </dxfs>
  <tableStyles count="0" defaultTableStyle="TableStyleMedium2" defaultPivotStyle="PivotStyleLight16"/>
  <colors>
    <mruColors>
      <color rgb="FFFF5050"/>
      <color rgb="FFFFFF99"/>
      <color rgb="FF336699"/>
      <color rgb="FF0099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rive/Financial%20Data/First%20Unit/NAV/2022%20October/2022.10.20/2022.10.20%20INVESTORS.xlsx" TargetMode="External"/><Relationship Id="rId1" Type="http://schemas.openxmlformats.org/officeDocument/2006/relationships/externalLinkPath" Target="/My%20Drive/Financial%20Data/First%20Unit/NAV/2022%20October/2022.10.20/2022.10.20%20INVESTO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WM%20Official%20Files\EFUF\EXCEL\NAV\2021.03.04%20EFU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\Financial%20Data\Investors%20Database.xlsx" TargetMode="External"/><Relationship Id="rId1" Type="http://schemas.openxmlformats.org/officeDocument/2006/relationships/externalLinkPath" Target="file:///G:\Other%20computers\My%20Laptop\D\Financial%20Data\Investors%20Databas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nvestors%20Database.xlsx" TargetMode="External"/><Relationship Id="rId2" Type="http://schemas.openxmlformats.org/officeDocument/2006/relationships/externalLinkPath" Target="file:///D:\Financial%20Data\Investors%20Database.xlsx" TargetMode="External"/><Relationship Id="rId1" Type="http://schemas.openxmlformats.org/officeDocument/2006/relationships/externalLinkPath" Target="/Financial%20Data/Investors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INVESTORS"/>
      <sheetName val="LS"/>
      <sheetName val="SIP"/>
      <sheetName val="TAX CERTIFICATE"/>
      <sheetName val="T. History"/>
      <sheetName val="Dividend &amp; Tax"/>
      <sheetName val="PP-II"/>
      <sheetName val="Sheet1"/>
    </sheetNames>
    <sheetDataSet>
      <sheetData sheetId="0"/>
      <sheetData sheetId="1"/>
      <sheetData sheetId="2">
        <row r="1">
          <cell r="T1">
            <v>11.88</v>
          </cell>
        </row>
      </sheetData>
      <sheetData sheetId="3"/>
      <sheetData sheetId="4"/>
      <sheetData sheetId="5"/>
      <sheetData sheetId="6">
        <row r="2">
          <cell r="I2">
            <v>50000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dend Payables"/>
      <sheetName val="INVESTORS"/>
      <sheetName val="AVG.C"/>
      <sheetName val="SIP-I"/>
      <sheetName val="SIP-U"/>
      <sheetName val="Sheet5"/>
      <sheetName val="Chart of Accounts"/>
      <sheetName val="LS"/>
      <sheetName val="Journals"/>
      <sheetName val="TB-C"/>
      <sheetName val="TB-P"/>
      <sheetName val="BS"/>
      <sheetName val="IS"/>
      <sheetName val="E"/>
      <sheetName val="CF"/>
      <sheetName val="Sheet2"/>
      <sheetName val="Notes"/>
      <sheetName val="Policy Notes"/>
      <sheetName val="Weekly charges &amp; Income"/>
      <sheetName val="Trading Record"/>
      <sheetName val="Summary of Tradings"/>
      <sheetName val="Portfolio"/>
      <sheetName val="Sheet4"/>
      <sheetName val="Price"/>
      <sheetName val="Stock Investment"/>
      <sheetName val="Sheet1"/>
      <sheetName val="Sheet3"/>
      <sheetName val="Trade-2021"/>
      <sheetName val="TEST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8">
          <cell r="F38">
            <v>106265191.12548652</v>
          </cell>
          <cell r="H38">
            <v>115580525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STORS Main List"/>
      <sheetName val="Sheet1"/>
      <sheetName val="Investors Database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STORS Main List"/>
      <sheetName val="Investment Certificate"/>
      <sheetName val="Acknowledgement"/>
      <sheetName val="Bank Data"/>
      <sheetName val="Sheet1"/>
    </sheetNames>
    <sheetDataSet>
      <sheetData sheetId="0">
        <row r="2">
          <cell r="B2" t="str">
            <v>A00002</v>
          </cell>
        </row>
        <row r="3">
          <cell r="B3" t="str">
            <v>A00003</v>
          </cell>
          <cell r="T3" t="str">
            <v>Registration No.: BSEC/Asset Manager/2019/44</v>
          </cell>
        </row>
        <row r="4">
          <cell r="B4" t="str">
            <v>A00004</v>
          </cell>
          <cell r="T4" t="str">
            <v/>
          </cell>
        </row>
        <row r="5">
          <cell r="B5" t="str">
            <v>A00005</v>
          </cell>
          <cell r="T5" t="str">
            <v>1026348548</v>
          </cell>
        </row>
        <row r="6">
          <cell r="B6" t="str">
            <v>A00006</v>
          </cell>
          <cell r="T6" t="str">
            <v>2838192801</v>
          </cell>
        </row>
        <row r="7">
          <cell r="B7" t="str">
            <v>A00007</v>
          </cell>
          <cell r="T7" t="str">
            <v>4173793607</v>
          </cell>
        </row>
        <row r="8">
          <cell r="B8" t="str">
            <v>A00008</v>
          </cell>
          <cell r="T8" t="str">
            <v>19945516642000065</v>
          </cell>
        </row>
        <row r="9">
          <cell r="B9" t="str">
            <v>A00009</v>
          </cell>
          <cell r="T9" t="str">
            <v/>
          </cell>
        </row>
        <row r="10">
          <cell r="B10" t="str">
            <v>A00010</v>
          </cell>
          <cell r="T10" t="str">
            <v/>
          </cell>
        </row>
        <row r="11">
          <cell r="B11" t="str">
            <v>A00011</v>
          </cell>
          <cell r="T11" t="str">
            <v>2855600496</v>
          </cell>
        </row>
        <row r="12">
          <cell r="B12" t="str">
            <v>A00012</v>
          </cell>
          <cell r="T12" t="str">
            <v/>
          </cell>
        </row>
        <row r="13">
          <cell r="B13" t="str">
            <v>A00013</v>
          </cell>
          <cell r="T13" t="str">
            <v>Passport No.: 2694807806966</v>
          </cell>
        </row>
        <row r="14">
          <cell r="B14" t="str">
            <v>A00014</v>
          </cell>
          <cell r="T14" t="str">
            <v/>
          </cell>
        </row>
        <row r="15">
          <cell r="B15" t="str">
            <v>A00015</v>
          </cell>
          <cell r="T15" t="str">
            <v>2617635408994</v>
          </cell>
        </row>
        <row r="16">
          <cell r="B16" t="str">
            <v>A00016</v>
          </cell>
          <cell r="T16" t="str">
            <v/>
          </cell>
        </row>
        <row r="17">
          <cell r="B17" t="str">
            <v>A00017</v>
          </cell>
          <cell r="T17" t="str">
            <v/>
          </cell>
        </row>
        <row r="18">
          <cell r="B18" t="str">
            <v>A00018</v>
          </cell>
          <cell r="T18" t="str">
            <v>2691648030061</v>
          </cell>
        </row>
        <row r="19">
          <cell r="B19" t="str">
            <v>A00019</v>
          </cell>
          <cell r="T19" t="str">
            <v>3743410270</v>
          </cell>
        </row>
        <row r="20">
          <cell r="B20" t="str">
            <v>A00020</v>
          </cell>
          <cell r="T20" t="str">
            <v>5532837282</v>
          </cell>
        </row>
        <row r="21">
          <cell r="B21" t="str">
            <v>A00021</v>
          </cell>
          <cell r="T21" t="str">
            <v/>
          </cell>
        </row>
        <row r="22">
          <cell r="B22" t="str">
            <v>A00022</v>
          </cell>
          <cell r="T22" t="str">
            <v>5987694188</v>
          </cell>
        </row>
        <row r="23">
          <cell r="B23" t="str">
            <v>A00023</v>
          </cell>
          <cell r="T23" t="str">
            <v/>
          </cell>
        </row>
        <row r="24">
          <cell r="B24" t="str">
            <v>A00024</v>
          </cell>
          <cell r="T24" t="str">
            <v/>
          </cell>
        </row>
        <row r="25">
          <cell r="B25" t="str">
            <v>A00025</v>
          </cell>
          <cell r="T25" t="str">
            <v>1468726060</v>
          </cell>
        </row>
        <row r="26">
          <cell r="B26" t="str">
            <v>A00026</v>
          </cell>
          <cell r="T26" t="str">
            <v/>
          </cell>
        </row>
        <row r="27">
          <cell r="B27" t="str">
            <v>A00027</v>
          </cell>
          <cell r="T27" t="str">
            <v>2692620488042</v>
          </cell>
        </row>
        <row r="28">
          <cell r="B28" t="str">
            <v>A00028</v>
          </cell>
          <cell r="T28" t="str">
            <v/>
          </cell>
        </row>
        <row r="29">
          <cell r="B29" t="str">
            <v>A00029</v>
          </cell>
          <cell r="T29" t="str">
            <v>8816176013237</v>
          </cell>
        </row>
        <row r="30">
          <cell r="B30" t="str">
            <v>A00030</v>
          </cell>
          <cell r="T30" t="str">
            <v/>
          </cell>
        </row>
        <row r="31">
          <cell r="B31" t="str">
            <v>A00031</v>
          </cell>
          <cell r="T31" t="str">
            <v/>
          </cell>
        </row>
        <row r="32">
          <cell r="B32" t="str">
            <v>A00032</v>
          </cell>
          <cell r="T32" t="str">
            <v>2694810956803</v>
          </cell>
        </row>
        <row r="33">
          <cell r="B33" t="str">
            <v>A00033</v>
          </cell>
          <cell r="T33" t="str">
            <v>2693624777768</v>
          </cell>
        </row>
        <row r="34">
          <cell r="B34" t="str">
            <v>A00034</v>
          </cell>
          <cell r="T34" t="str">
            <v>6408871504</v>
          </cell>
        </row>
        <row r="35">
          <cell r="B35" t="str">
            <v>A00035</v>
          </cell>
          <cell r="T35" t="str">
            <v/>
          </cell>
        </row>
        <row r="36">
          <cell r="B36" t="str">
            <v>A00036</v>
          </cell>
          <cell r="T36" t="str">
            <v>6883714781</v>
          </cell>
        </row>
        <row r="37">
          <cell r="B37" t="str">
            <v>A00037</v>
          </cell>
          <cell r="T37" t="str">
            <v>1923289134</v>
          </cell>
        </row>
        <row r="38">
          <cell r="B38" t="str">
            <v>A00038</v>
          </cell>
          <cell r="T38" t="str">
            <v xml:space="preserve"> </v>
          </cell>
        </row>
        <row r="39">
          <cell r="B39" t="str">
            <v>A00039</v>
          </cell>
          <cell r="T39" t="str">
            <v>5050076370</v>
          </cell>
        </row>
        <row r="40">
          <cell r="B40" t="str">
            <v>A00040</v>
          </cell>
          <cell r="T40" t="str">
            <v/>
          </cell>
        </row>
        <row r="41">
          <cell r="B41" t="str">
            <v>A00041</v>
          </cell>
          <cell r="T41" t="str">
            <v>9117374539</v>
          </cell>
        </row>
        <row r="42">
          <cell r="B42" t="str">
            <v>A00042</v>
          </cell>
          <cell r="T42" t="str">
            <v/>
          </cell>
        </row>
        <row r="43">
          <cell r="B43" t="str">
            <v>A00043</v>
          </cell>
          <cell r="T43" t="str">
            <v/>
          </cell>
        </row>
        <row r="44">
          <cell r="B44" t="str">
            <v>A00044</v>
          </cell>
          <cell r="T44" t="str">
            <v>3700510880</v>
          </cell>
        </row>
        <row r="45">
          <cell r="B45" t="str">
            <v>A00045</v>
          </cell>
          <cell r="T45" t="str">
            <v/>
          </cell>
        </row>
        <row r="46">
          <cell r="B46" t="str">
            <v>A00046</v>
          </cell>
          <cell r="T46" t="str">
            <v/>
          </cell>
        </row>
        <row r="47">
          <cell r="B47" t="str">
            <v>A00047</v>
          </cell>
          <cell r="T47" t="str">
            <v/>
          </cell>
        </row>
        <row r="48">
          <cell r="B48" t="str">
            <v>A00048</v>
          </cell>
          <cell r="T48" t="str">
            <v>2693626891366</v>
          </cell>
        </row>
        <row r="49">
          <cell r="B49" t="str">
            <v>A00049</v>
          </cell>
          <cell r="T49" t="str">
            <v/>
          </cell>
        </row>
        <row r="50">
          <cell r="B50" t="str">
            <v>A00050</v>
          </cell>
          <cell r="T50" t="str">
            <v/>
          </cell>
        </row>
        <row r="51">
          <cell r="B51" t="str">
            <v>A00051</v>
          </cell>
          <cell r="T51" t="str">
            <v/>
          </cell>
        </row>
        <row r="52">
          <cell r="B52" t="str">
            <v>A00052</v>
          </cell>
          <cell r="T52" t="str">
            <v>5551407637</v>
          </cell>
        </row>
        <row r="53">
          <cell r="B53" t="str">
            <v>A00053</v>
          </cell>
          <cell r="T53" t="str">
            <v>5973101164</v>
          </cell>
        </row>
        <row r="54">
          <cell r="B54" t="str">
            <v>A00054</v>
          </cell>
          <cell r="T54" t="str">
            <v>8223161152</v>
          </cell>
        </row>
        <row r="55">
          <cell r="B55" t="str">
            <v>A00055</v>
          </cell>
          <cell r="T55" t="str">
            <v>2696828263408</v>
          </cell>
        </row>
        <row r="56">
          <cell r="B56" t="str">
            <v>A00056</v>
          </cell>
          <cell r="T56" t="str">
            <v>2693014497335</v>
          </cell>
        </row>
        <row r="57">
          <cell r="B57" t="str">
            <v>A00057</v>
          </cell>
          <cell r="T57" t="str">
            <v>1938960885</v>
          </cell>
        </row>
        <row r="58">
          <cell r="B58" t="str">
            <v>A00058</v>
          </cell>
          <cell r="T58" t="str">
            <v>5982674615</v>
          </cell>
        </row>
        <row r="59">
          <cell r="B59" t="str">
            <v>A00059</v>
          </cell>
          <cell r="T59" t="str">
            <v/>
          </cell>
        </row>
        <row r="60">
          <cell r="B60" t="str">
            <v>A00060</v>
          </cell>
          <cell r="T60" t="str">
            <v>2696352224035</v>
          </cell>
        </row>
        <row r="61">
          <cell r="B61" t="str">
            <v>A00061</v>
          </cell>
          <cell r="T61" t="str">
            <v>8208894454</v>
          </cell>
        </row>
        <row r="62">
          <cell r="B62" t="str">
            <v>A00062</v>
          </cell>
          <cell r="T62" t="str">
            <v>1324903407484</v>
          </cell>
        </row>
        <row r="63">
          <cell r="B63" t="str">
            <v>A00063</v>
          </cell>
          <cell r="T63" t="str">
            <v/>
          </cell>
        </row>
        <row r="64">
          <cell r="B64" t="str">
            <v>A00064</v>
          </cell>
          <cell r="T64" t="str">
            <v>1495102640</v>
          </cell>
        </row>
        <row r="65">
          <cell r="B65" t="str">
            <v>A00065</v>
          </cell>
          <cell r="T65" t="str">
            <v>6725806398170</v>
          </cell>
        </row>
        <row r="66">
          <cell r="B66" t="str">
            <v>A00066</v>
          </cell>
          <cell r="T66" t="str">
            <v>19831594116433294</v>
          </cell>
        </row>
        <row r="67">
          <cell r="B67" t="str">
            <v>A00067</v>
          </cell>
          <cell r="T67" t="str">
            <v/>
          </cell>
        </row>
        <row r="68">
          <cell r="B68" t="str">
            <v>A00068</v>
          </cell>
          <cell r="T68" t="str">
            <v/>
          </cell>
        </row>
        <row r="69">
          <cell r="B69" t="str">
            <v>A00069</v>
          </cell>
          <cell r="T69" t="str">
            <v/>
          </cell>
        </row>
        <row r="70">
          <cell r="B70" t="str">
            <v>A00070</v>
          </cell>
          <cell r="T70" t="str">
            <v>1011794144</v>
          </cell>
        </row>
        <row r="71">
          <cell r="B71" t="str">
            <v>A00071</v>
          </cell>
          <cell r="T71" t="str">
            <v>1210481252689</v>
          </cell>
        </row>
        <row r="72">
          <cell r="B72" t="str">
            <v>A00072</v>
          </cell>
          <cell r="T72" t="str">
            <v>2833146802</v>
          </cell>
        </row>
        <row r="73">
          <cell r="B73" t="str">
            <v>A00073</v>
          </cell>
          <cell r="T73" t="str">
            <v>2696828263406</v>
          </cell>
        </row>
        <row r="74">
          <cell r="B74" t="str">
            <v>A00074</v>
          </cell>
          <cell r="T74" t="str">
            <v>2616220564830</v>
          </cell>
        </row>
        <row r="75">
          <cell r="B75" t="str">
            <v>A00075</v>
          </cell>
          <cell r="T75" t="str">
            <v/>
          </cell>
        </row>
        <row r="76">
          <cell r="B76" t="str">
            <v>A00076</v>
          </cell>
          <cell r="T76" t="str">
            <v>6868189512</v>
          </cell>
        </row>
        <row r="77">
          <cell r="B77" t="str">
            <v>A00077</v>
          </cell>
          <cell r="T77" t="str">
            <v/>
          </cell>
        </row>
        <row r="78">
          <cell r="B78" t="str">
            <v>A00078</v>
          </cell>
          <cell r="T78" t="str">
            <v>2352074559</v>
          </cell>
        </row>
        <row r="79">
          <cell r="B79" t="str">
            <v>A00079</v>
          </cell>
          <cell r="T79" t="str">
            <v/>
          </cell>
        </row>
        <row r="80">
          <cell r="B80" t="str">
            <v>A00080</v>
          </cell>
          <cell r="T80" t="str">
            <v/>
          </cell>
        </row>
        <row r="81">
          <cell r="B81" t="str">
            <v>A00081</v>
          </cell>
          <cell r="T81" t="str">
            <v/>
          </cell>
        </row>
        <row r="82">
          <cell r="B82" t="str">
            <v>A00082</v>
          </cell>
          <cell r="T82" t="str">
            <v>5507213170</v>
          </cell>
        </row>
        <row r="83">
          <cell r="B83" t="str">
            <v>A00083</v>
          </cell>
          <cell r="T83" t="str">
            <v>2383660236</v>
          </cell>
        </row>
        <row r="84">
          <cell r="B84" t="str">
            <v>A00084</v>
          </cell>
          <cell r="T84" t="str">
            <v>6420141225</v>
          </cell>
        </row>
        <row r="85">
          <cell r="B85" t="str">
            <v>A00085</v>
          </cell>
          <cell r="T85" t="str">
            <v>5059862960</v>
          </cell>
        </row>
        <row r="86">
          <cell r="B86" t="str">
            <v>A00086</v>
          </cell>
          <cell r="T86" t="str">
            <v>2690417147394</v>
          </cell>
        </row>
        <row r="87">
          <cell r="B87" t="str">
            <v>A00087</v>
          </cell>
          <cell r="T87" t="str">
            <v>6870184519</v>
          </cell>
        </row>
        <row r="88">
          <cell r="B88" t="str">
            <v>A00088</v>
          </cell>
          <cell r="T88" t="str">
            <v>5523565306</v>
          </cell>
        </row>
        <row r="89">
          <cell r="B89" t="str">
            <v>A00089</v>
          </cell>
          <cell r="T89" t="str">
            <v/>
          </cell>
        </row>
        <row r="90">
          <cell r="B90" t="str">
            <v>A00090</v>
          </cell>
          <cell r="T90" t="str">
            <v>2691649126050</v>
          </cell>
        </row>
        <row r="91">
          <cell r="B91" t="str">
            <v>A00091</v>
          </cell>
          <cell r="T91" t="str">
            <v>7802232871</v>
          </cell>
        </row>
        <row r="92">
          <cell r="B92" t="str">
            <v>A00092</v>
          </cell>
          <cell r="T92" t="str">
            <v>1912779951065</v>
          </cell>
        </row>
        <row r="93">
          <cell r="B93" t="str">
            <v>A00093</v>
          </cell>
          <cell r="T93" t="str">
            <v>4623533637</v>
          </cell>
        </row>
        <row r="94">
          <cell r="B94" t="str">
            <v>A00094</v>
          </cell>
          <cell r="T94" t="str">
            <v/>
          </cell>
        </row>
        <row r="95">
          <cell r="B95" t="str">
            <v>A00095</v>
          </cell>
          <cell r="T95" t="str">
            <v>1005816861</v>
          </cell>
        </row>
        <row r="96">
          <cell r="B96" t="str">
            <v>A00096</v>
          </cell>
          <cell r="T96" t="str">
            <v>2616220556382</v>
          </cell>
        </row>
        <row r="97">
          <cell r="B97" t="str">
            <v>A00097</v>
          </cell>
          <cell r="T97" t="str">
            <v/>
          </cell>
        </row>
        <row r="98">
          <cell r="B98" t="str">
            <v>A00098</v>
          </cell>
          <cell r="T98" t="str">
            <v/>
          </cell>
        </row>
        <row r="99">
          <cell r="B99" t="str">
            <v>A00099</v>
          </cell>
          <cell r="T99" t="str">
            <v>1912771975920</v>
          </cell>
        </row>
        <row r="100">
          <cell r="B100" t="str">
            <v>A00100</v>
          </cell>
          <cell r="T100" t="str">
            <v>3261403806</v>
          </cell>
        </row>
        <row r="101">
          <cell r="B101" t="str">
            <v>A00101</v>
          </cell>
          <cell r="T101" t="str">
            <v/>
          </cell>
        </row>
        <row r="102">
          <cell r="B102" t="str">
            <v>A00102</v>
          </cell>
          <cell r="T102" t="str">
            <v>6433481790</v>
          </cell>
        </row>
        <row r="103">
          <cell r="B103" t="str">
            <v>A00103</v>
          </cell>
          <cell r="T103" t="str">
            <v>5963623037</v>
          </cell>
        </row>
        <row r="104">
          <cell r="B104" t="str">
            <v>A00104</v>
          </cell>
          <cell r="T104" t="str">
            <v>2370203248</v>
          </cell>
        </row>
        <row r="105">
          <cell r="B105" t="str">
            <v>A00105</v>
          </cell>
          <cell r="T105" t="str">
            <v>2610457061761</v>
          </cell>
        </row>
        <row r="106">
          <cell r="B106" t="str">
            <v>A00106</v>
          </cell>
          <cell r="T106" t="str">
            <v>6433974737</v>
          </cell>
        </row>
        <row r="107">
          <cell r="B107" t="str">
            <v>A00107</v>
          </cell>
          <cell r="T107" t="str">
            <v>2696352220870</v>
          </cell>
        </row>
        <row r="108">
          <cell r="B108" t="str">
            <v>A00108</v>
          </cell>
          <cell r="T108" t="str">
            <v>2697557413551</v>
          </cell>
        </row>
        <row r="109">
          <cell r="B109" t="str">
            <v>A00109</v>
          </cell>
          <cell r="T109" t="str">
            <v>2373781430</v>
          </cell>
        </row>
        <row r="110">
          <cell r="B110" t="str">
            <v>A00110</v>
          </cell>
          <cell r="T110" t="str">
            <v>8658210102</v>
          </cell>
        </row>
        <row r="111">
          <cell r="B111" t="str">
            <v>A00111</v>
          </cell>
          <cell r="T111" t="str">
            <v/>
          </cell>
        </row>
        <row r="112">
          <cell r="B112" t="str">
            <v>A00112</v>
          </cell>
          <cell r="T112" t="str">
            <v>4634101218</v>
          </cell>
        </row>
        <row r="113">
          <cell r="B113" t="str">
            <v>A00113</v>
          </cell>
          <cell r="T113" t="str">
            <v>19852690421346399</v>
          </cell>
        </row>
        <row r="114">
          <cell r="B114" t="str">
            <v>A00114</v>
          </cell>
          <cell r="T114" t="str">
            <v>2692620525675</v>
          </cell>
        </row>
        <row r="115">
          <cell r="B115" t="str">
            <v>A00115</v>
          </cell>
          <cell r="T115" t="str">
            <v/>
          </cell>
        </row>
        <row r="116">
          <cell r="B116" t="str">
            <v>A00116</v>
          </cell>
          <cell r="T116" t="str">
            <v>6882529719</v>
          </cell>
        </row>
        <row r="117">
          <cell r="B117" t="str">
            <v>A00117</v>
          </cell>
          <cell r="T117" t="str">
            <v>19851927206706604</v>
          </cell>
        </row>
        <row r="118">
          <cell r="B118" t="str">
            <v>A00118</v>
          </cell>
          <cell r="T118" t="str">
            <v>2697557407319</v>
          </cell>
        </row>
        <row r="119">
          <cell r="B119" t="str">
            <v>A00119</v>
          </cell>
          <cell r="T119" t="str">
            <v>1019884483</v>
          </cell>
        </row>
        <row r="120">
          <cell r="B120" t="str">
            <v>A00120</v>
          </cell>
          <cell r="T120" t="str">
            <v>3267671802</v>
          </cell>
        </row>
        <row r="121">
          <cell r="B121" t="str">
            <v>A00121</v>
          </cell>
          <cell r="T121" t="str">
            <v>4609151529</v>
          </cell>
        </row>
        <row r="122">
          <cell r="B122" t="str">
            <v>A00122</v>
          </cell>
          <cell r="T122" t="str">
            <v>3295735264</v>
          </cell>
        </row>
        <row r="123">
          <cell r="B123" t="str">
            <v>A00123</v>
          </cell>
          <cell r="T123" t="str">
            <v>2692619468865</v>
          </cell>
        </row>
        <row r="124">
          <cell r="B124" t="str">
            <v>A00124</v>
          </cell>
          <cell r="T124" t="str">
            <v/>
          </cell>
        </row>
        <row r="125">
          <cell r="B125" t="str">
            <v>A00125</v>
          </cell>
          <cell r="T125" t="str">
            <v>8204591245</v>
          </cell>
        </row>
        <row r="126">
          <cell r="B126" t="str">
            <v>A00126</v>
          </cell>
          <cell r="T126" t="str">
            <v/>
          </cell>
        </row>
        <row r="127">
          <cell r="B127" t="str">
            <v>A00127</v>
          </cell>
          <cell r="T127" t="str">
            <v>2693624734400</v>
          </cell>
        </row>
        <row r="128">
          <cell r="B128" t="str">
            <v>A00128</v>
          </cell>
          <cell r="T128" t="str">
            <v>7301026675</v>
          </cell>
        </row>
        <row r="129">
          <cell r="B129" t="str">
            <v>A00129</v>
          </cell>
          <cell r="T129" t="str">
            <v/>
          </cell>
        </row>
        <row r="130">
          <cell r="B130" t="str">
            <v>A00130</v>
          </cell>
          <cell r="T130" t="str">
            <v>5094149480</v>
          </cell>
        </row>
        <row r="131">
          <cell r="B131" t="str">
            <v>A00131</v>
          </cell>
          <cell r="T131" t="str">
            <v>4156632731</v>
          </cell>
        </row>
        <row r="132">
          <cell r="B132" t="str">
            <v>A00132</v>
          </cell>
          <cell r="T132" t="str">
            <v/>
          </cell>
        </row>
        <row r="133">
          <cell r="B133" t="str">
            <v>A00133</v>
          </cell>
          <cell r="T133" t="str">
            <v/>
          </cell>
        </row>
        <row r="134">
          <cell r="B134" t="str">
            <v>A00134</v>
          </cell>
          <cell r="T134" t="str">
            <v>6870013635</v>
          </cell>
        </row>
        <row r="135">
          <cell r="B135" t="str">
            <v>A00135</v>
          </cell>
          <cell r="T135" t="str">
            <v/>
          </cell>
        </row>
        <row r="136">
          <cell r="B136" t="str">
            <v>A00136</v>
          </cell>
          <cell r="T136" t="str">
            <v>5514888907</v>
          </cell>
        </row>
        <row r="137">
          <cell r="B137" t="str">
            <v>A00137</v>
          </cell>
          <cell r="T137" t="str">
            <v>19856716879778267</v>
          </cell>
        </row>
        <row r="138">
          <cell r="B138" t="str">
            <v>A00138</v>
          </cell>
          <cell r="T138" t="str">
            <v>3724385913</v>
          </cell>
        </row>
        <row r="139">
          <cell r="B139" t="str">
            <v>A00139</v>
          </cell>
          <cell r="T139" t="str">
            <v>6119438165257</v>
          </cell>
        </row>
        <row r="140">
          <cell r="B140" t="str">
            <v>A00140</v>
          </cell>
          <cell r="T140" t="str">
            <v>1909907642</v>
          </cell>
        </row>
        <row r="141">
          <cell r="B141" t="str">
            <v>A00141</v>
          </cell>
          <cell r="T141" t="str">
            <v>7518028798512</v>
          </cell>
        </row>
        <row r="142">
          <cell r="B142" t="str">
            <v>A00142</v>
          </cell>
          <cell r="T142" t="str">
            <v>1491191290</v>
          </cell>
        </row>
        <row r="143">
          <cell r="B143" t="str">
            <v>A00143</v>
          </cell>
          <cell r="T143" t="str">
            <v>4810625356301</v>
          </cell>
        </row>
        <row r="144">
          <cell r="B144" t="str">
            <v>A00144</v>
          </cell>
          <cell r="T144" t="str">
            <v>2697557401728</v>
          </cell>
        </row>
        <row r="145">
          <cell r="B145" t="str">
            <v>A00145</v>
          </cell>
          <cell r="T145" t="str">
            <v>1016878983</v>
          </cell>
        </row>
        <row r="146">
          <cell r="B146" t="str">
            <v>A00146</v>
          </cell>
          <cell r="T146" t="str">
            <v/>
          </cell>
        </row>
        <row r="147">
          <cell r="B147" t="str">
            <v>A00147</v>
          </cell>
          <cell r="T147" t="str">
            <v/>
          </cell>
        </row>
        <row r="148">
          <cell r="B148" t="str">
            <v>A00148</v>
          </cell>
          <cell r="T148" t="str">
            <v>19723328602004383</v>
          </cell>
        </row>
        <row r="149">
          <cell r="B149" t="str">
            <v>A00149</v>
          </cell>
          <cell r="T149" t="str">
            <v>4619185822</v>
          </cell>
        </row>
        <row r="150">
          <cell r="B150" t="str">
            <v>A00150</v>
          </cell>
          <cell r="T150" t="str">
            <v>7320748747</v>
          </cell>
        </row>
        <row r="151">
          <cell r="B151" t="str">
            <v>A00151</v>
          </cell>
          <cell r="T151" t="str">
            <v/>
          </cell>
        </row>
        <row r="152">
          <cell r="B152" t="str">
            <v>A00152</v>
          </cell>
          <cell r="T152" t="str">
            <v>6869892619</v>
          </cell>
        </row>
        <row r="153">
          <cell r="B153" t="str">
            <v>A00153</v>
          </cell>
          <cell r="T153" t="str">
            <v/>
          </cell>
        </row>
        <row r="154">
          <cell r="B154" t="str">
            <v>A00154</v>
          </cell>
          <cell r="T154" t="str">
            <v/>
          </cell>
        </row>
        <row r="155">
          <cell r="B155" t="str">
            <v>A00155</v>
          </cell>
          <cell r="T155" t="str">
            <v>9120247490</v>
          </cell>
        </row>
        <row r="156">
          <cell r="B156" t="str">
            <v>A00156</v>
          </cell>
          <cell r="T156" t="str">
            <v>1026122026</v>
          </cell>
        </row>
        <row r="157">
          <cell r="B157" t="str">
            <v>A00157</v>
          </cell>
          <cell r="T157" t="str">
            <v>3733728855</v>
          </cell>
        </row>
        <row r="158">
          <cell r="B158" t="str">
            <v>A00158</v>
          </cell>
          <cell r="T158" t="str">
            <v/>
          </cell>
        </row>
        <row r="159">
          <cell r="B159" t="str">
            <v>A00159</v>
          </cell>
          <cell r="T159" t="str">
            <v>2369196965</v>
          </cell>
        </row>
        <row r="160">
          <cell r="B160" t="str">
            <v>A00160</v>
          </cell>
          <cell r="T160" t="str">
            <v/>
          </cell>
        </row>
        <row r="161">
          <cell r="B161" t="str">
            <v>A00161</v>
          </cell>
          <cell r="T161" t="str">
            <v/>
          </cell>
        </row>
        <row r="162">
          <cell r="B162" t="str">
            <v>A00162</v>
          </cell>
          <cell r="T162" t="str">
            <v>1517835205845</v>
          </cell>
        </row>
        <row r="163">
          <cell r="B163" t="str">
            <v>A00163</v>
          </cell>
          <cell r="T163" t="str">
            <v>4624317345</v>
          </cell>
        </row>
        <row r="164">
          <cell r="B164" t="str">
            <v>A00164</v>
          </cell>
          <cell r="T164" t="str">
            <v>6894306585</v>
          </cell>
        </row>
        <row r="165">
          <cell r="B165" t="str">
            <v>A00165</v>
          </cell>
          <cell r="T165" t="str">
            <v>6421174126</v>
          </cell>
        </row>
        <row r="166">
          <cell r="B166" t="str">
            <v>A00166</v>
          </cell>
          <cell r="T166" t="str">
            <v/>
          </cell>
        </row>
        <row r="167">
          <cell r="B167" t="str">
            <v>A00167</v>
          </cell>
          <cell r="T167" t="str">
            <v/>
          </cell>
        </row>
        <row r="168">
          <cell r="B168" t="str">
            <v>A00168</v>
          </cell>
          <cell r="T168" t="str">
            <v/>
          </cell>
        </row>
        <row r="169">
          <cell r="B169" t="str">
            <v>A00169</v>
          </cell>
          <cell r="T169" t="str">
            <v>5509361001</v>
          </cell>
        </row>
        <row r="170">
          <cell r="B170" t="str">
            <v>A00170</v>
          </cell>
          <cell r="T170" t="str">
            <v>7782332675</v>
          </cell>
        </row>
        <row r="171">
          <cell r="B171" t="str">
            <v>A00171</v>
          </cell>
          <cell r="T171" t="str">
            <v>5083319078</v>
          </cell>
        </row>
        <row r="172">
          <cell r="B172" t="str">
            <v>A00172</v>
          </cell>
          <cell r="T172" t="str">
            <v/>
          </cell>
        </row>
        <row r="173">
          <cell r="B173" t="str">
            <v>A00173</v>
          </cell>
          <cell r="T173" t="str">
            <v>5972688211</v>
          </cell>
        </row>
        <row r="174">
          <cell r="B174" t="str">
            <v>A00174</v>
          </cell>
          <cell r="T174" t="str">
            <v>2616220557804</v>
          </cell>
        </row>
        <row r="175">
          <cell r="B175" t="str">
            <v>A00175</v>
          </cell>
          <cell r="T175" t="str">
            <v/>
          </cell>
        </row>
        <row r="176">
          <cell r="B176" t="str">
            <v>A00176</v>
          </cell>
          <cell r="T176" t="str">
            <v>8217616443</v>
          </cell>
        </row>
        <row r="177">
          <cell r="B177" t="str">
            <v>A00177</v>
          </cell>
          <cell r="T177" t="str">
            <v>19843610227000002</v>
          </cell>
        </row>
        <row r="178">
          <cell r="B178" t="str">
            <v>A00178</v>
          </cell>
          <cell r="T178" t="str">
            <v/>
          </cell>
        </row>
        <row r="179">
          <cell r="B179" t="str">
            <v>A00179</v>
          </cell>
          <cell r="T179" t="str">
            <v>3719422796</v>
          </cell>
        </row>
        <row r="180">
          <cell r="B180" t="str">
            <v>A00180</v>
          </cell>
          <cell r="T180" t="str">
            <v/>
          </cell>
        </row>
        <row r="181">
          <cell r="B181" t="str">
            <v>A00181</v>
          </cell>
          <cell r="T181" t="str">
            <v>2369793399</v>
          </cell>
        </row>
        <row r="182">
          <cell r="B182" t="str">
            <v>A00182</v>
          </cell>
          <cell r="T182" t="str">
            <v>7772264052</v>
          </cell>
        </row>
        <row r="183">
          <cell r="B183" t="str">
            <v>A00183</v>
          </cell>
          <cell r="T183" t="str">
            <v/>
          </cell>
        </row>
        <row r="184">
          <cell r="B184" t="str">
            <v>A00184</v>
          </cell>
          <cell r="T184" t="str">
            <v/>
          </cell>
        </row>
        <row r="185">
          <cell r="B185" t="str">
            <v>A00185</v>
          </cell>
          <cell r="T185" t="str">
            <v/>
          </cell>
        </row>
        <row r="186">
          <cell r="B186" t="str">
            <v>A00186</v>
          </cell>
          <cell r="T186" t="str">
            <v>9103772019</v>
          </cell>
        </row>
        <row r="187">
          <cell r="B187" t="str">
            <v>A00187</v>
          </cell>
          <cell r="T187" t="str">
            <v>8230554365</v>
          </cell>
        </row>
        <row r="188">
          <cell r="B188" t="str">
            <v>A00188</v>
          </cell>
          <cell r="T188" t="str">
            <v/>
          </cell>
        </row>
        <row r="189">
          <cell r="B189" t="str">
            <v>A00189</v>
          </cell>
          <cell r="T189" t="str">
            <v>2694814638079</v>
          </cell>
        </row>
        <row r="190">
          <cell r="B190" t="str">
            <v>A00190</v>
          </cell>
          <cell r="T190" t="str">
            <v>2367092349</v>
          </cell>
        </row>
        <row r="191">
          <cell r="B191" t="str">
            <v>A00191</v>
          </cell>
          <cell r="T191" t="str">
            <v>5995252789</v>
          </cell>
        </row>
        <row r="192">
          <cell r="B192" t="str">
            <v>A00192</v>
          </cell>
          <cell r="T192" t="str">
            <v>4200761445</v>
          </cell>
        </row>
        <row r="193">
          <cell r="B193" t="str">
            <v>A00193</v>
          </cell>
          <cell r="T193" t="str">
            <v>2696828261943</v>
          </cell>
        </row>
        <row r="194">
          <cell r="B194" t="str">
            <v>A00194</v>
          </cell>
          <cell r="T194" t="str">
            <v>3323013326210</v>
          </cell>
        </row>
        <row r="195">
          <cell r="B195" t="str">
            <v>A00195</v>
          </cell>
          <cell r="T195" t="str">
            <v/>
          </cell>
        </row>
        <row r="196">
          <cell r="B196" t="str">
            <v>A00196</v>
          </cell>
          <cell r="T196" t="str">
            <v>4199712532</v>
          </cell>
        </row>
        <row r="197">
          <cell r="B197" t="str">
            <v>A00197</v>
          </cell>
          <cell r="T197" t="str">
            <v>3723357285</v>
          </cell>
        </row>
        <row r="198">
          <cell r="B198" t="str">
            <v>A00198</v>
          </cell>
          <cell r="T198" t="str">
            <v>2696654357731</v>
          </cell>
        </row>
        <row r="199">
          <cell r="B199" t="str">
            <v>A00199</v>
          </cell>
          <cell r="T199" t="str">
            <v/>
          </cell>
        </row>
        <row r="200">
          <cell r="B200" t="str">
            <v>A00200</v>
          </cell>
          <cell r="T200" t="str">
            <v>9133661877</v>
          </cell>
        </row>
        <row r="201">
          <cell r="B201" t="str">
            <v>A00201</v>
          </cell>
          <cell r="T201" t="str">
            <v>7349053632</v>
          </cell>
        </row>
        <row r="202">
          <cell r="B202" t="str">
            <v>A00202</v>
          </cell>
          <cell r="T202" t="str">
            <v>2691649423652</v>
          </cell>
        </row>
        <row r="203">
          <cell r="B203" t="str">
            <v>A00203</v>
          </cell>
          <cell r="T203" t="str">
            <v>9553948606</v>
          </cell>
        </row>
        <row r="204">
          <cell r="B204" t="str">
            <v>A00204</v>
          </cell>
          <cell r="T204" t="str">
            <v>2695041733424</v>
          </cell>
        </row>
        <row r="205">
          <cell r="B205" t="str">
            <v>A00205</v>
          </cell>
          <cell r="T205" t="str">
            <v>7345774603</v>
          </cell>
        </row>
        <row r="206">
          <cell r="B206" t="str">
            <v>A00206</v>
          </cell>
          <cell r="T206" t="str">
            <v/>
          </cell>
        </row>
        <row r="207">
          <cell r="B207" t="str">
            <v>A00207</v>
          </cell>
          <cell r="T207" t="str">
            <v/>
          </cell>
        </row>
        <row r="208">
          <cell r="B208" t="str">
            <v>A00208</v>
          </cell>
          <cell r="T208" t="str">
            <v/>
          </cell>
        </row>
        <row r="209">
          <cell r="B209" t="str">
            <v>A00209</v>
          </cell>
          <cell r="T209" t="str">
            <v>6914303299</v>
          </cell>
        </row>
        <row r="210">
          <cell r="B210" t="str">
            <v>A00210</v>
          </cell>
          <cell r="T210" t="str">
            <v>5994964764</v>
          </cell>
        </row>
        <row r="211">
          <cell r="B211" t="str">
            <v>A00211</v>
          </cell>
          <cell r="T211" t="str">
            <v>19702694807834834</v>
          </cell>
        </row>
        <row r="212">
          <cell r="B212" t="str">
            <v>A00212</v>
          </cell>
          <cell r="T212" t="str">
            <v>5102284394</v>
          </cell>
        </row>
        <row r="213">
          <cell r="B213" t="str">
            <v>A00213</v>
          </cell>
          <cell r="T213" t="str">
            <v/>
          </cell>
        </row>
        <row r="214">
          <cell r="B214" t="str">
            <v>A00214</v>
          </cell>
          <cell r="T214" t="str">
            <v>6450689978</v>
          </cell>
        </row>
        <row r="215">
          <cell r="B215" t="str">
            <v>A00215</v>
          </cell>
          <cell r="T215" t="str">
            <v/>
          </cell>
        </row>
        <row r="216">
          <cell r="B216" t="str">
            <v>A00216</v>
          </cell>
          <cell r="T216" t="str">
            <v/>
          </cell>
        </row>
        <row r="217">
          <cell r="B217" t="str">
            <v>A00217</v>
          </cell>
          <cell r="T217" t="str">
            <v>19902914779000015</v>
          </cell>
        </row>
        <row r="218">
          <cell r="B218" t="str">
            <v>A00218</v>
          </cell>
          <cell r="T218" t="str">
            <v/>
          </cell>
        </row>
        <row r="219">
          <cell r="B219" t="str">
            <v>A00219</v>
          </cell>
          <cell r="T219" t="str">
            <v>2690417455769</v>
          </cell>
        </row>
        <row r="220">
          <cell r="B220" t="str">
            <v>A00220</v>
          </cell>
          <cell r="T220" t="str">
            <v>1467785497</v>
          </cell>
        </row>
        <row r="221">
          <cell r="B221" t="str">
            <v>A00221</v>
          </cell>
          <cell r="T221" t="str">
            <v>Birth Certificate: 20020619410015476</v>
          </cell>
        </row>
        <row r="222">
          <cell r="B222" t="str">
            <v>A00222</v>
          </cell>
          <cell r="T222" t="str">
            <v>Registration No.: C-108070/13</v>
          </cell>
        </row>
        <row r="223">
          <cell r="B223" t="str">
            <v>A00223</v>
          </cell>
          <cell r="T223" t="str">
            <v>5069132677</v>
          </cell>
        </row>
        <row r="224">
          <cell r="B224" t="str">
            <v>A00224</v>
          </cell>
          <cell r="T224" t="str">
            <v>1910950830818</v>
          </cell>
        </row>
        <row r="225">
          <cell r="B225" t="str">
            <v>A00225</v>
          </cell>
          <cell r="T225" t="str">
            <v/>
          </cell>
        </row>
        <row r="226">
          <cell r="B226" t="str">
            <v>A00226</v>
          </cell>
          <cell r="T226" t="str">
            <v/>
          </cell>
        </row>
        <row r="227">
          <cell r="B227" t="str">
            <v>A00227</v>
          </cell>
          <cell r="T227" t="str">
            <v/>
          </cell>
        </row>
        <row r="228">
          <cell r="B228" t="str">
            <v>A00228</v>
          </cell>
          <cell r="T228" t="str">
            <v>5074181891</v>
          </cell>
        </row>
        <row r="229">
          <cell r="B229" t="str">
            <v>A00229</v>
          </cell>
          <cell r="T229" t="str">
            <v/>
          </cell>
        </row>
        <row r="230">
          <cell r="B230" t="str">
            <v>A00230</v>
          </cell>
          <cell r="T230" t="str">
            <v>3722261827</v>
          </cell>
        </row>
        <row r="231">
          <cell r="B231" t="str">
            <v>A00231</v>
          </cell>
          <cell r="T231" t="str">
            <v>9123308802</v>
          </cell>
        </row>
        <row r="232">
          <cell r="B232" t="str">
            <v>A00232</v>
          </cell>
          <cell r="T232" t="str">
            <v>Registration No.: C-89522/11</v>
          </cell>
        </row>
        <row r="233">
          <cell r="B233" t="str">
            <v>A00233</v>
          </cell>
          <cell r="T233" t="str">
            <v>5545100496</v>
          </cell>
        </row>
        <row r="234">
          <cell r="B234" t="str">
            <v>A00234</v>
          </cell>
          <cell r="T234" t="str">
            <v>7321519469</v>
          </cell>
        </row>
        <row r="235">
          <cell r="B235" t="str">
            <v>A00235</v>
          </cell>
          <cell r="T235" t="str">
            <v/>
          </cell>
        </row>
        <row r="236">
          <cell r="B236" t="str">
            <v>A00236</v>
          </cell>
          <cell r="T236" t="str">
            <v>2696828801313</v>
          </cell>
        </row>
        <row r="237">
          <cell r="B237" t="str">
            <v>A00237</v>
          </cell>
          <cell r="T237" t="str">
            <v/>
          </cell>
        </row>
        <row r="238">
          <cell r="B238" t="str">
            <v>A00238</v>
          </cell>
          <cell r="T238" t="str">
            <v/>
          </cell>
        </row>
        <row r="239">
          <cell r="B239" t="str">
            <v>A00239</v>
          </cell>
          <cell r="T239" t="str">
            <v/>
          </cell>
        </row>
        <row r="240">
          <cell r="B240" t="str">
            <v>A00240</v>
          </cell>
          <cell r="T240" t="str">
            <v>6424286992</v>
          </cell>
        </row>
        <row r="241">
          <cell r="B241" t="str">
            <v>A00241</v>
          </cell>
          <cell r="T241" t="str">
            <v/>
          </cell>
        </row>
        <row r="242">
          <cell r="B242" t="str">
            <v>A00242</v>
          </cell>
          <cell r="T242" t="str">
            <v>9329516318730</v>
          </cell>
        </row>
        <row r="243">
          <cell r="B243" t="str">
            <v>A00243</v>
          </cell>
          <cell r="T243" t="str">
            <v>2696829752933</v>
          </cell>
        </row>
        <row r="244">
          <cell r="B244" t="str">
            <v>A00244</v>
          </cell>
          <cell r="T244" t="str">
            <v>8233673261</v>
          </cell>
        </row>
        <row r="245">
          <cell r="B245" t="str">
            <v>A00245</v>
          </cell>
          <cell r="T245" t="str">
            <v/>
          </cell>
        </row>
        <row r="246">
          <cell r="B246" t="str">
            <v>A00246</v>
          </cell>
          <cell r="T246" t="str">
            <v/>
          </cell>
        </row>
        <row r="247">
          <cell r="B247" t="str">
            <v>A00247</v>
          </cell>
          <cell r="T247" t="str">
            <v>8668246575</v>
          </cell>
        </row>
        <row r="248">
          <cell r="B248" t="str">
            <v>A00248</v>
          </cell>
          <cell r="T248" t="str">
            <v>4619888565</v>
          </cell>
        </row>
        <row r="249">
          <cell r="B249" t="str">
            <v>A00249</v>
          </cell>
          <cell r="T249" t="str">
            <v>7344032748</v>
          </cell>
        </row>
        <row r="250">
          <cell r="B250" t="str">
            <v>A00250</v>
          </cell>
          <cell r="T250" t="str">
            <v>19991517469000032</v>
          </cell>
        </row>
        <row r="251">
          <cell r="B251" t="str">
            <v>A00251</v>
          </cell>
          <cell r="T251" t="str">
            <v/>
          </cell>
        </row>
        <row r="252">
          <cell r="B252" t="str">
            <v>A00252</v>
          </cell>
          <cell r="T252" t="str">
            <v>19842697557000020</v>
          </cell>
        </row>
        <row r="253">
          <cell r="B253" t="str">
            <v>A00253</v>
          </cell>
          <cell r="T253" t="str">
            <v>19968611477018026</v>
          </cell>
        </row>
        <row r="254">
          <cell r="B254" t="str">
            <v>A00254</v>
          </cell>
          <cell r="T254" t="str">
            <v>2827532116</v>
          </cell>
        </row>
        <row r="255">
          <cell r="B255" t="str">
            <v>A00255</v>
          </cell>
          <cell r="T255" t="str">
            <v>8694264501</v>
          </cell>
        </row>
        <row r="256">
          <cell r="B256" t="str">
            <v>A00256</v>
          </cell>
          <cell r="T256" t="str">
            <v>2698877385981</v>
          </cell>
        </row>
        <row r="257">
          <cell r="B257" t="str">
            <v>A00257</v>
          </cell>
          <cell r="T257" t="str">
            <v>1918151729</v>
          </cell>
        </row>
        <row r="258">
          <cell r="B258" t="str">
            <v>A00258</v>
          </cell>
          <cell r="T258" t="str">
            <v>Passport No.: BQ0480054</v>
          </cell>
        </row>
        <row r="259">
          <cell r="B259" t="str">
            <v>A00259</v>
          </cell>
          <cell r="T259" t="str">
            <v>1503985598</v>
          </cell>
        </row>
        <row r="260">
          <cell r="B260" t="str">
            <v>A00260</v>
          </cell>
          <cell r="T260" t="str">
            <v>8816176011644</v>
          </cell>
        </row>
        <row r="261">
          <cell r="B261" t="str">
            <v>A00261</v>
          </cell>
          <cell r="T261" t="str">
            <v>2401951708</v>
          </cell>
        </row>
        <row r="262">
          <cell r="B262" t="str">
            <v>A00262</v>
          </cell>
          <cell r="T262" t="str">
            <v/>
          </cell>
        </row>
        <row r="263">
          <cell r="B263" t="str">
            <v>A00263</v>
          </cell>
          <cell r="T263" t="str">
            <v/>
          </cell>
        </row>
        <row r="264">
          <cell r="B264" t="str">
            <v>A00264</v>
          </cell>
          <cell r="T264" t="str">
            <v>3733727683</v>
          </cell>
        </row>
        <row r="265">
          <cell r="B265" t="str">
            <v>A00265</v>
          </cell>
          <cell r="T265" t="str">
            <v/>
          </cell>
        </row>
        <row r="266">
          <cell r="B266" t="str">
            <v>A00266</v>
          </cell>
          <cell r="T266" t="str">
            <v>6881151796</v>
          </cell>
        </row>
        <row r="267">
          <cell r="B267" t="str">
            <v>A00267</v>
          </cell>
          <cell r="T267" t="str">
            <v/>
          </cell>
        </row>
        <row r="268">
          <cell r="B268" t="str">
            <v>A00268</v>
          </cell>
          <cell r="T268" t="str">
            <v>19902694807000837</v>
          </cell>
        </row>
        <row r="269">
          <cell r="B269" t="str">
            <v>A00269</v>
          </cell>
          <cell r="T269" t="str">
            <v>7301023391</v>
          </cell>
        </row>
        <row r="270">
          <cell r="B270" t="str">
            <v>A00270</v>
          </cell>
          <cell r="T270" t="str">
            <v>1007091349</v>
          </cell>
        </row>
        <row r="271">
          <cell r="B271" t="str">
            <v>A00271</v>
          </cell>
          <cell r="T271" t="str">
            <v>3700113180</v>
          </cell>
        </row>
        <row r="272">
          <cell r="B272" t="str">
            <v>A00272</v>
          </cell>
          <cell r="T272" t="str">
            <v>5522411064</v>
          </cell>
        </row>
        <row r="273">
          <cell r="B273" t="str">
            <v>A00273</v>
          </cell>
          <cell r="T273" t="str">
            <v>3720134919</v>
          </cell>
        </row>
        <row r="274">
          <cell r="B274" t="str">
            <v>A00274</v>
          </cell>
          <cell r="T274" t="str">
            <v>1513759726921</v>
          </cell>
        </row>
        <row r="275">
          <cell r="B275" t="str">
            <v>A00275</v>
          </cell>
          <cell r="T275" t="str">
            <v/>
          </cell>
        </row>
        <row r="276">
          <cell r="B276" t="str">
            <v>A00276</v>
          </cell>
          <cell r="T276" t="str">
            <v/>
          </cell>
        </row>
        <row r="277">
          <cell r="B277" t="str">
            <v>A00277</v>
          </cell>
          <cell r="T277" t="str">
            <v/>
          </cell>
        </row>
        <row r="278">
          <cell r="B278" t="str">
            <v>A00278</v>
          </cell>
          <cell r="T278" t="str">
            <v>19612691615000009</v>
          </cell>
        </row>
        <row r="279">
          <cell r="B279" t="str">
            <v>A00279</v>
          </cell>
          <cell r="T279" t="str">
            <v/>
          </cell>
        </row>
        <row r="280">
          <cell r="B280" t="str">
            <v>A00280</v>
          </cell>
          <cell r="T280" t="str">
            <v/>
          </cell>
        </row>
        <row r="281">
          <cell r="B281" t="str">
            <v>A00281</v>
          </cell>
          <cell r="T281" t="str">
            <v>2697557413702</v>
          </cell>
        </row>
        <row r="282">
          <cell r="B282" t="str">
            <v>A00282</v>
          </cell>
          <cell r="T282" t="str">
            <v>2845022686</v>
          </cell>
        </row>
        <row r="283">
          <cell r="B283" t="str">
            <v>A00283</v>
          </cell>
          <cell r="T283" t="str">
            <v>19782692529028056</v>
          </cell>
        </row>
        <row r="284">
          <cell r="B284" t="str">
            <v>A00284</v>
          </cell>
          <cell r="T284" t="str">
            <v>2841433887</v>
          </cell>
        </row>
        <row r="285">
          <cell r="B285" t="str">
            <v>A00285</v>
          </cell>
          <cell r="T285" t="str">
            <v>5982067281</v>
          </cell>
        </row>
        <row r="286">
          <cell r="B286" t="str">
            <v>A00286</v>
          </cell>
          <cell r="T286" t="str">
            <v>19961917553000065</v>
          </cell>
        </row>
        <row r="287">
          <cell r="B287" t="str">
            <v>A00287</v>
          </cell>
          <cell r="T287" t="str">
            <v>1941821512</v>
          </cell>
        </row>
        <row r="288">
          <cell r="B288" t="str">
            <v>A00288</v>
          </cell>
          <cell r="T288" t="str">
            <v/>
          </cell>
        </row>
        <row r="289">
          <cell r="B289" t="str">
            <v>A00289</v>
          </cell>
          <cell r="T289" t="str">
            <v/>
          </cell>
        </row>
        <row r="290">
          <cell r="B290" t="str">
            <v>A00290</v>
          </cell>
          <cell r="T290" t="str">
            <v>4632191195</v>
          </cell>
        </row>
        <row r="291">
          <cell r="B291" t="str">
            <v>A00291</v>
          </cell>
          <cell r="T291" t="str">
            <v>9146674347</v>
          </cell>
        </row>
        <row r="292">
          <cell r="B292" t="str">
            <v>A00292</v>
          </cell>
          <cell r="T292" t="str">
            <v>7319206376</v>
          </cell>
        </row>
        <row r="293">
          <cell r="B293" t="str">
            <v>A00293</v>
          </cell>
          <cell r="T293" t="str">
            <v>19782699501914386</v>
          </cell>
        </row>
        <row r="294">
          <cell r="B294" t="str">
            <v>A00294</v>
          </cell>
          <cell r="T294" t="str">
            <v>3749636159</v>
          </cell>
        </row>
        <row r="295">
          <cell r="B295" t="str">
            <v>A00295</v>
          </cell>
          <cell r="T295" t="str">
            <v>19742696654288608</v>
          </cell>
        </row>
        <row r="296">
          <cell r="B296" t="str">
            <v>A00296</v>
          </cell>
          <cell r="T296" t="str">
            <v>19825414094589834</v>
          </cell>
        </row>
        <row r="297">
          <cell r="B297" t="str">
            <v>A00297</v>
          </cell>
          <cell r="T297" t="str">
            <v>8250659136</v>
          </cell>
        </row>
        <row r="298">
          <cell r="B298" t="str">
            <v>A00298</v>
          </cell>
          <cell r="T298" t="str">
            <v/>
          </cell>
        </row>
        <row r="299">
          <cell r="B299" t="str">
            <v>A00299</v>
          </cell>
          <cell r="T299" t="str">
            <v>8244420173</v>
          </cell>
        </row>
        <row r="300">
          <cell r="B300" t="str">
            <v>A00300</v>
          </cell>
          <cell r="T300" t="str">
            <v>2401084526</v>
          </cell>
        </row>
        <row r="301">
          <cell r="B301" t="str">
            <v>A00301</v>
          </cell>
          <cell r="T301" t="str">
            <v>3704047079</v>
          </cell>
        </row>
        <row r="302">
          <cell r="B302" t="str">
            <v>A00302</v>
          </cell>
          <cell r="T302" t="str">
            <v>8693969258</v>
          </cell>
        </row>
        <row r="303">
          <cell r="B303" t="str">
            <v>A00303</v>
          </cell>
          <cell r="T303" t="str">
            <v/>
          </cell>
        </row>
        <row r="304">
          <cell r="B304" t="str">
            <v>A00304</v>
          </cell>
          <cell r="T304" t="str">
            <v>3721359556</v>
          </cell>
        </row>
        <row r="305">
          <cell r="B305" t="str">
            <v>A00305</v>
          </cell>
          <cell r="T305" t="str">
            <v/>
          </cell>
        </row>
        <row r="306">
          <cell r="B306" t="str">
            <v>A00306</v>
          </cell>
          <cell r="T306" t="str">
            <v>8702222541</v>
          </cell>
        </row>
        <row r="307">
          <cell r="B307" t="str">
            <v>A00307</v>
          </cell>
          <cell r="T307" t="str">
            <v>3703230031</v>
          </cell>
        </row>
        <row r="308">
          <cell r="B308" t="str">
            <v>A00308</v>
          </cell>
          <cell r="T308" t="str">
            <v>1003994066</v>
          </cell>
        </row>
        <row r="309">
          <cell r="B309" t="str">
            <v>A00309</v>
          </cell>
          <cell r="T309" t="str">
            <v>19922696804000736</v>
          </cell>
        </row>
        <row r="310">
          <cell r="B310" t="str">
            <v>A00310</v>
          </cell>
          <cell r="T310" t="str">
            <v/>
          </cell>
        </row>
        <row r="311">
          <cell r="B311" t="str">
            <v>A00311</v>
          </cell>
          <cell r="T311" t="str">
            <v>7308189013</v>
          </cell>
        </row>
        <row r="312">
          <cell r="B312" t="str">
            <v>A00312</v>
          </cell>
          <cell r="T312" t="str">
            <v>2697557399527</v>
          </cell>
        </row>
        <row r="313">
          <cell r="B313" t="str">
            <v>A00313</v>
          </cell>
          <cell r="T313" t="str">
            <v>2858031780</v>
          </cell>
        </row>
        <row r="314">
          <cell r="B314" t="str">
            <v>A00314</v>
          </cell>
          <cell r="T314" t="str">
            <v/>
          </cell>
        </row>
        <row r="315">
          <cell r="B315" t="str">
            <v>A00315</v>
          </cell>
          <cell r="T315" t="str">
            <v>9103933157</v>
          </cell>
        </row>
        <row r="316">
          <cell r="B316" t="str">
            <v>A00316</v>
          </cell>
          <cell r="T316" t="str">
            <v/>
          </cell>
        </row>
        <row r="317">
          <cell r="B317" t="str">
            <v>A00317</v>
          </cell>
          <cell r="T317" t="str">
            <v>1505216851</v>
          </cell>
        </row>
        <row r="318">
          <cell r="B318" t="str">
            <v>A00318</v>
          </cell>
          <cell r="T318" t="str">
            <v>2691651176637</v>
          </cell>
        </row>
        <row r="319">
          <cell r="B319" t="str">
            <v>A00319</v>
          </cell>
          <cell r="T319" t="str">
            <v>7788473176</v>
          </cell>
        </row>
        <row r="320">
          <cell r="B320" t="str">
            <v>A00320</v>
          </cell>
          <cell r="T320" t="str">
            <v>9148752737</v>
          </cell>
        </row>
        <row r="321">
          <cell r="B321" t="str">
            <v>A00321</v>
          </cell>
          <cell r="T321" t="str">
            <v>2616220556869</v>
          </cell>
        </row>
        <row r="322">
          <cell r="B322" t="str">
            <v>A00322</v>
          </cell>
          <cell r="T322" t="str">
            <v>19902695408000179</v>
          </cell>
        </row>
        <row r="323">
          <cell r="B323" t="str">
            <v>A00323</v>
          </cell>
          <cell r="T323" t="str">
            <v>1908481177</v>
          </cell>
        </row>
        <row r="324">
          <cell r="B324" t="str">
            <v>A00324</v>
          </cell>
          <cell r="T324" t="str">
            <v>8228464296</v>
          </cell>
        </row>
        <row r="325">
          <cell r="B325" t="str">
            <v>A00325</v>
          </cell>
          <cell r="T325" t="str">
            <v/>
          </cell>
        </row>
        <row r="326">
          <cell r="B326" t="str">
            <v>A00326</v>
          </cell>
          <cell r="T326" t="str">
            <v>Registration No.: 5P/97-98/2925</v>
          </cell>
        </row>
        <row r="327">
          <cell r="B327" t="str">
            <v>A00327</v>
          </cell>
          <cell r="T327" t="str">
            <v/>
          </cell>
        </row>
        <row r="328">
          <cell r="B328" t="str">
            <v>A00328</v>
          </cell>
          <cell r="T328" t="str">
            <v>2696352224033</v>
          </cell>
        </row>
        <row r="329">
          <cell r="B329" t="str">
            <v>A00329</v>
          </cell>
          <cell r="T329" t="str">
            <v/>
          </cell>
        </row>
        <row r="330">
          <cell r="B330" t="str">
            <v>A00330</v>
          </cell>
          <cell r="T330" t="str">
            <v/>
          </cell>
        </row>
        <row r="331">
          <cell r="B331" t="str">
            <v>A00331</v>
          </cell>
          <cell r="T331" t="str">
            <v>6441316856</v>
          </cell>
        </row>
        <row r="332">
          <cell r="B332" t="str">
            <v>A00332</v>
          </cell>
          <cell r="T332" t="str">
            <v>4151737410</v>
          </cell>
        </row>
        <row r="333">
          <cell r="B333" t="str">
            <v>A00333</v>
          </cell>
          <cell r="T333" t="str">
            <v>2356191920</v>
          </cell>
        </row>
        <row r="334">
          <cell r="B334" t="str">
            <v>A00334</v>
          </cell>
          <cell r="T334" t="str">
            <v/>
          </cell>
        </row>
        <row r="335">
          <cell r="B335" t="str">
            <v>A00335</v>
          </cell>
          <cell r="T335" t="str">
            <v>19661543717023328</v>
          </cell>
        </row>
        <row r="336">
          <cell r="B336" t="str">
            <v>A00336</v>
          </cell>
          <cell r="T336" t="str">
            <v/>
          </cell>
        </row>
        <row r="337">
          <cell r="B337" t="str">
            <v>A00337</v>
          </cell>
          <cell r="T337" t="str">
            <v>19829312371647937</v>
          </cell>
        </row>
        <row r="338">
          <cell r="B338" t="str">
            <v>A00338</v>
          </cell>
          <cell r="T338" t="str">
            <v>3732223973</v>
          </cell>
        </row>
        <row r="339">
          <cell r="B339" t="str">
            <v>A00339</v>
          </cell>
          <cell r="T339" t="str">
            <v/>
          </cell>
        </row>
        <row r="340">
          <cell r="B340" t="str">
            <v>A00340</v>
          </cell>
          <cell r="T340" t="str">
            <v>2696653266063</v>
          </cell>
        </row>
        <row r="341">
          <cell r="B341" t="str">
            <v>A00341</v>
          </cell>
          <cell r="T341" t="str">
            <v>4618722351</v>
          </cell>
        </row>
        <row r="342">
          <cell r="B342" t="str">
            <v>A00342</v>
          </cell>
          <cell r="T342" t="str">
            <v>1921315865</v>
          </cell>
        </row>
        <row r="343">
          <cell r="B343" t="str">
            <v>A00343</v>
          </cell>
          <cell r="T343" t="str">
            <v>9582919917</v>
          </cell>
        </row>
        <row r="344">
          <cell r="B344" t="str">
            <v>A00344</v>
          </cell>
          <cell r="T344" t="str">
            <v/>
          </cell>
        </row>
        <row r="345">
          <cell r="B345" t="str">
            <v>A00345</v>
          </cell>
          <cell r="T345" t="str">
            <v/>
          </cell>
        </row>
        <row r="346">
          <cell r="B346" t="str">
            <v>A00346</v>
          </cell>
          <cell r="T346" t="str">
            <v>Registration No.: C-172442/2021</v>
          </cell>
        </row>
        <row r="347">
          <cell r="B347" t="str">
            <v>A00347</v>
          </cell>
          <cell r="T347" t="str">
            <v/>
          </cell>
        </row>
        <row r="348">
          <cell r="B348" t="str">
            <v>A00348</v>
          </cell>
          <cell r="T348" t="str">
            <v>5091137819</v>
          </cell>
        </row>
        <row r="349">
          <cell r="B349" t="str">
            <v>A00349</v>
          </cell>
          <cell r="T349" t="str">
            <v>2616220560207</v>
          </cell>
        </row>
        <row r="350">
          <cell r="B350" t="str">
            <v>A00350</v>
          </cell>
          <cell r="T350" t="str">
            <v>7783873248</v>
          </cell>
        </row>
        <row r="351">
          <cell r="B351" t="str">
            <v>A00351</v>
          </cell>
          <cell r="T351" t="str">
            <v>7773126540</v>
          </cell>
        </row>
        <row r="352">
          <cell r="B352" t="str">
            <v>A00352</v>
          </cell>
          <cell r="T352" t="str">
            <v/>
          </cell>
        </row>
        <row r="353">
          <cell r="B353" t="str">
            <v>A00353</v>
          </cell>
          <cell r="T353" t="str">
            <v>Registration No.: BSEC/Mutual Fund/2018/94</v>
          </cell>
        </row>
        <row r="354">
          <cell r="B354" t="str">
            <v>A00354</v>
          </cell>
          <cell r="T354" t="str">
            <v>Registration No.: C-37782(2082)/99</v>
          </cell>
        </row>
        <row r="355">
          <cell r="B355" t="str">
            <v>A00355</v>
          </cell>
          <cell r="T355" t="str">
            <v/>
          </cell>
        </row>
        <row r="356">
          <cell r="B356" t="str">
            <v>A00356</v>
          </cell>
          <cell r="T356" t="str">
            <v/>
          </cell>
        </row>
        <row r="357">
          <cell r="B357" t="str">
            <v>A00357</v>
          </cell>
          <cell r="T357" t="str">
            <v/>
          </cell>
        </row>
        <row r="358">
          <cell r="B358" t="str">
            <v>A00358</v>
          </cell>
          <cell r="T358" t="str">
            <v>6870972681</v>
          </cell>
        </row>
        <row r="359">
          <cell r="B359" t="str">
            <v>A00359</v>
          </cell>
          <cell r="T359" t="str">
            <v>8702214803</v>
          </cell>
        </row>
        <row r="360">
          <cell r="B360" t="str">
            <v>A00360</v>
          </cell>
          <cell r="T360" t="str">
            <v>Certificate of Incorporation No.: C/82157/10, RJSC</v>
          </cell>
        </row>
        <row r="361">
          <cell r="B361" t="str">
            <v>A00361</v>
          </cell>
          <cell r="T361" t="str">
            <v>3709055259</v>
          </cell>
        </row>
        <row r="362">
          <cell r="B362" t="str">
            <v>A00362</v>
          </cell>
          <cell r="T362" t="str">
            <v>1919393346</v>
          </cell>
        </row>
        <row r="363">
          <cell r="B363" t="str">
            <v>A00363</v>
          </cell>
          <cell r="T363" t="str">
            <v>5519697915</v>
          </cell>
        </row>
        <row r="364">
          <cell r="B364" t="str">
            <v>A00364</v>
          </cell>
          <cell r="T364" t="str">
            <v>1450239031</v>
          </cell>
        </row>
        <row r="365">
          <cell r="B365" t="str">
            <v>A00365</v>
          </cell>
          <cell r="T365" t="str">
            <v>Registration No.: SEC/Mutual Fund/2011/39</v>
          </cell>
        </row>
        <row r="366">
          <cell r="B366" t="str">
            <v>A00366</v>
          </cell>
          <cell r="T366" t="str">
            <v/>
          </cell>
        </row>
        <row r="367">
          <cell r="B367" t="str">
            <v>A00367</v>
          </cell>
          <cell r="T367" t="str">
            <v>7323773486</v>
          </cell>
        </row>
        <row r="368">
          <cell r="B368" t="str">
            <v>A00368</v>
          </cell>
          <cell r="T368" t="str">
            <v>1933447722</v>
          </cell>
        </row>
        <row r="369">
          <cell r="B369" t="str">
            <v>A00369</v>
          </cell>
          <cell r="T369" t="str">
            <v>2696653242536</v>
          </cell>
        </row>
        <row r="370">
          <cell r="B370" t="str">
            <v>A00370</v>
          </cell>
          <cell r="T370" t="str">
            <v>1507445292</v>
          </cell>
        </row>
        <row r="371">
          <cell r="B371" t="str">
            <v>A00371</v>
          </cell>
          <cell r="T371" t="str">
            <v>1918183284</v>
          </cell>
        </row>
        <row r="372">
          <cell r="B372" t="str">
            <v>A00372</v>
          </cell>
          <cell r="T372" t="str">
            <v>2699040714974</v>
          </cell>
        </row>
        <row r="373">
          <cell r="B373" t="str">
            <v>A00373</v>
          </cell>
          <cell r="T373" t="str">
            <v>1470231794</v>
          </cell>
        </row>
        <row r="374">
          <cell r="B374" t="str">
            <v>A00374</v>
          </cell>
          <cell r="T374" t="str">
            <v>3278744507</v>
          </cell>
        </row>
        <row r="375">
          <cell r="B375" t="str">
            <v>A00375</v>
          </cell>
          <cell r="T375" t="str">
            <v>Registration No.: C-30646</v>
          </cell>
        </row>
        <row r="376">
          <cell r="B376" t="str">
            <v>A00376</v>
          </cell>
          <cell r="T376" t="str">
            <v>4644243661</v>
          </cell>
        </row>
        <row r="377">
          <cell r="B377" t="str">
            <v>A00377</v>
          </cell>
          <cell r="T377" t="str">
            <v/>
          </cell>
        </row>
        <row r="378">
          <cell r="B378" t="str">
            <v>A00378</v>
          </cell>
          <cell r="T378" t="str">
            <v/>
          </cell>
        </row>
        <row r="379">
          <cell r="B379" t="str">
            <v>A00379</v>
          </cell>
          <cell r="T379" t="str">
            <v/>
          </cell>
        </row>
        <row r="380">
          <cell r="B380" t="str">
            <v>A00380</v>
          </cell>
          <cell r="T380" t="str">
            <v/>
          </cell>
        </row>
        <row r="381">
          <cell r="B381" t="str">
            <v>A00381</v>
          </cell>
          <cell r="T381" t="str">
            <v>5966890740</v>
          </cell>
        </row>
        <row r="382">
          <cell r="B382" t="str">
            <v>A00382</v>
          </cell>
          <cell r="T382" t="str">
            <v>1020609184</v>
          </cell>
        </row>
        <row r="383">
          <cell r="B383" t="str">
            <v>A00383</v>
          </cell>
          <cell r="T383" t="str">
            <v/>
          </cell>
        </row>
        <row r="384">
          <cell r="B384" t="str">
            <v>A00384</v>
          </cell>
          <cell r="T384" t="str">
            <v>2696655330626</v>
          </cell>
        </row>
        <row r="385">
          <cell r="B385" t="str">
            <v>A00385</v>
          </cell>
          <cell r="T385" t="str">
            <v>19834119017544368</v>
          </cell>
        </row>
        <row r="386">
          <cell r="B386" t="str">
            <v>A00386</v>
          </cell>
          <cell r="T386" t="str">
            <v>3713944183</v>
          </cell>
        </row>
        <row r="387">
          <cell r="B387" t="str">
            <v>A00387</v>
          </cell>
          <cell r="T387" t="str">
            <v>4170932380</v>
          </cell>
        </row>
        <row r="388">
          <cell r="B388" t="str">
            <v>A00388</v>
          </cell>
          <cell r="T388" t="str">
            <v>6423332821</v>
          </cell>
        </row>
        <row r="389">
          <cell r="B389" t="str">
            <v>A00389</v>
          </cell>
          <cell r="T389" t="str">
            <v>1492618853</v>
          </cell>
        </row>
        <row r="390">
          <cell r="B390" t="str">
            <v>A00390</v>
          </cell>
          <cell r="T390" t="str">
            <v/>
          </cell>
        </row>
        <row r="391">
          <cell r="B391" t="str">
            <v>A00391</v>
          </cell>
          <cell r="T391" t="str">
            <v>19914721708000005</v>
          </cell>
        </row>
        <row r="392">
          <cell r="B392" t="str">
            <v>A00392</v>
          </cell>
          <cell r="T392" t="str">
            <v/>
          </cell>
        </row>
        <row r="393">
          <cell r="B393" t="str">
            <v>A00393</v>
          </cell>
          <cell r="T393" t="str">
            <v/>
          </cell>
        </row>
        <row r="394">
          <cell r="B394" t="str">
            <v>A00394</v>
          </cell>
          <cell r="T394" t="str">
            <v>19900610788000229</v>
          </cell>
        </row>
        <row r="395">
          <cell r="B395" t="str">
            <v>A00395</v>
          </cell>
          <cell r="T395" t="str">
            <v>1963372402</v>
          </cell>
        </row>
        <row r="396">
          <cell r="B396" t="str">
            <v>A00396</v>
          </cell>
          <cell r="T396" t="str">
            <v>2371863073</v>
          </cell>
        </row>
        <row r="397">
          <cell r="B397" t="str">
            <v>A00397</v>
          </cell>
          <cell r="T397" t="str">
            <v/>
          </cell>
        </row>
        <row r="398">
          <cell r="B398" t="str">
            <v>A00398</v>
          </cell>
          <cell r="T398" t="str">
            <v>2694812107619</v>
          </cell>
        </row>
        <row r="399">
          <cell r="B399" t="str">
            <v>A00399</v>
          </cell>
          <cell r="T399" t="str">
            <v/>
          </cell>
        </row>
        <row r="400">
          <cell r="B400" t="str">
            <v>A00400</v>
          </cell>
          <cell r="T400" t="str">
            <v>Registration No.: C-38707(665)/99</v>
          </cell>
        </row>
        <row r="401">
          <cell r="B401" t="str">
            <v>A00401</v>
          </cell>
          <cell r="T401" t="str">
            <v>2692848054756</v>
          </cell>
        </row>
        <row r="402">
          <cell r="B402" t="str">
            <v>A00402</v>
          </cell>
          <cell r="T402" t="str">
            <v>6416897368</v>
          </cell>
        </row>
        <row r="403">
          <cell r="B403" t="str">
            <v>A00403</v>
          </cell>
          <cell r="T403" t="str">
            <v>2610413922645</v>
          </cell>
        </row>
        <row r="404">
          <cell r="B404" t="str">
            <v>A00404</v>
          </cell>
          <cell r="T404" t="str">
            <v>1947659148</v>
          </cell>
        </row>
        <row r="405">
          <cell r="B405" t="str">
            <v>A00405</v>
          </cell>
          <cell r="T405" t="str">
            <v>8691018868</v>
          </cell>
        </row>
        <row r="406">
          <cell r="B406" t="str">
            <v>A00406</v>
          </cell>
          <cell r="T406" t="str">
            <v>6883174812</v>
          </cell>
        </row>
        <row r="407">
          <cell r="B407" t="str">
            <v>A00407</v>
          </cell>
          <cell r="T407" t="str">
            <v>19762691649000014</v>
          </cell>
        </row>
        <row r="408">
          <cell r="B408" t="str">
            <v>A00408</v>
          </cell>
          <cell r="T408" t="str">
            <v>2839017593</v>
          </cell>
        </row>
        <row r="409">
          <cell r="B409" t="str">
            <v>A00409</v>
          </cell>
          <cell r="T409" t="str">
            <v>Passport No.: EJ0085764</v>
          </cell>
        </row>
        <row r="410">
          <cell r="B410" t="str">
            <v>A00410</v>
          </cell>
          <cell r="T410" t="str">
            <v>2810428223</v>
          </cell>
        </row>
        <row r="411">
          <cell r="B411" t="str">
            <v>A00411</v>
          </cell>
          <cell r="T411" t="str">
            <v>8681368869</v>
          </cell>
        </row>
        <row r="412">
          <cell r="B412" t="str">
            <v>A00412</v>
          </cell>
          <cell r="T412" t="str">
            <v>7804961642</v>
          </cell>
        </row>
        <row r="413">
          <cell r="B413" t="str">
            <v>A00413</v>
          </cell>
          <cell r="T413" t="str">
            <v>3703530265</v>
          </cell>
        </row>
        <row r="414">
          <cell r="B414" t="str">
            <v>A00414</v>
          </cell>
          <cell r="T414" t="str">
            <v>2374526776</v>
          </cell>
        </row>
        <row r="415">
          <cell r="B415" t="str">
            <v>A00415</v>
          </cell>
          <cell r="T415" t="str">
            <v>5969130292</v>
          </cell>
        </row>
        <row r="416">
          <cell r="B416" t="str">
            <v>A00416</v>
          </cell>
          <cell r="T416" t="str">
            <v>1932402587</v>
          </cell>
        </row>
        <row r="417">
          <cell r="B417" t="str">
            <v>A00417</v>
          </cell>
          <cell r="T417" t="str">
            <v>4600312666</v>
          </cell>
        </row>
        <row r="418">
          <cell r="B418" t="str">
            <v>A00418</v>
          </cell>
          <cell r="T418" t="str">
            <v>19822691649459326</v>
          </cell>
        </row>
        <row r="419">
          <cell r="B419" t="str">
            <v>A00419</v>
          </cell>
          <cell r="T419" t="str">
            <v>9108028144</v>
          </cell>
        </row>
        <row r="420">
          <cell r="B420" t="str">
            <v>A00420</v>
          </cell>
          <cell r="T420" t="str">
            <v>1026099380</v>
          </cell>
        </row>
        <row r="421">
          <cell r="B421" t="str">
            <v>A00421</v>
          </cell>
          <cell r="T421" t="str">
            <v>4158891400</v>
          </cell>
        </row>
        <row r="422">
          <cell r="B422" t="str">
            <v>A00422</v>
          </cell>
          <cell r="T422" t="str">
            <v>19881594122000006</v>
          </cell>
        </row>
        <row r="423">
          <cell r="B423" t="str">
            <v>A00423</v>
          </cell>
          <cell r="T423" t="str">
            <v>1953109194</v>
          </cell>
        </row>
        <row r="424">
          <cell r="B424" t="str">
            <v>A00424</v>
          </cell>
          <cell r="T424" t="str">
            <v>6013118143</v>
          </cell>
        </row>
        <row r="425">
          <cell r="B425" t="str">
            <v>A00425</v>
          </cell>
          <cell r="T425" t="str">
            <v>1594121348037</v>
          </cell>
        </row>
        <row r="426">
          <cell r="B426" t="str">
            <v>A00426</v>
          </cell>
          <cell r="T426" t="str">
            <v>2817000041</v>
          </cell>
        </row>
        <row r="427">
          <cell r="B427" t="str">
            <v>A00427</v>
          </cell>
          <cell r="T427" t="str">
            <v>8233272478</v>
          </cell>
        </row>
        <row r="428">
          <cell r="B428" t="str">
            <v>A00428</v>
          </cell>
          <cell r="T428" t="str">
            <v>6868309821</v>
          </cell>
        </row>
        <row r="429">
          <cell r="B429" t="str">
            <v>A00429</v>
          </cell>
          <cell r="T429" t="str">
            <v>6422103173</v>
          </cell>
        </row>
        <row r="430">
          <cell r="B430" t="str">
            <v>A00430</v>
          </cell>
          <cell r="T430" t="str">
            <v>8198505396716</v>
          </cell>
        </row>
        <row r="431">
          <cell r="B431" t="str">
            <v>A00431</v>
          </cell>
          <cell r="T431" t="str">
            <v>2694813845861</v>
          </cell>
        </row>
        <row r="432">
          <cell r="B432" t="str">
            <v>A00432</v>
          </cell>
          <cell r="T432" t="str">
            <v>8694363709</v>
          </cell>
        </row>
        <row r="433">
          <cell r="B433" t="str">
            <v>A00433</v>
          </cell>
          <cell r="T433" t="str">
            <v>3744336821</v>
          </cell>
        </row>
        <row r="434">
          <cell r="B434" t="str">
            <v>A00434</v>
          </cell>
          <cell r="T434" t="str">
            <v>4613492174</v>
          </cell>
        </row>
        <row r="435">
          <cell r="B435" t="str">
            <v>A00435</v>
          </cell>
          <cell r="T435" t="str">
            <v>8214407366</v>
          </cell>
        </row>
        <row r="436">
          <cell r="B436" t="str">
            <v>A00436</v>
          </cell>
          <cell r="T436" t="str">
            <v>6905152630</v>
          </cell>
        </row>
        <row r="437">
          <cell r="B437" t="str">
            <v>A00437</v>
          </cell>
          <cell r="T437" t="str">
            <v>5077241064</v>
          </cell>
        </row>
        <row r="438">
          <cell r="B438" t="str">
            <v>A00438</v>
          </cell>
          <cell r="T438" t="str">
            <v>Registration No.: BSEC/Mutual Fund/2021/51</v>
          </cell>
        </row>
        <row r="439">
          <cell r="B439" t="str">
            <v>A00439</v>
          </cell>
          <cell r="T439" t="str">
            <v>7816855931</v>
          </cell>
        </row>
        <row r="440">
          <cell r="B440" t="str">
            <v>A00440</v>
          </cell>
          <cell r="T440" t="str">
            <v>8713691064</v>
          </cell>
        </row>
        <row r="441">
          <cell r="B441" t="str">
            <v>A00441</v>
          </cell>
          <cell r="T441" t="str">
            <v>5105457005</v>
          </cell>
        </row>
        <row r="442">
          <cell r="B442" t="str">
            <v>A00442</v>
          </cell>
          <cell r="T442" t="str">
            <v>2694814443250</v>
          </cell>
        </row>
        <row r="443">
          <cell r="B443" t="str">
            <v>A00443</v>
          </cell>
          <cell r="T443" t="str">
            <v>3739716417</v>
          </cell>
        </row>
        <row r="444">
          <cell r="B444" t="str">
            <v>A00444</v>
          </cell>
          <cell r="T444" t="str">
            <v>4639732439</v>
          </cell>
        </row>
        <row r="445">
          <cell r="B445" t="str">
            <v>A00445</v>
          </cell>
          <cell r="T445" t="str">
            <v>9128026227</v>
          </cell>
        </row>
        <row r="446">
          <cell r="B446" t="str">
            <v>A00446</v>
          </cell>
          <cell r="T446" t="str">
            <v>4601356001</v>
          </cell>
        </row>
        <row r="447">
          <cell r="B447" t="str">
            <v>A00447</v>
          </cell>
          <cell r="T447" t="str">
            <v>3739594830</v>
          </cell>
        </row>
        <row r="448">
          <cell r="B448" t="str">
            <v>A00448</v>
          </cell>
          <cell r="T448" t="str">
            <v>5083262161</v>
          </cell>
        </row>
        <row r="449">
          <cell r="B449" t="str">
            <v>A00449</v>
          </cell>
          <cell r="T449" t="str">
            <v>6864538860</v>
          </cell>
        </row>
        <row r="450">
          <cell r="B450" t="str">
            <v>A00450</v>
          </cell>
          <cell r="T450" t="str">
            <v>8650510848</v>
          </cell>
        </row>
        <row r="451">
          <cell r="B451" t="str">
            <v>A00451</v>
          </cell>
          <cell r="T451" t="str">
            <v>19842691634000010</v>
          </cell>
        </row>
        <row r="452">
          <cell r="B452" t="str">
            <v>A00452</v>
          </cell>
          <cell r="T452" t="str">
            <v>Registration No.: CHC-2242 of 1996</v>
          </cell>
        </row>
        <row r="453">
          <cell r="B453" t="str">
            <v>A00453</v>
          </cell>
          <cell r="T453" t="str">
            <v>19911314523000170</v>
          </cell>
        </row>
        <row r="454">
          <cell r="B454" t="str">
            <v>A00454</v>
          </cell>
          <cell r="T454" t="str">
            <v>7778814744</v>
          </cell>
        </row>
        <row r="455">
          <cell r="B455" t="str">
            <v>A00455</v>
          </cell>
          <cell r="T455" t="str">
            <v>3305455929</v>
          </cell>
        </row>
        <row r="456">
          <cell r="B456" t="str">
            <v>A00456</v>
          </cell>
          <cell r="T456" t="str">
            <v>8214893607</v>
          </cell>
        </row>
        <row r="457">
          <cell r="B457" t="str">
            <v>A00457</v>
          </cell>
          <cell r="T457" t="str">
            <v/>
          </cell>
        </row>
        <row r="458">
          <cell r="B458" t="str">
            <v>A00458</v>
          </cell>
          <cell r="T458" t="str">
            <v>3282521883</v>
          </cell>
        </row>
        <row r="459">
          <cell r="B459" t="str">
            <v>A00459</v>
          </cell>
          <cell r="T459" t="str">
            <v/>
          </cell>
        </row>
        <row r="460">
          <cell r="B460" t="str">
            <v>A00460</v>
          </cell>
          <cell r="T460" t="str">
            <v>2693622300579</v>
          </cell>
        </row>
        <row r="461">
          <cell r="B461" t="str">
            <v>A00461</v>
          </cell>
          <cell r="T461" t="str">
            <v>6424786157</v>
          </cell>
        </row>
        <row r="462">
          <cell r="B462" t="str">
            <v>A00462</v>
          </cell>
          <cell r="T462" t="str">
            <v>4627450523</v>
          </cell>
        </row>
        <row r="463">
          <cell r="B463" t="str">
            <v>A00463</v>
          </cell>
          <cell r="T463" t="str">
            <v>2627207637393</v>
          </cell>
        </row>
        <row r="464">
          <cell r="B464" t="str">
            <v>A00464</v>
          </cell>
          <cell r="T464" t="str">
            <v>19872691650169258</v>
          </cell>
        </row>
        <row r="465">
          <cell r="B465" t="str">
            <v>A00465</v>
          </cell>
          <cell r="T465" t="str">
            <v/>
          </cell>
        </row>
        <row r="466">
          <cell r="B466" t="str">
            <v>A00466</v>
          </cell>
          <cell r="T466" t="str">
            <v>Registration No.: BSEC/Mutual Fund/2022/130</v>
          </cell>
        </row>
        <row r="467">
          <cell r="B467" t="str">
            <v>A00467</v>
          </cell>
          <cell r="T467" t="str">
            <v>5993015584</v>
          </cell>
        </row>
        <row r="468">
          <cell r="B468" t="str">
            <v>A00468</v>
          </cell>
          <cell r="T468" t="str">
            <v>6426168784</v>
          </cell>
        </row>
        <row r="469">
          <cell r="B469" t="str">
            <v>A00469</v>
          </cell>
          <cell r="T469" t="str">
            <v/>
          </cell>
        </row>
        <row r="470">
          <cell r="B470" t="str">
            <v>A00470</v>
          </cell>
          <cell r="T470" t="str">
            <v>2692619485673</v>
          </cell>
        </row>
        <row r="471">
          <cell r="B471" t="str">
            <v>A00471</v>
          </cell>
          <cell r="T471" t="str">
            <v>7354975216</v>
          </cell>
        </row>
        <row r="472">
          <cell r="B472" t="str">
            <v>A00472</v>
          </cell>
          <cell r="T472" t="str">
            <v>4654343427</v>
          </cell>
        </row>
        <row r="473">
          <cell r="B473" t="str">
            <v>A00473</v>
          </cell>
          <cell r="T473" t="str">
            <v/>
          </cell>
        </row>
        <row r="474">
          <cell r="B474" t="str">
            <v>A00474</v>
          </cell>
          <cell r="T474" t="str">
            <v>Passport No. (USA): 672493675</v>
          </cell>
        </row>
        <row r="475">
          <cell r="B475" t="str">
            <v>A00475</v>
          </cell>
          <cell r="T475" t="str">
            <v>5524294112</v>
          </cell>
        </row>
        <row r="476">
          <cell r="B476" t="str">
            <v>A00476</v>
          </cell>
          <cell r="T476" t="str">
            <v>5526886774</v>
          </cell>
        </row>
        <row r="477">
          <cell r="B477" t="str">
            <v>A00477</v>
          </cell>
          <cell r="T477" t="str">
            <v>7790965615</v>
          </cell>
        </row>
        <row r="478">
          <cell r="B478" t="str">
            <v>A00478</v>
          </cell>
          <cell r="T478" t="str">
            <v/>
          </cell>
        </row>
        <row r="479">
          <cell r="B479" t="str">
            <v>A00479</v>
          </cell>
          <cell r="T479" t="str">
            <v>2616860280508</v>
          </cell>
        </row>
        <row r="480">
          <cell r="B480" t="str">
            <v>A00480</v>
          </cell>
          <cell r="T480" t="str">
            <v/>
          </cell>
        </row>
        <row r="481">
          <cell r="B481" t="str">
            <v>A00481</v>
          </cell>
          <cell r="T481" t="str">
            <v>4182544538</v>
          </cell>
        </row>
        <row r="482">
          <cell r="B482" t="str">
            <v>A00482</v>
          </cell>
          <cell r="T482" t="str">
            <v/>
          </cell>
        </row>
        <row r="483">
          <cell r="B483" t="str">
            <v>A00483</v>
          </cell>
          <cell r="T483" t="str">
            <v>9196209200150</v>
          </cell>
        </row>
        <row r="484">
          <cell r="B484" t="str">
            <v>A00484</v>
          </cell>
          <cell r="T484" t="str">
            <v>1022468688</v>
          </cell>
        </row>
        <row r="485">
          <cell r="B485" t="str">
            <v>A00485</v>
          </cell>
          <cell r="T485" t="str">
            <v/>
          </cell>
        </row>
        <row r="486">
          <cell r="B486" t="str">
            <v>A00486</v>
          </cell>
          <cell r="T486" t="str">
            <v>6864594061</v>
          </cell>
        </row>
        <row r="487">
          <cell r="B487" t="str">
            <v>A00487</v>
          </cell>
          <cell r="T487" t="str">
            <v>7770696248</v>
          </cell>
        </row>
        <row r="488">
          <cell r="B488" t="str">
            <v>A00488</v>
          </cell>
          <cell r="T488" t="str">
            <v>8687870678</v>
          </cell>
        </row>
        <row r="489">
          <cell r="B489" t="str">
            <v>A00489</v>
          </cell>
          <cell r="T489" t="str">
            <v>8231931588</v>
          </cell>
        </row>
        <row r="490">
          <cell r="B490" t="str">
            <v>A00490</v>
          </cell>
          <cell r="T490" t="str">
            <v>19832697521000013</v>
          </cell>
        </row>
        <row r="491">
          <cell r="B491" t="str">
            <v>A00491</v>
          </cell>
          <cell r="T491" t="str">
            <v>5950244573</v>
          </cell>
        </row>
        <row r="492">
          <cell r="B492" t="str">
            <v>A00492</v>
          </cell>
          <cell r="T492" t="str">
            <v>9128798940</v>
          </cell>
        </row>
        <row r="493">
          <cell r="B493" t="str">
            <v>A00493</v>
          </cell>
          <cell r="T493" t="str">
            <v>2627203527419</v>
          </cell>
        </row>
        <row r="494">
          <cell r="B494" t="str">
            <v>A00494</v>
          </cell>
          <cell r="T494" t="str">
            <v>2801189567001</v>
          </cell>
        </row>
        <row r="495">
          <cell r="B495" t="str">
            <v>A00495</v>
          </cell>
          <cell r="T495" t="str">
            <v>2692619485674</v>
          </cell>
        </row>
        <row r="496">
          <cell r="B496" t="str">
            <v>A00496</v>
          </cell>
          <cell r="T496" t="str">
            <v>6883521004</v>
          </cell>
        </row>
        <row r="497">
          <cell r="B497" t="str">
            <v>A00497</v>
          </cell>
          <cell r="T497" t="str">
            <v>6415164927</v>
          </cell>
        </row>
        <row r="498">
          <cell r="B498" t="str">
            <v>A00498</v>
          </cell>
          <cell r="T498" t="str">
            <v>1908433822</v>
          </cell>
        </row>
        <row r="499">
          <cell r="B499" t="str">
            <v>A00499</v>
          </cell>
          <cell r="T499" t="str">
            <v>19936795802000003</v>
          </cell>
        </row>
        <row r="500">
          <cell r="B500" t="str">
            <v>A00500</v>
          </cell>
          <cell r="T500" t="str">
            <v xml:space="preserve">9162800305 </v>
          </cell>
        </row>
        <row r="501">
          <cell r="B501" t="str">
            <v>A00501</v>
          </cell>
          <cell r="T501" t="str">
            <v>9576443247</v>
          </cell>
        </row>
        <row r="502">
          <cell r="B502" t="str">
            <v>A00502</v>
          </cell>
          <cell r="T502" t="str">
            <v>8217717837</v>
          </cell>
        </row>
        <row r="503">
          <cell r="B503" t="str">
            <v>A00503</v>
          </cell>
          <cell r="T503" t="str">
            <v>6457907969</v>
          </cell>
        </row>
        <row r="504">
          <cell r="B504" t="str">
            <v>A00504</v>
          </cell>
          <cell r="T504" t="str">
            <v>8653898174</v>
          </cell>
        </row>
        <row r="505">
          <cell r="B505" t="str">
            <v>A00505</v>
          </cell>
          <cell r="T505" t="str">
            <v>6873771148</v>
          </cell>
        </row>
        <row r="506">
          <cell r="B506" t="str">
            <v>A00506</v>
          </cell>
          <cell r="T506" t="str">
            <v>5055568629</v>
          </cell>
        </row>
        <row r="507">
          <cell r="B507" t="str">
            <v>A00507</v>
          </cell>
          <cell r="T507" t="str">
            <v>5972935299</v>
          </cell>
        </row>
        <row r="508">
          <cell r="B508" t="str">
            <v>A00508</v>
          </cell>
          <cell r="T508" t="str">
            <v/>
          </cell>
        </row>
        <row r="509">
          <cell r="B509" t="str">
            <v>A00509</v>
          </cell>
          <cell r="T509" t="str">
            <v>4194797785</v>
          </cell>
        </row>
        <row r="510">
          <cell r="B510" t="str">
            <v>A00510</v>
          </cell>
          <cell r="T510" t="str">
            <v>5067505221</v>
          </cell>
        </row>
        <row r="511">
          <cell r="B511" t="str">
            <v>A00511</v>
          </cell>
          <cell r="T511" t="str">
            <v>3323621106</v>
          </cell>
        </row>
        <row r="512">
          <cell r="B512" t="str">
            <v>A00512</v>
          </cell>
          <cell r="T512" t="str">
            <v>7799027862</v>
          </cell>
        </row>
        <row r="513">
          <cell r="B513" t="str">
            <v>A00513</v>
          </cell>
          <cell r="T513" t="str">
            <v>4166559007</v>
          </cell>
        </row>
        <row r="514">
          <cell r="B514" t="str">
            <v>A00514</v>
          </cell>
          <cell r="T514" t="str">
            <v>7319840588</v>
          </cell>
        </row>
        <row r="515">
          <cell r="B515" t="str">
            <v>A00515</v>
          </cell>
          <cell r="T515" t="str">
            <v>8655325721</v>
          </cell>
        </row>
        <row r="516">
          <cell r="B516" t="str">
            <v>A00516</v>
          </cell>
          <cell r="T516" t="str">
            <v>4643229208</v>
          </cell>
        </row>
        <row r="517">
          <cell r="B517" t="str">
            <v>A00517</v>
          </cell>
          <cell r="T517" t="str">
            <v>7327863614</v>
          </cell>
        </row>
        <row r="518">
          <cell r="B518" t="str">
            <v>A00518</v>
          </cell>
          <cell r="T518" t="str">
            <v>6850220622</v>
          </cell>
        </row>
        <row r="519">
          <cell r="B519" t="str">
            <v>A00519</v>
          </cell>
          <cell r="T519" t="str">
            <v>5503144429</v>
          </cell>
        </row>
        <row r="520">
          <cell r="B520" t="str">
            <v>A00520</v>
          </cell>
          <cell r="T520" t="str">
            <v>5502598880</v>
          </cell>
        </row>
        <row r="521">
          <cell r="B521" t="str">
            <v>A00521</v>
          </cell>
          <cell r="T521" t="str">
            <v>1004537286</v>
          </cell>
        </row>
        <row r="522">
          <cell r="B522" t="str">
            <v>A00522</v>
          </cell>
          <cell r="T522" t="str">
            <v/>
          </cell>
        </row>
        <row r="523">
          <cell r="B523" t="str">
            <v>A00523</v>
          </cell>
          <cell r="T523" t="str">
            <v/>
          </cell>
        </row>
        <row r="524">
          <cell r="B524" t="str">
            <v>A00524</v>
          </cell>
          <cell r="T524" t="str">
            <v/>
          </cell>
        </row>
        <row r="525">
          <cell r="B525" t="str">
            <v>A00525</v>
          </cell>
          <cell r="T525" t="str">
            <v>6891854413</v>
          </cell>
        </row>
        <row r="526">
          <cell r="B526" t="str">
            <v>A00526</v>
          </cell>
          <cell r="T526" t="str">
            <v>6454967693</v>
          </cell>
        </row>
        <row r="527">
          <cell r="B527" t="str">
            <v>A00527</v>
          </cell>
          <cell r="T527" t="str">
            <v/>
          </cell>
        </row>
        <row r="528">
          <cell r="B528" t="str">
            <v>A00528</v>
          </cell>
          <cell r="T528" t="str">
            <v>2692619474732</v>
          </cell>
        </row>
        <row r="529">
          <cell r="B529" t="str">
            <v>A00529</v>
          </cell>
          <cell r="T529" t="str">
            <v>4628617732</v>
          </cell>
        </row>
        <row r="530">
          <cell r="B530" t="str">
            <v>A00530</v>
          </cell>
          <cell r="T530" t="str">
            <v>2693622425688</v>
          </cell>
        </row>
        <row r="531">
          <cell r="B531" t="str">
            <v>A00531</v>
          </cell>
          <cell r="T531" t="str">
            <v>Registration No. C 30265-1491/96</v>
          </cell>
        </row>
        <row r="532">
          <cell r="B532" t="str">
            <v>A00532</v>
          </cell>
          <cell r="T532" t="str">
            <v>2693622425688</v>
          </cell>
        </row>
        <row r="533">
          <cell r="B533" t="str">
            <v>A00533</v>
          </cell>
          <cell r="T533" t="str">
            <v>Passport No. (USA): EB0982418</v>
          </cell>
        </row>
        <row r="534">
          <cell r="B534" t="str">
            <v>A00534</v>
          </cell>
        </row>
        <row r="535">
          <cell r="B535" t="str">
            <v>A00535</v>
          </cell>
          <cell r="T535" t="str">
            <v>1475055339</v>
          </cell>
        </row>
        <row r="536">
          <cell r="B536" t="str">
            <v>A00536</v>
          </cell>
          <cell r="T536" t="str">
            <v>6867435981</v>
          </cell>
        </row>
        <row r="537">
          <cell r="B537" t="str">
            <v>A00537</v>
          </cell>
        </row>
        <row r="538">
          <cell r="B538" t="str">
            <v>A00538</v>
          </cell>
          <cell r="T538" t="str">
            <v>2693015027958</v>
          </cell>
        </row>
        <row r="539">
          <cell r="B539" t="str">
            <v>A00539</v>
          </cell>
          <cell r="T539" t="str">
            <v>1482936356</v>
          </cell>
        </row>
        <row r="540">
          <cell r="B540" t="str">
            <v>A00540</v>
          </cell>
          <cell r="T540" t="str">
            <v>7349053632</v>
          </cell>
        </row>
        <row r="541">
          <cell r="B541" t="str">
            <v>A00541</v>
          </cell>
        </row>
        <row r="542">
          <cell r="B542" t="str">
            <v>A00542</v>
          </cell>
          <cell r="T542" t="str">
            <v>7300477341</v>
          </cell>
        </row>
        <row r="543">
          <cell r="B543" t="str">
            <v>A00543</v>
          </cell>
          <cell r="T543" t="str">
            <v>1032863639</v>
          </cell>
        </row>
        <row r="544">
          <cell r="B544" t="str">
            <v>A00544</v>
          </cell>
          <cell r="T544" t="str">
            <v>5083723972</v>
          </cell>
        </row>
        <row r="545">
          <cell r="B545" t="str">
            <v>A00545</v>
          </cell>
          <cell r="T545" t="str">
            <v>4608872141</v>
          </cell>
        </row>
        <row r="546">
          <cell r="B546" t="str">
            <v>A00546</v>
          </cell>
          <cell r="T546" t="str">
            <v>19906725809000085</v>
          </cell>
        </row>
        <row r="547">
          <cell r="B547" t="str">
            <v>A00547</v>
          </cell>
          <cell r="T547" t="str">
            <v>19912697521000174</v>
          </cell>
        </row>
        <row r="548">
          <cell r="B548" t="str">
            <v>A00548</v>
          </cell>
          <cell r="T548" t="str">
            <v>4632343432</v>
          </cell>
        </row>
        <row r="549">
          <cell r="B549" t="str">
            <v>A00549</v>
          </cell>
          <cell r="T549" t="str">
            <v>Birth Certificate: 20113913677100481</v>
          </cell>
        </row>
        <row r="550">
          <cell r="B550" t="str">
            <v>A00550</v>
          </cell>
          <cell r="T550" t="str">
            <v>4619831862</v>
          </cell>
        </row>
        <row r="551">
          <cell r="B551" t="str">
            <v>A00551</v>
          </cell>
        </row>
        <row r="552">
          <cell r="B552" t="str">
            <v>A00552</v>
          </cell>
          <cell r="T552" t="str">
            <v>3283752750</v>
          </cell>
        </row>
        <row r="553">
          <cell r="B553" t="str">
            <v>A00553</v>
          </cell>
          <cell r="T553" t="str">
            <v>4194057271</v>
          </cell>
        </row>
        <row r="554">
          <cell r="B554" t="str">
            <v>A00554</v>
          </cell>
          <cell r="T554" t="str">
            <v>3738641988</v>
          </cell>
        </row>
        <row r="555">
          <cell r="B555" t="str">
            <v>A00555</v>
          </cell>
          <cell r="T555" t="str">
            <v>3304641701</v>
          </cell>
        </row>
        <row r="556">
          <cell r="B556" t="str">
            <v>A00556</v>
          </cell>
          <cell r="T556" t="str">
            <v>6432742135</v>
          </cell>
        </row>
        <row r="557">
          <cell r="B557" t="str">
            <v>A00557</v>
          </cell>
          <cell r="T557" t="str">
            <v>3731657163</v>
          </cell>
        </row>
        <row r="558">
          <cell r="B558" t="str">
            <v>A00558</v>
          </cell>
          <cell r="T558" t="str">
            <v>4628012231</v>
          </cell>
        </row>
        <row r="559">
          <cell r="B559" t="str">
            <v>A00559</v>
          </cell>
          <cell r="T559" t="str">
            <v>8669360581</v>
          </cell>
        </row>
        <row r="560">
          <cell r="B560" t="str">
            <v>A00560</v>
          </cell>
          <cell r="T560" t="str">
            <v>3270572765</v>
          </cell>
        </row>
        <row r="561">
          <cell r="B561" t="str">
            <v>A00561</v>
          </cell>
          <cell r="T561" t="str">
            <v>9551424279</v>
          </cell>
        </row>
        <row r="562">
          <cell r="B562" t="str">
            <v>A00562</v>
          </cell>
          <cell r="T562" t="str">
            <v>1029030044</v>
          </cell>
        </row>
        <row r="563">
          <cell r="B563" t="str">
            <v>A00563</v>
          </cell>
          <cell r="T563" t="str">
            <v>4608529808</v>
          </cell>
        </row>
        <row r="564">
          <cell r="B564" t="str">
            <v>A00564</v>
          </cell>
          <cell r="T564" t="str">
            <v>5082298596</v>
          </cell>
        </row>
        <row r="565">
          <cell r="B565" t="str">
            <v>A00565</v>
          </cell>
          <cell r="T565" t="str">
            <v>4154462313</v>
          </cell>
        </row>
        <row r="566">
          <cell r="B566" t="str">
            <v>A00566</v>
          </cell>
          <cell r="T566" t="str">
            <v>2698881781659</v>
          </cell>
        </row>
        <row r="567">
          <cell r="B567" t="str">
            <v>A00567</v>
          </cell>
          <cell r="T567" t="str">
            <v>19942696804000036</v>
          </cell>
        </row>
        <row r="568">
          <cell r="B568" t="str">
            <v>A00568</v>
          </cell>
          <cell r="T568" t="str">
            <v>6406137726</v>
          </cell>
        </row>
        <row r="569">
          <cell r="B569" t="str">
            <v>A00569</v>
          </cell>
          <cell r="T569" t="str">
            <v>3279984623</v>
          </cell>
        </row>
        <row r="570">
          <cell r="B570" t="str">
            <v>A00570</v>
          </cell>
          <cell r="T570" t="str">
            <v>2801096336</v>
          </cell>
        </row>
        <row r="571">
          <cell r="B571" t="str">
            <v>A00571</v>
          </cell>
          <cell r="T571" t="str">
            <v>3763866187</v>
          </cell>
        </row>
        <row r="572">
          <cell r="B572" t="str">
            <v>A00572</v>
          </cell>
          <cell r="T572" t="str">
            <v>9155204291</v>
          </cell>
        </row>
        <row r="573">
          <cell r="B573" t="str">
            <v>A00573</v>
          </cell>
          <cell r="T573" t="str">
            <v>5508037081</v>
          </cell>
        </row>
        <row r="574">
          <cell r="B574" t="str">
            <v>A00574</v>
          </cell>
          <cell r="T574" t="str">
            <v>19752696536322732</v>
          </cell>
        </row>
        <row r="575">
          <cell r="B575" t="str">
            <v>A00575</v>
          </cell>
          <cell r="T575" t="str">
            <v>2813725070</v>
          </cell>
        </row>
        <row r="576">
          <cell r="B576" t="str">
            <v>A00576</v>
          </cell>
          <cell r="T576" t="str">
            <v>8691672839</v>
          </cell>
        </row>
        <row r="577">
          <cell r="B577" t="str">
            <v>A00577</v>
          </cell>
          <cell r="T577" t="str">
            <v>4124704048457</v>
          </cell>
        </row>
        <row r="578">
          <cell r="B578" t="str">
            <v>A00578</v>
          </cell>
          <cell r="T578" t="str">
            <v>19848192222318374</v>
          </cell>
        </row>
        <row r="579">
          <cell r="B579" t="str">
            <v>A00579</v>
          </cell>
          <cell r="T579" t="str">
            <v>19858524905063671</v>
          </cell>
        </row>
        <row r="580">
          <cell r="B580" t="str">
            <v>A00580</v>
          </cell>
        </row>
        <row r="581">
          <cell r="B581" t="str">
            <v>A00581</v>
          </cell>
          <cell r="T581" t="str">
            <v>6403148940</v>
          </cell>
        </row>
        <row r="582">
          <cell r="B582" t="str">
            <v>A00582</v>
          </cell>
          <cell r="T582" t="str">
            <v>1904762430</v>
          </cell>
        </row>
        <row r="583">
          <cell r="B583" t="str">
            <v>A00583</v>
          </cell>
          <cell r="T583" t="str">
            <v>19847520706495724</v>
          </cell>
        </row>
        <row r="584">
          <cell r="B584" t="str">
            <v>A00584</v>
          </cell>
        </row>
        <row r="585">
          <cell r="B585" t="str">
            <v>A00585</v>
          </cell>
        </row>
        <row r="586">
          <cell r="B586" t="str">
            <v>A00586</v>
          </cell>
          <cell r="T586" t="str">
            <v>Registration No: TRAD/DNCC/060359/2022</v>
          </cell>
        </row>
        <row r="587">
          <cell r="B587" t="str">
            <v>A00587</v>
          </cell>
          <cell r="T587" t="str">
            <v>3700081940</v>
          </cell>
        </row>
        <row r="588">
          <cell r="B588" t="str">
            <v>A00588</v>
          </cell>
        </row>
        <row r="589">
          <cell r="B589" t="str">
            <v>A00589</v>
          </cell>
          <cell r="T589" t="str">
            <v>2375040355</v>
          </cell>
        </row>
        <row r="590">
          <cell r="B590" t="str">
            <v>A00590</v>
          </cell>
          <cell r="T590" t="str">
            <v>1903239513</v>
          </cell>
        </row>
        <row r="591">
          <cell r="B591" t="str">
            <v>A00591</v>
          </cell>
          <cell r="T591" t="str">
            <v>8225478943</v>
          </cell>
        </row>
        <row r="592">
          <cell r="B592" t="str">
            <v>A00592</v>
          </cell>
          <cell r="T592" t="str">
            <v>3251436303</v>
          </cell>
        </row>
        <row r="593">
          <cell r="B593" t="str">
            <v>A00593</v>
          </cell>
          <cell r="T593" t="str">
            <v>5520925537</v>
          </cell>
        </row>
        <row r="594">
          <cell r="B594" t="str">
            <v>A00594</v>
          </cell>
          <cell r="T594" t="str">
            <v>9119843671</v>
          </cell>
        </row>
        <row r="595">
          <cell r="B595" t="str">
            <v>A00595</v>
          </cell>
          <cell r="T595" t="str">
            <v>19902616274000134</v>
          </cell>
        </row>
        <row r="596">
          <cell r="B596" t="str">
            <v>A00596</v>
          </cell>
          <cell r="T596" t="str">
            <v>8224786254</v>
          </cell>
        </row>
        <row r="597">
          <cell r="B597" t="str">
            <v>A00597</v>
          </cell>
          <cell r="T597" t="str">
            <v>1901505238</v>
          </cell>
        </row>
        <row r="598">
          <cell r="B598" t="str">
            <v>A00598</v>
          </cell>
          <cell r="T598" t="str">
            <v>5054433114</v>
          </cell>
        </row>
        <row r="599">
          <cell r="B599" t="str">
            <v>A00599</v>
          </cell>
          <cell r="T599" t="str">
            <v>2692858558149</v>
          </cell>
        </row>
        <row r="600">
          <cell r="B600" t="str">
            <v>A00600</v>
          </cell>
          <cell r="T600" t="str">
            <v>1903313607</v>
          </cell>
        </row>
        <row r="601">
          <cell r="B601" t="str">
            <v>A00601</v>
          </cell>
          <cell r="T601" t="str">
            <v>Registration No: TRAD/DNCC/060359/2022</v>
          </cell>
        </row>
        <row r="602">
          <cell r="B602" t="str">
            <v>A00602</v>
          </cell>
          <cell r="T602" t="str">
            <v>6895219597</v>
          </cell>
        </row>
        <row r="603">
          <cell r="B603" t="str">
            <v>A00603</v>
          </cell>
        </row>
        <row r="604">
          <cell r="B604" t="str">
            <v>A00604</v>
          </cell>
          <cell r="T604" t="str">
            <v>5071335227</v>
          </cell>
        </row>
        <row r="605">
          <cell r="B605" t="str">
            <v>A00605</v>
          </cell>
          <cell r="T605" t="str">
            <v>5102284394</v>
          </cell>
        </row>
        <row r="606">
          <cell r="B606" t="str">
            <v>A00606</v>
          </cell>
          <cell r="T606" t="str">
            <v>9563629220</v>
          </cell>
        </row>
        <row r="607">
          <cell r="B607" t="str">
            <v>A00607</v>
          </cell>
        </row>
        <row r="608">
          <cell r="B608" t="str">
            <v>A00608</v>
          </cell>
        </row>
        <row r="609">
          <cell r="B609" t="str">
            <v>A00609</v>
          </cell>
          <cell r="T609" t="str">
            <v>5552822313</v>
          </cell>
        </row>
        <row r="610">
          <cell r="B610" t="str">
            <v>A00610</v>
          </cell>
          <cell r="T610" t="str">
            <v>1908906397</v>
          </cell>
        </row>
        <row r="611">
          <cell r="B611" t="str">
            <v>A00611</v>
          </cell>
          <cell r="T611" t="str">
            <v>Birth Registration No: 20132692017051329</v>
          </cell>
        </row>
        <row r="612">
          <cell r="B612" t="str">
            <v>A00612</v>
          </cell>
          <cell r="T612" t="str">
            <v>1901307114</v>
          </cell>
        </row>
        <row r="613">
          <cell r="B613" t="str">
            <v>A00613</v>
          </cell>
          <cell r="T613" t="str">
            <v>7322966297</v>
          </cell>
        </row>
        <row r="614">
          <cell r="B614" t="str">
            <v>A00614</v>
          </cell>
          <cell r="T614" t="str">
            <v>1456526704</v>
          </cell>
        </row>
        <row r="615">
          <cell r="B615" t="str">
            <v>A00615</v>
          </cell>
          <cell r="T615" t="str">
            <v>Registration No.: BSEC/Mutual Fund/2013/47</v>
          </cell>
        </row>
        <row r="616">
          <cell r="B616" t="str">
            <v>A00616</v>
          </cell>
          <cell r="T616" t="str">
            <v>8223384952</v>
          </cell>
        </row>
        <row r="617">
          <cell r="B617" t="str">
            <v>A00617</v>
          </cell>
          <cell r="T617" t="str">
            <v>7510770691989</v>
          </cell>
        </row>
        <row r="618">
          <cell r="B618" t="str">
            <v>A00618</v>
          </cell>
          <cell r="T618" t="str">
            <v>4607428572</v>
          </cell>
        </row>
        <row r="619">
          <cell r="B619" t="str">
            <v>A00619</v>
          </cell>
          <cell r="T619" t="str">
            <v>3256537907</v>
          </cell>
        </row>
        <row r="620">
          <cell r="B620" t="str">
            <v>A00620</v>
          </cell>
          <cell r="T620" t="str">
            <v>7304581312</v>
          </cell>
        </row>
        <row r="621">
          <cell r="B621" t="str">
            <v>A00621</v>
          </cell>
          <cell r="T621" t="str">
            <v>2354424943</v>
          </cell>
        </row>
        <row r="622">
          <cell r="B622" t="str">
            <v>A00622</v>
          </cell>
          <cell r="T622" t="str">
            <v>2693624776103</v>
          </cell>
        </row>
        <row r="623">
          <cell r="B623" t="str">
            <v>A00623</v>
          </cell>
          <cell r="T623" t="str">
            <v>8672291211</v>
          </cell>
        </row>
        <row r="624">
          <cell r="B624" t="str">
            <v>A00624</v>
          </cell>
          <cell r="T624" t="str">
            <v>1594313060489</v>
          </cell>
        </row>
        <row r="625">
          <cell r="B625" t="str">
            <v>A00625</v>
          </cell>
          <cell r="T625" t="str">
            <v>6881065145</v>
          </cell>
        </row>
        <row r="626">
          <cell r="B626" t="str">
            <v>A00626</v>
          </cell>
          <cell r="T626" t="str">
            <v>9112414405</v>
          </cell>
        </row>
        <row r="627">
          <cell r="B627" t="str">
            <v>A00627</v>
          </cell>
          <cell r="T627" t="str">
            <v>8705167255</v>
          </cell>
        </row>
        <row r="628">
          <cell r="B628" t="str">
            <v>A00628</v>
          </cell>
          <cell r="T628" t="str">
            <v>5554701713</v>
          </cell>
        </row>
        <row r="629">
          <cell r="B629" t="str">
            <v>A00630</v>
          </cell>
          <cell r="T629" t="str">
            <v>1592039888472</v>
          </cell>
        </row>
        <row r="630">
          <cell r="B630" t="str">
            <v>A00631</v>
          </cell>
          <cell r="T630" t="str">
            <v>2694812467564</v>
          </cell>
        </row>
        <row r="631">
          <cell r="B631" t="str">
            <v>A00632</v>
          </cell>
          <cell r="T631" t="str">
            <v>3271965745</v>
          </cell>
        </row>
        <row r="632">
          <cell r="B632" t="str">
            <v>A00633</v>
          </cell>
        </row>
        <row r="633">
          <cell r="B633" t="str">
            <v>A00634</v>
          </cell>
          <cell r="T633" t="str">
            <v>19762691649424802</v>
          </cell>
        </row>
        <row r="634">
          <cell r="B634" t="str">
            <v>A00635</v>
          </cell>
        </row>
        <row r="635">
          <cell r="B635" t="str">
            <v>A00636</v>
          </cell>
        </row>
        <row r="636">
          <cell r="B636" t="str">
            <v>A00637</v>
          </cell>
          <cell r="T636" t="str">
            <v>7758556752</v>
          </cell>
        </row>
        <row r="637">
          <cell r="B637" t="str">
            <v>A00638</v>
          </cell>
          <cell r="T637" t="str">
            <v>3254734233</v>
          </cell>
        </row>
        <row r="638">
          <cell r="B638" t="str">
            <v>A00639</v>
          </cell>
        </row>
        <row r="639">
          <cell r="B639" t="str">
            <v>A00640</v>
          </cell>
          <cell r="T639" t="str">
            <v>3277540369</v>
          </cell>
        </row>
        <row r="640">
          <cell r="B640" t="str">
            <v>A00641</v>
          </cell>
          <cell r="T640" t="str">
            <v>3753155583</v>
          </cell>
        </row>
        <row r="641">
          <cell r="B641" t="str">
            <v>A00642</v>
          </cell>
        </row>
        <row r="642">
          <cell r="B642" t="str">
            <v>A00643</v>
          </cell>
          <cell r="T642" t="str">
            <v>9132546079</v>
          </cell>
        </row>
        <row r="643">
          <cell r="B643" t="str">
            <v>A00644</v>
          </cell>
          <cell r="T643" t="str">
            <v>86655156678</v>
          </cell>
        </row>
        <row r="644">
          <cell r="B644" t="str">
            <v>A00645</v>
          </cell>
          <cell r="T644" t="str">
            <v>3270631769</v>
          </cell>
        </row>
        <row r="645">
          <cell r="B645" t="str">
            <v>A00646</v>
          </cell>
        </row>
        <row r="646">
          <cell r="B646" t="str">
            <v>A00647</v>
          </cell>
          <cell r="T646" t="str">
            <v>2389946928</v>
          </cell>
        </row>
        <row r="647">
          <cell r="B647" t="str">
            <v>A00648</v>
          </cell>
          <cell r="T647" t="str">
            <v>2375683097</v>
          </cell>
        </row>
        <row r="648">
          <cell r="B648" t="str">
            <v>A00649</v>
          </cell>
          <cell r="T648" t="str">
            <v>19652693016117743</v>
          </cell>
        </row>
        <row r="649">
          <cell r="B649" t="str">
            <v>A00650</v>
          </cell>
        </row>
        <row r="650">
          <cell r="B650" t="str">
            <v>A00651</v>
          </cell>
          <cell r="T650" t="str">
            <v>6421748317</v>
          </cell>
        </row>
        <row r="651">
          <cell r="B651" t="str">
            <v>A00652</v>
          </cell>
        </row>
        <row r="652">
          <cell r="B652" t="str">
            <v>A00653</v>
          </cell>
        </row>
        <row r="653">
          <cell r="B653" t="str">
            <v>A00654</v>
          </cell>
          <cell r="T653" t="str">
            <v>5956765472</v>
          </cell>
        </row>
        <row r="654">
          <cell r="B654" t="str">
            <v>A00655</v>
          </cell>
          <cell r="T654" t="str">
            <v>4650519350</v>
          </cell>
        </row>
        <row r="655">
          <cell r="B655" t="str">
            <v>A00656</v>
          </cell>
        </row>
        <row r="656">
          <cell r="B656" t="str">
            <v>A00657</v>
          </cell>
          <cell r="T656" t="str">
            <v>1938585338</v>
          </cell>
        </row>
        <row r="657">
          <cell r="B657" t="str">
            <v>A00658</v>
          </cell>
          <cell r="T657" t="str">
            <v>4600193504</v>
          </cell>
        </row>
        <row r="658">
          <cell r="B658" t="str">
            <v>A00659</v>
          </cell>
          <cell r="T658" t="str">
            <v>6420480516</v>
          </cell>
        </row>
        <row r="659">
          <cell r="B659" t="str">
            <v>A00660</v>
          </cell>
        </row>
        <row r="660">
          <cell r="B660" t="str">
            <v>A00661</v>
          </cell>
          <cell r="T660" t="str">
            <v>2811106760</v>
          </cell>
        </row>
        <row r="661">
          <cell r="B661" t="str">
            <v>A00662</v>
          </cell>
          <cell r="T661" t="str">
            <v>2690243835558</v>
          </cell>
        </row>
        <row r="662">
          <cell r="B662" t="str">
            <v>A00663</v>
          </cell>
          <cell r="T662" t="str">
            <v>2848358970</v>
          </cell>
        </row>
        <row r="663">
          <cell r="B663" t="str">
            <v>A00664</v>
          </cell>
        </row>
        <row r="664">
          <cell r="B664" t="str">
            <v>A00665</v>
          </cell>
        </row>
        <row r="665">
          <cell r="B665" t="str">
            <v>A00666</v>
          </cell>
          <cell r="T665" t="str">
            <v>1489151124</v>
          </cell>
        </row>
        <row r="666">
          <cell r="B666" t="str">
            <v>A00667</v>
          </cell>
          <cell r="T666" t="str">
            <v>19936911547000262</v>
          </cell>
        </row>
        <row r="667">
          <cell r="B667" t="str">
            <v>A00668</v>
          </cell>
          <cell r="T667" t="str">
            <v>3742699618</v>
          </cell>
        </row>
        <row r="668">
          <cell r="B668" t="str">
            <v>A00669</v>
          </cell>
          <cell r="T668" t="str">
            <v>31620477024</v>
          </cell>
        </row>
        <row r="669">
          <cell r="B669" t="str">
            <v>BR0005</v>
          </cell>
          <cell r="T669" t="str">
            <v>7354969854</v>
          </cell>
        </row>
        <row r="670">
          <cell r="B670" t="str">
            <v>A00671</v>
          </cell>
          <cell r="T670" t="str">
            <v>2389668811</v>
          </cell>
        </row>
        <row r="671">
          <cell r="B671" t="str">
            <v>A00672</v>
          </cell>
          <cell r="T671" t="str">
            <v>Passport No. EM0814589</v>
          </cell>
        </row>
        <row r="672">
          <cell r="B672" t="str">
            <v>A00673</v>
          </cell>
        </row>
        <row r="673">
          <cell r="B673" t="str">
            <v>A00674</v>
          </cell>
          <cell r="T673" t="str">
            <v>9117589508</v>
          </cell>
        </row>
        <row r="674">
          <cell r="B674" t="str">
            <v>A00675</v>
          </cell>
          <cell r="T674" t="str">
            <v>8683224060</v>
          </cell>
        </row>
        <row r="675">
          <cell r="B675" t="str">
            <v>A00676</v>
          </cell>
          <cell r="T675" t="str">
            <v>5991157818</v>
          </cell>
        </row>
        <row r="676">
          <cell r="B676" t="str">
            <v>A00677</v>
          </cell>
          <cell r="T676" t="str">
            <v>2693016075556</v>
          </cell>
        </row>
        <row r="677">
          <cell r="B677" t="str">
            <v>A00678</v>
          </cell>
          <cell r="T677" t="str">
            <v>9113463443</v>
          </cell>
        </row>
        <row r="678">
          <cell r="B678" t="str">
            <v>A00679</v>
          </cell>
          <cell r="T678" t="str">
            <v>2698877385981</v>
          </cell>
        </row>
        <row r="679">
          <cell r="B679" t="str">
            <v>A00680</v>
          </cell>
          <cell r="T679" t="str">
            <v>1008138768</v>
          </cell>
        </row>
        <row r="680">
          <cell r="B680" t="str">
            <v>BR0004</v>
          </cell>
          <cell r="T680" t="str">
            <v>2856723149</v>
          </cell>
        </row>
        <row r="681">
          <cell r="B681" t="str">
            <v>A00682</v>
          </cell>
        </row>
        <row r="682">
          <cell r="B682" t="str">
            <v>A00683</v>
          </cell>
          <cell r="T682" t="str">
            <v>2694807827782</v>
          </cell>
        </row>
        <row r="683">
          <cell r="B683" t="str">
            <v>A00684</v>
          </cell>
          <cell r="T683" t="str">
            <v>2694807827782</v>
          </cell>
        </row>
        <row r="684">
          <cell r="B684" t="str">
            <v>A00685</v>
          </cell>
        </row>
        <row r="685">
          <cell r="B685" t="str">
            <v>A00686</v>
          </cell>
          <cell r="T685" t="str">
            <v>19903011457000180</v>
          </cell>
        </row>
        <row r="686">
          <cell r="B686" t="str">
            <v>A00687</v>
          </cell>
        </row>
        <row r="687">
          <cell r="B687" t="str">
            <v>A00688</v>
          </cell>
          <cell r="T687" t="str">
            <v>5503190539</v>
          </cell>
        </row>
        <row r="688">
          <cell r="B688" t="str">
            <v>A00689</v>
          </cell>
        </row>
        <row r="689">
          <cell r="B689" t="str">
            <v>A00690</v>
          </cell>
          <cell r="T689" t="str">
            <v>8682049211</v>
          </cell>
        </row>
        <row r="690">
          <cell r="B690" t="str">
            <v>BI0002</v>
          </cell>
          <cell r="T690" t="str">
            <v>3289656930</v>
          </cell>
        </row>
        <row r="691">
          <cell r="B691" t="str">
            <v>BI0003</v>
          </cell>
          <cell r="T691" t="str">
            <v>3289656930</v>
          </cell>
        </row>
        <row r="692">
          <cell r="B692" t="str">
            <v>BI0004</v>
          </cell>
          <cell r="T692" t="str">
            <v>5075737956</v>
          </cell>
        </row>
        <row r="693">
          <cell r="B693" t="str">
            <v>BI0005</v>
          </cell>
          <cell r="T693" t="str">
            <v>3324362189</v>
          </cell>
        </row>
        <row r="694">
          <cell r="B694" t="str">
            <v>BI0006</v>
          </cell>
          <cell r="T694" t="str">
            <v>8264974224</v>
          </cell>
        </row>
        <row r="695">
          <cell r="B695" t="str">
            <v>P00001</v>
          </cell>
        </row>
        <row r="696">
          <cell r="B696" t="str">
            <v>SB00002</v>
          </cell>
          <cell r="T696" t="str">
            <v>8663715624</v>
          </cell>
        </row>
        <row r="697">
          <cell r="B697" t="str">
            <v>SB00003</v>
          </cell>
          <cell r="T697" t="str">
            <v>8200455189</v>
          </cell>
        </row>
        <row r="698">
          <cell r="B698" t="str">
            <v>BI0007</v>
          </cell>
          <cell r="T698" t="str">
            <v>7785551503</v>
          </cell>
        </row>
        <row r="699">
          <cell r="B699" t="str">
            <v>BI0008</v>
          </cell>
        </row>
        <row r="700">
          <cell r="B700" t="str">
            <v>A00691</v>
          </cell>
          <cell r="T700" t="str">
            <v>5558787676</v>
          </cell>
        </row>
        <row r="701">
          <cell r="B701" t="str">
            <v>A00692</v>
          </cell>
          <cell r="T701" t="str">
            <v>9164924087</v>
          </cell>
        </row>
        <row r="702">
          <cell r="B702" t="str">
            <v>A00693</v>
          </cell>
          <cell r="T702" t="str">
            <v>19928829405000049</v>
          </cell>
        </row>
        <row r="703">
          <cell r="B703" t="str">
            <v>A00694</v>
          </cell>
          <cell r="T703" t="str">
            <v>1962215636</v>
          </cell>
        </row>
        <row r="704">
          <cell r="B704" t="str">
            <v>A00695</v>
          </cell>
          <cell r="T704" t="str">
            <v>3277540369</v>
          </cell>
        </row>
        <row r="705">
          <cell r="B705" t="str">
            <v>BI0009</v>
          </cell>
          <cell r="T705" t="str">
            <v>1502560954</v>
          </cell>
        </row>
        <row r="706">
          <cell r="B706" t="str">
            <v>BI0010</v>
          </cell>
          <cell r="T706" t="str">
            <v>1941832105</v>
          </cell>
        </row>
        <row r="707">
          <cell r="B707" t="str">
            <v>BR0001</v>
          </cell>
          <cell r="T707" t="str">
            <v>2417751449</v>
          </cell>
        </row>
        <row r="708">
          <cell r="B708" t="str">
            <v>BR0002</v>
          </cell>
          <cell r="T708" t="str">
            <v>2398472833</v>
          </cell>
        </row>
        <row r="709">
          <cell r="B709" t="str">
            <v>A00696</v>
          </cell>
          <cell r="T709" t="str">
            <v>7750457645</v>
          </cell>
        </row>
        <row r="710">
          <cell r="B710" t="str">
            <v>A00697</v>
          </cell>
        </row>
        <row r="711">
          <cell r="B711" t="str">
            <v>A00698</v>
          </cell>
          <cell r="T711" t="str">
            <v>4674297306</v>
          </cell>
        </row>
        <row r="712">
          <cell r="B712" t="str">
            <v>BR0003</v>
          </cell>
          <cell r="T712" t="str">
            <v>4655217893</v>
          </cell>
        </row>
        <row r="713">
          <cell r="B713" t="str">
            <v>A00699</v>
          </cell>
          <cell r="T713" t="str">
            <v>2691649099152</v>
          </cell>
        </row>
        <row r="714">
          <cell r="B714" t="str">
            <v>A00700</v>
          </cell>
          <cell r="T714" t="str">
            <v>9113463443</v>
          </cell>
        </row>
        <row r="715">
          <cell r="B715" t="str">
            <v>A00701</v>
          </cell>
        </row>
        <row r="716">
          <cell r="B716" t="str">
            <v>A00702</v>
          </cell>
          <cell r="T716" t="str">
            <v>2850859378</v>
          </cell>
        </row>
        <row r="717">
          <cell r="B717" t="str">
            <v>A00703</v>
          </cell>
          <cell r="T717" t="str">
            <v>8237119493</v>
          </cell>
        </row>
        <row r="718">
          <cell r="B718" t="str">
            <v>BI0011</v>
          </cell>
          <cell r="T718" t="str">
            <v>7305158813</v>
          </cell>
        </row>
        <row r="719">
          <cell r="B719" t="str">
            <v>BI0012</v>
          </cell>
          <cell r="T719" t="str">
            <v>1965501255</v>
          </cell>
        </row>
        <row r="720">
          <cell r="B720" t="str">
            <v>A00704</v>
          </cell>
          <cell r="T720" t="str">
            <v>1594121948159</v>
          </cell>
        </row>
        <row r="721">
          <cell r="B721" t="str">
            <v>BI0013</v>
          </cell>
          <cell r="T721" t="str">
            <v>3263756193</v>
          </cell>
        </row>
        <row r="722">
          <cell r="B722" t="str">
            <v>BI0014</v>
          </cell>
          <cell r="T722" t="str">
            <v>6472906640</v>
          </cell>
        </row>
        <row r="723">
          <cell r="B723" t="str">
            <v>A00705</v>
          </cell>
          <cell r="T723" t="str">
            <v>3295735264</v>
          </cell>
        </row>
        <row r="724">
          <cell r="B724" t="str">
            <v>A00706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INVESTORS_LIST" displayName="INVESTORS_LIST" ref="A1:AW726" totalsRowShown="0">
  <autoFilter ref="A1:AW726" xr:uid="{00000000-0009-0000-0100-000008000000}">
    <filterColumn colId="26">
      <filters>
        <filter val="1,000"/>
        <filter val="1,276"/>
        <filter val="1,424"/>
        <filter val="1,440"/>
        <filter val="1,542,166"/>
        <filter val="1,668"/>
        <filter val="1,771,440"/>
        <filter val="1,801"/>
        <filter val="1,830"/>
        <filter val="1,926"/>
        <filter val="106,308"/>
        <filter val="108,396"/>
        <filter val="109,006"/>
        <filter val="109,329"/>
        <filter val="110,041"/>
        <filter val="112,933"/>
        <filter val="117,063"/>
        <filter val="12,131"/>
        <filter val="12,733"/>
        <filter val="12,796"/>
        <filter val="128,083"/>
        <filter val="13,335"/>
        <filter val="13,610"/>
        <filter val="135,416"/>
        <filter val="14,055"/>
        <filter val="14,115"/>
        <filter val="14,347"/>
        <filter val="14,458"/>
        <filter val="141,113"/>
        <filter val="142"/>
        <filter val="143"/>
        <filter val="143,646"/>
        <filter val="147,478"/>
        <filter val="15,403"/>
        <filter val="155,594"/>
        <filter val="160,313"/>
        <filter val="160,384"/>
        <filter val="161,644"/>
        <filter val="164,107"/>
        <filter val="168"/>
        <filter val="169,020"/>
        <filter val="178,221"/>
        <filter val="181,212"/>
        <filter val="181,604"/>
        <filter val="184,718"/>
        <filter val="186,685"/>
        <filter val="189,107"/>
        <filter val="19,478"/>
        <filter val="19,998"/>
        <filter val="190,715"/>
        <filter val="198,665"/>
        <filter val="2,000,409"/>
        <filter val="2,086"/>
        <filter val="2,106"/>
        <filter val="2,154"/>
        <filter val="2,168"/>
        <filter val="2,191,000"/>
        <filter val="2,201"/>
        <filter val="2,262"/>
        <filter val="2,311"/>
        <filter val="2,322"/>
        <filter val="2,385"/>
        <filter val="2,396"/>
        <filter val="2,556"/>
        <filter val="20,000"/>
        <filter val="20,569"/>
        <filter val="20,814"/>
        <filter val="206,577"/>
        <filter val="21,100"/>
        <filter val="21,173"/>
        <filter val="21,626"/>
        <filter val="21,762"/>
        <filter val="21,804"/>
        <filter val="21,961"/>
        <filter val="213"/>
        <filter val="214"/>
        <filter val="215,625"/>
        <filter val="22,099"/>
        <filter val="22,763"/>
        <filter val="22,964"/>
        <filter val="220,342"/>
        <filter val="226,302"/>
        <filter val="236,622"/>
        <filter val="240,000"/>
        <filter val="248,151"/>
        <filter val="250,000"/>
        <filter val="250,052"/>
        <filter val="26,848"/>
        <filter val="26,856"/>
        <filter val="269,126"/>
        <filter val="27"/>
        <filter val="27,682"/>
        <filter val="28,527"/>
        <filter val="289,749"/>
        <filter val="29,314"/>
        <filter val="294,055"/>
        <filter val="297,243"/>
        <filter val="3,008,892"/>
        <filter val="3,038,590"/>
        <filter val="3,491"/>
        <filter val="3,608"/>
        <filter val="3,880"/>
        <filter val="3,970"/>
        <filter val="3,987"/>
        <filter val="30,141"/>
        <filter val="31,098"/>
        <filter val="311,186"/>
        <filter val="313,432"/>
        <filter val="327,611"/>
        <filter val="33,877"/>
        <filter val="35,311"/>
        <filter val="35,328"/>
        <filter val="35,453"/>
        <filter val="35,581"/>
        <filter val="350,542"/>
        <filter val="354"/>
        <filter val="36,250"/>
        <filter val="36,646"/>
        <filter val="36,703"/>
        <filter val="362"/>
        <filter val="37,012"/>
        <filter val="372,269"/>
        <filter val="374,721"/>
        <filter val="38,339"/>
        <filter val="39,648"/>
        <filter val="39,869"/>
        <filter val="4,059"/>
        <filter val="4,094"/>
        <filter val="4,386"/>
        <filter val="4,402"/>
        <filter val="4,517"/>
        <filter val="4,577"/>
        <filter val="4,708"/>
        <filter val="40,013"/>
        <filter val="40,261"/>
        <filter val="40,319"/>
        <filter val="40,535"/>
        <filter val="405,055"/>
        <filter val="41,173"/>
        <filter val="429,611"/>
        <filter val="43,642"/>
        <filter val="44,835"/>
        <filter val="444"/>
        <filter val="45,247"/>
        <filter val="48,933"/>
        <filter val="49,558"/>
        <filter val="49,850"/>
        <filter val="5,000"/>
        <filter val="5,881"/>
        <filter val="50,963"/>
        <filter val="500"/>
        <filter val="500,000"/>
        <filter val="528"/>
        <filter val="53,681"/>
        <filter val="538"/>
        <filter val="55,650"/>
        <filter val="56,855"/>
        <filter val="585"/>
        <filter val="590"/>
        <filter val="595,380"/>
        <filter val="6,085,805"/>
        <filter val="60,000"/>
        <filter val="60,173"/>
        <filter val="60,914"/>
        <filter val="62,249"/>
        <filter val="62,449"/>
        <filter val="62,716"/>
        <filter val="63,483"/>
        <filter val="65,447"/>
        <filter val="654"/>
        <filter val="658"/>
        <filter val="664,868"/>
        <filter val="67,895"/>
        <filter val="69,292"/>
        <filter val="7,228"/>
        <filter val="7,789"/>
        <filter val="7,961"/>
        <filter val="7,993"/>
        <filter val="70,725"/>
        <filter val="70,796"/>
        <filter val="728,591"/>
        <filter val="73,206"/>
        <filter val="74,154"/>
        <filter val="74,226"/>
        <filter val="75,111"/>
        <filter val="756,971"/>
        <filter val="759,917"/>
        <filter val="76,271"/>
        <filter val="79,692"/>
        <filter val="8,303"/>
        <filter val="8,859"/>
        <filter val="80,639"/>
        <filter val="831"/>
        <filter val="84,704"/>
        <filter val="86,783"/>
        <filter val="866,113"/>
        <filter val="88,726"/>
        <filter val="9,336"/>
        <filter val="9,498"/>
        <filter val="902,924"/>
        <filter val="908,453"/>
        <filter val="950,647"/>
        <filter val="98,776"/>
      </filters>
    </filterColumn>
  </autoFilter>
  <sortState xmlns:xlrd2="http://schemas.microsoft.com/office/spreadsheetml/2017/richdata2" ref="A2:AW695">
    <sortCondition ref="B1:B695"/>
  </sortState>
  <tableColumns count="49">
    <tableColumn id="3" xr3:uid="{00000000-0010-0000-0000-000003000000}" name="INVESTOR NAME" dataDxfId="76"/>
    <tableColumn id="2" xr3:uid="{00000000-0010-0000-0000-000002000000}" name="INVESTOR CODE" dataDxfId="75"/>
    <tableColumn id="4" xr3:uid="{00000000-0010-0000-0000-000004000000}" name="Title" dataDxfId="74"/>
    <tableColumn id="40" xr3:uid="{00000000-0010-0000-0000-000028000000}" name="TYPE OF INVESTOR" dataDxfId="73"/>
    <tableColumn id="7" xr3:uid="{00000000-0010-0000-0000-000007000000}" name="LS_TOTAL UNITS BUY" dataDxfId="72">
      <calculatedColumnFormula>SUMIFS(LS[Unit],LS[Investor ID],INVESTORS_LIST[[#This Row],[INVESTOR CODE]],LS[B/S],"B")</calculatedColumnFormula>
    </tableColumn>
    <tableColumn id="8" xr3:uid="{00000000-0010-0000-0000-000008000000}" name="LS_TOTAL UNITS SOLD" dataDxfId="71">
      <calculatedColumnFormula>-SUMIFS(LS[Unit],LS[Investor ID],INVESTORS_LIST[[#This Row],[INVESTOR CODE]],LS[B/S],"S")</calculatedColumnFormula>
    </tableColumn>
    <tableColumn id="9" xr3:uid="{00000000-0010-0000-0000-000009000000}" name="LS_TOTAL CURRENT UNITS" dataDxfId="70">
      <calculatedColumnFormula>IF(INVESTORS_LIST[[#This Row],[LS_TOTAL UNITS BUY]]=0,0,INVESTORS_LIST[[#This Row],[LS_TOTAL UNITS BUY]]-INVESTORS_LIST[[#This Row],[LS_TOTAL UNITS SOLD]])</calculatedColumnFormula>
    </tableColumn>
    <tableColumn id="10" xr3:uid="{00000000-0010-0000-0000-00000A000000}" name="LS_TOTAL COST VALUE" dataDxfId="69">
      <calculatedColumnFormula>IF(INVESTORS_LIST[[#This Row],[LS_TOTAL UNITS BUY]]=0,0,SUMIFS(LS[Amount],LS[Investor ID],INVESTORS_LIST[[#This Row],[INVESTOR CODE]],LS[B/S],"B"))</calculatedColumnFormula>
    </tableColumn>
    <tableColumn id="11" xr3:uid="{00000000-0010-0000-0000-00000B000000}" name="LS_TOTAL COST OF UNITS SOLD" dataDxfId="68">
      <calculatedColumnFormula>IF(INVESTORS_LIST[[#This Row],[LS_TOTAL UNITS SOLD]]=0,0,SUMIFS(LS[Cost of Units Sold],LS[Investor ID],INVESTORS_LIST[[#This Row],[INVESTOR CODE]],LS[B/S],"S"))</calculatedColumnFormula>
    </tableColumn>
    <tableColumn id="12" xr3:uid="{00000000-0010-0000-0000-00000C000000}" name="LS_TOTAL COST VALUE OF CURRENT UNITS" dataDxfId="67">
      <calculatedColumnFormula>IF(INVESTORS_LIST[[#This Row],[LS_TOTAL CURRENT UNITS]]=0,0,INVESTORS_LIST[[#This Row],[LS_TOTAL CURRENT UNITS]]*INVESTORS_LIST[[#This Row],[LS_AVERAGE COST]])</calculatedColumnFormula>
    </tableColumn>
    <tableColumn id="13" xr3:uid="{00000000-0010-0000-0000-00000D000000}" name="LS_TOTAL REALIZED GAIN" dataDxfId="66">
      <calculatedColumnFormula>IF(INVESTORS_LIST[[#This Row],[LS_TOTAL UNITS SOLD]]=0,0,SUMIFS(LS[Realized Gain],LS[Investor ID],INVESTORS_LIST[[#This Row],[INVESTOR CODE]],LS[B/S],"S"))</calculatedColumnFormula>
    </tableColumn>
    <tableColumn id="14" xr3:uid="{00000000-0010-0000-0000-00000E000000}" name="SIP_TOTAL UNITS BUY" dataDxfId="65">
      <calculatedColumnFormula>SUMIFS(SIP[Unit],SIP[Investor ID],INVESTORS_LIST[[#This Row],[INVESTOR CODE]],SIP[B/S],"B")</calculatedColumnFormula>
    </tableColumn>
    <tableColumn id="15" xr3:uid="{00000000-0010-0000-0000-00000F000000}" name="SIP_TOTAL UNITS SOLD" dataDxfId="64">
      <calculatedColumnFormula>-SUMIFS(SIP[Unit],SIP[Investor ID],INVESTORS_LIST[[#This Row],[INVESTOR CODE]],SIP[B/S],"S")</calculatedColumnFormula>
    </tableColumn>
    <tableColumn id="16" xr3:uid="{00000000-0010-0000-0000-000010000000}" name="SIP_TOTAL CURRENT UNITS" dataDxfId="63">
      <calculatedColumnFormula>IF(INVESTORS_LIST[[#This Row],[SIP_TOTAL UNITS BUY]]=0,0,INVESTORS_LIST[[#This Row],[SIP_TOTAL UNITS BUY]]-INVESTORS_LIST[[#This Row],[SIP_TOTAL UNITS SOLD]])</calculatedColumnFormula>
    </tableColumn>
    <tableColumn id="17" xr3:uid="{00000000-0010-0000-0000-000011000000}" name="SIP_TOTAL COST VALUE" dataDxfId="62">
      <calculatedColumnFormula>IF(INVESTORS_LIST[[#This Row],[SIP_TOTAL UNITS BUY]]=0,0,SUMIFS(SIP[Amount],SIP[Investor ID],INVESTORS_LIST[[#This Row],[INVESTOR CODE]],SIP[B/S],"B"))</calculatedColumnFormula>
    </tableColumn>
    <tableColumn id="18" xr3:uid="{00000000-0010-0000-0000-000012000000}" name="SIP_TOTAL COST OF UNITS SOLD" dataDxfId="61">
      <calculatedColumnFormula>IF(INVESTORS_LIST[[#This Row],[SIP_TOTAL UNITS SOLD]]=0,0,SUMIFS(SIP[Cost of Units Sold],SIP[Investor ID],INVESTORS_LIST[[#This Row],[INVESTOR CODE]],SIP[B/S],"S"))</calculatedColumnFormula>
    </tableColumn>
    <tableColumn id="19" xr3:uid="{00000000-0010-0000-0000-000013000000}" name="SIP_TOTAL COST VALUE OF CURRENT UNITS" dataDxfId="60">
      <calculatedColumnFormula>IF(INVESTORS_LIST[[#This Row],[SIP_TOTAL CURRENT UNITS]]=0,0,INVESTORS_LIST[[#This Row],[SIP_TOTAL CURRENT UNITS]]*INVESTORS_LIST[[#This Row],[SIP_AVERAGE COST]])</calculatedColumnFormula>
    </tableColumn>
    <tableColumn id="20" xr3:uid="{00000000-0010-0000-0000-000014000000}" name="SIP_TOTAL REALIZED GAIN" dataDxfId="59">
      <calculatedColumnFormula>IF(INVESTORS_LIST[[#This Row],[SIP_TOTAL UNITS SOLD]]=0,0,SUMIFS(SIP[Realized Gain],SIP[Investor ID],INVESTORS_LIST[[#This Row],[INVESTOR CODE]],SIP[B/S],"S"))</calculatedColumnFormula>
    </tableColumn>
    <tableColumn id="36" xr3:uid="{00000000-0010-0000-0000-000024000000}" name="TOTAL UNITS BUY" dataDxfId="58">
      <calculatedColumnFormula>INVESTORS_LIST[[#This Row],[LS_TOTAL UNITS BUY]]+INVESTORS_LIST[[#This Row],[SIP_TOTAL UNITS BUY]]</calculatedColumnFormula>
    </tableColumn>
    <tableColumn id="37" xr3:uid="{00000000-0010-0000-0000-000025000000}" name="TOTAL UNITS SOLD" dataDxfId="57">
      <calculatedColumnFormula>INVESTORS_LIST[[#This Row],[LS_TOTAL UNITS SOLD]]+INVESTORS_LIST[[#This Row],[SIP_TOTAL UNITS SOLD]]</calculatedColumnFormula>
    </tableColumn>
    <tableColumn id="43" xr3:uid="{00000000-0010-0000-0000-00002B000000}" name="BO OPENING BALANCE" dataDxfId="56"/>
    <tableColumn id="42" xr3:uid="{00000000-0010-0000-0000-00002A000000}" name="BO LS UNITS SELL" dataDxfId="55">
      <calculatedColumnFormula>SUMIFS(LS[BO UNIT TRANSFER],LS[Investor ID],INVESTORS_LIST[[#This Row],[INVESTOR CODE]],LS[B/S],"B")</calculatedColumnFormula>
    </tableColumn>
    <tableColumn id="6" xr3:uid="{00000000-0010-0000-0000-000006000000}" name="BO SIP UNITS SELL" dataDxfId="54">
      <calculatedColumnFormula>SUMIFS(SIP[BO UNIT TRANSFER],SIP[Investor ID],INVESTORS_LIST[[#This Row],[INVESTOR CODE]],SIP[B/S],"B")</calculatedColumnFormula>
    </tableColumn>
    <tableColumn id="39" xr3:uid="{00000000-0010-0000-0000-000027000000}" name="BO LS UNITS REPURCHASE" dataDxfId="53">
      <calculatedColumnFormula>SUMIFS(LS[BO UNIT TRANSFER],LS[Investor ID],INVESTORS_LIST[[#This Row],[INVESTOR CODE]],LS[B/S],"S")</calculatedColumnFormula>
    </tableColumn>
    <tableColumn id="44" xr3:uid="{00000000-0010-0000-0000-00002C000000}" name="BO SIP UNITS REPURCHASE" dataDxfId="52">
      <calculatedColumnFormula>SUMIFS(SIP[BO UNIT TRANSFER],SIP[Investor ID],INVESTORS_LIST[[#This Row],[INVESTOR CODE]],SIP[B/S],"S")</calculatedColumnFormula>
    </tableColumn>
    <tableColumn id="5" xr3:uid="{00000000-0010-0000-0000-000005000000}" name="BO UNITS HOLD" dataDxfId="51">
      <calculatedColumnFormula>SUM(INVESTORS_LIST[[#This Row],[BO OPENING BALANCE]:[BO SIP UNITS REPURCHASE]])</calculatedColumnFormula>
    </tableColumn>
    <tableColumn id="38" xr3:uid="{00000000-0010-0000-0000-000026000000}" name="TOTAL CURRENT UNITS" dataDxfId="50">
      <calculatedColumnFormula>INVESTORS_LIST[[#This Row],[TOTAL UNITS BUY]]-INVESTORS_LIST[[#This Row],[TOTAL UNITS SOLD]]</calculatedColumnFormula>
    </tableColumn>
    <tableColumn id="34" xr3:uid="{609CB50A-AFC4-4A6B-9C95-C52F14600EC8}" name="mismatch" dataDxfId="49">
      <calculatedColumnFormula>INVESTORS_LIST[[#This Row],[TOTAL CURRENT UNITS]]-INVESTORS_LIST[[#This Row],[BO UNITS HOLD]]</calculatedColumnFormula>
    </tableColumn>
    <tableColumn id="35" xr3:uid="{B5328058-F62A-46B6-B3F5-2A85038531A3}" name="BO ID" dataDxfId="48">
      <calculatedColumnFormula>INDEX([3]!Table_1[BO ID],MATCH(INVESTORS_LIST[[#This Row],[INVESTOR CODE]],[3]!Table_1[INVESTOR CODE],0))</calculatedColumnFormula>
    </tableColumn>
    <tableColumn id="47" xr3:uid="{283D0764-37B9-4CC5-AE45-ACFF06D111B6}" name="Column3" dataDxfId="47">
      <calculatedColumnFormula>INDEX([3]!Table_1[Brokerage Name2],MATCH(INVESTORS_LIST[[#This Row],[INVESTOR CODE]],[3]!Table_1[INVESTOR CODE],0))</calculatedColumnFormula>
    </tableColumn>
    <tableColumn id="49" xr3:uid="{62D6551E-7AA0-4E7B-BD1E-C9072D19669C}" name="Column4" dataDxfId="46">
      <calculatedColumnFormula>MID(INVESTORS_LIST[[#This Row],[BO ID]],4,5)</calculatedColumnFormula>
    </tableColumn>
    <tableColumn id="46" xr3:uid="{91942384-AD71-497C-9193-E88726F1010A}" name="Column2" dataDxfId="45">
      <calculatedColumnFormula>MID(INVESTORS_LIST[[#This Row],[BO ID]],2,7)</calculatedColumnFormula>
    </tableColumn>
    <tableColumn id="45" xr3:uid="{DD174E4D-F459-4A73-BB90-32D0E149F233}" name="Column1" dataDxfId="44">
      <calculatedColumnFormula>MID(INVESTORS_LIST[[#This Row],[BO ID]],9,7)</calculatedColumnFormula>
    </tableColumn>
    <tableColumn id="50" xr3:uid="{F77F59ED-4963-40FA-A434-256B96A1A3D5}" name="Column12" dataDxfId="43">
      <calculatedColumnFormula>RIGHT(INVESTORS_LIST[[#This Row],[BO ID]],1)</calculatedColumnFormula>
    </tableColumn>
    <tableColumn id="1" xr3:uid="{00000000-0010-0000-0000-000001000000}" name="TOTAL COST VALUE OF CURRENT INVESTMENT" dataDxfId="42">
      <calculatedColumnFormula>INVESTORS_LIST[[#This Row],[LS_TOTAL COST VALUE OF CURRENT UNITS]]+INVESTORS_LIST[[#This Row],[SIP_TOTAL COST VALUE OF CURRENT UNITS]]</calculatedColumnFormula>
    </tableColumn>
    <tableColumn id="21" xr3:uid="{00000000-0010-0000-0000-000015000000}" name="LS_WEIGHT" dataDxfId="41">
      <calculatedColumnFormula>IF(INVESTORS_LIST[[#This Row],[TOTAL CURRENT UNITS]]=0,0,INVESTORS_LIST[[#This Row],[LS_TOTAL CURRENT UNITS]]/INVESTORS_LIST[[#This Row],[TOTAL CURRENT UNITS]])</calculatedColumnFormula>
    </tableColumn>
    <tableColumn id="22" xr3:uid="{00000000-0010-0000-0000-000016000000}" name="SIP_WEIGHT" dataDxfId="40">
      <calculatedColumnFormula>IF(INVESTORS_LIST[[#This Row],[TOTAL CURRENT UNITS]]=0,0,INVESTORS_LIST[[#This Row],[SIP_TOTAL CURRENT UNITS]]/INVESTORS_LIST[[#This Row],[TOTAL CURRENT UNITS]])</calculatedColumnFormula>
    </tableColumn>
    <tableColumn id="23" xr3:uid="{00000000-0010-0000-0000-000017000000}" name="LS_AVERAGE COST" dataDxfId="39">
      <calculatedColumnFormula array="1">IF(INVESTORS_LIST[[#This Row],[LS_TOTAL UNITS BUY]]&gt;0,INDEX(LS[NAV at Cost (Average)],MATCH(CONCATENATE(COUNTIFS(LS[Investor ID],INVESTORS_LIST[[#This Row],[INVESTOR CODE]]),INVESTORS_LIST[[#This Row],[INVESTOR CODE]]),LS[Unique Code],0),),0)</calculatedColumnFormula>
    </tableColumn>
    <tableColumn id="24" xr3:uid="{00000000-0010-0000-0000-000018000000}" name="SIP_AVERAGE COST" dataDxfId="38">
      <calculatedColumnFormula array="1">IF(INVESTORS_LIST[[#This Row],[SIP_TOTAL UNITS BUY]]&gt;0,INDEX(SIP[NAV at Cost (Average)],MATCH(CONCATENATE(COUNTIFS(SIP[Investor ID],INVESTORS_LIST[[#This Row],[INVESTOR CODE]]),INVESTORS_LIST[[#This Row],[INVESTOR CODE]]),SIP[Unique Code],0),),0)</calculatedColumnFormula>
    </tableColumn>
    <tableColumn id="25" xr3:uid="{00000000-0010-0000-0000-000019000000}" name="AVERAGE COST" dataDxfId="37">
      <calculatedColumnFormula>IF(INVESTORS_LIST[[#This Row],[TOTAL CURRENT UNITS]]=0,0,(INVESTORS_LIST[[#This Row],[LS_WEIGHT]]*INVESTORS_LIST[[#This Row],[LS_AVERAGE COST]])+(INVESTORS_LIST[[#This Row],[SIP_WEIGHT]]*INVESTORS_LIST[[#This Row],[SIP_AVERAGE COST]]))</calculatedColumnFormula>
    </tableColumn>
    <tableColumn id="26" xr3:uid="{00000000-0010-0000-0000-00001A000000}" name="NAV" dataDxfId="36">
      <calculatedColumnFormula>NAV_MKT</calculatedColumnFormula>
    </tableColumn>
    <tableColumn id="27" xr3:uid="{00000000-0010-0000-0000-00001B000000}" name="TOTAL MARKET VALUE" dataDxfId="35">
      <calculatedColumnFormula>IF(INVESTORS_LIST[[#This Row],[TOTAL CURRENT UNITS]]=0,0,INVESTORS_LIST[[#This Row],[TOTAL CURRENT UNITS]]*INVESTORS_LIST[[#This Row],[NAV]])</calculatedColumnFormula>
    </tableColumn>
    <tableColumn id="28" xr3:uid="{00000000-0010-0000-0000-00001C000000}" name="LS_TOTAL MARKET VALUE" dataDxfId="34">
      <calculatedColumnFormula>IF(INVESTORS_LIST[[#This Row],[LS_TOTAL CURRENT UNITS]]=0,0,INVESTORS_LIST[[#This Row],[LS_TOTAL CURRENT UNITS]]*INVESTORS_LIST[[#This Row],[NAV]])</calculatedColumnFormula>
    </tableColumn>
    <tableColumn id="29" xr3:uid="{00000000-0010-0000-0000-00001D000000}" name="SIP_TOTAL MARKET VALUE" dataDxfId="33">
      <calculatedColumnFormula>IF(INVESTORS_LIST[[#This Row],[SIP_TOTAL CURRENT UNITS]]=0,0,INVESTORS_LIST[[#This Row],[SIP_TOTAL CURRENT UNITS]]*INVESTORS_LIST[[#This Row],[NAV]])</calculatedColumnFormula>
    </tableColumn>
    <tableColumn id="30" xr3:uid="{00000000-0010-0000-0000-00001E000000}" name="TOTAL SELLABLE UNITS" dataDxfId="32">
      <calculatedColumnFormula>INVESTORS_LIST[[#This Row],[TOTAL CURRENT UNITS]]</calculatedColumnFormula>
    </tableColumn>
    <tableColumn id="31" xr3:uid="{00000000-0010-0000-0000-00001F000000}" name="MARKET VALUE OF SELLABLE UNITS" dataDxfId="31">
      <calculatedColumnFormula>IF(INVESTORS_LIST[[#This Row],[TOTAL SELLABLE UNITS]]=0,0,INVESTORS_LIST[[#This Row],[TOTAL SELLABLE UNITS]]*INVESTORS_LIST[[#This Row],[NAV]])</calculatedColumnFormula>
    </tableColumn>
    <tableColumn id="32" xr3:uid="{00000000-0010-0000-0000-000020000000}" name="TOTAL REALIZED GAIN" dataDxfId="30">
      <calculatedColumnFormula>INVESTORS_LIST[[#This Row],[LS_TOTAL REALIZED GAIN]]+INVESTORS_LIST[[#This Row],[SIP_TOTAL REALIZED GAIN]]</calculatedColumnFormula>
    </tableColumn>
    <tableColumn id="41" xr3:uid="{00000000-0010-0000-0000-000029000000}" name="TOTAL UNREALIZED GAIN" dataDxfId="29">
      <calculatedColumnFormula>INVESTORS_LIST[[#This Row],[TOTAL MARKET VALUE]]-INVESTORS_LIST[[#This Row],[TOTAL COST VALUE OF CURRENT INVESTMENT]]</calculatedColumnFormula>
    </tableColumn>
    <tableColumn id="33" xr3:uid="{00000000-0010-0000-0000-000021000000}" name="% of Units Hold" dataDxfId="28">
      <calculatedColumnFormula>IFERROR(INVESTORS_LIST[[#This Row],[TOTAL CURRENT UNITS]]/SUM(INVESTORS_LIST[TOTAL CURRENT UNITS]),0)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LS" displayName="LS" ref="A2:W1507" totalsRowShown="0">
  <autoFilter ref="A2:W1507" xr:uid="{00000000-0009-0000-0100-000004000000}"/>
  <tableColumns count="23">
    <tableColumn id="1" xr3:uid="{00000000-0010-0000-0100-000001000000}" name="Year" dataDxfId="99"/>
    <tableColumn id="2" xr3:uid="{00000000-0010-0000-0100-000002000000}" name="Month" dataDxfId="98"/>
    <tableColumn id="3" xr3:uid="{00000000-0010-0000-0100-000003000000}" name="Day" dataDxfId="97"/>
    <tableColumn id="18" xr3:uid="{00000000-0010-0000-0100-000012000000}" name="Date Value" dataDxfId="96">
      <calculatedColumnFormula>DATE(LS[[#This Row],[Year]],LS[[#This Row],[Month]],LS[[#This Row],[Day]])</calculatedColumnFormula>
    </tableColumn>
    <tableColumn id="4" xr3:uid="{00000000-0010-0000-0100-000004000000}" name="Investor" dataDxfId="95">
      <calculatedColumnFormula array="1">INDEX(INVESTORS_LIST[INVESTOR NAME],MATCH(LS[[#This Row],[Investor ID]],INVESTORS_LIST[INVESTOR CODE],0),)</calculatedColumnFormula>
    </tableColumn>
    <tableColumn id="17" xr3:uid="{00000000-0010-0000-0100-000011000000}" name="Investor ID" dataDxfId="94"/>
    <tableColumn id="5" xr3:uid="{00000000-0010-0000-0100-000005000000}" name="Frequency" dataDxfId="93">
      <calculatedColumnFormula>COUNTIF(LS[[#Headers],[Investor ID]]:LS[[#This Row],[Investor ID]],LS[[#This Row],[Investor ID]])</calculatedColumnFormula>
    </tableColumn>
    <tableColumn id="6" xr3:uid="{00000000-0010-0000-0100-000006000000}" name="Unique Code" dataDxfId="92">
      <calculatedColumnFormula>CONCATENATE(LS[[#This Row],[Frequency]],LS[[#This Row],[Investor ID]])</calculatedColumnFormula>
    </tableColumn>
    <tableColumn id="21" xr3:uid="{00000000-0010-0000-0100-000015000000}" name="Column1" dataDxfId="91">
      <calculatedColumnFormula>IF(LS[[#This Row],[B/S]]="B","BUY",(IF(LS[[#This Row],[B/S]]="S","SELL"," ")))</calculatedColumnFormula>
    </tableColumn>
    <tableColumn id="7" xr3:uid="{00000000-0010-0000-0100-000007000000}" name="B/S" dataDxfId="90"/>
    <tableColumn id="8" xr3:uid="{00000000-0010-0000-0100-000008000000}" name="Amount" dataDxfId="89"/>
    <tableColumn id="22" xr3:uid="{00000000-0010-0000-0100-000016000000}" name="BO TRANSFER" dataDxfId="88"/>
    <tableColumn id="9" xr3:uid="{00000000-0010-0000-0100-000009000000}" name="NAV (Strike Rate)" dataDxfId="87">
      <calculatedColumnFormula>LS[[#This Row],[Amount]]/LS[[#This Row],[Unit]]</calculatedColumnFormula>
    </tableColumn>
    <tableColumn id="10" xr3:uid="{00000000-0010-0000-0100-00000A000000}" name="Unit" dataDxfId="86">
      <calculatedColumnFormula>LS[[#This Row],[Unit Capital]]/10</calculatedColumnFormula>
    </tableColumn>
    <tableColumn id="11" xr3:uid="{00000000-0010-0000-0100-00000B000000}" name="Cumulative Unit" dataDxfId="85">
      <calculatedColumnFormula>SUMIFS(LS[[#Headers],[Unit]]:LS[[#This Row],[Unit]],LS[[#Headers],[Investor ID]]:LS[[#This Row],[Investor ID]],LS[[#This Row],[Investor ID]])</calculatedColumnFormula>
    </tableColumn>
    <tableColumn id="12" xr3:uid="{00000000-0010-0000-0100-00000C000000}" name="Unit Capital" dataDxfId="84"/>
    <tableColumn id="13" xr3:uid="{00000000-0010-0000-0100-00000D000000}" name="Unit Premium Reserve" dataDxfId="83">
      <calculatedColumnFormula>LS[[#This Row],[Amount]]-LS[[#This Row],[Unit Capital]]</calculatedColumnFormula>
    </tableColumn>
    <tableColumn id="14" xr3:uid="{00000000-0010-0000-0100-00000E000000}" name="NAV at Cost (Average)" dataDxfId="82">
      <calculatedColumnFormula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calculatedColumnFormula>
    </tableColumn>
    <tableColumn id="15" xr3:uid="{00000000-0010-0000-0100-00000F000000}" name="NAV (At MKT Rate)" dataDxfId="81">
      <calculatedColumnFormula>IFERROR(NAV_MKT,0)</calculatedColumnFormula>
    </tableColumn>
    <tableColumn id="16" xr3:uid="{00000000-0010-0000-0100-000010000000}" name="Realized Gain" dataDxfId="80">
      <calculatedColumnFormula>IF(LS[[#This Row],[B/S]]="B",0,ABS(LS[[#This Row],[Unit]])*(LS[[#This Row],[NAV (Strike Rate)]]-INDEX(LS[NAV at Cost (Average)],MATCH(CONCATENATE(LS[[#This Row],[Frequency]]-1,LS[[#This Row],[Investor ID]]),LS[Unique Code],0),)))</calculatedColumnFormula>
    </tableColumn>
    <tableColumn id="19" xr3:uid="{00000000-0010-0000-0100-000013000000}" name="Cost of Units Sold" dataDxfId="79">
      <calculatedColumnFormula array="1">IF(LS[[#This Row],[B/S]]="S",ABS(LS[[#This Row],[Unit]])*(INDEX(LS[NAV at Cost (Average)],MATCH(CONCATENATE((LS[[#This Row],[Frequency]]-1),LS[[#This Row],[Investor ID]]),LS[Unique Code],0),0)),0)</calculatedColumnFormula>
    </tableColumn>
    <tableColumn id="24" xr3:uid="{00000000-0010-0000-0100-000018000000}" name="BO UNIT TRANSFER" dataDxfId="78">
      <calculatedColumnFormula>IF(LS[[#This Row],[BO TRANSFER]]="YES",LS[[#This Row],[Unit]],)</calculatedColumnFormula>
    </tableColumn>
    <tableColumn id="23" xr3:uid="{00000000-0010-0000-0100-000017000000}" name="BO Cumulative Units" dataDxfId="77">
      <calculatedColumnFormula>SUMIFS(LS[[#Headers],[BO UNIT TRANSFER]]:LS[[#This Row],[BO UNIT TRANSFER]],LS[[#Headers],[Investor ID]]:LS[[#This Row],[Investor ID]],LS[[#This Row],[Investor ID]])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SIP" displayName="SIP" ref="A2:W1878" totalsRowShown="0">
  <autoFilter ref="A2:W1878" xr:uid="{00000000-0009-0000-0100-000006000000}"/>
  <sortState xmlns:xlrd2="http://schemas.microsoft.com/office/spreadsheetml/2017/richdata2" ref="A2:W576">
    <sortCondition ref="D2:D135"/>
  </sortState>
  <tableColumns count="23">
    <tableColumn id="1" xr3:uid="{00000000-0010-0000-0200-000001000000}" name="Year" dataDxfId="27"/>
    <tableColumn id="2" xr3:uid="{00000000-0010-0000-0200-000002000000}" name="Month" dataDxfId="26"/>
    <tableColumn id="3" xr3:uid="{00000000-0010-0000-0200-000003000000}" name="Day" dataDxfId="25"/>
    <tableColumn id="4" xr3:uid="{00000000-0010-0000-0200-000004000000}" name="Date Value" dataDxfId="24">
      <calculatedColumnFormula>DATE(SIP[[#This Row],[Year]],SIP[[#This Row],[Month]],SIP[[#This Row],[Day]])</calculatedColumnFormula>
    </tableColumn>
    <tableColumn id="5" xr3:uid="{00000000-0010-0000-0200-000005000000}" name="Investor" dataDxfId="23">
      <calculatedColumnFormula array="1">INDEX(INVESTORS_LIST[INVESTOR NAME],MATCH(SIP[[#This Row],[Investor ID]],INVESTORS_LIST[INVESTOR CODE],0),)</calculatedColumnFormula>
    </tableColumn>
    <tableColumn id="6" xr3:uid="{00000000-0010-0000-0200-000006000000}" name="Investor ID" dataDxfId="22"/>
    <tableColumn id="7" xr3:uid="{00000000-0010-0000-0200-000007000000}" name="Frequency" dataDxfId="21">
      <calculatedColumnFormula>COUNTIF(SIP[[#Headers],[Investor ID]]:SIP[[#This Row],[Investor ID]],SIP[[#This Row],[Investor ID]])</calculatedColumnFormula>
    </tableColumn>
    <tableColumn id="8" xr3:uid="{00000000-0010-0000-0200-000008000000}" name="Unique Code" dataDxfId="20">
      <calculatedColumnFormula>CONCATENATE(SIP[[#This Row],[Frequency]],SIP[[#This Row],[Investor ID]])</calculatedColumnFormula>
    </tableColumn>
    <tableColumn id="21" xr3:uid="{00000000-0010-0000-0200-000015000000}" name="Column1" dataDxfId="19">
      <calculatedColumnFormula>IF(SIP[[#This Row],[B/S]]="B","BUY",(IF(SIP[[#This Row],[B/S]]="S","SELL"," ")))</calculatedColumnFormula>
    </tableColumn>
    <tableColumn id="9" xr3:uid="{00000000-0010-0000-0200-000009000000}" name="B/S" dataDxfId="18"/>
    <tableColumn id="10" xr3:uid="{00000000-0010-0000-0200-00000A000000}" name="Amount" dataDxfId="17" dataCellStyle="Comma"/>
    <tableColumn id="25" xr3:uid="{00000000-0010-0000-0200-000019000000}" name="BO TRANSFER" dataDxfId="16"/>
    <tableColumn id="11" xr3:uid="{00000000-0010-0000-0200-00000B000000}" name="NAV (Strike Rate)" dataDxfId="15">
      <calculatedColumnFormula>SIP[[#This Row],[Amount]]/SIP[[#This Row],[Unit]]</calculatedColumnFormula>
    </tableColumn>
    <tableColumn id="12" xr3:uid="{00000000-0010-0000-0200-00000C000000}" name="Unit" dataDxfId="14">
      <calculatedColumnFormula>SIP[[#This Row],[Unit Capital]]/10</calculatedColumnFormula>
    </tableColumn>
    <tableColumn id="13" xr3:uid="{00000000-0010-0000-0200-00000D000000}" name="Cumulative Unit" dataDxfId="13">
      <calculatedColumnFormula>SUMIFS(SIP[[#Headers],[Unit]]:SIP[[#This Row],[Unit]],SIP[[#Headers],[Investor ID]]:SIP[[#This Row],[Investor ID]],SIP[[#This Row],[Investor ID]])</calculatedColumnFormula>
    </tableColumn>
    <tableColumn id="14" xr3:uid="{00000000-0010-0000-0200-00000E000000}" name="Unit Capital" dataDxfId="12"/>
    <tableColumn id="15" xr3:uid="{00000000-0010-0000-0200-00000F000000}" name="Unit Premium Reserve" dataDxfId="11">
      <calculatedColumnFormula>SIP[[#This Row],[Amount]]-SIP[[#This Row],[Unit Capital]]</calculatedColumnFormula>
    </tableColumn>
    <tableColumn id="16" xr3:uid="{00000000-0010-0000-0200-000010000000}" name="NAV at Cost (Average)" dataDxfId="10">
      <calculatedColumnFormula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calculatedColumnFormula>
    </tableColumn>
    <tableColumn id="17" xr3:uid="{00000000-0010-0000-0200-000011000000}" name="NAV (At MKT Rate)" dataDxfId="9">
      <calculatedColumnFormula>NAV_MKT</calculatedColumnFormula>
    </tableColumn>
    <tableColumn id="18" xr3:uid="{00000000-0010-0000-0200-000012000000}" name="Realized Gain" dataDxfId="8">
      <calculatedColumnFormula>IF(SIP[[#This Row],[B/S]]="B",0,ABS(SIP[[#This Row],[Unit]])*(SIP[[#This Row],[NAV (Strike Rate)]]-INDEX(SIP[NAV at Cost (Average)],MATCH(CONCATENATE(SIP[[#This Row],[Frequency]]-1,SIP[[#This Row],[Investor ID]]),SIP[Unique Code],0),)))</calculatedColumnFormula>
    </tableColumn>
    <tableColumn id="19" xr3:uid="{00000000-0010-0000-0200-000013000000}" name="Cost of Units Sold" dataDxfId="7">
      <calculatedColumnFormula array="1">IF(SIP[[#This Row],[B/S]]="S",ABS(SIP[[#This Row],[Unit]])*(INDEX(SIP[NAV at Cost (Average)],MATCH(CONCATENATE((SIP[[#This Row],[Frequency]]-1),SIP[[#This Row],[Investor ID]]),SIP[Unique Code],0),0)),0)</calculatedColumnFormula>
    </tableColumn>
    <tableColumn id="20" xr3:uid="{00000000-0010-0000-0200-000014000000}" name="BO UNIT TRANSFER" dataDxfId="6">
      <calculatedColumnFormula>IF(SIP[[#This Row],[BO TRANSFER]]="YES",SIP[[#This Row],[Unit]],)</calculatedColumnFormula>
    </tableColumn>
    <tableColumn id="24" xr3:uid="{00000000-0010-0000-0200-000018000000}" name="BO Cumulative Units" dataDxfId="5">
      <calculatedColumnFormula>SUMIFS(SIP[[#Headers],[BO UNIT TRANSFER]]:SIP[[#This Row],[BO UNIT TRANSFER]],SIP[[#Headers],[Investor ID]]:SIP[[#This Row],[Investor ID]],SIP[[#This Row],[Investor ID]])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21"/>
  <sheetViews>
    <sheetView tabSelected="1" workbookViewId="0">
      <selection activeCell="A4" sqref="A4:A5"/>
    </sheetView>
  </sheetViews>
  <sheetFormatPr defaultColWidth="9" defaultRowHeight="15"/>
  <cols>
    <col min="1" max="1" width="18.5703125" customWidth="1"/>
    <col min="2" max="2" width="11.5703125" bestFit="1" customWidth="1"/>
    <col min="3" max="3" width="15.7109375" customWidth="1"/>
    <col min="15" max="15" width="9.5703125" bestFit="1" customWidth="1"/>
    <col min="16" max="16" width="10.5703125" bestFit="1" customWidth="1"/>
  </cols>
  <sheetData>
    <row r="1" spans="1:22">
      <c r="A1" s="50">
        <f>LS!P1+SIP!P1</f>
        <v>411925950</v>
      </c>
      <c r="C1" s="50">
        <f>LS!Q1+SIP!Q1</f>
        <v>23036941.767900024</v>
      </c>
    </row>
    <row r="2" spans="1:22">
      <c r="A2" s="49"/>
    </row>
    <row r="3" spans="1:22">
      <c r="A3" s="48"/>
    </row>
    <row r="4" spans="1:22">
      <c r="A4" s="49">
        <v>411925950</v>
      </c>
      <c r="B4" s="50">
        <f>A1-A4</f>
        <v>0</v>
      </c>
    </row>
    <row r="5" spans="1:22">
      <c r="A5" s="49">
        <v>23036942.299999982</v>
      </c>
      <c r="B5" s="50">
        <f>A5-C1</f>
        <v>0.53209995850920677</v>
      </c>
      <c r="D5" s="48"/>
    </row>
    <row r="10" spans="1:22">
      <c r="V10" s="49"/>
    </row>
    <row r="11" spans="1:22">
      <c r="V11" s="49"/>
    </row>
    <row r="12" spans="1:22">
      <c r="V12" s="49"/>
    </row>
    <row r="13" spans="1:22">
      <c r="O13" s="49"/>
      <c r="P13" s="49"/>
      <c r="V13" s="49"/>
    </row>
    <row r="14" spans="1:22">
      <c r="V14" s="49"/>
    </row>
    <row r="15" spans="1:22">
      <c r="V15" s="49"/>
    </row>
    <row r="16" spans="1:22">
      <c r="V16" s="49"/>
    </row>
    <row r="17" spans="7:22">
      <c r="G17" s="228"/>
      <c r="V17" s="49"/>
    </row>
    <row r="18" spans="7:22">
      <c r="V18" s="49"/>
    </row>
    <row r="19" spans="7:22">
      <c r="V19" s="49"/>
    </row>
    <row r="20" spans="7:22">
      <c r="V20" s="49"/>
    </row>
    <row r="21" spans="7:22">
      <c r="V21" s="4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1">
    <pageSetUpPr fitToPage="1"/>
  </sheetPr>
  <dimension ref="A1:BF726"/>
  <sheetViews>
    <sheetView zoomScaleNormal="100" workbookViewId="0">
      <pane xSplit="2" ySplit="1" topLeftCell="AK354" activePane="bottomRight" state="frozen"/>
      <selection pane="topRight"/>
      <selection pane="bottomLeft"/>
      <selection pane="bottomRight" activeCell="AW354" sqref="AW354"/>
    </sheetView>
  </sheetViews>
  <sheetFormatPr defaultColWidth="9" defaultRowHeight="15"/>
  <cols>
    <col min="1" max="1" width="38.85546875" style="262" customWidth="1"/>
    <col min="2" max="2" width="12.5703125" style="97" customWidth="1"/>
    <col min="3" max="3" width="9.5703125" customWidth="1"/>
    <col min="4" max="4" width="22.28515625" customWidth="1"/>
    <col min="5" max="5" width="15.140625" hidden="1" customWidth="1"/>
    <col min="6" max="6" width="20" hidden="1" customWidth="1"/>
    <col min="7" max="7" width="14" hidden="1" customWidth="1"/>
    <col min="8" max="8" width="19.140625" hidden="1" customWidth="1"/>
    <col min="9" max="9" width="22.140625" hidden="1" customWidth="1"/>
    <col min="10" max="10" width="18.7109375" hidden="1" customWidth="1"/>
    <col min="11" max="11" width="14" hidden="1" customWidth="1"/>
    <col min="12" max="12" width="15.140625" hidden="1" customWidth="1"/>
    <col min="13" max="13" width="16" hidden="1" customWidth="1"/>
    <col min="14" max="14" width="14.85546875" hidden="1" customWidth="1"/>
    <col min="15" max="15" width="20" hidden="1" customWidth="1"/>
    <col min="16" max="16" width="23" hidden="1" customWidth="1"/>
    <col min="17" max="17" width="19.7109375" hidden="1" customWidth="1"/>
    <col min="18" max="18" width="23.7109375" hidden="1" customWidth="1"/>
    <col min="19" max="19" width="16.28515625" hidden="1" customWidth="1"/>
    <col min="20" max="25" width="17" hidden="1" customWidth="1"/>
    <col min="26" max="26" width="17" customWidth="1"/>
    <col min="27" max="27" width="13.85546875" customWidth="1"/>
    <col min="28" max="28" width="13.85546875" hidden="1" customWidth="1"/>
    <col min="29" max="34" width="21" hidden="1" customWidth="1"/>
    <col min="35" max="35" width="17.140625" customWidth="1"/>
    <col min="36" max="36" width="15.7109375" customWidth="1"/>
    <col min="37" max="37" width="16.5703125" customWidth="1"/>
    <col min="38" max="38" width="16.85546875" hidden="1" customWidth="1"/>
    <col min="39" max="39" width="17.85546875" hidden="1" customWidth="1"/>
    <col min="40" max="40" width="14" style="105" customWidth="1"/>
    <col min="41" max="41" width="16.28515625" style="105" customWidth="1"/>
    <col min="42" max="42" width="18.7109375" customWidth="1"/>
    <col min="43" max="43" width="15.42578125" customWidth="1"/>
    <col min="44" max="44" width="23" customWidth="1"/>
    <col min="45" max="45" width="13.5703125" customWidth="1"/>
    <col min="46" max="46" width="20.140625" customWidth="1"/>
    <col min="47" max="47" width="13.7109375" customWidth="1"/>
    <col min="48" max="48" width="16.5703125" customWidth="1"/>
    <col min="49" max="49" width="13" customWidth="1"/>
    <col min="51" max="51" width="14" bestFit="1" customWidth="1"/>
  </cols>
  <sheetData>
    <row r="1" spans="1:58" s="46" customFormat="1" ht="45" customHeight="1">
      <c r="A1" s="275" t="s">
        <v>0</v>
      </c>
      <c r="B1" s="276" t="s">
        <v>1</v>
      </c>
      <c r="C1" s="27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277" t="s">
        <v>25</v>
      </c>
      <c r="AA1" s="277" t="s">
        <v>26</v>
      </c>
      <c r="AB1" s="46" t="s">
        <v>1377</v>
      </c>
      <c r="AC1" s="46" t="s">
        <v>1378</v>
      </c>
      <c r="AD1" s="46" t="s">
        <v>1380</v>
      </c>
      <c r="AE1" s="46" t="s">
        <v>1381</v>
      </c>
      <c r="AF1" s="46" t="s">
        <v>1379</v>
      </c>
      <c r="AG1" s="46" t="s">
        <v>1214</v>
      </c>
      <c r="AH1" s="46" t="s">
        <v>1382</v>
      </c>
      <c r="AI1" s="46" t="s">
        <v>27</v>
      </c>
      <c r="AJ1" s="46" t="s">
        <v>28</v>
      </c>
      <c r="AK1" s="46" t="s">
        <v>29</v>
      </c>
      <c r="AL1" s="46" t="s">
        <v>30</v>
      </c>
      <c r="AM1" s="46" t="s">
        <v>31</v>
      </c>
      <c r="AN1" s="46" t="s">
        <v>32</v>
      </c>
      <c r="AO1" s="46" t="s">
        <v>33</v>
      </c>
      <c r="AP1" s="46" t="s">
        <v>34</v>
      </c>
      <c r="AQ1" s="46" t="s">
        <v>35</v>
      </c>
      <c r="AR1" s="46" t="s">
        <v>36</v>
      </c>
      <c r="AS1" s="46" t="s">
        <v>37</v>
      </c>
      <c r="AT1" s="46" t="s">
        <v>38</v>
      </c>
      <c r="AU1" s="46" t="s">
        <v>39</v>
      </c>
      <c r="AV1" s="46" t="s">
        <v>40</v>
      </c>
      <c r="AW1" s="46" t="s">
        <v>41</v>
      </c>
    </row>
    <row r="2" spans="1:58" hidden="1">
      <c r="A2" s="262" t="s">
        <v>42</v>
      </c>
      <c r="B2" s="97" t="s">
        <v>43</v>
      </c>
      <c r="C2" t="s">
        <v>44</v>
      </c>
      <c r="D2" s="75" t="s">
        <v>45</v>
      </c>
      <c r="E2" s="47">
        <f>SUMIFS(LS[Unit],LS[Investor ID],INVESTORS_LIST[[#This Row],[INVESTOR CODE]],LS[B/S],"B")</f>
        <v>0</v>
      </c>
      <c r="F2" s="47">
        <f>-SUMIFS(LS[Unit],LS[Investor ID],INVESTORS_LIST[[#This Row],[INVESTOR CODE]],LS[B/S],"S")</f>
        <v>0</v>
      </c>
      <c r="G2" s="47">
        <f>IF(INVESTORS_LIST[[#This Row],[LS_TOTAL UNITS BUY]]=0,0,INVESTORS_LIST[[#This Row],[LS_TOTAL UNITS BUY]]-INVESTORS_LIST[[#This Row],[LS_TOTAL UNITS SOLD]])</f>
        <v>0</v>
      </c>
      <c r="H2" s="49">
        <f>IF(INVESTORS_LIST[[#This Row],[LS_TOTAL UNITS BUY]]=0,0,SUMIFS(LS[Amount],LS[Investor ID],INVESTORS_LIST[[#This Row],[INVESTOR CODE]],LS[B/S],"B"))</f>
        <v>0</v>
      </c>
      <c r="I2" s="49">
        <f>IF(INVESTORS_LIST[[#This Row],[LS_TOTAL UNITS SOLD]]=0,0,SUMIFS(LS[Cost of Units Sold],LS[Investor ID],INVESTORS_LIST[[#This Row],[INVESTOR CODE]],LS[B/S],"S"))</f>
        <v>0</v>
      </c>
      <c r="J2" s="49">
        <f>IF(INVESTORS_LIST[[#This Row],[LS_TOTAL CURRENT UNITS]]=0,0,INVESTORS_LIST[[#This Row],[LS_TOTAL CURRENT UNITS]]*INVESTORS_LIST[[#This Row],[LS_AVERAGE COST]])</f>
        <v>0</v>
      </c>
      <c r="K2" s="49">
        <f>IF(INVESTORS_LIST[[#This Row],[LS_TOTAL UNITS SOLD]]=0,0,SUMIFS(LS[Realized Gain],LS[Investor ID],INVESTORS_LIST[[#This Row],[INVESTOR CODE]],LS[B/S],"S"))</f>
        <v>0</v>
      </c>
      <c r="L2" s="47">
        <f>SUMIFS(SIP[Unit],SIP[Investor ID],INVESTORS_LIST[[#This Row],[INVESTOR CODE]],SIP[B/S],"B")</f>
        <v>0</v>
      </c>
      <c r="M2" s="47">
        <f>-SUMIFS(SIP[Unit],SIP[Investor ID],INVESTORS_LIST[[#This Row],[INVESTOR CODE]],SIP[B/S],"S")</f>
        <v>0</v>
      </c>
      <c r="N2" s="50">
        <f>IF(INVESTORS_LIST[[#This Row],[SIP_TOTAL UNITS BUY]]=0,0,INVESTORS_LIST[[#This Row],[SIP_TOTAL UNITS BUY]]-INVESTORS_LIST[[#This Row],[SIP_TOTAL UNITS SOLD]])</f>
        <v>0</v>
      </c>
      <c r="O2" s="49">
        <f>IF(INVESTORS_LIST[[#This Row],[SIP_TOTAL UNITS BUY]]=0,0,SUMIFS(SIP[Amount],SIP[Investor ID],INVESTORS_LIST[[#This Row],[INVESTOR CODE]],SIP[B/S],"B"))</f>
        <v>0</v>
      </c>
      <c r="P2" s="49">
        <f>IF(INVESTORS_LIST[[#This Row],[SIP_TOTAL UNITS SOLD]]=0,0,SUMIFS(SIP[Cost of Units Sold],SIP[Investor ID],INVESTORS_LIST[[#This Row],[INVESTOR CODE]],SIP[B/S],"S"))</f>
        <v>0</v>
      </c>
      <c r="Q2" s="49">
        <f>IF(INVESTORS_LIST[[#This Row],[SIP_TOTAL CURRENT UNITS]]=0,0,INVESTORS_LIST[[#This Row],[SIP_TOTAL CURRENT UNITS]]*INVESTORS_LIST[[#This Row],[SIP_AVERAGE COST]])</f>
        <v>0</v>
      </c>
      <c r="R2" s="49">
        <f>IF(INVESTORS_LIST[[#This Row],[SIP_TOTAL UNITS SOLD]]=0,0,SUMIFS(SIP[Realized Gain],SIP[Investor ID],INVESTORS_LIST[[#This Row],[INVESTOR CODE]],SIP[B/S],"S"))</f>
        <v>0</v>
      </c>
      <c r="S2" s="50">
        <f>INVESTORS_LIST[[#This Row],[LS_TOTAL UNITS BUY]]+INVESTORS_LIST[[#This Row],[SIP_TOTAL UNITS BUY]]</f>
        <v>0</v>
      </c>
      <c r="T2" s="50">
        <f>INVESTORS_LIST[[#This Row],[LS_TOTAL UNITS SOLD]]+INVESTORS_LIST[[#This Row],[SIP_TOTAL UNITS SOLD]]</f>
        <v>0</v>
      </c>
      <c r="U2" s="50"/>
      <c r="V2" s="50">
        <f>SUMIFS(LS[BO UNIT TRANSFER],LS[Investor ID],INVESTORS_LIST[[#This Row],[INVESTOR CODE]],LS[B/S],"B")</f>
        <v>0</v>
      </c>
      <c r="W2" s="50">
        <f>SUMIFS(SIP[BO UNIT TRANSFER],SIP[Investor ID],INVESTORS_LIST[[#This Row],[INVESTOR CODE]],SIP[B/S],"B")</f>
        <v>0</v>
      </c>
      <c r="X2" s="50">
        <f>SUMIFS(LS[BO UNIT TRANSFER],LS[Investor ID],INVESTORS_LIST[[#This Row],[INVESTOR CODE]],LS[B/S],"S")</f>
        <v>0</v>
      </c>
      <c r="Y2" s="50">
        <f>SUMIFS(SIP[BO UNIT TRANSFER],SIP[Investor ID],INVESTORS_LIST[[#This Row],[INVESTOR CODE]],SIP[B/S],"S")</f>
        <v>0</v>
      </c>
      <c r="Z2" s="106">
        <f>SUM(INVESTORS_LIST[[#This Row],[BO OPENING BALANCE]:[BO SIP UNITS REPURCHASE]])</f>
        <v>0</v>
      </c>
      <c r="AA2" s="107">
        <f>INVESTORS_LIST[[#This Row],[TOTAL UNITS BUY]]-INVESTORS_LIST[[#This Row],[TOTAL UNITS SOLD]]</f>
        <v>0</v>
      </c>
      <c r="AB2" s="107">
        <f>INVESTORS_LIST[[#This Row],[TOTAL CURRENT UNITS]]-INVESTORS_LIST[[#This Row],[BO UNITS HOLD]]</f>
        <v>0</v>
      </c>
      <c r="AC2" s="201" t="e">
        <f>INDEX([3]!Table_1[BO ID],MATCH(INVESTORS_LIST[[#This Row],[INVESTOR CODE]],[3]!Table_1[INVESTOR CODE],0))</f>
        <v>#REF!</v>
      </c>
      <c r="AD2" s="201" t="e">
        <f>INDEX([3]!Table_1[Brokerage Name2],MATCH(INVESTORS_LIST[[#This Row],[INVESTOR CODE]],[3]!Table_1[INVESTOR CODE],0))</f>
        <v>#REF!</v>
      </c>
      <c r="AE2" s="201" t="e">
        <f>MID(INVESTORS_LIST[[#This Row],[BO ID]],4,5)</f>
        <v>#REF!</v>
      </c>
      <c r="AF2" s="201" t="e">
        <f>MID(INVESTORS_LIST[[#This Row],[BO ID]],2,7)</f>
        <v>#REF!</v>
      </c>
      <c r="AG2" s="201" t="e">
        <f>MID(INVESTORS_LIST[[#This Row],[BO ID]],9,7)</f>
        <v>#REF!</v>
      </c>
      <c r="AH2" s="201" t="e">
        <f>RIGHT(INVESTORS_LIST[[#This Row],[BO ID]],1)</f>
        <v>#REF!</v>
      </c>
      <c r="AI2" s="50">
        <f>INVESTORS_LIST[[#This Row],[LS_TOTAL COST VALUE OF CURRENT UNITS]]+INVESTORS_LIST[[#This Row],[SIP_TOTAL COST VALUE OF CURRENT UNITS]]</f>
        <v>0</v>
      </c>
      <c r="AJ2" s="108">
        <f>IF(INVESTORS_LIST[[#This Row],[TOTAL CURRENT UNITS]]=0,0,INVESTORS_LIST[[#This Row],[LS_TOTAL CURRENT UNITS]]/INVESTORS_LIST[[#This Row],[TOTAL CURRENT UNITS]])</f>
        <v>0</v>
      </c>
      <c r="AK2" s="108">
        <f>IF(INVESTORS_LIST[[#This Row],[TOTAL CURRENT UNITS]]=0,0,INVESTORS_LIST[[#This Row],[SIP_TOTAL CURRENT UNITS]]/INVESTORS_LIST[[#This Row],[TOTAL CURRENT UNITS]])</f>
        <v>0</v>
      </c>
      <c r="AL2" s="49" cm="1">
        <f t="array" ref="AL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" s="49" cm="1">
        <f t="array" ref="AM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" s="110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" s="110">
        <f t="shared" ref="AO2" si="0">NAV_MKT</f>
        <v>14.224</v>
      </c>
      <c r="AP2" s="111">
        <f>IF(INVESTORS_LIST[[#This Row],[TOTAL CURRENT UNITS]]=0,0,INVESTORS_LIST[[#This Row],[TOTAL CURRENT UNITS]]*INVESTORS_LIST[[#This Row],[NAV]])</f>
        <v>0</v>
      </c>
      <c r="AQ2" s="49">
        <f>IF(INVESTORS_LIST[[#This Row],[LS_TOTAL CURRENT UNITS]]=0,0,INVESTORS_LIST[[#This Row],[LS_TOTAL CURRENT UNITS]]*INVESTORS_LIST[[#This Row],[NAV]])</f>
        <v>0</v>
      </c>
      <c r="AR2" s="49">
        <f>IF(INVESTORS_LIST[[#This Row],[SIP_TOTAL CURRENT UNITS]]=0,0,INVESTORS_LIST[[#This Row],[SIP_TOTAL CURRENT UNITS]]*INVESTORS_LIST[[#This Row],[NAV]])</f>
        <v>0</v>
      </c>
      <c r="AS2" s="47">
        <f>INVESTORS_LIST[[#This Row],[TOTAL CURRENT UNITS]]</f>
        <v>0</v>
      </c>
      <c r="AT2" s="49">
        <f>IF(INVESTORS_LIST[[#This Row],[TOTAL SELLABLE UNITS]]=0,0,INVESTORS_LIST[[#This Row],[TOTAL SELLABLE UNITS]]*INVESTORS_LIST[[#This Row],[NAV]])</f>
        <v>0</v>
      </c>
      <c r="AU2" s="48">
        <f>INVESTORS_LIST[[#This Row],[LS_TOTAL REALIZED GAIN]]+INVESTORS_LIST[[#This Row],[SIP_TOTAL REALIZED GAIN]]</f>
        <v>0</v>
      </c>
      <c r="AV2" s="48">
        <f>INVESTORS_LIST[[#This Row],[TOTAL MARKET VALUE]]-INVESTORS_LIST[[#This Row],[TOTAL COST VALUE OF CURRENT INVESTMENT]]</f>
        <v>0</v>
      </c>
      <c r="AW2" s="48">
        <f>IFERROR(INVESTORS_LIST[[#This Row],[TOTAL CURRENT UNITS]]/SUM(INVESTORS_LIST[TOTAL CURRENT UNITS]),0)</f>
        <v>0</v>
      </c>
      <c r="BA2" s="48"/>
    </row>
    <row r="3" spans="1:58">
      <c r="A3" s="262" t="s">
        <v>46</v>
      </c>
      <c r="B3" s="97" t="s">
        <v>47</v>
      </c>
      <c r="C3" t="s">
        <v>48</v>
      </c>
      <c r="D3" s="75" t="s">
        <v>49</v>
      </c>
      <c r="E3" s="47">
        <f>SUMIFS(LS[Unit],LS[Investor ID],INVESTORS_LIST[[#This Row],[INVESTOR CODE]],LS[B/S],"B")</f>
        <v>4293158</v>
      </c>
      <c r="F3" s="47">
        <f>-SUMIFS(LS[Unit],LS[Investor ID],INVESTORS_LIST[[#This Row],[INVESTOR CODE]],LS[B/S],"S")</f>
        <v>4043106</v>
      </c>
      <c r="G3" s="47">
        <f>IF(INVESTORS_LIST[[#This Row],[LS_TOTAL UNITS BUY]]=0,0,INVESTORS_LIST[[#This Row],[LS_TOTAL UNITS BUY]]-INVESTORS_LIST[[#This Row],[LS_TOTAL UNITS SOLD]])</f>
        <v>250052</v>
      </c>
      <c r="H3" s="49">
        <f>IF(INVESTORS_LIST[[#This Row],[LS_TOTAL UNITS BUY]]=0,0,SUMIFS(LS[Amount],LS[Investor ID],INVESTORS_LIST[[#This Row],[INVESTOR CODE]],LS[B/S],"B"))</f>
        <v>45874500</v>
      </c>
      <c r="I3" s="48">
        <f>IF(INVESTORS_LIST[[#This Row],[LS_TOTAL UNITS SOLD]]=0,0,SUMIFS(LS[Cost of Units Sold],LS[Investor ID],INVESTORS_LIST[[#This Row],[INVESTOR CODE]],LS[B/S],"S"))</f>
        <v>42680200.209094167</v>
      </c>
      <c r="J3" s="48">
        <f>IF(INVESTORS_LIST[[#This Row],[LS_TOTAL CURRENT UNITS]]=0,0,INVESTORS_LIST[[#This Row],[LS_TOTAL CURRENT UNITS]]*INVESTORS_LIST[[#This Row],[LS_AVERAGE COST]])</f>
        <v>3194299.7909058309</v>
      </c>
      <c r="K3" s="49">
        <f>IF(INVESTORS_LIST[[#This Row],[LS_TOTAL UNITS SOLD]]=0,0,SUMIFS(LS[Realized Gain],LS[Investor ID],INVESTORS_LIST[[#This Row],[INVESTOR CODE]],LS[B/S],"S"))</f>
        <v>3169267.9709058292</v>
      </c>
      <c r="L3" s="47">
        <f>SUMIFS(SIP[Unit],SIP[Investor ID],INVESTORS_LIST[[#This Row],[INVESTOR CODE]],SIP[B/S],"B")</f>
        <v>0</v>
      </c>
      <c r="M3" s="47">
        <f>-SUMIFS(SIP[Unit],SIP[Investor ID],INVESTORS_LIST[[#This Row],[INVESTOR CODE]],SIP[B/S],"S")</f>
        <v>0</v>
      </c>
      <c r="N3" s="50">
        <f>IF(INVESTORS_LIST[[#This Row],[SIP_TOTAL UNITS BUY]]=0,0,INVESTORS_LIST[[#This Row],[SIP_TOTAL UNITS BUY]]-INVESTORS_LIST[[#This Row],[SIP_TOTAL UNITS SOLD]])</f>
        <v>0</v>
      </c>
      <c r="O3" s="49">
        <f>IF(INVESTORS_LIST[[#This Row],[SIP_TOTAL UNITS BUY]]=0,0,SUMIFS(SIP[Amount],SIP[Investor ID],INVESTORS_LIST[[#This Row],[INVESTOR CODE]],SIP[B/S],"B"))</f>
        <v>0</v>
      </c>
      <c r="P3" s="49">
        <f>IF(INVESTORS_LIST[[#This Row],[SIP_TOTAL UNITS SOLD]]=0,0,SUMIFS(SIP[Cost of Units Sold],SIP[Investor ID],INVESTORS_LIST[[#This Row],[INVESTOR CODE]],SIP[B/S],"S"))</f>
        <v>0</v>
      </c>
      <c r="Q3" s="48">
        <f>IF(INVESTORS_LIST[[#This Row],[SIP_TOTAL CURRENT UNITS]]=0,0,INVESTORS_LIST[[#This Row],[SIP_TOTAL CURRENT UNITS]]*INVESTORS_LIST[[#This Row],[SIP_AVERAGE COST]])</f>
        <v>0</v>
      </c>
      <c r="R3" s="48">
        <f>IF(INVESTORS_LIST[[#This Row],[SIP_TOTAL UNITS SOLD]]=0,0,SUMIFS(SIP[Realized Gain],SIP[Investor ID],INVESTORS_LIST[[#This Row],[INVESTOR CODE]],SIP[B/S],"S"))</f>
        <v>0</v>
      </c>
      <c r="S3" s="50">
        <f>INVESTORS_LIST[[#This Row],[LS_TOTAL UNITS BUY]]+INVESTORS_LIST[[#This Row],[SIP_TOTAL UNITS BUY]]</f>
        <v>4293158</v>
      </c>
      <c r="T3" s="50">
        <f>INVESTORS_LIST[[#This Row],[LS_TOTAL UNITS SOLD]]+INVESTORS_LIST[[#This Row],[SIP_TOTAL UNITS SOLD]]</f>
        <v>4043106</v>
      </c>
      <c r="U3" s="50">
        <v>500052</v>
      </c>
      <c r="V3" s="50">
        <f>SUMIFS(LS[BO UNIT TRANSFER],LS[Investor ID],INVESTORS_LIST[[#This Row],[INVESTOR CODE]],LS[B/S],"B")</f>
        <v>0</v>
      </c>
      <c r="W3" s="50">
        <f>SUMIFS(SIP[BO UNIT TRANSFER],SIP[Investor ID],INVESTORS_LIST[[#This Row],[INVESTOR CODE]],SIP[B/S],"B")</f>
        <v>0</v>
      </c>
      <c r="X3" s="50">
        <f>SUMIFS(LS[BO UNIT TRANSFER],LS[Investor ID],INVESTORS_LIST[[#This Row],[INVESTOR CODE]],LS[B/S],"S")</f>
        <v>0</v>
      </c>
      <c r="Y3" s="50">
        <f>SUMIFS(SIP[BO UNIT TRANSFER],SIP[Investor ID],INVESTORS_LIST[[#This Row],[INVESTOR CODE]],SIP[B/S],"S")</f>
        <v>0</v>
      </c>
      <c r="Z3" s="106">
        <f>SUM(INVESTORS_LIST[[#This Row],[BO OPENING BALANCE]:[BO SIP UNITS REPURCHASE]])</f>
        <v>500052</v>
      </c>
      <c r="AA3" s="107">
        <f>INVESTORS_LIST[[#This Row],[TOTAL UNITS BUY]]-INVESTORS_LIST[[#This Row],[TOTAL UNITS SOLD]]</f>
        <v>250052</v>
      </c>
      <c r="AB3" s="107">
        <f>INVESTORS_LIST[[#This Row],[TOTAL CURRENT UNITS]]-INVESTORS_LIST[[#This Row],[BO UNITS HOLD]]</f>
        <v>-250000</v>
      </c>
      <c r="AC3" s="201" t="e">
        <f>INDEX([3]!Table_1[BO ID],MATCH(INVESTORS_LIST[[#This Row],[INVESTOR CODE]],[3]!Table_1[INVESTOR CODE],0))</f>
        <v>#REF!</v>
      </c>
      <c r="AD3" s="201" t="e">
        <f>INDEX([3]!Table_1[Brokerage Name2],MATCH(INVESTORS_LIST[[#This Row],[INVESTOR CODE]],[3]!Table_1[INVESTOR CODE],0))</f>
        <v>#REF!</v>
      </c>
      <c r="AE3" s="201" t="e">
        <f>MID(INVESTORS_LIST[[#This Row],[BO ID]],4,5)</f>
        <v>#REF!</v>
      </c>
      <c r="AF3" s="201" t="e">
        <f>MID(INVESTORS_LIST[[#This Row],[BO ID]],2,7)</f>
        <v>#REF!</v>
      </c>
      <c r="AG3" s="201" t="e">
        <f>MID(INVESTORS_LIST[[#This Row],[BO ID]],9,7)</f>
        <v>#REF!</v>
      </c>
      <c r="AH3" s="201" t="e">
        <f>RIGHT(INVESTORS_LIST[[#This Row],[BO ID]],1)</f>
        <v>#REF!</v>
      </c>
      <c r="AI3" s="50">
        <f>INVESTORS_LIST[[#This Row],[LS_TOTAL COST VALUE OF CURRENT UNITS]]+INVESTORS_LIST[[#This Row],[SIP_TOTAL COST VALUE OF CURRENT UNITS]]</f>
        <v>3194299.7909058309</v>
      </c>
      <c r="AJ3" s="109">
        <f>IF(INVESTORS_LIST[[#This Row],[TOTAL CURRENT UNITS]]=0,0,INVESTORS_LIST[[#This Row],[LS_TOTAL CURRENT UNITS]]/INVESTORS_LIST[[#This Row],[TOTAL CURRENT UNITS]])</f>
        <v>1</v>
      </c>
      <c r="AK3" s="109">
        <f>IF(INVESTORS_LIST[[#This Row],[TOTAL CURRENT UNITS]]=0,0,INVESTORS_LIST[[#This Row],[SIP_TOTAL CURRENT UNITS]]/INVESTORS_LIST[[#This Row],[TOTAL CURRENT UNITS]])</f>
        <v>0</v>
      </c>
      <c r="AL3" s="49" cm="1">
        <f t="array" ref="AL3">IF(INVESTORS_LIST[[#This Row],[LS_TOTAL UNITS BUY]]&gt;0,INDEX(LS[NAV at Cost (Average)],MATCH(CONCATENATE(COUNTIFS(LS[Investor ID],INVESTORS_LIST[[#This Row],[INVESTOR CODE]]),INVESTORS_LIST[[#This Row],[INVESTOR CODE]]),LS[Unique Code],0),),0)</f>
        <v>12.774542058875078</v>
      </c>
      <c r="AM3" s="49" cm="1">
        <f t="array" ref="AM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" s="105">
        <f>IF(INVESTORS_LIST[[#This Row],[TOTAL CURRENT UNITS]]=0,0,(INVESTORS_LIST[[#This Row],[LS_WEIGHT]]*INVESTORS_LIST[[#This Row],[LS_AVERAGE COST]])+(INVESTORS_LIST[[#This Row],[SIP_WEIGHT]]*INVESTORS_LIST[[#This Row],[SIP_AVERAGE COST]]))</f>
        <v>12.774542058875078</v>
      </c>
      <c r="AO3" s="105">
        <f t="shared" ref="AO3:AO66" si="1">NAV_MKT</f>
        <v>14.224</v>
      </c>
      <c r="AP3" s="112">
        <f>IF(INVESTORS_LIST[[#This Row],[TOTAL CURRENT UNITS]]=0,0,INVESTORS_LIST[[#This Row],[TOTAL CURRENT UNITS]]*INVESTORS_LIST[[#This Row],[NAV]])</f>
        <v>3556739.648</v>
      </c>
      <c r="AQ3" s="49">
        <f>IF(INVESTORS_LIST[[#This Row],[LS_TOTAL CURRENT UNITS]]=0,0,INVESTORS_LIST[[#This Row],[LS_TOTAL CURRENT UNITS]]*INVESTORS_LIST[[#This Row],[NAV]])</f>
        <v>3556739.648</v>
      </c>
      <c r="AR3" s="48">
        <f>IF(INVESTORS_LIST[[#This Row],[SIP_TOTAL CURRENT UNITS]]=0,0,INVESTORS_LIST[[#This Row],[SIP_TOTAL CURRENT UNITS]]*INVESTORS_LIST[[#This Row],[NAV]])</f>
        <v>0</v>
      </c>
      <c r="AS3" s="50">
        <f>INVESTORS_LIST[[#This Row],[TOTAL CURRENT UNITS]]</f>
        <v>250052</v>
      </c>
      <c r="AT3" s="48">
        <f>IF(INVESTORS_LIST[[#This Row],[TOTAL SELLABLE UNITS]]=0,0,INVESTORS_LIST[[#This Row],[TOTAL SELLABLE UNITS]]*INVESTORS_LIST[[#This Row],[NAV]])</f>
        <v>3556739.648</v>
      </c>
      <c r="AU3" s="48">
        <f>INVESTORS_LIST[[#This Row],[LS_TOTAL REALIZED GAIN]]+INVESTORS_LIST[[#This Row],[SIP_TOTAL REALIZED GAIN]]</f>
        <v>3169267.9709058292</v>
      </c>
      <c r="AV3" s="48">
        <f>INVESTORS_LIST[[#This Row],[TOTAL MARKET VALUE]]-INVESTORS_LIST[[#This Row],[TOTAL COST VALUE OF CURRENT INVESTMENT]]</f>
        <v>362439.85709416913</v>
      </c>
      <c r="AW3" s="108">
        <f>IFERROR(INVESTORS_LIST[[#This Row],[TOTAL CURRENT UNITS]]/SUM(INVESTORS_LIST[TOTAL CURRENT UNITS]),0)</f>
        <v>6.0703143368365112E-3</v>
      </c>
      <c r="AY3" s="50"/>
      <c r="BA3" s="48"/>
    </row>
    <row r="4" spans="1:58" hidden="1">
      <c r="A4" s="262" t="s">
        <v>50</v>
      </c>
      <c r="B4" s="97" t="s">
        <v>51</v>
      </c>
      <c r="C4" t="s">
        <v>52</v>
      </c>
      <c r="D4" s="75" t="s">
        <v>45</v>
      </c>
      <c r="E4" s="47">
        <f>SUMIFS(LS[Unit],LS[Investor ID],INVESTORS_LIST[[#This Row],[INVESTOR CODE]],LS[B/S],"B")</f>
        <v>0</v>
      </c>
      <c r="F4" s="47">
        <f>-SUMIFS(LS[Unit],LS[Investor ID],INVESTORS_LIST[[#This Row],[INVESTOR CODE]],LS[B/S],"S")</f>
        <v>0</v>
      </c>
      <c r="G4" s="47">
        <f>IF(INVESTORS_LIST[[#This Row],[LS_TOTAL UNITS BUY]]=0,0,INVESTORS_LIST[[#This Row],[LS_TOTAL UNITS BUY]]-INVESTORS_LIST[[#This Row],[LS_TOTAL UNITS SOLD]])</f>
        <v>0</v>
      </c>
      <c r="H4" s="49">
        <f>IF(INVESTORS_LIST[[#This Row],[LS_TOTAL UNITS BUY]]=0,0,SUMIFS(LS[Amount],LS[Investor ID],INVESTORS_LIST[[#This Row],[INVESTOR CODE]],LS[B/S],"B"))</f>
        <v>0</v>
      </c>
      <c r="I4" s="48">
        <f>IF(INVESTORS_LIST[[#This Row],[LS_TOTAL UNITS SOLD]]=0,0,SUMIFS(LS[Cost of Units Sold],LS[Investor ID],INVESTORS_LIST[[#This Row],[INVESTOR CODE]],LS[B/S],"S"))</f>
        <v>0</v>
      </c>
      <c r="J4" s="48">
        <f>IF(INVESTORS_LIST[[#This Row],[LS_TOTAL CURRENT UNITS]]=0,0,INVESTORS_LIST[[#This Row],[LS_TOTAL CURRENT UNITS]]*INVESTORS_LIST[[#This Row],[LS_AVERAGE COST]])</f>
        <v>0</v>
      </c>
      <c r="K4" s="49">
        <f>IF(INVESTORS_LIST[[#This Row],[LS_TOTAL UNITS SOLD]]=0,0,SUMIFS(LS[Realized Gain],LS[Investor ID],INVESTORS_LIST[[#This Row],[INVESTOR CODE]],LS[B/S],"S"))</f>
        <v>0</v>
      </c>
      <c r="L4" s="47">
        <f>SUMIFS(SIP[Unit],SIP[Investor ID],INVESTORS_LIST[[#This Row],[INVESTOR CODE]],SIP[B/S],"B")</f>
        <v>0</v>
      </c>
      <c r="M4" s="47">
        <f>-SUMIFS(SIP[Unit],SIP[Investor ID],INVESTORS_LIST[[#This Row],[INVESTOR CODE]],SIP[B/S],"S")</f>
        <v>0</v>
      </c>
      <c r="N4" s="50">
        <f>IF(INVESTORS_LIST[[#This Row],[SIP_TOTAL UNITS BUY]]=0,0,INVESTORS_LIST[[#This Row],[SIP_TOTAL UNITS BUY]]-INVESTORS_LIST[[#This Row],[SIP_TOTAL UNITS SOLD]])</f>
        <v>0</v>
      </c>
      <c r="O4" s="49">
        <f>IF(INVESTORS_LIST[[#This Row],[SIP_TOTAL UNITS BUY]]=0,0,SUMIFS(SIP[Amount],SIP[Investor ID],INVESTORS_LIST[[#This Row],[INVESTOR CODE]],SIP[B/S],"B"))</f>
        <v>0</v>
      </c>
      <c r="P4" s="49">
        <f>IF(INVESTORS_LIST[[#This Row],[SIP_TOTAL UNITS SOLD]]=0,0,SUMIFS(SIP[Cost of Units Sold],SIP[Investor ID],INVESTORS_LIST[[#This Row],[INVESTOR CODE]],SIP[B/S],"S"))</f>
        <v>0</v>
      </c>
      <c r="Q4" s="48">
        <f>IF(INVESTORS_LIST[[#This Row],[SIP_TOTAL CURRENT UNITS]]=0,0,INVESTORS_LIST[[#This Row],[SIP_TOTAL CURRENT UNITS]]*INVESTORS_LIST[[#This Row],[SIP_AVERAGE COST]])</f>
        <v>0</v>
      </c>
      <c r="R4" s="48">
        <f>IF(INVESTORS_LIST[[#This Row],[SIP_TOTAL UNITS SOLD]]=0,0,SUMIFS(SIP[Realized Gain],SIP[Investor ID],INVESTORS_LIST[[#This Row],[INVESTOR CODE]],SIP[B/S],"S"))</f>
        <v>0</v>
      </c>
      <c r="S4" s="50">
        <f>INVESTORS_LIST[[#This Row],[LS_TOTAL UNITS BUY]]+INVESTORS_LIST[[#This Row],[SIP_TOTAL UNITS BUY]]</f>
        <v>0</v>
      </c>
      <c r="T4" s="50">
        <f>INVESTORS_LIST[[#This Row],[LS_TOTAL UNITS SOLD]]+INVESTORS_LIST[[#This Row],[SIP_TOTAL UNITS SOLD]]</f>
        <v>0</v>
      </c>
      <c r="U4" s="50"/>
      <c r="V4" s="50">
        <f>SUMIFS(LS[BO UNIT TRANSFER],LS[Investor ID],INVESTORS_LIST[[#This Row],[INVESTOR CODE]],LS[B/S],"B")</f>
        <v>0</v>
      </c>
      <c r="W4" s="50">
        <f>SUMIFS(SIP[BO UNIT TRANSFER],SIP[Investor ID],INVESTORS_LIST[[#This Row],[INVESTOR CODE]],SIP[B/S],"B")</f>
        <v>0</v>
      </c>
      <c r="X4" s="50">
        <f>SUMIFS(LS[BO UNIT TRANSFER],LS[Investor ID],INVESTORS_LIST[[#This Row],[INVESTOR CODE]],LS[B/S],"S")</f>
        <v>0</v>
      </c>
      <c r="Y4" s="50">
        <f>SUMIFS(SIP[BO UNIT TRANSFER],SIP[Investor ID],INVESTORS_LIST[[#This Row],[INVESTOR CODE]],SIP[B/S],"S")</f>
        <v>0</v>
      </c>
      <c r="Z4" s="106">
        <f>SUM(INVESTORS_LIST[[#This Row],[BO OPENING BALANCE]:[BO SIP UNITS REPURCHASE]])</f>
        <v>0</v>
      </c>
      <c r="AA4" s="107">
        <f>INVESTORS_LIST[[#This Row],[TOTAL UNITS BUY]]-INVESTORS_LIST[[#This Row],[TOTAL UNITS SOLD]]</f>
        <v>0</v>
      </c>
      <c r="AB4" s="107">
        <f>INVESTORS_LIST[[#This Row],[TOTAL CURRENT UNITS]]-INVESTORS_LIST[[#This Row],[BO UNITS HOLD]]</f>
        <v>0</v>
      </c>
      <c r="AC4" s="201" t="e">
        <f>INDEX([3]!Table_1[BO ID],MATCH(INVESTORS_LIST[[#This Row],[INVESTOR CODE]],[3]!Table_1[INVESTOR CODE],0))</f>
        <v>#REF!</v>
      </c>
      <c r="AD4" s="201" t="e">
        <f>INDEX([3]!Table_1[Brokerage Name2],MATCH(INVESTORS_LIST[[#This Row],[INVESTOR CODE]],[3]!Table_1[INVESTOR CODE],0))</f>
        <v>#REF!</v>
      </c>
      <c r="AE4" s="201" t="e">
        <f>MID(INVESTORS_LIST[[#This Row],[BO ID]],4,5)</f>
        <v>#REF!</v>
      </c>
      <c r="AF4" s="201" t="e">
        <f>MID(INVESTORS_LIST[[#This Row],[BO ID]],2,7)</f>
        <v>#REF!</v>
      </c>
      <c r="AG4" s="201" t="e">
        <f>MID(INVESTORS_LIST[[#This Row],[BO ID]],9,7)</f>
        <v>#REF!</v>
      </c>
      <c r="AH4" s="201" t="e">
        <f>RIGHT(INVESTORS_LIST[[#This Row],[BO ID]],1)</f>
        <v>#REF!</v>
      </c>
      <c r="AI4" s="50">
        <f>INVESTORS_LIST[[#This Row],[LS_TOTAL COST VALUE OF CURRENT UNITS]]+INVESTORS_LIST[[#This Row],[SIP_TOTAL COST VALUE OF CURRENT UNITS]]</f>
        <v>0</v>
      </c>
      <c r="AJ4" s="109">
        <f>IF(INVESTORS_LIST[[#This Row],[TOTAL CURRENT UNITS]]=0,0,INVESTORS_LIST[[#This Row],[LS_TOTAL CURRENT UNITS]]/INVESTORS_LIST[[#This Row],[TOTAL CURRENT UNITS]])</f>
        <v>0</v>
      </c>
      <c r="AK4" s="109">
        <f>IF(INVESTORS_LIST[[#This Row],[TOTAL CURRENT UNITS]]=0,0,INVESTORS_LIST[[#This Row],[SIP_TOTAL CURRENT UNITS]]/INVESTORS_LIST[[#This Row],[TOTAL CURRENT UNITS]])</f>
        <v>0</v>
      </c>
      <c r="AL4" s="49" cm="1">
        <f t="array" ref="AL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" s="49" cm="1">
        <f t="array" ref="AM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" s="105">
        <f t="shared" si="1"/>
        <v>14.224</v>
      </c>
      <c r="AP4" s="112">
        <f>IF(INVESTORS_LIST[[#This Row],[TOTAL CURRENT UNITS]]=0,0,INVESTORS_LIST[[#This Row],[TOTAL CURRENT UNITS]]*INVESTORS_LIST[[#This Row],[NAV]])</f>
        <v>0</v>
      </c>
      <c r="AQ4" s="49">
        <f>IF(INVESTORS_LIST[[#This Row],[LS_TOTAL CURRENT UNITS]]=0,0,INVESTORS_LIST[[#This Row],[LS_TOTAL CURRENT UNITS]]*INVESTORS_LIST[[#This Row],[NAV]])</f>
        <v>0</v>
      </c>
      <c r="AR4" s="48">
        <f>IF(INVESTORS_LIST[[#This Row],[SIP_TOTAL CURRENT UNITS]]=0,0,INVESTORS_LIST[[#This Row],[SIP_TOTAL CURRENT UNITS]]*INVESTORS_LIST[[#This Row],[NAV]])</f>
        <v>0</v>
      </c>
      <c r="AS4" s="50">
        <f>INVESTORS_LIST[[#This Row],[TOTAL CURRENT UNITS]]</f>
        <v>0</v>
      </c>
      <c r="AT4" s="48">
        <f>IF(INVESTORS_LIST[[#This Row],[TOTAL SELLABLE UNITS]]=0,0,INVESTORS_LIST[[#This Row],[TOTAL SELLABLE UNITS]]*INVESTORS_LIST[[#This Row],[NAV]])</f>
        <v>0</v>
      </c>
      <c r="AU4" s="48">
        <f>INVESTORS_LIST[[#This Row],[LS_TOTAL REALIZED GAIN]]+INVESTORS_LIST[[#This Row],[SIP_TOTAL REALIZED GAIN]]</f>
        <v>0</v>
      </c>
      <c r="AV4" s="48">
        <f>INVESTORS_LIST[[#This Row],[TOTAL MARKET VALUE]]-INVESTORS_LIST[[#This Row],[TOTAL COST VALUE OF CURRENT INVESTMENT]]</f>
        <v>0</v>
      </c>
      <c r="AW4" s="48">
        <f>IFERROR(INVESTORS_LIST[[#This Row],[TOTAL CURRENT UNITS]]/SUM(INVESTORS_LIST[TOTAL CURRENT UNITS]),0)</f>
        <v>0</v>
      </c>
      <c r="BA4" s="48"/>
    </row>
    <row r="5" spans="1:58" hidden="1">
      <c r="A5" s="262" t="s">
        <v>53</v>
      </c>
      <c r="B5" s="97" t="s">
        <v>54</v>
      </c>
      <c r="C5" t="s">
        <v>52</v>
      </c>
      <c r="D5" s="75" t="s">
        <v>45</v>
      </c>
      <c r="E5" s="47">
        <f>SUMIFS(LS[Unit],LS[Investor ID],INVESTORS_LIST[[#This Row],[INVESTOR CODE]],LS[B/S],"B")</f>
        <v>94661</v>
      </c>
      <c r="F5" s="47">
        <f>-SUMIFS(LS[Unit],LS[Investor ID],INVESTORS_LIST[[#This Row],[INVESTOR CODE]],LS[B/S],"S")</f>
        <v>94661</v>
      </c>
      <c r="G5" s="47">
        <f>IF(INVESTORS_LIST[[#This Row],[LS_TOTAL UNITS BUY]]=0,0,INVESTORS_LIST[[#This Row],[LS_TOTAL UNITS BUY]]-INVESTORS_LIST[[#This Row],[LS_TOTAL UNITS SOLD]])</f>
        <v>0</v>
      </c>
      <c r="H5" s="49">
        <f>IF(INVESTORS_LIST[[#This Row],[LS_TOTAL UNITS BUY]]=0,0,SUMIFS(LS[Amount],LS[Investor ID],INVESTORS_LIST[[#This Row],[INVESTOR CODE]],LS[B/S],"B"))</f>
        <v>1000000</v>
      </c>
      <c r="I5" s="48">
        <f>IF(INVESTORS_LIST[[#This Row],[LS_TOTAL UNITS SOLD]]=0,0,SUMIFS(LS[Cost of Units Sold],LS[Investor ID],INVESTORS_LIST[[#This Row],[INVESTOR CODE]],LS[B/S],"S"))</f>
        <v>1000000</v>
      </c>
      <c r="J5" s="48">
        <f>IF(INVESTORS_LIST[[#This Row],[LS_TOTAL CURRENT UNITS]]=0,0,INVESTORS_LIST[[#This Row],[LS_TOTAL CURRENT UNITS]]*INVESTORS_LIST[[#This Row],[LS_AVERAGE COST]])</f>
        <v>0</v>
      </c>
      <c r="K5" s="49">
        <f>IF(INVESTORS_LIST[[#This Row],[LS_TOTAL UNITS SOLD]]=0,0,SUMIFS(LS[Realized Gain],LS[Investor ID],INVESTORS_LIST[[#This Row],[INVESTOR CODE]],LS[B/S],"S"))</f>
        <v>49736.910000000025</v>
      </c>
      <c r="L5" s="47">
        <f>SUMIFS(SIP[Unit],SIP[Investor ID],INVESTORS_LIST[[#This Row],[INVESTOR CODE]],SIP[B/S],"B")</f>
        <v>0</v>
      </c>
      <c r="M5" s="47">
        <f>-SUMIFS(SIP[Unit],SIP[Investor ID],INVESTORS_LIST[[#This Row],[INVESTOR CODE]],SIP[B/S],"S")</f>
        <v>0</v>
      </c>
      <c r="N5" s="50">
        <f>IF(INVESTORS_LIST[[#This Row],[SIP_TOTAL UNITS BUY]]=0,0,INVESTORS_LIST[[#This Row],[SIP_TOTAL UNITS BUY]]-INVESTORS_LIST[[#This Row],[SIP_TOTAL UNITS SOLD]])</f>
        <v>0</v>
      </c>
      <c r="O5" s="49">
        <f>IF(INVESTORS_LIST[[#This Row],[SIP_TOTAL UNITS BUY]]=0,0,SUMIFS(SIP[Amount],SIP[Investor ID],INVESTORS_LIST[[#This Row],[INVESTOR CODE]],SIP[B/S],"B"))</f>
        <v>0</v>
      </c>
      <c r="P5" s="49">
        <f>IF(INVESTORS_LIST[[#This Row],[SIP_TOTAL UNITS SOLD]]=0,0,SUMIFS(SIP[Cost of Units Sold],SIP[Investor ID],INVESTORS_LIST[[#This Row],[INVESTOR CODE]],SIP[B/S],"S"))</f>
        <v>0</v>
      </c>
      <c r="Q5" s="48">
        <f>IF(INVESTORS_LIST[[#This Row],[SIP_TOTAL CURRENT UNITS]]=0,0,INVESTORS_LIST[[#This Row],[SIP_TOTAL CURRENT UNITS]]*INVESTORS_LIST[[#This Row],[SIP_AVERAGE COST]])</f>
        <v>0</v>
      </c>
      <c r="R5" s="48">
        <f>IF(INVESTORS_LIST[[#This Row],[SIP_TOTAL UNITS SOLD]]=0,0,SUMIFS(SIP[Realized Gain],SIP[Investor ID],INVESTORS_LIST[[#This Row],[INVESTOR CODE]],SIP[B/S],"S"))</f>
        <v>0</v>
      </c>
      <c r="S5" s="50">
        <f>INVESTORS_LIST[[#This Row],[LS_TOTAL UNITS BUY]]+INVESTORS_LIST[[#This Row],[SIP_TOTAL UNITS BUY]]</f>
        <v>94661</v>
      </c>
      <c r="T5" s="50">
        <f>INVESTORS_LIST[[#This Row],[LS_TOTAL UNITS SOLD]]+INVESTORS_LIST[[#This Row],[SIP_TOTAL UNITS SOLD]]</f>
        <v>94661</v>
      </c>
      <c r="U5" s="50">
        <v>47468</v>
      </c>
      <c r="V5" s="50">
        <f>SUMIFS(LS[BO UNIT TRANSFER],LS[Investor ID],INVESTORS_LIST[[#This Row],[INVESTOR CODE]],LS[B/S],"B")</f>
        <v>0</v>
      </c>
      <c r="W5" s="50">
        <f>SUMIFS(SIP[BO UNIT TRANSFER],SIP[Investor ID],INVESTORS_LIST[[#This Row],[INVESTOR CODE]],SIP[B/S],"B")</f>
        <v>0</v>
      </c>
      <c r="X5" s="50">
        <f>SUMIFS(LS[BO UNIT TRANSFER],LS[Investor ID],INVESTORS_LIST[[#This Row],[INVESTOR CODE]],LS[B/S],"S")</f>
        <v>0</v>
      </c>
      <c r="Y5" s="50">
        <f>SUMIFS(SIP[BO UNIT TRANSFER],SIP[Investor ID],INVESTORS_LIST[[#This Row],[INVESTOR CODE]],SIP[B/S],"S")</f>
        <v>0</v>
      </c>
      <c r="Z5" s="106">
        <f>SUM(INVESTORS_LIST[[#This Row],[BO OPENING BALANCE]:[BO SIP UNITS REPURCHASE]])</f>
        <v>47468</v>
      </c>
      <c r="AA5" s="107">
        <f>INVESTORS_LIST[[#This Row],[TOTAL UNITS BUY]]-INVESTORS_LIST[[#This Row],[TOTAL UNITS SOLD]]</f>
        <v>0</v>
      </c>
      <c r="AB5" s="107">
        <f>INVESTORS_LIST[[#This Row],[TOTAL CURRENT UNITS]]-INVESTORS_LIST[[#This Row],[BO UNITS HOLD]]</f>
        <v>-47468</v>
      </c>
      <c r="AC5" s="201" t="e">
        <f>INDEX([3]!Table_1[BO ID],MATCH(INVESTORS_LIST[[#This Row],[INVESTOR CODE]],[3]!Table_1[INVESTOR CODE],0))</f>
        <v>#REF!</v>
      </c>
      <c r="AD5" s="201" t="e">
        <f>INDEX([3]!Table_1[Brokerage Name2],MATCH(INVESTORS_LIST[[#This Row],[INVESTOR CODE]],[3]!Table_1[INVESTOR CODE],0))</f>
        <v>#REF!</v>
      </c>
      <c r="AE5" s="201" t="e">
        <f>MID(INVESTORS_LIST[[#This Row],[BO ID]],4,5)</f>
        <v>#REF!</v>
      </c>
      <c r="AF5" s="201" t="e">
        <f>MID(INVESTORS_LIST[[#This Row],[BO ID]],2,7)</f>
        <v>#REF!</v>
      </c>
      <c r="AG5" s="201" t="e">
        <f>MID(INVESTORS_LIST[[#This Row],[BO ID]],9,7)</f>
        <v>#REF!</v>
      </c>
      <c r="AH5" s="201" t="e">
        <f>RIGHT(INVESTORS_LIST[[#This Row],[BO ID]],1)</f>
        <v>#REF!</v>
      </c>
      <c r="AI5" s="50">
        <f>INVESTORS_LIST[[#This Row],[LS_TOTAL COST VALUE OF CURRENT UNITS]]+INVESTORS_LIST[[#This Row],[SIP_TOTAL COST VALUE OF CURRENT UNITS]]</f>
        <v>0</v>
      </c>
      <c r="AJ5" s="109">
        <f>IF(INVESTORS_LIST[[#This Row],[TOTAL CURRENT UNITS]]=0,0,INVESTORS_LIST[[#This Row],[LS_TOTAL CURRENT UNITS]]/INVESTORS_LIST[[#This Row],[TOTAL CURRENT UNITS]])</f>
        <v>0</v>
      </c>
      <c r="AK5" s="109">
        <f>IF(INVESTORS_LIST[[#This Row],[TOTAL CURRENT UNITS]]=0,0,INVESTORS_LIST[[#This Row],[SIP_TOTAL CURRENT UNITS]]/INVESTORS_LIST[[#This Row],[TOTAL CURRENT UNITS]])</f>
        <v>0</v>
      </c>
      <c r="AL5" s="49" cm="1">
        <f t="array" ref="AL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" s="49" cm="1">
        <f t="array" ref="AM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" s="105">
        <f t="shared" si="1"/>
        <v>14.224</v>
      </c>
      <c r="AP5" s="112">
        <f>IF(INVESTORS_LIST[[#This Row],[TOTAL CURRENT UNITS]]=0,0,INVESTORS_LIST[[#This Row],[TOTAL CURRENT UNITS]]*INVESTORS_LIST[[#This Row],[NAV]])</f>
        <v>0</v>
      </c>
      <c r="AQ5" s="49">
        <f>IF(INVESTORS_LIST[[#This Row],[LS_TOTAL CURRENT UNITS]]=0,0,INVESTORS_LIST[[#This Row],[LS_TOTAL CURRENT UNITS]]*INVESTORS_LIST[[#This Row],[NAV]])</f>
        <v>0</v>
      </c>
      <c r="AR5" s="48">
        <f>IF(INVESTORS_LIST[[#This Row],[SIP_TOTAL CURRENT UNITS]]=0,0,INVESTORS_LIST[[#This Row],[SIP_TOTAL CURRENT UNITS]]*INVESTORS_LIST[[#This Row],[NAV]])</f>
        <v>0</v>
      </c>
      <c r="AS5" s="50">
        <f>INVESTORS_LIST[[#This Row],[TOTAL CURRENT UNITS]]</f>
        <v>0</v>
      </c>
      <c r="AT5" s="48">
        <f>IF(INVESTORS_LIST[[#This Row],[TOTAL SELLABLE UNITS]]=0,0,INVESTORS_LIST[[#This Row],[TOTAL SELLABLE UNITS]]*INVESTORS_LIST[[#This Row],[NAV]])</f>
        <v>0</v>
      </c>
      <c r="AU5" s="48">
        <f>INVESTORS_LIST[[#This Row],[LS_TOTAL REALIZED GAIN]]+INVESTORS_LIST[[#This Row],[SIP_TOTAL REALIZED GAIN]]</f>
        <v>49736.910000000025</v>
      </c>
      <c r="AV5" s="48">
        <f>INVESTORS_LIST[[#This Row],[TOTAL MARKET VALUE]]-INVESTORS_LIST[[#This Row],[TOTAL COST VALUE OF CURRENT INVESTMENT]]</f>
        <v>0</v>
      </c>
      <c r="AW5" s="48">
        <f>IFERROR(INVESTORS_LIST[[#This Row],[TOTAL CURRENT UNITS]]/SUM(INVESTORS_LIST[TOTAL CURRENT UNITS]),0)</f>
        <v>0</v>
      </c>
      <c r="BA5" s="48"/>
    </row>
    <row r="6" spans="1:58" hidden="1">
      <c r="A6" s="262" t="s">
        <v>55</v>
      </c>
      <c r="B6" s="97" t="s">
        <v>56</v>
      </c>
      <c r="C6" t="s">
        <v>44</v>
      </c>
      <c r="D6" s="75" t="s">
        <v>45</v>
      </c>
      <c r="E6" s="47">
        <f>SUMIFS(LS[Unit],LS[Investor ID],INVESTORS_LIST[[#This Row],[INVESTOR CODE]],LS[B/S],"B")</f>
        <v>0</v>
      </c>
      <c r="F6" s="47">
        <f>-SUMIFS(LS[Unit],LS[Investor ID],INVESTORS_LIST[[#This Row],[INVESTOR CODE]],LS[B/S],"S")</f>
        <v>0</v>
      </c>
      <c r="G6" s="47">
        <f>IF(INVESTORS_LIST[[#This Row],[LS_TOTAL UNITS BUY]]=0,0,INVESTORS_LIST[[#This Row],[LS_TOTAL UNITS BUY]]-INVESTORS_LIST[[#This Row],[LS_TOTAL UNITS SOLD]])</f>
        <v>0</v>
      </c>
      <c r="H6" s="49">
        <f>IF(INVESTORS_LIST[[#This Row],[LS_TOTAL UNITS BUY]]=0,0,SUMIFS(LS[Amount],LS[Investor ID],INVESTORS_LIST[[#This Row],[INVESTOR CODE]],LS[B/S],"B"))</f>
        <v>0</v>
      </c>
      <c r="I6" s="48">
        <f>IF(INVESTORS_LIST[[#This Row],[LS_TOTAL UNITS SOLD]]=0,0,SUMIFS(LS[Cost of Units Sold],LS[Investor ID],INVESTORS_LIST[[#This Row],[INVESTOR CODE]],LS[B/S],"S"))</f>
        <v>0</v>
      </c>
      <c r="J6" s="48">
        <f>IF(INVESTORS_LIST[[#This Row],[LS_TOTAL CURRENT UNITS]]=0,0,INVESTORS_LIST[[#This Row],[LS_TOTAL CURRENT UNITS]]*INVESTORS_LIST[[#This Row],[LS_AVERAGE COST]])</f>
        <v>0</v>
      </c>
      <c r="K6" s="49">
        <f>IF(INVESTORS_LIST[[#This Row],[LS_TOTAL UNITS SOLD]]=0,0,SUMIFS(LS[Realized Gain],LS[Investor ID],INVESTORS_LIST[[#This Row],[INVESTOR CODE]],LS[B/S],"S"))</f>
        <v>0</v>
      </c>
      <c r="L6" s="47">
        <f>SUMIFS(SIP[Unit],SIP[Investor ID],INVESTORS_LIST[[#This Row],[INVESTOR CODE]],SIP[B/S],"B")</f>
        <v>0</v>
      </c>
      <c r="M6" s="47">
        <f>-SUMIFS(SIP[Unit],SIP[Investor ID],INVESTORS_LIST[[#This Row],[INVESTOR CODE]],SIP[B/S],"S")</f>
        <v>0</v>
      </c>
      <c r="N6" s="50">
        <f>IF(INVESTORS_LIST[[#This Row],[SIP_TOTAL UNITS BUY]]=0,0,INVESTORS_LIST[[#This Row],[SIP_TOTAL UNITS BUY]]-INVESTORS_LIST[[#This Row],[SIP_TOTAL UNITS SOLD]])</f>
        <v>0</v>
      </c>
      <c r="O6" s="49">
        <f>IF(INVESTORS_LIST[[#This Row],[SIP_TOTAL UNITS BUY]]=0,0,SUMIFS(SIP[Amount],SIP[Investor ID],INVESTORS_LIST[[#This Row],[INVESTOR CODE]],SIP[B/S],"B"))</f>
        <v>0</v>
      </c>
      <c r="P6" s="49">
        <f>IF(INVESTORS_LIST[[#This Row],[SIP_TOTAL UNITS SOLD]]=0,0,SUMIFS(SIP[Cost of Units Sold],SIP[Investor ID],INVESTORS_LIST[[#This Row],[INVESTOR CODE]],SIP[B/S],"S"))</f>
        <v>0</v>
      </c>
      <c r="Q6" s="48">
        <f>IF(INVESTORS_LIST[[#This Row],[SIP_TOTAL CURRENT UNITS]]=0,0,INVESTORS_LIST[[#This Row],[SIP_TOTAL CURRENT UNITS]]*INVESTORS_LIST[[#This Row],[SIP_AVERAGE COST]])</f>
        <v>0</v>
      </c>
      <c r="R6" s="48">
        <f>IF(INVESTORS_LIST[[#This Row],[SIP_TOTAL UNITS SOLD]]=0,0,SUMIFS(SIP[Realized Gain],SIP[Investor ID],INVESTORS_LIST[[#This Row],[INVESTOR CODE]],SIP[B/S],"S"))</f>
        <v>0</v>
      </c>
      <c r="S6" s="50">
        <f>INVESTORS_LIST[[#This Row],[LS_TOTAL UNITS BUY]]+INVESTORS_LIST[[#This Row],[SIP_TOTAL UNITS BUY]]</f>
        <v>0</v>
      </c>
      <c r="T6" s="50">
        <f>INVESTORS_LIST[[#This Row],[LS_TOTAL UNITS SOLD]]+INVESTORS_LIST[[#This Row],[SIP_TOTAL UNITS SOLD]]</f>
        <v>0</v>
      </c>
      <c r="U6" s="50"/>
      <c r="V6" s="50">
        <f>SUMIFS(LS[BO UNIT TRANSFER],LS[Investor ID],INVESTORS_LIST[[#This Row],[INVESTOR CODE]],LS[B/S],"B")</f>
        <v>0</v>
      </c>
      <c r="W6" s="50">
        <f>SUMIFS(SIP[BO UNIT TRANSFER],SIP[Investor ID],INVESTORS_LIST[[#This Row],[INVESTOR CODE]],SIP[B/S],"B")</f>
        <v>0</v>
      </c>
      <c r="X6" s="50">
        <f>SUMIFS(LS[BO UNIT TRANSFER],LS[Investor ID],INVESTORS_LIST[[#This Row],[INVESTOR CODE]],LS[B/S],"S")</f>
        <v>0</v>
      </c>
      <c r="Y6" s="50">
        <f>SUMIFS(SIP[BO UNIT TRANSFER],SIP[Investor ID],INVESTORS_LIST[[#This Row],[INVESTOR CODE]],SIP[B/S],"S")</f>
        <v>0</v>
      </c>
      <c r="Z6" s="106">
        <f>SUM(INVESTORS_LIST[[#This Row],[BO OPENING BALANCE]:[BO SIP UNITS REPURCHASE]])</f>
        <v>0</v>
      </c>
      <c r="AA6" s="107">
        <f>INVESTORS_LIST[[#This Row],[TOTAL UNITS BUY]]-INVESTORS_LIST[[#This Row],[TOTAL UNITS SOLD]]</f>
        <v>0</v>
      </c>
      <c r="AB6" s="107">
        <f>INVESTORS_LIST[[#This Row],[TOTAL CURRENT UNITS]]-INVESTORS_LIST[[#This Row],[BO UNITS HOLD]]</f>
        <v>0</v>
      </c>
      <c r="AC6" s="201" t="e">
        <f>INDEX([3]!Table_1[BO ID],MATCH(INVESTORS_LIST[[#This Row],[INVESTOR CODE]],[3]!Table_1[INVESTOR CODE],0))</f>
        <v>#REF!</v>
      </c>
      <c r="AD6" s="201" t="e">
        <f>INDEX([3]!Table_1[Brokerage Name2],MATCH(INVESTORS_LIST[[#This Row],[INVESTOR CODE]],[3]!Table_1[INVESTOR CODE],0))</f>
        <v>#REF!</v>
      </c>
      <c r="AE6" s="201" t="e">
        <f>MID(INVESTORS_LIST[[#This Row],[BO ID]],4,5)</f>
        <v>#REF!</v>
      </c>
      <c r="AF6" s="201" t="e">
        <f>MID(INVESTORS_LIST[[#This Row],[BO ID]],2,7)</f>
        <v>#REF!</v>
      </c>
      <c r="AG6" s="201" t="e">
        <f>MID(INVESTORS_LIST[[#This Row],[BO ID]],9,7)</f>
        <v>#REF!</v>
      </c>
      <c r="AH6" s="201" t="e">
        <f>RIGHT(INVESTORS_LIST[[#This Row],[BO ID]],1)</f>
        <v>#REF!</v>
      </c>
      <c r="AI6" s="50">
        <f>INVESTORS_LIST[[#This Row],[LS_TOTAL COST VALUE OF CURRENT UNITS]]+INVESTORS_LIST[[#This Row],[SIP_TOTAL COST VALUE OF CURRENT UNITS]]</f>
        <v>0</v>
      </c>
      <c r="AJ6" s="109">
        <f>IF(INVESTORS_LIST[[#This Row],[TOTAL CURRENT UNITS]]=0,0,INVESTORS_LIST[[#This Row],[LS_TOTAL CURRENT UNITS]]/INVESTORS_LIST[[#This Row],[TOTAL CURRENT UNITS]])</f>
        <v>0</v>
      </c>
      <c r="AK6" s="109">
        <f>IF(INVESTORS_LIST[[#This Row],[TOTAL CURRENT UNITS]]=0,0,INVESTORS_LIST[[#This Row],[SIP_TOTAL CURRENT UNITS]]/INVESTORS_LIST[[#This Row],[TOTAL CURRENT UNITS]])</f>
        <v>0</v>
      </c>
      <c r="AL6" s="49" cm="1">
        <f t="array" ref="AL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" s="49" cm="1">
        <f t="array" ref="AM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" s="105">
        <f t="shared" si="1"/>
        <v>14.224</v>
      </c>
      <c r="AP6" s="112">
        <f>IF(INVESTORS_LIST[[#This Row],[TOTAL CURRENT UNITS]]=0,0,INVESTORS_LIST[[#This Row],[TOTAL CURRENT UNITS]]*INVESTORS_LIST[[#This Row],[NAV]])</f>
        <v>0</v>
      </c>
      <c r="AQ6" s="49">
        <f>IF(INVESTORS_LIST[[#This Row],[LS_TOTAL CURRENT UNITS]]=0,0,INVESTORS_LIST[[#This Row],[LS_TOTAL CURRENT UNITS]]*INVESTORS_LIST[[#This Row],[NAV]])</f>
        <v>0</v>
      </c>
      <c r="AR6" s="48">
        <f>IF(INVESTORS_LIST[[#This Row],[SIP_TOTAL CURRENT UNITS]]=0,0,INVESTORS_LIST[[#This Row],[SIP_TOTAL CURRENT UNITS]]*INVESTORS_LIST[[#This Row],[NAV]])</f>
        <v>0</v>
      </c>
      <c r="AS6" s="50">
        <f>INVESTORS_LIST[[#This Row],[TOTAL CURRENT UNITS]]</f>
        <v>0</v>
      </c>
      <c r="AT6" s="48">
        <f>IF(INVESTORS_LIST[[#This Row],[TOTAL SELLABLE UNITS]]=0,0,INVESTORS_LIST[[#This Row],[TOTAL SELLABLE UNITS]]*INVESTORS_LIST[[#This Row],[NAV]])</f>
        <v>0</v>
      </c>
      <c r="AU6" s="48">
        <f>INVESTORS_LIST[[#This Row],[LS_TOTAL REALIZED GAIN]]+INVESTORS_LIST[[#This Row],[SIP_TOTAL REALIZED GAIN]]</f>
        <v>0</v>
      </c>
      <c r="AV6" s="48">
        <f>INVESTORS_LIST[[#This Row],[TOTAL MARKET VALUE]]-INVESTORS_LIST[[#This Row],[TOTAL COST VALUE OF CURRENT INVESTMENT]]</f>
        <v>0</v>
      </c>
      <c r="AW6" s="48">
        <f>IFERROR(INVESTORS_LIST[[#This Row],[TOTAL CURRENT UNITS]]/SUM(INVESTORS_LIST[TOTAL CURRENT UNITS]),0)</f>
        <v>0</v>
      </c>
      <c r="BA6" s="48"/>
    </row>
    <row r="7" spans="1:58" hidden="1">
      <c r="A7" s="262" t="s">
        <v>57</v>
      </c>
      <c r="B7" s="97" t="s">
        <v>58</v>
      </c>
      <c r="C7" t="s">
        <v>44</v>
      </c>
      <c r="D7" s="75" t="s">
        <v>45</v>
      </c>
      <c r="E7" s="47">
        <f>SUMIFS(LS[Unit],LS[Investor ID],INVESTORS_LIST[[#This Row],[INVESTOR CODE]],LS[B/S],"B")</f>
        <v>0</v>
      </c>
      <c r="F7" s="47">
        <f>-SUMIFS(LS[Unit],LS[Investor ID],INVESTORS_LIST[[#This Row],[INVESTOR CODE]],LS[B/S],"S")</f>
        <v>0</v>
      </c>
      <c r="G7" s="47">
        <f>IF(INVESTORS_LIST[[#This Row],[LS_TOTAL UNITS BUY]]=0,0,INVESTORS_LIST[[#This Row],[LS_TOTAL UNITS BUY]]-INVESTORS_LIST[[#This Row],[LS_TOTAL UNITS SOLD]])</f>
        <v>0</v>
      </c>
      <c r="H7" s="49">
        <f>IF(INVESTORS_LIST[[#This Row],[LS_TOTAL UNITS BUY]]=0,0,SUMIFS(LS[Amount],LS[Investor ID],INVESTORS_LIST[[#This Row],[INVESTOR CODE]],LS[B/S],"B"))</f>
        <v>0</v>
      </c>
      <c r="I7" s="48">
        <f>IF(INVESTORS_LIST[[#This Row],[LS_TOTAL UNITS SOLD]]=0,0,SUMIFS(LS[Cost of Units Sold],LS[Investor ID],INVESTORS_LIST[[#This Row],[INVESTOR CODE]],LS[B/S],"S"))</f>
        <v>0</v>
      </c>
      <c r="J7" s="48">
        <f>IF(INVESTORS_LIST[[#This Row],[LS_TOTAL CURRENT UNITS]]=0,0,INVESTORS_LIST[[#This Row],[LS_TOTAL CURRENT UNITS]]*INVESTORS_LIST[[#This Row],[LS_AVERAGE COST]])</f>
        <v>0</v>
      </c>
      <c r="K7" s="49">
        <f>IF(INVESTORS_LIST[[#This Row],[LS_TOTAL UNITS SOLD]]=0,0,SUMIFS(LS[Realized Gain],LS[Investor ID],INVESTORS_LIST[[#This Row],[INVESTOR CODE]],LS[B/S],"S"))</f>
        <v>0</v>
      </c>
      <c r="L7" s="47">
        <f>SUMIFS(SIP[Unit],SIP[Investor ID],INVESTORS_LIST[[#This Row],[INVESTOR CODE]],SIP[B/S],"B")</f>
        <v>0</v>
      </c>
      <c r="M7" s="47">
        <f>-SUMIFS(SIP[Unit],SIP[Investor ID],INVESTORS_LIST[[#This Row],[INVESTOR CODE]],SIP[B/S],"S")</f>
        <v>0</v>
      </c>
      <c r="N7" s="50">
        <f>IF(INVESTORS_LIST[[#This Row],[SIP_TOTAL UNITS BUY]]=0,0,INVESTORS_LIST[[#This Row],[SIP_TOTAL UNITS BUY]]-INVESTORS_LIST[[#This Row],[SIP_TOTAL UNITS SOLD]])</f>
        <v>0</v>
      </c>
      <c r="O7" s="49">
        <f>IF(INVESTORS_LIST[[#This Row],[SIP_TOTAL UNITS BUY]]=0,0,SUMIFS(SIP[Amount],SIP[Investor ID],INVESTORS_LIST[[#This Row],[INVESTOR CODE]],SIP[B/S],"B"))</f>
        <v>0</v>
      </c>
      <c r="P7" s="49">
        <f>IF(INVESTORS_LIST[[#This Row],[SIP_TOTAL UNITS SOLD]]=0,0,SUMIFS(SIP[Cost of Units Sold],SIP[Investor ID],INVESTORS_LIST[[#This Row],[INVESTOR CODE]],SIP[B/S],"S"))</f>
        <v>0</v>
      </c>
      <c r="Q7" s="48">
        <f>IF(INVESTORS_LIST[[#This Row],[SIP_TOTAL CURRENT UNITS]]=0,0,INVESTORS_LIST[[#This Row],[SIP_TOTAL CURRENT UNITS]]*INVESTORS_LIST[[#This Row],[SIP_AVERAGE COST]])</f>
        <v>0</v>
      </c>
      <c r="R7" s="48">
        <f>IF(INVESTORS_LIST[[#This Row],[SIP_TOTAL UNITS SOLD]]=0,0,SUMIFS(SIP[Realized Gain],SIP[Investor ID],INVESTORS_LIST[[#This Row],[INVESTOR CODE]],SIP[B/S],"S"))</f>
        <v>0</v>
      </c>
      <c r="S7" s="50">
        <f>INVESTORS_LIST[[#This Row],[LS_TOTAL UNITS BUY]]+INVESTORS_LIST[[#This Row],[SIP_TOTAL UNITS BUY]]</f>
        <v>0</v>
      </c>
      <c r="T7" s="50">
        <f>INVESTORS_LIST[[#This Row],[LS_TOTAL UNITS SOLD]]+INVESTORS_LIST[[#This Row],[SIP_TOTAL UNITS SOLD]]</f>
        <v>0</v>
      </c>
      <c r="U7" s="50"/>
      <c r="V7" s="50">
        <f>SUMIFS(LS[BO UNIT TRANSFER],LS[Investor ID],INVESTORS_LIST[[#This Row],[INVESTOR CODE]],LS[B/S],"B")</f>
        <v>0</v>
      </c>
      <c r="W7" s="50">
        <f>SUMIFS(SIP[BO UNIT TRANSFER],SIP[Investor ID],INVESTORS_LIST[[#This Row],[INVESTOR CODE]],SIP[B/S],"B")</f>
        <v>0</v>
      </c>
      <c r="X7" s="50">
        <f>SUMIFS(LS[BO UNIT TRANSFER],LS[Investor ID],INVESTORS_LIST[[#This Row],[INVESTOR CODE]],LS[B/S],"S")</f>
        <v>0</v>
      </c>
      <c r="Y7" s="50">
        <f>SUMIFS(SIP[BO UNIT TRANSFER],SIP[Investor ID],INVESTORS_LIST[[#This Row],[INVESTOR CODE]],SIP[B/S],"S")</f>
        <v>0</v>
      </c>
      <c r="Z7" s="106">
        <f>SUM(INVESTORS_LIST[[#This Row],[BO OPENING BALANCE]:[BO SIP UNITS REPURCHASE]])</f>
        <v>0</v>
      </c>
      <c r="AA7" s="107">
        <f>INVESTORS_LIST[[#This Row],[TOTAL UNITS BUY]]-INVESTORS_LIST[[#This Row],[TOTAL UNITS SOLD]]</f>
        <v>0</v>
      </c>
      <c r="AB7" s="107">
        <f>INVESTORS_LIST[[#This Row],[TOTAL CURRENT UNITS]]-INVESTORS_LIST[[#This Row],[BO UNITS HOLD]]</f>
        <v>0</v>
      </c>
      <c r="AC7" s="201" t="e">
        <f>INDEX([3]!Table_1[BO ID],MATCH(INVESTORS_LIST[[#This Row],[INVESTOR CODE]],[3]!Table_1[INVESTOR CODE],0))</f>
        <v>#REF!</v>
      </c>
      <c r="AD7" s="201" t="e">
        <f>INDEX([3]!Table_1[Brokerage Name2],MATCH(INVESTORS_LIST[[#This Row],[INVESTOR CODE]],[3]!Table_1[INVESTOR CODE],0))</f>
        <v>#REF!</v>
      </c>
      <c r="AE7" s="201" t="e">
        <f>MID(INVESTORS_LIST[[#This Row],[BO ID]],4,5)</f>
        <v>#REF!</v>
      </c>
      <c r="AF7" s="201" t="e">
        <f>MID(INVESTORS_LIST[[#This Row],[BO ID]],2,7)</f>
        <v>#REF!</v>
      </c>
      <c r="AG7" s="201" t="e">
        <f>MID(INVESTORS_LIST[[#This Row],[BO ID]],9,7)</f>
        <v>#REF!</v>
      </c>
      <c r="AH7" s="201" t="e">
        <f>RIGHT(INVESTORS_LIST[[#This Row],[BO ID]],1)</f>
        <v>#REF!</v>
      </c>
      <c r="AI7" s="50">
        <f>INVESTORS_LIST[[#This Row],[LS_TOTAL COST VALUE OF CURRENT UNITS]]+INVESTORS_LIST[[#This Row],[SIP_TOTAL COST VALUE OF CURRENT UNITS]]</f>
        <v>0</v>
      </c>
      <c r="AJ7" s="109">
        <f>IF(INVESTORS_LIST[[#This Row],[TOTAL CURRENT UNITS]]=0,0,INVESTORS_LIST[[#This Row],[LS_TOTAL CURRENT UNITS]]/INVESTORS_LIST[[#This Row],[TOTAL CURRENT UNITS]])</f>
        <v>0</v>
      </c>
      <c r="AK7" s="109">
        <f>IF(INVESTORS_LIST[[#This Row],[TOTAL CURRENT UNITS]]=0,0,INVESTORS_LIST[[#This Row],[SIP_TOTAL CURRENT UNITS]]/INVESTORS_LIST[[#This Row],[TOTAL CURRENT UNITS]])</f>
        <v>0</v>
      </c>
      <c r="AL7" s="49" cm="1">
        <f t="array" ref="AL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" s="49" cm="1">
        <f t="array" ref="AM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" s="105">
        <f t="shared" si="1"/>
        <v>14.224</v>
      </c>
      <c r="AP7" s="112">
        <f>IF(INVESTORS_LIST[[#This Row],[TOTAL CURRENT UNITS]]=0,0,INVESTORS_LIST[[#This Row],[TOTAL CURRENT UNITS]]*INVESTORS_LIST[[#This Row],[NAV]])</f>
        <v>0</v>
      </c>
      <c r="AQ7" s="49">
        <f>IF(INVESTORS_LIST[[#This Row],[LS_TOTAL CURRENT UNITS]]=0,0,INVESTORS_LIST[[#This Row],[LS_TOTAL CURRENT UNITS]]*INVESTORS_LIST[[#This Row],[NAV]])</f>
        <v>0</v>
      </c>
      <c r="AR7" s="48">
        <f>IF(INVESTORS_LIST[[#This Row],[SIP_TOTAL CURRENT UNITS]]=0,0,INVESTORS_LIST[[#This Row],[SIP_TOTAL CURRENT UNITS]]*INVESTORS_LIST[[#This Row],[NAV]])</f>
        <v>0</v>
      </c>
      <c r="AS7" s="50">
        <f>INVESTORS_LIST[[#This Row],[TOTAL CURRENT UNITS]]</f>
        <v>0</v>
      </c>
      <c r="AT7" s="48">
        <f>IF(INVESTORS_LIST[[#This Row],[TOTAL SELLABLE UNITS]]=0,0,INVESTORS_LIST[[#This Row],[TOTAL SELLABLE UNITS]]*INVESTORS_LIST[[#This Row],[NAV]])</f>
        <v>0</v>
      </c>
      <c r="AU7" s="48">
        <f>INVESTORS_LIST[[#This Row],[LS_TOTAL REALIZED GAIN]]+INVESTORS_LIST[[#This Row],[SIP_TOTAL REALIZED GAIN]]</f>
        <v>0</v>
      </c>
      <c r="AV7" s="48">
        <f>INVESTORS_LIST[[#This Row],[TOTAL MARKET VALUE]]-INVESTORS_LIST[[#This Row],[TOTAL COST VALUE OF CURRENT INVESTMENT]]</f>
        <v>0</v>
      </c>
      <c r="AW7" s="48">
        <f>IFERROR(INVESTORS_LIST[[#This Row],[TOTAL CURRENT UNITS]]/SUM(INVESTORS_LIST[TOTAL CURRENT UNITS]),0)</f>
        <v>0</v>
      </c>
      <c r="BA7" s="48"/>
      <c r="BD7" s="49"/>
      <c r="BE7" s="48"/>
      <c r="BF7" s="48"/>
    </row>
    <row r="8" spans="1:58" hidden="1">
      <c r="A8" s="262" t="s">
        <v>59</v>
      </c>
      <c r="B8" s="97" t="s">
        <v>60</v>
      </c>
      <c r="C8" t="s">
        <v>44</v>
      </c>
      <c r="D8" s="75" t="s">
        <v>45</v>
      </c>
      <c r="E8" s="47">
        <f>SUMIFS(LS[Unit],LS[Investor ID],INVESTORS_LIST[[#This Row],[INVESTOR CODE]],LS[B/S],"B")</f>
        <v>0</v>
      </c>
      <c r="F8" s="47">
        <f>-SUMIFS(LS[Unit],LS[Investor ID],INVESTORS_LIST[[#This Row],[INVESTOR CODE]],LS[B/S],"S")</f>
        <v>0</v>
      </c>
      <c r="G8" s="47">
        <f>IF(INVESTORS_LIST[[#This Row],[LS_TOTAL UNITS BUY]]=0,0,INVESTORS_LIST[[#This Row],[LS_TOTAL UNITS BUY]]-INVESTORS_LIST[[#This Row],[LS_TOTAL UNITS SOLD]])</f>
        <v>0</v>
      </c>
      <c r="H8" s="49">
        <f>IF(INVESTORS_LIST[[#This Row],[LS_TOTAL UNITS BUY]]=0,0,SUMIFS(LS[Amount],LS[Investor ID],INVESTORS_LIST[[#This Row],[INVESTOR CODE]],LS[B/S],"B"))</f>
        <v>0</v>
      </c>
      <c r="I8" s="48">
        <f>IF(INVESTORS_LIST[[#This Row],[LS_TOTAL UNITS SOLD]]=0,0,SUMIFS(LS[Cost of Units Sold],LS[Investor ID],INVESTORS_LIST[[#This Row],[INVESTOR CODE]],LS[B/S],"S"))</f>
        <v>0</v>
      </c>
      <c r="J8" s="48">
        <f>IF(INVESTORS_LIST[[#This Row],[LS_TOTAL CURRENT UNITS]]=0,0,INVESTORS_LIST[[#This Row],[LS_TOTAL CURRENT UNITS]]*INVESTORS_LIST[[#This Row],[LS_AVERAGE COST]])</f>
        <v>0</v>
      </c>
      <c r="K8" s="49">
        <f>IF(INVESTORS_LIST[[#This Row],[LS_TOTAL UNITS SOLD]]=0,0,SUMIFS(LS[Realized Gain],LS[Investor ID],INVESTORS_LIST[[#This Row],[INVESTOR CODE]],LS[B/S],"S"))</f>
        <v>0</v>
      </c>
      <c r="L8" s="47">
        <f>SUMIFS(SIP[Unit],SIP[Investor ID],INVESTORS_LIST[[#This Row],[INVESTOR CODE]],SIP[B/S],"B")</f>
        <v>0</v>
      </c>
      <c r="M8" s="47">
        <f>-SUMIFS(SIP[Unit],SIP[Investor ID],INVESTORS_LIST[[#This Row],[INVESTOR CODE]],SIP[B/S],"S")</f>
        <v>0</v>
      </c>
      <c r="N8" s="50">
        <f>IF(INVESTORS_LIST[[#This Row],[SIP_TOTAL UNITS BUY]]=0,0,INVESTORS_LIST[[#This Row],[SIP_TOTAL UNITS BUY]]-INVESTORS_LIST[[#This Row],[SIP_TOTAL UNITS SOLD]])</f>
        <v>0</v>
      </c>
      <c r="O8" s="49">
        <f>IF(INVESTORS_LIST[[#This Row],[SIP_TOTAL UNITS BUY]]=0,0,SUMIFS(SIP[Amount],SIP[Investor ID],INVESTORS_LIST[[#This Row],[INVESTOR CODE]],SIP[B/S],"B"))</f>
        <v>0</v>
      </c>
      <c r="P8" s="49">
        <f>IF(INVESTORS_LIST[[#This Row],[SIP_TOTAL UNITS SOLD]]=0,0,SUMIFS(SIP[Cost of Units Sold],SIP[Investor ID],INVESTORS_LIST[[#This Row],[INVESTOR CODE]],SIP[B/S],"S"))</f>
        <v>0</v>
      </c>
      <c r="Q8" s="48">
        <f>IF(INVESTORS_LIST[[#This Row],[SIP_TOTAL CURRENT UNITS]]=0,0,INVESTORS_LIST[[#This Row],[SIP_TOTAL CURRENT UNITS]]*INVESTORS_LIST[[#This Row],[SIP_AVERAGE COST]])</f>
        <v>0</v>
      </c>
      <c r="R8" s="48">
        <f>IF(INVESTORS_LIST[[#This Row],[SIP_TOTAL UNITS SOLD]]=0,0,SUMIFS(SIP[Realized Gain],SIP[Investor ID],INVESTORS_LIST[[#This Row],[INVESTOR CODE]],SIP[B/S],"S"))</f>
        <v>0</v>
      </c>
      <c r="S8" s="50">
        <f>INVESTORS_LIST[[#This Row],[LS_TOTAL UNITS BUY]]+INVESTORS_LIST[[#This Row],[SIP_TOTAL UNITS BUY]]</f>
        <v>0</v>
      </c>
      <c r="T8" s="50">
        <f>INVESTORS_LIST[[#This Row],[LS_TOTAL UNITS SOLD]]+INVESTORS_LIST[[#This Row],[SIP_TOTAL UNITS SOLD]]</f>
        <v>0</v>
      </c>
      <c r="U8" s="50"/>
      <c r="V8" s="50">
        <f>SUMIFS(LS[BO UNIT TRANSFER],LS[Investor ID],INVESTORS_LIST[[#This Row],[INVESTOR CODE]],LS[B/S],"B")</f>
        <v>0</v>
      </c>
      <c r="W8" s="50">
        <f>SUMIFS(SIP[BO UNIT TRANSFER],SIP[Investor ID],INVESTORS_LIST[[#This Row],[INVESTOR CODE]],SIP[B/S],"B")</f>
        <v>0</v>
      </c>
      <c r="X8" s="50">
        <f>SUMIFS(LS[BO UNIT TRANSFER],LS[Investor ID],INVESTORS_LIST[[#This Row],[INVESTOR CODE]],LS[B/S],"S")</f>
        <v>0</v>
      </c>
      <c r="Y8" s="50">
        <f>SUMIFS(SIP[BO UNIT TRANSFER],SIP[Investor ID],INVESTORS_LIST[[#This Row],[INVESTOR CODE]],SIP[B/S],"S")</f>
        <v>0</v>
      </c>
      <c r="Z8" s="106">
        <f>SUM(INVESTORS_LIST[[#This Row],[BO OPENING BALANCE]:[BO SIP UNITS REPURCHASE]])</f>
        <v>0</v>
      </c>
      <c r="AA8" s="107">
        <f>INVESTORS_LIST[[#This Row],[TOTAL UNITS BUY]]-INVESTORS_LIST[[#This Row],[TOTAL UNITS SOLD]]</f>
        <v>0</v>
      </c>
      <c r="AB8" s="107">
        <f>INVESTORS_LIST[[#This Row],[TOTAL CURRENT UNITS]]-INVESTORS_LIST[[#This Row],[BO UNITS HOLD]]</f>
        <v>0</v>
      </c>
      <c r="AC8" s="201" t="e">
        <f>INDEX([3]!Table_1[BO ID],MATCH(INVESTORS_LIST[[#This Row],[INVESTOR CODE]],[3]!Table_1[INVESTOR CODE],0))</f>
        <v>#REF!</v>
      </c>
      <c r="AD8" s="201" t="e">
        <f>INDEX([3]!Table_1[Brokerage Name2],MATCH(INVESTORS_LIST[[#This Row],[INVESTOR CODE]],[3]!Table_1[INVESTOR CODE],0))</f>
        <v>#REF!</v>
      </c>
      <c r="AE8" s="201" t="e">
        <f>MID(INVESTORS_LIST[[#This Row],[BO ID]],4,5)</f>
        <v>#REF!</v>
      </c>
      <c r="AF8" s="201" t="e">
        <f>MID(INVESTORS_LIST[[#This Row],[BO ID]],2,7)</f>
        <v>#REF!</v>
      </c>
      <c r="AG8" s="201" t="e">
        <f>MID(INVESTORS_LIST[[#This Row],[BO ID]],9,7)</f>
        <v>#REF!</v>
      </c>
      <c r="AH8" s="201" t="e">
        <f>RIGHT(INVESTORS_LIST[[#This Row],[BO ID]],1)</f>
        <v>#REF!</v>
      </c>
      <c r="AI8" s="50">
        <f>INVESTORS_LIST[[#This Row],[LS_TOTAL COST VALUE OF CURRENT UNITS]]+INVESTORS_LIST[[#This Row],[SIP_TOTAL COST VALUE OF CURRENT UNITS]]</f>
        <v>0</v>
      </c>
      <c r="AJ8" s="109">
        <f>IF(INVESTORS_LIST[[#This Row],[TOTAL CURRENT UNITS]]=0,0,INVESTORS_LIST[[#This Row],[LS_TOTAL CURRENT UNITS]]/INVESTORS_LIST[[#This Row],[TOTAL CURRENT UNITS]])</f>
        <v>0</v>
      </c>
      <c r="AK8" s="109">
        <f>IF(INVESTORS_LIST[[#This Row],[TOTAL CURRENT UNITS]]=0,0,INVESTORS_LIST[[#This Row],[SIP_TOTAL CURRENT UNITS]]/INVESTORS_LIST[[#This Row],[TOTAL CURRENT UNITS]])</f>
        <v>0</v>
      </c>
      <c r="AL8" s="49" cm="1">
        <f t="array" ref="AL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" s="49" cm="1">
        <f t="array" ref="AM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" s="105">
        <f t="shared" si="1"/>
        <v>14.224</v>
      </c>
      <c r="AP8" s="112">
        <f>IF(INVESTORS_LIST[[#This Row],[TOTAL CURRENT UNITS]]=0,0,INVESTORS_LIST[[#This Row],[TOTAL CURRENT UNITS]]*INVESTORS_LIST[[#This Row],[NAV]])</f>
        <v>0</v>
      </c>
      <c r="AQ8" s="49">
        <f>IF(INVESTORS_LIST[[#This Row],[LS_TOTAL CURRENT UNITS]]=0,0,INVESTORS_LIST[[#This Row],[LS_TOTAL CURRENT UNITS]]*INVESTORS_LIST[[#This Row],[NAV]])</f>
        <v>0</v>
      </c>
      <c r="AR8" s="48">
        <f>IF(INVESTORS_LIST[[#This Row],[SIP_TOTAL CURRENT UNITS]]=0,0,INVESTORS_LIST[[#This Row],[SIP_TOTAL CURRENT UNITS]]*INVESTORS_LIST[[#This Row],[NAV]])</f>
        <v>0</v>
      </c>
      <c r="AS8" s="50">
        <f>INVESTORS_LIST[[#This Row],[TOTAL CURRENT UNITS]]</f>
        <v>0</v>
      </c>
      <c r="AT8" s="48">
        <f>IF(INVESTORS_LIST[[#This Row],[TOTAL SELLABLE UNITS]]=0,0,INVESTORS_LIST[[#This Row],[TOTAL SELLABLE UNITS]]*INVESTORS_LIST[[#This Row],[NAV]])</f>
        <v>0</v>
      </c>
      <c r="AU8" s="48">
        <f>INVESTORS_LIST[[#This Row],[LS_TOTAL REALIZED GAIN]]+INVESTORS_LIST[[#This Row],[SIP_TOTAL REALIZED GAIN]]</f>
        <v>0</v>
      </c>
      <c r="AV8" s="48">
        <f>INVESTORS_LIST[[#This Row],[TOTAL MARKET VALUE]]-INVESTORS_LIST[[#This Row],[TOTAL COST VALUE OF CURRENT INVESTMENT]]</f>
        <v>0</v>
      </c>
      <c r="AW8" s="48">
        <f>IFERROR(INVESTORS_LIST[[#This Row],[TOTAL CURRENT UNITS]]/SUM(INVESTORS_LIST[TOTAL CURRENT UNITS]),0)</f>
        <v>0</v>
      </c>
      <c r="BA8" s="48"/>
    </row>
    <row r="9" spans="1:58" hidden="1">
      <c r="A9" s="262" t="s">
        <v>61</v>
      </c>
      <c r="B9" s="97" t="s">
        <v>62</v>
      </c>
      <c r="C9" t="s">
        <v>44</v>
      </c>
      <c r="D9" s="75" t="s">
        <v>45</v>
      </c>
      <c r="E9" s="47">
        <f>SUMIFS(LS[Unit],LS[Investor ID],INVESTORS_LIST[[#This Row],[INVESTOR CODE]],LS[B/S],"B")</f>
        <v>0</v>
      </c>
      <c r="F9" s="47">
        <f>-SUMIFS(LS[Unit],LS[Investor ID],INVESTORS_LIST[[#This Row],[INVESTOR CODE]],LS[B/S],"S")</f>
        <v>0</v>
      </c>
      <c r="G9" s="47">
        <f>IF(INVESTORS_LIST[[#This Row],[LS_TOTAL UNITS BUY]]=0,0,INVESTORS_LIST[[#This Row],[LS_TOTAL UNITS BUY]]-INVESTORS_LIST[[#This Row],[LS_TOTAL UNITS SOLD]])</f>
        <v>0</v>
      </c>
      <c r="H9" s="49">
        <f>IF(INVESTORS_LIST[[#This Row],[LS_TOTAL UNITS BUY]]=0,0,SUMIFS(LS[Amount],LS[Investor ID],INVESTORS_LIST[[#This Row],[INVESTOR CODE]],LS[B/S],"B"))</f>
        <v>0</v>
      </c>
      <c r="I9" s="48">
        <f>IF(INVESTORS_LIST[[#This Row],[LS_TOTAL UNITS SOLD]]=0,0,SUMIFS(LS[Cost of Units Sold],LS[Investor ID],INVESTORS_LIST[[#This Row],[INVESTOR CODE]],LS[B/S],"S"))</f>
        <v>0</v>
      </c>
      <c r="J9" s="48">
        <f>IF(INVESTORS_LIST[[#This Row],[LS_TOTAL CURRENT UNITS]]=0,0,INVESTORS_LIST[[#This Row],[LS_TOTAL CURRENT UNITS]]*INVESTORS_LIST[[#This Row],[LS_AVERAGE COST]])</f>
        <v>0</v>
      </c>
      <c r="K9" s="49">
        <f>IF(INVESTORS_LIST[[#This Row],[LS_TOTAL UNITS SOLD]]=0,0,SUMIFS(LS[Realized Gain],LS[Investor ID],INVESTORS_LIST[[#This Row],[INVESTOR CODE]],LS[B/S],"S"))</f>
        <v>0</v>
      </c>
      <c r="L9" s="47">
        <f>SUMIFS(SIP[Unit],SIP[Investor ID],INVESTORS_LIST[[#This Row],[INVESTOR CODE]],SIP[B/S],"B")</f>
        <v>0</v>
      </c>
      <c r="M9" s="47">
        <f>-SUMIFS(SIP[Unit],SIP[Investor ID],INVESTORS_LIST[[#This Row],[INVESTOR CODE]],SIP[B/S],"S")</f>
        <v>0</v>
      </c>
      <c r="N9" s="50">
        <f>IF(INVESTORS_LIST[[#This Row],[SIP_TOTAL UNITS BUY]]=0,0,INVESTORS_LIST[[#This Row],[SIP_TOTAL UNITS BUY]]-INVESTORS_LIST[[#This Row],[SIP_TOTAL UNITS SOLD]])</f>
        <v>0</v>
      </c>
      <c r="O9" s="49">
        <f>IF(INVESTORS_LIST[[#This Row],[SIP_TOTAL UNITS BUY]]=0,0,SUMIFS(SIP[Amount],SIP[Investor ID],INVESTORS_LIST[[#This Row],[INVESTOR CODE]],SIP[B/S],"B"))</f>
        <v>0</v>
      </c>
      <c r="P9" s="49">
        <f>IF(INVESTORS_LIST[[#This Row],[SIP_TOTAL UNITS SOLD]]=0,0,SUMIFS(SIP[Cost of Units Sold],SIP[Investor ID],INVESTORS_LIST[[#This Row],[INVESTOR CODE]],SIP[B/S],"S"))</f>
        <v>0</v>
      </c>
      <c r="Q9" s="48">
        <f>IF(INVESTORS_LIST[[#This Row],[SIP_TOTAL CURRENT UNITS]]=0,0,INVESTORS_LIST[[#This Row],[SIP_TOTAL CURRENT UNITS]]*INVESTORS_LIST[[#This Row],[SIP_AVERAGE COST]])</f>
        <v>0</v>
      </c>
      <c r="R9" s="48">
        <f>IF(INVESTORS_LIST[[#This Row],[SIP_TOTAL UNITS SOLD]]=0,0,SUMIFS(SIP[Realized Gain],SIP[Investor ID],INVESTORS_LIST[[#This Row],[INVESTOR CODE]],SIP[B/S],"S"))</f>
        <v>0</v>
      </c>
      <c r="S9" s="50">
        <f>INVESTORS_LIST[[#This Row],[LS_TOTAL UNITS BUY]]+INVESTORS_LIST[[#This Row],[SIP_TOTAL UNITS BUY]]</f>
        <v>0</v>
      </c>
      <c r="T9" s="50">
        <f>INVESTORS_LIST[[#This Row],[LS_TOTAL UNITS SOLD]]+INVESTORS_LIST[[#This Row],[SIP_TOTAL UNITS SOLD]]</f>
        <v>0</v>
      </c>
      <c r="U9" s="50"/>
      <c r="V9" s="50">
        <f>SUMIFS(LS[BO UNIT TRANSFER],LS[Investor ID],INVESTORS_LIST[[#This Row],[INVESTOR CODE]],LS[B/S],"B")</f>
        <v>0</v>
      </c>
      <c r="W9" s="50">
        <f>SUMIFS(SIP[BO UNIT TRANSFER],SIP[Investor ID],INVESTORS_LIST[[#This Row],[INVESTOR CODE]],SIP[B/S],"B")</f>
        <v>0</v>
      </c>
      <c r="X9" s="50">
        <f>SUMIFS(LS[BO UNIT TRANSFER],LS[Investor ID],INVESTORS_LIST[[#This Row],[INVESTOR CODE]],LS[B/S],"S")</f>
        <v>0</v>
      </c>
      <c r="Y9" s="50">
        <f>SUMIFS(SIP[BO UNIT TRANSFER],SIP[Investor ID],INVESTORS_LIST[[#This Row],[INVESTOR CODE]],SIP[B/S],"S")</f>
        <v>0</v>
      </c>
      <c r="Z9" s="106">
        <f>SUM(INVESTORS_LIST[[#This Row],[BO OPENING BALANCE]:[BO SIP UNITS REPURCHASE]])</f>
        <v>0</v>
      </c>
      <c r="AA9" s="107">
        <f>INVESTORS_LIST[[#This Row],[TOTAL UNITS BUY]]-INVESTORS_LIST[[#This Row],[TOTAL UNITS SOLD]]</f>
        <v>0</v>
      </c>
      <c r="AB9" s="107">
        <f>INVESTORS_LIST[[#This Row],[TOTAL CURRENT UNITS]]-INVESTORS_LIST[[#This Row],[BO UNITS HOLD]]</f>
        <v>0</v>
      </c>
      <c r="AC9" s="201" t="e">
        <f>INDEX([3]!Table_1[BO ID],MATCH(INVESTORS_LIST[[#This Row],[INVESTOR CODE]],[3]!Table_1[INVESTOR CODE],0))</f>
        <v>#REF!</v>
      </c>
      <c r="AD9" s="201" t="e">
        <f>INDEX([3]!Table_1[Brokerage Name2],MATCH(INVESTORS_LIST[[#This Row],[INVESTOR CODE]],[3]!Table_1[INVESTOR CODE],0))</f>
        <v>#REF!</v>
      </c>
      <c r="AE9" s="201" t="e">
        <f>MID(INVESTORS_LIST[[#This Row],[BO ID]],4,5)</f>
        <v>#REF!</v>
      </c>
      <c r="AF9" s="201" t="e">
        <f>MID(INVESTORS_LIST[[#This Row],[BO ID]],2,7)</f>
        <v>#REF!</v>
      </c>
      <c r="AG9" s="201" t="e">
        <f>MID(INVESTORS_LIST[[#This Row],[BO ID]],9,7)</f>
        <v>#REF!</v>
      </c>
      <c r="AH9" s="201" t="e">
        <f>RIGHT(INVESTORS_LIST[[#This Row],[BO ID]],1)</f>
        <v>#REF!</v>
      </c>
      <c r="AI9" s="50">
        <f>INVESTORS_LIST[[#This Row],[LS_TOTAL COST VALUE OF CURRENT UNITS]]+INVESTORS_LIST[[#This Row],[SIP_TOTAL COST VALUE OF CURRENT UNITS]]</f>
        <v>0</v>
      </c>
      <c r="AJ9" s="109">
        <f>IF(INVESTORS_LIST[[#This Row],[TOTAL CURRENT UNITS]]=0,0,INVESTORS_LIST[[#This Row],[LS_TOTAL CURRENT UNITS]]/INVESTORS_LIST[[#This Row],[TOTAL CURRENT UNITS]])</f>
        <v>0</v>
      </c>
      <c r="AK9" s="109">
        <f>IF(INVESTORS_LIST[[#This Row],[TOTAL CURRENT UNITS]]=0,0,INVESTORS_LIST[[#This Row],[SIP_TOTAL CURRENT UNITS]]/INVESTORS_LIST[[#This Row],[TOTAL CURRENT UNITS]])</f>
        <v>0</v>
      </c>
      <c r="AL9" s="49" cm="1">
        <f t="array" ref="AL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" s="49" cm="1">
        <f t="array" ref="AM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9" s="105">
        <f t="shared" si="1"/>
        <v>14.224</v>
      </c>
      <c r="AP9" s="112">
        <f>IF(INVESTORS_LIST[[#This Row],[TOTAL CURRENT UNITS]]=0,0,INVESTORS_LIST[[#This Row],[TOTAL CURRENT UNITS]]*INVESTORS_LIST[[#This Row],[NAV]])</f>
        <v>0</v>
      </c>
      <c r="AQ9" s="49">
        <f>IF(INVESTORS_LIST[[#This Row],[LS_TOTAL CURRENT UNITS]]=0,0,INVESTORS_LIST[[#This Row],[LS_TOTAL CURRENT UNITS]]*INVESTORS_LIST[[#This Row],[NAV]])</f>
        <v>0</v>
      </c>
      <c r="AR9" s="48">
        <f>IF(INVESTORS_LIST[[#This Row],[SIP_TOTAL CURRENT UNITS]]=0,0,INVESTORS_LIST[[#This Row],[SIP_TOTAL CURRENT UNITS]]*INVESTORS_LIST[[#This Row],[NAV]])</f>
        <v>0</v>
      </c>
      <c r="AS9" s="50">
        <f>INVESTORS_LIST[[#This Row],[TOTAL CURRENT UNITS]]</f>
        <v>0</v>
      </c>
      <c r="AT9" s="48">
        <f>IF(INVESTORS_LIST[[#This Row],[TOTAL SELLABLE UNITS]]=0,0,INVESTORS_LIST[[#This Row],[TOTAL SELLABLE UNITS]]*INVESTORS_LIST[[#This Row],[NAV]])</f>
        <v>0</v>
      </c>
      <c r="AU9" s="48">
        <f>INVESTORS_LIST[[#This Row],[LS_TOTAL REALIZED GAIN]]+INVESTORS_LIST[[#This Row],[SIP_TOTAL REALIZED GAIN]]</f>
        <v>0</v>
      </c>
      <c r="AV9" s="48">
        <f>INVESTORS_LIST[[#This Row],[TOTAL MARKET VALUE]]-INVESTORS_LIST[[#This Row],[TOTAL COST VALUE OF CURRENT INVESTMENT]]</f>
        <v>0</v>
      </c>
      <c r="AW9" s="48">
        <f>IFERROR(INVESTORS_LIST[[#This Row],[TOTAL CURRENT UNITS]]/SUM(INVESTORS_LIST[TOTAL CURRENT UNITS]),0)</f>
        <v>0</v>
      </c>
      <c r="BA9" s="48"/>
    </row>
    <row r="10" spans="1:58" hidden="1">
      <c r="A10" s="262" t="s">
        <v>63</v>
      </c>
      <c r="B10" s="97" t="s">
        <v>64</v>
      </c>
      <c r="C10" t="s">
        <v>44</v>
      </c>
      <c r="D10" s="75" t="s">
        <v>45</v>
      </c>
      <c r="E10" s="47">
        <f>SUMIFS(LS[Unit],LS[Investor ID],INVESTORS_LIST[[#This Row],[INVESTOR CODE]],LS[B/S],"B")</f>
        <v>0</v>
      </c>
      <c r="F10" s="47">
        <f>-SUMIFS(LS[Unit],LS[Investor ID],INVESTORS_LIST[[#This Row],[INVESTOR CODE]],LS[B/S],"S")</f>
        <v>0</v>
      </c>
      <c r="G10" s="47">
        <f>IF(INVESTORS_LIST[[#This Row],[LS_TOTAL UNITS BUY]]=0,0,INVESTORS_LIST[[#This Row],[LS_TOTAL UNITS BUY]]-INVESTORS_LIST[[#This Row],[LS_TOTAL UNITS SOLD]])</f>
        <v>0</v>
      </c>
      <c r="H10" s="49">
        <f>IF(INVESTORS_LIST[[#This Row],[LS_TOTAL UNITS BUY]]=0,0,SUMIFS(LS[Amount],LS[Investor ID],INVESTORS_LIST[[#This Row],[INVESTOR CODE]],LS[B/S],"B"))</f>
        <v>0</v>
      </c>
      <c r="I10" s="48">
        <f>IF(INVESTORS_LIST[[#This Row],[LS_TOTAL UNITS SOLD]]=0,0,SUMIFS(LS[Cost of Units Sold],LS[Investor ID],INVESTORS_LIST[[#This Row],[INVESTOR CODE]],LS[B/S],"S"))</f>
        <v>0</v>
      </c>
      <c r="J10" s="48">
        <f>IF(INVESTORS_LIST[[#This Row],[LS_TOTAL CURRENT UNITS]]=0,0,INVESTORS_LIST[[#This Row],[LS_TOTAL CURRENT UNITS]]*INVESTORS_LIST[[#This Row],[LS_AVERAGE COST]])</f>
        <v>0</v>
      </c>
      <c r="K10" s="49">
        <f>IF(INVESTORS_LIST[[#This Row],[LS_TOTAL UNITS SOLD]]=0,0,SUMIFS(LS[Realized Gain],LS[Investor ID],INVESTORS_LIST[[#This Row],[INVESTOR CODE]],LS[B/S],"S"))</f>
        <v>0</v>
      </c>
      <c r="L10" s="47">
        <f>SUMIFS(SIP[Unit],SIP[Investor ID],INVESTORS_LIST[[#This Row],[INVESTOR CODE]],SIP[B/S],"B")</f>
        <v>0</v>
      </c>
      <c r="M10" s="47">
        <f>-SUMIFS(SIP[Unit],SIP[Investor ID],INVESTORS_LIST[[#This Row],[INVESTOR CODE]],SIP[B/S],"S")</f>
        <v>0</v>
      </c>
      <c r="N10" s="50">
        <f>IF(INVESTORS_LIST[[#This Row],[SIP_TOTAL UNITS BUY]]=0,0,INVESTORS_LIST[[#This Row],[SIP_TOTAL UNITS BUY]]-INVESTORS_LIST[[#This Row],[SIP_TOTAL UNITS SOLD]])</f>
        <v>0</v>
      </c>
      <c r="O10" s="49">
        <f>IF(INVESTORS_LIST[[#This Row],[SIP_TOTAL UNITS BUY]]=0,0,SUMIFS(SIP[Amount],SIP[Investor ID],INVESTORS_LIST[[#This Row],[INVESTOR CODE]],SIP[B/S],"B"))</f>
        <v>0</v>
      </c>
      <c r="P10" s="49">
        <f>IF(INVESTORS_LIST[[#This Row],[SIP_TOTAL UNITS SOLD]]=0,0,SUMIFS(SIP[Cost of Units Sold],SIP[Investor ID],INVESTORS_LIST[[#This Row],[INVESTOR CODE]],SIP[B/S],"S"))</f>
        <v>0</v>
      </c>
      <c r="Q10" s="48">
        <f>IF(INVESTORS_LIST[[#This Row],[SIP_TOTAL CURRENT UNITS]]=0,0,INVESTORS_LIST[[#This Row],[SIP_TOTAL CURRENT UNITS]]*INVESTORS_LIST[[#This Row],[SIP_AVERAGE COST]])</f>
        <v>0</v>
      </c>
      <c r="R10" s="48">
        <f>IF(INVESTORS_LIST[[#This Row],[SIP_TOTAL UNITS SOLD]]=0,0,SUMIFS(SIP[Realized Gain],SIP[Investor ID],INVESTORS_LIST[[#This Row],[INVESTOR CODE]],SIP[B/S],"S"))</f>
        <v>0</v>
      </c>
      <c r="S10" s="50">
        <f>INVESTORS_LIST[[#This Row],[LS_TOTAL UNITS BUY]]+INVESTORS_LIST[[#This Row],[SIP_TOTAL UNITS BUY]]</f>
        <v>0</v>
      </c>
      <c r="T10" s="50">
        <f>INVESTORS_LIST[[#This Row],[LS_TOTAL UNITS SOLD]]+INVESTORS_LIST[[#This Row],[SIP_TOTAL UNITS SOLD]]</f>
        <v>0</v>
      </c>
      <c r="U10" s="50"/>
      <c r="V10" s="50">
        <f>SUMIFS(LS[BO UNIT TRANSFER],LS[Investor ID],INVESTORS_LIST[[#This Row],[INVESTOR CODE]],LS[B/S],"B")</f>
        <v>0</v>
      </c>
      <c r="W10" s="50">
        <f>SUMIFS(SIP[BO UNIT TRANSFER],SIP[Investor ID],INVESTORS_LIST[[#This Row],[INVESTOR CODE]],SIP[B/S],"B")</f>
        <v>0</v>
      </c>
      <c r="X10" s="50">
        <f>SUMIFS(LS[BO UNIT TRANSFER],LS[Investor ID],INVESTORS_LIST[[#This Row],[INVESTOR CODE]],LS[B/S],"S")</f>
        <v>0</v>
      </c>
      <c r="Y10" s="50">
        <f>SUMIFS(SIP[BO UNIT TRANSFER],SIP[Investor ID],INVESTORS_LIST[[#This Row],[INVESTOR CODE]],SIP[B/S],"S")</f>
        <v>0</v>
      </c>
      <c r="Z10" s="106">
        <f>SUM(INVESTORS_LIST[[#This Row],[BO OPENING BALANCE]:[BO SIP UNITS REPURCHASE]])</f>
        <v>0</v>
      </c>
      <c r="AA10" s="107">
        <f>INVESTORS_LIST[[#This Row],[TOTAL UNITS BUY]]-INVESTORS_LIST[[#This Row],[TOTAL UNITS SOLD]]</f>
        <v>0</v>
      </c>
      <c r="AB10" s="107">
        <f>INVESTORS_LIST[[#This Row],[TOTAL CURRENT UNITS]]-INVESTORS_LIST[[#This Row],[BO UNITS HOLD]]</f>
        <v>0</v>
      </c>
      <c r="AC10" s="201" t="e">
        <f>INDEX([3]!Table_1[BO ID],MATCH(INVESTORS_LIST[[#This Row],[INVESTOR CODE]],[3]!Table_1[INVESTOR CODE],0))</f>
        <v>#REF!</v>
      </c>
      <c r="AD10" s="201" t="e">
        <f>INDEX([3]!Table_1[Brokerage Name2],MATCH(INVESTORS_LIST[[#This Row],[INVESTOR CODE]],[3]!Table_1[INVESTOR CODE],0))</f>
        <v>#REF!</v>
      </c>
      <c r="AE10" s="201" t="e">
        <f>MID(INVESTORS_LIST[[#This Row],[BO ID]],4,5)</f>
        <v>#REF!</v>
      </c>
      <c r="AF10" s="201" t="e">
        <f>MID(INVESTORS_LIST[[#This Row],[BO ID]],2,7)</f>
        <v>#REF!</v>
      </c>
      <c r="AG10" s="201" t="e">
        <f>MID(INVESTORS_LIST[[#This Row],[BO ID]],9,7)</f>
        <v>#REF!</v>
      </c>
      <c r="AH10" s="201" t="e">
        <f>RIGHT(INVESTORS_LIST[[#This Row],[BO ID]],1)</f>
        <v>#REF!</v>
      </c>
      <c r="AI10" s="50">
        <f>INVESTORS_LIST[[#This Row],[LS_TOTAL COST VALUE OF CURRENT UNITS]]+INVESTORS_LIST[[#This Row],[SIP_TOTAL COST VALUE OF CURRENT UNITS]]</f>
        <v>0</v>
      </c>
      <c r="AJ10" s="109">
        <f>IF(INVESTORS_LIST[[#This Row],[TOTAL CURRENT UNITS]]=0,0,INVESTORS_LIST[[#This Row],[LS_TOTAL CURRENT UNITS]]/INVESTORS_LIST[[#This Row],[TOTAL CURRENT UNITS]])</f>
        <v>0</v>
      </c>
      <c r="AK10" s="109">
        <f>IF(INVESTORS_LIST[[#This Row],[TOTAL CURRENT UNITS]]=0,0,INVESTORS_LIST[[#This Row],[SIP_TOTAL CURRENT UNITS]]/INVESTORS_LIST[[#This Row],[TOTAL CURRENT UNITS]])</f>
        <v>0</v>
      </c>
      <c r="AL10" s="49" cm="1">
        <f t="array" ref="AL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" s="49" cm="1">
        <f t="array" ref="AM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" s="105">
        <f t="shared" si="1"/>
        <v>14.224</v>
      </c>
      <c r="AP10" s="112">
        <f>IF(INVESTORS_LIST[[#This Row],[TOTAL CURRENT UNITS]]=0,0,INVESTORS_LIST[[#This Row],[TOTAL CURRENT UNITS]]*INVESTORS_LIST[[#This Row],[NAV]])</f>
        <v>0</v>
      </c>
      <c r="AQ10" s="49">
        <f>IF(INVESTORS_LIST[[#This Row],[LS_TOTAL CURRENT UNITS]]=0,0,INVESTORS_LIST[[#This Row],[LS_TOTAL CURRENT UNITS]]*INVESTORS_LIST[[#This Row],[NAV]])</f>
        <v>0</v>
      </c>
      <c r="AR10" s="48">
        <f>IF(INVESTORS_LIST[[#This Row],[SIP_TOTAL CURRENT UNITS]]=0,0,INVESTORS_LIST[[#This Row],[SIP_TOTAL CURRENT UNITS]]*INVESTORS_LIST[[#This Row],[NAV]])</f>
        <v>0</v>
      </c>
      <c r="AS10" s="50">
        <f>INVESTORS_LIST[[#This Row],[TOTAL CURRENT UNITS]]</f>
        <v>0</v>
      </c>
      <c r="AT10" s="48">
        <f>IF(INVESTORS_LIST[[#This Row],[TOTAL SELLABLE UNITS]]=0,0,INVESTORS_LIST[[#This Row],[TOTAL SELLABLE UNITS]]*INVESTORS_LIST[[#This Row],[NAV]])</f>
        <v>0</v>
      </c>
      <c r="AU10" s="48">
        <f>INVESTORS_LIST[[#This Row],[LS_TOTAL REALIZED GAIN]]+INVESTORS_LIST[[#This Row],[SIP_TOTAL REALIZED GAIN]]</f>
        <v>0</v>
      </c>
      <c r="AV10" s="48">
        <f>INVESTORS_LIST[[#This Row],[TOTAL MARKET VALUE]]-INVESTORS_LIST[[#This Row],[TOTAL COST VALUE OF CURRENT INVESTMENT]]</f>
        <v>0</v>
      </c>
      <c r="AW10" s="48">
        <f>IFERROR(INVESTORS_LIST[[#This Row],[TOTAL CURRENT UNITS]]/SUM(INVESTORS_LIST[TOTAL CURRENT UNITS]),0)</f>
        <v>0</v>
      </c>
      <c r="BA10" s="48"/>
    </row>
    <row r="11" spans="1:58" hidden="1">
      <c r="A11" s="262" t="s">
        <v>65</v>
      </c>
      <c r="B11" s="97" t="s">
        <v>66</v>
      </c>
      <c r="C11" t="s">
        <v>67</v>
      </c>
      <c r="D11" s="75" t="s">
        <v>45</v>
      </c>
      <c r="E11" s="47">
        <f>SUMIFS(LS[Unit],LS[Investor ID],INVESTORS_LIST[[#This Row],[INVESTOR CODE]],LS[B/S],"B")</f>
        <v>0</v>
      </c>
      <c r="F11" s="47">
        <f>-SUMIFS(LS[Unit],LS[Investor ID],INVESTORS_LIST[[#This Row],[INVESTOR CODE]],LS[B/S],"S")</f>
        <v>0</v>
      </c>
      <c r="G11" s="47">
        <f>IF(INVESTORS_LIST[[#This Row],[LS_TOTAL UNITS BUY]]=0,0,INVESTORS_LIST[[#This Row],[LS_TOTAL UNITS BUY]]-INVESTORS_LIST[[#This Row],[LS_TOTAL UNITS SOLD]])</f>
        <v>0</v>
      </c>
      <c r="H11" s="49">
        <f>IF(INVESTORS_LIST[[#This Row],[LS_TOTAL UNITS BUY]]=0,0,SUMIFS(LS[Amount],LS[Investor ID],INVESTORS_LIST[[#This Row],[INVESTOR CODE]],LS[B/S],"B"))</f>
        <v>0</v>
      </c>
      <c r="I11" s="48">
        <f>IF(INVESTORS_LIST[[#This Row],[LS_TOTAL UNITS SOLD]]=0,0,SUMIFS(LS[Cost of Units Sold],LS[Investor ID],INVESTORS_LIST[[#This Row],[INVESTOR CODE]],LS[B/S],"S"))</f>
        <v>0</v>
      </c>
      <c r="J11" s="48">
        <f>IF(INVESTORS_LIST[[#This Row],[LS_TOTAL CURRENT UNITS]]=0,0,INVESTORS_LIST[[#This Row],[LS_TOTAL CURRENT UNITS]]*INVESTORS_LIST[[#This Row],[LS_AVERAGE COST]])</f>
        <v>0</v>
      </c>
      <c r="K11" s="49">
        <f>IF(INVESTORS_LIST[[#This Row],[LS_TOTAL UNITS SOLD]]=0,0,SUMIFS(LS[Realized Gain],LS[Investor ID],INVESTORS_LIST[[#This Row],[INVESTOR CODE]],LS[B/S],"S"))</f>
        <v>0</v>
      </c>
      <c r="L11" s="47">
        <f>SUMIFS(SIP[Unit],SIP[Investor ID],INVESTORS_LIST[[#This Row],[INVESTOR CODE]],SIP[B/S],"B")</f>
        <v>0</v>
      </c>
      <c r="M11" s="47">
        <f>-SUMIFS(SIP[Unit],SIP[Investor ID],INVESTORS_LIST[[#This Row],[INVESTOR CODE]],SIP[B/S],"S")</f>
        <v>0</v>
      </c>
      <c r="N11" s="50">
        <f>IF(INVESTORS_LIST[[#This Row],[SIP_TOTAL UNITS BUY]]=0,0,INVESTORS_LIST[[#This Row],[SIP_TOTAL UNITS BUY]]-INVESTORS_LIST[[#This Row],[SIP_TOTAL UNITS SOLD]])</f>
        <v>0</v>
      </c>
      <c r="O11" s="49">
        <f>IF(INVESTORS_LIST[[#This Row],[SIP_TOTAL UNITS BUY]]=0,0,SUMIFS(SIP[Amount],SIP[Investor ID],INVESTORS_LIST[[#This Row],[INVESTOR CODE]],SIP[B/S],"B"))</f>
        <v>0</v>
      </c>
      <c r="P11" s="49">
        <f>IF(INVESTORS_LIST[[#This Row],[SIP_TOTAL UNITS SOLD]]=0,0,SUMIFS(SIP[Cost of Units Sold],SIP[Investor ID],INVESTORS_LIST[[#This Row],[INVESTOR CODE]],SIP[B/S],"S"))</f>
        <v>0</v>
      </c>
      <c r="Q11" s="48">
        <f>IF(INVESTORS_LIST[[#This Row],[SIP_TOTAL CURRENT UNITS]]=0,0,INVESTORS_LIST[[#This Row],[SIP_TOTAL CURRENT UNITS]]*INVESTORS_LIST[[#This Row],[SIP_AVERAGE COST]])</f>
        <v>0</v>
      </c>
      <c r="R11" s="48">
        <f>IF(INVESTORS_LIST[[#This Row],[SIP_TOTAL UNITS SOLD]]=0,0,SUMIFS(SIP[Realized Gain],SIP[Investor ID],INVESTORS_LIST[[#This Row],[INVESTOR CODE]],SIP[B/S],"S"))</f>
        <v>0</v>
      </c>
      <c r="S11" s="50">
        <f>INVESTORS_LIST[[#This Row],[LS_TOTAL UNITS BUY]]+INVESTORS_LIST[[#This Row],[SIP_TOTAL UNITS BUY]]</f>
        <v>0</v>
      </c>
      <c r="T11" s="50">
        <f>INVESTORS_LIST[[#This Row],[LS_TOTAL UNITS SOLD]]+INVESTORS_LIST[[#This Row],[SIP_TOTAL UNITS SOLD]]</f>
        <v>0</v>
      </c>
      <c r="U11" s="50"/>
      <c r="V11" s="50">
        <f>SUMIFS(LS[BO UNIT TRANSFER],LS[Investor ID],INVESTORS_LIST[[#This Row],[INVESTOR CODE]],LS[B/S],"B")</f>
        <v>0</v>
      </c>
      <c r="W11" s="50">
        <f>SUMIFS(SIP[BO UNIT TRANSFER],SIP[Investor ID],INVESTORS_LIST[[#This Row],[INVESTOR CODE]],SIP[B/S],"B")</f>
        <v>0</v>
      </c>
      <c r="X11" s="50">
        <f>SUMIFS(LS[BO UNIT TRANSFER],LS[Investor ID],INVESTORS_LIST[[#This Row],[INVESTOR CODE]],LS[B/S],"S")</f>
        <v>0</v>
      </c>
      <c r="Y11" s="50">
        <f>SUMIFS(SIP[BO UNIT TRANSFER],SIP[Investor ID],INVESTORS_LIST[[#This Row],[INVESTOR CODE]],SIP[B/S],"S")</f>
        <v>0</v>
      </c>
      <c r="Z11" s="106">
        <f>SUM(INVESTORS_LIST[[#This Row],[BO OPENING BALANCE]:[BO SIP UNITS REPURCHASE]])</f>
        <v>0</v>
      </c>
      <c r="AA11" s="107">
        <f>INVESTORS_LIST[[#This Row],[TOTAL UNITS BUY]]-INVESTORS_LIST[[#This Row],[TOTAL UNITS SOLD]]</f>
        <v>0</v>
      </c>
      <c r="AB11" s="107">
        <f>INVESTORS_LIST[[#This Row],[TOTAL CURRENT UNITS]]-INVESTORS_LIST[[#This Row],[BO UNITS HOLD]]</f>
        <v>0</v>
      </c>
      <c r="AC11" s="201" t="e">
        <f>INDEX([3]!Table_1[BO ID],MATCH(INVESTORS_LIST[[#This Row],[INVESTOR CODE]],[3]!Table_1[INVESTOR CODE],0))</f>
        <v>#REF!</v>
      </c>
      <c r="AD11" s="201" t="e">
        <f>INDEX([3]!Table_1[Brokerage Name2],MATCH(INVESTORS_LIST[[#This Row],[INVESTOR CODE]],[3]!Table_1[INVESTOR CODE],0))</f>
        <v>#REF!</v>
      </c>
      <c r="AE11" s="201" t="e">
        <f>MID(INVESTORS_LIST[[#This Row],[BO ID]],4,5)</f>
        <v>#REF!</v>
      </c>
      <c r="AF11" s="201" t="e">
        <f>MID(INVESTORS_LIST[[#This Row],[BO ID]],2,7)</f>
        <v>#REF!</v>
      </c>
      <c r="AG11" s="201" t="e">
        <f>MID(INVESTORS_LIST[[#This Row],[BO ID]],9,7)</f>
        <v>#REF!</v>
      </c>
      <c r="AH11" s="201" t="e">
        <f>RIGHT(INVESTORS_LIST[[#This Row],[BO ID]],1)</f>
        <v>#REF!</v>
      </c>
      <c r="AI11" s="50">
        <f>INVESTORS_LIST[[#This Row],[LS_TOTAL COST VALUE OF CURRENT UNITS]]+INVESTORS_LIST[[#This Row],[SIP_TOTAL COST VALUE OF CURRENT UNITS]]</f>
        <v>0</v>
      </c>
      <c r="AJ11" s="109">
        <f>IF(INVESTORS_LIST[[#This Row],[TOTAL CURRENT UNITS]]=0,0,INVESTORS_LIST[[#This Row],[LS_TOTAL CURRENT UNITS]]/INVESTORS_LIST[[#This Row],[TOTAL CURRENT UNITS]])</f>
        <v>0</v>
      </c>
      <c r="AK11" s="109">
        <f>IF(INVESTORS_LIST[[#This Row],[TOTAL CURRENT UNITS]]=0,0,INVESTORS_LIST[[#This Row],[SIP_TOTAL CURRENT UNITS]]/INVESTORS_LIST[[#This Row],[TOTAL CURRENT UNITS]])</f>
        <v>0</v>
      </c>
      <c r="AL11" s="49" cm="1">
        <f t="array" ref="AL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" s="49" cm="1">
        <f t="array" ref="AM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" s="105">
        <f t="shared" si="1"/>
        <v>14.224</v>
      </c>
      <c r="AP11" s="112">
        <f>IF(INVESTORS_LIST[[#This Row],[TOTAL CURRENT UNITS]]=0,0,INVESTORS_LIST[[#This Row],[TOTAL CURRENT UNITS]]*INVESTORS_LIST[[#This Row],[NAV]])</f>
        <v>0</v>
      </c>
      <c r="AQ11" s="49">
        <f>IF(INVESTORS_LIST[[#This Row],[LS_TOTAL CURRENT UNITS]]=0,0,INVESTORS_LIST[[#This Row],[LS_TOTAL CURRENT UNITS]]*INVESTORS_LIST[[#This Row],[NAV]])</f>
        <v>0</v>
      </c>
      <c r="AR11" s="48">
        <f>IF(INVESTORS_LIST[[#This Row],[SIP_TOTAL CURRENT UNITS]]=0,0,INVESTORS_LIST[[#This Row],[SIP_TOTAL CURRENT UNITS]]*INVESTORS_LIST[[#This Row],[NAV]])</f>
        <v>0</v>
      </c>
      <c r="AS11" s="50">
        <f>INVESTORS_LIST[[#This Row],[TOTAL CURRENT UNITS]]</f>
        <v>0</v>
      </c>
      <c r="AT11" s="48">
        <f>IF(INVESTORS_LIST[[#This Row],[TOTAL SELLABLE UNITS]]=0,0,INVESTORS_LIST[[#This Row],[TOTAL SELLABLE UNITS]]*INVESTORS_LIST[[#This Row],[NAV]])</f>
        <v>0</v>
      </c>
      <c r="AU11" s="48">
        <f>INVESTORS_LIST[[#This Row],[LS_TOTAL REALIZED GAIN]]+INVESTORS_LIST[[#This Row],[SIP_TOTAL REALIZED GAIN]]</f>
        <v>0</v>
      </c>
      <c r="AV11" s="48">
        <f>INVESTORS_LIST[[#This Row],[TOTAL MARKET VALUE]]-INVESTORS_LIST[[#This Row],[TOTAL COST VALUE OF CURRENT INVESTMENT]]</f>
        <v>0</v>
      </c>
      <c r="AW11" s="48">
        <f>IFERROR(INVESTORS_LIST[[#This Row],[TOTAL CURRENT UNITS]]/SUM(INVESTORS_LIST[TOTAL CURRENT UNITS]),0)</f>
        <v>0</v>
      </c>
    </row>
    <row r="12" spans="1:58" hidden="1">
      <c r="A12" s="262" t="s">
        <v>68</v>
      </c>
      <c r="B12" s="97" t="s">
        <v>69</v>
      </c>
      <c r="C12" t="s">
        <v>44</v>
      </c>
      <c r="D12" s="75" t="s">
        <v>45</v>
      </c>
      <c r="E12" s="47">
        <f>SUMIFS(LS[Unit],LS[Investor ID],INVESTORS_LIST[[#This Row],[INVESTOR CODE]],LS[B/S],"B")</f>
        <v>0</v>
      </c>
      <c r="F12" s="47">
        <f>-SUMIFS(LS[Unit],LS[Investor ID],INVESTORS_LIST[[#This Row],[INVESTOR CODE]],LS[B/S],"S")</f>
        <v>0</v>
      </c>
      <c r="G12" s="47">
        <f>IF(INVESTORS_LIST[[#This Row],[LS_TOTAL UNITS BUY]]=0,0,INVESTORS_LIST[[#This Row],[LS_TOTAL UNITS BUY]]-INVESTORS_LIST[[#This Row],[LS_TOTAL UNITS SOLD]])</f>
        <v>0</v>
      </c>
      <c r="H12" s="49">
        <f>IF(INVESTORS_LIST[[#This Row],[LS_TOTAL UNITS BUY]]=0,0,SUMIFS(LS[Amount],LS[Investor ID],INVESTORS_LIST[[#This Row],[INVESTOR CODE]],LS[B/S],"B"))</f>
        <v>0</v>
      </c>
      <c r="I12" s="48">
        <f>IF(INVESTORS_LIST[[#This Row],[LS_TOTAL UNITS SOLD]]=0,0,SUMIFS(LS[Cost of Units Sold],LS[Investor ID],INVESTORS_LIST[[#This Row],[INVESTOR CODE]],LS[B/S],"S"))</f>
        <v>0</v>
      </c>
      <c r="J12" s="48">
        <f>IF(INVESTORS_LIST[[#This Row],[LS_TOTAL CURRENT UNITS]]=0,0,INVESTORS_LIST[[#This Row],[LS_TOTAL CURRENT UNITS]]*INVESTORS_LIST[[#This Row],[LS_AVERAGE COST]])</f>
        <v>0</v>
      </c>
      <c r="K12" s="49">
        <f>IF(INVESTORS_LIST[[#This Row],[LS_TOTAL UNITS SOLD]]=0,0,SUMIFS(LS[Realized Gain],LS[Investor ID],INVESTORS_LIST[[#This Row],[INVESTOR CODE]],LS[B/S],"S"))</f>
        <v>0</v>
      </c>
      <c r="L12" s="47">
        <f>SUMIFS(SIP[Unit],SIP[Investor ID],INVESTORS_LIST[[#This Row],[INVESTOR CODE]],SIP[B/S],"B")</f>
        <v>17492</v>
      </c>
      <c r="M12" s="47">
        <f>-SUMIFS(SIP[Unit],SIP[Investor ID],INVESTORS_LIST[[#This Row],[INVESTOR CODE]],SIP[B/S],"S")</f>
        <v>17492</v>
      </c>
      <c r="N12" s="50">
        <f>IF(INVESTORS_LIST[[#This Row],[SIP_TOTAL UNITS BUY]]=0,0,INVESTORS_LIST[[#This Row],[SIP_TOTAL UNITS BUY]]-INVESTORS_LIST[[#This Row],[SIP_TOTAL UNITS SOLD]])</f>
        <v>0</v>
      </c>
      <c r="O12" s="49">
        <f>IF(INVESTORS_LIST[[#This Row],[SIP_TOTAL UNITS BUY]]=0,0,SUMIFS(SIP[Amount],SIP[Investor ID],INVESTORS_LIST[[#This Row],[INVESTOR CODE]],SIP[B/S],"B"))</f>
        <v>200000</v>
      </c>
      <c r="P12" s="49">
        <f>IF(INVESTORS_LIST[[#This Row],[SIP_TOTAL UNITS SOLD]]=0,0,SUMIFS(SIP[Cost of Units Sold],SIP[Investor ID],INVESTORS_LIST[[#This Row],[INVESTOR CODE]],SIP[B/S],"S"))</f>
        <v>200000</v>
      </c>
      <c r="Q12" s="48">
        <f>IF(INVESTORS_LIST[[#This Row],[SIP_TOTAL CURRENT UNITS]]=0,0,INVESTORS_LIST[[#This Row],[SIP_TOTAL CURRENT UNITS]]*INVESTORS_LIST[[#This Row],[SIP_AVERAGE COST]])</f>
        <v>0</v>
      </c>
      <c r="R12" s="48">
        <f>IF(INVESTORS_LIST[[#This Row],[SIP_TOTAL UNITS SOLD]]=0,0,SUMIFS(SIP[Realized Gain],SIP[Investor ID],INVESTORS_LIST[[#This Row],[INVESTOR CODE]],SIP[B/S],"S"))</f>
        <v>7909.6299999999883</v>
      </c>
      <c r="S12" s="50">
        <f>INVESTORS_LIST[[#This Row],[LS_TOTAL UNITS BUY]]+INVESTORS_LIST[[#This Row],[SIP_TOTAL UNITS BUY]]</f>
        <v>17492</v>
      </c>
      <c r="T12" s="50">
        <f>INVESTORS_LIST[[#This Row],[LS_TOTAL UNITS SOLD]]+INVESTORS_LIST[[#This Row],[SIP_TOTAL UNITS SOLD]]</f>
        <v>17492</v>
      </c>
      <c r="U12" s="50"/>
      <c r="V12" s="50">
        <f>SUMIFS(LS[BO UNIT TRANSFER],LS[Investor ID],INVESTORS_LIST[[#This Row],[INVESTOR CODE]],LS[B/S],"B")</f>
        <v>0</v>
      </c>
      <c r="W12" s="50">
        <f>SUMIFS(SIP[BO UNIT TRANSFER],SIP[Investor ID],INVESTORS_LIST[[#This Row],[INVESTOR CODE]],SIP[B/S],"B")</f>
        <v>0</v>
      </c>
      <c r="X12" s="50">
        <f>SUMIFS(LS[BO UNIT TRANSFER],LS[Investor ID],INVESTORS_LIST[[#This Row],[INVESTOR CODE]],LS[B/S],"S")</f>
        <v>0</v>
      </c>
      <c r="Y12" s="50">
        <f>SUMIFS(SIP[BO UNIT TRANSFER],SIP[Investor ID],INVESTORS_LIST[[#This Row],[INVESTOR CODE]],SIP[B/S],"S")</f>
        <v>0</v>
      </c>
      <c r="Z12" s="106">
        <f>SUM(INVESTORS_LIST[[#This Row],[BO OPENING BALANCE]:[BO SIP UNITS REPURCHASE]])</f>
        <v>0</v>
      </c>
      <c r="AA12" s="107">
        <f>INVESTORS_LIST[[#This Row],[TOTAL UNITS BUY]]-INVESTORS_LIST[[#This Row],[TOTAL UNITS SOLD]]</f>
        <v>0</v>
      </c>
      <c r="AB12" s="107">
        <f>INVESTORS_LIST[[#This Row],[TOTAL CURRENT UNITS]]-INVESTORS_LIST[[#This Row],[BO UNITS HOLD]]</f>
        <v>0</v>
      </c>
      <c r="AC12" s="201" t="e">
        <f>INDEX([3]!Table_1[BO ID],MATCH(INVESTORS_LIST[[#This Row],[INVESTOR CODE]],[3]!Table_1[INVESTOR CODE],0))</f>
        <v>#REF!</v>
      </c>
      <c r="AD12" s="201" t="e">
        <f>INDEX([3]!Table_1[Brokerage Name2],MATCH(INVESTORS_LIST[[#This Row],[INVESTOR CODE]],[3]!Table_1[INVESTOR CODE],0))</f>
        <v>#REF!</v>
      </c>
      <c r="AE12" s="201" t="e">
        <f>MID(INVESTORS_LIST[[#This Row],[BO ID]],4,5)</f>
        <v>#REF!</v>
      </c>
      <c r="AF12" s="201" t="e">
        <f>MID(INVESTORS_LIST[[#This Row],[BO ID]],2,7)</f>
        <v>#REF!</v>
      </c>
      <c r="AG12" s="201" t="e">
        <f>MID(INVESTORS_LIST[[#This Row],[BO ID]],9,7)</f>
        <v>#REF!</v>
      </c>
      <c r="AH12" s="201" t="e">
        <f>RIGHT(INVESTORS_LIST[[#This Row],[BO ID]],1)</f>
        <v>#REF!</v>
      </c>
      <c r="AI12" s="50">
        <f>INVESTORS_LIST[[#This Row],[LS_TOTAL COST VALUE OF CURRENT UNITS]]+INVESTORS_LIST[[#This Row],[SIP_TOTAL COST VALUE OF CURRENT UNITS]]</f>
        <v>0</v>
      </c>
      <c r="AJ12" s="109">
        <f>IF(INVESTORS_LIST[[#This Row],[TOTAL CURRENT UNITS]]=0,0,INVESTORS_LIST[[#This Row],[LS_TOTAL CURRENT UNITS]]/INVESTORS_LIST[[#This Row],[TOTAL CURRENT UNITS]])</f>
        <v>0</v>
      </c>
      <c r="AK12" s="109">
        <f>IF(INVESTORS_LIST[[#This Row],[TOTAL CURRENT UNITS]]=0,0,INVESTORS_LIST[[#This Row],[SIP_TOTAL CURRENT UNITS]]/INVESTORS_LIST[[#This Row],[TOTAL CURRENT UNITS]])</f>
        <v>0</v>
      </c>
      <c r="AL12" s="49" cm="1">
        <f t="array" ref="AL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" s="49" cm="1">
        <f t="array" ref="AM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" s="105">
        <f t="shared" si="1"/>
        <v>14.224</v>
      </c>
      <c r="AP12" s="112">
        <f>IF(INVESTORS_LIST[[#This Row],[TOTAL CURRENT UNITS]]=0,0,INVESTORS_LIST[[#This Row],[TOTAL CURRENT UNITS]]*INVESTORS_LIST[[#This Row],[NAV]])</f>
        <v>0</v>
      </c>
      <c r="AQ12" s="49">
        <f>IF(INVESTORS_LIST[[#This Row],[LS_TOTAL CURRENT UNITS]]=0,0,INVESTORS_LIST[[#This Row],[LS_TOTAL CURRENT UNITS]]*INVESTORS_LIST[[#This Row],[NAV]])</f>
        <v>0</v>
      </c>
      <c r="AR12" s="48">
        <f>IF(INVESTORS_LIST[[#This Row],[SIP_TOTAL CURRENT UNITS]]=0,0,INVESTORS_LIST[[#This Row],[SIP_TOTAL CURRENT UNITS]]*INVESTORS_LIST[[#This Row],[NAV]])</f>
        <v>0</v>
      </c>
      <c r="AS12" s="50">
        <f>INVESTORS_LIST[[#This Row],[TOTAL CURRENT UNITS]]</f>
        <v>0</v>
      </c>
      <c r="AT12" s="48">
        <f>IF(INVESTORS_LIST[[#This Row],[TOTAL SELLABLE UNITS]]=0,0,INVESTORS_LIST[[#This Row],[TOTAL SELLABLE UNITS]]*INVESTORS_LIST[[#This Row],[NAV]])</f>
        <v>0</v>
      </c>
      <c r="AU12" s="48">
        <f>INVESTORS_LIST[[#This Row],[LS_TOTAL REALIZED GAIN]]+INVESTORS_LIST[[#This Row],[SIP_TOTAL REALIZED GAIN]]</f>
        <v>7909.6299999999883</v>
      </c>
      <c r="AV12" s="48">
        <f>INVESTORS_LIST[[#This Row],[TOTAL MARKET VALUE]]-INVESTORS_LIST[[#This Row],[TOTAL COST VALUE OF CURRENT INVESTMENT]]</f>
        <v>0</v>
      </c>
      <c r="AW12" s="108">
        <f>IFERROR(INVESTORS_LIST[[#This Row],[TOTAL CURRENT UNITS]]/SUM(INVESTORS_LIST[TOTAL CURRENT UNITS]),0)</f>
        <v>0</v>
      </c>
      <c r="AY12" s="170">
        <f>AY3*NAV_MKT</f>
        <v>0</v>
      </c>
    </row>
    <row r="13" spans="1:58" hidden="1">
      <c r="A13" s="262" t="s">
        <v>70</v>
      </c>
      <c r="B13" s="97" t="s">
        <v>71</v>
      </c>
      <c r="C13" t="s">
        <v>44</v>
      </c>
      <c r="D13" s="75" t="s">
        <v>45</v>
      </c>
      <c r="E13" s="47">
        <f>SUMIFS(LS[Unit],LS[Investor ID],INVESTORS_LIST[[#This Row],[INVESTOR CODE]],LS[B/S],"B")</f>
        <v>0</v>
      </c>
      <c r="F13" s="47">
        <f>-SUMIFS(LS[Unit],LS[Investor ID],INVESTORS_LIST[[#This Row],[INVESTOR CODE]],LS[B/S],"S")</f>
        <v>0</v>
      </c>
      <c r="G13" s="47">
        <f>IF(INVESTORS_LIST[[#This Row],[LS_TOTAL UNITS BUY]]=0,0,INVESTORS_LIST[[#This Row],[LS_TOTAL UNITS BUY]]-INVESTORS_LIST[[#This Row],[LS_TOTAL UNITS SOLD]])</f>
        <v>0</v>
      </c>
      <c r="H13" s="49">
        <f>IF(INVESTORS_LIST[[#This Row],[LS_TOTAL UNITS BUY]]=0,0,SUMIFS(LS[Amount],LS[Investor ID],INVESTORS_LIST[[#This Row],[INVESTOR CODE]],LS[B/S],"B"))</f>
        <v>0</v>
      </c>
      <c r="I13" s="48">
        <f>IF(INVESTORS_LIST[[#This Row],[LS_TOTAL UNITS SOLD]]=0,0,SUMIFS(LS[Cost of Units Sold],LS[Investor ID],INVESTORS_LIST[[#This Row],[INVESTOR CODE]],LS[B/S],"S"))</f>
        <v>0</v>
      </c>
      <c r="J13" s="48">
        <f>IF(INVESTORS_LIST[[#This Row],[LS_TOTAL CURRENT UNITS]]=0,0,INVESTORS_LIST[[#This Row],[LS_TOTAL CURRENT UNITS]]*INVESTORS_LIST[[#This Row],[LS_AVERAGE COST]])</f>
        <v>0</v>
      </c>
      <c r="K13" s="49">
        <f>IF(INVESTORS_LIST[[#This Row],[LS_TOTAL UNITS SOLD]]=0,0,SUMIFS(LS[Realized Gain],LS[Investor ID],INVESTORS_LIST[[#This Row],[INVESTOR CODE]],LS[B/S],"S"))</f>
        <v>0</v>
      </c>
      <c r="L13" s="47">
        <f>SUMIFS(SIP[Unit],SIP[Investor ID],INVESTORS_LIST[[#This Row],[INVESTOR CODE]],SIP[B/S],"B")</f>
        <v>0</v>
      </c>
      <c r="M13" s="47">
        <f>-SUMIFS(SIP[Unit],SIP[Investor ID],INVESTORS_LIST[[#This Row],[INVESTOR CODE]],SIP[B/S],"S")</f>
        <v>0</v>
      </c>
      <c r="N13" s="50">
        <f>IF(INVESTORS_LIST[[#This Row],[SIP_TOTAL UNITS BUY]]=0,0,INVESTORS_LIST[[#This Row],[SIP_TOTAL UNITS BUY]]-INVESTORS_LIST[[#This Row],[SIP_TOTAL UNITS SOLD]])</f>
        <v>0</v>
      </c>
      <c r="O13" s="49">
        <f>IF(INVESTORS_LIST[[#This Row],[SIP_TOTAL UNITS BUY]]=0,0,SUMIFS(SIP[Amount],SIP[Investor ID],INVESTORS_LIST[[#This Row],[INVESTOR CODE]],SIP[B/S],"B"))</f>
        <v>0</v>
      </c>
      <c r="P13" s="49">
        <f>IF(INVESTORS_LIST[[#This Row],[SIP_TOTAL UNITS SOLD]]=0,0,SUMIFS(SIP[Cost of Units Sold],SIP[Investor ID],INVESTORS_LIST[[#This Row],[INVESTOR CODE]],SIP[B/S],"S"))</f>
        <v>0</v>
      </c>
      <c r="Q13" s="48">
        <f>IF(INVESTORS_LIST[[#This Row],[SIP_TOTAL CURRENT UNITS]]=0,0,INVESTORS_LIST[[#This Row],[SIP_TOTAL CURRENT UNITS]]*INVESTORS_LIST[[#This Row],[SIP_AVERAGE COST]])</f>
        <v>0</v>
      </c>
      <c r="R13" s="48">
        <f>IF(INVESTORS_LIST[[#This Row],[SIP_TOTAL UNITS SOLD]]=0,0,SUMIFS(SIP[Realized Gain],SIP[Investor ID],INVESTORS_LIST[[#This Row],[INVESTOR CODE]],SIP[B/S],"S"))</f>
        <v>0</v>
      </c>
      <c r="S13" s="50">
        <f>INVESTORS_LIST[[#This Row],[LS_TOTAL UNITS BUY]]+INVESTORS_LIST[[#This Row],[SIP_TOTAL UNITS BUY]]</f>
        <v>0</v>
      </c>
      <c r="T13" s="50">
        <f>INVESTORS_LIST[[#This Row],[LS_TOTAL UNITS SOLD]]+INVESTORS_LIST[[#This Row],[SIP_TOTAL UNITS SOLD]]</f>
        <v>0</v>
      </c>
      <c r="U13" s="50"/>
      <c r="V13" s="50">
        <f>SUMIFS(LS[BO UNIT TRANSFER],LS[Investor ID],INVESTORS_LIST[[#This Row],[INVESTOR CODE]],LS[B/S],"B")</f>
        <v>0</v>
      </c>
      <c r="W13" s="50">
        <f>SUMIFS(SIP[BO UNIT TRANSFER],SIP[Investor ID],INVESTORS_LIST[[#This Row],[INVESTOR CODE]],SIP[B/S],"B")</f>
        <v>0</v>
      </c>
      <c r="X13" s="50">
        <f>SUMIFS(LS[BO UNIT TRANSFER],LS[Investor ID],INVESTORS_LIST[[#This Row],[INVESTOR CODE]],LS[B/S],"S")</f>
        <v>0</v>
      </c>
      <c r="Y13" s="50">
        <f>SUMIFS(SIP[BO UNIT TRANSFER],SIP[Investor ID],INVESTORS_LIST[[#This Row],[INVESTOR CODE]],SIP[B/S],"S")</f>
        <v>0</v>
      </c>
      <c r="Z13" s="106">
        <f>SUM(INVESTORS_LIST[[#This Row],[BO OPENING BALANCE]:[BO SIP UNITS REPURCHASE]])</f>
        <v>0</v>
      </c>
      <c r="AA13" s="107">
        <f>INVESTORS_LIST[[#This Row],[TOTAL UNITS BUY]]-INVESTORS_LIST[[#This Row],[TOTAL UNITS SOLD]]</f>
        <v>0</v>
      </c>
      <c r="AB13" s="107">
        <f>INVESTORS_LIST[[#This Row],[TOTAL CURRENT UNITS]]-INVESTORS_LIST[[#This Row],[BO UNITS HOLD]]</f>
        <v>0</v>
      </c>
      <c r="AC13" s="201" t="e">
        <f>INDEX([3]!Table_1[BO ID],MATCH(INVESTORS_LIST[[#This Row],[INVESTOR CODE]],[3]!Table_1[INVESTOR CODE],0))</f>
        <v>#REF!</v>
      </c>
      <c r="AD13" s="201" t="e">
        <f>INDEX([3]!Table_1[Brokerage Name2],MATCH(INVESTORS_LIST[[#This Row],[INVESTOR CODE]],[3]!Table_1[INVESTOR CODE],0))</f>
        <v>#REF!</v>
      </c>
      <c r="AE13" s="201" t="e">
        <f>MID(INVESTORS_LIST[[#This Row],[BO ID]],4,5)</f>
        <v>#REF!</v>
      </c>
      <c r="AF13" s="201" t="e">
        <f>MID(INVESTORS_LIST[[#This Row],[BO ID]],2,7)</f>
        <v>#REF!</v>
      </c>
      <c r="AG13" s="201" t="e">
        <f>MID(INVESTORS_LIST[[#This Row],[BO ID]],9,7)</f>
        <v>#REF!</v>
      </c>
      <c r="AH13" s="201" t="e">
        <f>RIGHT(INVESTORS_LIST[[#This Row],[BO ID]],1)</f>
        <v>#REF!</v>
      </c>
      <c r="AI13" s="50">
        <f>INVESTORS_LIST[[#This Row],[LS_TOTAL COST VALUE OF CURRENT UNITS]]+INVESTORS_LIST[[#This Row],[SIP_TOTAL COST VALUE OF CURRENT UNITS]]</f>
        <v>0</v>
      </c>
      <c r="AJ13" s="109">
        <f>IF(INVESTORS_LIST[[#This Row],[TOTAL CURRENT UNITS]]=0,0,INVESTORS_LIST[[#This Row],[LS_TOTAL CURRENT UNITS]]/INVESTORS_LIST[[#This Row],[TOTAL CURRENT UNITS]])</f>
        <v>0</v>
      </c>
      <c r="AK13" s="109">
        <f>IF(INVESTORS_LIST[[#This Row],[TOTAL CURRENT UNITS]]=0,0,INVESTORS_LIST[[#This Row],[SIP_TOTAL CURRENT UNITS]]/INVESTORS_LIST[[#This Row],[TOTAL CURRENT UNITS]])</f>
        <v>0</v>
      </c>
      <c r="AL13" s="49" cm="1">
        <f t="array" ref="AL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" s="49" cm="1">
        <f t="array" ref="AM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" s="105">
        <f t="shared" si="1"/>
        <v>14.224</v>
      </c>
      <c r="AP13" s="112">
        <f>IF(INVESTORS_LIST[[#This Row],[TOTAL CURRENT UNITS]]=0,0,INVESTORS_LIST[[#This Row],[TOTAL CURRENT UNITS]]*INVESTORS_LIST[[#This Row],[NAV]])</f>
        <v>0</v>
      </c>
      <c r="AQ13" s="49">
        <f>IF(INVESTORS_LIST[[#This Row],[LS_TOTAL CURRENT UNITS]]=0,0,INVESTORS_LIST[[#This Row],[LS_TOTAL CURRENT UNITS]]*INVESTORS_LIST[[#This Row],[NAV]])</f>
        <v>0</v>
      </c>
      <c r="AR13" s="48">
        <f>IF(INVESTORS_LIST[[#This Row],[SIP_TOTAL CURRENT UNITS]]=0,0,INVESTORS_LIST[[#This Row],[SIP_TOTAL CURRENT UNITS]]*INVESTORS_LIST[[#This Row],[NAV]])</f>
        <v>0</v>
      </c>
      <c r="AS13" s="50">
        <f>INVESTORS_LIST[[#This Row],[TOTAL CURRENT UNITS]]</f>
        <v>0</v>
      </c>
      <c r="AT13" s="48">
        <f>IF(INVESTORS_LIST[[#This Row],[TOTAL SELLABLE UNITS]]=0,0,INVESTORS_LIST[[#This Row],[TOTAL SELLABLE UNITS]]*INVESTORS_LIST[[#This Row],[NAV]])</f>
        <v>0</v>
      </c>
      <c r="AU13" s="48">
        <f>INVESTORS_LIST[[#This Row],[LS_TOTAL REALIZED GAIN]]+INVESTORS_LIST[[#This Row],[SIP_TOTAL REALIZED GAIN]]</f>
        <v>0</v>
      </c>
      <c r="AV13" s="48">
        <f>INVESTORS_LIST[[#This Row],[TOTAL MARKET VALUE]]-INVESTORS_LIST[[#This Row],[TOTAL COST VALUE OF CURRENT INVESTMENT]]</f>
        <v>0</v>
      </c>
      <c r="AW13" s="48">
        <f>IFERROR(INVESTORS_LIST[[#This Row],[TOTAL CURRENT UNITS]]/SUM(INVESTORS_LIST[TOTAL CURRENT UNITS]),0)</f>
        <v>0</v>
      </c>
    </row>
    <row r="14" spans="1:58" hidden="1">
      <c r="A14" s="262" t="s">
        <v>72</v>
      </c>
      <c r="B14" s="97" t="s">
        <v>73</v>
      </c>
      <c r="C14" t="s">
        <v>52</v>
      </c>
      <c r="D14" s="75" t="s">
        <v>45</v>
      </c>
      <c r="E14" s="47">
        <f>SUMIFS(LS[Unit],LS[Investor ID],INVESTORS_LIST[[#This Row],[INVESTOR CODE]],LS[B/S],"B")</f>
        <v>381782</v>
      </c>
      <c r="F14" s="47">
        <f>-SUMIFS(LS[Unit],LS[Investor ID],INVESTORS_LIST[[#This Row],[INVESTOR CODE]],LS[B/S],"S")</f>
        <v>381782</v>
      </c>
      <c r="G14" s="47">
        <f>IF(INVESTORS_LIST[[#This Row],[LS_TOTAL UNITS BUY]]=0,0,INVESTORS_LIST[[#This Row],[LS_TOTAL UNITS BUY]]-INVESTORS_LIST[[#This Row],[LS_TOTAL UNITS SOLD]])</f>
        <v>0</v>
      </c>
      <c r="H14" s="49">
        <f>IF(INVESTORS_LIST[[#This Row],[LS_TOTAL UNITS BUY]]=0,0,SUMIFS(LS[Amount],LS[Investor ID],INVESTORS_LIST[[#This Row],[INVESTOR CODE]],LS[B/S],"B"))</f>
        <v>4000000</v>
      </c>
      <c r="I14" s="48">
        <f>IF(INVESTORS_LIST[[#This Row],[LS_TOTAL UNITS SOLD]]=0,0,SUMIFS(LS[Cost of Units Sold],LS[Investor ID],INVESTORS_LIST[[#This Row],[INVESTOR CODE]],LS[B/S],"S"))</f>
        <v>4000000.0000000005</v>
      </c>
      <c r="J14" s="48">
        <f>IF(INVESTORS_LIST[[#This Row],[LS_TOTAL CURRENT UNITS]]=0,0,INVESTORS_LIST[[#This Row],[LS_TOTAL CURRENT UNITS]]*INVESTORS_LIST[[#This Row],[LS_AVERAGE COST]])</f>
        <v>0</v>
      </c>
      <c r="K14" s="49">
        <f>IF(INVESTORS_LIST[[#This Row],[LS_TOTAL UNITS SOLD]]=0,0,SUMIFS(LS[Realized Gain],LS[Investor ID],INVESTORS_LIST[[#This Row],[INVESTOR CODE]],LS[B/S],"S"))</f>
        <v>563032.8399999995</v>
      </c>
      <c r="L14" s="47">
        <f>SUMIFS(SIP[Unit],SIP[Investor ID],INVESTORS_LIST[[#This Row],[INVESTOR CODE]],SIP[B/S],"B")</f>
        <v>0</v>
      </c>
      <c r="M14" s="47">
        <f>-SUMIFS(SIP[Unit],SIP[Investor ID],INVESTORS_LIST[[#This Row],[INVESTOR CODE]],SIP[B/S],"S")</f>
        <v>0</v>
      </c>
      <c r="N14" s="50">
        <f>IF(INVESTORS_LIST[[#This Row],[SIP_TOTAL UNITS BUY]]=0,0,INVESTORS_LIST[[#This Row],[SIP_TOTAL UNITS BUY]]-INVESTORS_LIST[[#This Row],[SIP_TOTAL UNITS SOLD]])</f>
        <v>0</v>
      </c>
      <c r="O14" s="49">
        <f>IF(INVESTORS_LIST[[#This Row],[SIP_TOTAL UNITS BUY]]=0,0,SUMIFS(SIP[Amount],SIP[Investor ID],INVESTORS_LIST[[#This Row],[INVESTOR CODE]],SIP[B/S],"B"))</f>
        <v>0</v>
      </c>
      <c r="P14" s="49">
        <f>IF(INVESTORS_LIST[[#This Row],[SIP_TOTAL UNITS SOLD]]=0,0,SUMIFS(SIP[Cost of Units Sold],SIP[Investor ID],INVESTORS_LIST[[#This Row],[INVESTOR CODE]],SIP[B/S],"S"))</f>
        <v>0</v>
      </c>
      <c r="Q14" s="48">
        <f>IF(INVESTORS_LIST[[#This Row],[SIP_TOTAL CURRENT UNITS]]=0,0,INVESTORS_LIST[[#This Row],[SIP_TOTAL CURRENT UNITS]]*INVESTORS_LIST[[#This Row],[SIP_AVERAGE COST]])</f>
        <v>0</v>
      </c>
      <c r="R14" s="48">
        <f>IF(INVESTORS_LIST[[#This Row],[SIP_TOTAL UNITS SOLD]]=0,0,SUMIFS(SIP[Realized Gain],SIP[Investor ID],INVESTORS_LIST[[#This Row],[INVESTOR CODE]],SIP[B/S],"S"))</f>
        <v>0</v>
      </c>
      <c r="S14" s="50">
        <f>INVESTORS_LIST[[#This Row],[LS_TOTAL UNITS BUY]]+INVESTORS_LIST[[#This Row],[SIP_TOTAL UNITS BUY]]</f>
        <v>381782</v>
      </c>
      <c r="T14" s="50">
        <f>INVESTORS_LIST[[#This Row],[LS_TOTAL UNITS SOLD]]+INVESTORS_LIST[[#This Row],[SIP_TOTAL UNITS SOLD]]</f>
        <v>381782</v>
      </c>
      <c r="U14" s="50"/>
      <c r="V14" s="50">
        <f>SUMIFS(LS[BO UNIT TRANSFER],LS[Investor ID],INVESTORS_LIST[[#This Row],[INVESTOR CODE]],LS[B/S],"B")</f>
        <v>0</v>
      </c>
      <c r="W14" s="50">
        <f>SUMIFS(SIP[BO UNIT TRANSFER],SIP[Investor ID],INVESTORS_LIST[[#This Row],[INVESTOR CODE]],SIP[B/S],"B")</f>
        <v>0</v>
      </c>
      <c r="X14" s="50">
        <f>SUMIFS(LS[BO UNIT TRANSFER],LS[Investor ID],INVESTORS_LIST[[#This Row],[INVESTOR CODE]],LS[B/S],"S")</f>
        <v>0</v>
      </c>
      <c r="Y14" s="50">
        <f>SUMIFS(SIP[BO UNIT TRANSFER],SIP[Investor ID],INVESTORS_LIST[[#This Row],[INVESTOR CODE]],SIP[B/S],"S")</f>
        <v>0</v>
      </c>
      <c r="Z14" s="106">
        <f>SUM(INVESTORS_LIST[[#This Row],[BO OPENING BALANCE]:[BO SIP UNITS REPURCHASE]])</f>
        <v>0</v>
      </c>
      <c r="AA14" s="107">
        <f>INVESTORS_LIST[[#This Row],[TOTAL UNITS BUY]]-INVESTORS_LIST[[#This Row],[TOTAL UNITS SOLD]]</f>
        <v>0</v>
      </c>
      <c r="AB14" s="107">
        <f>INVESTORS_LIST[[#This Row],[TOTAL CURRENT UNITS]]-INVESTORS_LIST[[#This Row],[BO UNITS HOLD]]</f>
        <v>0</v>
      </c>
      <c r="AC14" s="201" t="e">
        <f>INDEX([3]!Table_1[BO ID],MATCH(INVESTORS_LIST[[#This Row],[INVESTOR CODE]],[3]!Table_1[INVESTOR CODE],0))</f>
        <v>#REF!</v>
      </c>
      <c r="AD14" s="201" t="e">
        <f>INDEX([3]!Table_1[Brokerage Name2],MATCH(INVESTORS_LIST[[#This Row],[INVESTOR CODE]],[3]!Table_1[INVESTOR CODE],0))</f>
        <v>#REF!</v>
      </c>
      <c r="AE14" s="201" t="e">
        <f>MID(INVESTORS_LIST[[#This Row],[BO ID]],4,5)</f>
        <v>#REF!</v>
      </c>
      <c r="AF14" s="201" t="e">
        <f>MID(INVESTORS_LIST[[#This Row],[BO ID]],2,7)</f>
        <v>#REF!</v>
      </c>
      <c r="AG14" s="201" t="e">
        <f>MID(INVESTORS_LIST[[#This Row],[BO ID]],9,7)</f>
        <v>#REF!</v>
      </c>
      <c r="AH14" s="201" t="e">
        <f>RIGHT(INVESTORS_LIST[[#This Row],[BO ID]],1)</f>
        <v>#REF!</v>
      </c>
      <c r="AI14" s="50">
        <f>INVESTORS_LIST[[#This Row],[LS_TOTAL COST VALUE OF CURRENT UNITS]]+INVESTORS_LIST[[#This Row],[SIP_TOTAL COST VALUE OF CURRENT UNITS]]</f>
        <v>0</v>
      </c>
      <c r="AJ14" s="109">
        <f>IF(INVESTORS_LIST[[#This Row],[TOTAL CURRENT UNITS]]=0,0,INVESTORS_LIST[[#This Row],[LS_TOTAL CURRENT UNITS]]/INVESTORS_LIST[[#This Row],[TOTAL CURRENT UNITS]])</f>
        <v>0</v>
      </c>
      <c r="AK14" s="109">
        <f>IF(INVESTORS_LIST[[#This Row],[TOTAL CURRENT UNITS]]=0,0,INVESTORS_LIST[[#This Row],[SIP_TOTAL CURRENT UNITS]]/INVESTORS_LIST[[#This Row],[TOTAL CURRENT UNITS]])</f>
        <v>0</v>
      </c>
      <c r="AL14" s="49" cm="1">
        <f t="array" ref="AL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" s="49" cm="1">
        <f t="array" ref="AM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" s="105">
        <f t="shared" si="1"/>
        <v>14.224</v>
      </c>
      <c r="AP14" s="112">
        <f>IF(INVESTORS_LIST[[#This Row],[TOTAL CURRENT UNITS]]=0,0,INVESTORS_LIST[[#This Row],[TOTAL CURRENT UNITS]]*INVESTORS_LIST[[#This Row],[NAV]])</f>
        <v>0</v>
      </c>
      <c r="AQ14" s="49">
        <f>IF(INVESTORS_LIST[[#This Row],[LS_TOTAL CURRENT UNITS]]=0,0,INVESTORS_LIST[[#This Row],[LS_TOTAL CURRENT UNITS]]*INVESTORS_LIST[[#This Row],[NAV]])</f>
        <v>0</v>
      </c>
      <c r="AR14" s="48">
        <f>IF(INVESTORS_LIST[[#This Row],[SIP_TOTAL CURRENT UNITS]]=0,0,INVESTORS_LIST[[#This Row],[SIP_TOTAL CURRENT UNITS]]*INVESTORS_LIST[[#This Row],[NAV]])</f>
        <v>0</v>
      </c>
      <c r="AS14" s="50">
        <f>INVESTORS_LIST[[#This Row],[TOTAL CURRENT UNITS]]</f>
        <v>0</v>
      </c>
      <c r="AT14" s="48">
        <f>IF(INVESTORS_LIST[[#This Row],[TOTAL SELLABLE UNITS]]=0,0,INVESTORS_LIST[[#This Row],[TOTAL SELLABLE UNITS]]*INVESTORS_LIST[[#This Row],[NAV]])</f>
        <v>0</v>
      </c>
      <c r="AU14" s="48">
        <f>INVESTORS_LIST[[#This Row],[LS_TOTAL REALIZED GAIN]]+INVESTORS_LIST[[#This Row],[SIP_TOTAL REALIZED GAIN]]</f>
        <v>563032.8399999995</v>
      </c>
      <c r="AV14" s="48">
        <f>INVESTORS_LIST[[#This Row],[TOTAL MARKET VALUE]]-INVESTORS_LIST[[#This Row],[TOTAL COST VALUE OF CURRENT INVESTMENT]]</f>
        <v>0</v>
      </c>
      <c r="AW14" s="108">
        <f>IFERROR(INVESTORS_LIST[[#This Row],[TOTAL CURRENT UNITS]]/SUM(INVESTORS_LIST[TOTAL CURRENT UNITS]),0)</f>
        <v>0</v>
      </c>
    </row>
    <row r="15" spans="1:58" hidden="1">
      <c r="A15" s="262" t="s">
        <v>74</v>
      </c>
      <c r="B15" s="97" t="s">
        <v>75</v>
      </c>
      <c r="C15" t="s">
        <v>44</v>
      </c>
      <c r="D15" s="75" t="s">
        <v>45</v>
      </c>
      <c r="E15" s="47">
        <f>SUMIFS(LS[Unit],LS[Investor ID],INVESTORS_LIST[[#This Row],[INVESTOR CODE]],LS[B/S],"B")</f>
        <v>0</v>
      </c>
      <c r="F15" s="47">
        <f>-SUMIFS(LS[Unit],LS[Investor ID],INVESTORS_LIST[[#This Row],[INVESTOR CODE]],LS[B/S],"S")</f>
        <v>0</v>
      </c>
      <c r="G15" s="47">
        <f>IF(INVESTORS_LIST[[#This Row],[LS_TOTAL UNITS BUY]]=0,0,INVESTORS_LIST[[#This Row],[LS_TOTAL UNITS BUY]]-INVESTORS_LIST[[#This Row],[LS_TOTAL UNITS SOLD]])</f>
        <v>0</v>
      </c>
      <c r="H15" s="49">
        <f>IF(INVESTORS_LIST[[#This Row],[LS_TOTAL UNITS BUY]]=0,0,SUMIFS(LS[Amount],LS[Investor ID],INVESTORS_LIST[[#This Row],[INVESTOR CODE]],LS[B/S],"B"))</f>
        <v>0</v>
      </c>
      <c r="I15" s="48">
        <f>IF(INVESTORS_LIST[[#This Row],[LS_TOTAL UNITS SOLD]]=0,0,SUMIFS(LS[Cost of Units Sold],LS[Investor ID],INVESTORS_LIST[[#This Row],[INVESTOR CODE]],LS[B/S],"S"))</f>
        <v>0</v>
      </c>
      <c r="J15" s="48">
        <f>IF(INVESTORS_LIST[[#This Row],[LS_TOTAL CURRENT UNITS]]=0,0,INVESTORS_LIST[[#This Row],[LS_TOTAL CURRENT UNITS]]*INVESTORS_LIST[[#This Row],[LS_AVERAGE COST]])</f>
        <v>0</v>
      </c>
      <c r="K15" s="49">
        <f>IF(INVESTORS_LIST[[#This Row],[LS_TOTAL UNITS SOLD]]=0,0,SUMIFS(LS[Realized Gain],LS[Investor ID],INVESTORS_LIST[[#This Row],[INVESTOR CODE]],LS[B/S],"S"))</f>
        <v>0</v>
      </c>
      <c r="L15" s="47">
        <f>SUMIFS(SIP[Unit],SIP[Investor ID],INVESTORS_LIST[[#This Row],[INVESTOR CODE]],SIP[B/S],"B")</f>
        <v>0</v>
      </c>
      <c r="M15" s="47">
        <f>-SUMIFS(SIP[Unit],SIP[Investor ID],INVESTORS_LIST[[#This Row],[INVESTOR CODE]],SIP[B/S],"S")</f>
        <v>0</v>
      </c>
      <c r="N15" s="50">
        <f>IF(INVESTORS_LIST[[#This Row],[SIP_TOTAL UNITS BUY]]=0,0,INVESTORS_LIST[[#This Row],[SIP_TOTAL UNITS BUY]]-INVESTORS_LIST[[#This Row],[SIP_TOTAL UNITS SOLD]])</f>
        <v>0</v>
      </c>
      <c r="O15" s="49">
        <f>IF(INVESTORS_LIST[[#This Row],[SIP_TOTAL UNITS BUY]]=0,0,SUMIFS(SIP[Amount],SIP[Investor ID],INVESTORS_LIST[[#This Row],[INVESTOR CODE]],SIP[B/S],"B"))</f>
        <v>0</v>
      </c>
      <c r="P15" s="49">
        <f>IF(INVESTORS_LIST[[#This Row],[SIP_TOTAL UNITS SOLD]]=0,0,SUMIFS(SIP[Cost of Units Sold],SIP[Investor ID],INVESTORS_LIST[[#This Row],[INVESTOR CODE]],SIP[B/S],"S"))</f>
        <v>0</v>
      </c>
      <c r="Q15" s="48">
        <f>IF(INVESTORS_LIST[[#This Row],[SIP_TOTAL CURRENT UNITS]]=0,0,INVESTORS_LIST[[#This Row],[SIP_TOTAL CURRENT UNITS]]*INVESTORS_LIST[[#This Row],[SIP_AVERAGE COST]])</f>
        <v>0</v>
      </c>
      <c r="R15" s="48">
        <f>IF(INVESTORS_LIST[[#This Row],[SIP_TOTAL UNITS SOLD]]=0,0,SUMIFS(SIP[Realized Gain],SIP[Investor ID],INVESTORS_LIST[[#This Row],[INVESTOR CODE]],SIP[B/S],"S"))</f>
        <v>0</v>
      </c>
      <c r="S15" s="50">
        <f>INVESTORS_LIST[[#This Row],[LS_TOTAL UNITS BUY]]+INVESTORS_LIST[[#This Row],[SIP_TOTAL UNITS BUY]]</f>
        <v>0</v>
      </c>
      <c r="T15" s="50">
        <f>INVESTORS_LIST[[#This Row],[LS_TOTAL UNITS SOLD]]+INVESTORS_LIST[[#This Row],[SIP_TOTAL UNITS SOLD]]</f>
        <v>0</v>
      </c>
      <c r="U15" s="50"/>
      <c r="V15" s="50">
        <f>SUMIFS(LS[BO UNIT TRANSFER],LS[Investor ID],INVESTORS_LIST[[#This Row],[INVESTOR CODE]],LS[B/S],"B")</f>
        <v>0</v>
      </c>
      <c r="W15" s="50">
        <f>SUMIFS(SIP[BO UNIT TRANSFER],SIP[Investor ID],INVESTORS_LIST[[#This Row],[INVESTOR CODE]],SIP[B/S],"B")</f>
        <v>0</v>
      </c>
      <c r="X15" s="50">
        <f>SUMIFS(LS[BO UNIT TRANSFER],LS[Investor ID],INVESTORS_LIST[[#This Row],[INVESTOR CODE]],LS[B/S],"S")</f>
        <v>0</v>
      </c>
      <c r="Y15" s="50">
        <f>SUMIFS(SIP[BO UNIT TRANSFER],SIP[Investor ID],INVESTORS_LIST[[#This Row],[INVESTOR CODE]],SIP[B/S],"S")</f>
        <v>0</v>
      </c>
      <c r="Z15" s="106">
        <f>SUM(INVESTORS_LIST[[#This Row],[BO OPENING BALANCE]:[BO SIP UNITS REPURCHASE]])</f>
        <v>0</v>
      </c>
      <c r="AA15" s="107">
        <f>INVESTORS_LIST[[#This Row],[TOTAL UNITS BUY]]-INVESTORS_LIST[[#This Row],[TOTAL UNITS SOLD]]</f>
        <v>0</v>
      </c>
      <c r="AB15" s="107">
        <f>INVESTORS_LIST[[#This Row],[TOTAL CURRENT UNITS]]-INVESTORS_LIST[[#This Row],[BO UNITS HOLD]]</f>
        <v>0</v>
      </c>
      <c r="AC15" s="201" t="e">
        <f>INDEX([3]!Table_1[BO ID],MATCH(INVESTORS_LIST[[#This Row],[INVESTOR CODE]],[3]!Table_1[INVESTOR CODE],0))</f>
        <v>#REF!</v>
      </c>
      <c r="AD15" s="201" t="e">
        <f>INDEX([3]!Table_1[Brokerage Name2],MATCH(INVESTORS_LIST[[#This Row],[INVESTOR CODE]],[3]!Table_1[INVESTOR CODE],0))</f>
        <v>#REF!</v>
      </c>
      <c r="AE15" s="201" t="e">
        <f>MID(INVESTORS_LIST[[#This Row],[BO ID]],4,5)</f>
        <v>#REF!</v>
      </c>
      <c r="AF15" s="201" t="e">
        <f>MID(INVESTORS_LIST[[#This Row],[BO ID]],2,7)</f>
        <v>#REF!</v>
      </c>
      <c r="AG15" s="201" t="e">
        <f>MID(INVESTORS_LIST[[#This Row],[BO ID]],9,7)</f>
        <v>#REF!</v>
      </c>
      <c r="AH15" s="201" t="e">
        <f>RIGHT(INVESTORS_LIST[[#This Row],[BO ID]],1)</f>
        <v>#REF!</v>
      </c>
      <c r="AI15" s="50">
        <f>INVESTORS_LIST[[#This Row],[LS_TOTAL COST VALUE OF CURRENT UNITS]]+INVESTORS_LIST[[#This Row],[SIP_TOTAL COST VALUE OF CURRENT UNITS]]</f>
        <v>0</v>
      </c>
      <c r="AJ15" s="109">
        <f>IF(INVESTORS_LIST[[#This Row],[TOTAL CURRENT UNITS]]=0,0,INVESTORS_LIST[[#This Row],[LS_TOTAL CURRENT UNITS]]/INVESTORS_LIST[[#This Row],[TOTAL CURRENT UNITS]])</f>
        <v>0</v>
      </c>
      <c r="AK15" s="109">
        <f>IF(INVESTORS_LIST[[#This Row],[TOTAL CURRENT UNITS]]=0,0,INVESTORS_LIST[[#This Row],[SIP_TOTAL CURRENT UNITS]]/INVESTORS_LIST[[#This Row],[TOTAL CURRENT UNITS]])</f>
        <v>0</v>
      </c>
      <c r="AL15" s="49" cm="1">
        <f t="array" ref="AL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" s="49" cm="1">
        <f t="array" ref="AM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" s="105">
        <f t="shared" si="1"/>
        <v>14.224</v>
      </c>
      <c r="AP15" s="112">
        <f>IF(INVESTORS_LIST[[#This Row],[TOTAL CURRENT UNITS]]=0,0,INVESTORS_LIST[[#This Row],[TOTAL CURRENT UNITS]]*INVESTORS_LIST[[#This Row],[NAV]])</f>
        <v>0</v>
      </c>
      <c r="AQ15" s="49">
        <f>IF(INVESTORS_LIST[[#This Row],[LS_TOTAL CURRENT UNITS]]=0,0,INVESTORS_LIST[[#This Row],[LS_TOTAL CURRENT UNITS]]*INVESTORS_LIST[[#This Row],[NAV]])</f>
        <v>0</v>
      </c>
      <c r="AR15" s="48">
        <f>IF(INVESTORS_LIST[[#This Row],[SIP_TOTAL CURRENT UNITS]]=0,0,INVESTORS_LIST[[#This Row],[SIP_TOTAL CURRENT UNITS]]*INVESTORS_LIST[[#This Row],[NAV]])</f>
        <v>0</v>
      </c>
      <c r="AS15" s="50">
        <f>INVESTORS_LIST[[#This Row],[TOTAL CURRENT UNITS]]</f>
        <v>0</v>
      </c>
      <c r="AT15" s="48">
        <f>IF(INVESTORS_LIST[[#This Row],[TOTAL SELLABLE UNITS]]=0,0,INVESTORS_LIST[[#This Row],[TOTAL SELLABLE UNITS]]*INVESTORS_LIST[[#This Row],[NAV]])</f>
        <v>0</v>
      </c>
      <c r="AU15" s="48">
        <f>INVESTORS_LIST[[#This Row],[LS_TOTAL REALIZED GAIN]]+INVESTORS_LIST[[#This Row],[SIP_TOTAL REALIZED GAIN]]</f>
        <v>0</v>
      </c>
      <c r="AV15" s="48">
        <f>INVESTORS_LIST[[#This Row],[TOTAL MARKET VALUE]]-INVESTORS_LIST[[#This Row],[TOTAL COST VALUE OF CURRENT INVESTMENT]]</f>
        <v>0</v>
      </c>
      <c r="AW15" s="48">
        <f>IFERROR(INVESTORS_LIST[[#This Row],[TOTAL CURRENT UNITS]]/SUM(INVESTORS_LIST[TOTAL CURRENT UNITS]),0)</f>
        <v>0</v>
      </c>
    </row>
    <row r="16" spans="1:58" hidden="1">
      <c r="A16" s="262" t="s">
        <v>76</v>
      </c>
      <c r="B16" s="97" t="s">
        <v>77</v>
      </c>
      <c r="C16" t="s">
        <v>44</v>
      </c>
      <c r="D16" s="75" t="s">
        <v>45</v>
      </c>
      <c r="E16" s="47">
        <f>SUMIFS(LS[Unit],LS[Investor ID],INVESTORS_LIST[[#This Row],[INVESTOR CODE]],LS[B/S],"B")</f>
        <v>0</v>
      </c>
      <c r="F16" s="47">
        <f>-SUMIFS(LS[Unit],LS[Investor ID],INVESTORS_LIST[[#This Row],[INVESTOR CODE]],LS[B/S],"S")</f>
        <v>0</v>
      </c>
      <c r="G16" s="47">
        <f>IF(INVESTORS_LIST[[#This Row],[LS_TOTAL UNITS BUY]]=0,0,INVESTORS_LIST[[#This Row],[LS_TOTAL UNITS BUY]]-INVESTORS_LIST[[#This Row],[LS_TOTAL UNITS SOLD]])</f>
        <v>0</v>
      </c>
      <c r="H16" s="49">
        <f>IF(INVESTORS_LIST[[#This Row],[LS_TOTAL UNITS BUY]]=0,0,SUMIFS(LS[Amount],LS[Investor ID],INVESTORS_LIST[[#This Row],[INVESTOR CODE]],LS[B/S],"B"))</f>
        <v>0</v>
      </c>
      <c r="I16" s="48">
        <f>IF(INVESTORS_LIST[[#This Row],[LS_TOTAL UNITS SOLD]]=0,0,SUMIFS(LS[Cost of Units Sold],LS[Investor ID],INVESTORS_LIST[[#This Row],[INVESTOR CODE]],LS[B/S],"S"))</f>
        <v>0</v>
      </c>
      <c r="J16" s="48">
        <f>IF(INVESTORS_LIST[[#This Row],[LS_TOTAL CURRENT UNITS]]=0,0,INVESTORS_LIST[[#This Row],[LS_TOTAL CURRENT UNITS]]*INVESTORS_LIST[[#This Row],[LS_AVERAGE COST]])</f>
        <v>0</v>
      </c>
      <c r="K16" s="49">
        <f>IF(INVESTORS_LIST[[#This Row],[LS_TOTAL UNITS SOLD]]=0,0,SUMIFS(LS[Realized Gain],LS[Investor ID],INVESTORS_LIST[[#This Row],[INVESTOR CODE]],LS[B/S],"S"))</f>
        <v>0</v>
      </c>
      <c r="L16" s="47">
        <f>SUMIFS(SIP[Unit],SIP[Investor ID],INVESTORS_LIST[[#This Row],[INVESTOR CODE]],SIP[B/S],"B")</f>
        <v>0</v>
      </c>
      <c r="M16" s="47">
        <f>-SUMIFS(SIP[Unit],SIP[Investor ID],INVESTORS_LIST[[#This Row],[INVESTOR CODE]],SIP[B/S],"S")</f>
        <v>0</v>
      </c>
      <c r="N16" s="50">
        <f>IF(INVESTORS_LIST[[#This Row],[SIP_TOTAL UNITS BUY]]=0,0,INVESTORS_LIST[[#This Row],[SIP_TOTAL UNITS BUY]]-INVESTORS_LIST[[#This Row],[SIP_TOTAL UNITS SOLD]])</f>
        <v>0</v>
      </c>
      <c r="O16" s="49">
        <f>IF(INVESTORS_LIST[[#This Row],[SIP_TOTAL UNITS BUY]]=0,0,SUMIFS(SIP[Amount],SIP[Investor ID],INVESTORS_LIST[[#This Row],[INVESTOR CODE]],SIP[B/S],"B"))</f>
        <v>0</v>
      </c>
      <c r="P16" s="49">
        <f>IF(INVESTORS_LIST[[#This Row],[SIP_TOTAL UNITS SOLD]]=0,0,SUMIFS(SIP[Cost of Units Sold],SIP[Investor ID],INVESTORS_LIST[[#This Row],[INVESTOR CODE]],SIP[B/S],"S"))</f>
        <v>0</v>
      </c>
      <c r="Q16" s="48">
        <f>IF(INVESTORS_LIST[[#This Row],[SIP_TOTAL CURRENT UNITS]]=0,0,INVESTORS_LIST[[#This Row],[SIP_TOTAL CURRENT UNITS]]*INVESTORS_LIST[[#This Row],[SIP_AVERAGE COST]])</f>
        <v>0</v>
      </c>
      <c r="R16" s="48">
        <f>IF(INVESTORS_LIST[[#This Row],[SIP_TOTAL UNITS SOLD]]=0,0,SUMIFS(SIP[Realized Gain],SIP[Investor ID],INVESTORS_LIST[[#This Row],[INVESTOR CODE]],SIP[B/S],"S"))</f>
        <v>0</v>
      </c>
      <c r="S16" s="50">
        <f>INVESTORS_LIST[[#This Row],[LS_TOTAL UNITS BUY]]+INVESTORS_LIST[[#This Row],[SIP_TOTAL UNITS BUY]]</f>
        <v>0</v>
      </c>
      <c r="T16" s="50">
        <f>INVESTORS_LIST[[#This Row],[LS_TOTAL UNITS SOLD]]+INVESTORS_LIST[[#This Row],[SIP_TOTAL UNITS SOLD]]</f>
        <v>0</v>
      </c>
      <c r="U16" s="50"/>
      <c r="V16" s="50">
        <f>SUMIFS(LS[BO UNIT TRANSFER],LS[Investor ID],INVESTORS_LIST[[#This Row],[INVESTOR CODE]],LS[B/S],"B")</f>
        <v>0</v>
      </c>
      <c r="W16" s="50">
        <f>SUMIFS(SIP[BO UNIT TRANSFER],SIP[Investor ID],INVESTORS_LIST[[#This Row],[INVESTOR CODE]],SIP[B/S],"B")</f>
        <v>0</v>
      </c>
      <c r="X16" s="50">
        <f>SUMIFS(LS[BO UNIT TRANSFER],LS[Investor ID],INVESTORS_LIST[[#This Row],[INVESTOR CODE]],LS[B/S],"S")</f>
        <v>0</v>
      </c>
      <c r="Y16" s="50">
        <f>SUMIFS(SIP[BO UNIT TRANSFER],SIP[Investor ID],INVESTORS_LIST[[#This Row],[INVESTOR CODE]],SIP[B/S],"S")</f>
        <v>0</v>
      </c>
      <c r="Z16" s="106">
        <f>SUM(INVESTORS_LIST[[#This Row],[BO OPENING BALANCE]:[BO SIP UNITS REPURCHASE]])</f>
        <v>0</v>
      </c>
      <c r="AA16" s="107">
        <f>INVESTORS_LIST[[#This Row],[TOTAL UNITS BUY]]-INVESTORS_LIST[[#This Row],[TOTAL UNITS SOLD]]</f>
        <v>0</v>
      </c>
      <c r="AB16" s="107">
        <f>INVESTORS_LIST[[#This Row],[TOTAL CURRENT UNITS]]-INVESTORS_LIST[[#This Row],[BO UNITS HOLD]]</f>
        <v>0</v>
      </c>
      <c r="AC16" s="201" t="e">
        <f>INDEX([3]!Table_1[BO ID],MATCH(INVESTORS_LIST[[#This Row],[INVESTOR CODE]],[3]!Table_1[INVESTOR CODE],0))</f>
        <v>#REF!</v>
      </c>
      <c r="AD16" s="201" t="e">
        <f>INDEX([3]!Table_1[Brokerage Name2],MATCH(INVESTORS_LIST[[#This Row],[INVESTOR CODE]],[3]!Table_1[INVESTOR CODE],0))</f>
        <v>#REF!</v>
      </c>
      <c r="AE16" s="201" t="e">
        <f>MID(INVESTORS_LIST[[#This Row],[BO ID]],4,5)</f>
        <v>#REF!</v>
      </c>
      <c r="AF16" s="201" t="e">
        <f>MID(INVESTORS_LIST[[#This Row],[BO ID]],2,7)</f>
        <v>#REF!</v>
      </c>
      <c r="AG16" s="201" t="e">
        <f>MID(INVESTORS_LIST[[#This Row],[BO ID]],9,7)</f>
        <v>#REF!</v>
      </c>
      <c r="AH16" s="201" t="e">
        <f>RIGHT(INVESTORS_LIST[[#This Row],[BO ID]],1)</f>
        <v>#REF!</v>
      </c>
      <c r="AI16" s="50">
        <f>INVESTORS_LIST[[#This Row],[LS_TOTAL COST VALUE OF CURRENT UNITS]]+INVESTORS_LIST[[#This Row],[SIP_TOTAL COST VALUE OF CURRENT UNITS]]</f>
        <v>0</v>
      </c>
      <c r="AJ16" s="109">
        <f>IF(INVESTORS_LIST[[#This Row],[TOTAL CURRENT UNITS]]=0,0,INVESTORS_LIST[[#This Row],[LS_TOTAL CURRENT UNITS]]/INVESTORS_LIST[[#This Row],[TOTAL CURRENT UNITS]])</f>
        <v>0</v>
      </c>
      <c r="AK16" s="109">
        <f>IF(INVESTORS_LIST[[#This Row],[TOTAL CURRENT UNITS]]=0,0,INVESTORS_LIST[[#This Row],[SIP_TOTAL CURRENT UNITS]]/INVESTORS_LIST[[#This Row],[TOTAL CURRENT UNITS]])</f>
        <v>0</v>
      </c>
      <c r="AL16" s="49" cm="1">
        <f t="array" ref="AL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" s="49" cm="1">
        <f t="array" ref="AM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" s="105">
        <f t="shared" si="1"/>
        <v>14.224</v>
      </c>
      <c r="AP16" s="112">
        <f>IF(INVESTORS_LIST[[#This Row],[TOTAL CURRENT UNITS]]=0,0,INVESTORS_LIST[[#This Row],[TOTAL CURRENT UNITS]]*INVESTORS_LIST[[#This Row],[NAV]])</f>
        <v>0</v>
      </c>
      <c r="AQ16" s="49">
        <f>IF(INVESTORS_LIST[[#This Row],[LS_TOTAL CURRENT UNITS]]=0,0,INVESTORS_LIST[[#This Row],[LS_TOTAL CURRENT UNITS]]*INVESTORS_LIST[[#This Row],[NAV]])</f>
        <v>0</v>
      </c>
      <c r="AR16" s="48">
        <f>IF(INVESTORS_LIST[[#This Row],[SIP_TOTAL CURRENT UNITS]]=0,0,INVESTORS_LIST[[#This Row],[SIP_TOTAL CURRENT UNITS]]*INVESTORS_LIST[[#This Row],[NAV]])</f>
        <v>0</v>
      </c>
      <c r="AS16" s="50">
        <f>INVESTORS_LIST[[#This Row],[TOTAL CURRENT UNITS]]</f>
        <v>0</v>
      </c>
      <c r="AT16" s="48">
        <f>IF(INVESTORS_LIST[[#This Row],[TOTAL SELLABLE UNITS]]=0,0,INVESTORS_LIST[[#This Row],[TOTAL SELLABLE UNITS]]*INVESTORS_LIST[[#This Row],[NAV]])</f>
        <v>0</v>
      </c>
      <c r="AU16" s="48">
        <f>INVESTORS_LIST[[#This Row],[LS_TOTAL REALIZED GAIN]]+INVESTORS_LIST[[#This Row],[SIP_TOTAL REALIZED GAIN]]</f>
        <v>0</v>
      </c>
      <c r="AV16" s="48">
        <f>INVESTORS_LIST[[#This Row],[TOTAL MARKET VALUE]]-INVESTORS_LIST[[#This Row],[TOTAL COST VALUE OF CURRENT INVESTMENT]]</f>
        <v>0</v>
      </c>
      <c r="AW16" s="48">
        <f>IFERROR(INVESTORS_LIST[[#This Row],[TOTAL CURRENT UNITS]]/SUM(INVESTORS_LIST[TOTAL CURRENT UNITS]),0)</f>
        <v>0</v>
      </c>
    </row>
    <row r="17" spans="1:49" hidden="1">
      <c r="A17" s="262" t="s">
        <v>78</v>
      </c>
      <c r="B17" s="97" t="s">
        <v>79</v>
      </c>
      <c r="C17" t="s">
        <v>48</v>
      </c>
      <c r="D17" s="75" t="s">
        <v>80</v>
      </c>
      <c r="E17" s="47">
        <f>SUMIFS(LS[Unit],LS[Investor ID],INVESTORS_LIST[[#This Row],[INVESTOR CODE]],LS[B/S],"B")</f>
        <v>0</v>
      </c>
      <c r="F17" s="47">
        <f>-SUMIFS(LS[Unit],LS[Investor ID],INVESTORS_LIST[[#This Row],[INVESTOR CODE]],LS[B/S],"S")</f>
        <v>0</v>
      </c>
      <c r="G17" s="47">
        <f>IF(INVESTORS_LIST[[#This Row],[LS_TOTAL UNITS BUY]]=0,0,INVESTORS_LIST[[#This Row],[LS_TOTAL UNITS BUY]]-INVESTORS_LIST[[#This Row],[LS_TOTAL UNITS SOLD]])</f>
        <v>0</v>
      </c>
      <c r="H17" s="49">
        <f>IF(INVESTORS_LIST[[#This Row],[LS_TOTAL UNITS BUY]]=0,0,SUMIFS(LS[Amount],LS[Investor ID],INVESTORS_LIST[[#This Row],[INVESTOR CODE]],LS[B/S],"B"))</f>
        <v>0</v>
      </c>
      <c r="I17" s="48">
        <f>IF(INVESTORS_LIST[[#This Row],[LS_TOTAL UNITS SOLD]]=0,0,SUMIFS(LS[Cost of Units Sold],LS[Investor ID],INVESTORS_LIST[[#This Row],[INVESTOR CODE]],LS[B/S],"S"))</f>
        <v>0</v>
      </c>
      <c r="J17" s="48">
        <f>IF(INVESTORS_LIST[[#This Row],[LS_TOTAL CURRENT UNITS]]=0,0,INVESTORS_LIST[[#This Row],[LS_TOTAL CURRENT UNITS]]*INVESTORS_LIST[[#This Row],[LS_AVERAGE COST]])</f>
        <v>0</v>
      </c>
      <c r="K17" s="49">
        <f>IF(INVESTORS_LIST[[#This Row],[LS_TOTAL UNITS SOLD]]=0,0,SUMIFS(LS[Realized Gain],LS[Investor ID],INVESTORS_LIST[[#This Row],[INVESTOR CODE]],LS[B/S],"S"))</f>
        <v>0</v>
      </c>
      <c r="L17" s="47">
        <f>SUMIFS(SIP[Unit],SIP[Investor ID],INVESTORS_LIST[[#This Row],[INVESTOR CODE]],SIP[B/S],"B")</f>
        <v>0</v>
      </c>
      <c r="M17" s="47">
        <f>-SUMIFS(SIP[Unit],SIP[Investor ID],INVESTORS_LIST[[#This Row],[INVESTOR CODE]],SIP[B/S],"S")</f>
        <v>0</v>
      </c>
      <c r="N17" s="50">
        <f>IF(INVESTORS_LIST[[#This Row],[SIP_TOTAL UNITS BUY]]=0,0,INVESTORS_LIST[[#This Row],[SIP_TOTAL UNITS BUY]]-INVESTORS_LIST[[#This Row],[SIP_TOTAL UNITS SOLD]])</f>
        <v>0</v>
      </c>
      <c r="O17" s="49">
        <f>IF(INVESTORS_LIST[[#This Row],[SIP_TOTAL UNITS BUY]]=0,0,SUMIFS(SIP[Amount],SIP[Investor ID],INVESTORS_LIST[[#This Row],[INVESTOR CODE]],SIP[B/S],"B"))</f>
        <v>0</v>
      </c>
      <c r="P17" s="49">
        <f>IF(INVESTORS_LIST[[#This Row],[SIP_TOTAL UNITS SOLD]]=0,0,SUMIFS(SIP[Cost of Units Sold],SIP[Investor ID],INVESTORS_LIST[[#This Row],[INVESTOR CODE]],SIP[B/S],"S"))</f>
        <v>0</v>
      </c>
      <c r="Q17" s="48">
        <f>IF(INVESTORS_LIST[[#This Row],[SIP_TOTAL CURRENT UNITS]]=0,0,INVESTORS_LIST[[#This Row],[SIP_TOTAL CURRENT UNITS]]*INVESTORS_LIST[[#This Row],[SIP_AVERAGE COST]])</f>
        <v>0</v>
      </c>
      <c r="R17" s="48">
        <f>IF(INVESTORS_LIST[[#This Row],[SIP_TOTAL UNITS SOLD]]=0,0,SUMIFS(SIP[Realized Gain],SIP[Investor ID],INVESTORS_LIST[[#This Row],[INVESTOR CODE]],SIP[B/S],"S"))</f>
        <v>0</v>
      </c>
      <c r="S17" s="50">
        <f>INVESTORS_LIST[[#This Row],[LS_TOTAL UNITS BUY]]+INVESTORS_LIST[[#This Row],[SIP_TOTAL UNITS BUY]]</f>
        <v>0</v>
      </c>
      <c r="T17" s="50">
        <f>INVESTORS_LIST[[#This Row],[LS_TOTAL UNITS SOLD]]+INVESTORS_LIST[[#This Row],[SIP_TOTAL UNITS SOLD]]</f>
        <v>0</v>
      </c>
      <c r="U17" s="50"/>
      <c r="V17" s="50">
        <f>SUMIFS(LS[BO UNIT TRANSFER],LS[Investor ID],INVESTORS_LIST[[#This Row],[INVESTOR CODE]],LS[B/S],"B")</f>
        <v>0</v>
      </c>
      <c r="W17" s="50">
        <f>SUMIFS(SIP[BO UNIT TRANSFER],SIP[Investor ID],INVESTORS_LIST[[#This Row],[INVESTOR CODE]],SIP[B/S],"B")</f>
        <v>0</v>
      </c>
      <c r="X17" s="50">
        <f>SUMIFS(LS[BO UNIT TRANSFER],LS[Investor ID],INVESTORS_LIST[[#This Row],[INVESTOR CODE]],LS[B/S],"S")</f>
        <v>0</v>
      </c>
      <c r="Y17" s="50">
        <f>SUMIFS(SIP[BO UNIT TRANSFER],SIP[Investor ID],INVESTORS_LIST[[#This Row],[INVESTOR CODE]],SIP[B/S],"S")</f>
        <v>0</v>
      </c>
      <c r="Z17" s="106">
        <f>SUM(INVESTORS_LIST[[#This Row],[BO OPENING BALANCE]:[BO SIP UNITS REPURCHASE]])</f>
        <v>0</v>
      </c>
      <c r="AA17" s="107">
        <f>INVESTORS_LIST[[#This Row],[TOTAL UNITS BUY]]-INVESTORS_LIST[[#This Row],[TOTAL UNITS SOLD]]</f>
        <v>0</v>
      </c>
      <c r="AB17" s="107">
        <f>INVESTORS_LIST[[#This Row],[TOTAL CURRENT UNITS]]-INVESTORS_LIST[[#This Row],[BO UNITS HOLD]]</f>
        <v>0</v>
      </c>
      <c r="AC17" s="201" t="e">
        <f>INDEX([3]!Table_1[BO ID],MATCH(INVESTORS_LIST[[#This Row],[INVESTOR CODE]],[3]!Table_1[INVESTOR CODE],0))</f>
        <v>#REF!</v>
      </c>
      <c r="AD17" s="201" t="e">
        <f>INDEX([3]!Table_1[Brokerage Name2],MATCH(INVESTORS_LIST[[#This Row],[INVESTOR CODE]],[3]!Table_1[INVESTOR CODE],0))</f>
        <v>#REF!</v>
      </c>
      <c r="AE17" s="201" t="e">
        <f>MID(INVESTORS_LIST[[#This Row],[BO ID]],4,5)</f>
        <v>#REF!</v>
      </c>
      <c r="AF17" s="201" t="e">
        <f>MID(INVESTORS_LIST[[#This Row],[BO ID]],2,7)</f>
        <v>#REF!</v>
      </c>
      <c r="AG17" s="201" t="e">
        <f>MID(INVESTORS_LIST[[#This Row],[BO ID]],9,7)</f>
        <v>#REF!</v>
      </c>
      <c r="AH17" s="201" t="e">
        <f>RIGHT(INVESTORS_LIST[[#This Row],[BO ID]],1)</f>
        <v>#REF!</v>
      </c>
      <c r="AI17" s="50">
        <f>INVESTORS_LIST[[#This Row],[LS_TOTAL COST VALUE OF CURRENT UNITS]]+INVESTORS_LIST[[#This Row],[SIP_TOTAL COST VALUE OF CURRENT UNITS]]</f>
        <v>0</v>
      </c>
      <c r="AJ17" s="109">
        <f>IF(INVESTORS_LIST[[#This Row],[TOTAL CURRENT UNITS]]=0,0,INVESTORS_LIST[[#This Row],[LS_TOTAL CURRENT UNITS]]/INVESTORS_LIST[[#This Row],[TOTAL CURRENT UNITS]])</f>
        <v>0</v>
      </c>
      <c r="AK17" s="109">
        <f>IF(INVESTORS_LIST[[#This Row],[TOTAL CURRENT UNITS]]=0,0,INVESTORS_LIST[[#This Row],[SIP_TOTAL CURRENT UNITS]]/INVESTORS_LIST[[#This Row],[TOTAL CURRENT UNITS]])</f>
        <v>0</v>
      </c>
      <c r="AL17" s="49" cm="1">
        <f t="array" ref="AL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" s="49" cm="1">
        <f t="array" ref="AM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" s="105">
        <f t="shared" si="1"/>
        <v>14.224</v>
      </c>
      <c r="AP17" s="112">
        <f>IF(INVESTORS_LIST[[#This Row],[TOTAL CURRENT UNITS]]=0,0,INVESTORS_LIST[[#This Row],[TOTAL CURRENT UNITS]]*INVESTORS_LIST[[#This Row],[NAV]])</f>
        <v>0</v>
      </c>
      <c r="AQ17" s="49">
        <f>IF(INVESTORS_LIST[[#This Row],[LS_TOTAL CURRENT UNITS]]=0,0,INVESTORS_LIST[[#This Row],[LS_TOTAL CURRENT UNITS]]*INVESTORS_LIST[[#This Row],[NAV]])</f>
        <v>0</v>
      </c>
      <c r="AR17" s="48">
        <f>IF(INVESTORS_LIST[[#This Row],[SIP_TOTAL CURRENT UNITS]]=0,0,INVESTORS_LIST[[#This Row],[SIP_TOTAL CURRENT UNITS]]*INVESTORS_LIST[[#This Row],[NAV]])</f>
        <v>0</v>
      </c>
      <c r="AS17" s="50">
        <f>INVESTORS_LIST[[#This Row],[TOTAL CURRENT UNITS]]</f>
        <v>0</v>
      </c>
      <c r="AT17" s="48">
        <f>IF(INVESTORS_LIST[[#This Row],[TOTAL SELLABLE UNITS]]=0,0,INVESTORS_LIST[[#This Row],[TOTAL SELLABLE UNITS]]*INVESTORS_LIST[[#This Row],[NAV]])</f>
        <v>0</v>
      </c>
      <c r="AU17" s="48">
        <f>INVESTORS_LIST[[#This Row],[LS_TOTAL REALIZED GAIN]]+INVESTORS_LIST[[#This Row],[SIP_TOTAL REALIZED GAIN]]</f>
        <v>0</v>
      </c>
      <c r="AV17" s="48">
        <f>INVESTORS_LIST[[#This Row],[TOTAL MARKET VALUE]]-INVESTORS_LIST[[#This Row],[TOTAL COST VALUE OF CURRENT INVESTMENT]]</f>
        <v>0</v>
      </c>
      <c r="AW17" s="48">
        <f>IFERROR(INVESTORS_LIST[[#This Row],[TOTAL CURRENT UNITS]]/SUM(INVESTORS_LIST[TOTAL CURRENT UNITS]),0)</f>
        <v>0</v>
      </c>
    </row>
    <row r="18" spans="1:49" hidden="1">
      <c r="A18" s="262" t="s">
        <v>81</v>
      </c>
      <c r="B18" s="97" t="s">
        <v>82</v>
      </c>
      <c r="C18" t="s">
        <v>44</v>
      </c>
      <c r="D18" s="75" t="s">
        <v>45</v>
      </c>
      <c r="E18" s="47">
        <f>SUMIFS(LS[Unit],LS[Investor ID],INVESTORS_LIST[[#This Row],[INVESTOR CODE]],LS[B/S],"B")</f>
        <v>80000</v>
      </c>
      <c r="F18" s="47">
        <f>-SUMIFS(LS[Unit],LS[Investor ID],INVESTORS_LIST[[#This Row],[INVESTOR CODE]],LS[B/S],"S")</f>
        <v>80000</v>
      </c>
      <c r="G18" s="47">
        <f>IF(INVESTORS_LIST[[#This Row],[LS_TOTAL UNITS BUY]]=0,0,INVESTORS_LIST[[#This Row],[LS_TOTAL UNITS BUY]]-INVESTORS_LIST[[#This Row],[LS_TOTAL UNITS SOLD]])</f>
        <v>0</v>
      </c>
      <c r="H18" s="49">
        <f>IF(INVESTORS_LIST[[#This Row],[LS_TOTAL UNITS BUY]]=0,0,SUMIFS(LS[Amount],LS[Investor ID],INVESTORS_LIST[[#This Row],[INVESTOR CODE]],LS[B/S],"B"))</f>
        <v>800000</v>
      </c>
      <c r="I18" s="48">
        <f>IF(INVESTORS_LIST[[#This Row],[LS_TOTAL UNITS SOLD]]=0,0,SUMIFS(LS[Cost of Units Sold],LS[Investor ID],INVESTORS_LIST[[#This Row],[INVESTOR CODE]],LS[B/S],"S"))</f>
        <v>800000</v>
      </c>
      <c r="J18" s="48">
        <f>IF(INVESTORS_LIST[[#This Row],[LS_TOTAL CURRENT UNITS]]=0,0,INVESTORS_LIST[[#This Row],[LS_TOTAL CURRENT UNITS]]*INVESTORS_LIST[[#This Row],[LS_AVERAGE COST]])</f>
        <v>0</v>
      </c>
      <c r="K18" s="49">
        <f>IF(INVESTORS_LIST[[#This Row],[LS_TOTAL UNITS SOLD]]=0,0,SUMIFS(LS[Realized Gain],LS[Investor ID],INVESTORS_LIST[[#This Row],[INVESTOR CODE]],LS[B/S],"S"))</f>
        <v>211919.99999999994</v>
      </c>
      <c r="L18" s="47">
        <f>SUMIFS(SIP[Unit],SIP[Investor ID],INVESTORS_LIST[[#This Row],[INVESTOR CODE]],SIP[B/S],"B")</f>
        <v>0</v>
      </c>
      <c r="M18" s="47">
        <f>-SUMIFS(SIP[Unit],SIP[Investor ID],INVESTORS_LIST[[#This Row],[INVESTOR CODE]],SIP[B/S],"S")</f>
        <v>0</v>
      </c>
      <c r="N18" s="50">
        <f>IF(INVESTORS_LIST[[#This Row],[SIP_TOTAL UNITS BUY]]=0,0,INVESTORS_LIST[[#This Row],[SIP_TOTAL UNITS BUY]]-INVESTORS_LIST[[#This Row],[SIP_TOTAL UNITS SOLD]])</f>
        <v>0</v>
      </c>
      <c r="O18" s="49">
        <f>IF(INVESTORS_LIST[[#This Row],[SIP_TOTAL UNITS BUY]]=0,0,SUMIFS(SIP[Amount],SIP[Investor ID],INVESTORS_LIST[[#This Row],[INVESTOR CODE]],SIP[B/S],"B"))</f>
        <v>0</v>
      </c>
      <c r="P18" s="49">
        <f>IF(INVESTORS_LIST[[#This Row],[SIP_TOTAL UNITS SOLD]]=0,0,SUMIFS(SIP[Cost of Units Sold],SIP[Investor ID],INVESTORS_LIST[[#This Row],[INVESTOR CODE]],SIP[B/S],"S"))</f>
        <v>0</v>
      </c>
      <c r="Q18" s="48">
        <f>IF(INVESTORS_LIST[[#This Row],[SIP_TOTAL CURRENT UNITS]]=0,0,INVESTORS_LIST[[#This Row],[SIP_TOTAL CURRENT UNITS]]*INVESTORS_LIST[[#This Row],[SIP_AVERAGE COST]])</f>
        <v>0</v>
      </c>
      <c r="R18" s="48">
        <f>IF(INVESTORS_LIST[[#This Row],[SIP_TOTAL UNITS SOLD]]=0,0,SUMIFS(SIP[Realized Gain],SIP[Investor ID],INVESTORS_LIST[[#This Row],[INVESTOR CODE]],SIP[B/S],"S"))</f>
        <v>0</v>
      </c>
      <c r="S18" s="50">
        <f>INVESTORS_LIST[[#This Row],[LS_TOTAL UNITS BUY]]+INVESTORS_LIST[[#This Row],[SIP_TOTAL UNITS BUY]]</f>
        <v>80000</v>
      </c>
      <c r="T18" s="50">
        <f>INVESTORS_LIST[[#This Row],[LS_TOTAL UNITS SOLD]]+INVESTORS_LIST[[#This Row],[SIP_TOTAL UNITS SOLD]]</f>
        <v>80000</v>
      </c>
      <c r="U18" s="50"/>
      <c r="V18" s="50">
        <f>SUMIFS(LS[BO UNIT TRANSFER],LS[Investor ID],INVESTORS_LIST[[#This Row],[INVESTOR CODE]],LS[B/S],"B")</f>
        <v>0</v>
      </c>
      <c r="W18" s="50">
        <f>SUMIFS(SIP[BO UNIT TRANSFER],SIP[Investor ID],INVESTORS_LIST[[#This Row],[INVESTOR CODE]],SIP[B/S],"B")</f>
        <v>0</v>
      </c>
      <c r="X18" s="50">
        <f>SUMIFS(LS[BO UNIT TRANSFER],LS[Investor ID],INVESTORS_LIST[[#This Row],[INVESTOR CODE]],LS[B/S],"S")</f>
        <v>0</v>
      </c>
      <c r="Y18" s="50">
        <f>SUMIFS(SIP[BO UNIT TRANSFER],SIP[Investor ID],INVESTORS_LIST[[#This Row],[INVESTOR CODE]],SIP[B/S],"S")</f>
        <v>0</v>
      </c>
      <c r="Z18" s="106">
        <f>SUM(INVESTORS_LIST[[#This Row],[BO OPENING BALANCE]:[BO SIP UNITS REPURCHASE]])</f>
        <v>0</v>
      </c>
      <c r="AA18" s="107">
        <f>INVESTORS_LIST[[#This Row],[TOTAL UNITS BUY]]-INVESTORS_LIST[[#This Row],[TOTAL UNITS SOLD]]</f>
        <v>0</v>
      </c>
      <c r="AB18" s="107">
        <f>INVESTORS_LIST[[#This Row],[TOTAL CURRENT UNITS]]-INVESTORS_LIST[[#This Row],[BO UNITS HOLD]]</f>
        <v>0</v>
      </c>
      <c r="AC18" s="201" t="e">
        <f>INDEX([3]!Table_1[BO ID],MATCH(INVESTORS_LIST[[#This Row],[INVESTOR CODE]],[3]!Table_1[INVESTOR CODE],0))</f>
        <v>#REF!</v>
      </c>
      <c r="AD18" s="201" t="e">
        <f>INDEX([3]!Table_1[Brokerage Name2],MATCH(INVESTORS_LIST[[#This Row],[INVESTOR CODE]],[3]!Table_1[INVESTOR CODE],0))</f>
        <v>#REF!</v>
      </c>
      <c r="AE18" s="201" t="e">
        <f>MID(INVESTORS_LIST[[#This Row],[BO ID]],4,5)</f>
        <v>#REF!</v>
      </c>
      <c r="AF18" s="201" t="e">
        <f>MID(INVESTORS_LIST[[#This Row],[BO ID]],2,7)</f>
        <v>#REF!</v>
      </c>
      <c r="AG18" s="201" t="e">
        <f>MID(INVESTORS_LIST[[#This Row],[BO ID]],9,7)</f>
        <v>#REF!</v>
      </c>
      <c r="AH18" s="201" t="e">
        <f>RIGHT(INVESTORS_LIST[[#This Row],[BO ID]],1)</f>
        <v>#REF!</v>
      </c>
      <c r="AI18" s="50">
        <f>INVESTORS_LIST[[#This Row],[LS_TOTAL COST VALUE OF CURRENT UNITS]]+INVESTORS_LIST[[#This Row],[SIP_TOTAL COST VALUE OF CURRENT UNITS]]</f>
        <v>0</v>
      </c>
      <c r="AJ18" s="109">
        <f>IF(INVESTORS_LIST[[#This Row],[TOTAL CURRENT UNITS]]=0,0,INVESTORS_LIST[[#This Row],[LS_TOTAL CURRENT UNITS]]/INVESTORS_LIST[[#This Row],[TOTAL CURRENT UNITS]])</f>
        <v>0</v>
      </c>
      <c r="AK18" s="109">
        <f>IF(INVESTORS_LIST[[#This Row],[TOTAL CURRENT UNITS]]=0,0,INVESTORS_LIST[[#This Row],[SIP_TOTAL CURRENT UNITS]]/INVESTORS_LIST[[#This Row],[TOTAL CURRENT UNITS]])</f>
        <v>0</v>
      </c>
      <c r="AL18" s="49" cm="1">
        <f t="array" ref="AL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" s="49" cm="1">
        <f t="array" ref="AM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" s="105">
        <f t="shared" si="1"/>
        <v>14.224</v>
      </c>
      <c r="AP18" s="112">
        <f>IF(INVESTORS_LIST[[#This Row],[TOTAL CURRENT UNITS]]=0,0,INVESTORS_LIST[[#This Row],[TOTAL CURRENT UNITS]]*INVESTORS_LIST[[#This Row],[NAV]])</f>
        <v>0</v>
      </c>
      <c r="AQ18" s="49">
        <f>IF(INVESTORS_LIST[[#This Row],[LS_TOTAL CURRENT UNITS]]=0,0,INVESTORS_LIST[[#This Row],[LS_TOTAL CURRENT UNITS]]*INVESTORS_LIST[[#This Row],[NAV]])</f>
        <v>0</v>
      </c>
      <c r="AR18" s="48">
        <f>IF(INVESTORS_LIST[[#This Row],[SIP_TOTAL CURRENT UNITS]]=0,0,INVESTORS_LIST[[#This Row],[SIP_TOTAL CURRENT UNITS]]*INVESTORS_LIST[[#This Row],[NAV]])</f>
        <v>0</v>
      </c>
      <c r="AS18" s="50">
        <f>INVESTORS_LIST[[#This Row],[TOTAL CURRENT UNITS]]</f>
        <v>0</v>
      </c>
      <c r="AT18" s="48">
        <f>IF(INVESTORS_LIST[[#This Row],[TOTAL SELLABLE UNITS]]=0,0,INVESTORS_LIST[[#This Row],[TOTAL SELLABLE UNITS]]*INVESTORS_LIST[[#This Row],[NAV]])</f>
        <v>0</v>
      </c>
      <c r="AU18" s="48">
        <f>INVESTORS_LIST[[#This Row],[LS_TOTAL REALIZED GAIN]]+INVESTORS_LIST[[#This Row],[SIP_TOTAL REALIZED GAIN]]</f>
        <v>211919.99999999994</v>
      </c>
      <c r="AV18" s="48">
        <f>INVESTORS_LIST[[#This Row],[TOTAL MARKET VALUE]]-INVESTORS_LIST[[#This Row],[TOTAL COST VALUE OF CURRENT INVESTMENT]]</f>
        <v>0</v>
      </c>
      <c r="AW18" s="108">
        <f>IFERROR(INVESTORS_LIST[[#This Row],[TOTAL CURRENT UNITS]]/SUM(INVESTORS_LIST[TOTAL CURRENT UNITS]),0)</f>
        <v>0</v>
      </c>
    </row>
    <row r="19" spans="1:49">
      <c r="A19" s="262" t="s">
        <v>83</v>
      </c>
      <c r="B19" s="97" t="s">
        <v>84</v>
      </c>
      <c r="C19" t="s">
        <v>52</v>
      </c>
      <c r="D19" s="75" t="s">
        <v>45</v>
      </c>
      <c r="E19" s="47">
        <f>SUMIFS(LS[Unit],LS[Investor ID],INVESTORS_LIST[[#This Row],[INVESTOR CODE]],LS[B/S],"B")</f>
        <v>339497</v>
      </c>
      <c r="F19" s="47">
        <f>-SUMIFS(LS[Unit],LS[Investor ID],INVESTORS_LIST[[#This Row],[INVESTOR CODE]],LS[B/S],"S")</f>
        <v>152812</v>
      </c>
      <c r="G19" s="47">
        <f>IF(INVESTORS_LIST[[#This Row],[LS_TOTAL UNITS BUY]]=0,0,INVESTORS_LIST[[#This Row],[LS_TOTAL UNITS BUY]]-INVESTORS_LIST[[#This Row],[LS_TOTAL UNITS SOLD]])</f>
        <v>186685</v>
      </c>
      <c r="H19" s="49">
        <f>IF(INVESTORS_LIST[[#This Row],[LS_TOTAL UNITS BUY]]=0,0,SUMIFS(LS[Amount],LS[Investor ID],INVESTORS_LIST[[#This Row],[INVESTOR CODE]],LS[B/S],"B"))</f>
        <v>3800000</v>
      </c>
      <c r="I19" s="48">
        <f>IF(INVESTORS_LIST[[#This Row],[LS_TOTAL UNITS SOLD]]=0,0,SUMIFS(LS[Cost of Units Sold],LS[Investor ID],INVESTORS_LIST[[#This Row],[INVESTOR CODE]],LS[B/S],"S"))</f>
        <v>1710429.2526885362</v>
      </c>
      <c r="J19" s="48">
        <f>IF(INVESTORS_LIST[[#This Row],[LS_TOTAL CURRENT UNITS]]=0,0,INVESTORS_LIST[[#This Row],[LS_TOTAL CURRENT UNITS]]*INVESTORS_LIST[[#This Row],[LS_AVERAGE COST]])</f>
        <v>2089570.7473114638</v>
      </c>
      <c r="K19" s="49">
        <f>IF(INVESTORS_LIST[[#This Row],[LS_TOTAL UNITS SOLD]]=0,0,SUMIFS(LS[Realized Gain],LS[Investor ID],INVESTORS_LIST[[#This Row],[INVESTOR CODE]],LS[B/S],"S"))</f>
        <v>289570.74731146358</v>
      </c>
      <c r="L19" s="47">
        <f>SUMIFS(SIP[Unit],SIP[Investor ID],INVESTORS_LIST[[#This Row],[INVESTOR CODE]],SIP[B/S],"B")</f>
        <v>0</v>
      </c>
      <c r="M19" s="47">
        <f>-SUMIFS(SIP[Unit],SIP[Investor ID],INVESTORS_LIST[[#This Row],[INVESTOR CODE]],SIP[B/S],"S")</f>
        <v>0</v>
      </c>
      <c r="N19" s="50">
        <f>IF(INVESTORS_LIST[[#This Row],[SIP_TOTAL UNITS BUY]]=0,0,INVESTORS_LIST[[#This Row],[SIP_TOTAL UNITS BUY]]-INVESTORS_LIST[[#This Row],[SIP_TOTAL UNITS SOLD]])</f>
        <v>0</v>
      </c>
      <c r="O19" s="49">
        <f>IF(INVESTORS_LIST[[#This Row],[SIP_TOTAL UNITS BUY]]=0,0,SUMIFS(SIP[Amount],SIP[Investor ID],INVESTORS_LIST[[#This Row],[INVESTOR CODE]],SIP[B/S],"B"))</f>
        <v>0</v>
      </c>
      <c r="P19" s="49">
        <f>IF(INVESTORS_LIST[[#This Row],[SIP_TOTAL UNITS SOLD]]=0,0,SUMIFS(SIP[Cost of Units Sold],SIP[Investor ID],INVESTORS_LIST[[#This Row],[INVESTOR CODE]],SIP[B/S],"S"))</f>
        <v>0</v>
      </c>
      <c r="Q19" s="48">
        <f>IF(INVESTORS_LIST[[#This Row],[SIP_TOTAL CURRENT UNITS]]=0,0,INVESTORS_LIST[[#This Row],[SIP_TOTAL CURRENT UNITS]]*INVESTORS_LIST[[#This Row],[SIP_AVERAGE COST]])</f>
        <v>0</v>
      </c>
      <c r="R19" s="48">
        <f>IF(INVESTORS_LIST[[#This Row],[SIP_TOTAL UNITS SOLD]]=0,0,SUMIFS(SIP[Realized Gain],SIP[Investor ID],INVESTORS_LIST[[#This Row],[INVESTOR CODE]],SIP[B/S],"S"))</f>
        <v>0</v>
      </c>
      <c r="S19" s="50">
        <f>INVESTORS_LIST[[#This Row],[LS_TOTAL UNITS BUY]]+INVESTORS_LIST[[#This Row],[SIP_TOTAL UNITS BUY]]</f>
        <v>339497</v>
      </c>
      <c r="T19" s="50">
        <f>INVESTORS_LIST[[#This Row],[LS_TOTAL UNITS SOLD]]+INVESTORS_LIST[[#This Row],[SIP_TOTAL UNITS SOLD]]</f>
        <v>152812</v>
      </c>
      <c r="U19" s="50">
        <v>339497</v>
      </c>
      <c r="V19" s="50">
        <f>SUMIFS(LS[BO UNIT TRANSFER],LS[Investor ID],INVESTORS_LIST[[#This Row],[INVESTOR CODE]],LS[B/S],"B")</f>
        <v>0</v>
      </c>
      <c r="W19" s="50">
        <f>SUMIFS(SIP[BO UNIT TRANSFER],SIP[Investor ID],INVESTORS_LIST[[#This Row],[INVESTOR CODE]],SIP[B/S],"B")</f>
        <v>0</v>
      </c>
      <c r="X19" s="50">
        <f>SUMIFS(LS[BO UNIT TRANSFER],LS[Investor ID],INVESTORS_LIST[[#This Row],[INVESTOR CODE]],LS[B/S],"S")</f>
        <v>0</v>
      </c>
      <c r="Y19" s="50">
        <f>SUMIFS(SIP[BO UNIT TRANSFER],SIP[Investor ID],INVESTORS_LIST[[#This Row],[INVESTOR CODE]],SIP[B/S],"S")</f>
        <v>0</v>
      </c>
      <c r="Z19" s="106">
        <f>SUM(INVESTORS_LIST[[#This Row],[BO OPENING BALANCE]:[BO SIP UNITS REPURCHASE]])</f>
        <v>339497</v>
      </c>
      <c r="AA19" s="107">
        <f>INVESTORS_LIST[[#This Row],[TOTAL UNITS BUY]]-INVESTORS_LIST[[#This Row],[TOTAL UNITS SOLD]]</f>
        <v>186685</v>
      </c>
      <c r="AB19" s="107">
        <f>INVESTORS_LIST[[#This Row],[TOTAL CURRENT UNITS]]-INVESTORS_LIST[[#This Row],[BO UNITS HOLD]]</f>
        <v>-152812</v>
      </c>
      <c r="AC19" s="201" t="e">
        <f>INDEX([3]!Table_1[BO ID],MATCH(INVESTORS_LIST[[#This Row],[INVESTOR CODE]],[3]!Table_1[INVESTOR CODE],0))</f>
        <v>#REF!</v>
      </c>
      <c r="AD19" s="201" t="e">
        <f>INDEX([3]!Table_1[Brokerage Name2],MATCH(INVESTORS_LIST[[#This Row],[INVESTOR CODE]],[3]!Table_1[INVESTOR CODE],0))</f>
        <v>#REF!</v>
      </c>
      <c r="AE19" s="201" t="e">
        <f>MID(INVESTORS_LIST[[#This Row],[BO ID]],4,5)</f>
        <v>#REF!</v>
      </c>
      <c r="AF19" s="201" t="e">
        <f>MID(INVESTORS_LIST[[#This Row],[BO ID]],2,7)</f>
        <v>#REF!</v>
      </c>
      <c r="AG19" s="201" t="e">
        <f>MID(INVESTORS_LIST[[#This Row],[BO ID]],9,7)</f>
        <v>#REF!</v>
      </c>
      <c r="AH19" s="201" t="e">
        <f>RIGHT(INVESTORS_LIST[[#This Row],[BO ID]],1)</f>
        <v>#REF!</v>
      </c>
      <c r="AI19" s="50">
        <f>INVESTORS_LIST[[#This Row],[LS_TOTAL COST VALUE OF CURRENT UNITS]]+INVESTORS_LIST[[#This Row],[SIP_TOTAL COST VALUE OF CURRENT UNITS]]</f>
        <v>2089570.7473114638</v>
      </c>
      <c r="AJ19" s="109">
        <f>IF(INVESTORS_LIST[[#This Row],[TOTAL CURRENT UNITS]]=0,0,INVESTORS_LIST[[#This Row],[LS_TOTAL CURRENT UNITS]]/INVESTORS_LIST[[#This Row],[TOTAL CURRENT UNITS]])</f>
        <v>1</v>
      </c>
      <c r="AK19" s="109">
        <f>IF(INVESTORS_LIST[[#This Row],[TOTAL CURRENT UNITS]]=0,0,INVESTORS_LIST[[#This Row],[SIP_TOTAL CURRENT UNITS]]/INVESTORS_LIST[[#This Row],[TOTAL CURRENT UNITS]])</f>
        <v>0</v>
      </c>
      <c r="AL19" s="49" cm="1">
        <f t="array" ref="AL19">IF(INVESTORS_LIST[[#This Row],[LS_TOTAL UNITS BUY]]&gt;0,INDEX(LS[NAV at Cost (Average)],MATCH(CONCATENATE(COUNTIFS(LS[Investor ID],INVESTORS_LIST[[#This Row],[INVESTOR CODE]]),INVESTORS_LIST[[#This Row],[INVESTOR CODE]]),LS[Unique Code],0),),0)</f>
        <v>11.193029688038481</v>
      </c>
      <c r="AM19" s="49" cm="1">
        <f t="array" ref="AM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" s="105">
        <f>IF(INVESTORS_LIST[[#This Row],[TOTAL CURRENT UNITS]]=0,0,(INVESTORS_LIST[[#This Row],[LS_WEIGHT]]*INVESTORS_LIST[[#This Row],[LS_AVERAGE COST]])+(INVESTORS_LIST[[#This Row],[SIP_WEIGHT]]*INVESTORS_LIST[[#This Row],[SIP_AVERAGE COST]]))</f>
        <v>11.193029688038481</v>
      </c>
      <c r="AO19" s="105">
        <f t="shared" si="1"/>
        <v>14.224</v>
      </c>
      <c r="AP19" s="112">
        <f>IF(INVESTORS_LIST[[#This Row],[TOTAL CURRENT UNITS]]=0,0,INVESTORS_LIST[[#This Row],[TOTAL CURRENT UNITS]]*INVESTORS_LIST[[#This Row],[NAV]])</f>
        <v>2655407.44</v>
      </c>
      <c r="AQ19" s="49">
        <f>IF(INVESTORS_LIST[[#This Row],[LS_TOTAL CURRENT UNITS]]=0,0,INVESTORS_LIST[[#This Row],[LS_TOTAL CURRENT UNITS]]*INVESTORS_LIST[[#This Row],[NAV]])</f>
        <v>2655407.44</v>
      </c>
      <c r="AR19" s="48">
        <f>IF(INVESTORS_LIST[[#This Row],[SIP_TOTAL CURRENT UNITS]]=0,0,INVESTORS_LIST[[#This Row],[SIP_TOTAL CURRENT UNITS]]*INVESTORS_LIST[[#This Row],[NAV]])</f>
        <v>0</v>
      </c>
      <c r="AS19" s="50">
        <f>INVESTORS_LIST[[#This Row],[TOTAL CURRENT UNITS]]</f>
        <v>186685</v>
      </c>
      <c r="AT19" s="48">
        <f>IF(INVESTORS_LIST[[#This Row],[TOTAL SELLABLE UNITS]]=0,0,INVESTORS_LIST[[#This Row],[TOTAL SELLABLE UNITS]]*INVESTORS_LIST[[#This Row],[NAV]])</f>
        <v>2655407.44</v>
      </c>
      <c r="AU19" s="48">
        <f>INVESTORS_LIST[[#This Row],[LS_TOTAL REALIZED GAIN]]+INVESTORS_LIST[[#This Row],[SIP_TOTAL REALIZED GAIN]]</f>
        <v>289570.74731146358</v>
      </c>
      <c r="AV19" s="48">
        <f>INVESTORS_LIST[[#This Row],[TOTAL MARKET VALUE]]-INVESTORS_LIST[[#This Row],[TOTAL COST VALUE OF CURRENT INVESTMENT]]</f>
        <v>565836.69268853613</v>
      </c>
      <c r="AW19" s="108">
        <f>IFERROR(INVESTORS_LIST[[#This Row],[TOTAL CURRENT UNITS]]/SUM(INVESTORS_LIST[TOTAL CURRENT UNITS]),0)</f>
        <v>4.5320038710841108E-3</v>
      </c>
    </row>
    <row r="20" spans="1:49" hidden="1">
      <c r="A20" s="262" t="s">
        <v>85</v>
      </c>
      <c r="B20" s="97" t="s">
        <v>86</v>
      </c>
      <c r="C20" t="s">
        <v>44</v>
      </c>
      <c r="D20" s="75" t="s">
        <v>45</v>
      </c>
      <c r="E20" s="47">
        <f>SUMIFS(LS[Unit],LS[Investor ID],INVESTORS_LIST[[#This Row],[INVESTOR CODE]],LS[B/S],"B")</f>
        <v>0</v>
      </c>
      <c r="F20" s="47">
        <f>-SUMIFS(LS[Unit],LS[Investor ID],INVESTORS_LIST[[#This Row],[INVESTOR CODE]],LS[B/S],"S")</f>
        <v>0</v>
      </c>
      <c r="G20" s="47">
        <f>IF(INVESTORS_LIST[[#This Row],[LS_TOTAL UNITS BUY]]=0,0,INVESTORS_LIST[[#This Row],[LS_TOTAL UNITS BUY]]-INVESTORS_LIST[[#This Row],[LS_TOTAL UNITS SOLD]])</f>
        <v>0</v>
      </c>
      <c r="H20" s="49">
        <f>IF(INVESTORS_LIST[[#This Row],[LS_TOTAL UNITS BUY]]=0,0,SUMIFS(LS[Amount],LS[Investor ID],INVESTORS_LIST[[#This Row],[INVESTOR CODE]],LS[B/S],"B"))</f>
        <v>0</v>
      </c>
      <c r="I20" s="48">
        <f>IF(INVESTORS_LIST[[#This Row],[LS_TOTAL UNITS SOLD]]=0,0,SUMIFS(LS[Cost of Units Sold],LS[Investor ID],INVESTORS_LIST[[#This Row],[INVESTOR CODE]],LS[B/S],"S"))</f>
        <v>0</v>
      </c>
      <c r="J20" s="48">
        <f>IF(INVESTORS_LIST[[#This Row],[LS_TOTAL CURRENT UNITS]]=0,0,INVESTORS_LIST[[#This Row],[LS_TOTAL CURRENT UNITS]]*INVESTORS_LIST[[#This Row],[LS_AVERAGE COST]])</f>
        <v>0</v>
      </c>
      <c r="K20" s="49">
        <f>IF(INVESTORS_LIST[[#This Row],[LS_TOTAL UNITS SOLD]]=0,0,SUMIFS(LS[Realized Gain],LS[Investor ID],INVESTORS_LIST[[#This Row],[INVESTOR CODE]],LS[B/S],"S"))</f>
        <v>0</v>
      </c>
      <c r="L20" s="47">
        <f>SUMIFS(SIP[Unit],SIP[Investor ID],INVESTORS_LIST[[#This Row],[INVESTOR CODE]],SIP[B/S],"B")</f>
        <v>0</v>
      </c>
      <c r="M20" s="47">
        <f>-SUMIFS(SIP[Unit],SIP[Investor ID],INVESTORS_LIST[[#This Row],[INVESTOR CODE]],SIP[B/S],"S")</f>
        <v>0</v>
      </c>
      <c r="N20" s="50">
        <f>IF(INVESTORS_LIST[[#This Row],[SIP_TOTAL UNITS BUY]]=0,0,INVESTORS_LIST[[#This Row],[SIP_TOTAL UNITS BUY]]-INVESTORS_LIST[[#This Row],[SIP_TOTAL UNITS SOLD]])</f>
        <v>0</v>
      </c>
      <c r="O20" s="49">
        <f>IF(INVESTORS_LIST[[#This Row],[SIP_TOTAL UNITS BUY]]=0,0,SUMIFS(SIP[Amount],SIP[Investor ID],INVESTORS_LIST[[#This Row],[INVESTOR CODE]],SIP[B/S],"B"))</f>
        <v>0</v>
      </c>
      <c r="P20" s="49">
        <f>IF(INVESTORS_LIST[[#This Row],[SIP_TOTAL UNITS SOLD]]=0,0,SUMIFS(SIP[Cost of Units Sold],SIP[Investor ID],INVESTORS_LIST[[#This Row],[INVESTOR CODE]],SIP[B/S],"S"))</f>
        <v>0</v>
      </c>
      <c r="Q20" s="48">
        <f>IF(INVESTORS_LIST[[#This Row],[SIP_TOTAL CURRENT UNITS]]=0,0,INVESTORS_LIST[[#This Row],[SIP_TOTAL CURRENT UNITS]]*INVESTORS_LIST[[#This Row],[SIP_AVERAGE COST]])</f>
        <v>0</v>
      </c>
      <c r="R20" s="48">
        <f>IF(INVESTORS_LIST[[#This Row],[SIP_TOTAL UNITS SOLD]]=0,0,SUMIFS(SIP[Realized Gain],SIP[Investor ID],INVESTORS_LIST[[#This Row],[INVESTOR CODE]],SIP[B/S],"S"))</f>
        <v>0</v>
      </c>
      <c r="S20" s="50">
        <f>INVESTORS_LIST[[#This Row],[LS_TOTAL UNITS BUY]]+INVESTORS_LIST[[#This Row],[SIP_TOTAL UNITS BUY]]</f>
        <v>0</v>
      </c>
      <c r="T20" s="50">
        <f>INVESTORS_LIST[[#This Row],[LS_TOTAL UNITS SOLD]]+INVESTORS_LIST[[#This Row],[SIP_TOTAL UNITS SOLD]]</f>
        <v>0</v>
      </c>
      <c r="U20" s="50"/>
      <c r="V20" s="50">
        <f>SUMIFS(LS[BO UNIT TRANSFER],LS[Investor ID],INVESTORS_LIST[[#This Row],[INVESTOR CODE]],LS[B/S],"B")</f>
        <v>0</v>
      </c>
      <c r="W20" s="50">
        <f>SUMIFS(SIP[BO UNIT TRANSFER],SIP[Investor ID],INVESTORS_LIST[[#This Row],[INVESTOR CODE]],SIP[B/S],"B")</f>
        <v>0</v>
      </c>
      <c r="X20" s="50">
        <f>SUMIFS(LS[BO UNIT TRANSFER],LS[Investor ID],INVESTORS_LIST[[#This Row],[INVESTOR CODE]],LS[B/S],"S")</f>
        <v>0</v>
      </c>
      <c r="Y20" s="50">
        <f>SUMIFS(SIP[BO UNIT TRANSFER],SIP[Investor ID],INVESTORS_LIST[[#This Row],[INVESTOR CODE]],SIP[B/S],"S")</f>
        <v>0</v>
      </c>
      <c r="Z20" s="106">
        <f>SUM(INVESTORS_LIST[[#This Row],[BO OPENING BALANCE]:[BO SIP UNITS REPURCHASE]])</f>
        <v>0</v>
      </c>
      <c r="AA20" s="107">
        <f>INVESTORS_LIST[[#This Row],[TOTAL UNITS BUY]]-INVESTORS_LIST[[#This Row],[TOTAL UNITS SOLD]]</f>
        <v>0</v>
      </c>
      <c r="AB20" s="107">
        <f>INVESTORS_LIST[[#This Row],[TOTAL CURRENT UNITS]]-INVESTORS_LIST[[#This Row],[BO UNITS HOLD]]</f>
        <v>0</v>
      </c>
      <c r="AC20" s="201" t="e">
        <f>INDEX([3]!Table_1[BO ID],MATCH(INVESTORS_LIST[[#This Row],[INVESTOR CODE]],[3]!Table_1[INVESTOR CODE],0))</f>
        <v>#REF!</v>
      </c>
      <c r="AD20" s="201" t="e">
        <f>INDEX([3]!Table_1[Brokerage Name2],MATCH(INVESTORS_LIST[[#This Row],[INVESTOR CODE]],[3]!Table_1[INVESTOR CODE],0))</f>
        <v>#REF!</v>
      </c>
      <c r="AE20" s="201" t="e">
        <f>MID(INVESTORS_LIST[[#This Row],[BO ID]],4,5)</f>
        <v>#REF!</v>
      </c>
      <c r="AF20" s="201" t="e">
        <f>MID(INVESTORS_LIST[[#This Row],[BO ID]],2,7)</f>
        <v>#REF!</v>
      </c>
      <c r="AG20" s="201" t="e">
        <f>MID(INVESTORS_LIST[[#This Row],[BO ID]],9,7)</f>
        <v>#REF!</v>
      </c>
      <c r="AH20" s="201" t="e">
        <f>RIGHT(INVESTORS_LIST[[#This Row],[BO ID]],1)</f>
        <v>#REF!</v>
      </c>
      <c r="AI20" s="50">
        <f>INVESTORS_LIST[[#This Row],[LS_TOTAL COST VALUE OF CURRENT UNITS]]+INVESTORS_LIST[[#This Row],[SIP_TOTAL COST VALUE OF CURRENT UNITS]]</f>
        <v>0</v>
      </c>
      <c r="AJ20" s="109">
        <f>IF(INVESTORS_LIST[[#This Row],[TOTAL CURRENT UNITS]]=0,0,INVESTORS_LIST[[#This Row],[LS_TOTAL CURRENT UNITS]]/INVESTORS_LIST[[#This Row],[TOTAL CURRENT UNITS]])</f>
        <v>0</v>
      </c>
      <c r="AK20" s="109">
        <f>IF(INVESTORS_LIST[[#This Row],[TOTAL CURRENT UNITS]]=0,0,INVESTORS_LIST[[#This Row],[SIP_TOTAL CURRENT UNITS]]/INVESTORS_LIST[[#This Row],[TOTAL CURRENT UNITS]])</f>
        <v>0</v>
      </c>
      <c r="AL20" s="49" cm="1">
        <f t="array" ref="AL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" s="49" cm="1">
        <f t="array" ref="AM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" s="105">
        <f t="shared" si="1"/>
        <v>14.224</v>
      </c>
      <c r="AP20" s="112">
        <f>IF(INVESTORS_LIST[[#This Row],[TOTAL CURRENT UNITS]]=0,0,INVESTORS_LIST[[#This Row],[TOTAL CURRENT UNITS]]*INVESTORS_LIST[[#This Row],[NAV]])</f>
        <v>0</v>
      </c>
      <c r="AQ20" s="49">
        <f>IF(INVESTORS_LIST[[#This Row],[LS_TOTAL CURRENT UNITS]]=0,0,INVESTORS_LIST[[#This Row],[LS_TOTAL CURRENT UNITS]]*INVESTORS_LIST[[#This Row],[NAV]])</f>
        <v>0</v>
      </c>
      <c r="AR20" s="48">
        <f>IF(INVESTORS_LIST[[#This Row],[SIP_TOTAL CURRENT UNITS]]=0,0,INVESTORS_LIST[[#This Row],[SIP_TOTAL CURRENT UNITS]]*INVESTORS_LIST[[#This Row],[NAV]])</f>
        <v>0</v>
      </c>
      <c r="AS20" s="50">
        <f>INVESTORS_LIST[[#This Row],[TOTAL CURRENT UNITS]]</f>
        <v>0</v>
      </c>
      <c r="AT20" s="48">
        <f>IF(INVESTORS_LIST[[#This Row],[TOTAL SELLABLE UNITS]]=0,0,INVESTORS_LIST[[#This Row],[TOTAL SELLABLE UNITS]]*INVESTORS_LIST[[#This Row],[NAV]])</f>
        <v>0</v>
      </c>
      <c r="AU20" s="48">
        <f>INVESTORS_LIST[[#This Row],[LS_TOTAL REALIZED GAIN]]+INVESTORS_LIST[[#This Row],[SIP_TOTAL REALIZED GAIN]]</f>
        <v>0</v>
      </c>
      <c r="AV20" s="48">
        <f>INVESTORS_LIST[[#This Row],[TOTAL MARKET VALUE]]-INVESTORS_LIST[[#This Row],[TOTAL COST VALUE OF CURRENT INVESTMENT]]</f>
        <v>0</v>
      </c>
      <c r="AW20" s="48">
        <f>IFERROR(INVESTORS_LIST[[#This Row],[TOTAL CURRENT UNITS]]/SUM(INVESTORS_LIST[TOTAL CURRENT UNITS]),0)</f>
        <v>0</v>
      </c>
    </row>
    <row r="21" spans="1:49" hidden="1">
      <c r="A21" s="262" t="s">
        <v>87</v>
      </c>
      <c r="B21" s="97" t="s">
        <v>88</v>
      </c>
      <c r="C21" t="s">
        <v>44</v>
      </c>
      <c r="D21" s="75" t="s">
        <v>45</v>
      </c>
      <c r="E21" s="47">
        <f>SUMIFS(LS[Unit],LS[Investor ID],INVESTORS_LIST[[#This Row],[INVESTOR CODE]],LS[B/S],"B")</f>
        <v>0</v>
      </c>
      <c r="F21" s="47">
        <f>-SUMIFS(LS[Unit],LS[Investor ID],INVESTORS_LIST[[#This Row],[INVESTOR CODE]],LS[B/S],"S")</f>
        <v>0</v>
      </c>
      <c r="G21" s="47">
        <f>IF(INVESTORS_LIST[[#This Row],[LS_TOTAL UNITS BUY]]=0,0,INVESTORS_LIST[[#This Row],[LS_TOTAL UNITS BUY]]-INVESTORS_LIST[[#This Row],[LS_TOTAL UNITS SOLD]])</f>
        <v>0</v>
      </c>
      <c r="H21" s="49">
        <f>IF(INVESTORS_LIST[[#This Row],[LS_TOTAL UNITS BUY]]=0,0,SUMIFS(LS[Amount],LS[Investor ID],INVESTORS_LIST[[#This Row],[INVESTOR CODE]],LS[B/S],"B"))</f>
        <v>0</v>
      </c>
      <c r="I21" s="48">
        <f>IF(INVESTORS_LIST[[#This Row],[LS_TOTAL UNITS SOLD]]=0,0,SUMIFS(LS[Cost of Units Sold],LS[Investor ID],INVESTORS_LIST[[#This Row],[INVESTOR CODE]],LS[B/S],"S"))</f>
        <v>0</v>
      </c>
      <c r="J21" s="48">
        <f>IF(INVESTORS_LIST[[#This Row],[LS_TOTAL CURRENT UNITS]]=0,0,INVESTORS_LIST[[#This Row],[LS_TOTAL CURRENT UNITS]]*INVESTORS_LIST[[#This Row],[LS_AVERAGE COST]])</f>
        <v>0</v>
      </c>
      <c r="K21" s="49">
        <f>IF(INVESTORS_LIST[[#This Row],[LS_TOTAL UNITS SOLD]]=0,0,SUMIFS(LS[Realized Gain],LS[Investor ID],INVESTORS_LIST[[#This Row],[INVESTOR CODE]],LS[B/S],"S"))</f>
        <v>0</v>
      </c>
      <c r="L21" s="47">
        <f>SUMIFS(SIP[Unit],SIP[Investor ID],INVESTORS_LIST[[#This Row],[INVESTOR CODE]],SIP[B/S],"B")</f>
        <v>0</v>
      </c>
      <c r="M21" s="47">
        <f>-SUMIFS(SIP[Unit],SIP[Investor ID],INVESTORS_LIST[[#This Row],[INVESTOR CODE]],SIP[B/S],"S")</f>
        <v>0</v>
      </c>
      <c r="N21" s="50">
        <f>IF(INVESTORS_LIST[[#This Row],[SIP_TOTAL UNITS BUY]]=0,0,INVESTORS_LIST[[#This Row],[SIP_TOTAL UNITS BUY]]-INVESTORS_LIST[[#This Row],[SIP_TOTAL UNITS SOLD]])</f>
        <v>0</v>
      </c>
      <c r="O21" s="49">
        <f>IF(INVESTORS_LIST[[#This Row],[SIP_TOTAL UNITS BUY]]=0,0,SUMIFS(SIP[Amount],SIP[Investor ID],INVESTORS_LIST[[#This Row],[INVESTOR CODE]],SIP[B/S],"B"))</f>
        <v>0</v>
      </c>
      <c r="P21" s="49">
        <f>IF(INVESTORS_LIST[[#This Row],[SIP_TOTAL UNITS SOLD]]=0,0,SUMIFS(SIP[Cost of Units Sold],SIP[Investor ID],INVESTORS_LIST[[#This Row],[INVESTOR CODE]],SIP[B/S],"S"))</f>
        <v>0</v>
      </c>
      <c r="Q21" s="48">
        <f>IF(INVESTORS_LIST[[#This Row],[SIP_TOTAL CURRENT UNITS]]=0,0,INVESTORS_LIST[[#This Row],[SIP_TOTAL CURRENT UNITS]]*INVESTORS_LIST[[#This Row],[SIP_AVERAGE COST]])</f>
        <v>0</v>
      </c>
      <c r="R21" s="48">
        <f>IF(INVESTORS_LIST[[#This Row],[SIP_TOTAL UNITS SOLD]]=0,0,SUMIFS(SIP[Realized Gain],SIP[Investor ID],INVESTORS_LIST[[#This Row],[INVESTOR CODE]],SIP[B/S],"S"))</f>
        <v>0</v>
      </c>
      <c r="S21" s="50">
        <f>INVESTORS_LIST[[#This Row],[LS_TOTAL UNITS BUY]]+INVESTORS_LIST[[#This Row],[SIP_TOTAL UNITS BUY]]</f>
        <v>0</v>
      </c>
      <c r="T21" s="50">
        <f>INVESTORS_LIST[[#This Row],[LS_TOTAL UNITS SOLD]]+INVESTORS_LIST[[#This Row],[SIP_TOTAL UNITS SOLD]]</f>
        <v>0</v>
      </c>
      <c r="U21" s="50"/>
      <c r="V21" s="50">
        <f>SUMIFS(LS[BO UNIT TRANSFER],LS[Investor ID],INVESTORS_LIST[[#This Row],[INVESTOR CODE]],LS[B/S],"B")</f>
        <v>0</v>
      </c>
      <c r="W21" s="50">
        <f>SUMIFS(SIP[BO UNIT TRANSFER],SIP[Investor ID],INVESTORS_LIST[[#This Row],[INVESTOR CODE]],SIP[B/S],"B")</f>
        <v>0</v>
      </c>
      <c r="X21" s="50">
        <f>SUMIFS(LS[BO UNIT TRANSFER],LS[Investor ID],INVESTORS_LIST[[#This Row],[INVESTOR CODE]],LS[B/S],"S")</f>
        <v>0</v>
      </c>
      <c r="Y21" s="50">
        <f>SUMIFS(SIP[BO UNIT TRANSFER],SIP[Investor ID],INVESTORS_LIST[[#This Row],[INVESTOR CODE]],SIP[B/S],"S")</f>
        <v>0</v>
      </c>
      <c r="Z21" s="106">
        <f>SUM(INVESTORS_LIST[[#This Row],[BO OPENING BALANCE]:[BO SIP UNITS REPURCHASE]])</f>
        <v>0</v>
      </c>
      <c r="AA21" s="107">
        <f>INVESTORS_LIST[[#This Row],[TOTAL UNITS BUY]]-INVESTORS_LIST[[#This Row],[TOTAL UNITS SOLD]]</f>
        <v>0</v>
      </c>
      <c r="AB21" s="107">
        <f>INVESTORS_LIST[[#This Row],[TOTAL CURRENT UNITS]]-INVESTORS_LIST[[#This Row],[BO UNITS HOLD]]</f>
        <v>0</v>
      </c>
      <c r="AC21" s="201" t="e">
        <f>INDEX([3]!Table_1[BO ID],MATCH(INVESTORS_LIST[[#This Row],[INVESTOR CODE]],[3]!Table_1[INVESTOR CODE],0))</f>
        <v>#REF!</v>
      </c>
      <c r="AD21" s="201" t="e">
        <f>INDEX([3]!Table_1[Brokerage Name2],MATCH(INVESTORS_LIST[[#This Row],[INVESTOR CODE]],[3]!Table_1[INVESTOR CODE],0))</f>
        <v>#REF!</v>
      </c>
      <c r="AE21" s="201" t="e">
        <f>MID(INVESTORS_LIST[[#This Row],[BO ID]],4,5)</f>
        <v>#REF!</v>
      </c>
      <c r="AF21" s="201" t="e">
        <f>MID(INVESTORS_LIST[[#This Row],[BO ID]],2,7)</f>
        <v>#REF!</v>
      </c>
      <c r="AG21" s="201" t="e">
        <f>MID(INVESTORS_LIST[[#This Row],[BO ID]],9,7)</f>
        <v>#REF!</v>
      </c>
      <c r="AH21" s="201" t="e">
        <f>RIGHT(INVESTORS_LIST[[#This Row],[BO ID]],1)</f>
        <v>#REF!</v>
      </c>
      <c r="AI21" s="50">
        <f>INVESTORS_LIST[[#This Row],[LS_TOTAL COST VALUE OF CURRENT UNITS]]+INVESTORS_LIST[[#This Row],[SIP_TOTAL COST VALUE OF CURRENT UNITS]]</f>
        <v>0</v>
      </c>
      <c r="AJ21" s="109">
        <f>IF(INVESTORS_LIST[[#This Row],[TOTAL CURRENT UNITS]]=0,0,INVESTORS_LIST[[#This Row],[LS_TOTAL CURRENT UNITS]]/INVESTORS_LIST[[#This Row],[TOTAL CURRENT UNITS]])</f>
        <v>0</v>
      </c>
      <c r="AK21" s="109">
        <f>IF(INVESTORS_LIST[[#This Row],[TOTAL CURRENT UNITS]]=0,0,INVESTORS_LIST[[#This Row],[SIP_TOTAL CURRENT UNITS]]/INVESTORS_LIST[[#This Row],[TOTAL CURRENT UNITS]])</f>
        <v>0</v>
      </c>
      <c r="AL21" s="49" cm="1">
        <f t="array" ref="AL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" s="49" cm="1">
        <f t="array" ref="AM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" s="105">
        <f t="shared" si="1"/>
        <v>14.224</v>
      </c>
      <c r="AP21" s="112">
        <f>IF(INVESTORS_LIST[[#This Row],[TOTAL CURRENT UNITS]]=0,0,INVESTORS_LIST[[#This Row],[TOTAL CURRENT UNITS]]*INVESTORS_LIST[[#This Row],[NAV]])</f>
        <v>0</v>
      </c>
      <c r="AQ21" s="49">
        <f>IF(INVESTORS_LIST[[#This Row],[LS_TOTAL CURRENT UNITS]]=0,0,INVESTORS_LIST[[#This Row],[LS_TOTAL CURRENT UNITS]]*INVESTORS_LIST[[#This Row],[NAV]])</f>
        <v>0</v>
      </c>
      <c r="AR21" s="48">
        <f>IF(INVESTORS_LIST[[#This Row],[SIP_TOTAL CURRENT UNITS]]=0,0,INVESTORS_LIST[[#This Row],[SIP_TOTAL CURRENT UNITS]]*INVESTORS_LIST[[#This Row],[NAV]])</f>
        <v>0</v>
      </c>
      <c r="AS21" s="50">
        <f>INVESTORS_LIST[[#This Row],[TOTAL CURRENT UNITS]]</f>
        <v>0</v>
      </c>
      <c r="AT21" s="48">
        <f>IF(INVESTORS_LIST[[#This Row],[TOTAL SELLABLE UNITS]]=0,0,INVESTORS_LIST[[#This Row],[TOTAL SELLABLE UNITS]]*INVESTORS_LIST[[#This Row],[NAV]])</f>
        <v>0</v>
      </c>
      <c r="AU21" s="48">
        <f>INVESTORS_LIST[[#This Row],[LS_TOTAL REALIZED GAIN]]+INVESTORS_LIST[[#This Row],[SIP_TOTAL REALIZED GAIN]]</f>
        <v>0</v>
      </c>
      <c r="AV21" s="48">
        <f>INVESTORS_LIST[[#This Row],[TOTAL MARKET VALUE]]-INVESTORS_LIST[[#This Row],[TOTAL COST VALUE OF CURRENT INVESTMENT]]</f>
        <v>0</v>
      </c>
      <c r="AW21" s="48">
        <f>IFERROR(INVESTORS_LIST[[#This Row],[TOTAL CURRENT UNITS]]/SUM(INVESTORS_LIST[TOTAL CURRENT UNITS]),0)</f>
        <v>0</v>
      </c>
    </row>
    <row r="22" spans="1:49" hidden="1">
      <c r="A22" s="262" t="s">
        <v>89</v>
      </c>
      <c r="B22" s="97" t="s">
        <v>90</v>
      </c>
      <c r="C22" t="s">
        <v>44</v>
      </c>
      <c r="D22" s="75" t="s">
        <v>45</v>
      </c>
      <c r="E22" s="47">
        <f>SUMIFS(LS[Unit],LS[Investor ID],INVESTORS_LIST[[#This Row],[INVESTOR CODE]],LS[B/S],"B")</f>
        <v>85000</v>
      </c>
      <c r="F22" s="47">
        <f>-SUMIFS(LS[Unit],LS[Investor ID],INVESTORS_LIST[[#This Row],[INVESTOR CODE]],LS[B/S],"S")</f>
        <v>85000</v>
      </c>
      <c r="G22" s="47">
        <f>IF(INVESTORS_LIST[[#This Row],[LS_TOTAL UNITS BUY]]=0,0,INVESTORS_LIST[[#This Row],[LS_TOTAL UNITS BUY]]-INVESTORS_LIST[[#This Row],[LS_TOTAL UNITS SOLD]])</f>
        <v>0</v>
      </c>
      <c r="H22" s="49">
        <f>IF(INVESTORS_LIST[[#This Row],[LS_TOTAL UNITS BUY]]=0,0,SUMIFS(LS[Amount],LS[Investor ID],INVESTORS_LIST[[#This Row],[INVESTOR CODE]],LS[B/S],"B"))</f>
        <v>850000</v>
      </c>
      <c r="I22" s="48">
        <f>IF(INVESTORS_LIST[[#This Row],[LS_TOTAL UNITS SOLD]]=0,0,SUMIFS(LS[Cost of Units Sold],LS[Investor ID],INVESTORS_LIST[[#This Row],[INVESTOR CODE]],LS[B/S],"S"))</f>
        <v>850000</v>
      </c>
      <c r="J22" s="48">
        <f>IF(INVESTORS_LIST[[#This Row],[LS_TOTAL CURRENT UNITS]]=0,0,INVESTORS_LIST[[#This Row],[LS_TOTAL CURRENT UNITS]]*INVESTORS_LIST[[#This Row],[LS_AVERAGE COST]])</f>
        <v>0</v>
      </c>
      <c r="K22" s="49">
        <f>IF(INVESTORS_LIST[[#This Row],[LS_TOTAL UNITS SOLD]]=0,0,SUMIFS(LS[Realized Gain],LS[Investor ID],INVESTORS_LIST[[#This Row],[INVESTOR CODE]],LS[B/S],"S"))</f>
        <v>42329.999999999942</v>
      </c>
      <c r="L22" s="47">
        <f>SUMIFS(SIP[Unit],SIP[Investor ID],INVESTORS_LIST[[#This Row],[INVESTOR CODE]],SIP[B/S],"B")</f>
        <v>0</v>
      </c>
      <c r="M22" s="47">
        <f>-SUMIFS(SIP[Unit],SIP[Investor ID],INVESTORS_LIST[[#This Row],[INVESTOR CODE]],SIP[B/S],"S")</f>
        <v>0</v>
      </c>
      <c r="N22" s="50">
        <f>IF(INVESTORS_LIST[[#This Row],[SIP_TOTAL UNITS BUY]]=0,0,INVESTORS_LIST[[#This Row],[SIP_TOTAL UNITS BUY]]-INVESTORS_LIST[[#This Row],[SIP_TOTAL UNITS SOLD]])</f>
        <v>0</v>
      </c>
      <c r="O22" s="49">
        <f>IF(INVESTORS_LIST[[#This Row],[SIP_TOTAL UNITS BUY]]=0,0,SUMIFS(SIP[Amount],SIP[Investor ID],INVESTORS_LIST[[#This Row],[INVESTOR CODE]],SIP[B/S],"B"))</f>
        <v>0</v>
      </c>
      <c r="P22" s="49">
        <f>IF(INVESTORS_LIST[[#This Row],[SIP_TOTAL UNITS SOLD]]=0,0,SUMIFS(SIP[Cost of Units Sold],SIP[Investor ID],INVESTORS_LIST[[#This Row],[INVESTOR CODE]],SIP[B/S],"S"))</f>
        <v>0</v>
      </c>
      <c r="Q22" s="48">
        <f>IF(INVESTORS_LIST[[#This Row],[SIP_TOTAL CURRENT UNITS]]=0,0,INVESTORS_LIST[[#This Row],[SIP_TOTAL CURRENT UNITS]]*INVESTORS_LIST[[#This Row],[SIP_AVERAGE COST]])</f>
        <v>0</v>
      </c>
      <c r="R22" s="48">
        <f>IF(INVESTORS_LIST[[#This Row],[SIP_TOTAL UNITS SOLD]]=0,0,SUMIFS(SIP[Realized Gain],SIP[Investor ID],INVESTORS_LIST[[#This Row],[INVESTOR CODE]],SIP[B/S],"S"))</f>
        <v>0</v>
      </c>
      <c r="S22" s="50">
        <f>INVESTORS_LIST[[#This Row],[LS_TOTAL UNITS BUY]]+INVESTORS_LIST[[#This Row],[SIP_TOTAL UNITS BUY]]</f>
        <v>85000</v>
      </c>
      <c r="T22" s="50">
        <f>INVESTORS_LIST[[#This Row],[LS_TOTAL UNITS SOLD]]+INVESTORS_LIST[[#This Row],[SIP_TOTAL UNITS SOLD]]</f>
        <v>85000</v>
      </c>
      <c r="U22" s="50"/>
      <c r="V22" s="50">
        <f>SUMIFS(LS[BO UNIT TRANSFER],LS[Investor ID],INVESTORS_LIST[[#This Row],[INVESTOR CODE]],LS[B/S],"B")</f>
        <v>0</v>
      </c>
      <c r="W22" s="50">
        <f>SUMIFS(SIP[BO UNIT TRANSFER],SIP[Investor ID],INVESTORS_LIST[[#This Row],[INVESTOR CODE]],SIP[B/S],"B")</f>
        <v>0</v>
      </c>
      <c r="X22" s="50">
        <f>SUMIFS(LS[BO UNIT TRANSFER],LS[Investor ID],INVESTORS_LIST[[#This Row],[INVESTOR CODE]],LS[B/S],"S")</f>
        <v>0</v>
      </c>
      <c r="Y22" s="50">
        <f>SUMIFS(SIP[BO UNIT TRANSFER],SIP[Investor ID],INVESTORS_LIST[[#This Row],[INVESTOR CODE]],SIP[B/S],"S")</f>
        <v>0</v>
      </c>
      <c r="Z22" s="106">
        <f>SUM(INVESTORS_LIST[[#This Row],[BO OPENING BALANCE]:[BO SIP UNITS REPURCHASE]])</f>
        <v>0</v>
      </c>
      <c r="AA22" s="107">
        <f>INVESTORS_LIST[[#This Row],[TOTAL UNITS BUY]]-INVESTORS_LIST[[#This Row],[TOTAL UNITS SOLD]]</f>
        <v>0</v>
      </c>
      <c r="AB22" s="107">
        <f>INVESTORS_LIST[[#This Row],[TOTAL CURRENT UNITS]]-INVESTORS_LIST[[#This Row],[BO UNITS HOLD]]</f>
        <v>0</v>
      </c>
      <c r="AC22" s="201" t="e">
        <f>INDEX([3]!Table_1[BO ID],MATCH(INVESTORS_LIST[[#This Row],[INVESTOR CODE]],[3]!Table_1[INVESTOR CODE],0))</f>
        <v>#REF!</v>
      </c>
      <c r="AD22" s="201" t="e">
        <f>INDEX([3]!Table_1[Brokerage Name2],MATCH(INVESTORS_LIST[[#This Row],[INVESTOR CODE]],[3]!Table_1[INVESTOR CODE],0))</f>
        <v>#REF!</v>
      </c>
      <c r="AE22" s="201" t="e">
        <f>MID(INVESTORS_LIST[[#This Row],[BO ID]],4,5)</f>
        <v>#REF!</v>
      </c>
      <c r="AF22" s="201" t="e">
        <f>MID(INVESTORS_LIST[[#This Row],[BO ID]],2,7)</f>
        <v>#REF!</v>
      </c>
      <c r="AG22" s="201" t="e">
        <f>MID(INVESTORS_LIST[[#This Row],[BO ID]],9,7)</f>
        <v>#REF!</v>
      </c>
      <c r="AH22" s="201" t="e">
        <f>RIGHT(INVESTORS_LIST[[#This Row],[BO ID]],1)</f>
        <v>#REF!</v>
      </c>
      <c r="AI22" s="50">
        <f>INVESTORS_LIST[[#This Row],[LS_TOTAL COST VALUE OF CURRENT UNITS]]+INVESTORS_LIST[[#This Row],[SIP_TOTAL COST VALUE OF CURRENT UNITS]]</f>
        <v>0</v>
      </c>
      <c r="AJ22" s="109">
        <f>IF(INVESTORS_LIST[[#This Row],[TOTAL CURRENT UNITS]]=0,0,INVESTORS_LIST[[#This Row],[LS_TOTAL CURRENT UNITS]]/INVESTORS_LIST[[#This Row],[TOTAL CURRENT UNITS]])</f>
        <v>0</v>
      </c>
      <c r="AK22" s="109">
        <f>IF(INVESTORS_LIST[[#This Row],[TOTAL CURRENT UNITS]]=0,0,INVESTORS_LIST[[#This Row],[SIP_TOTAL CURRENT UNITS]]/INVESTORS_LIST[[#This Row],[TOTAL CURRENT UNITS]])</f>
        <v>0</v>
      </c>
      <c r="AL22" s="49" cm="1">
        <f t="array" ref="AL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" s="49" cm="1">
        <f t="array" ref="AM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" s="105">
        <f t="shared" si="1"/>
        <v>14.224</v>
      </c>
      <c r="AP22" s="112">
        <f>IF(INVESTORS_LIST[[#This Row],[TOTAL CURRENT UNITS]]=0,0,INVESTORS_LIST[[#This Row],[TOTAL CURRENT UNITS]]*INVESTORS_LIST[[#This Row],[NAV]])</f>
        <v>0</v>
      </c>
      <c r="AQ22" s="49">
        <f>IF(INVESTORS_LIST[[#This Row],[LS_TOTAL CURRENT UNITS]]=0,0,INVESTORS_LIST[[#This Row],[LS_TOTAL CURRENT UNITS]]*INVESTORS_LIST[[#This Row],[NAV]])</f>
        <v>0</v>
      </c>
      <c r="AR22" s="48">
        <f>IF(INVESTORS_LIST[[#This Row],[SIP_TOTAL CURRENT UNITS]]=0,0,INVESTORS_LIST[[#This Row],[SIP_TOTAL CURRENT UNITS]]*INVESTORS_LIST[[#This Row],[NAV]])</f>
        <v>0</v>
      </c>
      <c r="AS22" s="50">
        <f>INVESTORS_LIST[[#This Row],[TOTAL CURRENT UNITS]]</f>
        <v>0</v>
      </c>
      <c r="AT22" s="48">
        <f>IF(INVESTORS_LIST[[#This Row],[TOTAL SELLABLE UNITS]]=0,0,INVESTORS_LIST[[#This Row],[TOTAL SELLABLE UNITS]]*INVESTORS_LIST[[#This Row],[NAV]])</f>
        <v>0</v>
      </c>
      <c r="AU22" s="48">
        <f>INVESTORS_LIST[[#This Row],[LS_TOTAL REALIZED GAIN]]+INVESTORS_LIST[[#This Row],[SIP_TOTAL REALIZED GAIN]]</f>
        <v>42329.999999999942</v>
      </c>
      <c r="AV22" s="48">
        <f>INVESTORS_LIST[[#This Row],[TOTAL MARKET VALUE]]-INVESTORS_LIST[[#This Row],[TOTAL COST VALUE OF CURRENT INVESTMENT]]</f>
        <v>0</v>
      </c>
      <c r="AW22" s="48">
        <f>IFERROR(INVESTORS_LIST[[#This Row],[TOTAL CURRENT UNITS]]/SUM(INVESTORS_LIST[TOTAL CURRENT UNITS]),0)</f>
        <v>0</v>
      </c>
    </row>
    <row r="23" spans="1:49" hidden="1">
      <c r="A23" s="262" t="s">
        <v>91</v>
      </c>
      <c r="B23" s="97" t="s">
        <v>92</v>
      </c>
      <c r="C23" t="s">
        <v>48</v>
      </c>
      <c r="D23" s="75" t="s">
        <v>80</v>
      </c>
      <c r="E23" s="47">
        <f>SUMIFS(LS[Unit],LS[Investor ID],INVESTORS_LIST[[#This Row],[INVESTOR CODE]],LS[B/S],"B")</f>
        <v>0</v>
      </c>
      <c r="F23" s="47">
        <f>-SUMIFS(LS[Unit],LS[Investor ID],INVESTORS_LIST[[#This Row],[INVESTOR CODE]],LS[B/S],"S")</f>
        <v>0</v>
      </c>
      <c r="G23" s="47">
        <f>IF(INVESTORS_LIST[[#This Row],[LS_TOTAL UNITS BUY]]=0,0,INVESTORS_LIST[[#This Row],[LS_TOTAL UNITS BUY]]-INVESTORS_LIST[[#This Row],[LS_TOTAL UNITS SOLD]])</f>
        <v>0</v>
      </c>
      <c r="H23" s="49">
        <f>IF(INVESTORS_LIST[[#This Row],[LS_TOTAL UNITS BUY]]=0,0,SUMIFS(LS[Amount],LS[Investor ID],INVESTORS_LIST[[#This Row],[INVESTOR CODE]],LS[B/S],"B"))</f>
        <v>0</v>
      </c>
      <c r="I23" s="48">
        <f>IF(INVESTORS_LIST[[#This Row],[LS_TOTAL UNITS SOLD]]=0,0,SUMIFS(LS[Cost of Units Sold],LS[Investor ID],INVESTORS_LIST[[#This Row],[INVESTOR CODE]],LS[B/S],"S"))</f>
        <v>0</v>
      </c>
      <c r="J23" s="48">
        <f>IF(INVESTORS_LIST[[#This Row],[LS_TOTAL CURRENT UNITS]]=0,0,INVESTORS_LIST[[#This Row],[LS_TOTAL CURRENT UNITS]]*INVESTORS_LIST[[#This Row],[LS_AVERAGE COST]])</f>
        <v>0</v>
      </c>
      <c r="K23" s="49">
        <f>IF(INVESTORS_LIST[[#This Row],[LS_TOTAL UNITS SOLD]]=0,0,SUMIFS(LS[Realized Gain],LS[Investor ID],INVESTORS_LIST[[#This Row],[INVESTOR CODE]],LS[B/S],"S"))</f>
        <v>0</v>
      </c>
      <c r="L23" s="47">
        <f>SUMIFS(SIP[Unit],SIP[Investor ID],INVESTORS_LIST[[#This Row],[INVESTOR CODE]],SIP[B/S],"B")</f>
        <v>0</v>
      </c>
      <c r="M23" s="47">
        <f>-SUMIFS(SIP[Unit],SIP[Investor ID],INVESTORS_LIST[[#This Row],[INVESTOR CODE]],SIP[B/S],"S")</f>
        <v>0</v>
      </c>
      <c r="N23" s="50">
        <f>IF(INVESTORS_LIST[[#This Row],[SIP_TOTAL UNITS BUY]]=0,0,INVESTORS_LIST[[#This Row],[SIP_TOTAL UNITS BUY]]-INVESTORS_LIST[[#This Row],[SIP_TOTAL UNITS SOLD]])</f>
        <v>0</v>
      </c>
      <c r="O23" s="49">
        <f>IF(INVESTORS_LIST[[#This Row],[SIP_TOTAL UNITS BUY]]=0,0,SUMIFS(SIP[Amount],SIP[Investor ID],INVESTORS_LIST[[#This Row],[INVESTOR CODE]],SIP[B/S],"B"))</f>
        <v>0</v>
      </c>
      <c r="P23" s="49">
        <f>IF(INVESTORS_LIST[[#This Row],[SIP_TOTAL UNITS SOLD]]=0,0,SUMIFS(SIP[Cost of Units Sold],SIP[Investor ID],INVESTORS_LIST[[#This Row],[INVESTOR CODE]],SIP[B/S],"S"))</f>
        <v>0</v>
      </c>
      <c r="Q23" s="48">
        <f>IF(INVESTORS_LIST[[#This Row],[SIP_TOTAL CURRENT UNITS]]=0,0,INVESTORS_LIST[[#This Row],[SIP_TOTAL CURRENT UNITS]]*INVESTORS_LIST[[#This Row],[SIP_AVERAGE COST]])</f>
        <v>0</v>
      </c>
      <c r="R23" s="48">
        <f>IF(INVESTORS_LIST[[#This Row],[SIP_TOTAL UNITS SOLD]]=0,0,SUMIFS(SIP[Realized Gain],SIP[Investor ID],INVESTORS_LIST[[#This Row],[INVESTOR CODE]],SIP[B/S],"S"))</f>
        <v>0</v>
      </c>
      <c r="S23" s="50">
        <f>INVESTORS_LIST[[#This Row],[LS_TOTAL UNITS BUY]]+INVESTORS_LIST[[#This Row],[SIP_TOTAL UNITS BUY]]</f>
        <v>0</v>
      </c>
      <c r="T23" s="50">
        <f>INVESTORS_LIST[[#This Row],[LS_TOTAL UNITS SOLD]]+INVESTORS_LIST[[#This Row],[SIP_TOTAL UNITS SOLD]]</f>
        <v>0</v>
      </c>
      <c r="U23" s="50"/>
      <c r="V23" s="50">
        <f>SUMIFS(LS[BO UNIT TRANSFER],LS[Investor ID],INVESTORS_LIST[[#This Row],[INVESTOR CODE]],LS[B/S],"B")</f>
        <v>0</v>
      </c>
      <c r="W23" s="50">
        <f>SUMIFS(SIP[BO UNIT TRANSFER],SIP[Investor ID],INVESTORS_LIST[[#This Row],[INVESTOR CODE]],SIP[B/S],"B")</f>
        <v>0</v>
      </c>
      <c r="X23" s="50">
        <f>SUMIFS(LS[BO UNIT TRANSFER],LS[Investor ID],INVESTORS_LIST[[#This Row],[INVESTOR CODE]],LS[B/S],"S")</f>
        <v>0</v>
      </c>
      <c r="Y23" s="50">
        <f>SUMIFS(SIP[BO UNIT TRANSFER],SIP[Investor ID],INVESTORS_LIST[[#This Row],[INVESTOR CODE]],SIP[B/S],"S")</f>
        <v>0</v>
      </c>
      <c r="Z23" s="106">
        <f>SUM(INVESTORS_LIST[[#This Row],[BO OPENING BALANCE]:[BO SIP UNITS REPURCHASE]])</f>
        <v>0</v>
      </c>
      <c r="AA23" s="107">
        <f>INVESTORS_LIST[[#This Row],[TOTAL UNITS BUY]]-INVESTORS_LIST[[#This Row],[TOTAL UNITS SOLD]]</f>
        <v>0</v>
      </c>
      <c r="AB23" s="107">
        <f>INVESTORS_LIST[[#This Row],[TOTAL CURRENT UNITS]]-INVESTORS_LIST[[#This Row],[BO UNITS HOLD]]</f>
        <v>0</v>
      </c>
      <c r="AC23" s="201" t="e">
        <f>INDEX([3]!Table_1[BO ID],MATCH(INVESTORS_LIST[[#This Row],[INVESTOR CODE]],[3]!Table_1[INVESTOR CODE],0))</f>
        <v>#REF!</v>
      </c>
      <c r="AD23" s="201" t="e">
        <f>INDEX([3]!Table_1[Brokerage Name2],MATCH(INVESTORS_LIST[[#This Row],[INVESTOR CODE]],[3]!Table_1[INVESTOR CODE],0))</f>
        <v>#REF!</v>
      </c>
      <c r="AE23" s="201" t="e">
        <f>MID(INVESTORS_LIST[[#This Row],[BO ID]],4,5)</f>
        <v>#REF!</v>
      </c>
      <c r="AF23" s="201" t="e">
        <f>MID(INVESTORS_LIST[[#This Row],[BO ID]],2,7)</f>
        <v>#REF!</v>
      </c>
      <c r="AG23" s="201" t="e">
        <f>MID(INVESTORS_LIST[[#This Row],[BO ID]],9,7)</f>
        <v>#REF!</v>
      </c>
      <c r="AH23" s="201" t="e">
        <f>RIGHT(INVESTORS_LIST[[#This Row],[BO ID]],1)</f>
        <v>#REF!</v>
      </c>
      <c r="AI23" s="50">
        <f>INVESTORS_LIST[[#This Row],[LS_TOTAL COST VALUE OF CURRENT UNITS]]+INVESTORS_LIST[[#This Row],[SIP_TOTAL COST VALUE OF CURRENT UNITS]]</f>
        <v>0</v>
      </c>
      <c r="AJ23" s="109">
        <f>IF(INVESTORS_LIST[[#This Row],[TOTAL CURRENT UNITS]]=0,0,INVESTORS_LIST[[#This Row],[LS_TOTAL CURRENT UNITS]]/INVESTORS_LIST[[#This Row],[TOTAL CURRENT UNITS]])</f>
        <v>0</v>
      </c>
      <c r="AK23" s="109">
        <f>IF(INVESTORS_LIST[[#This Row],[TOTAL CURRENT UNITS]]=0,0,INVESTORS_LIST[[#This Row],[SIP_TOTAL CURRENT UNITS]]/INVESTORS_LIST[[#This Row],[TOTAL CURRENT UNITS]])</f>
        <v>0</v>
      </c>
      <c r="AL23" s="49" cm="1">
        <f t="array" ref="AL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" s="49" cm="1">
        <f t="array" ref="AM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" s="105">
        <f t="shared" si="1"/>
        <v>14.224</v>
      </c>
      <c r="AP23" s="112">
        <f>IF(INVESTORS_LIST[[#This Row],[TOTAL CURRENT UNITS]]=0,0,INVESTORS_LIST[[#This Row],[TOTAL CURRENT UNITS]]*INVESTORS_LIST[[#This Row],[NAV]])</f>
        <v>0</v>
      </c>
      <c r="AQ23" s="49">
        <f>IF(INVESTORS_LIST[[#This Row],[LS_TOTAL CURRENT UNITS]]=0,0,INVESTORS_LIST[[#This Row],[LS_TOTAL CURRENT UNITS]]*INVESTORS_LIST[[#This Row],[NAV]])</f>
        <v>0</v>
      </c>
      <c r="AR23" s="48">
        <f>IF(INVESTORS_LIST[[#This Row],[SIP_TOTAL CURRENT UNITS]]=0,0,INVESTORS_LIST[[#This Row],[SIP_TOTAL CURRENT UNITS]]*INVESTORS_LIST[[#This Row],[NAV]])</f>
        <v>0</v>
      </c>
      <c r="AS23" s="50">
        <f>INVESTORS_LIST[[#This Row],[TOTAL CURRENT UNITS]]</f>
        <v>0</v>
      </c>
      <c r="AT23" s="48">
        <f>IF(INVESTORS_LIST[[#This Row],[TOTAL SELLABLE UNITS]]=0,0,INVESTORS_LIST[[#This Row],[TOTAL SELLABLE UNITS]]*INVESTORS_LIST[[#This Row],[NAV]])</f>
        <v>0</v>
      </c>
      <c r="AU23" s="48">
        <f>INVESTORS_LIST[[#This Row],[LS_TOTAL REALIZED GAIN]]+INVESTORS_LIST[[#This Row],[SIP_TOTAL REALIZED GAIN]]</f>
        <v>0</v>
      </c>
      <c r="AV23" s="48">
        <f>INVESTORS_LIST[[#This Row],[TOTAL MARKET VALUE]]-INVESTORS_LIST[[#This Row],[TOTAL COST VALUE OF CURRENT INVESTMENT]]</f>
        <v>0</v>
      </c>
      <c r="AW23" s="48">
        <f>IFERROR(INVESTORS_LIST[[#This Row],[TOTAL CURRENT UNITS]]/SUM(INVESTORS_LIST[TOTAL CURRENT UNITS]),0)</f>
        <v>0</v>
      </c>
    </row>
    <row r="24" spans="1:49" hidden="1">
      <c r="A24" s="262" t="s">
        <v>93</v>
      </c>
      <c r="B24" s="97" t="s">
        <v>94</v>
      </c>
      <c r="C24" t="s">
        <v>48</v>
      </c>
      <c r="D24" s="75" t="s">
        <v>95</v>
      </c>
      <c r="E24" s="47">
        <f>SUMIFS(LS[Unit],LS[Investor ID],INVESTORS_LIST[[#This Row],[INVESTOR CODE]],LS[B/S],"B")</f>
        <v>0</v>
      </c>
      <c r="F24" s="47">
        <f>-SUMIFS(LS[Unit],LS[Investor ID],INVESTORS_LIST[[#This Row],[INVESTOR CODE]],LS[B/S],"S")</f>
        <v>0</v>
      </c>
      <c r="G24" s="47">
        <f>IF(INVESTORS_LIST[[#This Row],[LS_TOTAL UNITS BUY]]=0,0,INVESTORS_LIST[[#This Row],[LS_TOTAL UNITS BUY]]-INVESTORS_LIST[[#This Row],[LS_TOTAL UNITS SOLD]])</f>
        <v>0</v>
      </c>
      <c r="H24" s="49">
        <f>IF(INVESTORS_LIST[[#This Row],[LS_TOTAL UNITS BUY]]=0,0,SUMIFS(LS[Amount],LS[Investor ID],INVESTORS_LIST[[#This Row],[INVESTOR CODE]],LS[B/S],"B"))</f>
        <v>0</v>
      </c>
      <c r="I24" s="48">
        <f>IF(INVESTORS_LIST[[#This Row],[LS_TOTAL UNITS SOLD]]=0,0,SUMIFS(LS[Cost of Units Sold],LS[Investor ID],INVESTORS_LIST[[#This Row],[INVESTOR CODE]],LS[B/S],"S"))</f>
        <v>0</v>
      </c>
      <c r="J24" s="48">
        <f>IF(INVESTORS_LIST[[#This Row],[LS_TOTAL CURRENT UNITS]]=0,0,INVESTORS_LIST[[#This Row],[LS_TOTAL CURRENT UNITS]]*INVESTORS_LIST[[#This Row],[LS_AVERAGE COST]])</f>
        <v>0</v>
      </c>
      <c r="K24" s="49">
        <f>IF(INVESTORS_LIST[[#This Row],[LS_TOTAL UNITS SOLD]]=0,0,SUMIFS(LS[Realized Gain],LS[Investor ID],INVESTORS_LIST[[#This Row],[INVESTOR CODE]],LS[B/S],"S"))</f>
        <v>0</v>
      </c>
      <c r="L24" s="47">
        <f>SUMIFS(SIP[Unit],SIP[Investor ID],INVESTORS_LIST[[#This Row],[INVESTOR CODE]],SIP[B/S],"B")</f>
        <v>0</v>
      </c>
      <c r="M24" s="47">
        <f>-SUMIFS(SIP[Unit],SIP[Investor ID],INVESTORS_LIST[[#This Row],[INVESTOR CODE]],SIP[B/S],"S")</f>
        <v>0</v>
      </c>
      <c r="N24" s="50">
        <f>IF(INVESTORS_LIST[[#This Row],[SIP_TOTAL UNITS BUY]]=0,0,INVESTORS_LIST[[#This Row],[SIP_TOTAL UNITS BUY]]-INVESTORS_LIST[[#This Row],[SIP_TOTAL UNITS SOLD]])</f>
        <v>0</v>
      </c>
      <c r="O24" s="49">
        <f>IF(INVESTORS_LIST[[#This Row],[SIP_TOTAL UNITS BUY]]=0,0,SUMIFS(SIP[Amount],SIP[Investor ID],INVESTORS_LIST[[#This Row],[INVESTOR CODE]],SIP[B/S],"B"))</f>
        <v>0</v>
      </c>
      <c r="P24" s="49">
        <f>IF(INVESTORS_LIST[[#This Row],[SIP_TOTAL UNITS SOLD]]=0,0,SUMIFS(SIP[Cost of Units Sold],SIP[Investor ID],INVESTORS_LIST[[#This Row],[INVESTOR CODE]],SIP[B/S],"S"))</f>
        <v>0</v>
      </c>
      <c r="Q24" s="48">
        <f>IF(INVESTORS_LIST[[#This Row],[SIP_TOTAL CURRENT UNITS]]=0,0,INVESTORS_LIST[[#This Row],[SIP_TOTAL CURRENT UNITS]]*INVESTORS_LIST[[#This Row],[SIP_AVERAGE COST]])</f>
        <v>0</v>
      </c>
      <c r="R24" s="48">
        <f>IF(INVESTORS_LIST[[#This Row],[SIP_TOTAL UNITS SOLD]]=0,0,SUMIFS(SIP[Realized Gain],SIP[Investor ID],INVESTORS_LIST[[#This Row],[INVESTOR CODE]],SIP[B/S],"S"))</f>
        <v>0</v>
      </c>
      <c r="S24" s="50">
        <f>INVESTORS_LIST[[#This Row],[LS_TOTAL UNITS BUY]]+INVESTORS_LIST[[#This Row],[SIP_TOTAL UNITS BUY]]</f>
        <v>0</v>
      </c>
      <c r="T24" s="50">
        <f>INVESTORS_LIST[[#This Row],[LS_TOTAL UNITS SOLD]]+INVESTORS_LIST[[#This Row],[SIP_TOTAL UNITS SOLD]]</f>
        <v>0</v>
      </c>
      <c r="U24" s="50"/>
      <c r="V24" s="50">
        <f>SUMIFS(LS[BO UNIT TRANSFER],LS[Investor ID],INVESTORS_LIST[[#This Row],[INVESTOR CODE]],LS[B/S],"B")</f>
        <v>0</v>
      </c>
      <c r="W24" s="50">
        <f>SUMIFS(SIP[BO UNIT TRANSFER],SIP[Investor ID],INVESTORS_LIST[[#This Row],[INVESTOR CODE]],SIP[B/S],"B")</f>
        <v>0</v>
      </c>
      <c r="X24" s="50">
        <f>SUMIFS(LS[BO UNIT TRANSFER],LS[Investor ID],INVESTORS_LIST[[#This Row],[INVESTOR CODE]],LS[B/S],"S")</f>
        <v>0</v>
      </c>
      <c r="Y24" s="50">
        <f>SUMIFS(SIP[BO UNIT TRANSFER],SIP[Investor ID],INVESTORS_LIST[[#This Row],[INVESTOR CODE]],SIP[B/S],"S")</f>
        <v>0</v>
      </c>
      <c r="Z24" s="106">
        <f>SUM(INVESTORS_LIST[[#This Row],[BO OPENING BALANCE]:[BO SIP UNITS REPURCHASE]])</f>
        <v>0</v>
      </c>
      <c r="AA24" s="107">
        <f>INVESTORS_LIST[[#This Row],[TOTAL UNITS BUY]]-INVESTORS_LIST[[#This Row],[TOTAL UNITS SOLD]]</f>
        <v>0</v>
      </c>
      <c r="AB24" s="107">
        <f>INVESTORS_LIST[[#This Row],[TOTAL CURRENT UNITS]]-INVESTORS_LIST[[#This Row],[BO UNITS HOLD]]</f>
        <v>0</v>
      </c>
      <c r="AC24" s="201" t="e">
        <f>INDEX([3]!Table_1[BO ID],MATCH(INVESTORS_LIST[[#This Row],[INVESTOR CODE]],[3]!Table_1[INVESTOR CODE],0))</f>
        <v>#REF!</v>
      </c>
      <c r="AD24" s="201" t="e">
        <f>INDEX([3]!Table_1[Brokerage Name2],MATCH(INVESTORS_LIST[[#This Row],[INVESTOR CODE]],[3]!Table_1[INVESTOR CODE],0))</f>
        <v>#REF!</v>
      </c>
      <c r="AE24" s="201" t="e">
        <f>MID(INVESTORS_LIST[[#This Row],[BO ID]],4,5)</f>
        <v>#REF!</v>
      </c>
      <c r="AF24" s="201" t="e">
        <f>MID(INVESTORS_LIST[[#This Row],[BO ID]],2,7)</f>
        <v>#REF!</v>
      </c>
      <c r="AG24" s="201" t="e">
        <f>MID(INVESTORS_LIST[[#This Row],[BO ID]],9,7)</f>
        <v>#REF!</v>
      </c>
      <c r="AH24" s="201" t="e">
        <f>RIGHT(INVESTORS_LIST[[#This Row],[BO ID]],1)</f>
        <v>#REF!</v>
      </c>
      <c r="AI24" s="50">
        <f>INVESTORS_LIST[[#This Row],[LS_TOTAL COST VALUE OF CURRENT UNITS]]+INVESTORS_LIST[[#This Row],[SIP_TOTAL COST VALUE OF CURRENT UNITS]]</f>
        <v>0</v>
      </c>
      <c r="AJ24" s="109">
        <f>IF(INVESTORS_LIST[[#This Row],[TOTAL CURRENT UNITS]]=0,0,INVESTORS_LIST[[#This Row],[LS_TOTAL CURRENT UNITS]]/INVESTORS_LIST[[#This Row],[TOTAL CURRENT UNITS]])</f>
        <v>0</v>
      </c>
      <c r="AK24" s="109">
        <f>IF(INVESTORS_LIST[[#This Row],[TOTAL CURRENT UNITS]]=0,0,INVESTORS_LIST[[#This Row],[SIP_TOTAL CURRENT UNITS]]/INVESTORS_LIST[[#This Row],[TOTAL CURRENT UNITS]])</f>
        <v>0</v>
      </c>
      <c r="AL24" s="49" cm="1">
        <f t="array" ref="AL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" s="49" cm="1">
        <f t="array" ref="AM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" s="105">
        <f t="shared" si="1"/>
        <v>14.224</v>
      </c>
      <c r="AP24" s="112">
        <f>IF(INVESTORS_LIST[[#This Row],[TOTAL CURRENT UNITS]]=0,0,INVESTORS_LIST[[#This Row],[TOTAL CURRENT UNITS]]*INVESTORS_LIST[[#This Row],[NAV]])</f>
        <v>0</v>
      </c>
      <c r="AQ24" s="49">
        <f>IF(INVESTORS_LIST[[#This Row],[LS_TOTAL CURRENT UNITS]]=0,0,INVESTORS_LIST[[#This Row],[LS_TOTAL CURRENT UNITS]]*INVESTORS_LIST[[#This Row],[NAV]])</f>
        <v>0</v>
      </c>
      <c r="AR24" s="48">
        <f>IF(INVESTORS_LIST[[#This Row],[SIP_TOTAL CURRENT UNITS]]=0,0,INVESTORS_LIST[[#This Row],[SIP_TOTAL CURRENT UNITS]]*INVESTORS_LIST[[#This Row],[NAV]])</f>
        <v>0</v>
      </c>
      <c r="AS24" s="50">
        <f>INVESTORS_LIST[[#This Row],[TOTAL CURRENT UNITS]]</f>
        <v>0</v>
      </c>
      <c r="AT24" s="48">
        <f>IF(INVESTORS_LIST[[#This Row],[TOTAL SELLABLE UNITS]]=0,0,INVESTORS_LIST[[#This Row],[TOTAL SELLABLE UNITS]]*INVESTORS_LIST[[#This Row],[NAV]])</f>
        <v>0</v>
      </c>
      <c r="AU24" s="48">
        <f>INVESTORS_LIST[[#This Row],[LS_TOTAL REALIZED GAIN]]+INVESTORS_LIST[[#This Row],[SIP_TOTAL REALIZED GAIN]]</f>
        <v>0</v>
      </c>
      <c r="AV24" s="48">
        <f>INVESTORS_LIST[[#This Row],[TOTAL MARKET VALUE]]-INVESTORS_LIST[[#This Row],[TOTAL COST VALUE OF CURRENT INVESTMENT]]</f>
        <v>0</v>
      </c>
      <c r="AW24" s="48">
        <f>IFERROR(INVESTORS_LIST[[#This Row],[TOTAL CURRENT UNITS]]/SUM(INVESTORS_LIST[TOTAL CURRENT UNITS]),0)</f>
        <v>0</v>
      </c>
    </row>
    <row r="25" spans="1:49" hidden="1">
      <c r="A25" s="262" t="s">
        <v>96</v>
      </c>
      <c r="B25" s="97" t="s">
        <v>97</v>
      </c>
      <c r="C25" t="s">
        <v>44</v>
      </c>
      <c r="D25" s="75" t="s">
        <v>45</v>
      </c>
      <c r="E25" s="47">
        <f>SUMIFS(LS[Unit],LS[Investor ID],INVESTORS_LIST[[#This Row],[INVESTOR CODE]],LS[B/S],"B")</f>
        <v>0</v>
      </c>
      <c r="F25" s="47">
        <f>-SUMIFS(LS[Unit],LS[Investor ID],INVESTORS_LIST[[#This Row],[INVESTOR CODE]],LS[B/S],"S")</f>
        <v>0</v>
      </c>
      <c r="G25" s="47">
        <f>IF(INVESTORS_LIST[[#This Row],[LS_TOTAL UNITS BUY]]=0,0,INVESTORS_LIST[[#This Row],[LS_TOTAL UNITS BUY]]-INVESTORS_LIST[[#This Row],[LS_TOTAL UNITS SOLD]])</f>
        <v>0</v>
      </c>
      <c r="H25" s="49">
        <f>IF(INVESTORS_LIST[[#This Row],[LS_TOTAL UNITS BUY]]=0,0,SUMIFS(LS[Amount],LS[Investor ID],INVESTORS_LIST[[#This Row],[INVESTOR CODE]],LS[B/S],"B"))</f>
        <v>0</v>
      </c>
      <c r="I25" s="48">
        <f>IF(INVESTORS_LIST[[#This Row],[LS_TOTAL UNITS SOLD]]=0,0,SUMIFS(LS[Cost of Units Sold],LS[Investor ID],INVESTORS_LIST[[#This Row],[INVESTOR CODE]],LS[B/S],"S"))</f>
        <v>0</v>
      </c>
      <c r="J25" s="48">
        <f>IF(INVESTORS_LIST[[#This Row],[LS_TOTAL CURRENT UNITS]]=0,0,INVESTORS_LIST[[#This Row],[LS_TOTAL CURRENT UNITS]]*INVESTORS_LIST[[#This Row],[LS_AVERAGE COST]])</f>
        <v>0</v>
      </c>
      <c r="K25" s="49">
        <f>IF(INVESTORS_LIST[[#This Row],[LS_TOTAL UNITS SOLD]]=0,0,SUMIFS(LS[Realized Gain],LS[Investor ID],INVESTORS_LIST[[#This Row],[INVESTOR CODE]],LS[B/S],"S"))</f>
        <v>0</v>
      </c>
      <c r="L25" s="47">
        <f>SUMIFS(SIP[Unit],SIP[Investor ID],INVESTORS_LIST[[#This Row],[INVESTOR CODE]],SIP[B/S],"B")</f>
        <v>0</v>
      </c>
      <c r="M25" s="47">
        <f>-SUMIFS(SIP[Unit],SIP[Investor ID],INVESTORS_LIST[[#This Row],[INVESTOR CODE]],SIP[B/S],"S")</f>
        <v>0</v>
      </c>
      <c r="N25" s="50">
        <f>IF(INVESTORS_LIST[[#This Row],[SIP_TOTAL UNITS BUY]]=0,0,INVESTORS_LIST[[#This Row],[SIP_TOTAL UNITS BUY]]-INVESTORS_LIST[[#This Row],[SIP_TOTAL UNITS SOLD]])</f>
        <v>0</v>
      </c>
      <c r="O25" s="49">
        <f>IF(INVESTORS_LIST[[#This Row],[SIP_TOTAL UNITS BUY]]=0,0,SUMIFS(SIP[Amount],SIP[Investor ID],INVESTORS_LIST[[#This Row],[INVESTOR CODE]],SIP[B/S],"B"))</f>
        <v>0</v>
      </c>
      <c r="P25" s="49">
        <f>IF(INVESTORS_LIST[[#This Row],[SIP_TOTAL UNITS SOLD]]=0,0,SUMIFS(SIP[Cost of Units Sold],SIP[Investor ID],INVESTORS_LIST[[#This Row],[INVESTOR CODE]],SIP[B/S],"S"))</f>
        <v>0</v>
      </c>
      <c r="Q25" s="48">
        <f>IF(INVESTORS_LIST[[#This Row],[SIP_TOTAL CURRENT UNITS]]=0,0,INVESTORS_LIST[[#This Row],[SIP_TOTAL CURRENT UNITS]]*INVESTORS_LIST[[#This Row],[SIP_AVERAGE COST]])</f>
        <v>0</v>
      </c>
      <c r="R25" s="48">
        <f>IF(INVESTORS_LIST[[#This Row],[SIP_TOTAL UNITS SOLD]]=0,0,SUMIFS(SIP[Realized Gain],SIP[Investor ID],INVESTORS_LIST[[#This Row],[INVESTOR CODE]],SIP[B/S],"S"))</f>
        <v>0</v>
      </c>
      <c r="S25" s="50">
        <f>INVESTORS_LIST[[#This Row],[LS_TOTAL UNITS BUY]]+INVESTORS_LIST[[#This Row],[SIP_TOTAL UNITS BUY]]</f>
        <v>0</v>
      </c>
      <c r="T25" s="50">
        <f>INVESTORS_LIST[[#This Row],[LS_TOTAL UNITS SOLD]]+INVESTORS_LIST[[#This Row],[SIP_TOTAL UNITS SOLD]]</f>
        <v>0</v>
      </c>
      <c r="U25" s="50"/>
      <c r="V25" s="50">
        <f>SUMIFS(LS[BO UNIT TRANSFER],LS[Investor ID],INVESTORS_LIST[[#This Row],[INVESTOR CODE]],LS[B/S],"B")</f>
        <v>0</v>
      </c>
      <c r="W25" s="50">
        <f>SUMIFS(SIP[BO UNIT TRANSFER],SIP[Investor ID],INVESTORS_LIST[[#This Row],[INVESTOR CODE]],SIP[B/S],"B")</f>
        <v>0</v>
      </c>
      <c r="X25" s="50">
        <f>SUMIFS(LS[BO UNIT TRANSFER],LS[Investor ID],INVESTORS_LIST[[#This Row],[INVESTOR CODE]],LS[B/S],"S")</f>
        <v>0</v>
      </c>
      <c r="Y25" s="50">
        <f>SUMIFS(SIP[BO UNIT TRANSFER],SIP[Investor ID],INVESTORS_LIST[[#This Row],[INVESTOR CODE]],SIP[B/S],"S")</f>
        <v>0</v>
      </c>
      <c r="Z25" s="106">
        <f>SUM(INVESTORS_LIST[[#This Row],[BO OPENING BALANCE]:[BO SIP UNITS REPURCHASE]])</f>
        <v>0</v>
      </c>
      <c r="AA25" s="107">
        <f>INVESTORS_LIST[[#This Row],[TOTAL UNITS BUY]]-INVESTORS_LIST[[#This Row],[TOTAL UNITS SOLD]]</f>
        <v>0</v>
      </c>
      <c r="AB25" s="107">
        <f>INVESTORS_LIST[[#This Row],[TOTAL CURRENT UNITS]]-INVESTORS_LIST[[#This Row],[BO UNITS HOLD]]</f>
        <v>0</v>
      </c>
      <c r="AC25" s="201" t="e">
        <f>INDEX([3]!Table_1[BO ID],MATCH(INVESTORS_LIST[[#This Row],[INVESTOR CODE]],[3]!Table_1[INVESTOR CODE],0))</f>
        <v>#REF!</v>
      </c>
      <c r="AD25" s="201" t="e">
        <f>INDEX([3]!Table_1[Brokerage Name2],MATCH(INVESTORS_LIST[[#This Row],[INVESTOR CODE]],[3]!Table_1[INVESTOR CODE],0))</f>
        <v>#REF!</v>
      </c>
      <c r="AE25" s="201" t="e">
        <f>MID(INVESTORS_LIST[[#This Row],[BO ID]],4,5)</f>
        <v>#REF!</v>
      </c>
      <c r="AF25" s="201" t="e">
        <f>MID(INVESTORS_LIST[[#This Row],[BO ID]],2,7)</f>
        <v>#REF!</v>
      </c>
      <c r="AG25" s="201" t="e">
        <f>MID(INVESTORS_LIST[[#This Row],[BO ID]],9,7)</f>
        <v>#REF!</v>
      </c>
      <c r="AH25" s="201" t="e">
        <f>RIGHT(INVESTORS_LIST[[#This Row],[BO ID]],1)</f>
        <v>#REF!</v>
      </c>
      <c r="AI25" s="50">
        <f>INVESTORS_LIST[[#This Row],[LS_TOTAL COST VALUE OF CURRENT UNITS]]+INVESTORS_LIST[[#This Row],[SIP_TOTAL COST VALUE OF CURRENT UNITS]]</f>
        <v>0</v>
      </c>
      <c r="AJ25" s="109">
        <f>IF(INVESTORS_LIST[[#This Row],[TOTAL CURRENT UNITS]]=0,0,INVESTORS_LIST[[#This Row],[LS_TOTAL CURRENT UNITS]]/INVESTORS_LIST[[#This Row],[TOTAL CURRENT UNITS]])</f>
        <v>0</v>
      </c>
      <c r="AK25" s="109">
        <f>IF(INVESTORS_LIST[[#This Row],[TOTAL CURRENT UNITS]]=0,0,INVESTORS_LIST[[#This Row],[SIP_TOTAL CURRENT UNITS]]/INVESTORS_LIST[[#This Row],[TOTAL CURRENT UNITS]])</f>
        <v>0</v>
      </c>
      <c r="AL25" s="49" cm="1">
        <f t="array" ref="AL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" s="49" cm="1">
        <f t="array" ref="AM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" s="105">
        <f t="shared" si="1"/>
        <v>14.224</v>
      </c>
      <c r="AP25" s="112">
        <f>IF(INVESTORS_LIST[[#This Row],[TOTAL CURRENT UNITS]]=0,0,INVESTORS_LIST[[#This Row],[TOTAL CURRENT UNITS]]*INVESTORS_LIST[[#This Row],[NAV]])</f>
        <v>0</v>
      </c>
      <c r="AQ25" s="49">
        <f>IF(INVESTORS_LIST[[#This Row],[LS_TOTAL CURRENT UNITS]]=0,0,INVESTORS_LIST[[#This Row],[LS_TOTAL CURRENT UNITS]]*INVESTORS_LIST[[#This Row],[NAV]])</f>
        <v>0</v>
      </c>
      <c r="AR25" s="48">
        <f>IF(INVESTORS_LIST[[#This Row],[SIP_TOTAL CURRENT UNITS]]=0,0,INVESTORS_LIST[[#This Row],[SIP_TOTAL CURRENT UNITS]]*INVESTORS_LIST[[#This Row],[NAV]])</f>
        <v>0</v>
      </c>
      <c r="AS25" s="50">
        <f>INVESTORS_LIST[[#This Row],[TOTAL CURRENT UNITS]]</f>
        <v>0</v>
      </c>
      <c r="AT25" s="48">
        <f>IF(INVESTORS_LIST[[#This Row],[TOTAL SELLABLE UNITS]]=0,0,INVESTORS_LIST[[#This Row],[TOTAL SELLABLE UNITS]]*INVESTORS_LIST[[#This Row],[NAV]])</f>
        <v>0</v>
      </c>
      <c r="AU25" s="48">
        <f>INVESTORS_LIST[[#This Row],[LS_TOTAL REALIZED GAIN]]+INVESTORS_LIST[[#This Row],[SIP_TOTAL REALIZED GAIN]]</f>
        <v>0</v>
      </c>
      <c r="AV25" s="48">
        <f>INVESTORS_LIST[[#This Row],[TOTAL MARKET VALUE]]-INVESTORS_LIST[[#This Row],[TOTAL COST VALUE OF CURRENT INVESTMENT]]</f>
        <v>0</v>
      </c>
      <c r="AW25" s="48">
        <f>IFERROR(INVESTORS_LIST[[#This Row],[TOTAL CURRENT UNITS]]/SUM(INVESTORS_LIST[TOTAL CURRENT UNITS]),0)</f>
        <v>0</v>
      </c>
    </row>
    <row r="26" spans="1:49" hidden="1">
      <c r="A26" s="262" t="s">
        <v>98</v>
      </c>
      <c r="B26" s="97" t="s">
        <v>99</v>
      </c>
      <c r="C26" t="s">
        <v>52</v>
      </c>
      <c r="D26" s="75" t="s">
        <v>45</v>
      </c>
      <c r="E26" s="47">
        <f>SUMIFS(LS[Unit],LS[Investor ID],INVESTORS_LIST[[#This Row],[INVESTOR CODE]],LS[B/S],"B")</f>
        <v>0</v>
      </c>
      <c r="F26" s="47">
        <f>-SUMIFS(LS[Unit],LS[Investor ID],INVESTORS_LIST[[#This Row],[INVESTOR CODE]],LS[B/S],"S")</f>
        <v>0</v>
      </c>
      <c r="G26" s="47">
        <f>IF(INVESTORS_LIST[[#This Row],[LS_TOTAL UNITS BUY]]=0,0,INVESTORS_LIST[[#This Row],[LS_TOTAL UNITS BUY]]-INVESTORS_LIST[[#This Row],[LS_TOTAL UNITS SOLD]])</f>
        <v>0</v>
      </c>
      <c r="H26" s="49">
        <f>IF(INVESTORS_LIST[[#This Row],[LS_TOTAL UNITS BUY]]=0,0,SUMIFS(LS[Amount],LS[Investor ID],INVESTORS_LIST[[#This Row],[INVESTOR CODE]],LS[B/S],"B"))</f>
        <v>0</v>
      </c>
      <c r="I26" s="48">
        <f>IF(INVESTORS_LIST[[#This Row],[LS_TOTAL UNITS SOLD]]=0,0,SUMIFS(LS[Cost of Units Sold],LS[Investor ID],INVESTORS_LIST[[#This Row],[INVESTOR CODE]],LS[B/S],"S"))</f>
        <v>0</v>
      </c>
      <c r="J26" s="48">
        <f>IF(INVESTORS_LIST[[#This Row],[LS_TOTAL CURRENT UNITS]]=0,0,INVESTORS_LIST[[#This Row],[LS_TOTAL CURRENT UNITS]]*INVESTORS_LIST[[#This Row],[LS_AVERAGE COST]])</f>
        <v>0</v>
      </c>
      <c r="K26" s="49">
        <f>IF(INVESTORS_LIST[[#This Row],[LS_TOTAL UNITS SOLD]]=0,0,SUMIFS(LS[Realized Gain],LS[Investor ID],INVESTORS_LIST[[#This Row],[INVESTOR CODE]],LS[B/S],"S"))</f>
        <v>0</v>
      </c>
      <c r="L26" s="47">
        <f>SUMIFS(SIP[Unit],SIP[Investor ID],INVESTORS_LIST[[#This Row],[INVESTOR CODE]],SIP[B/S],"B")</f>
        <v>0</v>
      </c>
      <c r="M26" s="47">
        <f>-SUMIFS(SIP[Unit],SIP[Investor ID],INVESTORS_LIST[[#This Row],[INVESTOR CODE]],SIP[B/S],"S")</f>
        <v>0</v>
      </c>
      <c r="N26" s="50">
        <f>IF(INVESTORS_LIST[[#This Row],[SIP_TOTAL UNITS BUY]]=0,0,INVESTORS_LIST[[#This Row],[SIP_TOTAL UNITS BUY]]-INVESTORS_LIST[[#This Row],[SIP_TOTAL UNITS SOLD]])</f>
        <v>0</v>
      </c>
      <c r="O26" s="49">
        <f>IF(INVESTORS_LIST[[#This Row],[SIP_TOTAL UNITS BUY]]=0,0,SUMIFS(SIP[Amount],SIP[Investor ID],INVESTORS_LIST[[#This Row],[INVESTOR CODE]],SIP[B/S],"B"))</f>
        <v>0</v>
      </c>
      <c r="P26" s="49">
        <f>IF(INVESTORS_LIST[[#This Row],[SIP_TOTAL UNITS SOLD]]=0,0,SUMIFS(SIP[Cost of Units Sold],SIP[Investor ID],INVESTORS_LIST[[#This Row],[INVESTOR CODE]],SIP[B/S],"S"))</f>
        <v>0</v>
      </c>
      <c r="Q26" s="48">
        <f>IF(INVESTORS_LIST[[#This Row],[SIP_TOTAL CURRENT UNITS]]=0,0,INVESTORS_LIST[[#This Row],[SIP_TOTAL CURRENT UNITS]]*INVESTORS_LIST[[#This Row],[SIP_AVERAGE COST]])</f>
        <v>0</v>
      </c>
      <c r="R26" s="48">
        <f>IF(INVESTORS_LIST[[#This Row],[SIP_TOTAL UNITS SOLD]]=0,0,SUMIFS(SIP[Realized Gain],SIP[Investor ID],INVESTORS_LIST[[#This Row],[INVESTOR CODE]],SIP[B/S],"S"))</f>
        <v>0</v>
      </c>
      <c r="S26" s="50">
        <f>INVESTORS_LIST[[#This Row],[LS_TOTAL UNITS BUY]]+INVESTORS_LIST[[#This Row],[SIP_TOTAL UNITS BUY]]</f>
        <v>0</v>
      </c>
      <c r="T26" s="50">
        <f>INVESTORS_LIST[[#This Row],[LS_TOTAL UNITS SOLD]]+INVESTORS_LIST[[#This Row],[SIP_TOTAL UNITS SOLD]]</f>
        <v>0</v>
      </c>
      <c r="U26" s="50"/>
      <c r="V26" s="50">
        <f>SUMIFS(LS[BO UNIT TRANSFER],LS[Investor ID],INVESTORS_LIST[[#This Row],[INVESTOR CODE]],LS[B/S],"B")</f>
        <v>0</v>
      </c>
      <c r="W26" s="50">
        <f>SUMIFS(SIP[BO UNIT TRANSFER],SIP[Investor ID],INVESTORS_LIST[[#This Row],[INVESTOR CODE]],SIP[B/S],"B")</f>
        <v>0</v>
      </c>
      <c r="X26" s="50">
        <f>SUMIFS(LS[BO UNIT TRANSFER],LS[Investor ID],INVESTORS_LIST[[#This Row],[INVESTOR CODE]],LS[B/S],"S")</f>
        <v>0</v>
      </c>
      <c r="Y26" s="50">
        <f>SUMIFS(SIP[BO UNIT TRANSFER],SIP[Investor ID],INVESTORS_LIST[[#This Row],[INVESTOR CODE]],SIP[B/S],"S")</f>
        <v>0</v>
      </c>
      <c r="Z26" s="106">
        <f>SUM(INVESTORS_LIST[[#This Row],[BO OPENING BALANCE]:[BO SIP UNITS REPURCHASE]])</f>
        <v>0</v>
      </c>
      <c r="AA26" s="107">
        <f>INVESTORS_LIST[[#This Row],[TOTAL UNITS BUY]]-INVESTORS_LIST[[#This Row],[TOTAL UNITS SOLD]]</f>
        <v>0</v>
      </c>
      <c r="AB26" s="107">
        <f>INVESTORS_LIST[[#This Row],[TOTAL CURRENT UNITS]]-INVESTORS_LIST[[#This Row],[BO UNITS HOLD]]</f>
        <v>0</v>
      </c>
      <c r="AC26" s="201" t="e">
        <f>INDEX([3]!Table_1[BO ID],MATCH(INVESTORS_LIST[[#This Row],[INVESTOR CODE]],[3]!Table_1[INVESTOR CODE],0))</f>
        <v>#REF!</v>
      </c>
      <c r="AD26" s="201" t="e">
        <f>INDEX([3]!Table_1[Brokerage Name2],MATCH(INVESTORS_LIST[[#This Row],[INVESTOR CODE]],[3]!Table_1[INVESTOR CODE],0))</f>
        <v>#REF!</v>
      </c>
      <c r="AE26" s="201" t="e">
        <f>MID(INVESTORS_LIST[[#This Row],[BO ID]],4,5)</f>
        <v>#REF!</v>
      </c>
      <c r="AF26" s="201" t="e">
        <f>MID(INVESTORS_LIST[[#This Row],[BO ID]],2,7)</f>
        <v>#REF!</v>
      </c>
      <c r="AG26" s="201" t="e">
        <f>MID(INVESTORS_LIST[[#This Row],[BO ID]],9,7)</f>
        <v>#REF!</v>
      </c>
      <c r="AH26" s="201" t="e">
        <f>RIGHT(INVESTORS_LIST[[#This Row],[BO ID]],1)</f>
        <v>#REF!</v>
      </c>
      <c r="AI26" s="50">
        <f>INVESTORS_LIST[[#This Row],[LS_TOTAL COST VALUE OF CURRENT UNITS]]+INVESTORS_LIST[[#This Row],[SIP_TOTAL COST VALUE OF CURRENT UNITS]]</f>
        <v>0</v>
      </c>
      <c r="AJ26" s="109">
        <f>IF(INVESTORS_LIST[[#This Row],[TOTAL CURRENT UNITS]]=0,0,INVESTORS_LIST[[#This Row],[LS_TOTAL CURRENT UNITS]]/INVESTORS_LIST[[#This Row],[TOTAL CURRENT UNITS]])</f>
        <v>0</v>
      </c>
      <c r="AK26" s="109">
        <f>IF(INVESTORS_LIST[[#This Row],[TOTAL CURRENT UNITS]]=0,0,INVESTORS_LIST[[#This Row],[SIP_TOTAL CURRENT UNITS]]/INVESTORS_LIST[[#This Row],[TOTAL CURRENT UNITS]])</f>
        <v>0</v>
      </c>
      <c r="AL26" s="49" cm="1">
        <f t="array" ref="AL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" s="49" cm="1">
        <f t="array" ref="AM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" s="105">
        <f t="shared" si="1"/>
        <v>14.224</v>
      </c>
      <c r="AP26" s="112">
        <f>IF(INVESTORS_LIST[[#This Row],[TOTAL CURRENT UNITS]]=0,0,INVESTORS_LIST[[#This Row],[TOTAL CURRENT UNITS]]*INVESTORS_LIST[[#This Row],[NAV]])</f>
        <v>0</v>
      </c>
      <c r="AQ26" s="49">
        <f>IF(INVESTORS_LIST[[#This Row],[LS_TOTAL CURRENT UNITS]]=0,0,INVESTORS_LIST[[#This Row],[LS_TOTAL CURRENT UNITS]]*INVESTORS_LIST[[#This Row],[NAV]])</f>
        <v>0</v>
      </c>
      <c r="AR26" s="48">
        <f>IF(INVESTORS_LIST[[#This Row],[SIP_TOTAL CURRENT UNITS]]=0,0,INVESTORS_LIST[[#This Row],[SIP_TOTAL CURRENT UNITS]]*INVESTORS_LIST[[#This Row],[NAV]])</f>
        <v>0</v>
      </c>
      <c r="AS26" s="50">
        <f>INVESTORS_LIST[[#This Row],[TOTAL CURRENT UNITS]]</f>
        <v>0</v>
      </c>
      <c r="AT26" s="48">
        <f>IF(INVESTORS_LIST[[#This Row],[TOTAL SELLABLE UNITS]]=0,0,INVESTORS_LIST[[#This Row],[TOTAL SELLABLE UNITS]]*INVESTORS_LIST[[#This Row],[NAV]])</f>
        <v>0</v>
      </c>
      <c r="AU26" s="48">
        <f>INVESTORS_LIST[[#This Row],[LS_TOTAL REALIZED GAIN]]+INVESTORS_LIST[[#This Row],[SIP_TOTAL REALIZED GAIN]]</f>
        <v>0</v>
      </c>
      <c r="AV26" s="48">
        <f>INVESTORS_LIST[[#This Row],[TOTAL MARKET VALUE]]-INVESTORS_LIST[[#This Row],[TOTAL COST VALUE OF CURRENT INVESTMENT]]</f>
        <v>0</v>
      </c>
      <c r="AW26" s="48">
        <f>IFERROR(INVESTORS_LIST[[#This Row],[TOTAL CURRENT UNITS]]/SUM(INVESTORS_LIST[TOTAL CURRENT UNITS]),0)</f>
        <v>0</v>
      </c>
    </row>
    <row r="27" spans="1:49" hidden="1">
      <c r="A27" s="262" t="s">
        <v>100</v>
      </c>
      <c r="B27" s="97" t="s">
        <v>101</v>
      </c>
      <c r="C27" t="s">
        <v>44</v>
      </c>
      <c r="D27" s="75" t="s">
        <v>45</v>
      </c>
      <c r="E27" s="47">
        <f>SUMIFS(LS[Unit],LS[Investor ID],INVESTORS_LIST[[#This Row],[INVESTOR CODE]],LS[B/S],"B")</f>
        <v>50000</v>
      </c>
      <c r="F27" s="47">
        <f>-SUMIFS(LS[Unit],LS[Investor ID],INVESTORS_LIST[[#This Row],[INVESTOR CODE]],LS[B/S],"S")</f>
        <v>50000</v>
      </c>
      <c r="G27" s="47">
        <f>IF(INVESTORS_LIST[[#This Row],[LS_TOTAL UNITS BUY]]=0,0,INVESTORS_LIST[[#This Row],[LS_TOTAL UNITS BUY]]-INVESTORS_LIST[[#This Row],[LS_TOTAL UNITS SOLD]])</f>
        <v>0</v>
      </c>
      <c r="H27" s="49">
        <f>IF(INVESTORS_LIST[[#This Row],[LS_TOTAL UNITS BUY]]=0,0,SUMIFS(LS[Amount],LS[Investor ID],INVESTORS_LIST[[#This Row],[INVESTOR CODE]],LS[B/S],"B"))</f>
        <v>500000</v>
      </c>
      <c r="I27" s="48">
        <f>IF(INVESTORS_LIST[[#This Row],[LS_TOTAL UNITS SOLD]]=0,0,SUMIFS(LS[Cost of Units Sold],LS[Investor ID],INVESTORS_LIST[[#This Row],[INVESTOR CODE]],LS[B/S],"S"))</f>
        <v>500000</v>
      </c>
      <c r="J27" s="48">
        <f>IF(INVESTORS_LIST[[#This Row],[LS_TOTAL CURRENT UNITS]]=0,0,INVESTORS_LIST[[#This Row],[LS_TOTAL CURRENT UNITS]]*INVESTORS_LIST[[#This Row],[LS_AVERAGE COST]])</f>
        <v>0</v>
      </c>
      <c r="K27" s="49">
        <f>IF(INVESTORS_LIST[[#This Row],[LS_TOTAL UNITS SOLD]]=0,0,SUMIFS(LS[Realized Gain],LS[Investor ID],INVESTORS_LIST[[#This Row],[INVESTOR CODE]],LS[B/S],"S"))</f>
        <v>2850.0000000000191</v>
      </c>
      <c r="L27" s="47">
        <f>SUMIFS(SIP[Unit],SIP[Investor ID],INVESTORS_LIST[[#This Row],[INVESTOR CODE]],SIP[B/S],"B")</f>
        <v>0</v>
      </c>
      <c r="M27" s="47">
        <f>-SUMIFS(SIP[Unit],SIP[Investor ID],INVESTORS_LIST[[#This Row],[INVESTOR CODE]],SIP[B/S],"S")</f>
        <v>0</v>
      </c>
      <c r="N27" s="50">
        <f>IF(INVESTORS_LIST[[#This Row],[SIP_TOTAL UNITS BUY]]=0,0,INVESTORS_LIST[[#This Row],[SIP_TOTAL UNITS BUY]]-INVESTORS_LIST[[#This Row],[SIP_TOTAL UNITS SOLD]])</f>
        <v>0</v>
      </c>
      <c r="O27" s="49">
        <f>IF(INVESTORS_LIST[[#This Row],[SIP_TOTAL UNITS BUY]]=0,0,SUMIFS(SIP[Amount],SIP[Investor ID],INVESTORS_LIST[[#This Row],[INVESTOR CODE]],SIP[B/S],"B"))</f>
        <v>0</v>
      </c>
      <c r="P27" s="49">
        <f>IF(INVESTORS_LIST[[#This Row],[SIP_TOTAL UNITS SOLD]]=0,0,SUMIFS(SIP[Cost of Units Sold],SIP[Investor ID],INVESTORS_LIST[[#This Row],[INVESTOR CODE]],SIP[B/S],"S"))</f>
        <v>0</v>
      </c>
      <c r="Q27" s="48">
        <f>IF(INVESTORS_LIST[[#This Row],[SIP_TOTAL CURRENT UNITS]]=0,0,INVESTORS_LIST[[#This Row],[SIP_TOTAL CURRENT UNITS]]*INVESTORS_LIST[[#This Row],[SIP_AVERAGE COST]])</f>
        <v>0</v>
      </c>
      <c r="R27" s="48">
        <f>IF(INVESTORS_LIST[[#This Row],[SIP_TOTAL UNITS SOLD]]=0,0,SUMIFS(SIP[Realized Gain],SIP[Investor ID],INVESTORS_LIST[[#This Row],[INVESTOR CODE]],SIP[B/S],"S"))</f>
        <v>0</v>
      </c>
      <c r="S27" s="50">
        <f>INVESTORS_LIST[[#This Row],[LS_TOTAL UNITS BUY]]+INVESTORS_LIST[[#This Row],[SIP_TOTAL UNITS BUY]]</f>
        <v>50000</v>
      </c>
      <c r="T27" s="50">
        <f>INVESTORS_LIST[[#This Row],[LS_TOTAL UNITS SOLD]]+INVESTORS_LIST[[#This Row],[SIP_TOTAL UNITS SOLD]]</f>
        <v>50000</v>
      </c>
      <c r="U27" s="50"/>
      <c r="V27" s="50">
        <f>SUMIFS(LS[BO UNIT TRANSFER],LS[Investor ID],INVESTORS_LIST[[#This Row],[INVESTOR CODE]],LS[B/S],"B")</f>
        <v>0</v>
      </c>
      <c r="W27" s="50">
        <f>SUMIFS(SIP[BO UNIT TRANSFER],SIP[Investor ID],INVESTORS_LIST[[#This Row],[INVESTOR CODE]],SIP[B/S],"B")</f>
        <v>0</v>
      </c>
      <c r="X27" s="50">
        <f>SUMIFS(LS[BO UNIT TRANSFER],LS[Investor ID],INVESTORS_LIST[[#This Row],[INVESTOR CODE]],LS[B/S],"S")</f>
        <v>0</v>
      </c>
      <c r="Y27" s="50">
        <f>SUMIFS(SIP[BO UNIT TRANSFER],SIP[Investor ID],INVESTORS_LIST[[#This Row],[INVESTOR CODE]],SIP[B/S],"S")</f>
        <v>0</v>
      </c>
      <c r="Z27" s="106">
        <f>SUM(INVESTORS_LIST[[#This Row],[BO OPENING BALANCE]:[BO SIP UNITS REPURCHASE]])</f>
        <v>0</v>
      </c>
      <c r="AA27" s="107">
        <f>INVESTORS_LIST[[#This Row],[TOTAL UNITS BUY]]-INVESTORS_LIST[[#This Row],[TOTAL UNITS SOLD]]</f>
        <v>0</v>
      </c>
      <c r="AB27" s="107">
        <f>INVESTORS_LIST[[#This Row],[TOTAL CURRENT UNITS]]-INVESTORS_LIST[[#This Row],[BO UNITS HOLD]]</f>
        <v>0</v>
      </c>
      <c r="AC27" s="201" t="e">
        <f>INDEX([3]!Table_1[BO ID],MATCH(INVESTORS_LIST[[#This Row],[INVESTOR CODE]],[3]!Table_1[INVESTOR CODE],0))</f>
        <v>#REF!</v>
      </c>
      <c r="AD27" s="201" t="e">
        <f>INDEX([3]!Table_1[Brokerage Name2],MATCH(INVESTORS_LIST[[#This Row],[INVESTOR CODE]],[3]!Table_1[INVESTOR CODE],0))</f>
        <v>#REF!</v>
      </c>
      <c r="AE27" s="201" t="e">
        <f>MID(INVESTORS_LIST[[#This Row],[BO ID]],4,5)</f>
        <v>#REF!</v>
      </c>
      <c r="AF27" s="201" t="e">
        <f>MID(INVESTORS_LIST[[#This Row],[BO ID]],2,7)</f>
        <v>#REF!</v>
      </c>
      <c r="AG27" s="201" t="e">
        <f>MID(INVESTORS_LIST[[#This Row],[BO ID]],9,7)</f>
        <v>#REF!</v>
      </c>
      <c r="AH27" s="201" t="e">
        <f>RIGHT(INVESTORS_LIST[[#This Row],[BO ID]],1)</f>
        <v>#REF!</v>
      </c>
      <c r="AI27" s="50">
        <f>INVESTORS_LIST[[#This Row],[LS_TOTAL COST VALUE OF CURRENT UNITS]]+INVESTORS_LIST[[#This Row],[SIP_TOTAL COST VALUE OF CURRENT UNITS]]</f>
        <v>0</v>
      </c>
      <c r="AJ27" s="109">
        <f>IF(INVESTORS_LIST[[#This Row],[TOTAL CURRENT UNITS]]=0,0,INVESTORS_LIST[[#This Row],[LS_TOTAL CURRENT UNITS]]/INVESTORS_LIST[[#This Row],[TOTAL CURRENT UNITS]])</f>
        <v>0</v>
      </c>
      <c r="AK27" s="109">
        <f>IF(INVESTORS_LIST[[#This Row],[TOTAL CURRENT UNITS]]=0,0,INVESTORS_LIST[[#This Row],[SIP_TOTAL CURRENT UNITS]]/INVESTORS_LIST[[#This Row],[TOTAL CURRENT UNITS]])</f>
        <v>0</v>
      </c>
      <c r="AL27" s="49" cm="1">
        <f t="array" ref="AL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" s="49" cm="1">
        <f t="array" ref="AM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" s="105">
        <f t="shared" si="1"/>
        <v>14.224</v>
      </c>
      <c r="AP27" s="112">
        <f>IF(INVESTORS_LIST[[#This Row],[TOTAL CURRENT UNITS]]=0,0,INVESTORS_LIST[[#This Row],[TOTAL CURRENT UNITS]]*INVESTORS_LIST[[#This Row],[NAV]])</f>
        <v>0</v>
      </c>
      <c r="AQ27" s="49">
        <f>IF(INVESTORS_LIST[[#This Row],[LS_TOTAL CURRENT UNITS]]=0,0,INVESTORS_LIST[[#This Row],[LS_TOTAL CURRENT UNITS]]*INVESTORS_LIST[[#This Row],[NAV]])</f>
        <v>0</v>
      </c>
      <c r="AR27" s="48">
        <f>IF(INVESTORS_LIST[[#This Row],[SIP_TOTAL CURRENT UNITS]]=0,0,INVESTORS_LIST[[#This Row],[SIP_TOTAL CURRENT UNITS]]*INVESTORS_LIST[[#This Row],[NAV]])</f>
        <v>0</v>
      </c>
      <c r="AS27" s="50">
        <f>INVESTORS_LIST[[#This Row],[TOTAL CURRENT UNITS]]</f>
        <v>0</v>
      </c>
      <c r="AT27" s="48">
        <f>IF(INVESTORS_LIST[[#This Row],[TOTAL SELLABLE UNITS]]=0,0,INVESTORS_LIST[[#This Row],[TOTAL SELLABLE UNITS]]*INVESTORS_LIST[[#This Row],[NAV]])</f>
        <v>0</v>
      </c>
      <c r="AU27" s="48">
        <f>INVESTORS_LIST[[#This Row],[LS_TOTAL REALIZED GAIN]]+INVESTORS_LIST[[#This Row],[SIP_TOTAL REALIZED GAIN]]</f>
        <v>2850.0000000000191</v>
      </c>
      <c r="AV27" s="48">
        <f>INVESTORS_LIST[[#This Row],[TOTAL MARKET VALUE]]-INVESTORS_LIST[[#This Row],[TOTAL COST VALUE OF CURRENT INVESTMENT]]</f>
        <v>0</v>
      </c>
      <c r="AW27" s="48">
        <f>IFERROR(INVESTORS_LIST[[#This Row],[TOTAL CURRENT UNITS]]/SUM(INVESTORS_LIST[TOTAL CURRENT UNITS]),0)</f>
        <v>0</v>
      </c>
    </row>
    <row r="28" spans="1:49" hidden="1">
      <c r="A28" s="262" t="s">
        <v>102</v>
      </c>
      <c r="B28" s="97" t="s">
        <v>103</v>
      </c>
      <c r="C28" t="s">
        <v>52</v>
      </c>
      <c r="D28" s="75" t="s">
        <v>45</v>
      </c>
      <c r="E28" s="47">
        <f>SUMIFS(LS[Unit],LS[Investor ID],INVESTORS_LIST[[#This Row],[INVESTOR CODE]],LS[B/S],"B")</f>
        <v>0</v>
      </c>
      <c r="F28" s="47">
        <f>-SUMIFS(LS[Unit],LS[Investor ID],INVESTORS_LIST[[#This Row],[INVESTOR CODE]],LS[B/S],"S")</f>
        <v>0</v>
      </c>
      <c r="G28" s="47">
        <f>IF(INVESTORS_LIST[[#This Row],[LS_TOTAL UNITS BUY]]=0,0,INVESTORS_LIST[[#This Row],[LS_TOTAL UNITS BUY]]-INVESTORS_LIST[[#This Row],[LS_TOTAL UNITS SOLD]])</f>
        <v>0</v>
      </c>
      <c r="H28" s="49">
        <f>IF(INVESTORS_LIST[[#This Row],[LS_TOTAL UNITS BUY]]=0,0,SUMIFS(LS[Amount],LS[Investor ID],INVESTORS_LIST[[#This Row],[INVESTOR CODE]],LS[B/S],"B"))</f>
        <v>0</v>
      </c>
      <c r="I28" s="48">
        <f>IF(INVESTORS_LIST[[#This Row],[LS_TOTAL UNITS SOLD]]=0,0,SUMIFS(LS[Cost of Units Sold],LS[Investor ID],INVESTORS_LIST[[#This Row],[INVESTOR CODE]],LS[B/S],"S"))</f>
        <v>0</v>
      </c>
      <c r="J28" s="48">
        <f>IF(INVESTORS_LIST[[#This Row],[LS_TOTAL CURRENT UNITS]]=0,0,INVESTORS_LIST[[#This Row],[LS_TOTAL CURRENT UNITS]]*INVESTORS_LIST[[#This Row],[LS_AVERAGE COST]])</f>
        <v>0</v>
      </c>
      <c r="K28" s="49">
        <f>IF(INVESTORS_LIST[[#This Row],[LS_TOTAL UNITS SOLD]]=0,0,SUMIFS(LS[Realized Gain],LS[Investor ID],INVESTORS_LIST[[#This Row],[INVESTOR CODE]],LS[B/S],"S"))</f>
        <v>0</v>
      </c>
      <c r="L28" s="47">
        <f>SUMIFS(SIP[Unit],SIP[Investor ID],INVESTORS_LIST[[#This Row],[INVESTOR CODE]],SIP[B/S],"B")</f>
        <v>0</v>
      </c>
      <c r="M28" s="47">
        <f>-SUMIFS(SIP[Unit],SIP[Investor ID],INVESTORS_LIST[[#This Row],[INVESTOR CODE]],SIP[B/S],"S")</f>
        <v>0</v>
      </c>
      <c r="N28" s="50">
        <f>IF(INVESTORS_LIST[[#This Row],[SIP_TOTAL UNITS BUY]]=0,0,INVESTORS_LIST[[#This Row],[SIP_TOTAL UNITS BUY]]-INVESTORS_LIST[[#This Row],[SIP_TOTAL UNITS SOLD]])</f>
        <v>0</v>
      </c>
      <c r="O28" s="49">
        <f>IF(INVESTORS_LIST[[#This Row],[SIP_TOTAL UNITS BUY]]=0,0,SUMIFS(SIP[Amount],SIP[Investor ID],INVESTORS_LIST[[#This Row],[INVESTOR CODE]],SIP[B/S],"B"))</f>
        <v>0</v>
      </c>
      <c r="P28" s="49">
        <f>IF(INVESTORS_LIST[[#This Row],[SIP_TOTAL UNITS SOLD]]=0,0,SUMIFS(SIP[Cost of Units Sold],SIP[Investor ID],INVESTORS_LIST[[#This Row],[INVESTOR CODE]],SIP[B/S],"S"))</f>
        <v>0</v>
      </c>
      <c r="Q28" s="48">
        <f>IF(INVESTORS_LIST[[#This Row],[SIP_TOTAL CURRENT UNITS]]=0,0,INVESTORS_LIST[[#This Row],[SIP_TOTAL CURRENT UNITS]]*INVESTORS_LIST[[#This Row],[SIP_AVERAGE COST]])</f>
        <v>0</v>
      </c>
      <c r="R28" s="48">
        <f>IF(INVESTORS_LIST[[#This Row],[SIP_TOTAL UNITS SOLD]]=0,0,SUMIFS(SIP[Realized Gain],SIP[Investor ID],INVESTORS_LIST[[#This Row],[INVESTOR CODE]],SIP[B/S],"S"))</f>
        <v>0</v>
      </c>
      <c r="S28" s="50">
        <f>INVESTORS_LIST[[#This Row],[LS_TOTAL UNITS BUY]]+INVESTORS_LIST[[#This Row],[SIP_TOTAL UNITS BUY]]</f>
        <v>0</v>
      </c>
      <c r="T28" s="50">
        <f>INVESTORS_LIST[[#This Row],[LS_TOTAL UNITS SOLD]]+INVESTORS_LIST[[#This Row],[SIP_TOTAL UNITS SOLD]]</f>
        <v>0</v>
      </c>
      <c r="U28" s="50"/>
      <c r="V28" s="50">
        <f>SUMIFS(LS[BO UNIT TRANSFER],LS[Investor ID],INVESTORS_LIST[[#This Row],[INVESTOR CODE]],LS[B/S],"B")</f>
        <v>0</v>
      </c>
      <c r="W28" s="50">
        <f>SUMIFS(SIP[BO UNIT TRANSFER],SIP[Investor ID],INVESTORS_LIST[[#This Row],[INVESTOR CODE]],SIP[B/S],"B")</f>
        <v>0</v>
      </c>
      <c r="X28" s="50">
        <f>SUMIFS(LS[BO UNIT TRANSFER],LS[Investor ID],INVESTORS_LIST[[#This Row],[INVESTOR CODE]],LS[B/S],"S")</f>
        <v>0</v>
      </c>
      <c r="Y28" s="50">
        <f>SUMIFS(SIP[BO UNIT TRANSFER],SIP[Investor ID],INVESTORS_LIST[[#This Row],[INVESTOR CODE]],SIP[B/S],"S")</f>
        <v>0</v>
      </c>
      <c r="Z28" s="106">
        <f>SUM(INVESTORS_LIST[[#This Row],[BO OPENING BALANCE]:[BO SIP UNITS REPURCHASE]])</f>
        <v>0</v>
      </c>
      <c r="AA28" s="107">
        <f>INVESTORS_LIST[[#This Row],[TOTAL UNITS BUY]]-INVESTORS_LIST[[#This Row],[TOTAL UNITS SOLD]]</f>
        <v>0</v>
      </c>
      <c r="AB28" s="107">
        <f>INVESTORS_LIST[[#This Row],[TOTAL CURRENT UNITS]]-INVESTORS_LIST[[#This Row],[BO UNITS HOLD]]</f>
        <v>0</v>
      </c>
      <c r="AC28" s="201" t="e">
        <f>INDEX([3]!Table_1[BO ID],MATCH(INVESTORS_LIST[[#This Row],[INVESTOR CODE]],[3]!Table_1[INVESTOR CODE],0))</f>
        <v>#REF!</v>
      </c>
      <c r="AD28" s="201" t="e">
        <f>INDEX([3]!Table_1[Brokerage Name2],MATCH(INVESTORS_LIST[[#This Row],[INVESTOR CODE]],[3]!Table_1[INVESTOR CODE],0))</f>
        <v>#REF!</v>
      </c>
      <c r="AE28" s="201" t="e">
        <f>MID(INVESTORS_LIST[[#This Row],[BO ID]],4,5)</f>
        <v>#REF!</v>
      </c>
      <c r="AF28" s="201" t="e">
        <f>MID(INVESTORS_LIST[[#This Row],[BO ID]],2,7)</f>
        <v>#REF!</v>
      </c>
      <c r="AG28" s="201" t="e">
        <f>MID(INVESTORS_LIST[[#This Row],[BO ID]],9,7)</f>
        <v>#REF!</v>
      </c>
      <c r="AH28" s="201" t="e">
        <f>RIGHT(INVESTORS_LIST[[#This Row],[BO ID]],1)</f>
        <v>#REF!</v>
      </c>
      <c r="AI28" s="50">
        <f>INVESTORS_LIST[[#This Row],[LS_TOTAL COST VALUE OF CURRENT UNITS]]+INVESTORS_LIST[[#This Row],[SIP_TOTAL COST VALUE OF CURRENT UNITS]]</f>
        <v>0</v>
      </c>
      <c r="AJ28" s="109">
        <f>IF(INVESTORS_LIST[[#This Row],[TOTAL CURRENT UNITS]]=0,0,INVESTORS_LIST[[#This Row],[LS_TOTAL CURRENT UNITS]]/INVESTORS_LIST[[#This Row],[TOTAL CURRENT UNITS]])</f>
        <v>0</v>
      </c>
      <c r="AK28" s="109">
        <f>IF(INVESTORS_LIST[[#This Row],[TOTAL CURRENT UNITS]]=0,0,INVESTORS_LIST[[#This Row],[SIP_TOTAL CURRENT UNITS]]/INVESTORS_LIST[[#This Row],[TOTAL CURRENT UNITS]])</f>
        <v>0</v>
      </c>
      <c r="AL28" s="49" cm="1">
        <f t="array" ref="AL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" s="49" cm="1">
        <f t="array" ref="AM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" s="105">
        <f t="shared" si="1"/>
        <v>14.224</v>
      </c>
      <c r="AP28" s="112">
        <f>IF(INVESTORS_LIST[[#This Row],[TOTAL CURRENT UNITS]]=0,0,INVESTORS_LIST[[#This Row],[TOTAL CURRENT UNITS]]*INVESTORS_LIST[[#This Row],[NAV]])</f>
        <v>0</v>
      </c>
      <c r="AQ28" s="49">
        <f>IF(INVESTORS_LIST[[#This Row],[LS_TOTAL CURRENT UNITS]]=0,0,INVESTORS_LIST[[#This Row],[LS_TOTAL CURRENT UNITS]]*INVESTORS_LIST[[#This Row],[NAV]])</f>
        <v>0</v>
      </c>
      <c r="AR28" s="48">
        <f>IF(INVESTORS_LIST[[#This Row],[SIP_TOTAL CURRENT UNITS]]=0,0,INVESTORS_LIST[[#This Row],[SIP_TOTAL CURRENT UNITS]]*INVESTORS_LIST[[#This Row],[NAV]])</f>
        <v>0</v>
      </c>
      <c r="AS28" s="50">
        <f>INVESTORS_LIST[[#This Row],[TOTAL CURRENT UNITS]]</f>
        <v>0</v>
      </c>
      <c r="AT28" s="48">
        <f>IF(INVESTORS_LIST[[#This Row],[TOTAL SELLABLE UNITS]]=0,0,INVESTORS_LIST[[#This Row],[TOTAL SELLABLE UNITS]]*INVESTORS_LIST[[#This Row],[NAV]])</f>
        <v>0</v>
      </c>
      <c r="AU28" s="48">
        <f>INVESTORS_LIST[[#This Row],[LS_TOTAL REALIZED GAIN]]+INVESTORS_LIST[[#This Row],[SIP_TOTAL REALIZED GAIN]]</f>
        <v>0</v>
      </c>
      <c r="AV28" s="48">
        <f>INVESTORS_LIST[[#This Row],[TOTAL MARKET VALUE]]-INVESTORS_LIST[[#This Row],[TOTAL COST VALUE OF CURRENT INVESTMENT]]</f>
        <v>0</v>
      </c>
      <c r="AW28" s="48">
        <f>IFERROR(INVESTORS_LIST[[#This Row],[TOTAL CURRENT UNITS]]/SUM(INVESTORS_LIST[TOTAL CURRENT UNITS]),0)</f>
        <v>0</v>
      </c>
    </row>
    <row r="29" spans="1:49" hidden="1">
      <c r="A29" s="262" t="s">
        <v>104</v>
      </c>
      <c r="B29" s="97" t="s">
        <v>105</v>
      </c>
      <c r="C29" t="s">
        <v>44</v>
      </c>
      <c r="D29" s="75" t="s">
        <v>45</v>
      </c>
      <c r="E29" s="47">
        <f>SUMIFS(LS[Unit],LS[Investor ID],INVESTORS_LIST[[#This Row],[INVESTOR CODE]],LS[B/S],"B")</f>
        <v>0</v>
      </c>
      <c r="F29" s="47">
        <f>-SUMIFS(LS[Unit],LS[Investor ID],INVESTORS_LIST[[#This Row],[INVESTOR CODE]],LS[B/S],"S")</f>
        <v>0</v>
      </c>
      <c r="G29" s="47">
        <f>IF(INVESTORS_LIST[[#This Row],[LS_TOTAL UNITS BUY]]=0,0,INVESTORS_LIST[[#This Row],[LS_TOTAL UNITS BUY]]-INVESTORS_LIST[[#This Row],[LS_TOTAL UNITS SOLD]])</f>
        <v>0</v>
      </c>
      <c r="H29" s="49">
        <f>IF(INVESTORS_LIST[[#This Row],[LS_TOTAL UNITS BUY]]=0,0,SUMIFS(LS[Amount],LS[Investor ID],INVESTORS_LIST[[#This Row],[INVESTOR CODE]],LS[B/S],"B"))</f>
        <v>0</v>
      </c>
      <c r="I29" s="48">
        <f>IF(INVESTORS_LIST[[#This Row],[LS_TOTAL UNITS SOLD]]=0,0,SUMIFS(LS[Cost of Units Sold],LS[Investor ID],INVESTORS_LIST[[#This Row],[INVESTOR CODE]],LS[B/S],"S"))</f>
        <v>0</v>
      </c>
      <c r="J29" s="48">
        <f>IF(INVESTORS_LIST[[#This Row],[LS_TOTAL CURRENT UNITS]]=0,0,INVESTORS_LIST[[#This Row],[LS_TOTAL CURRENT UNITS]]*INVESTORS_LIST[[#This Row],[LS_AVERAGE COST]])</f>
        <v>0</v>
      </c>
      <c r="K29" s="49">
        <f>IF(INVESTORS_LIST[[#This Row],[LS_TOTAL UNITS SOLD]]=0,0,SUMIFS(LS[Realized Gain],LS[Investor ID],INVESTORS_LIST[[#This Row],[INVESTOR CODE]],LS[B/S],"S"))</f>
        <v>0</v>
      </c>
      <c r="L29" s="47">
        <f>SUMIFS(SIP[Unit],SIP[Investor ID],INVESTORS_LIST[[#This Row],[INVESTOR CODE]],SIP[B/S],"B")</f>
        <v>0</v>
      </c>
      <c r="M29" s="47">
        <f>-SUMIFS(SIP[Unit],SIP[Investor ID],INVESTORS_LIST[[#This Row],[INVESTOR CODE]],SIP[B/S],"S")</f>
        <v>0</v>
      </c>
      <c r="N29" s="50">
        <f>IF(INVESTORS_LIST[[#This Row],[SIP_TOTAL UNITS BUY]]=0,0,INVESTORS_LIST[[#This Row],[SIP_TOTAL UNITS BUY]]-INVESTORS_LIST[[#This Row],[SIP_TOTAL UNITS SOLD]])</f>
        <v>0</v>
      </c>
      <c r="O29" s="49">
        <f>IF(INVESTORS_LIST[[#This Row],[SIP_TOTAL UNITS BUY]]=0,0,SUMIFS(SIP[Amount],SIP[Investor ID],INVESTORS_LIST[[#This Row],[INVESTOR CODE]],SIP[B/S],"B"))</f>
        <v>0</v>
      </c>
      <c r="P29" s="49">
        <f>IF(INVESTORS_LIST[[#This Row],[SIP_TOTAL UNITS SOLD]]=0,0,SUMIFS(SIP[Cost of Units Sold],SIP[Investor ID],INVESTORS_LIST[[#This Row],[INVESTOR CODE]],SIP[B/S],"S"))</f>
        <v>0</v>
      </c>
      <c r="Q29" s="48">
        <f>IF(INVESTORS_LIST[[#This Row],[SIP_TOTAL CURRENT UNITS]]=0,0,INVESTORS_LIST[[#This Row],[SIP_TOTAL CURRENT UNITS]]*INVESTORS_LIST[[#This Row],[SIP_AVERAGE COST]])</f>
        <v>0</v>
      </c>
      <c r="R29" s="48">
        <f>IF(INVESTORS_LIST[[#This Row],[SIP_TOTAL UNITS SOLD]]=0,0,SUMIFS(SIP[Realized Gain],SIP[Investor ID],INVESTORS_LIST[[#This Row],[INVESTOR CODE]],SIP[B/S],"S"))</f>
        <v>0</v>
      </c>
      <c r="S29" s="50">
        <f>INVESTORS_LIST[[#This Row],[LS_TOTAL UNITS BUY]]+INVESTORS_LIST[[#This Row],[SIP_TOTAL UNITS BUY]]</f>
        <v>0</v>
      </c>
      <c r="T29" s="50">
        <f>INVESTORS_LIST[[#This Row],[LS_TOTAL UNITS SOLD]]+INVESTORS_LIST[[#This Row],[SIP_TOTAL UNITS SOLD]]</f>
        <v>0</v>
      </c>
      <c r="U29" s="50"/>
      <c r="V29" s="50">
        <f>SUMIFS(LS[BO UNIT TRANSFER],LS[Investor ID],INVESTORS_LIST[[#This Row],[INVESTOR CODE]],LS[B/S],"B")</f>
        <v>0</v>
      </c>
      <c r="W29" s="50">
        <f>SUMIFS(SIP[BO UNIT TRANSFER],SIP[Investor ID],INVESTORS_LIST[[#This Row],[INVESTOR CODE]],SIP[B/S],"B")</f>
        <v>0</v>
      </c>
      <c r="X29" s="50">
        <f>SUMIFS(LS[BO UNIT TRANSFER],LS[Investor ID],INVESTORS_LIST[[#This Row],[INVESTOR CODE]],LS[B/S],"S")</f>
        <v>0</v>
      </c>
      <c r="Y29" s="50">
        <f>SUMIFS(SIP[BO UNIT TRANSFER],SIP[Investor ID],INVESTORS_LIST[[#This Row],[INVESTOR CODE]],SIP[B/S],"S")</f>
        <v>0</v>
      </c>
      <c r="Z29" s="106">
        <f>SUM(INVESTORS_LIST[[#This Row],[BO OPENING BALANCE]:[BO SIP UNITS REPURCHASE]])</f>
        <v>0</v>
      </c>
      <c r="AA29" s="107">
        <f>INVESTORS_LIST[[#This Row],[TOTAL UNITS BUY]]-INVESTORS_LIST[[#This Row],[TOTAL UNITS SOLD]]</f>
        <v>0</v>
      </c>
      <c r="AB29" s="107">
        <f>INVESTORS_LIST[[#This Row],[TOTAL CURRENT UNITS]]-INVESTORS_LIST[[#This Row],[BO UNITS HOLD]]</f>
        <v>0</v>
      </c>
      <c r="AC29" s="201" t="e">
        <f>INDEX([3]!Table_1[BO ID],MATCH(INVESTORS_LIST[[#This Row],[INVESTOR CODE]],[3]!Table_1[INVESTOR CODE],0))</f>
        <v>#REF!</v>
      </c>
      <c r="AD29" s="201" t="e">
        <f>INDEX([3]!Table_1[Brokerage Name2],MATCH(INVESTORS_LIST[[#This Row],[INVESTOR CODE]],[3]!Table_1[INVESTOR CODE],0))</f>
        <v>#REF!</v>
      </c>
      <c r="AE29" s="201" t="e">
        <f>MID(INVESTORS_LIST[[#This Row],[BO ID]],4,5)</f>
        <v>#REF!</v>
      </c>
      <c r="AF29" s="201" t="e">
        <f>MID(INVESTORS_LIST[[#This Row],[BO ID]],2,7)</f>
        <v>#REF!</v>
      </c>
      <c r="AG29" s="201" t="e">
        <f>MID(INVESTORS_LIST[[#This Row],[BO ID]],9,7)</f>
        <v>#REF!</v>
      </c>
      <c r="AH29" s="201" t="e">
        <f>RIGHT(INVESTORS_LIST[[#This Row],[BO ID]],1)</f>
        <v>#REF!</v>
      </c>
      <c r="AI29" s="50">
        <f>INVESTORS_LIST[[#This Row],[LS_TOTAL COST VALUE OF CURRENT UNITS]]+INVESTORS_LIST[[#This Row],[SIP_TOTAL COST VALUE OF CURRENT UNITS]]</f>
        <v>0</v>
      </c>
      <c r="AJ29" s="109">
        <f>IF(INVESTORS_LIST[[#This Row],[TOTAL CURRENT UNITS]]=0,0,INVESTORS_LIST[[#This Row],[LS_TOTAL CURRENT UNITS]]/INVESTORS_LIST[[#This Row],[TOTAL CURRENT UNITS]])</f>
        <v>0</v>
      </c>
      <c r="AK29" s="109">
        <f>IF(INVESTORS_LIST[[#This Row],[TOTAL CURRENT UNITS]]=0,0,INVESTORS_LIST[[#This Row],[SIP_TOTAL CURRENT UNITS]]/INVESTORS_LIST[[#This Row],[TOTAL CURRENT UNITS]])</f>
        <v>0</v>
      </c>
      <c r="AL29" s="49" cm="1">
        <f t="array" ref="AL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" s="49" cm="1">
        <f t="array" ref="AM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" s="105">
        <f t="shared" si="1"/>
        <v>14.224</v>
      </c>
      <c r="AP29" s="112">
        <f>IF(INVESTORS_LIST[[#This Row],[TOTAL CURRENT UNITS]]=0,0,INVESTORS_LIST[[#This Row],[TOTAL CURRENT UNITS]]*INVESTORS_LIST[[#This Row],[NAV]])</f>
        <v>0</v>
      </c>
      <c r="AQ29" s="49">
        <f>IF(INVESTORS_LIST[[#This Row],[LS_TOTAL CURRENT UNITS]]=0,0,INVESTORS_LIST[[#This Row],[LS_TOTAL CURRENT UNITS]]*INVESTORS_LIST[[#This Row],[NAV]])</f>
        <v>0</v>
      </c>
      <c r="AR29" s="48">
        <f>IF(INVESTORS_LIST[[#This Row],[SIP_TOTAL CURRENT UNITS]]=0,0,INVESTORS_LIST[[#This Row],[SIP_TOTAL CURRENT UNITS]]*INVESTORS_LIST[[#This Row],[NAV]])</f>
        <v>0</v>
      </c>
      <c r="AS29" s="50">
        <f>INVESTORS_LIST[[#This Row],[TOTAL CURRENT UNITS]]</f>
        <v>0</v>
      </c>
      <c r="AT29" s="48">
        <f>IF(INVESTORS_LIST[[#This Row],[TOTAL SELLABLE UNITS]]=0,0,INVESTORS_LIST[[#This Row],[TOTAL SELLABLE UNITS]]*INVESTORS_LIST[[#This Row],[NAV]])</f>
        <v>0</v>
      </c>
      <c r="AU29" s="48">
        <f>INVESTORS_LIST[[#This Row],[LS_TOTAL REALIZED GAIN]]+INVESTORS_LIST[[#This Row],[SIP_TOTAL REALIZED GAIN]]</f>
        <v>0</v>
      </c>
      <c r="AV29" s="48">
        <f>INVESTORS_LIST[[#This Row],[TOTAL MARKET VALUE]]-INVESTORS_LIST[[#This Row],[TOTAL COST VALUE OF CURRENT INVESTMENT]]</f>
        <v>0</v>
      </c>
      <c r="AW29" s="48">
        <f>IFERROR(INVESTORS_LIST[[#This Row],[TOTAL CURRENT UNITS]]/SUM(INVESTORS_LIST[TOTAL CURRENT UNITS]),0)</f>
        <v>0</v>
      </c>
    </row>
    <row r="30" spans="1:49" hidden="1">
      <c r="A30" s="262" t="s">
        <v>106</v>
      </c>
      <c r="B30" s="97" t="s">
        <v>107</v>
      </c>
      <c r="C30" t="s">
        <v>48</v>
      </c>
      <c r="D30" s="75" t="s">
        <v>49</v>
      </c>
      <c r="E30" s="47">
        <f>SUMIFS(LS[Unit],LS[Investor ID],INVESTORS_LIST[[#This Row],[INVESTOR CODE]],LS[B/S],"B")</f>
        <v>0</v>
      </c>
      <c r="F30" s="47">
        <f>-SUMIFS(LS[Unit],LS[Investor ID],INVESTORS_LIST[[#This Row],[INVESTOR CODE]],LS[B/S],"S")</f>
        <v>0</v>
      </c>
      <c r="G30" s="47">
        <f>IF(INVESTORS_LIST[[#This Row],[LS_TOTAL UNITS BUY]]=0,0,INVESTORS_LIST[[#This Row],[LS_TOTAL UNITS BUY]]-INVESTORS_LIST[[#This Row],[LS_TOTAL UNITS SOLD]])</f>
        <v>0</v>
      </c>
      <c r="H30" s="49">
        <f>IF(INVESTORS_LIST[[#This Row],[LS_TOTAL UNITS BUY]]=0,0,SUMIFS(LS[Amount],LS[Investor ID],INVESTORS_LIST[[#This Row],[INVESTOR CODE]],LS[B/S],"B"))</f>
        <v>0</v>
      </c>
      <c r="I30" s="48">
        <f>IF(INVESTORS_LIST[[#This Row],[LS_TOTAL UNITS SOLD]]=0,0,SUMIFS(LS[Cost of Units Sold],LS[Investor ID],INVESTORS_LIST[[#This Row],[INVESTOR CODE]],LS[B/S],"S"))</f>
        <v>0</v>
      </c>
      <c r="J30" s="48">
        <f>IF(INVESTORS_LIST[[#This Row],[LS_TOTAL CURRENT UNITS]]=0,0,INVESTORS_LIST[[#This Row],[LS_TOTAL CURRENT UNITS]]*INVESTORS_LIST[[#This Row],[LS_AVERAGE COST]])</f>
        <v>0</v>
      </c>
      <c r="K30" s="49">
        <f>IF(INVESTORS_LIST[[#This Row],[LS_TOTAL UNITS SOLD]]=0,0,SUMIFS(LS[Realized Gain],LS[Investor ID],INVESTORS_LIST[[#This Row],[INVESTOR CODE]],LS[B/S],"S"))</f>
        <v>0</v>
      </c>
      <c r="L30" s="47">
        <f>SUMIFS(SIP[Unit],SIP[Investor ID],INVESTORS_LIST[[#This Row],[INVESTOR CODE]],SIP[B/S],"B")</f>
        <v>0</v>
      </c>
      <c r="M30" s="47">
        <f>-SUMIFS(SIP[Unit],SIP[Investor ID],INVESTORS_LIST[[#This Row],[INVESTOR CODE]],SIP[B/S],"S")</f>
        <v>0</v>
      </c>
      <c r="N30" s="50">
        <f>IF(INVESTORS_LIST[[#This Row],[SIP_TOTAL UNITS BUY]]=0,0,INVESTORS_LIST[[#This Row],[SIP_TOTAL UNITS BUY]]-INVESTORS_LIST[[#This Row],[SIP_TOTAL UNITS SOLD]])</f>
        <v>0</v>
      </c>
      <c r="O30" s="49">
        <f>IF(INVESTORS_LIST[[#This Row],[SIP_TOTAL UNITS BUY]]=0,0,SUMIFS(SIP[Amount],SIP[Investor ID],INVESTORS_LIST[[#This Row],[INVESTOR CODE]],SIP[B/S],"B"))</f>
        <v>0</v>
      </c>
      <c r="P30" s="49">
        <f>IF(INVESTORS_LIST[[#This Row],[SIP_TOTAL UNITS SOLD]]=0,0,SUMIFS(SIP[Cost of Units Sold],SIP[Investor ID],INVESTORS_LIST[[#This Row],[INVESTOR CODE]],SIP[B/S],"S"))</f>
        <v>0</v>
      </c>
      <c r="Q30" s="48">
        <f>IF(INVESTORS_LIST[[#This Row],[SIP_TOTAL CURRENT UNITS]]=0,0,INVESTORS_LIST[[#This Row],[SIP_TOTAL CURRENT UNITS]]*INVESTORS_LIST[[#This Row],[SIP_AVERAGE COST]])</f>
        <v>0</v>
      </c>
      <c r="R30" s="48">
        <f>IF(INVESTORS_LIST[[#This Row],[SIP_TOTAL UNITS SOLD]]=0,0,SUMIFS(SIP[Realized Gain],SIP[Investor ID],INVESTORS_LIST[[#This Row],[INVESTOR CODE]],SIP[B/S],"S"))</f>
        <v>0</v>
      </c>
      <c r="S30" s="50">
        <f>INVESTORS_LIST[[#This Row],[LS_TOTAL UNITS BUY]]+INVESTORS_LIST[[#This Row],[SIP_TOTAL UNITS BUY]]</f>
        <v>0</v>
      </c>
      <c r="T30" s="50">
        <f>INVESTORS_LIST[[#This Row],[LS_TOTAL UNITS SOLD]]+INVESTORS_LIST[[#This Row],[SIP_TOTAL UNITS SOLD]]</f>
        <v>0</v>
      </c>
      <c r="U30" s="50"/>
      <c r="V30" s="50">
        <f>SUMIFS(LS[BO UNIT TRANSFER],LS[Investor ID],INVESTORS_LIST[[#This Row],[INVESTOR CODE]],LS[B/S],"B")</f>
        <v>0</v>
      </c>
      <c r="W30" s="50">
        <f>SUMIFS(SIP[BO UNIT TRANSFER],SIP[Investor ID],INVESTORS_LIST[[#This Row],[INVESTOR CODE]],SIP[B/S],"B")</f>
        <v>0</v>
      </c>
      <c r="X30" s="50">
        <f>SUMIFS(LS[BO UNIT TRANSFER],LS[Investor ID],INVESTORS_LIST[[#This Row],[INVESTOR CODE]],LS[B/S],"S")</f>
        <v>0</v>
      </c>
      <c r="Y30" s="50">
        <f>SUMIFS(SIP[BO UNIT TRANSFER],SIP[Investor ID],INVESTORS_LIST[[#This Row],[INVESTOR CODE]],SIP[B/S],"S")</f>
        <v>0</v>
      </c>
      <c r="Z30" s="106">
        <f>SUM(INVESTORS_LIST[[#This Row],[BO OPENING BALANCE]:[BO SIP UNITS REPURCHASE]])</f>
        <v>0</v>
      </c>
      <c r="AA30" s="107">
        <f>INVESTORS_LIST[[#This Row],[TOTAL UNITS BUY]]-INVESTORS_LIST[[#This Row],[TOTAL UNITS SOLD]]</f>
        <v>0</v>
      </c>
      <c r="AB30" s="107">
        <f>INVESTORS_LIST[[#This Row],[TOTAL CURRENT UNITS]]-INVESTORS_LIST[[#This Row],[BO UNITS HOLD]]</f>
        <v>0</v>
      </c>
      <c r="AC30" s="201" t="e">
        <f>INDEX([3]!Table_1[BO ID],MATCH(INVESTORS_LIST[[#This Row],[INVESTOR CODE]],[3]!Table_1[INVESTOR CODE],0))</f>
        <v>#REF!</v>
      </c>
      <c r="AD30" s="201" t="e">
        <f>INDEX([3]!Table_1[Brokerage Name2],MATCH(INVESTORS_LIST[[#This Row],[INVESTOR CODE]],[3]!Table_1[INVESTOR CODE],0))</f>
        <v>#REF!</v>
      </c>
      <c r="AE30" s="201" t="e">
        <f>MID(INVESTORS_LIST[[#This Row],[BO ID]],4,5)</f>
        <v>#REF!</v>
      </c>
      <c r="AF30" s="201" t="e">
        <f>MID(INVESTORS_LIST[[#This Row],[BO ID]],2,7)</f>
        <v>#REF!</v>
      </c>
      <c r="AG30" s="201" t="e">
        <f>MID(INVESTORS_LIST[[#This Row],[BO ID]],9,7)</f>
        <v>#REF!</v>
      </c>
      <c r="AH30" s="201" t="e">
        <f>RIGHT(INVESTORS_LIST[[#This Row],[BO ID]],1)</f>
        <v>#REF!</v>
      </c>
      <c r="AI30" s="50">
        <f>INVESTORS_LIST[[#This Row],[LS_TOTAL COST VALUE OF CURRENT UNITS]]+INVESTORS_LIST[[#This Row],[SIP_TOTAL COST VALUE OF CURRENT UNITS]]</f>
        <v>0</v>
      </c>
      <c r="AJ30" s="109">
        <f>IF(INVESTORS_LIST[[#This Row],[TOTAL CURRENT UNITS]]=0,0,INVESTORS_LIST[[#This Row],[LS_TOTAL CURRENT UNITS]]/INVESTORS_LIST[[#This Row],[TOTAL CURRENT UNITS]])</f>
        <v>0</v>
      </c>
      <c r="AK30" s="109">
        <f>IF(INVESTORS_LIST[[#This Row],[TOTAL CURRENT UNITS]]=0,0,INVESTORS_LIST[[#This Row],[SIP_TOTAL CURRENT UNITS]]/INVESTORS_LIST[[#This Row],[TOTAL CURRENT UNITS]])</f>
        <v>0</v>
      </c>
      <c r="AL30" s="49" cm="1">
        <f t="array" ref="AL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" s="49" cm="1">
        <f t="array" ref="AM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" s="105">
        <f t="shared" si="1"/>
        <v>14.224</v>
      </c>
      <c r="AP30" s="112">
        <f>IF(INVESTORS_LIST[[#This Row],[TOTAL CURRENT UNITS]]=0,0,INVESTORS_LIST[[#This Row],[TOTAL CURRENT UNITS]]*INVESTORS_LIST[[#This Row],[NAV]])</f>
        <v>0</v>
      </c>
      <c r="AQ30" s="49">
        <f>IF(INVESTORS_LIST[[#This Row],[LS_TOTAL CURRENT UNITS]]=0,0,INVESTORS_LIST[[#This Row],[LS_TOTAL CURRENT UNITS]]*INVESTORS_LIST[[#This Row],[NAV]])</f>
        <v>0</v>
      </c>
      <c r="AR30" s="48">
        <f>IF(INVESTORS_LIST[[#This Row],[SIP_TOTAL CURRENT UNITS]]=0,0,INVESTORS_LIST[[#This Row],[SIP_TOTAL CURRENT UNITS]]*INVESTORS_LIST[[#This Row],[NAV]])</f>
        <v>0</v>
      </c>
      <c r="AS30" s="50">
        <f>INVESTORS_LIST[[#This Row],[TOTAL CURRENT UNITS]]</f>
        <v>0</v>
      </c>
      <c r="AT30" s="48">
        <f>IF(INVESTORS_LIST[[#This Row],[TOTAL SELLABLE UNITS]]=0,0,INVESTORS_LIST[[#This Row],[TOTAL SELLABLE UNITS]]*INVESTORS_LIST[[#This Row],[NAV]])</f>
        <v>0</v>
      </c>
      <c r="AU30" s="48">
        <f>INVESTORS_LIST[[#This Row],[LS_TOTAL REALIZED GAIN]]+INVESTORS_LIST[[#This Row],[SIP_TOTAL REALIZED GAIN]]</f>
        <v>0</v>
      </c>
      <c r="AV30" s="48">
        <f>INVESTORS_LIST[[#This Row],[TOTAL MARKET VALUE]]-INVESTORS_LIST[[#This Row],[TOTAL COST VALUE OF CURRENT INVESTMENT]]</f>
        <v>0</v>
      </c>
      <c r="AW30" s="48">
        <f>IFERROR(INVESTORS_LIST[[#This Row],[TOTAL CURRENT UNITS]]/SUM(INVESTORS_LIST[TOTAL CURRENT UNITS]),0)</f>
        <v>0</v>
      </c>
    </row>
    <row r="31" spans="1:49">
      <c r="A31" s="262" t="s">
        <v>108</v>
      </c>
      <c r="B31" s="97" t="s">
        <v>109</v>
      </c>
      <c r="C31" t="s">
        <v>48</v>
      </c>
      <c r="D31" s="75" t="s">
        <v>49</v>
      </c>
      <c r="E31" s="47">
        <f>SUMIFS(LS[Unit],LS[Investor ID],INVESTORS_LIST[[#This Row],[INVESTOR CODE]],LS[B/S],"B")</f>
        <v>500000</v>
      </c>
      <c r="F31" s="47">
        <f>-SUMIFS(LS[Unit],LS[Investor ID],INVESTORS_LIST[[#This Row],[INVESTOR CODE]],LS[B/S],"S")</f>
        <v>0</v>
      </c>
      <c r="G31" s="47">
        <f>IF(INVESTORS_LIST[[#This Row],[LS_TOTAL UNITS BUY]]=0,0,INVESTORS_LIST[[#This Row],[LS_TOTAL UNITS BUY]]-INVESTORS_LIST[[#This Row],[LS_TOTAL UNITS SOLD]])</f>
        <v>500000</v>
      </c>
      <c r="H31" s="49">
        <f>IF(INVESTORS_LIST[[#This Row],[LS_TOTAL UNITS BUY]]=0,0,SUMIFS(LS[Amount],LS[Investor ID],INVESTORS_LIST[[#This Row],[INVESTOR CODE]],LS[B/S],"B"))</f>
        <v>5000000</v>
      </c>
      <c r="I31" s="48">
        <f>IF(INVESTORS_LIST[[#This Row],[LS_TOTAL UNITS SOLD]]=0,0,SUMIFS(LS[Cost of Units Sold],LS[Investor ID],INVESTORS_LIST[[#This Row],[INVESTOR CODE]],LS[B/S],"S"))</f>
        <v>0</v>
      </c>
      <c r="J31" s="48">
        <f>IF(INVESTORS_LIST[[#This Row],[LS_TOTAL CURRENT UNITS]]=0,0,INVESTORS_LIST[[#This Row],[LS_TOTAL CURRENT UNITS]]*INVESTORS_LIST[[#This Row],[LS_AVERAGE COST]])</f>
        <v>5000000</v>
      </c>
      <c r="K31" s="49">
        <f>IF(INVESTORS_LIST[[#This Row],[LS_TOTAL UNITS SOLD]]=0,0,SUMIFS(LS[Realized Gain],LS[Investor ID],INVESTORS_LIST[[#This Row],[INVESTOR CODE]],LS[B/S],"S"))</f>
        <v>0</v>
      </c>
      <c r="L31" s="47">
        <f>SUMIFS(SIP[Unit],SIP[Investor ID],INVESTORS_LIST[[#This Row],[INVESTOR CODE]],SIP[B/S],"B")</f>
        <v>0</v>
      </c>
      <c r="M31" s="47">
        <f>-SUMIFS(SIP[Unit],SIP[Investor ID],INVESTORS_LIST[[#This Row],[INVESTOR CODE]],SIP[B/S],"S")</f>
        <v>0</v>
      </c>
      <c r="N31" s="50">
        <f>IF(INVESTORS_LIST[[#This Row],[SIP_TOTAL UNITS BUY]]=0,0,INVESTORS_LIST[[#This Row],[SIP_TOTAL UNITS BUY]]-INVESTORS_LIST[[#This Row],[SIP_TOTAL UNITS SOLD]])</f>
        <v>0</v>
      </c>
      <c r="O31" s="49">
        <f>IF(INVESTORS_LIST[[#This Row],[SIP_TOTAL UNITS BUY]]=0,0,SUMIFS(SIP[Amount],SIP[Investor ID],INVESTORS_LIST[[#This Row],[INVESTOR CODE]],SIP[B/S],"B"))</f>
        <v>0</v>
      </c>
      <c r="P31" s="49">
        <f>IF(INVESTORS_LIST[[#This Row],[SIP_TOTAL UNITS SOLD]]=0,0,SUMIFS(SIP[Cost of Units Sold],SIP[Investor ID],INVESTORS_LIST[[#This Row],[INVESTOR CODE]],SIP[B/S],"S"))</f>
        <v>0</v>
      </c>
      <c r="Q31" s="48">
        <f>IF(INVESTORS_LIST[[#This Row],[SIP_TOTAL CURRENT UNITS]]=0,0,INVESTORS_LIST[[#This Row],[SIP_TOTAL CURRENT UNITS]]*INVESTORS_LIST[[#This Row],[SIP_AVERAGE COST]])</f>
        <v>0</v>
      </c>
      <c r="R31" s="48">
        <f>IF(INVESTORS_LIST[[#This Row],[SIP_TOTAL UNITS SOLD]]=0,0,SUMIFS(SIP[Realized Gain],SIP[Investor ID],INVESTORS_LIST[[#This Row],[INVESTOR CODE]],SIP[B/S],"S"))</f>
        <v>0</v>
      </c>
      <c r="S31" s="50">
        <f>INVESTORS_LIST[[#This Row],[LS_TOTAL UNITS BUY]]+INVESTORS_LIST[[#This Row],[SIP_TOTAL UNITS BUY]]</f>
        <v>500000</v>
      </c>
      <c r="T31" s="50">
        <f>INVESTORS_LIST[[#This Row],[LS_TOTAL UNITS SOLD]]+INVESTORS_LIST[[#This Row],[SIP_TOTAL UNITS SOLD]]</f>
        <v>0</v>
      </c>
      <c r="U31" s="50">
        <v>500000</v>
      </c>
      <c r="V31" s="50">
        <f>SUMIFS(LS[BO UNIT TRANSFER],LS[Investor ID],INVESTORS_LIST[[#This Row],[INVESTOR CODE]],LS[B/S],"B")</f>
        <v>0</v>
      </c>
      <c r="W31" s="50">
        <f>SUMIFS(SIP[BO UNIT TRANSFER],SIP[Investor ID],INVESTORS_LIST[[#This Row],[INVESTOR CODE]],SIP[B/S],"B")</f>
        <v>0</v>
      </c>
      <c r="X31" s="50">
        <f>SUMIFS(LS[BO UNIT TRANSFER],LS[Investor ID],INVESTORS_LIST[[#This Row],[INVESTOR CODE]],LS[B/S],"S")</f>
        <v>0</v>
      </c>
      <c r="Y31" s="50">
        <f>SUMIFS(SIP[BO UNIT TRANSFER],SIP[Investor ID],INVESTORS_LIST[[#This Row],[INVESTOR CODE]],SIP[B/S],"S")</f>
        <v>0</v>
      </c>
      <c r="Z31" s="106">
        <f>SUM(INVESTORS_LIST[[#This Row],[BO OPENING BALANCE]:[BO SIP UNITS REPURCHASE]])</f>
        <v>500000</v>
      </c>
      <c r="AA31" s="107">
        <f>INVESTORS_LIST[[#This Row],[TOTAL UNITS BUY]]-INVESTORS_LIST[[#This Row],[TOTAL UNITS SOLD]]</f>
        <v>500000</v>
      </c>
      <c r="AB31" s="107">
        <f>INVESTORS_LIST[[#This Row],[TOTAL CURRENT UNITS]]-INVESTORS_LIST[[#This Row],[BO UNITS HOLD]]</f>
        <v>0</v>
      </c>
      <c r="AC31" s="201" t="e">
        <f>INDEX([3]!Table_1[BO ID],MATCH(INVESTORS_LIST[[#This Row],[INVESTOR CODE]],[3]!Table_1[INVESTOR CODE],0))</f>
        <v>#REF!</v>
      </c>
      <c r="AD31" s="201" t="e">
        <f>INDEX([3]!Table_1[Brokerage Name2],MATCH(INVESTORS_LIST[[#This Row],[INVESTOR CODE]],[3]!Table_1[INVESTOR CODE],0))</f>
        <v>#REF!</v>
      </c>
      <c r="AE31" s="201" t="e">
        <f>MID(INVESTORS_LIST[[#This Row],[BO ID]],4,5)</f>
        <v>#REF!</v>
      </c>
      <c r="AF31" s="201" t="e">
        <f>MID(INVESTORS_LIST[[#This Row],[BO ID]],2,7)</f>
        <v>#REF!</v>
      </c>
      <c r="AG31" s="201" t="e">
        <f>MID(INVESTORS_LIST[[#This Row],[BO ID]],9,7)</f>
        <v>#REF!</v>
      </c>
      <c r="AH31" s="201" t="e">
        <f>RIGHT(INVESTORS_LIST[[#This Row],[BO ID]],1)</f>
        <v>#REF!</v>
      </c>
      <c r="AI31" s="50">
        <f>INVESTORS_LIST[[#This Row],[LS_TOTAL COST VALUE OF CURRENT UNITS]]+INVESTORS_LIST[[#This Row],[SIP_TOTAL COST VALUE OF CURRENT UNITS]]</f>
        <v>5000000</v>
      </c>
      <c r="AJ31" s="109">
        <f>IF(INVESTORS_LIST[[#This Row],[TOTAL CURRENT UNITS]]=0,0,INVESTORS_LIST[[#This Row],[LS_TOTAL CURRENT UNITS]]/INVESTORS_LIST[[#This Row],[TOTAL CURRENT UNITS]])</f>
        <v>1</v>
      </c>
      <c r="AK31" s="109">
        <f>IF(INVESTORS_LIST[[#This Row],[TOTAL CURRENT UNITS]]=0,0,INVESTORS_LIST[[#This Row],[SIP_TOTAL CURRENT UNITS]]/INVESTORS_LIST[[#This Row],[TOTAL CURRENT UNITS]])</f>
        <v>0</v>
      </c>
      <c r="AL31" s="49" cm="1">
        <f t="array" ref="AL31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31" s="49" cm="1">
        <f t="array" ref="AM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31" s="105">
        <f t="shared" si="1"/>
        <v>14.224</v>
      </c>
      <c r="AP31" s="112">
        <f>IF(INVESTORS_LIST[[#This Row],[TOTAL CURRENT UNITS]]=0,0,INVESTORS_LIST[[#This Row],[TOTAL CURRENT UNITS]]*INVESTORS_LIST[[#This Row],[NAV]])</f>
        <v>7112000</v>
      </c>
      <c r="AQ31" s="49">
        <f>IF(INVESTORS_LIST[[#This Row],[LS_TOTAL CURRENT UNITS]]=0,0,INVESTORS_LIST[[#This Row],[LS_TOTAL CURRENT UNITS]]*INVESTORS_LIST[[#This Row],[NAV]])</f>
        <v>7112000</v>
      </c>
      <c r="AR31" s="48">
        <f>IF(INVESTORS_LIST[[#This Row],[SIP_TOTAL CURRENT UNITS]]=0,0,INVESTORS_LIST[[#This Row],[SIP_TOTAL CURRENT UNITS]]*INVESTORS_LIST[[#This Row],[NAV]])</f>
        <v>0</v>
      </c>
      <c r="AS31" s="50">
        <f>INVESTORS_LIST[[#This Row],[TOTAL CURRENT UNITS]]</f>
        <v>500000</v>
      </c>
      <c r="AT31" s="48">
        <f>IF(INVESTORS_LIST[[#This Row],[TOTAL SELLABLE UNITS]]=0,0,INVESTORS_LIST[[#This Row],[TOTAL SELLABLE UNITS]]*INVESTORS_LIST[[#This Row],[NAV]])</f>
        <v>7112000</v>
      </c>
      <c r="AU31" s="48">
        <f>INVESTORS_LIST[[#This Row],[LS_TOTAL REALIZED GAIN]]+INVESTORS_LIST[[#This Row],[SIP_TOTAL REALIZED GAIN]]</f>
        <v>0</v>
      </c>
      <c r="AV31" s="48">
        <f>INVESTORS_LIST[[#This Row],[TOTAL MARKET VALUE]]-INVESTORS_LIST[[#This Row],[TOTAL COST VALUE OF CURRENT INVESTMENT]]</f>
        <v>2112000</v>
      </c>
      <c r="AW31" s="108">
        <f>IFERROR(INVESTORS_LIST[[#This Row],[TOTAL CURRENT UNITS]]/SUM(INVESTORS_LIST[TOTAL CURRENT UNITS]),0)</f>
        <v>1.2138103948051829E-2</v>
      </c>
    </row>
    <row r="32" spans="1:49" hidden="1">
      <c r="A32" s="262" t="s">
        <v>110</v>
      </c>
      <c r="B32" s="97" t="s">
        <v>111</v>
      </c>
      <c r="C32" t="s">
        <v>44</v>
      </c>
      <c r="D32" s="75" t="s">
        <v>45</v>
      </c>
      <c r="E32" s="47">
        <f>SUMIFS(LS[Unit],LS[Investor ID],INVESTORS_LIST[[#This Row],[INVESTOR CODE]],LS[B/S],"B")</f>
        <v>23471</v>
      </c>
      <c r="F32" s="47">
        <f>-SUMIFS(LS[Unit],LS[Investor ID],INVESTORS_LIST[[#This Row],[INVESTOR CODE]],LS[B/S],"S")</f>
        <v>23471</v>
      </c>
      <c r="G32" s="47">
        <f>IF(INVESTORS_LIST[[#This Row],[LS_TOTAL UNITS BUY]]=0,0,INVESTORS_LIST[[#This Row],[LS_TOTAL UNITS BUY]]-INVESTORS_LIST[[#This Row],[LS_TOTAL UNITS SOLD]])</f>
        <v>0</v>
      </c>
      <c r="H32" s="49">
        <f>IF(INVESTORS_LIST[[#This Row],[LS_TOTAL UNITS BUY]]=0,0,SUMIFS(LS[Amount],LS[Investor ID],INVESTORS_LIST[[#This Row],[INVESTOR CODE]],LS[B/S],"B"))</f>
        <v>250000</v>
      </c>
      <c r="I32" s="48">
        <f>IF(INVESTORS_LIST[[#This Row],[LS_TOTAL UNITS SOLD]]=0,0,SUMIFS(LS[Cost of Units Sold],LS[Investor ID],INVESTORS_LIST[[#This Row],[INVESTOR CODE]],LS[B/S],"S"))</f>
        <v>250000.00000000003</v>
      </c>
      <c r="J32" s="48">
        <f>IF(INVESTORS_LIST[[#This Row],[LS_TOTAL CURRENT UNITS]]=0,0,INVESTORS_LIST[[#This Row],[LS_TOTAL CURRENT UNITS]]*INVESTORS_LIST[[#This Row],[LS_AVERAGE COST]])</f>
        <v>0</v>
      </c>
      <c r="K32" s="49">
        <f>IF(INVESTORS_LIST[[#This Row],[LS_TOTAL UNITS SOLD]]=0,0,SUMIFS(LS[Realized Gain],LS[Investor ID],INVESTORS_LIST[[#This Row],[INVESTOR CODE]],LS[B/S],"S"))</f>
        <v>53198.38</v>
      </c>
      <c r="L32" s="47">
        <f>SUMIFS(SIP[Unit],SIP[Investor ID],INVESTORS_LIST[[#This Row],[INVESTOR CODE]],SIP[B/S],"B")</f>
        <v>0</v>
      </c>
      <c r="M32" s="47">
        <f>-SUMIFS(SIP[Unit],SIP[Investor ID],INVESTORS_LIST[[#This Row],[INVESTOR CODE]],SIP[B/S],"S")</f>
        <v>0</v>
      </c>
      <c r="N32" s="50">
        <f>IF(INVESTORS_LIST[[#This Row],[SIP_TOTAL UNITS BUY]]=0,0,INVESTORS_LIST[[#This Row],[SIP_TOTAL UNITS BUY]]-INVESTORS_LIST[[#This Row],[SIP_TOTAL UNITS SOLD]])</f>
        <v>0</v>
      </c>
      <c r="O32" s="49">
        <f>IF(INVESTORS_LIST[[#This Row],[SIP_TOTAL UNITS BUY]]=0,0,SUMIFS(SIP[Amount],SIP[Investor ID],INVESTORS_LIST[[#This Row],[INVESTOR CODE]],SIP[B/S],"B"))</f>
        <v>0</v>
      </c>
      <c r="P32" s="49">
        <f>IF(INVESTORS_LIST[[#This Row],[SIP_TOTAL UNITS SOLD]]=0,0,SUMIFS(SIP[Cost of Units Sold],SIP[Investor ID],INVESTORS_LIST[[#This Row],[INVESTOR CODE]],SIP[B/S],"S"))</f>
        <v>0</v>
      </c>
      <c r="Q32" s="48">
        <f>IF(INVESTORS_LIST[[#This Row],[SIP_TOTAL CURRENT UNITS]]=0,0,INVESTORS_LIST[[#This Row],[SIP_TOTAL CURRENT UNITS]]*INVESTORS_LIST[[#This Row],[SIP_AVERAGE COST]])</f>
        <v>0</v>
      </c>
      <c r="R32" s="48">
        <f>IF(INVESTORS_LIST[[#This Row],[SIP_TOTAL UNITS SOLD]]=0,0,SUMIFS(SIP[Realized Gain],SIP[Investor ID],INVESTORS_LIST[[#This Row],[INVESTOR CODE]],SIP[B/S],"S"))</f>
        <v>0</v>
      </c>
      <c r="S32" s="50">
        <f>INVESTORS_LIST[[#This Row],[LS_TOTAL UNITS BUY]]+INVESTORS_LIST[[#This Row],[SIP_TOTAL UNITS BUY]]</f>
        <v>23471</v>
      </c>
      <c r="T32" s="50">
        <f>INVESTORS_LIST[[#This Row],[LS_TOTAL UNITS SOLD]]+INVESTORS_LIST[[#This Row],[SIP_TOTAL UNITS SOLD]]</f>
        <v>23471</v>
      </c>
      <c r="U32" s="50"/>
      <c r="V32" s="50">
        <f>SUMIFS(LS[BO UNIT TRANSFER],LS[Investor ID],INVESTORS_LIST[[#This Row],[INVESTOR CODE]],LS[B/S],"B")</f>
        <v>0</v>
      </c>
      <c r="W32" s="50">
        <f>SUMIFS(SIP[BO UNIT TRANSFER],SIP[Investor ID],INVESTORS_LIST[[#This Row],[INVESTOR CODE]],SIP[B/S],"B")</f>
        <v>0</v>
      </c>
      <c r="X32" s="50">
        <f>SUMIFS(LS[BO UNIT TRANSFER],LS[Investor ID],INVESTORS_LIST[[#This Row],[INVESTOR CODE]],LS[B/S],"S")</f>
        <v>0</v>
      </c>
      <c r="Y32" s="50">
        <f>SUMIFS(SIP[BO UNIT TRANSFER],SIP[Investor ID],INVESTORS_LIST[[#This Row],[INVESTOR CODE]],SIP[B/S],"S")</f>
        <v>0</v>
      </c>
      <c r="Z32" s="106">
        <f>SUM(INVESTORS_LIST[[#This Row],[BO OPENING BALANCE]:[BO SIP UNITS REPURCHASE]])</f>
        <v>0</v>
      </c>
      <c r="AA32" s="107">
        <f>INVESTORS_LIST[[#This Row],[TOTAL UNITS BUY]]-INVESTORS_LIST[[#This Row],[TOTAL UNITS SOLD]]</f>
        <v>0</v>
      </c>
      <c r="AB32" s="107">
        <f>INVESTORS_LIST[[#This Row],[TOTAL CURRENT UNITS]]-INVESTORS_LIST[[#This Row],[BO UNITS HOLD]]</f>
        <v>0</v>
      </c>
      <c r="AC32" s="201" t="e">
        <f>INDEX([3]!Table_1[BO ID],MATCH(INVESTORS_LIST[[#This Row],[INVESTOR CODE]],[3]!Table_1[INVESTOR CODE],0))</f>
        <v>#REF!</v>
      </c>
      <c r="AD32" s="201" t="e">
        <f>INDEX([3]!Table_1[Brokerage Name2],MATCH(INVESTORS_LIST[[#This Row],[INVESTOR CODE]],[3]!Table_1[INVESTOR CODE],0))</f>
        <v>#REF!</v>
      </c>
      <c r="AE32" s="201" t="e">
        <f>MID(INVESTORS_LIST[[#This Row],[BO ID]],4,5)</f>
        <v>#REF!</v>
      </c>
      <c r="AF32" s="201" t="e">
        <f>MID(INVESTORS_LIST[[#This Row],[BO ID]],2,7)</f>
        <v>#REF!</v>
      </c>
      <c r="AG32" s="201" t="e">
        <f>MID(INVESTORS_LIST[[#This Row],[BO ID]],9,7)</f>
        <v>#REF!</v>
      </c>
      <c r="AH32" s="201" t="e">
        <f>RIGHT(INVESTORS_LIST[[#This Row],[BO ID]],1)</f>
        <v>#REF!</v>
      </c>
      <c r="AI32" s="50">
        <f>INVESTORS_LIST[[#This Row],[LS_TOTAL COST VALUE OF CURRENT UNITS]]+INVESTORS_LIST[[#This Row],[SIP_TOTAL COST VALUE OF CURRENT UNITS]]</f>
        <v>0</v>
      </c>
      <c r="AJ32" s="109">
        <f>IF(INVESTORS_LIST[[#This Row],[TOTAL CURRENT UNITS]]=0,0,INVESTORS_LIST[[#This Row],[LS_TOTAL CURRENT UNITS]]/INVESTORS_LIST[[#This Row],[TOTAL CURRENT UNITS]])</f>
        <v>0</v>
      </c>
      <c r="AK32" s="109">
        <f>IF(INVESTORS_LIST[[#This Row],[TOTAL CURRENT UNITS]]=0,0,INVESTORS_LIST[[#This Row],[SIP_TOTAL CURRENT UNITS]]/INVESTORS_LIST[[#This Row],[TOTAL CURRENT UNITS]])</f>
        <v>0</v>
      </c>
      <c r="AL32" s="49" cm="1">
        <f t="array" ref="AL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" s="49" cm="1">
        <f t="array" ref="AM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" s="105">
        <f t="shared" si="1"/>
        <v>14.224</v>
      </c>
      <c r="AP32" s="112">
        <f>IF(INVESTORS_LIST[[#This Row],[TOTAL CURRENT UNITS]]=0,0,INVESTORS_LIST[[#This Row],[TOTAL CURRENT UNITS]]*INVESTORS_LIST[[#This Row],[NAV]])</f>
        <v>0</v>
      </c>
      <c r="AQ32" s="49">
        <f>IF(INVESTORS_LIST[[#This Row],[LS_TOTAL CURRENT UNITS]]=0,0,INVESTORS_LIST[[#This Row],[LS_TOTAL CURRENT UNITS]]*INVESTORS_LIST[[#This Row],[NAV]])</f>
        <v>0</v>
      </c>
      <c r="AR32" s="48">
        <f>IF(INVESTORS_LIST[[#This Row],[SIP_TOTAL CURRENT UNITS]]=0,0,INVESTORS_LIST[[#This Row],[SIP_TOTAL CURRENT UNITS]]*INVESTORS_LIST[[#This Row],[NAV]])</f>
        <v>0</v>
      </c>
      <c r="AS32" s="50">
        <f>INVESTORS_LIST[[#This Row],[TOTAL CURRENT UNITS]]</f>
        <v>0</v>
      </c>
      <c r="AT32" s="48">
        <f>IF(INVESTORS_LIST[[#This Row],[TOTAL SELLABLE UNITS]]=0,0,INVESTORS_LIST[[#This Row],[TOTAL SELLABLE UNITS]]*INVESTORS_LIST[[#This Row],[NAV]])</f>
        <v>0</v>
      </c>
      <c r="AU32" s="48">
        <f>INVESTORS_LIST[[#This Row],[LS_TOTAL REALIZED GAIN]]+INVESTORS_LIST[[#This Row],[SIP_TOTAL REALIZED GAIN]]</f>
        <v>53198.38</v>
      </c>
      <c r="AV32" s="48">
        <f>INVESTORS_LIST[[#This Row],[TOTAL MARKET VALUE]]-INVESTORS_LIST[[#This Row],[TOTAL COST VALUE OF CURRENT INVESTMENT]]</f>
        <v>0</v>
      </c>
      <c r="AW32" s="108">
        <f>IFERROR(INVESTORS_LIST[[#This Row],[TOTAL CURRENT UNITS]]/SUM(INVESTORS_LIST[TOTAL CURRENT UNITS]),0)</f>
        <v>0</v>
      </c>
    </row>
    <row r="33" spans="1:49" hidden="1">
      <c r="A33" s="262" t="s">
        <v>112</v>
      </c>
      <c r="B33" s="97" t="s">
        <v>113</v>
      </c>
      <c r="C33" t="s">
        <v>44</v>
      </c>
      <c r="D33" s="75" t="s">
        <v>45</v>
      </c>
      <c r="E33" s="47">
        <f>SUMIFS(LS[Unit],LS[Investor ID],INVESTORS_LIST[[#This Row],[INVESTOR CODE]],LS[B/S],"B")</f>
        <v>0</v>
      </c>
      <c r="F33" s="47">
        <f>-SUMIFS(LS[Unit],LS[Investor ID],INVESTORS_LIST[[#This Row],[INVESTOR CODE]],LS[B/S],"S")</f>
        <v>0</v>
      </c>
      <c r="G33" s="47">
        <f>IF(INVESTORS_LIST[[#This Row],[LS_TOTAL UNITS BUY]]=0,0,INVESTORS_LIST[[#This Row],[LS_TOTAL UNITS BUY]]-INVESTORS_LIST[[#This Row],[LS_TOTAL UNITS SOLD]])</f>
        <v>0</v>
      </c>
      <c r="H33" s="49">
        <f>IF(INVESTORS_LIST[[#This Row],[LS_TOTAL UNITS BUY]]=0,0,SUMIFS(LS[Amount],LS[Investor ID],INVESTORS_LIST[[#This Row],[INVESTOR CODE]],LS[B/S],"B"))</f>
        <v>0</v>
      </c>
      <c r="I33" s="48">
        <f>IF(INVESTORS_LIST[[#This Row],[LS_TOTAL UNITS SOLD]]=0,0,SUMIFS(LS[Cost of Units Sold],LS[Investor ID],INVESTORS_LIST[[#This Row],[INVESTOR CODE]],LS[B/S],"S"))</f>
        <v>0</v>
      </c>
      <c r="J33" s="48">
        <f>IF(INVESTORS_LIST[[#This Row],[LS_TOTAL CURRENT UNITS]]=0,0,INVESTORS_LIST[[#This Row],[LS_TOTAL CURRENT UNITS]]*INVESTORS_LIST[[#This Row],[LS_AVERAGE COST]])</f>
        <v>0</v>
      </c>
      <c r="K33" s="49">
        <f>IF(INVESTORS_LIST[[#This Row],[LS_TOTAL UNITS SOLD]]=0,0,SUMIFS(LS[Realized Gain],LS[Investor ID],INVESTORS_LIST[[#This Row],[INVESTOR CODE]],LS[B/S],"S"))</f>
        <v>0</v>
      </c>
      <c r="L33" s="47">
        <f>SUMIFS(SIP[Unit],SIP[Investor ID],INVESTORS_LIST[[#This Row],[INVESTOR CODE]],SIP[B/S],"B")</f>
        <v>970</v>
      </c>
      <c r="M33" s="47">
        <f>-SUMIFS(SIP[Unit],SIP[Investor ID],INVESTORS_LIST[[#This Row],[INVESTOR CODE]],SIP[B/S],"S")</f>
        <v>970</v>
      </c>
      <c r="N33" s="50">
        <f>IF(INVESTORS_LIST[[#This Row],[SIP_TOTAL UNITS BUY]]=0,0,INVESTORS_LIST[[#This Row],[SIP_TOTAL UNITS BUY]]-INVESTORS_LIST[[#This Row],[SIP_TOTAL UNITS SOLD]])</f>
        <v>0</v>
      </c>
      <c r="O33" s="49">
        <f>IF(INVESTORS_LIST[[#This Row],[SIP_TOTAL UNITS BUY]]=0,0,SUMIFS(SIP[Amount],SIP[Investor ID],INVESTORS_LIST[[#This Row],[INVESTOR CODE]],SIP[B/S],"B"))</f>
        <v>10000</v>
      </c>
      <c r="P33" s="49">
        <f>IF(INVESTORS_LIST[[#This Row],[SIP_TOTAL UNITS SOLD]]=0,0,SUMIFS(SIP[Cost of Units Sold],SIP[Investor ID],INVESTORS_LIST[[#This Row],[INVESTOR CODE]],SIP[B/S],"S"))</f>
        <v>10000</v>
      </c>
      <c r="Q33" s="48">
        <f>IF(INVESTORS_LIST[[#This Row],[SIP_TOTAL CURRENT UNITS]]=0,0,INVESTORS_LIST[[#This Row],[SIP_TOTAL CURRENT UNITS]]*INVESTORS_LIST[[#This Row],[SIP_AVERAGE COST]])</f>
        <v>0</v>
      </c>
      <c r="R33" s="48">
        <f>IF(INVESTORS_LIST[[#This Row],[SIP_TOTAL UNITS SOLD]]=0,0,SUMIFS(SIP[Realized Gain],SIP[Investor ID],INVESTORS_LIST[[#This Row],[INVESTOR CODE]],SIP[B/S],"S"))</f>
        <v>20.969999999999885</v>
      </c>
      <c r="S33" s="50">
        <f>INVESTORS_LIST[[#This Row],[LS_TOTAL UNITS BUY]]+INVESTORS_LIST[[#This Row],[SIP_TOTAL UNITS BUY]]</f>
        <v>970</v>
      </c>
      <c r="T33" s="50">
        <f>INVESTORS_LIST[[#This Row],[LS_TOTAL UNITS SOLD]]+INVESTORS_LIST[[#This Row],[SIP_TOTAL UNITS SOLD]]</f>
        <v>970</v>
      </c>
      <c r="U33" s="50"/>
      <c r="V33" s="50">
        <f>SUMIFS(LS[BO UNIT TRANSFER],LS[Investor ID],INVESTORS_LIST[[#This Row],[INVESTOR CODE]],LS[B/S],"B")</f>
        <v>0</v>
      </c>
      <c r="W33" s="50">
        <f>SUMIFS(SIP[BO UNIT TRANSFER],SIP[Investor ID],INVESTORS_LIST[[#This Row],[INVESTOR CODE]],SIP[B/S],"B")</f>
        <v>0</v>
      </c>
      <c r="X33" s="50">
        <f>SUMIFS(LS[BO UNIT TRANSFER],LS[Investor ID],INVESTORS_LIST[[#This Row],[INVESTOR CODE]],LS[B/S],"S")</f>
        <v>0</v>
      </c>
      <c r="Y33" s="50">
        <f>SUMIFS(SIP[BO UNIT TRANSFER],SIP[Investor ID],INVESTORS_LIST[[#This Row],[INVESTOR CODE]],SIP[B/S],"S")</f>
        <v>0</v>
      </c>
      <c r="Z33" s="106">
        <f>SUM(INVESTORS_LIST[[#This Row],[BO OPENING BALANCE]:[BO SIP UNITS REPURCHASE]])</f>
        <v>0</v>
      </c>
      <c r="AA33" s="107">
        <f>INVESTORS_LIST[[#This Row],[TOTAL UNITS BUY]]-INVESTORS_LIST[[#This Row],[TOTAL UNITS SOLD]]</f>
        <v>0</v>
      </c>
      <c r="AB33" s="107">
        <f>INVESTORS_LIST[[#This Row],[TOTAL CURRENT UNITS]]-INVESTORS_LIST[[#This Row],[BO UNITS HOLD]]</f>
        <v>0</v>
      </c>
      <c r="AC33" s="201" t="e">
        <f>INDEX([3]!Table_1[BO ID],MATCH(INVESTORS_LIST[[#This Row],[INVESTOR CODE]],[3]!Table_1[INVESTOR CODE],0))</f>
        <v>#REF!</v>
      </c>
      <c r="AD33" s="201" t="e">
        <f>INDEX([3]!Table_1[Brokerage Name2],MATCH(INVESTORS_LIST[[#This Row],[INVESTOR CODE]],[3]!Table_1[INVESTOR CODE],0))</f>
        <v>#REF!</v>
      </c>
      <c r="AE33" s="201" t="e">
        <f>MID(INVESTORS_LIST[[#This Row],[BO ID]],4,5)</f>
        <v>#REF!</v>
      </c>
      <c r="AF33" s="201" t="e">
        <f>MID(INVESTORS_LIST[[#This Row],[BO ID]],2,7)</f>
        <v>#REF!</v>
      </c>
      <c r="AG33" s="201" t="e">
        <f>MID(INVESTORS_LIST[[#This Row],[BO ID]],9,7)</f>
        <v>#REF!</v>
      </c>
      <c r="AH33" s="201" t="e">
        <f>RIGHT(INVESTORS_LIST[[#This Row],[BO ID]],1)</f>
        <v>#REF!</v>
      </c>
      <c r="AI33" s="50">
        <f>INVESTORS_LIST[[#This Row],[LS_TOTAL COST VALUE OF CURRENT UNITS]]+INVESTORS_LIST[[#This Row],[SIP_TOTAL COST VALUE OF CURRENT UNITS]]</f>
        <v>0</v>
      </c>
      <c r="AJ33" s="109">
        <f>IF(INVESTORS_LIST[[#This Row],[TOTAL CURRENT UNITS]]=0,0,INVESTORS_LIST[[#This Row],[LS_TOTAL CURRENT UNITS]]/INVESTORS_LIST[[#This Row],[TOTAL CURRENT UNITS]])</f>
        <v>0</v>
      </c>
      <c r="AK33" s="109">
        <f>IF(INVESTORS_LIST[[#This Row],[TOTAL CURRENT UNITS]]=0,0,INVESTORS_LIST[[#This Row],[SIP_TOTAL CURRENT UNITS]]/INVESTORS_LIST[[#This Row],[TOTAL CURRENT UNITS]])</f>
        <v>0</v>
      </c>
      <c r="AL33" s="49" cm="1">
        <f t="array" ref="AL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" s="49" cm="1">
        <f t="array" ref="AM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" s="105">
        <f t="shared" si="1"/>
        <v>14.224</v>
      </c>
      <c r="AP33" s="112">
        <f>IF(INVESTORS_LIST[[#This Row],[TOTAL CURRENT UNITS]]=0,0,INVESTORS_LIST[[#This Row],[TOTAL CURRENT UNITS]]*INVESTORS_LIST[[#This Row],[NAV]])</f>
        <v>0</v>
      </c>
      <c r="AQ33" s="49">
        <f>IF(INVESTORS_LIST[[#This Row],[LS_TOTAL CURRENT UNITS]]=0,0,INVESTORS_LIST[[#This Row],[LS_TOTAL CURRENT UNITS]]*INVESTORS_LIST[[#This Row],[NAV]])</f>
        <v>0</v>
      </c>
      <c r="AR33" s="48">
        <f>IF(INVESTORS_LIST[[#This Row],[SIP_TOTAL CURRENT UNITS]]=0,0,INVESTORS_LIST[[#This Row],[SIP_TOTAL CURRENT UNITS]]*INVESTORS_LIST[[#This Row],[NAV]])</f>
        <v>0</v>
      </c>
      <c r="AS33" s="50">
        <f>INVESTORS_LIST[[#This Row],[TOTAL CURRENT UNITS]]</f>
        <v>0</v>
      </c>
      <c r="AT33" s="48">
        <f>IF(INVESTORS_LIST[[#This Row],[TOTAL SELLABLE UNITS]]=0,0,INVESTORS_LIST[[#This Row],[TOTAL SELLABLE UNITS]]*INVESTORS_LIST[[#This Row],[NAV]])</f>
        <v>0</v>
      </c>
      <c r="AU33" s="48">
        <f>INVESTORS_LIST[[#This Row],[LS_TOTAL REALIZED GAIN]]+INVESTORS_LIST[[#This Row],[SIP_TOTAL REALIZED GAIN]]</f>
        <v>20.969999999999885</v>
      </c>
      <c r="AV33" s="48">
        <f>INVESTORS_LIST[[#This Row],[TOTAL MARKET VALUE]]-INVESTORS_LIST[[#This Row],[TOTAL COST VALUE OF CURRENT INVESTMENT]]</f>
        <v>0</v>
      </c>
      <c r="AW33" s="48">
        <f>IFERROR(INVESTORS_LIST[[#This Row],[TOTAL CURRENT UNITS]]/SUM(INVESTORS_LIST[TOTAL CURRENT UNITS]),0)</f>
        <v>0</v>
      </c>
    </row>
    <row r="34" spans="1:49" hidden="1">
      <c r="A34" s="262" t="s">
        <v>114</v>
      </c>
      <c r="B34" s="97" t="s">
        <v>115</v>
      </c>
      <c r="C34" t="s">
        <v>44</v>
      </c>
      <c r="D34" s="75" t="s">
        <v>45</v>
      </c>
      <c r="E34" s="47">
        <f>SUMIFS(LS[Unit],LS[Investor ID],INVESTORS_LIST[[#This Row],[INVESTOR CODE]],LS[B/S],"B")</f>
        <v>32777</v>
      </c>
      <c r="F34" s="47">
        <f>-SUMIFS(LS[Unit],LS[Investor ID],INVESTORS_LIST[[#This Row],[INVESTOR CODE]],LS[B/S],"S")</f>
        <v>32777</v>
      </c>
      <c r="G34" s="47">
        <f>IF(INVESTORS_LIST[[#This Row],[LS_TOTAL UNITS BUY]]=0,0,INVESTORS_LIST[[#This Row],[LS_TOTAL UNITS BUY]]-INVESTORS_LIST[[#This Row],[LS_TOTAL UNITS SOLD]])</f>
        <v>0</v>
      </c>
      <c r="H34" s="49">
        <f>IF(INVESTORS_LIST[[#This Row],[LS_TOTAL UNITS BUY]]=0,0,SUMIFS(LS[Amount],LS[Investor ID],INVESTORS_LIST[[#This Row],[INVESTOR CODE]],LS[B/S],"B"))</f>
        <v>365000</v>
      </c>
      <c r="I34" s="48">
        <f>IF(INVESTORS_LIST[[#This Row],[LS_TOTAL UNITS SOLD]]=0,0,SUMIFS(LS[Cost of Units Sold],LS[Investor ID],INVESTORS_LIST[[#This Row],[INVESTOR CODE]],LS[B/S],"S"))</f>
        <v>365000</v>
      </c>
      <c r="J34" s="48">
        <f>IF(INVESTORS_LIST[[#This Row],[LS_TOTAL CURRENT UNITS]]=0,0,INVESTORS_LIST[[#This Row],[LS_TOTAL CURRENT UNITS]]*INVESTORS_LIST[[#This Row],[LS_AVERAGE COST]])</f>
        <v>0</v>
      </c>
      <c r="K34" s="49">
        <f>IF(INVESTORS_LIST[[#This Row],[LS_TOTAL UNITS SOLD]]=0,0,SUMIFS(LS[Realized Gain],LS[Investor ID],INVESTORS_LIST[[#This Row],[INVESTOR CODE]],LS[B/S],"S"))</f>
        <v>6560.0700000000179</v>
      </c>
      <c r="L34" s="47">
        <f>SUMIFS(SIP[Unit],SIP[Investor ID],INVESTORS_LIST[[#This Row],[INVESTOR CODE]],SIP[B/S],"B")</f>
        <v>0</v>
      </c>
      <c r="M34" s="47">
        <f>-SUMIFS(SIP[Unit],SIP[Investor ID],INVESTORS_LIST[[#This Row],[INVESTOR CODE]],SIP[B/S],"S")</f>
        <v>0</v>
      </c>
      <c r="N34" s="50">
        <f>IF(INVESTORS_LIST[[#This Row],[SIP_TOTAL UNITS BUY]]=0,0,INVESTORS_LIST[[#This Row],[SIP_TOTAL UNITS BUY]]-INVESTORS_LIST[[#This Row],[SIP_TOTAL UNITS SOLD]])</f>
        <v>0</v>
      </c>
      <c r="O34" s="49">
        <f>IF(INVESTORS_LIST[[#This Row],[SIP_TOTAL UNITS BUY]]=0,0,SUMIFS(SIP[Amount],SIP[Investor ID],INVESTORS_LIST[[#This Row],[INVESTOR CODE]],SIP[B/S],"B"))</f>
        <v>0</v>
      </c>
      <c r="P34" s="49">
        <f>IF(INVESTORS_LIST[[#This Row],[SIP_TOTAL UNITS SOLD]]=0,0,SUMIFS(SIP[Cost of Units Sold],SIP[Investor ID],INVESTORS_LIST[[#This Row],[INVESTOR CODE]],SIP[B/S],"S"))</f>
        <v>0</v>
      </c>
      <c r="Q34" s="48">
        <f>IF(INVESTORS_LIST[[#This Row],[SIP_TOTAL CURRENT UNITS]]=0,0,INVESTORS_LIST[[#This Row],[SIP_TOTAL CURRENT UNITS]]*INVESTORS_LIST[[#This Row],[SIP_AVERAGE COST]])</f>
        <v>0</v>
      </c>
      <c r="R34" s="48">
        <f>IF(INVESTORS_LIST[[#This Row],[SIP_TOTAL UNITS SOLD]]=0,0,SUMIFS(SIP[Realized Gain],SIP[Investor ID],INVESTORS_LIST[[#This Row],[INVESTOR CODE]],SIP[B/S],"S"))</f>
        <v>0</v>
      </c>
      <c r="S34" s="50">
        <f>INVESTORS_LIST[[#This Row],[LS_TOTAL UNITS BUY]]+INVESTORS_LIST[[#This Row],[SIP_TOTAL UNITS BUY]]</f>
        <v>32777</v>
      </c>
      <c r="T34" s="50">
        <f>INVESTORS_LIST[[#This Row],[LS_TOTAL UNITS SOLD]]+INVESTORS_LIST[[#This Row],[SIP_TOTAL UNITS SOLD]]</f>
        <v>32777</v>
      </c>
      <c r="U34" s="50"/>
      <c r="V34" s="50">
        <f>SUMIFS(LS[BO UNIT TRANSFER],LS[Investor ID],INVESTORS_LIST[[#This Row],[INVESTOR CODE]],LS[B/S],"B")</f>
        <v>0</v>
      </c>
      <c r="W34" s="50">
        <f>SUMIFS(SIP[BO UNIT TRANSFER],SIP[Investor ID],INVESTORS_LIST[[#This Row],[INVESTOR CODE]],SIP[B/S],"B")</f>
        <v>0</v>
      </c>
      <c r="X34" s="50">
        <f>SUMIFS(LS[BO UNIT TRANSFER],LS[Investor ID],INVESTORS_LIST[[#This Row],[INVESTOR CODE]],LS[B/S],"S")</f>
        <v>0</v>
      </c>
      <c r="Y34" s="50">
        <f>SUMIFS(SIP[BO UNIT TRANSFER],SIP[Investor ID],INVESTORS_LIST[[#This Row],[INVESTOR CODE]],SIP[B/S],"S")</f>
        <v>0</v>
      </c>
      <c r="Z34" s="106">
        <f>SUM(INVESTORS_LIST[[#This Row],[BO OPENING BALANCE]:[BO SIP UNITS REPURCHASE]])</f>
        <v>0</v>
      </c>
      <c r="AA34" s="107">
        <f>INVESTORS_LIST[[#This Row],[TOTAL UNITS BUY]]-INVESTORS_LIST[[#This Row],[TOTAL UNITS SOLD]]</f>
        <v>0</v>
      </c>
      <c r="AB34" s="107">
        <f>INVESTORS_LIST[[#This Row],[TOTAL CURRENT UNITS]]-INVESTORS_LIST[[#This Row],[BO UNITS HOLD]]</f>
        <v>0</v>
      </c>
      <c r="AC34" s="201" t="e">
        <f>INDEX([3]!Table_1[BO ID],MATCH(INVESTORS_LIST[[#This Row],[INVESTOR CODE]],[3]!Table_1[INVESTOR CODE],0))</f>
        <v>#REF!</v>
      </c>
      <c r="AD34" s="201" t="e">
        <f>INDEX([3]!Table_1[Brokerage Name2],MATCH(INVESTORS_LIST[[#This Row],[INVESTOR CODE]],[3]!Table_1[INVESTOR CODE],0))</f>
        <v>#REF!</v>
      </c>
      <c r="AE34" s="201" t="e">
        <f>MID(INVESTORS_LIST[[#This Row],[BO ID]],4,5)</f>
        <v>#REF!</v>
      </c>
      <c r="AF34" s="201" t="e">
        <f>MID(INVESTORS_LIST[[#This Row],[BO ID]],2,7)</f>
        <v>#REF!</v>
      </c>
      <c r="AG34" s="201" t="e">
        <f>MID(INVESTORS_LIST[[#This Row],[BO ID]],9,7)</f>
        <v>#REF!</v>
      </c>
      <c r="AH34" s="201" t="e">
        <f>RIGHT(INVESTORS_LIST[[#This Row],[BO ID]],1)</f>
        <v>#REF!</v>
      </c>
      <c r="AI34" s="50">
        <f>INVESTORS_LIST[[#This Row],[LS_TOTAL COST VALUE OF CURRENT UNITS]]+INVESTORS_LIST[[#This Row],[SIP_TOTAL COST VALUE OF CURRENT UNITS]]</f>
        <v>0</v>
      </c>
      <c r="AJ34" s="109">
        <f>IF(INVESTORS_LIST[[#This Row],[TOTAL CURRENT UNITS]]=0,0,INVESTORS_LIST[[#This Row],[LS_TOTAL CURRENT UNITS]]/INVESTORS_LIST[[#This Row],[TOTAL CURRENT UNITS]])</f>
        <v>0</v>
      </c>
      <c r="AK34" s="109">
        <f>IF(INVESTORS_LIST[[#This Row],[TOTAL CURRENT UNITS]]=0,0,INVESTORS_LIST[[#This Row],[SIP_TOTAL CURRENT UNITS]]/INVESTORS_LIST[[#This Row],[TOTAL CURRENT UNITS]])</f>
        <v>0</v>
      </c>
      <c r="AL34" s="49" cm="1">
        <f t="array" ref="AL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" s="49" cm="1">
        <f t="array" ref="AM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" s="105">
        <f t="shared" si="1"/>
        <v>14.224</v>
      </c>
      <c r="AP34" s="112">
        <f>IF(INVESTORS_LIST[[#This Row],[TOTAL CURRENT UNITS]]=0,0,INVESTORS_LIST[[#This Row],[TOTAL CURRENT UNITS]]*INVESTORS_LIST[[#This Row],[NAV]])</f>
        <v>0</v>
      </c>
      <c r="AQ34" s="49">
        <f>IF(INVESTORS_LIST[[#This Row],[LS_TOTAL CURRENT UNITS]]=0,0,INVESTORS_LIST[[#This Row],[LS_TOTAL CURRENT UNITS]]*INVESTORS_LIST[[#This Row],[NAV]])</f>
        <v>0</v>
      </c>
      <c r="AR34" s="48">
        <f>IF(INVESTORS_LIST[[#This Row],[SIP_TOTAL CURRENT UNITS]]=0,0,INVESTORS_LIST[[#This Row],[SIP_TOTAL CURRENT UNITS]]*INVESTORS_LIST[[#This Row],[NAV]])</f>
        <v>0</v>
      </c>
      <c r="AS34" s="50">
        <f>INVESTORS_LIST[[#This Row],[TOTAL CURRENT UNITS]]</f>
        <v>0</v>
      </c>
      <c r="AT34" s="48">
        <f>IF(INVESTORS_LIST[[#This Row],[TOTAL SELLABLE UNITS]]=0,0,INVESTORS_LIST[[#This Row],[TOTAL SELLABLE UNITS]]*INVESTORS_LIST[[#This Row],[NAV]])</f>
        <v>0</v>
      </c>
      <c r="AU34" s="48">
        <f>INVESTORS_LIST[[#This Row],[LS_TOTAL REALIZED GAIN]]+INVESTORS_LIST[[#This Row],[SIP_TOTAL REALIZED GAIN]]</f>
        <v>6560.0700000000179</v>
      </c>
      <c r="AV34" s="48">
        <f>INVESTORS_LIST[[#This Row],[TOTAL MARKET VALUE]]-INVESTORS_LIST[[#This Row],[TOTAL COST VALUE OF CURRENT INVESTMENT]]</f>
        <v>0</v>
      </c>
      <c r="AW34" s="48">
        <f>IFERROR(INVESTORS_LIST[[#This Row],[TOTAL CURRENT UNITS]]/SUM(INVESTORS_LIST[TOTAL CURRENT UNITS]),0)</f>
        <v>0</v>
      </c>
    </row>
    <row r="35" spans="1:49" hidden="1">
      <c r="A35" s="262" t="s">
        <v>116</v>
      </c>
      <c r="B35" s="97" t="s">
        <v>117</v>
      </c>
      <c r="C35" t="s">
        <v>44</v>
      </c>
      <c r="D35" s="75" t="s">
        <v>45</v>
      </c>
      <c r="E35" s="47">
        <f>SUMIFS(LS[Unit],LS[Investor ID],INVESTORS_LIST[[#This Row],[INVESTOR CODE]],LS[B/S],"B")</f>
        <v>0</v>
      </c>
      <c r="F35" s="47">
        <f>-SUMIFS(LS[Unit],LS[Investor ID],INVESTORS_LIST[[#This Row],[INVESTOR CODE]],LS[B/S],"S")</f>
        <v>0</v>
      </c>
      <c r="G35" s="47">
        <f>IF(INVESTORS_LIST[[#This Row],[LS_TOTAL UNITS BUY]]=0,0,INVESTORS_LIST[[#This Row],[LS_TOTAL UNITS BUY]]-INVESTORS_LIST[[#This Row],[LS_TOTAL UNITS SOLD]])</f>
        <v>0</v>
      </c>
      <c r="H35" s="49">
        <f>IF(INVESTORS_LIST[[#This Row],[LS_TOTAL UNITS BUY]]=0,0,SUMIFS(LS[Amount],LS[Investor ID],INVESTORS_LIST[[#This Row],[INVESTOR CODE]],LS[B/S],"B"))</f>
        <v>0</v>
      </c>
      <c r="I35" s="48">
        <f>IF(INVESTORS_LIST[[#This Row],[LS_TOTAL UNITS SOLD]]=0,0,SUMIFS(LS[Cost of Units Sold],LS[Investor ID],INVESTORS_LIST[[#This Row],[INVESTOR CODE]],LS[B/S],"S"))</f>
        <v>0</v>
      </c>
      <c r="J35" s="48">
        <f>IF(INVESTORS_LIST[[#This Row],[LS_TOTAL CURRENT UNITS]]=0,0,INVESTORS_LIST[[#This Row],[LS_TOTAL CURRENT UNITS]]*INVESTORS_LIST[[#This Row],[LS_AVERAGE COST]])</f>
        <v>0</v>
      </c>
      <c r="K35" s="49">
        <f>IF(INVESTORS_LIST[[#This Row],[LS_TOTAL UNITS SOLD]]=0,0,SUMIFS(LS[Realized Gain],LS[Investor ID],INVESTORS_LIST[[#This Row],[INVESTOR CODE]],LS[B/S],"S"))</f>
        <v>0</v>
      </c>
      <c r="L35" s="47">
        <f>SUMIFS(SIP[Unit],SIP[Investor ID],INVESTORS_LIST[[#This Row],[INVESTOR CODE]],SIP[B/S],"B")</f>
        <v>0</v>
      </c>
      <c r="M35" s="47">
        <f>-SUMIFS(SIP[Unit],SIP[Investor ID],INVESTORS_LIST[[#This Row],[INVESTOR CODE]],SIP[B/S],"S")</f>
        <v>0</v>
      </c>
      <c r="N35" s="50">
        <f>IF(INVESTORS_LIST[[#This Row],[SIP_TOTAL UNITS BUY]]=0,0,INVESTORS_LIST[[#This Row],[SIP_TOTAL UNITS BUY]]-INVESTORS_LIST[[#This Row],[SIP_TOTAL UNITS SOLD]])</f>
        <v>0</v>
      </c>
      <c r="O35" s="49">
        <f>IF(INVESTORS_LIST[[#This Row],[SIP_TOTAL UNITS BUY]]=0,0,SUMIFS(SIP[Amount],SIP[Investor ID],INVESTORS_LIST[[#This Row],[INVESTOR CODE]],SIP[B/S],"B"))</f>
        <v>0</v>
      </c>
      <c r="P35" s="49">
        <f>IF(INVESTORS_LIST[[#This Row],[SIP_TOTAL UNITS SOLD]]=0,0,SUMIFS(SIP[Cost of Units Sold],SIP[Investor ID],INVESTORS_LIST[[#This Row],[INVESTOR CODE]],SIP[B/S],"S"))</f>
        <v>0</v>
      </c>
      <c r="Q35" s="48">
        <f>IF(INVESTORS_LIST[[#This Row],[SIP_TOTAL CURRENT UNITS]]=0,0,INVESTORS_LIST[[#This Row],[SIP_TOTAL CURRENT UNITS]]*INVESTORS_LIST[[#This Row],[SIP_AVERAGE COST]])</f>
        <v>0</v>
      </c>
      <c r="R35" s="48">
        <f>IF(INVESTORS_LIST[[#This Row],[SIP_TOTAL UNITS SOLD]]=0,0,SUMIFS(SIP[Realized Gain],SIP[Investor ID],INVESTORS_LIST[[#This Row],[INVESTOR CODE]],SIP[B/S],"S"))</f>
        <v>0</v>
      </c>
      <c r="S35" s="50">
        <f>INVESTORS_LIST[[#This Row],[LS_TOTAL UNITS BUY]]+INVESTORS_LIST[[#This Row],[SIP_TOTAL UNITS BUY]]</f>
        <v>0</v>
      </c>
      <c r="T35" s="50">
        <f>INVESTORS_LIST[[#This Row],[LS_TOTAL UNITS SOLD]]+INVESTORS_LIST[[#This Row],[SIP_TOTAL UNITS SOLD]]</f>
        <v>0</v>
      </c>
      <c r="U35" s="50"/>
      <c r="V35" s="50">
        <f>SUMIFS(LS[BO UNIT TRANSFER],LS[Investor ID],INVESTORS_LIST[[#This Row],[INVESTOR CODE]],LS[B/S],"B")</f>
        <v>0</v>
      </c>
      <c r="W35" s="50">
        <f>SUMIFS(SIP[BO UNIT TRANSFER],SIP[Investor ID],INVESTORS_LIST[[#This Row],[INVESTOR CODE]],SIP[B/S],"B")</f>
        <v>0</v>
      </c>
      <c r="X35" s="50">
        <f>SUMIFS(LS[BO UNIT TRANSFER],LS[Investor ID],INVESTORS_LIST[[#This Row],[INVESTOR CODE]],LS[B/S],"S")</f>
        <v>0</v>
      </c>
      <c r="Y35" s="50">
        <f>SUMIFS(SIP[BO UNIT TRANSFER],SIP[Investor ID],INVESTORS_LIST[[#This Row],[INVESTOR CODE]],SIP[B/S],"S")</f>
        <v>0</v>
      </c>
      <c r="Z35" s="106">
        <f>SUM(INVESTORS_LIST[[#This Row],[BO OPENING BALANCE]:[BO SIP UNITS REPURCHASE]])</f>
        <v>0</v>
      </c>
      <c r="AA35" s="107">
        <f>INVESTORS_LIST[[#This Row],[TOTAL UNITS BUY]]-INVESTORS_LIST[[#This Row],[TOTAL UNITS SOLD]]</f>
        <v>0</v>
      </c>
      <c r="AB35" s="107">
        <f>INVESTORS_LIST[[#This Row],[TOTAL CURRENT UNITS]]-INVESTORS_LIST[[#This Row],[BO UNITS HOLD]]</f>
        <v>0</v>
      </c>
      <c r="AC35" s="201" t="e">
        <f>INDEX([3]!Table_1[BO ID],MATCH(INVESTORS_LIST[[#This Row],[INVESTOR CODE]],[3]!Table_1[INVESTOR CODE],0))</f>
        <v>#REF!</v>
      </c>
      <c r="AD35" s="201" t="e">
        <f>INDEX([3]!Table_1[Brokerage Name2],MATCH(INVESTORS_LIST[[#This Row],[INVESTOR CODE]],[3]!Table_1[INVESTOR CODE],0))</f>
        <v>#REF!</v>
      </c>
      <c r="AE35" s="201" t="e">
        <f>MID(INVESTORS_LIST[[#This Row],[BO ID]],4,5)</f>
        <v>#REF!</v>
      </c>
      <c r="AF35" s="201" t="e">
        <f>MID(INVESTORS_LIST[[#This Row],[BO ID]],2,7)</f>
        <v>#REF!</v>
      </c>
      <c r="AG35" s="201" t="e">
        <f>MID(INVESTORS_LIST[[#This Row],[BO ID]],9,7)</f>
        <v>#REF!</v>
      </c>
      <c r="AH35" s="201" t="e">
        <f>RIGHT(INVESTORS_LIST[[#This Row],[BO ID]],1)</f>
        <v>#REF!</v>
      </c>
      <c r="AI35" s="50">
        <f>INVESTORS_LIST[[#This Row],[LS_TOTAL COST VALUE OF CURRENT UNITS]]+INVESTORS_LIST[[#This Row],[SIP_TOTAL COST VALUE OF CURRENT UNITS]]</f>
        <v>0</v>
      </c>
      <c r="AJ35" s="109">
        <f>IF(INVESTORS_LIST[[#This Row],[TOTAL CURRENT UNITS]]=0,0,INVESTORS_LIST[[#This Row],[LS_TOTAL CURRENT UNITS]]/INVESTORS_LIST[[#This Row],[TOTAL CURRENT UNITS]])</f>
        <v>0</v>
      </c>
      <c r="AK35" s="109">
        <f>IF(INVESTORS_LIST[[#This Row],[TOTAL CURRENT UNITS]]=0,0,INVESTORS_LIST[[#This Row],[SIP_TOTAL CURRENT UNITS]]/INVESTORS_LIST[[#This Row],[TOTAL CURRENT UNITS]])</f>
        <v>0</v>
      </c>
      <c r="AL35" s="49" cm="1">
        <f t="array" ref="AL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" s="49" cm="1">
        <f t="array" ref="AM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" s="105">
        <f t="shared" si="1"/>
        <v>14.224</v>
      </c>
      <c r="AP35" s="112">
        <f>IF(INVESTORS_LIST[[#This Row],[TOTAL CURRENT UNITS]]=0,0,INVESTORS_LIST[[#This Row],[TOTAL CURRENT UNITS]]*INVESTORS_LIST[[#This Row],[NAV]])</f>
        <v>0</v>
      </c>
      <c r="AQ35" s="49">
        <f>IF(INVESTORS_LIST[[#This Row],[LS_TOTAL CURRENT UNITS]]=0,0,INVESTORS_LIST[[#This Row],[LS_TOTAL CURRENT UNITS]]*INVESTORS_LIST[[#This Row],[NAV]])</f>
        <v>0</v>
      </c>
      <c r="AR35" s="48">
        <f>IF(INVESTORS_LIST[[#This Row],[SIP_TOTAL CURRENT UNITS]]=0,0,INVESTORS_LIST[[#This Row],[SIP_TOTAL CURRENT UNITS]]*INVESTORS_LIST[[#This Row],[NAV]])</f>
        <v>0</v>
      </c>
      <c r="AS35" s="50">
        <f>INVESTORS_LIST[[#This Row],[TOTAL CURRENT UNITS]]</f>
        <v>0</v>
      </c>
      <c r="AT35" s="48">
        <f>IF(INVESTORS_LIST[[#This Row],[TOTAL SELLABLE UNITS]]=0,0,INVESTORS_LIST[[#This Row],[TOTAL SELLABLE UNITS]]*INVESTORS_LIST[[#This Row],[NAV]])</f>
        <v>0</v>
      </c>
      <c r="AU35" s="48">
        <f>INVESTORS_LIST[[#This Row],[LS_TOTAL REALIZED GAIN]]+INVESTORS_LIST[[#This Row],[SIP_TOTAL REALIZED GAIN]]</f>
        <v>0</v>
      </c>
      <c r="AV35" s="48">
        <f>INVESTORS_LIST[[#This Row],[TOTAL MARKET VALUE]]-INVESTORS_LIST[[#This Row],[TOTAL COST VALUE OF CURRENT INVESTMENT]]</f>
        <v>0</v>
      </c>
      <c r="AW35" s="48">
        <f>IFERROR(INVESTORS_LIST[[#This Row],[TOTAL CURRENT UNITS]]/SUM(INVESTORS_LIST[TOTAL CURRENT UNITS]),0)</f>
        <v>0</v>
      </c>
    </row>
    <row r="36" spans="1:49" hidden="1">
      <c r="A36" s="262" t="s">
        <v>118</v>
      </c>
      <c r="B36" s="97" t="s">
        <v>119</v>
      </c>
      <c r="C36" t="s">
        <v>52</v>
      </c>
      <c r="D36" s="75" t="s">
        <v>45</v>
      </c>
      <c r="E36" s="47">
        <f>SUMIFS(LS[Unit],LS[Investor ID],INVESTORS_LIST[[#This Row],[INVESTOR CODE]],LS[B/S],"B")</f>
        <v>0</v>
      </c>
      <c r="F36" s="47">
        <f>-SUMIFS(LS[Unit],LS[Investor ID],INVESTORS_LIST[[#This Row],[INVESTOR CODE]],LS[B/S],"S")</f>
        <v>0</v>
      </c>
      <c r="G36" s="47">
        <f>IF(INVESTORS_LIST[[#This Row],[LS_TOTAL UNITS BUY]]=0,0,INVESTORS_LIST[[#This Row],[LS_TOTAL UNITS BUY]]-INVESTORS_LIST[[#This Row],[LS_TOTAL UNITS SOLD]])</f>
        <v>0</v>
      </c>
      <c r="H36" s="49">
        <f>IF(INVESTORS_LIST[[#This Row],[LS_TOTAL UNITS BUY]]=0,0,SUMIFS(LS[Amount],LS[Investor ID],INVESTORS_LIST[[#This Row],[INVESTOR CODE]],LS[B/S],"B"))</f>
        <v>0</v>
      </c>
      <c r="I36" s="48">
        <f>IF(INVESTORS_LIST[[#This Row],[LS_TOTAL UNITS SOLD]]=0,0,SUMIFS(LS[Cost of Units Sold],LS[Investor ID],INVESTORS_LIST[[#This Row],[INVESTOR CODE]],LS[B/S],"S"))</f>
        <v>0</v>
      </c>
      <c r="J36" s="48">
        <f>IF(INVESTORS_LIST[[#This Row],[LS_TOTAL CURRENT UNITS]]=0,0,INVESTORS_LIST[[#This Row],[LS_TOTAL CURRENT UNITS]]*INVESTORS_LIST[[#This Row],[LS_AVERAGE COST]])</f>
        <v>0</v>
      </c>
      <c r="K36" s="49">
        <f>IF(INVESTORS_LIST[[#This Row],[LS_TOTAL UNITS SOLD]]=0,0,SUMIFS(LS[Realized Gain],LS[Investor ID],INVESTORS_LIST[[#This Row],[INVESTOR CODE]],LS[B/S],"S"))</f>
        <v>0</v>
      </c>
      <c r="L36" s="47">
        <f>SUMIFS(SIP[Unit],SIP[Investor ID],INVESTORS_LIST[[#This Row],[INVESTOR CODE]],SIP[B/S],"B")</f>
        <v>0</v>
      </c>
      <c r="M36" s="47">
        <f>-SUMIFS(SIP[Unit],SIP[Investor ID],INVESTORS_LIST[[#This Row],[INVESTOR CODE]],SIP[B/S],"S")</f>
        <v>0</v>
      </c>
      <c r="N36" s="50">
        <f>IF(INVESTORS_LIST[[#This Row],[SIP_TOTAL UNITS BUY]]=0,0,INVESTORS_LIST[[#This Row],[SIP_TOTAL UNITS BUY]]-INVESTORS_LIST[[#This Row],[SIP_TOTAL UNITS SOLD]])</f>
        <v>0</v>
      </c>
      <c r="O36" s="49">
        <f>IF(INVESTORS_LIST[[#This Row],[SIP_TOTAL UNITS BUY]]=0,0,SUMIFS(SIP[Amount],SIP[Investor ID],INVESTORS_LIST[[#This Row],[INVESTOR CODE]],SIP[B/S],"B"))</f>
        <v>0</v>
      </c>
      <c r="P36" s="49">
        <f>IF(INVESTORS_LIST[[#This Row],[SIP_TOTAL UNITS SOLD]]=0,0,SUMIFS(SIP[Cost of Units Sold],SIP[Investor ID],INVESTORS_LIST[[#This Row],[INVESTOR CODE]],SIP[B/S],"S"))</f>
        <v>0</v>
      </c>
      <c r="Q36" s="48">
        <f>IF(INVESTORS_LIST[[#This Row],[SIP_TOTAL CURRENT UNITS]]=0,0,INVESTORS_LIST[[#This Row],[SIP_TOTAL CURRENT UNITS]]*INVESTORS_LIST[[#This Row],[SIP_AVERAGE COST]])</f>
        <v>0</v>
      </c>
      <c r="R36" s="48">
        <f>IF(INVESTORS_LIST[[#This Row],[SIP_TOTAL UNITS SOLD]]=0,0,SUMIFS(SIP[Realized Gain],SIP[Investor ID],INVESTORS_LIST[[#This Row],[INVESTOR CODE]],SIP[B/S],"S"))</f>
        <v>0</v>
      </c>
      <c r="S36" s="50">
        <f>INVESTORS_LIST[[#This Row],[LS_TOTAL UNITS BUY]]+INVESTORS_LIST[[#This Row],[SIP_TOTAL UNITS BUY]]</f>
        <v>0</v>
      </c>
      <c r="T36" s="50">
        <f>INVESTORS_LIST[[#This Row],[LS_TOTAL UNITS SOLD]]+INVESTORS_LIST[[#This Row],[SIP_TOTAL UNITS SOLD]]</f>
        <v>0</v>
      </c>
      <c r="U36" s="50"/>
      <c r="V36" s="50">
        <f>SUMIFS(LS[BO UNIT TRANSFER],LS[Investor ID],INVESTORS_LIST[[#This Row],[INVESTOR CODE]],LS[B/S],"B")</f>
        <v>0</v>
      </c>
      <c r="W36" s="50">
        <f>SUMIFS(SIP[BO UNIT TRANSFER],SIP[Investor ID],INVESTORS_LIST[[#This Row],[INVESTOR CODE]],SIP[B/S],"B")</f>
        <v>0</v>
      </c>
      <c r="X36" s="50">
        <f>SUMIFS(LS[BO UNIT TRANSFER],LS[Investor ID],INVESTORS_LIST[[#This Row],[INVESTOR CODE]],LS[B/S],"S")</f>
        <v>0</v>
      </c>
      <c r="Y36" s="50">
        <f>SUMIFS(SIP[BO UNIT TRANSFER],SIP[Investor ID],INVESTORS_LIST[[#This Row],[INVESTOR CODE]],SIP[B/S],"S")</f>
        <v>0</v>
      </c>
      <c r="Z36" s="106">
        <f>SUM(INVESTORS_LIST[[#This Row],[BO OPENING BALANCE]:[BO SIP UNITS REPURCHASE]])</f>
        <v>0</v>
      </c>
      <c r="AA36" s="107">
        <f>INVESTORS_LIST[[#This Row],[TOTAL UNITS BUY]]-INVESTORS_LIST[[#This Row],[TOTAL UNITS SOLD]]</f>
        <v>0</v>
      </c>
      <c r="AB36" s="107">
        <f>INVESTORS_LIST[[#This Row],[TOTAL CURRENT UNITS]]-INVESTORS_LIST[[#This Row],[BO UNITS HOLD]]</f>
        <v>0</v>
      </c>
      <c r="AC36" s="201" t="e">
        <f>INDEX([3]!Table_1[BO ID],MATCH(INVESTORS_LIST[[#This Row],[INVESTOR CODE]],[3]!Table_1[INVESTOR CODE],0))</f>
        <v>#REF!</v>
      </c>
      <c r="AD36" s="201" t="e">
        <f>INDEX([3]!Table_1[Brokerage Name2],MATCH(INVESTORS_LIST[[#This Row],[INVESTOR CODE]],[3]!Table_1[INVESTOR CODE],0))</f>
        <v>#REF!</v>
      </c>
      <c r="AE36" s="201" t="e">
        <f>MID(INVESTORS_LIST[[#This Row],[BO ID]],4,5)</f>
        <v>#REF!</v>
      </c>
      <c r="AF36" s="201" t="e">
        <f>MID(INVESTORS_LIST[[#This Row],[BO ID]],2,7)</f>
        <v>#REF!</v>
      </c>
      <c r="AG36" s="201" t="e">
        <f>MID(INVESTORS_LIST[[#This Row],[BO ID]],9,7)</f>
        <v>#REF!</v>
      </c>
      <c r="AH36" s="201" t="e">
        <f>RIGHT(INVESTORS_LIST[[#This Row],[BO ID]],1)</f>
        <v>#REF!</v>
      </c>
      <c r="AI36" s="50">
        <f>INVESTORS_LIST[[#This Row],[LS_TOTAL COST VALUE OF CURRENT UNITS]]+INVESTORS_LIST[[#This Row],[SIP_TOTAL COST VALUE OF CURRENT UNITS]]</f>
        <v>0</v>
      </c>
      <c r="AJ36" s="109">
        <f>IF(INVESTORS_LIST[[#This Row],[TOTAL CURRENT UNITS]]=0,0,INVESTORS_LIST[[#This Row],[LS_TOTAL CURRENT UNITS]]/INVESTORS_LIST[[#This Row],[TOTAL CURRENT UNITS]])</f>
        <v>0</v>
      </c>
      <c r="AK36" s="109">
        <f>IF(INVESTORS_LIST[[#This Row],[TOTAL CURRENT UNITS]]=0,0,INVESTORS_LIST[[#This Row],[SIP_TOTAL CURRENT UNITS]]/INVESTORS_LIST[[#This Row],[TOTAL CURRENT UNITS]])</f>
        <v>0</v>
      </c>
      <c r="AL36" s="49" cm="1">
        <f t="array" ref="AL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" s="49" cm="1">
        <f t="array" ref="AM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" s="105">
        <f t="shared" si="1"/>
        <v>14.224</v>
      </c>
      <c r="AP36" s="112">
        <f>IF(INVESTORS_LIST[[#This Row],[TOTAL CURRENT UNITS]]=0,0,INVESTORS_LIST[[#This Row],[TOTAL CURRENT UNITS]]*INVESTORS_LIST[[#This Row],[NAV]])</f>
        <v>0</v>
      </c>
      <c r="AQ36" s="49">
        <f>IF(INVESTORS_LIST[[#This Row],[LS_TOTAL CURRENT UNITS]]=0,0,INVESTORS_LIST[[#This Row],[LS_TOTAL CURRENT UNITS]]*INVESTORS_LIST[[#This Row],[NAV]])</f>
        <v>0</v>
      </c>
      <c r="AR36" s="48">
        <f>IF(INVESTORS_LIST[[#This Row],[SIP_TOTAL CURRENT UNITS]]=0,0,INVESTORS_LIST[[#This Row],[SIP_TOTAL CURRENT UNITS]]*INVESTORS_LIST[[#This Row],[NAV]])</f>
        <v>0</v>
      </c>
      <c r="AS36" s="50">
        <f>INVESTORS_LIST[[#This Row],[TOTAL CURRENT UNITS]]</f>
        <v>0</v>
      </c>
      <c r="AT36" s="48">
        <f>IF(INVESTORS_LIST[[#This Row],[TOTAL SELLABLE UNITS]]=0,0,INVESTORS_LIST[[#This Row],[TOTAL SELLABLE UNITS]]*INVESTORS_LIST[[#This Row],[NAV]])</f>
        <v>0</v>
      </c>
      <c r="AU36" s="48">
        <f>INVESTORS_LIST[[#This Row],[LS_TOTAL REALIZED GAIN]]+INVESTORS_LIST[[#This Row],[SIP_TOTAL REALIZED GAIN]]</f>
        <v>0</v>
      </c>
      <c r="AV36" s="48">
        <f>INVESTORS_LIST[[#This Row],[TOTAL MARKET VALUE]]-INVESTORS_LIST[[#This Row],[TOTAL COST VALUE OF CURRENT INVESTMENT]]</f>
        <v>0</v>
      </c>
      <c r="AW36" s="48">
        <f>IFERROR(INVESTORS_LIST[[#This Row],[TOTAL CURRENT UNITS]]/SUM(INVESTORS_LIST[TOTAL CURRENT UNITS]),0)</f>
        <v>0</v>
      </c>
    </row>
    <row r="37" spans="1:49" hidden="1">
      <c r="A37" s="262" t="s">
        <v>120</v>
      </c>
      <c r="B37" s="97" t="s">
        <v>121</v>
      </c>
      <c r="C37" t="s">
        <v>48</v>
      </c>
      <c r="D37" s="75" t="s">
        <v>45</v>
      </c>
      <c r="E37" s="47">
        <f>SUMIFS(LS[Unit],LS[Investor ID],INVESTORS_LIST[[#This Row],[INVESTOR CODE]],LS[B/S],"B")</f>
        <v>0</v>
      </c>
      <c r="F37" s="47">
        <f>-SUMIFS(LS[Unit],LS[Investor ID],INVESTORS_LIST[[#This Row],[INVESTOR CODE]],LS[B/S],"S")</f>
        <v>0</v>
      </c>
      <c r="G37" s="47">
        <f>IF(INVESTORS_LIST[[#This Row],[LS_TOTAL UNITS BUY]]=0,0,INVESTORS_LIST[[#This Row],[LS_TOTAL UNITS BUY]]-INVESTORS_LIST[[#This Row],[LS_TOTAL UNITS SOLD]])</f>
        <v>0</v>
      </c>
      <c r="H37" s="49">
        <f>IF(INVESTORS_LIST[[#This Row],[LS_TOTAL UNITS BUY]]=0,0,SUMIFS(LS[Amount],LS[Investor ID],INVESTORS_LIST[[#This Row],[INVESTOR CODE]],LS[B/S],"B"))</f>
        <v>0</v>
      </c>
      <c r="I37" s="48">
        <f>IF(INVESTORS_LIST[[#This Row],[LS_TOTAL UNITS SOLD]]=0,0,SUMIFS(LS[Cost of Units Sold],LS[Investor ID],INVESTORS_LIST[[#This Row],[INVESTOR CODE]],LS[B/S],"S"))</f>
        <v>0</v>
      </c>
      <c r="J37" s="48">
        <f>IF(INVESTORS_LIST[[#This Row],[LS_TOTAL CURRENT UNITS]]=0,0,INVESTORS_LIST[[#This Row],[LS_TOTAL CURRENT UNITS]]*INVESTORS_LIST[[#This Row],[LS_AVERAGE COST]])</f>
        <v>0</v>
      </c>
      <c r="K37" s="49">
        <f>IF(INVESTORS_LIST[[#This Row],[LS_TOTAL UNITS SOLD]]=0,0,SUMIFS(LS[Realized Gain],LS[Investor ID],INVESTORS_LIST[[#This Row],[INVESTOR CODE]],LS[B/S],"S"))</f>
        <v>0</v>
      </c>
      <c r="L37" s="47">
        <f>SUMIFS(SIP[Unit],SIP[Investor ID],INVESTORS_LIST[[#This Row],[INVESTOR CODE]],SIP[B/S],"B")</f>
        <v>0</v>
      </c>
      <c r="M37" s="47">
        <f>-SUMIFS(SIP[Unit],SIP[Investor ID],INVESTORS_LIST[[#This Row],[INVESTOR CODE]],SIP[B/S],"S")</f>
        <v>0</v>
      </c>
      <c r="N37" s="50">
        <f>IF(INVESTORS_LIST[[#This Row],[SIP_TOTAL UNITS BUY]]=0,0,INVESTORS_LIST[[#This Row],[SIP_TOTAL UNITS BUY]]-INVESTORS_LIST[[#This Row],[SIP_TOTAL UNITS SOLD]])</f>
        <v>0</v>
      </c>
      <c r="O37" s="49">
        <f>IF(INVESTORS_LIST[[#This Row],[SIP_TOTAL UNITS BUY]]=0,0,SUMIFS(SIP[Amount],SIP[Investor ID],INVESTORS_LIST[[#This Row],[INVESTOR CODE]],SIP[B/S],"B"))</f>
        <v>0</v>
      </c>
      <c r="P37" s="49">
        <f>IF(INVESTORS_LIST[[#This Row],[SIP_TOTAL UNITS SOLD]]=0,0,SUMIFS(SIP[Cost of Units Sold],SIP[Investor ID],INVESTORS_LIST[[#This Row],[INVESTOR CODE]],SIP[B/S],"S"))</f>
        <v>0</v>
      </c>
      <c r="Q37" s="48">
        <f>IF(INVESTORS_LIST[[#This Row],[SIP_TOTAL CURRENT UNITS]]=0,0,INVESTORS_LIST[[#This Row],[SIP_TOTAL CURRENT UNITS]]*INVESTORS_LIST[[#This Row],[SIP_AVERAGE COST]])</f>
        <v>0</v>
      </c>
      <c r="R37" s="48">
        <f>IF(INVESTORS_LIST[[#This Row],[SIP_TOTAL UNITS SOLD]]=0,0,SUMIFS(SIP[Realized Gain],SIP[Investor ID],INVESTORS_LIST[[#This Row],[INVESTOR CODE]],SIP[B/S],"S"))</f>
        <v>0</v>
      </c>
      <c r="S37" s="50">
        <f>INVESTORS_LIST[[#This Row],[LS_TOTAL UNITS BUY]]+INVESTORS_LIST[[#This Row],[SIP_TOTAL UNITS BUY]]</f>
        <v>0</v>
      </c>
      <c r="T37" s="50">
        <f>INVESTORS_LIST[[#This Row],[LS_TOTAL UNITS SOLD]]+INVESTORS_LIST[[#This Row],[SIP_TOTAL UNITS SOLD]]</f>
        <v>0</v>
      </c>
      <c r="U37" s="50"/>
      <c r="V37" s="50">
        <f>SUMIFS(LS[BO UNIT TRANSFER],LS[Investor ID],INVESTORS_LIST[[#This Row],[INVESTOR CODE]],LS[B/S],"B")</f>
        <v>0</v>
      </c>
      <c r="W37" s="50">
        <f>SUMIFS(SIP[BO UNIT TRANSFER],SIP[Investor ID],INVESTORS_LIST[[#This Row],[INVESTOR CODE]],SIP[B/S],"B")</f>
        <v>0</v>
      </c>
      <c r="X37" s="50">
        <f>SUMIFS(LS[BO UNIT TRANSFER],LS[Investor ID],INVESTORS_LIST[[#This Row],[INVESTOR CODE]],LS[B/S],"S")</f>
        <v>0</v>
      </c>
      <c r="Y37" s="50">
        <f>SUMIFS(SIP[BO UNIT TRANSFER],SIP[Investor ID],INVESTORS_LIST[[#This Row],[INVESTOR CODE]],SIP[B/S],"S")</f>
        <v>0</v>
      </c>
      <c r="Z37" s="106">
        <f>SUM(INVESTORS_LIST[[#This Row],[BO OPENING BALANCE]:[BO SIP UNITS REPURCHASE]])</f>
        <v>0</v>
      </c>
      <c r="AA37" s="107">
        <f>INVESTORS_LIST[[#This Row],[TOTAL UNITS BUY]]-INVESTORS_LIST[[#This Row],[TOTAL UNITS SOLD]]</f>
        <v>0</v>
      </c>
      <c r="AB37" s="107">
        <f>INVESTORS_LIST[[#This Row],[TOTAL CURRENT UNITS]]-INVESTORS_LIST[[#This Row],[BO UNITS HOLD]]</f>
        <v>0</v>
      </c>
      <c r="AC37" s="201" t="e">
        <f>INDEX([3]!Table_1[BO ID],MATCH(INVESTORS_LIST[[#This Row],[INVESTOR CODE]],[3]!Table_1[INVESTOR CODE],0))</f>
        <v>#REF!</v>
      </c>
      <c r="AD37" s="201" t="e">
        <f>INDEX([3]!Table_1[Brokerage Name2],MATCH(INVESTORS_LIST[[#This Row],[INVESTOR CODE]],[3]!Table_1[INVESTOR CODE],0))</f>
        <v>#REF!</v>
      </c>
      <c r="AE37" s="201" t="e">
        <f>MID(INVESTORS_LIST[[#This Row],[BO ID]],4,5)</f>
        <v>#REF!</v>
      </c>
      <c r="AF37" s="201" t="e">
        <f>MID(INVESTORS_LIST[[#This Row],[BO ID]],2,7)</f>
        <v>#REF!</v>
      </c>
      <c r="AG37" s="201" t="e">
        <f>MID(INVESTORS_LIST[[#This Row],[BO ID]],9,7)</f>
        <v>#REF!</v>
      </c>
      <c r="AH37" s="201" t="e">
        <f>RIGHT(INVESTORS_LIST[[#This Row],[BO ID]],1)</f>
        <v>#REF!</v>
      </c>
      <c r="AI37" s="50">
        <f>INVESTORS_LIST[[#This Row],[LS_TOTAL COST VALUE OF CURRENT UNITS]]+INVESTORS_LIST[[#This Row],[SIP_TOTAL COST VALUE OF CURRENT UNITS]]</f>
        <v>0</v>
      </c>
      <c r="AJ37" s="109">
        <f>IF(INVESTORS_LIST[[#This Row],[TOTAL CURRENT UNITS]]=0,0,INVESTORS_LIST[[#This Row],[LS_TOTAL CURRENT UNITS]]/INVESTORS_LIST[[#This Row],[TOTAL CURRENT UNITS]])</f>
        <v>0</v>
      </c>
      <c r="AK37" s="109">
        <f>IF(INVESTORS_LIST[[#This Row],[TOTAL CURRENT UNITS]]=0,0,INVESTORS_LIST[[#This Row],[SIP_TOTAL CURRENT UNITS]]/INVESTORS_LIST[[#This Row],[TOTAL CURRENT UNITS]])</f>
        <v>0</v>
      </c>
      <c r="AL37" s="49" cm="1">
        <f t="array" ref="AL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" s="49" cm="1">
        <f t="array" ref="AM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" s="105">
        <f t="shared" si="1"/>
        <v>14.224</v>
      </c>
      <c r="AP37" s="112">
        <f>IF(INVESTORS_LIST[[#This Row],[TOTAL CURRENT UNITS]]=0,0,INVESTORS_LIST[[#This Row],[TOTAL CURRENT UNITS]]*INVESTORS_LIST[[#This Row],[NAV]])</f>
        <v>0</v>
      </c>
      <c r="AQ37" s="49">
        <f>IF(INVESTORS_LIST[[#This Row],[LS_TOTAL CURRENT UNITS]]=0,0,INVESTORS_LIST[[#This Row],[LS_TOTAL CURRENT UNITS]]*INVESTORS_LIST[[#This Row],[NAV]])</f>
        <v>0</v>
      </c>
      <c r="AR37" s="48">
        <f>IF(INVESTORS_LIST[[#This Row],[SIP_TOTAL CURRENT UNITS]]=0,0,INVESTORS_LIST[[#This Row],[SIP_TOTAL CURRENT UNITS]]*INVESTORS_LIST[[#This Row],[NAV]])</f>
        <v>0</v>
      </c>
      <c r="AS37" s="50">
        <f>INVESTORS_LIST[[#This Row],[TOTAL CURRENT UNITS]]</f>
        <v>0</v>
      </c>
      <c r="AT37" s="48">
        <f>IF(INVESTORS_LIST[[#This Row],[TOTAL SELLABLE UNITS]]=0,0,INVESTORS_LIST[[#This Row],[TOTAL SELLABLE UNITS]]*INVESTORS_LIST[[#This Row],[NAV]])</f>
        <v>0</v>
      </c>
      <c r="AU37" s="48">
        <f>INVESTORS_LIST[[#This Row],[LS_TOTAL REALIZED GAIN]]+INVESTORS_LIST[[#This Row],[SIP_TOTAL REALIZED GAIN]]</f>
        <v>0</v>
      </c>
      <c r="AV37" s="48">
        <f>INVESTORS_LIST[[#This Row],[TOTAL MARKET VALUE]]-INVESTORS_LIST[[#This Row],[TOTAL COST VALUE OF CURRENT INVESTMENT]]</f>
        <v>0</v>
      </c>
      <c r="AW37" s="48">
        <f>IFERROR(INVESTORS_LIST[[#This Row],[TOTAL CURRENT UNITS]]/SUM(INVESTORS_LIST[TOTAL CURRENT UNITS]),0)</f>
        <v>0</v>
      </c>
    </row>
    <row r="38" spans="1:49" hidden="1">
      <c r="A38" s="262" t="s">
        <v>122</v>
      </c>
      <c r="B38" s="97" t="s">
        <v>123</v>
      </c>
      <c r="C38" t="s">
        <v>44</v>
      </c>
      <c r="D38" s="75" t="s">
        <v>45</v>
      </c>
      <c r="E38" s="47">
        <f>SUMIFS(LS[Unit],LS[Investor ID],INVESTORS_LIST[[#This Row],[INVESTOR CODE]],LS[B/S],"B")</f>
        <v>0</v>
      </c>
      <c r="F38" s="47">
        <f>-SUMIFS(LS[Unit],LS[Investor ID],INVESTORS_LIST[[#This Row],[INVESTOR CODE]],LS[B/S],"S")</f>
        <v>0</v>
      </c>
      <c r="G38" s="47">
        <f>IF(INVESTORS_LIST[[#This Row],[LS_TOTAL UNITS BUY]]=0,0,INVESTORS_LIST[[#This Row],[LS_TOTAL UNITS BUY]]-INVESTORS_LIST[[#This Row],[LS_TOTAL UNITS SOLD]])</f>
        <v>0</v>
      </c>
      <c r="H38" s="49">
        <f>IF(INVESTORS_LIST[[#This Row],[LS_TOTAL UNITS BUY]]=0,0,SUMIFS(LS[Amount],LS[Investor ID],INVESTORS_LIST[[#This Row],[INVESTOR CODE]],LS[B/S],"B"))</f>
        <v>0</v>
      </c>
      <c r="I38" s="48">
        <f>IF(INVESTORS_LIST[[#This Row],[LS_TOTAL UNITS SOLD]]=0,0,SUMIFS(LS[Cost of Units Sold],LS[Investor ID],INVESTORS_LIST[[#This Row],[INVESTOR CODE]],LS[B/S],"S"))</f>
        <v>0</v>
      </c>
      <c r="J38" s="48">
        <f>IF(INVESTORS_LIST[[#This Row],[LS_TOTAL CURRENT UNITS]]=0,0,INVESTORS_LIST[[#This Row],[LS_TOTAL CURRENT UNITS]]*INVESTORS_LIST[[#This Row],[LS_AVERAGE COST]])</f>
        <v>0</v>
      </c>
      <c r="K38" s="49">
        <f>IF(INVESTORS_LIST[[#This Row],[LS_TOTAL UNITS SOLD]]=0,0,SUMIFS(LS[Realized Gain],LS[Investor ID],INVESTORS_LIST[[#This Row],[INVESTOR CODE]],LS[B/S],"S"))</f>
        <v>0</v>
      </c>
      <c r="L38" s="47">
        <f>SUMIFS(SIP[Unit],SIP[Investor ID],INVESTORS_LIST[[#This Row],[INVESTOR CODE]],SIP[B/S],"B")</f>
        <v>0</v>
      </c>
      <c r="M38" s="47">
        <f>-SUMIFS(SIP[Unit],SIP[Investor ID],INVESTORS_LIST[[#This Row],[INVESTOR CODE]],SIP[B/S],"S")</f>
        <v>0</v>
      </c>
      <c r="N38" s="50">
        <f>IF(INVESTORS_LIST[[#This Row],[SIP_TOTAL UNITS BUY]]=0,0,INVESTORS_LIST[[#This Row],[SIP_TOTAL UNITS BUY]]-INVESTORS_LIST[[#This Row],[SIP_TOTAL UNITS SOLD]])</f>
        <v>0</v>
      </c>
      <c r="O38" s="49">
        <f>IF(INVESTORS_LIST[[#This Row],[SIP_TOTAL UNITS BUY]]=0,0,SUMIFS(SIP[Amount],SIP[Investor ID],INVESTORS_LIST[[#This Row],[INVESTOR CODE]],SIP[B/S],"B"))</f>
        <v>0</v>
      </c>
      <c r="P38" s="49">
        <f>IF(INVESTORS_LIST[[#This Row],[SIP_TOTAL UNITS SOLD]]=0,0,SUMIFS(SIP[Cost of Units Sold],SIP[Investor ID],INVESTORS_LIST[[#This Row],[INVESTOR CODE]],SIP[B/S],"S"))</f>
        <v>0</v>
      </c>
      <c r="Q38" s="48">
        <f>IF(INVESTORS_LIST[[#This Row],[SIP_TOTAL CURRENT UNITS]]=0,0,INVESTORS_LIST[[#This Row],[SIP_TOTAL CURRENT UNITS]]*INVESTORS_LIST[[#This Row],[SIP_AVERAGE COST]])</f>
        <v>0</v>
      </c>
      <c r="R38" s="48">
        <f>IF(INVESTORS_LIST[[#This Row],[SIP_TOTAL UNITS SOLD]]=0,0,SUMIFS(SIP[Realized Gain],SIP[Investor ID],INVESTORS_LIST[[#This Row],[INVESTOR CODE]],SIP[B/S],"S"))</f>
        <v>0</v>
      </c>
      <c r="S38" s="50">
        <f>INVESTORS_LIST[[#This Row],[LS_TOTAL UNITS BUY]]+INVESTORS_LIST[[#This Row],[SIP_TOTAL UNITS BUY]]</f>
        <v>0</v>
      </c>
      <c r="T38" s="50">
        <f>INVESTORS_LIST[[#This Row],[LS_TOTAL UNITS SOLD]]+INVESTORS_LIST[[#This Row],[SIP_TOTAL UNITS SOLD]]</f>
        <v>0</v>
      </c>
      <c r="U38" s="50"/>
      <c r="V38" s="50">
        <f>SUMIFS(LS[BO UNIT TRANSFER],LS[Investor ID],INVESTORS_LIST[[#This Row],[INVESTOR CODE]],LS[B/S],"B")</f>
        <v>0</v>
      </c>
      <c r="W38" s="50">
        <f>SUMIFS(SIP[BO UNIT TRANSFER],SIP[Investor ID],INVESTORS_LIST[[#This Row],[INVESTOR CODE]],SIP[B/S],"B")</f>
        <v>0</v>
      </c>
      <c r="X38" s="50">
        <f>SUMIFS(LS[BO UNIT TRANSFER],LS[Investor ID],INVESTORS_LIST[[#This Row],[INVESTOR CODE]],LS[B/S],"S")</f>
        <v>0</v>
      </c>
      <c r="Y38" s="50">
        <f>SUMIFS(SIP[BO UNIT TRANSFER],SIP[Investor ID],INVESTORS_LIST[[#This Row],[INVESTOR CODE]],SIP[B/S],"S")</f>
        <v>0</v>
      </c>
      <c r="Z38" s="106">
        <f>SUM(INVESTORS_LIST[[#This Row],[BO OPENING BALANCE]:[BO SIP UNITS REPURCHASE]])</f>
        <v>0</v>
      </c>
      <c r="AA38" s="107">
        <f>INVESTORS_LIST[[#This Row],[TOTAL UNITS BUY]]-INVESTORS_LIST[[#This Row],[TOTAL UNITS SOLD]]</f>
        <v>0</v>
      </c>
      <c r="AB38" s="107">
        <f>INVESTORS_LIST[[#This Row],[TOTAL CURRENT UNITS]]-INVESTORS_LIST[[#This Row],[BO UNITS HOLD]]</f>
        <v>0</v>
      </c>
      <c r="AC38" s="201" t="e">
        <f>INDEX([3]!Table_1[BO ID],MATCH(INVESTORS_LIST[[#This Row],[INVESTOR CODE]],[3]!Table_1[INVESTOR CODE],0))</f>
        <v>#REF!</v>
      </c>
      <c r="AD38" s="201" t="e">
        <f>INDEX([3]!Table_1[Brokerage Name2],MATCH(INVESTORS_LIST[[#This Row],[INVESTOR CODE]],[3]!Table_1[INVESTOR CODE],0))</f>
        <v>#REF!</v>
      </c>
      <c r="AE38" s="201" t="e">
        <f>MID(INVESTORS_LIST[[#This Row],[BO ID]],4,5)</f>
        <v>#REF!</v>
      </c>
      <c r="AF38" s="201" t="e">
        <f>MID(INVESTORS_LIST[[#This Row],[BO ID]],2,7)</f>
        <v>#REF!</v>
      </c>
      <c r="AG38" s="201" t="e">
        <f>MID(INVESTORS_LIST[[#This Row],[BO ID]],9,7)</f>
        <v>#REF!</v>
      </c>
      <c r="AH38" s="201" t="e">
        <f>RIGHT(INVESTORS_LIST[[#This Row],[BO ID]],1)</f>
        <v>#REF!</v>
      </c>
      <c r="AI38" s="50">
        <f>INVESTORS_LIST[[#This Row],[LS_TOTAL COST VALUE OF CURRENT UNITS]]+INVESTORS_LIST[[#This Row],[SIP_TOTAL COST VALUE OF CURRENT UNITS]]</f>
        <v>0</v>
      </c>
      <c r="AJ38" s="109">
        <f>IF(INVESTORS_LIST[[#This Row],[TOTAL CURRENT UNITS]]=0,0,INVESTORS_LIST[[#This Row],[LS_TOTAL CURRENT UNITS]]/INVESTORS_LIST[[#This Row],[TOTAL CURRENT UNITS]])</f>
        <v>0</v>
      </c>
      <c r="AK38" s="109">
        <f>IF(INVESTORS_LIST[[#This Row],[TOTAL CURRENT UNITS]]=0,0,INVESTORS_LIST[[#This Row],[SIP_TOTAL CURRENT UNITS]]/INVESTORS_LIST[[#This Row],[TOTAL CURRENT UNITS]])</f>
        <v>0</v>
      </c>
      <c r="AL38" s="49" cm="1">
        <f t="array" ref="AL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" s="49" cm="1">
        <f t="array" ref="AM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" s="105">
        <f t="shared" si="1"/>
        <v>14.224</v>
      </c>
      <c r="AP38" s="112">
        <f>IF(INVESTORS_LIST[[#This Row],[TOTAL CURRENT UNITS]]=0,0,INVESTORS_LIST[[#This Row],[TOTAL CURRENT UNITS]]*INVESTORS_LIST[[#This Row],[NAV]])</f>
        <v>0</v>
      </c>
      <c r="AQ38" s="49">
        <f>IF(INVESTORS_LIST[[#This Row],[LS_TOTAL CURRENT UNITS]]=0,0,INVESTORS_LIST[[#This Row],[LS_TOTAL CURRENT UNITS]]*INVESTORS_LIST[[#This Row],[NAV]])</f>
        <v>0</v>
      </c>
      <c r="AR38" s="48">
        <f>IF(INVESTORS_LIST[[#This Row],[SIP_TOTAL CURRENT UNITS]]=0,0,INVESTORS_LIST[[#This Row],[SIP_TOTAL CURRENT UNITS]]*INVESTORS_LIST[[#This Row],[NAV]])</f>
        <v>0</v>
      </c>
      <c r="AS38" s="50">
        <f>INVESTORS_LIST[[#This Row],[TOTAL CURRENT UNITS]]</f>
        <v>0</v>
      </c>
      <c r="AT38" s="48">
        <f>IF(INVESTORS_LIST[[#This Row],[TOTAL SELLABLE UNITS]]=0,0,INVESTORS_LIST[[#This Row],[TOTAL SELLABLE UNITS]]*INVESTORS_LIST[[#This Row],[NAV]])</f>
        <v>0</v>
      </c>
      <c r="AU38" s="48">
        <f>INVESTORS_LIST[[#This Row],[LS_TOTAL REALIZED GAIN]]+INVESTORS_LIST[[#This Row],[SIP_TOTAL REALIZED GAIN]]</f>
        <v>0</v>
      </c>
      <c r="AV38" s="48">
        <f>INVESTORS_LIST[[#This Row],[TOTAL MARKET VALUE]]-INVESTORS_LIST[[#This Row],[TOTAL COST VALUE OF CURRENT INVESTMENT]]</f>
        <v>0</v>
      </c>
      <c r="AW38" s="48">
        <f>IFERROR(INVESTORS_LIST[[#This Row],[TOTAL CURRENT UNITS]]/SUM(INVESTORS_LIST[TOTAL CURRENT UNITS]),0)</f>
        <v>0</v>
      </c>
    </row>
    <row r="39" spans="1:49">
      <c r="A39" s="262" t="s">
        <v>124</v>
      </c>
      <c r="B39" s="97" t="s">
        <v>125</v>
      </c>
      <c r="C39" t="s">
        <v>44</v>
      </c>
      <c r="D39" s="75" t="s">
        <v>45</v>
      </c>
      <c r="E39" s="47">
        <f>SUMIFS(LS[Unit],LS[Investor ID],INVESTORS_LIST[[#This Row],[INVESTOR CODE]],LS[B/S],"B")</f>
        <v>104127</v>
      </c>
      <c r="F39" s="47">
        <f>-SUMIFS(LS[Unit],LS[Investor ID],INVESTORS_LIST[[#This Row],[INVESTOR CODE]],LS[B/S],"S")</f>
        <v>104127</v>
      </c>
      <c r="G39" s="47">
        <f>IF(INVESTORS_LIST[[#This Row],[LS_TOTAL UNITS BUY]]=0,0,INVESTORS_LIST[[#This Row],[LS_TOTAL UNITS BUY]]-INVESTORS_LIST[[#This Row],[LS_TOTAL UNITS SOLD]])</f>
        <v>0</v>
      </c>
      <c r="H39" s="49">
        <f>IF(INVESTORS_LIST[[#This Row],[LS_TOTAL UNITS BUY]]=0,0,SUMIFS(LS[Amount],LS[Investor ID],INVESTORS_LIST[[#This Row],[INVESTOR CODE]],LS[B/S],"B"))</f>
        <v>1220000</v>
      </c>
      <c r="I39" s="48">
        <f>IF(INVESTORS_LIST[[#This Row],[LS_TOTAL UNITS SOLD]]=0,0,SUMIFS(LS[Cost of Units Sold],LS[Investor ID],INVESTORS_LIST[[#This Row],[INVESTOR CODE]],LS[B/S],"S"))</f>
        <v>1220000</v>
      </c>
      <c r="J39" s="48">
        <f>IF(INVESTORS_LIST[[#This Row],[LS_TOTAL CURRENT UNITS]]=0,0,INVESTORS_LIST[[#This Row],[LS_TOTAL CURRENT UNITS]]*INVESTORS_LIST[[#This Row],[LS_AVERAGE COST]])</f>
        <v>0</v>
      </c>
      <c r="K39" s="49">
        <f>IF(INVESTORS_LIST[[#This Row],[LS_TOTAL UNITS SOLD]]=0,0,SUMIFS(LS[Realized Gain],LS[Investor ID],INVESTORS_LIST[[#This Row],[INVESTOR CODE]],LS[B/S],"S"))</f>
        <v>69748.57600000019</v>
      </c>
      <c r="L39" s="47">
        <f>SUMIFS(SIP[Unit],SIP[Investor ID],INVESTORS_LIST[[#This Row],[INVESTOR CODE]],SIP[B/S],"B")</f>
        <v>33766</v>
      </c>
      <c r="M39" s="47">
        <f>-SUMIFS(SIP[Unit],SIP[Investor ID],INVESTORS_LIST[[#This Row],[INVESTOR CODE]],SIP[B/S],"S")</f>
        <v>30158</v>
      </c>
      <c r="N39" s="50">
        <f>IF(INVESTORS_LIST[[#This Row],[SIP_TOTAL UNITS BUY]]=0,0,INVESTORS_LIST[[#This Row],[SIP_TOTAL UNITS BUY]]-INVESTORS_LIST[[#This Row],[SIP_TOTAL UNITS SOLD]])</f>
        <v>3608</v>
      </c>
      <c r="O39" s="49">
        <f>IF(INVESTORS_LIST[[#This Row],[SIP_TOTAL UNITS BUY]]=0,0,SUMIFS(SIP[Amount],SIP[Investor ID],INVESTORS_LIST[[#This Row],[INVESTOR CODE]],SIP[B/S],"B"))</f>
        <v>415000</v>
      </c>
      <c r="P39" s="49">
        <f>IF(INVESTORS_LIST[[#This Row],[SIP_TOTAL UNITS SOLD]]=0,0,SUMIFS(SIP[Cost of Units Sold],SIP[Investor ID],INVESTORS_LIST[[#This Row],[INVESTOR CODE]],SIP[B/S],"S"))</f>
        <v>365000</v>
      </c>
      <c r="Q39" s="48">
        <f>IF(INVESTORS_LIST[[#This Row],[SIP_TOTAL CURRENT UNITS]]=0,0,INVESTORS_LIST[[#This Row],[SIP_TOTAL CURRENT UNITS]]*INVESTORS_LIST[[#This Row],[SIP_AVERAGE COST]])</f>
        <v>49999.999999999993</v>
      </c>
      <c r="R39" s="48">
        <f>IF(INVESTORS_LIST[[#This Row],[SIP_TOTAL UNITS SOLD]]=0,0,SUMIFS(SIP[Realized Gain],SIP[Investor ID],INVESTORS_LIST[[#This Row],[INVESTOR CODE]],SIP[B/S],"S"))</f>
        <v>33462.503000000019</v>
      </c>
      <c r="S39" s="50">
        <f>INVESTORS_LIST[[#This Row],[LS_TOTAL UNITS BUY]]+INVESTORS_LIST[[#This Row],[SIP_TOTAL UNITS BUY]]</f>
        <v>137893</v>
      </c>
      <c r="T39" s="50">
        <f>INVESTORS_LIST[[#This Row],[LS_TOTAL UNITS SOLD]]+INVESTORS_LIST[[#This Row],[SIP_TOTAL UNITS SOLD]]</f>
        <v>134285</v>
      </c>
      <c r="U39" s="50">
        <v>17650</v>
      </c>
      <c r="V39" s="50">
        <f>SUMIFS(LS[BO UNIT TRANSFER],LS[Investor ID],INVESTORS_LIST[[#This Row],[INVESTOR CODE]],LS[B/S],"B")</f>
        <v>0</v>
      </c>
      <c r="W39" s="50">
        <f>SUMIFS(SIP[BO UNIT TRANSFER],SIP[Investor ID],INVESTORS_LIST[[#This Row],[INVESTOR CODE]],SIP[B/S],"B")</f>
        <v>0</v>
      </c>
      <c r="X39" s="50">
        <f>SUMIFS(LS[BO UNIT TRANSFER],LS[Investor ID],INVESTORS_LIST[[#This Row],[INVESTOR CODE]],LS[B/S],"S")</f>
        <v>0</v>
      </c>
      <c r="Y39" s="50">
        <f>SUMIFS(SIP[BO UNIT TRANSFER],SIP[Investor ID],INVESTORS_LIST[[#This Row],[INVESTOR CODE]],SIP[B/S],"S")</f>
        <v>0</v>
      </c>
      <c r="Z39" s="106">
        <f>SUM(INVESTORS_LIST[[#This Row],[BO OPENING BALANCE]:[BO SIP UNITS REPURCHASE]])</f>
        <v>17650</v>
      </c>
      <c r="AA39" s="107">
        <f>INVESTORS_LIST[[#This Row],[TOTAL UNITS BUY]]-INVESTORS_LIST[[#This Row],[TOTAL UNITS SOLD]]</f>
        <v>3608</v>
      </c>
      <c r="AB39" s="107">
        <f>INVESTORS_LIST[[#This Row],[TOTAL CURRENT UNITS]]-INVESTORS_LIST[[#This Row],[BO UNITS HOLD]]</f>
        <v>-14042</v>
      </c>
      <c r="AC39" s="201" t="e">
        <f>INDEX([3]!Table_1[BO ID],MATCH(INVESTORS_LIST[[#This Row],[INVESTOR CODE]],[3]!Table_1[INVESTOR CODE],0))</f>
        <v>#REF!</v>
      </c>
      <c r="AD39" s="201" t="e">
        <f>INDEX([3]!Table_1[Brokerage Name2],MATCH(INVESTORS_LIST[[#This Row],[INVESTOR CODE]],[3]!Table_1[INVESTOR CODE],0))</f>
        <v>#REF!</v>
      </c>
      <c r="AE39" s="201" t="e">
        <f>MID(INVESTORS_LIST[[#This Row],[BO ID]],4,5)</f>
        <v>#REF!</v>
      </c>
      <c r="AF39" s="201" t="e">
        <f>MID(INVESTORS_LIST[[#This Row],[BO ID]],2,7)</f>
        <v>#REF!</v>
      </c>
      <c r="AG39" s="201" t="e">
        <f>MID(INVESTORS_LIST[[#This Row],[BO ID]],9,7)</f>
        <v>#REF!</v>
      </c>
      <c r="AH39" s="201" t="e">
        <f>RIGHT(INVESTORS_LIST[[#This Row],[BO ID]],1)</f>
        <v>#REF!</v>
      </c>
      <c r="AI39" s="50">
        <f>INVESTORS_LIST[[#This Row],[LS_TOTAL COST VALUE OF CURRENT UNITS]]+INVESTORS_LIST[[#This Row],[SIP_TOTAL COST VALUE OF CURRENT UNITS]]</f>
        <v>49999.999999999993</v>
      </c>
      <c r="AJ39" s="109">
        <f>IF(INVESTORS_LIST[[#This Row],[TOTAL CURRENT UNITS]]=0,0,INVESTORS_LIST[[#This Row],[LS_TOTAL CURRENT UNITS]]/INVESTORS_LIST[[#This Row],[TOTAL CURRENT UNITS]])</f>
        <v>0</v>
      </c>
      <c r="AK39" s="109">
        <f>IF(INVESTORS_LIST[[#This Row],[TOTAL CURRENT UNITS]]=0,0,INVESTORS_LIST[[#This Row],[SIP_TOTAL CURRENT UNITS]]/INVESTORS_LIST[[#This Row],[TOTAL CURRENT UNITS]])</f>
        <v>1</v>
      </c>
      <c r="AL39" s="49" cm="1">
        <f t="array" ref="AL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" s="49" cm="1">
        <f t="array" ref="AM39">IF(INVESTORS_LIST[[#This Row],[SIP_TOTAL UNITS BUY]]&gt;0,INDEX(SIP[NAV at Cost (Average)],MATCH(CONCATENATE(COUNTIFS(SIP[Investor ID],INVESTORS_LIST[[#This Row],[INVESTOR CODE]]),INVESTORS_LIST[[#This Row],[INVESTOR CODE]]),SIP[Unique Code],0),),0)</f>
        <v>13.858093126385807</v>
      </c>
      <c r="AN39" s="105">
        <f>IF(INVESTORS_LIST[[#This Row],[TOTAL CURRENT UNITS]]=0,0,(INVESTORS_LIST[[#This Row],[LS_WEIGHT]]*INVESTORS_LIST[[#This Row],[LS_AVERAGE COST]])+(INVESTORS_LIST[[#This Row],[SIP_WEIGHT]]*INVESTORS_LIST[[#This Row],[SIP_AVERAGE COST]]))</f>
        <v>13.858093126385807</v>
      </c>
      <c r="AO39" s="105">
        <f t="shared" si="1"/>
        <v>14.224</v>
      </c>
      <c r="AP39" s="112">
        <f>IF(INVESTORS_LIST[[#This Row],[TOTAL CURRENT UNITS]]=0,0,INVESTORS_LIST[[#This Row],[TOTAL CURRENT UNITS]]*INVESTORS_LIST[[#This Row],[NAV]])</f>
        <v>51320.192000000003</v>
      </c>
      <c r="AQ39" s="49">
        <f>IF(INVESTORS_LIST[[#This Row],[LS_TOTAL CURRENT UNITS]]=0,0,INVESTORS_LIST[[#This Row],[LS_TOTAL CURRENT UNITS]]*INVESTORS_LIST[[#This Row],[NAV]])</f>
        <v>0</v>
      </c>
      <c r="AR39" s="48">
        <f>IF(INVESTORS_LIST[[#This Row],[SIP_TOTAL CURRENT UNITS]]=0,0,INVESTORS_LIST[[#This Row],[SIP_TOTAL CURRENT UNITS]]*INVESTORS_LIST[[#This Row],[NAV]])</f>
        <v>51320.192000000003</v>
      </c>
      <c r="AS39" s="50">
        <f>INVESTORS_LIST[[#This Row],[TOTAL CURRENT UNITS]]</f>
        <v>3608</v>
      </c>
      <c r="AT39" s="48">
        <f>IF(INVESTORS_LIST[[#This Row],[TOTAL SELLABLE UNITS]]=0,0,INVESTORS_LIST[[#This Row],[TOTAL SELLABLE UNITS]]*INVESTORS_LIST[[#This Row],[NAV]])</f>
        <v>51320.192000000003</v>
      </c>
      <c r="AU39" s="48">
        <f>INVESTORS_LIST[[#This Row],[LS_TOTAL REALIZED GAIN]]+INVESTORS_LIST[[#This Row],[SIP_TOTAL REALIZED GAIN]]</f>
        <v>103211.0790000002</v>
      </c>
      <c r="AV39" s="48">
        <f>INVESTORS_LIST[[#This Row],[TOTAL MARKET VALUE]]-INVESTORS_LIST[[#This Row],[TOTAL COST VALUE OF CURRENT INVESTMENT]]</f>
        <v>1320.19200000001</v>
      </c>
      <c r="AW39" s="108">
        <f>IFERROR(INVESTORS_LIST[[#This Row],[TOTAL CURRENT UNITS]]/SUM(INVESTORS_LIST[TOTAL CURRENT UNITS]),0)</f>
        <v>8.7588558089141987E-5</v>
      </c>
    </row>
    <row r="40" spans="1:49" hidden="1">
      <c r="A40" s="262" t="s">
        <v>126</v>
      </c>
      <c r="B40" s="97" t="s">
        <v>127</v>
      </c>
      <c r="C40" t="s">
        <v>44</v>
      </c>
      <c r="D40" s="75" t="s">
        <v>45</v>
      </c>
      <c r="E40" s="47">
        <f>SUMIFS(LS[Unit],LS[Investor ID],INVESTORS_LIST[[#This Row],[INVESTOR CODE]],LS[B/S],"B")</f>
        <v>0</v>
      </c>
      <c r="F40" s="47">
        <f>-SUMIFS(LS[Unit],LS[Investor ID],INVESTORS_LIST[[#This Row],[INVESTOR CODE]],LS[B/S],"S")</f>
        <v>0</v>
      </c>
      <c r="G40" s="47">
        <f>IF(INVESTORS_LIST[[#This Row],[LS_TOTAL UNITS BUY]]=0,0,INVESTORS_LIST[[#This Row],[LS_TOTAL UNITS BUY]]-INVESTORS_LIST[[#This Row],[LS_TOTAL UNITS SOLD]])</f>
        <v>0</v>
      </c>
      <c r="H40" s="49">
        <f>IF(INVESTORS_LIST[[#This Row],[LS_TOTAL UNITS BUY]]=0,0,SUMIFS(LS[Amount],LS[Investor ID],INVESTORS_LIST[[#This Row],[INVESTOR CODE]],LS[B/S],"B"))</f>
        <v>0</v>
      </c>
      <c r="I40" s="48">
        <f>IF(INVESTORS_LIST[[#This Row],[LS_TOTAL UNITS SOLD]]=0,0,SUMIFS(LS[Cost of Units Sold],LS[Investor ID],INVESTORS_LIST[[#This Row],[INVESTOR CODE]],LS[B/S],"S"))</f>
        <v>0</v>
      </c>
      <c r="J40" s="48">
        <f>IF(INVESTORS_LIST[[#This Row],[LS_TOTAL CURRENT UNITS]]=0,0,INVESTORS_LIST[[#This Row],[LS_TOTAL CURRENT UNITS]]*INVESTORS_LIST[[#This Row],[LS_AVERAGE COST]])</f>
        <v>0</v>
      </c>
      <c r="K40" s="49">
        <f>IF(INVESTORS_LIST[[#This Row],[LS_TOTAL UNITS SOLD]]=0,0,SUMIFS(LS[Realized Gain],LS[Investor ID],INVESTORS_LIST[[#This Row],[INVESTOR CODE]],LS[B/S],"S"))</f>
        <v>0</v>
      </c>
      <c r="L40" s="47">
        <f>SUMIFS(SIP[Unit],SIP[Investor ID],INVESTORS_LIST[[#This Row],[INVESTOR CODE]],SIP[B/S],"B")</f>
        <v>2196</v>
      </c>
      <c r="M40" s="47">
        <f>-SUMIFS(SIP[Unit],SIP[Investor ID],INVESTORS_LIST[[#This Row],[INVESTOR CODE]],SIP[B/S],"S")</f>
        <v>2196</v>
      </c>
      <c r="N40" s="50">
        <f>IF(INVESTORS_LIST[[#This Row],[SIP_TOTAL UNITS BUY]]=0,0,INVESTORS_LIST[[#This Row],[SIP_TOTAL UNITS BUY]]-INVESTORS_LIST[[#This Row],[SIP_TOTAL UNITS SOLD]])</f>
        <v>0</v>
      </c>
      <c r="O40" s="49">
        <f>IF(INVESTORS_LIST[[#This Row],[SIP_TOTAL UNITS BUY]]=0,0,SUMIFS(SIP[Amount],SIP[Investor ID],INVESTORS_LIST[[#This Row],[INVESTOR CODE]],SIP[B/S],"B"))</f>
        <v>30000</v>
      </c>
      <c r="P40" s="49">
        <f>IF(INVESTORS_LIST[[#This Row],[SIP_TOTAL UNITS SOLD]]=0,0,SUMIFS(SIP[Cost of Units Sold],SIP[Investor ID],INVESTORS_LIST[[#This Row],[INVESTOR CODE]],SIP[B/S],"S"))</f>
        <v>29999.999999999996</v>
      </c>
      <c r="Q40" s="48">
        <f>IF(INVESTORS_LIST[[#This Row],[SIP_TOTAL CURRENT UNITS]]=0,0,INVESTORS_LIST[[#This Row],[SIP_TOTAL CURRENT UNITS]]*INVESTORS_LIST[[#This Row],[SIP_AVERAGE COST]])</f>
        <v>0</v>
      </c>
      <c r="R40" s="48">
        <f>IF(INVESTORS_LIST[[#This Row],[SIP_TOTAL UNITS SOLD]]=0,0,SUMIFS(SIP[Realized Gain],SIP[Investor ID],INVESTORS_LIST[[#This Row],[INVESTOR CODE]],SIP[B/S],"S"))</f>
        <v>812.08000000000413</v>
      </c>
      <c r="S40" s="50">
        <f>INVESTORS_LIST[[#This Row],[LS_TOTAL UNITS BUY]]+INVESTORS_LIST[[#This Row],[SIP_TOTAL UNITS BUY]]</f>
        <v>2196</v>
      </c>
      <c r="T40" s="50">
        <f>INVESTORS_LIST[[#This Row],[LS_TOTAL UNITS SOLD]]+INVESTORS_LIST[[#This Row],[SIP_TOTAL UNITS SOLD]]</f>
        <v>2196</v>
      </c>
      <c r="U40" s="50"/>
      <c r="V40" s="50">
        <f>SUMIFS(LS[BO UNIT TRANSFER],LS[Investor ID],INVESTORS_LIST[[#This Row],[INVESTOR CODE]],LS[B/S],"B")</f>
        <v>0</v>
      </c>
      <c r="W40" s="50">
        <f>SUMIFS(SIP[BO UNIT TRANSFER],SIP[Investor ID],INVESTORS_LIST[[#This Row],[INVESTOR CODE]],SIP[B/S],"B")</f>
        <v>0</v>
      </c>
      <c r="X40" s="50">
        <f>SUMIFS(LS[BO UNIT TRANSFER],LS[Investor ID],INVESTORS_LIST[[#This Row],[INVESTOR CODE]],LS[B/S],"S")</f>
        <v>0</v>
      </c>
      <c r="Y40" s="50">
        <f>SUMIFS(SIP[BO UNIT TRANSFER],SIP[Investor ID],INVESTORS_LIST[[#This Row],[INVESTOR CODE]],SIP[B/S],"S")</f>
        <v>0</v>
      </c>
      <c r="Z40" s="106">
        <f>SUM(INVESTORS_LIST[[#This Row],[BO OPENING BALANCE]:[BO SIP UNITS REPURCHASE]])</f>
        <v>0</v>
      </c>
      <c r="AA40" s="107">
        <f>INVESTORS_LIST[[#This Row],[TOTAL UNITS BUY]]-INVESTORS_LIST[[#This Row],[TOTAL UNITS SOLD]]</f>
        <v>0</v>
      </c>
      <c r="AB40" s="107">
        <f>INVESTORS_LIST[[#This Row],[TOTAL CURRENT UNITS]]-INVESTORS_LIST[[#This Row],[BO UNITS HOLD]]</f>
        <v>0</v>
      </c>
      <c r="AC40" s="201" t="e">
        <f>INDEX([3]!Table_1[BO ID],MATCH(INVESTORS_LIST[[#This Row],[INVESTOR CODE]],[3]!Table_1[INVESTOR CODE],0))</f>
        <v>#REF!</v>
      </c>
      <c r="AD40" s="201" t="e">
        <f>INDEX([3]!Table_1[Brokerage Name2],MATCH(INVESTORS_LIST[[#This Row],[INVESTOR CODE]],[3]!Table_1[INVESTOR CODE],0))</f>
        <v>#REF!</v>
      </c>
      <c r="AE40" s="201" t="e">
        <f>MID(INVESTORS_LIST[[#This Row],[BO ID]],4,5)</f>
        <v>#REF!</v>
      </c>
      <c r="AF40" s="201" t="e">
        <f>MID(INVESTORS_LIST[[#This Row],[BO ID]],2,7)</f>
        <v>#REF!</v>
      </c>
      <c r="AG40" s="201" t="e">
        <f>MID(INVESTORS_LIST[[#This Row],[BO ID]],9,7)</f>
        <v>#REF!</v>
      </c>
      <c r="AH40" s="201" t="e">
        <f>RIGHT(INVESTORS_LIST[[#This Row],[BO ID]],1)</f>
        <v>#REF!</v>
      </c>
      <c r="AI40" s="50">
        <f>INVESTORS_LIST[[#This Row],[LS_TOTAL COST VALUE OF CURRENT UNITS]]+INVESTORS_LIST[[#This Row],[SIP_TOTAL COST VALUE OF CURRENT UNITS]]</f>
        <v>0</v>
      </c>
      <c r="AJ40" s="109">
        <f>IF(INVESTORS_LIST[[#This Row],[TOTAL CURRENT UNITS]]=0,0,INVESTORS_LIST[[#This Row],[LS_TOTAL CURRENT UNITS]]/INVESTORS_LIST[[#This Row],[TOTAL CURRENT UNITS]])</f>
        <v>0</v>
      </c>
      <c r="AK40" s="109">
        <f>IF(INVESTORS_LIST[[#This Row],[TOTAL CURRENT UNITS]]=0,0,INVESTORS_LIST[[#This Row],[SIP_TOTAL CURRENT UNITS]]/INVESTORS_LIST[[#This Row],[TOTAL CURRENT UNITS]])</f>
        <v>0</v>
      </c>
      <c r="AL40" s="49" cm="1">
        <f t="array" ref="AL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" s="49" cm="1">
        <f t="array" ref="AM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" s="105">
        <f t="shared" si="1"/>
        <v>14.224</v>
      </c>
      <c r="AP40" s="112">
        <f>IF(INVESTORS_LIST[[#This Row],[TOTAL CURRENT UNITS]]=0,0,INVESTORS_LIST[[#This Row],[TOTAL CURRENT UNITS]]*INVESTORS_LIST[[#This Row],[NAV]])</f>
        <v>0</v>
      </c>
      <c r="AQ40" s="49">
        <f>IF(INVESTORS_LIST[[#This Row],[LS_TOTAL CURRENT UNITS]]=0,0,INVESTORS_LIST[[#This Row],[LS_TOTAL CURRENT UNITS]]*INVESTORS_LIST[[#This Row],[NAV]])</f>
        <v>0</v>
      </c>
      <c r="AR40" s="48">
        <f>IF(INVESTORS_LIST[[#This Row],[SIP_TOTAL CURRENT UNITS]]=0,0,INVESTORS_LIST[[#This Row],[SIP_TOTAL CURRENT UNITS]]*INVESTORS_LIST[[#This Row],[NAV]])</f>
        <v>0</v>
      </c>
      <c r="AS40" s="50">
        <f>INVESTORS_LIST[[#This Row],[TOTAL CURRENT UNITS]]</f>
        <v>0</v>
      </c>
      <c r="AT40" s="48">
        <f>IF(INVESTORS_LIST[[#This Row],[TOTAL SELLABLE UNITS]]=0,0,INVESTORS_LIST[[#This Row],[TOTAL SELLABLE UNITS]]*INVESTORS_LIST[[#This Row],[NAV]])</f>
        <v>0</v>
      </c>
      <c r="AU40" s="48">
        <f>INVESTORS_LIST[[#This Row],[LS_TOTAL REALIZED GAIN]]+INVESTORS_LIST[[#This Row],[SIP_TOTAL REALIZED GAIN]]</f>
        <v>812.08000000000413</v>
      </c>
      <c r="AV40" s="48">
        <f>INVESTORS_LIST[[#This Row],[TOTAL MARKET VALUE]]-INVESTORS_LIST[[#This Row],[TOTAL COST VALUE OF CURRENT INVESTMENT]]</f>
        <v>0</v>
      </c>
      <c r="AW40" s="48">
        <f>IFERROR(INVESTORS_LIST[[#This Row],[TOTAL CURRENT UNITS]]/SUM(INVESTORS_LIST[TOTAL CURRENT UNITS]),0)</f>
        <v>0</v>
      </c>
    </row>
    <row r="41" spans="1:49" hidden="1">
      <c r="A41" s="262" t="s">
        <v>128</v>
      </c>
      <c r="B41" s="97" t="s">
        <v>129</v>
      </c>
      <c r="C41" t="s">
        <v>44</v>
      </c>
      <c r="D41" s="75" t="s">
        <v>45</v>
      </c>
      <c r="E41" s="47">
        <f>SUMIFS(LS[Unit],LS[Investor ID],INVESTORS_LIST[[#This Row],[INVESTOR CODE]],LS[B/S],"B")</f>
        <v>0</v>
      </c>
      <c r="F41" s="47">
        <f>-SUMIFS(LS[Unit],LS[Investor ID],INVESTORS_LIST[[#This Row],[INVESTOR CODE]],LS[B/S],"S")</f>
        <v>0</v>
      </c>
      <c r="G41" s="47">
        <f>IF(INVESTORS_LIST[[#This Row],[LS_TOTAL UNITS BUY]]=0,0,INVESTORS_LIST[[#This Row],[LS_TOTAL UNITS BUY]]-INVESTORS_LIST[[#This Row],[LS_TOTAL UNITS SOLD]])</f>
        <v>0</v>
      </c>
      <c r="H41" s="49">
        <f>IF(INVESTORS_LIST[[#This Row],[LS_TOTAL UNITS BUY]]=0,0,SUMIFS(LS[Amount],LS[Investor ID],INVESTORS_LIST[[#This Row],[INVESTOR CODE]],LS[B/S],"B"))</f>
        <v>0</v>
      </c>
      <c r="I41" s="48">
        <f>IF(INVESTORS_LIST[[#This Row],[LS_TOTAL UNITS SOLD]]=0,0,SUMIFS(LS[Cost of Units Sold],LS[Investor ID],INVESTORS_LIST[[#This Row],[INVESTOR CODE]],LS[B/S],"S"))</f>
        <v>0</v>
      </c>
      <c r="J41" s="48">
        <f>IF(INVESTORS_LIST[[#This Row],[LS_TOTAL CURRENT UNITS]]=0,0,INVESTORS_LIST[[#This Row],[LS_TOTAL CURRENT UNITS]]*INVESTORS_LIST[[#This Row],[LS_AVERAGE COST]])</f>
        <v>0</v>
      </c>
      <c r="K41" s="49">
        <f>IF(INVESTORS_LIST[[#This Row],[LS_TOTAL UNITS SOLD]]=0,0,SUMIFS(LS[Realized Gain],LS[Investor ID],INVESTORS_LIST[[#This Row],[INVESTOR CODE]],LS[B/S],"S"))</f>
        <v>0</v>
      </c>
      <c r="L41" s="47">
        <f>SUMIFS(SIP[Unit],SIP[Investor ID],INVESTORS_LIST[[#This Row],[INVESTOR CODE]],SIP[B/S],"B")</f>
        <v>0</v>
      </c>
      <c r="M41" s="47">
        <f>-SUMIFS(SIP[Unit],SIP[Investor ID],INVESTORS_LIST[[#This Row],[INVESTOR CODE]],SIP[B/S],"S")</f>
        <v>0</v>
      </c>
      <c r="N41" s="50">
        <f>IF(INVESTORS_LIST[[#This Row],[SIP_TOTAL UNITS BUY]]=0,0,INVESTORS_LIST[[#This Row],[SIP_TOTAL UNITS BUY]]-INVESTORS_LIST[[#This Row],[SIP_TOTAL UNITS SOLD]])</f>
        <v>0</v>
      </c>
      <c r="O41" s="49">
        <f>IF(INVESTORS_LIST[[#This Row],[SIP_TOTAL UNITS BUY]]=0,0,SUMIFS(SIP[Amount],SIP[Investor ID],INVESTORS_LIST[[#This Row],[INVESTOR CODE]],SIP[B/S],"B"))</f>
        <v>0</v>
      </c>
      <c r="P41" s="49">
        <f>IF(INVESTORS_LIST[[#This Row],[SIP_TOTAL UNITS SOLD]]=0,0,SUMIFS(SIP[Cost of Units Sold],SIP[Investor ID],INVESTORS_LIST[[#This Row],[INVESTOR CODE]],SIP[B/S],"S"))</f>
        <v>0</v>
      </c>
      <c r="Q41" s="48">
        <f>IF(INVESTORS_LIST[[#This Row],[SIP_TOTAL CURRENT UNITS]]=0,0,INVESTORS_LIST[[#This Row],[SIP_TOTAL CURRENT UNITS]]*INVESTORS_LIST[[#This Row],[SIP_AVERAGE COST]])</f>
        <v>0</v>
      </c>
      <c r="R41" s="48">
        <f>IF(INVESTORS_LIST[[#This Row],[SIP_TOTAL UNITS SOLD]]=0,0,SUMIFS(SIP[Realized Gain],SIP[Investor ID],INVESTORS_LIST[[#This Row],[INVESTOR CODE]],SIP[B/S],"S"))</f>
        <v>0</v>
      </c>
      <c r="S41" s="50">
        <f>INVESTORS_LIST[[#This Row],[LS_TOTAL UNITS BUY]]+INVESTORS_LIST[[#This Row],[SIP_TOTAL UNITS BUY]]</f>
        <v>0</v>
      </c>
      <c r="T41" s="50">
        <f>INVESTORS_LIST[[#This Row],[LS_TOTAL UNITS SOLD]]+INVESTORS_LIST[[#This Row],[SIP_TOTAL UNITS SOLD]]</f>
        <v>0</v>
      </c>
      <c r="U41" s="50"/>
      <c r="V41" s="50">
        <f>SUMIFS(LS[BO UNIT TRANSFER],LS[Investor ID],INVESTORS_LIST[[#This Row],[INVESTOR CODE]],LS[B/S],"B")</f>
        <v>0</v>
      </c>
      <c r="W41" s="50">
        <f>SUMIFS(SIP[BO UNIT TRANSFER],SIP[Investor ID],INVESTORS_LIST[[#This Row],[INVESTOR CODE]],SIP[B/S],"B")</f>
        <v>0</v>
      </c>
      <c r="X41" s="50">
        <f>SUMIFS(LS[BO UNIT TRANSFER],LS[Investor ID],INVESTORS_LIST[[#This Row],[INVESTOR CODE]],LS[B/S],"S")</f>
        <v>0</v>
      </c>
      <c r="Y41" s="50">
        <f>SUMIFS(SIP[BO UNIT TRANSFER],SIP[Investor ID],INVESTORS_LIST[[#This Row],[INVESTOR CODE]],SIP[B/S],"S")</f>
        <v>0</v>
      </c>
      <c r="Z41" s="106">
        <f>SUM(INVESTORS_LIST[[#This Row],[BO OPENING BALANCE]:[BO SIP UNITS REPURCHASE]])</f>
        <v>0</v>
      </c>
      <c r="AA41" s="107">
        <f>INVESTORS_LIST[[#This Row],[TOTAL UNITS BUY]]-INVESTORS_LIST[[#This Row],[TOTAL UNITS SOLD]]</f>
        <v>0</v>
      </c>
      <c r="AB41" s="107">
        <f>INVESTORS_LIST[[#This Row],[TOTAL CURRENT UNITS]]-INVESTORS_LIST[[#This Row],[BO UNITS HOLD]]</f>
        <v>0</v>
      </c>
      <c r="AC41" s="201" t="e">
        <f>INDEX([3]!Table_1[BO ID],MATCH(INVESTORS_LIST[[#This Row],[INVESTOR CODE]],[3]!Table_1[INVESTOR CODE],0))</f>
        <v>#REF!</v>
      </c>
      <c r="AD41" s="201" t="e">
        <f>INDEX([3]!Table_1[Brokerage Name2],MATCH(INVESTORS_LIST[[#This Row],[INVESTOR CODE]],[3]!Table_1[INVESTOR CODE],0))</f>
        <v>#REF!</v>
      </c>
      <c r="AE41" s="201" t="e">
        <f>MID(INVESTORS_LIST[[#This Row],[BO ID]],4,5)</f>
        <v>#REF!</v>
      </c>
      <c r="AF41" s="201" t="e">
        <f>MID(INVESTORS_LIST[[#This Row],[BO ID]],2,7)</f>
        <v>#REF!</v>
      </c>
      <c r="AG41" s="201" t="e">
        <f>MID(INVESTORS_LIST[[#This Row],[BO ID]],9,7)</f>
        <v>#REF!</v>
      </c>
      <c r="AH41" s="201" t="e">
        <f>RIGHT(INVESTORS_LIST[[#This Row],[BO ID]],1)</f>
        <v>#REF!</v>
      </c>
      <c r="AI41" s="50">
        <f>INVESTORS_LIST[[#This Row],[LS_TOTAL COST VALUE OF CURRENT UNITS]]+INVESTORS_LIST[[#This Row],[SIP_TOTAL COST VALUE OF CURRENT UNITS]]</f>
        <v>0</v>
      </c>
      <c r="AJ41" s="109">
        <f>IF(INVESTORS_LIST[[#This Row],[TOTAL CURRENT UNITS]]=0,0,INVESTORS_LIST[[#This Row],[LS_TOTAL CURRENT UNITS]]/INVESTORS_LIST[[#This Row],[TOTAL CURRENT UNITS]])</f>
        <v>0</v>
      </c>
      <c r="AK41" s="109">
        <f>IF(INVESTORS_LIST[[#This Row],[TOTAL CURRENT UNITS]]=0,0,INVESTORS_LIST[[#This Row],[SIP_TOTAL CURRENT UNITS]]/INVESTORS_LIST[[#This Row],[TOTAL CURRENT UNITS]])</f>
        <v>0</v>
      </c>
      <c r="AL41" s="49" cm="1">
        <f t="array" ref="AL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" s="49" cm="1">
        <f t="array" ref="AM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" s="105">
        <f t="shared" si="1"/>
        <v>14.224</v>
      </c>
      <c r="AP41" s="112">
        <f>IF(INVESTORS_LIST[[#This Row],[TOTAL CURRENT UNITS]]=0,0,INVESTORS_LIST[[#This Row],[TOTAL CURRENT UNITS]]*INVESTORS_LIST[[#This Row],[NAV]])</f>
        <v>0</v>
      </c>
      <c r="AQ41" s="49">
        <f>IF(INVESTORS_LIST[[#This Row],[LS_TOTAL CURRENT UNITS]]=0,0,INVESTORS_LIST[[#This Row],[LS_TOTAL CURRENT UNITS]]*INVESTORS_LIST[[#This Row],[NAV]])</f>
        <v>0</v>
      </c>
      <c r="AR41" s="48">
        <f>IF(INVESTORS_LIST[[#This Row],[SIP_TOTAL CURRENT UNITS]]=0,0,INVESTORS_LIST[[#This Row],[SIP_TOTAL CURRENT UNITS]]*INVESTORS_LIST[[#This Row],[NAV]])</f>
        <v>0</v>
      </c>
      <c r="AS41" s="50">
        <f>INVESTORS_LIST[[#This Row],[TOTAL CURRENT UNITS]]</f>
        <v>0</v>
      </c>
      <c r="AT41" s="48">
        <f>IF(INVESTORS_LIST[[#This Row],[TOTAL SELLABLE UNITS]]=0,0,INVESTORS_LIST[[#This Row],[TOTAL SELLABLE UNITS]]*INVESTORS_LIST[[#This Row],[NAV]])</f>
        <v>0</v>
      </c>
      <c r="AU41" s="48">
        <f>INVESTORS_LIST[[#This Row],[LS_TOTAL REALIZED GAIN]]+INVESTORS_LIST[[#This Row],[SIP_TOTAL REALIZED GAIN]]</f>
        <v>0</v>
      </c>
      <c r="AV41" s="48">
        <f>INVESTORS_LIST[[#This Row],[TOTAL MARKET VALUE]]-INVESTORS_LIST[[#This Row],[TOTAL COST VALUE OF CURRENT INVESTMENT]]</f>
        <v>0</v>
      </c>
      <c r="AW41" s="48">
        <f>IFERROR(INVESTORS_LIST[[#This Row],[TOTAL CURRENT UNITS]]/SUM(INVESTORS_LIST[TOTAL CURRENT UNITS]),0)</f>
        <v>0</v>
      </c>
    </row>
    <row r="42" spans="1:49" hidden="1">
      <c r="A42" s="262" t="s">
        <v>130</v>
      </c>
      <c r="B42" s="97" t="s">
        <v>131</v>
      </c>
      <c r="C42" t="s">
        <v>48</v>
      </c>
      <c r="D42" s="75" t="s">
        <v>132</v>
      </c>
      <c r="E42" s="47">
        <f>SUMIFS(LS[Unit],LS[Investor ID],INVESTORS_LIST[[#This Row],[INVESTOR CODE]],LS[B/S],"B")</f>
        <v>0</v>
      </c>
      <c r="F42" s="47">
        <f>-SUMIFS(LS[Unit],LS[Investor ID],INVESTORS_LIST[[#This Row],[INVESTOR CODE]],LS[B/S],"S")</f>
        <v>0</v>
      </c>
      <c r="G42" s="47">
        <f>IF(INVESTORS_LIST[[#This Row],[LS_TOTAL UNITS BUY]]=0,0,INVESTORS_LIST[[#This Row],[LS_TOTAL UNITS BUY]]-INVESTORS_LIST[[#This Row],[LS_TOTAL UNITS SOLD]])</f>
        <v>0</v>
      </c>
      <c r="H42" s="49">
        <f>IF(INVESTORS_LIST[[#This Row],[LS_TOTAL UNITS BUY]]=0,0,SUMIFS(LS[Amount],LS[Investor ID],INVESTORS_LIST[[#This Row],[INVESTOR CODE]],LS[B/S],"B"))</f>
        <v>0</v>
      </c>
      <c r="I42" s="48">
        <f>IF(INVESTORS_LIST[[#This Row],[LS_TOTAL UNITS SOLD]]=0,0,SUMIFS(LS[Cost of Units Sold],LS[Investor ID],INVESTORS_LIST[[#This Row],[INVESTOR CODE]],LS[B/S],"S"))</f>
        <v>0</v>
      </c>
      <c r="J42" s="48">
        <f>IF(INVESTORS_LIST[[#This Row],[LS_TOTAL CURRENT UNITS]]=0,0,INVESTORS_LIST[[#This Row],[LS_TOTAL CURRENT UNITS]]*INVESTORS_LIST[[#This Row],[LS_AVERAGE COST]])</f>
        <v>0</v>
      </c>
      <c r="K42" s="49">
        <f>IF(INVESTORS_LIST[[#This Row],[LS_TOTAL UNITS SOLD]]=0,0,SUMIFS(LS[Realized Gain],LS[Investor ID],INVESTORS_LIST[[#This Row],[INVESTOR CODE]],LS[B/S],"S"))</f>
        <v>0</v>
      </c>
      <c r="L42" s="47">
        <f>SUMIFS(SIP[Unit],SIP[Investor ID],INVESTORS_LIST[[#This Row],[INVESTOR CODE]],SIP[B/S],"B")</f>
        <v>0</v>
      </c>
      <c r="M42" s="47">
        <f>-SUMIFS(SIP[Unit],SIP[Investor ID],INVESTORS_LIST[[#This Row],[INVESTOR CODE]],SIP[B/S],"S")</f>
        <v>0</v>
      </c>
      <c r="N42" s="50">
        <f>IF(INVESTORS_LIST[[#This Row],[SIP_TOTAL UNITS BUY]]=0,0,INVESTORS_LIST[[#This Row],[SIP_TOTAL UNITS BUY]]-INVESTORS_LIST[[#This Row],[SIP_TOTAL UNITS SOLD]])</f>
        <v>0</v>
      </c>
      <c r="O42" s="49">
        <f>IF(INVESTORS_LIST[[#This Row],[SIP_TOTAL UNITS BUY]]=0,0,SUMIFS(SIP[Amount],SIP[Investor ID],INVESTORS_LIST[[#This Row],[INVESTOR CODE]],SIP[B/S],"B"))</f>
        <v>0</v>
      </c>
      <c r="P42" s="49">
        <f>IF(INVESTORS_LIST[[#This Row],[SIP_TOTAL UNITS SOLD]]=0,0,SUMIFS(SIP[Cost of Units Sold],SIP[Investor ID],INVESTORS_LIST[[#This Row],[INVESTOR CODE]],SIP[B/S],"S"))</f>
        <v>0</v>
      </c>
      <c r="Q42" s="48">
        <f>IF(INVESTORS_LIST[[#This Row],[SIP_TOTAL CURRENT UNITS]]=0,0,INVESTORS_LIST[[#This Row],[SIP_TOTAL CURRENT UNITS]]*INVESTORS_LIST[[#This Row],[SIP_AVERAGE COST]])</f>
        <v>0</v>
      </c>
      <c r="R42" s="48">
        <f>IF(INVESTORS_LIST[[#This Row],[SIP_TOTAL UNITS SOLD]]=0,0,SUMIFS(SIP[Realized Gain],SIP[Investor ID],INVESTORS_LIST[[#This Row],[INVESTOR CODE]],SIP[B/S],"S"))</f>
        <v>0</v>
      </c>
      <c r="S42" s="50">
        <f>INVESTORS_LIST[[#This Row],[LS_TOTAL UNITS BUY]]+INVESTORS_LIST[[#This Row],[SIP_TOTAL UNITS BUY]]</f>
        <v>0</v>
      </c>
      <c r="T42" s="50">
        <f>INVESTORS_LIST[[#This Row],[LS_TOTAL UNITS SOLD]]+INVESTORS_LIST[[#This Row],[SIP_TOTAL UNITS SOLD]]</f>
        <v>0</v>
      </c>
      <c r="U42" s="50"/>
      <c r="V42" s="50">
        <f>SUMIFS(LS[BO UNIT TRANSFER],LS[Investor ID],INVESTORS_LIST[[#This Row],[INVESTOR CODE]],LS[B/S],"B")</f>
        <v>0</v>
      </c>
      <c r="W42" s="50">
        <f>SUMIFS(SIP[BO UNIT TRANSFER],SIP[Investor ID],INVESTORS_LIST[[#This Row],[INVESTOR CODE]],SIP[B/S],"B")</f>
        <v>0</v>
      </c>
      <c r="X42" s="50">
        <f>SUMIFS(LS[BO UNIT TRANSFER],LS[Investor ID],INVESTORS_LIST[[#This Row],[INVESTOR CODE]],LS[B/S],"S")</f>
        <v>0</v>
      </c>
      <c r="Y42" s="50">
        <f>SUMIFS(SIP[BO UNIT TRANSFER],SIP[Investor ID],INVESTORS_LIST[[#This Row],[INVESTOR CODE]],SIP[B/S],"S")</f>
        <v>0</v>
      </c>
      <c r="Z42" s="106">
        <f>SUM(INVESTORS_LIST[[#This Row],[BO OPENING BALANCE]:[BO SIP UNITS REPURCHASE]])</f>
        <v>0</v>
      </c>
      <c r="AA42" s="107">
        <f>INVESTORS_LIST[[#This Row],[TOTAL UNITS BUY]]-INVESTORS_LIST[[#This Row],[TOTAL UNITS SOLD]]</f>
        <v>0</v>
      </c>
      <c r="AB42" s="107">
        <f>INVESTORS_LIST[[#This Row],[TOTAL CURRENT UNITS]]-INVESTORS_LIST[[#This Row],[BO UNITS HOLD]]</f>
        <v>0</v>
      </c>
      <c r="AC42" s="201" t="e">
        <f>INDEX([3]!Table_1[BO ID],MATCH(INVESTORS_LIST[[#This Row],[INVESTOR CODE]],[3]!Table_1[INVESTOR CODE],0))</f>
        <v>#REF!</v>
      </c>
      <c r="AD42" s="201" t="e">
        <f>INDEX([3]!Table_1[Brokerage Name2],MATCH(INVESTORS_LIST[[#This Row],[INVESTOR CODE]],[3]!Table_1[INVESTOR CODE],0))</f>
        <v>#REF!</v>
      </c>
      <c r="AE42" s="201" t="e">
        <f>MID(INVESTORS_LIST[[#This Row],[BO ID]],4,5)</f>
        <v>#REF!</v>
      </c>
      <c r="AF42" s="201" t="e">
        <f>MID(INVESTORS_LIST[[#This Row],[BO ID]],2,7)</f>
        <v>#REF!</v>
      </c>
      <c r="AG42" s="201" t="e">
        <f>MID(INVESTORS_LIST[[#This Row],[BO ID]],9,7)</f>
        <v>#REF!</v>
      </c>
      <c r="AH42" s="201" t="e">
        <f>RIGHT(INVESTORS_LIST[[#This Row],[BO ID]],1)</f>
        <v>#REF!</v>
      </c>
      <c r="AI42" s="50">
        <f>INVESTORS_LIST[[#This Row],[LS_TOTAL COST VALUE OF CURRENT UNITS]]+INVESTORS_LIST[[#This Row],[SIP_TOTAL COST VALUE OF CURRENT UNITS]]</f>
        <v>0</v>
      </c>
      <c r="AJ42" s="109">
        <f>IF(INVESTORS_LIST[[#This Row],[TOTAL CURRENT UNITS]]=0,0,INVESTORS_LIST[[#This Row],[LS_TOTAL CURRENT UNITS]]/INVESTORS_LIST[[#This Row],[TOTAL CURRENT UNITS]])</f>
        <v>0</v>
      </c>
      <c r="AK42" s="109">
        <f>IF(INVESTORS_LIST[[#This Row],[TOTAL CURRENT UNITS]]=0,0,INVESTORS_LIST[[#This Row],[SIP_TOTAL CURRENT UNITS]]/INVESTORS_LIST[[#This Row],[TOTAL CURRENT UNITS]])</f>
        <v>0</v>
      </c>
      <c r="AL42" s="49" cm="1">
        <f t="array" ref="AL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" s="49" cm="1">
        <f t="array" ref="AM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" s="105">
        <f t="shared" si="1"/>
        <v>14.224</v>
      </c>
      <c r="AP42" s="112">
        <f>IF(INVESTORS_LIST[[#This Row],[TOTAL CURRENT UNITS]]=0,0,INVESTORS_LIST[[#This Row],[TOTAL CURRENT UNITS]]*INVESTORS_LIST[[#This Row],[NAV]])</f>
        <v>0</v>
      </c>
      <c r="AQ42" s="49">
        <f>IF(INVESTORS_LIST[[#This Row],[LS_TOTAL CURRENT UNITS]]=0,0,INVESTORS_LIST[[#This Row],[LS_TOTAL CURRENT UNITS]]*INVESTORS_LIST[[#This Row],[NAV]])</f>
        <v>0</v>
      </c>
      <c r="AR42" s="48">
        <f>IF(INVESTORS_LIST[[#This Row],[SIP_TOTAL CURRENT UNITS]]=0,0,INVESTORS_LIST[[#This Row],[SIP_TOTAL CURRENT UNITS]]*INVESTORS_LIST[[#This Row],[NAV]])</f>
        <v>0</v>
      </c>
      <c r="AS42" s="50">
        <f>INVESTORS_LIST[[#This Row],[TOTAL CURRENT UNITS]]</f>
        <v>0</v>
      </c>
      <c r="AT42" s="48">
        <f>IF(INVESTORS_LIST[[#This Row],[TOTAL SELLABLE UNITS]]=0,0,INVESTORS_LIST[[#This Row],[TOTAL SELLABLE UNITS]]*INVESTORS_LIST[[#This Row],[NAV]])</f>
        <v>0</v>
      </c>
      <c r="AU42" s="48">
        <f>INVESTORS_LIST[[#This Row],[LS_TOTAL REALIZED GAIN]]+INVESTORS_LIST[[#This Row],[SIP_TOTAL REALIZED GAIN]]</f>
        <v>0</v>
      </c>
      <c r="AV42" s="48">
        <f>INVESTORS_LIST[[#This Row],[TOTAL MARKET VALUE]]-INVESTORS_LIST[[#This Row],[TOTAL COST VALUE OF CURRENT INVESTMENT]]</f>
        <v>0</v>
      </c>
      <c r="AW42" s="48">
        <f>IFERROR(INVESTORS_LIST[[#This Row],[TOTAL CURRENT UNITS]]/SUM(INVESTORS_LIST[TOTAL CURRENT UNITS]),0)</f>
        <v>0</v>
      </c>
    </row>
    <row r="43" spans="1:49" hidden="1">
      <c r="A43" s="262" t="s">
        <v>133</v>
      </c>
      <c r="B43" s="97" t="s">
        <v>134</v>
      </c>
      <c r="C43" t="s">
        <v>48</v>
      </c>
      <c r="D43" s="75" t="s">
        <v>49</v>
      </c>
      <c r="E43" s="47">
        <f>SUMIFS(LS[Unit],LS[Investor ID],INVESTORS_LIST[[#This Row],[INVESTOR CODE]],LS[B/S],"B")</f>
        <v>0</v>
      </c>
      <c r="F43" s="47">
        <f>-SUMIFS(LS[Unit],LS[Investor ID],INVESTORS_LIST[[#This Row],[INVESTOR CODE]],LS[B/S],"S")</f>
        <v>0</v>
      </c>
      <c r="G43" s="47">
        <f>IF(INVESTORS_LIST[[#This Row],[LS_TOTAL UNITS BUY]]=0,0,INVESTORS_LIST[[#This Row],[LS_TOTAL UNITS BUY]]-INVESTORS_LIST[[#This Row],[LS_TOTAL UNITS SOLD]])</f>
        <v>0</v>
      </c>
      <c r="H43" s="49">
        <f>IF(INVESTORS_LIST[[#This Row],[LS_TOTAL UNITS BUY]]=0,0,SUMIFS(LS[Amount],LS[Investor ID],INVESTORS_LIST[[#This Row],[INVESTOR CODE]],LS[B/S],"B"))</f>
        <v>0</v>
      </c>
      <c r="I43" s="48">
        <f>IF(INVESTORS_LIST[[#This Row],[LS_TOTAL UNITS SOLD]]=0,0,SUMIFS(LS[Cost of Units Sold],LS[Investor ID],INVESTORS_LIST[[#This Row],[INVESTOR CODE]],LS[B/S],"S"))</f>
        <v>0</v>
      </c>
      <c r="J43" s="48">
        <f>IF(INVESTORS_LIST[[#This Row],[LS_TOTAL CURRENT UNITS]]=0,0,INVESTORS_LIST[[#This Row],[LS_TOTAL CURRENT UNITS]]*INVESTORS_LIST[[#This Row],[LS_AVERAGE COST]])</f>
        <v>0</v>
      </c>
      <c r="K43" s="49">
        <f>IF(INVESTORS_LIST[[#This Row],[LS_TOTAL UNITS SOLD]]=0,0,SUMIFS(LS[Realized Gain],LS[Investor ID],INVESTORS_LIST[[#This Row],[INVESTOR CODE]],LS[B/S],"S"))</f>
        <v>0</v>
      </c>
      <c r="L43" s="47">
        <f>SUMIFS(SIP[Unit],SIP[Investor ID],INVESTORS_LIST[[#This Row],[INVESTOR CODE]],SIP[B/S],"B")</f>
        <v>0</v>
      </c>
      <c r="M43" s="47">
        <f>-SUMIFS(SIP[Unit],SIP[Investor ID],INVESTORS_LIST[[#This Row],[INVESTOR CODE]],SIP[B/S],"S")</f>
        <v>0</v>
      </c>
      <c r="N43" s="50">
        <f>IF(INVESTORS_LIST[[#This Row],[SIP_TOTAL UNITS BUY]]=0,0,INVESTORS_LIST[[#This Row],[SIP_TOTAL UNITS BUY]]-INVESTORS_LIST[[#This Row],[SIP_TOTAL UNITS SOLD]])</f>
        <v>0</v>
      </c>
      <c r="O43" s="49">
        <f>IF(INVESTORS_LIST[[#This Row],[SIP_TOTAL UNITS BUY]]=0,0,SUMIFS(SIP[Amount],SIP[Investor ID],INVESTORS_LIST[[#This Row],[INVESTOR CODE]],SIP[B/S],"B"))</f>
        <v>0</v>
      </c>
      <c r="P43" s="49">
        <f>IF(INVESTORS_LIST[[#This Row],[SIP_TOTAL UNITS SOLD]]=0,0,SUMIFS(SIP[Cost of Units Sold],SIP[Investor ID],INVESTORS_LIST[[#This Row],[INVESTOR CODE]],SIP[B/S],"S"))</f>
        <v>0</v>
      </c>
      <c r="Q43" s="48">
        <f>IF(INVESTORS_LIST[[#This Row],[SIP_TOTAL CURRENT UNITS]]=0,0,INVESTORS_LIST[[#This Row],[SIP_TOTAL CURRENT UNITS]]*INVESTORS_LIST[[#This Row],[SIP_AVERAGE COST]])</f>
        <v>0</v>
      </c>
      <c r="R43" s="48">
        <f>IF(INVESTORS_LIST[[#This Row],[SIP_TOTAL UNITS SOLD]]=0,0,SUMIFS(SIP[Realized Gain],SIP[Investor ID],INVESTORS_LIST[[#This Row],[INVESTOR CODE]],SIP[B/S],"S"))</f>
        <v>0</v>
      </c>
      <c r="S43" s="50">
        <f>INVESTORS_LIST[[#This Row],[LS_TOTAL UNITS BUY]]+INVESTORS_LIST[[#This Row],[SIP_TOTAL UNITS BUY]]</f>
        <v>0</v>
      </c>
      <c r="T43" s="50">
        <f>INVESTORS_LIST[[#This Row],[LS_TOTAL UNITS SOLD]]+INVESTORS_LIST[[#This Row],[SIP_TOTAL UNITS SOLD]]</f>
        <v>0</v>
      </c>
      <c r="U43" s="50"/>
      <c r="V43" s="50">
        <f>SUMIFS(LS[BO UNIT TRANSFER],LS[Investor ID],INVESTORS_LIST[[#This Row],[INVESTOR CODE]],LS[B/S],"B")</f>
        <v>0</v>
      </c>
      <c r="W43" s="50">
        <f>SUMIFS(SIP[BO UNIT TRANSFER],SIP[Investor ID],INVESTORS_LIST[[#This Row],[INVESTOR CODE]],SIP[B/S],"B")</f>
        <v>0</v>
      </c>
      <c r="X43" s="50">
        <f>SUMIFS(LS[BO UNIT TRANSFER],LS[Investor ID],INVESTORS_LIST[[#This Row],[INVESTOR CODE]],LS[B/S],"S")</f>
        <v>0</v>
      </c>
      <c r="Y43" s="50">
        <f>SUMIFS(SIP[BO UNIT TRANSFER],SIP[Investor ID],INVESTORS_LIST[[#This Row],[INVESTOR CODE]],SIP[B/S],"S")</f>
        <v>0</v>
      </c>
      <c r="Z43" s="106">
        <f>SUM(INVESTORS_LIST[[#This Row],[BO OPENING BALANCE]:[BO SIP UNITS REPURCHASE]])</f>
        <v>0</v>
      </c>
      <c r="AA43" s="107">
        <f>INVESTORS_LIST[[#This Row],[TOTAL UNITS BUY]]-INVESTORS_LIST[[#This Row],[TOTAL UNITS SOLD]]</f>
        <v>0</v>
      </c>
      <c r="AB43" s="107">
        <f>INVESTORS_LIST[[#This Row],[TOTAL CURRENT UNITS]]-INVESTORS_LIST[[#This Row],[BO UNITS HOLD]]</f>
        <v>0</v>
      </c>
      <c r="AC43" s="201" t="e">
        <f>INDEX([3]!Table_1[BO ID],MATCH(INVESTORS_LIST[[#This Row],[INVESTOR CODE]],[3]!Table_1[INVESTOR CODE],0))</f>
        <v>#REF!</v>
      </c>
      <c r="AD43" s="201" t="e">
        <f>INDEX([3]!Table_1[Brokerage Name2],MATCH(INVESTORS_LIST[[#This Row],[INVESTOR CODE]],[3]!Table_1[INVESTOR CODE],0))</f>
        <v>#REF!</v>
      </c>
      <c r="AE43" s="201" t="e">
        <f>MID(INVESTORS_LIST[[#This Row],[BO ID]],4,5)</f>
        <v>#REF!</v>
      </c>
      <c r="AF43" s="201" t="e">
        <f>MID(INVESTORS_LIST[[#This Row],[BO ID]],2,7)</f>
        <v>#REF!</v>
      </c>
      <c r="AG43" s="201" t="e">
        <f>MID(INVESTORS_LIST[[#This Row],[BO ID]],9,7)</f>
        <v>#REF!</v>
      </c>
      <c r="AH43" s="201" t="e">
        <f>RIGHT(INVESTORS_LIST[[#This Row],[BO ID]],1)</f>
        <v>#REF!</v>
      </c>
      <c r="AI43" s="50">
        <f>INVESTORS_LIST[[#This Row],[LS_TOTAL COST VALUE OF CURRENT UNITS]]+INVESTORS_LIST[[#This Row],[SIP_TOTAL COST VALUE OF CURRENT UNITS]]</f>
        <v>0</v>
      </c>
      <c r="AJ43" s="109">
        <f>IF(INVESTORS_LIST[[#This Row],[TOTAL CURRENT UNITS]]=0,0,INVESTORS_LIST[[#This Row],[LS_TOTAL CURRENT UNITS]]/INVESTORS_LIST[[#This Row],[TOTAL CURRENT UNITS]])</f>
        <v>0</v>
      </c>
      <c r="AK43" s="109">
        <f>IF(INVESTORS_LIST[[#This Row],[TOTAL CURRENT UNITS]]=0,0,INVESTORS_LIST[[#This Row],[SIP_TOTAL CURRENT UNITS]]/INVESTORS_LIST[[#This Row],[TOTAL CURRENT UNITS]])</f>
        <v>0</v>
      </c>
      <c r="AL43" s="49" cm="1">
        <f t="array" ref="AL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" s="49" cm="1">
        <f t="array" ref="AM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" s="105">
        <f t="shared" si="1"/>
        <v>14.224</v>
      </c>
      <c r="AP43" s="112">
        <f>IF(INVESTORS_LIST[[#This Row],[TOTAL CURRENT UNITS]]=0,0,INVESTORS_LIST[[#This Row],[TOTAL CURRENT UNITS]]*INVESTORS_LIST[[#This Row],[NAV]])</f>
        <v>0</v>
      </c>
      <c r="AQ43" s="49">
        <f>IF(INVESTORS_LIST[[#This Row],[LS_TOTAL CURRENT UNITS]]=0,0,INVESTORS_LIST[[#This Row],[LS_TOTAL CURRENT UNITS]]*INVESTORS_LIST[[#This Row],[NAV]])</f>
        <v>0</v>
      </c>
      <c r="AR43" s="48">
        <f>IF(INVESTORS_LIST[[#This Row],[SIP_TOTAL CURRENT UNITS]]=0,0,INVESTORS_LIST[[#This Row],[SIP_TOTAL CURRENT UNITS]]*INVESTORS_LIST[[#This Row],[NAV]])</f>
        <v>0</v>
      </c>
      <c r="AS43" s="50">
        <f>INVESTORS_LIST[[#This Row],[TOTAL CURRENT UNITS]]</f>
        <v>0</v>
      </c>
      <c r="AT43" s="48">
        <f>IF(INVESTORS_LIST[[#This Row],[TOTAL SELLABLE UNITS]]=0,0,INVESTORS_LIST[[#This Row],[TOTAL SELLABLE UNITS]]*INVESTORS_LIST[[#This Row],[NAV]])</f>
        <v>0</v>
      </c>
      <c r="AU43" s="48">
        <f>INVESTORS_LIST[[#This Row],[LS_TOTAL REALIZED GAIN]]+INVESTORS_LIST[[#This Row],[SIP_TOTAL REALIZED GAIN]]</f>
        <v>0</v>
      </c>
      <c r="AV43" s="48">
        <f>INVESTORS_LIST[[#This Row],[TOTAL MARKET VALUE]]-INVESTORS_LIST[[#This Row],[TOTAL COST VALUE OF CURRENT INVESTMENT]]</f>
        <v>0</v>
      </c>
      <c r="AW43" s="48">
        <f>IFERROR(INVESTORS_LIST[[#This Row],[TOTAL CURRENT UNITS]]/SUM(INVESTORS_LIST[TOTAL CURRENT UNITS]),0)</f>
        <v>0</v>
      </c>
    </row>
    <row r="44" spans="1:49" hidden="1">
      <c r="A44" s="262" t="s">
        <v>135</v>
      </c>
      <c r="B44" s="97" t="s">
        <v>136</v>
      </c>
      <c r="C44" t="s">
        <v>44</v>
      </c>
      <c r="D44" s="75" t="s">
        <v>45</v>
      </c>
      <c r="E44" s="47">
        <f>SUMIFS(LS[Unit],LS[Investor ID],INVESTORS_LIST[[#This Row],[INVESTOR CODE]],LS[B/S],"B")</f>
        <v>0</v>
      </c>
      <c r="F44" s="47">
        <f>-SUMIFS(LS[Unit],LS[Investor ID],INVESTORS_LIST[[#This Row],[INVESTOR CODE]],LS[B/S],"S")</f>
        <v>0</v>
      </c>
      <c r="G44" s="47">
        <f>IF(INVESTORS_LIST[[#This Row],[LS_TOTAL UNITS BUY]]=0,0,INVESTORS_LIST[[#This Row],[LS_TOTAL UNITS BUY]]-INVESTORS_LIST[[#This Row],[LS_TOTAL UNITS SOLD]])</f>
        <v>0</v>
      </c>
      <c r="H44" s="49">
        <f>IF(INVESTORS_LIST[[#This Row],[LS_TOTAL UNITS BUY]]=0,0,SUMIFS(LS[Amount],LS[Investor ID],INVESTORS_LIST[[#This Row],[INVESTOR CODE]],LS[B/S],"B"))</f>
        <v>0</v>
      </c>
      <c r="I44" s="48">
        <f>IF(INVESTORS_LIST[[#This Row],[LS_TOTAL UNITS SOLD]]=0,0,SUMIFS(LS[Cost of Units Sold],LS[Investor ID],INVESTORS_LIST[[#This Row],[INVESTOR CODE]],LS[B/S],"S"))</f>
        <v>0</v>
      </c>
      <c r="J44" s="48">
        <f>IF(INVESTORS_LIST[[#This Row],[LS_TOTAL CURRENT UNITS]]=0,0,INVESTORS_LIST[[#This Row],[LS_TOTAL CURRENT UNITS]]*INVESTORS_LIST[[#This Row],[LS_AVERAGE COST]])</f>
        <v>0</v>
      </c>
      <c r="K44" s="49">
        <f>IF(INVESTORS_LIST[[#This Row],[LS_TOTAL UNITS SOLD]]=0,0,SUMIFS(LS[Realized Gain],LS[Investor ID],INVESTORS_LIST[[#This Row],[INVESTOR CODE]],LS[B/S],"S"))</f>
        <v>0</v>
      </c>
      <c r="L44" s="47">
        <f>SUMIFS(SIP[Unit],SIP[Investor ID],INVESTORS_LIST[[#This Row],[INVESTOR CODE]],SIP[B/S],"B")</f>
        <v>0</v>
      </c>
      <c r="M44" s="47">
        <f>-SUMIFS(SIP[Unit],SIP[Investor ID],INVESTORS_LIST[[#This Row],[INVESTOR CODE]],SIP[B/S],"S")</f>
        <v>0</v>
      </c>
      <c r="N44" s="50">
        <f>IF(INVESTORS_LIST[[#This Row],[SIP_TOTAL UNITS BUY]]=0,0,INVESTORS_LIST[[#This Row],[SIP_TOTAL UNITS BUY]]-INVESTORS_LIST[[#This Row],[SIP_TOTAL UNITS SOLD]])</f>
        <v>0</v>
      </c>
      <c r="O44" s="49">
        <f>IF(INVESTORS_LIST[[#This Row],[SIP_TOTAL UNITS BUY]]=0,0,SUMIFS(SIP[Amount],SIP[Investor ID],INVESTORS_LIST[[#This Row],[INVESTOR CODE]],SIP[B/S],"B"))</f>
        <v>0</v>
      </c>
      <c r="P44" s="49">
        <f>IF(INVESTORS_LIST[[#This Row],[SIP_TOTAL UNITS SOLD]]=0,0,SUMIFS(SIP[Cost of Units Sold],SIP[Investor ID],INVESTORS_LIST[[#This Row],[INVESTOR CODE]],SIP[B/S],"S"))</f>
        <v>0</v>
      </c>
      <c r="Q44" s="48">
        <f>IF(INVESTORS_LIST[[#This Row],[SIP_TOTAL CURRENT UNITS]]=0,0,INVESTORS_LIST[[#This Row],[SIP_TOTAL CURRENT UNITS]]*INVESTORS_LIST[[#This Row],[SIP_AVERAGE COST]])</f>
        <v>0</v>
      </c>
      <c r="R44" s="48">
        <f>IF(INVESTORS_LIST[[#This Row],[SIP_TOTAL UNITS SOLD]]=0,0,SUMIFS(SIP[Realized Gain],SIP[Investor ID],INVESTORS_LIST[[#This Row],[INVESTOR CODE]],SIP[B/S],"S"))</f>
        <v>0</v>
      </c>
      <c r="S44" s="50">
        <f>INVESTORS_LIST[[#This Row],[LS_TOTAL UNITS BUY]]+INVESTORS_LIST[[#This Row],[SIP_TOTAL UNITS BUY]]</f>
        <v>0</v>
      </c>
      <c r="T44" s="50">
        <f>INVESTORS_LIST[[#This Row],[LS_TOTAL UNITS SOLD]]+INVESTORS_LIST[[#This Row],[SIP_TOTAL UNITS SOLD]]</f>
        <v>0</v>
      </c>
      <c r="U44" s="50"/>
      <c r="V44" s="50">
        <f>SUMIFS(LS[BO UNIT TRANSFER],LS[Investor ID],INVESTORS_LIST[[#This Row],[INVESTOR CODE]],LS[B/S],"B")</f>
        <v>0</v>
      </c>
      <c r="W44" s="50">
        <f>SUMIFS(SIP[BO UNIT TRANSFER],SIP[Investor ID],INVESTORS_LIST[[#This Row],[INVESTOR CODE]],SIP[B/S],"B")</f>
        <v>0</v>
      </c>
      <c r="X44" s="50">
        <f>SUMIFS(LS[BO UNIT TRANSFER],LS[Investor ID],INVESTORS_LIST[[#This Row],[INVESTOR CODE]],LS[B/S],"S")</f>
        <v>0</v>
      </c>
      <c r="Y44" s="50">
        <f>SUMIFS(SIP[BO UNIT TRANSFER],SIP[Investor ID],INVESTORS_LIST[[#This Row],[INVESTOR CODE]],SIP[B/S],"S")</f>
        <v>0</v>
      </c>
      <c r="Z44" s="106">
        <f>SUM(INVESTORS_LIST[[#This Row],[BO OPENING BALANCE]:[BO SIP UNITS REPURCHASE]])</f>
        <v>0</v>
      </c>
      <c r="AA44" s="107">
        <f>INVESTORS_LIST[[#This Row],[TOTAL UNITS BUY]]-INVESTORS_LIST[[#This Row],[TOTAL UNITS SOLD]]</f>
        <v>0</v>
      </c>
      <c r="AB44" s="107">
        <f>INVESTORS_LIST[[#This Row],[TOTAL CURRENT UNITS]]-INVESTORS_LIST[[#This Row],[BO UNITS HOLD]]</f>
        <v>0</v>
      </c>
      <c r="AC44" s="201" t="e">
        <f>INDEX([3]!Table_1[BO ID],MATCH(INVESTORS_LIST[[#This Row],[INVESTOR CODE]],[3]!Table_1[INVESTOR CODE],0))</f>
        <v>#REF!</v>
      </c>
      <c r="AD44" s="201" t="e">
        <f>INDEX([3]!Table_1[Brokerage Name2],MATCH(INVESTORS_LIST[[#This Row],[INVESTOR CODE]],[3]!Table_1[INVESTOR CODE],0))</f>
        <v>#REF!</v>
      </c>
      <c r="AE44" s="201" t="e">
        <f>MID(INVESTORS_LIST[[#This Row],[BO ID]],4,5)</f>
        <v>#REF!</v>
      </c>
      <c r="AF44" s="201" t="e">
        <f>MID(INVESTORS_LIST[[#This Row],[BO ID]],2,7)</f>
        <v>#REF!</v>
      </c>
      <c r="AG44" s="201" t="e">
        <f>MID(INVESTORS_LIST[[#This Row],[BO ID]],9,7)</f>
        <v>#REF!</v>
      </c>
      <c r="AH44" s="201" t="e">
        <f>RIGHT(INVESTORS_LIST[[#This Row],[BO ID]],1)</f>
        <v>#REF!</v>
      </c>
      <c r="AI44" s="50">
        <f>INVESTORS_LIST[[#This Row],[LS_TOTAL COST VALUE OF CURRENT UNITS]]+INVESTORS_LIST[[#This Row],[SIP_TOTAL COST VALUE OF CURRENT UNITS]]</f>
        <v>0</v>
      </c>
      <c r="AJ44" s="109">
        <f>IF(INVESTORS_LIST[[#This Row],[TOTAL CURRENT UNITS]]=0,0,INVESTORS_LIST[[#This Row],[LS_TOTAL CURRENT UNITS]]/INVESTORS_LIST[[#This Row],[TOTAL CURRENT UNITS]])</f>
        <v>0</v>
      </c>
      <c r="AK44" s="109">
        <f>IF(INVESTORS_LIST[[#This Row],[TOTAL CURRENT UNITS]]=0,0,INVESTORS_LIST[[#This Row],[SIP_TOTAL CURRENT UNITS]]/INVESTORS_LIST[[#This Row],[TOTAL CURRENT UNITS]])</f>
        <v>0</v>
      </c>
      <c r="AL44" s="49" cm="1">
        <f t="array" ref="AL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" s="49" cm="1">
        <f t="array" ref="AM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" s="105">
        <f t="shared" si="1"/>
        <v>14.224</v>
      </c>
      <c r="AP44" s="112">
        <f>IF(INVESTORS_LIST[[#This Row],[TOTAL CURRENT UNITS]]=0,0,INVESTORS_LIST[[#This Row],[TOTAL CURRENT UNITS]]*INVESTORS_LIST[[#This Row],[NAV]])</f>
        <v>0</v>
      </c>
      <c r="AQ44" s="49">
        <f>IF(INVESTORS_LIST[[#This Row],[LS_TOTAL CURRENT UNITS]]=0,0,INVESTORS_LIST[[#This Row],[LS_TOTAL CURRENT UNITS]]*INVESTORS_LIST[[#This Row],[NAV]])</f>
        <v>0</v>
      </c>
      <c r="AR44" s="48">
        <f>IF(INVESTORS_LIST[[#This Row],[SIP_TOTAL CURRENT UNITS]]=0,0,INVESTORS_LIST[[#This Row],[SIP_TOTAL CURRENT UNITS]]*INVESTORS_LIST[[#This Row],[NAV]])</f>
        <v>0</v>
      </c>
      <c r="AS44" s="50">
        <f>INVESTORS_LIST[[#This Row],[TOTAL CURRENT UNITS]]</f>
        <v>0</v>
      </c>
      <c r="AT44" s="48">
        <f>IF(INVESTORS_LIST[[#This Row],[TOTAL SELLABLE UNITS]]=0,0,INVESTORS_LIST[[#This Row],[TOTAL SELLABLE UNITS]]*INVESTORS_LIST[[#This Row],[NAV]])</f>
        <v>0</v>
      </c>
      <c r="AU44" s="48">
        <f>INVESTORS_LIST[[#This Row],[LS_TOTAL REALIZED GAIN]]+INVESTORS_LIST[[#This Row],[SIP_TOTAL REALIZED GAIN]]</f>
        <v>0</v>
      </c>
      <c r="AV44" s="48">
        <f>INVESTORS_LIST[[#This Row],[TOTAL MARKET VALUE]]-INVESTORS_LIST[[#This Row],[TOTAL COST VALUE OF CURRENT INVESTMENT]]</f>
        <v>0</v>
      </c>
      <c r="AW44" s="48">
        <f>IFERROR(INVESTORS_LIST[[#This Row],[TOTAL CURRENT UNITS]]/SUM(INVESTORS_LIST[TOTAL CURRENT UNITS]),0)</f>
        <v>0</v>
      </c>
    </row>
    <row r="45" spans="1:49" hidden="1">
      <c r="A45" s="262" t="s">
        <v>137</v>
      </c>
      <c r="B45" s="97" t="s">
        <v>138</v>
      </c>
      <c r="C45" t="s">
        <v>52</v>
      </c>
      <c r="D45" s="75" t="s">
        <v>45</v>
      </c>
      <c r="E45" s="47">
        <f>SUMIFS(LS[Unit],LS[Investor ID],INVESTORS_LIST[[#This Row],[INVESTOR CODE]],LS[B/S],"B")</f>
        <v>450000</v>
      </c>
      <c r="F45" s="47">
        <f>-SUMIFS(LS[Unit],LS[Investor ID],INVESTORS_LIST[[#This Row],[INVESTOR CODE]],LS[B/S],"S")</f>
        <v>450000</v>
      </c>
      <c r="G45" s="47">
        <f>IF(INVESTORS_LIST[[#This Row],[LS_TOTAL UNITS BUY]]=0,0,INVESTORS_LIST[[#This Row],[LS_TOTAL UNITS BUY]]-INVESTORS_LIST[[#This Row],[LS_TOTAL UNITS SOLD]])</f>
        <v>0</v>
      </c>
      <c r="H45" s="49">
        <f>IF(INVESTORS_LIST[[#This Row],[LS_TOTAL UNITS BUY]]=0,0,SUMIFS(LS[Amount],LS[Investor ID],INVESTORS_LIST[[#This Row],[INVESTOR CODE]],LS[B/S],"B"))</f>
        <v>4500000</v>
      </c>
      <c r="I45" s="48">
        <f>IF(INVESTORS_LIST[[#This Row],[LS_TOTAL UNITS SOLD]]=0,0,SUMIFS(LS[Cost of Units Sold],LS[Investor ID],INVESTORS_LIST[[#This Row],[INVESTOR CODE]],LS[B/S],"S"))</f>
        <v>4500000</v>
      </c>
      <c r="J45" s="48">
        <f>IF(INVESTORS_LIST[[#This Row],[LS_TOTAL CURRENT UNITS]]=0,0,INVESTORS_LIST[[#This Row],[LS_TOTAL CURRENT UNITS]]*INVESTORS_LIST[[#This Row],[LS_AVERAGE COST]])</f>
        <v>0</v>
      </c>
      <c r="K45" s="49">
        <f>IF(INVESTORS_LIST[[#This Row],[LS_TOTAL UNITS SOLD]]=0,0,SUMIFS(LS[Realized Gain],LS[Investor ID],INVESTORS_LIST[[#This Row],[INVESTOR CODE]],LS[B/S],"S"))</f>
        <v>0</v>
      </c>
      <c r="L45" s="47">
        <f>SUMIFS(SIP[Unit],SIP[Investor ID],INVESTORS_LIST[[#This Row],[INVESTOR CODE]],SIP[B/S],"B")</f>
        <v>0</v>
      </c>
      <c r="M45" s="47">
        <f>-SUMIFS(SIP[Unit],SIP[Investor ID],INVESTORS_LIST[[#This Row],[INVESTOR CODE]],SIP[B/S],"S")</f>
        <v>0</v>
      </c>
      <c r="N45" s="50">
        <f>IF(INVESTORS_LIST[[#This Row],[SIP_TOTAL UNITS BUY]]=0,0,INVESTORS_LIST[[#This Row],[SIP_TOTAL UNITS BUY]]-INVESTORS_LIST[[#This Row],[SIP_TOTAL UNITS SOLD]])</f>
        <v>0</v>
      </c>
      <c r="O45" s="49">
        <f>IF(INVESTORS_LIST[[#This Row],[SIP_TOTAL UNITS BUY]]=0,0,SUMIFS(SIP[Amount],SIP[Investor ID],INVESTORS_LIST[[#This Row],[INVESTOR CODE]],SIP[B/S],"B"))</f>
        <v>0</v>
      </c>
      <c r="P45" s="49">
        <f>IF(INVESTORS_LIST[[#This Row],[SIP_TOTAL UNITS SOLD]]=0,0,SUMIFS(SIP[Cost of Units Sold],SIP[Investor ID],INVESTORS_LIST[[#This Row],[INVESTOR CODE]],SIP[B/S],"S"))</f>
        <v>0</v>
      </c>
      <c r="Q45" s="48">
        <f>IF(INVESTORS_LIST[[#This Row],[SIP_TOTAL CURRENT UNITS]]=0,0,INVESTORS_LIST[[#This Row],[SIP_TOTAL CURRENT UNITS]]*INVESTORS_LIST[[#This Row],[SIP_AVERAGE COST]])</f>
        <v>0</v>
      </c>
      <c r="R45" s="48">
        <f>IF(INVESTORS_LIST[[#This Row],[SIP_TOTAL UNITS SOLD]]=0,0,SUMIFS(SIP[Realized Gain],SIP[Investor ID],INVESTORS_LIST[[#This Row],[INVESTOR CODE]],SIP[B/S],"S"))</f>
        <v>0</v>
      </c>
      <c r="S45" s="50">
        <f>INVESTORS_LIST[[#This Row],[LS_TOTAL UNITS BUY]]+INVESTORS_LIST[[#This Row],[SIP_TOTAL UNITS BUY]]</f>
        <v>450000</v>
      </c>
      <c r="T45" s="50">
        <f>INVESTORS_LIST[[#This Row],[LS_TOTAL UNITS SOLD]]+INVESTORS_LIST[[#This Row],[SIP_TOTAL UNITS SOLD]]</f>
        <v>450000</v>
      </c>
      <c r="U45" s="50"/>
      <c r="V45" s="50">
        <f>SUMIFS(LS[BO UNIT TRANSFER],LS[Investor ID],INVESTORS_LIST[[#This Row],[INVESTOR CODE]],LS[B/S],"B")</f>
        <v>0</v>
      </c>
      <c r="W45" s="50">
        <f>SUMIFS(SIP[BO UNIT TRANSFER],SIP[Investor ID],INVESTORS_LIST[[#This Row],[INVESTOR CODE]],SIP[B/S],"B")</f>
        <v>0</v>
      </c>
      <c r="X45" s="50">
        <f>SUMIFS(LS[BO UNIT TRANSFER],LS[Investor ID],INVESTORS_LIST[[#This Row],[INVESTOR CODE]],LS[B/S],"S")</f>
        <v>0</v>
      </c>
      <c r="Y45" s="50">
        <f>SUMIFS(SIP[BO UNIT TRANSFER],SIP[Investor ID],INVESTORS_LIST[[#This Row],[INVESTOR CODE]],SIP[B/S],"S")</f>
        <v>0</v>
      </c>
      <c r="Z45" s="106">
        <f>SUM(INVESTORS_LIST[[#This Row],[BO OPENING BALANCE]:[BO SIP UNITS REPURCHASE]])</f>
        <v>0</v>
      </c>
      <c r="AA45" s="107">
        <f>INVESTORS_LIST[[#This Row],[TOTAL UNITS BUY]]-INVESTORS_LIST[[#This Row],[TOTAL UNITS SOLD]]</f>
        <v>0</v>
      </c>
      <c r="AB45" s="107">
        <f>INVESTORS_LIST[[#This Row],[TOTAL CURRENT UNITS]]-INVESTORS_LIST[[#This Row],[BO UNITS HOLD]]</f>
        <v>0</v>
      </c>
      <c r="AC45" s="201" t="e">
        <f>INDEX([3]!Table_1[BO ID],MATCH(INVESTORS_LIST[[#This Row],[INVESTOR CODE]],[3]!Table_1[INVESTOR CODE],0))</f>
        <v>#REF!</v>
      </c>
      <c r="AD45" s="201" t="e">
        <f>INDEX([3]!Table_1[Brokerage Name2],MATCH(INVESTORS_LIST[[#This Row],[INVESTOR CODE]],[3]!Table_1[INVESTOR CODE],0))</f>
        <v>#REF!</v>
      </c>
      <c r="AE45" s="201" t="e">
        <f>MID(INVESTORS_LIST[[#This Row],[BO ID]],4,5)</f>
        <v>#REF!</v>
      </c>
      <c r="AF45" s="201" t="e">
        <f>MID(INVESTORS_LIST[[#This Row],[BO ID]],2,7)</f>
        <v>#REF!</v>
      </c>
      <c r="AG45" s="201" t="e">
        <f>MID(INVESTORS_LIST[[#This Row],[BO ID]],9,7)</f>
        <v>#REF!</v>
      </c>
      <c r="AH45" s="201" t="e">
        <f>RIGHT(INVESTORS_LIST[[#This Row],[BO ID]],1)</f>
        <v>#REF!</v>
      </c>
      <c r="AI45" s="50">
        <f>INVESTORS_LIST[[#This Row],[LS_TOTAL COST VALUE OF CURRENT UNITS]]+INVESTORS_LIST[[#This Row],[SIP_TOTAL COST VALUE OF CURRENT UNITS]]</f>
        <v>0</v>
      </c>
      <c r="AJ45" s="109">
        <f>IF(INVESTORS_LIST[[#This Row],[TOTAL CURRENT UNITS]]=0,0,INVESTORS_LIST[[#This Row],[LS_TOTAL CURRENT UNITS]]/INVESTORS_LIST[[#This Row],[TOTAL CURRENT UNITS]])</f>
        <v>0</v>
      </c>
      <c r="AK45" s="109">
        <f>IF(INVESTORS_LIST[[#This Row],[TOTAL CURRENT UNITS]]=0,0,INVESTORS_LIST[[#This Row],[SIP_TOTAL CURRENT UNITS]]/INVESTORS_LIST[[#This Row],[TOTAL CURRENT UNITS]])</f>
        <v>0</v>
      </c>
      <c r="AL45" s="49" cm="1">
        <f t="array" ref="AL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" s="49" cm="1">
        <f t="array" ref="AM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" s="105">
        <f t="shared" si="1"/>
        <v>14.224</v>
      </c>
      <c r="AP45" s="112">
        <f>IF(INVESTORS_LIST[[#This Row],[TOTAL CURRENT UNITS]]=0,0,INVESTORS_LIST[[#This Row],[TOTAL CURRENT UNITS]]*INVESTORS_LIST[[#This Row],[NAV]])</f>
        <v>0</v>
      </c>
      <c r="AQ45" s="49">
        <f>IF(INVESTORS_LIST[[#This Row],[LS_TOTAL CURRENT UNITS]]=0,0,INVESTORS_LIST[[#This Row],[LS_TOTAL CURRENT UNITS]]*INVESTORS_LIST[[#This Row],[NAV]])</f>
        <v>0</v>
      </c>
      <c r="AR45" s="48">
        <f>IF(INVESTORS_LIST[[#This Row],[SIP_TOTAL CURRENT UNITS]]=0,0,INVESTORS_LIST[[#This Row],[SIP_TOTAL CURRENT UNITS]]*INVESTORS_LIST[[#This Row],[NAV]])</f>
        <v>0</v>
      </c>
      <c r="AS45" s="50">
        <f>INVESTORS_LIST[[#This Row],[TOTAL CURRENT UNITS]]</f>
        <v>0</v>
      </c>
      <c r="AT45" s="48">
        <f>IF(INVESTORS_LIST[[#This Row],[TOTAL SELLABLE UNITS]]=0,0,INVESTORS_LIST[[#This Row],[TOTAL SELLABLE UNITS]]*INVESTORS_LIST[[#This Row],[NAV]])</f>
        <v>0</v>
      </c>
      <c r="AU45" s="48">
        <f>INVESTORS_LIST[[#This Row],[LS_TOTAL REALIZED GAIN]]+INVESTORS_LIST[[#This Row],[SIP_TOTAL REALIZED GAIN]]</f>
        <v>0</v>
      </c>
      <c r="AV45" s="48">
        <f>INVESTORS_LIST[[#This Row],[TOTAL MARKET VALUE]]-INVESTORS_LIST[[#This Row],[TOTAL COST VALUE OF CURRENT INVESTMENT]]</f>
        <v>0</v>
      </c>
      <c r="AW45" s="48">
        <f>IFERROR(INVESTORS_LIST[[#This Row],[TOTAL CURRENT UNITS]]/SUM(INVESTORS_LIST[TOTAL CURRENT UNITS]),0)</f>
        <v>0</v>
      </c>
    </row>
    <row r="46" spans="1:49" hidden="1">
      <c r="A46" s="262" t="s">
        <v>139</v>
      </c>
      <c r="B46" s="97" t="s">
        <v>140</v>
      </c>
      <c r="C46" t="s">
        <v>48</v>
      </c>
      <c r="D46" s="75" t="s">
        <v>49</v>
      </c>
      <c r="E46" s="47">
        <f>SUMIFS(LS[Unit],LS[Investor ID],INVESTORS_LIST[[#This Row],[INVESTOR CODE]],LS[B/S],"B")</f>
        <v>200000</v>
      </c>
      <c r="F46" s="47">
        <f>-SUMIFS(LS[Unit],LS[Investor ID],INVESTORS_LIST[[#This Row],[INVESTOR CODE]],LS[B/S],"S")</f>
        <v>200000</v>
      </c>
      <c r="G46" s="47">
        <f>IF(INVESTORS_LIST[[#This Row],[LS_TOTAL UNITS BUY]]=0,0,INVESTORS_LIST[[#This Row],[LS_TOTAL UNITS BUY]]-INVESTORS_LIST[[#This Row],[LS_TOTAL UNITS SOLD]])</f>
        <v>0</v>
      </c>
      <c r="H46" s="49">
        <f>IF(INVESTORS_LIST[[#This Row],[LS_TOTAL UNITS BUY]]=0,0,SUMIFS(LS[Amount],LS[Investor ID],INVESTORS_LIST[[#This Row],[INVESTOR CODE]],LS[B/S],"B"))</f>
        <v>2000000</v>
      </c>
      <c r="I46" s="48">
        <f>IF(INVESTORS_LIST[[#This Row],[LS_TOTAL UNITS SOLD]]=0,0,SUMIFS(LS[Cost of Units Sold],LS[Investor ID],INVESTORS_LIST[[#This Row],[INVESTOR CODE]],LS[B/S],"S"))</f>
        <v>2000000</v>
      </c>
      <c r="J46" s="48">
        <f>IF(INVESTORS_LIST[[#This Row],[LS_TOTAL CURRENT UNITS]]=0,0,INVESTORS_LIST[[#This Row],[LS_TOTAL CURRENT UNITS]]*INVESTORS_LIST[[#This Row],[LS_AVERAGE COST]])</f>
        <v>0</v>
      </c>
      <c r="K46" s="49">
        <f>IF(INVESTORS_LIST[[#This Row],[LS_TOTAL UNITS SOLD]]=0,0,SUMIFS(LS[Realized Gain],LS[Investor ID],INVESTORS_LIST[[#This Row],[INVESTOR CODE]],LS[B/S],"S"))</f>
        <v>0</v>
      </c>
      <c r="L46" s="47">
        <f>SUMIFS(SIP[Unit],SIP[Investor ID],INVESTORS_LIST[[#This Row],[INVESTOR CODE]],SIP[B/S],"B")</f>
        <v>0</v>
      </c>
      <c r="M46" s="47">
        <f>-SUMIFS(SIP[Unit],SIP[Investor ID],INVESTORS_LIST[[#This Row],[INVESTOR CODE]],SIP[B/S],"S")</f>
        <v>0</v>
      </c>
      <c r="N46" s="50">
        <f>IF(INVESTORS_LIST[[#This Row],[SIP_TOTAL UNITS BUY]]=0,0,INVESTORS_LIST[[#This Row],[SIP_TOTAL UNITS BUY]]-INVESTORS_LIST[[#This Row],[SIP_TOTAL UNITS SOLD]])</f>
        <v>0</v>
      </c>
      <c r="O46" s="49">
        <f>IF(INVESTORS_LIST[[#This Row],[SIP_TOTAL UNITS BUY]]=0,0,SUMIFS(SIP[Amount],SIP[Investor ID],INVESTORS_LIST[[#This Row],[INVESTOR CODE]],SIP[B/S],"B"))</f>
        <v>0</v>
      </c>
      <c r="P46" s="49">
        <f>IF(INVESTORS_LIST[[#This Row],[SIP_TOTAL UNITS SOLD]]=0,0,SUMIFS(SIP[Cost of Units Sold],SIP[Investor ID],INVESTORS_LIST[[#This Row],[INVESTOR CODE]],SIP[B/S],"S"))</f>
        <v>0</v>
      </c>
      <c r="Q46" s="48">
        <f>IF(INVESTORS_LIST[[#This Row],[SIP_TOTAL CURRENT UNITS]]=0,0,INVESTORS_LIST[[#This Row],[SIP_TOTAL CURRENT UNITS]]*INVESTORS_LIST[[#This Row],[SIP_AVERAGE COST]])</f>
        <v>0</v>
      </c>
      <c r="R46" s="48">
        <f>IF(INVESTORS_LIST[[#This Row],[SIP_TOTAL UNITS SOLD]]=0,0,SUMIFS(SIP[Realized Gain],SIP[Investor ID],INVESTORS_LIST[[#This Row],[INVESTOR CODE]],SIP[B/S],"S"))</f>
        <v>0</v>
      </c>
      <c r="S46" s="50">
        <f>INVESTORS_LIST[[#This Row],[LS_TOTAL UNITS BUY]]+INVESTORS_LIST[[#This Row],[SIP_TOTAL UNITS BUY]]</f>
        <v>200000</v>
      </c>
      <c r="T46" s="50">
        <f>INVESTORS_LIST[[#This Row],[LS_TOTAL UNITS SOLD]]+INVESTORS_LIST[[#This Row],[SIP_TOTAL UNITS SOLD]]</f>
        <v>200000</v>
      </c>
      <c r="U46" s="50"/>
      <c r="V46" s="50">
        <f>SUMIFS(LS[BO UNIT TRANSFER],LS[Investor ID],INVESTORS_LIST[[#This Row],[INVESTOR CODE]],LS[B/S],"B")</f>
        <v>0</v>
      </c>
      <c r="W46" s="50">
        <f>SUMIFS(SIP[BO UNIT TRANSFER],SIP[Investor ID],INVESTORS_LIST[[#This Row],[INVESTOR CODE]],SIP[B/S],"B")</f>
        <v>0</v>
      </c>
      <c r="X46" s="50">
        <f>SUMIFS(LS[BO UNIT TRANSFER],LS[Investor ID],INVESTORS_LIST[[#This Row],[INVESTOR CODE]],LS[B/S],"S")</f>
        <v>0</v>
      </c>
      <c r="Y46" s="50">
        <f>SUMIFS(SIP[BO UNIT TRANSFER],SIP[Investor ID],INVESTORS_LIST[[#This Row],[INVESTOR CODE]],SIP[B/S],"S")</f>
        <v>0</v>
      </c>
      <c r="Z46" s="106">
        <f>SUM(INVESTORS_LIST[[#This Row],[BO OPENING BALANCE]:[BO SIP UNITS REPURCHASE]])</f>
        <v>0</v>
      </c>
      <c r="AA46" s="107">
        <f>INVESTORS_LIST[[#This Row],[TOTAL UNITS BUY]]-INVESTORS_LIST[[#This Row],[TOTAL UNITS SOLD]]</f>
        <v>0</v>
      </c>
      <c r="AB46" s="107">
        <f>INVESTORS_LIST[[#This Row],[TOTAL CURRENT UNITS]]-INVESTORS_LIST[[#This Row],[BO UNITS HOLD]]</f>
        <v>0</v>
      </c>
      <c r="AC46" s="201" t="e">
        <f>INDEX([3]!Table_1[BO ID],MATCH(INVESTORS_LIST[[#This Row],[INVESTOR CODE]],[3]!Table_1[INVESTOR CODE],0))</f>
        <v>#REF!</v>
      </c>
      <c r="AD46" s="201" t="e">
        <f>INDEX([3]!Table_1[Brokerage Name2],MATCH(INVESTORS_LIST[[#This Row],[INVESTOR CODE]],[3]!Table_1[INVESTOR CODE],0))</f>
        <v>#REF!</v>
      </c>
      <c r="AE46" s="201" t="e">
        <f>MID(INVESTORS_LIST[[#This Row],[BO ID]],4,5)</f>
        <v>#REF!</v>
      </c>
      <c r="AF46" s="201" t="e">
        <f>MID(INVESTORS_LIST[[#This Row],[BO ID]],2,7)</f>
        <v>#REF!</v>
      </c>
      <c r="AG46" s="201" t="e">
        <f>MID(INVESTORS_LIST[[#This Row],[BO ID]],9,7)</f>
        <v>#REF!</v>
      </c>
      <c r="AH46" s="201" t="e">
        <f>RIGHT(INVESTORS_LIST[[#This Row],[BO ID]],1)</f>
        <v>#REF!</v>
      </c>
      <c r="AI46" s="50">
        <f>INVESTORS_LIST[[#This Row],[LS_TOTAL COST VALUE OF CURRENT UNITS]]+INVESTORS_LIST[[#This Row],[SIP_TOTAL COST VALUE OF CURRENT UNITS]]</f>
        <v>0</v>
      </c>
      <c r="AJ46" s="109">
        <f>IF(INVESTORS_LIST[[#This Row],[TOTAL CURRENT UNITS]]=0,0,INVESTORS_LIST[[#This Row],[LS_TOTAL CURRENT UNITS]]/INVESTORS_LIST[[#This Row],[TOTAL CURRENT UNITS]])</f>
        <v>0</v>
      </c>
      <c r="AK46" s="109">
        <f>IF(INVESTORS_LIST[[#This Row],[TOTAL CURRENT UNITS]]=0,0,INVESTORS_LIST[[#This Row],[SIP_TOTAL CURRENT UNITS]]/INVESTORS_LIST[[#This Row],[TOTAL CURRENT UNITS]])</f>
        <v>0</v>
      </c>
      <c r="AL46" s="49" cm="1">
        <f t="array" ref="AL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6" s="49" cm="1">
        <f t="array" ref="AM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6" s="105">
        <f t="shared" si="1"/>
        <v>14.224</v>
      </c>
      <c r="AP46" s="112">
        <f>IF(INVESTORS_LIST[[#This Row],[TOTAL CURRENT UNITS]]=0,0,INVESTORS_LIST[[#This Row],[TOTAL CURRENT UNITS]]*INVESTORS_LIST[[#This Row],[NAV]])</f>
        <v>0</v>
      </c>
      <c r="AQ46" s="49">
        <f>IF(INVESTORS_LIST[[#This Row],[LS_TOTAL CURRENT UNITS]]=0,0,INVESTORS_LIST[[#This Row],[LS_TOTAL CURRENT UNITS]]*INVESTORS_LIST[[#This Row],[NAV]])</f>
        <v>0</v>
      </c>
      <c r="AR46" s="48">
        <f>IF(INVESTORS_LIST[[#This Row],[SIP_TOTAL CURRENT UNITS]]=0,0,INVESTORS_LIST[[#This Row],[SIP_TOTAL CURRENT UNITS]]*INVESTORS_LIST[[#This Row],[NAV]])</f>
        <v>0</v>
      </c>
      <c r="AS46" s="50">
        <f>INVESTORS_LIST[[#This Row],[TOTAL CURRENT UNITS]]</f>
        <v>0</v>
      </c>
      <c r="AT46" s="48">
        <f>IF(INVESTORS_LIST[[#This Row],[TOTAL SELLABLE UNITS]]=0,0,INVESTORS_LIST[[#This Row],[TOTAL SELLABLE UNITS]]*INVESTORS_LIST[[#This Row],[NAV]])</f>
        <v>0</v>
      </c>
      <c r="AU46" s="48">
        <f>INVESTORS_LIST[[#This Row],[LS_TOTAL REALIZED GAIN]]+INVESTORS_LIST[[#This Row],[SIP_TOTAL REALIZED GAIN]]</f>
        <v>0</v>
      </c>
      <c r="AV46" s="48">
        <f>INVESTORS_LIST[[#This Row],[TOTAL MARKET VALUE]]-INVESTORS_LIST[[#This Row],[TOTAL COST VALUE OF CURRENT INVESTMENT]]</f>
        <v>0</v>
      </c>
      <c r="AW46" s="48">
        <f>IFERROR(INVESTORS_LIST[[#This Row],[TOTAL CURRENT UNITS]]/SUM(INVESTORS_LIST[TOTAL CURRENT UNITS]),0)</f>
        <v>0</v>
      </c>
    </row>
    <row r="47" spans="1:49" hidden="1">
      <c r="A47" s="262" t="s">
        <v>141</v>
      </c>
      <c r="B47" s="97" t="s">
        <v>142</v>
      </c>
      <c r="C47" t="s">
        <v>48</v>
      </c>
      <c r="D47" s="75" t="s">
        <v>49</v>
      </c>
      <c r="E47" s="47">
        <f>SUMIFS(LS[Unit],LS[Investor ID],INVESTORS_LIST[[#This Row],[INVESTOR CODE]],LS[B/S],"B")</f>
        <v>0</v>
      </c>
      <c r="F47" s="47">
        <f>-SUMIFS(LS[Unit],LS[Investor ID],INVESTORS_LIST[[#This Row],[INVESTOR CODE]],LS[B/S],"S")</f>
        <v>0</v>
      </c>
      <c r="G47" s="47">
        <f>IF(INVESTORS_LIST[[#This Row],[LS_TOTAL UNITS BUY]]=0,0,INVESTORS_LIST[[#This Row],[LS_TOTAL UNITS BUY]]-INVESTORS_LIST[[#This Row],[LS_TOTAL UNITS SOLD]])</f>
        <v>0</v>
      </c>
      <c r="H47" s="49">
        <f>IF(INVESTORS_LIST[[#This Row],[LS_TOTAL UNITS BUY]]=0,0,SUMIFS(LS[Amount],LS[Investor ID],INVESTORS_LIST[[#This Row],[INVESTOR CODE]],LS[B/S],"B"))</f>
        <v>0</v>
      </c>
      <c r="I47" s="48">
        <f>IF(INVESTORS_LIST[[#This Row],[LS_TOTAL UNITS SOLD]]=0,0,SUMIFS(LS[Cost of Units Sold],LS[Investor ID],INVESTORS_LIST[[#This Row],[INVESTOR CODE]],LS[B/S],"S"))</f>
        <v>0</v>
      </c>
      <c r="J47" s="48">
        <f>IF(INVESTORS_LIST[[#This Row],[LS_TOTAL CURRENT UNITS]]=0,0,INVESTORS_LIST[[#This Row],[LS_TOTAL CURRENT UNITS]]*INVESTORS_LIST[[#This Row],[LS_AVERAGE COST]])</f>
        <v>0</v>
      </c>
      <c r="K47" s="49">
        <f>IF(INVESTORS_LIST[[#This Row],[LS_TOTAL UNITS SOLD]]=0,0,SUMIFS(LS[Realized Gain],LS[Investor ID],INVESTORS_LIST[[#This Row],[INVESTOR CODE]],LS[B/S],"S"))</f>
        <v>0</v>
      </c>
      <c r="L47" s="47">
        <f>SUMIFS(SIP[Unit],SIP[Investor ID],INVESTORS_LIST[[#This Row],[INVESTOR CODE]],SIP[B/S],"B")</f>
        <v>0</v>
      </c>
      <c r="M47" s="47">
        <f>-SUMIFS(SIP[Unit],SIP[Investor ID],INVESTORS_LIST[[#This Row],[INVESTOR CODE]],SIP[B/S],"S")</f>
        <v>0</v>
      </c>
      <c r="N47" s="50">
        <f>IF(INVESTORS_LIST[[#This Row],[SIP_TOTAL UNITS BUY]]=0,0,INVESTORS_LIST[[#This Row],[SIP_TOTAL UNITS BUY]]-INVESTORS_LIST[[#This Row],[SIP_TOTAL UNITS SOLD]])</f>
        <v>0</v>
      </c>
      <c r="O47" s="49">
        <f>IF(INVESTORS_LIST[[#This Row],[SIP_TOTAL UNITS BUY]]=0,0,SUMIFS(SIP[Amount],SIP[Investor ID],INVESTORS_LIST[[#This Row],[INVESTOR CODE]],SIP[B/S],"B"))</f>
        <v>0</v>
      </c>
      <c r="P47" s="49">
        <f>IF(INVESTORS_LIST[[#This Row],[SIP_TOTAL UNITS SOLD]]=0,0,SUMIFS(SIP[Cost of Units Sold],SIP[Investor ID],INVESTORS_LIST[[#This Row],[INVESTOR CODE]],SIP[B/S],"S"))</f>
        <v>0</v>
      </c>
      <c r="Q47" s="48">
        <f>IF(INVESTORS_LIST[[#This Row],[SIP_TOTAL CURRENT UNITS]]=0,0,INVESTORS_LIST[[#This Row],[SIP_TOTAL CURRENT UNITS]]*INVESTORS_LIST[[#This Row],[SIP_AVERAGE COST]])</f>
        <v>0</v>
      </c>
      <c r="R47" s="48">
        <f>IF(INVESTORS_LIST[[#This Row],[SIP_TOTAL UNITS SOLD]]=0,0,SUMIFS(SIP[Realized Gain],SIP[Investor ID],INVESTORS_LIST[[#This Row],[INVESTOR CODE]],SIP[B/S],"S"))</f>
        <v>0</v>
      </c>
      <c r="S47" s="50">
        <f>INVESTORS_LIST[[#This Row],[LS_TOTAL UNITS BUY]]+INVESTORS_LIST[[#This Row],[SIP_TOTAL UNITS BUY]]</f>
        <v>0</v>
      </c>
      <c r="T47" s="50">
        <f>INVESTORS_LIST[[#This Row],[LS_TOTAL UNITS SOLD]]+INVESTORS_LIST[[#This Row],[SIP_TOTAL UNITS SOLD]]</f>
        <v>0</v>
      </c>
      <c r="U47" s="50"/>
      <c r="V47" s="50">
        <f>SUMIFS(LS[BO UNIT TRANSFER],LS[Investor ID],INVESTORS_LIST[[#This Row],[INVESTOR CODE]],LS[B/S],"B")</f>
        <v>0</v>
      </c>
      <c r="W47" s="50">
        <f>SUMIFS(SIP[BO UNIT TRANSFER],SIP[Investor ID],INVESTORS_LIST[[#This Row],[INVESTOR CODE]],SIP[B/S],"B")</f>
        <v>0</v>
      </c>
      <c r="X47" s="50">
        <f>SUMIFS(LS[BO UNIT TRANSFER],LS[Investor ID],INVESTORS_LIST[[#This Row],[INVESTOR CODE]],LS[B/S],"S")</f>
        <v>0</v>
      </c>
      <c r="Y47" s="50">
        <f>SUMIFS(SIP[BO UNIT TRANSFER],SIP[Investor ID],INVESTORS_LIST[[#This Row],[INVESTOR CODE]],SIP[B/S],"S")</f>
        <v>0</v>
      </c>
      <c r="Z47" s="106">
        <f>SUM(INVESTORS_LIST[[#This Row],[BO OPENING BALANCE]:[BO SIP UNITS REPURCHASE]])</f>
        <v>0</v>
      </c>
      <c r="AA47" s="107">
        <f>INVESTORS_LIST[[#This Row],[TOTAL UNITS BUY]]-INVESTORS_LIST[[#This Row],[TOTAL UNITS SOLD]]</f>
        <v>0</v>
      </c>
      <c r="AB47" s="107">
        <f>INVESTORS_LIST[[#This Row],[TOTAL CURRENT UNITS]]-INVESTORS_LIST[[#This Row],[BO UNITS HOLD]]</f>
        <v>0</v>
      </c>
      <c r="AC47" s="201" t="e">
        <f>INDEX([3]!Table_1[BO ID],MATCH(INVESTORS_LIST[[#This Row],[INVESTOR CODE]],[3]!Table_1[INVESTOR CODE],0))</f>
        <v>#REF!</v>
      </c>
      <c r="AD47" s="201" t="e">
        <f>INDEX([3]!Table_1[Brokerage Name2],MATCH(INVESTORS_LIST[[#This Row],[INVESTOR CODE]],[3]!Table_1[INVESTOR CODE],0))</f>
        <v>#REF!</v>
      </c>
      <c r="AE47" s="201" t="e">
        <f>MID(INVESTORS_LIST[[#This Row],[BO ID]],4,5)</f>
        <v>#REF!</v>
      </c>
      <c r="AF47" s="201" t="e">
        <f>MID(INVESTORS_LIST[[#This Row],[BO ID]],2,7)</f>
        <v>#REF!</v>
      </c>
      <c r="AG47" s="201" t="e">
        <f>MID(INVESTORS_LIST[[#This Row],[BO ID]],9,7)</f>
        <v>#REF!</v>
      </c>
      <c r="AH47" s="201" t="e">
        <f>RIGHT(INVESTORS_LIST[[#This Row],[BO ID]],1)</f>
        <v>#REF!</v>
      </c>
      <c r="AI47" s="50">
        <f>INVESTORS_LIST[[#This Row],[LS_TOTAL COST VALUE OF CURRENT UNITS]]+INVESTORS_LIST[[#This Row],[SIP_TOTAL COST VALUE OF CURRENT UNITS]]</f>
        <v>0</v>
      </c>
      <c r="AJ47" s="109">
        <f>IF(INVESTORS_LIST[[#This Row],[TOTAL CURRENT UNITS]]=0,0,INVESTORS_LIST[[#This Row],[LS_TOTAL CURRENT UNITS]]/INVESTORS_LIST[[#This Row],[TOTAL CURRENT UNITS]])</f>
        <v>0</v>
      </c>
      <c r="AK47" s="109">
        <f>IF(INVESTORS_LIST[[#This Row],[TOTAL CURRENT UNITS]]=0,0,INVESTORS_LIST[[#This Row],[SIP_TOTAL CURRENT UNITS]]/INVESTORS_LIST[[#This Row],[TOTAL CURRENT UNITS]])</f>
        <v>0</v>
      </c>
      <c r="AL47" s="49" cm="1">
        <f t="array" ref="AL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" s="49" cm="1">
        <f t="array" ref="AM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" s="105">
        <f t="shared" si="1"/>
        <v>14.224</v>
      </c>
      <c r="AP47" s="112">
        <f>IF(INVESTORS_LIST[[#This Row],[TOTAL CURRENT UNITS]]=0,0,INVESTORS_LIST[[#This Row],[TOTAL CURRENT UNITS]]*INVESTORS_LIST[[#This Row],[NAV]])</f>
        <v>0</v>
      </c>
      <c r="AQ47" s="49">
        <f>IF(INVESTORS_LIST[[#This Row],[LS_TOTAL CURRENT UNITS]]=0,0,INVESTORS_LIST[[#This Row],[LS_TOTAL CURRENT UNITS]]*INVESTORS_LIST[[#This Row],[NAV]])</f>
        <v>0</v>
      </c>
      <c r="AR47" s="48">
        <f>IF(INVESTORS_LIST[[#This Row],[SIP_TOTAL CURRENT UNITS]]=0,0,INVESTORS_LIST[[#This Row],[SIP_TOTAL CURRENT UNITS]]*INVESTORS_LIST[[#This Row],[NAV]])</f>
        <v>0</v>
      </c>
      <c r="AS47" s="50">
        <f>INVESTORS_LIST[[#This Row],[TOTAL CURRENT UNITS]]</f>
        <v>0</v>
      </c>
      <c r="AT47" s="48">
        <f>IF(INVESTORS_LIST[[#This Row],[TOTAL SELLABLE UNITS]]=0,0,INVESTORS_LIST[[#This Row],[TOTAL SELLABLE UNITS]]*INVESTORS_LIST[[#This Row],[NAV]])</f>
        <v>0</v>
      </c>
      <c r="AU47" s="48">
        <f>INVESTORS_LIST[[#This Row],[LS_TOTAL REALIZED GAIN]]+INVESTORS_LIST[[#This Row],[SIP_TOTAL REALIZED GAIN]]</f>
        <v>0</v>
      </c>
      <c r="AV47" s="48">
        <f>INVESTORS_LIST[[#This Row],[TOTAL MARKET VALUE]]-INVESTORS_LIST[[#This Row],[TOTAL COST VALUE OF CURRENT INVESTMENT]]</f>
        <v>0</v>
      </c>
      <c r="AW47" s="48">
        <f>IFERROR(INVESTORS_LIST[[#This Row],[TOTAL CURRENT UNITS]]/SUM(INVESTORS_LIST[TOTAL CURRENT UNITS]),0)</f>
        <v>0</v>
      </c>
    </row>
    <row r="48" spans="1:49" hidden="1">
      <c r="A48" s="262" t="s">
        <v>143</v>
      </c>
      <c r="B48" s="97" t="s">
        <v>144</v>
      </c>
      <c r="C48" t="s">
        <v>44</v>
      </c>
      <c r="D48" s="75" t="s">
        <v>45</v>
      </c>
      <c r="E48" s="47">
        <f>SUMIFS(LS[Unit],LS[Investor ID],INVESTORS_LIST[[#This Row],[INVESTOR CODE]],LS[B/S],"B")</f>
        <v>0</v>
      </c>
      <c r="F48" s="47">
        <f>-SUMIFS(LS[Unit],LS[Investor ID],INVESTORS_LIST[[#This Row],[INVESTOR CODE]],LS[B/S],"S")</f>
        <v>0</v>
      </c>
      <c r="G48" s="47">
        <f>IF(INVESTORS_LIST[[#This Row],[LS_TOTAL UNITS BUY]]=0,0,INVESTORS_LIST[[#This Row],[LS_TOTAL UNITS BUY]]-INVESTORS_LIST[[#This Row],[LS_TOTAL UNITS SOLD]])</f>
        <v>0</v>
      </c>
      <c r="H48" s="49">
        <f>IF(INVESTORS_LIST[[#This Row],[LS_TOTAL UNITS BUY]]=0,0,SUMIFS(LS[Amount],LS[Investor ID],INVESTORS_LIST[[#This Row],[INVESTOR CODE]],LS[B/S],"B"))</f>
        <v>0</v>
      </c>
      <c r="I48" s="48">
        <f>IF(INVESTORS_LIST[[#This Row],[LS_TOTAL UNITS SOLD]]=0,0,SUMIFS(LS[Cost of Units Sold],LS[Investor ID],INVESTORS_LIST[[#This Row],[INVESTOR CODE]],LS[B/S],"S"))</f>
        <v>0</v>
      </c>
      <c r="J48" s="48">
        <f>IF(INVESTORS_LIST[[#This Row],[LS_TOTAL CURRENT UNITS]]=0,0,INVESTORS_LIST[[#This Row],[LS_TOTAL CURRENT UNITS]]*INVESTORS_LIST[[#This Row],[LS_AVERAGE COST]])</f>
        <v>0</v>
      </c>
      <c r="K48" s="49">
        <f>IF(INVESTORS_LIST[[#This Row],[LS_TOTAL UNITS SOLD]]=0,0,SUMIFS(LS[Realized Gain],LS[Investor ID],INVESTORS_LIST[[#This Row],[INVESTOR CODE]],LS[B/S],"S"))</f>
        <v>0</v>
      </c>
      <c r="L48" s="47">
        <f>SUMIFS(SIP[Unit],SIP[Investor ID],INVESTORS_LIST[[#This Row],[INVESTOR CODE]],SIP[B/S],"B")</f>
        <v>0</v>
      </c>
      <c r="M48" s="47">
        <f>-SUMIFS(SIP[Unit],SIP[Investor ID],INVESTORS_LIST[[#This Row],[INVESTOR CODE]],SIP[B/S],"S")</f>
        <v>0</v>
      </c>
      <c r="N48" s="50">
        <f>IF(INVESTORS_LIST[[#This Row],[SIP_TOTAL UNITS BUY]]=0,0,INVESTORS_LIST[[#This Row],[SIP_TOTAL UNITS BUY]]-INVESTORS_LIST[[#This Row],[SIP_TOTAL UNITS SOLD]])</f>
        <v>0</v>
      </c>
      <c r="O48" s="49">
        <f>IF(INVESTORS_LIST[[#This Row],[SIP_TOTAL UNITS BUY]]=0,0,SUMIFS(SIP[Amount],SIP[Investor ID],INVESTORS_LIST[[#This Row],[INVESTOR CODE]],SIP[B/S],"B"))</f>
        <v>0</v>
      </c>
      <c r="P48" s="49">
        <f>IF(INVESTORS_LIST[[#This Row],[SIP_TOTAL UNITS SOLD]]=0,0,SUMIFS(SIP[Cost of Units Sold],SIP[Investor ID],INVESTORS_LIST[[#This Row],[INVESTOR CODE]],SIP[B/S],"S"))</f>
        <v>0</v>
      </c>
      <c r="Q48" s="48">
        <f>IF(INVESTORS_LIST[[#This Row],[SIP_TOTAL CURRENT UNITS]]=0,0,INVESTORS_LIST[[#This Row],[SIP_TOTAL CURRENT UNITS]]*INVESTORS_LIST[[#This Row],[SIP_AVERAGE COST]])</f>
        <v>0</v>
      </c>
      <c r="R48" s="48">
        <f>IF(INVESTORS_LIST[[#This Row],[SIP_TOTAL UNITS SOLD]]=0,0,SUMIFS(SIP[Realized Gain],SIP[Investor ID],INVESTORS_LIST[[#This Row],[INVESTOR CODE]],SIP[B/S],"S"))</f>
        <v>0</v>
      </c>
      <c r="S48" s="50">
        <f>INVESTORS_LIST[[#This Row],[LS_TOTAL UNITS BUY]]+INVESTORS_LIST[[#This Row],[SIP_TOTAL UNITS BUY]]</f>
        <v>0</v>
      </c>
      <c r="T48" s="50">
        <f>INVESTORS_LIST[[#This Row],[LS_TOTAL UNITS SOLD]]+INVESTORS_LIST[[#This Row],[SIP_TOTAL UNITS SOLD]]</f>
        <v>0</v>
      </c>
      <c r="U48" s="50"/>
      <c r="V48" s="50">
        <f>SUMIFS(LS[BO UNIT TRANSFER],LS[Investor ID],INVESTORS_LIST[[#This Row],[INVESTOR CODE]],LS[B/S],"B")</f>
        <v>0</v>
      </c>
      <c r="W48" s="50">
        <f>SUMIFS(SIP[BO UNIT TRANSFER],SIP[Investor ID],INVESTORS_LIST[[#This Row],[INVESTOR CODE]],SIP[B/S],"B")</f>
        <v>0</v>
      </c>
      <c r="X48" s="50">
        <f>SUMIFS(LS[BO UNIT TRANSFER],LS[Investor ID],INVESTORS_LIST[[#This Row],[INVESTOR CODE]],LS[B/S],"S")</f>
        <v>0</v>
      </c>
      <c r="Y48" s="50">
        <f>SUMIFS(SIP[BO UNIT TRANSFER],SIP[Investor ID],INVESTORS_LIST[[#This Row],[INVESTOR CODE]],SIP[B/S],"S")</f>
        <v>0</v>
      </c>
      <c r="Z48" s="106">
        <f>SUM(INVESTORS_LIST[[#This Row],[BO OPENING BALANCE]:[BO SIP UNITS REPURCHASE]])</f>
        <v>0</v>
      </c>
      <c r="AA48" s="107">
        <f>INVESTORS_LIST[[#This Row],[TOTAL UNITS BUY]]-INVESTORS_LIST[[#This Row],[TOTAL UNITS SOLD]]</f>
        <v>0</v>
      </c>
      <c r="AB48" s="107">
        <f>INVESTORS_LIST[[#This Row],[TOTAL CURRENT UNITS]]-INVESTORS_LIST[[#This Row],[BO UNITS HOLD]]</f>
        <v>0</v>
      </c>
      <c r="AC48" s="201" t="e">
        <f>INDEX([3]!Table_1[BO ID],MATCH(INVESTORS_LIST[[#This Row],[INVESTOR CODE]],[3]!Table_1[INVESTOR CODE],0))</f>
        <v>#REF!</v>
      </c>
      <c r="AD48" s="201" t="e">
        <f>INDEX([3]!Table_1[Brokerage Name2],MATCH(INVESTORS_LIST[[#This Row],[INVESTOR CODE]],[3]!Table_1[INVESTOR CODE],0))</f>
        <v>#REF!</v>
      </c>
      <c r="AE48" s="201" t="e">
        <f>MID(INVESTORS_LIST[[#This Row],[BO ID]],4,5)</f>
        <v>#REF!</v>
      </c>
      <c r="AF48" s="201" t="e">
        <f>MID(INVESTORS_LIST[[#This Row],[BO ID]],2,7)</f>
        <v>#REF!</v>
      </c>
      <c r="AG48" s="201" t="e">
        <f>MID(INVESTORS_LIST[[#This Row],[BO ID]],9,7)</f>
        <v>#REF!</v>
      </c>
      <c r="AH48" s="201" t="e">
        <f>RIGHT(INVESTORS_LIST[[#This Row],[BO ID]],1)</f>
        <v>#REF!</v>
      </c>
      <c r="AI48" s="50">
        <f>INVESTORS_LIST[[#This Row],[LS_TOTAL COST VALUE OF CURRENT UNITS]]+INVESTORS_LIST[[#This Row],[SIP_TOTAL COST VALUE OF CURRENT UNITS]]</f>
        <v>0</v>
      </c>
      <c r="AJ48" s="109">
        <f>IF(INVESTORS_LIST[[#This Row],[TOTAL CURRENT UNITS]]=0,0,INVESTORS_LIST[[#This Row],[LS_TOTAL CURRENT UNITS]]/INVESTORS_LIST[[#This Row],[TOTAL CURRENT UNITS]])</f>
        <v>0</v>
      </c>
      <c r="AK48" s="109">
        <f>IF(INVESTORS_LIST[[#This Row],[TOTAL CURRENT UNITS]]=0,0,INVESTORS_LIST[[#This Row],[SIP_TOTAL CURRENT UNITS]]/INVESTORS_LIST[[#This Row],[TOTAL CURRENT UNITS]])</f>
        <v>0</v>
      </c>
      <c r="AL48" s="49" cm="1">
        <f t="array" ref="AL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" s="49" cm="1">
        <f t="array" ref="AM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8" s="105">
        <f t="shared" si="1"/>
        <v>14.224</v>
      </c>
      <c r="AP48" s="112">
        <f>IF(INVESTORS_LIST[[#This Row],[TOTAL CURRENT UNITS]]=0,0,INVESTORS_LIST[[#This Row],[TOTAL CURRENT UNITS]]*INVESTORS_LIST[[#This Row],[NAV]])</f>
        <v>0</v>
      </c>
      <c r="AQ48" s="49">
        <f>IF(INVESTORS_LIST[[#This Row],[LS_TOTAL CURRENT UNITS]]=0,0,INVESTORS_LIST[[#This Row],[LS_TOTAL CURRENT UNITS]]*INVESTORS_LIST[[#This Row],[NAV]])</f>
        <v>0</v>
      </c>
      <c r="AR48" s="48">
        <f>IF(INVESTORS_LIST[[#This Row],[SIP_TOTAL CURRENT UNITS]]=0,0,INVESTORS_LIST[[#This Row],[SIP_TOTAL CURRENT UNITS]]*INVESTORS_LIST[[#This Row],[NAV]])</f>
        <v>0</v>
      </c>
      <c r="AS48" s="50">
        <f>INVESTORS_LIST[[#This Row],[TOTAL CURRENT UNITS]]</f>
        <v>0</v>
      </c>
      <c r="AT48" s="48">
        <f>IF(INVESTORS_LIST[[#This Row],[TOTAL SELLABLE UNITS]]=0,0,INVESTORS_LIST[[#This Row],[TOTAL SELLABLE UNITS]]*INVESTORS_LIST[[#This Row],[NAV]])</f>
        <v>0</v>
      </c>
      <c r="AU48" s="48">
        <f>INVESTORS_LIST[[#This Row],[LS_TOTAL REALIZED GAIN]]+INVESTORS_LIST[[#This Row],[SIP_TOTAL REALIZED GAIN]]</f>
        <v>0</v>
      </c>
      <c r="AV48" s="48">
        <f>INVESTORS_LIST[[#This Row],[TOTAL MARKET VALUE]]-INVESTORS_LIST[[#This Row],[TOTAL COST VALUE OF CURRENT INVESTMENT]]</f>
        <v>0</v>
      </c>
      <c r="AW48" s="48">
        <f>IFERROR(INVESTORS_LIST[[#This Row],[TOTAL CURRENT UNITS]]/SUM(INVESTORS_LIST[TOTAL CURRENT UNITS]),0)</f>
        <v>0</v>
      </c>
    </row>
    <row r="49" spans="1:49" hidden="1">
      <c r="A49" s="262" t="s">
        <v>145</v>
      </c>
      <c r="B49" s="97" t="s">
        <v>146</v>
      </c>
      <c r="C49" t="s">
        <v>48</v>
      </c>
      <c r="D49" s="75" t="s">
        <v>80</v>
      </c>
      <c r="E49" s="47">
        <f>SUMIFS(LS[Unit],LS[Investor ID],INVESTORS_LIST[[#This Row],[INVESTOR CODE]],LS[B/S],"B")</f>
        <v>0</v>
      </c>
      <c r="F49" s="47">
        <f>-SUMIFS(LS[Unit],LS[Investor ID],INVESTORS_LIST[[#This Row],[INVESTOR CODE]],LS[B/S],"S")</f>
        <v>0</v>
      </c>
      <c r="G49" s="47">
        <f>IF(INVESTORS_LIST[[#This Row],[LS_TOTAL UNITS BUY]]=0,0,INVESTORS_LIST[[#This Row],[LS_TOTAL UNITS BUY]]-INVESTORS_LIST[[#This Row],[LS_TOTAL UNITS SOLD]])</f>
        <v>0</v>
      </c>
      <c r="H49" s="49">
        <f>IF(INVESTORS_LIST[[#This Row],[LS_TOTAL UNITS BUY]]=0,0,SUMIFS(LS[Amount],LS[Investor ID],INVESTORS_LIST[[#This Row],[INVESTOR CODE]],LS[B/S],"B"))</f>
        <v>0</v>
      </c>
      <c r="I49" s="48">
        <f>IF(INVESTORS_LIST[[#This Row],[LS_TOTAL UNITS SOLD]]=0,0,SUMIFS(LS[Cost of Units Sold],LS[Investor ID],INVESTORS_LIST[[#This Row],[INVESTOR CODE]],LS[B/S],"S"))</f>
        <v>0</v>
      </c>
      <c r="J49" s="48">
        <f>IF(INVESTORS_LIST[[#This Row],[LS_TOTAL CURRENT UNITS]]=0,0,INVESTORS_LIST[[#This Row],[LS_TOTAL CURRENT UNITS]]*INVESTORS_LIST[[#This Row],[LS_AVERAGE COST]])</f>
        <v>0</v>
      </c>
      <c r="K49" s="49">
        <f>IF(INVESTORS_LIST[[#This Row],[LS_TOTAL UNITS SOLD]]=0,0,SUMIFS(LS[Realized Gain],LS[Investor ID],INVESTORS_LIST[[#This Row],[INVESTOR CODE]],LS[B/S],"S"))</f>
        <v>0</v>
      </c>
      <c r="L49" s="47">
        <f>SUMIFS(SIP[Unit],SIP[Investor ID],INVESTORS_LIST[[#This Row],[INVESTOR CODE]],SIP[B/S],"B")</f>
        <v>0</v>
      </c>
      <c r="M49" s="47">
        <f>-SUMIFS(SIP[Unit],SIP[Investor ID],INVESTORS_LIST[[#This Row],[INVESTOR CODE]],SIP[B/S],"S")</f>
        <v>0</v>
      </c>
      <c r="N49" s="50">
        <f>IF(INVESTORS_LIST[[#This Row],[SIP_TOTAL UNITS BUY]]=0,0,INVESTORS_LIST[[#This Row],[SIP_TOTAL UNITS BUY]]-INVESTORS_LIST[[#This Row],[SIP_TOTAL UNITS SOLD]])</f>
        <v>0</v>
      </c>
      <c r="O49" s="49">
        <f>IF(INVESTORS_LIST[[#This Row],[SIP_TOTAL UNITS BUY]]=0,0,SUMIFS(SIP[Amount],SIP[Investor ID],INVESTORS_LIST[[#This Row],[INVESTOR CODE]],SIP[B/S],"B"))</f>
        <v>0</v>
      </c>
      <c r="P49" s="49">
        <f>IF(INVESTORS_LIST[[#This Row],[SIP_TOTAL UNITS SOLD]]=0,0,SUMIFS(SIP[Cost of Units Sold],SIP[Investor ID],INVESTORS_LIST[[#This Row],[INVESTOR CODE]],SIP[B/S],"S"))</f>
        <v>0</v>
      </c>
      <c r="Q49" s="48">
        <f>IF(INVESTORS_LIST[[#This Row],[SIP_TOTAL CURRENT UNITS]]=0,0,INVESTORS_LIST[[#This Row],[SIP_TOTAL CURRENT UNITS]]*INVESTORS_LIST[[#This Row],[SIP_AVERAGE COST]])</f>
        <v>0</v>
      </c>
      <c r="R49" s="48">
        <f>IF(INVESTORS_LIST[[#This Row],[SIP_TOTAL UNITS SOLD]]=0,0,SUMIFS(SIP[Realized Gain],SIP[Investor ID],INVESTORS_LIST[[#This Row],[INVESTOR CODE]],SIP[B/S],"S"))</f>
        <v>0</v>
      </c>
      <c r="S49" s="50">
        <f>INVESTORS_LIST[[#This Row],[LS_TOTAL UNITS BUY]]+INVESTORS_LIST[[#This Row],[SIP_TOTAL UNITS BUY]]</f>
        <v>0</v>
      </c>
      <c r="T49" s="50">
        <f>INVESTORS_LIST[[#This Row],[LS_TOTAL UNITS SOLD]]+INVESTORS_LIST[[#This Row],[SIP_TOTAL UNITS SOLD]]</f>
        <v>0</v>
      </c>
      <c r="U49" s="50"/>
      <c r="V49" s="50">
        <f>SUMIFS(LS[BO UNIT TRANSFER],LS[Investor ID],INVESTORS_LIST[[#This Row],[INVESTOR CODE]],LS[B/S],"B")</f>
        <v>0</v>
      </c>
      <c r="W49" s="50">
        <f>SUMIFS(SIP[BO UNIT TRANSFER],SIP[Investor ID],INVESTORS_LIST[[#This Row],[INVESTOR CODE]],SIP[B/S],"B")</f>
        <v>0</v>
      </c>
      <c r="X49" s="50">
        <f>SUMIFS(LS[BO UNIT TRANSFER],LS[Investor ID],INVESTORS_LIST[[#This Row],[INVESTOR CODE]],LS[B/S],"S")</f>
        <v>0</v>
      </c>
      <c r="Y49" s="50">
        <f>SUMIFS(SIP[BO UNIT TRANSFER],SIP[Investor ID],INVESTORS_LIST[[#This Row],[INVESTOR CODE]],SIP[B/S],"S")</f>
        <v>0</v>
      </c>
      <c r="Z49" s="106">
        <f>SUM(INVESTORS_LIST[[#This Row],[BO OPENING BALANCE]:[BO SIP UNITS REPURCHASE]])</f>
        <v>0</v>
      </c>
      <c r="AA49" s="107">
        <f>INVESTORS_LIST[[#This Row],[TOTAL UNITS BUY]]-INVESTORS_LIST[[#This Row],[TOTAL UNITS SOLD]]</f>
        <v>0</v>
      </c>
      <c r="AB49" s="107">
        <f>INVESTORS_LIST[[#This Row],[TOTAL CURRENT UNITS]]-INVESTORS_LIST[[#This Row],[BO UNITS HOLD]]</f>
        <v>0</v>
      </c>
      <c r="AC49" s="201" t="e">
        <f>INDEX([3]!Table_1[BO ID],MATCH(INVESTORS_LIST[[#This Row],[INVESTOR CODE]],[3]!Table_1[INVESTOR CODE],0))</f>
        <v>#REF!</v>
      </c>
      <c r="AD49" s="201" t="e">
        <f>INDEX([3]!Table_1[Brokerage Name2],MATCH(INVESTORS_LIST[[#This Row],[INVESTOR CODE]],[3]!Table_1[INVESTOR CODE],0))</f>
        <v>#REF!</v>
      </c>
      <c r="AE49" s="201" t="e">
        <f>MID(INVESTORS_LIST[[#This Row],[BO ID]],4,5)</f>
        <v>#REF!</v>
      </c>
      <c r="AF49" s="201" t="e">
        <f>MID(INVESTORS_LIST[[#This Row],[BO ID]],2,7)</f>
        <v>#REF!</v>
      </c>
      <c r="AG49" s="201" t="e">
        <f>MID(INVESTORS_LIST[[#This Row],[BO ID]],9,7)</f>
        <v>#REF!</v>
      </c>
      <c r="AH49" s="201" t="e">
        <f>RIGHT(INVESTORS_LIST[[#This Row],[BO ID]],1)</f>
        <v>#REF!</v>
      </c>
      <c r="AI49" s="50">
        <f>INVESTORS_LIST[[#This Row],[LS_TOTAL COST VALUE OF CURRENT UNITS]]+INVESTORS_LIST[[#This Row],[SIP_TOTAL COST VALUE OF CURRENT UNITS]]</f>
        <v>0</v>
      </c>
      <c r="AJ49" s="109">
        <f>IF(INVESTORS_LIST[[#This Row],[TOTAL CURRENT UNITS]]=0,0,INVESTORS_LIST[[#This Row],[LS_TOTAL CURRENT UNITS]]/INVESTORS_LIST[[#This Row],[TOTAL CURRENT UNITS]])</f>
        <v>0</v>
      </c>
      <c r="AK49" s="109">
        <f>IF(INVESTORS_LIST[[#This Row],[TOTAL CURRENT UNITS]]=0,0,INVESTORS_LIST[[#This Row],[SIP_TOTAL CURRENT UNITS]]/INVESTORS_LIST[[#This Row],[TOTAL CURRENT UNITS]])</f>
        <v>0</v>
      </c>
      <c r="AL49" s="49" cm="1">
        <f t="array" ref="AL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9" s="49" cm="1">
        <f t="array" ref="AM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9" s="105">
        <f t="shared" si="1"/>
        <v>14.224</v>
      </c>
      <c r="AP49" s="112">
        <f>IF(INVESTORS_LIST[[#This Row],[TOTAL CURRENT UNITS]]=0,0,INVESTORS_LIST[[#This Row],[TOTAL CURRENT UNITS]]*INVESTORS_LIST[[#This Row],[NAV]])</f>
        <v>0</v>
      </c>
      <c r="AQ49" s="49">
        <f>IF(INVESTORS_LIST[[#This Row],[LS_TOTAL CURRENT UNITS]]=0,0,INVESTORS_LIST[[#This Row],[LS_TOTAL CURRENT UNITS]]*INVESTORS_LIST[[#This Row],[NAV]])</f>
        <v>0</v>
      </c>
      <c r="AR49" s="48">
        <f>IF(INVESTORS_LIST[[#This Row],[SIP_TOTAL CURRENT UNITS]]=0,0,INVESTORS_LIST[[#This Row],[SIP_TOTAL CURRENT UNITS]]*INVESTORS_LIST[[#This Row],[NAV]])</f>
        <v>0</v>
      </c>
      <c r="AS49" s="50">
        <f>INVESTORS_LIST[[#This Row],[TOTAL CURRENT UNITS]]</f>
        <v>0</v>
      </c>
      <c r="AT49" s="48">
        <f>IF(INVESTORS_LIST[[#This Row],[TOTAL SELLABLE UNITS]]=0,0,INVESTORS_LIST[[#This Row],[TOTAL SELLABLE UNITS]]*INVESTORS_LIST[[#This Row],[NAV]])</f>
        <v>0</v>
      </c>
      <c r="AU49" s="48">
        <f>INVESTORS_LIST[[#This Row],[LS_TOTAL REALIZED GAIN]]+INVESTORS_LIST[[#This Row],[SIP_TOTAL REALIZED GAIN]]</f>
        <v>0</v>
      </c>
      <c r="AV49" s="48">
        <f>INVESTORS_LIST[[#This Row],[TOTAL MARKET VALUE]]-INVESTORS_LIST[[#This Row],[TOTAL COST VALUE OF CURRENT INVESTMENT]]</f>
        <v>0</v>
      </c>
      <c r="AW49" s="48">
        <f>IFERROR(INVESTORS_LIST[[#This Row],[TOTAL CURRENT UNITS]]/SUM(INVESTORS_LIST[TOTAL CURRENT UNITS]),0)</f>
        <v>0</v>
      </c>
    </row>
    <row r="50" spans="1:49" hidden="1">
      <c r="A50" s="262" t="s">
        <v>147</v>
      </c>
      <c r="B50" s="97" t="s">
        <v>148</v>
      </c>
      <c r="C50" t="s">
        <v>48</v>
      </c>
      <c r="D50" s="75" t="s">
        <v>132</v>
      </c>
      <c r="E50" s="47">
        <f>SUMIFS(LS[Unit],LS[Investor ID],INVESTORS_LIST[[#This Row],[INVESTOR CODE]],LS[B/S],"B")</f>
        <v>0</v>
      </c>
      <c r="F50" s="47">
        <f>-SUMIFS(LS[Unit],LS[Investor ID],INVESTORS_LIST[[#This Row],[INVESTOR CODE]],LS[B/S],"S")</f>
        <v>0</v>
      </c>
      <c r="G50" s="47">
        <f>IF(INVESTORS_LIST[[#This Row],[LS_TOTAL UNITS BUY]]=0,0,INVESTORS_LIST[[#This Row],[LS_TOTAL UNITS BUY]]-INVESTORS_LIST[[#This Row],[LS_TOTAL UNITS SOLD]])</f>
        <v>0</v>
      </c>
      <c r="H50" s="49">
        <f>IF(INVESTORS_LIST[[#This Row],[LS_TOTAL UNITS BUY]]=0,0,SUMIFS(LS[Amount],LS[Investor ID],INVESTORS_LIST[[#This Row],[INVESTOR CODE]],LS[B/S],"B"))</f>
        <v>0</v>
      </c>
      <c r="I50" s="48">
        <f>IF(INVESTORS_LIST[[#This Row],[LS_TOTAL UNITS SOLD]]=0,0,SUMIFS(LS[Cost of Units Sold],LS[Investor ID],INVESTORS_LIST[[#This Row],[INVESTOR CODE]],LS[B/S],"S"))</f>
        <v>0</v>
      </c>
      <c r="J50" s="48">
        <f>IF(INVESTORS_LIST[[#This Row],[LS_TOTAL CURRENT UNITS]]=0,0,INVESTORS_LIST[[#This Row],[LS_TOTAL CURRENT UNITS]]*INVESTORS_LIST[[#This Row],[LS_AVERAGE COST]])</f>
        <v>0</v>
      </c>
      <c r="K50" s="49">
        <f>IF(INVESTORS_LIST[[#This Row],[LS_TOTAL UNITS SOLD]]=0,0,SUMIFS(LS[Realized Gain],LS[Investor ID],INVESTORS_LIST[[#This Row],[INVESTOR CODE]],LS[B/S],"S"))</f>
        <v>0</v>
      </c>
      <c r="L50" s="47">
        <f>SUMIFS(SIP[Unit],SIP[Investor ID],INVESTORS_LIST[[#This Row],[INVESTOR CODE]],SIP[B/S],"B")</f>
        <v>0</v>
      </c>
      <c r="M50" s="47">
        <f>-SUMIFS(SIP[Unit],SIP[Investor ID],INVESTORS_LIST[[#This Row],[INVESTOR CODE]],SIP[B/S],"S")</f>
        <v>0</v>
      </c>
      <c r="N50" s="50">
        <f>IF(INVESTORS_LIST[[#This Row],[SIP_TOTAL UNITS BUY]]=0,0,INVESTORS_LIST[[#This Row],[SIP_TOTAL UNITS BUY]]-INVESTORS_LIST[[#This Row],[SIP_TOTAL UNITS SOLD]])</f>
        <v>0</v>
      </c>
      <c r="O50" s="49">
        <f>IF(INVESTORS_LIST[[#This Row],[SIP_TOTAL UNITS BUY]]=0,0,SUMIFS(SIP[Amount],SIP[Investor ID],INVESTORS_LIST[[#This Row],[INVESTOR CODE]],SIP[B/S],"B"))</f>
        <v>0</v>
      </c>
      <c r="P50" s="49">
        <f>IF(INVESTORS_LIST[[#This Row],[SIP_TOTAL UNITS SOLD]]=0,0,SUMIFS(SIP[Cost of Units Sold],SIP[Investor ID],INVESTORS_LIST[[#This Row],[INVESTOR CODE]],SIP[B/S],"S"))</f>
        <v>0</v>
      </c>
      <c r="Q50" s="48">
        <f>IF(INVESTORS_LIST[[#This Row],[SIP_TOTAL CURRENT UNITS]]=0,0,INVESTORS_LIST[[#This Row],[SIP_TOTAL CURRENT UNITS]]*INVESTORS_LIST[[#This Row],[SIP_AVERAGE COST]])</f>
        <v>0</v>
      </c>
      <c r="R50" s="48">
        <f>IF(INVESTORS_LIST[[#This Row],[SIP_TOTAL UNITS SOLD]]=0,0,SUMIFS(SIP[Realized Gain],SIP[Investor ID],INVESTORS_LIST[[#This Row],[INVESTOR CODE]],SIP[B/S],"S"))</f>
        <v>0</v>
      </c>
      <c r="S50" s="50">
        <f>INVESTORS_LIST[[#This Row],[LS_TOTAL UNITS BUY]]+INVESTORS_LIST[[#This Row],[SIP_TOTAL UNITS BUY]]</f>
        <v>0</v>
      </c>
      <c r="T50" s="50">
        <f>INVESTORS_LIST[[#This Row],[LS_TOTAL UNITS SOLD]]+INVESTORS_LIST[[#This Row],[SIP_TOTAL UNITS SOLD]]</f>
        <v>0</v>
      </c>
      <c r="U50" s="50"/>
      <c r="V50" s="50">
        <f>SUMIFS(LS[BO UNIT TRANSFER],LS[Investor ID],INVESTORS_LIST[[#This Row],[INVESTOR CODE]],LS[B/S],"B")</f>
        <v>0</v>
      </c>
      <c r="W50" s="50">
        <f>SUMIFS(SIP[BO UNIT TRANSFER],SIP[Investor ID],INVESTORS_LIST[[#This Row],[INVESTOR CODE]],SIP[B/S],"B")</f>
        <v>0</v>
      </c>
      <c r="X50" s="50">
        <f>SUMIFS(LS[BO UNIT TRANSFER],LS[Investor ID],INVESTORS_LIST[[#This Row],[INVESTOR CODE]],LS[B/S],"S")</f>
        <v>0</v>
      </c>
      <c r="Y50" s="50">
        <f>SUMIFS(SIP[BO UNIT TRANSFER],SIP[Investor ID],INVESTORS_LIST[[#This Row],[INVESTOR CODE]],SIP[B/S],"S")</f>
        <v>0</v>
      </c>
      <c r="Z50" s="106">
        <f>SUM(INVESTORS_LIST[[#This Row],[BO OPENING BALANCE]:[BO SIP UNITS REPURCHASE]])</f>
        <v>0</v>
      </c>
      <c r="AA50" s="107">
        <f>INVESTORS_LIST[[#This Row],[TOTAL UNITS BUY]]-INVESTORS_LIST[[#This Row],[TOTAL UNITS SOLD]]</f>
        <v>0</v>
      </c>
      <c r="AB50" s="107">
        <f>INVESTORS_LIST[[#This Row],[TOTAL CURRENT UNITS]]-INVESTORS_LIST[[#This Row],[BO UNITS HOLD]]</f>
        <v>0</v>
      </c>
      <c r="AC50" s="201" t="e">
        <f>INDEX([3]!Table_1[BO ID],MATCH(INVESTORS_LIST[[#This Row],[INVESTOR CODE]],[3]!Table_1[INVESTOR CODE],0))</f>
        <v>#REF!</v>
      </c>
      <c r="AD50" s="201" t="e">
        <f>INDEX([3]!Table_1[Brokerage Name2],MATCH(INVESTORS_LIST[[#This Row],[INVESTOR CODE]],[3]!Table_1[INVESTOR CODE],0))</f>
        <v>#REF!</v>
      </c>
      <c r="AE50" s="201" t="e">
        <f>MID(INVESTORS_LIST[[#This Row],[BO ID]],4,5)</f>
        <v>#REF!</v>
      </c>
      <c r="AF50" s="201" t="e">
        <f>MID(INVESTORS_LIST[[#This Row],[BO ID]],2,7)</f>
        <v>#REF!</v>
      </c>
      <c r="AG50" s="201" t="e">
        <f>MID(INVESTORS_LIST[[#This Row],[BO ID]],9,7)</f>
        <v>#REF!</v>
      </c>
      <c r="AH50" s="201" t="e">
        <f>RIGHT(INVESTORS_LIST[[#This Row],[BO ID]],1)</f>
        <v>#REF!</v>
      </c>
      <c r="AI50" s="50">
        <f>INVESTORS_LIST[[#This Row],[LS_TOTAL COST VALUE OF CURRENT UNITS]]+INVESTORS_LIST[[#This Row],[SIP_TOTAL COST VALUE OF CURRENT UNITS]]</f>
        <v>0</v>
      </c>
      <c r="AJ50" s="109">
        <f>IF(INVESTORS_LIST[[#This Row],[TOTAL CURRENT UNITS]]=0,0,INVESTORS_LIST[[#This Row],[LS_TOTAL CURRENT UNITS]]/INVESTORS_LIST[[#This Row],[TOTAL CURRENT UNITS]])</f>
        <v>0</v>
      </c>
      <c r="AK50" s="109">
        <f>IF(INVESTORS_LIST[[#This Row],[TOTAL CURRENT UNITS]]=0,0,INVESTORS_LIST[[#This Row],[SIP_TOTAL CURRENT UNITS]]/INVESTORS_LIST[[#This Row],[TOTAL CURRENT UNITS]])</f>
        <v>0</v>
      </c>
      <c r="AL50" s="49" cm="1">
        <f t="array" ref="AL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" s="49" cm="1">
        <f t="array" ref="AM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" s="105">
        <f t="shared" si="1"/>
        <v>14.224</v>
      </c>
      <c r="AP50" s="112">
        <f>IF(INVESTORS_LIST[[#This Row],[TOTAL CURRENT UNITS]]=0,0,INVESTORS_LIST[[#This Row],[TOTAL CURRENT UNITS]]*INVESTORS_LIST[[#This Row],[NAV]])</f>
        <v>0</v>
      </c>
      <c r="AQ50" s="49">
        <f>IF(INVESTORS_LIST[[#This Row],[LS_TOTAL CURRENT UNITS]]=0,0,INVESTORS_LIST[[#This Row],[LS_TOTAL CURRENT UNITS]]*INVESTORS_LIST[[#This Row],[NAV]])</f>
        <v>0</v>
      </c>
      <c r="AR50" s="48">
        <f>IF(INVESTORS_LIST[[#This Row],[SIP_TOTAL CURRENT UNITS]]=0,0,INVESTORS_LIST[[#This Row],[SIP_TOTAL CURRENT UNITS]]*INVESTORS_LIST[[#This Row],[NAV]])</f>
        <v>0</v>
      </c>
      <c r="AS50" s="50">
        <f>INVESTORS_LIST[[#This Row],[TOTAL CURRENT UNITS]]</f>
        <v>0</v>
      </c>
      <c r="AT50" s="48">
        <f>IF(INVESTORS_LIST[[#This Row],[TOTAL SELLABLE UNITS]]=0,0,INVESTORS_LIST[[#This Row],[TOTAL SELLABLE UNITS]]*INVESTORS_LIST[[#This Row],[NAV]])</f>
        <v>0</v>
      </c>
      <c r="AU50" s="48">
        <f>INVESTORS_LIST[[#This Row],[LS_TOTAL REALIZED GAIN]]+INVESTORS_LIST[[#This Row],[SIP_TOTAL REALIZED GAIN]]</f>
        <v>0</v>
      </c>
      <c r="AV50" s="48">
        <f>INVESTORS_LIST[[#This Row],[TOTAL MARKET VALUE]]-INVESTORS_LIST[[#This Row],[TOTAL COST VALUE OF CURRENT INVESTMENT]]</f>
        <v>0</v>
      </c>
      <c r="AW50" s="48">
        <f>IFERROR(INVESTORS_LIST[[#This Row],[TOTAL CURRENT UNITS]]/SUM(INVESTORS_LIST[TOTAL CURRENT UNITS]),0)</f>
        <v>0</v>
      </c>
    </row>
    <row r="51" spans="1:49">
      <c r="A51" s="262" t="s">
        <v>149</v>
      </c>
      <c r="B51" s="97" t="s">
        <v>150</v>
      </c>
      <c r="C51" t="s">
        <v>48</v>
      </c>
      <c r="D51" s="75" t="s">
        <v>80</v>
      </c>
      <c r="E51" s="47">
        <f>SUMIFS(LS[Unit],LS[Investor ID],INVESTORS_LIST[[#This Row],[INVESTOR CODE]],LS[B/S],"B")</f>
        <v>100000</v>
      </c>
      <c r="F51" s="47">
        <f>-SUMIFS(LS[Unit],LS[Investor ID],INVESTORS_LIST[[#This Row],[INVESTOR CODE]],LS[B/S],"S")</f>
        <v>80522</v>
      </c>
      <c r="G51" s="47">
        <f>IF(INVESTORS_LIST[[#This Row],[LS_TOTAL UNITS BUY]]=0,0,INVESTORS_LIST[[#This Row],[LS_TOTAL UNITS BUY]]-INVESTORS_LIST[[#This Row],[LS_TOTAL UNITS SOLD]])</f>
        <v>19478</v>
      </c>
      <c r="H51" s="49">
        <f>IF(INVESTORS_LIST[[#This Row],[LS_TOTAL UNITS BUY]]=0,0,SUMIFS(LS[Amount],LS[Investor ID],INVESTORS_LIST[[#This Row],[INVESTOR CODE]],LS[B/S],"B"))</f>
        <v>1000000</v>
      </c>
      <c r="I51" s="48">
        <f>IF(INVESTORS_LIST[[#This Row],[LS_TOTAL UNITS SOLD]]=0,0,SUMIFS(LS[Cost of Units Sold],LS[Investor ID],INVESTORS_LIST[[#This Row],[INVESTOR CODE]],LS[B/S],"S"))</f>
        <v>805220</v>
      </c>
      <c r="J51" s="48">
        <f>IF(INVESTORS_LIST[[#This Row],[LS_TOTAL CURRENT UNITS]]=0,0,INVESTORS_LIST[[#This Row],[LS_TOTAL CURRENT UNITS]]*INVESTORS_LIST[[#This Row],[LS_AVERAGE COST]])</f>
        <v>194780</v>
      </c>
      <c r="K51" s="49">
        <f>IF(INVESTORS_LIST[[#This Row],[LS_TOTAL UNITS SOLD]]=0,0,SUMIFS(LS[Realized Gain],LS[Investor ID],INVESTORS_LIST[[#This Row],[INVESTOR CODE]],LS[B/S],"S"))</f>
        <v>194779.99999999997</v>
      </c>
      <c r="L51" s="47">
        <f>SUMIFS(SIP[Unit],SIP[Investor ID],INVESTORS_LIST[[#This Row],[INVESTOR CODE]],SIP[B/S],"B")</f>
        <v>0</v>
      </c>
      <c r="M51" s="47">
        <f>-SUMIFS(SIP[Unit],SIP[Investor ID],INVESTORS_LIST[[#This Row],[INVESTOR CODE]],SIP[B/S],"S")</f>
        <v>0</v>
      </c>
      <c r="N51" s="50">
        <f>IF(INVESTORS_LIST[[#This Row],[SIP_TOTAL UNITS BUY]]=0,0,INVESTORS_LIST[[#This Row],[SIP_TOTAL UNITS BUY]]-INVESTORS_LIST[[#This Row],[SIP_TOTAL UNITS SOLD]])</f>
        <v>0</v>
      </c>
      <c r="O51" s="49">
        <f>IF(INVESTORS_LIST[[#This Row],[SIP_TOTAL UNITS BUY]]=0,0,SUMIFS(SIP[Amount],SIP[Investor ID],INVESTORS_LIST[[#This Row],[INVESTOR CODE]],SIP[B/S],"B"))</f>
        <v>0</v>
      </c>
      <c r="P51" s="49">
        <f>IF(INVESTORS_LIST[[#This Row],[SIP_TOTAL UNITS SOLD]]=0,0,SUMIFS(SIP[Cost of Units Sold],SIP[Investor ID],INVESTORS_LIST[[#This Row],[INVESTOR CODE]],SIP[B/S],"S"))</f>
        <v>0</v>
      </c>
      <c r="Q51" s="48">
        <f>IF(INVESTORS_LIST[[#This Row],[SIP_TOTAL CURRENT UNITS]]=0,0,INVESTORS_LIST[[#This Row],[SIP_TOTAL CURRENT UNITS]]*INVESTORS_LIST[[#This Row],[SIP_AVERAGE COST]])</f>
        <v>0</v>
      </c>
      <c r="R51" s="48">
        <f>IF(INVESTORS_LIST[[#This Row],[SIP_TOTAL UNITS SOLD]]=0,0,SUMIFS(SIP[Realized Gain],SIP[Investor ID],INVESTORS_LIST[[#This Row],[INVESTOR CODE]],SIP[B/S],"S"))</f>
        <v>0</v>
      </c>
      <c r="S51" s="50">
        <f>INVESTORS_LIST[[#This Row],[LS_TOTAL UNITS BUY]]+INVESTORS_LIST[[#This Row],[SIP_TOTAL UNITS BUY]]</f>
        <v>100000</v>
      </c>
      <c r="T51" s="50">
        <f>INVESTORS_LIST[[#This Row],[LS_TOTAL UNITS SOLD]]+INVESTORS_LIST[[#This Row],[SIP_TOTAL UNITS SOLD]]</f>
        <v>80522</v>
      </c>
      <c r="U51" s="50"/>
      <c r="V51" s="50">
        <f>SUMIFS(LS[BO UNIT TRANSFER],LS[Investor ID],INVESTORS_LIST[[#This Row],[INVESTOR CODE]],LS[B/S],"B")</f>
        <v>0</v>
      </c>
      <c r="W51" s="50">
        <f>SUMIFS(SIP[BO UNIT TRANSFER],SIP[Investor ID],INVESTORS_LIST[[#This Row],[INVESTOR CODE]],SIP[B/S],"B")</f>
        <v>0</v>
      </c>
      <c r="X51" s="50">
        <f>SUMIFS(LS[BO UNIT TRANSFER],LS[Investor ID],INVESTORS_LIST[[#This Row],[INVESTOR CODE]],LS[B/S],"S")</f>
        <v>0</v>
      </c>
      <c r="Y51" s="50">
        <f>SUMIFS(SIP[BO UNIT TRANSFER],SIP[Investor ID],INVESTORS_LIST[[#This Row],[INVESTOR CODE]],SIP[B/S],"S")</f>
        <v>0</v>
      </c>
      <c r="Z51" s="106">
        <f>SUM(INVESTORS_LIST[[#This Row],[BO OPENING BALANCE]:[BO SIP UNITS REPURCHASE]])</f>
        <v>0</v>
      </c>
      <c r="AA51" s="107">
        <f>INVESTORS_LIST[[#This Row],[TOTAL UNITS BUY]]-INVESTORS_LIST[[#This Row],[TOTAL UNITS SOLD]]</f>
        <v>19478</v>
      </c>
      <c r="AB51" s="107">
        <f>INVESTORS_LIST[[#This Row],[TOTAL CURRENT UNITS]]-INVESTORS_LIST[[#This Row],[BO UNITS HOLD]]</f>
        <v>19478</v>
      </c>
      <c r="AC51" s="201" t="e">
        <f>INDEX([3]!Table_1[BO ID],MATCH(INVESTORS_LIST[[#This Row],[INVESTOR CODE]],[3]!Table_1[INVESTOR CODE],0))</f>
        <v>#REF!</v>
      </c>
      <c r="AD51" s="201" t="e">
        <f>INDEX([3]!Table_1[Brokerage Name2],MATCH(INVESTORS_LIST[[#This Row],[INVESTOR CODE]],[3]!Table_1[INVESTOR CODE],0))</f>
        <v>#REF!</v>
      </c>
      <c r="AE51" s="201" t="e">
        <f>MID(INVESTORS_LIST[[#This Row],[BO ID]],4,5)</f>
        <v>#REF!</v>
      </c>
      <c r="AF51" s="201" t="e">
        <f>MID(INVESTORS_LIST[[#This Row],[BO ID]],2,7)</f>
        <v>#REF!</v>
      </c>
      <c r="AG51" s="201" t="e">
        <f>MID(INVESTORS_LIST[[#This Row],[BO ID]],9,7)</f>
        <v>#REF!</v>
      </c>
      <c r="AH51" s="201" t="e">
        <f>RIGHT(INVESTORS_LIST[[#This Row],[BO ID]],1)</f>
        <v>#REF!</v>
      </c>
      <c r="AI51" s="50">
        <f>INVESTORS_LIST[[#This Row],[LS_TOTAL COST VALUE OF CURRENT UNITS]]+INVESTORS_LIST[[#This Row],[SIP_TOTAL COST VALUE OF CURRENT UNITS]]</f>
        <v>194780</v>
      </c>
      <c r="AJ51" s="109">
        <f>IF(INVESTORS_LIST[[#This Row],[TOTAL CURRENT UNITS]]=0,0,INVESTORS_LIST[[#This Row],[LS_TOTAL CURRENT UNITS]]/INVESTORS_LIST[[#This Row],[TOTAL CURRENT UNITS]])</f>
        <v>1</v>
      </c>
      <c r="AK51" s="109">
        <f>IF(INVESTORS_LIST[[#This Row],[TOTAL CURRENT UNITS]]=0,0,INVESTORS_LIST[[#This Row],[SIP_TOTAL CURRENT UNITS]]/INVESTORS_LIST[[#This Row],[TOTAL CURRENT UNITS]])</f>
        <v>0</v>
      </c>
      <c r="AL51" s="49" cm="1">
        <f t="array" ref="AL51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51" s="49" cm="1">
        <f t="array" ref="AM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51" s="105">
        <f t="shared" si="1"/>
        <v>14.224</v>
      </c>
      <c r="AP51" s="112">
        <f>IF(INVESTORS_LIST[[#This Row],[TOTAL CURRENT UNITS]]=0,0,INVESTORS_LIST[[#This Row],[TOTAL CURRENT UNITS]]*INVESTORS_LIST[[#This Row],[NAV]])</f>
        <v>277055.07199999999</v>
      </c>
      <c r="AQ51" s="49">
        <f>IF(INVESTORS_LIST[[#This Row],[LS_TOTAL CURRENT UNITS]]=0,0,INVESTORS_LIST[[#This Row],[LS_TOTAL CURRENT UNITS]]*INVESTORS_LIST[[#This Row],[NAV]])</f>
        <v>277055.07199999999</v>
      </c>
      <c r="AR51" s="48">
        <f>IF(INVESTORS_LIST[[#This Row],[SIP_TOTAL CURRENT UNITS]]=0,0,INVESTORS_LIST[[#This Row],[SIP_TOTAL CURRENT UNITS]]*INVESTORS_LIST[[#This Row],[NAV]])</f>
        <v>0</v>
      </c>
      <c r="AS51" s="50">
        <f>INVESTORS_LIST[[#This Row],[TOTAL CURRENT UNITS]]</f>
        <v>19478</v>
      </c>
      <c r="AT51" s="48">
        <f>IF(INVESTORS_LIST[[#This Row],[TOTAL SELLABLE UNITS]]=0,0,INVESTORS_LIST[[#This Row],[TOTAL SELLABLE UNITS]]*INVESTORS_LIST[[#This Row],[NAV]])</f>
        <v>277055.07199999999</v>
      </c>
      <c r="AU51" s="48">
        <f>INVESTORS_LIST[[#This Row],[LS_TOTAL REALIZED GAIN]]+INVESTORS_LIST[[#This Row],[SIP_TOTAL REALIZED GAIN]]</f>
        <v>194779.99999999997</v>
      </c>
      <c r="AV51" s="48">
        <f>INVESTORS_LIST[[#This Row],[TOTAL MARKET VALUE]]-INVESTORS_LIST[[#This Row],[TOTAL COST VALUE OF CURRENT INVESTMENT]]</f>
        <v>82275.071999999986</v>
      </c>
      <c r="AW51" s="108">
        <f>IFERROR(INVESTORS_LIST[[#This Row],[TOTAL CURRENT UNITS]]/SUM(INVESTORS_LIST[TOTAL CURRENT UNITS]),0)</f>
        <v>4.72851977400307E-4</v>
      </c>
    </row>
    <row r="52" spans="1:49" hidden="1">
      <c r="A52" s="262" t="s">
        <v>151</v>
      </c>
      <c r="B52" s="97" t="s">
        <v>152</v>
      </c>
      <c r="C52" t="s">
        <v>52</v>
      </c>
      <c r="D52" s="75" t="s">
        <v>45</v>
      </c>
      <c r="E52" s="47">
        <f>SUMIFS(LS[Unit],LS[Investor ID],INVESTORS_LIST[[#This Row],[INVESTOR CODE]],LS[B/S],"B")</f>
        <v>0</v>
      </c>
      <c r="F52" s="47">
        <f>-SUMIFS(LS[Unit],LS[Investor ID],INVESTORS_LIST[[#This Row],[INVESTOR CODE]],LS[B/S],"S")</f>
        <v>0</v>
      </c>
      <c r="G52" s="47">
        <f>IF(INVESTORS_LIST[[#This Row],[LS_TOTAL UNITS BUY]]=0,0,INVESTORS_LIST[[#This Row],[LS_TOTAL UNITS BUY]]-INVESTORS_LIST[[#This Row],[LS_TOTAL UNITS SOLD]])</f>
        <v>0</v>
      </c>
      <c r="H52" s="49">
        <f>IF(INVESTORS_LIST[[#This Row],[LS_TOTAL UNITS BUY]]=0,0,SUMIFS(LS[Amount],LS[Investor ID],INVESTORS_LIST[[#This Row],[INVESTOR CODE]],LS[B/S],"B"))</f>
        <v>0</v>
      </c>
      <c r="I52" s="48">
        <f>IF(INVESTORS_LIST[[#This Row],[LS_TOTAL UNITS SOLD]]=0,0,SUMIFS(LS[Cost of Units Sold],LS[Investor ID],INVESTORS_LIST[[#This Row],[INVESTOR CODE]],LS[B/S],"S"))</f>
        <v>0</v>
      </c>
      <c r="J52" s="48">
        <f>IF(INVESTORS_LIST[[#This Row],[LS_TOTAL CURRENT UNITS]]=0,0,INVESTORS_LIST[[#This Row],[LS_TOTAL CURRENT UNITS]]*INVESTORS_LIST[[#This Row],[LS_AVERAGE COST]])</f>
        <v>0</v>
      </c>
      <c r="K52" s="49">
        <f>IF(INVESTORS_LIST[[#This Row],[LS_TOTAL UNITS SOLD]]=0,0,SUMIFS(LS[Realized Gain],LS[Investor ID],INVESTORS_LIST[[#This Row],[INVESTOR CODE]],LS[B/S],"S"))</f>
        <v>0</v>
      </c>
      <c r="L52" s="47">
        <f>SUMIFS(SIP[Unit],SIP[Investor ID],INVESTORS_LIST[[#This Row],[INVESTOR CODE]],SIP[B/S],"B")</f>
        <v>0</v>
      </c>
      <c r="M52" s="47">
        <f>-SUMIFS(SIP[Unit],SIP[Investor ID],INVESTORS_LIST[[#This Row],[INVESTOR CODE]],SIP[B/S],"S")</f>
        <v>0</v>
      </c>
      <c r="N52" s="50">
        <f>IF(INVESTORS_LIST[[#This Row],[SIP_TOTAL UNITS BUY]]=0,0,INVESTORS_LIST[[#This Row],[SIP_TOTAL UNITS BUY]]-INVESTORS_LIST[[#This Row],[SIP_TOTAL UNITS SOLD]])</f>
        <v>0</v>
      </c>
      <c r="O52" s="49">
        <f>IF(INVESTORS_LIST[[#This Row],[SIP_TOTAL UNITS BUY]]=0,0,SUMIFS(SIP[Amount],SIP[Investor ID],INVESTORS_LIST[[#This Row],[INVESTOR CODE]],SIP[B/S],"B"))</f>
        <v>0</v>
      </c>
      <c r="P52" s="49">
        <f>IF(INVESTORS_LIST[[#This Row],[SIP_TOTAL UNITS SOLD]]=0,0,SUMIFS(SIP[Cost of Units Sold],SIP[Investor ID],INVESTORS_LIST[[#This Row],[INVESTOR CODE]],SIP[B/S],"S"))</f>
        <v>0</v>
      </c>
      <c r="Q52" s="48">
        <f>IF(INVESTORS_LIST[[#This Row],[SIP_TOTAL CURRENT UNITS]]=0,0,INVESTORS_LIST[[#This Row],[SIP_TOTAL CURRENT UNITS]]*INVESTORS_LIST[[#This Row],[SIP_AVERAGE COST]])</f>
        <v>0</v>
      </c>
      <c r="R52" s="48">
        <f>IF(INVESTORS_LIST[[#This Row],[SIP_TOTAL UNITS SOLD]]=0,0,SUMIFS(SIP[Realized Gain],SIP[Investor ID],INVESTORS_LIST[[#This Row],[INVESTOR CODE]],SIP[B/S],"S"))</f>
        <v>0</v>
      </c>
      <c r="S52" s="50">
        <f>INVESTORS_LIST[[#This Row],[LS_TOTAL UNITS BUY]]+INVESTORS_LIST[[#This Row],[SIP_TOTAL UNITS BUY]]</f>
        <v>0</v>
      </c>
      <c r="T52" s="50">
        <f>INVESTORS_LIST[[#This Row],[LS_TOTAL UNITS SOLD]]+INVESTORS_LIST[[#This Row],[SIP_TOTAL UNITS SOLD]]</f>
        <v>0</v>
      </c>
      <c r="U52" s="50"/>
      <c r="V52" s="50">
        <f>SUMIFS(LS[BO UNIT TRANSFER],LS[Investor ID],INVESTORS_LIST[[#This Row],[INVESTOR CODE]],LS[B/S],"B")</f>
        <v>0</v>
      </c>
      <c r="W52" s="50">
        <f>SUMIFS(SIP[BO UNIT TRANSFER],SIP[Investor ID],INVESTORS_LIST[[#This Row],[INVESTOR CODE]],SIP[B/S],"B")</f>
        <v>0</v>
      </c>
      <c r="X52" s="50">
        <f>SUMIFS(LS[BO UNIT TRANSFER],LS[Investor ID],INVESTORS_LIST[[#This Row],[INVESTOR CODE]],LS[B/S],"S")</f>
        <v>0</v>
      </c>
      <c r="Y52" s="50">
        <f>SUMIFS(SIP[BO UNIT TRANSFER],SIP[Investor ID],INVESTORS_LIST[[#This Row],[INVESTOR CODE]],SIP[B/S],"S")</f>
        <v>0</v>
      </c>
      <c r="Z52" s="106">
        <f>SUM(INVESTORS_LIST[[#This Row],[BO OPENING BALANCE]:[BO SIP UNITS REPURCHASE]])</f>
        <v>0</v>
      </c>
      <c r="AA52" s="107">
        <f>INVESTORS_LIST[[#This Row],[TOTAL UNITS BUY]]-INVESTORS_LIST[[#This Row],[TOTAL UNITS SOLD]]</f>
        <v>0</v>
      </c>
      <c r="AB52" s="107">
        <f>INVESTORS_LIST[[#This Row],[TOTAL CURRENT UNITS]]-INVESTORS_LIST[[#This Row],[BO UNITS HOLD]]</f>
        <v>0</v>
      </c>
      <c r="AC52" s="201" t="e">
        <f>INDEX([3]!Table_1[BO ID],MATCH(INVESTORS_LIST[[#This Row],[INVESTOR CODE]],[3]!Table_1[INVESTOR CODE],0))</f>
        <v>#REF!</v>
      </c>
      <c r="AD52" s="201" t="e">
        <f>INDEX([3]!Table_1[Brokerage Name2],MATCH(INVESTORS_LIST[[#This Row],[INVESTOR CODE]],[3]!Table_1[INVESTOR CODE],0))</f>
        <v>#REF!</v>
      </c>
      <c r="AE52" s="201" t="e">
        <f>MID(INVESTORS_LIST[[#This Row],[BO ID]],4,5)</f>
        <v>#REF!</v>
      </c>
      <c r="AF52" s="201" t="e">
        <f>MID(INVESTORS_LIST[[#This Row],[BO ID]],2,7)</f>
        <v>#REF!</v>
      </c>
      <c r="AG52" s="201" t="e">
        <f>MID(INVESTORS_LIST[[#This Row],[BO ID]],9,7)</f>
        <v>#REF!</v>
      </c>
      <c r="AH52" s="201" t="e">
        <f>RIGHT(INVESTORS_LIST[[#This Row],[BO ID]],1)</f>
        <v>#REF!</v>
      </c>
      <c r="AI52" s="50">
        <f>INVESTORS_LIST[[#This Row],[LS_TOTAL COST VALUE OF CURRENT UNITS]]+INVESTORS_LIST[[#This Row],[SIP_TOTAL COST VALUE OF CURRENT UNITS]]</f>
        <v>0</v>
      </c>
      <c r="AJ52" s="109">
        <f>IF(INVESTORS_LIST[[#This Row],[TOTAL CURRENT UNITS]]=0,0,INVESTORS_LIST[[#This Row],[LS_TOTAL CURRENT UNITS]]/INVESTORS_LIST[[#This Row],[TOTAL CURRENT UNITS]])</f>
        <v>0</v>
      </c>
      <c r="AK52" s="109">
        <f>IF(INVESTORS_LIST[[#This Row],[TOTAL CURRENT UNITS]]=0,0,INVESTORS_LIST[[#This Row],[SIP_TOTAL CURRENT UNITS]]/INVESTORS_LIST[[#This Row],[TOTAL CURRENT UNITS]])</f>
        <v>0</v>
      </c>
      <c r="AL52" s="49" cm="1">
        <f t="array" ref="AL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" s="49" cm="1">
        <f t="array" ref="AM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" s="105">
        <f t="shared" si="1"/>
        <v>14.224</v>
      </c>
      <c r="AP52" s="112">
        <f>IF(INVESTORS_LIST[[#This Row],[TOTAL CURRENT UNITS]]=0,0,INVESTORS_LIST[[#This Row],[TOTAL CURRENT UNITS]]*INVESTORS_LIST[[#This Row],[NAV]])</f>
        <v>0</v>
      </c>
      <c r="AQ52" s="49">
        <f>IF(INVESTORS_LIST[[#This Row],[LS_TOTAL CURRENT UNITS]]=0,0,INVESTORS_LIST[[#This Row],[LS_TOTAL CURRENT UNITS]]*INVESTORS_LIST[[#This Row],[NAV]])</f>
        <v>0</v>
      </c>
      <c r="AR52" s="48">
        <f>IF(INVESTORS_LIST[[#This Row],[SIP_TOTAL CURRENT UNITS]]=0,0,INVESTORS_LIST[[#This Row],[SIP_TOTAL CURRENT UNITS]]*INVESTORS_LIST[[#This Row],[NAV]])</f>
        <v>0</v>
      </c>
      <c r="AS52" s="50">
        <f>INVESTORS_LIST[[#This Row],[TOTAL CURRENT UNITS]]</f>
        <v>0</v>
      </c>
      <c r="AT52" s="48">
        <f>IF(INVESTORS_LIST[[#This Row],[TOTAL SELLABLE UNITS]]=0,0,INVESTORS_LIST[[#This Row],[TOTAL SELLABLE UNITS]]*INVESTORS_LIST[[#This Row],[NAV]])</f>
        <v>0</v>
      </c>
      <c r="AU52" s="48">
        <f>INVESTORS_LIST[[#This Row],[LS_TOTAL REALIZED GAIN]]+INVESTORS_LIST[[#This Row],[SIP_TOTAL REALIZED GAIN]]</f>
        <v>0</v>
      </c>
      <c r="AV52" s="48">
        <f>INVESTORS_LIST[[#This Row],[TOTAL MARKET VALUE]]-INVESTORS_LIST[[#This Row],[TOTAL COST VALUE OF CURRENT INVESTMENT]]</f>
        <v>0</v>
      </c>
      <c r="AW52" s="48">
        <f>IFERROR(INVESTORS_LIST[[#This Row],[TOTAL CURRENT UNITS]]/SUM(INVESTORS_LIST[TOTAL CURRENT UNITS]),0)</f>
        <v>0</v>
      </c>
    </row>
    <row r="53" spans="1:49" hidden="1">
      <c r="A53" s="262" t="s">
        <v>153</v>
      </c>
      <c r="B53" s="97" t="s">
        <v>154</v>
      </c>
      <c r="C53" t="s">
        <v>44</v>
      </c>
      <c r="D53" s="75" t="s">
        <v>45</v>
      </c>
      <c r="E53" s="47">
        <f>SUMIFS(LS[Unit],LS[Investor ID],INVESTORS_LIST[[#This Row],[INVESTOR CODE]],LS[B/S],"B")</f>
        <v>167532</v>
      </c>
      <c r="F53" s="47">
        <f>-SUMIFS(LS[Unit],LS[Investor ID],INVESTORS_LIST[[#This Row],[INVESTOR CODE]],LS[B/S],"S")</f>
        <v>167532</v>
      </c>
      <c r="G53" s="47">
        <f>IF(INVESTORS_LIST[[#This Row],[LS_TOTAL UNITS BUY]]=0,0,INVESTORS_LIST[[#This Row],[LS_TOTAL UNITS BUY]]-INVESTORS_LIST[[#This Row],[LS_TOTAL UNITS SOLD]])</f>
        <v>0</v>
      </c>
      <c r="H53" s="49">
        <f>IF(INVESTORS_LIST[[#This Row],[LS_TOTAL UNITS BUY]]=0,0,SUMIFS(LS[Amount],LS[Investor ID],INVESTORS_LIST[[#This Row],[INVESTOR CODE]],LS[B/S],"B"))</f>
        <v>1940000</v>
      </c>
      <c r="I53" s="48">
        <f>IF(INVESTORS_LIST[[#This Row],[LS_TOTAL UNITS SOLD]]=0,0,SUMIFS(LS[Cost of Units Sold],LS[Investor ID],INVESTORS_LIST[[#This Row],[INVESTOR CODE]],LS[B/S],"S"))</f>
        <v>1940000</v>
      </c>
      <c r="J53" s="48">
        <f>IF(INVESTORS_LIST[[#This Row],[LS_TOTAL CURRENT UNITS]]=0,0,INVESTORS_LIST[[#This Row],[LS_TOTAL CURRENT UNITS]]*INVESTORS_LIST[[#This Row],[LS_AVERAGE COST]])</f>
        <v>0</v>
      </c>
      <c r="K53" s="49">
        <f>IF(INVESTORS_LIST[[#This Row],[LS_TOTAL UNITS SOLD]]=0,0,SUMIFS(LS[Realized Gain],LS[Investor ID],INVESTORS_LIST[[#This Row],[INVESTOR CODE]],LS[B/S],"S"))</f>
        <v>97478.559999999983</v>
      </c>
      <c r="L53" s="47">
        <f>SUMIFS(SIP[Unit],SIP[Investor ID],INVESTORS_LIST[[#This Row],[INVESTOR CODE]],SIP[B/S],"B")</f>
        <v>153981</v>
      </c>
      <c r="M53" s="47">
        <f>-SUMIFS(SIP[Unit],SIP[Investor ID],INVESTORS_LIST[[#This Row],[INVESTOR CODE]],SIP[B/S],"S")</f>
        <v>153981</v>
      </c>
      <c r="N53" s="50">
        <f>IF(INVESTORS_LIST[[#This Row],[SIP_TOTAL UNITS BUY]]=0,0,INVESTORS_LIST[[#This Row],[SIP_TOTAL UNITS BUY]]-INVESTORS_LIST[[#This Row],[SIP_TOTAL UNITS SOLD]])</f>
        <v>0</v>
      </c>
      <c r="O53" s="49">
        <f>IF(INVESTORS_LIST[[#This Row],[SIP_TOTAL UNITS BUY]]=0,0,SUMIFS(SIP[Amount],SIP[Investor ID],INVESTORS_LIST[[#This Row],[INVESTOR CODE]],SIP[B/S],"B"))</f>
        <v>1750101</v>
      </c>
      <c r="P53" s="49">
        <f>IF(INVESTORS_LIST[[#This Row],[SIP_TOTAL UNITS SOLD]]=0,0,SUMIFS(SIP[Cost of Units Sold],SIP[Investor ID],INVESTORS_LIST[[#This Row],[INVESTOR CODE]],SIP[B/S],"S"))</f>
        <v>1747127.6423828728</v>
      </c>
      <c r="Q53" s="48">
        <f>IF(INVESTORS_LIST[[#This Row],[SIP_TOTAL CURRENT UNITS]]=0,0,INVESTORS_LIST[[#This Row],[SIP_TOTAL CURRENT UNITS]]*INVESTORS_LIST[[#This Row],[SIP_AVERAGE COST]])</f>
        <v>0</v>
      </c>
      <c r="R53" s="48">
        <f>IF(INVESTORS_LIST[[#This Row],[SIP_TOTAL UNITS SOLD]]=0,0,SUMIFS(SIP[Realized Gain],SIP[Investor ID],INVESTORS_LIST[[#This Row],[INVESTOR CODE]],SIP[B/S],"S"))</f>
        <v>198271.26761712733</v>
      </c>
      <c r="S53" s="50">
        <f>INVESTORS_LIST[[#This Row],[LS_TOTAL UNITS BUY]]+INVESTORS_LIST[[#This Row],[SIP_TOTAL UNITS BUY]]</f>
        <v>321513</v>
      </c>
      <c r="T53" s="50">
        <f>INVESTORS_LIST[[#This Row],[LS_TOTAL UNITS SOLD]]+INVESTORS_LIST[[#This Row],[SIP_TOTAL UNITS SOLD]]</f>
        <v>321513</v>
      </c>
      <c r="U53" s="50">
        <v>96766</v>
      </c>
      <c r="V53" s="50">
        <f>SUMIFS(LS[BO UNIT TRANSFER],LS[Investor ID],INVESTORS_LIST[[#This Row],[INVESTOR CODE]],LS[B/S],"B")</f>
        <v>0</v>
      </c>
      <c r="W53" s="50">
        <f>SUMIFS(SIP[BO UNIT TRANSFER],SIP[Investor ID],INVESTORS_LIST[[#This Row],[INVESTOR CODE]],SIP[B/S],"B")</f>
        <v>0</v>
      </c>
      <c r="X53" s="50">
        <f>SUMIFS(LS[BO UNIT TRANSFER],LS[Investor ID],INVESTORS_LIST[[#This Row],[INVESTOR CODE]],LS[B/S],"S")</f>
        <v>0</v>
      </c>
      <c r="Y53" s="50">
        <f>SUMIFS(SIP[BO UNIT TRANSFER],SIP[Investor ID],INVESTORS_LIST[[#This Row],[INVESTOR CODE]],SIP[B/S],"S")</f>
        <v>0</v>
      </c>
      <c r="Z53" s="106">
        <f>SUM(INVESTORS_LIST[[#This Row],[BO OPENING BALANCE]:[BO SIP UNITS REPURCHASE]])</f>
        <v>96766</v>
      </c>
      <c r="AA53" s="107">
        <f>INVESTORS_LIST[[#This Row],[TOTAL UNITS BUY]]-INVESTORS_LIST[[#This Row],[TOTAL UNITS SOLD]]</f>
        <v>0</v>
      </c>
      <c r="AB53" s="107">
        <f>INVESTORS_LIST[[#This Row],[TOTAL CURRENT UNITS]]-INVESTORS_LIST[[#This Row],[BO UNITS HOLD]]</f>
        <v>-96766</v>
      </c>
      <c r="AC53" s="201" t="e">
        <f>INDEX([3]!Table_1[BO ID],MATCH(INVESTORS_LIST[[#This Row],[INVESTOR CODE]],[3]!Table_1[INVESTOR CODE],0))</f>
        <v>#REF!</v>
      </c>
      <c r="AD53" s="201" t="e">
        <f>INDEX([3]!Table_1[Brokerage Name2],MATCH(INVESTORS_LIST[[#This Row],[INVESTOR CODE]],[3]!Table_1[INVESTOR CODE],0))</f>
        <v>#REF!</v>
      </c>
      <c r="AE53" s="201" t="e">
        <f>MID(INVESTORS_LIST[[#This Row],[BO ID]],4,5)</f>
        <v>#REF!</v>
      </c>
      <c r="AF53" s="201" t="e">
        <f>MID(INVESTORS_LIST[[#This Row],[BO ID]],2,7)</f>
        <v>#REF!</v>
      </c>
      <c r="AG53" s="201" t="e">
        <f>MID(INVESTORS_LIST[[#This Row],[BO ID]],9,7)</f>
        <v>#REF!</v>
      </c>
      <c r="AH53" s="201" t="e">
        <f>RIGHT(INVESTORS_LIST[[#This Row],[BO ID]],1)</f>
        <v>#REF!</v>
      </c>
      <c r="AI53" s="50">
        <f>INVESTORS_LIST[[#This Row],[LS_TOTAL COST VALUE OF CURRENT UNITS]]+INVESTORS_LIST[[#This Row],[SIP_TOTAL COST VALUE OF CURRENT UNITS]]</f>
        <v>0</v>
      </c>
      <c r="AJ53" s="109">
        <f>IF(INVESTORS_LIST[[#This Row],[TOTAL CURRENT UNITS]]=0,0,INVESTORS_LIST[[#This Row],[LS_TOTAL CURRENT UNITS]]/INVESTORS_LIST[[#This Row],[TOTAL CURRENT UNITS]])</f>
        <v>0</v>
      </c>
      <c r="AK53" s="109">
        <f>IF(INVESTORS_LIST[[#This Row],[TOTAL CURRENT UNITS]]=0,0,INVESTORS_LIST[[#This Row],[SIP_TOTAL CURRENT UNITS]]/INVESTORS_LIST[[#This Row],[TOTAL CURRENT UNITS]])</f>
        <v>0</v>
      </c>
      <c r="AL53" s="49" cm="1">
        <f t="array" ref="AL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" s="49" cm="1">
        <f t="array" ref="AM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" s="105">
        <f t="shared" si="1"/>
        <v>14.224</v>
      </c>
      <c r="AP53" s="112">
        <f>IF(INVESTORS_LIST[[#This Row],[TOTAL CURRENT UNITS]]=0,0,INVESTORS_LIST[[#This Row],[TOTAL CURRENT UNITS]]*INVESTORS_LIST[[#This Row],[NAV]])</f>
        <v>0</v>
      </c>
      <c r="AQ53" s="49">
        <f>IF(INVESTORS_LIST[[#This Row],[LS_TOTAL CURRENT UNITS]]=0,0,INVESTORS_LIST[[#This Row],[LS_TOTAL CURRENT UNITS]]*INVESTORS_LIST[[#This Row],[NAV]])</f>
        <v>0</v>
      </c>
      <c r="AR53" s="48">
        <f>IF(INVESTORS_LIST[[#This Row],[SIP_TOTAL CURRENT UNITS]]=0,0,INVESTORS_LIST[[#This Row],[SIP_TOTAL CURRENT UNITS]]*INVESTORS_LIST[[#This Row],[NAV]])</f>
        <v>0</v>
      </c>
      <c r="AS53" s="50">
        <f>INVESTORS_LIST[[#This Row],[TOTAL CURRENT UNITS]]</f>
        <v>0</v>
      </c>
      <c r="AT53" s="48">
        <f>IF(INVESTORS_LIST[[#This Row],[TOTAL SELLABLE UNITS]]=0,0,INVESTORS_LIST[[#This Row],[TOTAL SELLABLE UNITS]]*INVESTORS_LIST[[#This Row],[NAV]])</f>
        <v>0</v>
      </c>
      <c r="AU53" s="48">
        <f>INVESTORS_LIST[[#This Row],[LS_TOTAL REALIZED GAIN]]+INVESTORS_LIST[[#This Row],[SIP_TOTAL REALIZED GAIN]]</f>
        <v>295749.82761712733</v>
      </c>
      <c r="AV53" s="48">
        <f>INVESTORS_LIST[[#This Row],[TOTAL MARKET VALUE]]-INVESTORS_LIST[[#This Row],[TOTAL COST VALUE OF CURRENT INVESTMENT]]</f>
        <v>0</v>
      </c>
      <c r="AW53" s="108">
        <f>IFERROR(INVESTORS_LIST[[#This Row],[TOTAL CURRENT UNITS]]/SUM(INVESTORS_LIST[TOTAL CURRENT UNITS]),0)</f>
        <v>0</v>
      </c>
    </row>
    <row r="54" spans="1:49" hidden="1">
      <c r="A54" s="262" t="s">
        <v>155</v>
      </c>
      <c r="B54" s="97" t="s">
        <v>156</v>
      </c>
      <c r="C54" t="s">
        <v>44</v>
      </c>
      <c r="D54" s="75" t="s">
        <v>45</v>
      </c>
      <c r="E54" s="47">
        <f>SUMIFS(LS[Unit],LS[Investor ID],INVESTORS_LIST[[#This Row],[INVESTOR CODE]],LS[B/S],"B")</f>
        <v>0</v>
      </c>
      <c r="F54" s="47">
        <f>-SUMIFS(LS[Unit],LS[Investor ID],INVESTORS_LIST[[#This Row],[INVESTOR CODE]],LS[B/S],"S")</f>
        <v>0</v>
      </c>
      <c r="G54" s="47">
        <f>IF(INVESTORS_LIST[[#This Row],[LS_TOTAL UNITS BUY]]=0,0,INVESTORS_LIST[[#This Row],[LS_TOTAL UNITS BUY]]-INVESTORS_LIST[[#This Row],[LS_TOTAL UNITS SOLD]])</f>
        <v>0</v>
      </c>
      <c r="H54" s="49">
        <f>IF(INVESTORS_LIST[[#This Row],[LS_TOTAL UNITS BUY]]=0,0,SUMIFS(LS[Amount],LS[Investor ID],INVESTORS_LIST[[#This Row],[INVESTOR CODE]],LS[B/S],"B"))</f>
        <v>0</v>
      </c>
      <c r="I54" s="48">
        <f>IF(INVESTORS_LIST[[#This Row],[LS_TOTAL UNITS SOLD]]=0,0,SUMIFS(LS[Cost of Units Sold],LS[Investor ID],INVESTORS_LIST[[#This Row],[INVESTOR CODE]],LS[B/S],"S"))</f>
        <v>0</v>
      </c>
      <c r="J54" s="48">
        <f>IF(INVESTORS_LIST[[#This Row],[LS_TOTAL CURRENT UNITS]]=0,0,INVESTORS_LIST[[#This Row],[LS_TOTAL CURRENT UNITS]]*INVESTORS_LIST[[#This Row],[LS_AVERAGE COST]])</f>
        <v>0</v>
      </c>
      <c r="K54" s="49">
        <f>IF(INVESTORS_LIST[[#This Row],[LS_TOTAL UNITS SOLD]]=0,0,SUMIFS(LS[Realized Gain],LS[Investor ID],INVESTORS_LIST[[#This Row],[INVESTOR CODE]],LS[B/S],"S"))</f>
        <v>0</v>
      </c>
      <c r="L54" s="47">
        <f>SUMIFS(SIP[Unit],SIP[Investor ID],INVESTORS_LIST[[#This Row],[INVESTOR CODE]],SIP[B/S],"B")</f>
        <v>0</v>
      </c>
      <c r="M54" s="47">
        <f>-SUMIFS(SIP[Unit],SIP[Investor ID],INVESTORS_LIST[[#This Row],[INVESTOR CODE]],SIP[B/S],"S")</f>
        <v>0</v>
      </c>
      <c r="N54" s="50">
        <f>IF(INVESTORS_LIST[[#This Row],[SIP_TOTAL UNITS BUY]]=0,0,INVESTORS_LIST[[#This Row],[SIP_TOTAL UNITS BUY]]-INVESTORS_LIST[[#This Row],[SIP_TOTAL UNITS SOLD]])</f>
        <v>0</v>
      </c>
      <c r="O54" s="49">
        <f>IF(INVESTORS_LIST[[#This Row],[SIP_TOTAL UNITS BUY]]=0,0,SUMIFS(SIP[Amount],SIP[Investor ID],INVESTORS_LIST[[#This Row],[INVESTOR CODE]],SIP[B/S],"B"))</f>
        <v>0</v>
      </c>
      <c r="P54" s="49">
        <f>IF(INVESTORS_LIST[[#This Row],[SIP_TOTAL UNITS SOLD]]=0,0,SUMIFS(SIP[Cost of Units Sold],SIP[Investor ID],INVESTORS_LIST[[#This Row],[INVESTOR CODE]],SIP[B/S],"S"))</f>
        <v>0</v>
      </c>
      <c r="Q54" s="48">
        <f>IF(INVESTORS_LIST[[#This Row],[SIP_TOTAL CURRENT UNITS]]=0,0,INVESTORS_LIST[[#This Row],[SIP_TOTAL CURRENT UNITS]]*INVESTORS_LIST[[#This Row],[SIP_AVERAGE COST]])</f>
        <v>0</v>
      </c>
      <c r="R54" s="48">
        <f>IF(INVESTORS_LIST[[#This Row],[SIP_TOTAL UNITS SOLD]]=0,0,SUMIFS(SIP[Realized Gain],SIP[Investor ID],INVESTORS_LIST[[#This Row],[INVESTOR CODE]],SIP[B/S],"S"))</f>
        <v>0</v>
      </c>
      <c r="S54" s="50">
        <f>INVESTORS_LIST[[#This Row],[LS_TOTAL UNITS BUY]]+INVESTORS_LIST[[#This Row],[SIP_TOTAL UNITS BUY]]</f>
        <v>0</v>
      </c>
      <c r="T54" s="50">
        <f>INVESTORS_LIST[[#This Row],[LS_TOTAL UNITS SOLD]]+INVESTORS_LIST[[#This Row],[SIP_TOTAL UNITS SOLD]]</f>
        <v>0</v>
      </c>
      <c r="U54" s="50"/>
      <c r="V54" s="50">
        <f>SUMIFS(LS[BO UNIT TRANSFER],LS[Investor ID],INVESTORS_LIST[[#This Row],[INVESTOR CODE]],LS[B/S],"B")</f>
        <v>0</v>
      </c>
      <c r="W54" s="50">
        <f>SUMIFS(SIP[BO UNIT TRANSFER],SIP[Investor ID],INVESTORS_LIST[[#This Row],[INVESTOR CODE]],SIP[B/S],"B")</f>
        <v>0</v>
      </c>
      <c r="X54" s="50">
        <f>SUMIFS(LS[BO UNIT TRANSFER],LS[Investor ID],INVESTORS_LIST[[#This Row],[INVESTOR CODE]],LS[B/S],"S")</f>
        <v>0</v>
      </c>
      <c r="Y54" s="50">
        <f>SUMIFS(SIP[BO UNIT TRANSFER],SIP[Investor ID],INVESTORS_LIST[[#This Row],[INVESTOR CODE]],SIP[B/S],"S")</f>
        <v>0</v>
      </c>
      <c r="Z54" s="106">
        <f>SUM(INVESTORS_LIST[[#This Row],[BO OPENING BALANCE]:[BO SIP UNITS REPURCHASE]])</f>
        <v>0</v>
      </c>
      <c r="AA54" s="107">
        <f>INVESTORS_LIST[[#This Row],[TOTAL UNITS BUY]]-INVESTORS_LIST[[#This Row],[TOTAL UNITS SOLD]]</f>
        <v>0</v>
      </c>
      <c r="AB54" s="107">
        <f>INVESTORS_LIST[[#This Row],[TOTAL CURRENT UNITS]]-INVESTORS_LIST[[#This Row],[BO UNITS HOLD]]</f>
        <v>0</v>
      </c>
      <c r="AC54" s="201" t="e">
        <f>INDEX([3]!Table_1[BO ID],MATCH(INVESTORS_LIST[[#This Row],[INVESTOR CODE]],[3]!Table_1[INVESTOR CODE],0))</f>
        <v>#REF!</v>
      </c>
      <c r="AD54" s="201" t="e">
        <f>INDEX([3]!Table_1[Brokerage Name2],MATCH(INVESTORS_LIST[[#This Row],[INVESTOR CODE]],[3]!Table_1[INVESTOR CODE],0))</f>
        <v>#REF!</v>
      </c>
      <c r="AE54" s="201" t="e">
        <f>MID(INVESTORS_LIST[[#This Row],[BO ID]],4,5)</f>
        <v>#REF!</v>
      </c>
      <c r="AF54" s="201" t="e">
        <f>MID(INVESTORS_LIST[[#This Row],[BO ID]],2,7)</f>
        <v>#REF!</v>
      </c>
      <c r="AG54" s="201" t="e">
        <f>MID(INVESTORS_LIST[[#This Row],[BO ID]],9,7)</f>
        <v>#REF!</v>
      </c>
      <c r="AH54" s="201" t="e">
        <f>RIGHT(INVESTORS_LIST[[#This Row],[BO ID]],1)</f>
        <v>#REF!</v>
      </c>
      <c r="AI54" s="50">
        <f>INVESTORS_LIST[[#This Row],[LS_TOTAL COST VALUE OF CURRENT UNITS]]+INVESTORS_LIST[[#This Row],[SIP_TOTAL COST VALUE OF CURRENT UNITS]]</f>
        <v>0</v>
      </c>
      <c r="AJ54" s="109">
        <f>IF(INVESTORS_LIST[[#This Row],[TOTAL CURRENT UNITS]]=0,0,INVESTORS_LIST[[#This Row],[LS_TOTAL CURRENT UNITS]]/INVESTORS_LIST[[#This Row],[TOTAL CURRENT UNITS]])</f>
        <v>0</v>
      </c>
      <c r="AK54" s="109">
        <f>IF(INVESTORS_LIST[[#This Row],[TOTAL CURRENT UNITS]]=0,0,INVESTORS_LIST[[#This Row],[SIP_TOTAL CURRENT UNITS]]/INVESTORS_LIST[[#This Row],[TOTAL CURRENT UNITS]])</f>
        <v>0</v>
      </c>
      <c r="AL54" s="49" cm="1">
        <f t="array" ref="AL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" s="49" cm="1">
        <f t="array" ref="AM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4" s="105">
        <f t="shared" si="1"/>
        <v>14.224</v>
      </c>
      <c r="AP54" s="112">
        <f>IF(INVESTORS_LIST[[#This Row],[TOTAL CURRENT UNITS]]=0,0,INVESTORS_LIST[[#This Row],[TOTAL CURRENT UNITS]]*INVESTORS_LIST[[#This Row],[NAV]])</f>
        <v>0</v>
      </c>
      <c r="AQ54" s="49">
        <f>IF(INVESTORS_LIST[[#This Row],[LS_TOTAL CURRENT UNITS]]=0,0,INVESTORS_LIST[[#This Row],[LS_TOTAL CURRENT UNITS]]*INVESTORS_LIST[[#This Row],[NAV]])</f>
        <v>0</v>
      </c>
      <c r="AR54" s="48">
        <f>IF(INVESTORS_LIST[[#This Row],[SIP_TOTAL CURRENT UNITS]]=0,0,INVESTORS_LIST[[#This Row],[SIP_TOTAL CURRENT UNITS]]*INVESTORS_LIST[[#This Row],[NAV]])</f>
        <v>0</v>
      </c>
      <c r="AS54" s="50">
        <f>INVESTORS_LIST[[#This Row],[TOTAL CURRENT UNITS]]</f>
        <v>0</v>
      </c>
      <c r="AT54" s="48">
        <f>IF(INVESTORS_LIST[[#This Row],[TOTAL SELLABLE UNITS]]=0,0,INVESTORS_LIST[[#This Row],[TOTAL SELLABLE UNITS]]*INVESTORS_LIST[[#This Row],[NAV]])</f>
        <v>0</v>
      </c>
      <c r="AU54" s="48">
        <f>INVESTORS_LIST[[#This Row],[LS_TOTAL REALIZED GAIN]]+INVESTORS_LIST[[#This Row],[SIP_TOTAL REALIZED GAIN]]</f>
        <v>0</v>
      </c>
      <c r="AV54" s="48">
        <f>INVESTORS_LIST[[#This Row],[TOTAL MARKET VALUE]]-INVESTORS_LIST[[#This Row],[TOTAL COST VALUE OF CURRENT INVESTMENT]]</f>
        <v>0</v>
      </c>
      <c r="AW54" s="48">
        <f>IFERROR(INVESTORS_LIST[[#This Row],[TOTAL CURRENT UNITS]]/SUM(INVESTORS_LIST[TOTAL CURRENT UNITS]),0)</f>
        <v>0</v>
      </c>
    </row>
    <row r="55" spans="1:49">
      <c r="A55" s="262" t="s">
        <v>157</v>
      </c>
      <c r="B55" s="97" t="s">
        <v>158</v>
      </c>
      <c r="C55" t="s">
        <v>44</v>
      </c>
      <c r="D55" s="75" t="s">
        <v>45</v>
      </c>
      <c r="E55" s="47">
        <f>SUMIFS(LS[Unit],LS[Investor ID],INVESTORS_LIST[[#This Row],[INVESTOR CODE]],LS[B/S],"B")</f>
        <v>204855</v>
      </c>
      <c r="F55" s="47">
        <f>-SUMIFS(LS[Unit],LS[Investor ID],INVESTORS_LIST[[#This Row],[INVESTOR CODE]],LS[B/S],"S")</f>
        <v>204855</v>
      </c>
      <c r="G55" s="47">
        <f>IF(INVESTORS_LIST[[#This Row],[LS_TOTAL UNITS BUY]]=0,0,INVESTORS_LIST[[#This Row],[LS_TOTAL UNITS BUY]]-INVESTORS_LIST[[#This Row],[LS_TOTAL UNITS SOLD]])</f>
        <v>0</v>
      </c>
      <c r="H55" s="49">
        <f>IF(INVESTORS_LIST[[#This Row],[LS_TOTAL UNITS BUY]]=0,0,SUMIFS(LS[Amount],LS[Investor ID],INVESTORS_LIST[[#This Row],[INVESTOR CODE]],LS[B/S],"B"))</f>
        <v>2360000</v>
      </c>
      <c r="I55" s="48">
        <f>IF(INVESTORS_LIST[[#This Row],[LS_TOTAL UNITS SOLD]]=0,0,SUMIFS(LS[Cost of Units Sold],LS[Investor ID],INVESTORS_LIST[[#This Row],[INVESTOR CODE]],LS[B/S],"S"))</f>
        <v>2360000</v>
      </c>
      <c r="J55" s="48">
        <f>IF(INVESTORS_LIST[[#This Row],[LS_TOTAL CURRENT UNITS]]=0,0,INVESTORS_LIST[[#This Row],[LS_TOTAL CURRENT UNITS]]*INVESTORS_LIST[[#This Row],[LS_AVERAGE COST]])</f>
        <v>0</v>
      </c>
      <c r="K55" s="49">
        <f>IF(INVESTORS_LIST[[#This Row],[LS_TOTAL UNITS SOLD]]=0,0,SUMIFS(LS[Realized Gain],LS[Investor ID],INVESTORS_LIST[[#This Row],[INVESTOR CODE]],LS[B/S],"S"))</f>
        <v>136341.81000000003</v>
      </c>
      <c r="L55" s="47">
        <f>SUMIFS(SIP[Unit],SIP[Investor ID],INVESTORS_LIST[[#This Row],[INVESTOR CODE]],SIP[B/S],"B")</f>
        <v>59047</v>
      </c>
      <c r="M55" s="47">
        <f>-SUMIFS(SIP[Unit],SIP[Investor ID],INVESTORS_LIST[[#This Row],[INVESTOR CODE]],SIP[B/S],"S")</f>
        <v>49549</v>
      </c>
      <c r="N55" s="50">
        <f>IF(INVESTORS_LIST[[#This Row],[SIP_TOTAL UNITS BUY]]=0,0,INVESTORS_LIST[[#This Row],[SIP_TOTAL UNITS BUY]]-INVESTORS_LIST[[#This Row],[SIP_TOTAL UNITS SOLD]])</f>
        <v>9498</v>
      </c>
      <c r="O55" s="49">
        <f>IF(INVESTORS_LIST[[#This Row],[SIP_TOTAL UNITS BUY]]=0,0,SUMIFS(SIP[Amount],SIP[Investor ID],INVESTORS_LIST[[#This Row],[INVESTOR CODE]],SIP[B/S],"B"))</f>
        <v>680000</v>
      </c>
      <c r="P55" s="49">
        <f>IF(INVESTORS_LIST[[#This Row],[SIP_TOTAL UNITS SOLD]]=0,0,SUMIFS(SIP[Cost of Units Sold],SIP[Investor ID],INVESTORS_LIST[[#This Row],[INVESTOR CODE]],SIP[B/S],"S"))</f>
        <v>549202.9803567396</v>
      </c>
      <c r="Q55" s="48">
        <f>IF(INVESTORS_LIST[[#This Row],[SIP_TOTAL CURRENT UNITS]]=0,0,INVESTORS_LIST[[#This Row],[SIP_TOTAL CURRENT UNITS]]*INVESTORS_LIST[[#This Row],[SIP_AVERAGE COST]])</f>
        <v>130797.01964326033</v>
      </c>
      <c r="R55" s="48">
        <f>IF(INVESTORS_LIST[[#This Row],[SIP_TOTAL UNITS SOLD]]=0,0,SUMIFS(SIP[Realized Gain],SIP[Investor ID],INVESTORS_LIST[[#This Row],[INVESTOR CODE]],SIP[B/S],"S"))</f>
        <v>55316.049643260405</v>
      </c>
      <c r="S55" s="50">
        <f>INVESTORS_LIST[[#This Row],[LS_TOTAL UNITS BUY]]+INVESTORS_LIST[[#This Row],[SIP_TOTAL UNITS BUY]]</f>
        <v>263902</v>
      </c>
      <c r="T55" s="50">
        <f>INVESTORS_LIST[[#This Row],[LS_TOTAL UNITS SOLD]]+INVESTORS_LIST[[#This Row],[SIP_TOTAL UNITS SOLD]]</f>
        <v>254404</v>
      </c>
      <c r="U55" s="50">
        <v>162163</v>
      </c>
      <c r="V55" s="50">
        <f>SUMIFS(LS[BO UNIT TRANSFER],LS[Investor ID],INVESTORS_LIST[[#This Row],[INVESTOR CODE]],LS[B/S],"B")</f>
        <v>0</v>
      </c>
      <c r="W55" s="50">
        <f>SUMIFS(SIP[BO UNIT TRANSFER],SIP[Investor ID],INVESTORS_LIST[[#This Row],[INVESTOR CODE]],SIP[B/S],"B")</f>
        <v>0</v>
      </c>
      <c r="X55" s="50">
        <f>SUMIFS(LS[BO UNIT TRANSFER],LS[Investor ID],INVESTORS_LIST[[#This Row],[INVESTOR CODE]],LS[B/S],"S")</f>
        <v>0</v>
      </c>
      <c r="Y55" s="50">
        <f>SUMIFS(SIP[BO UNIT TRANSFER],SIP[Investor ID],INVESTORS_LIST[[#This Row],[INVESTOR CODE]],SIP[B/S],"S")</f>
        <v>0</v>
      </c>
      <c r="Z55" s="106">
        <f>SUM(INVESTORS_LIST[[#This Row],[BO OPENING BALANCE]:[BO SIP UNITS REPURCHASE]])</f>
        <v>162163</v>
      </c>
      <c r="AA55" s="107">
        <f>INVESTORS_LIST[[#This Row],[TOTAL UNITS BUY]]-INVESTORS_LIST[[#This Row],[TOTAL UNITS SOLD]]</f>
        <v>9498</v>
      </c>
      <c r="AB55" s="107">
        <f>INVESTORS_LIST[[#This Row],[TOTAL CURRENT UNITS]]-INVESTORS_LIST[[#This Row],[BO UNITS HOLD]]</f>
        <v>-152665</v>
      </c>
      <c r="AC55" s="201" t="e">
        <f>INDEX([3]!Table_1[BO ID],MATCH(INVESTORS_LIST[[#This Row],[INVESTOR CODE]],[3]!Table_1[INVESTOR CODE],0))</f>
        <v>#REF!</v>
      </c>
      <c r="AD55" s="201" t="e">
        <f>INDEX([3]!Table_1[Brokerage Name2],MATCH(INVESTORS_LIST[[#This Row],[INVESTOR CODE]],[3]!Table_1[INVESTOR CODE],0))</f>
        <v>#REF!</v>
      </c>
      <c r="AE55" s="201" t="e">
        <f>MID(INVESTORS_LIST[[#This Row],[BO ID]],4,5)</f>
        <v>#REF!</v>
      </c>
      <c r="AF55" s="201" t="e">
        <f>MID(INVESTORS_LIST[[#This Row],[BO ID]],2,7)</f>
        <v>#REF!</v>
      </c>
      <c r="AG55" s="201" t="e">
        <f>MID(INVESTORS_LIST[[#This Row],[BO ID]],9,7)</f>
        <v>#REF!</v>
      </c>
      <c r="AH55" s="201" t="e">
        <f>RIGHT(INVESTORS_LIST[[#This Row],[BO ID]],1)</f>
        <v>#REF!</v>
      </c>
      <c r="AI55" s="50">
        <f>INVESTORS_LIST[[#This Row],[LS_TOTAL COST VALUE OF CURRENT UNITS]]+INVESTORS_LIST[[#This Row],[SIP_TOTAL COST VALUE OF CURRENT UNITS]]</f>
        <v>130797.01964326033</v>
      </c>
      <c r="AJ55" s="109">
        <f>IF(INVESTORS_LIST[[#This Row],[TOTAL CURRENT UNITS]]=0,0,INVESTORS_LIST[[#This Row],[LS_TOTAL CURRENT UNITS]]/INVESTORS_LIST[[#This Row],[TOTAL CURRENT UNITS]])</f>
        <v>0</v>
      </c>
      <c r="AK55" s="109">
        <f>IF(INVESTORS_LIST[[#This Row],[TOTAL CURRENT UNITS]]=0,0,INVESTORS_LIST[[#This Row],[SIP_TOTAL CURRENT UNITS]]/INVESTORS_LIST[[#This Row],[TOTAL CURRENT UNITS]])</f>
        <v>1</v>
      </c>
      <c r="AL55" s="49" cm="1">
        <f t="array" ref="AL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5" s="49" cm="1">
        <f t="array" ref="AM55">IF(INVESTORS_LIST[[#This Row],[SIP_TOTAL UNITS BUY]]&gt;0,INDEX(SIP[NAV at Cost (Average)],MATCH(CONCATENATE(COUNTIFS(SIP[Investor ID],INVESTORS_LIST[[#This Row],[INVESTOR CODE]]),INVESTORS_LIST[[#This Row],[INVESTOR CODE]]),SIP[Unique Code],0),),0)</f>
        <v>13.771006490130588</v>
      </c>
      <c r="AN55" s="105">
        <f>IF(INVESTORS_LIST[[#This Row],[TOTAL CURRENT UNITS]]=0,0,(INVESTORS_LIST[[#This Row],[LS_WEIGHT]]*INVESTORS_LIST[[#This Row],[LS_AVERAGE COST]])+(INVESTORS_LIST[[#This Row],[SIP_WEIGHT]]*INVESTORS_LIST[[#This Row],[SIP_AVERAGE COST]]))</f>
        <v>13.771006490130588</v>
      </c>
      <c r="AO55" s="105">
        <f t="shared" si="1"/>
        <v>14.224</v>
      </c>
      <c r="AP55" s="112">
        <f>IF(INVESTORS_LIST[[#This Row],[TOTAL CURRENT UNITS]]=0,0,INVESTORS_LIST[[#This Row],[TOTAL CURRENT UNITS]]*INVESTORS_LIST[[#This Row],[NAV]])</f>
        <v>135099.552</v>
      </c>
      <c r="AQ55" s="49">
        <f>IF(INVESTORS_LIST[[#This Row],[LS_TOTAL CURRENT UNITS]]=0,0,INVESTORS_LIST[[#This Row],[LS_TOTAL CURRENT UNITS]]*INVESTORS_LIST[[#This Row],[NAV]])</f>
        <v>0</v>
      </c>
      <c r="AR55" s="48">
        <f>IF(INVESTORS_LIST[[#This Row],[SIP_TOTAL CURRENT UNITS]]=0,0,INVESTORS_LIST[[#This Row],[SIP_TOTAL CURRENT UNITS]]*INVESTORS_LIST[[#This Row],[NAV]])</f>
        <v>135099.552</v>
      </c>
      <c r="AS55" s="50">
        <f>INVESTORS_LIST[[#This Row],[TOTAL CURRENT UNITS]]</f>
        <v>9498</v>
      </c>
      <c r="AT55" s="48">
        <f>IF(INVESTORS_LIST[[#This Row],[TOTAL SELLABLE UNITS]]=0,0,INVESTORS_LIST[[#This Row],[TOTAL SELLABLE UNITS]]*INVESTORS_LIST[[#This Row],[NAV]])</f>
        <v>135099.552</v>
      </c>
      <c r="AU55" s="48">
        <f>INVESTORS_LIST[[#This Row],[LS_TOTAL REALIZED GAIN]]+INVESTORS_LIST[[#This Row],[SIP_TOTAL REALIZED GAIN]]</f>
        <v>191657.85964326042</v>
      </c>
      <c r="AV55" s="48">
        <f>INVESTORS_LIST[[#This Row],[TOTAL MARKET VALUE]]-INVESTORS_LIST[[#This Row],[TOTAL COST VALUE OF CURRENT INVESTMENT]]</f>
        <v>4302.5323567396699</v>
      </c>
      <c r="AW55" s="108">
        <f>IFERROR(INVESTORS_LIST[[#This Row],[TOTAL CURRENT UNITS]]/SUM(INVESTORS_LIST[TOTAL CURRENT UNITS]),0)</f>
        <v>2.3057542259719252E-4</v>
      </c>
    </row>
    <row r="56" spans="1:49">
      <c r="A56" s="262" t="s">
        <v>159</v>
      </c>
      <c r="B56" s="97" t="s">
        <v>160</v>
      </c>
      <c r="C56" t="s">
        <v>44</v>
      </c>
      <c r="D56" s="75" t="s">
        <v>45</v>
      </c>
      <c r="E56" s="47">
        <f>SUMIFS(LS[Unit],LS[Investor ID],INVESTORS_LIST[[#This Row],[INVESTOR CODE]],LS[B/S],"B")</f>
        <v>0</v>
      </c>
      <c r="F56" s="47">
        <f>-SUMIFS(LS[Unit],LS[Investor ID],INVESTORS_LIST[[#This Row],[INVESTOR CODE]],LS[B/S],"S")</f>
        <v>0</v>
      </c>
      <c r="G56" s="47">
        <f>IF(INVESTORS_LIST[[#This Row],[LS_TOTAL UNITS BUY]]=0,0,INVESTORS_LIST[[#This Row],[LS_TOTAL UNITS BUY]]-INVESTORS_LIST[[#This Row],[LS_TOTAL UNITS SOLD]])</f>
        <v>0</v>
      </c>
      <c r="H56" s="49">
        <f>IF(INVESTORS_LIST[[#This Row],[LS_TOTAL UNITS BUY]]=0,0,SUMIFS(LS[Amount],LS[Investor ID],INVESTORS_LIST[[#This Row],[INVESTOR CODE]],LS[B/S],"B"))</f>
        <v>0</v>
      </c>
      <c r="I56" s="48">
        <f>IF(INVESTORS_LIST[[#This Row],[LS_TOTAL UNITS SOLD]]=0,0,SUMIFS(LS[Cost of Units Sold],LS[Investor ID],INVESTORS_LIST[[#This Row],[INVESTOR CODE]],LS[B/S],"S"))</f>
        <v>0</v>
      </c>
      <c r="J56" s="48">
        <f>IF(INVESTORS_LIST[[#This Row],[LS_TOTAL CURRENT UNITS]]=0,0,INVESTORS_LIST[[#This Row],[LS_TOTAL CURRENT UNITS]]*INVESTORS_LIST[[#This Row],[LS_AVERAGE COST]])</f>
        <v>0</v>
      </c>
      <c r="K56" s="49">
        <f>IF(INVESTORS_LIST[[#This Row],[LS_TOTAL UNITS SOLD]]=0,0,SUMIFS(LS[Realized Gain],LS[Investor ID],INVESTORS_LIST[[#This Row],[INVESTOR CODE]],LS[B/S],"S"))</f>
        <v>0</v>
      </c>
      <c r="L56" s="47">
        <f>SUMIFS(SIP[Unit],SIP[Investor ID],INVESTORS_LIST[[#This Row],[INVESTOR CODE]],SIP[B/S],"B")</f>
        <v>2168</v>
      </c>
      <c r="M56" s="47">
        <f>-SUMIFS(SIP[Unit],SIP[Investor ID],INVESTORS_LIST[[#This Row],[INVESTOR CODE]],SIP[B/S],"S")</f>
        <v>0</v>
      </c>
      <c r="N56" s="50">
        <f>IF(INVESTORS_LIST[[#This Row],[SIP_TOTAL UNITS BUY]]=0,0,INVESTORS_LIST[[#This Row],[SIP_TOTAL UNITS BUY]]-INVESTORS_LIST[[#This Row],[SIP_TOTAL UNITS SOLD]])</f>
        <v>2168</v>
      </c>
      <c r="O56" s="49">
        <f>IF(INVESTORS_LIST[[#This Row],[SIP_TOTAL UNITS BUY]]=0,0,SUMIFS(SIP[Amount],SIP[Investor ID],INVESTORS_LIST[[#This Row],[INVESTOR CODE]],SIP[B/S],"B"))</f>
        <v>30000</v>
      </c>
      <c r="P56" s="49">
        <f>IF(INVESTORS_LIST[[#This Row],[SIP_TOTAL UNITS SOLD]]=0,0,SUMIFS(SIP[Cost of Units Sold],SIP[Investor ID],INVESTORS_LIST[[#This Row],[INVESTOR CODE]],SIP[B/S],"S"))</f>
        <v>0</v>
      </c>
      <c r="Q56" s="48">
        <f>IF(INVESTORS_LIST[[#This Row],[SIP_TOTAL CURRENT UNITS]]=0,0,INVESTORS_LIST[[#This Row],[SIP_TOTAL CURRENT UNITS]]*INVESTORS_LIST[[#This Row],[SIP_AVERAGE COST]])</f>
        <v>30000</v>
      </c>
      <c r="R56" s="48">
        <f>IF(INVESTORS_LIST[[#This Row],[SIP_TOTAL UNITS SOLD]]=0,0,SUMIFS(SIP[Realized Gain],SIP[Investor ID],INVESTORS_LIST[[#This Row],[INVESTOR CODE]],SIP[B/S],"S"))</f>
        <v>0</v>
      </c>
      <c r="S56" s="50">
        <f>INVESTORS_LIST[[#This Row],[LS_TOTAL UNITS BUY]]+INVESTORS_LIST[[#This Row],[SIP_TOTAL UNITS BUY]]</f>
        <v>2168</v>
      </c>
      <c r="T56" s="50">
        <f>INVESTORS_LIST[[#This Row],[LS_TOTAL UNITS SOLD]]+INVESTORS_LIST[[#This Row],[SIP_TOTAL UNITS SOLD]]</f>
        <v>0</v>
      </c>
      <c r="U56" s="50"/>
      <c r="V56" s="50">
        <f>SUMIFS(LS[BO UNIT TRANSFER],LS[Investor ID],INVESTORS_LIST[[#This Row],[INVESTOR CODE]],LS[B/S],"B")</f>
        <v>0</v>
      </c>
      <c r="W56" s="50">
        <f>SUMIFS(SIP[BO UNIT TRANSFER],SIP[Investor ID],INVESTORS_LIST[[#This Row],[INVESTOR CODE]],SIP[B/S],"B")</f>
        <v>0</v>
      </c>
      <c r="X56" s="50">
        <f>SUMIFS(LS[BO UNIT TRANSFER],LS[Investor ID],INVESTORS_LIST[[#This Row],[INVESTOR CODE]],LS[B/S],"S")</f>
        <v>0</v>
      </c>
      <c r="Y56" s="50">
        <f>SUMIFS(SIP[BO UNIT TRANSFER],SIP[Investor ID],INVESTORS_LIST[[#This Row],[INVESTOR CODE]],SIP[B/S],"S")</f>
        <v>0</v>
      </c>
      <c r="Z56" s="106">
        <f>SUM(INVESTORS_LIST[[#This Row],[BO OPENING BALANCE]:[BO SIP UNITS REPURCHASE]])</f>
        <v>0</v>
      </c>
      <c r="AA56" s="107">
        <f>INVESTORS_LIST[[#This Row],[TOTAL UNITS BUY]]-INVESTORS_LIST[[#This Row],[TOTAL UNITS SOLD]]</f>
        <v>2168</v>
      </c>
      <c r="AB56" s="107">
        <f>INVESTORS_LIST[[#This Row],[TOTAL CURRENT UNITS]]-INVESTORS_LIST[[#This Row],[BO UNITS HOLD]]</f>
        <v>2168</v>
      </c>
      <c r="AC56" s="201" t="e">
        <f>INDEX([3]!Table_1[BO ID],MATCH(INVESTORS_LIST[[#This Row],[INVESTOR CODE]],[3]!Table_1[INVESTOR CODE],0))</f>
        <v>#REF!</v>
      </c>
      <c r="AD56" s="201" t="e">
        <f>INDEX([3]!Table_1[Brokerage Name2],MATCH(INVESTORS_LIST[[#This Row],[INVESTOR CODE]],[3]!Table_1[INVESTOR CODE],0))</f>
        <v>#REF!</v>
      </c>
      <c r="AE56" s="201" t="e">
        <f>MID(INVESTORS_LIST[[#This Row],[BO ID]],4,5)</f>
        <v>#REF!</v>
      </c>
      <c r="AF56" s="201" t="e">
        <f>MID(INVESTORS_LIST[[#This Row],[BO ID]],2,7)</f>
        <v>#REF!</v>
      </c>
      <c r="AG56" s="201" t="e">
        <f>MID(INVESTORS_LIST[[#This Row],[BO ID]],9,7)</f>
        <v>#REF!</v>
      </c>
      <c r="AH56" s="201" t="e">
        <f>RIGHT(INVESTORS_LIST[[#This Row],[BO ID]],1)</f>
        <v>#REF!</v>
      </c>
      <c r="AI56" s="50">
        <f>INVESTORS_LIST[[#This Row],[LS_TOTAL COST VALUE OF CURRENT UNITS]]+INVESTORS_LIST[[#This Row],[SIP_TOTAL COST VALUE OF CURRENT UNITS]]</f>
        <v>30000</v>
      </c>
      <c r="AJ56" s="109">
        <f>IF(INVESTORS_LIST[[#This Row],[TOTAL CURRENT UNITS]]=0,0,INVESTORS_LIST[[#This Row],[LS_TOTAL CURRENT UNITS]]/INVESTORS_LIST[[#This Row],[TOTAL CURRENT UNITS]])</f>
        <v>0</v>
      </c>
      <c r="AK56" s="109">
        <f>IF(INVESTORS_LIST[[#This Row],[TOTAL CURRENT UNITS]]=0,0,INVESTORS_LIST[[#This Row],[SIP_TOTAL CURRENT UNITS]]/INVESTORS_LIST[[#This Row],[TOTAL CURRENT UNITS]])</f>
        <v>1</v>
      </c>
      <c r="AL56" s="49" cm="1">
        <f t="array" ref="AL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" s="49" cm="1">
        <f t="array" ref="AM56">IF(INVESTORS_LIST[[#This Row],[SIP_TOTAL UNITS BUY]]&gt;0,INDEX(SIP[NAV at Cost (Average)],MATCH(CONCATENATE(COUNTIFS(SIP[Investor ID],INVESTORS_LIST[[#This Row],[INVESTOR CODE]]),INVESTORS_LIST[[#This Row],[INVESTOR CODE]]),SIP[Unique Code],0),),0)</f>
        <v>13.837638376383763</v>
      </c>
      <c r="AN56" s="105">
        <f>IF(INVESTORS_LIST[[#This Row],[TOTAL CURRENT UNITS]]=0,0,(INVESTORS_LIST[[#This Row],[LS_WEIGHT]]*INVESTORS_LIST[[#This Row],[LS_AVERAGE COST]])+(INVESTORS_LIST[[#This Row],[SIP_WEIGHT]]*INVESTORS_LIST[[#This Row],[SIP_AVERAGE COST]]))</f>
        <v>13.837638376383763</v>
      </c>
      <c r="AO56" s="105">
        <f t="shared" si="1"/>
        <v>14.224</v>
      </c>
      <c r="AP56" s="112">
        <f>IF(INVESTORS_LIST[[#This Row],[TOTAL CURRENT UNITS]]=0,0,INVESTORS_LIST[[#This Row],[TOTAL CURRENT UNITS]]*INVESTORS_LIST[[#This Row],[NAV]])</f>
        <v>30837.632000000001</v>
      </c>
      <c r="AQ56" s="49">
        <f>IF(INVESTORS_LIST[[#This Row],[LS_TOTAL CURRENT UNITS]]=0,0,INVESTORS_LIST[[#This Row],[LS_TOTAL CURRENT UNITS]]*INVESTORS_LIST[[#This Row],[NAV]])</f>
        <v>0</v>
      </c>
      <c r="AR56" s="48">
        <f>IF(INVESTORS_LIST[[#This Row],[SIP_TOTAL CURRENT UNITS]]=0,0,INVESTORS_LIST[[#This Row],[SIP_TOTAL CURRENT UNITS]]*INVESTORS_LIST[[#This Row],[NAV]])</f>
        <v>30837.632000000001</v>
      </c>
      <c r="AS56" s="50">
        <f>INVESTORS_LIST[[#This Row],[TOTAL CURRENT UNITS]]</f>
        <v>2168</v>
      </c>
      <c r="AT56" s="48">
        <f>IF(INVESTORS_LIST[[#This Row],[TOTAL SELLABLE UNITS]]=0,0,INVESTORS_LIST[[#This Row],[TOTAL SELLABLE UNITS]]*INVESTORS_LIST[[#This Row],[NAV]])</f>
        <v>30837.632000000001</v>
      </c>
      <c r="AU56" s="48">
        <f>INVESTORS_LIST[[#This Row],[LS_TOTAL REALIZED GAIN]]+INVESTORS_LIST[[#This Row],[SIP_TOTAL REALIZED GAIN]]</f>
        <v>0</v>
      </c>
      <c r="AV56" s="48">
        <f>INVESTORS_LIST[[#This Row],[TOTAL MARKET VALUE]]-INVESTORS_LIST[[#This Row],[TOTAL COST VALUE OF CURRENT INVESTMENT]]</f>
        <v>837.63200000000143</v>
      </c>
      <c r="AW56" s="48">
        <f>IFERROR(INVESTORS_LIST[[#This Row],[TOTAL CURRENT UNITS]]/SUM(INVESTORS_LIST[TOTAL CURRENT UNITS]),0)</f>
        <v>5.2630818718752728E-5</v>
      </c>
    </row>
    <row r="57" spans="1:49" hidden="1">
      <c r="A57" s="262" t="s">
        <v>161</v>
      </c>
      <c r="B57" s="97" t="s">
        <v>162</v>
      </c>
      <c r="C57" t="s">
        <v>44</v>
      </c>
      <c r="D57" s="75" t="s">
        <v>45</v>
      </c>
      <c r="E57" s="47">
        <f>SUMIFS(LS[Unit],LS[Investor ID],INVESTORS_LIST[[#This Row],[INVESTOR CODE]],LS[B/S],"B")</f>
        <v>0</v>
      </c>
      <c r="F57" s="47">
        <f>-SUMIFS(LS[Unit],LS[Investor ID],INVESTORS_LIST[[#This Row],[INVESTOR CODE]],LS[B/S],"S")</f>
        <v>0</v>
      </c>
      <c r="G57" s="47">
        <f>IF(INVESTORS_LIST[[#This Row],[LS_TOTAL UNITS BUY]]=0,0,INVESTORS_LIST[[#This Row],[LS_TOTAL UNITS BUY]]-INVESTORS_LIST[[#This Row],[LS_TOTAL UNITS SOLD]])</f>
        <v>0</v>
      </c>
      <c r="H57" s="49">
        <f>IF(INVESTORS_LIST[[#This Row],[LS_TOTAL UNITS BUY]]=0,0,SUMIFS(LS[Amount],LS[Investor ID],INVESTORS_LIST[[#This Row],[INVESTOR CODE]],LS[B/S],"B"))</f>
        <v>0</v>
      </c>
      <c r="I57" s="48">
        <f>IF(INVESTORS_LIST[[#This Row],[LS_TOTAL UNITS SOLD]]=0,0,SUMIFS(LS[Cost of Units Sold],LS[Investor ID],INVESTORS_LIST[[#This Row],[INVESTOR CODE]],LS[B/S],"S"))</f>
        <v>0</v>
      </c>
      <c r="J57" s="48">
        <f>IF(INVESTORS_LIST[[#This Row],[LS_TOTAL CURRENT UNITS]]=0,0,INVESTORS_LIST[[#This Row],[LS_TOTAL CURRENT UNITS]]*INVESTORS_LIST[[#This Row],[LS_AVERAGE COST]])</f>
        <v>0</v>
      </c>
      <c r="K57" s="49">
        <f>IF(INVESTORS_LIST[[#This Row],[LS_TOTAL UNITS SOLD]]=0,0,SUMIFS(LS[Realized Gain],LS[Investor ID],INVESTORS_LIST[[#This Row],[INVESTOR CODE]],LS[B/S],"S"))</f>
        <v>0</v>
      </c>
      <c r="L57" s="47">
        <f>SUMIFS(SIP[Unit],SIP[Investor ID],INVESTORS_LIST[[#This Row],[INVESTOR CODE]],SIP[B/S],"B")</f>
        <v>0</v>
      </c>
      <c r="M57" s="47">
        <f>-SUMIFS(SIP[Unit],SIP[Investor ID],INVESTORS_LIST[[#This Row],[INVESTOR CODE]],SIP[B/S],"S")</f>
        <v>0</v>
      </c>
      <c r="N57" s="50">
        <f>IF(INVESTORS_LIST[[#This Row],[SIP_TOTAL UNITS BUY]]=0,0,INVESTORS_LIST[[#This Row],[SIP_TOTAL UNITS BUY]]-INVESTORS_LIST[[#This Row],[SIP_TOTAL UNITS SOLD]])</f>
        <v>0</v>
      </c>
      <c r="O57" s="49">
        <f>IF(INVESTORS_LIST[[#This Row],[SIP_TOTAL UNITS BUY]]=0,0,SUMIFS(SIP[Amount],SIP[Investor ID],INVESTORS_LIST[[#This Row],[INVESTOR CODE]],SIP[B/S],"B"))</f>
        <v>0</v>
      </c>
      <c r="P57" s="49">
        <f>IF(INVESTORS_LIST[[#This Row],[SIP_TOTAL UNITS SOLD]]=0,0,SUMIFS(SIP[Cost of Units Sold],SIP[Investor ID],INVESTORS_LIST[[#This Row],[INVESTOR CODE]],SIP[B/S],"S"))</f>
        <v>0</v>
      </c>
      <c r="Q57" s="48">
        <f>IF(INVESTORS_LIST[[#This Row],[SIP_TOTAL CURRENT UNITS]]=0,0,INVESTORS_LIST[[#This Row],[SIP_TOTAL CURRENT UNITS]]*INVESTORS_LIST[[#This Row],[SIP_AVERAGE COST]])</f>
        <v>0</v>
      </c>
      <c r="R57" s="48">
        <f>IF(INVESTORS_LIST[[#This Row],[SIP_TOTAL UNITS SOLD]]=0,0,SUMIFS(SIP[Realized Gain],SIP[Investor ID],INVESTORS_LIST[[#This Row],[INVESTOR CODE]],SIP[B/S],"S"))</f>
        <v>0</v>
      </c>
      <c r="S57" s="50">
        <f>INVESTORS_LIST[[#This Row],[LS_TOTAL UNITS BUY]]+INVESTORS_LIST[[#This Row],[SIP_TOTAL UNITS BUY]]</f>
        <v>0</v>
      </c>
      <c r="T57" s="50">
        <f>INVESTORS_LIST[[#This Row],[LS_TOTAL UNITS SOLD]]+INVESTORS_LIST[[#This Row],[SIP_TOTAL UNITS SOLD]]</f>
        <v>0</v>
      </c>
      <c r="U57" s="50"/>
      <c r="V57" s="50">
        <f>SUMIFS(LS[BO UNIT TRANSFER],LS[Investor ID],INVESTORS_LIST[[#This Row],[INVESTOR CODE]],LS[B/S],"B")</f>
        <v>0</v>
      </c>
      <c r="W57" s="50">
        <f>SUMIFS(SIP[BO UNIT TRANSFER],SIP[Investor ID],INVESTORS_LIST[[#This Row],[INVESTOR CODE]],SIP[B/S],"B")</f>
        <v>0</v>
      </c>
      <c r="X57" s="50">
        <f>SUMIFS(LS[BO UNIT TRANSFER],LS[Investor ID],INVESTORS_LIST[[#This Row],[INVESTOR CODE]],LS[B/S],"S")</f>
        <v>0</v>
      </c>
      <c r="Y57" s="50">
        <f>SUMIFS(SIP[BO UNIT TRANSFER],SIP[Investor ID],INVESTORS_LIST[[#This Row],[INVESTOR CODE]],SIP[B/S],"S")</f>
        <v>0</v>
      </c>
      <c r="Z57" s="106">
        <f>SUM(INVESTORS_LIST[[#This Row],[BO OPENING BALANCE]:[BO SIP UNITS REPURCHASE]])</f>
        <v>0</v>
      </c>
      <c r="AA57" s="107">
        <f>INVESTORS_LIST[[#This Row],[TOTAL UNITS BUY]]-INVESTORS_LIST[[#This Row],[TOTAL UNITS SOLD]]</f>
        <v>0</v>
      </c>
      <c r="AB57" s="107">
        <f>INVESTORS_LIST[[#This Row],[TOTAL CURRENT UNITS]]-INVESTORS_LIST[[#This Row],[BO UNITS HOLD]]</f>
        <v>0</v>
      </c>
      <c r="AC57" s="201" t="e">
        <f>INDEX([3]!Table_1[BO ID],MATCH(INVESTORS_LIST[[#This Row],[INVESTOR CODE]],[3]!Table_1[INVESTOR CODE],0))</f>
        <v>#REF!</v>
      </c>
      <c r="AD57" s="201" t="e">
        <f>INDEX([3]!Table_1[Brokerage Name2],MATCH(INVESTORS_LIST[[#This Row],[INVESTOR CODE]],[3]!Table_1[INVESTOR CODE],0))</f>
        <v>#REF!</v>
      </c>
      <c r="AE57" s="201" t="e">
        <f>MID(INVESTORS_LIST[[#This Row],[BO ID]],4,5)</f>
        <v>#REF!</v>
      </c>
      <c r="AF57" s="201" t="e">
        <f>MID(INVESTORS_LIST[[#This Row],[BO ID]],2,7)</f>
        <v>#REF!</v>
      </c>
      <c r="AG57" s="201" t="e">
        <f>MID(INVESTORS_LIST[[#This Row],[BO ID]],9,7)</f>
        <v>#REF!</v>
      </c>
      <c r="AH57" s="201" t="e">
        <f>RIGHT(INVESTORS_LIST[[#This Row],[BO ID]],1)</f>
        <v>#REF!</v>
      </c>
      <c r="AI57" s="50">
        <f>INVESTORS_LIST[[#This Row],[LS_TOTAL COST VALUE OF CURRENT UNITS]]+INVESTORS_LIST[[#This Row],[SIP_TOTAL COST VALUE OF CURRENT UNITS]]</f>
        <v>0</v>
      </c>
      <c r="AJ57" s="109">
        <f>IF(INVESTORS_LIST[[#This Row],[TOTAL CURRENT UNITS]]=0,0,INVESTORS_LIST[[#This Row],[LS_TOTAL CURRENT UNITS]]/INVESTORS_LIST[[#This Row],[TOTAL CURRENT UNITS]])</f>
        <v>0</v>
      </c>
      <c r="AK57" s="109">
        <f>IF(INVESTORS_LIST[[#This Row],[TOTAL CURRENT UNITS]]=0,0,INVESTORS_LIST[[#This Row],[SIP_TOTAL CURRENT UNITS]]/INVESTORS_LIST[[#This Row],[TOTAL CURRENT UNITS]])</f>
        <v>0</v>
      </c>
      <c r="AL57" s="49" cm="1">
        <f t="array" ref="AL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" s="49" cm="1">
        <f t="array" ref="AM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" s="105">
        <f t="shared" si="1"/>
        <v>14.224</v>
      </c>
      <c r="AP57" s="112">
        <f>IF(INVESTORS_LIST[[#This Row],[TOTAL CURRENT UNITS]]=0,0,INVESTORS_LIST[[#This Row],[TOTAL CURRENT UNITS]]*INVESTORS_LIST[[#This Row],[NAV]])</f>
        <v>0</v>
      </c>
      <c r="AQ57" s="49">
        <f>IF(INVESTORS_LIST[[#This Row],[LS_TOTAL CURRENT UNITS]]=0,0,INVESTORS_LIST[[#This Row],[LS_TOTAL CURRENT UNITS]]*INVESTORS_LIST[[#This Row],[NAV]])</f>
        <v>0</v>
      </c>
      <c r="AR57" s="48">
        <f>IF(INVESTORS_LIST[[#This Row],[SIP_TOTAL CURRENT UNITS]]=0,0,INVESTORS_LIST[[#This Row],[SIP_TOTAL CURRENT UNITS]]*INVESTORS_LIST[[#This Row],[NAV]])</f>
        <v>0</v>
      </c>
      <c r="AS57" s="50">
        <f>INVESTORS_LIST[[#This Row],[TOTAL CURRENT UNITS]]</f>
        <v>0</v>
      </c>
      <c r="AT57" s="48">
        <f>IF(INVESTORS_LIST[[#This Row],[TOTAL SELLABLE UNITS]]=0,0,INVESTORS_LIST[[#This Row],[TOTAL SELLABLE UNITS]]*INVESTORS_LIST[[#This Row],[NAV]])</f>
        <v>0</v>
      </c>
      <c r="AU57" s="48">
        <f>INVESTORS_LIST[[#This Row],[LS_TOTAL REALIZED GAIN]]+INVESTORS_LIST[[#This Row],[SIP_TOTAL REALIZED GAIN]]</f>
        <v>0</v>
      </c>
      <c r="AV57" s="48">
        <f>INVESTORS_LIST[[#This Row],[TOTAL MARKET VALUE]]-INVESTORS_LIST[[#This Row],[TOTAL COST VALUE OF CURRENT INVESTMENT]]</f>
        <v>0</v>
      </c>
      <c r="AW57" s="48">
        <f>IFERROR(INVESTORS_LIST[[#This Row],[TOTAL CURRENT UNITS]]/SUM(INVESTORS_LIST[TOTAL CURRENT UNITS]),0)</f>
        <v>0</v>
      </c>
    </row>
    <row r="58" spans="1:49" hidden="1">
      <c r="A58" s="262" t="s">
        <v>163</v>
      </c>
      <c r="B58" s="97" t="s">
        <v>164</v>
      </c>
      <c r="C58" t="s">
        <v>44</v>
      </c>
      <c r="D58" s="75" t="s">
        <v>45</v>
      </c>
      <c r="E58" s="47">
        <f>SUMIFS(LS[Unit],LS[Investor ID],INVESTORS_LIST[[#This Row],[INVESTOR CODE]],LS[B/S],"B")</f>
        <v>0</v>
      </c>
      <c r="F58" s="47">
        <f>-SUMIFS(LS[Unit],LS[Investor ID],INVESTORS_LIST[[#This Row],[INVESTOR CODE]],LS[B/S],"S")</f>
        <v>0</v>
      </c>
      <c r="G58" s="47">
        <f>IF(INVESTORS_LIST[[#This Row],[LS_TOTAL UNITS BUY]]=0,0,INVESTORS_LIST[[#This Row],[LS_TOTAL UNITS BUY]]-INVESTORS_LIST[[#This Row],[LS_TOTAL UNITS SOLD]])</f>
        <v>0</v>
      </c>
      <c r="H58" s="49">
        <f>IF(INVESTORS_LIST[[#This Row],[LS_TOTAL UNITS BUY]]=0,0,SUMIFS(LS[Amount],LS[Investor ID],INVESTORS_LIST[[#This Row],[INVESTOR CODE]],LS[B/S],"B"))</f>
        <v>0</v>
      </c>
      <c r="I58" s="48">
        <f>IF(INVESTORS_LIST[[#This Row],[LS_TOTAL UNITS SOLD]]=0,0,SUMIFS(LS[Cost of Units Sold],LS[Investor ID],INVESTORS_LIST[[#This Row],[INVESTOR CODE]],LS[B/S],"S"))</f>
        <v>0</v>
      </c>
      <c r="J58" s="48">
        <f>IF(INVESTORS_LIST[[#This Row],[LS_TOTAL CURRENT UNITS]]=0,0,INVESTORS_LIST[[#This Row],[LS_TOTAL CURRENT UNITS]]*INVESTORS_LIST[[#This Row],[LS_AVERAGE COST]])</f>
        <v>0</v>
      </c>
      <c r="K58" s="49">
        <f>IF(INVESTORS_LIST[[#This Row],[LS_TOTAL UNITS SOLD]]=0,0,SUMIFS(LS[Realized Gain],LS[Investor ID],INVESTORS_LIST[[#This Row],[INVESTOR CODE]],LS[B/S],"S"))</f>
        <v>0</v>
      </c>
      <c r="L58" s="47">
        <f>SUMIFS(SIP[Unit],SIP[Investor ID],INVESTORS_LIST[[#This Row],[INVESTOR CODE]],SIP[B/S],"B")</f>
        <v>0</v>
      </c>
      <c r="M58" s="47">
        <f>-SUMIFS(SIP[Unit],SIP[Investor ID],INVESTORS_LIST[[#This Row],[INVESTOR CODE]],SIP[B/S],"S")</f>
        <v>0</v>
      </c>
      <c r="N58" s="50">
        <f>IF(INVESTORS_LIST[[#This Row],[SIP_TOTAL UNITS BUY]]=0,0,INVESTORS_LIST[[#This Row],[SIP_TOTAL UNITS BUY]]-INVESTORS_LIST[[#This Row],[SIP_TOTAL UNITS SOLD]])</f>
        <v>0</v>
      </c>
      <c r="O58" s="49">
        <f>IF(INVESTORS_LIST[[#This Row],[SIP_TOTAL UNITS BUY]]=0,0,SUMIFS(SIP[Amount],SIP[Investor ID],INVESTORS_LIST[[#This Row],[INVESTOR CODE]],SIP[B/S],"B"))</f>
        <v>0</v>
      </c>
      <c r="P58" s="49">
        <f>IF(INVESTORS_LIST[[#This Row],[SIP_TOTAL UNITS SOLD]]=0,0,SUMIFS(SIP[Cost of Units Sold],SIP[Investor ID],INVESTORS_LIST[[#This Row],[INVESTOR CODE]],SIP[B/S],"S"))</f>
        <v>0</v>
      </c>
      <c r="Q58" s="48">
        <f>IF(INVESTORS_LIST[[#This Row],[SIP_TOTAL CURRENT UNITS]]=0,0,INVESTORS_LIST[[#This Row],[SIP_TOTAL CURRENT UNITS]]*INVESTORS_LIST[[#This Row],[SIP_AVERAGE COST]])</f>
        <v>0</v>
      </c>
      <c r="R58" s="48">
        <f>IF(INVESTORS_LIST[[#This Row],[SIP_TOTAL UNITS SOLD]]=0,0,SUMIFS(SIP[Realized Gain],SIP[Investor ID],INVESTORS_LIST[[#This Row],[INVESTOR CODE]],SIP[B/S],"S"))</f>
        <v>0</v>
      </c>
      <c r="S58" s="50">
        <f>INVESTORS_LIST[[#This Row],[LS_TOTAL UNITS BUY]]+INVESTORS_LIST[[#This Row],[SIP_TOTAL UNITS BUY]]</f>
        <v>0</v>
      </c>
      <c r="T58" s="50">
        <f>INVESTORS_LIST[[#This Row],[LS_TOTAL UNITS SOLD]]+INVESTORS_LIST[[#This Row],[SIP_TOTAL UNITS SOLD]]</f>
        <v>0</v>
      </c>
      <c r="U58" s="50"/>
      <c r="V58" s="50">
        <f>SUMIFS(LS[BO UNIT TRANSFER],LS[Investor ID],INVESTORS_LIST[[#This Row],[INVESTOR CODE]],LS[B/S],"B")</f>
        <v>0</v>
      </c>
      <c r="W58" s="50">
        <f>SUMIFS(SIP[BO UNIT TRANSFER],SIP[Investor ID],INVESTORS_LIST[[#This Row],[INVESTOR CODE]],SIP[B/S],"B")</f>
        <v>0</v>
      </c>
      <c r="X58" s="50">
        <f>SUMIFS(LS[BO UNIT TRANSFER],LS[Investor ID],INVESTORS_LIST[[#This Row],[INVESTOR CODE]],LS[B/S],"S")</f>
        <v>0</v>
      </c>
      <c r="Y58" s="50">
        <f>SUMIFS(SIP[BO UNIT TRANSFER],SIP[Investor ID],INVESTORS_LIST[[#This Row],[INVESTOR CODE]],SIP[B/S],"S")</f>
        <v>0</v>
      </c>
      <c r="Z58" s="106">
        <f>SUM(INVESTORS_LIST[[#This Row],[BO OPENING BALANCE]:[BO SIP UNITS REPURCHASE]])</f>
        <v>0</v>
      </c>
      <c r="AA58" s="107">
        <f>INVESTORS_LIST[[#This Row],[TOTAL UNITS BUY]]-INVESTORS_LIST[[#This Row],[TOTAL UNITS SOLD]]</f>
        <v>0</v>
      </c>
      <c r="AB58" s="107">
        <f>INVESTORS_LIST[[#This Row],[TOTAL CURRENT UNITS]]-INVESTORS_LIST[[#This Row],[BO UNITS HOLD]]</f>
        <v>0</v>
      </c>
      <c r="AC58" s="201" t="e">
        <f>INDEX([3]!Table_1[BO ID],MATCH(INVESTORS_LIST[[#This Row],[INVESTOR CODE]],[3]!Table_1[INVESTOR CODE],0))</f>
        <v>#REF!</v>
      </c>
      <c r="AD58" s="201" t="e">
        <f>INDEX([3]!Table_1[Brokerage Name2],MATCH(INVESTORS_LIST[[#This Row],[INVESTOR CODE]],[3]!Table_1[INVESTOR CODE],0))</f>
        <v>#REF!</v>
      </c>
      <c r="AE58" s="201" t="e">
        <f>MID(INVESTORS_LIST[[#This Row],[BO ID]],4,5)</f>
        <v>#REF!</v>
      </c>
      <c r="AF58" s="201" t="e">
        <f>MID(INVESTORS_LIST[[#This Row],[BO ID]],2,7)</f>
        <v>#REF!</v>
      </c>
      <c r="AG58" s="201" t="e">
        <f>MID(INVESTORS_LIST[[#This Row],[BO ID]],9,7)</f>
        <v>#REF!</v>
      </c>
      <c r="AH58" s="201" t="e">
        <f>RIGHT(INVESTORS_LIST[[#This Row],[BO ID]],1)</f>
        <v>#REF!</v>
      </c>
      <c r="AI58" s="50">
        <f>INVESTORS_LIST[[#This Row],[LS_TOTAL COST VALUE OF CURRENT UNITS]]+INVESTORS_LIST[[#This Row],[SIP_TOTAL COST VALUE OF CURRENT UNITS]]</f>
        <v>0</v>
      </c>
      <c r="AJ58" s="109">
        <f>IF(INVESTORS_LIST[[#This Row],[TOTAL CURRENT UNITS]]=0,0,INVESTORS_LIST[[#This Row],[LS_TOTAL CURRENT UNITS]]/INVESTORS_LIST[[#This Row],[TOTAL CURRENT UNITS]])</f>
        <v>0</v>
      </c>
      <c r="AK58" s="109">
        <f>IF(INVESTORS_LIST[[#This Row],[TOTAL CURRENT UNITS]]=0,0,INVESTORS_LIST[[#This Row],[SIP_TOTAL CURRENT UNITS]]/INVESTORS_LIST[[#This Row],[TOTAL CURRENT UNITS]])</f>
        <v>0</v>
      </c>
      <c r="AL58" s="49" cm="1">
        <f t="array" ref="AL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" s="49" cm="1">
        <f t="array" ref="AM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8" s="105">
        <f t="shared" si="1"/>
        <v>14.224</v>
      </c>
      <c r="AP58" s="112">
        <f>IF(INVESTORS_LIST[[#This Row],[TOTAL CURRENT UNITS]]=0,0,INVESTORS_LIST[[#This Row],[TOTAL CURRENT UNITS]]*INVESTORS_LIST[[#This Row],[NAV]])</f>
        <v>0</v>
      </c>
      <c r="AQ58" s="49">
        <f>IF(INVESTORS_LIST[[#This Row],[LS_TOTAL CURRENT UNITS]]=0,0,INVESTORS_LIST[[#This Row],[LS_TOTAL CURRENT UNITS]]*INVESTORS_LIST[[#This Row],[NAV]])</f>
        <v>0</v>
      </c>
      <c r="AR58" s="48">
        <f>IF(INVESTORS_LIST[[#This Row],[SIP_TOTAL CURRENT UNITS]]=0,0,INVESTORS_LIST[[#This Row],[SIP_TOTAL CURRENT UNITS]]*INVESTORS_LIST[[#This Row],[NAV]])</f>
        <v>0</v>
      </c>
      <c r="AS58" s="50">
        <f>INVESTORS_LIST[[#This Row],[TOTAL CURRENT UNITS]]</f>
        <v>0</v>
      </c>
      <c r="AT58" s="48">
        <f>IF(INVESTORS_LIST[[#This Row],[TOTAL SELLABLE UNITS]]=0,0,INVESTORS_LIST[[#This Row],[TOTAL SELLABLE UNITS]]*INVESTORS_LIST[[#This Row],[NAV]])</f>
        <v>0</v>
      </c>
      <c r="AU58" s="48">
        <f>INVESTORS_LIST[[#This Row],[LS_TOTAL REALIZED GAIN]]+INVESTORS_LIST[[#This Row],[SIP_TOTAL REALIZED GAIN]]</f>
        <v>0</v>
      </c>
      <c r="AV58" s="48">
        <f>INVESTORS_LIST[[#This Row],[TOTAL MARKET VALUE]]-INVESTORS_LIST[[#This Row],[TOTAL COST VALUE OF CURRENT INVESTMENT]]</f>
        <v>0</v>
      </c>
      <c r="AW58" s="48">
        <f>IFERROR(INVESTORS_LIST[[#This Row],[TOTAL CURRENT UNITS]]/SUM(INVESTORS_LIST[TOTAL CURRENT UNITS]),0)</f>
        <v>0</v>
      </c>
    </row>
    <row r="59" spans="1:49">
      <c r="A59" s="262" t="s">
        <v>165</v>
      </c>
      <c r="B59" s="97" t="s">
        <v>166</v>
      </c>
      <c r="C59" t="s">
        <v>44</v>
      </c>
      <c r="D59" s="75" t="s">
        <v>45</v>
      </c>
      <c r="E59" s="47">
        <f>SUMIFS(LS[Unit],LS[Investor ID],INVESTORS_LIST[[#This Row],[INVESTOR CODE]],LS[B/S],"B")</f>
        <v>1176593</v>
      </c>
      <c r="F59" s="47">
        <f>-SUMIFS(LS[Unit],LS[Investor ID],INVESTORS_LIST[[#This Row],[INVESTOR CODE]],LS[B/S],"S")</f>
        <v>882538</v>
      </c>
      <c r="G59" s="47">
        <f>IF(INVESTORS_LIST[[#This Row],[LS_TOTAL UNITS BUY]]=0,0,INVESTORS_LIST[[#This Row],[LS_TOTAL UNITS BUY]]-INVESTORS_LIST[[#This Row],[LS_TOTAL UNITS SOLD]])</f>
        <v>294055</v>
      </c>
      <c r="H59" s="49">
        <f>IF(INVESTORS_LIST[[#This Row],[LS_TOTAL UNITS BUY]]=0,0,SUMIFS(LS[Amount],LS[Investor ID],INVESTORS_LIST[[#This Row],[INVESTOR CODE]],LS[B/S],"B"))</f>
        <v>13781856</v>
      </c>
      <c r="I59" s="48">
        <f>IF(INVESTORS_LIST[[#This Row],[LS_TOTAL UNITS SOLD]]=0,0,SUMIFS(LS[Cost of Units Sold],LS[Investor ID],INVESTORS_LIST[[#This Row],[INVESTOR CODE]],LS[B/S],"S"))</f>
        <v>10115942.035173787</v>
      </c>
      <c r="J59" s="48">
        <f>IF(INVESTORS_LIST[[#This Row],[LS_TOTAL CURRENT UNITS]]=0,0,INVESTORS_LIST[[#This Row],[LS_TOTAL CURRENT UNITS]]*INVESTORS_LIST[[#This Row],[LS_AVERAGE COST]])</f>
        <v>3665913.9648262141</v>
      </c>
      <c r="K59" s="49">
        <f>IF(INVESTORS_LIST[[#This Row],[LS_TOTAL UNITS SOLD]]=0,0,SUMIFS(LS[Realized Gain],LS[Investor ID],INVESTORS_LIST[[#This Row],[INVESTOR CODE]],LS[B/S],"S"))</f>
        <v>1339542.5408262145</v>
      </c>
      <c r="L59" s="47">
        <f>SUMIFS(SIP[Unit],SIP[Investor ID],INVESTORS_LIST[[#This Row],[INVESTOR CODE]],SIP[B/S],"B")</f>
        <v>6620</v>
      </c>
      <c r="M59" s="47">
        <f>-SUMIFS(SIP[Unit],SIP[Investor ID],INVESTORS_LIST[[#This Row],[INVESTOR CODE]],SIP[B/S],"S")</f>
        <v>6620</v>
      </c>
      <c r="N59" s="50">
        <f>IF(INVESTORS_LIST[[#This Row],[SIP_TOTAL UNITS BUY]]=0,0,INVESTORS_LIST[[#This Row],[SIP_TOTAL UNITS BUY]]-INVESTORS_LIST[[#This Row],[SIP_TOTAL UNITS SOLD]])</f>
        <v>0</v>
      </c>
      <c r="O59" s="49">
        <f>IF(INVESTORS_LIST[[#This Row],[SIP_TOTAL UNITS BUY]]=0,0,SUMIFS(SIP[Amount],SIP[Investor ID],INVESTORS_LIST[[#This Row],[INVESTOR CODE]],SIP[B/S],"B"))</f>
        <v>70000</v>
      </c>
      <c r="P59" s="49">
        <f>IF(INVESTORS_LIST[[#This Row],[SIP_TOTAL UNITS SOLD]]=0,0,SUMIFS(SIP[Cost of Units Sold],SIP[Investor ID],INVESTORS_LIST[[#This Row],[INVESTOR CODE]],SIP[B/S],"S"))</f>
        <v>70000</v>
      </c>
      <c r="Q59" s="48">
        <f>IF(INVESTORS_LIST[[#This Row],[SIP_TOTAL CURRENT UNITS]]=0,0,INVESTORS_LIST[[#This Row],[SIP_TOTAL CURRENT UNITS]]*INVESTORS_LIST[[#This Row],[SIP_AVERAGE COST]])</f>
        <v>0</v>
      </c>
      <c r="R59" s="48">
        <f>IF(INVESTORS_LIST[[#This Row],[SIP_TOTAL UNITS SOLD]]=0,0,SUMIFS(SIP[Realized Gain],SIP[Investor ID],INVESTORS_LIST[[#This Row],[INVESTOR CODE]],SIP[B/S],"S"))</f>
        <v>12187.842999999993</v>
      </c>
      <c r="S59" s="50">
        <f>INVESTORS_LIST[[#This Row],[LS_TOTAL UNITS BUY]]+INVESTORS_LIST[[#This Row],[SIP_TOTAL UNITS BUY]]</f>
        <v>1183213</v>
      </c>
      <c r="T59" s="50">
        <f>INVESTORS_LIST[[#This Row],[LS_TOTAL UNITS SOLD]]+INVESTORS_LIST[[#This Row],[SIP_TOTAL UNITS SOLD]]</f>
        <v>889158</v>
      </c>
      <c r="U59" s="50"/>
      <c r="V59" s="50">
        <f>SUMIFS(LS[BO UNIT TRANSFER],LS[Investor ID],INVESTORS_LIST[[#This Row],[INVESTOR CODE]],LS[B/S],"B")</f>
        <v>0</v>
      </c>
      <c r="W59" s="50">
        <f>SUMIFS(SIP[BO UNIT TRANSFER],SIP[Investor ID],INVESTORS_LIST[[#This Row],[INVESTOR CODE]],SIP[B/S],"B")</f>
        <v>0</v>
      </c>
      <c r="X59" s="50">
        <f>SUMIFS(LS[BO UNIT TRANSFER],LS[Investor ID],INVESTORS_LIST[[#This Row],[INVESTOR CODE]],LS[B/S],"S")</f>
        <v>0</v>
      </c>
      <c r="Y59" s="50">
        <f>SUMIFS(SIP[BO UNIT TRANSFER],SIP[Investor ID],INVESTORS_LIST[[#This Row],[INVESTOR CODE]],SIP[B/S],"S")</f>
        <v>0</v>
      </c>
      <c r="Z59" s="106">
        <f>SUM(INVESTORS_LIST[[#This Row],[BO OPENING BALANCE]:[BO SIP UNITS REPURCHASE]])</f>
        <v>0</v>
      </c>
      <c r="AA59" s="107">
        <f>INVESTORS_LIST[[#This Row],[TOTAL UNITS BUY]]-INVESTORS_LIST[[#This Row],[TOTAL UNITS SOLD]]</f>
        <v>294055</v>
      </c>
      <c r="AB59" s="107">
        <f>INVESTORS_LIST[[#This Row],[TOTAL CURRENT UNITS]]-INVESTORS_LIST[[#This Row],[BO UNITS HOLD]]</f>
        <v>294055</v>
      </c>
      <c r="AC59" s="201" t="e">
        <f>INDEX([3]!Table_1[BO ID],MATCH(INVESTORS_LIST[[#This Row],[INVESTOR CODE]],[3]!Table_1[INVESTOR CODE],0))</f>
        <v>#REF!</v>
      </c>
      <c r="AD59" s="201" t="e">
        <f>INDEX([3]!Table_1[Brokerage Name2],MATCH(INVESTORS_LIST[[#This Row],[INVESTOR CODE]],[3]!Table_1[INVESTOR CODE],0))</f>
        <v>#REF!</v>
      </c>
      <c r="AE59" s="201" t="e">
        <f>MID(INVESTORS_LIST[[#This Row],[BO ID]],4,5)</f>
        <v>#REF!</v>
      </c>
      <c r="AF59" s="201" t="e">
        <f>MID(INVESTORS_LIST[[#This Row],[BO ID]],2,7)</f>
        <v>#REF!</v>
      </c>
      <c r="AG59" s="201" t="e">
        <f>MID(INVESTORS_LIST[[#This Row],[BO ID]],9,7)</f>
        <v>#REF!</v>
      </c>
      <c r="AH59" s="201" t="e">
        <f>RIGHT(INVESTORS_LIST[[#This Row],[BO ID]],1)</f>
        <v>#REF!</v>
      </c>
      <c r="AI59" s="50">
        <f>INVESTORS_LIST[[#This Row],[LS_TOTAL COST VALUE OF CURRENT UNITS]]+INVESTORS_LIST[[#This Row],[SIP_TOTAL COST VALUE OF CURRENT UNITS]]</f>
        <v>3665913.9648262141</v>
      </c>
      <c r="AJ59" s="109">
        <f>IF(INVESTORS_LIST[[#This Row],[TOTAL CURRENT UNITS]]=0,0,INVESTORS_LIST[[#This Row],[LS_TOTAL CURRENT UNITS]]/INVESTORS_LIST[[#This Row],[TOTAL CURRENT UNITS]])</f>
        <v>1</v>
      </c>
      <c r="AK59" s="109">
        <f>IF(INVESTORS_LIST[[#This Row],[TOTAL CURRENT UNITS]]=0,0,INVESTORS_LIST[[#This Row],[SIP_TOTAL CURRENT UNITS]]/INVESTORS_LIST[[#This Row],[TOTAL CURRENT UNITS]])</f>
        <v>0</v>
      </c>
      <c r="AL59" s="49" cm="1">
        <f t="array" ref="AL59">IF(INVESTORS_LIST[[#This Row],[LS_TOTAL UNITS BUY]]&gt;0,INDEX(LS[NAV at Cost (Average)],MATCH(CONCATENATE(COUNTIFS(LS[Investor ID],INVESTORS_LIST[[#This Row],[INVESTOR CODE]]),INVESTORS_LIST[[#This Row],[INVESTOR CODE]]),LS[Unique Code],0),),0)</f>
        <v>12.466762900907021</v>
      </c>
      <c r="AM59" s="49" cm="1">
        <f t="array" ref="AM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" s="105">
        <f>IF(INVESTORS_LIST[[#This Row],[TOTAL CURRENT UNITS]]=0,0,(INVESTORS_LIST[[#This Row],[LS_WEIGHT]]*INVESTORS_LIST[[#This Row],[LS_AVERAGE COST]])+(INVESTORS_LIST[[#This Row],[SIP_WEIGHT]]*INVESTORS_LIST[[#This Row],[SIP_AVERAGE COST]]))</f>
        <v>12.466762900907021</v>
      </c>
      <c r="AO59" s="105">
        <f t="shared" si="1"/>
        <v>14.224</v>
      </c>
      <c r="AP59" s="112">
        <f>IF(INVESTORS_LIST[[#This Row],[TOTAL CURRENT UNITS]]=0,0,INVESTORS_LIST[[#This Row],[TOTAL CURRENT UNITS]]*INVESTORS_LIST[[#This Row],[NAV]])</f>
        <v>4182638.32</v>
      </c>
      <c r="AQ59" s="49">
        <f>IF(INVESTORS_LIST[[#This Row],[LS_TOTAL CURRENT UNITS]]=0,0,INVESTORS_LIST[[#This Row],[LS_TOTAL CURRENT UNITS]]*INVESTORS_LIST[[#This Row],[NAV]])</f>
        <v>4182638.32</v>
      </c>
      <c r="AR59" s="48">
        <f>IF(INVESTORS_LIST[[#This Row],[SIP_TOTAL CURRENT UNITS]]=0,0,INVESTORS_LIST[[#This Row],[SIP_TOTAL CURRENT UNITS]]*INVESTORS_LIST[[#This Row],[NAV]])</f>
        <v>0</v>
      </c>
      <c r="AS59" s="50">
        <f>INVESTORS_LIST[[#This Row],[TOTAL CURRENT UNITS]]</f>
        <v>294055</v>
      </c>
      <c r="AT59" s="48">
        <f>IF(INVESTORS_LIST[[#This Row],[TOTAL SELLABLE UNITS]]=0,0,INVESTORS_LIST[[#This Row],[TOTAL SELLABLE UNITS]]*INVESTORS_LIST[[#This Row],[NAV]])</f>
        <v>4182638.32</v>
      </c>
      <c r="AU59" s="48">
        <f>INVESTORS_LIST[[#This Row],[LS_TOTAL REALIZED GAIN]]+INVESTORS_LIST[[#This Row],[SIP_TOTAL REALIZED GAIN]]</f>
        <v>1351730.3838262144</v>
      </c>
      <c r="AV59" s="48">
        <f>INVESTORS_LIST[[#This Row],[TOTAL MARKET VALUE]]-INVESTORS_LIST[[#This Row],[TOTAL COST VALUE OF CURRENT INVESTMENT]]</f>
        <v>516724.35517378571</v>
      </c>
      <c r="AW59" s="108">
        <f>IFERROR(INVESTORS_LIST[[#This Row],[TOTAL CURRENT UNITS]]/SUM(INVESTORS_LIST[TOTAL CURRENT UNITS]),0)</f>
        <v>7.1385403128887606E-3</v>
      </c>
    </row>
    <row r="60" spans="1:49">
      <c r="A60" s="262" t="s">
        <v>167</v>
      </c>
      <c r="B60" s="97" t="s">
        <v>168</v>
      </c>
      <c r="C60" t="s">
        <v>52</v>
      </c>
      <c r="D60" s="75" t="s">
        <v>45</v>
      </c>
      <c r="E60" s="47">
        <f>SUMIFS(LS[Unit],LS[Investor ID],INVESTORS_LIST[[#This Row],[INVESTOR CODE]],LS[B/S],"B")</f>
        <v>49850</v>
      </c>
      <c r="F60" s="47">
        <f>-SUMIFS(LS[Unit],LS[Investor ID],INVESTORS_LIST[[#This Row],[INVESTOR CODE]],LS[B/S],"S")</f>
        <v>0</v>
      </c>
      <c r="G60" s="47">
        <f>IF(INVESTORS_LIST[[#This Row],[LS_TOTAL UNITS BUY]]=0,0,INVESTORS_LIST[[#This Row],[LS_TOTAL UNITS BUY]]-INVESTORS_LIST[[#This Row],[LS_TOTAL UNITS SOLD]])</f>
        <v>49850</v>
      </c>
      <c r="H60" s="49">
        <f>IF(INVESTORS_LIST[[#This Row],[LS_TOTAL UNITS BUY]]=0,0,SUMIFS(LS[Amount],LS[Investor ID],INVESTORS_LIST[[#This Row],[INVESTOR CODE]],LS[B/S],"B"))</f>
        <v>500000</v>
      </c>
      <c r="I60" s="48">
        <f>IF(INVESTORS_LIST[[#This Row],[LS_TOTAL UNITS SOLD]]=0,0,SUMIFS(LS[Cost of Units Sold],LS[Investor ID],INVESTORS_LIST[[#This Row],[INVESTOR CODE]],LS[B/S],"S"))</f>
        <v>0</v>
      </c>
      <c r="J60" s="48">
        <f>IF(INVESTORS_LIST[[#This Row],[LS_TOTAL CURRENT UNITS]]=0,0,INVESTORS_LIST[[#This Row],[LS_TOTAL CURRENT UNITS]]*INVESTORS_LIST[[#This Row],[LS_AVERAGE COST]])</f>
        <v>500000</v>
      </c>
      <c r="K60" s="49">
        <f>IF(INVESTORS_LIST[[#This Row],[LS_TOTAL UNITS SOLD]]=0,0,SUMIFS(LS[Realized Gain],LS[Investor ID],INVESTORS_LIST[[#This Row],[INVESTOR CODE]],LS[B/S],"S"))</f>
        <v>0</v>
      </c>
      <c r="L60" s="47">
        <f>SUMIFS(SIP[Unit],SIP[Investor ID],INVESTORS_LIST[[#This Row],[INVESTOR CODE]],SIP[B/S],"B")</f>
        <v>0</v>
      </c>
      <c r="M60" s="47">
        <f>-SUMIFS(SIP[Unit],SIP[Investor ID],INVESTORS_LIST[[#This Row],[INVESTOR CODE]],SIP[B/S],"S")</f>
        <v>0</v>
      </c>
      <c r="N60" s="50">
        <f>IF(INVESTORS_LIST[[#This Row],[SIP_TOTAL UNITS BUY]]=0,0,INVESTORS_LIST[[#This Row],[SIP_TOTAL UNITS BUY]]-INVESTORS_LIST[[#This Row],[SIP_TOTAL UNITS SOLD]])</f>
        <v>0</v>
      </c>
      <c r="O60" s="49">
        <f>IF(INVESTORS_LIST[[#This Row],[SIP_TOTAL UNITS BUY]]=0,0,SUMIFS(SIP[Amount],SIP[Investor ID],INVESTORS_LIST[[#This Row],[INVESTOR CODE]],SIP[B/S],"B"))</f>
        <v>0</v>
      </c>
      <c r="P60" s="49">
        <f>IF(INVESTORS_LIST[[#This Row],[SIP_TOTAL UNITS SOLD]]=0,0,SUMIFS(SIP[Cost of Units Sold],SIP[Investor ID],INVESTORS_LIST[[#This Row],[INVESTOR CODE]],SIP[B/S],"S"))</f>
        <v>0</v>
      </c>
      <c r="Q60" s="48">
        <f>IF(INVESTORS_LIST[[#This Row],[SIP_TOTAL CURRENT UNITS]]=0,0,INVESTORS_LIST[[#This Row],[SIP_TOTAL CURRENT UNITS]]*INVESTORS_LIST[[#This Row],[SIP_AVERAGE COST]])</f>
        <v>0</v>
      </c>
      <c r="R60" s="48">
        <f>IF(INVESTORS_LIST[[#This Row],[SIP_TOTAL UNITS SOLD]]=0,0,SUMIFS(SIP[Realized Gain],SIP[Investor ID],INVESTORS_LIST[[#This Row],[INVESTOR CODE]],SIP[B/S],"S"))</f>
        <v>0</v>
      </c>
      <c r="S60" s="50">
        <f>INVESTORS_LIST[[#This Row],[LS_TOTAL UNITS BUY]]+INVESTORS_LIST[[#This Row],[SIP_TOTAL UNITS BUY]]</f>
        <v>49850</v>
      </c>
      <c r="T60" s="50">
        <f>INVESTORS_LIST[[#This Row],[LS_TOTAL UNITS SOLD]]+INVESTORS_LIST[[#This Row],[SIP_TOTAL UNITS SOLD]]</f>
        <v>0</v>
      </c>
      <c r="U60" s="50"/>
      <c r="V60" s="50">
        <f>SUMIFS(LS[BO UNIT TRANSFER],LS[Investor ID],INVESTORS_LIST[[#This Row],[INVESTOR CODE]],LS[B/S],"B")</f>
        <v>0</v>
      </c>
      <c r="W60" s="50">
        <f>SUMIFS(SIP[BO UNIT TRANSFER],SIP[Investor ID],INVESTORS_LIST[[#This Row],[INVESTOR CODE]],SIP[B/S],"B")</f>
        <v>0</v>
      </c>
      <c r="X60" s="50">
        <f>SUMIFS(LS[BO UNIT TRANSFER],LS[Investor ID],INVESTORS_LIST[[#This Row],[INVESTOR CODE]],LS[B/S],"S")</f>
        <v>0</v>
      </c>
      <c r="Y60" s="50">
        <f>SUMIFS(SIP[BO UNIT TRANSFER],SIP[Investor ID],INVESTORS_LIST[[#This Row],[INVESTOR CODE]],SIP[B/S],"S")</f>
        <v>0</v>
      </c>
      <c r="Z60" s="106">
        <f>SUM(INVESTORS_LIST[[#This Row],[BO OPENING BALANCE]:[BO SIP UNITS REPURCHASE]])</f>
        <v>0</v>
      </c>
      <c r="AA60" s="107">
        <f>INVESTORS_LIST[[#This Row],[TOTAL UNITS BUY]]-INVESTORS_LIST[[#This Row],[TOTAL UNITS SOLD]]</f>
        <v>49850</v>
      </c>
      <c r="AB60" s="107">
        <f>INVESTORS_LIST[[#This Row],[TOTAL CURRENT UNITS]]-INVESTORS_LIST[[#This Row],[BO UNITS HOLD]]</f>
        <v>49850</v>
      </c>
      <c r="AC60" s="201" t="e">
        <f>INDEX([3]!Table_1[BO ID],MATCH(INVESTORS_LIST[[#This Row],[INVESTOR CODE]],[3]!Table_1[INVESTOR CODE],0))</f>
        <v>#REF!</v>
      </c>
      <c r="AD60" s="201" t="e">
        <f>INDEX([3]!Table_1[Brokerage Name2],MATCH(INVESTORS_LIST[[#This Row],[INVESTOR CODE]],[3]!Table_1[INVESTOR CODE],0))</f>
        <v>#REF!</v>
      </c>
      <c r="AE60" s="201" t="e">
        <f>MID(INVESTORS_LIST[[#This Row],[BO ID]],4,5)</f>
        <v>#REF!</v>
      </c>
      <c r="AF60" s="201" t="e">
        <f>MID(INVESTORS_LIST[[#This Row],[BO ID]],2,7)</f>
        <v>#REF!</v>
      </c>
      <c r="AG60" s="201" t="e">
        <f>MID(INVESTORS_LIST[[#This Row],[BO ID]],9,7)</f>
        <v>#REF!</v>
      </c>
      <c r="AH60" s="201" t="e">
        <f>RIGHT(INVESTORS_LIST[[#This Row],[BO ID]],1)</f>
        <v>#REF!</v>
      </c>
      <c r="AI60" s="50">
        <f>INVESTORS_LIST[[#This Row],[LS_TOTAL COST VALUE OF CURRENT UNITS]]+INVESTORS_LIST[[#This Row],[SIP_TOTAL COST VALUE OF CURRENT UNITS]]</f>
        <v>500000</v>
      </c>
      <c r="AJ60" s="109">
        <f>IF(INVESTORS_LIST[[#This Row],[TOTAL CURRENT UNITS]]=0,0,INVESTORS_LIST[[#This Row],[LS_TOTAL CURRENT UNITS]]/INVESTORS_LIST[[#This Row],[TOTAL CURRENT UNITS]])</f>
        <v>1</v>
      </c>
      <c r="AK60" s="109">
        <f>IF(INVESTORS_LIST[[#This Row],[TOTAL CURRENT UNITS]]=0,0,INVESTORS_LIST[[#This Row],[SIP_TOTAL CURRENT UNITS]]/INVESTORS_LIST[[#This Row],[TOTAL CURRENT UNITS]])</f>
        <v>0</v>
      </c>
      <c r="AL60" s="49" cm="1">
        <f t="array" ref="AL60">IF(INVESTORS_LIST[[#This Row],[LS_TOTAL UNITS BUY]]&gt;0,INDEX(LS[NAV at Cost (Average)],MATCH(CONCATENATE(COUNTIFS(LS[Investor ID],INVESTORS_LIST[[#This Row],[INVESTOR CODE]]),INVESTORS_LIST[[#This Row],[INVESTOR CODE]]),LS[Unique Code],0),),0)</f>
        <v>10.030090270812437</v>
      </c>
      <c r="AM60" s="49" cm="1">
        <f t="array" ref="AM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" s="105">
        <f>IF(INVESTORS_LIST[[#This Row],[TOTAL CURRENT UNITS]]=0,0,(INVESTORS_LIST[[#This Row],[LS_WEIGHT]]*INVESTORS_LIST[[#This Row],[LS_AVERAGE COST]])+(INVESTORS_LIST[[#This Row],[SIP_WEIGHT]]*INVESTORS_LIST[[#This Row],[SIP_AVERAGE COST]]))</f>
        <v>10.030090270812437</v>
      </c>
      <c r="AO60" s="105">
        <f t="shared" si="1"/>
        <v>14.224</v>
      </c>
      <c r="AP60" s="112">
        <f>IF(INVESTORS_LIST[[#This Row],[TOTAL CURRENT UNITS]]=0,0,INVESTORS_LIST[[#This Row],[TOTAL CURRENT UNITS]]*INVESTORS_LIST[[#This Row],[NAV]])</f>
        <v>709066.4</v>
      </c>
      <c r="AQ60" s="49">
        <f>IF(INVESTORS_LIST[[#This Row],[LS_TOTAL CURRENT UNITS]]=0,0,INVESTORS_LIST[[#This Row],[LS_TOTAL CURRENT UNITS]]*INVESTORS_LIST[[#This Row],[NAV]])</f>
        <v>709066.4</v>
      </c>
      <c r="AR60" s="48">
        <f>IF(INVESTORS_LIST[[#This Row],[SIP_TOTAL CURRENT UNITS]]=0,0,INVESTORS_LIST[[#This Row],[SIP_TOTAL CURRENT UNITS]]*INVESTORS_LIST[[#This Row],[NAV]])</f>
        <v>0</v>
      </c>
      <c r="AS60" s="50">
        <f>INVESTORS_LIST[[#This Row],[TOTAL CURRENT UNITS]]</f>
        <v>49850</v>
      </c>
      <c r="AT60" s="48">
        <f>IF(INVESTORS_LIST[[#This Row],[TOTAL SELLABLE UNITS]]=0,0,INVESTORS_LIST[[#This Row],[TOTAL SELLABLE UNITS]]*INVESTORS_LIST[[#This Row],[NAV]])</f>
        <v>709066.4</v>
      </c>
      <c r="AU60" s="48">
        <f>INVESTORS_LIST[[#This Row],[LS_TOTAL REALIZED GAIN]]+INVESTORS_LIST[[#This Row],[SIP_TOTAL REALIZED GAIN]]</f>
        <v>0</v>
      </c>
      <c r="AV60" s="48">
        <f>INVESTORS_LIST[[#This Row],[TOTAL MARKET VALUE]]-INVESTORS_LIST[[#This Row],[TOTAL COST VALUE OF CURRENT INVESTMENT]]</f>
        <v>209066.40000000002</v>
      </c>
      <c r="AW60" s="108">
        <f>IFERROR(INVESTORS_LIST[[#This Row],[TOTAL CURRENT UNITS]]/SUM(INVESTORS_LIST[TOTAL CURRENT UNITS]),0)</f>
        <v>1.2101689636207673E-3</v>
      </c>
    </row>
    <row r="61" spans="1:49" hidden="1">
      <c r="A61" s="262" t="s">
        <v>169</v>
      </c>
      <c r="B61" s="97" t="s">
        <v>170</v>
      </c>
      <c r="C61" t="s">
        <v>44</v>
      </c>
      <c r="D61" s="75" t="s">
        <v>45</v>
      </c>
      <c r="E61" s="47">
        <f>SUMIFS(LS[Unit],LS[Investor ID],INVESTORS_LIST[[#This Row],[INVESTOR CODE]],LS[B/S],"B")</f>
        <v>0</v>
      </c>
      <c r="F61" s="47">
        <f>-SUMIFS(LS[Unit],LS[Investor ID],INVESTORS_LIST[[#This Row],[INVESTOR CODE]],LS[B/S],"S")</f>
        <v>0</v>
      </c>
      <c r="G61" s="47">
        <f>IF(INVESTORS_LIST[[#This Row],[LS_TOTAL UNITS BUY]]=0,0,INVESTORS_LIST[[#This Row],[LS_TOTAL UNITS BUY]]-INVESTORS_LIST[[#This Row],[LS_TOTAL UNITS SOLD]])</f>
        <v>0</v>
      </c>
      <c r="H61" s="49">
        <f>IF(INVESTORS_LIST[[#This Row],[LS_TOTAL UNITS BUY]]=0,0,SUMIFS(LS[Amount],LS[Investor ID],INVESTORS_LIST[[#This Row],[INVESTOR CODE]],LS[B/S],"B"))</f>
        <v>0</v>
      </c>
      <c r="I61" s="48">
        <f>IF(INVESTORS_LIST[[#This Row],[LS_TOTAL UNITS SOLD]]=0,0,SUMIFS(LS[Cost of Units Sold],LS[Investor ID],INVESTORS_LIST[[#This Row],[INVESTOR CODE]],LS[B/S],"S"))</f>
        <v>0</v>
      </c>
      <c r="J61" s="48">
        <f>IF(INVESTORS_LIST[[#This Row],[LS_TOTAL CURRENT UNITS]]=0,0,INVESTORS_LIST[[#This Row],[LS_TOTAL CURRENT UNITS]]*INVESTORS_LIST[[#This Row],[LS_AVERAGE COST]])</f>
        <v>0</v>
      </c>
      <c r="K61" s="49">
        <f>IF(INVESTORS_LIST[[#This Row],[LS_TOTAL UNITS SOLD]]=0,0,SUMIFS(LS[Realized Gain],LS[Investor ID],INVESTORS_LIST[[#This Row],[INVESTOR CODE]],LS[B/S],"S"))</f>
        <v>0</v>
      </c>
      <c r="L61" s="47">
        <f>SUMIFS(SIP[Unit],SIP[Investor ID],INVESTORS_LIST[[#This Row],[INVESTOR CODE]],SIP[B/S],"B")</f>
        <v>0</v>
      </c>
      <c r="M61" s="47">
        <f>-SUMIFS(SIP[Unit],SIP[Investor ID],INVESTORS_LIST[[#This Row],[INVESTOR CODE]],SIP[B/S],"S")</f>
        <v>0</v>
      </c>
      <c r="N61" s="50">
        <f>IF(INVESTORS_LIST[[#This Row],[SIP_TOTAL UNITS BUY]]=0,0,INVESTORS_LIST[[#This Row],[SIP_TOTAL UNITS BUY]]-INVESTORS_LIST[[#This Row],[SIP_TOTAL UNITS SOLD]])</f>
        <v>0</v>
      </c>
      <c r="O61" s="49">
        <f>IF(INVESTORS_LIST[[#This Row],[SIP_TOTAL UNITS BUY]]=0,0,SUMIFS(SIP[Amount],SIP[Investor ID],INVESTORS_LIST[[#This Row],[INVESTOR CODE]],SIP[B/S],"B"))</f>
        <v>0</v>
      </c>
      <c r="P61" s="49">
        <f>IF(INVESTORS_LIST[[#This Row],[SIP_TOTAL UNITS SOLD]]=0,0,SUMIFS(SIP[Cost of Units Sold],SIP[Investor ID],INVESTORS_LIST[[#This Row],[INVESTOR CODE]],SIP[B/S],"S"))</f>
        <v>0</v>
      </c>
      <c r="Q61" s="48">
        <f>IF(INVESTORS_LIST[[#This Row],[SIP_TOTAL CURRENT UNITS]]=0,0,INVESTORS_LIST[[#This Row],[SIP_TOTAL CURRENT UNITS]]*INVESTORS_LIST[[#This Row],[SIP_AVERAGE COST]])</f>
        <v>0</v>
      </c>
      <c r="R61" s="48">
        <f>IF(INVESTORS_LIST[[#This Row],[SIP_TOTAL UNITS SOLD]]=0,0,SUMIFS(SIP[Realized Gain],SIP[Investor ID],INVESTORS_LIST[[#This Row],[INVESTOR CODE]],SIP[B/S],"S"))</f>
        <v>0</v>
      </c>
      <c r="S61" s="50">
        <f>INVESTORS_LIST[[#This Row],[LS_TOTAL UNITS BUY]]+INVESTORS_LIST[[#This Row],[SIP_TOTAL UNITS BUY]]</f>
        <v>0</v>
      </c>
      <c r="T61" s="50">
        <f>INVESTORS_LIST[[#This Row],[LS_TOTAL UNITS SOLD]]+INVESTORS_LIST[[#This Row],[SIP_TOTAL UNITS SOLD]]</f>
        <v>0</v>
      </c>
      <c r="U61" s="50"/>
      <c r="V61" s="50">
        <f>SUMIFS(LS[BO UNIT TRANSFER],LS[Investor ID],INVESTORS_LIST[[#This Row],[INVESTOR CODE]],LS[B/S],"B")</f>
        <v>0</v>
      </c>
      <c r="W61" s="50">
        <f>SUMIFS(SIP[BO UNIT TRANSFER],SIP[Investor ID],INVESTORS_LIST[[#This Row],[INVESTOR CODE]],SIP[B/S],"B")</f>
        <v>0</v>
      </c>
      <c r="X61" s="50">
        <f>SUMIFS(LS[BO UNIT TRANSFER],LS[Investor ID],INVESTORS_LIST[[#This Row],[INVESTOR CODE]],LS[B/S],"S")</f>
        <v>0</v>
      </c>
      <c r="Y61" s="50">
        <f>SUMIFS(SIP[BO UNIT TRANSFER],SIP[Investor ID],INVESTORS_LIST[[#This Row],[INVESTOR CODE]],SIP[B/S],"S")</f>
        <v>0</v>
      </c>
      <c r="Z61" s="106">
        <f>SUM(INVESTORS_LIST[[#This Row],[BO OPENING BALANCE]:[BO SIP UNITS REPURCHASE]])</f>
        <v>0</v>
      </c>
      <c r="AA61" s="107">
        <f>INVESTORS_LIST[[#This Row],[TOTAL UNITS BUY]]-INVESTORS_LIST[[#This Row],[TOTAL UNITS SOLD]]</f>
        <v>0</v>
      </c>
      <c r="AB61" s="107">
        <f>INVESTORS_LIST[[#This Row],[TOTAL CURRENT UNITS]]-INVESTORS_LIST[[#This Row],[BO UNITS HOLD]]</f>
        <v>0</v>
      </c>
      <c r="AC61" s="201" t="e">
        <f>INDEX([3]!Table_1[BO ID],MATCH(INVESTORS_LIST[[#This Row],[INVESTOR CODE]],[3]!Table_1[INVESTOR CODE],0))</f>
        <v>#REF!</v>
      </c>
      <c r="AD61" s="201" t="e">
        <f>INDEX([3]!Table_1[Brokerage Name2],MATCH(INVESTORS_LIST[[#This Row],[INVESTOR CODE]],[3]!Table_1[INVESTOR CODE],0))</f>
        <v>#REF!</v>
      </c>
      <c r="AE61" s="201" t="e">
        <f>MID(INVESTORS_LIST[[#This Row],[BO ID]],4,5)</f>
        <v>#REF!</v>
      </c>
      <c r="AF61" s="201" t="e">
        <f>MID(INVESTORS_LIST[[#This Row],[BO ID]],2,7)</f>
        <v>#REF!</v>
      </c>
      <c r="AG61" s="201" t="e">
        <f>MID(INVESTORS_LIST[[#This Row],[BO ID]],9,7)</f>
        <v>#REF!</v>
      </c>
      <c r="AH61" s="201" t="e">
        <f>RIGHT(INVESTORS_LIST[[#This Row],[BO ID]],1)</f>
        <v>#REF!</v>
      </c>
      <c r="AI61" s="50">
        <f>INVESTORS_LIST[[#This Row],[LS_TOTAL COST VALUE OF CURRENT UNITS]]+INVESTORS_LIST[[#This Row],[SIP_TOTAL COST VALUE OF CURRENT UNITS]]</f>
        <v>0</v>
      </c>
      <c r="AJ61" s="109">
        <f>IF(INVESTORS_LIST[[#This Row],[TOTAL CURRENT UNITS]]=0,0,INVESTORS_LIST[[#This Row],[LS_TOTAL CURRENT UNITS]]/INVESTORS_LIST[[#This Row],[TOTAL CURRENT UNITS]])</f>
        <v>0</v>
      </c>
      <c r="AK61" s="109">
        <f>IF(INVESTORS_LIST[[#This Row],[TOTAL CURRENT UNITS]]=0,0,INVESTORS_LIST[[#This Row],[SIP_TOTAL CURRENT UNITS]]/INVESTORS_LIST[[#This Row],[TOTAL CURRENT UNITS]])</f>
        <v>0</v>
      </c>
      <c r="AL61" s="49" cm="1">
        <f t="array" ref="AL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" s="49" cm="1">
        <f t="array" ref="AM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" s="105">
        <f t="shared" si="1"/>
        <v>14.224</v>
      </c>
      <c r="AP61" s="112">
        <f>IF(INVESTORS_LIST[[#This Row],[TOTAL CURRENT UNITS]]=0,0,INVESTORS_LIST[[#This Row],[TOTAL CURRENT UNITS]]*INVESTORS_LIST[[#This Row],[NAV]])</f>
        <v>0</v>
      </c>
      <c r="AQ61" s="49">
        <f>IF(INVESTORS_LIST[[#This Row],[LS_TOTAL CURRENT UNITS]]=0,0,INVESTORS_LIST[[#This Row],[LS_TOTAL CURRENT UNITS]]*INVESTORS_LIST[[#This Row],[NAV]])</f>
        <v>0</v>
      </c>
      <c r="AR61" s="48">
        <f>IF(INVESTORS_LIST[[#This Row],[SIP_TOTAL CURRENT UNITS]]=0,0,INVESTORS_LIST[[#This Row],[SIP_TOTAL CURRENT UNITS]]*INVESTORS_LIST[[#This Row],[NAV]])</f>
        <v>0</v>
      </c>
      <c r="AS61" s="50">
        <f>INVESTORS_LIST[[#This Row],[TOTAL CURRENT UNITS]]</f>
        <v>0</v>
      </c>
      <c r="AT61" s="48">
        <f>IF(INVESTORS_LIST[[#This Row],[TOTAL SELLABLE UNITS]]=0,0,INVESTORS_LIST[[#This Row],[TOTAL SELLABLE UNITS]]*INVESTORS_LIST[[#This Row],[NAV]])</f>
        <v>0</v>
      </c>
      <c r="AU61" s="48">
        <f>INVESTORS_LIST[[#This Row],[LS_TOTAL REALIZED GAIN]]+INVESTORS_LIST[[#This Row],[SIP_TOTAL REALIZED GAIN]]</f>
        <v>0</v>
      </c>
      <c r="AV61" s="48">
        <f>INVESTORS_LIST[[#This Row],[TOTAL MARKET VALUE]]-INVESTORS_LIST[[#This Row],[TOTAL COST VALUE OF CURRENT INVESTMENT]]</f>
        <v>0</v>
      </c>
      <c r="AW61" s="48">
        <f>IFERROR(INVESTORS_LIST[[#This Row],[TOTAL CURRENT UNITS]]/SUM(INVESTORS_LIST[TOTAL CURRENT UNITS]),0)</f>
        <v>0</v>
      </c>
    </row>
    <row r="62" spans="1:49" hidden="1">
      <c r="A62" s="262" t="s">
        <v>171</v>
      </c>
      <c r="B62" s="97" t="s">
        <v>172</v>
      </c>
      <c r="C62" t="s">
        <v>44</v>
      </c>
      <c r="D62" s="75" t="s">
        <v>45</v>
      </c>
      <c r="E62" s="47">
        <f>SUMIFS(LS[Unit],LS[Investor ID],INVESTORS_LIST[[#This Row],[INVESTOR CODE]],LS[B/S],"B")</f>
        <v>0</v>
      </c>
      <c r="F62" s="47">
        <f>-SUMIFS(LS[Unit],LS[Investor ID],INVESTORS_LIST[[#This Row],[INVESTOR CODE]],LS[B/S],"S")</f>
        <v>0</v>
      </c>
      <c r="G62" s="47">
        <f>IF(INVESTORS_LIST[[#This Row],[LS_TOTAL UNITS BUY]]=0,0,INVESTORS_LIST[[#This Row],[LS_TOTAL UNITS BUY]]-INVESTORS_LIST[[#This Row],[LS_TOTAL UNITS SOLD]])</f>
        <v>0</v>
      </c>
      <c r="H62" s="49">
        <f>IF(INVESTORS_LIST[[#This Row],[LS_TOTAL UNITS BUY]]=0,0,SUMIFS(LS[Amount],LS[Investor ID],INVESTORS_LIST[[#This Row],[INVESTOR CODE]],LS[B/S],"B"))</f>
        <v>0</v>
      </c>
      <c r="I62" s="48">
        <f>IF(INVESTORS_LIST[[#This Row],[LS_TOTAL UNITS SOLD]]=0,0,SUMIFS(LS[Cost of Units Sold],LS[Investor ID],INVESTORS_LIST[[#This Row],[INVESTOR CODE]],LS[B/S],"S"))</f>
        <v>0</v>
      </c>
      <c r="J62" s="48">
        <f>IF(INVESTORS_LIST[[#This Row],[LS_TOTAL CURRENT UNITS]]=0,0,INVESTORS_LIST[[#This Row],[LS_TOTAL CURRENT UNITS]]*INVESTORS_LIST[[#This Row],[LS_AVERAGE COST]])</f>
        <v>0</v>
      </c>
      <c r="K62" s="49">
        <f>IF(INVESTORS_LIST[[#This Row],[LS_TOTAL UNITS SOLD]]=0,0,SUMIFS(LS[Realized Gain],LS[Investor ID],INVESTORS_LIST[[#This Row],[INVESTOR CODE]],LS[B/S],"S"))</f>
        <v>0</v>
      </c>
      <c r="L62" s="47">
        <f>SUMIFS(SIP[Unit],SIP[Investor ID],INVESTORS_LIST[[#This Row],[INVESTOR CODE]],SIP[B/S],"B")</f>
        <v>0</v>
      </c>
      <c r="M62" s="47">
        <f>-SUMIFS(SIP[Unit],SIP[Investor ID],INVESTORS_LIST[[#This Row],[INVESTOR CODE]],SIP[B/S],"S")</f>
        <v>0</v>
      </c>
      <c r="N62" s="50">
        <f>IF(INVESTORS_LIST[[#This Row],[SIP_TOTAL UNITS BUY]]=0,0,INVESTORS_LIST[[#This Row],[SIP_TOTAL UNITS BUY]]-INVESTORS_LIST[[#This Row],[SIP_TOTAL UNITS SOLD]])</f>
        <v>0</v>
      </c>
      <c r="O62" s="49">
        <f>IF(INVESTORS_LIST[[#This Row],[SIP_TOTAL UNITS BUY]]=0,0,SUMIFS(SIP[Amount],SIP[Investor ID],INVESTORS_LIST[[#This Row],[INVESTOR CODE]],SIP[B/S],"B"))</f>
        <v>0</v>
      </c>
      <c r="P62" s="49">
        <f>IF(INVESTORS_LIST[[#This Row],[SIP_TOTAL UNITS SOLD]]=0,0,SUMIFS(SIP[Cost of Units Sold],SIP[Investor ID],INVESTORS_LIST[[#This Row],[INVESTOR CODE]],SIP[B/S],"S"))</f>
        <v>0</v>
      </c>
      <c r="Q62" s="48">
        <f>IF(INVESTORS_LIST[[#This Row],[SIP_TOTAL CURRENT UNITS]]=0,0,INVESTORS_LIST[[#This Row],[SIP_TOTAL CURRENT UNITS]]*INVESTORS_LIST[[#This Row],[SIP_AVERAGE COST]])</f>
        <v>0</v>
      </c>
      <c r="R62" s="48">
        <f>IF(INVESTORS_LIST[[#This Row],[SIP_TOTAL UNITS SOLD]]=0,0,SUMIFS(SIP[Realized Gain],SIP[Investor ID],INVESTORS_LIST[[#This Row],[INVESTOR CODE]],SIP[B/S],"S"))</f>
        <v>0</v>
      </c>
      <c r="S62" s="50">
        <f>INVESTORS_LIST[[#This Row],[LS_TOTAL UNITS BUY]]+INVESTORS_LIST[[#This Row],[SIP_TOTAL UNITS BUY]]</f>
        <v>0</v>
      </c>
      <c r="T62" s="50">
        <f>INVESTORS_LIST[[#This Row],[LS_TOTAL UNITS SOLD]]+INVESTORS_LIST[[#This Row],[SIP_TOTAL UNITS SOLD]]</f>
        <v>0</v>
      </c>
      <c r="U62" s="50"/>
      <c r="V62" s="50">
        <f>SUMIFS(LS[BO UNIT TRANSFER],LS[Investor ID],INVESTORS_LIST[[#This Row],[INVESTOR CODE]],LS[B/S],"B")</f>
        <v>0</v>
      </c>
      <c r="W62" s="50">
        <f>SUMIFS(SIP[BO UNIT TRANSFER],SIP[Investor ID],INVESTORS_LIST[[#This Row],[INVESTOR CODE]],SIP[B/S],"B")</f>
        <v>0</v>
      </c>
      <c r="X62" s="50">
        <f>SUMIFS(LS[BO UNIT TRANSFER],LS[Investor ID],INVESTORS_LIST[[#This Row],[INVESTOR CODE]],LS[B/S],"S")</f>
        <v>0</v>
      </c>
      <c r="Y62" s="50">
        <f>SUMIFS(SIP[BO UNIT TRANSFER],SIP[Investor ID],INVESTORS_LIST[[#This Row],[INVESTOR CODE]],SIP[B/S],"S")</f>
        <v>0</v>
      </c>
      <c r="Z62" s="106">
        <f>SUM(INVESTORS_LIST[[#This Row],[BO OPENING BALANCE]:[BO SIP UNITS REPURCHASE]])</f>
        <v>0</v>
      </c>
      <c r="AA62" s="107">
        <f>INVESTORS_LIST[[#This Row],[TOTAL UNITS BUY]]-INVESTORS_LIST[[#This Row],[TOTAL UNITS SOLD]]</f>
        <v>0</v>
      </c>
      <c r="AB62" s="107">
        <f>INVESTORS_LIST[[#This Row],[TOTAL CURRENT UNITS]]-INVESTORS_LIST[[#This Row],[BO UNITS HOLD]]</f>
        <v>0</v>
      </c>
      <c r="AC62" s="201" t="e">
        <f>INDEX([3]!Table_1[BO ID],MATCH(INVESTORS_LIST[[#This Row],[INVESTOR CODE]],[3]!Table_1[INVESTOR CODE],0))</f>
        <v>#REF!</v>
      </c>
      <c r="AD62" s="201" t="e">
        <f>INDEX([3]!Table_1[Brokerage Name2],MATCH(INVESTORS_LIST[[#This Row],[INVESTOR CODE]],[3]!Table_1[INVESTOR CODE],0))</f>
        <v>#REF!</v>
      </c>
      <c r="AE62" s="201" t="e">
        <f>MID(INVESTORS_LIST[[#This Row],[BO ID]],4,5)</f>
        <v>#REF!</v>
      </c>
      <c r="AF62" s="201" t="e">
        <f>MID(INVESTORS_LIST[[#This Row],[BO ID]],2,7)</f>
        <v>#REF!</v>
      </c>
      <c r="AG62" s="201" t="e">
        <f>MID(INVESTORS_LIST[[#This Row],[BO ID]],9,7)</f>
        <v>#REF!</v>
      </c>
      <c r="AH62" s="201" t="e">
        <f>RIGHT(INVESTORS_LIST[[#This Row],[BO ID]],1)</f>
        <v>#REF!</v>
      </c>
      <c r="AI62" s="50">
        <f>INVESTORS_LIST[[#This Row],[LS_TOTAL COST VALUE OF CURRENT UNITS]]+INVESTORS_LIST[[#This Row],[SIP_TOTAL COST VALUE OF CURRENT UNITS]]</f>
        <v>0</v>
      </c>
      <c r="AJ62" s="109">
        <f>IF(INVESTORS_LIST[[#This Row],[TOTAL CURRENT UNITS]]=0,0,INVESTORS_LIST[[#This Row],[LS_TOTAL CURRENT UNITS]]/INVESTORS_LIST[[#This Row],[TOTAL CURRENT UNITS]])</f>
        <v>0</v>
      </c>
      <c r="AK62" s="109">
        <f>IF(INVESTORS_LIST[[#This Row],[TOTAL CURRENT UNITS]]=0,0,INVESTORS_LIST[[#This Row],[SIP_TOTAL CURRENT UNITS]]/INVESTORS_LIST[[#This Row],[TOTAL CURRENT UNITS]])</f>
        <v>0</v>
      </c>
      <c r="AL62" s="49" cm="1">
        <f t="array" ref="AL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2" s="49" cm="1">
        <f t="array" ref="AM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2" s="105">
        <f t="shared" si="1"/>
        <v>14.224</v>
      </c>
      <c r="AP62" s="112">
        <f>IF(INVESTORS_LIST[[#This Row],[TOTAL CURRENT UNITS]]=0,0,INVESTORS_LIST[[#This Row],[TOTAL CURRENT UNITS]]*INVESTORS_LIST[[#This Row],[NAV]])</f>
        <v>0</v>
      </c>
      <c r="AQ62" s="49">
        <f>IF(INVESTORS_LIST[[#This Row],[LS_TOTAL CURRENT UNITS]]=0,0,INVESTORS_LIST[[#This Row],[LS_TOTAL CURRENT UNITS]]*INVESTORS_LIST[[#This Row],[NAV]])</f>
        <v>0</v>
      </c>
      <c r="AR62" s="48">
        <f>IF(INVESTORS_LIST[[#This Row],[SIP_TOTAL CURRENT UNITS]]=0,0,INVESTORS_LIST[[#This Row],[SIP_TOTAL CURRENT UNITS]]*INVESTORS_LIST[[#This Row],[NAV]])</f>
        <v>0</v>
      </c>
      <c r="AS62" s="50">
        <f>INVESTORS_LIST[[#This Row],[TOTAL CURRENT UNITS]]</f>
        <v>0</v>
      </c>
      <c r="AT62" s="48">
        <f>IF(INVESTORS_LIST[[#This Row],[TOTAL SELLABLE UNITS]]=0,0,INVESTORS_LIST[[#This Row],[TOTAL SELLABLE UNITS]]*INVESTORS_LIST[[#This Row],[NAV]])</f>
        <v>0</v>
      </c>
      <c r="AU62" s="48">
        <f>INVESTORS_LIST[[#This Row],[LS_TOTAL REALIZED GAIN]]+INVESTORS_LIST[[#This Row],[SIP_TOTAL REALIZED GAIN]]</f>
        <v>0</v>
      </c>
      <c r="AV62" s="48">
        <f>INVESTORS_LIST[[#This Row],[TOTAL MARKET VALUE]]-INVESTORS_LIST[[#This Row],[TOTAL COST VALUE OF CURRENT INVESTMENT]]</f>
        <v>0</v>
      </c>
      <c r="AW62" s="48">
        <f>IFERROR(INVESTORS_LIST[[#This Row],[TOTAL CURRENT UNITS]]/SUM(INVESTORS_LIST[TOTAL CURRENT UNITS]),0)</f>
        <v>0</v>
      </c>
    </row>
    <row r="63" spans="1:49" hidden="1">
      <c r="A63" s="262" t="s">
        <v>173</v>
      </c>
      <c r="B63" s="97" t="s">
        <v>174</v>
      </c>
      <c r="C63" t="s">
        <v>44</v>
      </c>
      <c r="D63" s="75" t="s">
        <v>45</v>
      </c>
      <c r="E63" s="47">
        <f>SUMIFS(LS[Unit],LS[Investor ID],INVESTORS_LIST[[#This Row],[INVESTOR CODE]],LS[B/S],"B")</f>
        <v>0</v>
      </c>
      <c r="F63" s="47">
        <f>-SUMIFS(LS[Unit],LS[Investor ID],INVESTORS_LIST[[#This Row],[INVESTOR CODE]],LS[B/S],"S")</f>
        <v>0</v>
      </c>
      <c r="G63" s="47">
        <f>IF(INVESTORS_LIST[[#This Row],[LS_TOTAL UNITS BUY]]=0,0,INVESTORS_LIST[[#This Row],[LS_TOTAL UNITS BUY]]-INVESTORS_LIST[[#This Row],[LS_TOTAL UNITS SOLD]])</f>
        <v>0</v>
      </c>
      <c r="H63" s="49">
        <f>IF(INVESTORS_LIST[[#This Row],[LS_TOTAL UNITS BUY]]=0,0,SUMIFS(LS[Amount],LS[Investor ID],INVESTORS_LIST[[#This Row],[INVESTOR CODE]],LS[B/S],"B"))</f>
        <v>0</v>
      </c>
      <c r="I63" s="48">
        <f>IF(INVESTORS_LIST[[#This Row],[LS_TOTAL UNITS SOLD]]=0,0,SUMIFS(LS[Cost of Units Sold],LS[Investor ID],INVESTORS_LIST[[#This Row],[INVESTOR CODE]],LS[B/S],"S"))</f>
        <v>0</v>
      </c>
      <c r="J63" s="48">
        <f>IF(INVESTORS_LIST[[#This Row],[LS_TOTAL CURRENT UNITS]]=0,0,INVESTORS_LIST[[#This Row],[LS_TOTAL CURRENT UNITS]]*INVESTORS_LIST[[#This Row],[LS_AVERAGE COST]])</f>
        <v>0</v>
      </c>
      <c r="K63" s="49">
        <f>IF(INVESTORS_LIST[[#This Row],[LS_TOTAL UNITS SOLD]]=0,0,SUMIFS(LS[Realized Gain],LS[Investor ID],INVESTORS_LIST[[#This Row],[INVESTOR CODE]],LS[B/S],"S"))</f>
        <v>0</v>
      </c>
      <c r="L63" s="47">
        <f>SUMIFS(SIP[Unit],SIP[Investor ID],INVESTORS_LIST[[#This Row],[INVESTOR CODE]],SIP[B/S],"B")</f>
        <v>0</v>
      </c>
      <c r="M63" s="47">
        <f>-SUMIFS(SIP[Unit],SIP[Investor ID],INVESTORS_LIST[[#This Row],[INVESTOR CODE]],SIP[B/S],"S")</f>
        <v>0</v>
      </c>
      <c r="N63" s="50">
        <f>IF(INVESTORS_LIST[[#This Row],[SIP_TOTAL UNITS BUY]]=0,0,INVESTORS_LIST[[#This Row],[SIP_TOTAL UNITS BUY]]-INVESTORS_LIST[[#This Row],[SIP_TOTAL UNITS SOLD]])</f>
        <v>0</v>
      </c>
      <c r="O63" s="49">
        <f>IF(INVESTORS_LIST[[#This Row],[SIP_TOTAL UNITS BUY]]=0,0,SUMIFS(SIP[Amount],SIP[Investor ID],INVESTORS_LIST[[#This Row],[INVESTOR CODE]],SIP[B/S],"B"))</f>
        <v>0</v>
      </c>
      <c r="P63" s="49">
        <f>IF(INVESTORS_LIST[[#This Row],[SIP_TOTAL UNITS SOLD]]=0,0,SUMIFS(SIP[Cost of Units Sold],SIP[Investor ID],INVESTORS_LIST[[#This Row],[INVESTOR CODE]],SIP[B/S],"S"))</f>
        <v>0</v>
      </c>
      <c r="Q63" s="48">
        <f>IF(INVESTORS_LIST[[#This Row],[SIP_TOTAL CURRENT UNITS]]=0,0,INVESTORS_LIST[[#This Row],[SIP_TOTAL CURRENT UNITS]]*INVESTORS_LIST[[#This Row],[SIP_AVERAGE COST]])</f>
        <v>0</v>
      </c>
      <c r="R63" s="48">
        <f>IF(INVESTORS_LIST[[#This Row],[SIP_TOTAL UNITS SOLD]]=0,0,SUMIFS(SIP[Realized Gain],SIP[Investor ID],INVESTORS_LIST[[#This Row],[INVESTOR CODE]],SIP[B/S],"S"))</f>
        <v>0</v>
      </c>
      <c r="S63" s="50">
        <f>INVESTORS_LIST[[#This Row],[LS_TOTAL UNITS BUY]]+INVESTORS_LIST[[#This Row],[SIP_TOTAL UNITS BUY]]</f>
        <v>0</v>
      </c>
      <c r="T63" s="50">
        <f>INVESTORS_LIST[[#This Row],[LS_TOTAL UNITS SOLD]]+INVESTORS_LIST[[#This Row],[SIP_TOTAL UNITS SOLD]]</f>
        <v>0</v>
      </c>
      <c r="U63" s="50"/>
      <c r="V63" s="50">
        <f>SUMIFS(LS[BO UNIT TRANSFER],LS[Investor ID],INVESTORS_LIST[[#This Row],[INVESTOR CODE]],LS[B/S],"B")</f>
        <v>0</v>
      </c>
      <c r="W63" s="50">
        <f>SUMIFS(SIP[BO UNIT TRANSFER],SIP[Investor ID],INVESTORS_LIST[[#This Row],[INVESTOR CODE]],SIP[B/S],"B")</f>
        <v>0</v>
      </c>
      <c r="X63" s="50">
        <f>SUMIFS(LS[BO UNIT TRANSFER],LS[Investor ID],INVESTORS_LIST[[#This Row],[INVESTOR CODE]],LS[B/S],"S")</f>
        <v>0</v>
      </c>
      <c r="Y63" s="50">
        <f>SUMIFS(SIP[BO UNIT TRANSFER],SIP[Investor ID],INVESTORS_LIST[[#This Row],[INVESTOR CODE]],SIP[B/S],"S")</f>
        <v>0</v>
      </c>
      <c r="Z63" s="106">
        <f>SUM(INVESTORS_LIST[[#This Row],[BO OPENING BALANCE]:[BO SIP UNITS REPURCHASE]])</f>
        <v>0</v>
      </c>
      <c r="AA63" s="107">
        <f>INVESTORS_LIST[[#This Row],[TOTAL UNITS BUY]]-INVESTORS_LIST[[#This Row],[TOTAL UNITS SOLD]]</f>
        <v>0</v>
      </c>
      <c r="AB63" s="107">
        <f>INVESTORS_LIST[[#This Row],[TOTAL CURRENT UNITS]]-INVESTORS_LIST[[#This Row],[BO UNITS HOLD]]</f>
        <v>0</v>
      </c>
      <c r="AC63" s="201" t="e">
        <f>INDEX([3]!Table_1[BO ID],MATCH(INVESTORS_LIST[[#This Row],[INVESTOR CODE]],[3]!Table_1[INVESTOR CODE],0))</f>
        <v>#REF!</v>
      </c>
      <c r="AD63" s="201" t="e">
        <f>INDEX([3]!Table_1[Brokerage Name2],MATCH(INVESTORS_LIST[[#This Row],[INVESTOR CODE]],[3]!Table_1[INVESTOR CODE],0))</f>
        <v>#REF!</v>
      </c>
      <c r="AE63" s="201" t="e">
        <f>MID(INVESTORS_LIST[[#This Row],[BO ID]],4,5)</f>
        <v>#REF!</v>
      </c>
      <c r="AF63" s="201" t="e">
        <f>MID(INVESTORS_LIST[[#This Row],[BO ID]],2,7)</f>
        <v>#REF!</v>
      </c>
      <c r="AG63" s="201" t="e">
        <f>MID(INVESTORS_LIST[[#This Row],[BO ID]],9,7)</f>
        <v>#REF!</v>
      </c>
      <c r="AH63" s="201" t="e">
        <f>RIGHT(INVESTORS_LIST[[#This Row],[BO ID]],1)</f>
        <v>#REF!</v>
      </c>
      <c r="AI63" s="50">
        <f>INVESTORS_LIST[[#This Row],[LS_TOTAL COST VALUE OF CURRENT UNITS]]+INVESTORS_LIST[[#This Row],[SIP_TOTAL COST VALUE OF CURRENT UNITS]]</f>
        <v>0</v>
      </c>
      <c r="AJ63" s="109">
        <f>IF(INVESTORS_LIST[[#This Row],[TOTAL CURRENT UNITS]]=0,0,INVESTORS_LIST[[#This Row],[LS_TOTAL CURRENT UNITS]]/INVESTORS_LIST[[#This Row],[TOTAL CURRENT UNITS]])</f>
        <v>0</v>
      </c>
      <c r="AK63" s="109">
        <f>IF(INVESTORS_LIST[[#This Row],[TOTAL CURRENT UNITS]]=0,0,INVESTORS_LIST[[#This Row],[SIP_TOTAL CURRENT UNITS]]/INVESTORS_LIST[[#This Row],[TOTAL CURRENT UNITS]])</f>
        <v>0</v>
      </c>
      <c r="AL63" s="49" cm="1">
        <f t="array" ref="AL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" s="49" cm="1">
        <f t="array" ref="AM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" s="105">
        <f t="shared" si="1"/>
        <v>14.224</v>
      </c>
      <c r="AP63" s="112">
        <f>IF(INVESTORS_LIST[[#This Row],[TOTAL CURRENT UNITS]]=0,0,INVESTORS_LIST[[#This Row],[TOTAL CURRENT UNITS]]*INVESTORS_LIST[[#This Row],[NAV]])</f>
        <v>0</v>
      </c>
      <c r="AQ63" s="49">
        <f>IF(INVESTORS_LIST[[#This Row],[LS_TOTAL CURRENT UNITS]]=0,0,INVESTORS_LIST[[#This Row],[LS_TOTAL CURRENT UNITS]]*INVESTORS_LIST[[#This Row],[NAV]])</f>
        <v>0</v>
      </c>
      <c r="AR63" s="48">
        <f>IF(INVESTORS_LIST[[#This Row],[SIP_TOTAL CURRENT UNITS]]=0,0,INVESTORS_LIST[[#This Row],[SIP_TOTAL CURRENT UNITS]]*INVESTORS_LIST[[#This Row],[NAV]])</f>
        <v>0</v>
      </c>
      <c r="AS63" s="50">
        <f>INVESTORS_LIST[[#This Row],[TOTAL CURRENT UNITS]]</f>
        <v>0</v>
      </c>
      <c r="AT63" s="48">
        <f>IF(INVESTORS_LIST[[#This Row],[TOTAL SELLABLE UNITS]]=0,0,INVESTORS_LIST[[#This Row],[TOTAL SELLABLE UNITS]]*INVESTORS_LIST[[#This Row],[NAV]])</f>
        <v>0</v>
      </c>
      <c r="AU63" s="48">
        <f>INVESTORS_LIST[[#This Row],[LS_TOTAL REALIZED GAIN]]+INVESTORS_LIST[[#This Row],[SIP_TOTAL REALIZED GAIN]]</f>
        <v>0</v>
      </c>
      <c r="AV63" s="48">
        <f>INVESTORS_LIST[[#This Row],[TOTAL MARKET VALUE]]-INVESTORS_LIST[[#This Row],[TOTAL COST VALUE OF CURRENT INVESTMENT]]</f>
        <v>0</v>
      </c>
      <c r="AW63" s="48">
        <f>IFERROR(INVESTORS_LIST[[#This Row],[TOTAL CURRENT UNITS]]/SUM(INVESTORS_LIST[TOTAL CURRENT UNITS]),0)</f>
        <v>0</v>
      </c>
    </row>
    <row r="64" spans="1:49" hidden="1">
      <c r="A64" s="262" t="s">
        <v>175</v>
      </c>
      <c r="B64" s="97" t="s">
        <v>176</v>
      </c>
      <c r="C64" t="s">
        <v>44</v>
      </c>
      <c r="D64" s="75" t="s">
        <v>45</v>
      </c>
      <c r="E64" s="47">
        <f>SUMIFS(LS[Unit],LS[Investor ID],INVESTORS_LIST[[#This Row],[INVESTOR CODE]],LS[B/S],"B")</f>
        <v>0</v>
      </c>
      <c r="F64" s="47">
        <f>-SUMIFS(LS[Unit],LS[Investor ID],INVESTORS_LIST[[#This Row],[INVESTOR CODE]],LS[B/S],"S")</f>
        <v>0</v>
      </c>
      <c r="G64" s="47">
        <f>IF(INVESTORS_LIST[[#This Row],[LS_TOTAL UNITS BUY]]=0,0,INVESTORS_LIST[[#This Row],[LS_TOTAL UNITS BUY]]-INVESTORS_LIST[[#This Row],[LS_TOTAL UNITS SOLD]])</f>
        <v>0</v>
      </c>
      <c r="H64" s="49">
        <f>IF(INVESTORS_LIST[[#This Row],[LS_TOTAL UNITS BUY]]=0,0,SUMIFS(LS[Amount],LS[Investor ID],INVESTORS_LIST[[#This Row],[INVESTOR CODE]],LS[B/S],"B"))</f>
        <v>0</v>
      </c>
      <c r="I64" s="48">
        <f>IF(INVESTORS_LIST[[#This Row],[LS_TOTAL UNITS SOLD]]=0,0,SUMIFS(LS[Cost of Units Sold],LS[Investor ID],INVESTORS_LIST[[#This Row],[INVESTOR CODE]],LS[B/S],"S"))</f>
        <v>0</v>
      </c>
      <c r="J64" s="48">
        <f>IF(INVESTORS_LIST[[#This Row],[LS_TOTAL CURRENT UNITS]]=0,0,INVESTORS_LIST[[#This Row],[LS_TOTAL CURRENT UNITS]]*INVESTORS_LIST[[#This Row],[LS_AVERAGE COST]])</f>
        <v>0</v>
      </c>
      <c r="K64" s="49">
        <f>IF(INVESTORS_LIST[[#This Row],[LS_TOTAL UNITS SOLD]]=0,0,SUMIFS(LS[Realized Gain],LS[Investor ID],INVESTORS_LIST[[#This Row],[INVESTOR CODE]],LS[B/S],"S"))</f>
        <v>0</v>
      </c>
      <c r="L64" s="47">
        <f>SUMIFS(SIP[Unit],SIP[Investor ID],INVESTORS_LIST[[#This Row],[INVESTOR CODE]],SIP[B/S],"B")</f>
        <v>0</v>
      </c>
      <c r="M64" s="47">
        <f>-SUMIFS(SIP[Unit],SIP[Investor ID],INVESTORS_LIST[[#This Row],[INVESTOR CODE]],SIP[B/S],"S")</f>
        <v>0</v>
      </c>
      <c r="N64" s="50">
        <f>IF(INVESTORS_LIST[[#This Row],[SIP_TOTAL UNITS BUY]]=0,0,INVESTORS_LIST[[#This Row],[SIP_TOTAL UNITS BUY]]-INVESTORS_LIST[[#This Row],[SIP_TOTAL UNITS SOLD]])</f>
        <v>0</v>
      </c>
      <c r="O64" s="49">
        <f>IF(INVESTORS_LIST[[#This Row],[SIP_TOTAL UNITS BUY]]=0,0,SUMIFS(SIP[Amount],SIP[Investor ID],INVESTORS_LIST[[#This Row],[INVESTOR CODE]],SIP[B/S],"B"))</f>
        <v>0</v>
      </c>
      <c r="P64" s="49">
        <f>IF(INVESTORS_LIST[[#This Row],[SIP_TOTAL UNITS SOLD]]=0,0,SUMIFS(SIP[Cost of Units Sold],SIP[Investor ID],INVESTORS_LIST[[#This Row],[INVESTOR CODE]],SIP[B/S],"S"))</f>
        <v>0</v>
      </c>
      <c r="Q64" s="48">
        <f>IF(INVESTORS_LIST[[#This Row],[SIP_TOTAL CURRENT UNITS]]=0,0,INVESTORS_LIST[[#This Row],[SIP_TOTAL CURRENT UNITS]]*INVESTORS_LIST[[#This Row],[SIP_AVERAGE COST]])</f>
        <v>0</v>
      </c>
      <c r="R64" s="48">
        <f>IF(INVESTORS_LIST[[#This Row],[SIP_TOTAL UNITS SOLD]]=0,0,SUMIFS(SIP[Realized Gain],SIP[Investor ID],INVESTORS_LIST[[#This Row],[INVESTOR CODE]],SIP[B/S],"S"))</f>
        <v>0</v>
      </c>
      <c r="S64" s="50">
        <f>INVESTORS_LIST[[#This Row],[LS_TOTAL UNITS BUY]]+INVESTORS_LIST[[#This Row],[SIP_TOTAL UNITS BUY]]</f>
        <v>0</v>
      </c>
      <c r="T64" s="50">
        <f>INVESTORS_LIST[[#This Row],[LS_TOTAL UNITS SOLD]]+INVESTORS_LIST[[#This Row],[SIP_TOTAL UNITS SOLD]]</f>
        <v>0</v>
      </c>
      <c r="U64" s="50"/>
      <c r="V64" s="50">
        <f>SUMIFS(LS[BO UNIT TRANSFER],LS[Investor ID],INVESTORS_LIST[[#This Row],[INVESTOR CODE]],LS[B/S],"B")</f>
        <v>0</v>
      </c>
      <c r="W64" s="50">
        <f>SUMIFS(SIP[BO UNIT TRANSFER],SIP[Investor ID],INVESTORS_LIST[[#This Row],[INVESTOR CODE]],SIP[B/S],"B")</f>
        <v>0</v>
      </c>
      <c r="X64" s="50">
        <f>SUMIFS(LS[BO UNIT TRANSFER],LS[Investor ID],INVESTORS_LIST[[#This Row],[INVESTOR CODE]],LS[B/S],"S")</f>
        <v>0</v>
      </c>
      <c r="Y64" s="50">
        <f>SUMIFS(SIP[BO UNIT TRANSFER],SIP[Investor ID],INVESTORS_LIST[[#This Row],[INVESTOR CODE]],SIP[B/S],"S")</f>
        <v>0</v>
      </c>
      <c r="Z64" s="106">
        <f>SUM(INVESTORS_LIST[[#This Row],[BO OPENING BALANCE]:[BO SIP UNITS REPURCHASE]])</f>
        <v>0</v>
      </c>
      <c r="AA64" s="107">
        <f>INVESTORS_LIST[[#This Row],[TOTAL UNITS BUY]]-INVESTORS_LIST[[#This Row],[TOTAL UNITS SOLD]]</f>
        <v>0</v>
      </c>
      <c r="AB64" s="107">
        <f>INVESTORS_LIST[[#This Row],[TOTAL CURRENT UNITS]]-INVESTORS_LIST[[#This Row],[BO UNITS HOLD]]</f>
        <v>0</v>
      </c>
      <c r="AC64" s="201" t="e">
        <f>INDEX([3]!Table_1[BO ID],MATCH(INVESTORS_LIST[[#This Row],[INVESTOR CODE]],[3]!Table_1[INVESTOR CODE],0))</f>
        <v>#REF!</v>
      </c>
      <c r="AD64" s="201" t="e">
        <f>INDEX([3]!Table_1[Brokerage Name2],MATCH(INVESTORS_LIST[[#This Row],[INVESTOR CODE]],[3]!Table_1[INVESTOR CODE],0))</f>
        <v>#REF!</v>
      </c>
      <c r="AE64" s="201" t="e">
        <f>MID(INVESTORS_LIST[[#This Row],[BO ID]],4,5)</f>
        <v>#REF!</v>
      </c>
      <c r="AF64" s="201" t="e">
        <f>MID(INVESTORS_LIST[[#This Row],[BO ID]],2,7)</f>
        <v>#REF!</v>
      </c>
      <c r="AG64" s="201" t="e">
        <f>MID(INVESTORS_LIST[[#This Row],[BO ID]],9,7)</f>
        <v>#REF!</v>
      </c>
      <c r="AH64" s="201" t="e">
        <f>RIGHT(INVESTORS_LIST[[#This Row],[BO ID]],1)</f>
        <v>#REF!</v>
      </c>
      <c r="AI64" s="50">
        <f>INVESTORS_LIST[[#This Row],[LS_TOTAL COST VALUE OF CURRENT UNITS]]+INVESTORS_LIST[[#This Row],[SIP_TOTAL COST VALUE OF CURRENT UNITS]]</f>
        <v>0</v>
      </c>
      <c r="AJ64" s="109">
        <f>IF(INVESTORS_LIST[[#This Row],[TOTAL CURRENT UNITS]]=0,0,INVESTORS_LIST[[#This Row],[LS_TOTAL CURRENT UNITS]]/INVESTORS_LIST[[#This Row],[TOTAL CURRENT UNITS]])</f>
        <v>0</v>
      </c>
      <c r="AK64" s="109">
        <f>IF(INVESTORS_LIST[[#This Row],[TOTAL CURRENT UNITS]]=0,0,INVESTORS_LIST[[#This Row],[SIP_TOTAL CURRENT UNITS]]/INVESTORS_LIST[[#This Row],[TOTAL CURRENT UNITS]])</f>
        <v>0</v>
      </c>
      <c r="AL64" s="49" cm="1">
        <f t="array" ref="AL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4" s="49" cm="1">
        <f t="array" ref="AM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4" s="105">
        <f t="shared" si="1"/>
        <v>14.224</v>
      </c>
      <c r="AP64" s="112">
        <f>IF(INVESTORS_LIST[[#This Row],[TOTAL CURRENT UNITS]]=0,0,INVESTORS_LIST[[#This Row],[TOTAL CURRENT UNITS]]*INVESTORS_LIST[[#This Row],[NAV]])</f>
        <v>0</v>
      </c>
      <c r="AQ64" s="49">
        <f>IF(INVESTORS_LIST[[#This Row],[LS_TOTAL CURRENT UNITS]]=0,0,INVESTORS_LIST[[#This Row],[LS_TOTAL CURRENT UNITS]]*INVESTORS_LIST[[#This Row],[NAV]])</f>
        <v>0</v>
      </c>
      <c r="AR64" s="48">
        <f>IF(INVESTORS_LIST[[#This Row],[SIP_TOTAL CURRENT UNITS]]=0,0,INVESTORS_LIST[[#This Row],[SIP_TOTAL CURRENT UNITS]]*INVESTORS_LIST[[#This Row],[NAV]])</f>
        <v>0</v>
      </c>
      <c r="AS64" s="50">
        <f>INVESTORS_LIST[[#This Row],[TOTAL CURRENT UNITS]]</f>
        <v>0</v>
      </c>
      <c r="AT64" s="48">
        <f>IF(INVESTORS_LIST[[#This Row],[TOTAL SELLABLE UNITS]]=0,0,INVESTORS_LIST[[#This Row],[TOTAL SELLABLE UNITS]]*INVESTORS_LIST[[#This Row],[NAV]])</f>
        <v>0</v>
      </c>
      <c r="AU64" s="48">
        <f>INVESTORS_LIST[[#This Row],[LS_TOTAL REALIZED GAIN]]+INVESTORS_LIST[[#This Row],[SIP_TOTAL REALIZED GAIN]]</f>
        <v>0</v>
      </c>
      <c r="AV64" s="48">
        <f>INVESTORS_LIST[[#This Row],[TOTAL MARKET VALUE]]-INVESTORS_LIST[[#This Row],[TOTAL COST VALUE OF CURRENT INVESTMENT]]</f>
        <v>0</v>
      </c>
      <c r="AW64" s="48">
        <f>IFERROR(INVESTORS_LIST[[#This Row],[TOTAL CURRENT UNITS]]/SUM(INVESTORS_LIST[TOTAL CURRENT UNITS]),0)</f>
        <v>0</v>
      </c>
    </row>
    <row r="65" spans="1:49">
      <c r="A65" s="262" t="s">
        <v>177</v>
      </c>
      <c r="B65" s="97" t="s">
        <v>178</v>
      </c>
      <c r="C65" t="s">
        <v>44</v>
      </c>
      <c r="D65" s="75" t="s">
        <v>45</v>
      </c>
      <c r="E65" s="47">
        <f>SUMIFS(LS[Unit],LS[Investor ID],INVESTORS_LIST[[#This Row],[INVESTOR CODE]],LS[B/S],"B")</f>
        <v>1000</v>
      </c>
      <c r="F65" s="47">
        <f>-SUMIFS(LS[Unit],LS[Investor ID],INVESTORS_LIST[[#This Row],[INVESTOR CODE]],LS[B/S],"S")</f>
        <v>0</v>
      </c>
      <c r="G65" s="47">
        <f>IF(INVESTORS_LIST[[#This Row],[LS_TOTAL UNITS BUY]]=0,0,INVESTORS_LIST[[#This Row],[LS_TOTAL UNITS BUY]]-INVESTORS_LIST[[#This Row],[LS_TOTAL UNITS SOLD]])</f>
        <v>1000</v>
      </c>
      <c r="H65" s="49">
        <f>IF(INVESTORS_LIST[[#This Row],[LS_TOTAL UNITS BUY]]=0,0,SUMIFS(LS[Amount],LS[Investor ID],INVESTORS_LIST[[#This Row],[INVESTOR CODE]],LS[B/S],"B"))</f>
        <v>10310</v>
      </c>
      <c r="I65" s="48">
        <f>IF(INVESTORS_LIST[[#This Row],[LS_TOTAL UNITS SOLD]]=0,0,SUMIFS(LS[Cost of Units Sold],LS[Investor ID],INVESTORS_LIST[[#This Row],[INVESTOR CODE]],LS[B/S],"S"))</f>
        <v>0</v>
      </c>
      <c r="J65" s="48">
        <f>IF(INVESTORS_LIST[[#This Row],[LS_TOTAL CURRENT UNITS]]=0,0,INVESTORS_LIST[[#This Row],[LS_TOTAL CURRENT UNITS]]*INVESTORS_LIST[[#This Row],[LS_AVERAGE COST]])</f>
        <v>10310</v>
      </c>
      <c r="K65" s="49">
        <f>IF(INVESTORS_LIST[[#This Row],[LS_TOTAL UNITS SOLD]]=0,0,SUMIFS(LS[Realized Gain],LS[Investor ID],INVESTORS_LIST[[#This Row],[INVESTOR CODE]],LS[B/S],"S"))</f>
        <v>0</v>
      </c>
      <c r="L65" s="47">
        <f>SUMIFS(SIP[Unit],SIP[Investor ID],INVESTORS_LIST[[#This Row],[INVESTOR CODE]],SIP[B/S],"B")</f>
        <v>0</v>
      </c>
      <c r="M65" s="47">
        <f>-SUMIFS(SIP[Unit],SIP[Investor ID],INVESTORS_LIST[[#This Row],[INVESTOR CODE]],SIP[B/S],"S")</f>
        <v>0</v>
      </c>
      <c r="N65" s="50">
        <f>IF(INVESTORS_LIST[[#This Row],[SIP_TOTAL UNITS BUY]]=0,0,INVESTORS_LIST[[#This Row],[SIP_TOTAL UNITS BUY]]-INVESTORS_LIST[[#This Row],[SIP_TOTAL UNITS SOLD]])</f>
        <v>0</v>
      </c>
      <c r="O65" s="49">
        <f>IF(INVESTORS_LIST[[#This Row],[SIP_TOTAL UNITS BUY]]=0,0,SUMIFS(SIP[Amount],SIP[Investor ID],INVESTORS_LIST[[#This Row],[INVESTOR CODE]],SIP[B/S],"B"))</f>
        <v>0</v>
      </c>
      <c r="P65" s="49">
        <f>IF(INVESTORS_LIST[[#This Row],[SIP_TOTAL UNITS SOLD]]=0,0,SUMIFS(SIP[Cost of Units Sold],SIP[Investor ID],INVESTORS_LIST[[#This Row],[INVESTOR CODE]],SIP[B/S],"S"))</f>
        <v>0</v>
      </c>
      <c r="Q65" s="48">
        <f>IF(INVESTORS_LIST[[#This Row],[SIP_TOTAL CURRENT UNITS]]=0,0,INVESTORS_LIST[[#This Row],[SIP_TOTAL CURRENT UNITS]]*INVESTORS_LIST[[#This Row],[SIP_AVERAGE COST]])</f>
        <v>0</v>
      </c>
      <c r="R65" s="48">
        <f>IF(INVESTORS_LIST[[#This Row],[SIP_TOTAL UNITS SOLD]]=0,0,SUMIFS(SIP[Realized Gain],SIP[Investor ID],INVESTORS_LIST[[#This Row],[INVESTOR CODE]],SIP[B/S],"S"))</f>
        <v>0</v>
      </c>
      <c r="S65" s="50">
        <f>INVESTORS_LIST[[#This Row],[LS_TOTAL UNITS BUY]]+INVESTORS_LIST[[#This Row],[SIP_TOTAL UNITS BUY]]</f>
        <v>1000</v>
      </c>
      <c r="T65" s="50">
        <f>INVESTORS_LIST[[#This Row],[LS_TOTAL UNITS SOLD]]+INVESTORS_LIST[[#This Row],[SIP_TOTAL UNITS SOLD]]</f>
        <v>0</v>
      </c>
      <c r="U65" s="50">
        <v>1000</v>
      </c>
      <c r="V65" s="50">
        <f>SUMIFS(LS[BO UNIT TRANSFER],LS[Investor ID],INVESTORS_LIST[[#This Row],[INVESTOR CODE]],LS[B/S],"B")</f>
        <v>0</v>
      </c>
      <c r="W65" s="50">
        <f>SUMIFS(SIP[BO UNIT TRANSFER],SIP[Investor ID],INVESTORS_LIST[[#This Row],[INVESTOR CODE]],SIP[B/S],"B")</f>
        <v>0</v>
      </c>
      <c r="X65" s="50">
        <f>SUMIFS(LS[BO UNIT TRANSFER],LS[Investor ID],INVESTORS_LIST[[#This Row],[INVESTOR CODE]],LS[B/S],"S")</f>
        <v>0</v>
      </c>
      <c r="Y65" s="50">
        <f>SUMIFS(SIP[BO UNIT TRANSFER],SIP[Investor ID],INVESTORS_LIST[[#This Row],[INVESTOR CODE]],SIP[B/S],"S")</f>
        <v>0</v>
      </c>
      <c r="Z65" s="106">
        <f>SUM(INVESTORS_LIST[[#This Row],[BO OPENING BALANCE]:[BO SIP UNITS REPURCHASE]])</f>
        <v>1000</v>
      </c>
      <c r="AA65" s="107">
        <f>INVESTORS_LIST[[#This Row],[TOTAL UNITS BUY]]-INVESTORS_LIST[[#This Row],[TOTAL UNITS SOLD]]</f>
        <v>1000</v>
      </c>
      <c r="AB65" s="107">
        <f>INVESTORS_LIST[[#This Row],[TOTAL CURRENT UNITS]]-INVESTORS_LIST[[#This Row],[BO UNITS HOLD]]</f>
        <v>0</v>
      </c>
      <c r="AC65" s="201" t="e">
        <f>INDEX([3]!Table_1[BO ID],MATCH(INVESTORS_LIST[[#This Row],[INVESTOR CODE]],[3]!Table_1[INVESTOR CODE],0))</f>
        <v>#REF!</v>
      </c>
      <c r="AD65" s="201" t="e">
        <f>INDEX([3]!Table_1[Brokerage Name2],MATCH(INVESTORS_LIST[[#This Row],[INVESTOR CODE]],[3]!Table_1[INVESTOR CODE],0))</f>
        <v>#REF!</v>
      </c>
      <c r="AE65" s="201" t="e">
        <f>MID(INVESTORS_LIST[[#This Row],[BO ID]],4,5)</f>
        <v>#REF!</v>
      </c>
      <c r="AF65" s="201" t="e">
        <f>MID(INVESTORS_LIST[[#This Row],[BO ID]],2,7)</f>
        <v>#REF!</v>
      </c>
      <c r="AG65" s="201" t="e">
        <f>MID(INVESTORS_LIST[[#This Row],[BO ID]],9,7)</f>
        <v>#REF!</v>
      </c>
      <c r="AH65" s="201" t="e">
        <f>RIGHT(INVESTORS_LIST[[#This Row],[BO ID]],1)</f>
        <v>#REF!</v>
      </c>
      <c r="AI65" s="50">
        <f>INVESTORS_LIST[[#This Row],[LS_TOTAL COST VALUE OF CURRENT UNITS]]+INVESTORS_LIST[[#This Row],[SIP_TOTAL COST VALUE OF CURRENT UNITS]]</f>
        <v>10310</v>
      </c>
      <c r="AJ65" s="109">
        <f>IF(INVESTORS_LIST[[#This Row],[TOTAL CURRENT UNITS]]=0,0,INVESTORS_LIST[[#This Row],[LS_TOTAL CURRENT UNITS]]/INVESTORS_LIST[[#This Row],[TOTAL CURRENT UNITS]])</f>
        <v>1</v>
      </c>
      <c r="AK65" s="109">
        <f>IF(INVESTORS_LIST[[#This Row],[TOTAL CURRENT UNITS]]=0,0,INVESTORS_LIST[[#This Row],[SIP_TOTAL CURRENT UNITS]]/INVESTORS_LIST[[#This Row],[TOTAL CURRENT UNITS]])</f>
        <v>0</v>
      </c>
      <c r="AL65" s="49" cm="1">
        <f t="array" ref="AL65">IF(INVESTORS_LIST[[#This Row],[LS_TOTAL UNITS BUY]]&gt;0,INDEX(LS[NAV at Cost (Average)],MATCH(CONCATENATE(COUNTIFS(LS[Investor ID],INVESTORS_LIST[[#This Row],[INVESTOR CODE]]),INVESTORS_LIST[[#This Row],[INVESTOR CODE]]),LS[Unique Code],0),),0)</f>
        <v>10.31</v>
      </c>
      <c r="AM65" s="49" cm="1">
        <f t="array" ref="AM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" s="105">
        <f>IF(INVESTORS_LIST[[#This Row],[TOTAL CURRENT UNITS]]=0,0,(INVESTORS_LIST[[#This Row],[LS_WEIGHT]]*INVESTORS_LIST[[#This Row],[LS_AVERAGE COST]])+(INVESTORS_LIST[[#This Row],[SIP_WEIGHT]]*INVESTORS_LIST[[#This Row],[SIP_AVERAGE COST]]))</f>
        <v>10.31</v>
      </c>
      <c r="AO65" s="105">
        <f t="shared" si="1"/>
        <v>14.224</v>
      </c>
      <c r="AP65" s="112">
        <f>IF(INVESTORS_LIST[[#This Row],[TOTAL CURRENT UNITS]]=0,0,INVESTORS_LIST[[#This Row],[TOTAL CURRENT UNITS]]*INVESTORS_LIST[[#This Row],[NAV]])</f>
        <v>14224</v>
      </c>
      <c r="AQ65" s="49">
        <f>IF(INVESTORS_LIST[[#This Row],[LS_TOTAL CURRENT UNITS]]=0,0,INVESTORS_LIST[[#This Row],[LS_TOTAL CURRENT UNITS]]*INVESTORS_LIST[[#This Row],[NAV]])</f>
        <v>14224</v>
      </c>
      <c r="AR65" s="48">
        <f>IF(INVESTORS_LIST[[#This Row],[SIP_TOTAL CURRENT UNITS]]=0,0,INVESTORS_LIST[[#This Row],[SIP_TOTAL CURRENT UNITS]]*INVESTORS_LIST[[#This Row],[NAV]])</f>
        <v>0</v>
      </c>
      <c r="AS65" s="50">
        <f>INVESTORS_LIST[[#This Row],[TOTAL CURRENT UNITS]]</f>
        <v>1000</v>
      </c>
      <c r="AT65" s="48">
        <f>IF(INVESTORS_LIST[[#This Row],[TOTAL SELLABLE UNITS]]=0,0,INVESTORS_LIST[[#This Row],[TOTAL SELLABLE UNITS]]*INVESTORS_LIST[[#This Row],[NAV]])</f>
        <v>14224</v>
      </c>
      <c r="AU65" s="48">
        <f>INVESTORS_LIST[[#This Row],[LS_TOTAL REALIZED GAIN]]+INVESTORS_LIST[[#This Row],[SIP_TOTAL REALIZED GAIN]]</f>
        <v>0</v>
      </c>
      <c r="AV65" s="48">
        <f>INVESTORS_LIST[[#This Row],[TOTAL MARKET VALUE]]-INVESTORS_LIST[[#This Row],[TOTAL COST VALUE OF CURRENT INVESTMENT]]</f>
        <v>3914</v>
      </c>
      <c r="AW65" s="108">
        <f>IFERROR(INVESTORS_LIST[[#This Row],[TOTAL CURRENT UNITS]]/SUM(INVESTORS_LIST[TOTAL CURRENT UNITS]),0)</f>
        <v>2.4276207896103655E-5</v>
      </c>
    </row>
    <row r="66" spans="1:49" hidden="1">
      <c r="A66" s="262" t="s">
        <v>179</v>
      </c>
      <c r="B66" s="97" t="s">
        <v>180</v>
      </c>
      <c r="C66" t="s">
        <v>44</v>
      </c>
      <c r="D66" s="75" t="s">
        <v>45</v>
      </c>
      <c r="E66" s="47">
        <f>SUMIFS(LS[Unit],LS[Investor ID],INVESTORS_LIST[[#This Row],[INVESTOR CODE]],LS[B/S],"B")</f>
        <v>46028</v>
      </c>
      <c r="F66" s="47">
        <f>-SUMIFS(LS[Unit],LS[Investor ID],INVESTORS_LIST[[#This Row],[INVESTOR CODE]],LS[B/S],"S")</f>
        <v>46028</v>
      </c>
      <c r="G66" s="47">
        <f>IF(INVESTORS_LIST[[#This Row],[LS_TOTAL UNITS BUY]]=0,0,INVESTORS_LIST[[#This Row],[LS_TOTAL UNITS BUY]]-INVESTORS_LIST[[#This Row],[LS_TOTAL UNITS SOLD]])</f>
        <v>0</v>
      </c>
      <c r="H66" s="49">
        <f>IF(INVESTORS_LIST[[#This Row],[LS_TOTAL UNITS BUY]]=0,0,SUMIFS(LS[Amount],LS[Investor ID],INVESTORS_LIST[[#This Row],[INVESTOR CODE]],LS[B/S],"B"))</f>
        <v>500000</v>
      </c>
      <c r="I66" s="48">
        <f>IF(INVESTORS_LIST[[#This Row],[LS_TOTAL UNITS SOLD]]=0,0,SUMIFS(LS[Cost of Units Sold],LS[Investor ID],INVESTORS_LIST[[#This Row],[INVESTOR CODE]],LS[B/S],"S"))</f>
        <v>500000.00000000006</v>
      </c>
      <c r="J66" s="48">
        <f>IF(INVESTORS_LIST[[#This Row],[LS_TOTAL CURRENT UNITS]]=0,0,INVESTORS_LIST[[#This Row],[LS_TOTAL CURRENT UNITS]]*INVESTORS_LIST[[#This Row],[LS_AVERAGE COST]])</f>
        <v>0</v>
      </c>
      <c r="K66" s="49">
        <f>IF(INVESTORS_LIST[[#This Row],[LS_TOTAL UNITS SOLD]]=0,0,SUMIFS(LS[Realized Gain],LS[Investor ID],INVESTORS_LIST[[#This Row],[INVESTOR CODE]],LS[B/S],"S"))</f>
        <v>84555.599999999933</v>
      </c>
      <c r="L66" s="47">
        <f>SUMIFS(SIP[Unit],SIP[Investor ID],INVESTORS_LIST[[#This Row],[INVESTOR CODE]],SIP[B/S],"B")</f>
        <v>0</v>
      </c>
      <c r="M66" s="47">
        <f>-SUMIFS(SIP[Unit],SIP[Investor ID],INVESTORS_LIST[[#This Row],[INVESTOR CODE]],SIP[B/S],"S")</f>
        <v>0</v>
      </c>
      <c r="N66" s="50">
        <f>IF(INVESTORS_LIST[[#This Row],[SIP_TOTAL UNITS BUY]]=0,0,INVESTORS_LIST[[#This Row],[SIP_TOTAL UNITS BUY]]-INVESTORS_LIST[[#This Row],[SIP_TOTAL UNITS SOLD]])</f>
        <v>0</v>
      </c>
      <c r="O66" s="49">
        <f>IF(INVESTORS_LIST[[#This Row],[SIP_TOTAL UNITS BUY]]=0,0,SUMIFS(SIP[Amount],SIP[Investor ID],INVESTORS_LIST[[#This Row],[INVESTOR CODE]],SIP[B/S],"B"))</f>
        <v>0</v>
      </c>
      <c r="P66" s="49">
        <f>IF(INVESTORS_LIST[[#This Row],[SIP_TOTAL UNITS SOLD]]=0,0,SUMIFS(SIP[Cost of Units Sold],SIP[Investor ID],INVESTORS_LIST[[#This Row],[INVESTOR CODE]],SIP[B/S],"S"))</f>
        <v>0</v>
      </c>
      <c r="Q66" s="48">
        <f>IF(INVESTORS_LIST[[#This Row],[SIP_TOTAL CURRENT UNITS]]=0,0,INVESTORS_LIST[[#This Row],[SIP_TOTAL CURRENT UNITS]]*INVESTORS_LIST[[#This Row],[SIP_AVERAGE COST]])</f>
        <v>0</v>
      </c>
      <c r="R66" s="48">
        <f>IF(INVESTORS_LIST[[#This Row],[SIP_TOTAL UNITS SOLD]]=0,0,SUMIFS(SIP[Realized Gain],SIP[Investor ID],INVESTORS_LIST[[#This Row],[INVESTOR CODE]],SIP[B/S],"S"))</f>
        <v>0</v>
      </c>
      <c r="S66" s="50">
        <f>INVESTORS_LIST[[#This Row],[LS_TOTAL UNITS BUY]]+INVESTORS_LIST[[#This Row],[SIP_TOTAL UNITS BUY]]</f>
        <v>46028</v>
      </c>
      <c r="T66" s="50">
        <f>INVESTORS_LIST[[#This Row],[LS_TOTAL UNITS SOLD]]+INVESTORS_LIST[[#This Row],[SIP_TOTAL UNITS SOLD]]</f>
        <v>46028</v>
      </c>
      <c r="U66" s="50"/>
      <c r="V66" s="50">
        <f>SUMIFS(LS[BO UNIT TRANSFER],LS[Investor ID],INVESTORS_LIST[[#This Row],[INVESTOR CODE]],LS[B/S],"B")</f>
        <v>0</v>
      </c>
      <c r="W66" s="50">
        <f>SUMIFS(SIP[BO UNIT TRANSFER],SIP[Investor ID],INVESTORS_LIST[[#This Row],[INVESTOR CODE]],SIP[B/S],"B")</f>
        <v>0</v>
      </c>
      <c r="X66" s="50">
        <f>SUMIFS(LS[BO UNIT TRANSFER],LS[Investor ID],INVESTORS_LIST[[#This Row],[INVESTOR CODE]],LS[B/S],"S")</f>
        <v>0</v>
      </c>
      <c r="Y66" s="50">
        <f>SUMIFS(SIP[BO UNIT TRANSFER],SIP[Investor ID],INVESTORS_LIST[[#This Row],[INVESTOR CODE]],SIP[B/S],"S")</f>
        <v>0</v>
      </c>
      <c r="Z66" s="106">
        <f>SUM(INVESTORS_LIST[[#This Row],[BO OPENING BALANCE]:[BO SIP UNITS REPURCHASE]])</f>
        <v>0</v>
      </c>
      <c r="AA66" s="107">
        <f>INVESTORS_LIST[[#This Row],[TOTAL UNITS BUY]]-INVESTORS_LIST[[#This Row],[TOTAL UNITS SOLD]]</f>
        <v>0</v>
      </c>
      <c r="AB66" s="107">
        <f>INVESTORS_LIST[[#This Row],[TOTAL CURRENT UNITS]]-INVESTORS_LIST[[#This Row],[BO UNITS HOLD]]</f>
        <v>0</v>
      </c>
      <c r="AC66" s="201" t="e">
        <f>INDEX([3]!Table_1[BO ID],MATCH(INVESTORS_LIST[[#This Row],[INVESTOR CODE]],[3]!Table_1[INVESTOR CODE],0))</f>
        <v>#REF!</v>
      </c>
      <c r="AD66" s="201" t="e">
        <f>INDEX([3]!Table_1[Brokerage Name2],MATCH(INVESTORS_LIST[[#This Row],[INVESTOR CODE]],[3]!Table_1[INVESTOR CODE],0))</f>
        <v>#REF!</v>
      </c>
      <c r="AE66" s="201" t="e">
        <f>MID(INVESTORS_LIST[[#This Row],[BO ID]],4,5)</f>
        <v>#REF!</v>
      </c>
      <c r="AF66" s="201" t="e">
        <f>MID(INVESTORS_LIST[[#This Row],[BO ID]],2,7)</f>
        <v>#REF!</v>
      </c>
      <c r="AG66" s="201" t="e">
        <f>MID(INVESTORS_LIST[[#This Row],[BO ID]],9,7)</f>
        <v>#REF!</v>
      </c>
      <c r="AH66" s="201" t="e">
        <f>RIGHT(INVESTORS_LIST[[#This Row],[BO ID]],1)</f>
        <v>#REF!</v>
      </c>
      <c r="AI66" s="50">
        <f>INVESTORS_LIST[[#This Row],[LS_TOTAL COST VALUE OF CURRENT UNITS]]+INVESTORS_LIST[[#This Row],[SIP_TOTAL COST VALUE OF CURRENT UNITS]]</f>
        <v>0</v>
      </c>
      <c r="AJ66" s="109">
        <f>IF(INVESTORS_LIST[[#This Row],[TOTAL CURRENT UNITS]]=0,0,INVESTORS_LIST[[#This Row],[LS_TOTAL CURRENT UNITS]]/INVESTORS_LIST[[#This Row],[TOTAL CURRENT UNITS]])</f>
        <v>0</v>
      </c>
      <c r="AK66" s="109">
        <f>IF(INVESTORS_LIST[[#This Row],[TOTAL CURRENT UNITS]]=0,0,INVESTORS_LIST[[#This Row],[SIP_TOTAL CURRENT UNITS]]/INVESTORS_LIST[[#This Row],[TOTAL CURRENT UNITS]])</f>
        <v>0</v>
      </c>
      <c r="AL66" s="49" cm="1">
        <f t="array" ref="AL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" s="49" cm="1">
        <f t="array" ref="AM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6" s="105">
        <f t="shared" si="1"/>
        <v>14.224</v>
      </c>
      <c r="AP66" s="112">
        <f>IF(INVESTORS_LIST[[#This Row],[TOTAL CURRENT UNITS]]=0,0,INVESTORS_LIST[[#This Row],[TOTAL CURRENT UNITS]]*INVESTORS_LIST[[#This Row],[NAV]])</f>
        <v>0</v>
      </c>
      <c r="AQ66" s="49">
        <f>IF(INVESTORS_LIST[[#This Row],[LS_TOTAL CURRENT UNITS]]=0,0,INVESTORS_LIST[[#This Row],[LS_TOTAL CURRENT UNITS]]*INVESTORS_LIST[[#This Row],[NAV]])</f>
        <v>0</v>
      </c>
      <c r="AR66" s="48">
        <f>IF(INVESTORS_LIST[[#This Row],[SIP_TOTAL CURRENT UNITS]]=0,0,INVESTORS_LIST[[#This Row],[SIP_TOTAL CURRENT UNITS]]*INVESTORS_LIST[[#This Row],[NAV]])</f>
        <v>0</v>
      </c>
      <c r="AS66" s="50">
        <f>INVESTORS_LIST[[#This Row],[TOTAL CURRENT UNITS]]</f>
        <v>0</v>
      </c>
      <c r="AT66" s="48">
        <f>IF(INVESTORS_LIST[[#This Row],[TOTAL SELLABLE UNITS]]=0,0,INVESTORS_LIST[[#This Row],[TOTAL SELLABLE UNITS]]*INVESTORS_LIST[[#This Row],[NAV]])</f>
        <v>0</v>
      </c>
      <c r="AU66" s="48">
        <f>INVESTORS_LIST[[#This Row],[LS_TOTAL REALIZED GAIN]]+INVESTORS_LIST[[#This Row],[SIP_TOTAL REALIZED GAIN]]</f>
        <v>84555.599999999933</v>
      </c>
      <c r="AV66" s="48">
        <f>INVESTORS_LIST[[#This Row],[TOTAL MARKET VALUE]]-INVESTORS_LIST[[#This Row],[TOTAL COST VALUE OF CURRENT INVESTMENT]]</f>
        <v>0</v>
      </c>
      <c r="AW66" s="48">
        <f>IFERROR(INVESTORS_LIST[[#This Row],[TOTAL CURRENT UNITS]]/SUM(INVESTORS_LIST[TOTAL CURRENT UNITS]),0)</f>
        <v>0</v>
      </c>
    </row>
    <row r="67" spans="1:49" hidden="1">
      <c r="A67" s="262" t="s">
        <v>181</v>
      </c>
      <c r="B67" s="97" t="s">
        <v>182</v>
      </c>
      <c r="C67" t="s">
        <v>52</v>
      </c>
      <c r="D67" s="75" t="s">
        <v>45</v>
      </c>
      <c r="E67" s="47">
        <f>SUMIFS(LS[Unit],LS[Investor ID],INVESTORS_LIST[[#This Row],[INVESTOR CODE]],LS[B/S],"B")</f>
        <v>0</v>
      </c>
      <c r="F67" s="47">
        <f>-SUMIFS(LS[Unit],LS[Investor ID],INVESTORS_LIST[[#This Row],[INVESTOR CODE]],LS[B/S],"S")</f>
        <v>0</v>
      </c>
      <c r="G67" s="47">
        <f>IF(INVESTORS_LIST[[#This Row],[LS_TOTAL UNITS BUY]]=0,0,INVESTORS_LIST[[#This Row],[LS_TOTAL UNITS BUY]]-INVESTORS_LIST[[#This Row],[LS_TOTAL UNITS SOLD]])</f>
        <v>0</v>
      </c>
      <c r="H67" s="49">
        <f>IF(INVESTORS_LIST[[#This Row],[LS_TOTAL UNITS BUY]]=0,0,SUMIFS(LS[Amount],LS[Investor ID],INVESTORS_LIST[[#This Row],[INVESTOR CODE]],LS[B/S],"B"))</f>
        <v>0</v>
      </c>
      <c r="I67" s="48">
        <f>IF(INVESTORS_LIST[[#This Row],[LS_TOTAL UNITS SOLD]]=0,0,SUMIFS(LS[Cost of Units Sold],LS[Investor ID],INVESTORS_LIST[[#This Row],[INVESTOR CODE]],LS[B/S],"S"))</f>
        <v>0</v>
      </c>
      <c r="J67" s="48">
        <f>IF(INVESTORS_LIST[[#This Row],[LS_TOTAL CURRENT UNITS]]=0,0,INVESTORS_LIST[[#This Row],[LS_TOTAL CURRENT UNITS]]*INVESTORS_LIST[[#This Row],[LS_AVERAGE COST]])</f>
        <v>0</v>
      </c>
      <c r="K67" s="49">
        <f>IF(INVESTORS_LIST[[#This Row],[LS_TOTAL UNITS SOLD]]=0,0,SUMIFS(LS[Realized Gain],LS[Investor ID],INVESTORS_LIST[[#This Row],[INVESTOR CODE]],LS[B/S],"S"))</f>
        <v>0</v>
      </c>
      <c r="L67" s="47">
        <f>SUMIFS(SIP[Unit],SIP[Investor ID],INVESTORS_LIST[[#This Row],[INVESTOR CODE]],SIP[B/S],"B")</f>
        <v>0</v>
      </c>
      <c r="M67" s="47">
        <f>-SUMIFS(SIP[Unit],SIP[Investor ID],INVESTORS_LIST[[#This Row],[INVESTOR CODE]],SIP[B/S],"S")</f>
        <v>0</v>
      </c>
      <c r="N67" s="50">
        <f>IF(INVESTORS_LIST[[#This Row],[SIP_TOTAL UNITS BUY]]=0,0,INVESTORS_LIST[[#This Row],[SIP_TOTAL UNITS BUY]]-INVESTORS_LIST[[#This Row],[SIP_TOTAL UNITS SOLD]])</f>
        <v>0</v>
      </c>
      <c r="O67" s="49">
        <f>IF(INVESTORS_LIST[[#This Row],[SIP_TOTAL UNITS BUY]]=0,0,SUMIFS(SIP[Amount],SIP[Investor ID],INVESTORS_LIST[[#This Row],[INVESTOR CODE]],SIP[B/S],"B"))</f>
        <v>0</v>
      </c>
      <c r="P67" s="49">
        <f>IF(INVESTORS_LIST[[#This Row],[SIP_TOTAL UNITS SOLD]]=0,0,SUMIFS(SIP[Cost of Units Sold],SIP[Investor ID],INVESTORS_LIST[[#This Row],[INVESTOR CODE]],SIP[B/S],"S"))</f>
        <v>0</v>
      </c>
      <c r="Q67" s="48">
        <f>IF(INVESTORS_LIST[[#This Row],[SIP_TOTAL CURRENT UNITS]]=0,0,INVESTORS_LIST[[#This Row],[SIP_TOTAL CURRENT UNITS]]*INVESTORS_LIST[[#This Row],[SIP_AVERAGE COST]])</f>
        <v>0</v>
      </c>
      <c r="R67" s="48">
        <f>IF(INVESTORS_LIST[[#This Row],[SIP_TOTAL UNITS SOLD]]=0,0,SUMIFS(SIP[Realized Gain],SIP[Investor ID],INVESTORS_LIST[[#This Row],[INVESTOR CODE]],SIP[B/S],"S"))</f>
        <v>0</v>
      </c>
      <c r="S67" s="50">
        <f>INVESTORS_LIST[[#This Row],[LS_TOTAL UNITS BUY]]+INVESTORS_LIST[[#This Row],[SIP_TOTAL UNITS BUY]]</f>
        <v>0</v>
      </c>
      <c r="T67" s="50">
        <f>INVESTORS_LIST[[#This Row],[LS_TOTAL UNITS SOLD]]+INVESTORS_LIST[[#This Row],[SIP_TOTAL UNITS SOLD]]</f>
        <v>0</v>
      </c>
      <c r="U67" s="50"/>
      <c r="V67" s="50">
        <f>SUMIFS(LS[BO UNIT TRANSFER],LS[Investor ID],INVESTORS_LIST[[#This Row],[INVESTOR CODE]],LS[B/S],"B")</f>
        <v>0</v>
      </c>
      <c r="W67" s="50">
        <f>SUMIFS(SIP[BO UNIT TRANSFER],SIP[Investor ID],INVESTORS_LIST[[#This Row],[INVESTOR CODE]],SIP[B/S],"B")</f>
        <v>0</v>
      </c>
      <c r="X67" s="50">
        <f>SUMIFS(LS[BO UNIT TRANSFER],LS[Investor ID],INVESTORS_LIST[[#This Row],[INVESTOR CODE]],LS[B/S],"S")</f>
        <v>0</v>
      </c>
      <c r="Y67" s="50">
        <f>SUMIFS(SIP[BO UNIT TRANSFER],SIP[Investor ID],INVESTORS_LIST[[#This Row],[INVESTOR CODE]],SIP[B/S],"S")</f>
        <v>0</v>
      </c>
      <c r="Z67" s="106">
        <f>SUM(INVESTORS_LIST[[#This Row],[BO OPENING BALANCE]:[BO SIP UNITS REPURCHASE]])</f>
        <v>0</v>
      </c>
      <c r="AA67" s="107">
        <f>INVESTORS_LIST[[#This Row],[TOTAL UNITS BUY]]-INVESTORS_LIST[[#This Row],[TOTAL UNITS SOLD]]</f>
        <v>0</v>
      </c>
      <c r="AB67" s="107">
        <f>INVESTORS_LIST[[#This Row],[TOTAL CURRENT UNITS]]-INVESTORS_LIST[[#This Row],[BO UNITS HOLD]]</f>
        <v>0</v>
      </c>
      <c r="AC67" s="201" t="e">
        <f>INDEX([3]!Table_1[BO ID],MATCH(INVESTORS_LIST[[#This Row],[INVESTOR CODE]],[3]!Table_1[INVESTOR CODE],0))</f>
        <v>#REF!</v>
      </c>
      <c r="AD67" s="201" t="e">
        <f>INDEX([3]!Table_1[Brokerage Name2],MATCH(INVESTORS_LIST[[#This Row],[INVESTOR CODE]],[3]!Table_1[INVESTOR CODE],0))</f>
        <v>#REF!</v>
      </c>
      <c r="AE67" s="201" t="e">
        <f>MID(INVESTORS_LIST[[#This Row],[BO ID]],4,5)</f>
        <v>#REF!</v>
      </c>
      <c r="AF67" s="201" t="e">
        <f>MID(INVESTORS_LIST[[#This Row],[BO ID]],2,7)</f>
        <v>#REF!</v>
      </c>
      <c r="AG67" s="201" t="e">
        <f>MID(INVESTORS_LIST[[#This Row],[BO ID]],9,7)</f>
        <v>#REF!</v>
      </c>
      <c r="AH67" s="201" t="e">
        <f>RIGHT(INVESTORS_LIST[[#This Row],[BO ID]],1)</f>
        <v>#REF!</v>
      </c>
      <c r="AI67" s="50">
        <f>INVESTORS_LIST[[#This Row],[LS_TOTAL COST VALUE OF CURRENT UNITS]]+INVESTORS_LIST[[#This Row],[SIP_TOTAL COST VALUE OF CURRENT UNITS]]</f>
        <v>0</v>
      </c>
      <c r="AJ67" s="109">
        <f>IF(INVESTORS_LIST[[#This Row],[TOTAL CURRENT UNITS]]=0,0,INVESTORS_LIST[[#This Row],[LS_TOTAL CURRENT UNITS]]/INVESTORS_LIST[[#This Row],[TOTAL CURRENT UNITS]])</f>
        <v>0</v>
      </c>
      <c r="AK67" s="109">
        <f>IF(INVESTORS_LIST[[#This Row],[TOTAL CURRENT UNITS]]=0,0,INVESTORS_LIST[[#This Row],[SIP_TOTAL CURRENT UNITS]]/INVESTORS_LIST[[#This Row],[TOTAL CURRENT UNITS]])</f>
        <v>0</v>
      </c>
      <c r="AL67" s="49" cm="1">
        <f t="array" ref="AL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" s="49" cm="1">
        <f t="array" ref="AM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7" s="105">
        <f t="shared" ref="AO67:AO130" si="2">NAV_MKT</f>
        <v>14.224</v>
      </c>
      <c r="AP67" s="112">
        <f>IF(INVESTORS_LIST[[#This Row],[TOTAL CURRENT UNITS]]=0,0,INVESTORS_LIST[[#This Row],[TOTAL CURRENT UNITS]]*INVESTORS_LIST[[#This Row],[NAV]])</f>
        <v>0</v>
      </c>
      <c r="AQ67" s="49">
        <f>IF(INVESTORS_LIST[[#This Row],[LS_TOTAL CURRENT UNITS]]=0,0,INVESTORS_LIST[[#This Row],[LS_TOTAL CURRENT UNITS]]*INVESTORS_LIST[[#This Row],[NAV]])</f>
        <v>0</v>
      </c>
      <c r="AR67" s="48">
        <f>IF(INVESTORS_LIST[[#This Row],[SIP_TOTAL CURRENT UNITS]]=0,0,INVESTORS_LIST[[#This Row],[SIP_TOTAL CURRENT UNITS]]*INVESTORS_LIST[[#This Row],[NAV]])</f>
        <v>0</v>
      </c>
      <c r="AS67" s="50">
        <f>INVESTORS_LIST[[#This Row],[TOTAL CURRENT UNITS]]</f>
        <v>0</v>
      </c>
      <c r="AT67" s="48">
        <f>IF(INVESTORS_LIST[[#This Row],[TOTAL SELLABLE UNITS]]=0,0,INVESTORS_LIST[[#This Row],[TOTAL SELLABLE UNITS]]*INVESTORS_LIST[[#This Row],[NAV]])</f>
        <v>0</v>
      </c>
      <c r="AU67" s="48">
        <f>INVESTORS_LIST[[#This Row],[LS_TOTAL REALIZED GAIN]]+INVESTORS_LIST[[#This Row],[SIP_TOTAL REALIZED GAIN]]</f>
        <v>0</v>
      </c>
      <c r="AV67" s="48">
        <f>INVESTORS_LIST[[#This Row],[TOTAL MARKET VALUE]]-INVESTORS_LIST[[#This Row],[TOTAL COST VALUE OF CURRENT INVESTMENT]]</f>
        <v>0</v>
      </c>
      <c r="AW67" s="48">
        <f>IFERROR(INVESTORS_LIST[[#This Row],[TOTAL CURRENT UNITS]]/SUM(INVESTORS_LIST[TOTAL CURRENT UNITS]),0)</f>
        <v>0</v>
      </c>
    </row>
    <row r="68" spans="1:49" hidden="1">
      <c r="A68" s="262" t="s">
        <v>183</v>
      </c>
      <c r="B68" s="97" t="s">
        <v>184</v>
      </c>
      <c r="C68" t="s">
        <v>48</v>
      </c>
      <c r="D68" s="75" t="s">
        <v>49</v>
      </c>
      <c r="E68" s="47">
        <f>SUMIFS(LS[Unit],LS[Investor ID],INVESTORS_LIST[[#This Row],[INVESTOR CODE]],LS[B/S],"B")</f>
        <v>0</v>
      </c>
      <c r="F68" s="47">
        <f>-SUMIFS(LS[Unit],LS[Investor ID],INVESTORS_LIST[[#This Row],[INVESTOR CODE]],LS[B/S],"S")</f>
        <v>0</v>
      </c>
      <c r="G68" s="47">
        <f>IF(INVESTORS_LIST[[#This Row],[LS_TOTAL UNITS BUY]]=0,0,INVESTORS_LIST[[#This Row],[LS_TOTAL UNITS BUY]]-INVESTORS_LIST[[#This Row],[LS_TOTAL UNITS SOLD]])</f>
        <v>0</v>
      </c>
      <c r="H68" s="49">
        <f>IF(INVESTORS_LIST[[#This Row],[LS_TOTAL UNITS BUY]]=0,0,SUMIFS(LS[Amount],LS[Investor ID],INVESTORS_LIST[[#This Row],[INVESTOR CODE]],LS[B/S],"B"))</f>
        <v>0</v>
      </c>
      <c r="I68" s="48">
        <f>IF(INVESTORS_LIST[[#This Row],[LS_TOTAL UNITS SOLD]]=0,0,SUMIFS(LS[Cost of Units Sold],LS[Investor ID],INVESTORS_LIST[[#This Row],[INVESTOR CODE]],LS[B/S],"S"))</f>
        <v>0</v>
      </c>
      <c r="J68" s="48">
        <f>IF(INVESTORS_LIST[[#This Row],[LS_TOTAL CURRENT UNITS]]=0,0,INVESTORS_LIST[[#This Row],[LS_TOTAL CURRENT UNITS]]*INVESTORS_LIST[[#This Row],[LS_AVERAGE COST]])</f>
        <v>0</v>
      </c>
      <c r="K68" s="49">
        <f>IF(INVESTORS_LIST[[#This Row],[LS_TOTAL UNITS SOLD]]=0,0,SUMIFS(LS[Realized Gain],LS[Investor ID],INVESTORS_LIST[[#This Row],[INVESTOR CODE]],LS[B/S],"S"))</f>
        <v>0</v>
      </c>
      <c r="L68" s="47">
        <f>SUMIFS(SIP[Unit],SIP[Investor ID],INVESTORS_LIST[[#This Row],[INVESTOR CODE]],SIP[B/S],"B")</f>
        <v>0</v>
      </c>
      <c r="M68" s="47">
        <f>-SUMIFS(SIP[Unit],SIP[Investor ID],INVESTORS_LIST[[#This Row],[INVESTOR CODE]],SIP[B/S],"S")</f>
        <v>0</v>
      </c>
      <c r="N68" s="50">
        <f>IF(INVESTORS_LIST[[#This Row],[SIP_TOTAL UNITS BUY]]=0,0,INVESTORS_LIST[[#This Row],[SIP_TOTAL UNITS BUY]]-INVESTORS_LIST[[#This Row],[SIP_TOTAL UNITS SOLD]])</f>
        <v>0</v>
      </c>
      <c r="O68" s="49">
        <f>IF(INVESTORS_LIST[[#This Row],[SIP_TOTAL UNITS BUY]]=0,0,SUMIFS(SIP[Amount],SIP[Investor ID],INVESTORS_LIST[[#This Row],[INVESTOR CODE]],SIP[B/S],"B"))</f>
        <v>0</v>
      </c>
      <c r="P68" s="49">
        <f>IF(INVESTORS_LIST[[#This Row],[SIP_TOTAL UNITS SOLD]]=0,0,SUMIFS(SIP[Cost of Units Sold],SIP[Investor ID],INVESTORS_LIST[[#This Row],[INVESTOR CODE]],SIP[B/S],"S"))</f>
        <v>0</v>
      </c>
      <c r="Q68" s="48">
        <f>IF(INVESTORS_LIST[[#This Row],[SIP_TOTAL CURRENT UNITS]]=0,0,INVESTORS_LIST[[#This Row],[SIP_TOTAL CURRENT UNITS]]*INVESTORS_LIST[[#This Row],[SIP_AVERAGE COST]])</f>
        <v>0</v>
      </c>
      <c r="R68" s="48">
        <f>IF(INVESTORS_LIST[[#This Row],[SIP_TOTAL UNITS SOLD]]=0,0,SUMIFS(SIP[Realized Gain],SIP[Investor ID],INVESTORS_LIST[[#This Row],[INVESTOR CODE]],SIP[B/S],"S"))</f>
        <v>0</v>
      </c>
      <c r="S68" s="50">
        <f>INVESTORS_LIST[[#This Row],[LS_TOTAL UNITS BUY]]+INVESTORS_LIST[[#This Row],[SIP_TOTAL UNITS BUY]]</f>
        <v>0</v>
      </c>
      <c r="T68" s="50">
        <f>INVESTORS_LIST[[#This Row],[LS_TOTAL UNITS SOLD]]+INVESTORS_LIST[[#This Row],[SIP_TOTAL UNITS SOLD]]</f>
        <v>0</v>
      </c>
      <c r="U68" s="50"/>
      <c r="V68" s="50">
        <f>SUMIFS(LS[BO UNIT TRANSFER],LS[Investor ID],INVESTORS_LIST[[#This Row],[INVESTOR CODE]],LS[B/S],"B")</f>
        <v>0</v>
      </c>
      <c r="W68" s="50">
        <f>SUMIFS(SIP[BO UNIT TRANSFER],SIP[Investor ID],INVESTORS_LIST[[#This Row],[INVESTOR CODE]],SIP[B/S],"B")</f>
        <v>0</v>
      </c>
      <c r="X68" s="50">
        <f>SUMIFS(LS[BO UNIT TRANSFER],LS[Investor ID],INVESTORS_LIST[[#This Row],[INVESTOR CODE]],LS[B/S],"S")</f>
        <v>0</v>
      </c>
      <c r="Y68" s="50">
        <f>SUMIFS(SIP[BO UNIT TRANSFER],SIP[Investor ID],INVESTORS_LIST[[#This Row],[INVESTOR CODE]],SIP[B/S],"S")</f>
        <v>0</v>
      </c>
      <c r="Z68" s="106">
        <f>SUM(INVESTORS_LIST[[#This Row],[BO OPENING BALANCE]:[BO SIP UNITS REPURCHASE]])</f>
        <v>0</v>
      </c>
      <c r="AA68" s="107">
        <f>INVESTORS_LIST[[#This Row],[TOTAL UNITS BUY]]-INVESTORS_LIST[[#This Row],[TOTAL UNITS SOLD]]</f>
        <v>0</v>
      </c>
      <c r="AB68" s="107">
        <f>INVESTORS_LIST[[#This Row],[TOTAL CURRENT UNITS]]-INVESTORS_LIST[[#This Row],[BO UNITS HOLD]]</f>
        <v>0</v>
      </c>
      <c r="AC68" s="201" t="e">
        <f>INDEX([3]!Table_1[BO ID],MATCH(INVESTORS_LIST[[#This Row],[INVESTOR CODE]],[3]!Table_1[INVESTOR CODE],0))</f>
        <v>#REF!</v>
      </c>
      <c r="AD68" s="201" t="e">
        <f>INDEX([3]!Table_1[Brokerage Name2],MATCH(INVESTORS_LIST[[#This Row],[INVESTOR CODE]],[3]!Table_1[INVESTOR CODE],0))</f>
        <v>#REF!</v>
      </c>
      <c r="AE68" s="201" t="e">
        <f>MID(INVESTORS_LIST[[#This Row],[BO ID]],4,5)</f>
        <v>#REF!</v>
      </c>
      <c r="AF68" s="201" t="e">
        <f>MID(INVESTORS_LIST[[#This Row],[BO ID]],2,7)</f>
        <v>#REF!</v>
      </c>
      <c r="AG68" s="201" t="e">
        <f>MID(INVESTORS_LIST[[#This Row],[BO ID]],9,7)</f>
        <v>#REF!</v>
      </c>
      <c r="AH68" s="201" t="e">
        <f>RIGHT(INVESTORS_LIST[[#This Row],[BO ID]],1)</f>
        <v>#REF!</v>
      </c>
      <c r="AI68" s="50">
        <f>INVESTORS_LIST[[#This Row],[LS_TOTAL COST VALUE OF CURRENT UNITS]]+INVESTORS_LIST[[#This Row],[SIP_TOTAL COST VALUE OF CURRENT UNITS]]</f>
        <v>0</v>
      </c>
      <c r="AJ68" s="109">
        <f>IF(INVESTORS_LIST[[#This Row],[TOTAL CURRENT UNITS]]=0,0,INVESTORS_LIST[[#This Row],[LS_TOTAL CURRENT UNITS]]/INVESTORS_LIST[[#This Row],[TOTAL CURRENT UNITS]])</f>
        <v>0</v>
      </c>
      <c r="AK68" s="109">
        <f>IF(INVESTORS_LIST[[#This Row],[TOTAL CURRENT UNITS]]=0,0,INVESTORS_LIST[[#This Row],[SIP_TOTAL CURRENT UNITS]]/INVESTORS_LIST[[#This Row],[TOTAL CURRENT UNITS]])</f>
        <v>0</v>
      </c>
      <c r="AL68" s="49" cm="1">
        <f t="array" ref="AL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" s="49" cm="1">
        <f t="array" ref="AM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" s="105">
        <f t="shared" si="2"/>
        <v>14.224</v>
      </c>
      <c r="AP68" s="112">
        <f>IF(INVESTORS_LIST[[#This Row],[TOTAL CURRENT UNITS]]=0,0,INVESTORS_LIST[[#This Row],[TOTAL CURRENT UNITS]]*INVESTORS_LIST[[#This Row],[NAV]])</f>
        <v>0</v>
      </c>
      <c r="AQ68" s="49">
        <f>IF(INVESTORS_LIST[[#This Row],[LS_TOTAL CURRENT UNITS]]=0,0,INVESTORS_LIST[[#This Row],[LS_TOTAL CURRENT UNITS]]*INVESTORS_LIST[[#This Row],[NAV]])</f>
        <v>0</v>
      </c>
      <c r="AR68" s="48">
        <f>IF(INVESTORS_LIST[[#This Row],[SIP_TOTAL CURRENT UNITS]]=0,0,INVESTORS_LIST[[#This Row],[SIP_TOTAL CURRENT UNITS]]*INVESTORS_LIST[[#This Row],[NAV]])</f>
        <v>0</v>
      </c>
      <c r="AS68" s="50">
        <f>INVESTORS_LIST[[#This Row],[TOTAL CURRENT UNITS]]</f>
        <v>0</v>
      </c>
      <c r="AT68" s="48">
        <f>IF(INVESTORS_LIST[[#This Row],[TOTAL SELLABLE UNITS]]=0,0,INVESTORS_LIST[[#This Row],[TOTAL SELLABLE UNITS]]*INVESTORS_LIST[[#This Row],[NAV]])</f>
        <v>0</v>
      </c>
      <c r="AU68" s="48">
        <f>INVESTORS_LIST[[#This Row],[LS_TOTAL REALIZED GAIN]]+INVESTORS_LIST[[#This Row],[SIP_TOTAL REALIZED GAIN]]</f>
        <v>0</v>
      </c>
      <c r="AV68" s="48">
        <f>INVESTORS_LIST[[#This Row],[TOTAL MARKET VALUE]]-INVESTORS_LIST[[#This Row],[TOTAL COST VALUE OF CURRENT INVESTMENT]]</f>
        <v>0</v>
      </c>
      <c r="AW68" s="48">
        <f>IFERROR(INVESTORS_LIST[[#This Row],[TOTAL CURRENT UNITS]]/SUM(INVESTORS_LIST[TOTAL CURRENT UNITS]),0)</f>
        <v>0</v>
      </c>
    </row>
    <row r="69" spans="1:49" hidden="1">
      <c r="A69" s="262" t="s">
        <v>185</v>
      </c>
      <c r="B69" s="97" t="s">
        <v>186</v>
      </c>
      <c r="C69" t="s">
        <v>48</v>
      </c>
      <c r="D69" s="75" t="s">
        <v>49</v>
      </c>
      <c r="E69" s="47">
        <f>SUMIFS(LS[Unit],LS[Investor ID],INVESTORS_LIST[[#This Row],[INVESTOR CODE]],LS[B/S],"B")</f>
        <v>0</v>
      </c>
      <c r="F69" s="47">
        <f>-SUMIFS(LS[Unit],LS[Investor ID],INVESTORS_LIST[[#This Row],[INVESTOR CODE]],LS[B/S],"S")</f>
        <v>0</v>
      </c>
      <c r="G69" s="47">
        <f>IF(INVESTORS_LIST[[#This Row],[LS_TOTAL UNITS BUY]]=0,0,INVESTORS_LIST[[#This Row],[LS_TOTAL UNITS BUY]]-INVESTORS_LIST[[#This Row],[LS_TOTAL UNITS SOLD]])</f>
        <v>0</v>
      </c>
      <c r="H69" s="49">
        <f>IF(INVESTORS_LIST[[#This Row],[LS_TOTAL UNITS BUY]]=0,0,SUMIFS(LS[Amount],LS[Investor ID],INVESTORS_LIST[[#This Row],[INVESTOR CODE]],LS[B/S],"B"))</f>
        <v>0</v>
      </c>
      <c r="I69" s="48">
        <f>IF(INVESTORS_LIST[[#This Row],[LS_TOTAL UNITS SOLD]]=0,0,SUMIFS(LS[Cost of Units Sold],LS[Investor ID],INVESTORS_LIST[[#This Row],[INVESTOR CODE]],LS[B/S],"S"))</f>
        <v>0</v>
      </c>
      <c r="J69" s="48">
        <f>IF(INVESTORS_LIST[[#This Row],[LS_TOTAL CURRENT UNITS]]=0,0,INVESTORS_LIST[[#This Row],[LS_TOTAL CURRENT UNITS]]*INVESTORS_LIST[[#This Row],[LS_AVERAGE COST]])</f>
        <v>0</v>
      </c>
      <c r="K69" s="49">
        <f>IF(INVESTORS_LIST[[#This Row],[LS_TOTAL UNITS SOLD]]=0,0,SUMIFS(LS[Realized Gain],LS[Investor ID],INVESTORS_LIST[[#This Row],[INVESTOR CODE]],LS[B/S],"S"))</f>
        <v>0</v>
      </c>
      <c r="L69" s="47">
        <f>SUMIFS(SIP[Unit],SIP[Investor ID],INVESTORS_LIST[[#This Row],[INVESTOR CODE]],SIP[B/S],"B")</f>
        <v>0</v>
      </c>
      <c r="M69" s="47">
        <f>-SUMIFS(SIP[Unit],SIP[Investor ID],INVESTORS_LIST[[#This Row],[INVESTOR CODE]],SIP[B/S],"S")</f>
        <v>0</v>
      </c>
      <c r="N69" s="50">
        <f>IF(INVESTORS_LIST[[#This Row],[SIP_TOTAL UNITS BUY]]=0,0,INVESTORS_LIST[[#This Row],[SIP_TOTAL UNITS BUY]]-INVESTORS_LIST[[#This Row],[SIP_TOTAL UNITS SOLD]])</f>
        <v>0</v>
      </c>
      <c r="O69" s="49">
        <f>IF(INVESTORS_LIST[[#This Row],[SIP_TOTAL UNITS BUY]]=0,0,SUMIFS(SIP[Amount],SIP[Investor ID],INVESTORS_LIST[[#This Row],[INVESTOR CODE]],SIP[B/S],"B"))</f>
        <v>0</v>
      </c>
      <c r="P69" s="49">
        <f>IF(INVESTORS_LIST[[#This Row],[SIP_TOTAL UNITS SOLD]]=0,0,SUMIFS(SIP[Cost of Units Sold],SIP[Investor ID],INVESTORS_LIST[[#This Row],[INVESTOR CODE]],SIP[B/S],"S"))</f>
        <v>0</v>
      </c>
      <c r="Q69" s="48">
        <f>IF(INVESTORS_LIST[[#This Row],[SIP_TOTAL CURRENT UNITS]]=0,0,INVESTORS_LIST[[#This Row],[SIP_TOTAL CURRENT UNITS]]*INVESTORS_LIST[[#This Row],[SIP_AVERAGE COST]])</f>
        <v>0</v>
      </c>
      <c r="R69" s="48">
        <f>IF(INVESTORS_LIST[[#This Row],[SIP_TOTAL UNITS SOLD]]=0,0,SUMIFS(SIP[Realized Gain],SIP[Investor ID],INVESTORS_LIST[[#This Row],[INVESTOR CODE]],SIP[B/S],"S"))</f>
        <v>0</v>
      </c>
      <c r="S69" s="50">
        <f>INVESTORS_LIST[[#This Row],[LS_TOTAL UNITS BUY]]+INVESTORS_LIST[[#This Row],[SIP_TOTAL UNITS BUY]]</f>
        <v>0</v>
      </c>
      <c r="T69" s="50">
        <f>INVESTORS_LIST[[#This Row],[LS_TOTAL UNITS SOLD]]+INVESTORS_LIST[[#This Row],[SIP_TOTAL UNITS SOLD]]</f>
        <v>0</v>
      </c>
      <c r="U69" s="50"/>
      <c r="V69" s="50">
        <f>SUMIFS(LS[BO UNIT TRANSFER],LS[Investor ID],INVESTORS_LIST[[#This Row],[INVESTOR CODE]],LS[B/S],"B")</f>
        <v>0</v>
      </c>
      <c r="W69" s="50">
        <f>SUMIFS(SIP[BO UNIT TRANSFER],SIP[Investor ID],INVESTORS_LIST[[#This Row],[INVESTOR CODE]],SIP[B/S],"B")</f>
        <v>0</v>
      </c>
      <c r="X69" s="50">
        <f>SUMIFS(LS[BO UNIT TRANSFER],LS[Investor ID],INVESTORS_LIST[[#This Row],[INVESTOR CODE]],LS[B/S],"S")</f>
        <v>0</v>
      </c>
      <c r="Y69" s="50">
        <f>SUMIFS(SIP[BO UNIT TRANSFER],SIP[Investor ID],INVESTORS_LIST[[#This Row],[INVESTOR CODE]],SIP[B/S],"S")</f>
        <v>0</v>
      </c>
      <c r="Z69" s="106">
        <f>SUM(INVESTORS_LIST[[#This Row],[BO OPENING BALANCE]:[BO SIP UNITS REPURCHASE]])</f>
        <v>0</v>
      </c>
      <c r="AA69" s="107">
        <f>INVESTORS_LIST[[#This Row],[TOTAL UNITS BUY]]-INVESTORS_LIST[[#This Row],[TOTAL UNITS SOLD]]</f>
        <v>0</v>
      </c>
      <c r="AB69" s="107">
        <f>INVESTORS_LIST[[#This Row],[TOTAL CURRENT UNITS]]-INVESTORS_LIST[[#This Row],[BO UNITS HOLD]]</f>
        <v>0</v>
      </c>
      <c r="AC69" s="201" t="e">
        <f>INDEX([3]!Table_1[BO ID],MATCH(INVESTORS_LIST[[#This Row],[INVESTOR CODE]],[3]!Table_1[INVESTOR CODE],0))</f>
        <v>#REF!</v>
      </c>
      <c r="AD69" s="201" t="e">
        <f>INDEX([3]!Table_1[Brokerage Name2],MATCH(INVESTORS_LIST[[#This Row],[INVESTOR CODE]],[3]!Table_1[INVESTOR CODE],0))</f>
        <v>#REF!</v>
      </c>
      <c r="AE69" s="201" t="e">
        <f>MID(INVESTORS_LIST[[#This Row],[BO ID]],4,5)</f>
        <v>#REF!</v>
      </c>
      <c r="AF69" s="201" t="e">
        <f>MID(INVESTORS_LIST[[#This Row],[BO ID]],2,7)</f>
        <v>#REF!</v>
      </c>
      <c r="AG69" s="201" t="e">
        <f>MID(INVESTORS_LIST[[#This Row],[BO ID]],9,7)</f>
        <v>#REF!</v>
      </c>
      <c r="AH69" s="201" t="e">
        <f>RIGHT(INVESTORS_LIST[[#This Row],[BO ID]],1)</f>
        <v>#REF!</v>
      </c>
      <c r="AI69" s="50">
        <f>INVESTORS_LIST[[#This Row],[LS_TOTAL COST VALUE OF CURRENT UNITS]]+INVESTORS_LIST[[#This Row],[SIP_TOTAL COST VALUE OF CURRENT UNITS]]</f>
        <v>0</v>
      </c>
      <c r="AJ69" s="109">
        <f>IF(INVESTORS_LIST[[#This Row],[TOTAL CURRENT UNITS]]=0,0,INVESTORS_LIST[[#This Row],[LS_TOTAL CURRENT UNITS]]/INVESTORS_LIST[[#This Row],[TOTAL CURRENT UNITS]])</f>
        <v>0</v>
      </c>
      <c r="AK69" s="109">
        <f>IF(INVESTORS_LIST[[#This Row],[TOTAL CURRENT UNITS]]=0,0,INVESTORS_LIST[[#This Row],[SIP_TOTAL CURRENT UNITS]]/INVESTORS_LIST[[#This Row],[TOTAL CURRENT UNITS]])</f>
        <v>0</v>
      </c>
      <c r="AL69" s="49" cm="1">
        <f t="array" ref="AL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" s="49" cm="1">
        <f t="array" ref="AM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" s="105">
        <f t="shared" si="2"/>
        <v>14.224</v>
      </c>
      <c r="AP69" s="112">
        <f>IF(INVESTORS_LIST[[#This Row],[TOTAL CURRENT UNITS]]=0,0,INVESTORS_LIST[[#This Row],[TOTAL CURRENT UNITS]]*INVESTORS_LIST[[#This Row],[NAV]])</f>
        <v>0</v>
      </c>
      <c r="AQ69" s="49">
        <f>IF(INVESTORS_LIST[[#This Row],[LS_TOTAL CURRENT UNITS]]=0,0,INVESTORS_LIST[[#This Row],[LS_TOTAL CURRENT UNITS]]*INVESTORS_LIST[[#This Row],[NAV]])</f>
        <v>0</v>
      </c>
      <c r="AR69" s="48">
        <f>IF(INVESTORS_LIST[[#This Row],[SIP_TOTAL CURRENT UNITS]]=0,0,INVESTORS_LIST[[#This Row],[SIP_TOTAL CURRENT UNITS]]*INVESTORS_LIST[[#This Row],[NAV]])</f>
        <v>0</v>
      </c>
      <c r="AS69" s="50">
        <f>INVESTORS_LIST[[#This Row],[TOTAL CURRENT UNITS]]</f>
        <v>0</v>
      </c>
      <c r="AT69" s="48">
        <f>IF(INVESTORS_LIST[[#This Row],[TOTAL SELLABLE UNITS]]=0,0,INVESTORS_LIST[[#This Row],[TOTAL SELLABLE UNITS]]*INVESTORS_LIST[[#This Row],[NAV]])</f>
        <v>0</v>
      </c>
      <c r="AU69" s="48">
        <f>INVESTORS_LIST[[#This Row],[LS_TOTAL REALIZED GAIN]]+INVESTORS_LIST[[#This Row],[SIP_TOTAL REALIZED GAIN]]</f>
        <v>0</v>
      </c>
      <c r="AV69" s="48">
        <f>INVESTORS_LIST[[#This Row],[TOTAL MARKET VALUE]]-INVESTORS_LIST[[#This Row],[TOTAL COST VALUE OF CURRENT INVESTMENT]]</f>
        <v>0</v>
      </c>
      <c r="AW69" s="48">
        <f>IFERROR(INVESTORS_LIST[[#This Row],[TOTAL CURRENT UNITS]]/SUM(INVESTORS_LIST[TOTAL CURRENT UNITS]),0)</f>
        <v>0</v>
      </c>
    </row>
    <row r="70" spans="1:49">
      <c r="A70" s="262" t="s">
        <v>187</v>
      </c>
      <c r="B70" s="97" t="s">
        <v>188</v>
      </c>
      <c r="C70" t="s">
        <v>52</v>
      </c>
      <c r="D70" s="75" t="s">
        <v>45</v>
      </c>
      <c r="E70" s="47">
        <f>SUMIFS(LS[Unit],LS[Investor ID],INVESTORS_LIST[[#This Row],[INVESTOR CODE]],LS[B/S],"B")</f>
        <v>91341</v>
      </c>
      <c r="F70" s="47">
        <f>-SUMIFS(LS[Unit],LS[Investor ID],INVESTORS_LIST[[#This Row],[INVESTOR CODE]],LS[B/S],"S")</f>
        <v>29468</v>
      </c>
      <c r="G70" s="47">
        <f>IF(INVESTORS_LIST[[#This Row],[LS_TOTAL UNITS BUY]]=0,0,INVESTORS_LIST[[#This Row],[LS_TOTAL UNITS BUY]]-INVESTORS_LIST[[#This Row],[LS_TOTAL UNITS SOLD]])</f>
        <v>61873</v>
      </c>
      <c r="H70" s="49">
        <f>IF(INVESTORS_LIST[[#This Row],[LS_TOTAL UNITS BUY]]=0,0,SUMIFS(LS[Amount],LS[Investor ID],INVESTORS_LIST[[#This Row],[INVESTOR CODE]],LS[B/S],"B"))</f>
        <v>1085000</v>
      </c>
      <c r="I70" s="48">
        <f>IF(INVESTORS_LIST[[#This Row],[LS_TOTAL UNITS SOLD]]=0,0,SUMIFS(LS[Cost of Units Sold],LS[Investor ID],INVESTORS_LIST[[#This Row],[INVESTOR CODE]],LS[B/S],"S"))</f>
        <v>331169.43546772306</v>
      </c>
      <c r="J70" s="48">
        <f>IF(INVESTORS_LIST[[#This Row],[LS_TOTAL CURRENT UNITS]]=0,0,INVESTORS_LIST[[#This Row],[LS_TOTAL CURRENT UNITS]]*INVESTORS_LIST[[#This Row],[LS_AVERAGE COST]])</f>
        <v>753830.56453227694</v>
      </c>
      <c r="K70" s="49">
        <f>IF(INVESTORS_LIST[[#This Row],[LS_TOTAL UNITS SOLD]]=0,0,SUMIFS(LS[Realized Gain],LS[Investor ID],INVESTORS_LIST[[#This Row],[INVESTOR CODE]],LS[B/S],"S"))</f>
        <v>30976.324532276914</v>
      </c>
      <c r="L70" s="47">
        <f>SUMIFS(SIP[Unit],SIP[Investor ID],INVESTORS_LIST[[#This Row],[INVESTOR CODE]],SIP[B/S],"B")</f>
        <v>576</v>
      </c>
      <c r="M70" s="47">
        <f>-SUMIFS(SIP[Unit],SIP[Investor ID],INVESTORS_LIST[[#This Row],[INVESTOR CODE]],SIP[B/S],"S")</f>
        <v>0</v>
      </c>
      <c r="N70" s="50">
        <f>IF(INVESTORS_LIST[[#This Row],[SIP_TOTAL UNITS BUY]]=0,0,INVESTORS_LIST[[#This Row],[SIP_TOTAL UNITS BUY]]-INVESTORS_LIST[[#This Row],[SIP_TOTAL UNITS SOLD]])</f>
        <v>576</v>
      </c>
      <c r="O70" s="49">
        <f>IF(INVESTORS_LIST[[#This Row],[SIP_TOTAL UNITS BUY]]=0,0,SUMIFS(SIP[Amount],SIP[Investor ID],INVESTORS_LIST[[#This Row],[INVESTOR CODE]],SIP[B/S],"B"))</f>
        <v>8000</v>
      </c>
      <c r="P70" s="49">
        <f>IF(INVESTORS_LIST[[#This Row],[SIP_TOTAL UNITS SOLD]]=0,0,SUMIFS(SIP[Cost of Units Sold],SIP[Investor ID],INVESTORS_LIST[[#This Row],[INVESTOR CODE]],SIP[B/S],"S"))</f>
        <v>0</v>
      </c>
      <c r="Q70" s="48">
        <f>IF(INVESTORS_LIST[[#This Row],[SIP_TOTAL CURRENT UNITS]]=0,0,INVESTORS_LIST[[#This Row],[SIP_TOTAL CURRENT UNITS]]*INVESTORS_LIST[[#This Row],[SIP_AVERAGE COST]])</f>
        <v>8000</v>
      </c>
      <c r="R70" s="48">
        <f>IF(INVESTORS_LIST[[#This Row],[SIP_TOTAL UNITS SOLD]]=0,0,SUMIFS(SIP[Realized Gain],SIP[Investor ID],INVESTORS_LIST[[#This Row],[INVESTOR CODE]],SIP[B/S],"S"))</f>
        <v>0</v>
      </c>
      <c r="S70" s="50">
        <f>INVESTORS_LIST[[#This Row],[LS_TOTAL UNITS BUY]]+INVESTORS_LIST[[#This Row],[SIP_TOTAL UNITS BUY]]</f>
        <v>91917</v>
      </c>
      <c r="T70" s="50">
        <f>INVESTORS_LIST[[#This Row],[LS_TOTAL UNITS SOLD]]+INVESTORS_LIST[[#This Row],[SIP_TOTAL UNITS SOLD]]</f>
        <v>29468</v>
      </c>
      <c r="U70" s="50"/>
      <c r="V70" s="50">
        <f>SUMIFS(LS[BO UNIT TRANSFER],LS[Investor ID],INVESTORS_LIST[[#This Row],[INVESTOR CODE]],LS[B/S],"B")</f>
        <v>0</v>
      </c>
      <c r="W70" s="50">
        <f>SUMIFS(SIP[BO UNIT TRANSFER],SIP[Investor ID],INVESTORS_LIST[[#This Row],[INVESTOR CODE]],SIP[B/S],"B")</f>
        <v>0</v>
      </c>
      <c r="X70" s="50">
        <f>SUMIFS(LS[BO UNIT TRANSFER],LS[Investor ID],INVESTORS_LIST[[#This Row],[INVESTOR CODE]],LS[B/S],"S")</f>
        <v>0</v>
      </c>
      <c r="Y70" s="50">
        <f>SUMIFS(SIP[BO UNIT TRANSFER],SIP[Investor ID],INVESTORS_LIST[[#This Row],[INVESTOR CODE]],SIP[B/S],"S")</f>
        <v>0</v>
      </c>
      <c r="Z70" s="106">
        <f>SUM(INVESTORS_LIST[[#This Row],[BO OPENING BALANCE]:[BO SIP UNITS REPURCHASE]])</f>
        <v>0</v>
      </c>
      <c r="AA70" s="107">
        <f>INVESTORS_LIST[[#This Row],[TOTAL UNITS BUY]]-INVESTORS_LIST[[#This Row],[TOTAL UNITS SOLD]]</f>
        <v>62449</v>
      </c>
      <c r="AB70" s="107">
        <f>INVESTORS_LIST[[#This Row],[TOTAL CURRENT UNITS]]-INVESTORS_LIST[[#This Row],[BO UNITS HOLD]]</f>
        <v>62449</v>
      </c>
      <c r="AC70" s="201" t="e">
        <f>INDEX([3]!Table_1[BO ID],MATCH(INVESTORS_LIST[[#This Row],[INVESTOR CODE]],[3]!Table_1[INVESTOR CODE],0))</f>
        <v>#REF!</v>
      </c>
      <c r="AD70" s="201" t="e">
        <f>INDEX([3]!Table_1[Brokerage Name2],MATCH(INVESTORS_LIST[[#This Row],[INVESTOR CODE]],[3]!Table_1[INVESTOR CODE],0))</f>
        <v>#REF!</v>
      </c>
      <c r="AE70" s="201" t="e">
        <f>MID(INVESTORS_LIST[[#This Row],[BO ID]],4,5)</f>
        <v>#REF!</v>
      </c>
      <c r="AF70" s="201" t="e">
        <f>MID(INVESTORS_LIST[[#This Row],[BO ID]],2,7)</f>
        <v>#REF!</v>
      </c>
      <c r="AG70" s="201" t="e">
        <f>MID(INVESTORS_LIST[[#This Row],[BO ID]],9,7)</f>
        <v>#REF!</v>
      </c>
      <c r="AH70" s="201" t="e">
        <f>RIGHT(INVESTORS_LIST[[#This Row],[BO ID]],1)</f>
        <v>#REF!</v>
      </c>
      <c r="AI70" s="50">
        <f>INVESTORS_LIST[[#This Row],[LS_TOTAL COST VALUE OF CURRENT UNITS]]+INVESTORS_LIST[[#This Row],[SIP_TOTAL COST VALUE OF CURRENT UNITS]]</f>
        <v>761830.56453227694</v>
      </c>
      <c r="AJ70" s="109">
        <f>IF(INVESTORS_LIST[[#This Row],[TOTAL CURRENT UNITS]]=0,0,INVESTORS_LIST[[#This Row],[LS_TOTAL CURRENT UNITS]]/INVESTORS_LIST[[#This Row],[TOTAL CURRENT UNITS]])</f>
        <v>0.99077647360245957</v>
      </c>
      <c r="AK70" s="109">
        <f>IF(INVESTORS_LIST[[#This Row],[TOTAL CURRENT UNITS]]=0,0,INVESTORS_LIST[[#This Row],[SIP_TOTAL CURRENT UNITS]]/INVESTORS_LIST[[#This Row],[TOTAL CURRENT UNITS]])</f>
        <v>9.2235263975403922E-3</v>
      </c>
      <c r="AL70" s="49" cm="1">
        <f t="array" ref="AL70">IF(INVESTORS_LIST[[#This Row],[LS_TOTAL UNITS BUY]]&gt;0,INDEX(LS[NAV at Cost (Average)],MATCH(CONCATENATE(COUNTIFS(LS[Investor ID],INVESTORS_LIST[[#This Row],[INVESTOR CODE]]),INVESTORS_LIST[[#This Row],[INVESTOR CODE]]),LS[Unique Code],0),),0)</f>
        <v>12.183514045420086</v>
      </c>
      <c r="AM70" s="49" cm="1">
        <f t="array" ref="AM70">IF(INVESTORS_LIST[[#This Row],[SIP_TOTAL UNITS BUY]]&gt;0,INDEX(SIP[NAV at Cost (Average)],MATCH(CONCATENATE(COUNTIFS(SIP[Investor ID],INVESTORS_LIST[[#This Row],[INVESTOR CODE]]),INVESTORS_LIST[[#This Row],[INVESTOR CODE]]),SIP[Unique Code],0),),0)</f>
        <v>13.888888888888889</v>
      </c>
      <c r="AN70" s="105">
        <f>IF(INVESTORS_LIST[[#This Row],[TOTAL CURRENT UNITS]]=0,0,(INVESTORS_LIST[[#This Row],[LS_WEIGHT]]*INVESTORS_LIST[[#This Row],[LS_AVERAGE COST]])+(INVESTORS_LIST[[#This Row],[SIP_WEIGHT]]*INVESTORS_LIST[[#This Row],[SIP_AVERAGE COST]]))</f>
        <v>12.199243615306521</v>
      </c>
      <c r="AO70" s="105">
        <f t="shared" si="2"/>
        <v>14.224</v>
      </c>
      <c r="AP70" s="112">
        <f>IF(INVESTORS_LIST[[#This Row],[TOTAL CURRENT UNITS]]=0,0,INVESTORS_LIST[[#This Row],[TOTAL CURRENT UNITS]]*INVESTORS_LIST[[#This Row],[NAV]])</f>
        <v>888274.576</v>
      </c>
      <c r="AQ70" s="49">
        <f>IF(INVESTORS_LIST[[#This Row],[LS_TOTAL CURRENT UNITS]]=0,0,INVESTORS_LIST[[#This Row],[LS_TOTAL CURRENT UNITS]]*INVESTORS_LIST[[#This Row],[NAV]])</f>
        <v>880081.55200000003</v>
      </c>
      <c r="AR70" s="48">
        <f>IF(INVESTORS_LIST[[#This Row],[SIP_TOTAL CURRENT UNITS]]=0,0,INVESTORS_LIST[[#This Row],[SIP_TOTAL CURRENT UNITS]]*INVESTORS_LIST[[#This Row],[NAV]])</f>
        <v>8193.0239999999994</v>
      </c>
      <c r="AS70" s="50">
        <f>INVESTORS_LIST[[#This Row],[TOTAL CURRENT UNITS]]</f>
        <v>62449</v>
      </c>
      <c r="AT70" s="48">
        <f>IF(INVESTORS_LIST[[#This Row],[TOTAL SELLABLE UNITS]]=0,0,INVESTORS_LIST[[#This Row],[TOTAL SELLABLE UNITS]]*INVESTORS_LIST[[#This Row],[NAV]])</f>
        <v>888274.576</v>
      </c>
      <c r="AU70" s="48">
        <f>INVESTORS_LIST[[#This Row],[LS_TOTAL REALIZED GAIN]]+INVESTORS_LIST[[#This Row],[SIP_TOTAL REALIZED GAIN]]</f>
        <v>30976.324532276914</v>
      </c>
      <c r="AV70" s="48">
        <f>INVESTORS_LIST[[#This Row],[TOTAL MARKET VALUE]]-INVESTORS_LIST[[#This Row],[TOTAL COST VALUE OF CURRENT INVESTMENT]]</f>
        <v>126444.01146772306</v>
      </c>
      <c r="AW70" s="48">
        <f>IFERROR(INVESTORS_LIST[[#This Row],[TOTAL CURRENT UNITS]]/SUM(INVESTORS_LIST[TOTAL CURRENT UNITS]),0)</f>
        <v>1.5160249069037773E-3</v>
      </c>
    </row>
    <row r="71" spans="1:49" hidden="1">
      <c r="A71" s="262" t="s">
        <v>189</v>
      </c>
      <c r="B71" s="97" t="s">
        <v>190</v>
      </c>
      <c r="C71" t="s">
        <v>44</v>
      </c>
      <c r="D71" s="75" t="s">
        <v>45</v>
      </c>
      <c r="E71" s="47">
        <f>SUMIFS(LS[Unit],LS[Investor ID],INVESTORS_LIST[[#This Row],[INVESTOR CODE]],LS[B/S],"B")</f>
        <v>0</v>
      </c>
      <c r="F71" s="47">
        <f>-SUMIFS(LS[Unit],LS[Investor ID],INVESTORS_LIST[[#This Row],[INVESTOR CODE]],LS[B/S],"S")</f>
        <v>0</v>
      </c>
      <c r="G71" s="47">
        <f>IF(INVESTORS_LIST[[#This Row],[LS_TOTAL UNITS BUY]]=0,0,INVESTORS_LIST[[#This Row],[LS_TOTAL UNITS BUY]]-INVESTORS_LIST[[#This Row],[LS_TOTAL UNITS SOLD]])</f>
        <v>0</v>
      </c>
      <c r="H71" s="49">
        <f>IF(INVESTORS_LIST[[#This Row],[LS_TOTAL UNITS BUY]]=0,0,SUMIFS(LS[Amount],LS[Investor ID],INVESTORS_LIST[[#This Row],[INVESTOR CODE]],LS[B/S],"B"))</f>
        <v>0</v>
      </c>
      <c r="I71" s="48">
        <f>IF(INVESTORS_LIST[[#This Row],[LS_TOTAL UNITS SOLD]]=0,0,SUMIFS(LS[Cost of Units Sold],LS[Investor ID],INVESTORS_LIST[[#This Row],[INVESTOR CODE]],LS[B/S],"S"))</f>
        <v>0</v>
      </c>
      <c r="J71" s="48">
        <f>IF(INVESTORS_LIST[[#This Row],[LS_TOTAL CURRENT UNITS]]=0,0,INVESTORS_LIST[[#This Row],[LS_TOTAL CURRENT UNITS]]*INVESTORS_LIST[[#This Row],[LS_AVERAGE COST]])</f>
        <v>0</v>
      </c>
      <c r="K71" s="49">
        <f>IF(INVESTORS_LIST[[#This Row],[LS_TOTAL UNITS SOLD]]=0,0,SUMIFS(LS[Realized Gain],LS[Investor ID],INVESTORS_LIST[[#This Row],[INVESTOR CODE]],LS[B/S],"S"))</f>
        <v>0</v>
      </c>
      <c r="L71" s="47">
        <f>SUMIFS(SIP[Unit],SIP[Investor ID],INVESTORS_LIST[[#This Row],[INVESTOR CODE]],SIP[B/S],"B")</f>
        <v>0</v>
      </c>
      <c r="M71" s="47">
        <f>-SUMIFS(SIP[Unit],SIP[Investor ID],INVESTORS_LIST[[#This Row],[INVESTOR CODE]],SIP[B/S],"S")</f>
        <v>0</v>
      </c>
      <c r="N71" s="50">
        <f>IF(INVESTORS_LIST[[#This Row],[SIP_TOTAL UNITS BUY]]=0,0,INVESTORS_LIST[[#This Row],[SIP_TOTAL UNITS BUY]]-INVESTORS_LIST[[#This Row],[SIP_TOTAL UNITS SOLD]])</f>
        <v>0</v>
      </c>
      <c r="O71" s="49">
        <f>IF(INVESTORS_LIST[[#This Row],[SIP_TOTAL UNITS BUY]]=0,0,SUMIFS(SIP[Amount],SIP[Investor ID],INVESTORS_LIST[[#This Row],[INVESTOR CODE]],SIP[B/S],"B"))</f>
        <v>0</v>
      </c>
      <c r="P71" s="49">
        <f>IF(INVESTORS_LIST[[#This Row],[SIP_TOTAL UNITS SOLD]]=0,0,SUMIFS(SIP[Cost of Units Sold],SIP[Investor ID],INVESTORS_LIST[[#This Row],[INVESTOR CODE]],SIP[B/S],"S"))</f>
        <v>0</v>
      </c>
      <c r="Q71" s="48">
        <f>IF(INVESTORS_LIST[[#This Row],[SIP_TOTAL CURRENT UNITS]]=0,0,INVESTORS_LIST[[#This Row],[SIP_TOTAL CURRENT UNITS]]*INVESTORS_LIST[[#This Row],[SIP_AVERAGE COST]])</f>
        <v>0</v>
      </c>
      <c r="R71" s="48">
        <f>IF(INVESTORS_LIST[[#This Row],[SIP_TOTAL UNITS SOLD]]=0,0,SUMIFS(SIP[Realized Gain],SIP[Investor ID],INVESTORS_LIST[[#This Row],[INVESTOR CODE]],SIP[B/S],"S"))</f>
        <v>0</v>
      </c>
      <c r="S71" s="50">
        <f>INVESTORS_LIST[[#This Row],[LS_TOTAL UNITS BUY]]+INVESTORS_LIST[[#This Row],[SIP_TOTAL UNITS BUY]]</f>
        <v>0</v>
      </c>
      <c r="T71" s="50">
        <f>INVESTORS_LIST[[#This Row],[LS_TOTAL UNITS SOLD]]+INVESTORS_LIST[[#This Row],[SIP_TOTAL UNITS SOLD]]</f>
        <v>0</v>
      </c>
      <c r="U71" s="50"/>
      <c r="V71" s="50">
        <f>SUMIFS(LS[BO UNIT TRANSFER],LS[Investor ID],INVESTORS_LIST[[#This Row],[INVESTOR CODE]],LS[B/S],"B")</f>
        <v>0</v>
      </c>
      <c r="W71" s="50">
        <f>SUMIFS(SIP[BO UNIT TRANSFER],SIP[Investor ID],INVESTORS_LIST[[#This Row],[INVESTOR CODE]],SIP[B/S],"B")</f>
        <v>0</v>
      </c>
      <c r="X71" s="50">
        <f>SUMIFS(LS[BO UNIT TRANSFER],LS[Investor ID],INVESTORS_LIST[[#This Row],[INVESTOR CODE]],LS[B/S],"S")</f>
        <v>0</v>
      </c>
      <c r="Y71" s="50">
        <f>SUMIFS(SIP[BO UNIT TRANSFER],SIP[Investor ID],INVESTORS_LIST[[#This Row],[INVESTOR CODE]],SIP[B/S],"S")</f>
        <v>0</v>
      </c>
      <c r="Z71" s="106">
        <f>SUM(INVESTORS_LIST[[#This Row],[BO OPENING BALANCE]:[BO SIP UNITS REPURCHASE]])</f>
        <v>0</v>
      </c>
      <c r="AA71" s="107">
        <f>INVESTORS_LIST[[#This Row],[TOTAL UNITS BUY]]-INVESTORS_LIST[[#This Row],[TOTAL UNITS SOLD]]</f>
        <v>0</v>
      </c>
      <c r="AB71" s="107">
        <f>INVESTORS_LIST[[#This Row],[TOTAL CURRENT UNITS]]-INVESTORS_LIST[[#This Row],[BO UNITS HOLD]]</f>
        <v>0</v>
      </c>
      <c r="AC71" s="201" t="e">
        <f>INDEX([3]!Table_1[BO ID],MATCH(INVESTORS_LIST[[#This Row],[INVESTOR CODE]],[3]!Table_1[INVESTOR CODE],0))</f>
        <v>#REF!</v>
      </c>
      <c r="AD71" s="201" t="e">
        <f>INDEX([3]!Table_1[Brokerage Name2],MATCH(INVESTORS_LIST[[#This Row],[INVESTOR CODE]],[3]!Table_1[INVESTOR CODE],0))</f>
        <v>#REF!</v>
      </c>
      <c r="AE71" s="201" t="e">
        <f>MID(INVESTORS_LIST[[#This Row],[BO ID]],4,5)</f>
        <v>#REF!</v>
      </c>
      <c r="AF71" s="201" t="e">
        <f>MID(INVESTORS_LIST[[#This Row],[BO ID]],2,7)</f>
        <v>#REF!</v>
      </c>
      <c r="AG71" s="201" t="e">
        <f>MID(INVESTORS_LIST[[#This Row],[BO ID]],9,7)</f>
        <v>#REF!</v>
      </c>
      <c r="AH71" s="201" t="e">
        <f>RIGHT(INVESTORS_LIST[[#This Row],[BO ID]],1)</f>
        <v>#REF!</v>
      </c>
      <c r="AI71" s="50">
        <f>INVESTORS_LIST[[#This Row],[LS_TOTAL COST VALUE OF CURRENT UNITS]]+INVESTORS_LIST[[#This Row],[SIP_TOTAL COST VALUE OF CURRENT UNITS]]</f>
        <v>0</v>
      </c>
      <c r="AJ71" s="109">
        <f>IF(INVESTORS_LIST[[#This Row],[TOTAL CURRENT UNITS]]=0,0,INVESTORS_LIST[[#This Row],[LS_TOTAL CURRENT UNITS]]/INVESTORS_LIST[[#This Row],[TOTAL CURRENT UNITS]])</f>
        <v>0</v>
      </c>
      <c r="AK71" s="109">
        <f>IF(INVESTORS_LIST[[#This Row],[TOTAL CURRENT UNITS]]=0,0,INVESTORS_LIST[[#This Row],[SIP_TOTAL CURRENT UNITS]]/INVESTORS_LIST[[#This Row],[TOTAL CURRENT UNITS]])</f>
        <v>0</v>
      </c>
      <c r="AL71" s="49" cm="1">
        <f t="array" ref="AL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" s="49" cm="1">
        <f t="array" ref="AM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" s="105">
        <f t="shared" si="2"/>
        <v>14.224</v>
      </c>
      <c r="AP71" s="112">
        <f>IF(INVESTORS_LIST[[#This Row],[TOTAL CURRENT UNITS]]=0,0,INVESTORS_LIST[[#This Row],[TOTAL CURRENT UNITS]]*INVESTORS_LIST[[#This Row],[NAV]])</f>
        <v>0</v>
      </c>
      <c r="AQ71" s="49">
        <f>IF(INVESTORS_LIST[[#This Row],[LS_TOTAL CURRENT UNITS]]=0,0,INVESTORS_LIST[[#This Row],[LS_TOTAL CURRENT UNITS]]*INVESTORS_LIST[[#This Row],[NAV]])</f>
        <v>0</v>
      </c>
      <c r="AR71" s="48">
        <f>IF(INVESTORS_LIST[[#This Row],[SIP_TOTAL CURRENT UNITS]]=0,0,INVESTORS_LIST[[#This Row],[SIP_TOTAL CURRENT UNITS]]*INVESTORS_LIST[[#This Row],[NAV]])</f>
        <v>0</v>
      </c>
      <c r="AS71" s="50">
        <f>INVESTORS_LIST[[#This Row],[TOTAL CURRENT UNITS]]</f>
        <v>0</v>
      </c>
      <c r="AT71" s="48">
        <f>IF(INVESTORS_LIST[[#This Row],[TOTAL SELLABLE UNITS]]=0,0,INVESTORS_LIST[[#This Row],[TOTAL SELLABLE UNITS]]*INVESTORS_LIST[[#This Row],[NAV]])</f>
        <v>0</v>
      </c>
      <c r="AU71" s="48">
        <f>INVESTORS_LIST[[#This Row],[LS_TOTAL REALIZED GAIN]]+INVESTORS_LIST[[#This Row],[SIP_TOTAL REALIZED GAIN]]</f>
        <v>0</v>
      </c>
      <c r="AV71" s="48">
        <f>INVESTORS_LIST[[#This Row],[TOTAL MARKET VALUE]]-INVESTORS_LIST[[#This Row],[TOTAL COST VALUE OF CURRENT INVESTMENT]]</f>
        <v>0</v>
      </c>
      <c r="AW71" s="48">
        <f>IFERROR(INVESTORS_LIST[[#This Row],[TOTAL CURRENT UNITS]]/SUM(INVESTORS_LIST[TOTAL CURRENT UNITS]),0)</f>
        <v>0</v>
      </c>
    </row>
    <row r="72" spans="1:49" hidden="1">
      <c r="A72" s="262" t="s">
        <v>191</v>
      </c>
      <c r="B72" s="97" t="s">
        <v>192</v>
      </c>
      <c r="C72" t="s">
        <v>44</v>
      </c>
      <c r="D72" s="75" t="s">
        <v>45</v>
      </c>
      <c r="E72" s="47">
        <f>SUMIFS(LS[Unit],LS[Investor ID],INVESTORS_LIST[[#This Row],[INVESTOR CODE]],LS[B/S],"B")</f>
        <v>0</v>
      </c>
      <c r="F72" s="47">
        <f>-SUMIFS(LS[Unit],LS[Investor ID],INVESTORS_LIST[[#This Row],[INVESTOR CODE]],LS[B/S],"S")</f>
        <v>0</v>
      </c>
      <c r="G72" s="47">
        <f>IF(INVESTORS_LIST[[#This Row],[LS_TOTAL UNITS BUY]]=0,0,INVESTORS_LIST[[#This Row],[LS_TOTAL UNITS BUY]]-INVESTORS_LIST[[#This Row],[LS_TOTAL UNITS SOLD]])</f>
        <v>0</v>
      </c>
      <c r="H72" s="49">
        <f>IF(INVESTORS_LIST[[#This Row],[LS_TOTAL UNITS BUY]]=0,0,SUMIFS(LS[Amount],LS[Investor ID],INVESTORS_LIST[[#This Row],[INVESTOR CODE]],LS[B/S],"B"))</f>
        <v>0</v>
      </c>
      <c r="I72" s="48">
        <f>IF(INVESTORS_LIST[[#This Row],[LS_TOTAL UNITS SOLD]]=0,0,SUMIFS(LS[Cost of Units Sold],LS[Investor ID],INVESTORS_LIST[[#This Row],[INVESTOR CODE]],LS[B/S],"S"))</f>
        <v>0</v>
      </c>
      <c r="J72" s="48">
        <f>IF(INVESTORS_LIST[[#This Row],[LS_TOTAL CURRENT UNITS]]=0,0,INVESTORS_LIST[[#This Row],[LS_TOTAL CURRENT UNITS]]*INVESTORS_LIST[[#This Row],[LS_AVERAGE COST]])</f>
        <v>0</v>
      </c>
      <c r="K72" s="49">
        <f>IF(INVESTORS_LIST[[#This Row],[LS_TOTAL UNITS SOLD]]=0,0,SUMIFS(LS[Realized Gain],LS[Investor ID],INVESTORS_LIST[[#This Row],[INVESTOR CODE]],LS[B/S],"S"))</f>
        <v>0</v>
      </c>
      <c r="L72" s="47">
        <f>SUMIFS(SIP[Unit],SIP[Investor ID],INVESTORS_LIST[[#This Row],[INVESTOR CODE]],SIP[B/S],"B")</f>
        <v>0</v>
      </c>
      <c r="M72" s="47">
        <f>-SUMIFS(SIP[Unit],SIP[Investor ID],INVESTORS_LIST[[#This Row],[INVESTOR CODE]],SIP[B/S],"S")</f>
        <v>0</v>
      </c>
      <c r="N72" s="50">
        <f>IF(INVESTORS_LIST[[#This Row],[SIP_TOTAL UNITS BUY]]=0,0,INVESTORS_LIST[[#This Row],[SIP_TOTAL UNITS BUY]]-INVESTORS_LIST[[#This Row],[SIP_TOTAL UNITS SOLD]])</f>
        <v>0</v>
      </c>
      <c r="O72" s="49">
        <f>IF(INVESTORS_LIST[[#This Row],[SIP_TOTAL UNITS BUY]]=0,0,SUMIFS(SIP[Amount],SIP[Investor ID],INVESTORS_LIST[[#This Row],[INVESTOR CODE]],SIP[B/S],"B"))</f>
        <v>0</v>
      </c>
      <c r="P72" s="49">
        <f>IF(INVESTORS_LIST[[#This Row],[SIP_TOTAL UNITS SOLD]]=0,0,SUMIFS(SIP[Cost of Units Sold],SIP[Investor ID],INVESTORS_LIST[[#This Row],[INVESTOR CODE]],SIP[B/S],"S"))</f>
        <v>0</v>
      </c>
      <c r="Q72" s="48">
        <f>IF(INVESTORS_LIST[[#This Row],[SIP_TOTAL CURRENT UNITS]]=0,0,INVESTORS_LIST[[#This Row],[SIP_TOTAL CURRENT UNITS]]*INVESTORS_LIST[[#This Row],[SIP_AVERAGE COST]])</f>
        <v>0</v>
      </c>
      <c r="R72" s="48">
        <f>IF(INVESTORS_LIST[[#This Row],[SIP_TOTAL UNITS SOLD]]=0,0,SUMIFS(SIP[Realized Gain],SIP[Investor ID],INVESTORS_LIST[[#This Row],[INVESTOR CODE]],SIP[B/S],"S"))</f>
        <v>0</v>
      </c>
      <c r="S72" s="50">
        <f>INVESTORS_LIST[[#This Row],[LS_TOTAL UNITS BUY]]+INVESTORS_LIST[[#This Row],[SIP_TOTAL UNITS BUY]]</f>
        <v>0</v>
      </c>
      <c r="T72" s="50">
        <f>INVESTORS_LIST[[#This Row],[LS_TOTAL UNITS SOLD]]+INVESTORS_LIST[[#This Row],[SIP_TOTAL UNITS SOLD]]</f>
        <v>0</v>
      </c>
      <c r="U72" s="50"/>
      <c r="V72" s="50">
        <f>SUMIFS(LS[BO UNIT TRANSFER],LS[Investor ID],INVESTORS_LIST[[#This Row],[INVESTOR CODE]],LS[B/S],"B")</f>
        <v>0</v>
      </c>
      <c r="W72" s="50">
        <f>SUMIFS(SIP[BO UNIT TRANSFER],SIP[Investor ID],INVESTORS_LIST[[#This Row],[INVESTOR CODE]],SIP[B/S],"B")</f>
        <v>0</v>
      </c>
      <c r="X72" s="50">
        <f>SUMIFS(LS[BO UNIT TRANSFER],LS[Investor ID],INVESTORS_LIST[[#This Row],[INVESTOR CODE]],LS[B/S],"S")</f>
        <v>0</v>
      </c>
      <c r="Y72" s="50">
        <f>SUMIFS(SIP[BO UNIT TRANSFER],SIP[Investor ID],INVESTORS_LIST[[#This Row],[INVESTOR CODE]],SIP[B/S],"S")</f>
        <v>0</v>
      </c>
      <c r="Z72" s="106">
        <f>SUM(INVESTORS_LIST[[#This Row],[BO OPENING BALANCE]:[BO SIP UNITS REPURCHASE]])</f>
        <v>0</v>
      </c>
      <c r="AA72" s="107">
        <f>INVESTORS_LIST[[#This Row],[TOTAL UNITS BUY]]-INVESTORS_LIST[[#This Row],[TOTAL UNITS SOLD]]</f>
        <v>0</v>
      </c>
      <c r="AB72" s="107">
        <f>INVESTORS_LIST[[#This Row],[TOTAL CURRENT UNITS]]-INVESTORS_LIST[[#This Row],[BO UNITS HOLD]]</f>
        <v>0</v>
      </c>
      <c r="AC72" s="201" t="e">
        <f>INDEX([3]!Table_1[BO ID],MATCH(INVESTORS_LIST[[#This Row],[INVESTOR CODE]],[3]!Table_1[INVESTOR CODE],0))</f>
        <v>#REF!</v>
      </c>
      <c r="AD72" s="201" t="e">
        <f>INDEX([3]!Table_1[Brokerage Name2],MATCH(INVESTORS_LIST[[#This Row],[INVESTOR CODE]],[3]!Table_1[INVESTOR CODE],0))</f>
        <v>#REF!</v>
      </c>
      <c r="AE72" s="201" t="e">
        <f>MID(INVESTORS_LIST[[#This Row],[BO ID]],4,5)</f>
        <v>#REF!</v>
      </c>
      <c r="AF72" s="201" t="e">
        <f>MID(INVESTORS_LIST[[#This Row],[BO ID]],2,7)</f>
        <v>#REF!</v>
      </c>
      <c r="AG72" s="201" t="e">
        <f>MID(INVESTORS_LIST[[#This Row],[BO ID]],9,7)</f>
        <v>#REF!</v>
      </c>
      <c r="AH72" s="201" t="e">
        <f>RIGHT(INVESTORS_LIST[[#This Row],[BO ID]],1)</f>
        <v>#REF!</v>
      </c>
      <c r="AI72" s="50">
        <f>INVESTORS_LIST[[#This Row],[LS_TOTAL COST VALUE OF CURRENT UNITS]]+INVESTORS_LIST[[#This Row],[SIP_TOTAL COST VALUE OF CURRENT UNITS]]</f>
        <v>0</v>
      </c>
      <c r="AJ72" s="109">
        <f>IF(INVESTORS_LIST[[#This Row],[TOTAL CURRENT UNITS]]=0,0,INVESTORS_LIST[[#This Row],[LS_TOTAL CURRENT UNITS]]/INVESTORS_LIST[[#This Row],[TOTAL CURRENT UNITS]])</f>
        <v>0</v>
      </c>
      <c r="AK72" s="109">
        <f>IF(INVESTORS_LIST[[#This Row],[TOTAL CURRENT UNITS]]=0,0,INVESTORS_LIST[[#This Row],[SIP_TOTAL CURRENT UNITS]]/INVESTORS_LIST[[#This Row],[TOTAL CURRENT UNITS]])</f>
        <v>0</v>
      </c>
      <c r="AL72" s="49" cm="1">
        <f t="array" ref="AL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2" s="49" cm="1">
        <f t="array" ref="AM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2" s="105">
        <f t="shared" si="2"/>
        <v>14.224</v>
      </c>
      <c r="AP72" s="112">
        <f>IF(INVESTORS_LIST[[#This Row],[TOTAL CURRENT UNITS]]=0,0,INVESTORS_LIST[[#This Row],[TOTAL CURRENT UNITS]]*INVESTORS_LIST[[#This Row],[NAV]])</f>
        <v>0</v>
      </c>
      <c r="AQ72" s="49">
        <f>IF(INVESTORS_LIST[[#This Row],[LS_TOTAL CURRENT UNITS]]=0,0,INVESTORS_LIST[[#This Row],[LS_TOTAL CURRENT UNITS]]*INVESTORS_LIST[[#This Row],[NAV]])</f>
        <v>0</v>
      </c>
      <c r="AR72" s="48">
        <f>IF(INVESTORS_LIST[[#This Row],[SIP_TOTAL CURRENT UNITS]]=0,0,INVESTORS_LIST[[#This Row],[SIP_TOTAL CURRENT UNITS]]*INVESTORS_LIST[[#This Row],[NAV]])</f>
        <v>0</v>
      </c>
      <c r="AS72" s="50">
        <f>INVESTORS_LIST[[#This Row],[TOTAL CURRENT UNITS]]</f>
        <v>0</v>
      </c>
      <c r="AT72" s="48">
        <f>IF(INVESTORS_LIST[[#This Row],[TOTAL SELLABLE UNITS]]=0,0,INVESTORS_LIST[[#This Row],[TOTAL SELLABLE UNITS]]*INVESTORS_LIST[[#This Row],[NAV]])</f>
        <v>0</v>
      </c>
      <c r="AU72" s="48">
        <f>INVESTORS_LIST[[#This Row],[LS_TOTAL REALIZED GAIN]]+INVESTORS_LIST[[#This Row],[SIP_TOTAL REALIZED GAIN]]</f>
        <v>0</v>
      </c>
      <c r="AV72" s="48">
        <f>INVESTORS_LIST[[#This Row],[TOTAL MARKET VALUE]]-INVESTORS_LIST[[#This Row],[TOTAL COST VALUE OF CURRENT INVESTMENT]]</f>
        <v>0</v>
      </c>
      <c r="AW72" s="48">
        <f>IFERROR(INVESTORS_LIST[[#This Row],[TOTAL CURRENT UNITS]]/SUM(INVESTORS_LIST[TOTAL CURRENT UNITS]),0)</f>
        <v>0</v>
      </c>
    </row>
    <row r="73" spans="1:49" hidden="1">
      <c r="A73" s="262" t="s">
        <v>193</v>
      </c>
      <c r="B73" s="97" t="s">
        <v>194</v>
      </c>
      <c r="C73" t="s">
        <v>52</v>
      </c>
      <c r="D73" s="75" t="s">
        <v>45</v>
      </c>
      <c r="E73" s="47">
        <f>SUMIFS(LS[Unit],LS[Investor ID],INVESTORS_LIST[[#This Row],[INVESTOR CODE]],LS[B/S],"B")</f>
        <v>197485</v>
      </c>
      <c r="F73" s="47">
        <f>-SUMIFS(LS[Unit],LS[Investor ID],INVESTORS_LIST[[#This Row],[INVESTOR CODE]],LS[B/S],"S")</f>
        <v>197485</v>
      </c>
      <c r="G73" s="47">
        <f>IF(INVESTORS_LIST[[#This Row],[LS_TOTAL UNITS BUY]]=0,0,INVESTORS_LIST[[#This Row],[LS_TOTAL UNITS BUY]]-INVESTORS_LIST[[#This Row],[LS_TOTAL UNITS SOLD]])</f>
        <v>0</v>
      </c>
      <c r="H73" s="49">
        <f>IF(INVESTORS_LIST[[#This Row],[LS_TOTAL UNITS BUY]]=0,0,SUMIFS(LS[Amount],LS[Investor ID],INVESTORS_LIST[[#This Row],[INVESTOR CODE]],LS[B/S],"B"))</f>
        <v>2100000</v>
      </c>
      <c r="I73" s="48">
        <f>IF(INVESTORS_LIST[[#This Row],[LS_TOTAL UNITS SOLD]]=0,0,SUMIFS(LS[Cost of Units Sold],LS[Investor ID],INVESTORS_LIST[[#This Row],[INVESTOR CODE]],LS[B/S],"S"))</f>
        <v>2100000</v>
      </c>
      <c r="J73" s="48">
        <f>IF(INVESTORS_LIST[[#This Row],[LS_TOTAL CURRENT UNITS]]=0,0,INVESTORS_LIST[[#This Row],[LS_TOTAL CURRENT UNITS]]*INVESTORS_LIST[[#This Row],[LS_AVERAGE COST]])</f>
        <v>0</v>
      </c>
      <c r="K73" s="49">
        <f>IF(INVESTORS_LIST[[#This Row],[LS_TOTAL UNITS SOLD]]=0,0,SUMIFS(LS[Realized Gain],LS[Investor ID],INVESTORS_LIST[[#This Row],[INVESTOR CODE]],LS[B/S],"S"))</f>
        <v>56474.66</v>
      </c>
      <c r="L73" s="47">
        <f>SUMIFS(SIP[Unit],SIP[Investor ID],INVESTORS_LIST[[#This Row],[INVESTOR CODE]],SIP[B/S],"B")</f>
        <v>0</v>
      </c>
      <c r="M73" s="47">
        <f>-SUMIFS(SIP[Unit],SIP[Investor ID],INVESTORS_LIST[[#This Row],[INVESTOR CODE]],SIP[B/S],"S")</f>
        <v>0</v>
      </c>
      <c r="N73" s="50">
        <f>IF(INVESTORS_LIST[[#This Row],[SIP_TOTAL UNITS BUY]]=0,0,INVESTORS_LIST[[#This Row],[SIP_TOTAL UNITS BUY]]-INVESTORS_LIST[[#This Row],[SIP_TOTAL UNITS SOLD]])</f>
        <v>0</v>
      </c>
      <c r="O73" s="49">
        <f>IF(INVESTORS_LIST[[#This Row],[SIP_TOTAL UNITS BUY]]=0,0,SUMIFS(SIP[Amount],SIP[Investor ID],INVESTORS_LIST[[#This Row],[INVESTOR CODE]],SIP[B/S],"B"))</f>
        <v>0</v>
      </c>
      <c r="P73" s="49">
        <f>IF(INVESTORS_LIST[[#This Row],[SIP_TOTAL UNITS SOLD]]=0,0,SUMIFS(SIP[Cost of Units Sold],SIP[Investor ID],INVESTORS_LIST[[#This Row],[INVESTOR CODE]],SIP[B/S],"S"))</f>
        <v>0</v>
      </c>
      <c r="Q73" s="48">
        <f>IF(INVESTORS_LIST[[#This Row],[SIP_TOTAL CURRENT UNITS]]=0,0,INVESTORS_LIST[[#This Row],[SIP_TOTAL CURRENT UNITS]]*INVESTORS_LIST[[#This Row],[SIP_AVERAGE COST]])</f>
        <v>0</v>
      </c>
      <c r="R73" s="48">
        <f>IF(INVESTORS_LIST[[#This Row],[SIP_TOTAL UNITS SOLD]]=0,0,SUMIFS(SIP[Realized Gain],SIP[Investor ID],INVESTORS_LIST[[#This Row],[INVESTOR CODE]],SIP[B/S],"S"))</f>
        <v>0</v>
      </c>
      <c r="S73" s="50">
        <f>INVESTORS_LIST[[#This Row],[LS_TOTAL UNITS BUY]]+INVESTORS_LIST[[#This Row],[SIP_TOTAL UNITS BUY]]</f>
        <v>197485</v>
      </c>
      <c r="T73" s="50">
        <f>INVESTORS_LIST[[#This Row],[LS_TOTAL UNITS SOLD]]+INVESTORS_LIST[[#This Row],[SIP_TOTAL UNITS SOLD]]</f>
        <v>197485</v>
      </c>
      <c r="U73" s="50">
        <v>88778</v>
      </c>
      <c r="V73" s="50">
        <f>SUMIFS(LS[BO UNIT TRANSFER],LS[Investor ID],INVESTORS_LIST[[#This Row],[INVESTOR CODE]],LS[B/S],"B")</f>
        <v>0</v>
      </c>
      <c r="W73" s="50">
        <f>SUMIFS(SIP[BO UNIT TRANSFER],SIP[Investor ID],INVESTORS_LIST[[#This Row],[INVESTOR CODE]],SIP[B/S],"B")</f>
        <v>0</v>
      </c>
      <c r="X73" s="50">
        <f>SUMIFS(LS[BO UNIT TRANSFER],LS[Investor ID],INVESTORS_LIST[[#This Row],[INVESTOR CODE]],LS[B/S],"S")</f>
        <v>0</v>
      </c>
      <c r="Y73" s="50">
        <f>SUMIFS(SIP[BO UNIT TRANSFER],SIP[Investor ID],INVESTORS_LIST[[#This Row],[INVESTOR CODE]],SIP[B/S],"S")</f>
        <v>0</v>
      </c>
      <c r="Z73" s="106">
        <f>SUM(INVESTORS_LIST[[#This Row],[BO OPENING BALANCE]:[BO SIP UNITS REPURCHASE]])</f>
        <v>88778</v>
      </c>
      <c r="AA73" s="107">
        <f>INVESTORS_LIST[[#This Row],[TOTAL UNITS BUY]]-INVESTORS_LIST[[#This Row],[TOTAL UNITS SOLD]]</f>
        <v>0</v>
      </c>
      <c r="AB73" s="107">
        <f>INVESTORS_LIST[[#This Row],[TOTAL CURRENT UNITS]]-INVESTORS_LIST[[#This Row],[BO UNITS HOLD]]</f>
        <v>-88778</v>
      </c>
      <c r="AC73" s="201" t="e">
        <f>INDEX([3]!Table_1[BO ID],MATCH(INVESTORS_LIST[[#This Row],[INVESTOR CODE]],[3]!Table_1[INVESTOR CODE],0))</f>
        <v>#REF!</v>
      </c>
      <c r="AD73" s="201" t="e">
        <f>INDEX([3]!Table_1[Brokerage Name2],MATCH(INVESTORS_LIST[[#This Row],[INVESTOR CODE]],[3]!Table_1[INVESTOR CODE],0))</f>
        <v>#REF!</v>
      </c>
      <c r="AE73" s="201" t="e">
        <f>MID(INVESTORS_LIST[[#This Row],[BO ID]],4,5)</f>
        <v>#REF!</v>
      </c>
      <c r="AF73" s="201" t="e">
        <f>MID(INVESTORS_LIST[[#This Row],[BO ID]],2,7)</f>
        <v>#REF!</v>
      </c>
      <c r="AG73" s="201" t="e">
        <f>MID(INVESTORS_LIST[[#This Row],[BO ID]],9,7)</f>
        <v>#REF!</v>
      </c>
      <c r="AH73" s="201" t="e">
        <f>RIGHT(INVESTORS_LIST[[#This Row],[BO ID]],1)</f>
        <v>#REF!</v>
      </c>
      <c r="AI73" s="50">
        <f>INVESTORS_LIST[[#This Row],[LS_TOTAL COST VALUE OF CURRENT UNITS]]+INVESTORS_LIST[[#This Row],[SIP_TOTAL COST VALUE OF CURRENT UNITS]]</f>
        <v>0</v>
      </c>
      <c r="AJ73" s="109">
        <f>IF(INVESTORS_LIST[[#This Row],[TOTAL CURRENT UNITS]]=0,0,INVESTORS_LIST[[#This Row],[LS_TOTAL CURRENT UNITS]]/INVESTORS_LIST[[#This Row],[TOTAL CURRENT UNITS]])</f>
        <v>0</v>
      </c>
      <c r="AK73" s="109">
        <f>IF(INVESTORS_LIST[[#This Row],[TOTAL CURRENT UNITS]]=0,0,INVESTORS_LIST[[#This Row],[SIP_TOTAL CURRENT UNITS]]/INVESTORS_LIST[[#This Row],[TOTAL CURRENT UNITS]])</f>
        <v>0</v>
      </c>
      <c r="AL73" s="49" cm="1">
        <f t="array" ref="AL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3" s="49" cm="1">
        <f t="array" ref="AM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3" s="105">
        <f t="shared" si="2"/>
        <v>14.224</v>
      </c>
      <c r="AP73" s="112">
        <f>IF(INVESTORS_LIST[[#This Row],[TOTAL CURRENT UNITS]]=0,0,INVESTORS_LIST[[#This Row],[TOTAL CURRENT UNITS]]*INVESTORS_LIST[[#This Row],[NAV]])</f>
        <v>0</v>
      </c>
      <c r="AQ73" s="49">
        <f>IF(INVESTORS_LIST[[#This Row],[LS_TOTAL CURRENT UNITS]]=0,0,INVESTORS_LIST[[#This Row],[LS_TOTAL CURRENT UNITS]]*INVESTORS_LIST[[#This Row],[NAV]])</f>
        <v>0</v>
      </c>
      <c r="AR73" s="48">
        <f>IF(INVESTORS_LIST[[#This Row],[SIP_TOTAL CURRENT UNITS]]=0,0,INVESTORS_LIST[[#This Row],[SIP_TOTAL CURRENT UNITS]]*INVESTORS_LIST[[#This Row],[NAV]])</f>
        <v>0</v>
      </c>
      <c r="AS73" s="50">
        <f>INVESTORS_LIST[[#This Row],[TOTAL CURRENT UNITS]]</f>
        <v>0</v>
      </c>
      <c r="AT73" s="48">
        <f>IF(INVESTORS_LIST[[#This Row],[TOTAL SELLABLE UNITS]]=0,0,INVESTORS_LIST[[#This Row],[TOTAL SELLABLE UNITS]]*INVESTORS_LIST[[#This Row],[NAV]])</f>
        <v>0</v>
      </c>
      <c r="AU73" s="48">
        <f>INVESTORS_LIST[[#This Row],[LS_TOTAL REALIZED GAIN]]+INVESTORS_LIST[[#This Row],[SIP_TOTAL REALIZED GAIN]]</f>
        <v>56474.66</v>
      </c>
      <c r="AV73" s="48">
        <f>INVESTORS_LIST[[#This Row],[TOTAL MARKET VALUE]]-INVESTORS_LIST[[#This Row],[TOTAL COST VALUE OF CURRENT INVESTMENT]]</f>
        <v>0</v>
      </c>
      <c r="AW73" s="48">
        <f>IFERROR(INVESTORS_LIST[[#This Row],[TOTAL CURRENT UNITS]]/SUM(INVESTORS_LIST[TOTAL CURRENT UNITS]),0)</f>
        <v>0</v>
      </c>
    </row>
    <row r="74" spans="1:49">
      <c r="A74" s="262" t="s">
        <v>195</v>
      </c>
      <c r="B74" s="97" t="s">
        <v>196</v>
      </c>
      <c r="C74" t="s">
        <v>44</v>
      </c>
      <c r="D74" s="75" t="s">
        <v>45</v>
      </c>
      <c r="E74" s="47">
        <f>SUMIFS(LS[Unit],LS[Investor ID],INVESTORS_LIST[[#This Row],[INVESTOR CODE]],LS[B/S],"B")</f>
        <v>920994</v>
      </c>
      <c r="F74" s="47">
        <f>-SUMIFS(LS[Unit],LS[Investor ID],INVESTORS_LIST[[#This Row],[INVESTOR CODE]],LS[B/S],"S")</f>
        <v>515939</v>
      </c>
      <c r="G74" s="47">
        <f>IF(INVESTORS_LIST[[#This Row],[LS_TOTAL UNITS BUY]]=0,0,INVESTORS_LIST[[#This Row],[LS_TOTAL UNITS BUY]]-INVESTORS_LIST[[#This Row],[LS_TOTAL UNITS SOLD]])</f>
        <v>405055</v>
      </c>
      <c r="H74" s="49">
        <f>IF(INVESTORS_LIST[[#This Row],[LS_TOTAL UNITS BUY]]=0,0,SUMIFS(LS[Amount],LS[Investor ID],INVESTORS_LIST[[#This Row],[INVESTOR CODE]],LS[B/S],"B"))</f>
        <v>11000000</v>
      </c>
      <c r="I74" s="48">
        <f>IF(INVESTORS_LIST[[#This Row],[LS_TOTAL UNITS SOLD]]=0,0,SUMIFS(LS[Cost of Units Sold],LS[Investor ID],INVESTORS_LIST[[#This Row],[INVESTOR CODE]],LS[B/S],"S"))</f>
        <v>6000000</v>
      </c>
      <c r="J74" s="48">
        <f>IF(INVESTORS_LIST[[#This Row],[LS_TOTAL CURRENT UNITS]]=0,0,INVESTORS_LIST[[#This Row],[LS_TOTAL CURRENT UNITS]]*INVESTORS_LIST[[#This Row],[LS_AVERAGE COST]])</f>
        <v>5000000</v>
      </c>
      <c r="K74" s="49">
        <f>IF(INVESTORS_LIST[[#This Row],[LS_TOTAL UNITS SOLD]]=0,0,SUMIFS(LS[Realized Gain],LS[Investor ID],INVESTORS_LIST[[#This Row],[INVESTOR CODE]],LS[B/S],"S"))</f>
        <v>526112.42000000086</v>
      </c>
      <c r="L74" s="47">
        <f>SUMIFS(SIP[Unit],SIP[Investor ID],INVESTORS_LIST[[#This Row],[INVESTOR CODE]],SIP[B/S],"B")</f>
        <v>0</v>
      </c>
      <c r="M74" s="47">
        <f>-SUMIFS(SIP[Unit],SIP[Investor ID],INVESTORS_LIST[[#This Row],[INVESTOR CODE]],SIP[B/S],"S")</f>
        <v>0</v>
      </c>
      <c r="N74" s="50">
        <f>IF(INVESTORS_LIST[[#This Row],[SIP_TOTAL UNITS BUY]]=0,0,INVESTORS_LIST[[#This Row],[SIP_TOTAL UNITS BUY]]-INVESTORS_LIST[[#This Row],[SIP_TOTAL UNITS SOLD]])</f>
        <v>0</v>
      </c>
      <c r="O74" s="49">
        <f>IF(INVESTORS_LIST[[#This Row],[SIP_TOTAL UNITS BUY]]=0,0,SUMIFS(SIP[Amount],SIP[Investor ID],INVESTORS_LIST[[#This Row],[INVESTOR CODE]],SIP[B/S],"B"))</f>
        <v>0</v>
      </c>
      <c r="P74" s="49">
        <f>IF(INVESTORS_LIST[[#This Row],[SIP_TOTAL UNITS SOLD]]=0,0,SUMIFS(SIP[Cost of Units Sold],SIP[Investor ID],INVESTORS_LIST[[#This Row],[INVESTOR CODE]],SIP[B/S],"S"))</f>
        <v>0</v>
      </c>
      <c r="Q74" s="48">
        <f>IF(INVESTORS_LIST[[#This Row],[SIP_TOTAL CURRENT UNITS]]=0,0,INVESTORS_LIST[[#This Row],[SIP_TOTAL CURRENT UNITS]]*INVESTORS_LIST[[#This Row],[SIP_AVERAGE COST]])</f>
        <v>0</v>
      </c>
      <c r="R74" s="48">
        <f>IF(INVESTORS_LIST[[#This Row],[SIP_TOTAL UNITS SOLD]]=0,0,SUMIFS(SIP[Realized Gain],SIP[Investor ID],INVESTORS_LIST[[#This Row],[INVESTOR CODE]],SIP[B/S],"S"))</f>
        <v>0</v>
      </c>
      <c r="S74" s="50">
        <f>INVESTORS_LIST[[#This Row],[LS_TOTAL UNITS BUY]]+INVESTORS_LIST[[#This Row],[SIP_TOTAL UNITS BUY]]</f>
        <v>920994</v>
      </c>
      <c r="T74" s="50">
        <f>INVESTORS_LIST[[#This Row],[LS_TOTAL UNITS SOLD]]+INVESTORS_LIST[[#This Row],[SIP_TOTAL UNITS SOLD]]</f>
        <v>515939</v>
      </c>
      <c r="U74" s="50"/>
      <c r="V74" s="50">
        <f>SUMIFS(LS[BO UNIT TRANSFER],LS[Investor ID],INVESTORS_LIST[[#This Row],[INVESTOR CODE]],LS[B/S],"B")</f>
        <v>0</v>
      </c>
      <c r="W74" s="50">
        <f>SUMIFS(SIP[BO UNIT TRANSFER],SIP[Investor ID],INVESTORS_LIST[[#This Row],[INVESTOR CODE]],SIP[B/S],"B")</f>
        <v>0</v>
      </c>
      <c r="X74" s="50">
        <f>SUMIFS(LS[BO UNIT TRANSFER],LS[Investor ID],INVESTORS_LIST[[#This Row],[INVESTOR CODE]],LS[B/S],"S")</f>
        <v>0</v>
      </c>
      <c r="Y74" s="50">
        <f>SUMIFS(SIP[BO UNIT TRANSFER],SIP[Investor ID],INVESTORS_LIST[[#This Row],[INVESTOR CODE]],SIP[B/S],"S")</f>
        <v>0</v>
      </c>
      <c r="Z74" s="106">
        <f>SUM(INVESTORS_LIST[[#This Row],[BO OPENING BALANCE]:[BO SIP UNITS REPURCHASE]])</f>
        <v>0</v>
      </c>
      <c r="AA74" s="107">
        <f>INVESTORS_LIST[[#This Row],[TOTAL UNITS BUY]]-INVESTORS_LIST[[#This Row],[TOTAL UNITS SOLD]]</f>
        <v>405055</v>
      </c>
      <c r="AB74" s="107">
        <f>INVESTORS_LIST[[#This Row],[TOTAL CURRENT UNITS]]-INVESTORS_LIST[[#This Row],[BO UNITS HOLD]]</f>
        <v>405055</v>
      </c>
      <c r="AC74" s="201" t="e">
        <f>INDEX([3]!Table_1[BO ID],MATCH(INVESTORS_LIST[[#This Row],[INVESTOR CODE]],[3]!Table_1[INVESTOR CODE],0))</f>
        <v>#REF!</v>
      </c>
      <c r="AD74" s="201" t="e">
        <f>INDEX([3]!Table_1[Brokerage Name2],MATCH(INVESTORS_LIST[[#This Row],[INVESTOR CODE]],[3]!Table_1[INVESTOR CODE],0))</f>
        <v>#REF!</v>
      </c>
      <c r="AE74" s="201" t="e">
        <f>MID(INVESTORS_LIST[[#This Row],[BO ID]],4,5)</f>
        <v>#REF!</v>
      </c>
      <c r="AF74" s="201" t="e">
        <f>MID(INVESTORS_LIST[[#This Row],[BO ID]],2,7)</f>
        <v>#REF!</v>
      </c>
      <c r="AG74" s="201" t="e">
        <f>MID(INVESTORS_LIST[[#This Row],[BO ID]],9,7)</f>
        <v>#REF!</v>
      </c>
      <c r="AH74" s="201" t="e">
        <f>RIGHT(INVESTORS_LIST[[#This Row],[BO ID]],1)</f>
        <v>#REF!</v>
      </c>
      <c r="AI74" s="50">
        <f>INVESTORS_LIST[[#This Row],[LS_TOTAL COST VALUE OF CURRENT UNITS]]+INVESTORS_LIST[[#This Row],[SIP_TOTAL COST VALUE OF CURRENT UNITS]]</f>
        <v>5000000</v>
      </c>
      <c r="AJ74" s="109">
        <f>IF(INVESTORS_LIST[[#This Row],[TOTAL CURRENT UNITS]]=0,0,INVESTORS_LIST[[#This Row],[LS_TOTAL CURRENT UNITS]]/INVESTORS_LIST[[#This Row],[TOTAL CURRENT UNITS]])</f>
        <v>1</v>
      </c>
      <c r="AK74" s="109">
        <f>IF(INVESTORS_LIST[[#This Row],[TOTAL CURRENT UNITS]]=0,0,INVESTORS_LIST[[#This Row],[SIP_TOTAL CURRENT UNITS]]/INVESTORS_LIST[[#This Row],[TOTAL CURRENT UNITS]])</f>
        <v>0</v>
      </c>
      <c r="AL74" s="49" cm="1">
        <f t="array" ref="AL74">IF(INVESTORS_LIST[[#This Row],[LS_TOTAL UNITS BUY]]&gt;0,INDEX(LS[NAV at Cost (Average)],MATCH(CONCATENATE(COUNTIFS(LS[Investor ID],INVESTORS_LIST[[#This Row],[INVESTOR CODE]]),INVESTORS_LIST[[#This Row],[INVESTOR CODE]]),LS[Unique Code],0),),0)</f>
        <v>12.344002666304576</v>
      </c>
      <c r="AM74" s="49" cm="1">
        <f t="array" ref="AM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4" s="105">
        <f>IF(INVESTORS_LIST[[#This Row],[TOTAL CURRENT UNITS]]=0,0,(INVESTORS_LIST[[#This Row],[LS_WEIGHT]]*INVESTORS_LIST[[#This Row],[LS_AVERAGE COST]])+(INVESTORS_LIST[[#This Row],[SIP_WEIGHT]]*INVESTORS_LIST[[#This Row],[SIP_AVERAGE COST]]))</f>
        <v>12.344002666304576</v>
      </c>
      <c r="AO74" s="105">
        <f t="shared" si="2"/>
        <v>14.224</v>
      </c>
      <c r="AP74" s="112">
        <f>IF(INVESTORS_LIST[[#This Row],[TOTAL CURRENT UNITS]]=0,0,INVESTORS_LIST[[#This Row],[TOTAL CURRENT UNITS]]*INVESTORS_LIST[[#This Row],[NAV]])</f>
        <v>5761502.3200000003</v>
      </c>
      <c r="AQ74" s="49">
        <f>IF(INVESTORS_LIST[[#This Row],[LS_TOTAL CURRENT UNITS]]=0,0,INVESTORS_LIST[[#This Row],[LS_TOTAL CURRENT UNITS]]*INVESTORS_LIST[[#This Row],[NAV]])</f>
        <v>5761502.3200000003</v>
      </c>
      <c r="AR74" s="48">
        <f>IF(INVESTORS_LIST[[#This Row],[SIP_TOTAL CURRENT UNITS]]=0,0,INVESTORS_LIST[[#This Row],[SIP_TOTAL CURRENT UNITS]]*INVESTORS_LIST[[#This Row],[NAV]])</f>
        <v>0</v>
      </c>
      <c r="AS74" s="50">
        <f>INVESTORS_LIST[[#This Row],[TOTAL CURRENT UNITS]]</f>
        <v>405055</v>
      </c>
      <c r="AT74" s="48">
        <f>IF(INVESTORS_LIST[[#This Row],[TOTAL SELLABLE UNITS]]=0,0,INVESTORS_LIST[[#This Row],[TOTAL SELLABLE UNITS]]*INVESTORS_LIST[[#This Row],[NAV]])</f>
        <v>5761502.3200000003</v>
      </c>
      <c r="AU74" s="48">
        <f>INVESTORS_LIST[[#This Row],[LS_TOTAL REALIZED GAIN]]+INVESTORS_LIST[[#This Row],[SIP_TOTAL REALIZED GAIN]]</f>
        <v>526112.42000000086</v>
      </c>
      <c r="AV74" s="48">
        <f>INVESTORS_LIST[[#This Row],[TOTAL MARKET VALUE]]-INVESTORS_LIST[[#This Row],[TOTAL COST VALUE OF CURRENT INVESTMENT]]</f>
        <v>761502.3200000003</v>
      </c>
      <c r="AW74" s="48">
        <f>IFERROR(INVESTORS_LIST[[#This Row],[TOTAL CURRENT UNITS]]/SUM(INVESTORS_LIST[TOTAL CURRENT UNITS]),0)</f>
        <v>9.8331993893562668E-3</v>
      </c>
    </row>
    <row r="75" spans="1:49" hidden="1">
      <c r="A75" s="262" t="s">
        <v>197</v>
      </c>
      <c r="B75" s="97" t="s">
        <v>198</v>
      </c>
      <c r="C75" t="s">
        <v>48</v>
      </c>
      <c r="D75" s="75" t="s">
        <v>49</v>
      </c>
      <c r="E75" s="47">
        <f>SUMIFS(LS[Unit],LS[Investor ID],INVESTORS_LIST[[#This Row],[INVESTOR CODE]],LS[B/S],"B")</f>
        <v>0</v>
      </c>
      <c r="F75" s="47">
        <f>-SUMIFS(LS[Unit],LS[Investor ID],INVESTORS_LIST[[#This Row],[INVESTOR CODE]],LS[B/S],"S")</f>
        <v>0</v>
      </c>
      <c r="G75" s="47">
        <f>IF(INVESTORS_LIST[[#This Row],[LS_TOTAL UNITS BUY]]=0,0,INVESTORS_LIST[[#This Row],[LS_TOTAL UNITS BUY]]-INVESTORS_LIST[[#This Row],[LS_TOTAL UNITS SOLD]])</f>
        <v>0</v>
      </c>
      <c r="H75" s="49">
        <f>IF(INVESTORS_LIST[[#This Row],[LS_TOTAL UNITS BUY]]=0,0,SUMIFS(LS[Amount],LS[Investor ID],INVESTORS_LIST[[#This Row],[INVESTOR CODE]],LS[B/S],"B"))</f>
        <v>0</v>
      </c>
      <c r="I75" s="48">
        <f>IF(INVESTORS_LIST[[#This Row],[LS_TOTAL UNITS SOLD]]=0,0,SUMIFS(LS[Cost of Units Sold],LS[Investor ID],INVESTORS_LIST[[#This Row],[INVESTOR CODE]],LS[B/S],"S"))</f>
        <v>0</v>
      </c>
      <c r="J75" s="48">
        <f>IF(INVESTORS_LIST[[#This Row],[LS_TOTAL CURRENT UNITS]]=0,0,INVESTORS_LIST[[#This Row],[LS_TOTAL CURRENT UNITS]]*INVESTORS_LIST[[#This Row],[LS_AVERAGE COST]])</f>
        <v>0</v>
      </c>
      <c r="K75" s="49">
        <f>IF(INVESTORS_LIST[[#This Row],[LS_TOTAL UNITS SOLD]]=0,0,SUMIFS(LS[Realized Gain],LS[Investor ID],INVESTORS_LIST[[#This Row],[INVESTOR CODE]],LS[B/S],"S"))</f>
        <v>0</v>
      </c>
      <c r="L75" s="47">
        <f>SUMIFS(SIP[Unit],SIP[Investor ID],INVESTORS_LIST[[#This Row],[INVESTOR CODE]],SIP[B/S],"B")</f>
        <v>0</v>
      </c>
      <c r="M75" s="47">
        <f>-SUMIFS(SIP[Unit],SIP[Investor ID],INVESTORS_LIST[[#This Row],[INVESTOR CODE]],SIP[B/S],"S")</f>
        <v>0</v>
      </c>
      <c r="N75" s="50">
        <f>IF(INVESTORS_LIST[[#This Row],[SIP_TOTAL UNITS BUY]]=0,0,INVESTORS_LIST[[#This Row],[SIP_TOTAL UNITS BUY]]-INVESTORS_LIST[[#This Row],[SIP_TOTAL UNITS SOLD]])</f>
        <v>0</v>
      </c>
      <c r="O75" s="49">
        <f>IF(INVESTORS_LIST[[#This Row],[SIP_TOTAL UNITS BUY]]=0,0,SUMIFS(SIP[Amount],SIP[Investor ID],INVESTORS_LIST[[#This Row],[INVESTOR CODE]],SIP[B/S],"B"))</f>
        <v>0</v>
      </c>
      <c r="P75" s="49">
        <f>IF(INVESTORS_LIST[[#This Row],[SIP_TOTAL UNITS SOLD]]=0,0,SUMIFS(SIP[Cost of Units Sold],SIP[Investor ID],INVESTORS_LIST[[#This Row],[INVESTOR CODE]],SIP[B/S],"S"))</f>
        <v>0</v>
      </c>
      <c r="Q75" s="48">
        <f>IF(INVESTORS_LIST[[#This Row],[SIP_TOTAL CURRENT UNITS]]=0,0,INVESTORS_LIST[[#This Row],[SIP_TOTAL CURRENT UNITS]]*INVESTORS_LIST[[#This Row],[SIP_AVERAGE COST]])</f>
        <v>0</v>
      </c>
      <c r="R75" s="48">
        <f>IF(INVESTORS_LIST[[#This Row],[SIP_TOTAL UNITS SOLD]]=0,0,SUMIFS(SIP[Realized Gain],SIP[Investor ID],INVESTORS_LIST[[#This Row],[INVESTOR CODE]],SIP[B/S],"S"))</f>
        <v>0</v>
      </c>
      <c r="S75" s="50">
        <f>INVESTORS_LIST[[#This Row],[LS_TOTAL UNITS BUY]]+INVESTORS_LIST[[#This Row],[SIP_TOTAL UNITS BUY]]</f>
        <v>0</v>
      </c>
      <c r="T75" s="50">
        <f>INVESTORS_LIST[[#This Row],[LS_TOTAL UNITS SOLD]]+INVESTORS_LIST[[#This Row],[SIP_TOTAL UNITS SOLD]]</f>
        <v>0</v>
      </c>
      <c r="U75" s="50"/>
      <c r="V75" s="50">
        <f>SUMIFS(LS[BO UNIT TRANSFER],LS[Investor ID],INVESTORS_LIST[[#This Row],[INVESTOR CODE]],LS[B/S],"B")</f>
        <v>0</v>
      </c>
      <c r="W75" s="50">
        <f>SUMIFS(SIP[BO UNIT TRANSFER],SIP[Investor ID],INVESTORS_LIST[[#This Row],[INVESTOR CODE]],SIP[B/S],"B")</f>
        <v>0</v>
      </c>
      <c r="X75" s="50">
        <f>SUMIFS(LS[BO UNIT TRANSFER],LS[Investor ID],INVESTORS_LIST[[#This Row],[INVESTOR CODE]],LS[B/S],"S")</f>
        <v>0</v>
      </c>
      <c r="Y75" s="50">
        <f>SUMIFS(SIP[BO UNIT TRANSFER],SIP[Investor ID],INVESTORS_LIST[[#This Row],[INVESTOR CODE]],SIP[B/S],"S")</f>
        <v>0</v>
      </c>
      <c r="Z75" s="106">
        <f>SUM(INVESTORS_LIST[[#This Row],[BO OPENING BALANCE]:[BO SIP UNITS REPURCHASE]])</f>
        <v>0</v>
      </c>
      <c r="AA75" s="107">
        <f>INVESTORS_LIST[[#This Row],[TOTAL UNITS BUY]]-INVESTORS_LIST[[#This Row],[TOTAL UNITS SOLD]]</f>
        <v>0</v>
      </c>
      <c r="AB75" s="107">
        <f>INVESTORS_LIST[[#This Row],[TOTAL CURRENT UNITS]]-INVESTORS_LIST[[#This Row],[BO UNITS HOLD]]</f>
        <v>0</v>
      </c>
      <c r="AC75" s="201" t="e">
        <f>INDEX([3]!Table_1[BO ID],MATCH(INVESTORS_LIST[[#This Row],[INVESTOR CODE]],[3]!Table_1[INVESTOR CODE],0))</f>
        <v>#REF!</v>
      </c>
      <c r="AD75" s="201" t="e">
        <f>INDEX([3]!Table_1[Brokerage Name2],MATCH(INVESTORS_LIST[[#This Row],[INVESTOR CODE]],[3]!Table_1[INVESTOR CODE],0))</f>
        <v>#REF!</v>
      </c>
      <c r="AE75" s="201" t="e">
        <f>MID(INVESTORS_LIST[[#This Row],[BO ID]],4,5)</f>
        <v>#REF!</v>
      </c>
      <c r="AF75" s="201" t="e">
        <f>MID(INVESTORS_LIST[[#This Row],[BO ID]],2,7)</f>
        <v>#REF!</v>
      </c>
      <c r="AG75" s="201" t="e">
        <f>MID(INVESTORS_LIST[[#This Row],[BO ID]],9,7)</f>
        <v>#REF!</v>
      </c>
      <c r="AH75" s="201" t="e">
        <f>RIGHT(INVESTORS_LIST[[#This Row],[BO ID]],1)</f>
        <v>#REF!</v>
      </c>
      <c r="AI75" s="50">
        <f>INVESTORS_LIST[[#This Row],[LS_TOTAL COST VALUE OF CURRENT UNITS]]+INVESTORS_LIST[[#This Row],[SIP_TOTAL COST VALUE OF CURRENT UNITS]]</f>
        <v>0</v>
      </c>
      <c r="AJ75" s="109">
        <f>IF(INVESTORS_LIST[[#This Row],[TOTAL CURRENT UNITS]]=0,0,INVESTORS_LIST[[#This Row],[LS_TOTAL CURRENT UNITS]]/INVESTORS_LIST[[#This Row],[TOTAL CURRENT UNITS]])</f>
        <v>0</v>
      </c>
      <c r="AK75" s="109">
        <f>IF(INVESTORS_LIST[[#This Row],[TOTAL CURRENT UNITS]]=0,0,INVESTORS_LIST[[#This Row],[SIP_TOTAL CURRENT UNITS]]/INVESTORS_LIST[[#This Row],[TOTAL CURRENT UNITS]])</f>
        <v>0</v>
      </c>
      <c r="AL75" s="49" cm="1">
        <f t="array" ref="AL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5" s="49" cm="1">
        <f t="array" ref="AM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5" s="105">
        <f t="shared" si="2"/>
        <v>14.224</v>
      </c>
      <c r="AP75" s="112">
        <f>IF(INVESTORS_LIST[[#This Row],[TOTAL CURRENT UNITS]]=0,0,INVESTORS_LIST[[#This Row],[TOTAL CURRENT UNITS]]*INVESTORS_LIST[[#This Row],[NAV]])</f>
        <v>0</v>
      </c>
      <c r="AQ75" s="49">
        <f>IF(INVESTORS_LIST[[#This Row],[LS_TOTAL CURRENT UNITS]]=0,0,INVESTORS_LIST[[#This Row],[LS_TOTAL CURRENT UNITS]]*INVESTORS_LIST[[#This Row],[NAV]])</f>
        <v>0</v>
      </c>
      <c r="AR75" s="48">
        <f>IF(INVESTORS_LIST[[#This Row],[SIP_TOTAL CURRENT UNITS]]=0,0,INVESTORS_LIST[[#This Row],[SIP_TOTAL CURRENT UNITS]]*INVESTORS_LIST[[#This Row],[NAV]])</f>
        <v>0</v>
      </c>
      <c r="AS75" s="50">
        <f>INVESTORS_LIST[[#This Row],[TOTAL CURRENT UNITS]]</f>
        <v>0</v>
      </c>
      <c r="AT75" s="48">
        <f>IF(INVESTORS_LIST[[#This Row],[TOTAL SELLABLE UNITS]]=0,0,INVESTORS_LIST[[#This Row],[TOTAL SELLABLE UNITS]]*INVESTORS_LIST[[#This Row],[NAV]])</f>
        <v>0</v>
      </c>
      <c r="AU75" s="48">
        <f>INVESTORS_LIST[[#This Row],[LS_TOTAL REALIZED GAIN]]+INVESTORS_LIST[[#This Row],[SIP_TOTAL REALIZED GAIN]]</f>
        <v>0</v>
      </c>
      <c r="AV75" s="48">
        <f>INVESTORS_LIST[[#This Row],[TOTAL MARKET VALUE]]-INVESTORS_LIST[[#This Row],[TOTAL COST VALUE OF CURRENT INVESTMENT]]</f>
        <v>0</v>
      </c>
      <c r="AW75" s="48">
        <f>IFERROR(INVESTORS_LIST[[#This Row],[TOTAL CURRENT UNITS]]/SUM(INVESTORS_LIST[TOTAL CURRENT UNITS]),0)</f>
        <v>0</v>
      </c>
    </row>
    <row r="76" spans="1:49" hidden="1">
      <c r="A76" s="262" t="s">
        <v>199</v>
      </c>
      <c r="B76" s="97" t="s">
        <v>200</v>
      </c>
      <c r="C76" t="s">
        <v>44</v>
      </c>
      <c r="D76" s="75" t="s">
        <v>45</v>
      </c>
      <c r="E76" s="47">
        <f>SUMIFS(LS[Unit],LS[Investor ID],INVESTORS_LIST[[#This Row],[INVESTOR CODE]],LS[B/S],"B")</f>
        <v>0</v>
      </c>
      <c r="F76" s="47">
        <f>-SUMIFS(LS[Unit],LS[Investor ID],INVESTORS_LIST[[#This Row],[INVESTOR CODE]],LS[B/S],"S")</f>
        <v>0</v>
      </c>
      <c r="G76" s="47">
        <f>IF(INVESTORS_LIST[[#This Row],[LS_TOTAL UNITS BUY]]=0,0,INVESTORS_LIST[[#This Row],[LS_TOTAL UNITS BUY]]-INVESTORS_LIST[[#This Row],[LS_TOTAL UNITS SOLD]])</f>
        <v>0</v>
      </c>
      <c r="H76" s="49">
        <f>IF(INVESTORS_LIST[[#This Row],[LS_TOTAL UNITS BUY]]=0,0,SUMIFS(LS[Amount],LS[Investor ID],INVESTORS_LIST[[#This Row],[INVESTOR CODE]],LS[B/S],"B"))</f>
        <v>0</v>
      </c>
      <c r="I76" s="48">
        <f>IF(INVESTORS_LIST[[#This Row],[LS_TOTAL UNITS SOLD]]=0,0,SUMIFS(LS[Cost of Units Sold],LS[Investor ID],INVESTORS_LIST[[#This Row],[INVESTOR CODE]],LS[B/S],"S"))</f>
        <v>0</v>
      </c>
      <c r="J76" s="48">
        <f>IF(INVESTORS_LIST[[#This Row],[LS_TOTAL CURRENT UNITS]]=0,0,INVESTORS_LIST[[#This Row],[LS_TOTAL CURRENT UNITS]]*INVESTORS_LIST[[#This Row],[LS_AVERAGE COST]])</f>
        <v>0</v>
      </c>
      <c r="K76" s="49">
        <f>IF(INVESTORS_LIST[[#This Row],[LS_TOTAL UNITS SOLD]]=0,0,SUMIFS(LS[Realized Gain],LS[Investor ID],INVESTORS_LIST[[#This Row],[INVESTOR CODE]],LS[B/S],"S"))</f>
        <v>0</v>
      </c>
      <c r="L76" s="47">
        <f>SUMIFS(SIP[Unit],SIP[Investor ID],INVESTORS_LIST[[#This Row],[INVESTOR CODE]],SIP[B/S],"B")</f>
        <v>0</v>
      </c>
      <c r="M76" s="47">
        <f>-SUMIFS(SIP[Unit],SIP[Investor ID],INVESTORS_LIST[[#This Row],[INVESTOR CODE]],SIP[B/S],"S")</f>
        <v>0</v>
      </c>
      <c r="N76" s="50">
        <f>IF(INVESTORS_LIST[[#This Row],[SIP_TOTAL UNITS BUY]]=0,0,INVESTORS_LIST[[#This Row],[SIP_TOTAL UNITS BUY]]-INVESTORS_LIST[[#This Row],[SIP_TOTAL UNITS SOLD]])</f>
        <v>0</v>
      </c>
      <c r="O76" s="49">
        <f>IF(INVESTORS_LIST[[#This Row],[SIP_TOTAL UNITS BUY]]=0,0,SUMIFS(SIP[Amount],SIP[Investor ID],INVESTORS_LIST[[#This Row],[INVESTOR CODE]],SIP[B/S],"B"))</f>
        <v>0</v>
      </c>
      <c r="P76" s="49">
        <f>IF(INVESTORS_LIST[[#This Row],[SIP_TOTAL UNITS SOLD]]=0,0,SUMIFS(SIP[Cost of Units Sold],SIP[Investor ID],INVESTORS_LIST[[#This Row],[INVESTOR CODE]],SIP[B/S],"S"))</f>
        <v>0</v>
      </c>
      <c r="Q76" s="48">
        <f>IF(INVESTORS_LIST[[#This Row],[SIP_TOTAL CURRENT UNITS]]=0,0,INVESTORS_LIST[[#This Row],[SIP_TOTAL CURRENT UNITS]]*INVESTORS_LIST[[#This Row],[SIP_AVERAGE COST]])</f>
        <v>0</v>
      </c>
      <c r="R76" s="48">
        <f>IF(INVESTORS_LIST[[#This Row],[SIP_TOTAL UNITS SOLD]]=0,0,SUMIFS(SIP[Realized Gain],SIP[Investor ID],INVESTORS_LIST[[#This Row],[INVESTOR CODE]],SIP[B/S],"S"))</f>
        <v>0</v>
      </c>
      <c r="S76" s="50">
        <f>INVESTORS_LIST[[#This Row],[LS_TOTAL UNITS BUY]]+INVESTORS_LIST[[#This Row],[SIP_TOTAL UNITS BUY]]</f>
        <v>0</v>
      </c>
      <c r="T76" s="50">
        <f>INVESTORS_LIST[[#This Row],[LS_TOTAL UNITS SOLD]]+INVESTORS_LIST[[#This Row],[SIP_TOTAL UNITS SOLD]]</f>
        <v>0</v>
      </c>
      <c r="U76" s="50"/>
      <c r="V76" s="50">
        <f>SUMIFS(LS[BO UNIT TRANSFER],LS[Investor ID],INVESTORS_LIST[[#This Row],[INVESTOR CODE]],LS[B/S],"B")</f>
        <v>0</v>
      </c>
      <c r="W76" s="50">
        <f>SUMIFS(SIP[BO UNIT TRANSFER],SIP[Investor ID],INVESTORS_LIST[[#This Row],[INVESTOR CODE]],SIP[B/S],"B")</f>
        <v>0</v>
      </c>
      <c r="X76" s="50">
        <f>SUMIFS(LS[BO UNIT TRANSFER],LS[Investor ID],INVESTORS_LIST[[#This Row],[INVESTOR CODE]],LS[B/S],"S")</f>
        <v>0</v>
      </c>
      <c r="Y76" s="50">
        <f>SUMIFS(SIP[BO UNIT TRANSFER],SIP[Investor ID],INVESTORS_LIST[[#This Row],[INVESTOR CODE]],SIP[B/S],"S")</f>
        <v>0</v>
      </c>
      <c r="Z76" s="106">
        <f>SUM(INVESTORS_LIST[[#This Row],[BO OPENING BALANCE]:[BO SIP UNITS REPURCHASE]])</f>
        <v>0</v>
      </c>
      <c r="AA76" s="107">
        <f>INVESTORS_LIST[[#This Row],[TOTAL UNITS BUY]]-INVESTORS_LIST[[#This Row],[TOTAL UNITS SOLD]]</f>
        <v>0</v>
      </c>
      <c r="AB76" s="107">
        <f>INVESTORS_LIST[[#This Row],[TOTAL CURRENT UNITS]]-INVESTORS_LIST[[#This Row],[BO UNITS HOLD]]</f>
        <v>0</v>
      </c>
      <c r="AC76" s="201" t="e">
        <f>INDEX([3]!Table_1[BO ID],MATCH(INVESTORS_LIST[[#This Row],[INVESTOR CODE]],[3]!Table_1[INVESTOR CODE],0))</f>
        <v>#REF!</v>
      </c>
      <c r="AD76" s="201" t="e">
        <f>INDEX([3]!Table_1[Brokerage Name2],MATCH(INVESTORS_LIST[[#This Row],[INVESTOR CODE]],[3]!Table_1[INVESTOR CODE],0))</f>
        <v>#REF!</v>
      </c>
      <c r="AE76" s="201" t="e">
        <f>MID(INVESTORS_LIST[[#This Row],[BO ID]],4,5)</f>
        <v>#REF!</v>
      </c>
      <c r="AF76" s="201" t="e">
        <f>MID(INVESTORS_LIST[[#This Row],[BO ID]],2,7)</f>
        <v>#REF!</v>
      </c>
      <c r="AG76" s="201" t="e">
        <f>MID(INVESTORS_LIST[[#This Row],[BO ID]],9,7)</f>
        <v>#REF!</v>
      </c>
      <c r="AH76" s="201" t="e">
        <f>RIGHT(INVESTORS_LIST[[#This Row],[BO ID]],1)</f>
        <v>#REF!</v>
      </c>
      <c r="AI76" s="50">
        <f>INVESTORS_LIST[[#This Row],[LS_TOTAL COST VALUE OF CURRENT UNITS]]+INVESTORS_LIST[[#This Row],[SIP_TOTAL COST VALUE OF CURRENT UNITS]]</f>
        <v>0</v>
      </c>
      <c r="AJ76" s="109">
        <f>IF(INVESTORS_LIST[[#This Row],[TOTAL CURRENT UNITS]]=0,0,INVESTORS_LIST[[#This Row],[LS_TOTAL CURRENT UNITS]]/INVESTORS_LIST[[#This Row],[TOTAL CURRENT UNITS]])</f>
        <v>0</v>
      </c>
      <c r="AK76" s="109">
        <f>IF(INVESTORS_LIST[[#This Row],[TOTAL CURRENT UNITS]]=0,0,INVESTORS_LIST[[#This Row],[SIP_TOTAL CURRENT UNITS]]/INVESTORS_LIST[[#This Row],[TOTAL CURRENT UNITS]])</f>
        <v>0</v>
      </c>
      <c r="AL76" s="49" cm="1">
        <f t="array" ref="AL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6" s="49" cm="1">
        <f t="array" ref="AM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6" s="105">
        <f t="shared" si="2"/>
        <v>14.224</v>
      </c>
      <c r="AP76" s="112">
        <f>IF(INVESTORS_LIST[[#This Row],[TOTAL CURRENT UNITS]]=0,0,INVESTORS_LIST[[#This Row],[TOTAL CURRENT UNITS]]*INVESTORS_LIST[[#This Row],[NAV]])</f>
        <v>0</v>
      </c>
      <c r="AQ76" s="49">
        <f>IF(INVESTORS_LIST[[#This Row],[LS_TOTAL CURRENT UNITS]]=0,0,INVESTORS_LIST[[#This Row],[LS_TOTAL CURRENT UNITS]]*INVESTORS_LIST[[#This Row],[NAV]])</f>
        <v>0</v>
      </c>
      <c r="AR76" s="48">
        <f>IF(INVESTORS_LIST[[#This Row],[SIP_TOTAL CURRENT UNITS]]=0,0,INVESTORS_LIST[[#This Row],[SIP_TOTAL CURRENT UNITS]]*INVESTORS_LIST[[#This Row],[NAV]])</f>
        <v>0</v>
      </c>
      <c r="AS76" s="50">
        <f>INVESTORS_LIST[[#This Row],[TOTAL CURRENT UNITS]]</f>
        <v>0</v>
      </c>
      <c r="AT76" s="48">
        <f>IF(INVESTORS_LIST[[#This Row],[TOTAL SELLABLE UNITS]]=0,0,INVESTORS_LIST[[#This Row],[TOTAL SELLABLE UNITS]]*INVESTORS_LIST[[#This Row],[NAV]])</f>
        <v>0</v>
      </c>
      <c r="AU76" s="48">
        <f>INVESTORS_LIST[[#This Row],[LS_TOTAL REALIZED GAIN]]+INVESTORS_LIST[[#This Row],[SIP_TOTAL REALIZED GAIN]]</f>
        <v>0</v>
      </c>
      <c r="AV76" s="48">
        <f>INVESTORS_LIST[[#This Row],[TOTAL MARKET VALUE]]-INVESTORS_LIST[[#This Row],[TOTAL COST VALUE OF CURRENT INVESTMENT]]</f>
        <v>0</v>
      </c>
      <c r="AW76" s="48">
        <f>IFERROR(INVESTORS_LIST[[#This Row],[TOTAL CURRENT UNITS]]/SUM(INVESTORS_LIST[TOTAL CURRENT UNITS]),0)</f>
        <v>0</v>
      </c>
    </row>
    <row r="77" spans="1:49" hidden="1">
      <c r="A77" s="262" t="s">
        <v>201</v>
      </c>
      <c r="B77" s="97" t="s">
        <v>202</v>
      </c>
      <c r="C77" t="s">
        <v>52</v>
      </c>
      <c r="D77" s="75" t="s">
        <v>45</v>
      </c>
      <c r="E77" s="47">
        <f>SUMIFS(LS[Unit],LS[Investor ID],INVESTORS_LIST[[#This Row],[INVESTOR CODE]],LS[B/S],"B")</f>
        <v>0</v>
      </c>
      <c r="F77" s="47">
        <f>-SUMIFS(LS[Unit],LS[Investor ID],INVESTORS_LIST[[#This Row],[INVESTOR CODE]],LS[B/S],"S")</f>
        <v>0</v>
      </c>
      <c r="G77" s="47">
        <f>IF(INVESTORS_LIST[[#This Row],[LS_TOTAL UNITS BUY]]=0,0,INVESTORS_LIST[[#This Row],[LS_TOTAL UNITS BUY]]-INVESTORS_LIST[[#This Row],[LS_TOTAL UNITS SOLD]])</f>
        <v>0</v>
      </c>
      <c r="H77" s="49">
        <f>IF(INVESTORS_LIST[[#This Row],[LS_TOTAL UNITS BUY]]=0,0,SUMIFS(LS[Amount],LS[Investor ID],INVESTORS_LIST[[#This Row],[INVESTOR CODE]],LS[B/S],"B"))</f>
        <v>0</v>
      </c>
      <c r="I77" s="48">
        <f>IF(INVESTORS_LIST[[#This Row],[LS_TOTAL UNITS SOLD]]=0,0,SUMIFS(LS[Cost of Units Sold],LS[Investor ID],INVESTORS_LIST[[#This Row],[INVESTOR CODE]],LS[B/S],"S"))</f>
        <v>0</v>
      </c>
      <c r="J77" s="48">
        <f>IF(INVESTORS_LIST[[#This Row],[LS_TOTAL CURRENT UNITS]]=0,0,INVESTORS_LIST[[#This Row],[LS_TOTAL CURRENT UNITS]]*INVESTORS_LIST[[#This Row],[LS_AVERAGE COST]])</f>
        <v>0</v>
      </c>
      <c r="K77" s="49">
        <f>IF(INVESTORS_LIST[[#This Row],[LS_TOTAL UNITS SOLD]]=0,0,SUMIFS(LS[Realized Gain],LS[Investor ID],INVESTORS_LIST[[#This Row],[INVESTOR CODE]],LS[B/S],"S"))</f>
        <v>0</v>
      </c>
      <c r="L77" s="47">
        <f>SUMIFS(SIP[Unit],SIP[Investor ID],INVESTORS_LIST[[#This Row],[INVESTOR CODE]],SIP[B/S],"B")</f>
        <v>0</v>
      </c>
      <c r="M77" s="47">
        <f>-SUMIFS(SIP[Unit],SIP[Investor ID],INVESTORS_LIST[[#This Row],[INVESTOR CODE]],SIP[B/S],"S")</f>
        <v>0</v>
      </c>
      <c r="N77" s="50">
        <f>IF(INVESTORS_LIST[[#This Row],[SIP_TOTAL UNITS BUY]]=0,0,INVESTORS_LIST[[#This Row],[SIP_TOTAL UNITS BUY]]-INVESTORS_LIST[[#This Row],[SIP_TOTAL UNITS SOLD]])</f>
        <v>0</v>
      </c>
      <c r="O77" s="49">
        <f>IF(INVESTORS_LIST[[#This Row],[SIP_TOTAL UNITS BUY]]=0,0,SUMIFS(SIP[Amount],SIP[Investor ID],INVESTORS_LIST[[#This Row],[INVESTOR CODE]],SIP[B/S],"B"))</f>
        <v>0</v>
      </c>
      <c r="P77" s="49">
        <f>IF(INVESTORS_LIST[[#This Row],[SIP_TOTAL UNITS SOLD]]=0,0,SUMIFS(SIP[Cost of Units Sold],SIP[Investor ID],INVESTORS_LIST[[#This Row],[INVESTOR CODE]],SIP[B/S],"S"))</f>
        <v>0</v>
      </c>
      <c r="Q77" s="48">
        <f>IF(INVESTORS_LIST[[#This Row],[SIP_TOTAL CURRENT UNITS]]=0,0,INVESTORS_LIST[[#This Row],[SIP_TOTAL CURRENT UNITS]]*INVESTORS_LIST[[#This Row],[SIP_AVERAGE COST]])</f>
        <v>0</v>
      </c>
      <c r="R77" s="48">
        <f>IF(INVESTORS_LIST[[#This Row],[SIP_TOTAL UNITS SOLD]]=0,0,SUMIFS(SIP[Realized Gain],SIP[Investor ID],INVESTORS_LIST[[#This Row],[INVESTOR CODE]],SIP[B/S],"S"))</f>
        <v>0</v>
      </c>
      <c r="S77" s="50">
        <f>INVESTORS_LIST[[#This Row],[LS_TOTAL UNITS BUY]]+INVESTORS_LIST[[#This Row],[SIP_TOTAL UNITS BUY]]</f>
        <v>0</v>
      </c>
      <c r="T77" s="50">
        <f>INVESTORS_LIST[[#This Row],[LS_TOTAL UNITS SOLD]]+INVESTORS_LIST[[#This Row],[SIP_TOTAL UNITS SOLD]]</f>
        <v>0</v>
      </c>
      <c r="U77" s="50"/>
      <c r="V77" s="50">
        <f>SUMIFS(LS[BO UNIT TRANSFER],LS[Investor ID],INVESTORS_LIST[[#This Row],[INVESTOR CODE]],LS[B/S],"B")</f>
        <v>0</v>
      </c>
      <c r="W77" s="50">
        <f>SUMIFS(SIP[BO UNIT TRANSFER],SIP[Investor ID],INVESTORS_LIST[[#This Row],[INVESTOR CODE]],SIP[B/S],"B")</f>
        <v>0</v>
      </c>
      <c r="X77" s="50">
        <f>SUMIFS(LS[BO UNIT TRANSFER],LS[Investor ID],INVESTORS_LIST[[#This Row],[INVESTOR CODE]],LS[B/S],"S")</f>
        <v>0</v>
      </c>
      <c r="Y77" s="50">
        <f>SUMIFS(SIP[BO UNIT TRANSFER],SIP[Investor ID],INVESTORS_LIST[[#This Row],[INVESTOR CODE]],SIP[B/S],"S")</f>
        <v>0</v>
      </c>
      <c r="Z77" s="106">
        <f>SUM(INVESTORS_LIST[[#This Row],[BO OPENING BALANCE]:[BO SIP UNITS REPURCHASE]])</f>
        <v>0</v>
      </c>
      <c r="AA77" s="107">
        <f>INVESTORS_LIST[[#This Row],[TOTAL UNITS BUY]]-INVESTORS_LIST[[#This Row],[TOTAL UNITS SOLD]]</f>
        <v>0</v>
      </c>
      <c r="AB77" s="107">
        <f>INVESTORS_LIST[[#This Row],[TOTAL CURRENT UNITS]]-INVESTORS_LIST[[#This Row],[BO UNITS HOLD]]</f>
        <v>0</v>
      </c>
      <c r="AC77" s="201" t="e">
        <f>INDEX([3]!Table_1[BO ID],MATCH(INVESTORS_LIST[[#This Row],[INVESTOR CODE]],[3]!Table_1[INVESTOR CODE],0))</f>
        <v>#REF!</v>
      </c>
      <c r="AD77" s="201" t="e">
        <f>INDEX([3]!Table_1[Brokerage Name2],MATCH(INVESTORS_LIST[[#This Row],[INVESTOR CODE]],[3]!Table_1[INVESTOR CODE],0))</f>
        <v>#REF!</v>
      </c>
      <c r="AE77" s="201" t="e">
        <f>MID(INVESTORS_LIST[[#This Row],[BO ID]],4,5)</f>
        <v>#REF!</v>
      </c>
      <c r="AF77" s="201" t="e">
        <f>MID(INVESTORS_LIST[[#This Row],[BO ID]],2,7)</f>
        <v>#REF!</v>
      </c>
      <c r="AG77" s="201" t="e">
        <f>MID(INVESTORS_LIST[[#This Row],[BO ID]],9,7)</f>
        <v>#REF!</v>
      </c>
      <c r="AH77" s="201" t="e">
        <f>RIGHT(INVESTORS_LIST[[#This Row],[BO ID]],1)</f>
        <v>#REF!</v>
      </c>
      <c r="AI77" s="50">
        <f>INVESTORS_LIST[[#This Row],[LS_TOTAL COST VALUE OF CURRENT UNITS]]+INVESTORS_LIST[[#This Row],[SIP_TOTAL COST VALUE OF CURRENT UNITS]]</f>
        <v>0</v>
      </c>
      <c r="AJ77" s="109">
        <f>IF(INVESTORS_LIST[[#This Row],[TOTAL CURRENT UNITS]]=0,0,INVESTORS_LIST[[#This Row],[LS_TOTAL CURRENT UNITS]]/INVESTORS_LIST[[#This Row],[TOTAL CURRENT UNITS]])</f>
        <v>0</v>
      </c>
      <c r="AK77" s="109">
        <f>IF(INVESTORS_LIST[[#This Row],[TOTAL CURRENT UNITS]]=0,0,INVESTORS_LIST[[#This Row],[SIP_TOTAL CURRENT UNITS]]/INVESTORS_LIST[[#This Row],[TOTAL CURRENT UNITS]])</f>
        <v>0</v>
      </c>
      <c r="AL77" s="49" cm="1">
        <f t="array" ref="AL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7" s="49" cm="1">
        <f t="array" ref="AM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7" s="105">
        <f t="shared" si="2"/>
        <v>14.224</v>
      </c>
      <c r="AP77" s="112">
        <f>IF(INVESTORS_LIST[[#This Row],[TOTAL CURRENT UNITS]]=0,0,INVESTORS_LIST[[#This Row],[TOTAL CURRENT UNITS]]*INVESTORS_LIST[[#This Row],[NAV]])</f>
        <v>0</v>
      </c>
      <c r="AQ77" s="49">
        <f>IF(INVESTORS_LIST[[#This Row],[LS_TOTAL CURRENT UNITS]]=0,0,INVESTORS_LIST[[#This Row],[LS_TOTAL CURRENT UNITS]]*INVESTORS_LIST[[#This Row],[NAV]])</f>
        <v>0</v>
      </c>
      <c r="AR77" s="48">
        <f>IF(INVESTORS_LIST[[#This Row],[SIP_TOTAL CURRENT UNITS]]=0,0,INVESTORS_LIST[[#This Row],[SIP_TOTAL CURRENT UNITS]]*INVESTORS_LIST[[#This Row],[NAV]])</f>
        <v>0</v>
      </c>
      <c r="AS77" s="50">
        <f>INVESTORS_LIST[[#This Row],[TOTAL CURRENT UNITS]]</f>
        <v>0</v>
      </c>
      <c r="AT77" s="48">
        <f>IF(INVESTORS_LIST[[#This Row],[TOTAL SELLABLE UNITS]]=0,0,INVESTORS_LIST[[#This Row],[TOTAL SELLABLE UNITS]]*INVESTORS_LIST[[#This Row],[NAV]])</f>
        <v>0</v>
      </c>
      <c r="AU77" s="48">
        <f>INVESTORS_LIST[[#This Row],[LS_TOTAL REALIZED GAIN]]+INVESTORS_LIST[[#This Row],[SIP_TOTAL REALIZED GAIN]]</f>
        <v>0</v>
      </c>
      <c r="AV77" s="48">
        <f>INVESTORS_LIST[[#This Row],[TOTAL MARKET VALUE]]-INVESTORS_LIST[[#This Row],[TOTAL COST VALUE OF CURRENT INVESTMENT]]</f>
        <v>0</v>
      </c>
      <c r="AW77" s="48">
        <f>IFERROR(INVESTORS_LIST[[#This Row],[TOTAL CURRENT UNITS]]/SUM(INVESTORS_LIST[TOTAL CURRENT UNITS]),0)</f>
        <v>0</v>
      </c>
    </row>
    <row r="78" spans="1:49" hidden="1">
      <c r="A78" s="262" t="s">
        <v>203</v>
      </c>
      <c r="B78" s="97" t="s">
        <v>204</v>
      </c>
      <c r="C78" t="s">
        <v>52</v>
      </c>
      <c r="D78" s="75" t="s">
        <v>45</v>
      </c>
      <c r="E78" s="47">
        <f>SUMIFS(LS[Unit],LS[Investor ID],INVESTORS_LIST[[#This Row],[INVESTOR CODE]],LS[B/S],"B")</f>
        <v>0</v>
      </c>
      <c r="F78" s="47">
        <f>-SUMIFS(LS[Unit],LS[Investor ID],INVESTORS_LIST[[#This Row],[INVESTOR CODE]],LS[B/S],"S")</f>
        <v>0</v>
      </c>
      <c r="G78" s="47">
        <f>IF(INVESTORS_LIST[[#This Row],[LS_TOTAL UNITS BUY]]=0,0,INVESTORS_LIST[[#This Row],[LS_TOTAL UNITS BUY]]-INVESTORS_LIST[[#This Row],[LS_TOTAL UNITS SOLD]])</f>
        <v>0</v>
      </c>
      <c r="H78" s="49">
        <f>IF(INVESTORS_LIST[[#This Row],[LS_TOTAL UNITS BUY]]=0,0,SUMIFS(LS[Amount],LS[Investor ID],INVESTORS_LIST[[#This Row],[INVESTOR CODE]],LS[B/S],"B"))</f>
        <v>0</v>
      </c>
      <c r="I78" s="48">
        <f>IF(INVESTORS_LIST[[#This Row],[LS_TOTAL UNITS SOLD]]=0,0,SUMIFS(LS[Cost of Units Sold],LS[Investor ID],INVESTORS_LIST[[#This Row],[INVESTOR CODE]],LS[B/S],"S"))</f>
        <v>0</v>
      </c>
      <c r="J78" s="48">
        <f>IF(INVESTORS_LIST[[#This Row],[LS_TOTAL CURRENT UNITS]]=0,0,INVESTORS_LIST[[#This Row],[LS_TOTAL CURRENT UNITS]]*INVESTORS_LIST[[#This Row],[LS_AVERAGE COST]])</f>
        <v>0</v>
      </c>
      <c r="K78" s="49">
        <f>IF(INVESTORS_LIST[[#This Row],[LS_TOTAL UNITS SOLD]]=0,0,SUMIFS(LS[Realized Gain],LS[Investor ID],INVESTORS_LIST[[#This Row],[INVESTOR CODE]],LS[B/S],"S"))</f>
        <v>0</v>
      </c>
      <c r="L78" s="47">
        <f>SUMIFS(SIP[Unit],SIP[Investor ID],INVESTORS_LIST[[#This Row],[INVESTOR CODE]],SIP[B/S],"B")</f>
        <v>0</v>
      </c>
      <c r="M78" s="47">
        <f>-SUMIFS(SIP[Unit],SIP[Investor ID],INVESTORS_LIST[[#This Row],[INVESTOR CODE]],SIP[B/S],"S")</f>
        <v>0</v>
      </c>
      <c r="N78" s="50">
        <f>IF(INVESTORS_LIST[[#This Row],[SIP_TOTAL UNITS BUY]]=0,0,INVESTORS_LIST[[#This Row],[SIP_TOTAL UNITS BUY]]-INVESTORS_LIST[[#This Row],[SIP_TOTAL UNITS SOLD]])</f>
        <v>0</v>
      </c>
      <c r="O78" s="49">
        <f>IF(INVESTORS_LIST[[#This Row],[SIP_TOTAL UNITS BUY]]=0,0,SUMIFS(SIP[Amount],SIP[Investor ID],INVESTORS_LIST[[#This Row],[INVESTOR CODE]],SIP[B/S],"B"))</f>
        <v>0</v>
      </c>
      <c r="P78" s="49">
        <f>IF(INVESTORS_LIST[[#This Row],[SIP_TOTAL UNITS SOLD]]=0,0,SUMIFS(SIP[Cost of Units Sold],SIP[Investor ID],INVESTORS_LIST[[#This Row],[INVESTOR CODE]],SIP[B/S],"S"))</f>
        <v>0</v>
      </c>
      <c r="Q78" s="48">
        <f>IF(INVESTORS_LIST[[#This Row],[SIP_TOTAL CURRENT UNITS]]=0,0,INVESTORS_LIST[[#This Row],[SIP_TOTAL CURRENT UNITS]]*INVESTORS_LIST[[#This Row],[SIP_AVERAGE COST]])</f>
        <v>0</v>
      </c>
      <c r="R78" s="48">
        <f>IF(INVESTORS_LIST[[#This Row],[SIP_TOTAL UNITS SOLD]]=0,0,SUMIFS(SIP[Realized Gain],SIP[Investor ID],INVESTORS_LIST[[#This Row],[INVESTOR CODE]],SIP[B/S],"S"))</f>
        <v>0</v>
      </c>
      <c r="S78" s="50">
        <f>INVESTORS_LIST[[#This Row],[LS_TOTAL UNITS BUY]]+INVESTORS_LIST[[#This Row],[SIP_TOTAL UNITS BUY]]</f>
        <v>0</v>
      </c>
      <c r="T78" s="50">
        <f>INVESTORS_LIST[[#This Row],[LS_TOTAL UNITS SOLD]]+INVESTORS_LIST[[#This Row],[SIP_TOTAL UNITS SOLD]]</f>
        <v>0</v>
      </c>
      <c r="U78" s="50"/>
      <c r="V78" s="50">
        <f>SUMIFS(LS[BO UNIT TRANSFER],LS[Investor ID],INVESTORS_LIST[[#This Row],[INVESTOR CODE]],LS[B/S],"B")</f>
        <v>0</v>
      </c>
      <c r="W78" s="50">
        <f>SUMIFS(SIP[BO UNIT TRANSFER],SIP[Investor ID],INVESTORS_LIST[[#This Row],[INVESTOR CODE]],SIP[B/S],"B")</f>
        <v>0</v>
      </c>
      <c r="X78" s="50">
        <f>SUMIFS(LS[BO UNIT TRANSFER],LS[Investor ID],INVESTORS_LIST[[#This Row],[INVESTOR CODE]],LS[B/S],"S")</f>
        <v>0</v>
      </c>
      <c r="Y78" s="50">
        <f>SUMIFS(SIP[BO UNIT TRANSFER],SIP[Investor ID],INVESTORS_LIST[[#This Row],[INVESTOR CODE]],SIP[B/S],"S")</f>
        <v>0</v>
      </c>
      <c r="Z78" s="106">
        <f>SUM(INVESTORS_LIST[[#This Row],[BO OPENING BALANCE]:[BO SIP UNITS REPURCHASE]])</f>
        <v>0</v>
      </c>
      <c r="AA78" s="107">
        <f>INVESTORS_LIST[[#This Row],[TOTAL UNITS BUY]]-INVESTORS_LIST[[#This Row],[TOTAL UNITS SOLD]]</f>
        <v>0</v>
      </c>
      <c r="AB78" s="107">
        <f>INVESTORS_LIST[[#This Row],[TOTAL CURRENT UNITS]]-INVESTORS_LIST[[#This Row],[BO UNITS HOLD]]</f>
        <v>0</v>
      </c>
      <c r="AC78" s="201" t="e">
        <f>INDEX([3]!Table_1[BO ID],MATCH(INVESTORS_LIST[[#This Row],[INVESTOR CODE]],[3]!Table_1[INVESTOR CODE],0))</f>
        <v>#REF!</v>
      </c>
      <c r="AD78" s="201" t="e">
        <f>INDEX([3]!Table_1[Brokerage Name2],MATCH(INVESTORS_LIST[[#This Row],[INVESTOR CODE]],[3]!Table_1[INVESTOR CODE],0))</f>
        <v>#REF!</v>
      </c>
      <c r="AE78" s="201" t="e">
        <f>MID(INVESTORS_LIST[[#This Row],[BO ID]],4,5)</f>
        <v>#REF!</v>
      </c>
      <c r="AF78" s="201" t="e">
        <f>MID(INVESTORS_LIST[[#This Row],[BO ID]],2,7)</f>
        <v>#REF!</v>
      </c>
      <c r="AG78" s="201" t="e">
        <f>MID(INVESTORS_LIST[[#This Row],[BO ID]],9,7)</f>
        <v>#REF!</v>
      </c>
      <c r="AH78" s="201" t="e">
        <f>RIGHT(INVESTORS_LIST[[#This Row],[BO ID]],1)</f>
        <v>#REF!</v>
      </c>
      <c r="AI78" s="50">
        <f>INVESTORS_LIST[[#This Row],[LS_TOTAL COST VALUE OF CURRENT UNITS]]+INVESTORS_LIST[[#This Row],[SIP_TOTAL COST VALUE OF CURRENT UNITS]]</f>
        <v>0</v>
      </c>
      <c r="AJ78" s="109">
        <f>IF(INVESTORS_LIST[[#This Row],[TOTAL CURRENT UNITS]]=0,0,INVESTORS_LIST[[#This Row],[LS_TOTAL CURRENT UNITS]]/INVESTORS_LIST[[#This Row],[TOTAL CURRENT UNITS]])</f>
        <v>0</v>
      </c>
      <c r="AK78" s="109">
        <f>IF(INVESTORS_LIST[[#This Row],[TOTAL CURRENT UNITS]]=0,0,INVESTORS_LIST[[#This Row],[SIP_TOTAL CURRENT UNITS]]/INVESTORS_LIST[[#This Row],[TOTAL CURRENT UNITS]])</f>
        <v>0</v>
      </c>
      <c r="AL78" s="49" cm="1">
        <f t="array" ref="AL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8" s="49" cm="1">
        <f t="array" ref="AM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8" s="105">
        <f t="shared" si="2"/>
        <v>14.224</v>
      </c>
      <c r="AP78" s="112">
        <f>IF(INVESTORS_LIST[[#This Row],[TOTAL CURRENT UNITS]]=0,0,INVESTORS_LIST[[#This Row],[TOTAL CURRENT UNITS]]*INVESTORS_LIST[[#This Row],[NAV]])</f>
        <v>0</v>
      </c>
      <c r="AQ78" s="49">
        <f>IF(INVESTORS_LIST[[#This Row],[LS_TOTAL CURRENT UNITS]]=0,0,INVESTORS_LIST[[#This Row],[LS_TOTAL CURRENT UNITS]]*INVESTORS_LIST[[#This Row],[NAV]])</f>
        <v>0</v>
      </c>
      <c r="AR78" s="48">
        <f>IF(INVESTORS_LIST[[#This Row],[SIP_TOTAL CURRENT UNITS]]=0,0,INVESTORS_LIST[[#This Row],[SIP_TOTAL CURRENT UNITS]]*INVESTORS_LIST[[#This Row],[NAV]])</f>
        <v>0</v>
      </c>
      <c r="AS78" s="50">
        <f>INVESTORS_LIST[[#This Row],[TOTAL CURRENT UNITS]]</f>
        <v>0</v>
      </c>
      <c r="AT78" s="48">
        <f>IF(INVESTORS_LIST[[#This Row],[TOTAL SELLABLE UNITS]]=0,0,INVESTORS_LIST[[#This Row],[TOTAL SELLABLE UNITS]]*INVESTORS_LIST[[#This Row],[NAV]])</f>
        <v>0</v>
      </c>
      <c r="AU78" s="48">
        <f>INVESTORS_LIST[[#This Row],[LS_TOTAL REALIZED GAIN]]+INVESTORS_LIST[[#This Row],[SIP_TOTAL REALIZED GAIN]]</f>
        <v>0</v>
      </c>
      <c r="AV78" s="48">
        <f>INVESTORS_LIST[[#This Row],[TOTAL MARKET VALUE]]-INVESTORS_LIST[[#This Row],[TOTAL COST VALUE OF CURRENT INVESTMENT]]</f>
        <v>0</v>
      </c>
      <c r="AW78" s="48">
        <f>IFERROR(INVESTORS_LIST[[#This Row],[TOTAL CURRENT UNITS]]/SUM(INVESTORS_LIST[TOTAL CURRENT UNITS]),0)</f>
        <v>0</v>
      </c>
    </row>
    <row r="79" spans="1:49" hidden="1">
      <c r="A79" s="262" t="s">
        <v>205</v>
      </c>
      <c r="B79" s="97" t="s">
        <v>206</v>
      </c>
      <c r="C79" t="s">
        <v>52</v>
      </c>
      <c r="D79" s="75" t="s">
        <v>45</v>
      </c>
      <c r="E79" s="47">
        <f>SUMIFS(LS[Unit],LS[Investor ID],INVESTORS_LIST[[#This Row],[INVESTOR CODE]],LS[B/S],"B")</f>
        <v>0</v>
      </c>
      <c r="F79" s="47">
        <f>-SUMIFS(LS[Unit],LS[Investor ID],INVESTORS_LIST[[#This Row],[INVESTOR CODE]],LS[B/S],"S")</f>
        <v>0</v>
      </c>
      <c r="G79" s="47">
        <f>IF(INVESTORS_LIST[[#This Row],[LS_TOTAL UNITS BUY]]=0,0,INVESTORS_LIST[[#This Row],[LS_TOTAL UNITS BUY]]-INVESTORS_LIST[[#This Row],[LS_TOTAL UNITS SOLD]])</f>
        <v>0</v>
      </c>
      <c r="H79" s="49">
        <f>IF(INVESTORS_LIST[[#This Row],[LS_TOTAL UNITS BUY]]=0,0,SUMIFS(LS[Amount],LS[Investor ID],INVESTORS_LIST[[#This Row],[INVESTOR CODE]],LS[B/S],"B"))</f>
        <v>0</v>
      </c>
      <c r="I79" s="48">
        <f>IF(INVESTORS_LIST[[#This Row],[LS_TOTAL UNITS SOLD]]=0,0,SUMIFS(LS[Cost of Units Sold],LS[Investor ID],INVESTORS_LIST[[#This Row],[INVESTOR CODE]],LS[B/S],"S"))</f>
        <v>0</v>
      </c>
      <c r="J79" s="48">
        <f>IF(INVESTORS_LIST[[#This Row],[LS_TOTAL CURRENT UNITS]]=0,0,INVESTORS_LIST[[#This Row],[LS_TOTAL CURRENT UNITS]]*INVESTORS_LIST[[#This Row],[LS_AVERAGE COST]])</f>
        <v>0</v>
      </c>
      <c r="K79" s="49">
        <f>IF(INVESTORS_LIST[[#This Row],[LS_TOTAL UNITS SOLD]]=0,0,SUMIFS(LS[Realized Gain],LS[Investor ID],INVESTORS_LIST[[#This Row],[INVESTOR CODE]],LS[B/S],"S"))</f>
        <v>0</v>
      </c>
      <c r="L79" s="47">
        <f>SUMIFS(SIP[Unit],SIP[Investor ID],INVESTORS_LIST[[#This Row],[INVESTOR CODE]],SIP[B/S],"B")</f>
        <v>0</v>
      </c>
      <c r="M79" s="47">
        <f>-SUMIFS(SIP[Unit],SIP[Investor ID],INVESTORS_LIST[[#This Row],[INVESTOR CODE]],SIP[B/S],"S")</f>
        <v>0</v>
      </c>
      <c r="N79" s="50">
        <f>IF(INVESTORS_LIST[[#This Row],[SIP_TOTAL UNITS BUY]]=0,0,INVESTORS_LIST[[#This Row],[SIP_TOTAL UNITS BUY]]-INVESTORS_LIST[[#This Row],[SIP_TOTAL UNITS SOLD]])</f>
        <v>0</v>
      </c>
      <c r="O79" s="49">
        <f>IF(INVESTORS_LIST[[#This Row],[SIP_TOTAL UNITS BUY]]=0,0,SUMIFS(SIP[Amount],SIP[Investor ID],INVESTORS_LIST[[#This Row],[INVESTOR CODE]],SIP[B/S],"B"))</f>
        <v>0</v>
      </c>
      <c r="P79" s="49">
        <f>IF(INVESTORS_LIST[[#This Row],[SIP_TOTAL UNITS SOLD]]=0,0,SUMIFS(SIP[Cost of Units Sold],SIP[Investor ID],INVESTORS_LIST[[#This Row],[INVESTOR CODE]],SIP[B/S],"S"))</f>
        <v>0</v>
      </c>
      <c r="Q79" s="48">
        <f>IF(INVESTORS_LIST[[#This Row],[SIP_TOTAL CURRENT UNITS]]=0,0,INVESTORS_LIST[[#This Row],[SIP_TOTAL CURRENT UNITS]]*INVESTORS_LIST[[#This Row],[SIP_AVERAGE COST]])</f>
        <v>0</v>
      </c>
      <c r="R79" s="48">
        <f>IF(INVESTORS_LIST[[#This Row],[SIP_TOTAL UNITS SOLD]]=0,0,SUMIFS(SIP[Realized Gain],SIP[Investor ID],INVESTORS_LIST[[#This Row],[INVESTOR CODE]],SIP[B/S],"S"))</f>
        <v>0</v>
      </c>
      <c r="S79" s="50">
        <f>INVESTORS_LIST[[#This Row],[LS_TOTAL UNITS BUY]]+INVESTORS_LIST[[#This Row],[SIP_TOTAL UNITS BUY]]</f>
        <v>0</v>
      </c>
      <c r="T79" s="50">
        <f>INVESTORS_LIST[[#This Row],[LS_TOTAL UNITS SOLD]]+INVESTORS_LIST[[#This Row],[SIP_TOTAL UNITS SOLD]]</f>
        <v>0</v>
      </c>
      <c r="U79" s="50"/>
      <c r="V79" s="50">
        <f>SUMIFS(LS[BO UNIT TRANSFER],LS[Investor ID],INVESTORS_LIST[[#This Row],[INVESTOR CODE]],LS[B/S],"B")</f>
        <v>0</v>
      </c>
      <c r="W79" s="50">
        <f>SUMIFS(SIP[BO UNIT TRANSFER],SIP[Investor ID],INVESTORS_LIST[[#This Row],[INVESTOR CODE]],SIP[B/S],"B")</f>
        <v>0</v>
      </c>
      <c r="X79" s="50">
        <f>SUMIFS(LS[BO UNIT TRANSFER],LS[Investor ID],INVESTORS_LIST[[#This Row],[INVESTOR CODE]],LS[B/S],"S")</f>
        <v>0</v>
      </c>
      <c r="Y79" s="50">
        <f>SUMIFS(SIP[BO UNIT TRANSFER],SIP[Investor ID],INVESTORS_LIST[[#This Row],[INVESTOR CODE]],SIP[B/S],"S")</f>
        <v>0</v>
      </c>
      <c r="Z79" s="106">
        <f>SUM(INVESTORS_LIST[[#This Row],[BO OPENING BALANCE]:[BO SIP UNITS REPURCHASE]])</f>
        <v>0</v>
      </c>
      <c r="AA79" s="107">
        <f>INVESTORS_LIST[[#This Row],[TOTAL UNITS BUY]]-INVESTORS_LIST[[#This Row],[TOTAL UNITS SOLD]]</f>
        <v>0</v>
      </c>
      <c r="AB79" s="107">
        <f>INVESTORS_LIST[[#This Row],[TOTAL CURRENT UNITS]]-INVESTORS_LIST[[#This Row],[BO UNITS HOLD]]</f>
        <v>0</v>
      </c>
      <c r="AC79" s="201" t="e">
        <f>INDEX([3]!Table_1[BO ID],MATCH(INVESTORS_LIST[[#This Row],[INVESTOR CODE]],[3]!Table_1[INVESTOR CODE],0))</f>
        <v>#REF!</v>
      </c>
      <c r="AD79" s="201" t="e">
        <f>INDEX([3]!Table_1[Brokerage Name2],MATCH(INVESTORS_LIST[[#This Row],[INVESTOR CODE]],[3]!Table_1[INVESTOR CODE],0))</f>
        <v>#REF!</v>
      </c>
      <c r="AE79" s="201" t="e">
        <f>MID(INVESTORS_LIST[[#This Row],[BO ID]],4,5)</f>
        <v>#REF!</v>
      </c>
      <c r="AF79" s="201" t="e">
        <f>MID(INVESTORS_LIST[[#This Row],[BO ID]],2,7)</f>
        <v>#REF!</v>
      </c>
      <c r="AG79" s="201" t="e">
        <f>MID(INVESTORS_LIST[[#This Row],[BO ID]],9,7)</f>
        <v>#REF!</v>
      </c>
      <c r="AH79" s="201" t="e">
        <f>RIGHT(INVESTORS_LIST[[#This Row],[BO ID]],1)</f>
        <v>#REF!</v>
      </c>
      <c r="AI79" s="50">
        <f>INVESTORS_LIST[[#This Row],[LS_TOTAL COST VALUE OF CURRENT UNITS]]+INVESTORS_LIST[[#This Row],[SIP_TOTAL COST VALUE OF CURRENT UNITS]]</f>
        <v>0</v>
      </c>
      <c r="AJ79" s="109">
        <f>IF(INVESTORS_LIST[[#This Row],[TOTAL CURRENT UNITS]]=0,0,INVESTORS_LIST[[#This Row],[LS_TOTAL CURRENT UNITS]]/INVESTORS_LIST[[#This Row],[TOTAL CURRENT UNITS]])</f>
        <v>0</v>
      </c>
      <c r="AK79" s="109">
        <f>IF(INVESTORS_LIST[[#This Row],[TOTAL CURRENT UNITS]]=0,0,INVESTORS_LIST[[#This Row],[SIP_TOTAL CURRENT UNITS]]/INVESTORS_LIST[[#This Row],[TOTAL CURRENT UNITS]])</f>
        <v>0</v>
      </c>
      <c r="AL79" s="49" cm="1">
        <f t="array" ref="AL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9" s="49" cm="1">
        <f t="array" ref="AM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9" s="105">
        <f t="shared" si="2"/>
        <v>14.224</v>
      </c>
      <c r="AP79" s="112">
        <f>IF(INVESTORS_LIST[[#This Row],[TOTAL CURRENT UNITS]]=0,0,INVESTORS_LIST[[#This Row],[TOTAL CURRENT UNITS]]*INVESTORS_LIST[[#This Row],[NAV]])</f>
        <v>0</v>
      </c>
      <c r="AQ79" s="49">
        <f>IF(INVESTORS_LIST[[#This Row],[LS_TOTAL CURRENT UNITS]]=0,0,INVESTORS_LIST[[#This Row],[LS_TOTAL CURRENT UNITS]]*INVESTORS_LIST[[#This Row],[NAV]])</f>
        <v>0</v>
      </c>
      <c r="AR79" s="48">
        <f>IF(INVESTORS_LIST[[#This Row],[SIP_TOTAL CURRENT UNITS]]=0,0,INVESTORS_LIST[[#This Row],[SIP_TOTAL CURRENT UNITS]]*INVESTORS_LIST[[#This Row],[NAV]])</f>
        <v>0</v>
      </c>
      <c r="AS79" s="50">
        <f>INVESTORS_LIST[[#This Row],[TOTAL CURRENT UNITS]]</f>
        <v>0</v>
      </c>
      <c r="AT79" s="48">
        <f>IF(INVESTORS_LIST[[#This Row],[TOTAL SELLABLE UNITS]]=0,0,INVESTORS_LIST[[#This Row],[TOTAL SELLABLE UNITS]]*INVESTORS_LIST[[#This Row],[NAV]])</f>
        <v>0</v>
      </c>
      <c r="AU79" s="48">
        <f>INVESTORS_LIST[[#This Row],[LS_TOTAL REALIZED GAIN]]+INVESTORS_LIST[[#This Row],[SIP_TOTAL REALIZED GAIN]]</f>
        <v>0</v>
      </c>
      <c r="AV79" s="48">
        <f>INVESTORS_LIST[[#This Row],[TOTAL MARKET VALUE]]-INVESTORS_LIST[[#This Row],[TOTAL COST VALUE OF CURRENT INVESTMENT]]</f>
        <v>0</v>
      </c>
      <c r="AW79" s="48">
        <f>IFERROR(INVESTORS_LIST[[#This Row],[TOTAL CURRENT UNITS]]/SUM(INVESTORS_LIST[TOTAL CURRENT UNITS]),0)</f>
        <v>0</v>
      </c>
    </row>
    <row r="80" spans="1:49" hidden="1">
      <c r="A80" s="262" t="s">
        <v>207</v>
      </c>
      <c r="B80" s="97" t="s">
        <v>208</v>
      </c>
      <c r="C80" t="s">
        <v>44</v>
      </c>
      <c r="D80" s="75" t="s">
        <v>45</v>
      </c>
      <c r="E80" s="47">
        <f>SUMIFS(LS[Unit],LS[Investor ID],INVESTORS_LIST[[#This Row],[INVESTOR CODE]],LS[B/S],"B")</f>
        <v>0</v>
      </c>
      <c r="F80" s="47">
        <f>-SUMIFS(LS[Unit],LS[Investor ID],INVESTORS_LIST[[#This Row],[INVESTOR CODE]],LS[B/S],"S")</f>
        <v>0</v>
      </c>
      <c r="G80" s="47">
        <f>IF(INVESTORS_LIST[[#This Row],[LS_TOTAL UNITS BUY]]=0,0,INVESTORS_LIST[[#This Row],[LS_TOTAL UNITS BUY]]-INVESTORS_LIST[[#This Row],[LS_TOTAL UNITS SOLD]])</f>
        <v>0</v>
      </c>
      <c r="H80" s="49">
        <f>IF(INVESTORS_LIST[[#This Row],[LS_TOTAL UNITS BUY]]=0,0,SUMIFS(LS[Amount],LS[Investor ID],INVESTORS_LIST[[#This Row],[INVESTOR CODE]],LS[B/S],"B"))</f>
        <v>0</v>
      </c>
      <c r="I80" s="48">
        <f>IF(INVESTORS_LIST[[#This Row],[LS_TOTAL UNITS SOLD]]=0,0,SUMIFS(LS[Cost of Units Sold],LS[Investor ID],INVESTORS_LIST[[#This Row],[INVESTOR CODE]],LS[B/S],"S"))</f>
        <v>0</v>
      </c>
      <c r="J80" s="48">
        <f>IF(INVESTORS_LIST[[#This Row],[LS_TOTAL CURRENT UNITS]]=0,0,INVESTORS_LIST[[#This Row],[LS_TOTAL CURRENT UNITS]]*INVESTORS_LIST[[#This Row],[LS_AVERAGE COST]])</f>
        <v>0</v>
      </c>
      <c r="K80" s="49">
        <f>IF(INVESTORS_LIST[[#This Row],[LS_TOTAL UNITS SOLD]]=0,0,SUMIFS(LS[Realized Gain],LS[Investor ID],INVESTORS_LIST[[#This Row],[INVESTOR CODE]],LS[B/S],"S"))</f>
        <v>0</v>
      </c>
      <c r="L80" s="47">
        <f>SUMIFS(SIP[Unit],SIP[Investor ID],INVESTORS_LIST[[#This Row],[INVESTOR CODE]],SIP[B/S],"B")</f>
        <v>0</v>
      </c>
      <c r="M80" s="47">
        <f>-SUMIFS(SIP[Unit],SIP[Investor ID],INVESTORS_LIST[[#This Row],[INVESTOR CODE]],SIP[B/S],"S")</f>
        <v>0</v>
      </c>
      <c r="N80" s="50">
        <f>IF(INVESTORS_LIST[[#This Row],[SIP_TOTAL UNITS BUY]]=0,0,INVESTORS_LIST[[#This Row],[SIP_TOTAL UNITS BUY]]-INVESTORS_LIST[[#This Row],[SIP_TOTAL UNITS SOLD]])</f>
        <v>0</v>
      </c>
      <c r="O80" s="49">
        <f>IF(INVESTORS_LIST[[#This Row],[SIP_TOTAL UNITS BUY]]=0,0,SUMIFS(SIP[Amount],SIP[Investor ID],INVESTORS_LIST[[#This Row],[INVESTOR CODE]],SIP[B/S],"B"))</f>
        <v>0</v>
      </c>
      <c r="P80" s="49">
        <f>IF(INVESTORS_LIST[[#This Row],[SIP_TOTAL UNITS SOLD]]=0,0,SUMIFS(SIP[Cost of Units Sold],SIP[Investor ID],INVESTORS_LIST[[#This Row],[INVESTOR CODE]],SIP[B/S],"S"))</f>
        <v>0</v>
      </c>
      <c r="Q80" s="48">
        <f>IF(INVESTORS_LIST[[#This Row],[SIP_TOTAL CURRENT UNITS]]=0,0,INVESTORS_LIST[[#This Row],[SIP_TOTAL CURRENT UNITS]]*INVESTORS_LIST[[#This Row],[SIP_AVERAGE COST]])</f>
        <v>0</v>
      </c>
      <c r="R80" s="48">
        <f>IF(INVESTORS_LIST[[#This Row],[SIP_TOTAL UNITS SOLD]]=0,0,SUMIFS(SIP[Realized Gain],SIP[Investor ID],INVESTORS_LIST[[#This Row],[INVESTOR CODE]],SIP[B/S],"S"))</f>
        <v>0</v>
      </c>
      <c r="S80" s="50">
        <f>INVESTORS_LIST[[#This Row],[LS_TOTAL UNITS BUY]]+INVESTORS_LIST[[#This Row],[SIP_TOTAL UNITS BUY]]</f>
        <v>0</v>
      </c>
      <c r="T80" s="50">
        <f>INVESTORS_LIST[[#This Row],[LS_TOTAL UNITS SOLD]]+INVESTORS_LIST[[#This Row],[SIP_TOTAL UNITS SOLD]]</f>
        <v>0</v>
      </c>
      <c r="U80" s="50"/>
      <c r="V80" s="50">
        <f>SUMIFS(LS[BO UNIT TRANSFER],LS[Investor ID],INVESTORS_LIST[[#This Row],[INVESTOR CODE]],LS[B/S],"B")</f>
        <v>0</v>
      </c>
      <c r="W80" s="50">
        <f>SUMIFS(SIP[BO UNIT TRANSFER],SIP[Investor ID],INVESTORS_LIST[[#This Row],[INVESTOR CODE]],SIP[B/S],"B")</f>
        <v>0</v>
      </c>
      <c r="X80" s="50">
        <f>SUMIFS(LS[BO UNIT TRANSFER],LS[Investor ID],INVESTORS_LIST[[#This Row],[INVESTOR CODE]],LS[B/S],"S")</f>
        <v>0</v>
      </c>
      <c r="Y80" s="50">
        <f>SUMIFS(SIP[BO UNIT TRANSFER],SIP[Investor ID],INVESTORS_LIST[[#This Row],[INVESTOR CODE]],SIP[B/S],"S")</f>
        <v>0</v>
      </c>
      <c r="Z80" s="106">
        <f>SUM(INVESTORS_LIST[[#This Row],[BO OPENING BALANCE]:[BO SIP UNITS REPURCHASE]])</f>
        <v>0</v>
      </c>
      <c r="AA80" s="107">
        <f>INVESTORS_LIST[[#This Row],[TOTAL UNITS BUY]]-INVESTORS_LIST[[#This Row],[TOTAL UNITS SOLD]]</f>
        <v>0</v>
      </c>
      <c r="AB80" s="107">
        <f>INVESTORS_LIST[[#This Row],[TOTAL CURRENT UNITS]]-INVESTORS_LIST[[#This Row],[BO UNITS HOLD]]</f>
        <v>0</v>
      </c>
      <c r="AC80" s="201" t="e">
        <f>INDEX([3]!Table_1[BO ID],MATCH(INVESTORS_LIST[[#This Row],[INVESTOR CODE]],[3]!Table_1[INVESTOR CODE],0))</f>
        <v>#REF!</v>
      </c>
      <c r="AD80" s="201" t="e">
        <f>INDEX([3]!Table_1[Brokerage Name2],MATCH(INVESTORS_LIST[[#This Row],[INVESTOR CODE]],[3]!Table_1[INVESTOR CODE],0))</f>
        <v>#REF!</v>
      </c>
      <c r="AE80" s="201" t="e">
        <f>MID(INVESTORS_LIST[[#This Row],[BO ID]],4,5)</f>
        <v>#REF!</v>
      </c>
      <c r="AF80" s="201" t="e">
        <f>MID(INVESTORS_LIST[[#This Row],[BO ID]],2,7)</f>
        <v>#REF!</v>
      </c>
      <c r="AG80" s="201" t="e">
        <f>MID(INVESTORS_LIST[[#This Row],[BO ID]],9,7)</f>
        <v>#REF!</v>
      </c>
      <c r="AH80" s="201" t="e">
        <f>RIGHT(INVESTORS_LIST[[#This Row],[BO ID]],1)</f>
        <v>#REF!</v>
      </c>
      <c r="AI80" s="50">
        <f>INVESTORS_LIST[[#This Row],[LS_TOTAL COST VALUE OF CURRENT UNITS]]+INVESTORS_LIST[[#This Row],[SIP_TOTAL COST VALUE OF CURRENT UNITS]]</f>
        <v>0</v>
      </c>
      <c r="AJ80" s="109">
        <f>IF(INVESTORS_LIST[[#This Row],[TOTAL CURRENT UNITS]]=0,0,INVESTORS_LIST[[#This Row],[LS_TOTAL CURRENT UNITS]]/INVESTORS_LIST[[#This Row],[TOTAL CURRENT UNITS]])</f>
        <v>0</v>
      </c>
      <c r="AK80" s="109">
        <f>IF(INVESTORS_LIST[[#This Row],[TOTAL CURRENT UNITS]]=0,0,INVESTORS_LIST[[#This Row],[SIP_TOTAL CURRENT UNITS]]/INVESTORS_LIST[[#This Row],[TOTAL CURRENT UNITS]])</f>
        <v>0</v>
      </c>
      <c r="AL80" s="49" cm="1">
        <f t="array" ref="AL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0" s="49" cm="1">
        <f t="array" ref="AM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0" s="105">
        <f t="shared" si="2"/>
        <v>14.224</v>
      </c>
      <c r="AP80" s="112">
        <f>IF(INVESTORS_LIST[[#This Row],[TOTAL CURRENT UNITS]]=0,0,INVESTORS_LIST[[#This Row],[TOTAL CURRENT UNITS]]*INVESTORS_LIST[[#This Row],[NAV]])</f>
        <v>0</v>
      </c>
      <c r="AQ80" s="49">
        <f>IF(INVESTORS_LIST[[#This Row],[LS_TOTAL CURRENT UNITS]]=0,0,INVESTORS_LIST[[#This Row],[LS_TOTAL CURRENT UNITS]]*INVESTORS_LIST[[#This Row],[NAV]])</f>
        <v>0</v>
      </c>
      <c r="AR80" s="48">
        <f>IF(INVESTORS_LIST[[#This Row],[SIP_TOTAL CURRENT UNITS]]=0,0,INVESTORS_LIST[[#This Row],[SIP_TOTAL CURRENT UNITS]]*INVESTORS_LIST[[#This Row],[NAV]])</f>
        <v>0</v>
      </c>
      <c r="AS80" s="50">
        <f>INVESTORS_LIST[[#This Row],[TOTAL CURRENT UNITS]]</f>
        <v>0</v>
      </c>
      <c r="AT80" s="48">
        <f>IF(INVESTORS_LIST[[#This Row],[TOTAL SELLABLE UNITS]]=0,0,INVESTORS_LIST[[#This Row],[TOTAL SELLABLE UNITS]]*INVESTORS_LIST[[#This Row],[NAV]])</f>
        <v>0</v>
      </c>
      <c r="AU80" s="48">
        <f>INVESTORS_LIST[[#This Row],[LS_TOTAL REALIZED GAIN]]+INVESTORS_LIST[[#This Row],[SIP_TOTAL REALIZED GAIN]]</f>
        <v>0</v>
      </c>
      <c r="AV80" s="48">
        <f>INVESTORS_LIST[[#This Row],[TOTAL MARKET VALUE]]-INVESTORS_LIST[[#This Row],[TOTAL COST VALUE OF CURRENT INVESTMENT]]</f>
        <v>0</v>
      </c>
      <c r="AW80" s="48">
        <f>IFERROR(INVESTORS_LIST[[#This Row],[TOTAL CURRENT UNITS]]/SUM(INVESTORS_LIST[TOTAL CURRENT UNITS]),0)</f>
        <v>0</v>
      </c>
    </row>
    <row r="81" spans="1:49" hidden="1">
      <c r="A81" s="262" t="s">
        <v>209</v>
      </c>
      <c r="B81" s="97" t="s">
        <v>210</v>
      </c>
      <c r="C81" t="s">
        <v>48</v>
      </c>
      <c r="D81" s="75" t="s">
        <v>49</v>
      </c>
      <c r="E81" s="47">
        <f>SUMIFS(LS[Unit],LS[Investor ID],INVESTORS_LIST[[#This Row],[INVESTOR CODE]],LS[B/S],"B")</f>
        <v>0</v>
      </c>
      <c r="F81" s="47">
        <f>-SUMIFS(LS[Unit],LS[Investor ID],INVESTORS_LIST[[#This Row],[INVESTOR CODE]],LS[B/S],"S")</f>
        <v>0</v>
      </c>
      <c r="G81" s="47">
        <f>IF(INVESTORS_LIST[[#This Row],[LS_TOTAL UNITS BUY]]=0,0,INVESTORS_LIST[[#This Row],[LS_TOTAL UNITS BUY]]-INVESTORS_LIST[[#This Row],[LS_TOTAL UNITS SOLD]])</f>
        <v>0</v>
      </c>
      <c r="H81" s="49">
        <f>IF(INVESTORS_LIST[[#This Row],[LS_TOTAL UNITS BUY]]=0,0,SUMIFS(LS[Amount],LS[Investor ID],INVESTORS_LIST[[#This Row],[INVESTOR CODE]],LS[B/S],"B"))</f>
        <v>0</v>
      </c>
      <c r="I81" s="48">
        <f>IF(INVESTORS_LIST[[#This Row],[LS_TOTAL UNITS SOLD]]=0,0,SUMIFS(LS[Cost of Units Sold],LS[Investor ID],INVESTORS_LIST[[#This Row],[INVESTOR CODE]],LS[B/S],"S"))</f>
        <v>0</v>
      </c>
      <c r="J81" s="48">
        <f>IF(INVESTORS_LIST[[#This Row],[LS_TOTAL CURRENT UNITS]]=0,0,INVESTORS_LIST[[#This Row],[LS_TOTAL CURRENT UNITS]]*INVESTORS_LIST[[#This Row],[LS_AVERAGE COST]])</f>
        <v>0</v>
      </c>
      <c r="K81" s="49">
        <f>IF(INVESTORS_LIST[[#This Row],[LS_TOTAL UNITS SOLD]]=0,0,SUMIFS(LS[Realized Gain],LS[Investor ID],INVESTORS_LIST[[#This Row],[INVESTOR CODE]],LS[B/S],"S"))</f>
        <v>0</v>
      </c>
      <c r="L81" s="47">
        <f>SUMIFS(SIP[Unit],SIP[Investor ID],INVESTORS_LIST[[#This Row],[INVESTOR CODE]],SIP[B/S],"B")</f>
        <v>0</v>
      </c>
      <c r="M81" s="47">
        <f>-SUMIFS(SIP[Unit],SIP[Investor ID],INVESTORS_LIST[[#This Row],[INVESTOR CODE]],SIP[B/S],"S")</f>
        <v>0</v>
      </c>
      <c r="N81" s="50">
        <f>IF(INVESTORS_LIST[[#This Row],[SIP_TOTAL UNITS BUY]]=0,0,INVESTORS_LIST[[#This Row],[SIP_TOTAL UNITS BUY]]-INVESTORS_LIST[[#This Row],[SIP_TOTAL UNITS SOLD]])</f>
        <v>0</v>
      </c>
      <c r="O81" s="49">
        <f>IF(INVESTORS_LIST[[#This Row],[SIP_TOTAL UNITS BUY]]=0,0,SUMIFS(SIP[Amount],SIP[Investor ID],INVESTORS_LIST[[#This Row],[INVESTOR CODE]],SIP[B/S],"B"))</f>
        <v>0</v>
      </c>
      <c r="P81" s="49">
        <f>IF(INVESTORS_LIST[[#This Row],[SIP_TOTAL UNITS SOLD]]=0,0,SUMIFS(SIP[Cost of Units Sold],SIP[Investor ID],INVESTORS_LIST[[#This Row],[INVESTOR CODE]],SIP[B/S],"S"))</f>
        <v>0</v>
      </c>
      <c r="Q81" s="48">
        <f>IF(INVESTORS_LIST[[#This Row],[SIP_TOTAL CURRENT UNITS]]=0,0,INVESTORS_LIST[[#This Row],[SIP_TOTAL CURRENT UNITS]]*INVESTORS_LIST[[#This Row],[SIP_AVERAGE COST]])</f>
        <v>0</v>
      </c>
      <c r="R81" s="48">
        <f>IF(INVESTORS_LIST[[#This Row],[SIP_TOTAL UNITS SOLD]]=0,0,SUMIFS(SIP[Realized Gain],SIP[Investor ID],INVESTORS_LIST[[#This Row],[INVESTOR CODE]],SIP[B/S],"S"))</f>
        <v>0</v>
      </c>
      <c r="S81" s="50">
        <f>INVESTORS_LIST[[#This Row],[LS_TOTAL UNITS BUY]]+INVESTORS_LIST[[#This Row],[SIP_TOTAL UNITS BUY]]</f>
        <v>0</v>
      </c>
      <c r="T81" s="50">
        <f>INVESTORS_LIST[[#This Row],[LS_TOTAL UNITS SOLD]]+INVESTORS_LIST[[#This Row],[SIP_TOTAL UNITS SOLD]]</f>
        <v>0</v>
      </c>
      <c r="U81" s="50"/>
      <c r="V81" s="50">
        <f>SUMIFS(LS[BO UNIT TRANSFER],LS[Investor ID],INVESTORS_LIST[[#This Row],[INVESTOR CODE]],LS[B/S],"B")</f>
        <v>0</v>
      </c>
      <c r="W81" s="50">
        <f>SUMIFS(SIP[BO UNIT TRANSFER],SIP[Investor ID],INVESTORS_LIST[[#This Row],[INVESTOR CODE]],SIP[B/S],"B")</f>
        <v>0</v>
      </c>
      <c r="X81" s="50">
        <f>SUMIFS(LS[BO UNIT TRANSFER],LS[Investor ID],INVESTORS_LIST[[#This Row],[INVESTOR CODE]],LS[B/S],"S")</f>
        <v>0</v>
      </c>
      <c r="Y81" s="50">
        <f>SUMIFS(SIP[BO UNIT TRANSFER],SIP[Investor ID],INVESTORS_LIST[[#This Row],[INVESTOR CODE]],SIP[B/S],"S")</f>
        <v>0</v>
      </c>
      <c r="Z81" s="106">
        <f>SUM(INVESTORS_LIST[[#This Row],[BO OPENING BALANCE]:[BO SIP UNITS REPURCHASE]])</f>
        <v>0</v>
      </c>
      <c r="AA81" s="107">
        <f>INVESTORS_LIST[[#This Row],[TOTAL UNITS BUY]]-INVESTORS_LIST[[#This Row],[TOTAL UNITS SOLD]]</f>
        <v>0</v>
      </c>
      <c r="AB81" s="107">
        <f>INVESTORS_LIST[[#This Row],[TOTAL CURRENT UNITS]]-INVESTORS_LIST[[#This Row],[BO UNITS HOLD]]</f>
        <v>0</v>
      </c>
      <c r="AC81" s="201" t="e">
        <f>INDEX([3]!Table_1[BO ID],MATCH(INVESTORS_LIST[[#This Row],[INVESTOR CODE]],[3]!Table_1[INVESTOR CODE],0))</f>
        <v>#REF!</v>
      </c>
      <c r="AD81" s="201" t="e">
        <f>INDEX([3]!Table_1[Brokerage Name2],MATCH(INVESTORS_LIST[[#This Row],[INVESTOR CODE]],[3]!Table_1[INVESTOR CODE],0))</f>
        <v>#REF!</v>
      </c>
      <c r="AE81" s="201" t="e">
        <f>MID(INVESTORS_LIST[[#This Row],[BO ID]],4,5)</f>
        <v>#REF!</v>
      </c>
      <c r="AF81" s="201" t="e">
        <f>MID(INVESTORS_LIST[[#This Row],[BO ID]],2,7)</f>
        <v>#REF!</v>
      </c>
      <c r="AG81" s="201" t="e">
        <f>MID(INVESTORS_LIST[[#This Row],[BO ID]],9,7)</f>
        <v>#REF!</v>
      </c>
      <c r="AH81" s="201" t="e">
        <f>RIGHT(INVESTORS_LIST[[#This Row],[BO ID]],1)</f>
        <v>#REF!</v>
      </c>
      <c r="AI81" s="50">
        <f>INVESTORS_LIST[[#This Row],[LS_TOTAL COST VALUE OF CURRENT UNITS]]+INVESTORS_LIST[[#This Row],[SIP_TOTAL COST VALUE OF CURRENT UNITS]]</f>
        <v>0</v>
      </c>
      <c r="AJ81" s="109">
        <f>IF(INVESTORS_LIST[[#This Row],[TOTAL CURRENT UNITS]]=0,0,INVESTORS_LIST[[#This Row],[LS_TOTAL CURRENT UNITS]]/INVESTORS_LIST[[#This Row],[TOTAL CURRENT UNITS]])</f>
        <v>0</v>
      </c>
      <c r="AK81" s="109">
        <f>IF(INVESTORS_LIST[[#This Row],[TOTAL CURRENT UNITS]]=0,0,INVESTORS_LIST[[#This Row],[SIP_TOTAL CURRENT UNITS]]/INVESTORS_LIST[[#This Row],[TOTAL CURRENT UNITS]])</f>
        <v>0</v>
      </c>
      <c r="AL81" s="49" cm="1">
        <f t="array" ref="AL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1" s="49" cm="1">
        <f t="array" ref="AM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1" s="105">
        <f t="shared" si="2"/>
        <v>14.224</v>
      </c>
      <c r="AP81" s="112">
        <f>IF(INVESTORS_LIST[[#This Row],[TOTAL CURRENT UNITS]]=0,0,INVESTORS_LIST[[#This Row],[TOTAL CURRENT UNITS]]*INVESTORS_LIST[[#This Row],[NAV]])</f>
        <v>0</v>
      </c>
      <c r="AQ81" s="49">
        <f>IF(INVESTORS_LIST[[#This Row],[LS_TOTAL CURRENT UNITS]]=0,0,INVESTORS_LIST[[#This Row],[LS_TOTAL CURRENT UNITS]]*INVESTORS_LIST[[#This Row],[NAV]])</f>
        <v>0</v>
      </c>
      <c r="AR81" s="48">
        <f>IF(INVESTORS_LIST[[#This Row],[SIP_TOTAL CURRENT UNITS]]=0,0,INVESTORS_LIST[[#This Row],[SIP_TOTAL CURRENT UNITS]]*INVESTORS_LIST[[#This Row],[NAV]])</f>
        <v>0</v>
      </c>
      <c r="AS81" s="50">
        <f>INVESTORS_LIST[[#This Row],[TOTAL CURRENT UNITS]]</f>
        <v>0</v>
      </c>
      <c r="AT81" s="48">
        <f>IF(INVESTORS_LIST[[#This Row],[TOTAL SELLABLE UNITS]]=0,0,INVESTORS_LIST[[#This Row],[TOTAL SELLABLE UNITS]]*INVESTORS_LIST[[#This Row],[NAV]])</f>
        <v>0</v>
      </c>
      <c r="AU81" s="48">
        <f>INVESTORS_LIST[[#This Row],[LS_TOTAL REALIZED GAIN]]+INVESTORS_LIST[[#This Row],[SIP_TOTAL REALIZED GAIN]]</f>
        <v>0</v>
      </c>
      <c r="AV81" s="48">
        <f>INVESTORS_LIST[[#This Row],[TOTAL MARKET VALUE]]-INVESTORS_LIST[[#This Row],[TOTAL COST VALUE OF CURRENT INVESTMENT]]</f>
        <v>0</v>
      </c>
      <c r="AW81" s="48">
        <f>IFERROR(INVESTORS_LIST[[#This Row],[TOTAL CURRENT UNITS]]/SUM(INVESTORS_LIST[TOTAL CURRENT UNITS]),0)</f>
        <v>0</v>
      </c>
    </row>
    <row r="82" spans="1:49" hidden="1">
      <c r="A82" s="262" t="s">
        <v>211</v>
      </c>
      <c r="B82" s="97" t="s">
        <v>212</v>
      </c>
      <c r="C82" t="s">
        <v>44</v>
      </c>
      <c r="D82" s="75" t="s">
        <v>45</v>
      </c>
      <c r="E82" s="47">
        <f>SUMIFS(LS[Unit],LS[Investor ID],INVESTORS_LIST[[#This Row],[INVESTOR CODE]],LS[B/S],"B")</f>
        <v>0</v>
      </c>
      <c r="F82" s="47">
        <f>-SUMIFS(LS[Unit],LS[Investor ID],INVESTORS_LIST[[#This Row],[INVESTOR CODE]],LS[B/S],"S")</f>
        <v>0</v>
      </c>
      <c r="G82" s="47">
        <f>IF(INVESTORS_LIST[[#This Row],[LS_TOTAL UNITS BUY]]=0,0,INVESTORS_LIST[[#This Row],[LS_TOTAL UNITS BUY]]-INVESTORS_LIST[[#This Row],[LS_TOTAL UNITS SOLD]])</f>
        <v>0</v>
      </c>
      <c r="H82" s="49">
        <f>IF(INVESTORS_LIST[[#This Row],[LS_TOTAL UNITS BUY]]=0,0,SUMIFS(LS[Amount],LS[Investor ID],INVESTORS_LIST[[#This Row],[INVESTOR CODE]],LS[B/S],"B"))</f>
        <v>0</v>
      </c>
      <c r="I82" s="48">
        <f>IF(INVESTORS_LIST[[#This Row],[LS_TOTAL UNITS SOLD]]=0,0,SUMIFS(LS[Cost of Units Sold],LS[Investor ID],INVESTORS_LIST[[#This Row],[INVESTOR CODE]],LS[B/S],"S"))</f>
        <v>0</v>
      </c>
      <c r="J82" s="48">
        <f>IF(INVESTORS_LIST[[#This Row],[LS_TOTAL CURRENT UNITS]]=0,0,INVESTORS_LIST[[#This Row],[LS_TOTAL CURRENT UNITS]]*INVESTORS_LIST[[#This Row],[LS_AVERAGE COST]])</f>
        <v>0</v>
      </c>
      <c r="K82" s="49">
        <f>IF(INVESTORS_LIST[[#This Row],[LS_TOTAL UNITS SOLD]]=0,0,SUMIFS(LS[Realized Gain],LS[Investor ID],INVESTORS_LIST[[#This Row],[INVESTOR CODE]],LS[B/S],"S"))</f>
        <v>0</v>
      </c>
      <c r="L82" s="47">
        <f>SUMIFS(SIP[Unit],SIP[Investor ID],INVESTORS_LIST[[#This Row],[INVESTOR CODE]],SIP[B/S],"B")</f>
        <v>0</v>
      </c>
      <c r="M82" s="47">
        <f>-SUMIFS(SIP[Unit],SIP[Investor ID],INVESTORS_LIST[[#This Row],[INVESTOR CODE]],SIP[B/S],"S")</f>
        <v>0</v>
      </c>
      <c r="N82" s="50">
        <f>IF(INVESTORS_LIST[[#This Row],[SIP_TOTAL UNITS BUY]]=0,0,INVESTORS_LIST[[#This Row],[SIP_TOTAL UNITS BUY]]-INVESTORS_LIST[[#This Row],[SIP_TOTAL UNITS SOLD]])</f>
        <v>0</v>
      </c>
      <c r="O82" s="49">
        <f>IF(INVESTORS_LIST[[#This Row],[SIP_TOTAL UNITS BUY]]=0,0,SUMIFS(SIP[Amount],SIP[Investor ID],INVESTORS_LIST[[#This Row],[INVESTOR CODE]],SIP[B/S],"B"))</f>
        <v>0</v>
      </c>
      <c r="P82" s="49">
        <f>IF(INVESTORS_LIST[[#This Row],[SIP_TOTAL UNITS SOLD]]=0,0,SUMIFS(SIP[Cost of Units Sold],SIP[Investor ID],INVESTORS_LIST[[#This Row],[INVESTOR CODE]],SIP[B/S],"S"))</f>
        <v>0</v>
      </c>
      <c r="Q82" s="48">
        <f>IF(INVESTORS_LIST[[#This Row],[SIP_TOTAL CURRENT UNITS]]=0,0,INVESTORS_LIST[[#This Row],[SIP_TOTAL CURRENT UNITS]]*INVESTORS_LIST[[#This Row],[SIP_AVERAGE COST]])</f>
        <v>0</v>
      </c>
      <c r="R82" s="48">
        <f>IF(INVESTORS_LIST[[#This Row],[SIP_TOTAL UNITS SOLD]]=0,0,SUMIFS(SIP[Realized Gain],SIP[Investor ID],INVESTORS_LIST[[#This Row],[INVESTOR CODE]],SIP[B/S],"S"))</f>
        <v>0</v>
      </c>
      <c r="S82" s="50">
        <f>INVESTORS_LIST[[#This Row],[LS_TOTAL UNITS BUY]]+INVESTORS_LIST[[#This Row],[SIP_TOTAL UNITS BUY]]</f>
        <v>0</v>
      </c>
      <c r="T82" s="50">
        <f>INVESTORS_LIST[[#This Row],[LS_TOTAL UNITS SOLD]]+INVESTORS_LIST[[#This Row],[SIP_TOTAL UNITS SOLD]]</f>
        <v>0</v>
      </c>
      <c r="U82" s="50"/>
      <c r="V82" s="50">
        <f>SUMIFS(LS[BO UNIT TRANSFER],LS[Investor ID],INVESTORS_LIST[[#This Row],[INVESTOR CODE]],LS[B/S],"B")</f>
        <v>0</v>
      </c>
      <c r="W82" s="50">
        <f>SUMIFS(SIP[BO UNIT TRANSFER],SIP[Investor ID],INVESTORS_LIST[[#This Row],[INVESTOR CODE]],SIP[B/S],"B")</f>
        <v>0</v>
      </c>
      <c r="X82" s="50">
        <f>SUMIFS(LS[BO UNIT TRANSFER],LS[Investor ID],INVESTORS_LIST[[#This Row],[INVESTOR CODE]],LS[B/S],"S")</f>
        <v>0</v>
      </c>
      <c r="Y82" s="50">
        <f>SUMIFS(SIP[BO UNIT TRANSFER],SIP[Investor ID],INVESTORS_LIST[[#This Row],[INVESTOR CODE]],SIP[B/S],"S")</f>
        <v>0</v>
      </c>
      <c r="Z82" s="106">
        <f>SUM(INVESTORS_LIST[[#This Row],[BO OPENING BALANCE]:[BO SIP UNITS REPURCHASE]])</f>
        <v>0</v>
      </c>
      <c r="AA82" s="107">
        <f>INVESTORS_LIST[[#This Row],[TOTAL UNITS BUY]]-INVESTORS_LIST[[#This Row],[TOTAL UNITS SOLD]]</f>
        <v>0</v>
      </c>
      <c r="AB82" s="107">
        <f>INVESTORS_LIST[[#This Row],[TOTAL CURRENT UNITS]]-INVESTORS_LIST[[#This Row],[BO UNITS HOLD]]</f>
        <v>0</v>
      </c>
      <c r="AC82" s="201" t="e">
        <f>INDEX([3]!Table_1[BO ID],MATCH(INVESTORS_LIST[[#This Row],[INVESTOR CODE]],[3]!Table_1[INVESTOR CODE],0))</f>
        <v>#REF!</v>
      </c>
      <c r="AD82" s="201" t="e">
        <f>INDEX([3]!Table_1[Brokerage Name2],MATCH(INVESTORS_LIST[[#This Row],[INVESTOR CODE]],[3]!Table_1[INVESTOR CODE],0))</f>
        <v>#REF!</v>
      </c>
      <c r="AE82" s="201" t="e">
        <f>MID(INVESTORS_LIST[[#This Row],[BO ID]],4,5)</f>
        <v>#REF!</v>
      </c>
      <c r="AF82" s="201" t="e">
        <f>MID(INVESTORS_LIST[[#This Row],[BO ID]],2,7)</f>
        <v>#REF!</v>
      </c>
      <c r="AG82" s="201" t="e">
        <f>MID(INVESTORS_LIST[[#This Row],[BO ID]],9,7)</f>
        <v>#REF!</v>
      </c>
      <c r="AH82" s="201" t="e">
        <f>RIGHT(INVESTORS_LIST[[#This Row],[BO ID]],1)</f>
        <v>#REF!</v>
      </c>
      <c r="AI82" s="50">
        <f>INVESTORS_LIST[[#This Row],[LS_TOTAL COST VALUE OF CURRENT UNITS]]+INVESTORS_LIST[[#This Row],[SIP_TOTAL COST VALUE OF CURRENT UNITS]]</f>
        <v>0</v>
      </c>
      <c r="AJ82" s="109">
        <f>IF(INVESTORS_LIST[[#This Row],[TOTAL CURRENT UNITS]]=0,0,INVESTORS_LIST[[#This Row],[LS_TOTAL CURRENT UNITS]]/INVESTORS_LIST[[#This Row],[TOTAL CURRENT UNITS]])</f>
        <v>0</v>
      </c>
      <c r="AK82" s="109">
        <f>IF(INVESTORS_LIST[[#This Row],[TOTAL CURRENT UNITS]]=0,0,INVESTORS_LIST[[#This Row],[SIP_TOTAL CURRENT UNITS]]/INVESTORS_LIST[[#This Row],[TOTAL CURRENT UNITS]])</f>
        <v>0</v>
      </c>
      <c r="AL82" s="49" cm="1">
        <f t="array" ref="AL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2" s="49" cm="1">
        <f t="array" ref="AM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2" s="105">
        <f t="shared" si="2"/>
        <v>14.224</v>
      </c>
      <c r="AP82" s="112">
        <f>IF(INVESTORS_LIST[[#This Row],[TOTAL CURRENT UNITS]]=0,0,INVESTORS_LIST[[#This Row],[TOTAL CURRENT UNITS]]*INVESTORS_LIST[[#This Row],[NAV]])</f>
        <v>0</v>
      </c>
      <c r="AQ82" s="49">
        <f>IF(INVESTORS_LIST[[#This Row],[LS_TOTAL CURRENT UNITS]]=0,0,INVESTORS_LIST[[#This Row],[LS_TOTAL CURRENT UNITS]]*INVESTORS_LIST[[#This Row],[NAV]])</f>
        <v>0</v>
      </c>
      <c r="AR82" s="48">
        <f>IF(INVESTORS_LIST[[#This Row],[SIP_TOTAL CURRENT UNITS]]=0,0,INVESTORS_LIST[[#This Row],[SIP_TOTAL CURRENT UNITS]]*INVESTORS_LIST[[#This Row],[NAV]])</f>
        <v>0</v>
      </c>
      <c r="AS82" s="50">
        <f>INVESTORS_LIST[[#This Row],[TOTAL CURRENT UNITS]]</f>
        <v>0</v>
      </c>
      <c r="AT82" s="48">
        <f>IF(INVESTORS_LIST[[#This Row],[TOTAL SELLABLE UNITS]]=0,0,INVESTORS_LIST[[#This Row],[TOTAL SELLABLE UNITS]]*INVESTORS_LIST[[#This Row],[NAV]])</f>
        <v>0</v>
      </c>
      <c r="AU82" s="48">
        <f>INVESTORS_LIST[[#This Row],[LS_TOTAL REALIZED GAIN]]+INVESTORS_LIST[[#This Row],[SIP_TOTAL REALIZED GAIN]]</f>
        <v>0</v>
      </c>
      <c r="AV82" s="48">
        <f>INVESTORS_LIST[[#This Row],[TOTAL MARKET VALUE]]-INVESTORS_LIST[[#This Row],[TOTAL COST VALUE OF CURRENT INVESTMENT]]</f>
        <v>0</v>
      </c>
      <c r="AW82" s="48">
        <f>IFERROR(INVESTORS_LIST[[#This Row],[TOTAL CURRENT UNITS]]/SUM(INVESTORS_LIST[TOTAL CURRENT UNITS]),0)</f>
        <v>0</v>
      </c>
    </row>
    <row r="83" spans="1:49">
      <c r="A83" s="262" t="s">
        <v>213</v>
      </c>
      <c r="B83" s="97" t="s">
        <v>214</v>
      </c>
      <c r="C83" t="s">
        <v>52</v>
      </c>
      <c r="D83" s="75" t="s">
        <v>45</v>
      </c>
      <c r="E83" s="47">
        <f>SUMIFS(LS[Unit],LS[Investor ID],INVESTORS_LIST[[#This Row],[INVESTOR CODE]],LS[B/S],"B")</f>
        <v>140999</v>
      </c>
      <c r="F83" s="47">
        <f>-SUMIFS(LS[Unit],LS[Investor ID],INVESTORS_LIST[[#This Row],[INVESTOR CODE]],LS[B/S],"S")</f>
        <v>104296</v>
      </c>
      <c r="G83" s="47">
        <f>IF(INVESTORS_LIST[[#This Row],[LS_TOTAL UNITS BUY]]=0,0,INVESTORS_LIST[[#This Row],[LS_TOTAL UNITS BUY]]-INVESTORS_LIST[[#This Row],[LS_TOTAL UNITS SOLD]])</f>
        <v>36703</v>
      </c>
      <c r="H83" s="49">
        <f>IF(INVESTORS_LIST[[#This Row],[LS_TOTAL UNITS BUY]]=0,0,SUMIFS(LS[Amount],LS[Investor ID],INVESTORS_LIST[[#This Row],[INVESTOR CODE]],LS[B/S],"B"))</f>
        <v>1475000</v>
      </c>
      <c r="I83" s="48">
        <f>IF(INVESTORS_LIST[[#This Row],[LS_TOTAL UNITS SOLD]]=0,0,SUMIFS(LS[Cost of Units Sold],LS[Investor ID],INVESTORS_LIST[[#This Row],[INVESTOR CODE]],LS[B/S],"S"))</f>
        <v>1091047.4542372641</v>
      </c>
      <c r="J83" s="48">
        <f>IF(INVESTORS_LIST[[#This Row],[LS_TOTAL CURRENT UNITS]]=0,0,INVESTORS_LIST[[#This Row],[LS_TOTAL CURRENT UNITS]]*INVESTORS_LIST[[#This Row],[LS_AVERAGE COST]])</f>
        <v>383952.54576273594</v>
      </c>
      <c r="K83" s="49">
        <f>IF(INVESTORS_LIST[[#This Row],[LS_TOTAL UNITS SOLD]]=0,0,SUMIFS(LS[Realized Gain],LS[Investor ID],INVESTORS_LIST[[#This Row],[INVESTOR CODE]],LS[B/S],"S"))</f>
        <v>208952.54576273583</v>
      </c>
      <c r="L83" s="47">
        <f>SUMIFS(SIP[Unit],SIP[Investor ID],INVESTORS_LIST[[#This Row],[INVESTOR CODE]],SIP[B/S],"B")</f>
        <v>0</v>
      </c>
      <c r="M83" s="47">
        <f>-SUMIFS(SIP[Unit],SIP[Investor ID],INVESTORS_LIST[[#This Row],[INVESTOR CODE]],SIP[B/S],"S")</f>
        <v>0</v>
      </c>
      <c r="N83" s="50">
        <f>IF(INVESTORS_LIST[[#This Row],[SIP_TOTAL UNITS BUY]]=0,0,INVESTORS_LIST[[#This Row],[SIP_TOTAL UNITS BUY]]-INVESTORS_LIST[[#This Row],[SIP_TOTAL UNITS SOLD]])</f>
        <v>0</v>
      </c>
      <c r="O83" s="49">
        <f>IF(INVESTORS_LIST[[#This Row],[SIP_TOTAL UNITS BUY]]=0,0,SUMIFS(SIP[Amount],SIP[Investor ID],INVESTORS_LIST[[#This Row],[INVESTOR CODE]],SIP[B/S],"B"))</f>
        <v>0</v>
      </c>
      <c r="P83" s="49">
        <f>IF(INVESTORS_LIST[[#This Row],[SIP_TOTAL UNITS SOLD]]=0,0,SUMIFS(SIP[Cost of Units Sold],SIP[Investor ID],INVESTORS_LIST[[#This Row],[INVESTOR CODE]],SIP[B/S],"S"))</f>
        <v>0</v>
      </c>
      <c r="Q83" s="48">
        <f>IF(INVESTORS_LIST[[#This Row],[SIP_TOTAL CURRENT UNITS]]=0,0,INVESTORS_LIST[[#This Row],[SIP_TOTAL CURRENT UNITS]]*INVESTORS_LIST[[#This Row],[SIP_AVERAGE COST]])</f>
        <v>0</v>
      </c>
      <c r="R83" s="48">
        <f>IF(INVESTORS_LIST[[#This Row],[SIP_TOTAL UNITS SOLD]]=0,0,SUMIFS(SIP[Realized Gain],SIP[Investor ID],INVESTORS_LIST[[#This Row],[INVESTOR CODE]],SIP[B/S],"S"))</f>
        <v>0</v>
      </c>
      <c r="S83" s="50">
        <f>INVESTORS_LIST[[#This Row],[LS_TOTAL UNITS BUY]]+INVESTORS_LIST[[#This Row],[SIP_TOTAL UNITS BUY]]</f>
        <v>140999</v>
      </c>
      <c r="T83" s="50">
        <f>INVESTORS_LIST[[#This Row],[LS_TOTAL UNITS SOLD]]+INVESTORS_LIST[[#This Row],[SIP_TOTAL UNITS SOLD]]</f>
        <v>104296</v>
      </c>
      <c r="U83" s="50"/>
      <c r="V83" s="50">
        <f>SUMIFS(LS[BO UNIT TRANSFER],LS[Investor ID],INVESTORS_LIST[[#This Row],[INVESTOR CODE]],LS[B/S],"B")</f>
        <v>0</v>
      </c>
      <c r="W83" s="50">
        <f>SUMIFS(SIP[BO UNIT TRANSFER],SIP[Investor ID],INVESTORS_LIST[[#This Row],[INVESTOR CODE]],SIP[B/S],"B")</f>
        <v>0</v>
      </c>
      <c r="X83" s="50">
        <f>SUMIFS(LS[BO UNIT TRANSFER],LS[Investor ID],INVESTORS_LIST[[#This Row],[INVESTOR CODE]],LS[B/S],"S")</f>
        <v>0</v>
      </c>
      <c r="Y83" s="50">
        <f>SUMIFS(SIP[BO UNIT TRANSFER],SIP[Investor ID],INVESTORS_LIST[[#This Row],[INVESTOR CODE]],SIP[B/S],"S")</f>
        <v>0</v>
      </c>
      <c r="Z83" s="106">
        <f>SUM(INVESTORS_LIST[[#This Row],[BO OPENING BALANCE]:[BO SIP UNITS REPURCHASE]])</f>
        <v>0</v>
      </c>
      <c r="AA83" s="107">
        <f>INVESTORS_LIST[[#This Row],[TOTAL UNITS BUY]]-INVESTORS_LIST[[#This Row],[TOTAL UNITS SOLD]]</f>
        <v>36703</v>
      </c>
      <c r="AB83" s="107">
        <f>INVESTORS_LIST[[#This Row],[TOTAL CURRENT UNITS]]-INVESTORS_LIST[[#This Row],[BO UNITS HOLD]]</f>
        <v>36703</v>
      </c>
      <c r="AC83" s="201" t="e">
        <f>INDEX([3]!Table_1[BO ID],MATCH(INVESTORS_LIST[[#This Row],[INVESTOR CODE]],[3]!Table_1[INVESTOR CODE],0))</f>
        <v>#REF!</v>
      </c>
      <c r="AD83" s="201" t="e">
        <f>INDEX([3]!Table_1[Brokerage Name2],MATCH(INVESTORS_LIST[[#This Row],[INVESTOR CODE]],[3]!Table_1[INVESTOR CODE],0))</f>
        <v>#REF!</v>
      </c>
      <c r="AE83" s="201" t="e">
        <f>MID(INVESTORS_LIST[[#This Row],[BO ID]],4,5)</f>
        <v>#REF!</v>
      </c>
      <c r="AF83" s="201" t="e">
        <f>MID(INVESTORS_LIST[[#This Row],[BO ID]],2,7)</f>
        <v>#REF!</v>
      </c>
      <c r="AG83" s="201" t="e">
        <f>MID(INVESTORS_LIST[[#This Row],[BO ID]],9,7)</f>
        <v>#REF!</v>
      </c>
      <c r="AH83" s="201" t="e">
        <f>RIGHT(INVESTORS_LIST[[#This Row],[BO ID]],1)</f>
        <v>#REF!</v>
      </c>
      <c r="AI83" s="50">
        <f>INVESTORS_LIST[[#This Row],[LS_TOTAL COST VALUE OF CURRENT UNITS]]+INVESTORS_LIST[[#This Row],[SIP_TOTAL COST VALUE OF CURRENT UNITS]]</f>
        <v>383952.54576273594</v>
      </c>
      <c r="AJ83" s="109">
        <f>IF(INVESTORS_LIST[[#This Row],[TOTAL CURRENT UNITS]]=0,0,INVESTORS_LIST[[#This Row],[LS_TOTAL CURRENT UNITS]]/INVESTORS_LIST[[#This Row],[TOTAL CURRENT UNITS]])</f>
        <v>1</v>
      </c>
      <c r="AK83" s="109">
        <f>IF(INVESTORS_LIST[[#This Row],[TOTAL CURRENT UNITS]]=0,0,INVESTORS_LIST[[#This Row],[SIP_TOTAL CURRENT UNITS]]/INVESTORS_LIST[[#This Row],[TOTAL CURRENT UNITS]])</f>
        <v>0</v>
      </c>
      <c r="AL83" s="49" cm="1">
        <f t="array" ref="AL83">IF(INVESTORS_LIST[[#This Row],[LS_TOTAL UNITS BUY]]&gt;0,INDEX(LS[NAV at Cost (Average)],MATCH(CONCATENATE(COUNTIFS(LS[Investor ID],INVESTORS_LIST[[#This Row],[INVESTOR CODE]]),INVESTORS_LIST[[#This Row],[INVESTOR CODE]]),LS[Unique Code],0),),0)</f>
        <v>10.461067099766666</v>
      </c>
      <c r="AM83" s="49" cm="1">
        <f t="array" ref="AM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3" s="105">
        <f>IF(INVESTORS_LIST[[#This Row],[TOTAL CURRENT UNITS]]=0,0,(INVESTORS_LIST[[#This Row],[LS_WEIGHT]]*INVESTORS_LIST[[#This Row],[LS_AVERAGE COST]])+(INVESTORS_LIST[[#This Row],[SIP_WEIGHT]]*INVESTORS_LIST[[#This Row],[SIP_AVERAGE COST]]))</f>
        <v>10.461067099766666</v>
      </c>
      <c r="AO83" s="105">
        <f t="shared" si="2"/>
        <v>14.224</v>
      </c>
      <c r="AP83" s="112">
        <f>IF(INVESTORS_LIST[[#This Row],[TOTAL CURRENT UNITS]]=0,0,INVESTORS_LIST[[#This Row],[TOTAL CURRENT UNITS]]*INVESTORS_LIST[[#This Row],[NAV]])</f>
        <v>522063.47200000001</v>
      </c>
      <c r="AQ83" s="49">
        <f>IF(INVESTORS_LIST[[#This Row],[LS_TOTAL CURRENT UNITS]]=0,0,INVESTORS_LIST[[#This Row],[LS_TOTAL CURRENT UNITS]]*INVESTORS_LIST[[#This Row],[NAV]])</f>
        <v>522063.47200000001</v>
      </c>
      <c r="AR83" s="48">
        <f>IF(INVESTORS_LIST[[#This Row],[SIP_TOTAL CURRENT UNITS]]=0,0,INVESTORS_LIST[[#This Row],[SIP_TOTAL CURRENT UNITS]]*INVESTORS_LIST[[#This Row],[NAV]])</f>
        <v>0</v>
      </c>
      <c r="AS83" s="50">
        <f>INVESTORS_LIST[[#This Row],[TOTAL CURRENT UNITS]]</f>
        <v>36703</v>
      </c>
      <c r="AT83" s="48">
        <f>IF(INVESTORS_LIST[[#This Row],[TOTAL SELLABLE UNITS]]=0,0,INVESTORS_LIST[[#This Row],[TOTAL SELLABLE UNITS]]*INVESTORS_LIST[[#This Row],[NAV]])</f>
        <v>522063.47200000001</v>
      </c>
      <c r="AU83" s="48">
        <f>INVESTORS_LIST[[#This Row],[LS_TOTAL REALIZED GAIN]]+INVESTORS_LIST[[#This Row],[SIP_TOTAL REALIZED GAIN]]</f>
        <v>208952.54576273583</v>
      </c>
      <c r="AV83" s="48">
        <f>INVESTORS_LIST[[#This Row],[TOTAL MARKET VALUE]]-INVESTORS_LIST[[#This Row],[TOTAL COST VALUE OF CURRENT INVESTMENT]]</f>
        <v>138110.92623726407</v>
      </c>
      <c r="AW83" s="108">
        <f>IFERROR(INVESTORS_LIST[[#This Row],[TOTAL CURRENT UNITS]]/SUM(INVESTORS_LIST[TOTAL CURRENT UNITS]),0)</f>
        <v>8.9100965841069251E-4</v>
      </c>
    </row>
    <row r="84" spans="1:49" hidden="1">
      <c r="A84" s="262" t="s">
        <v>215</v>
      </c>
      <c r="B84" s="97" t="s">
        <v>216</v>
      </c>
      <c r="C84" t="s">
        <v>44</v>
      </c>
      <c r="D84" s="75" t="s">
        <v>45</v>
      </c>
      <c r="E84" s="47">
        <f>SUMIFS(LS[Unit],LS[Investor ID],INVESTORS_LIST[[#This Row],[INVESTOR CODE]],LS[B/S],"B")</f>
        <v>110532</v>
      </c>
      <c r="F84" s="47">
        <f>-SUMIFS(LS[Unit],LS[Investor ID],INVESTORS_LIST[[#This Row],[INVESTOR CODE]],LS[B/S],"S")</f>
        <v>110532</v>
      </c>
      <c r="G84" s="47">
        <f>IF(INVESTORS_LIST[[#This Row],[LS_TOTAL UNITS BUY]]=0,0,INVESTORS_LIST[[#This Row],[LS_TOTAL UNITS BUY]]-INVESTORS_LIST[[#This Row],[LS_TOTAL UNITS SOLD]])</f>
        <v>0</v>
      </c>
      <c r="H84" s="49">
        <f>IF(INVESTORS_LIST[[#This Row],[LS_TOTAL UNITS BUY]]=0,0,SUMIFS(LS[Amount],LS[Investor ID],INVESTORS_LIST[[#This Row],[INVESTOR CODE]],LS[B/S],"B"))</f>
        <v>1200000</v>
      </c>
      <c r="I84" s="48">
        <f>IF(INVESTORS_LIST[[#This Row],[LS_TOTAL UNITS SOLD]]=0,0,SUMIFS(LS[Cost of Units Sold],LS[Investor ID],INVESTORS_LIST[[#This Row],[INVESTOR CODE]],LS[B/S],"S"))</f>
        <v>1200000</v>
      </c>
      <c r="J84" s="48">
        <f>IF(INVESTORS_LIST[[#This Row],[LS_TOTAL CURRENT UNITS]]=0,0,INVESTORS_LIST[[#This Row],[LS_TOTAL CURRENT UNITS]]*INVESTORS_LIST[[#This Row],[LS_AVERAGE COST]])</f>
        <v>0</v>
      </c>
      <c r="K84" s="49">
        <f>IF(INVESTORS_LIST[[#This Row],[LS_TOTAL UNITS SOLD]]=0,0,SUMIFS(LS[Realized Gain],LS[Investor ID],INVESTORS_LIST[[#This Row],[INVESTOR CODE]],LS[B/S],"S"))</f>
        <v>309391.6999999999</v>
      </c>
      <c r="L84" s="47">
        <f>SUMIFS(SIP[Unit],SIP[Investor ID],INVESTORS_LIST[[#This Row],[INVESTOR CODE]],SIP[B/S],"B")</f>
        <v>0</v>
      </c>
      <c r="M84" s="47">
        <f>-SUMIFS(SIP[Unit],SIP[Investor ID],INVESTORS_LIST[[#This Row],[INVESTOR CODE]],SIP[B/S],"S")</f>
        <v>0</v>
      </c>
      <c r="N84" s="50">
        <f>IF(INVESTORS_LIST[[#This Row],[SIP_TOTAL UNITS BUY]]=0,0,INVESTORS_LIST[[#This Row],[SIP_TOTAL UNITS BUY]]-INVESTORS_LIST[[#This Row],[SIP_TOTAL UNITS SOLD]])</f>
        <v>0</v>
      </c>
      <c r="O84" s="49">
        <f>IF(INVESTORS_LIST[[#This Row],[SIP_TOTAL UNITS BUY]]=0,0,SUMIFS(SIP[Amount],SIP[Investor ID],INVESTORS_LIST[[#This Row],[INVESTOR CODE]],SIP[B/S],"B"))</f>
        <v>0</v>
      </c>
      <c r="P84" s="49">
        <f>IF(INVESTORS_LIST[[#This Row],[SIP_TOTAL UNITS SOLD]]=0,0,SUMIFS(SIP[Cost of Units Sold],SIP[Investor ID],INVESTORS_LIST[[#This Row],[INVESTOR CODE]],SIP[B/S],"S"))</f>
        <v>0</v>
      </c>
      <c r="Q84" s="48">
        <f>IF(INVESTORS_LIST[[#This Row],[SIP_TOTAL CURRENT UNITS]]=0,0,INVESTORS_LIST[[#This Row],[SIP_TOTAL CURRENT UNITS]]*INVESTORS_LIST[[#This Row],[SIP_AVERAGE COST]])</f>
        <v>0</v>
      </c>
      <c r="R84" s="48">
        <f>IF(INVESTORS_LIST[[#This Row],[SIP_TOTAL UNITS SOLD]]=0,0,SUMIFS(SIP[Realized Gain],SIP[Investor ID],INVESTORS_LIST[[#This Row],[INVESTOR CODE]],SIP[B/S],"S"))</f>
        <v>0</v>
      </c>
      <c r="S84" s="50">
        <f>INVESTORS_LIST[[#This Row],[LS_TOTAL UNITS BUY]]+INVESTORS_LIST[[#This Row],[SIP_TOTAL UNITS BUY]]</f>
        <v>110532</v>
      </c>
      <c r="T84" s="50">
        <f>INVESTORS_LIST[[#This Row],[LS_TOTAL UNITS SOLD]]+INVESTORS_LIST[[#This Row],[SIP_TOTAL UNITS SOLD]]</f>
        <v>110532</v>
      </c>
      <c r="U84" s="50"/>
      <c r="V84" s="50">
        <f>SUMIFS(LS[BO UNIT TRANSFER],LS[Investor ID],INVESTORS_LIST[[#This Row],[INVESTOR CODE]],LS[B/S],"B")</f>
        <v>0</v>
      </c>
      <c r="W84" s="50">
        <f>SUMIFS(SIP[BO UNIT TRANSFER],SIP[Investor ID],INVESTORS_LIST[[#This Row],[INVESTOR CODE]],SIP[B/S],"B")</f>
        <v>0</v>
      </c>
      <c r="X84" s="50">
        <f>SUMIFS(LS[BO UNIT TRANSFER],LS[Investor ID],INVESTORS_LIST[[#This Row],[INVESTOR CODE]],LS[B/S],"S")</f>
        <v>0</v>
      </c>
      <c r="Y84" s="50">
        <f>SUMIFS(SIP[BO UNIT TRANSFER],SIP[Investor ID],INVESTORS_LIST[[#This Row],[INVESTOR CODE]],SIP[B/S],"S")</f>
        <v>0</v>
      </c>
      <c r="Z84" s="106">
        <f>SUM(INVESTORS_LIST[[#This Row],[BO OPENING BALANCE]:[BO SIP UNITS REPURCHASE]])</f>
        <v>0</v>
      </c>
      <c r="AA84" s="107">
        <f>INVESTORS_LIST[[#This Row],[TOTAL UNITS BUY]]-INVESTORS_LIST[[#This Row],[TOTAL UNITS SOLD]]</f>
        <v>0</v>
      </c>
      <c r="AB84" s="107">
        <f>INVESTORS_LIST[[#This Row],[TOTAL CURRENT UNITS]]-INVESTORS_LIST[[#This Row],[BO UNITS HOLD]]</f>
        <v>0</v>
      </c>
      <c r="AC84" s="201" t="e">
        <f>INDEX([3]!Table_1[BO ID],MATCH(INVESTORS_LIST[[#This Row],[INVESTOR CODE]],[3]!Table_1[INVESTOR CODE],0))</f>
        <v>#REF!</v>
      </c>
      <c r="AD84" s="201" t="e">
        <f>INDEX([3]!Table_1[Brokerage Name2],MATCH(INVESTORS_LIST[[#This Row],[INVESTOR CODE]],[3]!Table_1[INVESTOR CODE],0))</f>
        <v>#REF!</v>
      </c>
      <c r="AE84" s="201" t="e">
        <f>MID(INVESTORS_LIST[[#This Row],[BO ID]],4,5)</f>
        <v>#REF!</v>
      </c>
      <c r="AF84" s="201" t="e">
        <f>MID(INVESTORS_LIST[[#This Row],[BO ID]],2,7)</f>
        <v>#REF!</v>
      </c>
      <c r="AG84" s="201" t="e">
        <f>MID(INVESTORS_LIST[[#This Row],[BO ID]],9,7)</f>
        <v>#REF!</v>
      </c>
      <c r="AH84" s="201" t="e">
        <f>RIGHT(INVESTORS_LIST[[#This Row],[BO ID]],1)</f>
        <v>#REF!</v>
      </c>
      <c r="AI84" s="50">
        <f>INVESTORS_LIST[[#This Row],[LS_TOTAL COST VALUE OF CURRENT UNITS]]+INVESTORS_LIST[[#This Row],[SIP_TOTAL COST VALUE OF CURRENT UNITS]]</f>
        <v>0</v>
      </c>
      <c r="AJ84" s="109">
        <f>IF(INVESTORS_LIST[[#This Row],[TOTAL CURRENT UNITS]]=0,0,INVESTORS_LIST[[#This Row],[LS_TOTAL CURRENT UNITS]]/INVESTORS_LIST[[#This Row],[TOTAL CURRENT UNITS]])</f>
        <v>0</v>
      </c>
      <c r="AK84" s="109">
        <f>IF(INVESTORS_LIST[[#This Row],[TOTAL CURRENT UNITS]]=0,0,INVESTORS_LIST[[#This Row],[SIP_TOTAL CURRENT UNITS]]/INVESTORS_LIST[[#This Row],[TOTAL CURRENT UNITS]])</f>
        <v>0</v>
      </c>
      <c r="AL84" s="49" cm="1">
        <f t="array" ref="AL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4" s="49" cm="1">
        <f t="array" ref="AM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4" s="105">
        <f t="shared" si="2"/>
        <v>14.224</v>
      </c>
      <c r="AP84" s="112">
        <f>IF(INVESTORS_LIST[[#This Row],[TOTAL CURRENT UNITS]]=0,0,INVESTORS_LIST[[#This Row],[TOTAL CURRENT UNITS]]*INVESTORS_LIST[[#This Row],[NAV]])</f>
        <v>0</v>
      </c>
      <c r="AQ84" s="49">
        <f>IF(INVESTORS_LIST[[#This Row],[LS_TOTAL CURRENT UNITS]]=0,0,INVESTORS_LIST[[#This Row],[LS_TOTAL CURRENT UNITS]]*INVESTORS_LIST[[#This Row],[NAV]])</f>
        <v>0</v>
      </c>
      <c r="AR84" s="48">
        <f>IF(INVESTORS_LIST[[#This Row],[SIP_TOTAL CURRENT UNITS]]=0,0,INVESTORS_LIST[[#This Row],[SIP_TOTAL CURRENT UNITS]]*INVESTORS_LIST[[#This Row],[NAV]])</f>
        <v>0</v>
      </c>
      <c r="AS84" s="50">
        <f>INVESTORS_LIST[[#This Row],[TOTAL CURRENT UNITS]]</f>
        <v>0</v>
      </c>
      <c r="AT84" s="48">
        <f>IF(INVESTORS_LIST[[#This Row],[TOTAL SELLABLE UNITS]]=0,0,INVESTORS_LIST[[#This Row],[TOTAL SELLABLE UNITS]]*INVESTORS_LIST[[#This Row],[NAV]])</f>
        <v>0</v>
      </c>
      <c r="AU84" s="48">
        <f>INVESTORS_LIST[[#This Row],[LS_TOTAL REALIZED GAIN]]+INVESTORS_LIST[[#This Row],[SIP_TOTAL REALIZED GAIN]]</f>
        <v>309391.6999999999</v>
      </c>
      <c r="AV84" s="48">
        <f>INVESTORS_LIST[[#This Row],[TOTAL MARKET VALUE]]-INVESTORS_LIST[[#This Row],[TOTAL COST VALUE OF CURRENT INVESTMENT]]</f>
        <v>0</v>
      </c>
      <c r="AW84" s="48">
        <f>IFERROR(INVESTORS_LIST[[#This Row],[TOTAL CURRENT UNITS]]/SUM(INVESTORS_LIST[TOTAL CURRENT UNITS]),0)</f>
        <v>0</v>
      </c>
    </row>
    <row r="85" spans="1:49" hidden="1">
      <c r="A85" s="262" t="s">
        <v>217</v>
      </c>
      <c r="B85" s="97" t="s">
        <v>218</v>
      </c>
      <c r="C85" t="s">
        <v>44</v>
      </c>
      <c r="D85" s="75" t="s">
        <v>45</v>
      </c>
      <c r="E85" s="47">
        <f>SUMIFS(LS[Unit],LS[Investor ID],INVESTORS_LIST[[#This Row],[INVESTOR CODE]],LS[B/S],"B")</f>
        <v>0</v>
      </c>
      <c r="F85" s="47">
        <f>-SUMIFS(LS[Unit],LS[Investor ID],INVESTORS_LIST[[#This Row],[INVESTOR CODE]],LS[B/S],"S")</f>
        <v>0</v>
      </c>
      <c r="G85" s="47">
        <f>IF(INVESTORS_LIST[[#This Row],[LS_TOTAL UNITS BUY]]=0,0,INVESTORS_LIST[[#This Row],[LS_TOTAL UNITS BUY]]-INVESTORS_LIST[[#This Row],[LS_TOTAL UNITS SOLD]])</f>
        <v>0</v>
      </c>
      <c r="H85" s="49">
        <f>IF(INVESTORS_LIST[[#This Row],[LS_TOTAL UNITS BUY]]=0,0,SUMIFS(LS[Amount],LS[Investor ID],INVESTORS_LIST[[#This Row],[INVESTOR CODE]],LS[B/S],"B"))</f>
        <v>0</v>
      </c>
      <c r="I85" s="48">
        <f>IF(INVESTORS_LIST[[#This Row],[LS_TOTAL UNITS SOLD]]=0,0,SUMIFS(LS[Cost of Units Sold],LS[Investor ID],INVESTORS_LIST[[#This Row],[INVESTOR CODE]],LS[B/S],"S"))</f>
        <v>0</v>
      </c>
      <c r="J85" s="48">
        <f>IF(INVESTORS_LIST[[#This Row],[LS_TOTAL CURRENT UNITS]]=0,0,INVESTORS_LIST[[#This Row],[LS_TOTAL CURRENT UNITS]]*INVESTORS_LIST[[#This Row],[LS_AVERAGE COST]])</f>
        <v>0</v>
      </c>
      <c r="K85" s="49">
        <f>IF(INVESTORS_LIST[[#This Row],[LS_TOTAL UNITS SOLD]]=0,0,SUMIFS(LS[Realized Gain],LS[Investor ID],INVESTORS_LIST[[#This Row],[INVESTOR CODE]],LS[B/S],"S"))</f>
        <v>0</v>
      </c>
      <c r="L85" s="47">
        <f>SUMIFS(SIP[Unit],SIP[Investor ID],INVESTORS_LIST[[#This Row],[INVESTOR CODE]],SIP[B/S],"B")</f>
        <v>0</v>
      </c>
      <c r="M85" s="47">
        <f>-SUMIFS(SIP[Unit],SIP[Investor ID],INVESTORS_LIST[[#This Row],[INVESTOR CODE]],SIP[B/S],"S")</f>
        <v>0</v>
      </c>
      <c r="N85" s="50">
        <f>IF(INVESTORS_LIST[[#This Row],[SIP_TOTAL UNITS BUY]]=0,0,INVESTORS_LIST[[#This Row],[SIP_TOTAL UNITS BUY]]-INVESTORS_LIST[[#This Row],[SIP_TOTAL UNITS SOLD]])</f>
        <v>0</v>
      </c>
      <c r="O85" s="49">
        <f>IF(INVESTORS_LIST[[#This Row],[SIP_TOTAL UNITS BUY]]=0,0,SUMIFS(SIP[Amount],SIP[Investor ID],INVESTORS_LIST[[#This Row],[INVESTOR CODE]],SIP[B/S],"B"))</f>
        <v>0</v>
      </c>
      <c r="P85" s="49">
        <f>IF(INVESTORS_LIST[[#This Row],[SIP_TOTAL UNITS SOLD]]=0,0,SUMIFS(SIP[Cost of Units Sold],SIP[Investor ID],INVESTORS_LIST[[#This Row],[INVESTOR CODE]],SIP[B/S],"S"))</f>
        <v>0</v>
      </c>
      <c r="Q85" s="48">
        <f>IF(INVESTORS_LIST[[#This Row],[SIP_TOTAL CURRENT UNITS]]=0,0,INVESTORS_LIST[[#This Row],[SIP_TOTAL CURRENT UNITS]]*INVESTORS_LIST[[#This Row],[SIP_AVERAGE COST]])</f>
        <v>0</v>
      </c>
      <c r="R85" s="48">
        <f>IF(INVESTORS_LIST[[#This Row],[SIP_TOTAL UNITS SOLD]]=0,0,SUMIFS(SIP[Realized Gain],SIP[Investor ID],INVESTORS_LIST[[#This Row],[INVESTOR CODE]],SIP[B/S],"S"))</f>
        <v>0</v>
      </c>
      <c r="S85" s="50">
        <f>INVESTORS_LIST[[#This Row],[LS_TOTAL UNITS BUY]]+INVESTORS_LIST[[#This Row],[SIP_TOTAL UNITS BUY]]</f>
        <v>0</v>
      </c>
      <c r="T85" s="50">
        <f>INVESTORS_LIST[[#This Row],[LS_TOTAL UNITS SOLD]]+INVESTORS_LIST[[#This Row],[SIP_TOTAL UNITS SOLD]]</f>
        <v>0</v>
      </c>
      <c r="U85" s="50"/>
      <c r="V85" s="50">
        <f>SUMIFS(LS[BO UNIT TRANSFER],LS[Investor ID],INVESTORS_LIST[[#This Row],[INVESTOR CODE]],LS[B/S],"B")</f>
        <v>0</v>
      </c>
      <c r="W85" s="50">
        <f>SUMIFS(SIP[BO UNIT TRANSFER],SIP[Investor ID],INVESTORS_LIST[[#This Row],[INVESTOR CODE]],SIP[B/S],"B")</f>
        <v>0</v>
      </c>
      <c r="X85" s="50">
        <f>SUMIFS(LS[BO UNIT TRANSFER],LS[Investor ID],INVESTORS_LIST[[#This Row],[INVESTOR CODE]],LS[B/S],"S")</f>
        <v>0</v>
      </c>
      <c r="Y85" s="50">
        <f>SUMIFS(SIP[BO UNIT TRANSFER],SIP[Investor ID],INVESTORS_LIST[[#This Row],[INVESTOR CODE]],SIP[B/S],"S")</f>
        <v>0</v>
      </c>
      <c r="Z85" s="106">
        <f>SUM(INVESTORS_LIST[[#This Row],[BO OPENING BALANCE]:[BO SIP UNITS REPURCHASE]])</f>
        <v>0</v>
      </c>
      <c r="AA85" s="107">
        <f>INVESTORS_LIST[[#This Row],[TOTAL UNITS BUY]]-INVESTORS_LIST[[#This Row],[TOTAL UNITS SOLD]]</f>
        <v>0</v>
      </c>
      <c r="AB85" s="107">
        <f>INVESTORS_LIST[[#This Row],[TOTAL CURRENT UNITS]]-INVESTORS_LIST[[#This Row],[BO UNITS HOLD]]</f>
        <v>0</v>
      </c>
      <c r="AC85" s="201" t="e">
        <f>INDEX([3]!Table_1[BO ID],MATCH(INVESTORS_LIST[[#This Row],[INVESTOR CODE]],[3]!Table_1[INVESTOR CODE],0))</f>
        <v>#REF!</v>
      </c>
      <c r="AD85" s="201" t="e">
        <f>INDEX([3]!Table_1[Brokerage Name2],MATCH(INVESTORS_LIST[[#This Row],[INVESTOR CODE]],[3]!Table_1[INVESTOR CODE],0))</f>
        <v>#REF!</v>
      </c>
      <c r="AE85" s="201" t="e">
        <f>MID(INVESTORS_LIST[[#This Row],[BO ID]],4,5)</f>
        <v>#REF!</v>
      </c>
      <c r="AF85" s="201" t="e">
        <f>MID(INVESTORS_LIST[[#This Row],[BO ID]],2,7)</f>
        <v>#REF!</v>
      </c>
      <c r="AG85" s="201" t="e">
        <f>MID(INVESTORS_LIST[[#This Row],[BO ID]],9,7)</f>
        <v>#REF!</v>
      </c>
      <c r="AH85" s="201" t="e">
        <f>RIGHT(INVESTORS_LIST[[#This Row],[BO ID]],1)</f>
        <v>#REF!</v>
      </c>
      <c r="AI85" s="50">
        <f>INVESTORS_LIST[[#This Row],[LS_TOTAL COST VALUE OF CURRENT UNITS]]+INVESTORS_LIST[[#This Row],[SIP_TOTAL COST VALUE OF CURRENT UNITS]]</f>
        <v>0</v>
      </c>
      <c r="AJ85" s="109">
        <f>IF(INVESTORS_LIST[[#This Row],[TOTAL CURRENT UNITS]]=0,0,INVESTORS_LIST[[#This Row],[LS_TOTAL CURRENT UNITS]]/INVESTORS_LIST[[#This Row],[TOTAL CURRENT UNITS]])</f>
        <v>0</v>
      </c>
      <c r="AK85" s="109">
        <f>IF(INVESTORS_LIST[[#This Row],[TOTAL CURRENT UNITS]]=0,0,INVESTORS_LIST[[#This Row],[SIP_TOTAL CURRENT UNITS]]/INVESTORS_LIST[[#This Row],[TOTAL CURRENT UNITS]])</f>
        <v>0</v>
      </c>
      <c r="AL85" s="49" cm="1">
        <f t="array" ref="AL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5" s="49" cm="1">
        <f t="array" ref="AM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5" s="105">
        <f t="shared" si="2"/>
        <v>14.224</v>
      </c>
      <c r="AP85" s="112">
        <f>IF(INVESTORS_LIST[[#This Row],[TOTAL CURRENT UNITS]]=0,0,INVESTORS_LIST[[#This Row],[TOTAL CURRENT UNITS]]*INVESTORS_LIST[[#This Row],[NAV]])</f>
        <v>0</v>
      </c>
      <c r="AQ85" s="49">
        <f>IF(INVESTORS_LIST[[#This Row],[LS_TOTAL CURRENT UNITS]]=0,0,INVESTORS_LIST[[#This Row],[LS_TOTAL CURRENT UNITS]]*INVESTORS_LIST[[#This Row],[NAV]])</f>
        <v>0</v>
      </c>
      <c r="AR85" s="48">
        <f>IF(INVESTORS_LIST[[#This Row],[SIP_TOTAL CURRENT UNITS]]=0,0,INVESTORS_LIST[[#This Row],[SIP_TOTAL CURRENT UNITS]]*INVESTORS_LIST[[#This Row],[NAV]])</f>
        <v>0</v>
      </c>
      <c r="AS85" s="50">
        <f>INVESTORS_LIST[[#This Row],[TOTAL CURRENT UNITS]]</f>
        <v>0</v>
      </c>
      <c r="AT85" s="48">
        <f>IF(INVESTORS_LIST[[#This Row],[TOTAL SELLABLE UNITS]]=0,0,INVESTORS_LIST[[#This Row],[TOTAL SELLABLE UNITS]]*INVESTORS_LIST[[#This Row],[NAV]])</f>
        <v>0</v>
      </c>
      <c r="AU85" s="48">
        <f>INVESTORS_LIST[[#This Row],[LS_TOTAL REALIZED GAIN]]+INVESTORS_LIST[[#This Row],[SIP_TOTAL REALIZED GAIN]]</f>
        <v>0</v>
      </c>
      <c r="AV85" s="48">
        <f>INVESTORS_LIST[[#This Row],[TOTAL MARKET VALUE]]-INVESTORS_LIST[[#This Row],[TOTAL COST VALUE OF CURRENT INVESTMENT]]</f>
        <v>0</v>
      </c>
      <c r="AW85" s="48">
        <f>IFERROR(INVESTORS_LIST[[#This Row],[TOTAL CURRENT UNITS]]/SUM(INVESTORS_LIST[TOTAL CURRENT UNITS]),0)</f>
        <v>0</v>
      </c>
    </row>
    <row r="86" spans="1:49" hidden="1">
      <c r="A86" s="262" t="s">
        <v>219</v>
      </c>
      <c r="B86" s="97" t="s">
        <v>220</v>
      </c>
      <c r="C86" t="s">
        <v>44</v>
      </c>
      <c r="D86" s="75" t="s">
        <v>45</v>
      </c>
      <c r="E86" s="47">
        <f>SUMIFS(LS[Unit],LS[Investor ID],INVESTORS_LIST[[#This Row],[INVESTOR CODE]],LS[B/S],"B")</f>
        <v>0</v>
      </c>
      <c r="F86" s="47">
        <f>-SUMIFS(LS[Unit],LS[Investor ID],INVESTORS_LIST[[#This Row],[INVESTOR CODE]],LS[B/S],"S")</f>
        <v>0</v>
      </c>
      <c r="G86" s="47">
        <f>IF(INVESTORS_LIST[[#This Row],[LS_TOTAL UNITS BUY]]=0,0,INVESTORS_LIST[[#This Row],[LS_TOTAL UNITS BUY]]-INVESTORS_LIST[[#This Row],[LS_TOTAL UNITS SOLD]])</f>
        <v>0</v>
      </c>
      <c r="H86" s="49">
        <f>IF(INVESTORS_LIST[[#This Row],[LS_TOTAL UNITS BUY]]=0,0,SUMIFS(LS[Amount],LS[Investor ID],INVESTORS_LIST[[#This Row],[INVESTOR CODE]],LS[B/S],"B"))</f>
        <v>0</v>
      </c>
      <c r="I86" s="48">
        <f>IF(INVESTORS_LIST[[#This Row],[LS_TOTAL UNITS SOLD]]=0,0,SUMIFS(LS[Cost of Units Sold],LS[Investor ID],INVESTORS_LIST[[#This Row],[INVESTOR CODE]],LS[B/S],"S"))</f>
        <v>0</v>
      </c>
      <c r="J86" s="48">
        <f>IF(INVESTORS_LIST[[#This Row],[LS_TOTAL CURRENT UNITS]]=0,0,INVESTORS_LIST[[#This Row],[LS_TOTAL CURRENT UNITS]]*INVESTORS_LIST[[#This Row],[LS_AVERAGE COST]])</f>
        <v>0</v>
      </c>
      <c r="K86" s="49">
        <f>IF(INVESTORS_LIST[[#This Row],[LS_TOTAL UNITS SOLD]]=0,0,SUMIFS(LS[Realized Gain],LS[Investor ID],INVESTORS_LIST[[#This Row],[INVESTOR CODE]],LS[B/S],"S"))</f>
        <v>0</v>
      </c>
      <c r="L86" s="47">
        <f>SUMIFS(SIP[Unit],SIP[Investor ID],INVESTORS_LIST[[#This Row],[INVESTOR CODE]],SIP[B/S],"B")</f>
        <v>0</v>
      </c>
      <c r="M86" s="47">
        <f>-SUMIFS(SIP[Unit],SIP[Investor ID],INVESTORS_LIST[[#This Row],[INVESTOR CODE]],SIP[B/S],"S")</f>
        <v>0</v>
      </c>
      <c r="N86" s="50">
        <f>IF(INVESTORS_LIST[[#This Row],[SIP_TOTAL UNITS BUY]]=0,0,INVESTORS_LIST[[#This Row],[SIP_TOTAL UNITS BUY]]-INVESTORS_LIST[[#This Row],[SIP_TOTAL UNITS SOLD]])</f>
        <v>0</v>
      </c>
      <c r="O86" s="49">
        <f>IF(INVESTORS_LIST[[#This Row],[SIP_TOTAL UNITS BUY]]=0,0,SUMIFS(SIP[Amount],SIP[Investor ID],INVESTORS_LIST[[#This Row],[INVESTOR CODE]],SIP[B/S],"B"))</f>
        <v>0</v>
      </c>
      <c r="P86" s="49">
        <f>IF(INVESTORS_LIST[[#This Row],[SIP_TOTAL UNITS SOLD]]=0,0,SUMIFS(SIP[Cost of Units Sold],SIP[Investor ID],INVESTORS_LIST[[#This Row],[INVESTOR CODE]],SIP[B/S],"S"))</f>
        <v>0</v>
      </c>
      <c r="Q86" s="48">
        <f>IF(INVESTORS_LIST[[#This Row],[SIP_TOTAL CURRENT UNITS]]=0,0,INVESTORS_LIST[[#This Row],[SIP_TOTAL CURRENT UNITS]]*INVESTORS_LIST[[#This Row],[SIP_AVERAGE COST]])</f>
        <v>0</v>
      </c>
      <c r="R86" s="48">
        <f>IF(INVESTORS_LIST[[#This Row],[SIP_TOTAL UNITS SOLD]]=0,0,SUMIFS(SIP[Realized Gain],SIP[Investor ID],INVESTORS_LIST[[#This Row],[INVESTOR CODE]],SIP[B/S],"S"))</f>
        <v>0</v>
      </c>
      <c r="S86" s="50">
        <f>INVESTORS_LIST[[#This Row],[LS_TOTAL UNITS BUY]]+INVESTORS_LIST[[#This Row],[SIP_TOTAL UNITS BUY]]</f>
        <v>0</v>
      </c>
      <c r="T86" s="50">
        <f>INVESTORS_LIST[[#This Row],[LS_TOTAL UNITS SOLD]]+INVESTORS_LIST[[#This Row],[SIP_TOTAL UNITS SOLD]]</f>
        <v>0</v>
      </c>
      <c r="U86" s="50"/>
      <c r="V86" s="50">
        <f>SUMIFS(LS[BO UNIT TRANSFER],LS[Investor ID],INVESTORS_LIST[[#This Row],[INVESTOR CODE]],LS[B/S],"B")</f>
        <v>0</v>
      </c>
      <c r="W86" s="50">
        <f>SUMIFS(SIP[BO UNIT TRANSFER],SIP[Investor ID],INVESTORS_LIST[[#This Row],[INVESTOR CODE]],SIP[B/S],"B")</f>
        <v>0</v>
      </c>
      <c r="X86" s="50">
        <f>SUMIFS(LS[BO UNIT TRANSFER],LS[Investor ID],INVESTORS_LIST[[#This Row],[INVESTOR CODE]],LS[B/S],"S")</f>
        <v>0</v>
      </c>
      <c r="Y86" s="50">
        <f>SUMIFS(SIP[BO UNIT TRANSFER],SIP[Investor ID],INVESTORS_LIST[[#This Row],[INVESTOR CODE]],SIP[B/S],"S")</f>
        <v>0</v>
      </c>
      <c r="Z86" s="106">
        <f>SUM(INVESTORS_LIST[[#This Row],[BO OPENING BALANCE]:[BO SIP UNITS REPURCHASE]])</f>
        <v>0</v>
      </c>
      <c r="AA86" s="107">
        <f>INVESTORS_LIST[[#This Row],[TOTAL UNITS BUY]]-INVESTORS_LIST[[#This Row],[TOTAL UNITS SOLD]]</f>
        <v>0</v>
      </c>
      <c r="AB86" s="107">
        <f>INVESTORS_LIST[[#This Row],[TOTAL CURRENT UNITS]]-INVESTORS_LIST[[#This Row],[BO UNITS HOLD]]</f>
        <v>0</v>
      </c>
      <c r="AC86" s="201" t="e">
        <f>INDEX([3]!Table_1[BO ID],MATCH(INVESTORS_LIST[[#This Row],[INVESTOR CODE]],[3]!Table_1[INVESTOR CODE],0))</f>
        <v>#REF!</v>
      </c>
      <c r="AD86" s="201" t="e">
        <f>INDEX([3]!Table_1[Brokerage Name2],MATCH(INVESTORS_LIST[[#This Row],[INVESTOR CODE]],[3]!Table_1[INVESTOR CODE],0))</f>
        <v>#REF!</v>
      </c>
      <c r="AE86" s="201" t="e">
        <f>MID(INVESTORS_LIST[[#This Row],[BO ID]],4,5)</f>
        <v>#REF!</v>
      </c>
      <c r="AF86" s="201" t="e">
        <f>MID(INVESTORS_LIST[[#This Row],[BO ID]],2,7)</f>
        <v>#REF!</v>
      </c>
      <c r="AG86" s="201" t="e">
        <f>MID(INVESTORS_LIST[[#This Row],[BO ID]],9,7)</f>
        <v>#REF!</v>
      </c>
      <c r="AH86" s="201" t="e">
        <f>RIGHT(INVESTORS_LIST[[#This Row],[BO ID]],1)</f>
        <v>#REF!</v>
      </c>
      <c r="AI86" s="50">
        <f>INVESTORS_LIST[[#This Row],[LS_TOTAL COST VALUE OF CURRENT UNITS]]+INVESTORS_LIST[[#This Row],[SIP_TOTAL COST VALUE OF CURRENT UNITS]]</f>
        <v>0</v>
      </c>
      <c r="AJ86" s="109">
        <f>IF(INVESTORS_LIST[[#This Row],[TOTAL CURRENT UNITS]]=0,0,INVESTORS_LIST[[#This Row],[LS_TOTAL CURRENT UNITS]]/INVESTORS_LIST[[#This Row],[TOTAL CURRENT UNITS]])</f>
        <v>0</v>
      </c>
      <c r="AK86" s="109">
        <f>IF(INVESTORS_LIST[[#This Row],[TOTAL CURRENT UNITS]]=0,0,INVESTORS_LIST[[#This Row],[SIP_TOTAL CURRENT UNITS]]/INVESTORS_LIST[[#This Row],[TOTAL CURRENT UNITS]])</f>
        <v>0</v>
      </c>
      <c r="AL86" s="49" cm="1">
        <f t="array" ref="AL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6" s="49" cm="1">
        <f t="array" ref="AM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6" s="105">
        <f t="shared" si="2"/>
        <v>14.224</v>
      </c>
      <c r="AP86" s="112">
        <f>IF(INVESTORS_LIST[[#This Row],[TOTAL CURRENT UNITS]]=0,0,INVESTORS_LIST[[#This Row],[TOTAL CURRENT UNITS]]*INVESTORS_LIST[[#This Row],[NAV]])</f>
        <v>0</v>
      </c>
      <c r="AQ86" s="49">
        <f>IF(INVESTORS_LIST[[#This Row],[LS_TOTAL CURRENT UNITS]]=0,0,INVESTORS_LIST[[#This Row],[LS_TOTAL CURRENT UNITS]]*INVESTORS_LIST[[#This Row],[NAV]])</f>
        <v>0</v>
      </c>
      <c r="AR86" s="48">
        <f>IF(INVESTORS_LIST[[#This Row],[SIP_TOTAL CURRENT UNITS]]=0,0,INVESTORS_LIST[[#This Row],[SIP_TOTAL CURRENT UNITS]]*INVESTORS_LIST[[#This Row],[NAV]])</f>
        <v>0</v>
      </c>
      <c r="AS86" s="50">
        <f>INVESTORS_LIST[[#This Row],[TOTAL CURRENT UNITS]]</f>
        <v>0</v>
      </c>
      <c r="AT86" s="48">
        <f>IF(INVESTORS_LIST[[#This Row],[TOTAL SELLABLE UNITS]]=0,0,INVESTORS_LIST[[#This Row],[TOTAL SELLABLE UNITS]]*INVESTORS_LIST[[#This Row],[NAV]])</f>
        <v>0</v>
      </c>
      <c r="AU86" s="48">
        <f>INVESTORS_LIST[[#This Row],[LS_TOTAL REALIZED GAIN]]+INVESTORS_LIST[[#This Row],[SIP_TOTAL REALIZED GAIN]]</f>
        <v>0</v>
      </c>
      <c r="AV86" s="48">
        <f>INVESTORS_LIST[[#This Row],[TOTAL MARKET VALUE]]-INVESTORS_LIST[[#This Row],[TOTAL COST VALUE OF CURRENT INVESTMENT]]</f>
        <v>0</v>
      </c>
      <c r="AW86" s="48">
        <f>IFERROR(INVESTORS_LIST[[#This Row],[TOTAL CURRENT UNITS]]/SUM(INVESTORS_LIST[TOTAL CURRENT UNITS]),0)</f>
        <v>0</v>
      </c>
    </row>
    <row r="87" spans="1:49">
      <c r="A87" s="262" t="s">
        <v>221</v>
      </c>
      <c r="B87" s="97" t="s">
        <v>222</v>
      </c>
      <c r="C87" t="s">
        <v>44</v>
      </c>
      <c r="D87" s="75" t="s">
        <v>45</v>
      </c>
      <c r="E87" s="47">
        <f>SUMIFS(LS[Unit],LS[Investor ID],INVESTORS_LIST[[#This Row],[INVESTOR CODE]],LS[B/S],"B")</f>
        <v>20217</v>
      </c>
      <c r="F87" s="47">
        <f>-SUMIFS(LS[Unit],LS[Investor ID],INVESTORS_LIST[[#This Row],[INVESTOR CODE]],LS[B/S],"S")</f>
        <v>20217</v>
      </c>
      <c r="G87" s="47">
        <f>IF(INVESTORS_LIST[[#This Row],[LS_TOTAL UNITS BUY]]=0,0,INVESTORS_LIST[[#This Row],[LS_TOTAL UNITS BUY]]-INVESTORS_LIST[[#This Row],[LS_TOTAL UNITS SOLD]])</f>
        <v>0</v>
      </c>
      <c r="H87" s="49">
        <f>IF(INVESTORS_LIST[[#This Row],[LS_TOTAL UNITS BUY]]=0,0,SUMIFS(LS[Amount],LS[Investor ID],INVESTORS_LIST[[#This Row],[INVESTOR CODE]],LS[B/S],"B"))</f>
        <v>250000</v>
      </c>
      <c r="I87" s="48">
        <f>IF(INVESTORS_LIST[[#This Row],[LS_TOTAL UNITS SOLD]]=0,0,SUMIFS(LS[Cost of Units Sold],LS[Investor ID],INVESTORS_LIST[[#This Row],[INVESTOR CODE]],LS[B/S],"S"))</f>
        <v>250000.00000000003</v>
      </c>
      <c r="J87" s="48">
        <f>IF(INVESTORS_LIST[[#This Row],[LS_TOTAL CURRENT UNITS]]=0,0,INVESTORS_LIST[[#This Row],[LS_TOTAL CURRENT UNITS]]*INVESTORS_LIST[[#This Row],[LS_AVERAGE COST]])</f>
        <v>0</v>
      </c>
      <c r="K87" s="49">
        <f>IF(INVESTORS_LIST[[#This Row],[LS_TOTAL UNITS SOLD]]=0,0,SUMIFS(LS[Realized Gain],LS[Investor ID],INVESTORS_LIST[[#This Row],[INVESTOR CODE]],LS[B/S],"S"))</f>
        <v>11163.206000000004</v>
      </c>
      <c r="L87" s="47">
        <f>SUMIFS(SIP[Unit],SIP[Investor ID],INVESTORS_LIST[[#This Row],[INVESTOR CODE]],SIP[B/S],"B")</f>
        <v>28385</v>
      </c>
      <c r="M87" s="47">
        <f>-SUMIFS(SIP[Unit],SIP[Investor ID],INVESTORS_LIST[[#This Row],[INVESTOR CODE]],SIP[B/S],"S")</f>
        <v>23983</v>
      </c>
      <c r="N87" s="50">
        <f>IF(INVESTORS_LIST[[#This Row],[SIP_TOTAL UNITS BUY]]=0,0,INVESTORS_LIST[[#This Row],[SIP_TOTAL UNITS BUY]]-INVESTORS_LIST[[#This Row],[SIP_TOTAL UNITS SOLD]])</f>
        <v>4402</v>
      </c>
      <c r="O87" s="49">
        <f>IF(INVESTORS_LIST[[#This Row],[SIP_TOTAL UNITS BUY]]=0,0,SUMIFS(SIP[Amount],SIP[Investor ID],INVESTORS_LIST[[#This Row],[INVESTOR CODE]],SIP[B/S],"B"))</f>
        <v>330000</v>
      </c>
      <c r="P87" s="49">
        <f>IF(INVESTORS_LIST[[#This Row],[SIP_TOTAL UNITS SOLD]]=0,0,SUMIFS(SIP[Cost of Units Sold],SIP[Investor ID],INVESTORS_LIST[[#This Row],[INVESTOR CODE]],SIP[B/S],"S"))</f>
        <v>270000.00000000006</v>
      </c>
      <c r="Q87" s="48">
        <f>IF(INVESTORS_LIST[[#This Row],[SIP_TOTAL CURRENT UNITS]]=0,0,INVESTORS_LIST[[#This Row],[SIP_TOTAL CURRENT UNITS]]*INVESTORS_LIST[[#This Row],[SIP_AVERAGE COST]])</f>
        <v>59999.999999999993</v>
      </c>
      <c r="R87" s="48">
        <f>IF(INVESTORS_LIST[[#This Row],[SIP_TOTAL UNITS SOLD]]=0,0,SUMIFS(SIP[Realized Gain],SIP[Investor ID],INVESTORS_LIST[[#This Row],[INVESTOR CODE]],SIP[B/S],"S"))</f>
        <v>39812.393999999927</v>
      </c>
      <c r="S87" s="50">
        <f>INVESTORS_LIST[[#This Row],[LS_TOTAL UNITS BUY]]+INVESTORS_LIST[[#This Row],[SIP_TOTAL UNITS BUY]]</f>
        <v>48602</v>
      </c>
      <c r="T87" s="50">
        <f>INVESTORS_LIST[[#This Row],[LS_TOTAL UNITS SOLD]]+INVESTORS_LIST[[#This Row],[SIP_TOTAL UNITS SOLD]]</f>
        <v>44200</v>
      </c>
      <c r="U87" s="50">
        <v>43419</v>
      </c>
      <c r="V87" s="50">
        <f>SUMIFS(LS[BO UNIT TRANSFER],LS[Investor ID],INVESTORS_LIST[[#This Row],[INVESTOR CODE]],LS[B/S],"B")</f>
        <v>0</v>
      </c>
      <c r="W87" s="50">
        <f>SUMIFS(SIP[BO UNIT TRANSFER],SIP[Investor ID],INVESTORS_LIST[[#This Row],[INVESTOR CODE]],SIP[B/S],"B")</f>
        <v>0</v>
      </c>
      <c r="X87" s="50">
        <f>SUMIFS(LS[BO UNIT TRANSFER],LS[Investor ID],INVESTORS_LIST[[#This Row],[INVESTOR CODE]],LS[B/S],"S")</f>
        <v>0</v>
      </c>
      <c r="Y87" s="50">
        <f>SUMIFS(SIP[BO UNIT TRANSFER],SIP[Investor ID],INVESTORS_LIST[[#This Row],[INVESTOR CODE]],SIP[B/S],"S")</f>
        <v>0</v>
      </c>
      <c r="Z87" s="106">
        <f>SUM(INVESTORS_LIST[[#This Row],[BO OPENING BALANCE]:[BO SIP UNITS REPURCHASE]])</f>
        <v>43419</v>
      </c>
      <c r="AA87" s="107">
        <f>INVESTORS_LIST[[#This Row],[TOTAL UNITS BUY]]-INVESTORS_LIST[[#This Row],[TOTAL UNITS SOLD]]</f>
        <v>4402</v>
      </c>
      <c r="AB87" s="107">
        <f>INVESTORS_LIST[[#This Row],[TOTAL CURRENT UNITS]]-INVESTORS_LIST[[#This Row],[BO UNITS HOLD]]</f>
        <v>-39017</v>
      </c>
      <c r="AC87" s="201" t="e">
        <f>INDEX([3]!Table_1[BO ID],MATCH(INVESTORS_LIST[[#This Row],[INVESTOR CODE]],[3]!Table_1[INVESTOR CODE],0))</f>
        <v>#REF!</v>
      </c>
      <c r="AD87" s="201" t="e">
        <f>INDEX([3]!Table_1[Brokerage Name2],MATCH(INVESTORS_LIST[[#This Row],[INVESTOR CODE]],[3]!Table_1[INVESTOR CODE],0))</f>
        <v>#REF!</v>
      </c>
      <c r="AE87" s="201" t="e">
        <f>MID(INVESTORS_LIST[[#This Row],[BO ID]],4,5)</f>
        <v>#REF!</v>
      </c>
      <c r="AF87" s="201" t="e">
        <f>MID(INVESTORS_LIST[[#This Row],[BO ID]],2,7)</f>
        <v>#REF!</v>
      </c>
      <c r="AG87" s="201" t="e">
        <f>MID(INVESTORS_LIST[[#This Row],[BO ID]],9,7)</f>
        <v>#REF!</v>
      </c>
      <c r="AH87" s="201" t="e">
        <f>RIGHT(INVESTORS_LIST[[#This Row],[BO ID]],1)</f>
        <v>#REF!</v>
      </c>
      <c r="AI87" s="50">
        <f>INVESTORS_LIST[[#This Row],[LS_TOTAL COST VALUE OF CURRENT UNITS]]+INVESTORS_LIST[[#This Row],[SIP_TOTAL COST VALUE OF CURRENT UNITS]]</f>
        <v>59999.999999999993</v>
      </c>
      <c r="AJ87" s="109">
        <f>IF(INVESTORS_LIST[[#This Row],[TOTAL CURRENT UNITS]]=0,0,INVESTORS_LIST[[#This Row],[LS_TOTAL CURRENT UNITS]]/INVESTORS_LIST[[#This Row],[TOTAL CURRENT UNITS]])</f>
        <v>0</v>
      </c>
      <c r="AK87" s="109">
        <f>IF(INVESTORS_LIST[[#This Row],[TOTAL CURRENT UNITS]]=0,0,INVESTORS_LIST[[#This Row],[SIP_TOTAL CURRENT UNITS]]/INVESTORS_LIST[[#This Row],[TOTAL CURRENT UNITS]])</f>
        <v>1</v>
      </c>
      <c r="AL87" s="49" cm="1">
        <f t="array" ref="AL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7" s="49" cm="1">
        <f t="array" ref="AM87">IF(INVESTORS_LIST[[#This Row],[SIP_TOTAL UNITS BUY]]&gt;0,INDEX(SIP[NAV at Cost (Average)],MATCH(CONCATENATE(COUNTIFS(SIP[Investor ID],INVESTORS_LIST[[#This Row],[INVESTOR CODE]]),INVESTORS_LIST[[#This Row],[INVESTOR CODE]]),SIP[Unique Code],0),),0)</f>
        <v>13.630168105406632</v>
      </c>
      <c r="AN87" s="105">
        <f>IF(INVESTORS_LIST[[#This Row],[TOTAL CURRENT UNITS]]=0,0,(INVESTORS_LIST[[#This Row],[LS_WEIGHT]]*INVESTORS_LIST[[#This Row],[LS_AVERAGE COST]])+(INVESTORS_LIST[[#This Row],[SIP_WEIGHT]]*INVESTORS_LIST[[#This Row],[SIP_AVERAGE COST]]))</f>
        <v>13.630168105406632</v>
      </c>
      <c r="AO87" s="105">
        <f t="shared" si="2"/>
        <v>14.224</v>
      </c>
      <c r="AP87" s="112">
        <f>IF(INVESTORS_LIST[[#This Row],[TOTAL CURRENT UNITS]]=0,0,INVESTORS_LIST[[#This Row],[TOTAL CURRENT UNITS]]*INVESTORS_LIST[[#This Row],[NAV]])</f>
        <v>62614.048000000003</v>
      </c>
      <c r="AQ87" s="49">
        <f>IF(INVESTORS_LIST[[#This Row],[LS_TOTAL CURRENT UNITS]]=0,0,INVESTORS_LIST[[#This Row],[LS_TOTAL CURRENT UNITS]]*INVESTORS_LIST[[#This Row],[NAV]])</f>
        <v>0</v>
      </c>
      <c r="AR87" s="48">
        <f>IF(INVESTORS_LIST[[#This Row],[SIP_TOTAL CURRENT UNITS]]=0,0,INVESTORS_LIST[[#This Row],[SIP_TOTAL CURRENT UNITS]]*INVESTORS_LIST[[#This Row],[NAV]])</f>
        <v>62614.048000000003</v>
      </c>
      <c r="AS87" s="50">
        <f>INVESTORS_LIST[[#This Row],[TOTAL CURRENT UNITS]]</f>
        <v>4402</v>
      </c>
      <c r="AT87" s="48">
        <f>IF(INVESTORS_LIST[[#This Row],[TOTAL SELLABLE UNITS]]=0,0,INVESTORS_LIST[[#This Row],[TOTAL SELLABLE UNITS]]*INVESTORS_LIST[[#This Row],[NAV]])</f>
        <v>62614.048000000003</v>
      </c>
      <c r="AU87" s="48">
        <f>INVESTORS_LIST[[#This Row],[LS_TOTAL REALIZED GAIN]]+INVESTORS_LIST[[#This Row],[SIP_TOTAL REALIZED GAIN]]</f>
        <v>50975.599999999933</v>
      </c>
      <c r="AV87" s="48">
        <f>INVESTORS_LIST[[#This Row],[TOTAL MARKET VALUE]]-INVESTORS_LIST[[#This Row],[TOTAL COST VALUE OF CURRENT INVESTMENT]]</f>
        <v>2614.0480000000098</v>
      </c>
      <c r="AW87" s="108">
        <f>IFERROR(INVESTORS_LIST[[#This Row],[TOTAL CURRENT UNITS]]/SUM(INVESTORS_LIST[TOTAL CURRENT UNITS]),0)</f>
        <v>1.068638671586483E-4</v>
      </c>
    </row>
    <row r="88" spans="1:49">
      <c r="A88" s="262" t="s">
        <v>223</v>
      </c>
      <c r="B88" s="97" t="s">
        <v>224</v>
      </c>
      <c r="C88" t="s">
        <v>52</v>
      </c>
      <c r="D88" s="75" t="s">
        <v>45</v>
      </c>
      <c r="E88" s="47">
        <f>SUMIFS(LS[Unit],LS[Investor ID],INVESTORS_LIST[[#This Row],[INVESTOR CODE]],LS[B/S],"B")</f>
        <v>1100303</v>
      </c>
      <c r="F88" s="47">
        <f>-SUMIFS(LS[Unit],LS[Investor ID],INVESTORS_LIST[[#This Row],[INVESTOR CODE]],LS[B/S],"S")</f>
        <v>247833</v>
      </c>
      <c r="G88" s="47">
        <f>IF(INVESTORS_LIST[[#This Row],[LS_TOTAL UNITS BUY]]=0,0,INVESTORS_LIST[[#This Row],[LS_TOTAL UNITS BUY]]-INVESTORS_LIST[[#This Row],[LS_TOTAL UNITS SOLD]])</f>
        <v>852470</v>
      </c>
      <c r="H88" s="49">
        <f>IF(INVESTORS_LIST[[#This Row],[LS_TOTAL UNITS BUY]]=0,0,SUMIFS(LS[Amount],LS[Investor ID],INVESTORS_LIST[[#This Row],[INVESTOR CODE]],LS[B/S],"B"))</f>
        <v>12835000</v>
      </c>
      <c r="I88" s="48">
        <f>IF(INVESTORS_LIST[[#This Row],[LS_TOTAL UNITS SOLD]]=0,0,SUMIFS(LS[Cost of Units Sold],LS[Investor ID],INVESTORS_LIST[[#This Row],[INVESTOR CODE]],LS[B/S],"S"))</f>
        <v>2620794.6655427469</v>
      </c>
      <c r="J88" s="48">
        <f>IF(INVESTORS_LIST[[#This Row],[LS_TOTAL CURRENT UNITS]]=0,0,INVESTORS_LIST[[#This Row],[LS_TOTAL CURRENT UNITS]]*INVESTORS_LIST[[#This Row],[LS_AVERAGE COST]])</f>
        <v>10214205.334457252</v>
      </c>
      <c r="K88" s="49">
        <f>IF(INVESTORS_LIST[[#This Row],[LS_TOTAL UNITS SOLD]]=0,0,SUMIFS(LS[Realized Gain],LS[Investor ID],INVESTORS_LIST[[#This Row],[INVESTOR CODE]],LS[B/S],"S"))</f>
        <v>379205.33445725322</v>
      </c>
      <c r="L88" s="47">
        <f>SUMIFS(SIP[Unit],SIP[Investor ID],INVESTORS_LIST[[#This Row],[INVESTOR CODE]],SIP[B/S],"B")</f>
        <v>98177</v>
      </c>
      <c r="M88" s="47">
        <f>-SUMIFS(SIP[Unit],SIP[Investor ID],INVESTORS_LIST[[#This Row],[INVESTOR CODE]],SIP[B/S],"S")</f>
        <v>0</v>
      </c>
      <c r="N88" s="50">
        <f>IF(INVESTORS_LIST[[#This Row],[SIP_TOTAL UNITS BUY]]=0,0,INVESTORS_LIST[[#This Row],[SIP_TOTAL UNITS BUY]]-INVESTORS_LIST[[#This Row],[SIP_TOTAL UNITS SOLD]])</f>
        <v>98177</v>
      </c>
      <c r="O88" s="49">
        <f>IF(INVESTORS_LIST[[#This Row],[SIP_TOTAL UNITS BUY]]=0,0,SUMIFS(SIP[Amount],SIP[Investor ID],INVESTORS_LIST[[#This Row],[INVESTOR CODE]],SIP[B/S],"B"))</f>
        <v>1196000</v>
      </c>
      <c r="P88" s="49">
        <f>IF(INVESTORS_LIST[[#This Row],[SIP_TOTAL UNITS SOLD]]=0,0,SUMIFS(SIP[Cost of Units Sold],SIP[Investor ID],INVESTORS_LIST[[#This Row],[INVESTOR CODE]],SIP[B/S],"S"))</f>
        <v>0</v>
      </c>
      <c r="Q88" s="48">
        <f>IF(INVESTORS_LIST[[#This Row],[SIP_TOTAL CURRENT UNITS]]=0,0,INVESTORS_LIST[[#This Row],[SIP_TOTAL CURRENT UNITS]]*INVESTORS_LIST[[#This Row],[SIP_AVERAGE COST]])</f>
        <v>1195999.9999999998</v>
      </c>
      <c r="R88" s="48">
        <f>IF(INVESTORS_LIST[[#This Row],[SIP_TOTAL UNITS SOLD]]=0,0,SUMIFS(SIP[Realized Gain],SIP[Investor ID],INVESTORS_LIST[[#This Row],[INVESTOR CODE]],SIP[B/S],"S"))</f>
        <v>0</v>
      </c>
      <c r="S88" s="50">
        <f>INVESTORS_LIST[[#This Row],[LS_TOTAL UNITS BUY]]+INVESTORS_LIST[[#This Row],[SIP_TOTAL UNITS BUY]]</f>
        <v>1198480</v>
      </c>
      <c r="T88" s="50">
        <f>INVESTORS_LIST[[#This Row],[LS_TOTAL UNITS SOLD]]+INVESTORS_LIST[[#This Row],[SIP_TOTAL UNITS SOLD]]</f>
        <v>247833</v>
      </c>
      <c r="U88" s="50">
        <v>570826</v>
      </c>
      <c r="V88" s="50">
        <f>SUMIFS(LS[BO UNIT TRANSFER],LS[Investor ID],INVESTORS_LIST[[#This Row],[INVESTOR CODE]],LS[B/S],"B")</f>
        <v>0</v>
      </c>
      <c r="W88" s="50">
        <f>SUMIFS(SIP[BO UNIT TRANSFER],SIP[Investor ID],INVESTORS_LIST[[#This Row],[INVESTOR CODE]],SIP[B/S],"B")</f>
        <v>0</v>
      </c>
      <c r="X88" s="50">
        <f>SUMIFS(LS[BO UNIT TRANSFER],LS[Investor ID],INVESTORS_LIST[[#This Row],[INVESTOR CODE]],LS[B/S],"S")</f>
        <v>0</v>
      </c>
      <c r="Y88" s="50">
        <f>SUMIFS(SIP[BO UNIT TRANSFER],SIP[Investor ID],INVESTORS_LIST[[#This Row],[INVESTOR CODE]],SIP[B/S],"S")</f>
        <v>0</v>
      </c>
      <c r="Z88" s="106">
        <f>SUM(INVESTORS_LIST[[#This Row],[BO OPENING BALANCE]:[BO SIP UNITS REPURCHASE]])</f>
        <v>570826</v>
      </c>
      <c r="AA88" s="107">
        <f>INVESTORS_LIST[[#This Row],[TOTAL UNITS BUY]]-INVESTORS_LIST[[#This Row],[TOTAL UNITS SOLD]]</f>
        <v>950647</v>
      </c>
      <c r="AB88" s="107">
        <f>INVESTORS_LIST[[#This Row],[TOTAL CURRENT UNITS]]-INVESTORS_LIST[[#This Row],[BO UNITS HOLD]]</f>
        <v>379821</v>
      </c>
      <c r="AC88" s="201" t="e">
        <f>INDEX([3]!Table_1[BO ID],MATCH(INVESTORS_LIST[[#This Row],[INVESTOR CODE]],[3]!Table_1[INVESTOR CODE],0))</f>
        <v>#REF!</v>
      </c>
      <c r="AD88" s="201" t="e">
        <f>INDEX([3]!Table_1[Brokerage Name2],MATCH(INVESTORS_LIST[[#This Row],[INVESTOR CODE]],[3]!Table_1[INVESTOR CODE],0))</f>
        <v>#REF!</v>
      </c>
      <c r="AE88" s="201" t="e">
        <f>MID(INVESTORS_LIST[[#This Row],[BO ID]],4,5)</f>
        <v>#REF!</v>
      </c>
      <c r="AF88" s="201" t="e">
        <f>MID(INVESTORS_LIST[[#This Row],[BO ID]],2,7)</f>
        <v>#REF!</v>
      </c>
      <c r="AG88" s="201" t="e">
        <f>MID(INVESTORS_LIST[[#This Row],[BO ID]],9,7)</f>
        <v>#REF!</v>
      </c>
      <c r="AH88" s="201" t="e">
        <f>RIGHT(INVESTORS_LIST[[#This Row],[BO ID]],1)</f>
        <v>#REF!</v>
      </c>
      <c r="AI88" s="50">
        <f>INVESTORS_LIST[[#This Row],[LS_TOTAL COST VALUE OF CURRENT UNITS]]+INVESTORS_LIST[[#This Row],[SIP_TOTAL COST VALUE OF CURRENT UNITS]]</f>
        <v>11410205.334457252</v>
      </c>
      <c r="AJ88" s="109">
        <f>IF(INVESTORS_LIST[[#This Row],[TOTAL CURRENT UNITS]]=0,0,INVESTORS_LIST[[#This Row],[LS_TOTAL CURRENT UNITS]]/INVESTORS_LIST[[#This Row],[TOTAL CURRENT UNITS]])</f>
        <v>0.89672612441842237</v>
      </c>
      <c r="AK88" s="109">
        <f>IF(INVESTORS_LIST[[#This Row],[TOTAL CURRENT UNITS]]=0,0,INVESTORS_LIST[[#This Row],[SIP_TOTAL CURRENT UNITS]]/INVESTORS_LIST[[#This Row],[TOTAL CURRENT UNITS]])</f>
        <v>0.10327387558157759</v>
      </c>
      <c r="AL88" s="49" cm="1">
        <f t="array" ref="AL88">IF(INVESTORS_LIST[[#This Row],[LS_TOTAL UNITS BUY]]&gt;0,INDEX(LS[NAV at Cost (Average)],MATCH(CONCATENATE(COUNTIFS(LS[Investor ID],INVESTORS_LIST[[#This Row],[INVESTOR CODE]]),INVESTORS_LIST[[#This Row],[INVESTOR CODE]]),LS[Unique Code],0),),0)</f>
        <v>11.981894183322876</v>
      </c>
      <c r="AM88" s="49" cm="1">
        <f t="array" ref="AM88">IF(INVESTORS_LIST[[#This Row],[SIP_TOTAL UNITS BUY]]&gt;0,INDEX(SIP[NAV at Cost (Average)],MATCH(CONCATENATE(COUNTIFS(SIP[Investor ID],INVESTORS_LIST[[#This Row],[INVESTOR CODE]]),INVESTORS_LIST[[#This Row],[INVESTOR CODE]]),SIP[Unique Code],0),),0)</f>
        <v>12.182079305743706</v>
      </c>
      <c r="AN88" s="105">
        <f>IF(INVESTORS_LIST[[#This Row],[TOTAL CURRENT UNITS]]=0,0,(INVESTORS_LIST[[#This Row],[LS_WEIGHT]]*INVESTORS_LIST[[#This Row],[LS_AVERAGE COST]])+(INVESTORS_LIST[[#This Row],[SIP_WEIGHT]]*INVESTORS_LIST[[#This Row],[SIP_AVERAGE COST]]))</f>
        <v>12.002568076749046</v>
      </c>
      <c r="AO88" s="105">
        <f t="shared" si="2"/>
        <v>14.224</v>
      </c>
      <c r="AP88" s="112">
        <f>IF(INVESTORS_LIST[[#This Row],[TOTAL CURRENT UNITS]]=0,0,INVESTORS_LIST[[#This Row],[TOTAL CURRENT UNITS]]*INVESTORS_LIST[[#This Row],[NAV]])</f>
        <v>13522002.927999999</v>
      </c>
      <c r="AQ88" s="49">
        <f>IF(INVESTORS_LIST[[#This Row],[LS_TOTAL CURRENT UNITS]]=0,0,INVESTORS_LIST[[#This Row],[LS_TOTAL CURRENT UNITS]]*INVESTORS_LIST[[#This Row],[NAV]])</f>
        <v>12125533.279999999</v>
      </c>
      <c r="AR88" s="48">
        <f>IF(INVESTORS_LIST[[#This Row],[SIP_TOTAL CURRENT UNITS]]=0,0,INVESTORS_LIST[[#This Row],[SIP_TOTAL CURRENT UNITS]]*INVESTORS_LIST[[#This Row],[NAV]])</f>
        <v>1396469.648</v>
      </c>
      <c r="AS88" s="50">
        <f>INVESTORS_LIST[[#This Row],[TOTAL CURRENT UNITS]]</f>
        <v>950647</v>
      </c>
      <c r="AT88" s="48">
        <f>IF(INVESTORS_LIST[[#This Row],[TOTAL SELLABLE UNITS]]=0,0,INVESTORS_LIST[[#This Row],[TOTAL SELLABLE UNITS]]*INVESTORS_LIST[[#This Row],[NAV]])</f>
        <v>13522002.927999999</v>
      </c>
      <c r="AU88" s="48">
        <f>INVESTORS_LIST[[#This Row],[LS_TOTAL REALIZED GAIN]]+INVESTORS_LIST[[#This Row],[SIP_TOTAL REALIZED GAIN]]</f>
        <v>379205.33445725322</v>
      </c>
      <c r="AV88" s="48">
        <f>INVESTORS_LIST[[#This Row],[TOTAL MARKET VALUE]]-INVESTORS_LIST[[#This Row],[TOTAL COST VALUE OF CURRENT INVESTMENT]]</f>
        <v>2111797.5935427472</v>
      </c>
      <c r="AW88" s="108">
        <f>IFERROR(INVESTORS_LIST[[#This Row],[TOTAL CURRENT UNITS]]/SUM(INVESTORS_LIST[TOTAL CURRENT UNITS]),0)</f>
        <v>2.3078104207807253E-2</v>
      </c>
    </row>
    <row r="89" spans="1:49" hidden="1">
      <c r="A89" s="262" t="s">
        <v>225</v>
      </c>
      <c r="B89" s="97" t="s">
        <v>226</v>
      </c>
      <c r="C89" t="s">
        <v>52</v>
      </c>
      <c r="D89" s="75" t="s">
        <v>45</v>
      </c>
      <c r="E89" s="47">
        <f>SUMIFS(LS[Unit],LS[Investor ID],INVESTORS_LIST[[#This Row],[INVESTOR CODE]],LS[B/S],"B")</f>
        <v>0</v>
      </c>
      <c r="F89" s="47">
        <f>-SUMIFS(LS[Unit],LS[Investor ID],INVESTORS_LIST[[#This Row],[INVESTOR CODE]],LS[B/S],"S")</f>
        <v>0</v>
      </c>
      <c r="G89" s="47">
        <f>IF(INVESTORS_LIST[[#This Row],[LS_TOTAL UNITS BUY]]=0,0,INVESTORS_LIST[[#This Row],[LS_TOTAL UNITS BUY]]-INVESTORS_LIST[[#This Row],[LS_TOTAL UNITS SOLD]])</f>
        <v>0</v>
      </c>
      <c r="H89" s="49">
        <f>IF(INVESTORS_LIST[[#This Row],[LS_TOTAL UNITS BUY]]=0,0,SUMIFS(LS[Amount],LS[Investor ID],INVESTORS_LIST[[#This Row],[INVESTOR CODE]],LS[B/S],"B"))</f>
        <v>0</v>
      </c>
      <c r="I89" s="48">
        <f>IF(INVESTORS_LIST[[#This Row],[LS_TOTAL UNITS SOLD]]=0,0,SUMIFS(LS[Cost of Units Sold],LS[Investor ID],INVESTORS_LIST[[#This Row],[INVESTOR CODE]],LS[B/S],"S"))</f>
        <v>0</v>
      </c>
      <c r="J89" s="48">
        <f>IF(INVESTORS_LIST[[#This Row],[LS_TOTAL CURRENT UNITS]]=0,0,INVESTORS_LIST[[#This Row],[LS_TOTAL CURRENT UNITS]]*INVESTORS_LIST[[#This Row],[LS_AVERAGE COST]])</f>
        <v>0</v>
      </c>
      <c r="K89" s="49">
        <f>IF(INVESTORS_LIST[[#This Row],[LS_TOTAL UNITS SOLD]]=0,0,SUMIFS(LS[Realized Gain],LS[Investor ID],INVESTORS_LIST[[#This Row],[INVESTOR CODE]],LS[B/S],"S"))</f>
        <v>0</v>
      </c>
      <c r="L89" s="47">
        <f>SUMIFS(SIP[Unit],SIP[Investor ID],INVESTORS_LIST[[#This Row],[INVESTOR CODE]],SIP[B/S],"B")</f>
        <v>0</v>
      </c>
      <c r="M89" s="47">
        <f>-SUMIFS(SIP[Unit],SIP[Investor ID],INVESTORS_LIST[[#This Row],[INVESTOR CODE]],SIP[B/S],"S")</f>
        <v>0</v>
      </c>
      <c r="N89" s="50">
        <f>IF(INVESTORS_LIST[[#This Row],[SIP_TOTAL UNITS BUY]]=0,0,INVESTORS_LIST[[#This Row],[SIP_TOTAL UNITS BUY]]-INVESTORS_LIST[[#This Row],[SIP_TOTAL UNITS SOLD]])</f>
        <v>0</v>
      </c>
      <c r="O89" s="49">
        <f>IF(INVESTORS_LIST[[#This Row],[SIP_TOTAL UNITS BUY]]=0,0,SUMIFS(SIP[Amount],SIP[Investor ID],INVESTORS_LIST[[#This Row],[INVESTOR CODE]],SIP[B/S],"B"))</f>
        <v>0</v>
      </c>
      <c r="P89" s="49">
        <f>IF(INVESTORS_LIST[[#This Row],[SIP_TOTAL UNITS SOLD]]=0,0,SUMIFS(SIP[Cost of Units Sold],SIP[Investor ID],INVESTORS_LIST[[#This Row],[INVESTOR CODE]],SIP[B/S],"S"))</f>
        <v>0</v>
      </c>
      <c r="Q89" s="48">
        <f>IF(INVESTORS_LIST[[#This Row],[SIP_TOTAL CURRENT UNITS]]=0,0,INVESTORS_LIST[[#This Row],[SIP_TOTAL CURRENT UNITS]]*INVESTORS_LIST[[#This Row],[SIP_AVERAGE COST]])</f>
        <v>0</v>
      </c>
      <c r="R89" s="48">
        <f>IF(INVESTORS_LIST[[#This Row],[SIP_TOTAL UNITS SOLD]]=0,0,SUMIFS(SIP[Realized Gain],SIP[Investor ID],INVESTORS_LIST[[#This Row],[INVESTOR CODE]],SIP[B/S],"S"))</f>
        <v>0</v>
      </c>
      <c r="S89" s="50">
        <f>INVESTORS_LIST[[#This Row],[LS_TOTAL UNITS BUY]]+INVESTORS_LIST[[#This Row],[SIP_TOTAL UNITS BUY]]</f>
        <v>0</v>
      </c>
      <c r="T89" s="50">
        <f>INVESTORS_LIST[[#This Row],[LS_TOTAL UNITS SOLD]]+INVESTORS_LIST[[#This Row],[SIP_TOTAL UNITS SOLD]]</f>
        <v>0</v>
      </c>
      <c r="U89" s="50"/>
      <c r="V89" s="50">
        <f>SUMIFS(LS[BO UNIT TRANSFER],LS[Investor ID],INVESTORS_LIST[[#This Row],[INVESTOR CODE]],LS[B/S],"B")</f>
        <v>0</v>
      </c>
      <c r="W89" s="50">
        <f>SUMIFS(SIP[BO UNIT TRANSFER],SIP[Investor ID],INVESTORS_LIST[[#This Row],[INVESTOR CODE]],SIP[B/S],"B")</f>
        <v>0</v>
      </c>
      <c r="X89" s="50">
        <f>SUMIFS(LS[BO UNIT TRANSFER],LS[Investor ID],INVESTORS_LIST[[#This Row],[INVESTOR CODE]],LS[B/S],"S")</f>
        <v>0</v>
      </c>
      <c r="Y89" s="50">
        <f>SUMIFS(SIP[BO UNIT TRANSFER],SIP[Investor ID],INVESTORS_LIST[[#This Row],[INVESTOR CODE]],SIP[B/S],"S")</f>
        <v>0</v>
      </c>
      <c r="Z89" s="106">
        <f>SUM(INVESTORS_LIST[[#This Row],[BO OPENING BALANCE]:[BO SIP UNITS REPURCHASE]])</f>
        <v>0</v>
      </c>
      <c r="AA89" s="107">
        <f>INVESTORS_LIST[[#This Row],[TOTAL UNITS BUY]]-INVESTORS_LIST[[#This Row],[TOTAL UNITS SOLD]]</f>
        <v>0</v>
      </c>
      <c r="AB89" s="107">
        <f>INVESTORS_LIST[[#This Row],[TOTAL CURRENT UNITS]]-INVESTORS_LIST[[#This Row],[BO UNITS HOLD]]</f>
        <v>0</v>
      </c>
      <c r="AC89" s="201" t="e">
        <f>INDEX([3]!Table_1[BO ID],MATCH(INVESTORS_LIST[[#This Row],[INVESTOR CODE]],[3]!Table_1[INVESTOR CODE],0))</f>
        <v>#REF!</v>
      </c>
      <c r="AD89" s="201" t="e">
        <f>INDEX([3]!Table_1[Brokerage Name2],MATCH(INVESTORS_LIST[[#This Row],[INVESTOR CODE]],[3]!Table_1[INVESTOR CODE],0))</f>
        <v>#REF!</v>
      </c>
      <c r="AE89" s="201" t="e">
        <f>MID(INVESTORS_LIST[[#This Row],[BO ID]],4,5)</f>
        <v>#REF!</v>
      </c>
      <c r="AF89" s="201" t="e">
        <f>MID(INVESTORS_LIST[[#This Row],[BO ID]],2,7)</f>
        <v>#REF!</v>
      </c>
      <c r="AG89" s="201" t="e">
        <f>MID(INVESTORS_LIST[[#This Row],[BO ID]],9,7)</f>
        <v>#REF!</v>
      </c>
      <c r="AH89" s="201" t="e">
        <f>RIGHT(INVESTORS_LIST[[#This Row],[BO ID]],1)</f>
        <v>#REF!</v>
      </c>
      <c r="AI89" s="50">
        <f>INVESTORS_LIST[[#This Row],[LS_TOTAL COST VALUE OF CURRENT UNITS]]+INVESTORS_LIST[[#This Row],[SIP_TOTAL COST VALUE OF CURRENT UNITS]]</f>
        <v>0</v>
      </c>
      <c r="AJ89" s="109">
        <f>IF(INVESTORS_LIST[[#This Row],[TOTAL CURRENT UNITS]]=0,0,INVESTORS_LIST[[#This Row],[LS_TOTAL CURRENT UNITS]]/INVESTORS_LIST[[#This Row],[TOTAL CURRENT UNITS]])</f>
        <v>0</v>
      </c>
      <c r="AK89" s="109">
        <f>IF(INVESTORS_LIST[[#This Row],[TOTAL CURRENT UNITS]]=0,0,INVESTORS_LIST[[#This Row],[SIP_TOTAL CURRENT UNITS]]/INVESTORS_LIST[[#This Row],[TOTAL CURRENT UNITS]])</f>
        <v>0</v>
      </c>
      <c r="AL89" s="49" cm="1">
        <f t="array" ref="AL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89" s="49" cm="1">
        <f t="array" ref="AM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8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89" s="105">
        <f t="shared" si="2"/>
        <v>14.224</v>
      </c>
      <c r="AP89" s="112">
        <f>IF(INVESTORS_LIST[[#This Row],[TOTAL CURRENT UNITS]]=0,0,INVESTORS_LIST[[#This Row],[TOTAL CURRENT UNITS]]*INVESTORS_LIST[[#This Row],[NAV]])</f>
        <v>0</v>
      </c>
      <c r="AQ89" s="49">
        <f>IF(INVESTORS_LIST[[#This Row],[LS_TOTAL CURRENT UNITS]]=0,0,INVESTORS_LIST[[#This Row],[LS_TOTAL CURRENT UNITS]]*INVESTORS_LIST[[#This Row],[NAV]])</f>
        <v>0</v>
      </c>
      <c r="AR89" s="48">
        <f>IF(INVESTORS_LIST[[#This Row],[SIP_TOTAL CURRENT UNITS]]=0,0,INVESTORS_LIST[[#This Row],[SIP_TOTAL CURRENT UNITS]]*INVESTORS_LIST[[#This Row],[NAV]])</f>
        <v>0</v>
      </c>
      <c r="AS89" s="50">
        <f>INVESTORS_LIST[[#This Row],[TOTAL CURRENT UNITS]]</f>
        <v>0</v>
      </c>
      <c r="AT89" s="48">
        <f>IF(INVESTORS_LIST[[#This Row],[TOTAL SELLABLE UNITS]]=0,0,INVESTORS_LIST[[#This Row],[TOTAL SELLABLE UNITS]]*INVESTORS_LIST[[#This Row],[NAV]])</f>
        <v>0</v>
      </c>
      <c r="AU89" s="48">
        <f>INVESTORS_LIST[[#This Row],[LS_TOTAL REALIZED GAIN]]+INVESTORS_LIST[[#This Row],[SIP_TOTAL REALIZED GAIN]]</f>
        <v>0</v>
      </c>
      <c r="AV89" s="48">
        <f>INVESTORS_LIST[[#This Row],[TOTAL MARKET VALUE]]-INVESTORS_LIST[[#This Row],[TOTAL COST VALUE OF CURRENT INVESTMENT]]</f>
        <v>0</v>
      </c>
      <c r="AW89" s="48">
        <f>IFERROR(INVESTORS_LIST[[#This Row],[TOTAL CURRENT UNITS]]/SUM(INVESTORS_LIST[TOTAL CURRENT UNITS]),0)</f>
        <v>0</v>
      </c>
    </row>
    <row r="90" spans="1:49">
      <c r="A90" s="262" t="s">
        <v>227</v>
      </c>
      <c r="B90" s="97" t="s">
        <v>228</v>
      </c>
      <c r="C90" t="s">
        <v>44</v>
      </c>
      <c r="D90" s="75" t="s">
        <v>45</v>
      </c>
      <c r="E90" s="47">
        <f>SUMIFS(LS[Unit],LS[Investor ID],INVESTORS_LIST[[#This Row],[INVESTOR CODE]],LS[B/S],"B")</f>
        <v>69216</v>
      </c>
      <c r="F90" s="47">
        <f>-SUMIFS(LS[Unit],LS[Investor ID],INVESTORS_LIST[[#This Row],[INVESTOR CODE]],LS[B/S],"S")</f>
        <v>69216</v>
      </c>
      <c r="G90" s="47">
        <f>IF(INVESTORS_LIST[[#This Row],[LS_TOTAL UNITS BUY]]=0,0,INVESTORS_LIST[[#This Row],[LS_TOTAL UNITS BUY]]-INVESTORS_LIST[[#This Row],[LS_TOTAL UNITS SOLD]])</f>
        <v>0</v>
      </c>
      <c r="H90" s="49">
        <f>IF(INVESTORS_LIST[[#This Row],[LS_TOTAL UNITS BUY]]=0,0,SUMIFS(LS[Amount],LS[Investor ID],INVESTORS_LIST[[#This Row],[INVESTOR CODE]],LS[B/S],"B"))</f>
        <v>700000</v>
      </c>
      <c r="I90" s="48">
        <f>IF(INVESTORS_LIST[[#This Row],[LS_TOTAL UNITS SOLD]]=0,0,SUMIFS(LS[Cost of Units Sold],LS[Investor ID],INVESTORS_LIST[[#This Row],[INVESTOR CODE]],LS[B/S],"S"))</f>
        <v>700000</v>
      </c>
      <c r="J90" s="48">
        <f>IF(INVESTORS_LIST[[#This Row],[LS_TOTAL CURRENT UNITS]]=0,0,INVESTORS_LIST[[#This Row],[LS_TOTAL CURRENT UNITS]]*INVESTORS_LIST[[#This Row],[LS_AVERAGE COST]])</f>
        <v>0</v>
      </c>
      <c r="K90" s="49">
        <f>IF(INVESTORS_LIST[[#This Row],[LS_TOTAL UNITS SOLD]]=0,0,SUMIFS(LS[Realized Gain],LS[Investor ID],INVESTORS_LIST[[#This Row],[INVESTOR CODE]],LS[B/S],"S"))</f>
        <v>21915.770000000051</v>
      </c>
      <c r="L90" s="47">
        <f>SUMIFS(SIP[Unit],SIP[Investor ID],INVESTORS_LIST[[#This Row],[INVESTOR CODE]],SIP[B/S],"B")</f>
        <v>26441</v>
      </c>
      <c r="M90" s="47">
        <f>-SUMIFS(SIP[Unit],SIP[Investor ID],INVESTORS_LIST[[#This Row],[INVESTOR CODE]],SIP[B/S],"S")</f>
        <v>20560</v>
      </c>
      <c r="N90" s="50">
        <f>IF(INVESTORS_LIST[[#This Row],[SIP_TOTAL UNITS BUY]]=0,0,INVESTORS_LIST[[#This Row],[SIP_TOTAL UNITS BUY]]-INVESTORS_LIST[[#This Row],[SIP_TOTAL UNITS SOLD]])</f>
        <v>5881</v>
      </c>
      <c r="O90" s="49">
        <f>IF(INVESTORS_LIST[[#This Row],[SIP_TOTAL UNITS BUY]]=0,0,SUMIFS(SIP[Amount],SIP[Investor ID],INVESTORS_LIST[[#This Row],[INVESTOR CODE]],SIP[B/S],"B"))</f>
        <v>310000</v>
      </c>
      <c r="P90" s="49">
        <f>IF(INVESTORS_LIST[[#This Row],[SIP_TOTAL UNITS SOLD]]=0,0,SUMIFS(SIP[Cost of Units Sold],SIP[Investor ID],INVESTORS_LIST[[#This Row],[INVESTOR CODE]],SIP[B/S],"S"))</f>
        <v>230000</v>
      </c>
      <c r="Q90" s="48">
        <f>IF(INVESTORS_LIST[[#This Row],[SIP_TOTAL CURRENT UNITS]]=0,0,INVESTORS_LIST[[#This Row],[SIP_TOTAL CURRENT UNITS]]*INVESTORS_LIST[[#This Row],[SIP_AVERAGE COST]])</f>
        <v>80000</v>
      </c>
      <c r="R90" s="48">
        <f>IF(INVESTORS_LIST[[#This Row],[SIP_TOTAL UNITS SOLD]]=0,0,SUMIFS(SIP[Realized Gain],SIP[Investor ID],INVESTORS_LIST[[#This Row],[INVESTOR CODE]],SIP[B/S],"S"))</f>
        <v>15891.879999999983</v>
      </c>
      <c r="S90" s="50">
        <f>INVESTORS_LIST[[#This Row],[LS_TOTAL UNITS BUY]]+INVESTORS_LIST[[#This Row],[SIP_TOTAL UNITS BUY]]</f>
        <v>95657</v>
      </c>
      <c r="T90" s="50">
        <f>INVESTORS_LIST[[#This Row],[LS_TOTAL UNITS SOLD]]+INVESTORS_LIST[[#This Row],[SIP_TOTAL UNITS SOLD]]</f>
        <v>89776</v>
      </c>
      <c r="U90" s="50"/>
      <c r="V90" s="50">
        <f>SUMIFS(LS[BO UNIT TRANSFER],LS[Investor ID],INVESTORS_LIST[[#This Row],[INVESTOR CODE]],LS[B/S],"B")</f>
        <v>0</v>
      </c>
      <c r="W90" s="50">
        <f>SUMIFS(SIP[BO UNIT TRANSFER],SIP[Investor ID],INVESTORS_LIST[[#This Row],[INVESTOR CODE]],SIP[B/S],"B")</f>
        <v>0</v>
      </c>
      <c r="X90" s="50">
        <f>SUMIFS(LS[BO UNIT TRANSFER],LS[Investor ID],INVESTORS_LIST[[#This Row],[INVESTOR CODE]],LS[B/S],"S")</f>
        <v>0</v>
      </c>
      <c r="Y90" s="50">
        <f>SUMIFS(SIP[BO UNIT TRANSFER],SIP[Investor ID],INVESTORS_LIST[[#This Row],[INVESTOR CODE]],SIP[B/S],"S")</f>
        <v>0</v>
      </c>
      <c r="Z90" s="106">
        <f>SUM(INVESTORS_LIST[[#This Row],[BO OPENING BALANCE]:[BO SIP UNITS REPURCHASE]])</f>
        <v>0</v>
      </c>
      <c r="AA90" s="107">
        <f>INVESTORS_LIST[[#This Row],[TOTAL UNITS BUY]]-INVESTORS_LIST[[#This Row],[TOTAL UNITS SOLD]]</f>
        <v>5881</v>
      </c>
      <c r="AB90" s="107">
        <f>INVESTORS_LIST[[#This Row],[TOTAL CURRENT UNITS]]-INVESTORS_LIST[[#This Row],[BO UNITS HOLD]]</f>
        <v>5881</v>
      </c>
      <c r="AC90" s="201" t="e">
        <f>INDEX([3]!Table_1[BO ID],MATCH(INVESTORS_LIST[[#This Row],[INVESTOR CODE]],[3]!Table_1[INVESTOR CODE],0))</f>
        <v>#REF!</v>
      </c>
      <c r="AD90" s="201" t="e">
        <f>INDEX([3]!Table_1[Brokerage Name2],MATCH(INVESTORS_LIST[[#This Row],[INVESTOR CODE]],[3]!Table_1[INVESTOR CODE],0))</f>
        <v>#REF!</v>
      </c>
      <c r="AE90" s="201" t="e">
        <f>MID(INVESTORS_LIST[[#This Row],[BO ID]],4,5)</f>
        <v>#REF!</v>
      </c>
      <c r="AF90" s="201" t="e">
        <f>MID(INVESTORS_LIST[[#This Row],[BO ID]],2,7)</f>
        <v>#REF!</v>
      </c>
      <c r="AG90" s="201" t="e">
        <f>MID(INVESTORS_LIST[[#This Row],[BO ID]],9,7)</f>
        <v>#REF!</v>
      </c>
      <c r="AH90" s="201" t="e">
        <f>RIGHT(INVESTORS_LIST[[#This Row],[BO ID]],1)</f>
        <v>#REF!</v>
      </c>
      <c r="AI90" s="50">
        <f>INVESTORS_LIST[[#This Row],[LS_TOTAL COST VALUE OF CURRENT UNITS]]+INVESTORS_LIST[[#This Row],[SIP_TOTAL COST VALUE OF CURRENT UNITS]]</f>
        <v>80000</v>
      </c>
      <c r="AJ90" s="109">
        <f>IF(INVESTORS_LIST[[#This Row],[TOTAL CURRENT UNITS]]=0,0,INVESTORS_LIST[[#This Row],[LS_TOTAL CURRENT UNITS]]/INVESTORS_LIST[[#This Row],[TOTAL CURRENT UNITS]])</f>
        <v>0</v>
      </c>
      <c r="AK90" s="109">
        <f>IF(INVESTORS_LIST[[#This Row],[TOTAL CURRENT UNITS]]=0,0,INVESTORS_LIST[[#This Row],[SIP_TOTAL CURRENT UNITS]]/INVESTORS_LIST[[#This Row],[TOTAL CURRENT UNITS]])</f>
        <v>1</v>
      </c>
      <c r="AL90" s="49" cm="1">
        <f t="array" ref="AL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0" s="49" cm="1">
        <f t="array" ref="AM90">IF(INVESTORS_LIST[[#This Row],[SIP_TOTAL UNITS BUY]]&gt;0,INDEX(SIP[NAV at Cost (Average)],MATCH(CONCATENATE(COUNTIFS(SIP[Investor ID],INVESTORS_LIST[[#This Row],[INVESTOR CODE]]),INVESTORS_LIST[[#This Row],[INVESTOR CODE]]),SIP[Unique Code],0),),0)</f>
        <v>13.603128719605509</v>
      </c>
      <c r="AN90" s="105">
        <f>IF(INVESTORS_LIST[[#This Row],[TOTAL CURRENT UNITS]]=0,0,(INVESTORS_LIST[[#This Row],[LS_WEIGHT]]*INVESTORS_LIST[[#This Row],[LS_AVERAGE COST]])+(INVESTORS_LIST[[#This Row],[SIP_WEIGHT]]*INVESTORS_LIST[[#This Row],[SIP_AVERAGE COST]]))</f>
        <v>13.603128719605509</v>
      </c>
      <c r="AO90" s="105">
        <f t="shared" si="2"/>
        <v>14.224</v>
      </c>
      <c r="AP90" s="112">
        <f>IF(INVESTORS_LIST[[#This Row],[TOTAL CURRENT UNITS]]=0,0,INVESTORS_LIST[[#This Row],[TOTAL CURRENT UNITS]]*INVESTORS_LIST[[#This Row],[NAV]])</f>
        <v>83651.343999999997</v>
      </c>
      <c r="AQ90" s="49">
        <f>IF(INVESTORS_LIST[[#This Row],[LS_TOTAL CURRENT UNITS]]=0,0,INVESTORS_LIST[[#This Row],[LS_TOTAL CURRENT UNITS]]*INVESTORS_LIST[[#This Row],[NAV]])</f>
        <v>0</v>
      </c>
      <c r="AR90" s="48">
        <f>IF(INVESTORS_LIST[[#This Row],[SIP_TOTAL CURRENT UNITS]]=0,0,INVESTORS_LIST[[#This Row],[SIP_TOTAL CURRENT UNITS]]*INVESTORS_LIST[[#This Row],[NAV]])</f>
        <v>83651.343999999997</v>
      </c>
      <c r="AS90" s="50">
        <f>INVESTORS_LIST[[#This Row],[TOTAL CURRENT UNITS]]</f>
        <v>5881</v>
      </c>
      <c r="AT90" s="48">
        <f>IF(INVESTORS_LIST[[#This Row],[TOTAL SELLABLE UNITS]]=0,0,INVESTORS_LIST[[#This Row],[TOTAL SELLABLE UNITS]]*INVESTORS_LIST[[#This Row],[NAV]])</f>
        <v>83651.343999999997</v>
      </c>
      <c r="AU90" s="48">
        <f>INVESTORS_LIST[[#This Row],[LS_TOTAL REALIZED GAIN]]+INVESTORS_LIST[[#This Row],[SIP_TOTAL REALIZED GAIN]]</f>
        <v>37807.650000000038</v>
      </c>
      <c r="AV90" s="48">
        <f>INVESTORS_LIST[[#This Row],[TOTAL MARKET VALUE]]-INVESTORS_LIST[[#This Row],[TOTAL COST VALUE OF CURRENT INVESTMENT]]</f>
        <v>3651.3439999999973</v>
      </c>
      <c r="AW90" s="108">
        <f>IFERROR(INVESTORS_LIST[[#This Row],[TOTAL CURRENT UNITS]]/SUM(INVESTORS_LIST[TOTAL CURRENT UNITS]),0)</f>
        <v>1.427683786369856E-4</v>
      </c>
    </row>
    <row r="91" spans="1:49" hidden="1">
      <c r="A91" s="262" t="s">
        <v>229</v>
      </c>
      <c r="B91" s="97" t="s">
        <v>230</v>
      </c>
      <c r="C91" t="s">
        <v>44</v>
      </c>
      <c r="D91" s="75" t="s">
        <v>45</v>
      </c>
      <c r="E91" s="47">
        <f>SUMIFS(LS[Unit],LS[Investor ID],INVESTORS_LIST[[#This Row],[INVESTOR CODE]],LS[B/S],"B")</f>
        <v>53208</v>
      </c>
      <c r="F91" s="47">
        <f>-SUMIFS(LS[Unit],LS[Investor ID],INVESTORS_LIST[[#This Row],[INVESTOR CODE]],LS[B/S],"S")</f>
        <v>53208</v>
      </c>
      <c r="G91" s="47">
        <f>IF(INVESTORS_LIST[[#This Row],[LS_TOTAL UNITS BUY]]=0,0,INVESTORS_LIST[[#This Row],[LS_TOTAL UNITS BUY]]-INVESTORS_LIST[[#This Row],[LS_TOTAL UNITS SOLD]])</f>
        <v>0</v>
      </c>
      <c r="H91" s="49">
        <f>IF(INVESTORS_LIST[[#This Row],[LS_TOTAL UNITS BUY]]=0,0,SUMIFS(LS[Amount],LS[Investor ID],INVESTORS_LIST[[#This Row],[INVESTOR CODE]],LS[B/S],"B"))</f>
        <v>538404.44999999995</v>
      </c>
      <c r="I91" s="48">
        <f>IF(INVESTORS_LIST[[#This Row],[LS_TOTAL UNITS SOLD]]=0,0,SUMIFS(LS[Cost of Units Sold],LS[Investor ID],INVESTORS_LIST[[#This Row],[INVESTOR CODE]],LS[B/S],"S"))</f>
        <v>538404.44999999995</v>
      </c>
      <c r="J91" s="48">
        <f>IF(INVESTORS_LIST[[#This Row],[LS_TOTAL CURRENT UNITS]]=0,0,INVESTORS_LIST[[#This Row],[LS_TOTAL CURRENT UNITS]]*INVESTORS_LIST[[#This Row],[LS_AVERAGE COST]])</f>
        <v>0</v>
      </c>
      <c r="K91" s="49">
        <f>IF(INVESTORS_LIST[[#This Row],[LS_TOTAL UNITS SOLD]]=0,0,SUMIFS(LS[Realized Gain],LS[Investor ID],INVESTORS_LIST[[#This Row],[INVESTOR CODE]],LS[B/S],"S"))</f>
        <v>44417.619999999981</v>
      </c>
      <c r="L91" s="47">
        <f>SUMIFS(SIP[Unit],SIP[Investor ID],INVESTORS_LIST[[#This Row],[INVESTOR CODE]],SIP[B/S],"B")</f>
        <v>0</v>
      </c>
      <c r="M91" s="47">
        <f>-SUMIFS(SIP[Unit],SIP[Investor ID],INVESTORS_LIST[[#This Row],[INVESTOR CODE]],SIP[B/S],"S")</f>
        <v>0</v>
      </c>
      <c r="N91" s="50">
        <f>IF(INVESTORS_LIST[[#This Row],[SIP_TOTAL UNITS BUY]]=0,0,INVESTORS_LIST[[#This Row],[SIP_TOTAL UNITS BUY]]-INVESTORS_LIST[[#This Row],[SIP_TOTAL UNITS SOLD]])</f>
        <v>0</v>
      </c>
      <c r="O91" s="49">
        <f>IF(INVESTORS_LIST[[#This Row],[SIP_TOTAL UNITS BUY]]=0,0,SUMIFS(SIP[Amount],SIP[Investor ID],INVESTORS_LIST[[#This Row],[INVESTOR CODE]],SIP[B/S],"B"))</f>
        <v>0</v>
      </c>
      <c r="P91" s="49">
        <f>IF(INVESTORS_LIST[[#This Row],[SIP_TOTAL UNITS SOLD]]=0,0,SUMIFS(SIP[Cost of Units Sold],SIP[Investor ID],INVESTORS_LIST[[#This Row],[INVESTOR CODE]],SIP[B/S],"S"))</f>
        <v>0</v>
      </c>
      <c r="Q91" s="48">
        <f>IF(INVESTORS_LIST[[#This Row],[SIP_TOTAL CURRENT UNITS]]=0,0,INVESTORS_LIST[[#This Row],[SIP_TOTAL CURRENT UNITS]]*INVESTORS_LIST[[#This Row],[SIP_AVERAGE COST]])</f>
        <v>0</v>
      </c>
      <c r="R91" s="48">
        <f>IF(INVESTORS_LIST[[#This Row],[SIP_TOTAL UNITS SOLD]]=0,0,SUMIFS(SIP[Realized Gain],SIP[Investor ID],INVESTORS_LIST[[#This Row],[INVESTOR CODE]],SIP[B/S],"S"))</f>
        <v>0</v>
      </c>
      <c r="S91" s="50">
        <f>INVESTORS_LIST[[#This Row],[LS_TOTAL UNITS BUY]]+INVESTORS_LIST[[#This Row],[SIP_TOTAL UNITS BUY]]</f>
        <v>53208</v>
      </c>
      <c r="T91" s="50">
        <f>INVESTORS_LIST[[#This Row],[LS_TOTAL UNITS SOLD]]+INVESTORS_LIST[[#This Row],[SIP_TOTAL UNITS SOLD]]</f>
        <v>53208</v>
      </c>
      <c r="U91" s="50"/>
      <c r="V91" s="50">
        <f>SUMIFS(LS[BO UNIT TRANSFER],LS[Investor ID],INVESTORS_LIST[[#This Row],[INVESTOR CODE]],LS[B/S],"B")</f>
        <v>0</v>
      </c>
      <c r="W91" s="50">
        <f>SUMIFS(SIP[BO UNIT TRANSFER],SIP[Investor ID],INVESTORS_LIST[[#This Row],[INVESTOR CODE]],SIP[B/S],"B")</f>
        <v>0</v>
      </c>
      <c r="X91" s="50">
        <f>SUMIFS(LS[BO UNIT TRANSFER],LS[Investor ID],INVESTORS_LIST[[#This Row],[INVESTOR CODE]],LS[B/S],"S")</f>
        <v>0</v>
      </c>
      <c r="Y91" s="50">
        <f>SUMIFS(SIP[BO UNIT TRANSFER],SIP[Investor ID],INVESTORS_LIST[[#This Row],[INVESTOR CODE]],SIP[B/S],"S")</f>
        <v>0</v>
      </c>
      <c r="Z91" s="106">
        <f>SUM(INVESTORS_LIST[[#This Row],[BO OPENING BALANCE]:[BO SIP UNITS REPURCHASE]])</f>
        <v>0</v>
      </c>
      <c r="AA91" s="107">
        <f>INVESTORS_LIST[[#This Row],[TOTAL UNITS BUY]]-INVESTORS_LIST[[#This Row],[TOTAL UNITS SOLD]]</f>
        <v>0</v>
      </c>
      <c r="AB91" s="107">
        <f>INVESTORS_LIST[[#This Row],[TOTAL CURRENT UNITS]]-INVESTORS_LIST[[#This Row],[BO UNITS HOLD]]</f>
        <v>0</v>
      </c>
      <c r="AC91" s="201" t="e">
        <f>INDEX([3]!Table_1[BO ID],MATCH(INVESTORS_LIST[[#This Row],[INVESTOR CODE]],[3]!Table_1[INVESTOR CODE],0))</f>
        <v>#REF!</v>
      </c>
      <c r="AD91" s="201" t="e">
        <f>INDEX([3]!Table_1[Brokerage Name2],MATCH(INVESTORS_LIST[[#This Row],[INVESTOR CODE]],[3]!Table_1[INVESTOR CODE],0))</f>
        <v>#REF!</v>
      </c>
      <c r="AE91" s="201" t="e">
        <f>MID(INVESTORS_LIST[[#This Row],[BO ID]],4,5)</f>
        <v>#REF!</v>
      </c>
      <c r="AF91" s="201" t="e">
        <f>MID(INVESTORS_LIST[[#This Row],[BO ID]],2,7)</f>
        <v>#REF!</v>
      </c>
      <c r="AG91" s="201" t="e">
        <f>MID(INVESTORS_LIST[[#This Row],[BO ID]],9,7)</f>
        <v>#REF!</v>
      </c>
      <c r="AH91" s="201" t="e">
        <f>RIGHT(INVESTORS_LIST[[#This Row],[BO ID]],1)</f>
        <v>#REF!</v>
      </c>
      <c r="AI91" s="50">
        <f>INVESTORS_LIST[[#This Row],[LS_TOTAL COST VALUE OF CURRENT UNITS]]+INVESTORS_LIST[[#This Row],[SIP_TOTAL COST VALUE OF CURRENT UNITS]]</f>
        <v>0</v>
      </c>
      <c r="AJ91" s="109">
        <f>IF(INVESTORS_LIST[[#This Row],[TOTAL CURRENT UNITS]]=0,0,INVESTORS_LIST[[#This Row],[LS_TOTAL CURRENT UNITS]]/INVESTORS_LIST[[#This Row],[TOTAL CURRENT UNITS]])</f>
        <v>0</v>
      </c>
      <c r="AK91" s="109">
        <f>IF(INVESTORS_LIST[[#This Row],[TOTAL CURRENT UNITS]]=0,0,INVESTORS_LIST[[#This Row],[SIP_TOTAL CURRENT UNITS]]/INVESTORS_LIST[[#This Row],[TOTAL CURRENT UNITS]])</f>
        <v>0</v>
      </c>
      <c r="AL91" s="49" cm="1">
        <f t="array" ref="AL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1" s="49" cm="1">
        <f t="array" ref="AM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91" s="105">
        <f t="shared" si="2"/>
        <v>14.224</v>
      </c>
      <c r="AP91" s="112">
        <f>IF(INVESTORS_LIST[[#This Row],[TOTAL CURRENT UNITS]]=0,0,INVESTORS_LIST[[#This Row],[TOTAL CURRENT UNITS]]*INVESTORS_LIST[[#This Row],[NAV]])</f>
        <v>0</v>
      </c>
      <c r="AQ91" s="49">
        <f>IF(INVESTORS_LIST[[#This Row],[LS_TOTAL CURRENT UNITS]]=0,0,INVESTORS_LIST[[#This Row],[LS_TOTAL CURRENT UNITS]]*INVESTORS_LIST[[#This Row],[NAV]])</f>
        <v>0</v>
      </c>
      <c r="AR91" s="48">
        <f>IF(INVESTORS_LIST[[#This Row],[SIP_TOTAL CURRENT UNITS]]=0,0,INVESTORS_LIST[[#This Row],[SIP_TOTAL CURRENT UNITS]]*INVESTORS_LIST[[#This Row],[NAV]])</f>
        <v>0</v>
      </c>
      <c r="AS91" s="50">
        <f>INVESTORS_LIST[[#This Row],[TOTAL CURRENT UNITS]]</f>
        <v>0</v>
      </c>
      <c r="AT91" s="48">
        <f>IF(INVESTORS_LIST[[#This Row],[TOTAL SELLABLE UNITS]]=0,0,INVESTORS_LIST[[#This Row],[TOTAL SELLABLE UNITS]]*INVESTORS_LIST[[#This Row],[NAV]])</f>
        <v>0</v>
      </c>
      <c r="AU91" s="48">
        <f>INVESTORS_LIST[[#This Row],[LS_TOTAL REALIZED GAIN]]+INVESTORS_LIST[[#This Row],[SIP_TOTAL REALIZED GAIN]]</f>
        <v>44417.619999999981</v>
      </c>
      <c r="AV91" s="48">
        <f>INVESTORS_LIST[[#This Row],[TOTAL MARKET VALUE]]-INVESTORS_LIST[[#This Row],[TOTAL COST VALUE OF CURRENT INVESTMENT]]</f>
        <v>0</v>
      </c>
      <c r="AW91" s="108">
        <f>IFERROR(INVESTORS_LIST[[#This Row],[TOTAL CURRENT UNITS]]/SUM(INVESTORS_LIST[TOTAL CURRENT UNITS]),0)</f>
        <v>0</v>
      </c>
    </row>
    <row r="92" spans="1:49">
      <c r="A92" s="262" t="s">
        <v>231</v>
      </c>
      <c r="B92" s="97" t="s">
        <v>232</v>
      </c>
      <c r="C92" t="s">
        <v>44</v>
      </c>
      <c r="D92" s="75" t="s">
        <v>45</v>
      </c>
      <c r="E92" s="47">
        <f>SUMIFS(LS[Unit],LS[Investor ID],INVESTORS_LIST[[#This Row],[INVESTOR CODE]],LS[B/S],"B")</f>
        <v>0</v>
      </c>
      <c r="F92" s="47">
        <f>-SUMIFS(LS[Unit],LS[Investor ID],INVESTORS_LIST[[#This Row],[INVESTOR CODE]],LS[B/S],"S")</f>
        <v>0</v>
      </c>
      <c r="G92" s="47">
        <f>IF(INVESTORS_LIST[[#This Row],[LS_TOTAL UNITS BUY]]=0,0,INVESTORS_LIST[[#This Row],[LS_TOTAL UNITS BUY]]-INVESTORS_LIST[[#This Row],[LS_TOTAL UNITS SOLD]])</f>
        <v>0</v>
      </c>
      <c r="H92" s="49">
        <f>IF(INVESTORS_LIST[[#This Row],[LS_TOTAL UNITS BUY]]=0,0,SUMIFS(LS[Amount],LS[Investor ID],INVESTORS_LIST[[#This Row],[INVESTOR CODE]],LS[B/S],"B"))</f>
        <v>0</v>
      </c>
      <c r="I92" s="48">
        <f>IF(INVESTORS_LIST[[#This Row],[LS_TOTAL UNITS SOLD]]=0,0,SUMIFS(LS[Cost of Units Sold],LS[Investor ID],INVESTORS_LIST[[#This Row],[INVESTOR CODE]],LS[B/S],"S"))</f>
        <v>0</v>
      </c>
      <c r="J92" s="48">
        <f>IF(INVESTORS_LIST[[#This Row],[LS_TOTAL CURRENT UNITS]]=0,0,INVESTORS_LIST[[#This Row],[LS_TOTAL CURRENT UNITS]]*INVESTORS_LIST[[#This Row],[LS_AVERAGE COST]])</f>
        <v>0</v>
      </c>
      <c r="K92" s="49">
        <f>IF(INVESTORS_LIST[[#This Row],[LS_TOTAL UNITS SOLD]]=0,0,SUMIFS(LS[Realized Gain],LS[Investor ID],INVESTORS_LIST[[#This Row],[INVESTOR CODE]],LS[B/S],"S"))</f>
        <v>0</v>
      </c>
      <c r="L92" s="47">
        <f>SUMIFS(SIP[Unit],SIP[Investor ID],INVESTORS_LIST[[#This Row],[INVESTOR CODE]],SIP[B/S],"B")</f>
        <v>4145</v>
      </c>
      <c r="M92" s="47">
        <f>-SUMIFS(SIP[Unit],SIP[Investor ID],INVESTORS_LIST[[#This Row],[INVESTOR CODE]],SIP[B/S],"S")</f>
        <v>175</v>
      </c>
      <c r="N92" s="50">
        <f>IF(INVESTORS_LIST[[#This Row],[SIP_TOTAL UNITS BUY]]=0,0,INVESTORS_LIST[[#This Row],[SIP_TOTAL UNITS BUY]]-INVESTORS_LIST[[#This Row],[SIP_TOTAL UNITS SOLD]])</f>
        <v>3970</v>
      </c>
      <c r="O92" s="49">
        <f>IF(INVESTORS_LIST[[#This Row],[SIP_TOTAL UNITS BUY]]=0,0,SUMIFS(SIP[Amount],SIP[Investor ID],INVESTORS_LIST[[#This Row],[INVESTOR CODE]],SIP[B/S],"B"))</f>
        <v>50000</v>
      </c>
      <c r="P92" s="49">
        <f>IF(INVESTORS_LIST[[#This Row],[SIP_TOTAL UNITS SOLD]]=0,0,SUMIFS(SIP[Cost of Units Sold],SIP[Investor ID],INVESTORS_LIST[[#This Row],[INVESTOR CODE]],SIP[B/S],"S"))</f>
        <v>1912.5683060109295</v>
      </c>
      <c r="Q92" s="48">
        <f>IF(INVESTORS_LIST[[#This Row],[SIP_TOTAL CURRENT UNITS]]=0,0,INVESTORS_LIST[[#This Row],[SIP_TOTAL CURRENT UNITS]]*INVESTORS_LIST[[#This Row],[SIP_AVERAGE COST]])</f>
        <v>48087.431693989078</v>
      </c>
      <c r="R92" s="48">
        <f>IF(INVESTORS_LIST[[#This Row],[SIP_TOTAL UNITS SOLD]]=0,0,SUMIFS(SIP[Realized Gain],SIP[Investor ID],INVESTORS_LIST[[#This Row],[INVESTOR CODE]],SIP[B/S],"S"))</f>
        <v>87.43169398907051</v>
      </c>
      <c r="S92" s="50">
        <f>INVESTORS_LIST[[#This Row],[LS_TOTAL UNITS BUY]]+INVESTORS_LIST[[#This Row],[SIP_TOTAL UNITS BUY]]</f>
        <v>4145</v>
      </c>
      <c r="T92" s="50">
        <f>INVESTORS_LIST[[#This Row],[LS_TOTAL UNITS SOLD]]+INVESTORS_LIST[[#This Row],[SIP_TOTAL UNITS SOLD]]</f>
        <v>175</v>
      </c>
      <c r="U92" s="50"/>
      <c r="V92" s="50">
        <f>SUMIFS(LS[BO UNIT TRANSFER],LS[Investor ID],INVESTORS_LIST[[#This Row],[INVESTOR CODE]],LS[B/S],"B")</f>
        <v>0</v>
      </c>
      <c r="W92" s="50">
        <f>SUMIFS(SIP[BO UNIT TRANSFER],SIP[Investor ID],INVESTORS_LIST[[#This Row],[INVESTOR CODE]],SIP[B/S],"B")</f>
        <v>0</v>
      </c>
      <c r="X92" s="50">
        <f>SUMIFS(LS[BO UNIT TRANSFER],LS[Investor ID],INVESTORS_LIST[[#This Row],[INVESTOR CODE]],LS[B/S],"S")</f>
        <v>0</v>
      </c>
      <c r="Y92" s="50">
        <f>SUMIFS(SIP[BO UNIT TRANSFER],SIP[Investor ID],INVESTORS_LIST[[#This Row],[INVESTOR CODE]],SIP[B/S],"S")</f>
        <v>0</v>
      </c>
      <c r="Z92" s="106">
        <f>SUM(INVESTORS_LIST[[#This Row],[BO OPENING BALANCE]:[BO SIP UNITS REPURCHASE]])</f>
        <v>0</v>
      </c>
      <c r="AA92" s="107">
        <f>INVESTORS_LIST[[#This Row],[TOTAL UNITS BUY]]-INVESTORS_LIST[[#This Row],[TOTAL UNITS SOLD]]</f>
        <v>3970</v>
      </c>
      <c r="AB92" s="107">
        <f>INVESTORS_LIST[[#This Row],[TOTAL CURRENT UNITS]]-INVESTORS_LIST[[#This Row],[BO UNITS HOLD]]</f>
        <v>3970</v>
      </c>
      <c r="AC92" s="201" t="e">
        <f>INDEX([3]!Table_1[BO ID],MATCH(INVESTORS_LIST[[#This Row],[INVESTOR CODE]],[3]!Table_1[INVESTOR CODE],0))</f>
        <v>#REF!</v>
      </c>
      <c r="AD92" s="201" t="e">
        <f>INDEX([3]!Table_1[Brokerage Name2],MATCH(INVESTORS_LIST[[#This Row],[INVESTOR CODE]],[3]!Table_1[INVESTOR CODE],0))</f>
        <v>#REF!</v>
      </c>
      <c r="AE92" s="201" t="e">
        <f>MID(INVESTORS_LIST[[#This Row],[BO ID]],4,5)</f>
        <v>#REF!</v>
      </c>
      <c r="AF92" s="201" t="e">
        <f>MID(INVESTORS_LIST[[#This Row],[BO ID]],2,7)</f>
        <v>#REF!</v>
      </c>
      <c r="AG92" s="201" t="e">
        <f>MID(INVESTORS_LIST[[#This Row],[BO ID]],9,7)</f>
        <v>#REF!</v>
      </c>
      <c r="AH92" s="201" t="e">
        <f>RIGHT(INVESTORS_LIST[[#This Row],[BO ID]],1)</f>
        <v>#REF!</v>
      </c>
      <c r="AI92" s="50">
        <f>INVESTORS_LIST[[#This Row],[LS_TOTAL COST VALUE OF CURRENT UNITS]]+INVESTORS_LIST[[#This Row],[SIP_TOTAL COST VALUE OF CURRENT UNITS]]</f>
        <v>48087.431693989078</v>
      </c>
      <c r="AJ92" s="109">
        <f>IF(INVESTORS_LIST[[#This Row],[TOTAL CURRENT UNITS]]=0,0,INVESTORS_LIST[[#This Row],[LS_TOTAL CURRENT UNITS]]/INVESTORS_LIST[[#This Row],[TOTAL CURRENT UNITS]])</f>
        <v>0</v>
      </c>
      <c r="AK92" s="109">
        <f>IF(INVESTORS_LIST[[#This Row],[TOTAL CURRENT UNITS]]=0,0,INVESTORS_LIST[[#This Row],[SIP_TOTAL CURRENT UNITS]]/INVESTORS_LIST[[#This Row],[TOTAL CURRENT UNITS]])</f>
        <v>1</v>
      </c>
      <c r="AL92" s="49" cm="1">
        <f t="array" ref="AL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2" s="49" cm="1">
        <f t="array" ref="AM92">IF(INVESTORS_LIST[[#This Row],[SIP_TOTAL UNITS BUY]]&gt;0,INDEX(SIP[NAV at Cost (Average)],MATCH(CONCATENATE(COUNTIFS(SIP[Investor ID],INVESTORS_LIST[[#This Row],[INVESTOR CODE]]),INVESTORS_LIST[[#This Row],[INVESTOR CODE]]),SIP[Unique Code],0),),0)</f>
        <v>12.112703197478357</v>
      </c>
      <c r="AN92" s="105">
        <f>IF(INVESTORS_LIST[[#This Row],[TOTAL CURRENT UNITS]]=0,0,(INVESTORS_LIST[[#This Row],[LS_WEIGHT]]*INVESTORS_LIST[[#This Row],[LS_AVERAGE COST]])+(INVESTORS_LIST[[#This Row],[SIP_WEIGHT]]*INVESTORS_LIST[[#This Row],[SIP_AVERAGE COST]]))</f>
        <v>12.112703197478357</v>
      </c>
      <c r="AO92" s="105">
        <f t="shared" si="2"/>
        <v>14.224</v>
      </c>
      <c r="AP92" s="112">
        <f>IF(INVESTORS_LIST[[#This Row],[TOTAL CURRENT UNITS]]=0,0,INVESTORS_LIST[[#This Row],[TOTAL CURRENT UNITS]]*INVESTORS_LIST[[#This Row],[NAV]])</f>
        <v>56469.279999999999</v>
      </c>
      <c r="AQ92" s="49">
        <f>IF(INVESTORS_LIST[[#This Row],[LS_TOTAL CURRENT UNITS]]=0,0,INVESTORS_LIST[[#This Row],[LS_TOTAL CURRENT UNITS]]*INVESTORS_LIST[[#This Row],[NAV]])</f>
        <v>0</v>
      </c>
      <c r="AR92" s="48">
        <f>IF(INVESTORS_LIST[[#This Row],[SIP_TOTAL CURRENT UNITS]]=0,0,INVESTORS_LIST[[#This Row],[SIP_TOTAL CURRENT UNITS]]*INVESTORS_LIST[[#This Row],[NAV]])</f>
        <v>56469.279999999999</v>
      </c>
      <c r="AS92" s="50">
        <f>INVESTORS_LIST[[#This Row],[TOTAL CURRENT UNITS]]</f>
        <v>3970</v>
      </c>
      <c r="AT92" s="48">
        <f>IF(INVESTORS_LIST[[#This Row],[TOTAL SELLABLE UNITS]]=0,0,INVESTORS_LIST[[#This Row],[TOTAL SELLABLE UNITS]]*INVESTORS_LIST[[#This Row],[NAV]])</f>
        <v>56469.279999999999</v>
      </c>
      <c r="AU92" s="48">
        <f>INVESTORS_LIST[[#This Row],[LS_TOTAL REALIZED GAIN]]+INVESTORS_LIST[[#This Row],[SIP_TOTAL REALIZED GAIN]]</f>
        <v>87.43169398907051</v>
      </c>
      <c r="AV92" s="48">
        <f>INVESTORS_LIST[[#This Row],[TOTAL MARKET VALUE]]-INVESTORS_LIST[[#This Row],[TOTAL COST VALUE OF CURRENT INVESTMENT]]</f>
        <v>8381.8483060109211</v>
      </c>
      <c r="AW92" s="48">
        <f>IFERROR(INVESTORS_LIST[[#This Row],[TOTAL CURRENT UNITS]]/SUM(INVESTORS_LIST[TOTAL CURRENT UNITS]),0)</f>
        <v>9.6376545347531511E-5</v>
      </c>
    </row>
    <row r="93" spans="1:49">
      <c r="A93" s="262" t="s">
        <v>233</v>
      </c>
      <c r="B93" s="97" t="s">
        <v>234</v>
      </c>
      <c r="C93" t="s">
        <v>44</v>
      </c>
      <c r="D93" s="75" t="s">
        <v>45</v>
      </c>
      <c r="E93" s="47">
        <f>SUMIFS(LS[Unit],LS[Investor ID],INVESTORS_LIST[[#This Row],[INVESTOR CODE]],LS[B/S],"B")</f>
        <v>947254</v>
      </c>
      <c r="F93" s="47">
        <f>-SUMIFS(LS[Unit],LS[Investor ID],INVESTORS_LIST[[#This Row],[INVESTOR CODE]],LS[B/S],"S")</f>
        <v>836137</v>
      </c>
      <c r="G93" s="47">
        <f>IF(INVESTORS_LIST[[#This Row],[LS_TOTAL UNITS BUY]]=0,0,INVESTORS_LIST[[#This Row],[LS_TOTAL UNITS BUY]]-INVESTORS_LIST[[#This Row],[LS_TOTAL UNITS SOLD]])</f>
        <v>111117</v>
      </c>
      <c r="H93" s="49">
        <f>IF(INVESTORS_LIST[[#This Row],[LS_TOTAL UNITS BUY]]=0,0,SUMIFS(LS[Amount],LS[Investor ID],INVESTORS_LIST[[#This Row],[INVESTOR CODE]],LS[B/S],"B"))</f>
        <v>10300000</v>
      </c>
      <c r="I93" s="48">
        <f>IF(INVESTORS_LIST[[#This Row],[LS_TOTAL UNITS SOLD]]=0,0,SUMIFS(LS[Cost of Units Sold],LS[Investor ID],INVESTORS_LIST[[#This Row],[INVESTOR CODE]],LS[B/S],"S"))</f>
        <v>8886166.7179988027</v>
      </c>
      <c r="J93" s="48">
        <f>IF(INVESTORS_LIST[[#This Row],[LS_TOTAL CURRENT UNITS]]=0,0,INVESTORS_LIST[[#This Row],[LS_TOTAL CURRENT UNITS]]*INVESTORS_LIST[[#This Row],[LS_AVERAGE COST]])</f>
        <v>1413833.2820011957</v>
      </c>
      <c r="K93" s="49">
        <f>IF(INVESTORS_LIST[[#This Row],[LS_TOTAL UNITS SOLD]]=0,0,SUMIFS(LS[Realized Gain],LS[Investor ID],INVESTORS_LIST[[#This Row],[INVESTOR CODE]],LS[B/S],"S"))</f>
        <v>663833.28200119652</v>
      </c>
      <c r="L93" s="47">
        <f>SUMIFS(SIP[Unit],SIP[Investor ID],INVESTORS_LIST[[#This Row],[INVESTOR CODE]],SIP[B/S],"B")</f>
        <v>57903</v>
      </c>
      <c r="M93" s="47">
        <f>-SUMIFS(SIP[Unit],SIP[Investor ID],INVESTORS_LIST[[#This Row],[INVESTOR CODE]],SIP[B/S],"S")</f>
        <v>0</v>
      </c>
      <c r="N93" s="50">
        <f>IF(INVESTORS_LIST[[#This Row],[SIP_TOTAL UNITS BUY]]=0,0,INVESTORS_LIST[[#This Row],[SIP_TOTAL UNITS BUY]]-INVESTORS_LIST[[#This Row],[SIP_TOTAL UNITS SOLD]])</f>
        <v>57903</v>
      </c>
      <c r="O93" s="49">
        <f>IF(INVESTORS_LIST[[#This Row],[SIP_TOTAL UNITS BUY]]=0,0,SUMIFS(SIP[Amount],SIP[Investor ID],INVESTORS_LIST[[#This Row],[INVESTOR CODE]],SIP[B/S],"B"))</f>
        <v>750000</v>
      </c>
      <c r="P93" s="49">
        <f>IF(INVESTORS_LIST[[#This Row],[SIP_TOTAL UNITS SOLD]]=0,0,SUMIFS(SIP[Cost of Units Sold],SIP[Investor ID],INVESTORS_LIST[[#This Row],[INVESTOR CODE]],SIP[B/S],"S"))</f>
        <v>0</v>
      </c>
      <c r="Q93" s="48">
        <f>IF(INVESTORS_LIST[[#This Row],[SIP_TOTAL CURRENT UNITS]]=0,0,INVESTORS_LIST[[#This Row],[SIP_TOTAL CURRENT UNITS]]*INVESTORS_LIST[[#This Row],[SIP_AVERAGE COST]])</f>
        <v>750000.00000000012</v>
      </c>
      <c r="R93" s="48">
        <f>IF(INVESTORS_LIST[[#This Row],[SIP_TOTAL UNITS SOLD]]=0,0,SUMIFS(SIP[Realized Gain],SIP[Investor ID],INVESTORS_LIST[[#This Row],[INVESTOR CODE]],SIP[B/S],"S"))</f>
        <v>0</v>
      </c>
      <c r="S93" s="50">
        <f>INVESTORS_LIST[[#This Row],[LS_TOTAL UNITS BUY]]+INVESTORS_LIST[[#This Row],[SIP_TOTAL UNITS BUY]]</f>
        <v>1005157</v>
      </c>
      <c r="T93" s="50">
        <f>INVESTORS_LIST[[#This Row],[LS_TOTAL UNITS SOLD]]+INVESTORS_LIST[[#This Row],[SIP_TOTAL UNITS SOLD]]</f>
        <v>836137</v>
      </c>
      <c r="U93" s="50">
        <v>521078</v>
      </c>
      <c r="V93" s="50">
        <f>SUMIFS(LS[BO UNIT TRANSFER],LS[Investor ID],INVESTORS_LIST[[#This Row],[INVESTOR CODE]],LS[B/S],"B")</f>
        <v>0</v>
      </c>
      <c r="W93" s="50">
        <f>SUMIFS(SIP[BO UNIT TRANSFER],SIP[Investor ID],INVESTORS_LIST[[#This Row],[INVESTOR CODE]],SIP[B/S],"B")</f>
        <v>0</v>
      </c>
      <c r="X93" s="50">
        <f>SUMIFS(LS[BO UNIT TRANSFER],LS[Investor ID],INVESTORS_LIST[[#This Row],[INVESTOR CODE]],LS[B/S],"S")</f>
        <v>0</v>
      </c>
      <c r="Y93" s="50">
        <f>SUMIFS(SIP[BO UNIT TRANSFER],SIP[Investor ID],INVESTORS_LIST[[#This Row],[INVESTOR CODE]],SIP[B/S],"S")</f>
        <v>0</v>
      </c>
      <c r="Z93" s="106">
        <f>SUM(INVESTORS_LIST[[#This Row],[BO OPENING BALANCE]:[BO SIP UNITS REPURCHASE]])</f>
        <v>521078</v>
      </c>
      <c r="AA93" s="107">
        <f>INVESTORS_LIST[[#This Row],[TOTAL UNITS BUY]]-INVESTORS_LIST[[#This Row],[TOTAL UNITS SOLD]]</f>
        <v>169020</v>
      </c>
      <c r="AB93" s="107">
        <f>INVESTORS_LIST[[#This Row],[TOTAL CURRENT UNITS]]-INVESTORS_LIST[[#This Row],[BO UNITS HOLD]]</f>
        <v>-352058</v>
      </c>
      <c r="AC93" s="201" t="e">
        <f>INDEX([3]!Table_1[BO ID],MATCH(INVESTORS_LIST[[#This Row],[INVESTOR CODE]],[3]!Table_1[INVESTOR CODE],0))</f>
        <v>#REF!</v>
      </c>
      <c r="AD93" s="201" t="e">
        <f>INDEX([3]!Table_1[Brokerage Name2],MATCH(INVESTORS_LIST[[#This Row],[INVESTOR CODE]],[3]!Table_1[INVESTOR CODE],0))</f>
        <v>#REF!</v>
      </c>
      <c r="AE93" s="201" t="e">
        <f>MID(INVESTORS_LIST[[#This Row],[BO ID]],4,5)</f>
        <v>#REF!</v>
      </c>
      <c r="AF93" s="201" t="e">
        <f>MID(INVESTORS_LIST[[#This Row],[BO ID]],2,7)</f>
        <v>#REF!</v>
      </c>
      <c r="AG93" s="201" t="e">
        <f>MID(INVESTORS_LIST[[#This Row],[BO ID]],9,7)</f>
        <v>#REF!</v>
      </c>
      <c r="AH93" s="201" t="e">
        <f>RIGHT(INVESTORS_LIST[[#This Row],[BO ID]],1)</f>
        <v>#REF!</v>
      </c>
      <c r="AI93" s="50">
        <f>INVESTORS_LIST[[#This Row],[LS_TOTAL COST VALUE OF CURRENT UNITS]]+INVESTORS_LIST[[#This Row],[SIP_TOTAL COST VALUE OF CURRENT UNITS]]</f>
        <v>2163833.2820011959</v>
      </c>
      <c r="AJ93" s="109">
        <f>IF(INVESTORS_LIST[[#This Row],[TOTAL CURRENT UNITS]]=0,0,INVESTORS_LIST[[#This Row],[LS_TOTAL CURRENT UNITS]]/INVESTORS_LIST[[#This Row],[TOTAL CURRENT UNITS]])</f>
        <v>0.65741924032658861</v>
      </c>
      <c r="AK93" s="109">
        <f>IF(INVESTORS_LIST[[#This Row],[TOTAL CURRENT UNITS]]=0,0,INVESTORS_LIST[[#This Row],[SIP_TOTAL CURRENT UNITS]]/INVESTORS_LIST[[#This Row],[TOTAL CURRENT UNITS]])</f>
        <v>0.34258075967341145</v>
      </c>
      <c r="AL93" s="49" cm="1">
        <f t="array" ref="AL93">IF(INVESTORS_LIST[[#This Row],[LS_TOTAL UNITS BUY]]&gt;0,INDEX(LS[NAV at Cost (Average)],MATCH(CONCATENATE(COUNTIFS(LS[Investor ID],INVESTORS_LIST[[#This Row],[INVESTOR CODE]]),INVESTORS_LIST[[#This Row],[INVESTOR CODE]]),LS[Unique Code],0),),0)</f>
        <v>12.723825175276472</v>
      </c>
      <c r="AM93" s="49" cm="1">
        <f t="array" ref="AM93">IF(INVESTORS_LIST[[#This Row],[SIP_TOTAL UNITS BUY]]&gt;0,INDEX(SIP[NAV at Cost (Average)],MATCH(CONCATENATE(COUNTIFS(SIP[Investor ID],INVESTORS_LIST[[#This Row],[INVESTOR CODE]]),INVESTORS_LIST[[#This Row],[INVESTOR CODE]]),SIP[Unique Code],0),),0)</f>
        <v>12.952696751463657</v>
      </c>
      <c r="AN93" s="105">
        <f>IF(INVESTORS_LIST[[#This Row],[TOTAL CURRENT UNITS]]=0,0,(INVESTORS_LIST[[#This Row],[LS_WEIGHT]]*INVESTORS_LIST[[#This Row],[LS_AVERAGE COST]])+(INVESTORS_LIST[[#This Row],[SIP_WEIGHT]]*INVESTORS_LIST[[#This Row],[SIP_AVERAGE COST]]))</f>
        <v>12.80223217371433</v>
      </c>
      <c r="AO93" s="105">
        <f t="shared" si="2"/>
        <v>14.224</v>
      </c>
      <c r="AP93" s="112">
        <f>IF(INVESTORS_LIST[[#This Row],[TOTAL CURRENT UNITS]]=0,0,INVESTORS_LIST[[#This Row],[TOTAL CURRENT UNITS]]*INVESTORS_LIST[[#This Row],[NAV]])</f>
        <v>2404140.48</v>
      </c>
      <c r="AQ93" s="49">
        <f>IF(INVESTORS_LIST[[#This Row],[LS_TOTAL CURRENT UNITS]]=0,0,INVESTORS_LIST[[#This Row],[LS_TOTAL CURRENT UNITS]]*INVESTORS_LIST[[#This Row],[NAV]])</f>
        <v>1580528.2080000001</v>
      </c>
      <c r="AR93" s="48">
        <f>IF(INVESTORS_LIST[[#This Row],[SIP_TOTAL CURRENT UNITS]]=0,0,INVESTORS_LIST[[#This Row],[SIP_TOTAL CURRENT UNITS]]*INVESTORS_LIST[[#This Row],[NAV]])</f>
        <v>823612.272</v>
      </c>
      <c r="AS93" s="50">
        <f>INVESTORS_LIST[[#This Row],[TOTAL CURRENT UNITS]]</f>
        <v>169020</v>
      </c>
      <c r="AT93" s="48">
        <f>IF(INVESTORS_LIST[[#This Row],[TOTAL SELLABLE UNITS]]=0,0,INVESTORS_LIST[[#This Row],[TOTAL SELLABLE UNITS]]*INVESTORS_LIST[[#This Row],[NAV]])</f>
        <v>2404140.48</v>
      </c>
      <c r="AU93" s="48">
        <f>INVESTORS_LIST[[#This Row],[LS_TOTAL REALIZED GAIN]]+INVESTORS_LIST[[#This Row],[SIP_TOTAL REALIZED GAIN]]</f>
        <v>663833.28200119652</v>
      </c>
      <c r="AV93" s="48">
        <f>INVESTORS_LIST[[#This Row],[TOTAL MARKET VALUE]]-INVESTORS_LIST[[#This Row],[TOTAL COST VALUE OF CURRENT INVESTMENT]]</f>
        <v>240307.19799880404</v>
      </c>
      <c r="AW93" s="108">
        <f>IFERROR(INVESTORS_LIST[[#This Row],[TOTAL CURRENT UNITS]]/SUM(INVESTORS_LIST[TOTAL CURRENT UNITS]),0)</f>
        <v>4.10316465859944E-3</v>
      </c>
    </row>
    <row r="94" spans="1:49">
      <c r="A94" s="262" t="s">
        <v>235</v>
      </c>
      <c r="B94" s="97" t="s">
        <v>236</v>
      </c>
      <c r="C94" t="s">
        <v>44</v>
      </c>
      <c r="D94" s="75" t="s">
        <v>45</v>
      </c>
      <c r="E94" s="47">
        <f>SUMIFS(LS[Unit],LS[Investor ID],INVESTORS_LIST[[#This Row],[INVESTOR CODE]],LS[B/S],"B")</f>
        <v>135696</v>
      </c>
      <c r="F94" s="47">
        <f>-SUMIFS(LS[Unit],LS[Investor ID],INVESTORS_LIST[[#This Row],[INVESTOR CODE]],LS[B/S],"S")</f>
        <v>135696</v>
      </c>
      <c r="G94" s="47">
        <f>IF(INVESTORS_LIST[[#This Row],[LS_TOTAL UNITS BUY]]=0,0,INVESTORS_LIST[[#This Row],[LS_TOTAL UNITS BUY]]-INVESTORS_LIST[[#This Row],[LS_TOTAL UNITS SOLD]])</f>
        <v>0</v>
      </c>
      <c r="H94" s="49">
        <f>IF(INVESTORS_LIST[[#This Row],[LS_TOTAL UNITS BUY]]=0,0,SUMIFS(LS[Amount],LS[Investor ID],INVESTORS_LIST[[#This Row],[INVESTOR CODE]],LS[B/S],"B"))</f>
        <v>1500000</v>
      </c>
      <c r="I94" s="48">
        <f>IF(INVESTORS_LIST[[#This Row],[LS_TOTAL UNITS SOLD]]=0,0,SUMIFS(LS[Cost of Units Sold],LS[Investor ID],INVESTORS_LIST[[#This Row],[INVESTOR CODE]],LS[B/S],"S"))</f>
        <v>1500000</v>
      </c>
      <c r="J94" s="48">
        <f>IF(INVESTORS_LIST[[#This Row],[LS_TOTAL CURRENT UNITS]]=0,0,INVESTORS_LIST[[#This Row],[LS_TOTAL CURRENT UNITS]]*INVESTORS_LIST[[#This Row],[LS_AVERAGE COST]])</f>
        <v>0</v>
      </c>
      <c r="K94" s="49">
        <f>IF(INVESTORS_LIST[[#This Row],[LS_TOTAL UNITS SOLD]]=0,0,SUMIFS(LS[Realized Gain],LS[Investor ID],INVESTORS_LIST[[#This Row],[INVESTOR CODE]],LS[B/S],"S"))</f>
        <v>324025.63200000004</v>
      </c>
      <c r="L94" s="47">
        <f>SUMIFS(SIP[Unit],SIP[Investor ID],INVESTORS_LIST[[#This Row],[INVESTOR CODE]],SIP[B/S],"B")</f>
        <v>79723</v>
      </c>
      <c r="M94" s="47">
        <f>-SUMIFS(SIP[Unit],SIP[Investor ID],INVESTORS_LIST[[#This Row],[INVESTOR CODE]],SIP[B/S],"S")</f>
        <v>57961</v>
      </c>
      <c r="N94" s="50">
        <f>IF(INVESTORS_LIST[[#This Row],[SIP_TOTAL UNITS BUY]]=0,0,INVESTORS_LIST[[#This Row],[SIP_TOTAL UNITS BUY]]-INVESTORS_LIST[[#This Row],[SIP_TOTAL UNITS SOLD]])</f>
        <v>21762</v>
      </c>
      <c r="O94" s="49">
        <f>IF(INVESTORS_LIST[[#This Row],[SIP_TOTAL UNITS BUY]]=0,0,SUMIFS(SIP[Amount],SIP[Investor ID],INVESTORS_LIST[[#This Row],[INVESTOR CODE]],SIP[B/S],"B"))</f>
        <v>1000000</v>
      </c>
      <c r="P94" s="49">
        <f>IF(INVESTORS_LIST[[#This Row],[SIP_TOTAL UNITS SOLD]]=0,0,SUMIFS(SIP[Cost of Units Sold],SIP[Investor ID],INVESTORS_LIST[[#This Row],[INVESTOR CODE]],SIP[B/S],"S"))</f>
        <v>699999.99999999977</v>
      </c>
      <c r="Q94" s="48">
        <f>IF(INVESTORS_LIST[[#This Row],[SIP_TOTAL CURRENT UNITS]]=0,0,INVESTORS_LIST[[#This Row],[SIP_TOTAL CURRENT UNITS]]*INVESTORS_LIST[[#This Row],[SIP_AVERAGE COST]])</f>
        <v>300000</v>
      </c>
      <c r="R94" s="48">
        <f>IF(INVESTORS_LIST[[#This Row],[SIP_TOTAL UNITS SOLD]]=0,0,SUMIFS(SIP[Realized Gain],SIP[Investor ID],INVESTORS_LIST[[#This Row],[INVESTOR CODE]],SIP[B/S],"S"))</f>
        <v>79111.758000000322</v>
      </c>
      <c r="S94" s="50">
        <f>INVESTORS_LIST[[#This Row],[LS_TOTAL UNITS BUY]]+INVESTORS_LIST[[#This Row],[SIP_TOTAL UNITS BUY]]</f>
        <v>215419</v>
      </c>
      <c r="T94" s="50">
        <f>INVESTORS_LIST[[#This Row],[LS_TOTAL UNITS SOLD]]+INVESTORS_LIST[[#This Row],[SIP_TOTAL UNITS SOLD]]</f>
        <v>193657</v>
      </c>
      <c r="U94" s="50">
        <v>185956</v>
      </c>
      <c r="V94" s="50">
        <f>SUMIFS(LS[BO UNIT TRANSFER],LS[Investor ID],INVESTORS_LIST[[#This Row],[INVESTOR CODE]],LS[B/S],"B")</f>
        <v>0</v>
      </c>
      <c r="W94" s="50">
        <f>SUMIFS(SIP[BO UNIT TRANSFER],SIP[Investor ID],INVESTORS_LIST[[#This Row],[INVESTOR CODE]],SIP[B/S],"B")</f>
        <v>0</v>
      </c>
      <c r="X94" s="50">
        <f>SUMIFS(LS[BO UNIT TRANSFER],LS[Investor ID],INVESTORS_LIST[[#This Row],[INVESTOR CODE]],LS[B/S],"S")</f>
        <v>0</v>
      </c>
      <c r="Y94" s="50">
        <f>SUMIFS(SIP[BO UNIT TRANSFER],SIP[Investor ID],INVESTORS_LIST[[#This Row],[INVESTOR CODE]],SIP[B/S],"S")</f>
        <v>0</v>
      </c>
      <c r="Z94" s="106">
        <f>SUM(INVESTORS_LIST[[#This Row],[BO OPENING BALANCE]:[BO SIP UNITS REPURCHASE]])</f>
        <v>185956</v>
      </c>
      <c r="AA94" s="107">
        <f>INVESTORS_LIST[[#This Row],[TOTAL UNITS BUY]]-INVESTORS_LIST[[#This Row],[TOTAL UNITS SOLD]]</f>
        <v>21762</v>
      </c>
      <c r="AB94" s="107">
        <f>INVESTORS_LIST[[#This Row],[TOTAL CURRENT UNITS]]-INVESTORS_LIST[[#This Row],[BO UNITS HOLD]]</f>
        <v>-164194</v>
      </c>
      <c r="AC94" s="201" t="e">
        <f>INDEX([3]!Table_1[BO ID],MATCH(INVESTORS_LIST[[#This Row],[INVESTOR CODE]],[3]!Table_1[INVESTOR CODE],0))</f>
        <v>#REF!</v>
      </c>
      <c r="AD94" s="201" t="e">
        <f>INDEX([3]!Table_1[Brokerage Name2],MATCH(INVESTORS_LIST[[#This Row],[INVESTOR CODE]],[3]!Table_1[INVESTOR CODE],0))</f>
        <v>#REF!</v>
      </c>
      <c r="AE94" s="201" t="e">
        <f>MID(INVESTORS_LIST[[#This Row],[BO ID]],4,5)</f>
        <v>#REF!</v>
      </c>
      <c r="AF94" s="201" t="e">
        <f>MID(INVESTORS_LIST[[#This Row],[BO ID]],2,7)</f>
        <v>#REF!</v>
      </c>
      <c r="AG94" s="201" t="e">
        <f>MID(INVESTORS_LIST[[#This Row],[BO ID]],9,7)</f>
        <v>#REF!</v>
      </c>
      <c r="AH94" s="201" t="e">
        <f>RIGHT(INVESTORS_LIST[[#This Row],[BO ID]],1)</f>
        <v>#REF!</v>
      </c>
      <c r="AI94" s="50">
        <f>INVESTORS_LIST[[#This Row],[LS_TOTAL COST VALUE OF CURRENT UNITS]]+INVESTORS_LIST[[#This Row],[SIP_TOTAL COST VALUE OF CURRENT UNITS]]</f>
        <v>300000</v>
      </c>
      <c r="AJ94" s="109">
        <f>IF(INVESTORS_LIST[[#This Row],[TOTAL CURRENT UNITS]]=0,0,INVESTORS_LIST[[#This Row],[LS_TOTAL CURRENT UNITS]]/INVESTORS_LIST[[#This Row],[TOTAL CURRENT UNITS]])</f>
        <v>0</v>
      </c>
      <c r="AK94" s="109">
        <f>IF(INVESTORS_LIST[[#This Row],[TOTAL CURRENT UNITS]]=0,0,INVESTORS_LIST[[#This Row],[SIP_TOTAL CURRENT UNITS]]/INVESTORS_LIST[[#This Row],[TOTAL CURRENT UNITS]])</f>
        <v>1</v>
      </c>
      <c r="AL94" s="49" cm="1">
        <f t="array" ref="AL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4" s="49" cm="1">
        <f t="array" ref="AM94">IF(INVESTORS_LIST[[#This Row],[SIP_TOTAL UNITS BUY]]&gt;0,INDEX(SIP[NAV at Cost (Average)],MATCH(CONCATENATE(COUNTIFS(SIP[Investor ID],INVESTORS_LIST[[#This Row],[INVESTOR CODE]]),INVESTORS_LIST[[#This Row],[INVESTOR CODE]]),SIP[Unique Code],0),),0)</f>
        <v>13.785497656465399</v>
      </c>
      <c r="AN94" s="105">
        <f>IF(INVESTORS_LIST[[#This Row],[TOTAL CURRENT UNITS]]=0,0,(INVESTORS_LIST[[#This Row],[LS_WEIGHT]]*INVESTORS_LIST[[#This Row],[LS_AVERAGE COST]])+(INVESTORS_LIST[[#This Row],[SIP_WEIGHT]]*INVESTORS_LIST[[#This Row],[SIP_AVERAGE COST]]))</f>
        <v>13.785497656465399</v>
      </c>
      <c r="AO94" s="105">
        <f t="shared" si="2"/>
        <v>14.224</v>
      </c>
      <c r="AP94" s="112">
        <f>IF(INVESTORS_LIST[[#This Row],[TOTAL CURRENT UNITS]]=0,0,INVESTORS_LIST[[#This Row],[TOTAL CURRENT UNITS]]*INVESTORS_LIST[[#This Row],[NAV]])</f>
        <v>309542.68800000002</v>
      </c>
      <c r="AQ94" s="49">
        <f>IF(INVESTORS_LIST[[#This Row],[LS_TOTAL CURRENT UNITS]]=0,0,INVESTORS_LIST[[#This Row],[LS_TOTAL CURRENT UNITS]]*INVESTORS_LIST[[#This Row],[NAV]])</f>
        <v>0</v>
      </c>
      <c r="AR94" s="48">
        <f>IF(INVESTORS_LIST[[#This Row],[SIP_TOTAL CURRENT UNITS]]=0,0,INVESTORS_LIST[[#This Row],[SIP_TOTAL CURRENT UNITS]]*INVESTORS_LIST[[#This Row],[NAV]])</f>
        <v>309542.68800000002</v>
      </c>
      <c r="AS94" s="50">
        <f>INVESTORS_LIST[[#This Row],[TOTAL CURRENT UNITS]]</f>
        <v>21762</v>
      </c>
      <c r="AT94" s="48">
        <f>IF(INVESTORS_LIST[[#This Row],[TOTAL SELLABLE UNITS]]=0,0,INVESTORS_LIST[[#This Row],[TOTAL SELLABLE UNITS]]*INVESTORS_LIST[[#This Row],[NAV]])</f>
        <v>309542.68800000002</v>
      </c>
      <c r="AU94" s="48">
        <f>INVESTORS_LIST[[#This Row],[LS_TOTAL REALIZED GAIN]]+INVESTORS_LIST[[#This Row],[SIP_TOTAL REALIZED GAIN]]</f>
        <v>403137.39000000036</v>
      </c>
      <c r="AV94" s="48">
        <f>INVESTORS_LIST[[#This Row],[TOTAL MARKET VALUE]]-INVESTORS_LIST[[#This Row],[TOTAL COST VALUE OF CURRENT INVESTMENT]]</f>
        <v>9542.6880000000237</v>
      </c>
      <c r="AW94" s="48">
        <f>IFERROR(INVESTORS_LIST[[#This Row],[TOTAL CURRENT UNITS]]/SUM(INVESTORS_LIST[TOTAL CURRENT UNITS]),0)</f>
        <v>5.2829883623500774E-4</v>
      </c>
    </row>
    <row r="95" spans="1:49">
      <c r="A95" s="262" t="s">
        <v>237</v>
      </c>
      <c r="B95" s="97" t="s">
        <v>238</v>
      </c>
      <c r="C95" t="s">
        <v>52</v>
      </c>
      <c r="D95" s="75" t="s">
        <v>45</v>
      </c>
      <c r="E95" s="47">
        <f>SUMIFS(LS[Unit],LS[Investor ID],INVESTORS_LIST[[#This Row],[INVESTOR CODE]],LS[B/S],"B")</f>
        <v>20011</v>
      </c>
      <c r="F95" s="47">
        <f>-SUMIFS(LS[Unit],LS[Investor ID],INVESTORS_LIST[[#This Row],[INVESTOR CODE]],LS[B/S],"S")</f>
        <v>18559</v>
      </c>
      <c r="G95" s="47">
        <f>IF(INVESTORS_LIST[[#This Row],[LS_TOTAL UNITS BUY]]=0,0,INVESTORS_LIST[[#This Row],[LS_TOTAL UNITS BUY]]-INVESTORS_LIST[[#This Row],[LS_TOTAL UNITS SOLD]])</f>
        <v>1452</v>
      </c>
      <c r="H95" s="49">
        <f>IF(INVESTORS_LIST[[#This Row],[LS_TOTAL UNITS BUY]]=0,0,SUMIFS(LS[Amount],LS[Investor ID],INVESTORS_LIST[[#This Row],[INVESTOR CODE]],LS[B/S],"B"))</f>
        <v>214000</v>
      </c>
      <c r="I95" s="48">
        <f>IF(INVESTORS_LIST[[#This Row],[LS_TOTAL UNITS SOLD]]=0,0,SUMIFS(LS[Cost of Units Sold],LS[Investor ID],INVESTORS_LIST[[#This Row],[INVESTOR CODE]],LS[B/S],"S"))</f>
        <v>194000</v>
      </c>
      <c r="J95" s="48">
        <f>IF(INVESTORS_LIST[[#This Row],[LS_TOTAL CURRENT UNITS]]=0,0,INVESTORS_LIST[[#This Row],[LS_TOTAL CURRENT UNITS]]*INVESTORS_LIST[[#This Row],[LS_AVERAGE COST]])</f>
        <v>20000</v>
      </c>
      <c r="K95" s="49">
        <f>IF(INVESTORS_LIST[[#This Row],[LS_TOTAL UNITS SOLD]]=0,0,SUMIFS(LS[Realized Gain],LS[Investor ID],INVESTORS_LIST[[#This Row],[INVESTOR CODE]],LS[B/S],"S"))</f>
        <v>43210.775999999991</v>
      </c>
      <c r="L95" s="47">
        <f>SUMIFS(SIP[Unit],SIP[Investor ID],INVESTORS_LIST[[#This Row],[INVESTOR CODE]],SIP[B/S],"B")</f>
        <v>2614</v>
      </c>
      <c r="M95" s="47">
        <f>-SUMIFS(SIP[Unit],SIP[Investor ID],INVESTORS_LIST[[#This Row],[INVESTOR CODE]],SIP[B/S],"S")</f>
        <v>2398</v>
      </c>
      <c r="N95" s="50">
        <f>IF(INVESTORS_LIST[[#This Row],[SIP_TOTAL UNITS BUY]]=0,0,INVESTORS_LIST[[#This Row],[SIP_TOTAL UNITS BUY]]-INVESTORS_LIST[[#This Row],[SIP_TOTAL UNITS SOLD]])</f>
        <v>216</v>
      </c>
      <c r="O95" s="49">
        <f>IF(INVESTORS_LIST[[#This Row],[SIP_TOTAL UNITS BUY]]=0,0,SUMIFS(SIP[Amount],SIP[Investor ID],INVESTORS_LIST[[#This Row],[INVESTOR CODE]],SIP[B/S],"B"))</f>
        <v>31000</v>
      </c>
      <c r="P95" s="49">
        <f>IF(INVESTORS_LIST[[#This Row],[SIP_TOTAL UNITS SOLD]]=0,0,SUMIFS(SIP[Cost of Units Sold],SIP[Investor ID],INVESTORS_LIST[[#This Row],[INVESTOR CODE]],SIP[B/S],"S"))</f>
        <v>28000.000000000004</v>
      </c>
      <c r="Q95" s="48">
        <f>IF(INVESTORS_LIST[[#This Row],[SIP_TOTAL CURRENT UNITS]]=0,0,INVESTORS_LIST[[#This Row],[SIP_TOTAL CURRENT UNITS]]*INVESTORS_LIST[[#This Row],[SIP_AVERAGE COST]])</f>
        <v>2999.9999999999995</v>
      </c>
      <c r="R95" s="48">
        <f>IF(INVESTORS_LIST[[#This Row],[SIP_TOTAL UNITS SOLD]]=0,0,SUMIFS(SIP[Realized Gain],SIP[Investor ID],INVESTORS_LIST[[#This Row],[INVESTOR CODE]],SIP[B/S],"S"))</f>
        <v>5014.2300000000014</v>
      </c>
      <c r="S95" s="50">
        <f>INVESTORS_LIST[[#This Row],[LS_TOTAL UNITS BUY]]+INVESTORS_LIST[[#This Row],[SIP_TOTAL UNITS BUY]]</f>
        <v>22625</v>
      </c>
      <c r="T95" s="50">
        <f>INVESTORS_LIST[[#This Row],[LS_TOTAL UNITS SOLD]]+INVESTORS_LIST[[#This Row],[SIP_TOTAL UNITS SOLD]]</f>
        <v>20957</v>
      </c>
      <c r="U95" s="50"/>
      <c r="V95" s="50">
        <f>SUMIFS(LS[BO UNIT TRANSFER],LS[Investor ID],INVESTORS_LIST[[#This Row],[INVESTOR CODE]],LS[B/S],"B")</f>
        <v>0</v>
      </c>
      <c r="W95" s="50">
        <f>SUMIFS(SIP[BO UNIT TRANSFER],SIP[Investor ID],INVESTORS_LIST[[#This Row],[INVESTOR CODE]],SIP[B/S],"B")</f>
        <v>0</v>
      </c>
      <c r="X95" s="50">
        <f>SUMIFS(LS[BO UNIT TRANSFER],LS[Investor ID],INVESTORS_LIST[[#This Row],[INVESTOR CODE]],LS[B/S],"S")</f>
        <v>0</v>
      </c>
      <c r="Y95" s="50">
        <f>SUMIFS(SIP[BO UNIT TRANSFER],SIP[Investor ID],INVESTORS_LIST[[#This Row],[INVESTOR CODE]],SIP[B/S],"S")</f>
        <v>0</v>
      </c>
      <c r="Z95" s="106">
        <f>SUM(INVESTORS_LIST[[#This Row],[BO OPENING BALANCE]:[BO SIP UNITS REPURCHASE]])</f>
        <v>0</v>
      </c>
      <c r="AA95" s="107">
        <f>INVESTORS_LIST[[#This Row],[TOTAL UNITS BUY]]-INVESTORS_LIST[[#This Row],[TOTAL UNITS SOLD]]</f>
        <v>1668</v>
      </c>
      <c r="AB95" s="107">
        <f>INVESTORS_LIST[[#This Row],[TOTAL CURRENT UNITS]]-INVESTORS_LIST[[#This Row],[BO UNITS HOLD]]</f>
        <v>1668</v>
      </c>
      <c r="AC95" s="201" t="e">
        <f>INDEX([3]!Table_1[BO ID],MATCH(INVESTORS_LIST[[#This Row],[INVESTOR CODE]],[3]!Table_1[INVESTOR CODE],0))</f>
        <v>#REF!</v>
      </c>
      <c r="AD95" s="201" t="e">
        <f>INDEX([3]!Table_1[Brokerage Name2],MATCH(INVESTORS_LIST[[#This Row],[INVESTOR CODE]],[3]!Table_1[INVESTOR CODE],0))</f>
        <v>#REF!</v>
      </c>
      <c r="AE95" s="201" t="e">
        <f>MID(INVESTORS_LIST[[#This Row],[BO ID]],4,5)</f>
        <v>#REF!</v>
      </c>
      <c r="AF95" s="201" t="e">
        <f>MID(INVESTORS_LIST[[#This Row],[BO ID]],2,7)</f>
        <v>#REF!</v>
      </c>
      <c r="AG95" s="201" t="e">
        <f>MID(INVESTORS_LIST[[#This Row],[BO ID]],9,7)</f>
        <v>#REF!</v>
      </c>
      <c r="AH95" s="201" t="e">
        <f>RIGHT(INVESTORS_LIST[[#This Row],[BO ID]],1)</f>
        <v>#REF!</v>
      </c>
      <c r="AI95" s="50">
        <f>INVESTORS_LIST[[#This Row],[LS_TOTAL COST VALUE OF CURRENT UNITS]]+INVESTORS_LIST[[#This Row],[SIP_TOTAL COST VALUE OF CURRENT UNITS]]</f>
        <v>23000</v>
      </c>
      <c r="AJ95" s="109">
        <f>IF(INVESTORS_LIST[[#This Row],[TOTAL CURRENT UNITS]]=0,0,INVESTORS_LIST[[#This Row],[LS_TOTAL CURRENT UNITS]]/INVESTORS_LIST[[#This Row],[TOTAL CURRENT UNITS]])</f>
        <v>0.87050359712230219</v>
      </c>
      <c r="AK95" s="109">
        <f>IF(INVESTORS_LIST[[#This Row],[TOTAL CURRENT UNITS]]=0,0,INVESTORS_LIST[[#This Row],[SIP_TOTAL CURRENT UNITS]]/INVESTORS_LIST[[#This Row],[TOTAL CURRENT UNITS]])</f>
        <v>0.12949640287769784</v>
      </c>
      <c r="AL95" s="49" cm="1">
        <f t="array" ref="AL95">IF(INVESTORS_LIST[[#This Row],[LS_TOTAL UNITS BUY]]&gt;0,INDEX(LS[NAV at Cost (Average)],MATCH(CONCATENATE(COUNTIFS(LS[Investor ID],INVESTORS_LIST[[#This Row],[INVESTOR CODE]]),INVESTORS_LIST[[#This Row],[INVESTOR CODE]]),LS[Unique Code],0),),0)</f>
        <v>13.774104683195592</v>
      </c>
      <c r="AM95" s="49" cm="1">
        <f t="array" ref="AM95">IF(INVESTORS_LIST[[#This Row],[SIP_TOTAL UNITS BUY]]&gt;0,INDEX(SIP[NAV at Cost (Average)],MATCH(CONCATENATE(COUNTIFS(SIP[Investor ID],INVESTORS_LIST[[#This Row],[INVESTOR CODE]]),INVESTORS_LIST[[#This Row],[INVESTOR CODE]]),SIP[Unique Code],0),),0)</f>
        <v>13.888888888888888</v>
      </c>
      <c r="AN95" s="105">
        <f>IF(INVESTORS_LIST[[#This Row],[TOTAL CURRENT UNITS]]=0,0,(INVESTORS_LIST[[#This Row],[LS_WEIGHT]]*INVESTORS_LIST[[#This Row],[LS_AVERAGE COST]])+(INVESTORS_LIST[[#This Row],[SIP_WEIGHT]]*INVESTORS_LIST[[#This Row],[SIP_AVERAGE COST]]))</f>
        <v>13.788968824940047</v>
      </c>
      <c r="AO95" s="105">
        <f t="shared" si="2"/>
        <v>14.224</v>
      </c>
      <c r="AP95" s="112">
        <f>IF(INVESTORS_LIST[[#This Row],[TOTAL CURRENT UNITS]]=0,0,INVESTORS_LIST[[#This Row],[TOTAL CURRENT UNITS]]*INVESTORS_LIST[[#This Row],[NAV]])</f>
        <v>23725.632000000001</v>
      </c>
      <c r="AQ95" s="49">
        <f>IF(INVESTORS_LIST[[#This Row],[LS_TOTAL CURRENT UNITS]]=0,0,INVESTORS_LIST[[#This Row],[LS_TOTAL CURRENT UNITS]]*INVESTORS_LIST[[#This Row],[NAV]])</f>
        <v>20653.248</v>
      </c>
      <c r="AR95" s="48">
        <f>IF(INVESTORS_LIST[[#This Row],[SIP_TOTAL CURRENT UNITS]]=0,0,INVESTORS_LIST[[#This Row],[SIP_TOTAL CURRENT UNITS]]*INVESTORS_LIST[[#This Row],[NAV]])</f>
        <v>3072.384</v>
      </c>
      <c r="AS95" s="50">
        <f>INVESTORS_LIST[[#This Row],[TOTAL CURRENT UNITS]]</f>
        <v>1668</v>
      </c>
      <c r="AT95" s="48">
        <f>IF(INVESTORS_LIST[[#This Row],[TOTAL SELLABLE UNITS]]=0,0,INVESTORS_LIST[[#This Row],[TOTAL SELLABLE UNITS]]*INVESTORS_LIST[[#This Row],[NAV]])</f>
        <v>23725.632000000001</v>
      </c>
      <c r="AU95" s="48">
        <f>INVESTORS_LIST[[#This Row],[LS_TOTAL REALIZED GAIN]]+INVESTORS_LIST[[#This Row],[SIP_TOTAL REALIZED GAIN]]</f>
        <v>48225.005999999994</v>
      </c>
      <c r="AV95" s="48">
        <f>INVESTORS_LIST[[#This Row],[TOTAL MARKET VALUE]]-INVESTORS_LIST[[#This Row],[TOTAL COST VALUE OF CURRENT INVESTMENT]]</f>
        <v>725.63200000000143</v>
      </c>
      <c r="AW95" s="108">
        <f>IFERROR(INVESTORS_LIST[[#This Row],[TOTAL CURRENT UNITS]]/SUM(INVESTORS_LIST[TOTAL CURRENT UNITS]),0)</f>
        <v>4.0492714770700897E-5</v>
      </c>
    </row>
    <row r="96" spans="1:49">
      <c r="A96" s="262" t="s">
        <v>239</v>
      </c>
      <c r="B96" s="97" t="s">
        <v>240</v>
      </c>
      <c r="C96" t="s">
        <v>44</v>
      </c>
      <c r="D96" s="75" t="s">
        <v>45</v>
      </c>
      <c r="E96" s="47">
        <f>SUMIFS(LS[Unit],LS[Investor ID],INVESTORS_LIST[[#This Row],[INVESTOR CODE]],LS[B/S],"B")</f>
        <v>52007</v>
      </c>
      <c r="F96" s="47">
        <f>-SUMIFS(LS[Unit],LS[Investor ID],INVESTORS_LIST[[#This Row],[INVESTOR CODE]],LS[B/S],"S")</f>
        <v>52007</v>
      </c>
      <c r="G96" s="47">
        <f>IF(INVESTORS_LIST[[#This Row],[LS_TOTAL UNITS BUY]]=0,0,INVESTORS_LIST[[#This Row],[LS_TOTAL UNITS BUY]]-INVESTORS_LIST[[#This Row],[LS_TOTAL UNITS SOLD]])</f>
        <v>0</v>
      </c>
      <c r="H96" s="49">
        <f>IF(INVESTORS_LIST[[#This Row],[LS_TOTAL UNITS BUY]]=0,0,SUMIFS(LS[Amount],LS[Investor ID],INVESTORS_LIST[[#This Row],[INVESTOR CODE]],LS[B/S],"B"))</f>
        <v>568610</v>
      </c>
      <c r="I96" s="48">
        <f>IF(INVESTORS_LIST[[#This Row],[LS_TOTAL UNITS SOLD]]=0,0,SUMIFS(LS[Cost of Units Sold],LS[Investor ID],INVESTORS_LIST[[#This Row],[INVESTOR CODE]],LS[B/S],"S"))</f>
        <v>568610</v>
      </c>
      <c r="J96" s="48">
        <f>IF(INVESTORS_LIST[[#This Row],[LS_TOTAL CURRENT UNITS]]=0,0,INVESTORS_LIST[[#This Row],[LS_TOTAL CURRENT UNITS]]*INVESTORS_LIST[[#This Row],[LS_AVERAGE COST]])</f>
        <v>0</v>
      </c>
      <c r="K96" s="49">
        <f>IF(INVESTORS_LIST[[#This Row],[LS_TOTAL UNITS SOLD]]=0,0,SUMIFS(LS[Realized Gain],LS[Investor ID],INVESTORS_LIST[[#This Row],[INVESTOR CODE]],LS[B/S],"S"))</f>
        <v>41841.394000000022</v>
      </c>
      <c r="L96" s="47">
        <f>SUMIFS(SIP[Unit],SIP[Investor ID],INVESTORS_LIST[[#This Row],[INVESTOR CODE]],SIP[B/S],"B")</f>
        <v>3124</v>
      </c>
      <c r="M96" s="47">
        <f>-SUMIFS(SIP[Unit],SIP[Investor ID],INVESTORS_LIST[[#This Row],[INVESTOR CODE]],SIP[B/S],"S")</f>
        <v>2534</v>
      </c>
      <c r="N96" s="50">
        <f>IF(INVESTORS_LIST[[#This Row],[SIP_TOTAL UNITS BUY]]=0,0,INVESTORS_LIST[[#This Row],[SIP_TOTAL UNITS BUY]]-INVESTORS_LIST[[#This Row],[SIP_TOTAL UNITS SOLD]])</f>
        <v>590</v>
      </c>
      <c r="O96" s="49">
        <f>IF(INVESTORS_LIST[[#This Row],[SIP_TOTAL UNITS BUY]]=0,0,SUMIFS(SIP[Amount],SIP[Investor ID],INVESTORS_LIST[[#This Row],[INVESTOR CODE]],SIP[B/S],"B"))</f>
        <v>36000</v>
      </c>
      <c r="P96" s="49">
        <f>IF(INVESTORS_LIST[[#This Row],[SIP_TOTAL UNITS SOLD]]=0,0,SUMIFS(SIP[Cost of Units Sold],SIP[Investor ID],INVESTORS_LIST[[#This Row],[INVESTOR CODE]],SIP[B/S],"S"))</f>
        <v>27999.999999999996</v>
      </c>
      <c r="Q96" s="48">
        <f>IF(INVESTORS_LIST[[#This Row],[SIP_TOTAL CURRENT UNITS]]=0,0,INVESTORS_LIST[[#This Row],[SIP_TOTAL CURRENT UNITS]]*INVESTORS_LIST[[#This Row],[SIP_AVERAGE COST]])</f>
        <v>8000.0000000000009</v>
      </c>
      <c r="R96" s="48">
        <f>IF(INVESTORS_LIST[[#This Row],[SIP_TOTAL UNITS SOLD]]=0,0,SUMIFS(SIP[Realized Gain],SIP[Investor ID],INVESTORS_LIST[[#This Row],[INVESTOR CODE]],SIP[B/S],"S"))</f>
        <v>2257.8040000000033</v>
      </c>
      <c r="S96" s="50">
        <f>INVESTORS_LIST[[#This Row],[LS_TOTAL UNITS BUY]]+INVESTORS_LIST[[#This Row],[SIP_TOTAL UNITS BUY]]</f>
        <v>55131</v>
      </c>
      <c r="T96" s="50">
        <f>INVESTORS_LIST[[#This Row],[LS_TOTAL UNITS SOLD]]+INVESTORS_LIST[[#This Row],[SIP_TOTAL UNITS SOLD]]</f>
        <v>54541</v>
      </c>
      <c r="U96" s="50"/>
      <c r="V96" s="50">
        <f>SUMIFS(LS[BO UNIT TRANSFER],LS[Investor ID],INVESTORS_LIST[[#This Row],[INVESTOR CODE]],LS[B/S],"B")</f>
        <v>0</v>
      </c>
      <c r="W96" s="50">
        <f>SUMIFS(SIP[BO UNIT TRANSFER],SIP[Investor ID],INVESTORS_LIST[[#This Row],[INVESTOR CODE]],SIP[B/S],"B")</f>
        <v>0</v>
      </c>
      <c r="X96" s="50">
        <f>SUMIFS(LS[BO UNIT TRANSFER],LS[Investor ID],INVESTORS_LIST[[#This Row],[INVESTOR CODE]],LS[B/S],"S")</f>
        <v>0</v>
      </c>
      <c r="Y96" s="50">
        <f>SUMIFS(SIP[BO UNIT TRANSFER],SIP[Investor ID],INVESTORS_LIST[[#This Row],[INVESTOR CODE]],SIP[B/S],"S")</f>
        <v>0</v>
      </c>
      <c r="Z96" s="106">
        <f>SUM(INVESTORS_LIST[[#This Row],[BO OPENING BALANCE]:[BO SIP UNITS REPURCHASE]])</f>
        <v>0</v>
      </c>
      <c r="AA96" s="107">
        <f>INVESTORS_LIST[[#This Row],[TOTAL UNITS BUY]]-INVESTORS_LIST[[#This Row],[TOTAL UNITS SOLD]]</f>
        <v>590</v>
      </c>
      <c r="AB96" s="107">
        <f>INVESTORS_LIST[[#This Row],[TOTAL CURRENT UNITS]]-INVESTORS_LIST[[#This Row],[BO UNITS HOLD]]</f>
        <v>590</v>
      </c>
      <c r="AC96" s="201" t="e">
        <f>INDEX([3]!Table_1[BO ID],MATCH(INVESTORS_LIST[[#This Row],[INVESTOR CODE]],[3]!Table_1[INVESTOR CODE],0))</f>
        <v>#REF!</v>
      </c>
      <c r="AD96" s="201" t="e">
        <f>INDEX([3]!Table_1[Brokerage Name2],MATCH(INVESTORS_LIST[[#This Row],[INVESTOR CODE]],[3]!Table_1[INVESTOR CODE],0))</f>
        <v>#REF!</v>
      </c>
      <c r="AE96" s="201" t="e">
        <f>MID(INVESTORS_LIST[[#This Row],[BO ID]],4,5)</f>
        <v>#REF!</v>
      </c>
      <c r="AF96" s="201" t="e">
        <f>MID(INVESTORS_LIST[[#This Row],[BO ID]],2,7)</f>
        <v>#REF!</v>
      </c>
      <c r="AG96" s="201" t="e">
        <f>MID(INVESTORS_LIST[[#This Row],[BO ID]],9,7)</f>
        <v>#REF!</v>
      </c>
      <c r="AH96" s="201" t="e">
        <f>RIGHT(INVESTORS_LIST[[#This Row],[BO ID]],1)</f>
        <v>#REF!</v>
      </c>
      <c r="AI96" s="50">
        <f>INVESTORS_LIST[[#This Row],[LS_TOTAL COST VALUE OF CURRENT UNITS]]+INVESTORS_LIST[[#This Row],[SIP_TOTAL COST VALUE OF CURRENT UNITS]]</f>
        <v>8000.0000000000009</v>
      </c>
      <c r="AJ96" s="109">
        <f>IF(INVESTORS_LIST[[#This Row],[TOTAL CURRENT UNITS]]=0,0,INVESTORS_LIST[[#This Row],[LS_TOTAL CURRENT UNITS]]/INVESTORS_LIST[[#This Row],[TOTAL CURRENT UNITS]])</f>
        <v>0</v>
      </c>
      <c r="AK96" s="109">
        <f>IF(INVESTORS_LIST[[#This Row],[TOTAL CURRENT UNITS]]=0,0,INVESTORS_LIST[[#This Row],[SIP_TOTAL CURRENT UNITS]]/INVESTORS_LIST[[#This Row],[TOTAL CURRENT UNITS]])</f>
        <v>1</v>
      </c>
      <c r="AL96" s="49" cm="1">
        <f t="array" ref="AL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6" s="49" cm="1">
        <f t="array" ref="AM96">IF(INVESTORS_LIST[[#This Row],[SIP_TOTAL UNITS BUY]]&gt;0,INDEX(SIP[NAV at Cost (Average)],MATCH(CONCATENATE(COUNTIFS(SIP[Investor ID],INVESTORS_LIST[[#This Row],[INVESTOR CODE]]),INVESTORS_LIST[[#This Row],[INVESTOR CODE]]),SIP[Unique Code],0),),0)</f>
        <v>13.559322033898306</v>
      </c>
      <c r="AN96" s="105">
        <f>IF(INVESTORS_LIST[[#This Row],[TOTAL CURRENT UNITS]]=0,0,(INVESTORS_LIST[[#This Row],[LS_WEIGHT]]*INVESTORS_LIST[[#This Row],[LS_AVERAGE COST]])+(INVESTORS_LIST[[#This Row],[SIP_WEIGHT]]*INVESTORS_LIST[[#This Row],[SIP_AVERAGE COST]]))</f>
        <v>13.559322033898306</v>
      </c>
      <c r="AO96" s="105">
        <f t="shared" si="2"/>
        <v>14.224</v>
      </c>
      <c r="AP96" s="112">
        <f>IF(INVESTORS_LIST[[#This Row],[TOTAL CURRENT UNITS]]=0,0,INVESTORS_LIST[[#This Row],[TOTAL CURRENT UNITS]]*INVESTORS_LIST[[#This Row],[NAV]])</f>
        <v>8392.16</v>
      </c>
      <c r="AQ96" s="49">
        <f>IF(INVESTORS_LIST[[#This Row],[LS_TOTAL CURRENT UNITS]]=0,0,INVESTORS_LIST[[#This Row],[LS_TOTAL CURRENT UNITS]]*INVESTORS_LIST[[#This Row],[NAV]])</f>
        <v>0</v>
      </c>
      <c r="AR96" s="48">
        <f>IF(INVESTORS_LIST[[#This Row],[SIP_TOTAL CURRENT UNITS]]=0,0,INVESTORS_LIST[[#This Row],[SIP_TOTAL CURRENT UNITS]]*INVESTORS_LIST[[#This Row],[NAV]])</f>
        <v>8392.16</v>
      </c>
      <c r="AS96" s="50">
        <f>INVESTORS_LIST[[#This Row],[TOTAL CURRENT UNITS]]</f>
        <v>590</v>
      </c>
      <c r="AT96" s="48">
        <f>IF(INVESTORS_LIST[[#This Row],[TOTAL SELLABLE UNITS]]=0,0,INVESTORS_LIST[[#This Row],[TOTAL SELLABLE UNITS]]*INVESTORS_LIST[[#This Row],[NAV]])</f>
        <v>8392.16</v>
      </c>
      <c r="AU96" s="48">
        <f>INVESTORS_LIST[[#This Row],[LS_TOTAL REALIZED GAIN]]+INVESTORS_LIST[[#This Row],[SIP_TOTAL REALIZED GAIN]]</f>
        <v>44099.198000000026</v>
      </c>
      <c r="AV96" s="48">
        <f>INVESTORS_LIST[[#This Row],[TOTAL MARKET VALUE]]-INVESTORS_LIST[[#This Row],[TOTAL COST VALUE OF CURRENT INVESTMENT]]</f>
        <v>392.15999999999894</v>
      </c>
      <c r="AW96" s="108">
        <f>IFERROR(INVESTORS_LIST[[#This Row],[TOTAL CURRENT UNITS]]/SUM(INVESTORS_LIST[TOTAL CURRENT UNITS]),0)</f>
        <v>1.4322962658701158E-5</v>
      </c>
    </row>
    <row r="97" spans="1:49">
      <c r="A97" s="262" t="s">
        <v>241</v>
      </c>
      <c r="B97" s="97" t="s">
        <v>242</v>
      </c>
      <c r="C97" t="s">
        <v>52</v>
      </c>
      <c r="D97" s="75" t="s">
        <v>45</v>
      </c>
      <c r="E97" s="47">
        <f>SUMIFS(LS[Unit],LS[Investor ID],INVESTORS_LIST[[#This Row],[INVESTOR CODE]],LS[B/S],"B")</f>
        <v>245828</v>
      </c>
      <c r="F97" s="47">
        <f>-SUMIFS(LS[Unit],LS[Investor ID],INVESTORS_LIST[[#This Row],[INVESTOR CODE]],LS[B/S],"S")</f>
        <v>245828</v>
      </c>
      <c r="G97" s="47">
        <f>IF(INVESTORS_LIST[[#This Row],[LS_TOTAL UNITS BUY]]=0,0,INVESTORS_LIST[[#This Row],[LS_TOTAL UNITS BUY]]-INVESTORS_LIST[[#This Row],[LS_TOTAL UNITS SOLD]])</f>
        <v>0</v>
      </c>
      <c r="H97" s="49">
        <f>IF(INVESTORS_LIST[[#This Row],[LS_TOTAL UNITS BUY]]=0,0,SUMIFS(LS[Amount],LS[Investor ID],INVESTORS_LIST[[#This Row],[INVESTOR CODE]],LS[B/S],"B"))</f>
        <v>2830000</v>
      </c>
      <c r="I97" s="48">
        <f>IF(INVESTORS_LIST[[#This Row],[LS_TOTAL UNITS SOLD]]=0,0,SUMIFS(LS[Cost of Units Sold],LS[Investor ID],INVESTORS_LIST[[#This Row],[INVESTOR CODE]],LS[B/S],"S"))</f>
        <v>2830000</v>
      </c>
      <c r="J97" s="48">
        <f>IF(INVESTORS_LIST[[#This Row],[LS_TOTAL CURRENT UNITS]]=0,0,INVESTORS_LIST[[#This Row],[LS_TOTAL CURRENT UNITS]]*INVESTORS_LIST[[#This Row],[LS_AVERAGE COST]])</f>
        <v>0</v>
      </c>
      <c r="K97" s="49">
        <f>IF(INVESTORS_LIST[[#This Row],[LS_TOTAL UNITS SOLD]]=0,0,SUMIFS(LS[Realized Gain],LS[Investor ID],INVESTORS_LIST[[#This Row],[INVESTOR CODE]],LS[B/S],"S"))</f>
        <v>544150.32800000068</v>
      </c>
      <c r="L97" s="47">
        <f>SUMIFS(SIP[Unit],SIP[Investor ID],INVESTORS_LIST[[#This Row],[INVESTOR CODE]],SIP[B/S],"B")</f>
        <v>83858</v>
      </c>
      <c r="M97" s="47">
        <f>-SUMIFS(SIP[Unit],SIP[Investor ID],INVESTORS_LIST[[#This Row],[INVESTOR CODE]],SIP[B/S],"S")</f>
        <v>56176</v>
      </c>
      <c r="N97" s="50">
        <f>IF(INVESTORS_LIST[[#This Row],[SIP_TOTAL UNITS BUY]]=0,0,INVESTORS_LIST[[#This Row],[SIP_TOTAL UNITS BUY]]-INVESTORS_LIST[[#This Row],[SIP_TOTAL UNITS SOLD]])</f>
        <v>27682</v>
      </c>
      <c r="O97" s="49">
        <f>IF(INVESTORS_LIST[[#This Row],[SIP_TOTAL UNITS BUY]]=0,0,SUMIFS(SIP[Amount],SIP[Investor ID],INVESTORS_LIST[[#This Row],[INVESTOR CODE]],SIP[B/S],"B"))</f>
        <v>975000</v>
      </c>
      <c r="P97" s="49">
        <f>IF(INVESTORS_LIST[[#This Row],[SIP_TOTAL UNITS SOLD]]=0,0,SUMIFS(SIP[Cost of Units Sold],SIP[Investor ID],INVESTORS_LIST[[#This Row],[INVESTOR CODE]],SIP[B/S],"S"))</f>
        <v>639624.06212978775</v>
      </c>
      <c r="Q97" s="48">
        <f>IF(INVESTORS_LIST[[#This Row],[SIP_TOTAL CURRENT UNITS]]=0,0,INVESTORS_LIST[[#This Row],[SIP_TOTAL CURRENT UNITS]]*INVESTORS_LIST[[#This Row],[SIP_AVERAGE COST]])</f>
        <v>335375.93787021184</v>
      </c>
      <c r="R97" s="48">
        <f>IF(INVESTORS_LIST[[#This Row],[SIP_TOTAL UNITS SOLD]]=0,0,SUMIFS(SIP[Realized Gain],SIP[Investor ID],INVESTORS_LIST[[#This Row],[INVESTOR CODE]],SIP[B/S],"S"))</f>
        <v>136225.60987021218</v>
      </c>
      <c r="S97" s="50">
        <f>INVESTORS_LIST[[#This Row],[LS_TOTAL UNITS BUY]]+INVESTORS_LIST[[#This Row],[SIP_TOTAL UNITS BUY]]</f>
        <v>329686</v>
      </c>
      <c r="T97" s="50">
        <f>INVESTORS_LIST[[#This Row],[LS_TOTAL UNITS SOLD]]+INVESTORS_LIST[[#This Row],[SIP_TOTAL UNITS SOLD]]</f>
        <v>302004</v>
      </c>
      <c r="U97" s="50"/>
      <c r="V97" s="50">
        <f>SUMIFS(LS[BO UNIT TRANSFER],LS[Investor ID],INVESTORS_LIST[[#This Row],[INVESTOR CODE]],LS[B/S],"B")</f>
        <v>0</v>
      </c>
      <c r="W97" s="50">
        <f>SUMIFS(SIP[BO UNIT TRANSFER],SIP[Investor ID],INVESTORS_LIST[[#This Row],[INVESTOR CODE]],SIP[B/S],"B")</f>
        <v>0</v>
      </c>
      <c r="X97" s="50">
        <f>SUMIFS(LS[BO UNIT TRANSFER],LS[Investor ID],INVESTORS_LIST[[#This Row],[INVESTOR CODE]],LS[B/S],"S")</f>
        <v>0</v>
      </c>
      <c r="Y97" s="50">
        <f>SUMIFS(SIP[BO UNIT TRANSFER],SIP[Investor ID],INVESTORS_LIST[[#This Row],[INVESTOR CODE]],SIP[B/S],"S")</f>
        <v>0</v>
      </c>
      <c r="Z97" s="106">
        <f>SUM(INVESTORS_LIST[[#This Row],[BO OPENING BALANCE]:[BO SIP UNITS REPURCHASE]])</f>
        <v>0</v>
      </c>
      <c r="AA97" s="107">
        <f>INVESTORS_LIST[[#This Row],[TOTAL UNITS BUY]]-INVESTORS_LIST[[#This Row],[TOTAL UNITS SOLD]]</f>
        <v>27682</v>
      </c>
      <c r="AB97" s="107">
        <f>INVESTORS_LIST[[#This Row],[TOTAL CURRENT UNITS]]-INVESTORS_LIST[[#This Row],[BO UNITS HOLD]]</f>
        <v>27682</v>
      </c>
      <c r="AC97" s="201" t="e">
        <f>INDEX([3]!Table_1[BO ID],MATCH(INVESTORS_LIST[[#This Row],[INVESTOR CODE]],[3]!Table_1[INVESTOR CODE],0))</f>
        <v>#REF!</v>
      </c>
      <c r="AD97" s="201" t="e">
        <f>INDEX([3]!Table_1[Brokerage Name2],MATCH(INVESTORS_LIST[[#This Row],[INVESTOR CODE]],[3]!Table_1[INVESTOR CODE],0))</f>
        <v>#REF!</v>
      </c>
      <c r="AE97" s="201" t="e">
        <f>MID(INVESTORS_LIST[[#This Row],[BO ID]],4,5)</f>
        <v>#REF!</v>
      </c>
      <c r="AF97" s="201" t="e">
        <f>MID(INVESTORS_LIST[[#This Row],[BO ID]],2,7)</f>
        <v>#REF!</v>
      </c>
      <c r="AG97" s="201" t="e">
        <f>MID(INVESTORS_LIST[[#This Row],[BO ID]],9,7)</f>
        <v>#REF!</v>
      </c>
      <c r="AH97" s="201" t="e">
        <f>RIGHT(INVESTORS_LIST[[#This Row],[BO ID]],1)</f>
        <v>#REF!</v>
      </c>
      <c r="AI97" s="50">
        <f>INVESTORS_LIST[[#This Row],[LS_TOTAL COST VALUE OF CURRENT UNITS]]+INVESTORS_LIST[[#This Row],[SIP_TOTAL COST VALUE OF CURRENT UNITS]]</f>
        <v>335375.93787021184</v>
      </c>
      <c r="AJ97" s="109">
        <f>IF(INVESTORS_LIST[[#This Row],[TOTAL CURRENT UNITS]]=0,0,INVESTORS_LIST[[#This Row],[LS_TOTAL CURRENT UNITS]]/INVESTORS_LIST[[#This Row],[TOTAL CURRENT UNITS]])</f>
        <v>0</v>
      </c>
      <c r="AK97" s="109">
        <f>IF(INVESTORS_LIST[[#This Row],[TOTAL CURRENT UNITS]]=0,0,INVESTORS_LIST[[#This Row],[SIP_TOTAL CURRENT UNITS]]/INVESTORS_LIST[[#This Row],[TOTAL CURRENT UNITS]])</f>
        <v>1</v>
      </c>
      <c r="AL97" s="49" cm="1">
        <f t="array" ref="AL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7" s="49" cm="1">
        <f t="array" ref="AM97">IF(INVESTORS_LIST[[#This Row],[SIP_TOTAL UNITS BUY]]&gt;0,INDEX(SIP[NAV at Cost (Average)],MATCH(CONCATENATE(COUNTIFS(SIP[Investor ID],INVESTORS_LIST[[#This Row],[INVESTOR CODE]]),INVESTORS_LIST[[#This Row],[INVESTOR CODE]]),SIP[Unique Code],0),),0)</f>
        <v>12.11530734304645</v>
      </c>
      <c r="AN97" s="105">
        <f>IF(INVESTORS_LIST[[#This Row],[TOTAL CURRENT UNITS]]=0,0,(INVESTORS_LIST[[#This Row],[LS_WEIGHT]]*INVESTORS_LIST[[#This Row],[LS_AVERAGE COST]])+(INVESTORS_LIST[[#This Row],[SIP_WEIGHT]]*INVESTORS_LIST[[#This Row],[SIP_AVERAGE COST]]))</f>
        <v>12.11530734304645</v>
      </c>
      <c r="AO97" s="105">
        <f t="shared" si="2"/>
        <v>14.224</v>
      </c>
      <c r="AP97" s="112">
        <f>IF(INVESTORS_LIST[[#This Row],[TOTAL CURRENT UNITS]]=0,0,INVESTORS_LIST[[#This Row],[TOTAL CURRENT UNITS]]*INVESTORS_LIST[[#This Row],[NAV]])</f>
        <v>393748.76799999998</v>
      </c>
      <c r="AQ97" s="49">
        <f>IF(INVESTORS_LIST[[#This Row],[LS_TOTAL CURRENT UNITS]]=0,0,INVESTORS_LIST[[#This Row],[LS_TOTAL CURRENT UNITS]]*INVESTORS_LIST[[#This Row],[NAV]])</f>
        <v>0</v>
      </c>
      <c r="AR97" s="48">
        <f>IF(INVESTORS_LIST[[#This Row],[SIP_TOTAL CURRENT UNITS]]=0,0,INVESTORS_LIST[[#This Row],[SIP_TOTAL CURRENT UNITS]]*INVESTORS_LIST[[#This Row],[NAV]])</f>
        <v>393748.76799999998</v>
      </c>
      <c r="AS97" s="50">
        <f>INVESTORS_LIST[[#This Row],[TOTAL CURRENT UNITS]]</f>
        <v>27682</v>
      </c>
      <c r="AT97" s="48">
        <f>IF(INVESTORS_LIST[[#This Row],[TOTAL SELLABLE UNITS]]=0,0,INVESTORS_LIST[[#This Row],[TOTAL SELLABLE UNITS]]*INVESTORS_LIST[[#This Row],[NAV]])</f>
        <v>393748.76799999998</v>
      </c>
      <c r="AU97" s="48">
        <f>INVESTORS_LIST[[#This Row],[LS_TOTAL REALIZED GAIN]]+INVESTORS_LIST[[#This Row],[SIP_TOTAL REALIZED GAIN]]</f>
        <v>680375.93787021283</v>
      </c>
      <c r="AV97" s="48">
        <f>INVESTORS_LIST[[#This Row],[TOTAL MARKET VALUE]]-INVESTORS_LIST[[#This Row],[TOTAL COST VALUE OF CURRENT INVESTMENT]]</f>
        <v>58372.830129788141</v>
      </c>
      <c r="AW97" s="108">
        <f>IFERROR(INVESTORS_LIST[[#This Row],[TOTAL CURRENT UNITS]]/SUM(INVESTORS_LIST[TOTAL CURRENT UNITS]),0)</f>
        <v>6.7201398697994141E-4</v>
      </c>
    </row>
    <row r="98" spans="1:49" hidden="1">
      <c r="A98" s="262" t="s">
        <v>243</v>
      </c>
      <c r="B98" s="97" t="s">
        <v>244</v>
      </c>
      <c r="C98" t="s">
        <v>52</v>
      </c>
      <c r="D98" s="75" t="s">
        <v>45</v>
      </c>
      <c r="E98" s="47">
        <f>SUMIFS(LS[Unit],LS[Investor ID],INVESTORS_LIST[[#This Row],[INVESTOR CODE]],LS[B/S],"B")</f>
        <v>0</v>
      </c>
      <c r="F98" s="47">
        <f>-SUMIFS(LS[Unit],LS[Investor ID],INVESTORS_LIST[[#This Row],[INVESTOR CODE]],LS[B/S],"S")</f>
        <v>0</v>
      </c>
      <c r="G98" s="47">
        <f>IF(INVESTORS_LIST[[#This Row],[LS_TOTAL UNITS BUY]]=0,0,INVESTORS_LIST[[#This Row],[LS_TOTAL UNITS BUY]]-INVESTORS_LIST[[#This Row],[LS_TOTAL UNITS SOLD]])</f>
        <v>0</v>
      </c>
      <c r="H98" s="49">
        <f>IF(INVESTORS_LIST[[#This Row],[LS_TOTAL UNITS BUY]]=0,0,SUMIFS(LS[Amount],LS[Investor ID],INVESTORS_LIST[[#This Row],[INVESTOR CODE]],LS[B/S],"B"))</f>
        <v>0</v>
      </c>
      <c r="I98" s="48">
        <f>IF(INVESTORS_LIST[[#This Row],[LS_TOTAL UNITS SOLD]]=0,0,SUMIFS(LS[Cost of Units Sold],LS[Investor ID],INVESTORS_LIST[[#This Row],[INVESTOR CODE]],LS[B/S],"S"))</f>
        <v>0</v>
      </c>
      <c r="J98" s="48">
        <f>IF(INVESTORS_LIST[[#This Row],[LS_TOTAL CURRENT UNITS]]=0,0,INVESTORS_LIST[[#This Row],[LS_TOTAL CURRENT UNITS]]*INVESTORS_LIST[[#This Row],[LS_AVERAGE COST]])</f>
        <v>0</v>
      </c>
      <c r="K98" s="49">
        <f>IF(INVESTORS_LIST[[#This Row],[LS_TOTAL UNITS SOLD]]=0,0,SUMIFS(LS[Realized Gain],LS[Investor ID],INVESTORS_LIST[[#This Row],[INVESTOR CODE]],LS[B/S],"S"))</f>
        <v>0</v>
      </c>
      <c r="L98" s="47">
        <f>SUMIFS(SIP[Unit],SIP[Investor ID],INVESTORS_LIST[[#This Row],[INVESTOR CODE]],SIP[B/S],"B")</f>
        <v>0</v>
      </c>
      <c r="M98" s="47">
        <f>-SUMIFS(SIP[Unit],SIP[Investor ID],INVESTORS_LIST[[#This Row],[INVESTOR CODE]],SIP[B/S],"S")</f>
        <v>0</v>
      </c>
      <c r="N98" s="50">
        <f>IF(INVESTORS_LIST[[#This Row],[SIP_TOTAL UNITS BUY]]=0,0,INVESTORS_LIST[[#This Row],[SIP_TOTAL UNITS BUY]]-INVESTORS_LIST[[#This Row],[SIP_TOTAL UNITS SOLD]])</f>
        <v>0</v>
      </c>
      <c r="O98" s="49">
        <f>IF(INVESTORS_LIST[[#This Row],[SIP_TOTAL UNITS BUY]]=0,0,SUMIFS(SIP[Amount],SIP[Investor ID],INVESTORS_LIST[[#This Row],[INVESTOR CODE]],SIP[B/S],"B"))</f>
        <v>0</v>
      </c>
      <c r="P98" s="49">
        <f>IF(INVESTORS_LIST[[#This Row],[SIP_TOTAL UNITS SOLD]]=0,0,SUMIFS(SIP[Cost of Units Sold],SIP[Investor ID],INVESTORS_LIST[[#This Row],[INVESTOR CODE]],SIP[B/S],"S"))</f>
        <v>0</v>
      </c>
      <c r="Q98" s="48">
        <f>IF(INVESTORS_LIST[[#This Row],[SIP_TOTAL CURRENT UNITS]]=0,0,INVESTORS_LIST[[#This Row],[SIP_TOTAL CURRENT UNITS]]*INVESTORS_LIST[[#This Row],[SIP_AVERAGE COST]])</f>
        <v>0</v>
      </c>
      <c r="R98" s="48">
        <f>IF(INVESTORS_LIST[[#This Row],[SIP_TOTAL UNITS SOLD]]=0,0,SUMIFS(SIP[Realized Gain],SIP[Investor ID],INVESTORS_LIST[[#This Row],[INVESTOR CODE]],SIP[B/S],"S"))</f>
        <v>0</v>
      </c>
      <c r="S98" s="50">
        <f>INVESTORS_LIST[[#This Row],[LS_TOTAL UNITS BUY]]+INVESTORS_LIST[[#This Row],[SIP_TOTAL UNITS BUY]]</f>
        <v>0</v>
      </c>
      <c r="T98" s="50">
        <f>INVESTORS_LIST[[#This Row],[LS_TOTAL UNITS SOLD]]+INVESTORS_LIST[[#This Row],[SIP_TOTAL UNITS SOLD]]</f>
        <v>0</v>
      </c>
      <c r="U98" s="50"/>
      <c r="V98" s="50">
        <f>SUMIFS(LS[BO UNIT TRANSFER],LS[Investor ID],INVESTORS_LIST[[#This Row],[INVESTOR CODE]],LS[B/S],"B")</f>
        <v>0</v>
      </c>
      <c r="W98" s="50">
        <f>SUMIFS(SIP[BO UNIT TRANSFER],SIP[Investor ID],INVESTORS_LIST[[#This Row],[INVESTOR CODE]],SIP[B/S],"B")</f>
        <v>0</v>
      </c>
      <c r="X98" s="50">
        <f>SUMIFS(LS[BO UNIT TRANSFER],LS[Investor ID],INVESTORS_LIST[[#This Row],[INVESTOR CODE]],LS[B/S],"S")</f>
        <v>0</v>
      </c>
      <c r="Y98" s="50">
        <f>SUMIFS(SIP[BO UNIT TRANSFER],SIP[Investor ID],INVESTORS_LIST[[#This Row],[INVESTOR CODE]],SIP[B/S],"S")</f>
        <v>0</v>
      </c>
      <c r="Z98" s="106">
        <f>SUM(INVESTORS_LIST[[#This Row],[BO OPENING BALANCE]:[BO SIP UNITS REPURCHASE]])</f>
        <v>0</v>
      </c>
      <c r="AA98" s="107">
        <f>INVESTORS_LIST[[#This Row],[TOTAL UNITS BUY]]-INVESTORS_LIST[[#This Row],[TOTAL UNITS SOLD]]</f>
        <v>0</v>
      </c>
      <c r="AB98" s="107">
        <f>INVESTORS_LIST[[#This Row],[TOTAL CURRENT UNITS]]-INVESTORS_LIST[[#This Row],[BO UNITS HOLD]]</f>
        <v>0</v>
      </c>
      <c r="AC98" s="201" t="e">
        <f>INDEX([3]!Table_1[BO ID],MATCH(INVESTORS_LIST[[#This Row],[INVESTOR CODE]],[3]!Table_1[INVESTOR CODE],0))</f>
        <v>#REF!</v>
      </c>
      <c r="AD98" s="201" t="e">
        <f>INDEX([3]!Table_1[Brokerage Name2],MATCH(INVESTORS_LIST[[#This Row],[INVESTOR CODE]],[3]!Table_1[INVESTOR CODE],0))</f>
        <v>#REF!</v>
      </c>
      <c r="AE98" s="201" t="e">
        <f>MID(INVESTORS_LIST[[#This Row],[BO ID]],4,5)</f>
        <v>#REF!</v>
      </c>
      <c r="AF98" s="201" t="e">
        <f>MID(INVESTORS_LIST[[#This Row],[BO ID]],2,7)</f>
        <v>#REF!</v>
      </c>
      <c r="AG98" s="201" t="e">
        <f>MID(INVESTORS_LIST[[#This Row],[BO ID]],9,7)</f>
        <v>#REF!</v>
      </c>
      <c r="AH98" s="201" t="e">
        <f>RIGHT(INVESTORS_LIST[[#This Row],[BO ID]],1)</f>
        <v>#REF!</v>
      </c>
      <c r="AI98" s="50">
        <f>INVESTORS_LIST[[#This Row],[LS_TOTAL COST VALUE OF CURRENT UNITS]]+INVESTORS_LIST[[#This Row],[SIP_TOTAL COST VALUE OF CURRENT UNITS]]</f>
        <v>0</v>
      </c>
      <c r="AJ98" s="109">
        <f>IF(INVESTORS_LIST[[#This Row],[TOTAL CURRENT UNITS]]=0,0,INVESTORS_LIST[[#This Row],[LS_TOTAL CURRENT UNITS]]/INVESTORS_LIST[[#This Row],[TOTAL CURRENT UNITS]])</f>
        <v>0</v>
      </c>
      <c r="AK98" s="109">
        <f>IF(INVESTORS_LIST[[#This Row],[TOTAL CURRENT UNITS]]=0,0,INVESTORS_LIST[[#This Row],[SIP_TOTAL CURRENT UNITS]]/INVESTORS_LIST[[#This Row],[TOTAL CURRENT UNITS]])</f>
        <v>0</v>
      </c>
      <c r="AL98" s="49" cm="1">
        <f t="array" ref="AL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8" s="49" cm="1">
        <f t="array" ref="AM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9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98" s="105">
        <f t="shared" si="2"/>
        <v>14.224</v>
      </c>
      <c r="AP98" s="112">
        <f>IF(INVESTORS_LIST[[#This Row],[TOTAL CURRENT UNITS]]=0,0,INVESTORS_LIST[[#This Row],[TOTAL CURRENT UNITS]]*INVESTORS_LIST[[#This Row],[NAV]])</f>
        <v>0</v>
      </c>
      <c r="AQ98" s="49">
        <f>IF(INVESTORS_LIST[[#This Row],[LS_TOTAL CURRENT UNITS]]=0,0,INVESTORS_LIST[[#This Row],[LS_TOTAL CURRENT UNITS]]*INVESTORS_LIST[[#This Row],[NAV]])</f>
        <v>0</v>
      </c>
      <c r="AR98" s="48">
        <f>IF(INVESTORS_LIST[[#This Row],[SIP_TOTAL CURRENT UNITS]]=0,0,INVESTORS_LIST[[#This Row],[SIP_TOTAL CURRENT UNITS]]*INVESTORS_LIST[[#This Row],[NAV]])</f>
        <v>0</v>
      </c>
      <c r="AS98" s="50">
        <f>INVESTORS_LIST[[#This Row],[TOTAL CURRENT UNITS]]</f>
        <v>0</v>
      </c>
      <c r="AT98" s="48">
        <f>IF(INVESTORS_LIST[[#This Row],[TOTAL SELLABLE UNITS]]=0,0,INVESTORS_LIST[[#This Row],[TOTAL SELLABLE UNITS]]*INVESTORS_LIST[[#This Row],[NAV]])</f>
        <v>0</v>
      </c>
      <c r="AU98" s="48">
        <f>INVESTORS_LIST[[#This Row],[LS_TOTAL REALIZED GAIN]]+INVESTORS_LIST[[#This Row],[SIP_TOTAL REALIZED GAIN]]</f>
        <v>0</v>
      </c>
      <c r="AV98" s="48">
        <f>INVESTORS_LIST[[#This Row],[TOTAL MARKET VALUE]]-INVESTORS_LIST[[#This Row],[TOTAL COST VALUE OF CURRENT INVESTMENT]]</f>
        <v>0</v>
      </c>
      <c r="AW98" s="48">
        <f>IFERROR(INVESTORS_LIST[[#This Row],[TOTAL CURRENT UNITS]]/SUM(INVESTORS_LIST[TOTAL CURRENT UNITS]),0)</f>
        <v>0</v>
      </c>
    </row>
    <row r="99" spans="1:49" hidden="1">
      <c r="A99" s="262" t="s">
        <v>245</v>
      </c>
      <c r="B99" s="97" t="s">
        <v>246</v>
      </c>
      <c r="C99" t="s">
        <v>44</v>
      </c>
      <c r="D99" s="75" t="s">
        <v>45</v>
      </c>
      <c r="E99" s="47">
        <f>SUMIFS(LS[Unit],LS[Investor ID],INVESTORS_LIST[[#This Row],[INVESTOR CODE]],LS[B/S],"B")</f>
        <v>0</v>
      </c>
      <c r="F99" s="47">
        <f>-SUMIFS(LS[Unit],LS[Investor ID],INVESTORS_LIST[[#This Row],[INVESTOR CODE]],LS[B/S],"S")</f>
        <v>0</v>
      </c>
      <c r="G99" s="47">
        <f>IF(INVESTORS_LIST[[#This Row],[LS_TOTAL UNITS BUY]]=0,0,INVESTORS_LIST[[#This Row],[LS_TOTAL UNITS BUY]]-INVESTORS_LIST[[#This Row],[LS_TOTAL UNITS SOLD]])</f>
        <v>0</v>
      </c>
      <c r="H99" s="49">
        <f>IF(INVESTORS_LIST[[#This Row],[LS_TOTAL UNITS BUY]]=0,0,SUMIFS(LS[Amount],LS[Investor ID],INVESTORS_LIST[[#This Row],[INVESTOR CODE]],LS[B/S],"B"))</f>
        <v>0</v>
      </c>
      <c r="I99" s="48">
        <f>IF(INVESTORS_LIST[[#This Row],[LS_TOTAL UNITS SOLD]]=0,0,SUMIFS(LS[Cost of Units Sold],LS[Investor ID],INVESTORS_LIST[[#This Row],[INVESTOR CODE]],LS[B/S],"S"))</f>
        <v>0</v>
      </c>
      <c r="J99" s="48">
        <f>IF(INVESTORS_LIST[[#This Row],[LS_TOTAL CURRENT UNITS]]=0,0,INVESTORS_LIST[[#This Row],[LS_TOTAL CURRENT UNITS]]*INVESTORS_LIST[[#This Row],[LS_AVERAGE COST]])</f>
        <v>0</v>
      </c>
      <c r="K99" s="49">
        <f>IF(INVESTORS_LIST[[#This Row],[LS_TOTAL UNITS SOLD]]=0,0,SUMIFS(LS[Realized Gain],LS[Investor ID],INVESTORS_LIST[[#This Row],[INVESTOR CODE]],LS[B/S],"S"))</f>
        <v>0</v>
      </c>
      <c r="L99" s="47">
        <f>SUMIFS(SIP[Unit],SIP[Investor ID],INVESTORS_LIST[[#This Row],[INVESTOR CODE]],SIP[B/S],"B")</f>
        <v>0</v>
      </c>
      <c r="M99" s="47">
        <f>-SUMIFS(SIP[Unit],SIP[Investor ID],INVESTORS_LIST[[#This Row],[INVESTOR CODE]],SIP[B/S],"S")</f>
        <v>0</v>
      </c>
      <c r="N99" s="50">
        <f>IF(INVESTORS_LIST[[#This Row],[SIP_TOTAL UNITS BUY]]=0,0,INVESTORS_LIST[[#This Row],[SIP_TOTAL UNITS BUY]]-INVESTORS_LIST[[#This Row],[SIP_TOTAL UNITS SOLD]])</f>
        <v>0</v>
      </c>
      <c r="O99" s="49">
        <f>IF(INVESTORS_LIST[[#This Row],[SIP_TOTAL UNITS BUY]]=0,0,SUMIFS(SIP[Amount],SIP[Investor ID],INVESTORS_LIST[[#This Row],[INVESTOR CODE]],SIP[B/S],"B"))</f>
        <v>0</v>
      </c>
      <c r="P99" s="49">
        <f>IF(INVESTORS_LIST[[#This Row],[SIP_TOTAL UNITS SOLD]]=0,0,SUMIFS(SIP[Cost of Units Sold],SIP[Investor ID],INVESTORS_LIST[[#This Row],[INVESTOR CODE]],SIP[B/S],"S"))</f>
        <v>0</v>
      </c>
      <c r="Q99" s="48">
        <f>IF(INVESTORS_LIST[[#This Row],[SIP_TOTAL CURRENT UNITS]]=0,0,INVESTORS_LIST[[#This Row],[SIP_TOTAL CURRENT UNITS]]*INVESTORS_LIST[[#This Row],[SIP_AVERAGE COST]])</f>
        <v>0</v>
      </c>
      <c r="R99" s="48">
        <f>IF(INVESTORS_LIST[[#This Row],[SIP_TOTAL UNITS SOLD]]=0,0,SUMIFS(SIP[Realized Gain],SIP[Investor ID],INVESTORS_LIST[[#This Row],[INVESTOR CODE]],SIP[B/S],"S"))</f>
        <v>0</v>
      </c>
      <c r="S99" s="50">
        <f>INVESTORS_LIST[[#This Row],[LS_TOTAL UNITS BUY]]+INVESTORS_LIST[[#This Row],[SIP_TOTAL UNITS BUY]]</f>
        <v>0</v>
      </c>
      <c r="T99" s="50">
        <f>INVESTORS_LIST[[#This Row],[LS_TOTAL UNITS SOLD]]+INVESTORS_LIST[[#This Row],[SIP_TOTAL UNITS SOLD]]</f>
        <v>0</v>
      </c>
      <c r="U99" s="50"/>
      <c r="V99" s="50">
        <f>SUMIFS(LS[BO UNIT TRANSFER],LS[Investor ID],INVESTORS_LIST[[#This Row],[INVESTOR CODE]],LS[B/S],"B")</f>
        <v>0</v>
      </c>
      <c r="W99" s="50">
        <f>SUMIFS(SIP[BO UNIT TRANSFER],SIP[Investor ID],INVESTORS_LIST[[#This Row],[INVESTOR CODE]],SIP[B/S],"B")</f>
        <v>0</v>
      </c>
      <c r="X99" s="50">
        <f>SUMIFS(LS[BO UNIT TRANSFER],LS[Investor ID],INVESTORS_LIST[[#This Row],[INVESTOR CODE]],LS[B/S],"S")</f>
        <v>0</v>
      </c>
      <c r="Y99" s="50">
        <f>SUMIFS(SIP[BO UNIT TRANSFER],SIP[Investor ID],INVESTORS_LIST[[#This Row],[INVESTOR CODE]],SIP[B/S],"S")</f>
        <v>0</v>
      </c>
      <c r="Z99" s="106">
        <f>SUM(INVESTORS_LIST[[#This Row],[BO OPENING BALANCE]:[BO SIP UNITS REPURCHASE]])</f>
        <v>0</v>
      </c>
      <c r="AA99" s="107">
        <f>INVESTORS_LIST[[#This Row],[TOTAL UNITS BUY]]-INVESTORS_LIST[[#This Row],[TOTAL UNITS SOLD]]</f>
        <v>0</v>
      </c>
      <c r="AB99" s="107">
        <f>INVESTORS_LIST[[#This Row],[TOTAL CURRENT UNITS]]-INVESTORS_LIST[[#This Row],[BO UNITS HOLD]]</f>
        <v>0</v>
      </c>
      <c r="AC99" s="201" t="e">
        <f>INDEX([3]!Table_1[BO ID],MATCH(INVESTORS_LIST[[#This Row],[INVESTOR CODE]],[3]!Table_1[INVESTOR CODE],0))</f>
        <v>#REF!</v>
      </c>
      <c r="AD99" s="201" t="e">
        <f>INDEX([3]!Table_1[Brokerage Name2],MATCH(INVESTORS_LIST[[#This Row],[INVESTOR CODE]],[3]!Table_1[INVESTOR CODE],0))</f>
        <v>#REF!</v>
      </c>
      <c r="AE99" s="201" t="e">
        <f>MID(INVESTORS_LIST[[#This Row],[BO ID]],4,5)</f>
        <v>#REF!</v>
      </c>
      <c r="AF99" s="201" t="e">
        <f>MID(INVESTORS_LIST[[#This Row],[BO ID]],2,7)</f>
        <v>#REF!</v>
      </c>
      <c r="AG99" s="201" t="e">
        <f>MID(INVESTORS_LIST[[#This Row],[BO ID]],9,7)</f>
        <v>#REF!</v>
      </c>
      <c r="AH99" s="201" t="e">
        <f>RIGHT(INVESTORS_LIST[[#This Row],[BO ID]],1)</f>
        <v>#REF!</v>
      </c>
      <c r="AI99" s="50">
        <f>INVESTORS_LIST[[#This Row],[LS_TOTAL COST VALUE OF CURRENT UNITS]]+INVESTORS_LIST[[#This Row],[SIP_TOTAL COST VALUE OF CURRENT UNITS]]</f>
        <v>0</v>
      </c>
      <c r="AJ99" s="109">
        <f>IF(INVESTORS_LIST[[#This Row],[TOTAL CURRENT UNITS]]=0,0,INVESTORS_LIST[[#This Row],[LS_TOTAL CURRENT UNITS]]/INVESTORS_LIST[[#This Row],[TOTAL CURRENT UNITS]])</f>
        <v>0</v>
      </c>
      <c r="AK99" s="109">
        <f>IF(INVESTORS_LIST[[#This Row],[TOTAL CURRENT UNITS]]=0,0,INVESTORS_LIST[[#This Row],[SIP_TOTAL CURRENT UNITS]]/INVESTORS_LIST[[#This Row],[TOTAL CURRENT UNITS]])</f>
        <v>0</v>
      </c>
      <c r="AL99" s="49" cm="1">
        <f t="array" ref="AL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99" s="49" cm="1">
        <f t="array" ref="AM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99" s="105">
        <f t="shared" si="2"/>
        <v>14.224</v>
      </c>
      <c r="AP99" s="112">
        <f>IF(INVESTORS_LIST[[#This Row],[TOTAL CURRENT UNITS]]=0,0,INVESTORS_LIST[[#This Row],[TOTAL CURRENT UNITS]]*INVESTORS_LIST[[#This Row],[NAV]])</f>
        <v>0</v>
      </c>
      <c r="AQ99" s="49">
        <f>IF(INVESTORS_LIST[[#This Row],[LS_TOTAL CURRENT UNITS]]=0,0,INVESTORS_LIST[[#This Row],[LS_TOTAL CURRENT UNITS]]*INVESTORS_LIST[[#This Row],[NAV]])</f>
        <v>0</v>
      </c>
      <c r="AR99" s="48">
        <f>IF(INVESTORS_LIST[[#This Row],[SIP_TOTAL CURRENT UNITS]]=0,0,INVESTORS_LIST[[#This Row],[SIP_TOTAL CURRENT UNITS]]*INVESTORS_LIST[[#This Row],[NAV]])</f>
        <v>0</v>
      </c>
      <c r="AS99" s="50">
        <f>INVESTORS_LIST[[#This Row],[TOTAL CURRENT UNITS]]</f>
        <v>0</v>
      </c>
      <c r="AT99" s="48">
        <f>IF(INVESTORS_LIST[[#This Row],[TOTAL SELLABLE UNITS]]=0,0,INVESTORS_LIST[[#This Row],[TOTAL SELLABLE UNITS]]*INVESTORS_LIST[[#This Row],[NAV]])</f>
        <v>0</v>
      </c>
      <c r="AU99" s="48">
        <f>INVESTORS_LIST[[#This Row],[LS_TOTAL REALIZED GAIN]]+INVESTORS_LIST[[#This Row],[SIP_TOTAL REALIZED GAIN]]</f>
        <v>0</v>
      </c>
      <c r="AV99" s="48">
        <f>INVESTORS_LIST[[#This Row],[TOTAL MARKET VALUE]]-INVESTORS_LIST[[#This Row],[TOTAL COST VALUE OF CURRENT INVESTMENT]]</f>
        <v>0</v>
      </c>
      <c r="AW99" s="48">
        <f>IFERROR(INVESTORS_LIST[[#This Row],[TOTAL CURRENT UNITS]]/SUM(INVESTORS_LIST[TOTAL CURRENT UNITS]),0)</f>
        <v>0</v>
      </c>
    </row>
    <row r="100" spans="1:49" hidden="1">
      <c r="A100" s="262" t="s">
        <v>247</v>
      </c>
      <c r="B100" s="97" t="s">
        <v>248</v>
      </c>
      <c r="C100" t="s">
        <v>44</v>
      </c>
      <c r="D100" s="75" t="s">
        <v>45</v>
      </c>
      <c r="E100" s="47">
        <f>SUMIFS(LS[Unit],LS[Investor ID],INVESTORS_LIST[[#This Row],[INVESTOR CODE]],LS[B/S],"B")</f>
        <v>0</v>
      </c>
      <c r="F100" s="47">
        <f>-SUMIFS(LS[Unit],LS[Investor ID],INVESTORS_LIST[[#This Row],[INVESTOR CODE]],LS[B/S],"S")</f>
        <v>0</v>
      </c>
      <c r="G100" s="47">
        <f>IF(INVESTORS_LIST[[#This Row],[LS_TOTAL UNITS BUY]]=0,0,INVESTORS_LIST[[#This Row],[LS_TOTAL UNITS BUY]]-INVESTORS_LIST[[#This Row],[LS_TOTAL UNITS SOLD]])</f>
        <v>0</v>
      </c>
      <c r="H100" s="49">
        <f>IF(INVESTORS_LIST[[#This Row],[LS_TOTAL UNITS BUY]]=0,0,SUMIFS(LS[Amount],LS[Investor ID],INVESTORS_LIST[[#This Row],[INVESTOR CODE]],LS[B/S],"B"))</f>
        <v>0</v>
      </c>
      <c r="I100" s="48">
        <f>IF(INVESTORS_LIST[[#This Row],[LS_TOTAL UNITS SOLD]]=0,0,SUMIFS(LS[Cost of Units Sold],LS[Investor ID],INVESTORS_LIST[[#This Row],[INVESTOR CODE]],LS[B/S],"S"))</f>
        <v>0</v>
      </c>
      <c r="J100" s="48">
        <f>IF(INVESTORS_LIST[[#This Row],[LS_TOTAL CURRENT UNITS]]=0,0,INVESTORS_LIST[[#This Row],[LS_TOTAL CURRENT UNITS]]*INVESTORS_LIST[[#This Row],[LS_AVERAGE COST]])</f>
        <v>0</v>
      </c>
      <c r="K100" s="49">
        <f>IF(INVESTORS_LIST[[#This Row],[LS_TOTAL UNITS SOLD]]=0,0,SUMIFS(LS[Realized Gain],LS[Investor ID],INVESTORS_LIST[[#This Row],[INVESTOR CODE]],LS[B/S],"S"))</f>
        <v>0</v>
      </c>
      <c r="L100" s="47">
        <f>SUMIFS(SIP[Unit],SIP[Investor ID],INVESTORS_LIST[[#This Row],[INVESTOR CODE]],SIP[B/S],"B")</f>
        <v>0</v>
      </c>
      <c r="M100" s="47">
        <f>-SUMIFS(SIP[Unit],SIP[Investor ID],INVESTORS_LIST[[#This Row],[INVESTOR CODE]],SIP[B/S],"S")</f>
        <v>0</v>
      </c>
      <c r="N100" s="50">
        <f>IF(INVESTORS_LIST[[#This Row],[SIP_TOTAL UNITS BUY]]=0,0,INVESTORS_LIST[[#This Row],[SIP_TOTAL UNITS BUY]]-INVESTORS_LIST[[#This Row],[SIP_TOTAL UNITS SOLD]])</f>
        <v>0</v>
      </c>
      <c r="O100" s="49">
        <f>IF(INVESTORS_LIST[[#This Row],[SIP_TOTAL UNITS BUY]]=0,0,SUMIFS(SIP[Amount],SIP[Investor ID],INVESTORS_LIST[[#This Row],[INVESTOR CODE]],SIP[B/S],"B"))</f>
        <v>0</v>
      </c>
      <c r="P100" s="49">
        <f>IF(INVESTORS_LIST[[#This Row],[SIP_TOTAL UNITS SOLD]]=0,0,SUMIFS(SIP[Cost of Units Sold],SIP[Investor ID],INVESTORS_LIST[[#This Row],[INVESTOR CODE]],SIP[B/S],"S"))</f>
        <v>0</v>
      </c>
      <c r="Q100" s="48">
        <f>IF(INVESTORS_LIST[[#This Row],[SIP_TOTAL CURRENT UNITS]]=0,0,INVESTORS_LIST[[#This Row],[SIP_TOTAL CURRENT UNITS]]*INVESTORS_LIST[[#This Row],[SIP_AVERAGE COST]])</f>
        <v>0</v>
      </c>
      <c r="R100" s="48">
        <f>IF(INVESTORS_LIST[[#This Row],[SIP_TOTAL UNITS SOLD]]=0,0,SUMIFS(SIP[Realized Gain],SIP[Investor ID],INVESTORS_LIST[[#This Row],[INVESTOR CODE]],SIP[B/S],"S"))</f>
        <v>0</v>
      </c>
      <c r="S100" s="50">
        <f>INVESTORS_LIST[[#This Row],[LS_TOTAL UNITS BUY]]+INVESTORS_LIST[[#This Row],[SIP_TOTAL UNITS BUY]]</f>
        <v>0</v>
      </c>
      <c r="T100" s="50">
        <f>INVESTORS_LIST[[#This Row],[LS_TOTAL UNITS SOLD]]+INVESTORS_LIST[[#This Row],[SIP_TOTAL UNITS SOLD]]</f>
        <v>0</v>
      </c>
      <c r="U100" s="50"/>
      <c r="V100" s="50">
        <f>SUMIFS(LS[BO UNIT TRANSFER],LS[Investor ID],INVESTORS_LIST[[#This Row],[INVESTOR CODE]],LS[B/S],"B")</f>
        <v>0</v>
      </c>
      <c r="W100" s="50">
        <f>SUMIFS(SIP[BO UNIT TRANSFER],SIP[Investor ID],INVESTORS_LIST[[#This Row],[INVESTOR CODE]],SIP[B/S],"B")</f>
        <v>0</v>
      </c>
      <c r="X100" s="50">
        <f>SUMIFS(LS[BO UNIT TRANSFER],LS[Investor ID],INVESTORS_LIST[[#This Row],[INVESTOR CODE]],LS[B/S],"S")</f>
        <v>0</v>
      </c>
      <c r="Y100" s="50">
        <f>SUMIFS(SIP[BO UNIT TRANSFER],SIP[Investor ID],INVESTORS_LIST[[#This Row],[INVESTOR CODE]],SIP[B/S],"S")</f>
        <v>0</v>
      </c>
      <c r="Z100" s="106">
        <f>SUM(INVESTORS_LIST[[#This Row],[BO OPENING BALANCE]:[BO SIP UNITS REPURCHASE]])</f>
        <v>0</v>
      </c>
      <c r="AA100" s="107">
        <f>INVESTORS_LIST[[#This Row],[TOTAL UNITS BUY]]-INVESTORS_LIST[[#This Row],[TOTAL UNITS SOLD]]</f>
        <v>0</v>
      </c>
      <c r="AB100" s="107">
        <f>INVESTORS_LIST[[#This Row],[TOTAL CURRENT UNITS]]-INVESTORS_LIST[[#This Row],[BO UNITS HOLD]]</f>
        <v>0</v>
      </c>
      <c r="AC100" s="201" t="e">
        <f>INDEX([3]!Table_1[BO ID],MATCH(INVESTORS_LIST[[#This Row],[INVESTOR CODE]],[3]!Table_1[INVESTOR CODE],0))</f>
        <v>#REF!</v>
      </c>
      <c r="AD100" s="201" t="e">
        <f>INDEX([3]!Table_1[Brokerage Name2],MATCH(INVESTORS_LIST[[#This Row],[INVESTOR CODE]],[3]!Table_1[INVESTOR CODE],0))</f>
        <v>#REF!</v>
      </c>
      <c r="AE100" s="201" t="e">
        <f>MID(INVESTORS_LIST[[#This Row],[BO ID]],4,5)</f>
        <v>#REF!</v>
      </c>
      <c r="AF100" s="201" t="e">
        <f>MID(INVESTORS_LIST[[#This Row],[BO ID]],2,7)</f>
        <v>#REF!</v>
      </c>
      <c r="AG100" s="201" t="e">
        <f>MID(INVESTORS_LIST[[#This Row],[BO ID]],9,7)</f>
        <v>#REF!</v>
      </c>
      <c r="AH100" s="201" t="e">
        <f>RIGHT(INVESTORS_LIST[[#This Row],[BO ID]],1)</f>
        <v>#REF!</v>
      </c>
      <c r="AI100" s="50">
        <f>INVESTORS_LIST[[#This Row],[LS_TOTAL COST VALUE OF CURRENT UNITS]]+INVESTORS_LIST[[#This Row],[SIP_TOTAL COST VALUE OF CURRENT UNITS]]</f>
        <v>0</v>
      </c>
      <c r="AJ100" s="109">
        <f>IF(INVESTORS_LIST[[#This Row],[TOTAL CURRENT UNITS]]=0,0,INVESTORS_LIST[[#This Row],[LS_TOTAL CURRENT UNITS]]/INVESTORS_LIST[[#This Row],[TOTAL CURRENT UNITS]])</f>
        <v>0</v>
      </c>
      <c r="AK100" s="109">
        <f>IF(INVESTORS_LIST[[#This Row],[TOTAL CURRENT UNITS]]=0,0,INVESTORS_LIST[[#This Row],[SIP_TOTAL CURRENT UNITS]]/INVESTORS_LIST[[#This Row],[TOTAL CURRENT UNITS]])</f>
        <v>0</v>
      </c>
      <c r="AL100" s="49" cm="1">
        <f t="array" ref="AL1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0" s="49" cm="1">
        <f t="array" ref="AM1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0" s="105">
        <f t="shared" si="2"/>
        <v>14.224</v>
      </c>
      <c r="AP100" s="112">
        <f>IF(INVESTORS_LIST[[#This Row],[TOTAL CURRENT UNITS]]=0,0,INVESTORS_LIST[[#This Row],[TOTAL CURRENT UNITS]]*INVESTORS_LIST[[#This Row],[NAV]])</f>
        <v>0</v>
      </c>
      <c r="AQ100" s="49">
        <f>IF(INVESTORS_LIST[[#This Row],[LS_TOTAL CURRENT UNITS]]=0,0,INVESTORS_LIST[[#This Row],[LS_TOTAL CURRENT UNITS]]*INVESTORS_LIST[[#This Row],[NAV]])</f>
        <v>0</v>
      </c>
      <c r="AR100" s="48">
        <f>IF(INVESTORS_LIST[[#This Row],[SIP_TOTAL CURRENT UNITS]]=0,0,INVESTORS_LIST[[#This Row],[SIP_TOTAL CURRENT UNITS]]*INVESTORS_LIST[[#This Row],[NAV]])</f>
        <v>0</v>
      </c>
      <c r="AS100" s="50">
        <f>INVESTORS_LIST[[#This Row],[TOTAL CURRENT UNITS]]</f>
        <v>0</v>
      </c>
      <c r="AT100" s="48">
        <f>IF(INVESTORS_LIST[[#This Row],[TOTAL SELLABLE UNITS]]=0,0,INVESTORS_LIST[[#This Row],[TOTAL SELLABLE UNITS]]*INVESTORS_LIST[[#This Row],[NAV]])</f>
        <v>0</v>
      </c>
      <c r="AU100" s="48">
        <f>INVESTORS_LIST[[#This Row],[LS_TOTAL REALIZED GAIN]]+INVESTORS_LIST[[#This Row],[SIP_TOTAL REALIZED GAIN]]</f>
        <v>0</v>
      </c>
      <c r="AV100" s="48">
        <f>INVESTORS_LIST[[#This Row],[TOTAL MARKET VALUE]]-INVESTORS_LIST[[#This Row],[TOTAL COST VALUE OF CURRENT INVESTMENT]]</f>
        <v>0</v>
      </c>
      <c r="AW100" s="48">
        <f>IFERROR(INVESTORS_LIST[[#This Row],[TOTAL CURRENT UNITS]]/SUM(INVESTORS_LIST[TOTAL CURRENT UNITS]),0)</f>
        <v>0</v>
      </c>
    </row>
    <row r="101" spans="1:49" hidden="1">
      <c r="A101" s="262" t="s">
        <v>249</v>
      </c>
      <c r="B101" s="97" t="s">
        <v>250</v>
      </c>
      <c r="C101" t="s">
        <v>44</v>
      </c>
      <c r="D101" s="75" t="s">
        <v>45</v>
      </c>
      <c r="E101" s="47">
        <f>SUMIFS(LS[Unit],LS[Investor ID],INVESTORS_LIST[[#This Row],[INVESTOR CODE]],LS[B/S],"B")</f>
        <v>0</v>
      </c>
      <c r="F101" s="47">
        <f>-SUMIFS(LS[Unit],LS[Investor ID],INVESTORS_LIST[[#This Row],[INVESTOR CODE]],LS[B/S],"S")</f>
        <v>0</v>
      </c>
      <c r="G101" s="47">
        <f>IF(INVESTORS_LIST[[#This Row],[LS_TOTAL UNITS BUY]]=0,0,INVESTORS_LIST[[#This Row],[LS_TOTAL UNITS BUY]]-INVESTORS_LIST[[#This Row],[LS_TOTAL UNITS SOLD]])</f>
        <v>0</v>
      </c>
      <c r="H101" s="49">
        <f>IF(INVESTORS_LIST[[#This Row],[LS_TOTAL UNITS BUY]]=0,0,SUMIFS(LS[Amount],LS[Investor ID],INVESTORS_LIST[[#This Row],[INVESTOR CODE]],LS[B/S],"B"))</f>
        <v>0</v>
      </c>
      <c r="I101" s="48">
        <f>IF(INVESTORS_LIST[[#This Row],[LS_TOTAL UNITS SOLD]]=0,0,SUMIFS(LS[Cost of Units Sold],LS[Investor ID],INVESTORS_LIST[[#This Row],[INVESTOR CODE]],LS[B/S],"S"))</f>
        <v>0</v>
      </c>
      <c r="J101" s="48">
        <f>IF(INVESTORS_LIST[[#This Row],[LS_TOTAL CURRENT UNITS]]=0,0,INVESTORS_LIST[[#This Row],[LS_TOTAL CURRENT UNITS]]*INVESTORS_LIST[[#This Row],[LS_AVERAGE COST]])</f>
        <v>0</v>
      </c>
      <c r="K101" s="49">
        <f>IF(INVESTORS_LIST[[#This Row],[LS_TOTAL UNITS SOLD]]=0,0,SUMIFS(LS[Realized Gain],LS[Investor ID],INVESTORS_LIST[[#This Row],[INVESTOR CODE]],LS[B/S],"S"))</f>
        <v>0</v>
      </c>
      <c r="L101" s="47">
        <f>SUMIFS(SIP[Unit],SIP[Investor ID],INVESTORS_LIST[[#This Row],[INVESTOR CODE]],SIP[B/S],"B")</f>
        <v>0</v>
      </c>
      <c r="M101" s="47">
        <f>-SUMIFS(SIP[Unit],SIP[Investor ID],INVESTORS_LIST[[#This Row],[INVESTOR CODE]],SIP[B/S],"S")</f>
        <v>0</v>
      </c>
      <c r="N101" s="50">
        <f>IF(INVESTORS_LIST[[#This Row],[SIP_TOTAL UNITS BUY]]=0,0,INVESTORS_LIST[[#This Row],[SIP_TOTAL UNITS BUY]]-INVESTORS_LIST[[#This Row],[SIP_TOTAL UNITS SOLD]])</f>
        <v>0</v>
      </c>
      <c r="O101" s="49">
        <f>IF(INVESTORS_LIST[[#This Row],[SIP_TOTAL UNITS BUY]]=0,0,SUMIFS(SIP[Amount],SIP[Investor ID],INVESTORS_LIST[[#This Row],[INVESTOR CODE]],SIP[B/S],"B"))</f>
        <v>0</v>
      </c>
      <c r="P101" s="49">
        <f>IF(INVESTORS_LIST[[#This Row],[SIP_TOTAL UNITS SOLD]]=0,0,SUMIFS(SIP[Cost of Units Sold],SIP[Investor ID],INVESTORS_LIST[[#This Row],[INVESTOR CODE]],SIP[B/S],"S"))</f>
        <v>0</v>
      </c>
      <c r="Q101" s="48">
        <f>IF(INVESTORS_LIST[[#This Row],[SIP_TOTAL CURRENT UNITS]]=0,0,INVESTORS_LIST[[#This Row],[SIP_TOTAL CURRENT UNITS]]*INVESTORS_LIST[[#This Row],[SIP_AVERAGE COST]])</f>
        <v>0</v>
      </c>
      <c r="R101" s="48">
        <f>IF(INVESTORS_LIST[[#This Row],[SIP_TOTAL UNITS SOLD]]=0,0,SUMIFS(SIP[Realized Gain],SIP[Investor ID],INVESTORS_LIST[[#This Row],[INVESTOR CODE]],SIP[B/S],"S"))</f>
        <v>0</v>
      </c>
      <c r="S101" s="50">
        <f>INVESTORS_LIST[[#This Row],[LS_TOTAL UNITS BUY]]+INVESTORS_LIST[[#This Row],[SIP_TOTAL UNITS BUY]]</f>
        <v>0</v>
      </c>
      <c r="T101" s="50">
        <f>INVESTORS_LIST[[#This Row],[LS_TOTAL UNITS SOLD]]+INVESTORS_LIST[[#This Row],[SIP_TOTAL UNITS SOLD]]</f>
        <v>0</v>
      </c>
      <c r="U101" s="50"/>
      <c r="V101" s="50">
        <f>SUMIFS(LS[BO UNIT TRANSFER],LS[Investor ID],INVESTORS_LIST[[#This Row],[INVESTOR CODE]],LS[B/S],"B")</f>
        <v>0</v>
      </c>
      <c r="W101" s="50">
        <f>SUMIFS(SIP[BO UNIT TRANSFER],SIP[Investor ID],INVESTORS_LIST[[#This Row],[INVESTOR CODE]],SIP[B/S],"B")</f>
        <v>0</v>
      </c>
      <c r="X101" s="50">
        <f>SUMIFS(LS[BO UNIT TRANSFER],LS[Investor ID],INVESTORS_LIST[[#This Row],[INVESTOR CODE]],LS[B/S],"S")</f>
        <v>0</v>
      </c>
      <c r="Y101" s="50">
        <f>SUMIFS(SIP[BO UNIT TRANSFER],SIP[Investor ID],INVESTORS_LIST[[#This Row],[INVESTOR CODE]],SIP[B/S],"S")</f>
        <v>0</v>
      </c>
      <c r="Z101" s="106">
        <f>SUM(INVESTORS_LIST[[#This Row],[BO OPENING BALANCE]:[BO SIP UNITS REPURCHASE]])</f>
        <v>0</v>
      </c>
      <c r="AA101" s="107">
        <f>INVESTORS_LIST[[#This Row],[TOTAL UNITS BUY]]-INVESTORS_LIST[[#This Row],[TOTAL UNITS SOLD]]</f>
        <v>0</v>
      </c>
      <c r="AB101" s="107">
        <f>INVESTORS_LIST[[#This Row],[TOTAL CURRENT UNITS]]-INVESTORS_LIST[[#This Row],[BO UNITS HOLD]]</f>
        <v>0</v>
      </c>
      <c r="AC101" s="201" t="e">
        <f>INDEX([3]!Table_1[BO ID],MATCH(INVESTORS_LIST[[#This Row],[INVESTOR CODE]],[3]!Table_1[INVESTOR CODE],0))</f>
        <v>#REF!</v>
      </c>
      <c r="AD101" s="201" t="e">
        <f>INDEX([3]!Table_1[Brokerage Name2],MATCH(INVESTORS_LIST[[#This Row],[INVESTOR CODE]],[3]!Table_1[INVESTOR CODE],0))</f>
        <v>#REF!</v>
      </c>
      <c r="AE101" s="201" t="e">
        <f>MID(INVESTORS_LIST[[#This Row],[BO ID]],4,5)</f>
        <v>#REF!</v>
      </c>
      <c r="AF101" s="201" t="e">
        <f>MID(INVESTORS_LIST[[#This Row],[BO ID]],2,7)</f>
        <v>#REF!</v>
      </c>
      <c r="AG101" s="201" t="e">
        <f>MID(INVESTORS_LIST[[#This Row],[BO ID]],9,7)</f>
        <v>#REF!</v>
      </c>
      <c r="AH101" s="201" t="e">
        <f>RIGHT(INVESTORS_LIST[[#This Row],[BO ID]],1)</f>
        <v>#REF!</v>
      </c>
      <c r="AI101" s="50">
        <f>INVESTORS_LIST[[#This Row],[LS_TOTAL COST VALUE OF CURRENT UNITS]]+INVESTORS_LIST[[#This Row],[SIP_TOTAL COST VALUE OF CURRENT UNITS]]</f>
        <v>0</v>
      </c>
      <c r="AJ101" s="109">
        <f>IF(INVESTORS_LIST[[#This Row],[TOTAL CURRENT UNITS]]=0,0,INVESTORS_LIST[[#This Row],[LS_TOTAL CURRENT UNITS]]/INVESTORS_LIST[[#This Row],[TOTAL CURRENT UNITS]])</f>
        <v>0</v>
      </c>
      <c r="AK101" s="109">
        <f>IF(INVESTORS_LIST[[#This Row],[TOTAL CURRENT UNITS]]=0,0,INVESTORS_LIST[[#This Row],[SIP_TOTAL CURRENT UNITS]]/INVESTORS_LIST[[#This Row],[TOTAL CURRENT UNITS]])</f>
        <v>0</v>
      </c>
      <c r="AL101" s="49" cm="1">
        <f t="array" ref="AL1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1" s="49" cm="1">
        <f t="array" ref="AM1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1" s="105">
        <f t="shared" si="2"/>
        <v>14.224</v>
      </c>
      <c r="AP101" s="112">
        <f>IF(INVESTORS_LIST[[#This Row],[TOTAL CURRENT UNITS]]=0,0,INVESTORS_LIST[[#This Row],[TOTAL CURRENT UNITS]]*INVESTORS_LIST[[#This Row],[NAV]])</f>
        <v>0</v>
      </c>
      <c r="AQ101" s="49">
        <f>IF(INVESTORS_LIST[[#This Row],[LS_TOTAL CURRENT UNITS]]=0,0,INVESTORS_LIST[[#This Row],[LS_TOTAL CURRENT UNITS]]*INVESTORS_LIST[[#This Row],[NAV]])</f>
        <v>0</v>
      </c>
      <c r="AR101" s="48">
        <f>IF(INVESTORS_LIST[[#This Row],[SIP_TOTAL CURRENT UNITS]]=0,0,INVESTORS_LIST[[#This Row],[SIP_TOTAL CURRENT UNITS]]*INVESTORS_LIST[[#This Row],[NAV]])</f>
        <v>0</v>
      </c>
      <c r="AS101" s="50">
        <f>INVESTORS_LIST[[#This Row],[TOTAL CURRENT UNITS]]</f>
        <v>0</v>
      </c>
      <c r="AT101" s="48">
        <f>IF(INVESTORS_LIST[[#This Row],[TOTAL SELLABLE UNITS]]=0,0,INVESTORS_LIST[[#This Row],[TOTAL SELLABLE UNITS]]*INVESTORS_LIST[[#This Row],[NAV]])</f>
        <v>0</v>
      </c>
      <c r="AU101" s="48">
        <f>INVESTORS_LIST[[#This Row],[LS_TOTAL REALIZED GAIN]]+INVESTORS_LIST[[#This Row],[SIP_TOTAL REALIZED GAIN]]</f>
        <v>0</v>
      </c>
      <c r="AV101" s="48">
        <f>INVESTORS_LIST[[#This Row],[TOTAL MARKET VALUE]]-INVESTORS_LIST[[#This Row],[TOTAL COST VALUE OF CURRENT INVESTMENT]]</f>
        <v>0</v>
      </c>
      <c r="AW101" s="48">
        <f>IFERROR(INVESTORS_LIST[[#This Row],[TOTAL CURRENT UNITS]]/SUM(INVESTORS_LIST[TOTAL CURRENT UNITS]),0)</f>
        <v>0</v>
      </c>
    </row>
    <row r="102" spans="1:49">
      <c r="A102" s="262" t="s">
        <v>251</v>
      </c>
      <c r="B102" s="97" t="s">
        <v>252</v>
      </c>
      <c r="C102" t="s">
        <v>44</v>
      </c>
      <c r="D102" s="75" t="s">
        <v>45</v>
      </c>
      <c r="E102" s="47">
        <f>SUMIFS(LS[Unit],LS[Investor ID],INVESTORS_LIST[[#This Row],[INVESTOR CODE]],LS[B/S],"B")</f>
        <v>33654</v>
      </c>
      <c r="F102" s="47">
        <f>-SUMIFS(LS[Unit],LS[Investor ID],INVESTORS_LIST[[#This Row],[INVESTOR CODE]],LS[B/S],"S")</f>
        <v>27752</v>
      </c>
      <c r="G102" s="47">
        <f>IF(INVESTORS_LIST[[#This Row],[LS_TOTAL UNITS BUY]]=0,0,INVESTORS_LIST[[#This Row],[LS_TOTAL UNITS BUY]]-INVESTORS_LIST[[#This Row],[LS_TOTAL UNITS SOLD]])</f>
        <v>5902</v>
      </c>
      <c r="H102" s="49">
        <f>IF(INVESTORS_LIST[[#This Row],[LS_TOTAL UNITS BUY]]=0,0,SUMIFS(LS[Amount],LS[Investor ID],INVESTORS_LIST[[#This Row],[INVESTOR CODE]],LS[B/S],"B"))</f>
        <v>350000</v>
      </c>
      <c r="I102" s="48">
        <f>IF(INVESTORS_LIST[[#This Row],[LS_TOTAL UNITS SOLD]]=0,0,SUMIFS(LS[Cost of Units Sold],LS[Investor ID],INVESTORS_LIST[[#This Row],[INVESTOR CODE]],LS[B/S],"S"))</f>
        <v>288619.48059666005</v>
      </c>
      <c r="J102" s="48">
        <f>IF(INVESTORS_LIST[[#This Row],[LS_TOTAL CURRENT UNITS]]=0,0,INVESTORS_LIST[[#This Row],[LS_TOTAL CURRENT UNITS]]*INVESTORS_LIST[[#This Row],[LS_AVERAGE COST]])</f>
        <v>61380.519403339858</v>
      </c>
      <c r="K102" s="49">
        <f>IF(INVESTORS_LIST[[#This Row],[LS_TOTAL UNITS SOLD]]=0,0,SUMIFS(LS[Realized Gain],LS[Investor ID],INVESTORS_LIST[[#This Row],[INVESTOR CODE]],LS[B/S],"S"))</f>
        <v>11380.519403339913</v>
      </c>
      <c r="L102" s="47">
        <f>SUMIFS(SIP[Unit],SIP[Investor ID],INVESTORS_LIST[[#This Row],[INVESTOR CODE]],SIP[B/S],"B")</f>
        <v>73209</v>
      </c>
      <c r="M102" s="47">
        <f>-SUMIFS(SIP[Unit],SIP[Investor ID],INVESTORS_LIST[[#This Row],[INVESTOR CODE]],SIP[B/S],"S")</f>
        <v>18197</v>
      </c>
      <c r="N102" s="50">
        <f>IF(INVESTORS_LIST[[#This Row],[SIP_TOTAL UNITS BUY]]=0,0,INVESTORS_LIST[[#This Row],[SIP_TOTAL UNITS BUY]]-INVESTORS_LIST[[#This Row],[SIP_TOTAL UNITS SOLD]])</f>
        <v>55012</v>
      </c>
      <c r="O102" s="49">
        <f>IF(INVESTORS_LIST[[#This Row],[SIP_TOTAL UNITS BUY]]=0,0,SUMIFS(SIP[Amount],SIP[Investor ID],INVESTORS_LIST[[#This Row],[INVESTOR CODE]],SIP[B/S],"B"))</f>
        <v>870000</v>
      </c>
      <c r="P102" s="49">
        <f>IF(INVESTORS_LIST[[#This Row],[SIP_TOTAL UNITS SOLD]]=0,0,SUMIFS(SIP[Cost of Units Sold],SIP[Investor ID],INVESTORS_LIST[[#This Row],[INVESTOR CODE]],SIP[B/S],"S"))</f>
        <v>194924.3472439188</v>
      </c>
      <c r="Q102" s="48">
        <f>IF(INVESTORS_LIST[[#This Row],[SIP_TOTAL CURRENT UNITS]]=0,0,INVESTORS_LIST[[#This Row],[SIP_TOTAL CURRENT UNITS]]*INVESTORS_LIST[[#This Row],[SIP_AVERAGE COST]])</f>
        <v>675075.65275608131</v>
      </c>
      <c r="R102" s="48">
        <f>IF(INVESTORS_LIST[[#This Row],[SIP_TOTAL UNITS SOLD]]=0,0,SUMIFS(SIP[Realized Gain],SIP[Investor ID],INVESTORS_LIST[[#This Row],[INVESTOR CODE]],SIP[B/S],"S"))</f>
        <v>5075.6527560812056</v>
      </c>
      <c r="S102" s="50">
        <f>INVESTORS_LIST[[#This Row],[LS_TOTAL UNITS BUY]]+INVESTORS_LIST[[#This Row],[SIP_TOTAL UNITS BUY]]</f>
        <v>106863</v>
      </c>
      <c r="T102" s="50">
        <f>INVESTORS_LIST[[#This Row],[LS_TOTAL UNITS SOLD]]+INVESTORS_LIST[[#This Row],[SIP_TOTAL UNITS SOLD]]</f>
        <v>45949</v>
      </c>
      <c r="U102" s="50"/>
      <c r="V102" s="50">
        <f>SUMIFS(LS[BO UNIT TRANSFER],LS[Investor ID],INVESTORS_LIST[[#This Row],[INVESTOR CODE]],LS[B/S],"B")</f>
        <v>0</v>
      </c>
      <c r="W102" s="50">
        <f>SUMIFS(SIP[BO UNIT TRANSFER],SIP[Investor ID],INVESTORS_LIST[[#This Row],[INVESTOR CODE]],SIP[B/S],"B")</f>
        <v>0</v>
      </c>
      <c r="X102" s="50">
        <f>SUMIFS(LS[BO UNIT TRANSFER],LS[Investor ID],INVESTORS_LIST[[#This Row],[INVESTOR CODE]],LS[B/S],"S")</f>
        <v>0</v>
      </c>
      <c r="Y102" s="50">
        <f>SUMIFS(SIP[BO UNIT TRANSFER],SIP[Investor ID],INVESTORS_LIST[[#This Row],[INVESTOR CODE]],SIP[B/S],"S")</f>
        <v>0</v>
      </c>
      <c r="Z102" s="106">
        <f>SUM(INVESTORS_LIST[[#This Row],[BO OPENING BALANCE]:[BO SIP UNITS REPURCHASE]])</f>
        <v>0</v>
      </c>
      <c r="AA102" s="107">
        <f>INVESTORS_LIST[[#This Row],[TOTAL UNITS BUY]]-INVESTORS_LIST[[#This Row],[TOTAL UNITS SOLD]]</f>
        <v>60914</v>
      </c>
      <c r="AB102" s="107">
        <f>INVESTORS_LIST[[#This Row],[TOTAL CURRENT UNITS]]-INVESTORS_LIST[[#This Row],[BO UNITS HOLD]]</f>
        <v>60914</v>
      </c>
      <c r="AC102" s="201" t="e">
        <f>INDEX([3]!Table_1[BO ID],MATCH(INVESTORS_LIST[[#This Row],[INVESTOR CODE]],[3]!Table_1[INVESTOR CODE],0))</f>
        <v>#REF!</v>
      </c>
      <c r="AD102" s="201" t="e">
        <f>INDEX([3]!Table_1[Brokerage Name2],MATCH(INVESTORS_LIST[[#This Row],[INVESTOR CODE]],[3]!Table_1[INVESTOR CODE],0))</f>
        <v>#REF!</v>
      </c>
      <c r="AE102" s="201" t="e">
        <f>MID(INVESTORS_LIST[[#This Row],[BO ID]],4,5)</f>
        <v>#REF!</v>
      </c>
      <c r="AF102" s="201" t="e">
        <f>MID(INVESTORS_LIST[[#This Row],[BO ID]],2,7)</f>
        <v>#REF!</v>
      </c>
      <c r="AG102" s="201" t="e">
        <f>MID(INVESTORS_LIST[[#This Row],[BO ID]],9,7)</f>
        <v>#REF!</v>
      </c>
      <c r="AH102" s="201" t="e">
        <f>RIGHT(INVESTORS_LIST[[#This Row],[BO ID]],1)</f>
        <v>#REF!</v>
      </c>
      <c r="AI102" s="50">
        <f>INVESTORS_LIST[[#This Row],[LS_TOTAL COST VALUE OF CURRENT UNITS]]+INVESTORS_LIST[[#This Row],[SIP_TOTAL COST VALUE OF CURRENT UNITS]]</f>
        <v>736456.17215942114</v>
      </c>
      <c r="AJ102" s="109">
        <f>IF(INVESTORS_LIST[[#This Row],[TOTAL CURRENT UNITS]]=0,0,INVESTORS_LIST[[#This Row],[LS_TOTAL CURRENT UNITS]]/INVESTORS_LIST[[#This Row],[TOTAL CURRENT UNITS]])</f>
        <v>9.6890698361624589E-2</v>
      </c>
      <c r="AK102" s="109">
        <f>IF(INVESTORS_LIST[[#This Row],[TOTAL CURRENT UNITS]]=0,0,INVESTORS_LIST[[#This Row],[SIP_TOTAL CURRENT UNITS]]/INVESTORS_LIST[[#This Row],[TOTAL CURRENT UNITS]])</f>
        <v>0.90310930163837544</v>
      </c>
      <c r="AL102" s="49" cm="1">
        <f t="array" ref="AL102">IF(INVESTORS_LIST[[#This Row],[LS_TOTAL UNITS BUY]]&gt;0,INDEX(LS[NAV at Cost (Average)],MATCH(CONCATENATE(COUNTIFS(LS[Investor ID],INVESTORS_LIST[[#This Row],[INVESTOR CODE]]),INVESTORS_LIST[[#This Row],[INVESTOR CODE]]),LS[Unique Code],0),),0)</f>
        <v>10.399952457360193</v>
      </c>
      <c r="AM102" s="49" cm="1">
        <f t="array" ref="AM102">IF(INVESTORS_LIST[[#This Row],[SIP_TOTAL UNITS BUY]]&gt;0,INDEX(SIP[NAV at Cost (Average)],MATCH(CONCATENATE(COUNTIFS(SIP[Investor ID],INVESTORS_LIST[[#This Row],[INVESTOR CODE]]),INVESTORS_LIST[[#This Row],[INVESTOR CODE]]),SIP[Unique Code],0),),0)</f>
        <v>12.27142537548319</v>
      </c>
      <c r="AN102" s="105">
        <f>IF(INVESTORS_LIST[[#This Row],[TOTAL CURRENT UNITS]]=0,0,(INVESTORS_LIST[[#This Row],[LS_WEIGHT]]*INVESTORS_LIST[[#This Row],[LS_AVERAGE COST]])+(INVESTORS_LIST[[#This Row],[SIP_WEIGHT]]*INVESTORS_LIST[[#This Row],[SIP_AVERAGE COST]]))</f>
        <v>12.090097057481387</v>
      </c>
      <c r="AO102" s="105">
        <f t="shared" si="2"/>
        <v>14.224</v>
      </c>
      <c r="AP102" s="112">
        <f>IF(INVESTORS_LIST[[#This Row],[TOTAL CURRENT UNITS]]=0,0,INVESTORS_LIST[[#This Row],[TOTAL CURRENT UNITS]]*INVESTORS_LIST[[#This Row],[NAV]])</f>
        <v>866440.73600000003</v>
      </c>
      <c r="AQ102" s="49">
        <f>IF(INVESTORS_LIST[[#This Row],[LS_TOTAL CURRENT UNITS]]=0,0,INVESTORS_LIST[[#This Row],[LS_TOTAL CURRENT UNITS]]*INVESTORS_LIST[[#This Row],[NAV]])</f>
        <v>83950.047999999995</v>
      </c>
      <c r="AR102" s="48">
        <f>IF(INVESTORS_LIST[[#This Row],[SIP_TOTAL CURRENT UNITS]]=0,0,INVESTORS_LIST[[#This Row],[SIP_TOTAL CURRENT UNITS]]*INVESTORS_LIST[[#This Row],[NAV]])</f>
        <v>782490.68799999997</v>
      </c>
      <c r="AS102" s="50">
        <f>INVESTORS_LIST[[#This Row],[TOTAL CURRENT UNITS]]</f>
        <v>60914</v>
      </c>
      <c r="AT102" s="48">
        <f>IF(INVESTORS_LIST[[#This Row],[TOTAL SELLABLE UNITS]]=0,0,INVESTORS_LIST[[#This Row],[TOTAL SELLABLE UNITS]]*INVESTORS_LIST[[#This Row],[NAV]])</f>
        <v>866440.73600000003</v>
      </c>
      <c r="AU102" s="48">
        <f>INVESTORS_LIST[[#This Row],[LS_TOTAL REALIZED GAIN]]+INVESTORS_LIST[[#This Row],[SIP_TOTAL REALIZED GAIN]]</f>
        <v>16456.172159421119</v>
      </c>
      <c r="AV102" s="48">
        <f>INVESTORS_LIST[[#This Row],[TOTAL MARKET VALUE]]-INVESTORS_LIST[[#This Row],[TOTAL COST VALUE OF CURRENT INVESTMENT]]</f>
        <v>129984.56384057889</v>
      </c>
      <c r="AW102" s="108">
        <f>IFERROR(INVESTORS_LIST[[#This Row],[TOTAL CURRENT UNITS]]/SUM(INVESTORS_LIST[TOTAL CURRENT UNITS]),0)</f>
        <v>1.4787609277832582E-3</v>
      </c>
    </row>
    <row r="103" spans="1:49" hidden="1">
      <c r="A103" s="262" t="s">
        <v>253</v>
      </c>
      <c r="B103" s="97" t="s">
        <v>254</v>
      </c>
      <c r="C103" t="s">
        <v>44</v>
      </c>
      <c r="D103" s="75" t="s">
        <v>45</v>
      </c>
      <c r="E103" s="47">
        <f>SUMIFS(LS[Unit],LS[Investor ID],INVESTORS_LIST[[#This Row],[INVESTOR CODE]],LS[B/S],"B")</f>
        <v>0</v>
      </c>
      <c r="F103" s="47">
        <f>-SUMIFS(LS[Unit],LS[Investor ID],INVESTORS_LIST[[#This Row],[INVESTOR CODE]],LS[B/S],"S")</f>
        <v>0</v>
      </c>
      <c r="G103" s="47">
        <f>IF(INVESTORS_LIST[[#This Row],[LS_TOTAL UNITS BUY]]=0,0,INVESTORS_LIST[[#This Row],[LS_TOTAL UNITS BUY]]-INVESTORS_LIST[[#This Row],[LS_TOTAL UNITS SOLD]])</f>
        <v>0</v>
      </c>
      <c r="H103" s="49">
        <f>IF(INVESTORS_LIST[[#This Row],[LS_TOTAL UNITS BUY]]=0,0,SUMIFS(LS[Amount],LS[Investor ID],INVESTORS_LIST[[#This Row],[INVESTOR CODE]],LS[B/S],"B"))</f>
        <v>0</v>
      </c>
      <c r="I103" s="48">
        <f>IF(INVESTORS_LIST[[#This Row],[LS_TOTAL UNITS SOLD]]=0,0,SUMIFS(LS[Cost of Units Sold],LS[Investor ID],INVESTORS_LIST[[#This Row],[INVESTOR CODE]],LS[B/S],"S"))</f>
        <v>0</v>
      </c>
      <c r="J103" s="48">
        <f>IF(INVESTORS_LIST[[#This Row],[LS_TOTAL CURRENT UNITS]]=0,0,INVESTORS_LIST[[#This Row],[LS_TOTAL CURRENT UNITS]]*INVESTORS_LIST[[#This Row],[LS_AVERAGE COST]])</f>
        <v>0</v>
      </c>
      <c r="K103" s="49">
        <f>IF(INVESTORS_LIST[[#This Row],[LS_TOTAL UNITS SOLD]]=0,0,SUMIFS(LS[Realized Gain],LS[Investor ID],INVESTORS_LIST[[#This Row],[INVESTOR CODE]],LS[B/S],"S"))</f>
        <v>0</v>
      </c>
      <c r="L103" s="47">
        <f>SUMIFS(SIP[Unit],SIP[Investor ID],INVESTORS_LIST[[#This Row],[INVESTOR CODE]],SIP[B/S],"B")</f>
        <v>0</v>
      </c>
      <c r="M103" s="47">
        <f>-SUMIFS(SIP[Unit],SIP[Investor ID],INVESTORS_LIST[[#This Row],[INVESTOR CODE]],SIP[B/S],"S")</f>
        <v>0</v>
      </c>
      <c r="N103" s="50">
        <f>IF(INVESTORS_LIST[[#This Row],[SIP_TOTAL UNITS BUY]]=0,0,INVESTORS_LIST[[#This Row],[SIP_TOTAL UNITS BUY]]-INVESTORS_LIST[[#This Row],[SIP_TOTAL UNITS SOLD]])</f>
        <v>0</v>
      </c>
      <c r="O103" s="49">
        <f>IF(INVESTORS_LIST[[#This Row],[SIP_TOTAL UNITS BUY]]=0,0,SUMIFS(SIP[Amount],SIP[Investor ID],INVESTORS_LIST[[#This Row],[INVESTOR CODE]],SIP[B/S],"B"))</f>
        <v>0</v>
      </c>
      <c r="P103" s="49">
        <f>IF(INVESTORS_LIST[[#This Row],[SIP_TOTAL UNITS SOLD]]=0,0,SUMIFS(SIP[Cost of Units Sold],SIP[Investor ID],INVESTORS_LIST[[#This Row],[INVESTOR CODE]],SIP[B/S],"S"))</f>
        <v>0</v>
      </c>
      <c r="Q103" s="48">
        <f>IF(INVESTORS_LIST[[#This Row],[SIP_TOTAL CURRENT UNITS]]=0,0,INVESTORS_LIST[[#This Row],[SIP_TOTAL CURRENT UNITS]]*INVESTORS_LIST[[#This Row],[SIP_AVERAGE COST]])</f>
        <v>0</v>
      </c>
      <c r="R103" s="48">
        <f>IF(INVESTORS_LIST[[#This Row],[SIP_TOTAL UNITS SOLD]]=0,0,SUMIFS(SIP[Realized Gain],SIP[Investor ID],INVESTORS_LIST[[#This Row],[INVESTOR CODE]],SIP[B/S],"S"))</f>
        <v>0</v>
      </c>
      <c r="S103" s="50">
        <f>INVESTORS_LIST[[#This Row],[LS_TOTAL UNITS BUY]]+INVESTORS_LIST[[#This Row],[SIP_TOTAL UNITS BUY]]</f>
        <v>0</v>
      </c>
      <c r="T103" s="50">
        <f>INVESTORS_LIST[[#This Row],[LS_TOTAL UNITS SOLD]]+INVESTORS_LIST[[#This Row],[SIP_TOTAL UNITS SOLD]]</f>
        <v>0</v>
      </c>
      <c r="U103" s="50"/>
      <c r="V103" s="50">
        <f>SUMIFS(LS[BO UNIT TRANSFER],LS[Investor ID],INVESTORS_LIST[[#This Row],[INVESTOR CODE]],LS[B/S],"B")</f>
        <v>0</v>
      </c>
      <c r="W103" s="50">
        <f>SUMIFS(SIP[BO UNIT TRANSFER],SIP[Investor ID],INVESTORS_LIST[[#This Row],[INVESTOR CODE]],SIP[B/S],"B")</f>
        <v>0</v>
      </c>
      <c r="X103" s="50">
        <f>SUMIFS(LS[BO UNIT TRANSFER],LS[Investor ID],INVESTORS_LIST[[#This Row],[INVESTOR CODE]],LS[B/S],"S")</f>
        <v>0</v>
      </c>
      <c r="Y103" s="50">
        <f>SUMIFS(SIP[BO UNIT TRANSFER],SIP[Investor ID],INVESTORS_LIST[[#This Row],[INVESTOR CODE]],SIP[B/S],"S")</f>
        <v>0</v>
      </c>
      <c r="Z103" s="106">
        <f>SUM(INVESTORS_LIST[[#This Row],[BO OPENING BALANCE]:[BO SIP UNITS REPURCHASE]])</f>
        <v>0</v>
      </c>
      <c r="AA103" s="107">
        <f>INVESTORS_LIST[[#This Row],[TOTAL UNITS BUY]]-INVESTORS_LIST[[#This Row],[TOTAL UNITS SOLD]]</f>
        <v>0</v>
      </c>
      <c r="AB103" s="107">
        <f>INVESTORS_LIST[[#This Row],[TOTAL CURRENT UNITS]]-INVESTORS_LIST[[#This Row],[BO UNITS HOLD]]</f>
        <v>0</v>
      </c>
      <c r="AC103" s="201" t="e">
        <f>INDEX([3]!Table_1[BO ID],MATCH(INVESTORS_LIST[[#This Row],[INVESTOR CODE]],[3]!Table_1[INVESTOR CODE],0))</f>
        <v>#REF!</v>
      </c>
      <c r="AD103" s="201" t="e">
        <f>INDEX([3]!Table_1[Brokerage Name2],MATCH(INVESTORS_LIST[[#This Row],[INVESTOR CODE]],[3]!Table_1[INVESTOR CODE],0))</f>
        <v>#REF!</v>
      </c>
      <c r="AE103" s="201" t="e">
        <f>MID(INVESTORS_LIST[[#This Row],[BO ID]],4,5)</f>
        <v>#REF!</v>
      </c>
      <c r="AF103" s="201" t="e">
        <f>MID(INVESTORS_LIST[[#This Row],[BO ID]],2,7)</f>
        <v>#REF!</v>
      </c>
      <c r="AG103" s="201" t="e">
        <f>MID(INVESTORS_LIST[[#This Row],[BO ID]],9,7)</f>
        <v>#REF!</v>
      </c>
      <c r="AH103" s="201" t="e">
        <f>RIGHT(INVESTORS_LIST[[#This Row],[BO ID]],1)</f>
        <v>#REF!</v>
      </c>
      <c r="AI103" s="50">
        <f>INVESTORS_LIST[[#This Row],[LS_TOTAL COST VALUE OF CURRENT UNITS]]+INVESTORS_LIST[[#This Row],[SIP_TOTAL COST VALUE OF CURRENT UNITS]]</f>
        <v>0</v>
      </c>
      <c r="AJ103" s="109">
        <f>IF(INVESTORS_LIST[[#This Row],[TOTAL CURRENT UNITS]]=0,0,INVESTORS_LIST[[#This Row],[LS_TOTAL CURRENT UNITS]]/INVESTORS_LIST[[#This Row],[TOTAL CURRENT UNITS]])</f>
        <v>0</v>
      </c>
      <c r="AK103" s="109">
        <f>IF(INVESTORS_LIST[[#This Row],[TOTAL CURRENT UNITS]]=0,0,INVESTORS_LIST[[#This Row],[SIP_TOTAL CURRENT UNITS]]/INVESTORS_LIST[[#This Row],[TOTAL CURRENT UNITS]])</f>
        <v>0</v>
      </c>
      <c r="AL103" s="49" cm="1">
        <f t="array" ref="AL1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3" s="49" cm="1">
        <f t="array" ref="AM1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3" s="105">
        <f t="shared" si="2"/>
        <v>14.224</v>
      </c>
      <c r="AP103" s="112">
        <f>IF(INVESTORS_LIST[[#This Row],[TOTAL CURRENT UNITS]]=0,0,INVESTORS_LIST[[#This Row],[TOTAL CURRENT UNITS]]*INVESTORS_LIST[[#This Row],[NAV]])</f>
        <v>0</v>
      </c>
      <c r="AQ103" s="49">
        <f>IF(INVESTORS_LIST[[#This Row],[LS_TOTAL CURRENT UNITS]]=0,0,INVESTORS_LIST[[#This Row],[LS_TOTAL CURRENT UNITS]]*INVESTORS_LIST[[#This Row],[NAV]])</f>
        <v>0</v>
      </c>
      <c r="AR103" s="48">
        <f>IF(INVESTORS_LIST[[#This Row],[SIP_TOTAL CURRENT UNITS]]=0,0,INVESTORS_LIST[[#This Row],[SIP_TOTAL CURRENT UNITS]]*INVESTORS_LIST[[#This Row],[NAV]])</f>
        <v>0</v>
      </c>
      <c r="AS103" s="50">
        <f>INVESTORS_LIST[[#This Row],[TOTAL CURRENT UNITS]]</f>
        <v>0</v>
      </c>
      <c r="AT103" s="48">
        <f>IF(INVESTORS_LIST[[#This Row],[TOTAL SELLABLE UNITS]]=0,0,INVESTORS_LIST[[#This Row],[TOTAL SELLABLE UNITS]]*INVESTORS_LIST[[#This Row],[NAV]])</f>
        <v>0</v>
      </c>
      <c r="AU103" s="48">
        <f>INVESTORS_LIST[[#This Row],[LS_TOTAL REALIZED GAIN]]+INVESTORS_LIST[[#This Row],[SIP_TOTAL REALIZED GAIN]]</f>
        <v>0</v>
      </c>
      <c r="AV103" s="48">
        <f>INVESTORS_LIST[[#This Row],[TOTAL MARKET VALUE]]-INVESTORS_LIST[[#This Row],[TOTAL COST VALUE OF CURRENT INVESTMENT]]</f>
        <v>0</v>
      </c>
      <c r="AW103" s="48">
        <f>IFERROR(INVESTORS_LIST[[#This Row],[TOTAL CURRENT UNITS]]/SUM(INVESTORS_LIST[TOTAL CURRENT UNITS]),0)</f>
        <v>0</v>
      </c>
    </row>
    <row r="104" spans="1:49" hidden="1">
      <c r="A104" s="262" t="s">
        <v>255</v>
      </c>
      <c r="B104" s="97" t="s">
        <v>256</v>
      </c>
      <c r="C104" t="s">
        <v>44</v>
      </c>
      <c r="D104" s="75" t="s">
        <v>45</v>
      </c>
      <c r="E104" s="47">
        <f>SUMIFS(LS[Unit],LS[Investor ID],INVESTORS_LIST[[#This Row],[INVESTOR CODE]],LS[B/S],"B")</f>
        <v>0</v>
      </c>
      <c r="F104" s="47">
        <f>-SUMIFS(LS[Unit],LS[Investor ID],INVESTORS_LIST[[#This Row],[INVESTOR CODE]],LS[B/S],"S")</f>
        <v>0</v>
      </c>
      <c r="G104" s="47">
        <f>IF(INVESTORS_LIST[[#This Row],[LS_TOTAL UNITS BUY]]=0,0,INVESTORS_LIST[[#This Row],[LS_TOTAL UNITS BUY]]-INVESTORS_LIST[[#This Row],[LS_TOTAL UNITS SOLD]])</f>
        <v>0</v>
      </c>
      <c r="H104" s="49">
        <f>IF(INVESTORS_LIST[[#This Row],[LS_TOTAL UNITS BUY]]=0,0,SUMIFS(LS[Amount],LS[Investor ID],INVESTORS_LIST[[#This Row],[INVESTOR CODE]],LS[B/S],"B"))</f>
        <v>0</v>
      </c>
      <c r="I104" s="48">
        <f>IF(INVESTORS_LIST[[#This Row],[LS_TOTAL UNITS SOLD]]=0,0,SUMIFS(LS[Cost of Units Sold],LS[Investor ID],INVESTORS_LIST[[#This Row],[INVESTOR CODE]],LS[B/S],"S"))</f>
        <v>0</v>
      </c>
      <c r="J104" s="48">
        <f>IF(INVESTORS_LIST[[#This Row],[LS_TOTAL CURRENT UNITS]]=0,0,INVESTORS_LIST[[#This Row],[LS_TOTAL CURRENT UNITS]]*INVESTORS_LIST[[#This Row],[LS_AVERAGE COST]])</f>
        <v>0</v>
      </c>
      <c r="K104" s="49">
        <f>IF(INVESTORS_LIST[[#This Row],[LS_TOTAL UNITS SOLD]]=0,0,SUMIFS(LS[Realized Gain],LS[Investor ID],INVESTORS_LIST[[#This Row],[INVESTOR CODE]],LS[B/S],"S"))</f>
        <v>0</v>
      </c>
      <c r="L104" s="47">
        <f>SUMIFS(SIP[Unit],SIP[Investor ID],INVESTORS_LIST[[#This Row],[INVESTOR CODE]],SIP[B/S],"B")</f>
        <v>0</v>
      </c>
      <c r="M104" s="47">
        <f>-SUMIFS(SIP[Unit],SIP[Investor ID],INVESTORS_LIST[[#This Row],[INVESTOR CODE]],SIP[B/S],"S")</f>
        <v>0</v>
      </c>
      <c r="N104" s="50">
        <f>IF(INVESTORS_LIST[[#This Row],[SIP_TOTAL UNITS BUY]]=0,0,INVESTORS_LIST[[#This Row],[SIP_TOTAL UNITS BUY]]-INVESTORS_LIST[[#This Row],[SIP_TOTAL UNITS SOLD]])</f>
        <v>0</v>
      </c>
      <c r="O104" s="49">
        <f>IF(INVESTORS_LIST[[#This Row],[SIP_TOTAL UNITS BUY]]=0,0,SUMIFS(SIP[Amount],SIP[Investor ID],INVESTORS_LIST[[#This Row],[INVESTOR CODE]],SIP[B/S],"B"))</f>
        <v>0</v>
      </c>
      <c r="P104" s="49">
        <f>IF(INVESTORS_LIST[[#This Row],[SIP_TOTAL UNITS SOLD]]=0,0,SUMIFS(SIP[Cost of Units Sold],SIP[Investor ID],INVESTORS_LIST[[#This Row],[INVESTOR CODE]],SIP[B/S],"S"))</f>
        <v>0</v>
      </c>
      <c r="Q104" s="48">
        <f>IF(INVESTORS_LIST[[#This Row],[SIP_TOTAL CURRENT UNITS]]=0,0,INVESTORS_LIST[[#This Row],[SIP_TOTAL CURRENT UNITS]]*INVESTORS_LIST[[#This Row],[SIP_AVERAGE COST]])</f>
        <v>0</v>
      </c>
      <c r="R104" s="48">
        <f>IF(INVESTORS_LIST[[#This Row],[SIP_TOTAL UNITS SOLD]]=0,0,SUMIFS(SIP[Realized Gain],SIP[Investor ID],INVESTORS_LIST[[#This Row],[INVESTOR CODE]],SIP[B/S],"S"))</f>
        <v>0</v>
      </c>
      <c r="S104" s="50">
        <f>INVESTORS_LIST[[#This Row],[LS_TOTAL UNITS BUY]]+INVESTORS_LIST[[#This Row],[SIP_TOTAL UNITS BUY]]</f>
        <v>0</v>
      </c>
      <c r="T104" s="50">
        <f>INVESTORS_LIST[[#This Row],[LS_TOTAL UNITS SOLD]]+INVESTORS_LIST[[#This Row],[SIP_TOTAL UNITS SOLD]]</f>
        <v>0</v>
      </c>
      <c r="U104" s="50"/>
      <c r="V104" s="50">
        <f>SUMIFS(LS[BO UNIT TRANSFER],LS[Investor ID],INVESTORS_LIST[[#This Row],[INVESTOR CODE]],LS[B/S],"B")</f>
        <v>0</v>
      </c>
      <c r="W104" s="50">
        <f>SUMIFS(SIP[BO UNIT TRANSFER],SIP[Investor ID],INVESTORS_LIST[[#This Row],[INVESTOR CODE]],SIP[B/S],"B")</f>
        <v>0</v>
      </c>
      <c r="X104" s="50">
        <f>SUMIFS(LS[BO UNIT TRANSFER],LS[Investor ID],INVESTORS_LIST[[#This Row],[INVESTOR CODE]],LS[B/S],"S")</f>
        <v>0</v>
      </c>
      <c r="Y104" s="50">
        <f>SUMIFS(SIP[BO UNIT TRANSFER],SIP[Investor ID],INVESTORS_LIST[[#This Row],[INVESTOR CODE]],SIP[B/S],"S")</f>
        <v>0</v>
      </c>
      <c r="Z104" s="106">
        <f>SUM(INVESTORS_LIST[[#This Row],[BO OPENING BALANCE]:[BO SIP UNITS REPURCHASE]])</f>
        <v>0</v>
      </c>
      <c r="AA104" s="107">
        <f>INVESTORS_LIST[[#This Row],[TOTAL UNITS BUY]]-INVESTORS_LIST[[#This Row],[TOTAL UNITS SOLD]]</f>
        <v>0</v>
      </c>
      <c r="AB104" s="107">
        <f>INVESTORS_LIST[[#This Row],[TOTAL CURRENT UNITS]]-INVESTORS_LIST[[#This Row],[BO UNITS HOLD]]</f>
        <v>0</v>
      </c>
      <c r="AC104" s="201" t="e">
        <f>INDEX([3]!Table_1[BO ID],MATCH(INVESTORS_LIST[[#This Row],[INVESTOR CODE]],[3]!Table_1[INVESTOR CODE],0))</f>
        <v>#REF!</v>
      </c>
      <c r="AD104" s="201" t="e">
        <f>INDEX([3]!Table_1[Brokerage Name2],MATCH(INVESTORS_LIST[[#This Row],[INVESTOR CODE]],[3]!Table_1[INVESTOR CODE],0))</f>
        <v>#REF!</v>
      </c>
      <c r="AE104" s="201" t="e">
        <f>MID(INVESTORS_LIST[[#This Row],[BO ID]],4,5)</f>
        <v>#REF!</v>
      </c>
      <c r="AF104" s="201" t="e">
        <f>MID(INVESTORS_LIST[[#This Row],[BO ID]],2,7)</f>
        <v>#REF!</v>
      </c>
      <c r="AG104" s="201" t="e">
        <f>MID(INVESTORS_LIST[[#This Row],[BO ID]],9,7)</f>
        <v>#REF!</v>
      </c>
      <c r="AH104" s="201" t="e">
        <f>RIGHT(INVESTORS_LIST[[#This Row],[BO ID]],1)</f>
        <v>#REF!</v>
      </c>
      <c r="AI104" s="50">
        <f>INVESTORS_LIST[[#This Row],[LS_TOTAL COST VALUE OF CURRENT UNITS]]+INVESTORS_LIST[[#This Row],[SIP_TOTAL COST VALUE OF CURRENT UNITS]]</f>
        <v>0</v>
      </c>
      <c r="AJ104" s="109">
        <f>IF(INVESTORS_LIST[[#This Row],[TOTAL CURRENT UNITS]]=0,0,INVESTORS_LIST[[#This Row],[LS_TOTAL CURRENT UNITS]]/INVESTORS_LIST[[#This Row],[TOTAL CURRENT UNITS]])</f>
        <v>0</v>
      </c>
      <c r="AK104" s="109">
        <f>IF(INVESTORS_LIST[[#This Row],[TOTAL CURRENT UNITS]]=0,0,INVESTORS_LIST[[#This Row],[SIP_TOTAL CURRENT UNITS]]/INVESTORS_LIST[[#This Row],[TOTAL CURRENT UNITS]])</f>
        <v>0</v>
      </c>
      <c r="AL104" s="49" cm="1">
        <f t="array" ref="AL1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4" s="49" cm="1">
        <f t="array" ref="AM1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4" s="105">
        <f t="shared" si="2"/>
        <v>14.224</v>
      </c>
      <c r="AP104" s="112">
        <f>IF(INVESTORS_LIST[[#This Row],[TOTAL CURRENT UNITS]]=0,0,INVESTORS_LIST[[#This Row],[TOTAL CURRENT UNITS]]*INVESTORS_LIST[[#This Row],[NAV]])</f>
        <v>0</v>
      </c>
      <c r="AQ104" s="49">
        <f>IF(INVESTORS_LIST[[#This Row],[LS_TOTAL CURRENT UNITS]]=0,0,INVESTORS_LIST[[#This Row],[LS_TOTAL CURRENT UNITS]]*INVESTORS_LIST[[#This Row],[NAV]])</f>
        <v>0</v>
      </c>
      <c r="AR104" s="48">
        <f>IF(INVESTORS_LIST[[#This Row],[SIP_TOTAL CURRENT UNITS]]=0,0,INVESTORS_LIST[[#This Row],[SIP_TOTAL CURRENT UNITS]]*INVESTORS_LIST[[#This Row],[NAV]])</f>
        <v>0</v>
      </c>
      <c r="AS104" s="50">
        <f>INVESTORS_LIST[[#This Row],[TOTAL CURRENT UNITS]]</f>
        <v>0</v>
      </c>
      <c r="AT104" s="48">
        <f>IF(INVESTORS_LIST[[#This Row],[TOTAL SELLABLE UNITS]]=0,0,INVESTORS_LIST[[#This Row],[TOTAL SELLABLE UNITS]]*INVESTORS_LIST[[#This Row],[NAV]])</f>
        <v>0</v>
      </c>
      <c r="AU104" s="48">
        <f>INVESTORS_LIST[[#This Row],[LS_TOTAL REALIZED GAIN]]+INVESTORS_LIST[[#This Row],[SIP_TOTAL REALIZED GAIN]]</f>
        <v>0</v>
      </c>
      <c r="AV104" s="48">
        <f>INVESTORS_LIST[[#This Row],[TOTAL MARKET VALUE]]-INVESTORS_LIST[[#This Row],[TOTAL COST VALUE OF CURRENT INVESTMENT]]</f>
        <v>0</v>
      </c>
      <c r="AW104" s="48">
        <f>IFERROR(INVESTORS_LIST[[#This Row],[TOTAL CURRENT UNITS]]/SUM(INVESTORS_LIST[TOTAL CURRENT UNITS]),0)</f>
        <v>0</v>
      </c>
    </row>
    <row r="105" spans="1:49" hidden="1">
      <c r="A105" s="262" t="s">
        <v>257</v>
      </c>
      <c r="B105" s="97" t="s">
        <v>258</v>
      </c>
      <c r="C105" t="s">
        <v>48</v>
      </c>
      <c r="D105" s="75" t="s">
        <v>45</v>
      </c>
      <c r="E105" s="47">
        <f>SUMIFS(LS[Unit],LS[Investor ID],INVESTORS_LIST[[#This Row],[INVESTOR CODE]],LS[B/S],"B")</f>
        <v>10000</v>
      </c>
      <c r="F105" s="47">
        <f>-SUMIFS(LS[Unit],LS[Investor ID],INVESTORS_LIST[[#This Row],[INVESTOR CODE]],LS[B/S],"S")</f>
        <v>10000</v>
      </c>
      <c r="G105" s="47">
        <f>IF(INVESTORS_LIST[[#This Row],[LS_TOTAL UNITS BUY]]=0,0,INVESTORS_LIST[[#This Row],[LS_TOTAL UNITS BUY]]-INVESTORS_LIST[[#This Row],[LS_TOTAL UNITS SOLD]])</f>
        <v>0</v>
      </c>
      <c r="H105" s="49">
        <f>IF(INVESTORS_LIST[[#This Row],[LS_TOTAL UNITS BUY]]=0,0,SUMIFS(LS[Amount],LS[Investor ID],INVESTORS_LIST[[#This Row],[INVESTOR CODE]],LS[B/S],"B"))</f>
        <v>100000</v>
      </c>
      <c r="I105" s="48">
        <f>IF(INVESTORS_LIST[[#This Row],[LS_TOTAL UNITS SOLD]]=0,0,SUMIFS(LS[Cost of Units Sold],LS[Investor ID],INVESTORS_LIST[[#This Row],[INVESTOR CODE]],LS[B/S],"S"))</f>
        <v>100000</v>
      </c>
      <c r="J105" s="48">
        <f>IF(INVESTORS_LIST[[#This Row],[LS_TOTAL CURRENT UNITS]]=0,0,INVESTORS_LIST[[#This Row],[LS_TOTAL CURRENT UNITS]]*INVESTORS_LIST[[#This Row],[LS_AVERAGE COST]])</f>
        <v>0</v>
      </c>
      <c r="K105" s="49">
        <f>IF(INVESTORS_LIST[[#This Row],[LS_TOTAL UNITS SOLD]]=0,0,SUMIFS(LS[Realized Gain],LS[Investor ID],INVESTORS_LIST[[#This Row],[INVESTOR CODE]],LS[B/S],"S"))</f>
        <v>5549.9999999999973</v>
      </c>
      <c r="L105" s="47">
        <f>SUMIFS(SIP[Unit],SIP[Investor ID],INVESTORS_LIST[[#This Row],[INVESTOR CODE]],SIP[B/S],"B")</f>
        <v>0</v>
      </c>
      <c r="M105" s="47">
        <f>-SUMIFS(SIP[Unit],SIP[Investor ID],INVESTORS_LIST[[#This Row],[INVESTOR CODE]],SIP[B/S],"S")</f>
        <v>0</v>
      </c>
      <c r="N105" s="50">
        <f>IF(INVESTORS_LIST[[#This Row],[SIP_TOTAL UNITS BUY]]=0,0,INVESTORS_LIST[[#This Row],[SIP_TOTAL UNITS BUY]]-INVESTORS_LIST[[#This Row],[SIP_TOTAL UNITS SOLD]])</f>
        <v>0</v>
      </c>
      <c r="O105" s="49">
        <f>IF(INVESTORS_LIST[[#This Row],[SIP_TOTAL UNITS BUY]]=0,0,SUMIFS(SIP[Amount],SIP[Investor ID],INVESTORS_LIST[[#This Row],[INVESTOR CODE]],SIP[B/S],"B"))</f>
        <v>0</v>
      </c>
      <c r="P105" s="49">
        <f>IF(INVESTORS_LIST[[#This Row],[SIP_TOTAL UNITS SOLD]]=0,0,SUMIFS(SIP[Cost of Units Sold],SIP[Investor ID],INVESTORS_LIST[[#This Row],[INVESTOR CODE]],SIP[B/S],"S"))</f>
        <v>0</v>
      </c>
      <c r="Q105" s="48">
        <f>IF(INVESTORS_LIST[[#This Row],[SIP_TOTAL CURRENT UNITS]]=0,0,INVESTORS_LIST[[#This Row],[SIP_TOTAL CURRENT UNITS]]*INVESTORS_LIST[[#This Row],[SIP_AVERAGE COST]])</f>
        <v>0</v>
      </c>
      <c r="R105" s="48">
        <f>IF(INVESTORS_LIST[[#This Row],[SIP_TOTAL UNITS SOLD]]=0,0,SUMIFS(SIP[Realized Gain],SIP[Investor ID],INVESTORS_LIST[[#This Row],[INVESTOR CODE]],SIP[B/S],"S"))</f>
        <v>0</v>
      </c>
      <c r="S105" s="50">
        <f>INVESTORS_LIST[[#This Row],[LS_TOTAL UNITS BUY]]+INVESTORS_LIST[[#This Row],[SIP_TOTAL UNITS BUY]]</f>
        <v>10000</v>
      </c>
      <c r="T105" s="50">
        <f>INVESTORS_LIST[[#This Row],[LS_TOTAL UNITS SOLD]]+INVESTORS_LIST[[#This Row],[SIP_TOTAL UNITS SOLD]]</f>
        <v>10000</v>
      </c>
      <c r="U105" s="50"/>
      <c r="V105" s="50">
        <f>SUMIFS(LS[BO UNIT TRANSFER],LS[Investor ID],INVESTORS_LIST[[#This Row],[INVESTOR CODE]],LS[B/S],"B")</f>
        <v>0</v>
      </c>
      <c r="W105" s="50">
        <f>SUMIFS(SIP[BO UNIT TRANSFER],SIP[Investor ID],INVESTORS_LIST[[#This Row],[INVESTOR CODE]],SIP[B/S],"B")</f>
        <v>0</v>
      </c>
      <c r="X105" s="50">
        <f>SUMIFS(LS[BO UNIT TRANSFER],LS[Investor ID],INVESTORS_LIST[[#This Row],[INVESTOR CODE]],LS[B/S],"S")</f>
        <v>0</v>
      </c>
      <c r="Y105" s="50">
        <f>SUMIFS(SIP[BO UNIT TRANSFER],SIP[Investor ID],INVESTORS_LIST[[#This Row],[INVESTOR CODE]],SIP[B/S],"S")</f>
        <v>0</v>
      </c>
      <c r="Z105" s="106">
        <f>SUM(INVESTORS_LIST[[#This Row],[BO OPENING BALANCE]:[BO SIP UNITS REPURCHASE]])</f>
        <v>0</v>
      </c>
      <c r="AA105" s="107">
        <f>INVESTORS_LIST[[#This Row],[TOTAL UNITS BUY]]-INVESTORS_LIST[[#This Row],[TOTAL UNITS SOLD]]</f>
        <v>0</v>
      </c>
      <c r="AB105" s="107">
        <f>INVESTORS_LIST[[#This Row],[TOTAL CURRENT UNITS]]-INVESTORS_LIST[[#This Row],[BO UNITS HOLD]]</f>
        <v>0</v>
      </c>
      <c r="AC105" s="201" t="e">
        <f>INDEX([3]!Table_1[BO ID],MATCH(INVESTORS_LIST[[#This Row],[INVESTOR CODE]],[3]!Table_1[INVESTOR CODE],0))</f>
        <v>#REF!</v>
      </c>
      <c r="AD105" s="201" t="e">
        <f>INDEX([3]!Table_1[Brokerage Name2],MATCH(INVESTORS_LIST[[#This Row],[INVESTOR CODE]],[3]!Table_1[INVESTOR CODE],0))</f>
        <v>#REF!</v>
      </c>
      <c r="AE105" s="201" t="e">
        <f>MID(INVESTORS_LIST[[#This Row],[BO ID]],4,5)</f>
        <v>#REF!</v>
      </c>
      <c r="AF105" s="201" t="e">
        <f>MID(INVESTORS_LIST[[#This Row],[BO ID]],2,7)</f>
        <v>#REF!</v>
      </c>
      <c r="AG105" s="201" t="e">
        <f>MID(INVESTORS_LIST[[#This Row],[BO ID]],9,7)</f>
        <v>#REF!</v>
      </c>
      <c r="AH105" s="201" t="e">
        <f>RIGHT(INVESTORS_LIST[[#This Row],[BO ID]],1)</f>
        <v>#REF!</v>
      </c>
      <c r="AI105" s="50">
        <f>INVESTORS_LIST[[#This Row],[LS_TOTAL COST VALUE OF CURRENT UNITS]]+INVESTORS_LIST[[#This Row],[SIP_TOTAL COST VALUE OF CURRENT UNITS]]</f>
        <v>0</v>
      </c>
      <c r="AJ105" s="109">
        <f>IF(INVESTORS_LIST[[#This Row],[TOTAL CURRENT UNITS]]=0,0,INVESTORS_LIST[[#This Row],[LS_TOTAL CURRENT UNITS]]/INVESTORS_LIST[[#This Row],[TOTAL CURRENT UNITS]])</f>
        <v>0</v>
      </c>
      <c r="AK105" s="109">
        <f>IF(INVESTORS_LIST[[#This Row],[TOTAL CURRENT UNITS]]=0,0,INVESTORS_LIST[[#This Row],[SIP_TOTAL CURRENT UNITS]]/INVESTORS_LIST[[#This Row],[TOTAL CURRENT UNITS]])</f>
        <v>0</v>
      </c>
      <c r="AL105" s="49" cm="1">
        <f t="array" ref="AL1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5" s="49" cm="1">
        <f t="array" ref="AM1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5" s="105">
        <f t="shared" si="2"/>
        <v>14.224</v>
      </c>
      <c r="AP105" s="112">
        <f>IF(INVESTORS_LIST[[#This Row],[TOTAL CURRENT UNITS]]=0,0,INVESTORS_LIST[[#This Row],[TOTAL CURRENT UNITS]]*INVESTORS_LIST[[#This Row],[NAV]])</f>
        <v>0</v>
      </c>
      <c r="AQ105" s="49">
        <f>IF(INVESTORS_LIST[[#This Row],[LS_TOTAL CURRENT UNITS]]=0,0,INVESTORS_LIST[[#This Row],[LS_TOTAL CURRENT UNITS]]*INVESTORS_LIST[[#This Row],[NAV]])</f>
        <v>0</v>
      </c>
      <c r="AR105" s="48">
        <f>IF(INVESTORS_LIST[[#This Row],[SIP_TOTAL CURRENT UNITS]]=0,0,INVESTORS_LIST[[#This Row],[SIP_TOTAL CURRENT UNITS]]*INVESTORS_LIST[[#This Row],[NAV]])</f>
        <v>0</v>
      </c>
      <c r="AS105" s="50">
        <f>INVESTORS_LIST[[#This Row],[TOTAL CURRENT UNITS]]</f>
        <v>0</v>
      </c>
      <c r="AT105" s="48">
        <f>IF(INVESTORS_LIST[[#This Row],[TOTAL SELLABLE UNITS]]=0,0,INVESTORS_LIST[[#This Row],[TOTAL SELLABLE UNITS]]*INVESTORS_LIST[[#This Row],[NAV]])</f>
        <v>0</v>
      </c>
      <c r="AU105" s="48">
        <f>INVESTORS_LIST[[#This Row],[LS_TOTAL REALIZED GAIN]]+INVESTORS_LIST[[#This Row],[SIP_TOTAL REALIZED GAIN]]</f>
        <v>5549.9999999999973</v>
      </c>
      <c r="AV105" s="48">
        <f>INVESTORS_LIST[[#This Row],[TOTAL MARKET VALUE]]-INVESTORS_LIST[[#This Row],[TOTAL COST VALUE OF CURRENT INVESTMENT]]</f>
        <v>0</v>
      </c>
      <c r="AW105" s="108">
        <f>IFERROR(INVESTORS_LIST[[#This Row],[TOTAL CURRENT UNITS]]/SUM(INVESTORS_LIST[TOTAL CURRENT UNITS]),0)</f>
        <v>0</v>
      </c>
    </row>
    <row r="106" spans="1:49" hidden="1">
      <c r="A106" s="262" t="s">
        <v>259</v>
      </c>
      <c r="B106" s="97" t="s">
        <v>260</v>
      </c>
      <c r="C106" t="s">
        <v>44</v>
      </c>
      <c r="D106" s="75" t="s">
        <v>45</v>
      </c>
      <c r="E106" s="47">
        <f>SUMIFS(LS[Unit],LS[Investor ID],INVESTORS_LIST[[#This Row],[INVESTOR CODE]],LS[B/S],"B")</f>
        <v>0</v>
      </c>
      <c r="F106" s="47">
        <f>-SUMIFS(LS[Unit],LS[Investor ID],INVESTORS_LIST[[#This Row],[INVESTOR CODE]],LS[B/S],"S")</f>
        <v>0</v>
      </c>
      <c r="G106" s="47">
        <f>IF(INVESTORS_LIST[[#This Row],[LS_TOTAL UNITS BUY]]=0,0,INVESTORS_LIST[[#This Row],[LS_TOTAL UNITS BUY]]-INVESTORS_LIST[[#This Row],[LS_TOTAL UNITS SOLD]])</f>
        <v>0</v>
      </c>
      <c r="H106" s="49">
        <f>IF(INVESTORS_LIST[[#This Row],[LS_TOTAL UNITS BUY]]=0,0,SUMIFS(LS[Amount],LS[Investor ID],INVESTORS_LIST[[#This Row],[INVESTOR CODE]],LS[B/S],"B"))</f>
        <v>0</v>
      </c>
      <c r="I106" s="48">
        <f>IF(INVESTORS_LIST[[#This Row],[LS_TOTAL UNITS SOLD]]=0,0,SUMIFS(LS[Cost of Units Sold],LS[Investor ID],INVESTORS_LIST[[#This Row],[INVESTOR CODE]],LS[B/S],"S"))</f>
        <v>0</v>
      </c>
      <c r="J106" s="48">
        <f>IF(INVESTORS_LIST[[#This Row],[LS_TOTAL CURRENT UNITS]]=0,0,INVESTORS_LIST[[#This Row],[LS_TOTAL CURRENT UNITS]]*INVESTORS_LIST[[#This Row],[LS_AVERAGE COST]])</f>
        <v>0</v>
      </c>
      <c r="K106" s="49">
        <f>IF(INVESTORS_LIST[[#This Row],[LS_TOTAL UNITS SOLD]]=0,0,SUMIFS(LS[Realized Gain],LS[Investor ID],INVESTORS_LIST[[#This Row],[INVESTOR CODE]],LS[B/S],"S"))</f>
        <v>0</v>
      </c>
      <c r="L106" s="47">
        <f>SUMIFS(SIP[Unit],SIP[Investor ID],INVESTORS_LIST[[#This Row],[INVESTOR CODE]],SIP[B/S],"B")</f>
        <v>0</v>
      </c>
      <c r="M106" s="47">
        <f>-SUMIFS(SIP[Unit],SIP[Investor ID],INVESTORS_LIST[[#This Row],[INVESTOR CODE]],SIP[B/S],"S")</f>
        <v>0</v>
      </c>
      <c r="N106" s="50">
        <f>IF(INVESTORS_LIST[[#This Row],[SIP_TOTAL UNITS BUY]]=0,0,INVESTORS_LIST[[#This Row],[SIP_TOTAL UNITS BUY]]-INVESTORS_LIST[[#This Row],[SIP_TOTAL UNITS SOLD]])</f>
        <v>0</v>
      </c>
      <c r="O106" s="49">
        <f>IF(INVESTORS_LIST[[#This Row],[SIP_TOTAL UNITS BUY]]=0,0,SUMIFS(SIP[Amount],SIP[Investor ID],INVESTORS_LIST[[#This Row],[INVESTOR CODE]],SIP[B/S],"B"))</f>
        <v>0</v>
      </c>
      <c r="P106" s="49">
        <f>IF(INVESTORS_LIST[[#This Row],[SIP_TOTAL UNITS SOLD]]=0,0,SUMIFS(SIP[Cost of Units Sold],SIP[Investor ID],INVESTORS_LIST[[#This Row],[INVESTOR CODE]],SIP[B/S],"S"))</f>
        <v>0</v>
      </c>
      <c r="Q106" s="48">
        <f>IF(INVESTORS_LIST[[#This Row],[SIP_TOTAL CURRENT UNITS]]=0,0,INVESTORS_LIST[[#This Row],[SIP_TOTAL CURRENT UNITS]]*INVESTORS_LIST[[#This Row],[SIP_AVERAGE COST]])</f>
        <v>0</v>
      </c>
      <c r="R106" s="48">
        <f>IF(INVESTORS_LIST[[#This Row],[SIP_TOTAL UNITS SOLD]]=0,0,SUMIFS(SIP[Realized Gain],SIP[Investor ID],INVESTORS_LIST[[#This Row],[INVESTOR CODE]],SIP[B/S],"S"))</f>
        <v>0</v>
      </c>
      <c r="S106" s="50">
        <f>INVESTORS_LIST[[#This Row],[LS_TOTAL UNITS BUY]]+INVESTORS_LIST[[#This Row],[SIP_TOTAL UNITS BUY]]</f>
        <v>0</v>
      </c>
      <c r="T106" s="50">
        <f>INVESTORS_LIST[[#This Row],[LS_TOTAL UNITS SOLD]]+INVESTORS_LIST[[#This Row],[SIP_TOTAL UNITS SOLD]]</f>
        <v>0</v>
      </c>
      <c r="U106" s="50"/>
      <c r="V106" s="50">
        <f>SUMIFS(LS[BO UNIT TRANSFER],LS[Investor ID],INVESTORS_LIST[[#This Row],[INVESTOR CODE]],LS[B/S],"B")</f>
        <v>0</v>
      </c>
      <c r="W106" s="50">
        <f>SUMIFS(SIP[BO UNIT TRANSFER],SIP[Investor ID],INVESTORS_LIST[[#This Row],[INVESTOR CODE]],SIP[B/S],"B")</f>
        <v>0</v>
      </c>
      <c r="X106" s="50">
        <f>SUMIFS(LS[BO UNIT TRANSFER],LS[Investor ID],INVESTORS_LIST[[#This Row],[INVESTOR CODE]],LS[B/S],"S")</f>
        <v>0</v>
      </c>
      <c r="Y106" s="50">
        <f>SUMIFS(SIP[BO UNIT TRANSFER],SIP[Investor ID],INVESTORS_LIST[[#This Row],[INVESTOR CODE]],SIP[B/S],"S")</f>
        <v>0</v>
      </c>
      <c r="Z106" s="106">
        <f>SUM(INVESTORS_LIST[[#This Row],[BO OPENING BALANCE]:[BO SIP UNITS REPURCHASE]])</f>
        <v>0</v>
      </c>
      <c r="AA106" s="107">
        <f>INVESTORS_LIST[[#This Row],[TOTAL UNITS BUY]]-INVESTORS_LIST[[#This Row],[TOTAL UNITS SOLD]]</f>
        <v>0</v>
      </c>
      <c r="AB106" s="107">
        <f>INVESTORS_LIST[[#This Row],[TOTAL CURRENT UNITS]]-INVESTORS_LIST[[#This Row],[BO UNITS HOLD]]</f>
        <v>0</v>
      </c>
      <c r="AC106" s="201" t="e">
        <f>INDEX([3]!Table_1[BO ID],MATCH(INVESTORS_LIST[[#This Row],[INVESTOR CODE]],[3]!Table_1[INVESTOR CODE],0))</f>
        <v>#REF!</v>
      </c>
      <c r="AD106" s="201" t="e">
        <f>INDEX([3]!Table_1[Brokerage Name2],MATCH(INVESTORS_LIST[[#This Row],[INVESTOR CODE]],[3]!Table_1[INVESTOR CODE],0))</f>
        <v>#REF!</v>
      </c>
      <c r="AE106" s="201" t="e">
        <f>MID(INVESTORS_LIST[[#This Row],[BO ID]],4,5)</f>
        <v>#REF!</v>
      </c>
      <c r="AF106" s="201" t="e">
        <f>MID(INVESTORS_LIST[[#This Row],[BO ID]],2,7)</f>
        <v>#REF!</v>
      </c>
      <c r="AG106" s="201" t="e">
        <f>MID(INVESTORS_LIST[[#This Row],[BO ID]],9,7)</f>
        <v>#REF!</v>
      </c>
      <c r="AH106" s="201" t="e">
        <f>RIGHT(INVESTORS_LIST[[#This Row],[BO ID]],1)</f>
        <v>#REF!</v>
      </c>
      <c r="AI106" s="50">
        <f>INVESTORS_LIST[[#This Row],[LS_TOTAL COST VALUE OF CURRENT UNITS]]+INVESTORS_LIST[[#This Row],[SIP_TOTAL COST VALUE OF CURRENT UNITS]]</f>
        <v>0</v>
      </c>
      <c r="AJ106" s="109">
        <f>IF(INVESTORS_LIST[[#This Row],[TOTAL CURRENT UNITS]]=0,0,INVESTORS_LIST[[#This Row],[LS_TOTAL CURRENT UNITS]]/INVESTORS_LIST[[#This Row],[TOTAL CURRENT UNITS]])</f>
        <v>0</v>
      </c>
      <c r="AK106" s="109">
        <f>IF(INVESTORS_LIST[[#This Row],[TOTAL CURRENT UNITS]]=0,0,INVESTORS_LIST[[#This Row],[SIP_TOTAL CURRENT UNITS]]/INVESTORS_LIST[[#This Row],[TOTAL CURRENT UNITS]])</f>
        <v>0</v>
      </c>
      <c r="AL106" s="49" cm="1">
        <f t="array" ref="AL1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6" s="49" cm="1">
        <f t="array" ref="AM1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6" s="105">
        <f t="shared" si="2"/>
        <v>14.224</v>
      </c>
      <c r="AP106" s="112">
        <f>IF(INVESTORS_LIST[[#This Row],[TOTAL CURRENT UNITS]]=0,0,INVESTORS_LIST[[#This Row],[TOTAL CURRENT UNITS]]*INVESTORS_LIST[[#This Row],[NAV]])</f>
        <v>0</v>
      </c>
      <c r="AQ106" s="49">
        <f>IF(INVESTORS_LIST[[#This Row],[LS_TOTAL CURRENT UNITS]]=0,0,INVESTORS_LIST[[#This Row],[LS_TOTAL CURRENT UNITS]]*INVESTORS_LIST[[#This Row],[NAV]])</f>
        <v>0</v>
      </c>
      <c r="AR106" s="48">
        <f>IF(INVESTORS_LIST[[#This Row],[SIP_TOTAL CURRENT UNITS]]=0,0,INVESTORS_LIST[[#This Row],[SIP_TOTAL CURRENT UNITS]]*INVESTORS_LIST[[#This Row],[NAV]])</f>
        <v>0</v>
      </c>
      <c r="AS106" s="50">
        <f>INVESTORS_LIST[[#This Row],[TOTAL CURRENT UNITS]]</f>
        <v>0</v>
      </c>
      <c r="AT106" s="48">
        <f>IF(INVESTORS_LIST[[#This Row],[TOTAL SELLABLE UNITS]]=0,0,INVESTORS_LIST[[#This Row],[TOTAL SELLABLE UNITS]]*INVESTORS_LIST[[#This Row],[NAV]])</f>
        <v>0</v>
      </c>
      <c r="AU106" s="48">
        <f>INVESTORS_LIST[[#This Row],[LS_TOTAL REALIZED GAIN]]+INVESTORS_LIST[[#This Row],[SIP_TOTAL REALIZED GAIN]]</f>
        <v>0</v>
      </c>
      <c r="AV106" s="48">
        <f>INVESTORS_LIST[[#This Row],[TOTAL MARKET VALUE]]-INVESTORS_LIST[[#This Row],[TOTAL COST VALUE OF CURRENT INVESTMENT]]</f>
        <v>0</v>
      </c>
      <c r="AW106" s="48">
        <f>IFERROR(INVESTORS_LIST[[#This Row],[TOTAL CURRENT UNITS]]/SUM(INVESTORS_LIST[TOTAL CURRENT UNITS]),0)</f>
        <v>0</v>
      </c>
    </row>
    <row r="107" spans="1:49">
      <c r="A107" s="262" t="s">
        <v>261</v>
      </c>
      <c r="B107" s="97" t="s">
        <v>262</v>
      </c>
      <c r="C107" t="s">
        <v>44</v>
      </c>
      <c r="D107" s="75" t="s">
        <v>45</v>
      </c>
      <c r="E107" s="47">
        <f>SUMIFS(LS[Unit],LS[Investor ID],INVESTORS_LIST[[#This Row],[INVESTOR CODE]],LS[B/S],"B")</f>
        <v>184718</v>
      </c>
      <c r="F107" s="47">
        <f>-SUMIFS(LS[Unit],LS[Investor ID],INVESTORS_LIST[[#This Row],[INVESTOR CODE]],LS[B/S],"S")</f>
        <v>0</v>
      </c>
      <c r="G107" s="47">
        <f>IF(INVESTORS_LIST[[#This Row],[LS_TOTAL UNITS BUY]]=0,0,INVESTORS_LIST[[#This Row],[LS_TOTAL UNITS BUY]]-INVESTORS_LIST[[#This Row],[LS_TOTAL UNITS SOLD]])</f>
        <v>184718</v>
      </c>
      <c r="H107" s="49">
        <f>IF(INVESTORS_LIST[[#This Row],[LS_TOTAL UNITS BUY]]=0,0,SUMIFS(LS[Amount],LS[Investor ID],INVESTORS_LIST[[#This Row],[INVESTOR CODE]],LS[B/S],"B"))</f>
        <v>2030000</v>
      </c>
      <c r="I107" s="48">
        <f>IF(INVESTORS_LIST[[#This Row],[LS_TOTAL UNITS SOLD]]=0,0,SUMIFS(LS[Cost of Units Sold],LS[Investor ID],INVESTORS_LIST[[#This Row],[INVESTOR CODE]],LS[B/S],"S"))</f>
        <v>0</v>
      </c>
      <c r="J107" s="48">
        <f>IF(INVESTORS_LIST[[#This Row],[LS_TOTAL CURRENT UNITS]]=0,0,INVESTORS_LIST[[#This Row],[LS_TOTAL CURRENT UNITS]]*INVESTORS_LIST[[#This Row],[LS_AVERAGE COST]])</f>
        <v>2029999.9999999998</v>
      </c>
      <c r="K107" s="49">
        <f>IF(INVESTORS_LIST[[#This Row],[LS_TOTAL UNITS SOLD]]=0,0,SUMIFS(LS[Realized Gain],LS[Investor ID],INVESTORS_LIST[[#This Row],[INVESTOR CODE]],LS[B/S],"S"))</f>
        <v>0</v>
      </c>
      <c r="L107" s="47">
        <f>SUMIFS(SIP[Unit],SIP[Investor ID],INVESTORS_LIST[[#This Row],[INVESTOR CODE]],SIP[B/S],"B")</f>
        <v>0</v>
      </c>
      <c r="M107" s="47">
        <f>-SUMIFS(SIP[Unit],SIP[Investor ID],INVESTORS_LIST[[#This Row],[INVESTOR CODE]],SIP[B/S],"S")</f>
        <v>0</v>
      </c>
      <c r="N107" s="50">
        <f>IF(INVESTORS_LIST[[#This Row],[SIP_TOTAL UNITS BUY]]=0,0,INVESTORS_LIST[[#This Row],[SIP_TOTAL UNITS BUY]]-INVESTORS_LIST[[#This Row],[SIP_TOTAL UNITS SOLD]])</f>
        <v>0</v>
      </c>
      <c r="O107" s="49">
        <f>IF(INVESTORS_LIST[[#This Row],[SIP_TOTAL UNITS BUY]]=0,0,SUMIFS(SIP[Amount],SIP[Investor ID],INVESTORS_LIST[[#This Row],[INVESTOR CODE]],SIP[B/S],"B"))</f>
        <v>0</v>
      </c>
      <c r="P107" s="49">
        <f>IF(INVESTORS_LIST[[#This Row],[SIP_TOTAL UNITS SOLD]]=0,0,SUMIFS(SIP[Cost of Units Sold],SIP[Investor ID],INVESTORS_LIST[[#This Row],[INVESTOR CODE]],SIP[B/S],"S"))</f>
        <v>0</v>
      </c>
      <c r="Q107" s="48">
        <f>IF(INVESTORS_LIST[[#This Row],[SIP_TOTAL CURRENT UNITS]]=0,0,INVESTORS_LIST[[#This Row],[SIP_TOTAL CURRENT UNITS]]*INVESTORS_LIST[[#This Row],[SIP_AVERAGE COST]])</f>
        <v>0</v>
      </c>
      <c r="R107" s="48">
        <f>IF(INVESTORS_LIST[[#This Row],[SIP_TOTAL UNITS SOLD]]=0,0,SUMIFS(SIP[Realized Gain],SIP[Investor ID],INVESTORS_LIST[[#This Row],[INVESTOR CODE]],SIP[B/S],"S"))</f>
        <v>0</v>
      </c>
      <c r="S107" s="50">
        <f>INVESTORS_LIST[[#This Row],[LS_TOTAL UNITS BUY]]+INVESTORS_LIST[[#This Row],[SIP_TOTAL UNITS BUY]]</f>
        <v>184718</v>
      </c>
      <c r="T107" s="50">
        <f>INVESTORS_LIST[[#This Row],[LS_TOTAL UNITS SOLD]]+INVESTORS_LIST[[#This Row],[SIP_TOTAL UNITS SOLD]]</f>
        <v>0</v>
      </c>
      <c r="U107" s="50"/>
      <c r="V107" s="50">
        <f>SUMIFS(LS[BO UNIT TRANSFER],LS[Investor ID],INVESTORS_LIST[[#This Row],[INVESTOR CODE]],LS[B/S],"B")</f>
        <v>0</v>
      </c>
      <c r="W107" s="50">
        <f>SUMIFS(SIP[BO UNIT TRANSFER],SIP[Investor ID],INVESTORS_LIST[[#This Row],[INVESTOR CODE]],SIP[B/S],"B")</f>
        <v>0</v>
      </c>
      <c r="X107" s="50">
        <f>SUMIFS(LS[BO UNIT TRANSFER],LS[Investor ID],INVESTORS_LIST[[#This Row],[INVESTOR CODE]],LS[B/S],"S")</f>
        <v>0</v>
      </c>
      <c r="Y107" s="50">
        <f>SUMIFS(SIP[BO UNIT TRANSFER],SIP[Investor ID],INVESTORS_LIST[[#This Row],[INVESTOR CODE]],SIP[B/S],"S")</f>
        <v>0</v>
      </c>
      <c r="Z107" s="106">
        <f>SUM(INVESTORS_LIST[[#This Row],[BO OPENING BALANCE]:[BO SIP UNITS REPURCHASE]])</f>
        <v>0</v>
      </c>
      <c r="AA107" s="107">
        <f>INVESTORS_LIST[[#This Row],[TOTAL UNITS BUY]]-INVESTORS_LIST[[#This Row],[TOTAL UNITS SOLD]]</f>
        <v>184718</v>
      </c>
      <c r="AB107" s="107">
        <f>INVESTORS_LIST[[#This Row],[TOTAL CURRENT UNITS]]-INVESTORS_LIST[[#This Row],[BO UNITS HOLD]]</f>
        <v>184718</v>
      </c>
      <c r="AC107" s="201" t="e">
        <f>INDEX([3]!Table_1[BO ID],MATCH(INVESTORS_LIST[[#This Row],[INVESTOR CODE]],[3]!Table_1[INVESTOR CODE],0))</f>
        <v>#REF!</v>
      </c>
      <c r="AD107" s="201" t="e">
        <f>INDEX([3]!Table_1[Brokerage Name2],MATCH(INVESTORS_LIST[[#This Row],[INVESTOR CODE]],[3]!Table_1[INVESTOR CODE],0))</f>
        <v>#REF!</v>
      </c>
      <c r="AE107" s="201" t="e">
        <f>MID(INVESTORS_LIST[[#This Row],[BO ID]],4,5)</f>
        <v>#REF!</v>
      </c>
      <c r="AF107" s="201" t="e">
        <f>MID(INVESTORS_LIST[[#This Row],[BO ID]],2,7)</f>
        <v>#REF!</v>
      </c>
      <c r="AG107" s="201" t="e">
        <f>MID(INVESTORS_LIST[[#This Row],[BO ID]],9,7)</f>
        <v>#REF!</v>
      </c>
      <c r="AH107" s="201" t="e">
        <f>RIGHT(INVESTORS_LIST[[#This Row],[BO ID]],1)</f>
        <v>#REF!</v>
      </c>
      <c r="AI107" s="50">
        <f>INVESTORS_LIST[[#This Row],[LS_TOTAL COST VALUE OF CURRENT UNITS]]+INVESTORS_LIST[[#This Row],[SIP_TOTAL COST VALUE OF CURRENT UNITS]]</f>
        <v>2029999.9999999998</v>
      </c>
      <c r="AJ107" s="109">
        <f>IF(INVESTORS_LIST[[#This Row],[TOTAL CURRENT UNITS]]=0,0,INVESTORS_LIST[[#This Row],[LS_TOTAL CURRENT UNITS]]/INVESTORS_LIST[[#This Row],[TOTAL CURRENT UNITS]])</f>
        <v>1</v>
      </c>
      <c r="AK107" s="109">
        <f>IF(INVESTORS_LIST[[#This Row],[TOTAL CURRENT UNITS]]=0,0,INVESTORS_LIST[[#This Row],[SIP_TOTAL CURRENT UNITS]]/INVESTORS_LIST[[#This Row],[TOTAL CURRENT UNITS]])</f>
        <v>0</v>
      </c>
      <c r="AL107" s="49" cm="1">
        <f t="array" ref="AL107">IF(INVESTORS_LIST[[#This Row],[LS_TOTAL UNITS BUY]]&gt;0,INDEX(LS[NAV at Cost (Average)],MATCH(CONCATENATE(COUNTIFS(LS[Investor ID],INVESTORS_LIST[[#This Row],[INVESTOR CODE]]),INVESTORS_LIST[[#This Row],[INVESTOR CODE]]),LS[Unique Code],0),),0)</f>
        <v>10.98972487792202</v>
      </c>
      <c r="AM107" s="49" cm="1">
        <f t="array" ref="AM1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7" s="105">
        <f>IF(INVESTORS_LIST[[#This Row],[TOTAL CURRENT UNITS]]=0,0,(INVESTORS_LIST[[#This Row],[LS_WEIGHT]]*INVESTORS_LIST[[#This Row],[LS_AVERAGE COST]])+(INVESTORS_LIST[[#This Row],[SIP_WEIGHT]]*INVESTORS_LIST[[#This Row],[SIP_AVERAGE COST]]))</f>
        <v>10.98972487792202</v>
      </c>
      <c r="AO107" s="105">
        <f t="shared" si="2"/>
        <v>14.224</v>
      </c>
      <c r="AP107" s="112">
        <f>IF(INVESTORS_LIST[[#This Row],[TOTAL CURRENT UNITS]]=0,0,INVESTORS_LIST[[#This Row],[TOTAL CURRENT UNITS]]*INVESTORS_LIST[[#This Row],[NAV]])</f>
        <v>2627428.8319999999</v>
      </c>
      <c r="AQ107" s="49">
        <f>IF(INVESTORS_LIST[[#This Row],[LS_TOTAL CURRENT UNITS]]=0,0,INVESTORS_LIST[[#This Row],[LS_TOTAL CURRENT UNITS]]*INVESTORS_LIST[[#This Row],[NAV]])</f>
        <v>2627428.8319999999</v>
      </c>
      <c r="AR107" s="48">
        <f>IF(INVESTORS_LIST[[#This Row],[SIP_TOTAL CURRENT UNITS]]=0,0,INVESTORS_LIST[[#This Row],[SIP_TOTAL CURRENT UNITS]]*INVESTORS_LIST[[#This Row],[NAV]])</f>
        <v>0</v>
      </c>
      <c r="AS107" s="50">
        <f>INVESTORS_LIST[[#This Row],[TOTAL CURRENT UNITS]]</f>
        <v>184718</v>
      </c>
      <c r="AT107" s="48">
        <f>IF(INVESTORS_LIST[[#This Row],[TOTAL SELLABLE UNITS]]=0,0,INVESTORS_LIST[[#This Row],[TOTAL SELLABLE UNITS]]*INVESTORS_LIST[[#This Row],[NAV]])</f>
        <v>2627428.8319999999</v>
      </c>
      <c r="AU107" s="48">
        <f>INVESTORS_LIST[[#This Row],[LS_TOTAL REALIZED GAIN]]+INVESTORS_LIST[[#This Row],[SIP_TOTAL REALIZED GAIN]]</f>
        <v>0</v>
      </c>
      <c r="AV107" s="48">
        <f>INVESTORS_LIST[[#This Row],[TOTAL MARKET VALUE]]-INVESTORS_LIST[[#This Row],[TOTAL COST VALUE OF CURRENT INVESTMENT]]</f>
        <v>597428.83200000017</v>
      </c>
      <c r="AW107" s="48">
        <f>IFERROR(INVESTORS_LIST[[#This Row],[TOTAL CURRENT UNITS]]/SUM(INVESTORS_LIST[TOTAL CURRENT UNITS]),0)</f>
        <v>4.4842525701524749E-3</v>
      </c>
    </row>
    <row r="108" spans="1:49" hidden="1">
      <c r="A108" s="262" t="s">
        <v>263</v>
      </c>
      <c r="B108" s="97" t="s">
        <v>264</v>
      </c>
      <c r="C108" t="s">
        <v>44</v>
      </c>
      <c r="D108" s="75" t="s">
        <v>45</v>
      </c>
      <c r="E108" s="47">
        <f>SUMIFS(LS[Unit],LS[Investor ID],INVESTORS_LIST[[#This Row],[INVESTOR CODE]],LS[B/S],"B")</f>
        <v>0</v>
      </c>
      <c r="F108" s="47">
        <f>-SUMIFS(LS[Unit],LS[Investor ID],INVESTORS_LIST[[#This Row],[INVESTOR CODE]],LS[B/S],"S")</f>
        <v>0</v>
      </c>
      <c r="G108" s="47">
        <f>IF(INVESTORS_LIST[[#This Row],[LS_TOTAL UNITS BUY]]=0,0,INVESTORS_LIST[[#This Row],[LS_TOTAL UNITS BUY]]-INVESTORS_LIST[[#This Row],[LS_TOTAL UNITS SOLD]])</f>
        <v>0</v>
      </c>
      <c r="H108" s="49">
        <f>IF(INVESTORS_LIST[[#This Row],[LS_TOTAL UNITS BUY]]=0,0,SUMIFS(LS[Amount],LS[Investor ID],INVESTORS_LIST[[#This Row],[INVESTOR CODE]],LS[B/S],"B"))</f>
        <v>0</v>
      </c>
      <c r="I108" s="48">
        <f>IF(INVESTORS_LIST[[#This Row],[LS_TOTAL UNITS SOLD]]=0,0,SUMIFS(LS[Cost of Units Sold],LS[Investor ID],INVESTORS_LIST[[#This Row],[INVESTOR CODE]],LS[B/S],"S"))</f>
        <v>0</v>
      </c>
      <c r="J108" s="48">
        <f>IF(INVESTORS_LIST[[#This Row],[LS_TOTAL CURRENT UNITS]]=0,0,INVESTORS_LIST[[#This Row],[LS_TOTAL CURRENT UNITS]]*INVESTORS_LIST[[#This Row],[LS_AVERAGE COST]])</f>
        <v>0</v>
      </c>
      <c r="K108" s="49">
        <f>IF(INVESTORS_LIST[[#This Row],[LS_TOTAL UNITS SOLD]]=0,0,SUMIFS(LS[Realized Gain],LS[Investor ID],INVESTORS_LIST[[#This Row],[INVESTOR CODE]],LS[B/S],"S"))</f>
        <v>0</v>
      </c>
      <c r="L108" s="47">
        <f>SUMIFS(SIP[Unit],SIP[Investor ID],INVESTORS_LIST[[#This Row],[INVESTOR CODE]],SIP[B/S],"B")</f>
        <v>0</v>
      </c>
      <c r="M108" s="47">
        <f>-SUMIFS(SIP[Unit],SIP[Investor ID],INVESTORS_LIST[[#This Row],[INVESTOR CODE]],SIP[B/S],"S")</f>
        <v>0</v>
      </c>
      <c r="N108" s="50">
        <f>IF(INVESTORS_LIST[[#This Row],[SIP_TOTAL UNITS BUY]]=0,0,INVESTORS_LIST[[#This Row],[SIP_TOTAL UNITS BUY]]-INVESTORS_LIST[[#This Row],[SIP_TOTAL UNITS SOLD]])</f>
        <v>0</v>
      </c>
      <c r="O108" s="49">
        <f>IF(INVESTORS_LIST[[#This Row],[SIP_TOTAL UNITS BUY]]=0,0,SUMIFS(SIP[Amount],SIP[Investor ID],INVESTORS_LIST[[#This Row],[INVESTOR CODE]],SIP[B/S],"B"))</f>
        <v>0</v>
      </c>
      <c r="P108" s="49">
        <f>IF(INVESTORS_LIST[[#This Row],[SIP_TOTAL UNITS SOLD]]=0,0,SUMIFS(SIP[Cost of Units Sold],SIP[Investor ID],INVESTORS_LIST[[#This Row],[INVESTOR CODE]],SIP[B/S],"S"))</f>
        <v>0</v>
      </c>
      <c r="Q108" s="48">
        <f>IF(INVESTORS_LIST[[#This Row],[SIP_TOTAL CURRENT UNITS]]=0,0,INVESTORS_LIST[[#This Row],[SIP_TOTAL CURRENT UNITS]]*INVESTORS_LIST[[#This Row],[SIP_AVERAGE COST]])</f>
        <v>0</v>
      </c>
      <c r="R108" s="48">
        <f>IF(INVESTORS_LIST[[#This Row],[SIP_TOTAL UNITS SOLD]]=0,0,SUMIFS(SIP[Realized Gain],SIP[Investor ID],INVESTORS_LIST[[#This Row],[INVESTOR CODE]],SIP[B/S],"S"))</f>
        <v>0</v>
      </c>
      <c r="S108" s="50">
        <f>INVESTORS_LIST[[#This Row],[LS_TOTAL UNITS BUY]]+INVESTORS_LIST[[#This Row],[SIP_TOTAL UNITS BUY]]</f>
        <v>0</v>
      </c>
      <c r="T108" s="50">
        <f>INVESTORS_LIST[[#This Row],[LS_TOTAL UNITS SOLD]]+INVESTORS_LIST[[#This Row],[SIP_TOTAL UNITS SOLD]]</f>
        <v>0</v>
      </c>
      <c r="U108" s="50"/>
      <c r="V108" s="50">
        <f>SUMIFS(LS[BO UNIT TRANSFER],LS[Investor ID],INVESTORS_LIST[[#This Row],[INVESTOR CODE]],LS[B/S],"B")</f>
        <v>0</v>
      </c>
      <c r="W108" s="50">
        <f>SUMIFS(SIP[BO UNIT TRANSFER],SIP[Investor ID],INVESTORS_LIST[[#This Row],[INVESTOR CODE]],SIP[B/S],"B")</f>
        <v>0</v>
      </c>
      <c r="X108" s="50">
        <f>SUMIFS(LS[BO UNIT TRANSFER],LS[Investor ID],INVESTORS_LIST[[#This Row],[INVESTOR CODE]],LS[B/S],"S")</f>
        <v>0</v>
      </c>
      <c r="Y108" s="50">
        <f>SUMIFS(SIP[BO UNIT TRANSFER],SIP[Investor ID],INVESTORS_LIST[[#This Row],[INVESTOR CODE]],SIP[B/S],"S")</f>
        <v>0</v>
      </c>
      <c r="Z108" s="106">
        <f>SUM(INVESTORS_LIST[[#This Row],[BO OPENING BALANCE]:[BO SIP UNITS REPURCHASE]])</f>
        <v>0</v>
      </c>
      <c r="AA108" s="107">
        <f>INVESTORS_LIST[[#This Row],[TOTAL UNITS BUY]]-INVESTORS_LIST[[#This Row],[TOTAL UNITS SOLD]]</f>
        <v>0</v>
      </c>
      <c r="AB108" s="107">
        <f>INVESTORS_LIST[[#This Row],[TOTAL CURRENT UNITS]]-INVESTORS_LIST[[#This Row],[BO UNITS HOLD]]</f>
        <v>0</v>
      </c>
      <c r="AC108" s="201" t="e">
        <f>INDEX([3]!Table_1[BO ID],MATCH(INVESTORS_LIST[[#This Row],[INVESTOR CODE]],[3]!Table_1[INVESTOR CODE],0))</f>
        <v>#REF!</v>
      </c>
      <c r="AD108" s="201" t="e">
        <f>INDEX([3]!Table_1[Brokerage Name2],MATCH(INVESTORS_LIST[[#This Row],[INVESTOR CODE]],[3]!Table_1[INVESTOR CODE],0))</f>
        <v>#REF!</v>
      </c>
      <c r="AE108" s="201" t="e">
        <f>MID(INVESTORS_LIST[[#This Row],[BO ID]],4,5)</f>
        <v>#REF!</v>
      </c>
      <c r="AF108" s="201" t="e">
        <f>MID(INVESTORS_LIST[[#This Row],[BO ID]],2,7)</f>
        <v>#REF!</v>
      </c>
      <c r="AG108" s="201" t="e">
        <f>MID(INVESTORS_LIST[[#This Row],[BO ID]],9,7)</f>
        <v>#REF!</v>
      </c>
      <c r="AH108" s="201" t="e">
        <f>RIGHT(INVESTORS_LIST[[#This Row],[BO ID]],1)</f>
        <v>#REF!</v>
      </c>
      <c r="AI108" s="50">
        <f>INVESTORS_LIST[[#This Row],[LS_TOTAL COST VALUE OF CURRENT UNITS]]+INVESTORS_LIST[[#This Row],[SIP_TOTAL COST VALUE OF CURRENT UNITS]]</f>
        <v>0</v>
      </c>
      <c r="AJ108" s="109">
        <f>IF(INVESTORS_LIST[[#This Row],[TOTAL CURRENT UNITS]]=0,0,INVESTORS_LIST[[#This Row],[LS_TOTAL CURRENT UNITS]]/INVESTORS_LIST[[#This Row],[TOTAL CURRENT UNITS]])</f>
        <v>0</v>
      </c>
      <c r="AK108" s="109">
        <f>IF(INVESTORS_LIST[[#This Row],[TOTAL CURRENT UNITS]]=0,0,INVESTORS_LIST[[#This Row],[SIP_TOTAL CURRENT UNITS]]/INVESTORS_LIST[[#This Row],[TOTAL CURRENT UNITS]])</f>
        <v>0</v>
      </c>
      <c r="AL108" s="49" cm="1">
        <f t="array" ref="AL1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08" s="49" cm="1">
        <f t="array" ref="AM1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08" s="105">
        <f t="shared" si="2"/>
        <v>14.224</v>
      </c>
      <c r="AP108" s="112">
        <f>IF(INVESTORS_LIST[[#This Row],[TOTAL CURRENT UNITS]]=0,0,INVESTORS_LIST[[#This Row],[TOTAL CURRENT UNITS]]*INVESTORS_LIST[[#This Row],[NAV]])</f>
        <v>0</v>
      </c>
      <c r="AQ108" s="49">
        <f>IF(INVESTORS_LIST[[#This Row],[LS_TOTAL CURRENT UNITS]]=0,0,INVESTORS_LIST[[#This Row],[LS_TOTAL CURRENT UNITS]]*INVESTORS_LIST[[#This Row],[NAV]])</f>
        <v>0</v>
      </c>
      <c r="AR108" s="48">
        <f>IF(INVESTORS_LIST[[#This Row],[SIP_TOTAL CURRENT UNITS]]=0,0,INVESTORS_LIST[[#This Row],[SIP_TOTAL CURRENT UNITS]]*INVESTORS_LIST[[#This Row],[NAV]])</f>
        <v>0</v>
      </c>
      <c r="AS108" s="50">
        <f>INVESTORS_LIST[[#This Row],[TOTAL CURRENT UNITS]]</f>
        <v>0</v>
      </c>
      <c r="AT108" s="48">
        <f>IF(INVESTORS_LIST[[#This Row],[TOTAL SELLABLE UNITS]]=0,0,INVESTORS_LIST[[#This Row],[TOTAL SELLABLE UNITS]]*INVESTORS_LIST[[#This Row],[NAV]])</f>
        <v>0</v>
      </c>
      <c r="AU108" s="48">
        <f>INVESTORS_LIST[[#This Row],[LS_TOTAL REALIZED GAIN]]+INVESTORS_LIST[[#This Row],[SIP_TOTAL REALIZED GAIN]]</f>
        <v>0</v>
      </c>
      <c r="AV108" s="48">
        <f>INVESTORS_LIST[[#This Row],[TOTAL MARKET VALUE]]-INVESTORS_LIST[[#This Row],[TOTAL COST VALUE OF CURRENT INVESTMENT]]</f>
        <v>0</v>
      </c>
      <c r="AW108" s="48">
        <f>IFERROR(INVESTORS_LIST[[#This Row],[TOTAL CURRENT UNITS]]/SUM(INVESTORS_LIST[TOTAL CURRENT UNITS]),0)</f>
        <v>0</v>
      </c>
    </row>
    <row r="109" spans="1:49">
      <c r="A109" s="262" t="s">
        <v>265</v>
      </c>
      <c r="B109" s="97" t="s">
        <v>266</v>
      </c>
      <c r="C109" t="s">
        <v>52</v>
      </c>
      <c r="D109" s="75" t="s">
        <v>45</v>
      </c>
      <c r="E109" s="47">
        <f>SUMIFS(LS[Unit],LS[Investor ID],INVESTORS_LIST[[#This Row],[INVESTOR CODE]],LS[B/S],"B")</f>
        <v>500000</v>
      </c>
      <c r="F109" s="47">
        <f>-SUMIFS(LS[Unit],LS[Investor ID],INVESTORS_LIST[[#This Row],[INVESTOR CODE]],LS[B/S],"S")</f>
        <v>260000</v>
      </c>
      <c r="G109" s="47">
        <f>IF(INVESTORS_LIST[[#This Row],[LS_TOTAL UNITS BUY]]=0,0,INVESTORS_LIST[[#This Row],[LS_TOTAL UNITS BUY]]-INVESTORS_LIST[[#This Row],[LS_TOTAL UNITS SOLD]])</f>
        <v>240000</v>
      </c>
      <c r="H109" s="49">
        <f>IF(INVESTORS_LIST[[#This Row],[LS_TOTAL UNITS BUY]]=0,0,SUMIFS(LS[Amount],LS[Investor ID],INVESTORS_LIST[[#This Row],[INVESTOR CODE]],LS[B/S],"B"))</f>
        <v>5000000</v>
      </c>
      <c r="I109" s="48">
        <f>IF(INVESTORS_LIST[[#This Row],[LS_TOTAL UNITS SOLD]]=0,0,SUMIFS(LS[Cost of Units Sold],LS[Investor ID],INVESTORS_LIST[[#This Row],[INVESTOR CODE]],LS[B/S],"S"))</f>
        <v>2600000</v>
      </c>
      <c r="J109" s="48">
        <f>IF(INVESTORS_LIST[[#This Row],[LS_TOTAL CURRENT UNITS]]=0,0,INVESTORS_LIST[[#This Row],[LS_TOTAL CURRENT UNITS]]*INVESTORS_LIST[[#This Row],[LS_AVERAGE COST]])</f>
        <v>2400000</v>
      </c>
      <c r="K109" s="49">
        <f>IF(INVESTORS_LIST[[#This Row],[LS_TOTAL UNITS SOLD]]=0,0,SUMIFS(LS[Realized Gain],LS[Investor ID],INVESTORS_LIST[[#This Row],[INVESTOR CODE]],LS[B/S],"S"))</f>
        <v>0</v>
      </c>
      <c r="L109" s="47">
        <f>SUMIFS(SIP[Unit],SIP[Investor ID],INVESTORS_LIST[[#This Row],[INVESTOR CODE]],SIP[B/S],"B")</f>
        <v>0</v>
      </c>
      <c r="M109" s="47">
        <f>-SUMIFS(SIP[Unit],SIP[Investor ID],INVESTORS_LIST[[#This Row],[INVESTOR CODE]],SIP[B/S],"S")</f>
        <v>0</v>
      </c>
      <c r="N109" s="50">
        <f>IF(INVESTORS_LIST[[#This Row],[SIP_TOTAL UNITS BUY]]=0,0,INVESTORS_LIST[[#This Row],[SIP_TOTAL UNITS BUY]]-INVESTORS_LIST[[#This Row],[SIP_TOTAL UNITS SOLD]])</f>
        <v>0</v>
      </c>
      <c r="O109" s="49">
        <f>IF(INVESTORS_LIST[[#This Row],[SIP_TOTAL UNITS BUY]]=0,0,SUMIFS(SIP[Amount],SIP[Investor ID],INVESTORS_LIST[[#This Row],[INVESTOR CODE]],SIP[B/S],"B"))</f>
        <v>0</v>
      </c>
      <c r="P109" s="49">
        <f>IF(INVESTORS_LIST[[#This Row],[SIP_TOTAL UNITS SOLD]]=0,0,SUMIFS(SIP[Cost of Units Sold],SIP[Investor ID],INVESTORS_LIST[[#This Row],[INVESTOR CODE]],SIP[B/S],"S"))</f>
        <v>0</v>
      </c>
      <c r="Q109" s="48">
        <f>IF(INVESTORS_LIST[[#This Row],[SIP_TOTAL CURRENT UNITS]]=0,0,INVESTORS_LIST[[#This Row],[SIP_TOTAL CURRENT UNITS]]*INVESTORS_LIST[[#This Row],[SIP_AVERAGE COST]])</f>
        <v>0</v>
      </c>
      <c r="R109" s="48">
        <f>IF(INVESTORS_LIST[[#This Row],[SIP_TOTAL UNITS SOLD]]=0,0,SUMIFS(SIP[Realized Gain],SIP[Investor ID],INVESTORS_LIST[[#This Row],[INVESTOR CODE]],SIP[B/S],"S"))</f>
        <v>0</v>
      </c>
      <c r="S109" s="50">
        <f>INVESTORS_LIST[[#This Row],[LS_TOTAL UNITS BUY]]+INVESTORS_LIST[[#This Row],[SIP_TOTAL UNITS BUY]]</f>
        <v>500000</v>
      </c>
      <c r="T109" s="50">
        <f>INVESTORS_LIST[[#This Row],[LS_TOTAL UNITS SOLD]]+INVESTORS_LIST[[#This Row],[SIP_TOTAL UNITS SOLD]]</f>
        <v>260000</v>
      </c>
      <c r="U109" s="50"/>
      <c r="V109" s="50">
        <f>SUMIFS(LS[BO UNIT TRANSFER],LS[Investor ID],INVESTORS_LIST[[#This Row],[INVESTOR CODE]],LS[B/S],"B")</f>
        <v>0</v>
      </c>
      <c r="W109" s="50">
        <f>SUMIFS(SIP[BO UNIT TRANSFER],SIP[Investor ID],INVESTORS_LIST[[#This Row],[INVESTOR CODE]],SIP[B/S],"B")</f>
        <v>0</v>
      </c>
      <c r="X109" s="50">
        <f>SUMIFS(LS[BO UNIT TRANSFER],LS[Investor ID],INVESTORS_LIST[[#This Row],[INVESTOR CODE]],LS[B/S],"S")</f>
        <v>0</v>
      </c>
      <c r="Y109" s="50">
        <f>SUMIFS(SIP[BO UNIT TRANSFER],SIP[Investor ID],INVESTORS_LIST[[#This Row],[INVESTOR CODE]],SIP[B/S],"S")</f>
        <v>0</v>
      </c>
      <c r="Z109" s="106">
        <f>SUM(INVESTORS_LIST[[#This Row],[BO OPENING BALANCE]:[BO SIP UNITS REPURCHASE]])</f>
        <v>0</v>
      </c>
      <c r="AA109" s="107">
        <f>INVESTORS_LIST[[#This Row],[TOTAL UNITS BUY]]-INVESTORS_LIST[[#This Row],[TOTAL UNITS SOLD]]</f>
        <v>240000</v>
      </c>
      <c r="AB109" s="107">
        <f>INVESTORS_LIST[[#This Row],[TOTAL CURRENT UNITS]]-INVESTORS_LIST[[#This Row],[BO UNITS HOLD]]</f>
        <v>240000</v>
      </c>
      <c r="AC109" s="201" t="e">
        <f>INDEX([3]!Table_1[BO ID],MATCH(INVESTORS_LIST[[#This Row],[INVESTOR CODE]],[3]!Table_1[INVESTOR CODE],0))</f>
        <v>#REF!</v>
      </c>
      <c r="AD109" s="201" t="e">
        <f>INDEX([3]!Table_1[Brokerage Name2],MATCH(INVESTORS_LIST[[#This Row],[INVESTOR CODE]],[3]!Table_1[INVESTOR CODE],0))</f>
        <v>#REF!</v>
      </c>
      <c r="AE109" s="201" t="e">
        <f>MID(INVESTORS_LIST[[#This Row],[BO ID]],4,5)</f>
        <v>#REF!</v>
      </c>
      <c r="AF109" s="201" t="e">
        <f>MID(INVESTORS_LIST[[#This Row],[BO ID]],2,7)</f>
        <v>#REF!</v>
      </c>
      <c r="AG109" s="201" t="e">
        <f>MID(INVESTORS_LIST[[#This Row],[BO ID]],9,7)</f>
        <v>#REF!</v>
      </c>
      <c r="AH109" s="201" t="e">
        <f>RIGHT(INVESTORS_LIST[[#This Row],[BO ID]],1)</f>
        <v>#REF!</v>
      </c>
      <c r="AI109" s="50">
        <f>INVESTORS_LIST[[#This Row],[LS_TOTAL COST VALUE OF CURRENT UNITS]]+INVESTORS_LIST[[#This Row],[SIP_TOTAL COST VALUE OF CURRENT UNITS]]</f>
        <v>2400000</v>
      </c>
      <c r="AJ109" s="109">
        <f>IF(INVESTORS_LIST[[#This Row],[TOTAL CURRENT UNITS]]=0,0,INVESTORS_LIST[[#This Row],[LS_TOTAL CURRENT UNITS]]/INVESTORS_LIST[[#This Row],[TOTAL CURRENT UNITS]])</f>
        <v>1</v>
      </c>
      <c r="AK109" s="109">
        <f>IF(INVESTORS_LIST[[#This Row],[TOTAL CURRENT UNITS]]=0,0,INVESTORS_LIST[[#This Row],[SIP_TOTAL CURRENT UNITS]]/INVESTORS_LIST[[#This Row],[TOTAL CURRENT UNITS]])</f>
        <v>0</v>
      </c>
      <c r="AL109" s="49" cm="1">
        <f t="array" ref="AL109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109" s="49" cm="1">
        <f t="array" ref="AM1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09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109" s="105">
        <f t="shared" si="2"/>
        <v>14.224</v>
      </c>
      <c r="AP109" s="112">
        <f>IF(INVESTORS_LIST[[#This Row],[TOTAL CURRENT UNITS]]=0,0,INVESTORS_LIST[[#This Row],[TOTAL CURRENT UNITS]]*INVESTORS_LIST[[#This Row],[NAV]])</f>
        <v>3413760</v>
      </c>
      <c r="AQ109" s="49">
        <f>IF(INVESTORS_LIST[[#This Row],[LS_TOTAL CURRENT UNITS]]=0,0,INVESTORS_LIST[[#This Row],[LS_TOTAL CURRENT UNITS]]*INVESTORS_LIST[[#This Row],[NAV]])</f>
        <v>3413760</v>
      </c>
      <c r="AR109" s="48">
        <f>IF(INVESTORS_LIST[[#This Row],[SIP_TOTAL CURRENT UNITS]]=0,0,INVESTORS_LIST[[#This Row],[SIP_TOTAL CURRENT UNITS]]*INVESTORS_LIST[[#This Row],[NAV]])</f>
        <v>0</v>
      </c>
      <c r="AS109" s="50">
        <f>INVESTORS_LIST[[#This Row],[TOTAL CURRENT UNITS]]</f>
        <v>240000</v>
      </c>
      <c r="AT109" s="48">
        <f>IF(INVESTORS_LIST[[#This Row],[TOTAL SELLABLE UNITS]]=0,0,INVESTORS_LIST[[#This Row],[TOTAL SELLABLE UNITS]]*INVESTORS_LIST[[#This Row],[NAV]])</f>
        <v>3413760</v>
      </c>
      <c r="AU109" s="48">
        <f>INVESTORS_LIST[[#This Row],[LS_TOTAL REALIZED GAIN]]+INVESTORS_LIST[[#This Row],[SIP_TOTAL REALIZED GAIN]]</f>
        <v>0</v>
      </c>
      <c r="AV109" s="48">
        <f>INVESTORS_LIST[[#This Row],[TOTAL MARKET VALUE]]-INVESTORS_LIST[[#This Row],[TOTAL COST VALUE OF CURRENT INVESTMENT]]</f>
        <v>1013760</v>
      </c>
      <c r="AW109" s="108">
        <f>IFERROR(INVESTORS_LIST[[#This Row],[TOTAL CURRENT UNITS]]/SUM(INVESTORS_LIST[TOTAL CURRENT UNITS]),0)</f>
        <v>5.8262898950648774E-3</v>
      </c>
    </row>
    <row r="110" spans="1:49" hidden="1">
      <c r="A110" s="262" t="s">
        <v>267</v>
      </c>
      <c r="B110" s="97" t="s">
        <v>268</v>
      </c>
      <c r="C110" t="s">
        <v>44</v>
      </c>
      <c r="D110" s="75" t="s">
        <v>45</v>
      </c>
      <c r="E110" s="47">
        <f>SUMIFS(LS[Unit],LS[Investor ID],INVESTORS_LIST[[#This Row],[INVESTOR CODE]],LS[B/S],"B")</f>
        <v>0</v>
      </c>
      <c r="F110" s="47">
        <f>-SUMIFS(LS[Unit],LS[Investor ID],INVESTORS_LIST[[#This Row],[INVESTOR CODE]],LS[B/S],"S")</f>
        <v>0</v>
      </c>
      <c r="G110" s="47">
        <f>IF(INVESTORS_LIST[[#This Row],[LS_TOTAL UNITS BUY]]=0,0,INVESTORS_LIST[[#This Row],[LS_TOTAL UNITS BUY]]-INVESTORS_LIST[[#This Row],[LS_TOTAL UNITS SOLD]])</f>
        <v>0</v>
      </c>
      <c r="H110" s="49">
        <f>IF(INVESTORS_LIST[[#This Row],[LS_TOTAL UNITS BUY]]=0,0,SUMIFS(LS[Amount],LS[Investor ID],INVESTORS_LIST[[#This Row],[INVESTOR CODE]],LS[B/S],"B"))</f>
        <v>0</v>
      </c>
      <c r="I110" s="48">
        <f>IF(INVESTORS_LIST[[#This Row],[LS_TOTAL UNITS SOLD]]=0,0,SUMIFS(LS[Cost of Units Sold],LS[Investor ID],INVESTORS_LIST[[#This Row],[INVESTOR CODE]],LS[B/S],"S"))</f>
        <v>0</v>
      </c>
      <c r="J110" s="48">
        <f>IF(INVESTORS_LIST[[#This Row],[LS_TOTAL CURRENT UNITS]]=0,0,INVESTORS_LIST[[#This Row],[LS_TOTAL CURRENT UNITS]]*INVESTORS_LIST[[#This Row],[LS_AVERAGE COST]])</f>
        <v>0</v>
      </c>
      <c r="K110" s="49">
        <f>IF(INVESTORS_LIST[[#This Row],[LS_TOTAL UNITS SOLD]]=0,0,SUMIFS(LS[Realized Gain],LS[Investor ID],INVESTORS_LIST[[#This Row],[INVESTOR CODE]],LS[B/S],"S"))</f>
        <v>0</v>
      </c>
      <c r="L110" s="47">
        <f>SUMIFS(SIP[Unit],SIP[Investor ID],INVESTORS_LIST[[#This Row],[INVESTOR CODE]],SIP[B/S],"B")</f>
        <v>0</v>
      </c>
      <c r="M110" s="47">
        <f>-SUMIFS(SIP[Unit],SIP[Investor ID],INVESTORS_LIST[[#This Row],[INVESTOR CODE]],SIP[B/S],"S")</f>
        <v>0</v>
      </c>
      <c r="N110" s="50">
        <f>IF(INVESTORS_LIST[[#This Row],[SIP_TOTAL UNITS BUY]]=0,0,INVESTORS_LIST[[#This Row],[SIP_TOTAL UNITS BUY]]-INVESTORS_LIST[[#This Row],[SIP_TOTAL UNITS SOLD]])</f>
        <v>0</v>
      </c>
      <c r="O110" s="49">
        <f>IF(INVESTORS_LIST[[#This Row],[SIP_TOTAL UNITS BUY]]=0,0,SUMIFS(SIP[Amount],SIP[Investor ID],INVESTORS_LIST[[#This Row],[INVESTOR CODE]],SIP[B/S],"B"))</f>
        <v>0</v>
      </c>
      <c r="P110" s="49">
        <f>IF(INVESTORS_LIST[[#This Row],[SIP_TOTAL UNITS SOLD]]=0,0,SUMIFS(SIP[Cost of Units Sold],SIP[Investor ID],INVESTORS_LIST[[#This Row],[INVESTOR CODE]],SIP[B/S],"S"))</f>
        <v>0</v>
      </c>
      <c r="Q110" s="48">
        <f>IF(INVESTORS_LIST[[#This Row],[SIP_TOTAL CURRENT UNITS]]=0,0,INVESTORS_LIST[[#This Row],[SIP_TOTAL CURRENT UNITS]]*INVESTORS_LIST[[#This Row],[SIP_AVERAGE COST]])</f>
        <v>0</v>
      </c>
      <c r="R110" s="48">
        <f>IF(INVESTORS_LIST[[#This Row],[SIP_TOTAL UNITS SOLD]]=0,0,SUMIFS(SIP[Realized Gain],SIP[Investor ID],INVESTORS_LIST[[#This Row],[INVESTOR CODE]],SIP[B/S],"S"))</f>
        <v>0</v>
      </c>
      <c r="S110" s="50">
        <f>INVESTORS_LIST[[#This Row],[LS_TOTAL UNITS BUY]]+INVESTORS_LIST[[#This Row],[SIP_TOTAL UNITS BUY]]</f>
        <v>0</v>
      </c>
      <c r="T110" s="50">
        <f>INVESTORS_LIST[[#This Row],[LS_TOTAL UNITS SOLD]]+INVESTORS_LIST[[#This Row],[SIP_TOTAL UNITS SOLD]]</f>
        <v>0</v>
      </c>
      <c r="U110" s="50"/>
      <c r="V110" s="50">
        <f>SUMIFS(LS[BO UNIT TRANSFER],LS[Investor ID],INVESTORS_LIST[[#This Row],[INVESTOR CODE]],LS[B/S],"B")</f>
        <v>0</v>
      </c>
      <c r="W110" s="50">
        <f>SUMIFS(SIP[BO UNIT TRANSFER],SIP[Investor ID],INVESTORS_LIST[[#This Row],[INVESTOR CODE]],SIP[B/S],"B")</f>
        <v>0</v>
      </c>
      <c r="X110" s="50">
        <f>SUMIFS(LS[BO UNIT TRANSFER],LS[Investor ID],INVESTORS_LIST[[#This Row],[INVESTOR CODE]],LS[B/S],"S")</f>
        <v>0</v>
      </c>
      <c r="Y110" s="50">
        <f>SUMIFS(SIP[BO UNIT TRANSFER],SIP[Investor ID],INVESTORS_LIST[[#This Row],[INVESTOR CODE]],SIP[B/S],"S")</f>
        <v>0</v>
      </c>
      <c r="Z110" s="106">
        <f>SUM(INVESTORS_LIST[[#This Row],[BO OPENING BALANCE]:[BO SIP UNITS REPURCHASE]])</f>
        <v>0</v>
      </c>
      <c r="AA110" s="107">
        <f>INVESTORS_LIST[[#This Row],[TOTAL UNITS BUY]]-INVESTORS_LIST[[#This Row],[TOTAL UNITS SOLD]]</f>
        <v>0</v>
      </c>
      <c r="AB110" s="107">
        <f>INVESTORS_LIST[[#This Row],[TOTAL CURRENT UNITS]]-INVESTORS_LIST[[#This Row],[BO UNITS HOLD]]</f>
        <v>0</v>
      </c>
      <c r="AC110" s="201" t="e">
        <f>INDEX([3]!Table_1[BO ID],MATCH(INVESTORS_LIST[[#This Row],[INVESTOR CODE]],[3]!Table_1[INVESTOR CODE],0))</f>
        <v>#REF!</v>
      </c>
      <c r="AD110" s="201" t="e">
        <f>INDEX([3]!Table_1[Brokerage Name2],MATCH(INVESTORS_LIST[[#This Row],[INVESTOR CODE]],[3]!Table_1[INVESTOR CODE],0))</f>
        <v>#REF!</v>
      </c>
      <c r="AE110" s="201" t="e">
        <f>MID(INVESTORS_LIST[[#This Row],[BO ID]],4,5)</f>
        <v>#REF!</v>
      </c>
      <c r="AF110" s="201" t="e">
        <f>MID(INVESTORS_LIST[[#This Row],[BO ID]],2,7)</f>
        <v>#REF!</v>
      </c>
      <c r="AG110" s="201" t="e">
        <f>MID(INVESTORS_LIST[[#This Row],[BO ID]],9,7)</f>
        <v>#REF!</v>
      </c>
      <c r="AH110" s="201" t="e">
        <f>RIGHT(INVESTORS_LIST[[#This Row],[BO ID]],1)</f>
        <v>#REF!</v>
      </c>
      <c r="AI110" s="50">
        <f>INVESTORS_LIST[[#This Row],[LS_TOTAL COST VALUE OF CURRENT UNITS]]+INVESTORS_LIST[[#This Row],[SIP_TOTAL COST VALUE OF CURRENT UNITS]]</f>
        <v>0</v>
      </c>
      <c r="AJ110" s="109">
        <f>IF(INVESTORS_LIST[[#This Row],[TOTAL CURRENT UNITS]]=0,0,INVESTORS_LIST[[#This Row],[LS_TOTAL CURRENT UNITS]]/INVESTORS_LIST[[#This Row],[TOTAL CURRENT UNITS]])</f>
        <v>0</v>
      </c>
      <c r="AK110" s="109">
        <f>IF(INVESTORS_LIST[[#This Row],[TOTAL CURRENT UNITS]]=0,0,INVESTORS_LIST[[#This Row],[SIP_TOTAL CURRENT UNITS]]/INVESTORS_LIST[[#This Row],[TOTAL CURRENT UNITS]])</f>
        <v>0</v>
      </c>
      <c r="AL110" s="49" cm="1">
        <f t="array" ref="AL1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0" s="49" cm="1">
        <f t="array" ref="AM1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0" s="105">
        <f t="shared" si="2"/>
        <v>14.224</v>
      </c>
      <c r="AP110" s="112">
        <f>IF(INVESTORS_LIST[[#This Row],[TOTAL CURRENT UNITS]]=0,0,INVESTORS_LIST[[#This Row],[TOTAL CURRENT UNITS]]*INVESTORS_LIST[[#This Row],[NAV]])</f>
        <v>0</v>
      </c>
      <c r="AQ110" s="49">
        <f>IF(INVESTORS_LIST[[#This Row],[LS_TOTAL CURRENT UNITS]]=0,0,INVESTORS_LIST[[#This Row],[LS_TOTAL CURRENT UNITS]]*INVESTORS_LIST[[#This Row],[NAV]])</f>
        <v>0</v>
      </c>
      <c r="AR110" s="48">
        <f>IF(INVESTORS_LIST[[#This Row],[SIP_TOTAL CURRENT UNITS]]=0,0,INVESTORS_LIST[[#This Row],[SIP_TOTAL CURRENT UNITS]]*INVESTORS_LIST[[#This Row],[NAV]])</f>
        <v>0</v>
      </c>
      <c r="AS110" s="50">
        <f>INVESTORS_LIST[[#This Row],[TOTAL CURRENT UNITS]]</f>
        <v>0</v>
      </c>
      <c r="AT110" s="48">
        <f>IF(INVESTORS_LIST[[#This Row],[TOTAL SELLABLE UNITS]]=0,0,INVESTORS_LIST[[#This Row],[TOTAL SELLABLE UNITS]]*INVESTORS_LIST[[#This Row],[NAV]])</f>
        <v>0</v>
      </c>
      <c r="AU110" s="48">
        <f>INVESTORS_LIST[[#This Row],[LS_TOTAL REALIZED GAIN]]+INVESTORS_LIST[[#This Row],[SIP_TOTAL REALIZED GAIN]]</f>
        <v>0</v>
      </c>
      <c r="AV110" s="48">
        <f>INVESTORS_LIST[[#This Row],[TOTAL MARKET VALUE]]-INVESTORS_LIST[[#This Row],[TOTAL COST VALUE OF CURRENT INVESTMENT]]</f>
        <v>0</v>
      </c>
      <c r="AW110" s="48">
        <f>IFERROR(INVESTORS_LIST[[#This Row],[TOTAL CURRENT UNITS]]/SUM(INVESTORS_LIST[TOTAL CURRENT UNITS]),0)</f>
        <v>0</v>
      </c>
    </row>
    <row r="111" spans="1:49" hidden="1">
      <c r="A111" s="262" t="s">
        <v>269</v>
      </c>
      <c r="B111" s="97" t="s">
        <v>270</v>
      </c>
      <c r="C111" t="s">
        <v>44</v>
      </c>
      <c r="D111" s="75" t="s">
        <v>45</v>
      </c>
      <c r="E111" s="47">
        <f>SUMIFS(LS[Unit],LS[Investor ID],INVESTORS_LIST[[#This Row],[INVESTOR CODE]],LS[B/S],"B")</f>
        <v>0</v>
      </c>
      <c r="F111" s="47">
        <f>-SUMIFS(LS[Unit],LS[Investor ID],INVESTORS_LIST[[#This Row],[INVESTOR CODE]],LS[B/S],"S")</f>
        <v>0</v>
      </c>
      <c r="G111" s="47">
        <f>IF(INVESTORS_LIST[[#This Row],[LS_TOTAL UNITS BUY]]=0,0,INVESTORS_LIST[[#This Row],[LS_TOTAL UNITS BUY]]-INVESTORS_LIST[[#This Row],[LS_TOTAL UNITS SOLD]])</f>
        <v>0</v>
      </c>
      <c r="H111" s="49">
        <f>IF(INVESTORS_LIST[[#This Row],[LS_TOTAL UNITS BUY]]=0,0,SUMIFS(LS[Amount],LS[Investor ID],INVESTORS_LIST[[#This Row],[INVESTOR CODE]],LS[B/S],"B"))</f>
        <v>0</v>
      </c>
      <c r="I111" s="48">
        <f>IF(INVESTORS_LIST[[#This Row],[LS_TOTAL UNITS SOLD]]=0,0,SUMIFS(LS[Cost of Units Sold],LS[Investor ID],INVESTORS_LIST[[#This Row],[INVESTOR CODE]],LS[B/S],"S"))</f>
        <v>0</v>
      </c>
      <c r="J111" s="48">
        <f>IF(INVESTORS_LIST[[#This Row],[LS_TOTAL CURRENT UNITS]]=0,0,INVESTORS_LIST[[#This Row],[LS_TOTAL CURRENT UNITS]]*INVESTORS_LIST[[#This Row],[LS_AVERAGE COST]])</f>
        <v>0</v>
      </c>
      <c r="K111" s="49">
        <f>IF(INVESTORS_LIST[[#This Row],[LS_TOTAL UNITS SOLD]]=0,0,SUMIFS(LS[Realized Gain],LS[Investor ID],INVESTORS_LIST[[#This Row],[INVESTOR CODE]],LS[B/S],"S"))</f>
        <v>0</v>
      </c>
      <c r="L111" s="47">
        <f>SUMIFS(SIP[Unit],SIP[Investor ID],INVESTORS_LIST[[#This Row],[INVESTOR CODE]],SIP[B/S],"B")</f>
        <v>0</v>
      </c>
      <c r="M111" s="47">
        <f>-SUMIFS(SIP[Unit],SIP[Investor ID],INVESTORS_LIST[[#This Row],[INVESTOR CODE]],SIP[B/S],"S")</f>
        <v>0</v>
      </c>
      <c r="N111" s="50">
        <f>IF(INVESTORS_LIST[[#This Row],[SIP_TOTAL UNITS BUY]]=0,0,INVESTORS_LIST[[#This Row],[SIP_TOTAL UNITS BUY]]-INVESTORS_LIST[[#This Row],[SIP_TOTAL UNITS SOLD]])</f>
        <v>0</v>
      </c>
      <c r="O111" s="49">
        <f>IF(INVESTORS_LIST[[#This Row],[SIP_TOTAL UNITS BUY]]=0,0,SUMIFS(SIP[Amount],SIP[Investor ID],INVESTORS_LIST[[#This Row],[INVESTOR CODE]],SIP[B/S],"B"))</f>
        <v>0</v>
      </c>
      <c r="P111" s="49">
        <f>IF(INVESTORS_LIST[[#This Row],[SIP_TOTAL UNITS SOLD]]=0,0,SUMIFS(SIP[Cost of Units Sold],SIP[Investor ID],INVESTORS_LIST[[#This Row],[INVESTOR CODE]],SIP[B/S],"S"))</f>
        <v>0</v>
      </c>
      <c r="Q111" s="48">
        <f>IF(INVESTORS_LIST[[#This Row],[SIP_TOTAL CURRENT UNITS]]=0,0,INVESTORS_LIST[[#This Row],[SIP_TOTAL CURRENT UNITS]]*INVESTORS_LIST[[#This Row],[SIP_AVERAGE COST]])</f>
        <v>0</v>
      </c>
      <c r="R111" s="48">
        <f>IF(INVESTORS_LIST[[#This Row],[SIP_TOTAL UNITS SOLD]]=0,0,SUMIFS(SIP[Realized Gain],SIP[Investor ID],INVESTORS_LIST[[#This Row],[INVESTOR CODE]],SIP[B/S],"S"))</f>
        <v>0</v>
      </c>
      <c r="S111" s="50">
        <f>INVESTORS_LIST[[#This Row],[LS_TOTAL UNITS BUY]]+INVESTORS_LIST[[#This Row],[SIP_TOTAL UNITS BUY]]</f>
        <v>0</v>
      </c>
      <c r="T111" s="50">
        <f>INVESTORS_LIST[[#This Row],[LS_TOTAL UNITS SOLD]]+INVESTORS_LIST[[#This Row],[SIP_TOTAL UNITS SOLD]]</f>
        <v>0</v>
      </c>
      <c r="U111" s="50"/>
      <c r="V111" s="50">
        <f>SUMIFS(LS[BO UNIT TRANSFER],LS[Investor ID],INVESTORS_LIST[[#This Row],[INVESTOR CODE]],LS[B/S],"B")</f>
        <v>0</v>
      </c>
      <c r="W111" s="50">
        <f>SUMIFS(SIP[BO UNIT TRANSFER],SIP[Investor ID],INVESTORS_LIST[[#This Row],[INVESTOR CODE]],SIP[B/S],"B")</f>
        <v>0</v>
      </c>
      <c r="X111" s="50">
        <f>SUMIFS(LS[BO UNIT TRANSFER],LS[Investor ID],INVESTORS_LIST[[#This Row],[INVESTOR CODE]],LS[B/S],"S")</f>
        <v>0</v>
      </c>
      <c r="Y111" s="50">
        <f>SUMIFS(SIP[BO UNIT TRANSFER],SIP[Investor ID],INVESTORS_LIST[[#This Row],[INVESTOR CODE]],SIP[B/S],"S")</f>
        <v>0</v>
      </c>
      <c r="Z111" s="106">
        <f>SUM(INVESTORS_LIST[[#This Row],[BO OPENING BALANCE]:[BO SIP UNITS REPURCHASE]])</f>
        <v>0</v>
      </c>
      <c r="AA111" s="107">
        <f>INVESTORS_LIST[[#This Row],[TOTAL UNITS BUY]]-INVESTORS_LIST[[#This Row],[TOTAL UNITS SOLD]]</f>
        <v>0</v>
      </c>
      <c r="AB111" s="107">
        <f>INVESTORS_LIST[[#This Row],[TOTAL CURRENT UNITS]]-INVESTORS_LIST[[#This Row],[BO UNITS HOLD]]</f>
        <v>0</v>
      </c>
      <c r="AC111" s="201" t="e">
        <f>INDEX([3]!Table_1[BO ID],MATCH(INVESTORS_LIST[[#This Row],[INVESTOR CODE]],[3]!Table_1[INVESTOR CODE],0))</f>
        <v>#REF!</v>
      </c>
      <c r="AD111" s="201" t="e">
        <f>INDEX([3]!Table_1[Brokerage Name2],MATCH(INVESTORS_LIST[[#This Row],[INVESTOR CODE]],[3]!Table_1[INVESTOR CODE],0))</f>
        <v>#REF!</v>
      </c>
      <c r="AE111" s="201" t="e">
        <f>MID(INVESTORS_LIST[[#This Row],[BO ID]],4,5)</f>
        <v>#REF!</v>
      </c>
      <c r="AF111" s="201" t="e">
        <f>MID(INVESTORS_LIST[[#This Row],[BO ID]],2,7)</f>
        <v>#REF!</v>
      </c>
      <c r="AG111" s="201" t="e">
        <f>MID(INVESTORS_LIST[[#This Row],[BO ID]],9,7)</f>
        <v>#REF!</v>
      </c>
      <c r="AH111" s="201" t="e">
        <f>RIGHT(INVESTORS_LIST[[#This Row],[BO ID]],1)</f>
        <v>#REF!</v>
      </c>
      <c r="AI111" s="50">
        <f>INVESTORS_LIST[[#This Row],[LS_TOTAL COST VALUE OF CURRENT UNITS]]+INVESTORS_LIST[[#This Row],[SIP_TOTAL COST VALUE OF CURRENT UNITS]]</f>
        <v>0</v>
      </c>
      <c r="AJ111" s="109">
        <f>IF(INVESTORS_LIST[[#This Row],[TOTAL CURRENT UNITS]]=0,0,INVESTORS_LIST[[#This Row],[LS_TOTAL CURRENT UNITS]]/INVESTORS_LIST[[#This Row],[TOTAL CURRENT UNITS]])</f>
        <v>0</v>
      </c>
      <c r="AK111" s="109">
        <f>IF(INVESTORS_LIST[[#This Row],[TOTAL CURRENT UNITS]]=0,0,INVESTORS_LIST[[#This Row],[SIP_TOTAL CURRENT UNITS]]/INVESTORS_LIST[[#This Row],[TOTAL CURRENT UNITS]])</f>
        <v>0</v>
      </c>
      <c r="AL111" s="49" cm="1">
        <f t="array" ref="AL1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1" s="49" cm="1">
        <f t="array" ref="AM1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1" s="105">
        <f t="shared" si="2"/>
        <v>14.224</v>
      </c>
      <c r="AP111" s="112">
        <f>IF(INVESTORS_LIST[[#This Row],[TOTAL CURRENT UNITS]]=0,0,INVESTORS_LIST[[#This Row],[TOTAL CURRENT UNITS]]*INVESTORS_LIST[[#This Row],[NAV]])</f>
        <v>0</v>
      </c>
      <c r="AQ111" s="49">
        <f>IF(INVESTORS_LIST[[#This Row],[LS_TOTAL CURRENT UNITS]]=0,0,INVESTORS_LIST[[#This Row],[LS_TOTAL CURRENT UNITS]]*INVESTORS_LIST[[#This Row],[NAV]])</f>
        <v>0</v>
      </c>
      <c r="AR111" s="48">
        <f>IF(INVESTORS_LIST[[#This Row],[SIP_TOTAL CURRENT UNITS]]=0,0,INVESTORS_LIST[[#This Row],[SIP_TOTAL CURRENT UNITS]]*INVESTORS_LIST[[#This Row],[NAV]])</f>
        <v>0</v>
      </c>
      <c r="AS111" s="50">
        <f>INVESTORS_LIST[[#This Row],[TOTAL CURRENT UNITS]]</f>
        <v>0</v>
      </c>
      <c r="AT111" s="48">
        <f>IF(INVESTORS_LIST[[#This Row],[TOTAL SELLABLE UNITS]]=0,0,INVESTORS_LIST[[#This Row],[TOTAL SELLABLE UNITS]]*INVESTORS_LIST[[#This Row],[NAV]])</f>
        <v>0</v>
      </c>
      <c r="AU111" s="48">
        <f>INVESTORS_LIST[[#This Row],[LS_TOTAL REALIZED GAIN]]+INVESTORS_LIST[[#This Row],[SIP_TOTAL REALIZED GAIN]]</f>
        <v>0</v>
      </c>
      <c r="AV111" s="48">
        <f>INVESTORS_LIST[[#This Row],[TOTAL MARKET VALUE]]-INVESTORS_LIST[[#This Row],[TOTAL COST VALUE OF CURRENT INVESTMENT]]</f>
        <v>0</v>
      </c>
      <c r="AW111" s="48">
        <f>IFERROR(INVESTORS_LIST[[#This Row],[TOTAL CURRENT UNITS]]/SUM(INVESTORS_LIST[TOTAL CURRENT UNITS]),0)</f>
        <v>0</v>
      </c>
    </row>
    <row r="112" spans="1:49" hidden="1">
      <c r="A112" s="262" t="s">
        <v>271</v>
      </c>
      <c r="B112" s="97" t="s">
        <v>272</v>
      </c>
      <c r="C112" t="s">
        <v>44</v>
      </c>
      <c r="D112" s="75" t="s">
        <v>45</v>
      </c>
      <c r="E112" s="47">
        <f>SUMIFS(LS[Unit],LS[Investor ID],INVESTORS_LIST[[#This Row],[INVESTOR CODE]],LS[B/S],"B")</f>
        <v>0</v>
      </c>
      <c r="F112" s="47">
        <f>-SUMIFS(LS[Unit],LS[Investor ID],INVESTORS_LIST[[#This Row],[INVESTOR CODE]],LS[B/S],"S")</f>
        <v>0</v>
      </c>
      <c r="G112" s="47">
        <f>IF(INVESTORS_LIST[[#This Row],[LS_TOTAL UNITS BUY]]=0,0,INVESTORS_LIST[[#This Row],[LS_TOTAL UNITS BUY]]-INVESTORS_LIST[[#This Row],[LS_TOTAL UNITS SOLD]])</f>
        <v>0</v>
      </c>
      <c r="H112" s="49">
        <f>IF(INVESTORS_LIST[[#This Row],[LS_TOTAL UNITS BUY]]=0,0,SUMIFS(LS[Amount],LS[Investor ID],INVESTORS_LIST[[#This Row],[INVESTOR CODE]],LS[B/S],"B"))</f>
        <v>0</v>
      </c>
      <c r="I112" s="48">
        <f>IF(INVESTORS_LIST[[#This Row],[LS_TOTAL UNITS SOLD]]=0,0,SUMIFS(LS[Cost of Units Sold],LS[Investor ID],INVESTORS_LIST[[#This Row],[INVESTOR CODE]],LS[B/S],"S"))</f>
        <v>0</v>
      </c>
      <c r="J112" s="48">
        <f>IF(INVESTORS_LIST[[#This Row],[LS_TOTAL CURRENT UNITS]]=0,0,INVESTORS_LIST[[#This Row],[LS_TOTAL CURRENT UNITS]]*INVESTORS_LIST[[#This Row],[LS_AVERAGE COST]])</f>
        <v>0</v>
      </c>
      <c r="K112" s="49">
        <f>IF(INVESTORS_LIST[[#This Row],[LS_TOTAL UNITS SOLD]]=0,0,SUMIFS(LS[Realized Gain],LS[Investor ID],INVESTORS_LIST[[#This Row],[INVESTOR CODE]],LS[B/S],"S"))</f>
        <v>0</v>
      </c>
      <c r="L112" s="47">
        <f>SUMIFS(SIP[Unit],SIP[Investor ID],INVESTORS_LIST[[#This Row],[INVESTOR CODE]],SIP[B/S],"B")</f>
        <v>0</v>
      </c>
      <c r="M112" s="47">
        <f>-SUMIFS(SIP[Unit],SIP[Investor ID],INVESTORS_LIST[[#This Row],[INVESTOR CODE]],SIP[B/S],"S")</f>
        <v>0</v>
      </c>
      <c r="N112" s="50">
        <f>IF(INVESTORS_LIST[[#This Row],[SIP_TOTAL UNITS BUY]]=0,0,INVESTORS_LIST[[#This Row],[SIP_TOTAL UNITS BUY]]-INVESTORS_LIST[[#This Row],[SIP_TOTAL UNITS SOLD]])</f>
        <v>0</v>
      </c>
      <c r="O112" s="49">
        <f>IF(INVESTORS_LIST[[#This Row],[SIP_TOTAL UNITS BUY]]=0,0,SUMIFS(SIP[Amount],SIP[Investor ID],INVESTORS_LIST[[#This Row],[INVESTOR CODE]],SIP[B/S],"B"))</f>
        <v>0</v>
      </c>
      <c r="P112" s="49">
        <f>IF(INVESTORS_LIST[[#This Row],[SIP_TOTAL UNITS SOLD]]=0,0,SUMIFS(SIP[Cost of Units Sold],SIP[Investor ID],INVESTORS_LIST[[#This Row],[INVESTOR CODE]],SIP[B/S],"S"))</f>
        <v>0</v>
      </c>
      <c r="Q112" s="48">
        <f>IF(INVESTORS_LIST[[#This Row],[SIP_TOTAL CURRENT UNITS]]=0,0,INVESTORS_LIST[[#This Row],[SIP_TOTAL CURRENT UNITS]]*INVESTORS_LIST[[#This Row],[SIP_AVERAGE COST]])</f>
        <v>0</v>
      </c>
      <c r="R112" s="48">
        <f>IF(INVESTORS_LIST[[#This Row],[SIP_TOTAL UNITS SOLD]]=0,0,SUMIFS(SIP[Realized Gain],SIP[Investor ID],INVESTORS_LIST[[#This Row],[INVESTOR CODE]],SIP[B/S],"S"))</f>
        <v>0</v>
      </c>
      <c r="S112" s="50">
        <f>INVESTORS_LIST[[#This Row],[LS_TOTAL UNITS BUY]]+INVESTORS_LIST[[#This Row],[SIP_TOTAL UNITS BUY]]</f>
        <v>0</v>
      </c>
      <c r="T112" s="50">
        <f>INVESTORS_LIST[[#This Row],[LS_TOTAL UNITS SOLD]]+INVESTORS_LIST[[#This Row],[SIP_TOTAL UNITS SOLD]]</f>
        <v>0</v>
      </c>
      <c r="U112" s="50"/>
      <c r="V112" s="50">
        <f>SUMIFS(LS[BO UNIT TRANSFER],LS[Investor ID],INVESTORS_LIST[[#This Row],[INVESTOR CODE]],LS[B/S],"B")</f>
        <v>0</v>
      </c>
      <c r="W112" s="50">
        <f>SUMIFS(SIP[BO UNIT TRANSFER],SIP[Investor ID],INVESTORS_LIST[[#This Row],[INVESTOR CODE]],SIP[B/S],"B")</f>
        <v>0</v>
      </c>
      <c r="X112" s="50">
        <f>SUMIFS(LS[BO UNIT TRANSFER],LS[Investor ID],INVESTORS_LIST[[#This Row],[INVESTOR CODE]],LS[B/S],"S")</f>
        <v>0</v>
      </c>
      <c r="Y112" s="50">
        <f>SUMIFS(SIP[BO UNIT TRANSFER],SIP[Investor ID],INVESTORS_LIST[[#This Row],[INVESTOR CODE]],SIP[B/S],"S")</f>
        <v>0</v>
      </c>
      <c r="Z112" s="106">
        <f>SUM(INVESTORS_LIST[[#This Row],[BO OPENING BALANCE]:[BO SIP UNITS REPURCHASE]])</f>
        <v>0</v>
      </c>
      <c r="AA112" s="107">
        <f>INVESTORS_LIST[[#This Row],[TOTAL UNITS BUY]]-INVESTORS_LIST[[#This Row],[TOTAL UNITS SOLD]]</f>
        <v>0</v>
      </c>
      <c r="AB112" s="107">
        <f>INVESTORS_LIST[[#This Row],[TOTAL CURRENT UNITS]]-INVESTORS_LIST[[#This Row],[BO UNITS HOLD]]</f>
        <v>0</v>
      </c>
      <c r="AC112" s="201" t="e">
        <f>INDEX([3]!Table_1[BO ID],MATCH(INVESTORS_LIST[[#This Row],[INVESTOR CODE]],[3]!Table_1[INVESTOR CODE],0))</f>
        <v>#REF!</v>
      </c>
      <c r="AD112" s="201" t="e">
        <f>INDEX([3]!Table_1[Brokerage Name2],MATCH(INVESTORS_LIST[[#This Row],[INVESTOR CODE]],[3]!Table_1[INVESTOR CODE],0))</f>
        <v>#REF!</v>
      </c>
      <c r="AE112" s="201" t="e">
        <f>MID(INVESTORS_LIST[[#This Row],[BO ID]],4,5)</f>
        <v>#REF!</v>
      </c>
      <c r="AF112" s="201" t="e">
        <f>MID(INVESTORS_LIST[[#This Row],[BO ID]],2,7)</f>
        <v>#REF!</v>
      </c>
      <c r="AG112" s="201" t="e">
        <f>MID(INVESTORS_LIST[[#This Row],[BO ID]],9,7)</f>
        <v>#REF!</v>
      </c>
      <c r="AH112" s="201" t="e">
        <f>RIGHT(INVESTORS_LIST[[#This Row],[BO ID]],1)</f>
        <v>#REF!</v>
      </c>
      <c r="AI112" s="50">
        <f>INVESTORS_LIST[[#This Row],[LS_TOTAL COST VALUE OF CURRENT UNITS]]+INVESTORS_LIST[[#This Row],[SIP_TOTAL COST VALUE OF CURRENT UNITS]]</f>
        <v>0</v>
      </c>
      <c r="AJ112" s="109">
        <f>IF(INVESTORS_LIST[[#This Row],[TOTAL CURRENT UNITS]]=0,0,INVESTORS_LIST[[#This Row],[LS_TOTAL CURRENT UNITS]]/INVESTORS_LIST[[#This Row],[TOTAL CURRENT UNITS]])</f>
        <v>0</v>
      </c>
      <c r="AK112" s="109">
        <f>IF(INVESTORS_LIST[[#This Row],[TOTAL CURRENT UNITS]]=0,0,INVESTORS_LIST[[#This Row],[SIP_TOTAL CURRENT UNITS]]/INVESTORS_LIST[[#This Row],[TOTAL CURRENT UNITS]])</f>
        <v>0</v>
      </c>
      <c r="AL112" s="49" cm="1">
        <f t="array" ref="AL1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2" s="49" cm="1">
        <f t="array" ref="AM1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2" s="105">
        <f t="shared" si="2"/>
        <v>14.224</v>
      </c>
      <c r="AP112" s="112">
        <f>IF(INVESTORS_LIST[[#This Row],[TOTAL CURRENT UNITS]]=0,0,INVESTORS_LIST[[#This Row],[TOTAL CURRENT UNITS]]*INVESTORS_LIST[[#This Row],[NAV]])</f>
        <v>0</v>
      </c>
      <c r="AQ112" s="49">
        <f>IF(INVESTORS_LIST[[#This Row],[LS_TOTAL CURRENT UNITS]]=0,0,INVESTORS_LIST[[#This Row],[LS_TOTAL CURRENT UNITS]]*INVESTORS_LIST[[#This Row],[NAV]])</f>
        <v>0</v>
      </c>
      <c r="AR112" s="48">
        <f>IF(INVESTORS_LIST[[#This Row],[SIP_TOTAL CURRENT UNITS]]=0,0,INVESTORS_LIST[[#This Row],[SIP_TOTAL CURRENT UNITS]]*INVESTORS_LIST[[#This Row],[NAV]])</f>
        <v>0</v>
      </c>
      <c r="AS112" s="50">
        <f>INVESTORS_LIST[[#This Row],[TOTAL CURRENT UNITS]]</f>
        <v>0</v>
      </c>
      <c r="AT112" s="48">
        <f>IF(INVESTORS_LIST[[#This Row],[TOTAL SELLABLE UNITS]]=0,0,INVESTORS_LIST[[#This Row],[TOTAL SELLABLE UNITS]]*INVESTORS_LIST[[#This Row],[NAV]])</f>
        <v>0</v>
      </c>
      <c r="AU112" s="48">
        <f>INVESTORS_LIST[[#This Row],[LS_TOTAL REALIZED GAIN]]+INVESTORS_LIST[[#This Row],[SIP_TOTAL REALIZED GAIN]]</f>
        <v>0</v>
      </c>
      <c r="AV112" s="48">
        <f>INVESTORS_LIST[[#This Row],[TOTAL MARKET VALUE]]-INVESTORS_LIST[[#This Row],[TOTAL COST VALUE OF CURRENT INVESTMENT]]</f>
        <v>0</v>
      </c>
      <c r="AW112" s="48">
        <f>IFERROR(INVESTORS_LIST[[#This Row],[TOTAL CURRENT UNITS]]/SUM(INVESTORS_LIST[TOTAL CURRENT UNITS]),0)</f>
        <v>0</v>
      </c>
    </row>
    <row r="113" spans="1:49">
      <c r="A113" s="262" t="s">
        <v>273</v>
      </c>
      <c r="B113" s="97" t="s">
        <v>274</v>
      </c>
      <c r="C113" t="s">
        <v>44</v>
      </c>
      <c r="D113" s="75" t="s">
        <v>45</v>
      </c>
      <c r="E113" s="47">
        <f>SUMIFS(LS[Unit],LS[Investor ID],INVESTORS_LIST[[#This Row],[INVESTOR CODE]],LS[B/S],"B")</f>
        <v>86783</v>
      </c>
      <c r="F113" s="47">
        <f>-SUMIFS(LS[Unit],LS[Investor ID],INVESTORS_LIST[[#This Row],[INVESTOR CODE]],LS[B/S],"S")</f>
        <v>0</v>
      </c>
      <c r="G113" s="47">
        <f>IF(INVESTORS_LIST[[#This Row],[LS_TOTAL UNITS BUY]]=0,0,INVESTORS_LIST[[#This Row],[LS_TOTAL UNITS BUY]]-INVESTORS_LIST[[#This Row],[LS_TOTAL UNITS SOLD]])</f>
        <v>86783</v>
      </c>
      <c r="H113" s="49">
        <f>IF(INVESTORS_LIST[[#This Row],[LS_TOTAL UNITS BUY]]=0,0,SUMIFS(LS[Amount],LS[Investor ID],INVESTORS_LIST[[#This Row],[INVESTOR CODE]],LS[B/S],"B"))</f>
        <v>1000000</v>
      </c>
      <c r="I113" s="48">
        <f>IF(INVESTORS_LIST[[#This Row],[LS_TOTAL UNITS SOLD]]=0,0,SUMIFS(LS[Cost of Units Sold],LS[Investor ID],INVESTORS_LIST[[#This Row],[INVESTOR CODE]],LS[B/S],"S"))</f>
        <v>0</v>
      </c>
      <c r="J113" s="48">
        <f>IF(INVESTORS_LIST[[#This Row],[LS_TOTAL CURRENT UNITS]]=0,0,INVESTORS_LIST[[#This Row],[LS_TOTAL CURRENT UNITS]]*INVESTORS_LIST[[#This Row],[LS_AVERAGE COST]])</f>
        <v>1000000.0000000001</v>
      </c>
      <c r="K113" s="49">
        <f>IF(INVESTORS_LIST[[#This Row],[LS_TOTAL UNITS SOLD]]=0,0,SUMIFS(LS[Realized Gain],LS[Investor ID],INVESTORS_LIST[[#This Row],[INVESTOR CODE]],LS[B/S],"S"))</f>
        <v>0</v>
      </c>
      <c r="L113" s="47">
        <f>SUMIFS(SIP[Unit],SIP[Investor ID],INVESTORS_LIST[[#This Row],[INVESTOR CODE]],SIP[B/S],"B")</f>
        <v>0</v>
      </c>
      <c r="M113" s="47">
        <f>-SUMIFS(SIP[Unit],SIP[Investor ID],INVESTORS_LIST[[#This Row],[INVESTOR CODE]],SIP[B/S],"S")</f>
        <v>0</v>
      </c>
      <c r="N113" s="50">
        <f>IF(INVESTORS_LIST[[#This Row],[SIP_TOTAL UNITS BUY]]=0,0,INVESTORS_LIST[[#This Row],[SIP_TOTAL UNITS BUY]]-INVESTORS_LIST[[#This Row],[SIP_TOTAL UNITS SOLD]])</f>
        <v>0</v>
      </c>
      <c r="O113" s="49">
        <f>IF(INVESTORS_LIST[[#This Row],[SIP_TOTAL UNITS BUY]]=0,0,SUMIFS(SIP[Amount],SIP[Investor ID],INVESTORS_LIST[[#This Row],[INVESTOR CODE]],SIP[B/S],"B"))</f>
        <v>0</v>
      </c>
      <c r="P113" s="49">
        <f>IF(INVESTORS_LIST[[#This Row],[SIP_TOTAL UNITS SOLD]]=0,0,SUMIFS(SIP[Cost of Units Sold],SIP[Investor ID],INVESTORS_LIST[[#This Row],[INVESTOR CODE]],SIP[B/S],"S"))</f>
        <v>0</v>
      </c>
      <c r="Q113" s="48">
        <f>IF(INVESTORS_LIST[[#This Row],[SIP_TOTAL CURRENT UNITS]]=0,0,INVESTORS_LIST[[#This Row],[SIP_TOTAL CURRENT UNITS]]*INVESTORS_LIST[[#This Row],[SIP_AVERAGE COST]])</f>
        <v>0</v>
      </c>
      <c r="R113" s="48">
        <f>IF(INVESTORS_LIST[[#This Row],[SIP_TOTAL UNITS SOLD]]=0,0,SUMIFS(SIP[Realized Gain],SIP[Investor ID],INVESTORS_LIST[[#This Row],[INVESTOR CODE]],SIP[B/S],"S"))</f>
        <v>0</v>
      </c>
      <c r="S113" s="50">
        <f>INVESTORS_LIST[[#This Row],[LS_TOTAL UNITS BUY]]+INVESTORS_LIST[[#This Row],[SIP_TOTAL UNITS BUY]]</f>
        <v>86783</v>
      </c>
      <c r="T113" s="50">
        <f>INVESTORS_LIST[[#This Row],[LS_TOTAL UNITS SOLD]]+INVESTORS_LIST[[#This Row],[SIP_TOTAL UNITS SOLD]]</f>
        <v>0</v>
      </c>
      <c r="U113" s="50">
        <v>9646</v>
      </c>
      <c r="V113" s="50">
        <f>SUMIFS(LS[BO UNIT TRANSFER],LS[Investor ID],INVESTORS_LIST[[#This Row],[INVESTOR CODE]],LS[B/S],"B")</f>
        <v>0</v>
      </c>
      <c r="W113" s="50">
        <f>SUMIFS(SIP[BO UNIT TRANSFER],SIP[Investor ID],INVESTORS_LIST[[#This Row],[INVESTOR CODE]],SIP[B/S],"B")</f>
        <v>0</v>
      </c>
      <c r="X113" s="50">
        <f>SUMIFS(LS[BO UNIT TRANSFER],LS[Investor ID],INVESTORS_LIST[[#This Row],[INVESTOR CODE]],LS[B/S],"S")</f>
        <v>0</v>
      </c>
      <c r="Y113" s="50">
        <f>SUMIFS(SIP[BO UNIT TRANSFER],SIP[Investor ID],INVESTORS_LIST[[#This Row],[INVESTOR CODE]],SIP[B/S],"S")</f>
        <v>0</v>
      </c>
      <c r="Z113" s="106">
        <f>SUM(INVESTORS_LIST[[#This Row],[BO OPENING BALANCE]:[BO SIP UNITS REPURCHASE]])</f>
        <v>9646</v>
      </c>
      <c r="AA113" s="107">
        <f>INVESTORS_LIST[[#This Row],[TOTAL UNITS BUY]]-INVESTORS_LIST[[#This Row],[TOTAL UNITS SOLD]]</f>
        <v>86783</v>
      </c>
      <c r="AB113" s="107">
        <f>INVESTORS_LIST[[#This Row],[TOTAL CURRENT UNITS]]-INVESTORS_LIST[[#This Row],[BO UNITS HOLD]]</f>
        <v>77137</v>
      </c>
      <c r="AC113" s="201" t="e">
        <f>INDEX([3]!Table_1[BO ID],MATCH(INVESTORS_LIST[[#This Row],[INVESTOR CODE]],[3]!Table_1[INVESTOR CODE],0))</f>
        <v>#REF!</v>
      </c>
      <c r="AD113" s="201" t="e">
        <f>INDEX([3]!Table_1[Brokerage Name2],MATCH(INVESTORS_LIST[[#This Row],[INVESTOR CODE]],[3]!Table_1[INVESTOR CODE],0))</f>
        <v>#REF!</v>
      </c>
      <c r="AE113" s="201" t="e">
        <f>MID(INVESTORS_LIST[[#This Row],[BO ID]],4,5)</f>
        <v>#REF!</v>
      </c>
      <c r="AF113" s="201" t="e">
        <f>MID(INVESTORS_LIST[[#This Row],[BO ID]],2,7)</f>
        <v>#REF!</v>
      </c>
      <c r="AG113" s="201" t="e">
        <f>MID(INVESTORS_LIST[[#This Row],[BO ID]],9,7)</f>
        <v>#REF!</v>
      </c>
      <c r="AH113" s="201" t="e">
        <f>RIGHT(INVESTORS_LIST[[#This Row],[BO ID]],1)</f>
        <v>#REF!</v>
      </c>
      <c r="AI113" s="50">
        <f>INVESTORS_LIST[[#This Row],[LS_TOTAL COST VALUE OF CURRENT UNITS]]+INVESTORS_LIST[[#This Row],[SIP_TOTAL COST VALUE OF CURRENT UNITS]]</f>
        <v>1000000.0000000001</v>
      </c>
      <c r="AJ113" s="109">
        <f>IF(INVESTORS_LIST[[#This Row],[TOTAL CURRENT UNITS]]=0,0,INVESTORS_LIST[[#This Row],[LS_TOTAL CURRENT UNITS]]/INVESTORS_LIST[[#This Row],[TOTAL CURRENT UNITS]])</f>
        <v>1</v>
      </c>
      <c r="AK113" s="109">
        <f>IF(INVESTORS_LIST[[#This Row],[TOTAL CURRENT UNITS]]=0,0,INVESTORS_LIST[[#This Row],[SIP_TOTAL CURRENT UNITS]]/INVESTORS_LIST[[#This Row],[TOTAL CURRENT UNITS]])</f>
        <v>0</v>
      </c>
      <c r="AL113" s="49" cm="1">
        <f t="array" ref="AL113">IF(INVESTORS_LIST[[#This Row],[LS_TOTAL UNITS BUY]]&gt;0,INDEX(LS[NAV at Cost (Average)],MATCH(CONCATENATE(COUNTIFS(LS[Investor ID],INVESTORS_LIST[[#This Row],[INVESTOR CODE]]),INVESTORS_LIST[[#This Row],[INVESTOR CODE]]),LS[Unique Code],0),),0)</f>
        <v>11.522994134795987</v>
      </c>
      <c r="AM113" s="49" cm="1">
        <f t="array" ref="AM1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3" s="105">
        <f>IF(INVESTORS_LIST[[#This Row],[TOTAL CURRENT UNITS]]=0,0,(INVESTORS_LIST[[#This Row],[LS_WEIGHT]]*INVESTORS_LIST[[#This Row],[LS_AVERAGE COST]])+(INVESTORS_LIST[[#This Row],[SIP_WEIGHT]]*INVESTORS_LIST[[#This Row],[SIP_AVERAGE COST]]))</f>
        <v>11.522994134795987</v>
      </c>
      <c r="AO113" s="105">
        <f t="shared" si="2"/>
        <v>14.224</v>
      </c>
      <c r="AP113" s="112">
        <f>IF(INVESTORS_LIST[[#This Row],[TOTAL CURRENT UNITS]]=0,0,INVESTORS_LIST[[#This Row],[TOTAL CURRENT UNITS]]*INVESTORS_LIST[[#This Row],[NAV]])</f>
        <v>1234401.392</v>
      </c>
      <c r="AQ113" s="49">
        <f>IF(INVESTORS_LIST[[#This Row],[LS_TOTAL CURRENT UNITS]]=0,0,INVESTORS_LIST[[#This Row],[LS_TOTAL CURRENT UNITS]]*INVESTORS_LIST[[#This Row],[NAV]])</f>
        <v>1234401.392</v>
      </c>
      <c r="AR113" s="48">
        <f>IF(INVESTORS_LIST[[#This Row],[SIP_TOTAL CURRENT UNITS]]=0,0,INVESTORS_LIST[[#This Row],[SIP_TOTAL CURRENT UNITS]]*INVESTORS_LIST[[#This Row],[NAV]])</f>
        <v>0</v>
      </c>
      <c r="AS113" s="50">
        <f>INVESTORS_LIST[[#This Row],[TOTAL CURRENT UNITS]]</f>
        <v>86783</v>
      </c>
      <c r="AT113" s="48">
        <f>IF(INVESTORS_LIST[[#This Row],[TOTAL SELLABLE UNITS]]=0,0,INVESTORS_LIST[[#This Row],[TOTAL SELLABLE UNITS]]*INVESTORS_LIST[[#This Row],[NAV]])</f>
        <v>1234401.392</v>
      </c>
      <c r="AU113" s="48">
        <f>INVESTORS_LIST[[#This Row],[LS_TOTAL REALIZED GAIN]]+INVESTORS_LIST[[#This Row],[SIP_TOTAL REALIZED GAIN]]</f>
        <v>0</v>
      </c>
      <c r="AV113" s="48">
        <f>INVESTORS_LIST[[#This Row],[TOTAL MARKET VALUE]]-INVESTORS_LIST[[#This Row],[TOTAL COST VALUE OF CURRENT INVESTMENT]]</f>
        <v>234401.39199999988</v>
      </c>
      <c r="AW113" s="48">
        <f>IFERROR(INVESTORS_LIST[[#This Row],[TOTAL CURRENT UNITS]]/SUM(INVESTORS_LIST[TOTAL CURRENT UNITS]),0)</f>
        <v>2.1067621498475635E-3</v>
      </c>
    </row>
    <row r="114" spans="1:49" hidden="1">
      <c r="A114" s="262" t="s">
        <v>275</v>
      </c>
      <c r="B114" s="97" t="s">
        <v>276</v>
      </c>
      <c r="C114" t="s">
        <v>44</v>
      </c>
      <c r="D114" s="75" t="s">
        <v>45</v>
      </c>
      <c r="E114" s="47">
        <f>SUMIFS(LS[Unit],LS[Investor ID],INVESTORS_LIST[[#This Row],[INVESTOR CODE]],LS[B/S],"B")</f>
        <v>0</v>
      </c>
      <c r="F114" s="47">
        <f>-SUMIFS(LS[Unit],LS[Investor ID],INVESTORS_LIST[[#This Row],[INVESTOR CODE]],LS[B/S],"S")</f>
        <v>0</v>
      </c>
      <c r="G114" s="47">
        <f>IF(INVESTORS_LIST[[#This Row],[LS_TOTAL UNITS BUY]]=0,0,INVESTORS_LIST[[#This Row],[LS_TOTAL UNITS BUY]]-INVESTORS_LIST[[#This Row],[LS_TOTAL UNITS SOLD]])</f>
        <v>0</v>
      </c>
      <c r="H114" s="49">
        <f>IF(INVESTORS_LIST[[#This Row],[LS_TOTAL UNITS BUY]]=0,0,SUMIFS(LS[Amount],LS[Investor ID],INVESTORS_LIST[[#This Row],[INVESTOR CODE]],LS[B/S],"B"))</f>
        <v>0</v>
      </c>
      <c r="I114" s="48">
        <f>IF(INVESTORS_LIST[[#This Row],[LS_TOTAL UNITS SOLD]]=0,0,SUMIFS(LS[Cost of Units Sold],LS[Investor ID],INVESTORS_LIST[[#This Row],[INVESTOR CODE]],LS[B/S],"S"))</f>
        <v>0</v>
      </c>
      <c r="J114" s="48">
        <f>IF(INVESTORS_LIST[[#This Row],[LS_TOTAL CURRENT UNITS]]=0,0,INVESTORS_LIST[[#This Row],[LS_TOTAL CURRENT UNITS]]*INVESTORS_LIST[[#This Row],[LS_AVERAGE COST]])</f>
        <v>0</v>
      </c>
      <c r="K114" s="49">
        <f>IF(INVESTORS_LIST[[#This Row],[LS_TOTAL UNITS SOLD]]=0,0,SUMIFS(LS[Realized Gain],LS[Investor ID],INVESTORS_LIST[[#This Row],[INVESTOR CODE]],LS[B/S],"S"))</f>
        <v>0</v>
      </c>
      <c r="L114" s="47">
        <f>SUMIFS(SIP[Unit],SIP[Investor ID],INVESTORS_LIST[[#This Row],[INVESTOR CODE]],SIP[B/S],"B")</f>
        <v>0</v>
      </c>
      <c r="M114" s="47">
        <f>-SUMIFS(SIP[Unit],SIP[Investor ID],INVESTORS_LIST[[#This Row],[INVESTOR CODE]],SIP[B/S],"S")</f>
        <v>0</v>
      </c>
      <c r="N114" s="50">
        <f>IF(INVESTORS_LIST[[#This Row],[SIP_TOTAL UNITS BUY]]=0,0,INVESTORS_LIST[[#This Row],[SIP_TOTAL UNITS BUY]]-INVESTORS_LIST[[#This Row],[SIP_TOTAL UNITS SOLD]])</f>
        <v>0</v>
      </c>
      <c r="O114" s="49">
        <f>IF(INVESTORS_LIST[[#This Row],[SIP_TOTAL UNITS BUY]]=0,0,SUMIFS(SIP[Amount],SIP[Investor ID],INVESTORS_LIST[[#This Row],[INVESTOR CODE]],SIP[B/S],"B"))</f>
        <v>0</v>
      </c>
      <c r="P114" s="49">
        <f>IF(INVESTORS_LIST[[#This Row],[SIP_TOTAL UNITS SOLD]]=0,0,SUMIFS(SIP[Cost of Units Sold],SIP[Investor ID],INVESTORS_LIST[[#This Row],[INVESTOR CODE]],SIP[B/S],"S"))</f>
        <v>0</v>
      </c>
      <c r="Q114" s="48">
        <f>IF(INVESTORS_LIST[[#This Row],[SIP_TOTAL CURRENT UNITS]]=0,0,INVESTORS_LIST[[#This Row],[SIP_TOTAL CURRENT UNITS]]*INVESTORS_LIST[[#This Row],[SIP_AVERAGE COST]])</f>
        <v>0</v>
      </c>
      <c r="R114" s="48">
        <f>IF(INVESTORS_LIST[[#This Row],[SIP_TOTAL UNITS SOLD]]=0,0,SUMIFS(SIP[Realized Gain],SIP[Investor ID],INVESTORS_LIST[[#This Row],[INVESTOR CODE]],SIP[B/S],"S"))</f>
        <v>0</v>
      </c>
      <c r="S114" s="50">
        <f>INVESTORS_LIST[[#This Row],[LS_TOTAL UNITS BUY]]+INVESTORS_LIST[[#This Row],[SIP_TOTAL UNITS BUY]]</f>
        <v>0</v>
      </c>
      <c r="T114" s="50">
        <f>INVESTORS_LIST[[#This Row],[LS_TOTAL UNITS SOLD]]+INVESTORS_LIST[[#This Row],[SIP_TOTAL UNITS SOLD]]</f>
        <v>0</v>
      </c>
      <c r="U114" s="50"/>
      <c r="V114" s="50">
        <f>SUMIFS(LS[BO UNIT TRANSFER],LS[Investor ID],INVESTORS_LIST[[#This Row],[INVESTOR CODE]],LS[B/S],"B")</f>
        <v>0</v>
      </c>
      <c r="W114" s="50">
        <f>SUMIFS(SIP[BO UNIT TRANSFER],SIP[Investor ID],INVESTORS_LIST[[#This Row],[INVESTOR CODE]],SIP[B/S],"B")</f>
        <v>0</v>
      </c>
      <c r="X114" s="50">
        <f>SUMIFS(LS[BO UNIT TRANSFER],LS[Investor ID],INVESTORS_LIST[[#This Row],[INVESTOR CODE]],LS[B/S],"S")</f>
        <v>0</v>
      </c>
      <c r="Y114" s="50">
        <f>SUMIFS(SIP[BO UNIT TRANSFER],SIP[Investor ID],INVESTORS_LIST[[#This Row],[INVESTOR CODE]],SIP[B/S],"S")</f>
        <v>0</v>
      </c>
      <c r="Z114" s="106">
        <f>SUM(INVESTORS_LIST[[#This Row],[BO OPENING BALANCE]:[BO SIP UNITS REPURCHASE]])</f>
        <v>0</v>
      </c>
      <c r="AA114" s="107">
        <f>INVESTORS_LIST[[#This Row],[TOTAL UNITS BUY]]-INVESTORS_LIST[[#This Row],[TOTAL UNITS SOLD]]</f>
        <v>0</v>
      </c>
      <c r="AB114" s="107">
        <f>INVESTORS_LIST[[#This Row],[TOTAL CURRENT UNITS]]-INVESTORS_LIST[[#This Row],[BO UNITS HOLD]]</f>
        <v>0</v>
      </c>
      <c r="AC114" s="201" t="e">
        <f>INDEX([3]!Table_1[BO ID],MATCH(INVESTORS_LIST[[#This Row],[INVESTOR CODE]],[3]!Table_1[INVESTOR CODE],0))</f>
        <v>#REF!</v>
      </c>
      <c r="AD114" s="201" t="e">
        <f>INDEX([3]!Table_1[Brokerage Name2],MATCH(INVESTORS_LIST[[#This Row],[INVESTOR CODE]],[3]!Table_1[INVESTOR CODE],0))</f>
        <v>#REF!</v>
      </c>
      <c r="AE114" s="201" t="e">
        <f>MID(INVESTORS_LIST[[#This Row],[BO ID]],4,5)</f>
        <v>#REF!</v>
      </c>
      <c r="AF114" s="201" t="e">
        <f>MID(INVESTORS_LIST[[#This Row],[BO ID]],2,7)</f>
        <v>#REF!</v>
      </c>
      <c r="AG114" s="201" t="e">
        <f>MID(INVESTORS_LIST[[#This Row],[BO ID]],9,7)</f>
        <v>#REF!</v>
      </c>
      <c r="AH114" s="201" t="e">
        <f>RIGHT(INVESTORS_LIST[[#This Row],[BO ID]],1)</f>
        <v>#REF!</v>
      </c>
      <c r="AI114" s="50">
        <f>INVESTORS_LIST[[#This Row],[LS_TOTAL COST VALUE OF CURRENT UNITS]]+INVESTORS_LIST[[#This Row],[SIP_TOTAL COST VALUE OF CURRENT UNITS]]</f>
        <v>0</v>
      </c>
      <c r="AJ114" s="109">
        <f>IF(INVESTORS_LIST[[#This Row],[TOTAL CURRENT UNITS]]=0,0,INVESTORS_LIST[[#This Row],[LS_TOTAL CURRENT UNITS]]/INVESTORS_LIST[[#This Row],[TOTAL CURRENT UNITS]])</f>
        <v>0</v>
      </c>
      <c r="AK114" s="109">
        <f>IF(INVESTORS_LIST[[#This Row],[TOTAL CURRENT UNITS]]=0,0,INVESTORS_LIST[[#This Row],[SIP_TOTAL CURRENT UNITS]]/INVESTORS_LIST[[#This Row],[TOTAL CURRENT UNITS]])</f>
        <v>0</v>
      </c>
      <c r="AL114" s="49" cm="1">
        <f t="array" ref="AL1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4" s="49" cm="1">
        <f t="array" ref="AM1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4" s="105">
        <f t="shared" si="2"/>
        <v>14.224</v>
      </c>
      <c r="AP114" s="112">
        <f>IF(INVESTORS_LIST[[#This Row],[TOTAL CURRENT UNITS]]=0,0,INVESTORS_LIST[[#This Row],[TOTAL CURRENT UNITS]]*INVESTORS_LIST[[#This Row],[NAV]])</f>
        <v>0</v>
      </c>
      <c r="AQ114" s="49">
        <f>IF(INVESTORS_LIST[[#This Row],[LS_TOTAL CURRENT UNITS]]=0,0,INVESTORS_LIST[[#This Row],[LS_TOTAL CURRENT UNITS]]*INVESTORS_LIST[[#This Row],[NAV]])</f>
        <v>0</v>
      </c>
      <c r="AR114" s="48">
        <f>IF(INVESTORS_LIST[[#This Row],[SIP_TOTAL CURRENT UNITS]]=0,0,INVESTORS_LIST[[#This Row],[SIP_TOTAL CURRENT UNITS]]*INVESTORS_LIST[[#This Row],[NAV]])</f>
        <v>0</v>
      </c>
      <c r="AS114" s="50">
        <f>INVESTORS_LIST[[#This Row],[TOTAL CURRENT UNITS]]</f>
        <v>0</v>
      </c>
      <c r="AT114" s="48">
        <f>IF(INVESTORS_LIST[[#This Row],[TOTAL SELLABLE UNITS]]=0,0,INVESTORS_LIST[[#This Row],[TOTAL SELLABLE UNITS]]*INVESTORS_LIST[[#This Row],[NAV]])</f>
        <v>0</v>
      </c>
      <c r="AU114" s="48">
        <f>INVESTORS_LIST[[#This Row],[LS_TOTAL REALIZED GAIN]]+INVESTORS_LIST[[#This Row],[SIP_TOTAL REALIZED GAIN]]</f>
        <v>0</v>
      </c>
      <c r="AV114" s="48">
        <f>INVESTORS_LIST[[#This Row],[TOTAL MARKET VALUE]]-INVESTORS_LIST[[#This Row],[TOTAL COST VALUE OF CURRENT INVESTMENT]]</f>
        <v>0</v>
      </c>
      <c r="AW114" s="48">
        <f>IFERROR(INVESTORS_LIST[[#This Row],[TOTAL CURRENT UNITS]]/SUM(INVESTORS_LIST[TOTAL CURRENT UNITS]),0)</f>
        <v>0</v>
      </c>
    </row>
    <row r="115" spans="1:49" hidden="1">
      <c r="A115" s="262" t="s">
        <v>277</v>
      </c>
      <c r="B115" s="97" t="s">
        <v>278</v>
      </c>
      <c r="C115" t="s">
        <v>44</v>
      </c>
      <c r="D115" s="75" t="s">
        <v>45</v>
      </c>
      <c r="E115" s="47">
        <f>SUMIFS(LS[Unit],LS[Investor ID],INVESTORS_LIST[[#This Row],[INVESTOR CODE]],LS[B/S],"B")</f>
        <v>58441</v>
      </c>
      <c r="F115" s="47">
        <f>-SUMIFS(LS[Unit],LS[Investor ID],INVESTORS_LIST[[#This Row],[INVESTOR CODE]],LS[B/S],"S")</f>
        <v>58441</v>
      </c>
      <c r="G115" s="47">
        <f>IF(INVESTORS_LIST[[#This Row],[LS_TOTAL UNITS BUY]]=0,0,INVESTORS_LIST[[#This Row],[LS_TOTAL UNITS BUY]]-INVESTORS_LIST[[#This Row],[LS_TOTAL UNITS SOLD]])</f>
        <v>0</v>
      </c>
      <c r="H115" s="49">
        <f>IF(INVESTORS_LIST[[#This Row],[LS_TOTAL UNITS BUY]]=0,0,SUMIFS(LS[Amount],LS[Investor ID],INVESTORS_LIST[[#This Row],[INVESTOR CODE]],LS[B/S],"B"))</f>
        <v>663000</v>
      </c>
      <c r="I115" s="48">
        <f>IF(INVESTORS_LIST[[#This Row],[LS_TOTAL UNITS SOLD]]=0,0,SUMIFS(LS[Cost of Units Sold],LS[Investor ID],INVESTORS_LIST[[#This Row],[INVESTOR CODE]],LS[B/S],"S"))</f>
        <v>663000</v>
      </c>
      <c r="J115" s="48">
        <f>IF(INVESTORS_LIST[[#This Row],[LS_TOTAL CURRENT UNITS]]=0,0,INVESTORS_LIST[[#This Row],[LS_TOTAL CURRENT UNITS]]*INVESTORS_LIST[[#This Row],[LS_AVERAGE COST]])</f>
        <v>0</v>
      </c>
      <c r="K115" s="49">
        <f>IF(INVESTORS_LIST[[#This Row],[LS_TOTAL UNITS SOLD]]=0,0,SUMIFS(LS[Realized Gain],LS[Investor ID],INVESTORS_LIST[[#This Row],[INVESTOR CODE]],LS[B/S],"S"))</f>
        <v>119683.51999999997</v>
      </c>
      <c r="L115" s="47">
        <f>SUMIFS(SIP[Unit],SIP[Investor ID],INVESTORS_LIST[[#This Row],[INVESTOR CODE]],SIP[B/S],"B")</f>
        <v>0</v>
      </c>
      <c r="M115" s="47">
        <f>-SUMIFS(SIP[Unit],SIP[Investor ID],INVESTORS_LIST[[#This Row],[INVESTOR CODE]],SIP[B/S],"S")</f>
        <v>0</v>
      </c>
      <c r="N115" s="50">
        <f>IF(INVESTORS_LIST[[#This Row],[SIP_TOTAL UNITS BUY]]=0,0,INVESTORS_LIST[[#This Row],[SIP_TOTAL UNITS BUY]]-INVESTORS_LIST[[#This Row],[SIP_TOTAL UNITS SOLD]])</f>
        <v>0</v>
      </c>
      <c r="O115" s="49">
        <f>IF(INVESTORS_LIST[[#This Row],[SIP_TOTAL UNITS BUY]]=0,0,SUMIFS(SIP[Amount],SIP[Investor ID],INVESTORS_LIST[[#This Row],[INVESTOR CODE]],SIP[B/S],"B"))</f>
        <v>0</v>
      </c>
      <c r="P115" s="49">
        <f>IF(INVESTORS_LIST[[#This Row],[SIP_TOTAL UNITS SOLD]]=0,0,SUMIFS(SIP[Cost of Units Sold],SIP[Investor ID],INVESTORS_LIST[[#This Row],[INVESTOR CODE]],SIP[B/S],"S"))</f>
        <v>0</v>
      </c>
      <c r="Q115" s="48">
        <f>IF(INVESTORS_LIST[[#This Row],[SIP_TOTAL CURRENT UNITS]]=0,0,INVESTORS_LIST[[#This Row],[SIP_TOTAL CURRENT UNITS]]*INVESTORS_LIST[[#This Row],[SIP_AVERAGE COST]])</f>
        <v>0</v>
      </c>
      <c r="R115" s="48">
        <f>IF(INVESTORS_LIST[[#This Row],[SIP_TOTAL UNITS SOLD]]=0,0,SUMIFS(SIP[Realized Gain],SIP[Investor ID],INVESTORS_LIST[[#This Row],[INVESTOR CODE]],SIP[B/S],"S"))</f>
        <v>0</v>
      </c>
      <c r="S115" s="50">
        <f>INVESTORS_LIST[[#This Row],[LS_TOTAL UNITS BUY]]+INVESTORS_LIST[[#This Row],[SIP_TOTAL UNITS BUY]]</f>
        <v>58441</v>
      </c>
      <c r="T115" s="50">
        <f>INVESTORS_LIST[[#This Row],[LS_TOTAL UNITS SOLD]]+INVESTORS_LIST[[#This Row],[SIP_TOTAL UNITS SOLD]]</f>
        <v>58441</v>
      </c>
      <c r="U115" s="50"/>
      <c r="V115" s="50">
        <f>SUMIFS(LS[BO UNIT TRANSFER],LS[Investor ID],INVESTORS_LIST[[#This Row],[INVESTOR CODE]],LS[B/S],"B")</f>
        <v>0</v>
      </c>
      <c r="W115" s="50">
        <f>SUMIFS(SIP[BO UNIT TRANSFER],SIP[Investor ID],INVESTORS_LIST[[#This Row],[INVESTOR CODE]],SIP[B/S],"B")</f>
        <v>0</v>
      </c>
      <c r="X115" s="50">
        <f>SUMIFS(LS[BO UNIT TRANSFER],LS[Investor ID],INVESTORS_LIST[[#This Row],[INVESTOR CODE]],LS[B/S],"S")</f>
        <v>0</v>
      </c>
      <c r="Y115" s="50">
        <f>SUMIFS(SIP[BO UNIT TRANSFER],SIP[Investor ID],INVESTORS_LIST[[#This Row],[INVESTOR CODE]],SIP[B/S],"S")</f>
        <v>0</v>
      </c>
      <c r="Z115" s="106">
        <f>SUM(INVESTORS_LIST[[#This Row],[BO OPENING BALANCE]:[BO SIP UNITS REPURCHASE]])</f>
        <v>0</v>
      </c>
      <c r="AA115" s="107">
        <f>INVESTORS_LIST[[#This Row],[TOTAL UNITS BUY]]-INVESTORS_LIST[[#This Row],[TOTAL UNITS SOLD]]</f>
        <v>0</v>
      </c>
      <c r="AB115" s="107">
        <f>INVESTORS_LIST[[#This Row],[TOTAL CURRENT UNITS]]-INVESTORS_LIST[[#This Row],[BO UNITS HOLD]]</f>
        <v>0</v>
      </c>
      <c r="AC115" s="201" t="e">
        <f>INDEX([3]!Table_1[BO ID],MATCH(INVESTORS_LIST[[#This Row],[INVESTOR CODE]],[3]!Table_1[INVESTOR CODE],0))</f>
        <v>#REF!</v>
      </c>
      <c r="AD115" s="201" t="e">
        <f>INDEX([3]!Table_1[Brokerage Name2],MATCH(INVESTORS_LIST[[#This Row],[INVESTOR CODE]],[3]!Table_1[INVESTOR CODE],0))</f>
        <v>#REF!</v>
      </c>
      <c r="AE115" s="201" t="e">
        <f>MID(INVESTORS_LIST[[#This Row],[BO ID]],4,5)</f>
        <v>#REF!</v>
      </c>
      <c r="AF115" s="201" t="e">
        <f>MID(INVESTORS_LIST[[#This Row],[BO ID]],2,7)</f>
        <v>#REF!</v>
      </c>
      <c r="AG115" s="201" t="e">
        <f>MID(INVESTORS_LIST[[#This Row],[BO ID]],9,7)</f>
        <v>#REF!</v>
      </c>
      <c r="AH115" s="201" t="e">
        <f>RIGHT(INVESTORS_LIST[[#This Row],[BO ID]],1)</f>
        <v>#REF!</v>
      </c>
      <c r="AI115" s="50">
        <f>INVESTORS_LIST[[#This Row],[LS_TOTAL COST VALUE OF CURRENT UNITS]]+INVESTORS_LIST[[#This Row],[SIP_TOTAL COST VALUE OF CURRENT UNITS]]</f>
        <v>0</v>
      </c>
      <c r="AJ115" s="109">
        <f>IF(INVESTORS_LIST[[#This Row],[TOTAL CURRENT UNITS]]=0,0,INVESTORS_LIST[[#This Row],[LS_TOTAL CURRENT UNITS]]/INVESTORS_LIST[[#This Row],[TOTAL CURRENT UNITS]])</f>
        <v>0</v>
      </c>
      <c r="AK115" s="109">
        <f>IF(INVESTORS_LIST[[#This Row],[TOTAL CURRENT UNITS]]=0,0,INVESTORS_LIST[[#This Row],[SIP_TOTAL CURRENT UNITS]]/INVESTORS_LIST[[#This Row],[TOTAL CURRENT UNITS]])</f>
        <v>0</v>
      </c>
      <c r="AL115" s="49" cm="1">
        <f t="array" ref="AL1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5" s="49" cm="1">
        <f t="array" ref="AM1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5" s="105">
        <f t="shared" si="2"/>
        <v>14.224</v>
      </c>
      <c r="AP115" s="112">
        <f>IF(INVESTORS_LIST[[#This Row],[TOTAL CURRENT UNITS]]=0,0,INVESTORS_LIST[[#This Row],[TOTAL CURRENT UNITS]]*INVESTORS_LIST[[#This Row],[NAV]])</f>
        <v>0</v>
      </c>
      <c r="AQ115" s="49">
        <f>IF(INVESTORS_LIST[[#This Row],[LS_TOTAL CURRENT UNITS]]=0,0,INVESTORS_LIST[[#This Row],[LS_TOTAL CURRENT UNITS]]*INVESTORS_LIST[[#This Row],[NAV]])</f>
        <v>0</v>
      </c>
      <c r="AR115" s="48">
        <f>IF(INVESTORS_LIST[[#This Row],[SIP_TOTAL CURRENT UNITS]]=0,0,INVESTORS_LIST[[#This Row],[SIP_TOTAL CURRENT UNITS]]*INVESTORS_LIST[[#This Row],[NAV]])</f>
        <v>0</v>
      </c>
      <c r="AS115" s="50">
        <f>INVESTORS_LIST[[#This Row],[TOTAL CURRENT UNITS]]</f>
        <v>0</v>
      </c>
      <c r="AT115" s="48">
        <f>IF(INVESTORS_LIST[[#This Row],[TOTAL SELLABLE UNITS]]=0,0,INVESTORS_LIST[[#This Row],[TOTAL SELLABLE UNITS]]*INVESTORS_LIST[[#This Row],[NAV]])</f>
        <v>0</v>
      </c>
      <c r="AU115" s="48">
        <f>INVESTORS_LIST[[#This Row],[LS_TOTAL REALIZED GAIN]]+INVESTORS_LIST[[#This Row],[SIP_TOTAL REALIZED GAIN]]</f>
        <v>119683.51999999997</v>
      </c>
      <c r="AV115" s="48">
        <f>INVESTORS_LIST[[#This Row],[TOTAL MARKET VALUE]]-INVESTORS_LIST[[#This Row],[TOTAL COST VALUE OF CURRENT INVESTMENT]]</f>
        <v>0</v>
      </c>
      <c r="AW115" s="108">
        <f>IFERROR(INVESTORS_LIST[[#This Row],[TOTAL CURRENT UNITS]]/SUM(INVESTORS_LIST[TOTAL CURRENT UNITS]),0)</f>
        <v>0</v>
      </c>
    </row>
    <row r="116" spans="1:49">
      <c r="A116" s="262" t="s">
        <v>279</v>
      </c>
      <c r="B116" s="97" t="s">
        <v>280</v>
      </c>
      <c r="C116" t="s">
        <v>44</v>
      </c>
      <c r="D116" s="75" t="s">
        <v>45</v>
      </c>
      <c r="E116" s="47">
        <f>SUMIFS(LS[Unit],LS[Investor ID],INVESTORS_LIST[[#This Row],[INVESTOR CODE]],LS[B/S],"B")</f>
        <v>1406265</v>
      </c>
      <c r="F116" s="47">
        <f>-SUMIFS(LS[Unit],LS[Investor ID],INVESTORS_LIST[[#This Row],[INVESTOR CODE]],LS[B/S],"S")</f>
        <v>646348</v>
      </c>
      <c r="G116" s="47">
        <f>IF(INVESTORS_LIST[[#This Row],[LS_TOTAL UNITS BUY]]=0,0,INVESTORS_LIST[[#This Row],[LS_TOTAL UNITS BUY]]-INVESTORS_LIST[[#This Row],[LS_TOTAL UNITS SOLD]])</f>
        <v>759917</v>
      </c>
      <c r="H116" s="49">
        <f>IF(INVESTORS_LIST[[#This Row],[LS_TOTAL UNITS BUY]]=0,0,SUMIFS(LS[Amount],LS[Investor ID],INVESTORS_LIST[[#This Row],[INVESTOR CODE]],LS[B/S],"B"))</f>
        <v>15000000</v>
      </c>
      <c r="I116" s="48">
        <f>IF(INVESTORS_LIST[[#This Row],[LS_TOTAL UNITS SOLD]]=0,0,SUMIFS(LS[Cost of Units Sold],LS[Investor ID],INVESTORS_LIST[[#This Row],[INVESTOR CODE]],LS[B/S],"S"))</f>
        <v>6894305.1274119737</v>
      </c>
      <c r="J116" s="48">
        <f>IF(INVESTORS_LIST[[#This Row],[LS_TOTAL CURRENT UNITS]]=0,0,INVESTORS_LIST[[#This Row],[LS_TOTAL CURRENT UNITS]]*INVESTORS_LIST[[#This Row],[LS_AVERAGE COST]])</f>
        <v>8105694.8725880254</v>
      </c>
      <c r="K116" s="49">
        <f>IF(INVESTORS_LIST[[#This Row],[LS_TOTAL UNITS SOLD]]=0,0,SUMIFS(LS[Realized Gain],LS[Investor ID],INVESTORS_LIST[[#This Row],[INVESTOR CODE]],LS[B/S],"S"))</f>
        <v>1455579.8725880263</v>
      </c>
      <c r="L116" s="47">
        <f>SUMIFS(SIP[Unit],SIP[Investor ID],INVESTORS_LIST[[#This Row],[INVESTOR CODE]],SIP[B/S],"B")</f>
        <v>0</v>
      </c>
      <c r="M116" s="47">
        <f>-SUMIFS(SIP[Unit],SIP[Investor ID],INVESTORS_LIST[[#This Row],[INVESTOR CODE]],SIP[B/S],"S")</f>
        <v>0</v>
      </c>
      <c r="N116" s="50">
        <f>IF(INVESTORS_LIST[[#This Row],[SIP_TOTAL UNITS BUY]]=0,0,INVESTORS_LIST[[#This Row],[SIP_TOTAL UNITS BUY]]-INVESTORS_LIST[[#This Row],[SIP_TOTAL UNITS SOLD]])</f>
        <v>0</v>
      </c>
      <c r="O116" s="49">
        <f>IF(INVESTORS_LIST[[#This Row],[SIP_TOTAL UNITS BUY]]=0,0,SUMIFS(SIP[Amount],SIP[Investor ID],INVESTORS_LIST[[#This Row],[INVESTOR CODE]],SIP[B/S],"B"))</f>
        <v>0</v>
      </c>
      <c r="P116" s="49">
        <f>IF(INVESTORS_LIST[[#This Row],[SIP_TOTAL UNITS SOLD]]=0,0,SUMIFS(SIP[Cost of Units Sold],SIP[Investor ID],INVESTORS_LIST[[#This Row],[INVESTOR CODE]],SIP[B/S],"S"))</f>
        <v>0</v>
      </c>
      <c r="Q116" s="48">
        <f>IF(INVESTORS_LIST[[#This Row],[SIP_TOTAL CURRENT UNITS]]=0,0,INVESTORS_LIST[[#This Row],[SIP_TOTAL CURRENT UNITS]]*INVESTORS_LIST[[#This Row],[SIP_AVERAGE COST]])</f>
        <v>0</v>
      </c>
      <c r="R116" s="48">
        <f>IF(INVESTORS_LIST[[#This Row],[SIP_TOTAL UNITS SOLD]]=0,0,SUMIFS(SIP[Realized Gain],SIP[Investor ID],INVESTORS_LIST[[#This Row],[INVESTOR CODE]],SIP[B/S],"S"))</f>
        <v>0</v>
      </c>
      <c r="S116" s="50">
        <f>INVESTORS_LIST[[#This Row],[LS_TOTAL UNITS BUY]]+INVESTORS_LIST[[#This Row],[SIP_TOTAL UNITS BUY]]</f>
        <v>1406265</v>
      </c>
      <c r="T116" s="50">
        <f>INVESTORS_LIST[[#This Row],[LS_TOTAL UNITS SOLD]]+INVESTORS_LIST[[#This Row],[SIP_TOTAL UNITS SOLD]]</f>
        <v>646348</v>
      </c>
      <c r="U116" s="50">
        <v>1258440</v>
      </c>
      <c r="V116" s="50">
        <f>SUMIFS(LS[BO UNIT TRANSFER],LS[Investor ID],INVESTORS_LIST[[#This Row],[INVESTOR CODE]],LS[B/S],"B")</f>
        <v>0</v>
      </c>
      <c r="W116" s="50">
        <f>SUMIFS(SIP[BO UNIT TRANSFER],SIP[Investor ID],INVESTORS_LIST[[#This Row],[INVESTOR CODE]],SIP[B/S],"B")</f>
        <v>0</v>
      </c>
      <c r="X116" s="50">
        <f>SUMIFS(LS[BO UNIT TRANSFER],LS[Investor ID],INVESTORS_LIST[[#This Row],[INVESTOR CODE]],LS[B/S],"S")</f>
        <v>0</v>
      </c>
      <c r="Y116" s="50">
        <f>SUMIFS(SIP[BO UNIT TRANSFER],SIP[Investor ID],INVESTORS_LIST[[#This Row],[INVESTOR CODE]],SIP[B/S],"S")</f>
        <v>0</v>
      </c>
      <c r="Z116" s="106">
        <f>SUM(INVESTORS_LIST[[#This Row],[BO OPENING BALANCE]:[BO SIP UNITS REPURCHASE]])</f>
        <v>1258440</v>
      </c>
      <c r="AA116" s="107">
        <f>INVESTORS_LIST[[#This Row],[TOTAL UNITS BUY]]-INVESTORS_LIST[[#This Row],[TOTAL UNITS SOLD]]</f>
        <v>759917</v>
      </c>
      <c r="AB116" s="107">
        <f>INVESTORS_LIST[[#This Row],[TOTAL CURRENT UNITS]]-INVESTORS_LIST[[#This Row],[BO UNITS HOLD]]</f>
        <v>-498523</v>
      </c>
      <c r="AC116" s="201" t="e">
        <f>INDEX([3]!Table_1[BO ID],MATCH(INVESTORS_LIST[[#This Row],[INVESTOR CODE]],[3]!Table_1[INVESTOR CODE],0))</f>
        <v>#REF!</v>
      </c>
      <c r="AD116" s="201" t="e">
        <f>INDEX([3]!Table_1[Brokerage Name2],MATCH(INVESTORS_LIST[[#This Row],[INVESTOR CODE]],[3]!Table_1[INVESTOR CODE],0))</f>
        <v>#REF!</v>
      </c>
      <c r="AE116" s="201" t="e">
        <f>MID(INVESTORS_LIST[[#This Row],[BO ID]],4,5)</f>
        <v>#REF!</v>
      </c>
      <c r="AF116" s="201" t="e">
        <f>MID(INVESTORS_LIST[[#This Row],[BO ID]],2,7)</f>
        <v>#REF!</v>
      </c>
      <c r="AG116" s="201" t="e">
        <f>MID(INVESTORS_LIST[[#This Row],[BO ID]],9,7)</f>
        <v>#REF!</v>
      </c>
      <c r="AH116" s="201" t="e">
        <f>RIGHT(INVESTORS_LIST[[#This Row],[BO ID]],1)</f>
        <v>#REF!</v>
      </c>
      <c r="AI116" s="50">
        <f>INVESTORS_LIST[[#This Row],[LS_TOTAL COST VALUE OF CURRENT UNITS]]+INVESTORS_LIST[[#This Row],[SIP_TOTAL COST VALUE OF CURRENT UNITS]]</f>
        <v>8105694.8725880254</v>
      </c>
      <c r="AJ116" s="109">
        <f>IF(INVESTORS_LIST[[#This Row],[TOTAL CURRENT UNITS]]=0,0,INVESTORS_LIST[[#This Row],[LS_TOTAL CURRENT UNITS]]/INVESTORS_LIST[[#This Row],[TOTAL CURRENT UNITS]])</f>
        <v>1</v>
      </c>
      <c r="AK116" s="109">
        <f>IF(INVESTORS_LIST[[#This Row],[TOTAL CURRENT UNITS]]=0,0,INVESTORS_LIST[[#This Row],[SIP_TOTAL CURRENT UNITS]]/INVESTORS_LIST[[#This Row],[TOTAL CURRENT UNITS]])</f>
        <v>0</v>
      </c>
      <c r="AL116" s="49" cm="1">
        <f t="array" ref="AL116">IF(INVESTORS_LIST[[#This Row],[LS_TOTAL UNITS BUY]]&gt;0,INDEX(LS[NAV at Cost (Average)],MATCH(CONCATENATE(COUNTIFS(LS[Investor ID],INVESTORS_LIST[[#This Row],[INVESTOR CODE]]),INVESTORS_LIST[[#This Row],[INVESTOR CODE]]),LS[Unique Code],0),),0)</f>
        <v>10.666552890102505</v>
      </c>
      <c r="AM116" s="49" cm="1">
        <f t="array" ref="AM1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6" s="105">
        <f>IF(INVESTORS_LIST[[#This Row],[TOTAL CURRENT UNITS]]=0,0,(INVESTORS_LIST[[#This Row],[LS_WEIGHT]]*INVESTORS_LIST[[#This Row],[LS_AVERAGE COST]])+(INVESTORS_LIST[[#This Row],[SIP_WEIGHT]]*INVESTORS_LIST[[#This Row],[SIP_AVERAGE COST]]))</f>
        <v>10.666552890102505</v>
      </c>
      <c r="AO116" s="105">
        <f t="shared" si="2"/>
        <v>14.224</v>
      </c>
      <c r="AP116" s="112">
        <f>IF(INVESTORS_LIST[[#This Row],[TOTAL CURRENT UNITS]]=0,0,INVESTORS_LIST[[#This Row],[TOTAL CURRENT UNITS]]*INVESTORS_LIST[[#This Row],[NAV]])</f>
        <v>10809059.408</v>
      </c>
      <c r="AQ116" s="49">
        <f>IF(INVESTORS_LIST[[#This Row],[LS_TOTAL CURRENT UNITS]]=0,0,INVESTORS_LIST[[#This Row],[LS_TOTAL CURRENT UNITS]]*INVESTORS_LIST[[#This Row],[NAV]])</f>
        <v>10809059.408</v>
      </c>
      <c r="AR116" s="48">
        <f>IF(INVESTORS_LIST[[#This Row],[SIP_TOTAL CURRENT UNITS]]=0,0,INVESTORS_LIST[[#This Row],[SIP_TOTAL CURRENT UNITS]]*INVESTORS_LIST[[#This Row],[NAV]])</f>
        <v>0</v>
      </c>
      <c r="AS116" s="50">
        <f>INVESTORS_LIST[[#This Row],[TOTAL CURRENT UNITS]]</f>
        <v>759917</v>
      </c>
      <c r="AT116" s="48">
        <f>IF(INVESTORS_LIST[[#This Row],[TOTAL SELLABLE UNITS]]=0,0,INVESTORS_LIST[[#This Row],[TOTAL SELLABLE UNITS]]*INVESTORS_LIST[[#This Row],[NAV]])</f>
        <v>10809059.408</v>
      </c>
      <c r="AU116" s="48">
        <f>INVESTORS_LIST[[#This Row],[LS_TOTAL REALIZED GAIN]]+INVESTORS_LIST[[#This Row],[SIP_TOTAL REALIZED GAIN]]</f>
        <v>1455579.8725880263</v>
      </c>
      <c r="AV116" s="48">
        <f>INVESTORS_LIST[[#This Row],[TOTAL MARKET VALUE]]-INVESTORS_LIST[[#This Row],[TOTAL COST VALUE OF CURRENT INVESTMENT]]</f>
        <v>2703364.5354119744</v>
      </c>
      <c r="AW116" s="48">
        <f>IFERROR(INVESTORS_LIST[[#This Row],[TOTAL CURRENT UNITS]]/SUM(INVESTORS_LIST[TOTAL CURRENT UNITS]),0)</f>
        <v>1.8447903075783402E-2</v>
      </c>
    </row>
    <row r="117" spans="1:49" hidden="1">
      <c r="A117" s="262" t="s">
        <v>281</v>
      </c>
      <c r="B117" s="97" t="s">
        <v>282</v>
      </c>
      <c r="C117" t="s">
        <v>44</v>
      </c>
      <c r="D117" s="75" t="s">
        <v>45</v>
      </c>
      <c r="E117" s="47">
        <f>SUMIFS(LS[Unit],LS[Investor ID],INVESTORS_LIST[[#This Row],[INVESTOR CODE]],LS[B/S],"B")</f>
        <v>0</v>
      </c>
      <c r="F117" s="47">
        <f>-SUMIFS(LS[Unit],LS[Investor ID],INVESTORS_LIST[[#This Row],[INVESTOR CODE]],LS[B/S],"S")</f>
        <v>0</v>
      </c>
      <c r="G117" s="47">
        <f>IF(INVESTORS_LIST[[#This Row],[LS_TOTAL UNITS BUY]]=0,0,INVESTORS_LIST[[#This Row],[LS_TOTAL UNITS BUY]]-INVESTORS_LIST[[#This Row],[LS_TOTAL UNITS SOLD]])</f>
        <v>0</v>
      </c>
      <c r="H117" s="49">
        <f>IF(INVESTORS_LIST[[#This Row],[LS_TOTAL UNITS BUY]]=0,0,SUMIFS(LS[Amount],LS[Investor ID],INVESTORS_LIST[[#This Row],[INVESTOR CODE]],LS[B/S],"B"))</f>
        <v>0</v>
      </c>
      <c r="I117" s="48">
        <f>IF(INVESTORS_LIST[[#This Row],[LS_TOTAL UNITS SOLD]]=0,0,SUMIFS(LS[Cost of Units Sold],LS[Investor ID],INVESTORS_LIST[[#This Row],[INVESTOR CODE]],LS[B/S],"S"))</f>
        <v>0</v>
      </c>
      <c r="J117" s="48">
        <f>IF(INVESTORS_LIST[[#This Row],[LS_TOTAL CURRENT UNITS]]=0,0,INVESTORS_LIST[[#This Row],[LS_TOTAL CURRENT UNITS]]*INVESTORS_LIST[[#This Row],[LS_AVERAGE COST]])</f>
        <v>0</v>
      </c>
      <c r="K117" s="49">
        <f>IF(INVESTORS_LIST[[#This Row],[LS_TOTAL UNITS SOLD]]=0,0,SUMIFS(LS[Realized Gain],LS[Investor ID],INVESTORS_LIST[[#This Row],[INVESTOR CODE]],LS[B/S],"S"))</f>
        <v>0</v>
      </c>
      <c r="L117" s="47">
        <f>SUMIFS(SIP[Unit],SIP[Investor ID],INVESTORS_LIST[[#This Row],[INVESTOR CODE]],SIP[B/S],"B")</f>
        <v>0</v>
      </c>
      <c r="M117" s="47">
        <f>-SUMIFS(SIP[Unit],SIP[Investor ID],INVESTORS_LIST[[#This Row],[INVESTOR CODE]],SIP[B/S],"S")</f>
        <v>0</v>
      </c>
      <c r="N117" s="50">
        <f>IF(INVESTORS_LIST[[#This Row],[SIP_TOTAL UNITS BUY]]=0,0,INVESTORS_LIST[[#This Row],[SIP_TOTAL UNITS BUY]]-INVESTORS_LIST[[#This Row],[SIP_TOTAL UNITS SOLD]])</f>
        <v>0</v>
      </c>
      <c r="O117" s="49">
        <f>IF(INVESTORS_LIST[[#This Row],[SIP_TOTAL UNITS BUY]]=0,0,SUMIFS(SIP[Amount],SIP[Investor ID],INVESTORS_LIST[[#This Row],[INVESTOR CODE]],SIP[B/S],"B"))</f>
        <v>0</v>
      </c>
      <c r="P117" s="49">
        <f>IF(INVESTORS_LIST[[#This Row],[SIP_TOTAL UNITS SOLD]]=0,0,SUMIFS(SIP[Cost of Units Sold],SIP[Investor ID],INVESTORS_LIST[[#This Row],[INVESTOR CODE]],SIP[B/S],"S"))</f>
        <v>0</v>
      </c>
      <c r="Q117" s="48">
        <f>IF(INVESTORS_LIST[[#This Row],[SIP_TOTAL CURRENT UNITS]]=0,0,INVESTORS_LIST[[#This Row],[SIP_TOTAL CURRENT UNITS]]*INVESTORS_LIST[[#This Row],[SIP_AVERAGE COST]])</f>
        <v>0</v>
      </c>
      <c r="R117" s="48">
        <f>IF(INVESTORS_LIST[[#This Row],[SIP_TOTAL UNITS SOLD]]=0,0,SUMIFS(SIP[Realized Gain],SIP[Investor ID],INVESTORS_LIST[[#This Row],[INVESTOR CODE]],SIP[B/S],"S"))</f>
        <v>0</v>
      </c>
      <c r="S117" s="50">
        <f>INVESTORS_LIST[[#This Row],[LS_TOTAL UNITS BUY]]+INVESTORS_LIST[[#This Row],[SIP_TOTAL UNITS BUY]]</f>
        <v>0</v>
      </c>
      <c r="T117" s="50">
        <f>INVESTORS_LIST[[#This Row],[LS_TOTAL UNITS SOLD]]+INVESTORS_LIST[[#This Row],[SIP_TOTAL UNITS SOLD]]</f>
        <v>0</v>
      </c>
      <c r="U117" s="50"/>
      <c r="V117" s="50">
        <f>SUMIFS(LS[BO UNIT TRANSFER],LS[Investor ID],INVESTORS_LIST[[#This Row],[INVESTOR CODE]],LS[B/S],"B")</f>
        <v>0</v>
      </c>
      <c r="W117" s="50">
        <f>SUMIFS(SIP[BO UNIT TRANSFER],SIP[Investor ID],INVESTORS_LIST[[#This Row],[INVESTOR CODE]],SIP[B/S],"B")</f>
        <v>0</v>
      </c>
      <c r="X117" s="50">
        <f>SUMIFS(LS[BO UNIT TRANSFER],LS[Investor ID],INVESTORS_LIST[[#This Row],[INVESTOR CODE]],LS[B/S],"S")</f>
        <v>0</v>
      </c>
      <c r="Y117" s="50">
        <f>SUMIFS(SIP[BO UNIT TRANSFER],SIP[Investor ID],INVESTORS_LIST[[#This Row],[INVESTOR CODE]],SIP[B/S],"S")</f>
        <v>0</v>
      </c>
      <c r="Z117" s="106">
        <f>SUM(INVESTORS_LIST[[#This Row],[BO OPENING BALANCE]:[BO SIP UNITS REPURCHASE]])</f>
        <v>0</v>
      </c>
      <c r="AA117" s="107">
        <f>INVESTORS_LIST[[#This Row],[TOTAL UNITS BUY]]-INVESTORS_LIST[[#This Row],[TOTAL UNITS SOLD]]</f>
        <v>0</v>
      </c>
      <c r="AB117" s="107">
        <f>INVESTORS_LIST[[#This Row],[TOTAL CURRENT UNITS]]-INVESTORS_LIST[[#This Row],[BO UNITS HOLD]]</f>
        <v>0</v>
      </c>
      <c r="AC117" s="201" t="e">
        <f>INDEX([3]!Table_1[BO ID],MATCH(INVESTORS_LIST[[#This Row],[INVESTOR CODE]],[3]!Table_1[INVESTOR CODE],0))</f>
        <v>#REF!</v>
      </c>
      <c r="AD117" s="201" t="e">
        <f>INDEX([3]!Table_1[Brokerage Name2],MATCH(INVESTORS_LIST[[#This Row],[INVESTOR CODE]],[3]!Table_1[INVESTOR CODE],0))</f>
        <v>#REF!</v>
      </c>
      <c r="AE117" s="201" t="e">
        <f>MID(INVESTORS_LIST[[#This Row],[BO ID]],4,5)</f>
        <v>#REF!</v>
      </c>
      <c r="AF117" s="201" t="e">
        <f>MID(INVESTORS_LIST[[#This Row],[BO ID]],2,7)</f>
        <v>#REF!</v>
      </c>
      <c r="AG117" s="201" t="e">
        <f>MID(INVESTORS_LIST[[#This Row],[BO ID]],9,7)</f>
        <v>#REF!</v>
      </c>
      <c r="AH117" s="201" t="e">
        <f>RIGHT(INVESTORS_LIST[[#This Row],[BO ID]],1)</f>
        <v>#REF!</v>
      </c>
      <c r="AI117" s="50">
        <f>INVESTORS_LIST[[#This Row],[LS_TOTAL COST VALUE OF CURRENT UNITS]]+INVESTORS_LIST[[#This Row],[SIP_TOTAL COST VALUE OF CURRENT UNITS]]</f>
        <v>0</v>
      </c>
      <c r="AJ117" s="109">
        <f>IF(INVESTORS_LIST[[#This Row],[TOTAL CURRENT UNITS]]=0,0,INVESTORS_LIST[[#This Row],[LS_TOTAL CURRENT UNITS]]/INVESTORS_LIST[[#This Row],[TOTAL CURRENT UNITS]])</f>
        <v>0</v>
      </c>
      <c r="AK117" s="109">
        <f>IF(INVESTORS_LIST[[#This Row],[TOTAL CURRENT UNITS]]=0,0,INVESTORS_LIST[[#This Row],[SIP_TOTAL CURRENT UNITS]]/INVESTORS_LIST[[#This Row],[TOTAL CURRENT UNITS]])</f>
        <v>0</v>
      </c>
      <c r="AL117" s="49" cm="1">
        <f t="array" ref="AL1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7" s="49" cm="1">
        <f t="array" ref="AM1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7" s="105">
        <f t="shared" si="2"/>
        <v>14.224</v>
      </c>
      <c r="AP117" s="112">
        <f>IF(INVESTORS_LIST[[#This Row],[TOTAL CURRENT UNITS]]=0,0,INVESTORS_LIST[[#This Row],[TOTAL CURRENT UNITS]]*INVESTORS_LIST[[#This Row],[NAV]])</f>
        <v>0</v>
      </c>
      <c r="AQ117" s="49">
        <f>IF(INVESTORS_LIST[[#This Row],[LS_TOTAL CURRENT UNITS]]=0,0,INVESTORS_LIST[[#This Row],[LS_TOTAL CURRENT UNITS]]*INVESTORS_LIST[[#This Row],[NAV]])</f>
        <v>0</v>
      </c>
      <c r="AR117" s="48">
        <f>IF(INVESTORS_LIST[[#This Row],[SIP_TOTAL CURRENT UNITS]]=0,0,INVESTORS_LIST[[#This Row],[SIP_TOTAL CURRENT UNITS]]*INVESTORS_LIST[[#This Row],[NAV]])</f>
        <v>0</v>
      </c>
      <c r="AS117" s="50">
        <f>INVESTORS_LIST[[#This Row],[TOTAL CURRENT UNITS]]</f>
        <v>0</v>
      </c>
      <c r="AT117" s="48">
        <f>IF(INVESTORS_LIST[[#This Row],[TOTAL SELLABLE UNITS]]=0,0,INVESTORS_LIST[[#This Row],[TOTAL SELLABLE UNITS]]*INVESTORS_LIST[[#This Row],[NAV]])</f>
        <v>0</v>
      </c>
      <c r="AU117" s="48">
        <f>INVESTORS_LIST[[#This Row],[LS_TOTAL REALIZED GAIN]]+INVESTORS_LIST[[#This Row],[SIP_TOTAL REALIZED GAIN]]</f>
        <v>0</v>
      </c>
      <c r="AV117" s="48">
        <f>INVESTORS_LIST[[#This Row],[TOTAL MARKET VALUE]]-INVESTORS_LIST[[#This Row],[TOTAL COST VALUE OF CURRENT INVESTMENT]]</f>
        <v>0</v>
      </c>
      <c r="AW117" s="48">
        <f>IFERROR(INVESTORS_LIST[[#This Row],[TOTAL CURRENT UNITS]]/SUM(INVESTORS_LIST[TOTAL CURRENT UNITS]),0)</f>
        <v>0</v>
      </c>
    </row>
    <row r="118" spans="1:49" hidden="1">
      <c r="A118" s="262" t="s">
        <v>283</v>
      </c>
      <c r="B118" s="97" t="s">
        <v>284</v>
      </c>
      <c r="C118" t="s">
        <v>44</v>
      </c>
      <c r="D118" s="75" t="s">
        <v>45</v>
      </c>
      <c r="E118" s="47">
        <f>SUMIFS(LS[Unit],LS[Investor ID],INVESTORS_LIST[[#This Row],[INVESTOR CODE]],LS[B/S],"B")</f>
        <v>0</v>
      </c>
      <c r="F118" s="47">
        <f>-SUMIFS(LS[Unit],LS[Investor ID],INVESTORS_LIST[[#This Row],[INVESTOR CODE]],LS[B/S],"S")</f>
        <v>0</v>
      </c>
      <c r="G118" s="47">
        <f>IF(INVESTORS_LIST[[#This Row],[LS_TOTAL UNITS BUY]]=0,0,INVESTORS_LIST[[#This Row],[LS_TOTAL UNITS BUY]]-INVESTORS_LIST[[#This Row],[LS_TOTAL UNITS SOLD]])</f>
        <v>0</v>
      </c>
      <c r="H118" s="49">
        <f>IF(INVESTORS_LIST[[#This Row],[LS_TOTAL UNITS BUY]]=0,0,SUMIFS(LS[Amount],LS[Investor ID],INVESTORS_LIST[[#This Row],[INVESTOR CODE]],LS[B/S],"B"))</f>
        <v>0</v>
      </c>
      <c r="I118" s="48">
        <f>IF(INVESTORS_LIST[[#This Row],[LS_TOTAL UNITS SOLD]]=0,0,SUMIFS(LS[Cost of Units Sold],LS[Investor ID],INVESTORS_LIST[[#This Row],[INVESTOR CODE]],LS[B/S],"S"))</f>
        <v>0</v>
      </c>
      <c r="J118" s="48">
        <f>IF(INVESTORS_LIST[[#This Row],[LS_TOTAL CURRENT UNITS]]=0,0,INVESTORS_LIST[[#This Row],[LS_TOTAL CURRENT UNITS]]*INVESTORS_LIST[[#This Row],[LS_AVERAGE COST]])</f>
        <v>0</v>
      </c>
      <c r="K118" s="49">
        <f>IF(INVESTORS_LIST[[#This Row],[LS_TOTAL UNITS SOLD]]=0,0,SUMIFS(LS[Realized Gain],LS[Investor ID],INVESTORS_LIST[[#This Row],[INVESTOR CODE]],LS[B/S],"S"))</f>
        <v>0</v>
      </c>
      <c r="L118" s="47">
        <f>SUMIFS(SIP[Unit],SIP[Investor ID],INVESTORS_LIST[[#This Row],[INVESTOR CODE]],SIP[B/S],"B")</f>
        <v>0</v>
      </c>
      <c r="M118" s="47">
        <f>-SUMIFS(SIP[Unit],SIP[Investor ID],INVESTORS_LIST[[#This Row],[INVESTOR CODE]],SIP[B/S],"S")</f>
        <v>0</v>
      </c>
      <c r="N118" s="50">
        <f>IF(INVESTORS_LIST[[#This Row],[SIP_TOTAL UNITS BUY]]=0,0,INVESTORS_LIST[[#This Row],[SIP_TOTAL UNITS BUY]]-INVESTORS_LIST[[#This Row],[SIP_TOTAL UNITS SOLD]])</f>
        <v>0</v>
      </c>
      <c r="O118" s="49">
        <f>IF(INVESTORS_LIST[[#This Row],[SIP_TOTAL UNITS BUY]]=0,0,SUMIFS(SIP[Amount],SIP[Investor ID],INVESTORS_LIST[[#This Row],[INVESTOR CODE]],SIP[B/S],"B"))</f>
        <v>0</v>
      </c>
      <c r="P118" s="49">
        <f>IF(INVESTORS_LIST[[#This Row],[SIP_TOTAL UNITS SOLD]]=0,0,SUMIFS(SIP[Cost of Units Sold],SIP[Investor ID],INVESTORS_LIST[[#This Row],[INVESTOR CODE]],SIP[B/S],"S"))</f>
        <v>0</v>
      </c>
      <c r="Q118" s="48">
        <f>IF(INVESTORS_LIST[[#This Row],[SIP_TOTAL CURRENT UNITS]]=0,0,INVESTORS_LIST[[#This Row],[SIP_TOTAL CURRENT UNITS]]*INVESTORS_LIST[[#This Row],[SIP_AVERAGE COST]])</f>
        <v>0</v>
      </c>
      <c r="R118" s="48">
        <f>IF(INVESTORS_LIST[[#This Row],[SIP_TOTAL UNITS SOLD]]=0,0,SUMIFS(SIP[Realized Gain],SIP[Investor ID],INVESTORS_LIST[[#This Row],[INVESTOR CODE]],SIP[B/S],"S"))</f>
        <v>0</v>
      </c>
      <c r="S118" s="50">
        <f>INVESTORS_LIST[[#This Row],[LS_TOTAL UNITS BUY]]+INVESTORS_LIST[[#This Row],[SIP_TOTAL UNITS BUY]]</f>
        <v>0</v>
      </c>
      <c r="T118" s="50">
        <f>INVESTORS_LIST[[#This Row],[LS_TOTAL UNITS SOLD]]+INVESTORS_LIST[[#This Row],[SIP_TOTAL UNITS SOLD]]</f>
        <v>0</v>
      </c>
      <c r="U118" s="50"/>
      <c r="V118" s="50">
        <f>SUMIFS(LS[BO UNIT TRANSFER],LS[Investor ID],INVESTORS_LIST[[#This Row],[INVESTOR CODE]],LS[B/S],"B")</f>
        <v>0</v>
      </c>
      <c r="W118" s="50">
        <f>SUMIFS(SIP[BO UNIT TRANSFER],SIP[Investor ID],INVESTORS_LIST[[#This Row],[INVESTOR CODE]],SIP[B/S],"B")</f>
        <v>0</v>
      </c>
      <c r="X118" s="50">
        <f>SUMIFS(LS[BO UNIT TRANSFER],LS[Investor ID],INVESTORS_LIST[[#This Row],[INVESTOR CODE]],LS[B/S],"S")</f>
        <v>0</v>
      </c>
      <c r="Y118" s="50">
        <f>SUMIFS(SIP[BO UNIT TRANSFER],SIP[Investor ID],INVESTORS_LIST[[#This Row],[INVESTOR CODE]],SIP[B/S],"S")</f>
        <v>0</v>
      </c>
      <c r="Z118" s="106">
        <f>SUM(INVESTORS_LIST[[#This Row],[BO OPENING BALANCE]:[BO SIP UNITS REPURCHASE]])</f>
        <v>0</v>
      </c>
      <c r="AA118" s="107">
        <f>INVESTORS_LIST[[#This Row],[TOTAL UNITS BUY]]-INVESTORS_LIST[[#This Row],[TOTAL UNITS SOLD]]</f>
        <v>0</v>
      </c>
      <c r="AB118" s="107">
        <f>INVESTORS_LIST[[#This Row],[TOTAL CURRENT UNITS]]-INVESTORS_LIST[[#This Row],[BO UNITS HOLD]]</f>
        <v>0</v>
      </c>
      <c r="AC118" s="201" t="e">
        <f>INDEX([3]!Table_1[BO ID],MATCH(INVESTORS_LIST[[#This Row],[INVESTOR CODE]],[3]!Table_1[INVESTOR CODE],0))</f>
        <v>#REF!</v>
      </c>
      <c r="AD118" s="201" t="e">
        <f>INDEX([3]!Table_1[Brokerage Name2],MATCH(INVESTORS_LIST[[#This Row],[INVESTOR CODE]],[3]!Table_1[INVESTOR CODE],0))</f>
        <v>#REF!</v>
      </c>
      <c r="AE118" s="201" t="e">
        <f>MID(INVESTORS_LIST[[#This Row],[BO ID]],4,5)</f>
        <v>#REF!</v>
      </c>
      <c r="AF118" s="201" t="e">
        <f>MID(INVESTORS_LIST[[#This Row],[BO ID]],2,7)</f>
        <v>#REF!</v>
      </c>
      <c r="AG118" s="201" t="e">
        <f>MID(INVESTORS_LIST[[#This Row],[BO ID]],9,7)</f>
        <v>#REF!</v>
      </c>
      <c r="AH118" s="201" t="e">
        <f>RIGHT(INVESTORS_LIST[[#This Row],[BO ID]],1)</f>
        <v>#REF!</v>
      </c>
      <c r="AI118" s="50">
        <f>INVESTORS_LIST[[#This Row],[LS_TOTAL COST VALUE OF CURRENT UNITS]]+INVESTORS_LIST[[#This Row],[SIP_TOTAL COST VALUE OF CURRENT UNITS]]</f>
        <v>0</v>
      </c>
      <c r="AJ118" s="109">
        <f>IF(INVESTORS_LIST[[#This Row],[TOTAL CURRENT UNITS]]=0,0,INVESTORS_LIST[[#This Row],[LS_TOTAL CURRENT UNITS]]/INVESTORS_LIST[[#This Row],[TOTAL CURRENT UNITS]])</f>
        <v>0</v>
      </c>
      <c r="AK118" s="109">
        <f>IF(INVESTORS_LIST[[#This Row],[TOTAL CURRENT UNITS]]=0,0,INVESTORS_LIST[[#This Row],[SIP_TOTAL CURRENT UNITS]]/INVESTORS_LIST[[#This Row],[TOTAL CURRENT UNITS]])</f>
        <v>0</v>
      </c>
      <c r="AL118" s="49" cm="1">
        <f t="array" ref="AL1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8" s="49" cm="1">
        <f t="array" ref="AM1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8" s="105">
        <f t="shared" si="2"/>
        <v>14.224</v>
      </c>
      <c r="AP118" s="112">
        <f>IF(INVESTORS_LIST[[#This Row],[TOTAL CURRENT UNITS]]=0,0,INVESTORS_LIST[[#This Row],[TOTAL CURRENT UNITS]]*INVESTORS_LIST[[#This Row],[NAV]])</f>
        <v>0</v>
      </c>
      <c r="AQ118" s="49">
        <f>IF(INVESTORS_LIST[[#This Row],[LS_TOTAL CURRENT UNITS]]=0,0,INVESTORS_LIST[[#This Row],[LS_TOTAL CURRENT UNITS]]*INVESTORS_LIST[[#This Row],[NAV]])</f>
        <v>0</v>
      </c>
      <c r="AR118" s="48">
        <f>IF(INVESTORS_LIST[[#This Row],[SIP_TOTAL CURRENT UNITS]]=0,0,INVESTORS_LIST[[#This Row],[SIP_TOTAL CURRENT UNITS]]*INVESTORS_LIST[[#This Row],[NAV]])</f>
        <v>0</v>
      </c>
      <c r="AS118" s="50">
        <f>INVESTORS_LIST[[#This Row],[TOTAL CURRENT UNITS]]</f>
        <v>0</v>
      </c>
      <c r="AT118" s="48">
        <f>IF(INVESTORS_LIST[[#This Row],[TOTAL SELLABLE UNITS]]=0,0,INVESTORS_LIST[[#This Row],[TOTAL SELLABLE UNITS]]*INVESTORS_LIST[[#This Row],[NAV]])</f>
        <v>0</v>
      </c>
      <c r="AU118" s="48">
        <f>INVESTORS_LIST[[#This Row],[LS_TOTAL REALIZED GAIN]]+INVESTORS_LIST[[#This Row],[SIP_TOTAL REALIZED GAIN]]</f>
        <v>0</v>
      </c>
      <c r="AV118" s="48">
        <f>INVESTORS_LIST[[#This Row],[TOTAL MARKET VALUE]]-INVESTORS_LIST[[#This Row],[TOTAL COST VALUE OF CURRENT INVESTMENT]]</f>
        <v>0</v>
      </c>
      <c r="AW118" s="48">
        <f>IFERROR(INVESTORS_LIST[[#This Row],[TOTAL CURRENT UNITS]]/SUM(INVESTORS_LIST[TOTAL CURRENT UNITS]),0)</f>
        <v>0</v>
      </c>
    </row>
    <row r="119" spans="1:49" hidden="1">
      <c r="A119" s="262" t="s">
        <v>285</v>
      </c>
      <c r="B119" s="97" t="s">
        <v>286</v>
      </c>
      <c r="C119" t="s">
        <v>44</v>
      </c>
      <c r="D119" s="75" t="s">
        <v>45</v>
      </c>
      <c r="E119" s="47">
        <f>SUMIFS(LS[Unit],LS[Investor ID],INVESTORS_LIST[[#This Row],[INVESTOR CODE]],LS[B/S],"B")</f>
        <v>0</v>
      </c>
      <c r="F119" s="47">
        <f>-SUMIFS(LS[Unit],LS[Investor ID],INVESTORS_LIST[[#This Row],[INVESTOR CODE]],LS[B/S],"S")</f>
        <v>0</v>
      </c>
      <c r="G119" s="47">
        <f>IF(INVESTORS_LIST[[#This Row],[LS_TOTAL UNITS BUY]]=0,0,INVESTORS_LIST[[#This Row],[LS_TOTAL UNITS BUY]]-INVESTORS_LIST[[#This Row],[LS_TOTAL UNITS SOLD]])</f>
        <v>0</v>
      </c>
      <c r="H119" s="49">
        <f>IF(INVESTORS_LIST[[#This Row],[LS_TOTAL UNITS BUY]]=0,0,SUMIFS(LS[Amount],LS[Investor ID],INVESTORS_LIST[[#This Row],[INVESTOR CODE]],LS[B/S],"B"))</f>
        <v>0</v>
      </c>
      <c r="I119" s="48">
        <f>IF(INVESTORS_LIST[[#This Row],[LS_TOTAL UNITS SOLD]]=0,0,SUMIFS(LS[Cost of Units Sold],LS[Investor ID],INVESTORS_LIST[[#This Row],[INVESTOR CODE]],LS[B/S],"S"))</f>
        <v>0</v>
      </c>
      <c r="J119" s="48">
        <f>IF(INVESTORS_LIST[[#This Row],[LS_TOTAL CURRENT UNITS]]=0,0,INVESTORS_LIST[[#This Row],[LS_TOTAL CURRENT UNITS]]*INVESTORS_LIST[[#This Row],[LS_AVERAGE COST]])</f>
        <v>0</v>
      </c>
      <c r="K119" s="49">
        <f>IF(INVESTORS_LIST[[#This Row],[LS_TOTAL UNITS SOLD]]=0,0,SUMIFS(LS[Realized Gain],LS[Investor ID],INVESTORS_LIST[[#This Row],[INVESTOR CODE]],LS[B/S],"S"))</f>
        <v>0</v>
      </c>
      <c r="L119" s="47">
        <f>SUMIFS(SIP[Unit],SIP[Investor ID],INVESTORS_LIST[[#This Row],[INVESTOR CODE]],SIP[B/S],"B")</f>
        <v>7834</v>
      </c>
      <c r="M119" s="47">
        <f>-SUMIFS(SIP[Unit],SIP[Investor ID],INVESTORS_LIST[[#This Row],[INVESTOR CODE]],SIP[B/S],"S")</f>
        <v>7834</v>
      </c>
      <c r="N119" s="50">
        <f>IF(INVESTORS_LIST[[#This Row],[SIP_TOTAL UNITS BUY]]=0,0,INVESTORS_LIST[[#This Row],[SIP_TOTAL UNITS BUY]]-INVESTORS_LIST[[#This Row],[SIP_TOTAL UNITS SOLD]])</f>
        <v>0</v>
      </c>
      <c r="O119" s="49">
        <f>IF(INVESTORS_LIST[[#This Row],[SIP_TOTAL UNITS BUY]]=0,0,SUMIFS(SIP[Amount],SIP[Investor ID],INVESTORS_LIST[[#This Row],[INVESTOR CODE]],SIP[B/S],"B"))</f>
        <v>85000</v>
      </c>
      <c r="P119" s="49">
        <f>IF(INVESTORS_LIST[[#This Row],[SIP_TOTAL UNITS SOLD]]=0,0,SUMIFS(SIP[Cost of Units Sold],SIP[Investor ID],INVESTORS_LIST[[#This Row],[INVESTOR CODE]],SIP[B/S],"S"))</f>
        <v>85000</v>
      </c>
      <c r="Q119" s="48">
        <f>IF(INVESTORS_LIST[[#This Row],[SIP_TOTAL CURRENT UNITS]]=0,0,INVESTORS_LIST[[#This Row],[SIP_TOTAL CURRENT UNITS]]*INVESTORS_LIST[[#This Row],[SIP_AVERAGE COST]])</f>
        <v>0</v>
      </c>
      <c r="R119" s="48">
        <f>IF(INVESTORS_LIST[[#This Row],[SIP_TOTAL UNITS SOLD]]=0,0,SUMIFS(SIP[Realized Gain],SIP[Investor ID],INVESTORS_LIST[[#This Row],[INVESTOR CODE]],SIP[B/S],"S"))</f>
        <v>4534.2000000000071</v>
      </c>
      <c r="S119" s="50">
        <f>INVESTORS_LIST[[#This Row],[LS_TOTAL UNITS BUY]]+INVESTORS_LIST[[#This Row],[SIP_TOTAL UNITS BUY]]</f>
        <v>7834</v>
      </c>
      <c r="T119" s="50">
        <f>INVESTORS_LIST[[#This Row],[LS_TOTAL UNITS SOLD]]+INVESTORS_LIST[[#This Row],[SIP_TOTAL UNITS SOLD]]</f>
        <v>7834</v>
      </c>
      <c r="U119" s="50"/>
      <c r="V119" s="50">
        <f>SUMIFS(LS[BO UNIT TRANSFER],LS[Investor ID],INVESTORS_LIST[[#This Row],[INVESTOR CODE]],LS[B/S],"B")</f>
        <v>0</v>
      </c>
      <c r="W119" s="50">
        <f>SUMIFS(SIP[BO UNIT TRANSFER],SIP[Investor ID],INVESTORS_LIST[[#This Row],[INVESTOR CODE]],SIP[B/S],"B")</f>
        <v>0</v>
      </c>
      <c r="X119" s="50">
        <f>SUMIFS(LS[BO UNIT TRANSFER],LS[Investor ID],INVESTORS_LIST[[#This Row],[INVESTOR CODE]],LS[B/S],"S")</f>
        <v>0</v>
      </c>
      <c r="Y119" s="50">
        <f>SUMIFS(SIP[BO UNIT TRANSFER],SIP[Investor ID],INVESTORS_LIST[[#This Row],[INVESTOR CODE]],SIP[B/S],"S")</f>
        <v>0</v>
      </c>
      <c r="Z119" s="106">
        <f>SUM(INVESTORS_LIST[[#This Row],[BO OPENING BALANCE]:[BO SIP UNITS REPURCHASE]])</f>
        <v>0</v>
      </c>
      <c r="AA119" s="107">
        <f>INVESTORS_LIST[[#This Row],[TOTAL UNITS BUY]]-INVESTORS_LIST[[#This Row],[TOTAL UNITS SOLD]]</f>
        <v>0</v>
      </c>
      <c r="AB119" s="107">
        <f>INVESTORS_LIST[[#This Row],[TOTAL CURRENT UNITS]]-INVESTORS_LIST[[#This Row],[BO UNITS HOLD]]</f>
        <v>0</v>
      </c>
      <c r="AC119" s="201" t="e">
        <f>INDEX([3]!Table_1[BO ID],MATCH(INVESTORS_LIST[[#This Row],[INVESTOR CODE]],[3]!Table_1[INVESTOR CODE],0))</f>
        <v>#REF!</v>
      </c>
      <c r="AD119" s="201" t="e">
        <f>INDEX([3]!Table_1[Brokerage Name2],MATCH(INVESTORS_LIST[[#This Row],[INVESTOR CODE]],[3]!Table_1[INVESTOR CODE],0))</f>
        <v>#REF!</v>
      </c>
      <c r="AE119" s="201" t="e">
        <f>MID(INVESTORS_LIST[[#This Row],[BO ID]],4,5)</f>
        <v>#REF!</v>
      </c>
      <c r="AF119" s="201" t="e">
        <f>MID(INVESTORS_LIST[[#This Row],[BO ID]],2,7)</f>
        <v>#REF!</v>
      </c>
      <c r="AG119" s="201" t="e">
        <f>MID(INVESTORS_LIST[[#This Row],[BO ID]],9,7)</f>
        <v>#REF!</v>
      </c>
      <c r="AH119" s="201" t="e">
        <f>RIGHT(INVESTORS_LIST[[#This Row],[BO ID]],1)</f>
        <v>#REF!</v>
      </c>
      <c r="AI119" s="50">
        <f>INVESTORS_LIST[[#This Row],[LS_TOTAL COST VALUE OF CURRENT UNITS]]+INVESTORS_LIST[[#This Row],[SIP_TOTAL COST VALUE OF CURRENT UNITS]]</f>
        <v>0</v>
      </c>
      <c r="AJ119" s="109">
        <f>IF(INVESTORS_LIST[[#This Row],[TOTAL CURRENT UNITS]]=0,0,INVESTORS_LIST[[#This Row],[LS_TOTAL CURRENT UNITS]]/INVESTORS_LIST[[#This Row],[TOTAL CURRENT UNITS]])</f>
        <v>0</v>
      </c>
      <c r="AK119" s="109">
        <f>IF(INVESTORS_LIST[[#This Row],[TOTAL CURRENT UNITS]]=0,0,INVESTORS_LIST[[#This Row],[SIP_TOTAL CURRENT UNITS]]/INVESTORS_LIST[[#This Row],[TOTAL CURRENT UNITS]])</f>
        <v>0</v>
      </c>
      <c r="AL119" s="49" cm="1">
        <f t="array" ref="AL1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19" s="49" cm="1">
        <f t="array" ref="AM1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19" s="105">
        <f t="shared" si="2"/>
        <v>14.224</v>
      </c>
      <c r="AP119" s="112">
        <f>IF(INVESTORS_LIST[[#This Row],[TOTAL CURRENT UNITS]]=0,0,INVESTORS_LIST[[#This Row],[TOTAL CURRENT UNITS]]*INVESTORS_LIST[[#This Row],[NAV]])</f>
        <v>0</v>
      </c>
      <c r="AQ119" s="49">
        <f>IF(INVESTORS_LIST[[#This Row],[LS_TOTAL CURRENT UNITS]]=0,0,INVESTORS_LIST[[#This Row],[LS_TOTAL CURRENT UNITS]]*INVESTORS_LIST[[#This Row],[NAV]])</f>
        <v>0</v>
      </c>
      <c r="AR119" s="48">
        <f>IF(INVESTORS_LIST[[#This Row],[SIP_TOTAL CURRENT UNITS]]=0,0,INVESTORS_LIST[[#This Row],[SIP_TOTAL CURRENT UNITS]]*INVESTORS_LIST[[#This Row],[NAV]])</f>
        <v>0</v>
      </c>
      <c r="AS119" s="50">
        <f>INVESTORS_LIST[[#This Row],[TOTAL CURRENT UNITS]]</f>
        <v>0</v>
      </c>
      <c r="AT119" s="48">
        <f>IF(INVESTORS_LIST[[#This Row],[TOTAL SELLABLE UNITS]]=0,0,INVESTORS_LIST[[#This Row],[TOTAL SELLABLE UNITS]]*INVESTORS_LIST[[#This Row],[NAV]])</f>
        <v>0</v>
      </c>
      <c r="AU119" s="48">
        <f>INVESTORS_LIST[[#This Row],[LS_TOTAL REALIZED GAIN]]+INVESTORS_LIST[[#This Row],[SIP_TOTAL REALIZED GAIN]]</f>
        <v>4534.2000000000071</v>
      </c>
      <c r="AV119" s="48">
        <f>INVESTORS_LIST[[#This Row],[TOTAL MARKET VALUE]]-INVESTORS_LIST[[#This Row],[TOTAL COST VALUE OF CURRENT INVESTMENT]]</f>
        <v>0</v>
      </c>
      <c r="AW119" s="108">
        <f>IFERROR(INVESTORS_LIST[[#This Row],[TOTAL CURRENT UNITS]]/SUM(INVESTORS_LIST[TOTAL CURRENT UNITS]),0)</f>
        <v>0</v>
      </c>
    </row>
    <row r="120" spans="1:49" hidden="1">
      <c r="A120" s="262" t="s">
        <v>287</v>
      </c>
      <c r="B120" s="97" t="s">
        <v>288</v>
      </c>
      <c r="C120" t="s">
        <v>44</v>
      </c>
      <c r="D120" s="75" t="s">
        <v>45</v>
      </c>
      <c r="E120" s="47">
        <f>SUMIFS(LS[Unit],LS[Investor ID],INVESTORS_LIST[[#This Row],[INVESTOR CODE]],LS[B/S],"B")</f>
        <v>250000</v>
      </c>
      <c r="F120" s="47">
        <f>-SUMIFS(LS[Unit],LS[Investor ID],INVESTORS_LIST[[#This Row],[INVESTOR CODE]],LS[B/S],"S")</f>
        <v>250000</v>
      </c>
      <c r="G120" s="47">
        <f>IF(INVESTORS_LIST[[#This Row],[LS_TOTAL UNITS BUY]]=0,0,INVESTORS_LIST[[#This Row],[LS_TOTAL UNITS BUY]]-INVESTORS_LIST[[#This Row],[LS_TOTAL UNITS SOLD]])</f>
        <v>0</v>
      </c>
      <c r="H120" s="49">
        <f>IF(INVESTORS_LIST[[#This Row],[LS_TOTAL UNITS BUY]]=0,0,SUMIFS(LS[Amount],LS[Investor ID],INVESTORS_LIST[[#This Row],[INVESTOR CODE]],LS[B/S],"B"))</f>
        <v>2715750</v>
      </c>
      <c r="I120" s="48">
        <f>IF(INVESTORS_LIST[[#This Row],[LS_TOTAL UNITS SOLD]]=0,0,SUMIFS(LS[Cost of Units Sold],LS[Investor ID],INVESTORS_LIST[[#This Row],[INVESTOR CODE]],LS[B/S],"S"))</f>
        <v>2715750</v>
      </c>
      <c r="J120" s="48">
        <f>IF(INVESTORS_LIST[[#This Row],[LS_TOTAL CURRENT UNITS]]=0,0,INVESTORS_LIST[[#This Row],[LS_TOTAL CURRENT UNITS]]*INVESTORS_LIST[[#This Row],[LS_AVERAGE COST]])</f>
        <v>0</v>
      </c>
      <c r="K120" s="49">
        <f>IF(INVESTORS_LIST[[#This Row],[LS_TOTAL UNITS SOLD]]=0,0,SUMIFS(LS[Realized Gain],LS[Investor ID],INVESTORS_LIST[[#This Row],[INVESTOR CODE]],LS[B/S],"S"))</f>
        <v>737000.00000000012</v>
      </c>
      <c r="L120" s="47">
        <f>SUMIFS(SIP[Unit],SIP[Investor ID],INVESTORS_LIST[[#This Row],[INVESTOR CODE]],SIP[B/S],"B")</f>
        <v>0</v>
      </c>
      <c r="M120" s="47">
        <f>-SUMIFS(SIP[Unit],SIP[Investor ID],INVESTORS_LIST[[#This Row],[INVESTOR CODE]],SIP[B/S],"S")</f>
        <v>0</v>
      </c>
      <c r="N120" s="50">
        <f>IF(INVESTORS_LIST[[#This Row],[SIP_TOTAL UNITS BUY]]=0,0,INVESTORS_LIST[[#This Row],[SIP_TOTAL UNITS BUY]]-INVESTORS_LIST[[#This Row],[SIP_TOTAL UNITS SOLD]])</f>
        <v>0</v>
      </c>
      <c r="O120" s="49">
        <f>IF(INVESTORS_LIST[[#This Row],[SIP_TOTAL UNITS BUY]]=0,0,SUMIFS(SIP[Amount],SIP[Investor ID],INVESTORS_LIST[[#This Row],[INVESTOR CODE]],SIP[B/S],"B"))</f>
        <v>0</v>
      </c>
      <c r="P120" s="49">
        <f>IF(INVESTORS_LIST[[#This Row],[SIP_TOTAL UNITS SOLD]]=0,0,SUMIFS(SIP[Cost of Units Sold],SIP[Investor ID],INVESTORS_LIST[[#This Row],[INVESTOR CODE]],SIP[B/S],"S"))</f>
        <v>0</v>
      </c>
      <c r="Q120" s="48">
        <f>IF(INVESTORS_LIST[[#This Row],[SIP_TOTAL CURRENT UNITS]]=0,0,INVESTORS_LIST[[#This Row],[SIP_TOTAL CURRENT UNITS]]*INVESTORS_LIST[[#This Row],[SIP_AVERAGE COST]])</f>
        <v>0</v>
      </c>
      <c r="R120" s="48">
        <f>IF(INVESTORS_LIST[[#This Row],[SIP_TOTAL UNITS SOLD]]=0,0,SUMIFS(SIP[Realized Gain],SIP[Investor ID],INVESTORS_LIST[[#This Row],[INVESTOR CODE]],SIP[B/S],"S"))</f>
        <v>0</v>
      </c>
      <c r="S120" s="50">
        <f>INVESTORS_LIST[[#This Row],[LS_TOTAL UNITS BUY]]+INVESTORS_LIST[[#This Row],[SIP_TOTAL UNITS BUY]]</f>
        <v>250000</v>
      </c>
      <c r="T120" s="50">
        <f>INVESTORS_LIST[[#This Row],[LS_TOTAL UNITS SOLD]]+INVESTORS_LIST[[#This Row],[SIP_TOTAL UNITS SOLD]]</f>
        <v>250000</v>
      </c>
      <c r="U120" s="50"/>
      <c r="V120" s="50">
        <f>SUMIFS(LS[BO UNIT TRANSFER],LS[Investor ID],INVESTORS_LIST[[#This Row],[INVESTOR CODE]],LS[B/S],"B")</f>
        <v>0</v>
      </c>
      <c r="W120" s="50">
        <f>SUMIFS(SIP[BO UNIT TRANSFER],SIP[Investor ID],INVESTORS_LIST[[#This Row],[INVESTOR CODE]],SIP[B/S],"B")</f>
        <v>0</v>
      </c>
      <c r="X120" s="50">
        <f>SUMIFS(LS[BO UNIT TRANSFER],LS[Investor ID],INVESTORS_LIST[[#This Row],[INVESTOR CODE]],LS[B/S],"S")</f>
        <v>0</v>
      </c>
      <c r="Y120" s="50">
        <f>SUMIFS(SIP[BO UNIT TRANSFER],SIP[Investor ID],INVESTORS_LIST[[#This Row],[INVESTOR CODE]],SIP[B/S],"S")</f>
        <v>0</v>
      </c>
      <c r="Z120" s="106">
        <f>SUM(INVESTORS_LIST[[#This Row],[BO OPENING BALANCE]:[BO SIP UNITS REPURCHASE]])</f>
        <v>0</v>
      </c>
      <c r="AA120" s="107">
        <f>INVESTORS_LIST[[#This Row],[TOTAL UNITS BUY]]-INVESTORS_LIST[[#This Row],[TOTAL UNITS SOLD]]</f>
        <v>0</v>
      </c>
      <c r="AB120" s="107">
        <f>INVESTORS_LIST[[#This Row],[TOTAL CURRENT UNITS]]-INVESTORS_LIST[[#This Row],[BO UNITS HOLD]]</f>
        <v>0</v>
      </c>
      <c r="AC120" s="201" t="e">
        <f>INDEX([3]!Table_1[BO ID],MATCH(INVESTORS_LIST[[#This Row],[INVESTOR CODE]],[3]!Table_1[INVESTOR CODE],0))</f>
        <v>#REF!</v>
      </c>
      <c r="AD120" s="201" t="e">
        <f>INDEX([3]!Table_1[Brokerage Name2],MATCH(INVESTORS_LIST[[#This Row],[INVESTOR CODE]],[3]!Table_1[INVESTOR CODE],0))</f>
        <v>#REF!</v>
      </c>
      <c r="AE120" s="201" t="e">
        <f>MID(INVESTORS_LIST[[#This Row],[BO ID]],4,5)</f>
        <v>#REF!</v>
      </c>
      <c r="AF120" s="201" t="e">
        <f>MID(INVESTORS_LIST[[#This Row],[BO ID]],2,7)</f>
        <v>#REF!</v>
      </c>
      <c r="AG120" s="201" t="e">
        <f>MID(INVESTORS_LIST[[#This Row],[BO ID]],9,7)</f>
        <v>#REF!</v>
      </c>
      <c r="AH120" s="201" t="e">
        <f>RIGHT(INVESTORS_LIST[[#This Row],[BO ID]],1)</f>
        <v>#REF!</v>
      </c>
      <c r="AI120" s="50">
        <f>INVESTORS_LIST[[#This Row],[LS_TOTAL COST VALUE OF CURRENT UNITS]]+INVESTORS_LIST[[#This Row],[SIP_TOTAL COST VALUE OF CURRENT UNITS]]</f>
        <v>0</v>
      </c>
      <c r="AJ120" s="109">
        <f>IF(INVESTORS_LIST[[#This Row],[TOTAL CURRENT UNITS]]=0,0,INVESTORS_LIST[[#This Row],[LS_TOTAL CURRENT UNITS]]/INVESTORS_LIST[[#This Row],[TOTAL CURRENT UNITS]])</f>
        <v>0</v>
      </c>
      <c r="AK120" s="109">
        <f>IF(INVESTORS_LIST[[#This Row],[TOTAL CURRENT UNITS]]=0,0,INVESTORS_LIST[[#This Row],[SIP_TOTAL CURRENT UNITS]]/INVESTORS_LIST[[#This Row],[TOTAL CURRENT UNITS]])</f>
        <v>0</v>
      </c>
      <c r="AL120" s="49" cm="1">
        <f t="array" ref="AL1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0" s="49" cm="1">
        <f t="array" ref="AM1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0" s="105">
        <f t="shared" si="2"/>
        <v>14.224</v>
      </c>
      <c r="AP120" s="112">
        <f>IF(INVESTORS_LIST[[#This Row],[TOTAL CURRENT UNITS]]=0,0,INVESTORS_LIST[[#This Row],[TOTAL CURRENT UNITS]]*INVESTORS_LIST[[#This Row],[NAV]])</f>
        <v>0</v>
      </c>
      <c r="AQ120" s="49">
        <f>IF(INVESTORS_LIST[[#This Row],[LS_TOTAL CURRENT UNITS]]=0,0,INVESTORS_LIST[[#This Row],[LS_TOTAL CURRENT UNITS]]*INVESTORS_LIST[[#This Row],[NAV]])</f>
        <v>0</v>
      </c>
      <c r="AR120" s="48">
        <f>IF(INVESTORS_LIST[[#This Row],[SIP_TOTAL CURRENT UNITS]]=0,0,INVESTORS_LIST[[#This Row],[SIP_TOTAL CURRENT UNITS]]*INVESTORS_LIST[[#This Row],[NAV]])</f>
        <v>0</v>
      </c>
      <c r="AS120" s="50">
        <f>INVESTORS_LIST[[#This Row],[TOTAL CURRENT UNITS]]</f>
        <v>0</v>
      </c>
      <c r="AT120" s="48">
        <f>IF(INVESTORS_LIST[[#This Row],[TOTAL SELLABLE UNITS]]=0,0,INVESTORS_LIST[[#This Row],[TOTAL SELLABLE UNITS]]*INVESTORS_LIST[[#This Row],[NAV]])</f>
        <v>0</v>
      </c>
      <c r="AU120" s="48">
        <f>INVESTORS_LIST[[#This Row],[LS_TOTAL REALIZED GAIN]]+INVESTORS_LIST[[#This Row],[SIP_TOTAL REALIZED GAIN]]</f>
        <v>737000.00000000012</v>
      </c>
      <c r="AV120" s="48">
        <f>INVESTORS_LIST[[#This Row],[TOTAL MARKET VALUE]]-INVESTORS_LIST[[#This Row],[TOTAL COST VALUE OF CURRENT INVESTMENT]]</f>
        <v>0</v>
      </c>
      <c r="AW120" s="48">
        <f>IFERROR(INVESTORS_LIST[[#This Row],[TOTAL CURRENT UNITS]]/SUM(INVESTORS_LIST[TOTAL CURRENT UNITS]),0)</f>
        <v>0</v>
      </c>
    </row>
    <row r="121" spans="1:49" hidden="1">
      <c r="A121" s="262" t="s">
        <v>289</v>
      </c>
      <c r="B121" s="97" t="s">
        <v>290</v>
      </c>
      <c r="C121" t="s">
        <v>44</v>
      </c>
      <c r="D121" s="75" t="s">
        <v>45</v>
      </c>
      <c r="E121" s="47">
        <f>SUMIFS(LS[Unit],LS[Investor ID],INVESTORS_LIST[[#This Row],[INVESTOR CODE]],LS[B/S],"B")</f>
        <v>0</v>
      </c>
      <c r="F121" s="47">
        <f>-SUMIFS(LS[Unit],LS[Investor ID],INVESTORS_LIST[[#This Row],[INVESTOR CODE]],LS[B/S],"S")</f>
        <v>0</v>
      </c>
      <c r="G121" s="47">
        <f>IF(INVESTORS_LIST[[#This Row],[LS_TOTAL UNITS BUY]]=0,0,INVESTORS_LIST[[#This Row],[LS_TOTAL UNITS BUY]]-INVESTORS_LIST[[#This Row],[LS_TOTAL UNITS SOLD]])</f>
        <v>0</v>
      </c>
      <c r="H121" s="49">
        <f>IF(INVESTORS_LIST[[#This Row],[LS_TOTAL UNITS BUY]]=0,0,SUMIFS(LS[Amount],LS[Investor ID],INVESTORS_LIST[[#This Row],[INVESTOR CODE]],LS[B/S],"B"))</f>
        <v>0</v>
      </c>
      <c r="I121" s="48">
        <f>IF(INVESTORS_LIST[[#This Row],[LS_TOTAL UNITS SOLD]]=0,0,SUMIFS(LS[Cost of Units Sold],LS[Investor ID],INVESTORS_LIST[[#This Row],[INVESTOR CODE]],LS[B/S],"S"))</f>
        <v>0</v>
      </c>
      <c r="J121" s="48">
        <f>IF(INVESTORS_LIST[[#This Row],[LS_TOTAL CURRENT UNITS]]=0,0,INVESTORS_LIST[[#This Row],[LS_TOTAL CURRENT UNITS]]*INVESTORS_LIST[[#This Row],[LS_AVERAGE COST]])</f>
        <v>0</v>
      </c>
      <c r="K121" s="49">
        <f>IF(INVESTORS_LIST[[#This Row],[LS_TOTAL UNITS SOLD]]=0,0,SUMIFS(LS[Realized Gain],LS[Investor ID],INVESTORS_LIST[[#This Row],[INVESTOR CODE]],LS[B/S],"S"))</f>
        <v>0</v>
      </c>
      <c r="L121" s="47">
        <f>SUMIFS(SIP[Unit],SIP[Investor ID],INVESTORS_LIST[[#This Row],[INVESTOR CODE]],SIP[B/S],"B")</f>
        <v>0</v>
      </c>
      <c r="M121" s="47">
        <f>-SUMIFS(SIP[Unit],SIP[Investor ID],INVESTORS_LIST[[#This Row],[INVESTOR CODE]],SIP[B/S],"S")</f>
        <v>0</v>
      </c>
      <c r="N121" s="50">
        <f>IF(INVESTORS_LIST[[#This Row],[SIP_TOTAL UNITS BUY]]=0,0,INVESTORS_LIST[[#This Row],[SIP_TOTAL UNITS BUY]]-INVESTORS_LIST[[#This Row],[SIP_TOTAL UNITS SOLD]])</f>
        <v>0</v>
      </c>
      <c r="O121" s="49">
        <f>IF(INVESTORS_LIST[[#This Row],[SIP_TOTAL UNITS BUY]]=0,0,SUMIFS(SIP[Amount],SIP[Investor ID],INVESTORS_LIST[[#This Row],[INVESTOR CODE]],SIP[B/S],"B"))</f>
        <v>0</v>
      </c>
      <c r="P121" s="49">
        <f>IF(INVESTORS_LIST[[#This Row],[SIP_TOTAL UNITS SOLD]]=0,0,SUMIFS(SIP[Cost of Units Sold],SIP[Investor ID],INVESTORS_LIST[[#This Row],[INVESTOR CODE]],SIP[B/S],"S"))</f>
        <v>0</v>
      </c>
      <c r="Q121" s="48">
        <f>IF(INVESTORS_LIST[[#This Row],[SIP_TOTAL CURRENT UNITS]]=0,0,INVESTORS_LIST[[#This Row],[SIP_TOTAL CURRENT UNITS]]*INVESTORS_LIST[[#This Row],[SIP_AVERAGE COST]])</f>
        <v>0</v>
      </c>
      <c r="R121" s="48">
        <f>IF(INVESTORS_LIST[[#This Row],[SIP_TOTAL UNITS SOLD]]=0,0,SUMIFS(SIP[Realized Gain],SIP[Investor ID],INVESTORS_LIST[[#This Row],[INVESTOR CODE]],SIP[B/S],"S"))</f>
        <v>0</v>
      </c>
      <c r="S121" s="50">
        <f>INVESTORS_LIST[[#This Row],[LS_TOTAL UNITS BUY]]+INVESTORS_LIST[[#This Row],[SIP_TOTAL UNITS BUY]]</f>
        <v>0</v>
      </c>
      <c r="T121" s="50">
        <f>INVESTORS_LIST[[#This Row],[LS_TOTAL UNITS SOLD]]+INVESTORS_LIST[[#This Row],[SIP_TOTAL UNITS SOLD]]</f>
        <v>0</v>
      </c>
      <c r="U121" s="50"/>
      <c r="V121" s="50">
        <f>SUMIFS(LS[BO UNIT TRANSFER],LS[Investor ID],INVESTORS_LIST[[#This Row],[INVESTOR CODE]],LS[B/S],"B")</f>
        <v>0</v>
      </c>
      <c r="W121" s="50">
        <f>SUMIFS(SIP[BO UNIT TRANSFER],SIP[Investor ID],INVESTORS_LIST[[#This Row],[INVESTOR CODE]],SIP[B/S],"B")</f>
        <v>0</v>
      </c>
      <c r="X121" s="50">
        <f>SUMIFS(LS[BO UNIT TRANSFER],LS[Investor ID],INVESTORS_LIST[[#This Row],[INVESTOR CODE]],LS[B/S],"S")</f>
        <v>0</v>
      </c>
      <c r="Y121" s="50">
        <f>SUMIFS(SIP[BO UNIT TRANSFER],SIP[Investor ID],INVESTORS_LIST[[#This Row],[INVESTOR CODE]],SIP[B/S],"S")</f>
        <v>0</v>
      </c>
      <c r="Z121" s="106">
        <f>SUM(INVESTORS_LIST[[#This Row],[BO OPENING BALANCE]:[BO SIP UNITS REPURCHASE]])</f>
        <v>0</v>
      </c>
      <c r="AA121" s="107">
        <f>INVESTORS_LIST[[#This Row],[TOTAL UNITS BUY]]-INVESTORS_LIST[[#This Row],[TOTAL UNITS SOLD]]</f>
        <v>0</v>
      </c>
      <c r="AB121" s="107">
        <f>INVESTORS_LIST[[#This Row],[TOTAL CURRENT UNITS]]-INVESTORS_LIST[[#This Row],[BO UNITS HOLD]]</f>
        <v>0</v>
      </c>
      <c r="AC121" s="201" t="e">
        <f>INDEX([3]!Table_1[BO ID],MATCH(INVESTORS_LIST[[#This Row],[INVESTOR CODE]],[3]!Table_1[INVESTOR CODE],0))</f>
        <v>#REF!</v>
      </c>
      <c r="AD121" s="201" t="e">
        <f>INDEX([3]!Table_1[Brokerage Name2],MATCH(INVESTORS_LIST[[#This Row],[INVESTOR CODE]],[3]!Table_1[INVESTOR CODE],0))</f>
        <v>#REF!</v>
      </c>
      <c r="AE121" s="201" t="e">
        <f>MID(INVESTORS_LIST[[#This Row],[BO ID]],4,5)</f>
        <v>#REF!</v>
      </c>
      <c r="AF121" s="201" t="e">
        <f>MID(INVESTORS_LIST[[#This Row],[BO ID]],2,7)</f>
        <v>#REF!</v>
      </c>
      <c r="AG121" s="201" t="e">
        <f>MID(INVESTORS_LIST[[#This Row],[BO ID]],9,7)</f>
        <v>#REF!</v>
      </c>
      <c r="AH121" s="201" t="e">
        <f>RIGHT(INVESTORS_LIST[[#This Row],[BO ID]],1)</f>
        <v>#REF!</v>
      </c>
      <c r="AI121" s="50">
        <f>INVESTORS_LIST[[#This Row],[LS_TOTAL COST VALUE OF CURRENT UNITS]]+INVESTORS_LIST[[#This Row],[SIP_TOTAL COST VALUE OF CURRENT UNITS]]</f>
        <v>0</v>
      </c>
      <c r="AJ121" s="109">
        <f>IF(INVESTORS_LIST[[#This Row],[TOTAL CURRENT UNITS]]=0,0,INVESTORS_LIST[[#This Row],[LS_TOTAL CURRENT UNITS]]/INVESTORS_LIST[[#This Row],[TOTAL CURRENT UNITS]])</f>
        <v>0</v>
      </c>
      <c r="AK121" s="109">
        <f>IF(INVESTORS_LIST[[#This Row],[TOTAL CURRENT UNITS]]=0,0,INVESTORS_LIST[[#This Row],[SIP_TOTAL CURRENT UNITS]]/INVESTORS_LIST[[#This Row],[TOTAL CURRENT UNITS]])</f>
        <v>0</v>
      </c>
      <c r="AL121" s="49" cm="1">
        <f t="array" ref="AL1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1" s="49" cm="1">
        <f t="array" ref="AM1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1" s="105">
        <f t="shared" si="2"/>
        <v>14.224</v>
      </c>
      <c r="AP121" s="112">
        <f>IF(INVESTORS_LIST[[#This Row],[TOTAL CURRENT UNITS]]=0,0,INVESTORS_LIST[[#This Row],[TOTAL CURRENT UNITS]]*INVESTORS_LIST[[#This Row],[NAV]])</f>
        <v>0</v>
      </c>
      <c r="AQ121" s="49">
        <f>IF(INVESTORS_LIST[[#This Row],[LS_TOTAL CURRENT UNITS]]=0,0,INVESTORS_LIST[[#This Row],[LS_TOTAL CURRENT UNITS]]*INVESTORS_LIST[[#This Row],[NAV]])</f>
        <v>0</v>
      </c>
      <c r="AR121" s="48">
        <f>IF(INVESTORS_LIST[[#This Row],[SIP_TOTAL CURRENT UNITS]]=0,0,INVESTORS_LIST[[#This Row],[SIP_TOTAL CURRENT UNITS]]*INVESTORS_LIST[[#This Row],[NAV]])</f>
        <v>0</v>
      </c>
      <c r="AS121" s="50">
        <f>INVESTORS_LIST[[#This Row],[TOTAL CURRENT UNITS]]</f>
        <v>0</v>
      </c>
      <c r="AT121" s="48">
        <f>IF(INVESTORS_LIST[[#This Row],[TOTAL SELLABLE UNITS]]=0,0,INVESTORS_LIST[[#This Row],[TOTAL SELLABLE UNITS]]*INVESTORS_LIST[[#This Row],[NAV]])</f>
        <v>0</v>
      </c>
      <c r="AU121" s="48">
        <f>INVESTORS_LIST[[#This Row],[LS_TOTAL REALIZED GAIN]]+INVESTORS_LIST[[#This Row],[SIP_TOTAL REALIZED GAIN]]</f>
        <v>0</v>
      </c>
      <c r="AV121" s="48">
        <f>INVESTORS_LIST[[#This Row],[TOTAL MARKET VALUE]]-INVESTORS_LIST[[#This Row],[TOTAL COST VALUE OF CURRENT INVESTMENT]]</f>
        <v>0</v>
      </c>
      <c r="AW121" s="48">
        <f>IFERROR(INVESTORS_LIST[[#This Row],[TOTAL CURRENT UNITS]]/SUM(INVESTORS_LIST[TOTAL CURRENT UNITS]),0)</f>
        <v>0</v>
      </c>
    </row>
    <row r="122" spans="1:49" hidden="1">
      <c r="A122" s="262" t="s">
        <v>291</v>
      </c>
      <c r="B122" s="97" t="s">
        <v>292</v>
      </c>
      <c r="C122" t="s">
        <v>44</v>
      </c>
      <c r="D122" s="75" t="s">
        <v>45</v>
      </c>
      <c r="E122" s="47">
        <f>SUMIFS(LS[Unit],LS[Investor ID],INVESTORS_LIST[[#This Row],[INVESTOR CODE]],LS[B/S],"B")</f>
        <v>0</v>
      </c>
      <c r="F122" s="47">
        <f>-SUMIFS(LS[Unit],LS[Investor ID],INVESTORS_LIST[[#This Row],[INVESTOR CODE]],LS[B/S],"S")</f>
        <v>0</v>
      </c>
      <c r="G122" s="47">
        <f>IF(INVESTORS_LIST[[#This Row],[LS_TOTAL UNITS BUY]]=0,0,INVESTORS_LIST[[#This Row],[LS_TOTAL UNITS BUY]]-INVESTORS_LIST[[#This Row],[LS_TOTAL UNITS SOLD]])</f>
        <v>0</v>
      </c>
      <c r="H122" s="49">
        <f>IF(INVESTORS_LIST[[#This Row],[LS_TOTAL UNITS BUY]]=0,0,SUMIFS(LS[Amount],LS[Investor ID],INVESTORS_LIST[[#This Row],[INVESTOR CODE]],LS[B/S],"B"))</f>
        <v>0</v>
      </c>
      <c r="I122" s="48">
        <f>IF(INVESTORS_LIST[[#This Row],[LS_TOTAL UNITS SOLD]]=0,0,SUMIFS(LS[Cost of Units Sold],LS[Investor ID],INVESTORS_LIST[[#This Row],[INVESTOR CODE]],LS[B/S],"S"))</f>
        <v>0</v>
      </c>
      <c r="J122" s="48">
        <f>IF(INVESTORS_LIST[[#This Row],[LS_TOTAL CURRENT UNITS]]=0,0,INVESTORS_LIST[[#This Row],[LS_TOTAL CURRENT UNITS]]*INVESTORS_LIST[[#This Row],[LS_AVERAGE COST]])</f>
        <v>0</v>
      </c>
      <c r="K122" s="49">
        <f>IF(INVESTORS_LIST[[#This Row],[LS_TOTAL UNITS SOLD]]=0,0,SUMIFS(LS[Realized Gain],LS[Investor ID],INVESTORS_LIST[[#This Row],[INVESTOR CODE]],LS[B/S],"S"))</f>
        <v>0</v>
      </c>
      <c r="L122" s="47">
        <f>SUMIFS(SIP[Unit],SIP[Investor ID],INVESTORS_LIST[[#This Row],[INVESTOR CODE]],SIP[B/S],"B")</f>
        <v>0</v>
      </c>
      <c r="M122" s="47">
        <f>-SUMIFS(SIP[Unit],SIP[Investor ID],INVESTORS_LIST[[#This Row],[INVESTOR CODE]],SIP[B/S],"S")</f>
        <v>0</v>
      </c>
      <c r="N122" s="50">
        <f>IF(INVESTORS_LIST[[#This Row],[SIP_TOTAL UNITS BUY]]=0,0,INVESTORS_LIST[[#This Row],[SIP_TOTAL UNITS BUY]]-INVESTORS_LIST[[#This Row],[SIP_TOTAL UNITS SOLD]])</f>
        <v>0</v>
      </c>
      <c r="O122" s="49">
        <f>IF(INVESTORS_LIST[[#This Row],[SIP_TOTAL UNITS BUY]]=0,0,SUMIFS(SIP[Amount],SIP[Investor ID],INVESTORS_LIST[[#This Row],[INVESTOR CODE]],SIP[B/S],"B"))</f>
        <v>0</v>
      </c>
      <c r="P122" s="49">
        <f>IF(INVESTORS_LIST[[#This Row],[SIP_TOTAL UNITS SOLD]]=0,0,SUMIFS(SIP[Cost of Units Sold],SIP[Investor ID],INVESTORS_LIST[[#This Row],[INVESTOR CODE]],SIP[B/S],"S"))</f>
        <v>0</v>
      </c>
      <c r="Q122" s="48">
        <f>IF(INVESTORS_LIST[[#This Row],[SIP_TOTAL CURRENT UNITS]]=0,0,INVESTORS_LIST[[#This Row],[SIP_TOTAL CURRENT UNITS]]*INVESTORS_LIST[[#This Row],[SIP_AVERAGE COST]])</f>
        <v>0</v>
      </c>
      <c r="R122" s="48">
        <f>IF(INVESTORS_LIST[[#This Row],[SIP_TOTAL UNITS SOLD]]=0,0,SUMIFS(SIP[Realized Gain],SIP[Investor ID],INVESTORS_LIST[[#This Row],[INVESTOR CODE]],SIP[B/S],"S"))</f>
        <v>0</v>
      </c>
      <c r="S122" s="50">
        <f>INVESTORS_LIST[[#This Row],[LS_TOTAL UNITS BUY]]+INVESTORS_LIST[[#This Row],[SIP_TOTAL UNITS BUY]]</f>
        <v>0</v>
      </c>
      <c r="T122" s="50">
        <f>INVESTORS_LIST[[#This Row],[LS_TOTAL UNITS SOLD]]+INVESTORS_LIST[[#This Row],[SIP_TOTAL UNITS SOLD]]</f>
        <v>0</v>
      </c>
      <c r="U122" s="50"/>
      <c r="V122" s="50">
        <f>SUMIFS(LS[BO UNIT TRANSFER],LS[Investor ID],INVESTORS_LIST[[#This Row],[INVESTOR CODE]],LS[B/S],"B")</f>
        <v>0</v>
      </c>
      <c r="W122" s="50">
        <f>SUMIFS(SIP[BO UNIT TRANSFER],SIP[Investor ID],INVESTORS_LIST[[#This Row],[INVESTOR CODE]],SIP[B/S],"B")</f>
        <v>0</v>
      </c>
      <c r="X122" s="50">
        <f>SUMIFS(LS[BO UNIT TRANSFER],LS[Investor ID],INVESTORS_LIST[[#This Row],[INVESTOR CODE]],LS[B/S],"S")</f>
        <v>0</v>
      </c>
      <c r="Y122" s="50">
        <f>SUMIFS(SIP[BO UNIT TRANSFER],SIP[Investor ID],INVESTORS_LIST[[#This Row],[INVESTOR CODE]],SIP[B/S],"S")</f>
        <v>0</v>
      </c>
      <c r="Z122" s="106">
        <f>SUM(INVESTORS_LIST[[#This Row],[BO OPENING BALANCE]:[BO SIP UNITS REPURCHASE]])</f>
        <v>0</v>
      </c>
      <c r="AA122" s="107">
        <f>INVESTORS_LIST[[#This Row],[TOTAL UNITS BUY]]-INVESTORS_LIST[[#This Row],[TOTAL UNITS SOLD]]</f>
        <v>0</v>
      </c>
      <c r="AB122" s="107">
        <f>INVESTORS_LIST[[#This Row],[TOTAL CURRENT UNITS]]-INVESTORS_LIST[[#This Row],[BO UNITS HOLD]]</f>
        <v>0</v>
      </c>
      <c r="AC122" s="201" t="e">
        <f>INDEX([3]!Table_1[BO ID],MATCH(INVESTORS_LIST[[#This Row],[INVESTOR CODE]],[3]!Table_1[INVESTOR CODE],0))</f>
        <v>#REF!</v>
      </c>
      <c r="AD122" s="201" t="e">
        <f>INDEX([3]!Table_1[Brokerage Name2],MATCH(INVESTORS_LIST[[#This Row],[INVESTOR CODE]],[3]!Table_1[INVESTOR CODE],0))</f>
        <v>#REF!</v>
      </c>
      <c r="AE122" s="201" t="e">
        <f>MID(INVESTORS_LIST[[#This Row],[BO ID]],4,5)</f>
        <v>#REF!</v>
      </c>
      <c r="AF122" s="201" t="e">
        <f>MID(INVESTORS_LIST[[#This Row],[BO ID]],2,7)</f>
        <v>#REF!</v>
      </c>
      <c r="AG122" s="201" t="e">
        <f>MID(INVESTORS_LIST[[#This Row],[BO ID]],9,7)</f>
        <v>#REF!</v>
      </c>
      <c r="AH122" s="201" t="e">
        <f>RIGHT(INVESTORS_LIST[[#This Row],[BO ID]],1)</f>
        <v>#REF!</v>
      </c>
      <c r="AI122" s="50">
        <f>INVESTORS_LIST[[#This Row],[LS_TOTAL COST VALUE OF CURRENT UNITS]]+INVESTORS_LIST[[#This Row],[SIP_TOTAL COST VALUE OF CURRENT UNITS]]</f>
        <v>0</v>
      </c>
      <c r="AJ122" s="109">
        <f>IF(INVESTORS_LIST[[#This Row],[TOTAL CURRENT UNITS]]=0,0,INVESTORS_LIST[[#This Row],[LS_TOTAL CURRENT UNITS]]/INVESTORS_LIST[[#This Row],[TOTAL CURRENT UNITS]])</f>
        <v>0</v>
      </c>
      <c r="AK122" s="109">
        <f>IF(INVESTORS_LIST[[#This Row],[TOTAL CURRENT UNITS]]=0,0,INVESTORS_LIST[[#This Row],[SIP_TOTAL CURRENT UNITS]]/INVESTORS_LIST[[#This Row],[TOTAL CURRENT UNITS]])</f>
        <v>0</v>
      </c>
      <c r="AL122" s="49" cm="1">
        <f t="array" ref="AL1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2" s="49" cm="1">
        <f t="array" ref="AM1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2" s="105">
        <f t="shared" si="2"/>
        <v>14.224</v>
      </c>
      <c r="AP122" s="112">
        <f>IF(INVESTORS_LIST[[#This Row],[TOTAL CURRENT UNITS]]=0,0,INVESTORS_LIST[[#This Row],[TOTAL CURRENT UNITS]]*INVESTORS_LIST[[#This Row],[NAV]])</f>
        <v>0</v>
      </c>
      <c r="AQ122" s="49">
        <f>IF(INVESTORS_LIST[[#This Row],[LS_TOTAL CURRENT UNITS]]=0,0,INVESTORS_LIST[[#This Row],[LS_TOTAL CURRENT UNITS]]*INVESTORS_LIST[[#This Row],[NAV]])</f>
        <v>0</v>
      </c>
      <c r="AR122" s="48">
        <f>IF(INVESTORS_LIST[[#This Row],[SIP_TOTAL CURRENT UNITS]]=0,0,INVESTORS_LIST[[#This Row],[SIP_TOTAL CURRENT UNITS]]*INVESTORS_LIST[[#This Row],[NAV]])</f>
        <v>0</v>
      </c>
      <c r="AS122" s="50">
        <f>INVESTORS_LIST[[#This Row],[TOTAL CURRENT UNITS]]</f>
        <v>0</v>
      </c>
      <c r="AT122" s="48">
        <f>IF(INVESTORS_LIST[[#This Row],[TOTAL SELLABLE UNITS]]=0,0,INVESTORS_LIST[[#This Row],[TOTAL SELLABLE UNITS]]*INVESTORS_LIST[[#This Row],[NAV]])</f>
        <v>0</v>
      </c>
      <c r="AU122" s="48">
        <f>INVESTORS_LIST[[#This Row],[LS_TOTAL REALIZED GAIN]]+INVESTORS_LIST[[#This Row],[SIP_TOTAL REALIZED GAIN]]</f>
        <v>0</v>
      </c>
      <c r="AV122" s="48">
        <f>INVESTORS_LIST[[#This Row],[TOTAL MARKET VALUE]]-INVESTORS_LIST[[#This Row],[TOTAL COST VALUE OF CURRENT INVESTMENT]]</f>
        <v>0</v>
      </c>
      <c r="AW122" s="48">
        <f>IFERROR(INVESTORS_LIST[[#This Row],[TOTAL CURRENT UNITS]]/SUM(INVESTORS_LIST[TOTAL CURRENT UNITS]),0)</f>
        <v>0</v>
      </c>
    </row>
    <row r="123" spans="1:49" hidden="1">
      <c r="A123" s="262" t="s">
        <v>293</v>
      </c>
      <c r="B123" s="97" t="s">
        <v>294</v>
      </c>
      <c r="C123" t="s">
        <v>44</v>
      </c>
      <c r="D123" s="75" t="s">
        <v>45</v>
      </c>
      <c r="E123" s="47">
        <f>SUMIFS(LS[Unit],LS[Investor ID],INVESTORS_LIST[[#This Row],[INVESTOR CODE]],LS[B/S],"B")</f>
        <v>0</v>
      </c>
      <c r="F123" s="47">
        <f>-SUMIFS(LS[Unit],LS[Investor ID],INVESTORS_LIST[[#This Row],[INVESTOR CODE]],LS[B/S],"S")</f>
        <v>0</v>
      </c>
      <c r="G123" s="47">
        <f>IF(INVESTORS_LIST[[#This Row],[LS_TOTAL UNITS BUY]]=0,0,INVESTORS_LIST[[#This Row],[LS_TOTAL UNITS BUY]]-INVESTORS_LIST[[#This Row],[LS_TOTAL UNITS SOLD]])</f>
        <v>0</v>
      </c>
      <c r="H123" s="49">
        <f>IF(INVESTORS_LIST[[#This Row],[LS_TOTAL UNITS BUY]]=0,0,SUMIFS(LS[Amount],LS[Investor ID],INVESTORS_LIST[[#This Row],[INVESTOR CODE]],LS[B/S],"B"))</f>
        <v>0</v>
      </c>
      <c r="I123" s="48">
        <f>IF(INVESTORS_LIST[[#This Row],[LS_TOTAL UNITS SOLD]]=0,0,SUMIFS(LS[Cost of Units Sold],LS[Investor ID],INVESTORS_LIST[[#This Row],[INVESTOR CODE]],LS[B/S],"S"))</f>
        <v>0</v>
      </c>
      <c r="J123" s="48">
        <f>IF(INVESTORS_LIST[[#This Row],[LS_TOTAL CURRENT UNITS]]=0,0,INVESTORS_LIST[[#This Row],[LS_TOTAL CURRENT UNITS]]*INVESTORS_LIST[[#This Row],[LS_AVERAGE COST]])</f>
        <v>0</v>
      </c>
      <c r="K123" s="49">
        <f>IF(INVESTORS_LIST[[#This Row],[LS_TOTAL UNITS SOLD]]=0,0,SUMIFS(LS[Realized Gain],LS[Investor ID],INVESTORS_LIST[[#This Row],[INVESTOR CODE]],LS[B/S],"S"))</f>
        <v>0</v>
      </c>
      <c r="L123" s="47">
        <f>SUMIFS(SIP[Unit],SIP[Investor ID],INVESTORS_LIST[[#This Row],[INVESTOR CODE]],SIP[B/S],"B")</f>
        <v>0</v>
      </c>
      <c r="M123" s="47">
        <f>-SUMIFS(SIP[Unit],SIP[Investor ID],INVESTORS_LIST[[#This Row],[INVESTOR CODE]],SIP[B/S],"S")</f>
        <v>0</v>
      </c>
      <c r="N123" s="50">
        <f>IF(INVESTORS_LIST[[#This Row],[SIP_TOTAL UNITS BUY]]=0,0,INVESTORS_LIST[[#This Row],[SIP_TOTAL UNITS BUY]]-INVESTORS_LIST[[#This Row],[SIP_TOTAL UNITS SOLD]])</f>
        <v>0</v>
      </c>
      <c r="O123" s="49">
        <f>IF(INVESTORS_LIST[[#This Row],[SIP_TOTAL UNITS BUY]]=0,0,SUMIFS(SIP[Amount],SIP[Investor ID],INVESTORS_LIST[[#This Row],[INVESTOR CODE]],SIP[B/S],"B"))</f>
        <v>0</v>
      </c>
      <c r="P123" s="49">
        <f>IF(INVESTORS_LIST[[#This Row],[SIP_TOTAL UNITS SOLD]]=0,0,SUMIFS(SIP[Cost of Units Sold],SIP[Investor ID],INVESTORS_LIST[[#This Row],[INVESTOR CODE]],SIP[B/S],"S"))</f>
        <v>0</v>
      </c>
      <c r="Q123" s="48">
        <f>IF(INVESTORS_LIST[[#This Row],[SIP_TOTAL CURRENT UNITS]]=0,0,INVESTORS_LIST[[#This Row],[SIP_TOTAL CURRENT UNITS]]*INVESTORS_LIST[[#This Row],[SIP_AVERAGE COST]])</f>
        <v>0</v>
      </c>
      <c r="R123" s="48">
        <f>IF(INVESTORS_LIST[[#This Row],[SIP_TOTAL UNITS SOLD]]=0,0,SUMIFS(SIP[Realized Gain],SIP[Investor ID],INVESTORS_LIST[[#This Row],[INVESTOR CODE]],SIP[B/S],"S"))</f>
        <v>0</v>
      </c>
      <c r="S123" s="50">
        <f>INVESTORS_LIST[[#This Row],[LS_TOTAL UNITS BUY]]+INVESTORS_LIST[[#This Row],[SIP_TOTAL UNITS BUY]]</f>
        <v>0</v>
      </c>
      <c r="T123" s="50">
        <f>INVESTORS_LIST[[#This Row],[LS_TOTAL UNITS SOLD]]+INVESTORS_LIST[[#This Row],[SIP_TOTAL UNITS SOLD]]</f>
        <v>0</v>
      </c>
      <c r="U123" s="50"/>
      <c r="V123" s="50">
        <f>SUMIFS(LS[BO UNIT TRANSFER],LS[Investor ID],INVESTORS_LIST[[#This Row],[INVESTOR CODE]],LS[B/S],"B")</f>
        <v>0</v>
      </c>
      <c r="W123" s="50">
        <f>SUMIFS(SIP[BO UNIT TRANSFER],SIP[Investor ID],INVESTORS_LIST[[#This Row],[INVESTOR CODE]],SIP[B/S],"B")</f>
        <v>0</v>
      </c>
      <c r="X123" s="50">
        <f>SUMIFS(LS[BO UNIT TRANSFER],LS[Investor ID],INVESTORS_LIST[[#This Row],[INVESTOR CODE]],LS[B/S],"S")</f>
        <v>0</v>
      </c>
      <c r="Y123" s="50">
        <f>SUMIFS(SIP[BO UNIT TRANSFER],SIP[Investor ID],INVESTORS_LIST[[#This Row],[INVESTOR CODE]],SIP[B/S],"S")</f>
        <v>0</v>
      </c>
      <c r="Z123" s="106">
        <f>SUM(INVESTORS_LIST[[#This Row],[BO OPENING BALANCE]:[BO SIP UNITS REPURCHASE]])</f>
        <v>0</v>
      </c>
      <c r="AA123" s="107">
        <f>INVESTORS_LIST[[#This Row],[TOTAL UNITS BUY]]-INVESTORS_LIST[[#This Row],[TOTAL UNITS SOLD]]</f>
        <v>0</v>
      </c>
      <c r="AB123" s="107">
        <f>INVESTORS_LIST[[#This Row],[TOTAL CURRENT UNITS]]-INVESTORS_LIST[[#This Row],[BO UNITS HOLD]]</f>
        <v>0</v>
      </c>
      <c r="AC123" s="201" t="e">
        <f>INDEX([3]!Table_1[BO ID],MATCH(INVESTORS_LIST[[#This Row],[INVESTOR CODE]],[3]!Table_1[INVESTOR CODE],0))</f>
        <v>#REF!</v>
      </c>
      <c r="AD123" s="201" t="e">
        <f>INDEX([3]!Table_1[Brokerage Name2],MATCH(INVESTORS_LIST[[#This Row],[INVESTOR CODE]],[3]!Table_1[INVESTOR CODE],0))</f>
        <v>#REF!</v>
      </c>
      <c r="AE123" s="201" t="e">
        <f>MID(INVESTORS_LIST[[#This Row],[BO ID]],4,5)</f>
        <v>#REF!</v>
      </c>
      <c r="AF123" s="201" t="e">
        <f>MID(INVESTORS_LIST[[#This Row],[BO ID]],2,7)</f>
        <v>#REF!</v>
      </c>
      <c r="AG123" s="201" t="e">
        <f>MID(INVESTORS_LIST[[#This Row],[BO ID]],9,7)</f>
        <v>#REF!</v>
      </c>
      <c r="AH123" s="201" t="e">
        <f>RIGHT(INVESTORS_LIST[[#This Row],[BO ID]],1)</f>
        <v>#REF!</v>
      </c>
      <c r="AI123" s="50">
        <f>INVESTORS_LIST[[#This Row],[LS_TOTAL COST VALUE OF CURRENT UNITS]]+INVESTORS_LIST[[#This Row],[SIP_TOTAL COST VALUE OF CURRENT UNITS]]</f>
        <v>0</v>
      </c>
      <c r="AJ123" s="109">
        <f>IF(INVESTORS_LIST[[#This Row],[TOTAL CURRENT UNITS]]=0,0,INVESTORS_LIST[[#This Row],[LS_TOTAL CURRENT UNITS]]/INVESTORS_LIST[[#This Row],[TOTAL CURRENT UNITS]])</f>
        <v>0</v>
      </c>
      <c r="AK123" s="109">
        <f>IF(INVESTORS_LIST[[#This Row],[TOTAL CURRENT UNITS]]=0,0,INVESTORS_LIST[[#This Row],[SIP_TOTAL CURRENT UNITS]]/INVESTORS_LIST[[#This Row],[TOTAL CURRENT UNITS]])</f>
        <v>0</v>
      </c>
      <c r="AL123" s="49" cm="1">
        <f t="array" ref="AL1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3" s="49" cm="1">
        <f t="array" ref="AM1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3" s="105">
        <f t="shared" si="2"/>
        <v>14.224</v>
      </c>
      <c r="AP123" s="112">
        <f>IF(INVESTORS_LIST[[#This Row],[TOTAL CURRENT UNITS]]=0,0,INVESTORS_LIST[[#This Row],[TOTAL CURRENT UNITS]]*INVESTORS_LIST[[#This Row],[NAV]])</f>
        <v>0</v>
      </c>
      <c r="AQ123" s="49">
        <f>IF(INVESTORS_LIST[[#This Row],[LS_TOTAL CURRENT UNITS]]=0,0,INVESTORS_LIST[[#This Row],[LS_TOTAL CURRENT UNITS]]*INVESTORS_LIST[[#This Row],[NAV]])</f>
        <v>0</v>
      </c>
      <c r="AR123" s="48">
        <f>IF(INVESTORS_LIST[[#This Row],[SIP_TOTAL CURRENT UNITS]]=0,0,INVESTORS_LIST[[#This Row],[SIP_TOTAL CURRENT UNITS]]*INVESTORS_LIST[[#This Row],[NAV]])</f>
        <v>0</v>
      </c>
      <c r="AS123" s="50">
        <f>INVESTORS_LIST[[#This Row],[TOTAL CURRENT UNITS]]</f>
        <v>0</v>
      </c>
      <c r="AT123" s="48">
        <f>IF(INVESTORS_LIST[[#This Row],[TOTAL SELLABLE UNITS]]=0,0,INVESTORS_LIST[[#This Row],[TOTAL SELLABLE UNITS]]*INVESTORS_LIST[[#This Row],[NAV]])</f>
        <v>0</v>
      </c>
      <c r="AU123" s="48">
        <f>INVESTORS_LIST[[#This Row],[LS_TOTAL REALIZED GAIN]]+INVESTORS_LIST[[#This Row],[SIP_TOTAL REALIZED GAIN]]</f>
        <v>0</v>
      </c>
      <c r="AV123" s="48">
        <f>INVESTORS_LIST[[#This Row],[TOTAL MARKET VALUE]]-INVESTORS_LIST[[#This Row],[TOTAL COST VALUE OF CURRENT INVESTMENT]]</f>
        <v>0</v>
      </c>
      <c r="AW123" s="48">
        <f>IFERROR(INVESTORS_LIST[[#This Row],[TOTAL CURRENT UNITS]]/SUM(INVESTORS_LIST[TOTAL CURRENT UNITS]),0)</f>
        <v>0</v>
      </c>
    </row>
    <row r="124" spans="1:49" hidden="1">
      <c r="A124" s="262" t="s">
        <v>295</v>
      </c>
      <c r="B124" s="97" t="s">
        <v>296</v>
      </c>
      <c r="C124" t="s">
        <v>44</v>
      </c>
      <c r="D124" s="75" t="s">
        <v>45</v>
      </c>
      <c r="E124" s="47">
        <f>SUMIFS(LS[Unit],LS[Investor ID],INVESTORS_LIST[[#This Row],[INVESTOR CODE]],LS[B/S],"B")</f>
        <v>0</v>
      </c>
      <c r="F124" s="47">
        <f>-SUMIFS(LS[Unit],LS[Investor ID],INVESTORS_LIST[[#This Row],[INVESTOR CODE]],LS[B/S],"S")</f>
        <v>0</v>
      </c>
      <c r="G124" s="47">
        <f>IF(INVESTORS_LIST[[#This Row],[LS_TOTAL UNITS BUY]]=0,0,INVESTORS_LIST[[#This Row],[LS_TOTAL UNITS BUY]]-INVESTORS_LIST[[#This Row],[LS_TOTAL UNITS SOLD]])</f>
        <v>0</v>
      </c>
      <c r="H124" s="49">
        <f>IF(INVESTORS_LIST[[#This Row],[LS_TOTAL UNITS BUY]]=0,0,SUMIFS(LS[Amount],LS[Investor ID],INVESTORS_LIST[[#This Row],[INVESTOR CODE]],LS[B/S],"B"))</f>
        <v>0</v>
      </c>
      <c r="I124" s="48">
        <f>IF(INVESTORS_LIST[[#This Row],[LS_TOTAL UNITS SOLD]]=0,0,SUMIFS(LS[Cost of Units Sold],LS[Investor ID],INVESTORS_LIST[[#This Row],[INVESTOR CODE]],LS[B/S],"S"))</f>
        <v>0</v>
      </c>
      <c r="J124" s="48">
        <f>IF(INVESTORS_LIST[[#This Row],[LS_TOTAL CURRENT UNITS]]=0,0,INVESTORS_LIST[[#This Row],[LS_TOTAL CURRENT UNITS]]*INVESTORS_LIST[[#This Row],[LS_AVERAGE COST]])</f>
        <v>0</v>
      </c>
      <c r="K124" s="49">
        <f>IF(INVESTORS_LIST[[#This Row],[LS_TOTAL UNITS SOLD]]=0,0,SUMIFS(LS[Realized Gain],LS[Investor ID],INVESTORS_LIST[[#This Row],[INVESTOR CODE]],LS[B/S],"S"))</f>
        <v>0</v>
      </c>
      <c r="L124" s="47">
        <f>SUMIFS(SIP[Unit],SIP[Investor ID],INVESTORS_LIST[[#This Row],[INVESTOR CODE]],SIP[B/S],"B")</f>
        <v>0</v>
      </c>
      <c r="M124" s="47">
        <f>-SUMIFS(SIP[Unit],SIP[Investor ID],INVESTORS_LIST[[#This Row],[INVESTOR CODE]],SIP[B/S],"S")</f>
        <v>0</v>
      </c>
      <c r="N124" s="50">
        <f>IF(INVESTORS_LIST[[#This Row],[SIP_TOTAL UNITS BUY]]=0,0,INVESTORS_LIST[[#This Row],[SIP_TOTAL UNITS BUY]]-INVESTORS_LIST[[#This Row],[SIP_TOTAL UNITS SOLD]])</f>
        <v>0</v>
      </c>
      <c r="O124" s="49">
        <f>IF(INVESTORS_LIST[[#This Row],[SIP_TOTAL UNITS BUY]]=0,0,SUMIFS(SIP[Amount],SIP[Investor ID],INVESTORS_LIST[[#This Row],[INVESTOR CODE]],SIP[B/S],"B"))</f>
        <v>0</v>
      </c>
      <c r="P124" s="49">
        <f>IF(INVESTORS_LIST[[#This Row],[SIP_TOTAL UNITS SOLD]]=0,0,SUMIFS(SIP[Cost of Units Sold],SIP[Investor ID],INVESTORS_LIST[[#This Row],[INVESTOR CODE]],SIP[B/S],"S"))</f>
        <v>0</v>
      </c>
      <c r="Q124" s="48">
        <f>IF(INVESTORS_LIST[[#This Row],[SIP_TOTAL CURRENT UNITS]]=0,0,INVESTORS_LIST[[#This Row],[SIP_TOTAL CURRENT UNITS]]*INVESTORS_LIST[[#This Row],[SIP_AVERAGE COST]])</f>
        <v>0</v>
      </c>
      <c r="R124" s="48">
        <f>IF(INVESTORS_LIST[[#This Row],[SIP_TOTAL UNITS SOLD]]=0,0,SUMIFS(SIP[Realized Gain],SIP[Investor ID],INVESTORS_LIST[[#This Row],[INVESTOR CODE]],SIP[B/S],"S"))</f>
        <v>0</v>
      </c>
      <c r="S124" s="50">
        <f>INVESTORS_LIST[[#This Row],[LS_TOTAL UNITS BUY]]+INVESTORS_LIST[[#This Row],[SIP_TOTAL UNITS BUY]]</f>
        <v>0</v>
      </c>
      <c r="T124" s="50">
        <f>INVESTORS_LIST[[#This Row],[LS_TOTAL UNITS SOLD]]+INVESTORS_LIST[[#This Row],[SIP_TOTAL UNITS SOLD]]</f>
        <v>0</v>
      </c>
      <c r="U124" s="50"/>
      <c r="V124" s="50">
        <f>SUMIFS(LS[BO UNIT TRANSFER],LS[Investor ID],INVESTORS_LIST[[#This Row],[INVESTOR CODE]],LS[B/S],"B")</f>
        <v>0</v>
      </c>
      <c r="W124" s="50">
        <f>SUMIFS(SIP[BO UNIT TRANSFER],SIP[Investor ID],INVESTORS_LIST[[#This Row],[INVESTOR CODE]],SIP[B/S],"B")</f>
        <v>0</v>
      </c>
      <c r="X124" s="50">
        <f>SUMIFS(LS[BO UNIT TRANSFER],LS[Investor ID],INVESTORS_LIST[[#This Row],[INVESTOR CODE]],LS[B/S],"S")</f>
        <v>0</v>
      </c>
      <c r="Y124" s="50">
        <f>SUMIFS(SIP[BO UNIT TRANSFER],SIP[Investor ID],INVESTORS_LIST[[#This Row],[INVESTOR CODE]],SIP[B/S],"S")</f>
        <v>0</v>
      </c>
      <c r="Z124" s="106">
        <f>SUM(INVESTORS_LIST[[#This Row],[BO OPENING BALANCE]:[BO SIP UNITS REPURCHASE]])</f>
        <v>0</v>
      </c>
      <c r="AA124" s="107">
        <f>INVESTORS_LIST[[#This Row],[TOTAL UNITS BUY]]-INVESTORS_LIST[[#This Row],[TOTAL UNITS SOLD]]</f>
        <v>0</v>
      </c>
      <c r="AB124" s="107">
        <f>INVESTORS_LIST[[#This Row],[TOTAL CURRENT UNITS]]-INVESTORS_LIST[[#This Row],[BO UNITS HOLD]]</f>
        <v>0</v>
      </c>
      <c r="AC124" s="201" t="e">
        <f>INDEX([3]!Table_1[BO ID],MATCH(INVESTORS_LIST[[#This Row],[INVESTOR CODE]],[3]!Table_1[INVESTOR CODE],0))</f>
        <v>#REF!</v>
      </c>
      <c r="AD124" s="201" t="e">
        <f>INDEX([3]!Table_1[Brokerage Name2],MATCH(INVESTORS_LIST[[#This Row],[INVESTOR CODE]],[3]!Table_1[INVESTOR CODE],0))</f>
        <v>#REF!</v>
      </c>
      <c r="AE124" s="201" t="e">
        <f>MID(INVESTORS_LIST[[#This Row],[BO ID]],4,5)</f>
        <v>#REF!</v>
      </c>
      <c r="AF124" s="201" t="e">
        <f>MID(INVESTORS_LIST[[#This Row],[BO ID]],2,7)</f>
        <v>#REF!</v>
      </c>
      <c r="AG124" s="201" t="e">
        <f>MID(INVESTORS_LIST[[#This Row],[BO ID]],9,7)</f>
        <v>#REF!</v>
      </c>
      <c r="AH124" s="201" t="e">
        <f>RIGHT(INVESTORS_LIST[[#This Row],[BO ID]],1)</f>
        <v>#REF!</v>
      </c>
      <c r="AI124" s="50">
        <f>INVESTORS_LIST[[#This Row],[LS_TOTAL COST VALUE OF CURRENT UNITS]]+INVESTORS_LIST[[#This Row],[SIP_TOTAL COST VALUE OF CURRENT UNITS]]</f>
        <v>0</v>
      </c>
      <c r="AJ124" s="109">
        <f>IF(INVESTORS_LIST[[#This Row],[TOTAL CURRENT UNITS]]=0,0,INVESTORS_LIST[[#This Row],[LS_TOTAL CURRENT UNITS]]/INVESTORS_LIST[[#This Row],[TOTAL CURRENT UNITS]])</f>
        <v>0</v>
      </c>
      <c r="AK124" s="109">
        <f>IF(INVESTORS_LIST[[#This Row],[TOTAL CURRENT UNITS]]=0,0,INVESTORS_LIST[[#This Row],[SIP_TOTAL CURRENT UNITS]]/INVESTORS_LIST[[#This Row],[TOTAL CURRENT UNITS]])</f>
        <v>0</v>
      </c>
      <c r="AL124" s="49" cm="1">
        <f t="array" ref="AL1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4" s="49" cm="1">
        <f t="array" ref="AM1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4" s="105">
        <f t="shared" si="2"/>
        <v>14.224</v>
      </c>
      <c r="AP124" s="112">
        <f>IF(INVESTORS_LIST[[#This Row],[TOTAL CURRENT UNITS]]=0,0,INVESTORS_LIST[[#This Row],[TOTAL CURRENT UNITS]]*INVESTORS_LIST[[#This Row],[NAV]])</f>
        <v>0</v>
      </c>
      <c r="AQ124" s="49">
        <f>IF(INVESTORS_LIST[[#This Row],[LS_TOTAL CURRENT UNITS]]=0,0,INVESTORS_LIST[[#This Row],[LS_TOTAL CURRENT UNITS]]*INVESTORS_LIST[[#This Row],[NAV]])</f>
        <v>0</v>
      </c>
      <c r="AR124" s="48">
        <f>IF(INVESTORS_LIST[[#This Row],[SIP_TOTAL CURRENT UNITS]]=0,0,INVESTORS_LIST[[#This Row],[SIP_TOTAL CURRENT UNITS]]*INVESTORS_LIST[[#This Row],[NAV]])</f>
        <v>0</v>
      </c>
      <c r="AS124" s="50">
        <f>INVESTORS_LIST[[#This Row],[TOTAL CURRENT UNITS]]</f>
        <v>0</v>
      </c>
      <c r="AT124" s="48">
        <f>IF(INVESTORS_LIST[[#This Row],[TOTAL SELLABLE UNITS]]=0,0,INVESTORS_LIST[[#This Row],[TOTAL SELLABLE UNITS]]*INVESTORS_LIST[[#This Row],[NAV]])</f>
        <v>0</v>
      </c>
      <c r="AU124" s="48">
        <f>INVESTORS_LIST[[#This Row],[LS_TOTAL REALIZED GAIN]]+INVESTORS_LIST[[#This Row],[SIP_TOTAL REALIZED GAIN]]</f>
        <v>0</v>
      </c>
      <c r="AV124" s="48">
        <f>INVESTORS_LIST[[#This Row],[TOTAL MARKET VALUE]]-INVESTORS_LIST[[#This Row],[TOTAL COST VALUE OF CURRENT INVESTMENT]]</f>
        <v>0</v>
      </c>
      <c r="AW124" s="48">
        <f>IFERROR(INVESTORS_LIST[[#This Row],[TOTAL CURRENT UNITS]]/SUM(INVESTORS_LIST[TOTAL CURRENT UNITS]),0)</f>
        <v>0</v>
      </c>
    </row>
    <row r="125" spans="1:49" hidden="1">
      <c r="A125" s="262" t="s">
        <v>297</v>
      </c>
      <c r="B125" s="97" t="s">
        <v>298</v>
      </c>
      <c r="C125" t="s">
        <v>44</v>
      </c>
      <c r="D125" s="75" t="s">
        <v>45</v>
      </c>
      <c r="E125" s="47">
        <f>SUMIFS(LS[Unit],LS[Investor ID],INVESTORS_LIST[[#This Row],[INVESTOR CODE]],LS[B/S],"B")</f>
        <v>40000</v>
      </c>
      <c r="F125" s="47">
        <f>-SUMIFS(LS[Unit],LS[Investor ID],INVESTORS_LIST[[#This Row],[INVESTOR CODE]],LS[B/S],"S")</f>
        <v>40000</v>
      </c>
      <c r="G125" s="47">
        <f>IF(INVESTORS_LIST[[#This Row],[LS_TOTAL UNITS BUY]]=0,0,INVESTORS_LIST[[#This Row],[LS_TOTAL UNITS BUY]]-INVESTORS_LIST[[#This Row],[LS_TOTAL UNITS SOLD]])</f>
        <v>0</v>
      </c>
      <c r="H125" s="49">
        <f>IF(INVESTORS_LIST[[#This Row],[LS_TOTAL UNITS BUY]]=0,0,SUMIFS(LS[Amount],LS[Investor ID],INVESTORS_LIST[[#This Row],[INVESTOR CODE]],LS[B/S],"B"))</f>
        <v>400000</v>
      </c>
      <c r="I125" s="48">
        <f>IF(INVESTORS_LIST[[#This Row],[LS_TOTAL UNITS SOLD]]=0,0,SUMIFS(LS[Cost of Units Sold],LS[Investor ID],INVESTORS_LIST[[#This Row],[INVESTOR CODE]],LS[B/S],"S"))</f>
        <v>400000</v>
      </c>
      <c r="J125" s="48">
        <f>IF(INVESTORS_LIST[[#This Row],[LS_TOTAL CURRENT UNITS]]=0,0,INVESTORS_LIST[[#This Row],[LS_TOTAL CURRENT UNITS]]*INVESTORS_LIST[[#This Row],[LS_AVERAGE COST]])</f>
        <v>0</v>
      </c>
      <c r="K125" s="49">
        <f>IF(INVESTORS_LIST[[#This Row],[LS_TOTAL UNITS SOLD]]=0,0,SUMIFS(LS[Realized Gain],LS[Investor ID],INVESTORS_LIST[[#This Row],[INVESTOR CODE]],LS[B/S],"S"))</f>
        <v>96039.999999999985</v>
      </c>
      <c r="L125" s="47">
        <f>SUMIFS(SIP[Unit],SIP[Investor ID],INVESTORS_LIST[[#This Row],[INVESTOR CODE]],SIP[B/S],"B")</f>
        <v>0</v>
      </c>
      <c r="M125" s="47">
        <f>-SUMIFS(SIP[Unit],SIP[Investor ID],INVESTORS_LIST[[#This Row],[INVESTOR CODE]],SIP[B/S],"S")</f>
        <v>0</v>
      </c>
      <c r="N125" s="50">
        <f>IF(INVESTORS_LIST[[#This Row],[SIP_TOTAL UNITS BUY]]=0,0,INVESTORS_LIST[[#This Row],[SIP_TOTAL UNITS BUY]]-INVESTORS_LIST[[#This Row],[SIP_TOTAL UNITS SOLD]])</f>
        <v>0</v>
      </c>
      <c r="O125" s="49">
        <f>IF(INVESTORS_LIST[[#This Row],[SIP_TOTAL UNITS BUY]]=0,0,SUMIFS(SIP[Amount],SIP[Investor ID],INVESTORS_LIST[[#This Row],[INVESTOR CODE]],SIP[B/S],"B"))</f>
        <v>0</v>
      </c>
      <c r="P125" s="49">
        <f>IF(INVESTORS_LIST[[#This Row],[SIP_TOTAL UNITS SOLD]]=0,0,SUMIFS(SIP[Cost of Units Sold],SIP[Investor ID],INVESTORS_LIST[[#This Row],[INVESTOR CODE]],SIP[B/S],"S"))</f>
        <v>0</v>
      </c>
      <c r="Q125" s="48">
        <f>IF(INVESTORS_LIST[[#This Row],[SIP_TOTAL CURRENT UNITS]]=0,0,INVESTORS_LIST[[#This Row],[SIP_TOTAL CURRENT UNITS]]*INVESTORS_LIST[[#This Row],[SIP_AVERAGE COST]])</f>
        <v>0</v>
      </c>
      <c r="R125" s="48">
        <f>IF(INVESTORS_LIST[[#This Row],[SIP_TOTAL UNITS SOLD]]=0,0,SUMIFS(SIP[Realized Gain],SIP[Investor ID],INVESTORS_LIST[[#This Row],[INVESTOR CODE]],SIP[B/S],"S"))</f>
        <v>0</v>
      </c>
      <c r="S125" s="50">
        <f>INVESTORS_LIST[[#This Row],[LS_TOTAL UNITS BUY]]+INVESTORS_LIST[[#This Row],[SIP_TOTAL UNITS BUY]]</f>
        <v>40000</v>
      </c>
      <c r="T125" s="50">
        <f>INVESTORS_LIST[[#This Row],[LS_TOTAL UNITS SOLD]]+INVESTORS_LIST[[#This Row],[SIP_TOTAL UNITS SOLD]]</f>
        <v>40000</v>
      </c>
      <c r="U125" s="50"/>
      <c r="V125" s="50">
        <f>SUMIFS(LS[BO UNIT TRANSFER],LS[Investor ID],INVESTORS_LIST[[#This Row],[INVESTOR CODE]],LS[B/S],"B")</f>
        <v>0</v>
      </c>
      <c r="W125" s="50">
        <f>SUMIFS(SIP[BO UNIT TRANSFER],SIP[Investor ID],INVESTORS_LIST[[#This Row],[INVESTOR CODE]],SIP[B/S],"B")</f>
        <v>0</v>
      </c>
      <c r="X125" s="50">
        <f>SUMIFS(LS[BO UNIT TRANSFER],LS[Investor ID],INVESTORS_LIST[[#This Row],[INVESTOR CODE]],LS[B/S],"S")</f>
        <v>0</v>
      </c>
      <c r="Y125" s="50">
        <f>SUMIFS(SIP[BO UNIT TRANSFER],SIP[Investor ID],INVESTORS_LIST[[#This Row],[INVESTOR CODE]],SIP[B/S],"S")</f>
        <v>0</v>
      </c>
      <c r="Z125" s="106">
        <f>SUM(INVESTORS_LIST[[#This Row],[BO OPENING BALANCE]:[BO SIP UNITS REPURCHASE]])</f>
        <v>0</v>
      </c>
      <c r="AA125" s="107">
        <f>INVESTORS_LIST[[#This Row],[TOTAL UNITS BUY]]-INVESTORS_LIST[[#This Row],[TOTAL UNITS SOLD]]</f>
        <v>0</v>
      </c>
      <c r="AB125" s="107">
        <f>INVESTORS_LIST[[#This Row],[TOTAL CURRENT UNITS]]-INVESTORS_LIST[[#This Row],[BO UNITS HOLD]]</f>
        <v>0</v>
      </c>
      <c r="AC125" s="201" t="e">
        <f>INDEX([3]!Table_1[BO ID],MATCH(INVESTORS_LIST[[#This Row],[INVESTOR CODE]],[3]!Table_1[INVESTOR CODE],0))</f>
        <v>#REF!</v>
      </c>
      <c r="AD125" s="201" t="e">
        <f>INDEX([3]!Table_1[Brokerage Name2],MATCH(INVESTORS_LIST[[#This Row],[INVESTOR CODE]],[3]!Table_1[INVESTOR CODE],0))</f>
        <v>#REF!</v>
      </c>
      <c r="AE125" s="201" t="e">
        <f>MID(INVESTORS_LIST[[#This Row],[BO ID]],4,5)</f>
        <v>#REF!</v>
      </c>
      <c r="AF125" s="201" t="e">
        <f>MID(INVESTORS_LIST[[#This Row],[BO ID]],2,7)</f>
        <v>#REF!</v>
      </c>
      <c r="AG125" s="201" t="e">
        <f>MID(INVESTORS_LIST[[#This Row],[BO ID]],9,7)</f>
        <v>#REF!</v>
      </c>
      <c r="AH125" s="201" t="e">
        <f>RIGHT(INVESTORS_LIST[[#This Row],[BO ID]],1)</f>
        <v>#REF!</v>
      </c>
      <c r="AI125" s="50">
        <f>INVESTORS_LIST[[#This Row],[LS_TOTAL COST VALUE OF CURRENT UNITS]]+INVESTORS_LIST[[#This Row],[SIP_TOTAL COST VALUE OF CURRENT UNITS]]</f>
        <v>0</v>
      </c>
      <c r="AJ125" s="109">
        <f>IF(INVESTORS_LIST[[#This Row],[TOTAL CURRENT UNITS]]=0,0,INVESTORS_LIST[[#This Row],[LS_TOTAL CURRENT UNITS]]/INVESTORS_LIST[[#This Row],[TOTAL CURRENT UNITS]])</f>
        <v>0</v>
      </c>
      <c r="AK125" s="109">
        <f>IF(INVESTORS_LIST[[#This Row],[TOTAL CURRENT UNITS]]=0,0,INVESTORS_LIST[[#This Row],[SIP_TOTAL CURRENT UNITS]]/INVESTORS_LIST[[#This Row],[TOTAL CURRENT UNITS]])</f>
        <v>0</v>
      </c>
      <c r="AL125" s="49" cm="1">
        <f t="array" ref="AL1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5" s="49" cm="1">
        <f t="array" ref="AM1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5" s="105">
        <f t="shared" si="2"/>
        <v>14.224</v>
      </c>
      <c r="AP125" s="112">
        <f>IF(INVESTORS_LIST[[#This Row],[TOTAL CURRENT UNITS]]=0,0,INVESTORS_LIST[[#This Row],[TOTAL CURRENT UNITS]]*INVESTORS_LIST[[#This Row],[NAV]])</f>
        <v>0</v>
      </c>
      <c r="AQ125" s="49">
        <f>IF(INVESTORS_LIST[[#This Row],[LS_TOTAL CURRENT UNITS]]=0,0,INVESTORS_LIST[[#This Row],[LS_TOTAL CURRENT UNITS]]*INVESTORS_LIST[[#This Row],[NAV]])</f>
        <v>0</v>
      </c>
      <c r="AR125" s="48">
        <f>IF(INVESTORS_LIST[[#This Row],[SIP_TOTAL CURRENT UNITS]]=0,0,INVESTORS_LIST[[#This Row],[SIP_TOTAL CURRENT UNITS]]*INVESTORS_LIST[[#This Row],[NAV]])</f>
        <v>0</v>
      </c>
      <c r="AS125" s="50">
        <f>INVESTORS_LIST[[#This Row],[TOTAL CURRENT UNITS]]</f>
        <v>0</v>
      </c>
      <c r="AT125" s="48">
        <f>IF(INVESTORS_LIST[[#This Row],[TOTAL SELLABLE UNITS]]=0,0,INVESTORS_LIST[[#This Row],[TOTAL SELLABLE UNITS]]*INVESTORS_LIST[[#This Row],[NAV]])</f>
        <v>0</v>
      </c>
      <c r="AU125" s="48">
        <f>INVESTORS_LIST[[#This Row],[LS_TOTAL REALIZED GAIN]]+INVESTORS_LIST[[#This Row],[SIP_TOTAL REALIZED GAIN]]</f>
        <v>96039.999999999985</v>
      </c>
      <c r="AV125" s="48">
        <f>INVESTORS_LIST[[#This Row],[TOTAL MARKET VALUE]]-INVESTORS_LIST[[#This Row],[TOTAL COST VALUE OF CURRENT INVESTMENT]]</f>
        <v>0</v>
      </c>
      <c r="AW125" s="108">
        <f>IFERROR(INVESTORS_LIST[[#This Row],[TOTAL CURRENT UNITS]]/SUM(INVESTORS_LIST[TOTAL CURRENT UNITS]),0)</f>
        <v>0</v>
      </c>
    </row>
    <row r="126" spans="1:49" hidden="1">
      <c r="A126" s="262" t="s">
        <v>299</v>
      </c>
      <c r="B126" s="97" t="s">
        <v>300</v>
      </c>
      <c r="C126" t="s">
        <v>52</v>
      </c>
      <c r="D126" s="75" t="s">
        <v>45</v>
      </c>
      <c r="E126" s="47">
        <f>SUMIFS(LS[Unit],LS[Investor ID],INVESTORS_LIST[[#This Row],[INVESTOR CODE]],LS[B/S],"B")</f>
        <v>0</v>
      </c>
      <c r="F126" s="47">
        <f>-SUMIFS(LS[Unit],LS[Investor ID],INVESTORS_LIST[[#This Row],[INVESTOR CODE]],LS[B/S],"S")</f>
        <v>0</v>
      </c>
      <c r="G126" s="47">
        <f>IF(INVESTORS_LIST[[#This Row],[LS_TOTAL UNITS BUY]]=0,0,INVESTORS_LIST[[#This Row],[LS_TOTAL UNITS BUY]]-INVESTORS_LIST[[#This Row],[LS_TOTAL UNITS SOLD]])</f>
        <v>0</v>
      </c>
      <c r="H126" s="49">
        <f>IF(INVESTORS_LIST[[#This Row],[LS_TOTAL UNITS BUY]]=0,0,SUMIFS(LS[Amount],LS[Investor ID],INVESTORS_LIST[[#This Row],[INVESTOR CODE]],LS[B/S],"B"))</f>
        <v>0</v>
      </c>
      <c r="I126" s="48">
        <f>IF(INVESTORS_LIST[[#This Row],[LS_TOTAL UNITS SOLD]]=0,0,SUMIFS(LS[Cost of Units Sold],LS[Investor ID],INVESTORS_LIST[[#This Row],[INVESTOR CODE]],LS[B/S],"S"))</f>
        <v>0</v>
      </c>
      <c r="J126" s="48">
        <f>IF(INVESTORS_LIST[[#This Row],[LS_TOTAL CURRENT UNITS]]=0,0,INVESTORS_LIST[[#This Row],[LS_TOTAL CURRENT UNITS]]*INVESTORS_LIST[[#This Row],[LS_AVERAGE COST]])</f>
        <v>0</v>
      </c>
      <c r="K126" s="49">
        <f>IF(INVESTORS_LIST[[#This Row],[LS_TOTAL UNITS SOLD]]=0,0,SUMIFS(LS[Realized Gain],LS[Investor ID],INVESTORS_LIST[[#This Row],[INVESTOR CODE]],LS[B/S],"S"))</f>
        <v>0</v>
      </c>
      <c r="L126" s="47">
        <f>SUMIFS(SIP[Unit],SIP[Investor ID],INVESTORS_LIST[[#This Row],[INVESTOR CODE]],SIP[B/S],"B")</f>
        <v>0</v>
      </c>
      <c r="M126" s="47">
        <f>-SUMIFS(SIP[Unit],SIP[Investor ID],INVESTORS_LIST[[#This Row],[INVESTOR CODE]],SIP[B/S],"S")</f>
        <v>0</v>
      </c>
      <c r="N126" s="50">
        <f>IF(INVESTORS_LIST[[#This Row],[SIP_TOTAL UNITS BUY]]=0,0,INVESTORS_LIST[[#This Row],[SIP_TOTAL UNITS BUY]]-INVESTORS_LIST[[#This Row],[SIP_TOTAL UNITS SOLD]])</f>
        <v>0</v>
      </c>
      <c r="O126" s="49">
        <f>IF(INVESTORS_LIST[[#This Row],[SIP_TOTAL UNITS BUY]]=0,0,SUMIFS(SIP[Amount],SIP[Investor ID],INVESTORS_LIST[[#This Row],[INVESTOR CODE]],SIP[B/S],"B"))</f>
        <v>0</v>
      </c>
      <c r="P126" s="49">
        <f>IF(INVESTORS_LIST[[#This Row],[SIP_TOTAL UNITS SOLD]]=0,0,SUMIFS(SIP[Cost of Units Sold],SIP[Investor ID],INVESTORS_LIST[[#This Row],[INVESTOR CODE]],SIP[B/S],"S"))</f>
        <v>0</v>
      </c>
      <c r="Q126" s="48">
        <f>IF(INVESTORS_LIST[[#This Row],[SIP_TOTAL CURRENT UNITS]]=0,0,INVESTORS_LIST[[#This Row],[SIP_TOTAL CURRENT UNITS]]*INVESTORS_LIST[[#This Row],[SIP_AVERAGE COST]])</f>
        <v>0</v>
      </c>
      <c r="R126" s="48">
        <f>IF(INVESTORS_LIST[[#This Row],[SIP_TOTAL UNITS SOLD]]=0,0,SUMIFS(SIP[Realized Gain],SIP[Investor ID],INVESTORS_LIST[[#This Row],[INVESTOR CODE]],SIP[B/S],"S"))</f>
        <v>0</v>
      </c>
      <c r="S126" s="50">
        <f>INVESTORS_LIST[[#This Row],[LS_TOTAL UNITS BUY]]+INVESTORS_LIST[[#This Row],[SIP_TOTAL UNITS BUY]]</f>
        <v>0</v>
      </c>
      <c r="T126" s="50">
        <f>INVESTORS_LIST[[#This Row],[LS_TOTAL UNITS SOLD]]+INVESTORS_LIST[[#This Row],[SIP_TOTAL UNITS SOLD]]</f>
        <v>0</v>
      </c>
      <c r="U126" s="50"/>
      <c r="V126" s="50">
        <f>SUMIFS(LS[BO UNIT TRANSFER],LS[Investor ID],INVESTORS_LIST[[#This Row],[INVESTOR CODE]],LS[B/S],"B")</f>
        <v>0</v>
      </c>
      <c r="W126" s="50">
        <f>SUMIFS(SIP[BO UNIT TRANSFER],SIP[Investor ID],INVESTORS_LIST[[#This Row],[INVESTOR CODE]],SIP[B/S],"B")</f>
        <v>0</v>
      </c>
      <c r="X126" s="50">
        <f>SUMIFS(LS[BO UNIT TRANSFER],LS[Investor ID],INVESTORS_LIST[[#This Row],[INVESTOR CODE]],LS[B/S],"S")</f>
        <v>0</v>
      </c>
      <c r="Y126" s="50">
        <f>SUMIFS(SIP[BO UNIT TRANSFER],SIP[Investor ID],INVESTORS_LIST[[#This Row],[INVESTOR CODE]],SIP[B/S],"S")</f>
        <v>0</v>
      </c>
      <c r="Z126" s="106">
        <f>SUM(INVESTORS_LIST[[#This Row],[BO OPENING BALANCE]:[BO SIP UNITS REPURCHASE]])</f>
        <v>0</v>
      </c>
      <c r="AA126" s="107">
        <f>INVESTORS_LIST[[#This Row],[TOTAL UNITS BUY]]-INVESTORS_LIST[[#This Row],[TOTAL UNITS SOLD]]</f>
        <v>0</v>
      </c>
      <c r="AB126" s="107">
        <f>INVESTORS_LIST[[#This Row],[TOTAL CURRENT UNITS]]-INVESTORS_LIST[[#This Row],[BO UNITS HOLD]]</f>
        <v>0</v>
      </c>
      <c r="AC126" s="201" t="e">
        <f>INDEX([3]!Table_1[BO ID],MATCH(INVESTORS_LIST[[#This Row],[INVESTOR CODE]],[3]!Table_1[INVESTOR CODE],0))</f>
        <v>#REF!</v>
      </c>
      <c r="AD126" s="201" t="e">
        <f>INDEX([3]!Table_1[Brokerage Name2],MATCH(INVESTORS_LIST[[#This Row],[INVESTOR CODE]],[3]!Table_1[INVESTOR CODE],0))</f>
        <v>#REF!</v>
      </c>
      <c r="AE126" s="201" t="e">
        <f>MID(INVESTORS_LIST[[#This Row],[BO ID]],4,5)</f>
        <v>#REF!</v>
      </c>
      <c r="AF126" s="201" t="e">
        <f>MID(INVESTORS_LIST[[#This Row],[BO ID]],2,7)</f>
        <v>#REF!</v>
      </c>
      <c r="AG126" s="201" t="e">
        <f>MID(INVESTORS_LIST[[#This Row],[BO ID]],9,7)</f>
        <v>#REF!</v>
      </c>
      <c r="AH126" s="201" t="e">
        <f>RIGHT(INVESTORS_LIST[[#This Row],[BO ID]],1)</f>
        <v>#REF!</v>
      </c>
      <c r="AI126" s="50">
        <f>INVESTORS_LIST[[#This Row],[LS_TOTAL COST VALUE OF CURRENT UNITS]]+INVESTORS_LIST[[#This Row],[SIP_TOTAL COST VALUE OF CURRENT UNITS]]</f>
        <v>0</v>
      </c>
      <c r="AJ126" s="109">
        <f>IF(INVESTORS_LIST[[#This Row],[TOTAL CURRENT UNITS]]=0,0,INVESTORS_LIST[[#This Row],[LS_TOTAL CURRENT UNITS]]/INVESTORS_LIST[[#This Row],[TOTAL CURRENT UNITS]])</f>
        <v>0</v>
      </c>
      <c r="AK126" s="109">
        <f>IF(INVESTORS_LIST[[#This Row],[TOTAL CURRENT UNITS]]=0,0,INVESTORS_LIST[[#This Row],[SIP_TOTAL CURRENT UNITS]]/INVESTORS_LIST[[#This Row],[TOTAL CURRENT UNITS]])</f>
        <v>0</v>
      </c>
      <c r="AL126" s="49" cm="1">
        <f t="array" ref="AL1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6" s="49" cm="1">
        <f t="array" ref="AM1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6" s="105">
        <f t="shared" si="2"/>
        <v>14.224</v>
      </c>
      <c r="AP126" s="112">
        <f>IF(INVESTORS_LIST[[#This Row],[TOTAL CURRENT UNITS]]=0,0,INVESTORS_LIST[[#This Row],[TOTAL CURRENT UNITS]]*INVESTORS_LIST[[#This Row],[NAV]])</f>
        <v>0</v>
      </c>
      <c r="AQ126" s="49">
        <f>IF(INVESTORS_LIST[[#This Row],[LS_TOTAL CURRENT UNITS]]=0,0,INVESTORS_LIST[[#This Row],[LS_TOTAL CURRENT UNITS]]*INVESTORS_LIST[[#This Row],[NAV]])</f>
        <v>0</v>
      </c>
      <c r="AR126" s="48">
        <f>IF(INVESTORS_LIST[[#This Row],[SIP_TOTAL CURRENT UNITS]]=0,0,INVESTORS_LIST[[#This Row],[SIP_TOTAL CURRENT UNITS]]*INVESTORS_LIST[[#This Row],[NAV]])</f>
        <v>0</v>
      </c>
      <c r="AS126" s="50">
        <f>INVESTORS_LIST[[#This Row],[TOTAL CURRENT UNITS]]</f>
        <v>0</v>
      </c>
      <c r="AT126" s="48">
        <f>IF(INVESTORS_LIST[[#This Row],[TOTAL SELLABLE UNITS]]=0,0,INVESTORS_LIST[[#This Row],[TOTAL SELLABLE UNITS]]*INVESTORS_LIST[[#This Row],[NAV]])</f>
        <v>0</v>
      </c>
      <c r="AU126" s="48">
        <f>INVESTORS_LIST[[#This Row],[LS_TOTAL REALIZED GAIN]]+INVESTORS_LIST[[#This Row],[SIP_TOTAL REALIZED GAIN]]</f>
        <v>0</v>
      </c>
      <c r="AV126" s="48">
        <f>INVESTORS_LIST[[#This Row],[TOTAL MARKET VALUE]]-INVESTORS_LIST[[#This Row],[TOTAL COST VALUE OF CURRENT INVESTMENT]]</f>
        <v>0</v>
      </c>
      <c r="AW126" s="48">
        <f>IFERROR(INVESTORS_LIST[[#This Row],[TOTAL CURRENT UNITS]]/SUM(INVESTORS_LIST[TOTAL CURRENT UNITS]),0)</f>
        <v>0</v>
      </c>
    </row>
    <row r="127" spans="1:49" hidden="1">
      <c r="A127" s="262" t="s">
        <v>301</v>
      </c>
      <c r="B127" s="97" t="s">
        <v>302</v>
      </c>
      <c r="C127" t="s">
        <v>44</v>
      </c>
      <c r="D127" s="75" t="s">
        <v>45</v>
      </c>
      <c r="E127" s="47">
        <f>SUMIFS(LS[Unit],LS[Investor ID],INVESTORS_LIST[[#This Row],[INVESTOR CODE]],LS[B/S],"B")</f>
        <v>270149</v>
      </c>
      <c r="F127" s="47">
        <f>-SUMIFS(LS[Unit],LS[Investor ID],INVESTORS_LIST[[#This Row],[INVESTOR CODE]],LS[B/S],"S")</f>
        <v>270149</v>
      </c>
      <c r="G127" s="47">
        <f>IF(INVESTORS_LIST[[#This Row],[LS_TOTAL UNITS BUY]]=0,0,INVESTORS_LIST[[#This Row],[LS_TOTAL UNITS BUY]]-INVESTORS_LIST[[#This Row],[LS_TOTAL UNITS SOLD]])</f>
        <v>0</v>
      </c>
      <c r="H127" s="49">
        <f>IF(INVESTORS_LIST[[#This Row],[LS_TOTAL UNITS BUY]]=0,0,SUMIFS(LS[Amount],LS[Investor ID],INVESTORS_LIST[[#This Row],[INVESTOR CODE]],LS[B/S],"B"))</f>
        <v>3000000</v>
      </c>
      <c r="I127" s="48">
        <f>IF(INVESTORS_LIST[[#This Row],[LS_TOTAL UNITS SOLD]]=0,0,SUMIFS(LS[Cost of Units Sold],LS[Investor ID],INVESTORS_LIST[[#This Row],[INVESTOR CODE]],LS[B/S],"S"))</f>
        <v>3000000.0000000005</v>
      </c>
      <c r="J127" s="48">
        <f>IF(INVESTORS_LIST[[#This Row],[LS_TOTAL CURRENT UNITS]]=0,0,INVESTORS_LIST[[#This Row],[LS_TOTAL CURRENT UNITS]]*INVESTORS_LIST[[#This Row],[LS_AVERAGE COST]])</f>
        <v>0</v>
      </c>
      <c r="K127" s="49">
        <f>IF(INVESTORS_LIST[[#This Row],[LS_TOTAL UNITS SOLD]]=0,0,SUMIFS(LS[Realized Gain],LS[Investor ID],INVESTORS_LIST[[#This Row],[INVESTOR CODE]],LS[B/S],"S"))</f>
        <v>49441.909999999669</v>
      </c>
      <c r="L127" s="47">
        <f>SUMIFS(SIP[Unit],SIP[Investor ID],INVESTORS_LIST[[#This Row],[INVESTOR CODE]],SIP[B/S],"B")</f>
        <v>0</v>
      </c>
      <c r="M127" s="47">
        <f>-SUMIFS(SIP[Unit],SIP[Investor ID],INVESTORS_LIST[[#This Row],[INVESTOR CODE]],SIP[B/S],"S")</f>
        <v>0</v>
      </c>
      <c r="N127" s="50">
        <f>IF(INVESTORS_LIST[[#This Row],[SIP_TOTAL UNITS BUY]]=0,0,INVESTORS_LIST[[#This Row],[SIP_TOTAL UNITS BUY]]-INVESTORS_LIST[[#This Row],[SIP_TOTAL UNITS SOLD]])</f>
        <v>0</v>
      </c>
      <c r="O127" s="49">
        <f>IF(INVESTORS_LIST[[#This Row],[SIP_TOTAL UNITS BUY]]=0,0,SUMIFS(SIP[Amount],SIP[Investor ID],INVESTORS_LIST[[#This Row],[INVESTOR CODE]],SIP[B/S],"B"))</f>
        <v>0</v>
      </c>
      <c r="P127" s="49">
        <f>IF(INVESTORS_LIST[[#This Row],[SIP_TOTAL UNITS SOLD]]=0,0,SUMIFS(SIP[Cost of Units Sold],SIP[Investor ID],INVESTORS_LIST[[#This Row],[INVESTOR CODE]],SIP[B/S],"S"))</f>
        <v>0</v>
      </c>
      <c r="Q127" s="48">
        <f>IF(INVESTORS_LIST[[#This Row],[SIP_TOTAL CURRENT UNITS]]=0,0,INVESTORS_LIST[[#This Row],[SIP_TOTAL CURRENT UNITS]]*INVESTORS_LIST[[#This Row],[SIP_AVERAGE COST]])</f>
        <v>0</v>
      </c>
      <c r="R127" s="48">
        <f>IF(INVESTORS_LIST[[#This Row],[SIP_TOTAL UNITS SOLD]]=0,0,SUMIFS(SIP[Realized Gain],SIP[Investor ID],INVESTORS_LIST[[#This Row],[INVESTOR CODE]],SIP[B/S],"S"))</f>
        <v>0</v>
      </c>
      <c r="S127" s="50">
        <f>INVESTORS_LIST[[#This Row],[LS_TOTAL UNITS BUY]]+INVESTORS_LIST[[#This Row],[SIP_TOTAL UNITS BUY]]</f>
        <v>270149</v>
      </c>
      <c r="T127" s="50">
        <f>INVESTORS_LIST[[#This Row],[LS_TOTAL UNITS SOLD]]+INVESTORS_LIST[[#This Row],[SIP_TOTAL UNITS SOLD]]</f>
        <v>270149</v>
      </c>
      <c r="U127" s="50"/>
      <c r="V127" s="50">
        <f>SUMIFS(LS[BO UNIT TRANSFER],LS[Investor ID],INVESTORS_LIST[[#This Row],[INVESTOR CODE]],LS[B/S],"B")</f>
        <v>0</v>
      </c>
      <c r="W127" s="50">
        <f>SUMIFS(SIP[BO UNIT TRANSFER],SIP[Investor ID],INVESTORS_LIST[[#This Row],[INVESTOR CODE]],SIP[B/S],"B")</f>
        <v>0</v>
      </c>
      <c r="X127" s="50">
        <f>SUMIFS(LS[BO UNIT TRANSFER],LS[Investor ID],INVESTORS_LIST[[#This Row],[INVESTOR CODE]],LS[B/S],"S")</f>
        <v>0</v>
      </c>
      <c r="Y127" s="50">
        <f>SUMIFS(SIP[BO UNIT TRANSFER],SIP[Investor ID],INVESTORS_LIST[[#This Row],[INVESTOR CODE]],SIP[B/S],"S")</f>
        <v>0</v>
      </c>
      <c r="Z127" s="106">
        <f>SUM(INVESTORS_LIST[[#This Row],[BO OPENING BALANCE]:[BO SIP UNITS REPURCHASE]])</f>
        <v>0</v>
      </c>
      <c r="AA127" s="107">
        <f>INVESTORS_LIST[[#This Row],[TOTAL UNITS BUY]]-INVESTORS_LIST[[#This Row],[TOTAL UNITS SOLD]]</f>
        <v>0</v>
      </c>
      <c r="AB127" s="107">
        <f>INVESTORS_LIST[[#This Row],[TOTAL CURRENT UNITS]]-INVESTORS_LIST[[#This Row],[BO UNITS HOLD]]</f>
        <v>0</v>
      </c>
      <c r="AC127" s="201" t="e">
        <f>INDEX([3]!Table_1[BO ID],MATCH(INVESTORS_LIST[[#This Row],[INVESTOR CODE]],[3]!Table_1[INVESTOR CODE],0))</f>
        <v>#REF!</v>
      </c>
      <c r="AD127" s="201" t="e">
        <f>INDEX([3]!Table_1[Brokerage Name2],MATCH(INVESTORS_LIST[[#This Row],[INVESTOR CODE]],[3]!Table_1[INVESTOR CODE],0))</f>
        <v>#REF!</v>
      </c>
      <c r="AE127" s="201" t="e">
        <f>MID(INVESTORS_LIST[[#This Row],[BO ID]],4,5)</f>
        <v>#REF!</v>
      </c>
      <c r="AF127" s="201" t="e">
        <f>MID(INVESTORS_LIST[[#This Row],[BO ID]],2,7)</f>
        <v>#REF!</v>
      </c>
      <c r="AG127" s="201" t="e">
        <f>MID(INVESTORS_LIST[[#This Row],[BO ID]],9,7)</f>
        <v>#REF!</v>
      </c>
      <c r="AH127" s="201" t="e">
        <f>RIGHT(INVESTORS_LIST[[#This Row],[BO ID]],1)</f>
        <v>#REF!</v>
      </c>
      <c r="AI127" s="50">
        <f>INVESTORS_LIST[[#This Row],[LS_TOTAL COST VALUE OF CURRENT UNITS]]+INVESTORS_LIST[[#This Row],[SIP_TOTAL COST VALUE OF CURRENT UNITS]]</f>
        <v>0</v>
      </c>
      <c r="AJ127" s="109">
        <f>IF(INVESTORS_LIST[[#This Row],[TOTAL CURRENT UNITS]]=0,0,INVESTORS_LIST[[#This Row],[LS_TOTAL CURRENT UNITS]]/INVESTORS_LIST[[#This Row],[TOTAL CURRENT UNITS]])</f>
        <v>0</v>
      </c>
      <c r="AK127" s="109">
        <f>IF(INVESTORS_LIST[[#This Row],[TOTAL CURRENT UNITS]]=0,0,INVESTORS_LIST[[#This Row],[SIP_TOTAL CURRENT UNITS]]/INVESTORS_LIST[[#This Row],[TOTAL CURRENT UNITS]])</f>
        <v>0</v>
      </c>
      <c r="AL127" s="49" cm="1">
        <f t="array" ref="AL1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7" s="49" cm="1">
        <f t="array" ref="AM1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7" s="105">
        <f t="shared" si="2"/>
        <v>14.224</v>
      </c>
      <c r="AP127" s="112">
        <f>IF(INVESTORS_LIST[[#This Row],[TOTAL CURRENT UNITS]]=0,0,INVESTORS_LIST[[#This Row],[TOTAL CURRENT UNITS]]*INVESTORS_LIST[[#This Row],[NAV]])</f>
        <v>0</v>
      </c>
      <c r="AQ127" s="49">
        <f>IF(INVESTORS_LIST[[#This Row],[LS_TOTAL CURRENT UNITS]]=0,0,INVESTORS_LIST[[#This Row],[LS_TOTAL CURRENT UNITS]]*INVESTORS_LIST[[#This Row],[NAV]])</f>
        <v>0</v>
      </c>
      <c r="AR127" s="48">
        <f>IF(INVESTORS_LIST[[#This Row],[SIP_TOTAL CURRENT UNITS]]=0,0,INVESTORS_LIST[[#This Row],[SIP_TOTAL CURRENT UNITS]]*INVESTORS_LIST[[#This Row],[NAV]])</f>
        <v>0</v>
      </c>
      <c r="AS127" s="50">
        <f>INVESTORS_LIST[[#This Row],[TOTAL CURRENT UNITS]]</f>
        <v>0</v>
      </c>
      <c r="AT127" s="48">
        <f>IF(INVESTORS_LIST[[#This Row],[TOTAL SELLABLE UNITS]]=0,0,INVESTORS_LIST[[#This Row],[TOTAL SELLABLE UNITS]]*INVESTORS_LIST[[#This Row],[NAV]])</f>
        <v>0</v>
      </c>
      <c r="AU127" s="48">
        <f>INVESTORS_LIST[[#This Row],[LS_TOTAL REALIZED GAIN]]+INVESTORS_LIST[[#This Row],[SIP_TOTAL REALIZED GAIN]]</f>
        <v>49441.909999999669</v>
      </c>
      <c r="AV127" s="48">
        <f>INVESTORS_LIST[[#This Row],[TOTAL MARKET VALUE]]-INVESTORS_LIST[[#This Row],[TOTAL COST VALUE OF CURRENT INVESTMENT]]</f>
        <v>0</v>
      </c>
      <c r="AW127" s="48">
        <f>IFERROR(INVESTORS_LIST[[#This Row],[TOTAL CURRENT UNITS]]/SUM(INVESTORS_LIST[TOTAL CURRENT UNITS]),0)</f>
        <v>0</v>
      </c>
    </row>
    <row r="128" spans="1:49" hidden="1">
      <c r="A128" s="262" t="s">
        <v>303</v>
      </c>
      <c r="B128" s="97" t="s">
        <v>304</v>
      </c>
      <c r="C128" t="s">
        <v>44</v>
      </c>
      <c r="D128" s="75" t="s">
        <v>45</v>
      </c>
      <c r="E128" s="47">
        <f>SUMIFS(LS[Unit],LS[Investor ID],INVESTORS_LIST[[#This Row],[INVESTOR CODE]],LS[B/S],"B")</f>
        <v>0</v>
      </c>
      <c r="F128" s="47">
        <f>-SUMIFS(LS[Unit],LS[Investor ID],INVESTORS_LIST[[#This Row],[INVESTOR CODE]],LS[B/S],"S")</f>
        <v>0</v>
      </c>
      <c r="G128" s="47">
        <f>IF(INVESTORS_LIST[[#This Row],[LS_TOTAL UNITS BUY]]=0,0,INVESTORS_LIST[[#This Row],[LS_TOTAL UNITS BUY]]-INVESTORS_LIST[[#This Row],[LS_TOTAL UNITS SOLD]])</f>
        <v>0</v>
      </c>
      <c r="H128" s="49">
        <f>IF(INVESTORS_LIST[[#This Row],[LS_TOTAL UNITS BUY]]=0,0,SUMIFS(LS[Amount],LS[Investor ID],INVESTORS_LIST[[#This Row],[INVESTOR CODE]],LS[B/S],"B"))</f>
        <v>0</v>
      </c>
      <c r="I128" s="48">
        <f>IF(INVESTORS_LIST[[#This Row],[LS_TOTAL UNITS SOLD]]=0,0,SUMIFS(LS[Cost of Units Sold],LS[Investor ID],INVESTORS_LIST[[#This Row],[INVESTOR CODE]],LS[B/S],"S"))</f>
        <v>0</v>
      </c>
      <c r="J128" s="48">
        <f>IF(INVESTORS_LIST[[#This Row],[LS_TOTAL CURRENT UNITS]]=0,0,INVESTORS_LIST[[#This Row],[LS_TOTAL CURRENT UNITS]]*INVESTORS_LIST[[#This Row],[LS_AVERAGE COST]])</f>
        <v>0</v>
      </c>
      <c r="K128" s="49">
        <f>IF(INVESTORS_LIST[[#This Row],[LS_TOTAL UNITS SOLD]]=0,0,SUMIFS(LS[Realized Gain],LS[Investor ID],INVESTORS_LIST[[#This Row],[INVESTOR CODE]],LS[B/S],"S"))</f>
        <v>0</v>
      </c>
      <c r="L128" s="47">
        <f>SUMIFS(SIP[Unit],SIP[Investor ID],INVESTORS_LIST[[#This Row],[INVESTOR CODE]],SIP[B/S],"B")</f>
        <v>0</v>
      </c>
      <c r="M128" s="47">
        <f>-SUMIFS(SIP[Unit],SIP[Investor ID],INVESTORS_LIST[[#This Row],[INVESTOR CODE]],SIP[B/S],"S")</f>
        <v>0</v>
      </c>
      <c r="N128" s="50">
        <f>IF(INVESTORS_LIST[[#This Row],[SIP_TOTAL UNITS BUY]]=0,0,INVESTORS_LIST[[#This Row],[SIP_TOTAL UNITS BUY]]-INVESTORS_LIST[[#This Row],[SIP_TOTAL UNITS SOLD]])</f>
        <v>0</v>
      </c>
      <c r="O128" s="49">
        <f>IF(INVESTORS_LIST[[#This Row],[SIP_TOTAL UNITS BUY]]=0,0,SUMIFS(SIP[Amount],SIP[Investor ID],INVESTORS_LIST[[#This Row],[INVESTOR CODE]],SIP[B/S],"B"))</f>
        <v>0</v>
      </c>
      <c r="P128" s="49">
        <f>IF(INVESTORS_LIST[[#This Row],[SIP_TOTAL UNITS SOLD]]=0,0,SUMIFS(SIP[Cost of Units Sold],SIP[Investor ID],INVESTORS_LIST[[#This Row],[INVESTOR CODE]],SIP[B/S],"S"))</f>
        <v>0</v>
      </c>
      <c r="Q128" s="48">
        <f>IF(INVESTORS_LIST[[#This Row],[SIP_TOTAL CURRENT UNITS]]=0,0,INVESTORS_LIST[[#This Row],[SIP_TOTAL CURRENT UNITS]]*INVESTORS_LIST[[#This Row],[SIP_AVERAGE COST]])</f>
        <v>0</v>
      </c>
      <c r="R128" s="48">
        <f>IF(INVESTORS_LIST[[#This Row],[SIP_TOTAL UNITS SOLD]]=0,0,SUMIFS(SIP[Realized Gain],SIP[Investor ID],INVESTORS_LIST[[#This Row],[INVESTOR CODE]],SIP[B/S],"S"))</f>
        <v>0</v>
      </c>
      <c r="S128" s="50">
        <f>INVESTORS_LIST[[#This Row],[LS_TOTAL UNITS BUY]]+INVESTORS_LIST[[#This Row],[SIP_TOTAL UNITS BUY]]</f>
        <v>0</v>
      </c>
      <c r="T128" s="50">
        <f>INVESTORS_LIST[[#This Row],[LS_TOTAL UNITS SOLD]]+INVESTORS_LIST[[#This Row],[SIP_TOTAL UNITS SOLD]]</f>
        <v>0</v>
      </c>
      <c r="U128" s="50"/>
      <c r="V128" s="50">
        <f>SUMIFS(LS[BO UNIT TRANSFER],LS[Investor ID],INVESTORS_LIST[[#This Row],[INVESTOR CODE]],LS[B/S],"B")</f>
        <v>0</v>
      </c>
      <c r="W128" s="50">
        <f>SUMIFS(SIP[BO UNIT TRANSFER],SIP[Investor ID],INVESTORS_LIST[[#This Row],[INVESTOR CODE]],SIP[B/S],"B")</f>
        <v>0</v>
      </c>
      <c r="X128" s="50">
        <f>SUMIFS(LS[BO UNIT TRANSFER],LS[Investor ID],INVESTORS_LIST[[#This Row],[INVESTOR CODE]],LS[B/S],"S")</f>
        <v>0</v>
      </c>
      <c r="Y128" s="50">
        <f>SUMIFS(SIP[BO UNIT TRANSFER],SIP[Investor ID],INVESTORS_LIST[[#This Row],[INVESTOR CODE]],SIP[B/S],"S")</f>
        <v>0</v>
      </c>
      <c r="Z128" s="106">
        <f>SUM(INVESTORS_LIST[[#This Row],[BO OPENING BALANCE]:[BO SIP UNITS REPURCHASE]])</f>
        <v>0</v>
      </c>
      <c r="AA128" s="107">
        <f>INVESTORS_LIST[[#This Row],[TOTAL UNITS BUY]]-INVESTORS_LIST[[#This Row],[TOTAL UNITS SOLD]]</f>
        <v>0</v>
      </c>
      <c r="AB128" s="107">
        <f>INVESTORS_LIST[[#This Row],[TOTAL CURRENT UNITS]]-INVESTORS_LIST[[#This Row],[BO UNITS HOLD]]</f>
        <v>0</v>
      </c>
      <c r="AC128" s="201" t="e">
        <f>INDEX([3]!Table_1[BO ID],MATCH(INVESTORS_LIST[[#This Row],[INVESTOR CODE]],[3]!Table_1[INVESTOR CODE],0))</f>
        <v>#REF!</v>
      </c>
      <c r="AD128" s="201" t="e">
        <f>INDEX([3]!Table_1[Brokerage Name2],MATCH(INVESTORS_LIST[[#This Row],[INVESTOR CODE]],[3]!Table_1[INVESTOR CODE],0))</f>
        <v>#REF!</v>
      </c>
      <c r="AE128" s="201" t="e">
        <f>MID(INVESTORS_LIST[[#This Row],[BO ID]],4,5)</f>
        <v>#REF!</v>
      </c>
      <c r="AF128" s="201" t="e">
        <f>MID(INVESTORS_LIST[[#This Row],[BO ID]],2,7)</f>
        <v>#REF!</v>
      </c>
      <c r="AG128" s="201" t="e">
        <f>MID(INVESTORS_LIST[[#This Row],[BO ID]],9,7)</f>
        <v>#REF!</v>
      </c>
      <c r="AH128" s="201" t="e">
        <f>RIGHT(INVESTORS_LIST[[#This Row],[BO ID]],1)</f>
        <v>#REF!</v>
      </c>
      <c r="AI128" s="50">
        <f>INVESTORS_LIST[[#This Row],[LS_TOTAL COST VALUE OF CURRENT UNITS]]+INVESTORS_LIST[[#This Row],[SIP_TOTAL COST VALUE OF CURRENT UNITS]]</f>
        <v>0</v>
      </c>
      <c r="AJ128" s="109">
        <f>IF(INVESTORS_LIST[[#This Row],[TOTAL CURRENT UNITS]]=0,0,INVESTORS_LIST[[#This Row],[LS_TOTAL CURRENT UNITS]]/INVESTORS_LIST[[#This Row],[TOTAL CURRENT UNITS]])</f>
        <v>0</v>
      </c>
      <c r="AK128" s="109">
        <f>IF(INVESTORS_LIST[[#This Row],[TOTAL CURRENT UNITS]]=0,0,INVESTORS_LIST[[#This Row],[SIP_TOTAL CURRENT UNITS]]/INVESTORS_LIST[[#This Row],[TOTAL CURRENT UNITS]])</f>
        <v>0</v>
      </c>
      <c r="AL128" s="49" cm="1">
        <f t="array" ref="AL1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8" s="49" cm="1">
        <f t="array" ref="AM1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8" s="105">
        <f t="shared" si="2"/>
        <v>14.224</v>
      </c>
      <c r="AP128" s="112">
        <f>IF(INVESTORS_LIST[[#This Row],[TOTAL CURRENT UNITS]]=0,0,INVESTORS_LIST[[#This Row],[TOTAL CURRENT UNITS]]*INVESTORS_LIST[[#This Row],[NAV]])</f>
        <v>0</v>
      </c>
      <c r="AQ128" s="49">
        <f>IF(INVESTORS_LIST[[#This Row],[LS_TOTAL CURRENT UNITS]]=0,0,INVESTORS_LIST[[#This Row],[LS_TOTAL CURRENT UNITS]]*INVESTORS_LIST[[#This Row],[NAV]])</f>
        <v>0</v>
      </c>
      <c r="AR128" s="48">
        <f>IF(INVESTORS_LIST[[#This Row],[SIP_TOTAL CURRENT UNITS]]=0,0,INVESTORS_LIST[[#This Row],[SIP_TOTAL CURRENT UNITS]]*INVESTORS_LIST[[#This Row],[NAV]])</f>
        <v>0</v>
      </c>
      <c r="AS128" s="50">
        <f>INVESTORS_LIST[[#This Row],[TOTAL CURRENT UNITS]]</f>
        <v>0</v>
      </c>
      <c r="AT128" s="48">
        <f>IF(INVESTORS_LIST[[#This Row],[TOTAL SELLABLE UNITS]]=0,0,INVESTORS_LIST[[#This Row],[TOTAL SELLABLE UNITS]]*INVESTORS_LIST[[#This Row],[NAV]])</f>
        <v>0</v>
      </c>
      <c r="AU128" s="48">
        <f>INVESTORS_LIST[[#This Row],[LS_TOTAL REALIZED GAIN]]+INVESTORS_LIST[[#This Row],[SIP_TOTAL REALIZED GAIN]]</f>
        <v>0</v>
      </c>
      <c r="AV128" s="48">
        <f>INVESTORS_LIST[[#This Row],[TOTAL MARKET VALUE]]-INVESTORS_LIST[[#This Row],[TOTAL COST VALUE OF CURRENT INVESTMENT]]</f>
        <v>0</v>
      </c>
      <c r="AW128" s="48">
        <f>IFERROR(INVESTORS_LIST[[#This Row],[TOTAL CURRENT UNITS]]/SUM(INVESTORS_LIST[TOTAL CURRENT UNITS]),0)</f>
        <v>0</v>
      </c>
    </row>
    <row r="129" spans="1:49" hidden="1">
      <c r="A129" s="262" t="s">
        <v>305</v>
      </c>
      <c r="B129" s="97" t="s">
        <v>306</v>
      </c>
      <c r="C129" t="s">
        <v>44</v>
      </c>
      <c r="D129" s="75" t="s">
        <v>45</v>
      </c>
      <c r="E129" s="47">
        <f>SUMIFS(LS[Unit],LS[Investor ID],INVESTORS_LIST[[#This Row],[INVESTOR CODE]],LS[B/S],"B")</f>
        <v>0</v>
      </c>
      <c r="F129" s="47">
        <f>-SUMIFS(LS[Unit],LS[Investor ID],INVESTORS_LIST[[#This Row],[INVESTOR CODE]],LS[B/S],"S")</f>
        <v>0</v>
      </c>
      <c r="G129" s="47">
        <f>IF(INVESTORS_LIST[[#This Row],[LS_TOTAL UNITS BUY]]=0,0,INVESTORS_LIST[[#This Row],[LS_TOTAL UNITS BUY]]-INVESTORS_LIST[[#This Row],[LS_TOTAL UNITS SOLD]])</f>
        <v>0</v>
      </c>
      <c r="H129" s="49">
        <f>IF(INVESTORS_LIST[[#This Row],[LS_TOTAL UNITS BUY]]=0,0,SUMIFS(LS[Amount],LS[Investor ID],INVESTORS_LIST[[#This Row],[INVESTOR CODE]],LS[B/S],"B"))</f>
        <v>0</v>
      </c>
      <c r="I129" s="48">
        <f>IF(INVESTORS_LIST[[#This Row],[LS_TOTAL UNITS SOLD]]=0,0,SUMIFS(LS[Cost of Units Sold],LS[Investor ID],INVESTORS_LIST[[#This Row],[INVESTOR CODE]],LS[B/S],"S"))</f>
        <v>0</v>
      </c>
      <c r="J129" s="48">
        <f>IF(INVESTORS_LIST[[#This Row],[LS_TOTAL CURRENT UNITS]]=0,0,INVESTORS_LIST[[#This Row],[LS_TOTAL CURRENT UNITS]]*INVESTORS_LIST[[#This Row],[LS_AVERAGE COST]])</f>
        <v>0</v>
      </c>
      <c r="K129" s="49">
        <f>IF(INVESTORS_LIST[[#This Row],[LS_TOTAL UNITS SOLD]]=0,0,SUMIFS(LS[Realized Gain],LS[Investor ID],INVESTORS_LIST[[#This Row],[INVESTOR CODE]],LS[B/S],"S"))</f>
        <v>0</v>
      </c>
      <c r="L129" s="47">
        <f>SUMIFS(SIP[Unit],SIP[Investor ID],INVESTORS_LIST[[#This Row],[INVESTOR CODE]],SIP[B/S],"B")</f>
        <v>0</v>
      </c>
      <c r="M129" s="47">
        <f>-SUMIFS(SIP[Unit],SIP[Investor ID],INVESTORS_LIST[[#This Row],[INVESTOR CODE]],SIP[B/S],"S")</f>
        <v>0</v>
      </c>
      <c r="N129" s="50">
        <f>IF(INVESTORS_LIST[[#This Row],[SIP_TOTAL UNITS BUY]]=0,0,INVESTORS_LIST[[#This Row],[SIP_TOTAL UNITS BUY]]-INVESTORS_LIST[[#This Row],[SIP_TOTAL UNITS SOLD]])</f>
        <v>0</v>
      </c>
      <c r="O129" s="49">
        <f>IF(INVESTORS_LIST[[#This Row],[SIP_TOTAL UNITS BUY]]=0,0,SUMIFS(SIP[Amount],SIP[Investor ID],INVESTORS_LIST[[#This Row],[INVESTOR CODE]],SIP[B/S],"B"))</f>
        <v>0</v>
      </c>
      <c r="P129" s="49">
        <f>IF(INVESTORS_LIST[[#This Row],[SIP_TOTAL UNITS SOLD]]=0,0,SUMIFS(SIP[Cost of Units Sold],SIP[Investor ID],INVESTORS_LIST[[#This Row],[INVESTOR CODE]],SIP[B/S],"S"))</f>
        <v>0</v>
      </c>
      <c r="Q129" s="48">
        <f>IF(INVESTORS_LIST[[#This Row],[SIP_TOTAL CURRENT UNITS]]=0,0,INVESTORS_LIST[[#This Row],[SIP_TOTAL CURRENT UNITS]]*INVESTORS_LIST[[#This Row],[SIP_AVERAGE COST]])</f>
        <v>0</v>
      </c>
      <c r="R129" s="48">
        <f>IF(INVESTORS_LIST[[#This Row],[SIP_TOTAL UNITS SOLD]]=0,0,SUMIFS(SIP[Realized Gain],SIP[Investor ID],INVESTORS_LIST[[#This Row],[INVESTOR CODE]],SIP[B/S],"S"))</f>
        <v>0</v>
      </c>
      <c r="S129" s="50">
        <f>INVESTORS_LIST[[#This Row],[LS_TOTAL UNITS BUY]]+INVESTORS_LIST[[#This Row],[SIP_TOTAL UNITS BUY]]</f>
        <v>0</v>
      </c>
      <c r="T129" s="50">
        <f>INVESTORS_LIST[[#This Row],[LS_TOTAL UNITS SOLD]]+INVESTORS_LIST[[#This Row],[SIP_TOTAL UNITS SOLD]]</f>
        <v>0</v>
      </c>
      <c r="U129" s="50"/>
      <c r="V129" s="50">
        <f>SUMIFS(LS[BO UNIT TRANSFER],LS[Investor ID],INVESTORS_LIST[[#This Row],[INVESTOR CODE]],LS[B/S],"B")</f>
        <v>0</v>
      </c>
      <c r="W129" s="50">
        <f>SUMIFS(SIP[BO UNIT TRANSFER],SIP[Investor ID],INVESTORS_LIST[[#This Row],[INVESTOR CODE]],SIP[B/S],"B")</f>
        <v>0</v>
      </c>
      <c r="X129" s="50">
        <f>SUMIFS(LS[BO UNIT TRANSFER],LS[Investor ID],INVESTORS_LIST[[#This Row],[INVESTOR CODE]],LS[B/S],"S")</f>
        <v>0</v>
      </c>
      <c r="Y129" s="50">
        <f>SUMIFS(SIP[BO UNIT TRANSFER],SIP[Investor ID],INVESTORS_LIST[[#This Row],[INVESTOR CODE]],SIP[B/S],"S")</f>
        <v>0</v>
      </c>
      <c r="Z129" s="106">
        <f>SUM(INVESTORS_LIST[[#This Row],[BO OPENING BALANCE]:[BO SIP UNITS REPURCHASE]])</f>
        <v>0</v>
      </c>
      <c r="AA129" s="107">
        <f>INVESTORS_LIST[[#This Row],[TOTAL UNITS BUY]]-INVESTORS_LIST[[#This Row],[TOTAL UNITS SOLD]]</f>
        <v>0</v>
      </c>
      <c r="AB129" s="107">
        <f>INVESTORS_LIST[[#This Row],[TOTAL CURRENT UNITS]]-INVESTORS_LIST[[#This Row],[BO UNITS HOLD]]</f>
        <v>0</v>
      </c>
      <c r="AC129" s="201" t="e">
        <f>INDEX([3]!Table_1[BO ID],MATCH(INVESTORS_LIST[[#This Row],[INVESTOR CODE]],[3]!Table_1[INVESTOR CODE],0))</f>
        <v>#REF!</v>
      </c>
      <c r="AD129" s="201" t="e">
        <f>INDEX([3]!Table_1[Brokerage Name2],MATCH(INVESTORS_LIST[[#This Row],[INVESTOR CODE]],[3]!Table_1[INVESTOR CODE],0))</f>
        <v>#REF!</v>
      </c>
      <c r="AE129" s="201" t="e">
        <f>MID(INVESTORS_LIST[[#This Row],[BO ID]],4,5)</f>
        <v>#REF!</v>
      </c>
      <c r="AF129" s="201" t="e">
        <f>MID(INVESTORS_LIST[[#This Row],[BO ID]],2,7)</f>
        <v>#REF!</v>
      </c>
      <c r="AG129" s="201" t="e">
        <f>MID(INVESTORS_LIST[[#This Row],[BO ID]],9,7)</f>
        <v>#REF!</v>
      </c>
      <c r="AH129" s="201" t="e">
        <f>RIGHT(INVESTORS_LIST[[#This Row],[BO ID]],1)</f>
        <v>#REF!</v>
      </c>
      <c r="AI129" s="50">
        <f>INVESTORS_LIST[[#This Row],[LS_TOTAL COST VALUE OF CURRENT UNITS]]+INVESTORS_LIST[[#This Row],[SIP_TOTAL COST VALUE OF CURRENT UNITS]]</f>
        <v>0</v>
      </c>
      <c r="AJ129" s="109">
        <f>IF(INVESTORS_LIST[[#This Row],[TOTAL CURRENT UNITS]]=0,0,INVESTORS_LIST[[#This Row],[LS_TOTAL CURRENT UNITS]]/INVESTORS_LIST[[#This Row],[TOTAL CURRENT UNITS]])</f>
        <v>0</v>
      </c>
      <c r="AK129" s="109">
        <f>IF(INVESTORS_LIST[[#This Row],[TOTAL CURRENT UNITS]]=0,0,INVESTORS_LIST[[#This Row],[SIP_TOTAL CURRENT UNITS]]/INVESTORS_LIST[[#This Row],[TOTAL CURRENT UNITS]])</f>
        <v>0</v>
      </c>
      <c r="AL129" s="49" cm="1">
        <f t="array" ref="AL1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29" s="49" cm="1">
        <f t="array" ref="AM1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2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29" s="105">
        <f t="shared" si="2"/>
        <v>14.224</v>
      </c>
      <c r="AP129" s="112">
        <f>IF(INVESTORS_LIST[[#This Row],[TOTAL CURRENT UNITS]]=0,0,INVESTORS_LIST[[#This Row],[TOTAL CURRENT UNITS]]*INVESTORS_LIST[[#This Row],[NAV]])</f>
        <v>0</v>
      </c>
      <c r="AQ129" s="49">
        <f>IF(INVESTORS_LIST[[#This Row],[LS_TOTAL CURRENT UNITS]]=0,0,INVESTORS_LIST[[#This Row],[LS_TOTAL CURRENT UNITS]]*INVESTORS_LIST[[#This Row],[NAV]])</f>
        <v>0</v>
      </c>
      <c r="AR129" s="48">
        <f>IF(INVESTORS_LIST[[#This Row],[SIP_TOTAL CURRENT UNITS]]=0,0,INVESTORS_LIST[[#This Row],[SIP_TOTAL CURRENT UNITS]]*INVESTORS_LIST[[#This Row],[NAV]])</f>
        <v>0</v>
      </c>
      <c r="AS129" s="50">
        <f>INVESTORS_LIST[[#This Row],[TOTAL CURRENT UNITS]]</f>
        <v>0</v>
      </c>
      <c r="AT129" s="48">
        <f>IF(INVESTORS_LIST[[#This Row],[TOTAL SELLABLE UNITS]]=0,0,INVESTORS_LIST[[#This Row],[TOTAL SELLABLE UNITS]]*INVESTORS_LIST[[#This Row],[NAV]])</f>
        <v>0</v>
      </c>
      <c r="AU129" s="48">
        <f>INVESTORS_LIST[[#This Row],[LS_TOTAL REALIZED GAIN]]+INVESTORS_LIST[[#This Row],[SIP_TOTAL REALIZED GAIN]]</f>
        <v>0</v>
      </c>
      <c r="AV129" s="48">
        <f>INVESTORS_LIST[[#This Row],[TOTAL MARKET VALUE]]-INVESTORS_LIST[[#This Row],[TOTAL COST VALUE OF CURRENT INVESTMENT]]</f>
        <v>0</v>
      </c>
      <c r="AW129" s="48">
        <f>IFERROR(INVESTORS_LIST[[#This Row],[TOTAL CURRENT UNITS]]/SUM(INVESTORS_LIST[TOTAL CURRENT UNITS]),0)</f>
        <v>0</v>
      </c>
    </row>
    <row r="130" spans="1:49" hidden="1">
      <c r="A130" s="262" t="s">
        <v>307</v>
      </c>
      <c r="B130" s="97" t="s">
        <v>308</v>
      </c>
      <c r="C130" t="s">
        <v>44</v>
      </c>
      <c r="D130" s="75" t="s">
        <v>45</v>
      </c>
      <c r="E130" s="47">
        <f>SUMIFS(LS[Unit],LS[Investor ID],INVESTORS_LIST[[#This Row],[INVESTOR CODE]],LS[B/S],"B")</f>
        <v>0</v>
      </c>
      <c r="F130" s="47">
        <f>-SUMIFS(LS[Unit],LS[Investor ID],INVESTORS_LIST[[#This Row],[INVESTOR CODE]],LS[B/S],"S")</f>
        <v>0</v>
      </c>
      <c r="G130" s="47">
        <f>IF(INVESTORS_LIST[[#This Row],[LS_TOTAL UNITS BUY]]=0,0,INVESTORS_LIST[[#This Row],[LS_TOTAL UNITS BUY]]-INVESTORS_LIST[[#This Row],[LS_TOTAL UNITS SOLD]])</f>
        <v>0</v>
      </c>
      <c r="H130" s="49">
        <f>IF(INVESTORS_LIST[[#This Row],[LS_TOTAL UNITS BUY]]=0,0,SUMIFS(LS[Amount],LS[Investor ID],INVESTORS_LIST[[#This Row],[INVESTOR CODE]],LS[B/S],"B"))</f>
        <v>0</v>
      </c>
      <c r="I130" s="48">
        <f>IF(INVESTORS_LIST[[#This Row],[LS_TOTAL UNITS SOLD]]=0,0,SUMIFS(LS[Cost of Units Sold],LS[Investor ID],INVESTORS_LIST[[#This Row],[INVESTOR CODE]],LS[B/S],"S"))</f>
        <v>0</v>
      </c>
      <c r="J130" s="48">
        <f>IF(INVESTORS_LIST[[#This Row],[LS_TOTAL CURRENT UNITS]]=0,0,INVESTORS_LIST[[#This Row],[LS_TOTAL CURRENT UNITS]]*INVESTORS_LIST[[#This Row],[LS_AVERAGE COST]])</f>
        <v>0</v>
      </c>
      <c r="K130" s="49">
        <f>IF(INVESTORS_LIST[[#This Row],[LS_TOTAL UNITS SOLD]]=0,0,SUMIFS(LS[Realized Gain],LS[Investor ID],INVESTORS_LIST[[#This Row],[INVESTOR CODE]],LS[B/S],"S"))</f>
        <v>0</v>
      </c>
      <c r="L130" s="47">
        <f>SUMIFS(SIP[Unit],SIP[Investor ID],INVESTORS_LIST[[#This Row],[INVESTOR CODE]],SIP[B/S],"B")</f>
        <v>0</v>
      </c>
      <c r="M130" s="47">
        <f>-SUMIFS(SIP[Unit],SIP[Investor ID],INVESTORS_LIST[[#This Row],[INVESTOR CODE]],SIP[B/S],"S")</f>
        <v>0</v>
      </c>
      <c r="N130" s="50">
        <f>IF(INVESTORS_LIST[[#This Row],[SIP_TOTAL UNITS BUY]]=0,0,INVESTORS_LIST[[#This Row],[SIP_TOTAL UNITS BUY]]-INVESTORS_LIST[[#This Row],[SIP_TOTAL UNITS SOLD]])</f>
        <v>0</v>
      </c>
      <c r="O130" s="49">
        <f>IF(INVESTORS_LIST[[#This Row],[SIP_TOTAL UNITS BUY]]=0,0,SUMIFS(SIP[Amount],SIP[Investor ID],INVESTORS_LIST[[#This Row],[INVESTOR CODE]],SIP[B/S],"B"))</f>
        <v>0</v>
      </c>
      <c r="P130" s="49">
        <f>IF(INVESTORS_LIST[[#This Row],[SIP_TOTAL UNITS SOLD]]=0,0,SUMIFS(SIP[Cost of Units Sold],SIP[Investor ID],INVESTORS_LIST[[#This Row],[INVESTOR CODE]],SIP[B/S],"S"))</f>
        <v>0</v>
      </c>
      <c r="Q130" s="48">
        <f>IF(INVESTORS_LIST[[#This Row],[SIP_TOTAL CURRENT UNITS]]=0,0,INVESTORS_LIST[[#This Row],[SIP_TOTAL CURRENT UNITS]]*INVESTORS_LIST[[#This Row],[SIP_AVERAGE COST]])</f>
        <v>0</v>
      </c>
      <c r="R130" s="48">
        <f>IF(INVESTORS_LIST[[#This Row],[SIP_TOTAL UNITS SOLD]]=0,0,SUMIFS(SIP[Realized Gain],SIP[Investor ID],INVESTORS_LIST[[#This Row],[INVESTOR CODE]],SIP[B/S],"S"))</f>
        <v>0</v>
      </c>
      <c r="S130" s="50">
        <f>INVESTORS_LIST[[#This Row],[LS_TOTAL UNITS BUY]]+INVESTORS_LIST[[#This Row],[SIP_TOTAL UNITS BUY]]</f>
        <v>0</v>
      </c>
      <c r="T130" s="50">
        <f>INVESTORS_LIST[[#This Row],[LS_TOTAL UNITS SOLD]]+INVESTORS_LIST[[#This Row],[SIP_TOTAL UNITS SOLD]]</f>
        <v>0</v>
      </c>
      <c r="U130" s="50"/>
      <c r="V130" s="50">
        <f>SUMIFS(LS[BO UNIT TRANSFER],LS[Investor ID],INVESTORS_LIST[[#This Row],[INVESTOR CODE]],LS[B/S],"B")</f>
        <v>0</v>
      </c>
      <c r="W130" s="50">
        <f>SUMIFS(SIP[BO UNIT TRANSFER],SIP[Investor ID],INVESTORS_LIST[[#This Row],[INVESTOR CODE]],SIP[B/S],"B")</f>
        <v>0</v>
      </c>
      <c r="X130" s="50">
        <f>SUMIFS(LS[BO UNIT TRANSFER],LS[Investor ID],INVESTORS_LIST[[#This Row],[INVESTOR CODE]],LS[B/S],"S")</f>
        <v>0</v>
      </c>
      <c r="Y130" s="50">
        <f>SUMIFS(SIP[BO UNIT TRANSFER],SIP[Investor ID],INVESTORS_LIST[[#This Row],[INVESTOR CODE]],SIP[B/S],"S")</f>
        <v>0</v>
      </c>
      <c r="Z130" s="106">
        <f>SUM(INVESTORS_LIST[[#This Row],[BO OPENING BALANCE]:[BO SIP UNITS REPURCHASE]])</f>
        <v>0</v>
      </c>
      <c r="AA130" s="107">
        <f>INVESTORS_LIST[[#This Row],[TOTAL UNITS BUY]]-INVESTORS_LIST[[#This Row],[TOTAL UNITS SOLD]]</f>
        <v>0</v>
      </c>
      <c r="AB130" s="107">
        <f>INVESTORS_LIST[[#This Row],[TOTAL CURRENT UNITS]]-INVESTORS_LIST[[#This Row],[BO UNITS HOLD]]</f>
        <v>0</v>
      </c>
      <c r="AC130" s="201" t="e">
        <f>INDEX([3]!Table_1[BO ID],MATCH(INVESTORS_LIST[[#This Row],[INVESTOR CODE]],[3]!Table_1[INVESTOR CODE],0))</f>
        <v>#REF!</v>
      </c>
      <c r="AD130" s="201" t="e">
        <f>INDEX([3]!Table_1[Brokerage Name2],MATCH(INVESTORS_LIST[[#This Row],[INVESTOR CODE]],[3]!Table_1[INVESTOR CODE],0))</f>
        <v>#REF!</v>
      </c>
      <c r="AE130" s="201" t="e">
        <f>MID(INVESTORS_LIST[[#This Row],[BO ID]],4,5)</f>
        <v>#REF!</v>
      </c>
      <c r="AF130" s="201" t="e">
        <f>MID(INVESTORS_LIST[[#This Row],[BO ID]],2,7)</f>
        <v>#REF!</v>
      </c>
      <c r="AG130" s="201" t="e">
        <f>MID(INVESTORS_LIST[[#This Row],[BO ID]],9,7)</f>
        <v>#REF!</v>
      </c>
      <c r="AH130" s="201" t="e">
        <f>RIGHT(INVESTORS_LIST[[#This Row],[BO ID]],1)</f>
        <v>#REF!</v>
      </c>
      <c r="AI130" s="50">
        <f>INVESTORS_LIST[[#This Row],[LS_TOTAL COST VALUE OF CURRENT UNITS]]+INVESTORS_LIST[[#This Row],[SIP_TOTAL COST VALUE OF CURRENT UNITS]]</f>
        <v>0</v>
      </c>
      <c r="AJ130" s="109">
        <f>IF(INVESTORS_LIST[[#This Row],[TOTAL CURRENT UNITS]]=0,0,INVESTORS_LIST[[#This Row],[LS_TOTAL CURRENT UNITS]]/INVESTORS_LIST[[#This Row],[TOTAL CURRENT UNITS]])</f>
        <v>0</v>
      </c>
      <c r="AK130" s="109">
        <f>IF(INVESTORS_LIST[[#This Row],[TOTAL CURRENT UNITS]]=0,0,INVESTORS_LIST[[#This Row],[SIP_TOTAL CURRENT UNITS]]/INVESTORS_LIST[[#This Row],[TOTAL CURRENT UNITS]])</f>
        <v>0</v>
      </c>
      <c r="AL130" s="49" cm="1">
        <f t="array" ref="AL1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0" s="49" cm="1">
        <f t="array" ref="AM1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0" s="105">
        <f t="shared" si="2"/>
        <v>14.224</v>
      </c>
      <c r="AP130" s="112">
        <f>IF(INVESTORS_LIST[[#This Row],[TOTAL CURRENT UNITS]]=0,0,INVESTORS_LIST[[#This Row],[TOTAL CURRENT UNITS]]*INVESTORS_LIST[[#This Row],[NAV]])</f>
        <v>0</v>
      </c>
      <c r="AQ130" s="49">
        <f>IF(INVESTORS_LIST[[#This Row],[LS_TOTAL CURRENT UNITS]]=0,0,INVESTORS_LIST[[#This Row],[LS_TOTAL CURRENT UNITS]]*INVESTORS_LIST[[#This Row],[NAV]])</f>
        <v>0</v>
      </c>
      <c r="AR130" s="48">
        <f>IF(INVESTORS_LIST[[#This Row],[SIP_TOTAL CURRENT UNITS]]=0,0,INVESTORS_LIST[[#This Row],[SIP_TOTAL CURRENT UNITS]]*INVESTORS_LIST[[#This Row],[NAV]])</f>
        <v>0</v>
      </c>
      <c r="AS130" s="50">
        <f>INVESTORS_LIST[[#This Row],[TOTAL CURRENT UNITS]]</f>
        <v>0</v>
      </c>
      <c r="AT130" s="48">
        <f>IF(INVESTORS_LIST[[#This Row],[TOTAL SELLABLE UNITS]]=0,0,INVESTORS_LIST[[#This Row],[TOTAL SELLABLE UNITS]]*INVESTORS_LIST[[#This Row],[NAV]])</f>
        <v>0</v>
      </c>
      <c r="AU130" s="48">
        <f>INVESTORS_LIST[[#This Row],[LS_TOTAL REALIZED GAIN]]+INVESTORS_LIST[[#This Row],[SIP_TOTAL REALIZED GAIN]]</f>
        <v>0</v>
      </c>
      <c r="AV130" s="48">
        <f>INVESTORS_LIST[[#This Row],[TOTAL MARKET VALUE]]-INVESTORS_LIST[[#This Row],[TOTAL COST VALUE OF CURRENT INVESTMENT]]</f>
        <v>0</v>
      </c>
      <c r="AW130" s="48">
        <f>IFERROR(INVESTORS_LIST[[#This Row],[TOTAL CURRENT UNITS]]/SUM(INVESTORS_LIST[TOTAL CURRENT UNITS]),0)</f>
        <v>0</v>
      </c>
    </row>
    <row r="131" spans="1:49" hidden="1">
      <c r="A131" s="262" t="s">
        <v>309</v>
      </c>
      <c r="B131" s="97" t="s">
        <v>310</v>
      </c>
      <c r="C131" t="s">
        <v>44</v>
      </c>
      <c r="D131" s="75" t="s">
        <v>45</v>
      </c>
      <c r="E131" s="47">
        <f>SUMIFS(LS[Unit],LS[Investor ID],INVESTORS_LIST[[#This Row],[INVESTOR CODE]],LS[B/S],"B")</f>
        <v>44098</v>
      </c>
      <c r="F131" s="47">
        <f>-SUMIFS(LS[Unit],LS[Investor ID],INVESTORS_LIST[[#This Row],[INVESTOR CODE]],LS[B/S],"S")</f>
        <v>44098</v>
      </c>
      <c r="G131" s="47">
        <f>IF(INVESTORS_LIST[[#This Row],[LS_TOTAL UNITS BUY]]=0,0,INVESTORS_LIST[[#This Row],[LS_TOTAL UNITS BUY]]-INVESTORS_LIST[[#This Row],[LS_TOTAL UNITS SOLD]])</f>
        <v>0</v>
      </c>
      <c r="H131" s="49">
        <f>IF(INVESTORS_LIST[[#This Row],[LS_TOTAL UNITS BUY]]=0,0,SUMIFS(LS[Amount],LS[Investor ID],INVESTORS_LIST[[#This Row],[INVESTOR CODE]],LS[B/S],"B"))</f>
        <v>500000</v>
      </c>
      <c r="I131" s="48">
        <f>IF(INVESTORS_LIST[[#This Row],[LS_TOTAL UNITS SOLD]]=0,0,SUMIFS(LS[Cost of Units Sold],LS[Investor ID],INVESTORS_LIST[[#This Row],[INVESTOR CODE]],LS[B/S],"S"))</f>
        <v>500000</v>
      </c>
      <c r="J131" s="48">
        <f>IF(INVESTORS_LIST[[#This Row],[LS_TOTAL CURRENT UNITS]]=0,0,INVESTORS_LIST[[#This Row],[LS_TOTAL CURRENT UNITS]]*INVESTORS_LIST[[#This Row],[LS_AVERAGE COST]])</f>
        <v>0</v>
      </c>
      <c r="K131" s="49">
        <f>IF(INVESTORS_LIST[[#This Row],[LS_TOTAL UNITS SOLD]]=0,0,SUMIFS(LS[Realized Gain],LS[Investor ID],INVESTORS_LIST[[#This Row],[INVESTOR CODE]],LS[B/S],"S"))</f>
        <v>81857.919999999984</v>
      </c>
      <c r="L131" s="47">
        <f>SUMIFS(SIP[Unit],SIP[Investor ID],INVESTORS_LIST[[#This Row],[INVESTOR CODE]],SIP[B/S],"B")</f>
        <v>0</v>
      </c>
      <c r="M131" s="47">
        <f>-SUMIFS(SIP[Unit],SIP[Investor ID],INVESTORS_LIST[[#This Row],[INVESTOR CODE]],SIP[B/S],"S")</f>
        <v>0</v>
      </c>
      <c r="N131" s="50">
        <f>IF(INVESTORS_LIST[[#This Row],[SIP_TOTAL UNITS BUY]]=0,0,INVESTORS_LIST[[#This Row],[SIP_TOTAL UNITS BUY]]-INVESTORS_LIST[[#This Row],[SIP_TOTAL UNITS SOLD]])</f>
        <v>0</v>
      </c>
      <c r="O131" s="49">
        <f>IF(INVESTORS_LIST[[#This Row],[SIP_TOTAL UNITS BUY]]=0,0,SUMIFS(SIP[Amount],SIP[Investor ID],INVESTORS_LIST[[#This Row],[INVESTOR CODE]],SIP[B/S],"B"))</f>
        <v>0</v>
      </c>
      <c r="P131" s="49">
        <f>IF(INVESTORS_LIST[[#This Row],[SIP_TOTAL UNITS SOLD]]=0,0,SUMIFS(SIP[Cost of Units Sold],SIP[Investor ID],INVESTORS_LIST[[#This Row],[INVESTOR CODE]],SIP[B/S],"S"))</f>
        <v>0</v>
      </c>
      <c r="Q131" s="48">
        <f>IF(INVESTORS_LIST[[#This Row],[SIP_TOTAL CURRENT UNITS]]=0,0,INVESTORS_LIST[[#This Row],[SIP_TOTAL CURRENT UNITS]]*INVESTORS_LIST[[#This Row],[SIP_AVERAGE COST]])</f>
        <v>0</v>
      </c>
      <c r="R131" s="48">
        <f>IF(INVESTORS_LIST[[#This Row],[SIP_TOTAL UNITS SOLD]]=0,0,SUMIFS(SIP[Realized Gain],SIP[Investor ID],INVESTORS_LIST[[#This Row],[INVESTOR CODE]],SIP[B/S],"S"))</f>
        <v>0</v>
      </c>
      <c r="S131" s="50">
        <f>INVESTORS_LIST[[#This Row],[LS_TOTAL UNITS BUY]]+INVESTORS_LIST[[#This Row],[SIP_TOTAL UNITS BUY]]</f>
        <v>44098</v>
      </c>
      <c r="T131" s="50">
        <f>INVESTORS_LIST[[#This Row],[LS_TOTAL UNITS SOLD]]+INVESTORS_LIST[[#This Row],[SIP_TOTAL UNITS SOLD]]</f>
        <v>44098</v>
      </c>
      <c r="U131" s="50"/>
      <c r="V131" s="50">
        <f>SUMIFS(LS[BO UNIT TRANSFER],LS[Investor ID],INVESTORS_LIST[[#This Row],[INVESTOR CODE]],LS[B/S],"B")</f>
        <v>0</v>
      </c>
      <c r="W131" s="50">
        <f>SUMIFS(SIP[BO UNIT TRANSFER],SIP[Investor ID],INVESTORS_LIST[[#This Row],[INVESTOR CODE]],SIP[B/S],"B")</f>
        <v>0</v>
      </c>
      <c r="X131" s="50">
        <f>SUMIFS(LS[BO UNIT TRANSFER],LS[Investor ID],INVESTORS_LIST[[#This Row],[INVESTOR CODE]],LS[B/S],"S")</f>
        <v>0</v>
      </c>
      <c r="Y131" s="50">
        <f>SUMIFS(SIP[BO UNIT TRANSFER],SIP[Investor ID],INVESTORS_LIST[[#This Row],[INVESTOR CODE]],SIP[B/S],"S")</f>
        <v>0</v>
      </c>
      <c r="Z131" s="106">
        <f>SUM(INVESTORS_LIST[[#This Row],[BO OPENING BALANCE]:[BO SIP UNITS REPURCHASE]])</f>
        <v>0</v>
      </c>
      <c r="AA131" s="107">
        <f>INVESTORS_LIST[[#This Row],[TOTAL UNITS BUY]]-INVESTORS_LIST[[#This Row],[TOTAL UNITS SOLD]]</f>
        <v>0</v>
      </c>
      <c r="AB131" s="107">
        <f>INVESTORS_LIST[[#This Row],[TOTAL CURRENT UNITS]]-INVESTORS_LIST[[#This Row],[BO UNITS HOLD]]</f>
        <v>0</v>
      </c>
      <c r="AC131" s="201" t="e">
        <f>INDEX([3]!Table_1[BO ID],MATCH(INVESTORS_LIST[[#This Row],[INVESTOR CODE]],[3]!Table_1[INVESTOR CODE],0))</f>
        <v>#REF!</v>
      </c>
      <c r="AD131" s="201" t="e">
        <f>INDEX([3]!Table_1[Brokerage Name2],MATCH(INVESTORS_LIST[[#This Row],[INVESTOR CODE]],[3]!Table_1[INVESTOR CODE],0))</f>
        <v>#REF!</v>
      </c>
      <c r="AE131" s="201" t="e">
        <f>MID(INVESTORS_LIST[[#This Row],[BO ID]],4,5)</f>
        <v>#REF!</v>
      </c>
      <c r="AF131" s="201" t="e">
        <f>MID(INVESTORS_LIST[[#This Row],[BO ID]],2,7)</f>
        <v>#REF!</v>
      </c>
      <c r="AG131" s="201" t="e">
        <f>MID(INVESTORS_LIST[[#This Row],[BO ID]],9,7)</f>
        <v>#REF!</v>
      </c>
      <c r="AH131" s="201" t="e">
        <f>RIGHT(INVESTORS_LIST[[#This Row],[BO ID]],1)</f>
        <v>#REF!</v>
      </c>
      <c r="AI131" s="50">
        <f>INVESTORS_LIST[[#This Row],[LS_TOTAL COST VALUE OF CURRENT UNITS]]+INVESTORS_LIST[[#This Row],[SIP_TOTAL COST VALUE OF CURRENT UNITS]]</f>
        <v>0</v>
      </c>
      <c r="AJ131" s="109">
        <f>IF(INVESTORS_LIST[[#This Row],[TOTAL CURRENT UNITS]]=0,0,INVESTORS_LIST[[#This Row],[LS_TOTAL CURRENT UNITS]]/INVESTORS_LIST[[#This Row],[TOTAL CURRENT UNITS]])</f>
        <v>0</v>
      </c>
      <c r="AK131" s="109">
        <f>IF(INVESTORS_LIST[[#This Row],[TOTAL CURRENT UNITS]]=0,0,INVESTORS_LIST[[#This Row],[SIP_TOTAL CURRENT UNITS]]/INVESTORS_LIST[[#This Row],[TOTAL CURRENT UNITS]])</f>
        <v>0</v>
      </c>
      <c r="AL131" s="49" cm="1">
        <f t="array" ref="AL1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1" s="49" cm="1">
        <f t="array" ref="AM1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1" s="105">
        <f t="shared" ref="AO131:AO194" si="3">NAV_MKT</f>
        <v>14.224</v>
      </c>
      <c r="AP131" s="112">
        <f>IF(INVESTORS_LIST[[#This Row],[TOTAL CURRENT UNITS]]=0,0,INVESTORS_LIST[[#This Row],[TOTAL CURRENT UNITS]]*INVESTORS_LIST[[#This Row],[NAV]])</f>
        <v>0</v>
      </c>
      <c r="AQ131" s="49">
        <f>IF(INVESTORS_LIST[[#This Row],[LS_TOTAL CURRENT UNITS]]=0,0,INVESTORS_LIST[[#This Row],[LS_TOTAL CURRENT UNITS]]*INVESTORS_LIST[[#This Row],[NAV]])</f>
        <v>0</v>
      </c>
      <c r="AR131" s="48">
        <f>IF(INVESTORS_LIST[[#This Row],[SIP_TOTAL CURRENT UNITS]]=0,0,INVESTORS_LIST[[#This Row],[SIP_TOTAL CURRENT UNITS]]*INVESTORS_LIST[[#This Row],[NAV]])</f>
        <v>0</v>
      </c>
      <c r="AS131" s="50">
        <f>INVESTORS_LIST[[#This Row],[TOTAL CURRENT UNITS]]</f>
        <v>0</v>
      </c>
      <c r="AT131" s="48">
        <f>IF(INVESTORS_LIST[[#This Row],[TOTAL SELLABLE UNITS]]=0,0,INVESTORS_LIST[[#This Row],[TOTAL SELLABLE UNITS]]*INVESTORS_LIST[[#This Row],[NAV]])</f>
        <v>0</v>
      </c>
      <c r="AU131" s="48">
        <f>INVESTORS_LIST[[#This Row],[LS_TOTAL REALIZED GAIN]]+INVESTORS_LIST[[#This Row],[SIP_TOTAL REALIZED GAIN]]</f>
        <v>81857.919999999984</v>
      </c>
      <c r="AV131" s="48">
        <f>INVESTORS_LIST[[#This Row],[TOTAL MARKET VALUE]]-INVESTORS_LIST[[#This Row],[TOTAL COST VALUE OF CURRENT INVESTMENT]]</f>
        <v>0</v>
      </c>
      <c r="AW131" s="108">
        <f>IFERROR(INVESTORS_LIST[[#This Row],[TOTAL CURRENT UNITS]]/SUM(INVESTORS_LIST[TOTAL CURRENT UNITS]),0)</f>
        <v>0</v>
      </c>
    </row>
    <row r="132" spans="1:49" hidden="1">
      <c r="A132" s="262" t="s">
        <v>311</v>
      </c>
      <c r="B132" s="97" t="s">
        <v>312</v>
      </c>
      <c r="C132" t="s">
        <v>44</v>
      </c>
      <c r="D132" s="75" t="s">
        <v>45</v>
      </c>
      <c r="E132" s="47">
        <f>SUMIFS(LS[Unit],LS[Investor ID],INVESTORS_LIST[[#This Row],[INVESTOR CODE]],LS[B/S],"B")</f>
        <v>348703</v>
      </c>
      <c r="F132" s="47">
        <f>-SUMIFS(LS[Unit],LS[Investor ID],INVESTORS_LIST[[#This Row],[INVESTOR CODE]],LS[B/S],"S")</f>
        <v>348703</v>
      </c>
      <c r="G132" s="47">
        <f>IF(INVESTORS_LIST[[#This Row],[LS_TOTAL UNITS BUY]]=0,0,INVESTORS_LIST[[#This Row],[LS_TOTAL UNITS BUY]]-INVESTORS_LIST[[#This Row],[LS_TOTAL UNITS SOLD]])</f>
        <v>0</v>
      </c>
      <c r="H132" s="49">
        <f>IF(INVESTORS_LIST[[#This Row],[LS_TOTAL UNITS BUY]]=0,0,SUMIFS(LS[Amount],LS[Investor ID],INVESTORS_LIST[[#This Row],[INVESTOR CODE]],LS[B/S],"B"))</f>
        <v>3700000</v>
      </c>
      <c r="I132" s="48">
        <f>IF(INVESTORS_LIST[[#This Row],[LS_TOTAL UNITS SOLD]]=0,0,SUMIFS(LS[Cost of Units Sold],LS[Investor ID],INVESTORS_LIST[[#This Row],[INVESTOR CODE]],LS[B/S],"S"))</f>
        <v>3700000.0000000005</v>
      </c>
      <c r="J132" s="48">
        <f>IF(INVESTORS_LIST[[#This Row],[LS_TOTAL CURRENT UNITS]]=0,0,INVESTORS_LIST[[#This Row],[LS_TOTAL CURRENT UNITS]]*INVESTORS_LIST[[#This Row],[LS_AVERAGE COST]])</f>
        <v>0</v>
      </c>
      <c r="K132" s="49">
        <f>IF(INVESTORS_LIST[[#This Row],[LS_TOTAL UNITS SOLD]]=0,0,SUMIFS(LS[Realized Gain],LS[Investor ID],INVESTORS_LIST[[#This Row],[INVESTOR CODE]],LS[B/S],"S"))</f>
        <v>28096.059999999892</v>
      </c>
      <c r="L132" s="47">
        <f>SUMIFS(SIP[Unit],SIP[Investor ID],INVESTORS_LIST[[#This Row],[INVESTOR CODE]],SIP[B/S],"B")</f>
        <v>5614</v>
      </c>
      <c r="M132" s="47">
        <f>-SUMIFS(SIP[Unit],SIP[Investor ID],INVESTORS_LIST[[#This Row],[INVESTOR CODE]],SIP[B/S],"S")</f>
        <v>5614</v>
      </c>
      <c r="N132" s="50">
        <f>IF(INVESTORS_LIST[[#This Row],[SIP_TOTAL UNITS BUY]]=0,0,INVESTORS_LIST[[#This Row],[SIP_TOTAL UNITS BUY]]-INVESTORS_LIST[[#This Row],[SIP_TOTAL UNITS SOLD]])</f>
        <v>0</v>
      </c>
      <c r="O132" s="49">
        <f>IF(INVESTORS_LIST[[#This Row],[SIP_TOTAL UNITS BUY]]=0,0,SUMIFS(SIP[Amount],SIP[Investor ID],INVESTORS_LIST[[#This Row],[INVESTOR CODE]],SIP[B/S],"B"))</f>
        <v>60000</v>
      </c>
      <c r="P132" s="49">
        <f>IF(INVESTORS_LIST[[#This Row],[SIP_TOTAL UNITS SOLD]]=0,0,SUMIFS(SIP[Cost of Units Sold],SIP[Investor ID],INVESTORS_LIST[[#This Row],[INVESTOR CODE]],SIP[B/S],"S"))</f>
        <v>60000</v>
      </c>
      <c r="Q132" s="48">
        <f>IF(INVESTORS_LIST[[#This Row],[SIP_TOTAL CURRENT UNITS]]=0,0,INVESTORS_LIST[[#This Row],[SIP_TOTAL CURRENT UNITS]]*INVESTORS_LIST[[#This Row],[SIP_AVERAGE COST]])</f>
        <v>0</v>
      </c>
      <c r="R132" s="48">
        <f>IF(INVESTORS_LIST[[#This Row],[SIP_TOTAL UNITS SOLD]]=0,0,SUMIFS(SIP[Realized Gain],SIP[Investor ID],INVESTORS_LIST[[#This Row],[INVESTOR CODE]],SIP[B/S],"S"))</f>
        <v>656.49999999999704</v>
      </c>
      <c r="S132" s="50">
        <f>INVESTORS_LIST[[#This Row],[LS_TOTAL UNITS BUY]]+INVESTORS_LIST[[#This Row],[SIP_TOTAL UNITS BUY]]</f>
        <v>354317</v>
      </c>
      <c r="T132" s="50">
        <f>INVESTORS_LIST[[#This Row],[LS_TOTAL UNITS SOLD]]+INVESTORS_LIST[[#This Row],[SIP_TOTAL UNITS SOLD]]</f>
        <v>354317</v>
      </c>
      <c r="U132" s="50"/>
      <c r="V132" s="50">
        <f>SUMIFS(LS[BO UNIT TRANSFER],LS[Investor ID],INVESTORS_LIST[[#This Row],[INVESTOR CODE]],LS[B/S],"B")</f>
        <v>0</v>
      </c>
      <c r="W132" s="50">
        <f>SUMIFS(SIP[BO UNIT TRANSFER],SIP[Investor ID],INVESTORS_LIST[[#This Row],[INVESTOR CODE]],SIP[B/S],"B")</f>
        <v>0</v>
      </c>
      <c r="X132" s="50">
        <f>SUMIFS(LS[BO UNIT TRANSFER],LS[Investor ID],INVESTORS_LIST[[#This Row],[INVESTOR CODE]],LS[B/S],"S")</f>
        <v>0</v>
      </c>
      <c r="Y132" s="50">
        <f>SUMIFS(SIP[BO UNIT TRANSFER],SIP[Investor ID],INVESTORS_LIST[[#This Row],[INVESTOR CODE]],SIP[B/S],"S")</f>
        <v>0</v>
      </c>
      <c r="Z132" s="106">
        <f>SUM(INVESTORS_LIST[[#This Row],[BO OPENING BALANCE]:[BO SIP UNITS REPURCHASE]])</f>
        <v>0</v>
      </c>
      <c r="AA132" s="107">
        <f>INVESTORS_LIST[[#This Row],[TOTAL UNITS BUY]]-INVESTORS_LIST[[#This Row],[TOTAL UNITS SOLD]]</f>
        <v>0</v>
      </c>
      <c r="AB132" s="107">
        <f>INVESTORS_LIST[[#This Row],[TOTAL CURRENT UNITS]]-INVESTORS_LIST[[#This Row],[BO UNITS HOLD]]</f>
        <v>0</v>
      </c>
      <c r="AC132" s="201" t="e">
        <f>INDEX([3]!Table_1[BO ID],MATCH(INVESTORS_LIST[[#This Row],[INVESTOR CODE]],[3]!Table_1[INVESTOR CODE],0))</f>
        <v>#REF!</v>
      </c>
      <c r="AD132" s="201" t="e">
        <f>INDEX([3]!Table_1[Brokerage Name2],MATCH(INVESTORS_LIST[[#This Row],[INVESTOR CODE]],[3]!Table_1[INVESTOR CODE],0))</f>
        <v>#REF!</v>
      </c>
      <c r="AE132" s="201" t="e">
        <f>MID(INVESTORS_LIST[[#This Row],[BO ID]],4,5)</f>
        <v>#REF!</v>
      </c>
      <c r="AF132" s="201" t="e">
        <f>MID(INVESTORS_LIST[[#This Row],[BO ID]],2,7)</f>
        <v>#REF!</v>
      </c>
      <c r="AG132" s="201" t="e">
        <f>MID(INVESTORS_LIST[[#This Row],[BO ID]],9,7)</f>
        <v>#REF!</v>
      </c>
      <c r="AH132" s="201" t="e">
        <f>RIGHT(INVESTORS_LIST[[#This Row],[BO ID]],1)</f>
        <v>#REF!</v>
      </c>
      <c r="AI132" s="50">
        <f>INVESTORS_LIST[[#This Row],[LS_TOTAL COST VALUE OF CURRENT UNITS]]+INVESTORS_LIST[[#This Row],[SIP_TOTAL COST VALUE OF CURRENT UNITS]]</f>
        <v>0</v>
      </c>
      <c r="AJ132" s="109">
        <f>IF(INVESTORS_LIST[[#This Row],[TOTAL CURRENT UNITS]]=0,0,INVESTORS_LIST[[#This Row],[LS_TOTAL CURRENT UNITS]]/INVESTORS_LIST[[#This Row],[TOTAL CURRENT UNITS]])</f>
        <v>0</v>
      </c>
      <c r="AK132" s="109">
        <f>IF(INVESTORS_LIST[[#This Row],[TOTAL CURRENT UNITS]]=0,0,INVESTORS_LIST[[#This Row],[SIP_TOTAL CURRENT UNITS]]/INVESTORS_LIST[[#This Row],[TOTAL CURRENT UNITS]])</f>
        <v>0</v>
      </c>
      <c r="AL132" s="49" cm="1">
        <f t="array" ref="AL1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2" s="49" cm="1">
        <f t="array" ref="AM1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2" s="105">
        <f t="shared" si="3"/>
        <v>14.224</v>
      </c>
      <c r="AP132" s="112">
        <f>IF(INVESTORS_LIST[[#This Row],[TOTAL CURRENT UNITS]]=0,0,INVESTORS_LIST[[#This Row],[TOTAL CURRENT UNITS]]*INVESTORS_LIST[[#This Row],[NAV]])</f>
        <v>0</v>
      </c>
      <c r="AQ132" s="49">
        <f>IF(INVESTORS_LIST[[#This Row],[LS_TOTAL CURRENT UNITS]]=0,0,INVESTORS_LIST[[#This Row],[LS_TOTAL CURRENT UNITS]]*INVESTORS_LIST[[#This Row],[NAV]])</f>
        <v>0</v>
      </c>
      <c r="AR132" s="48">
        <f>IF(INVESTORS_LIST[[#This Row],[SIP_TOTAL CURRENT UNITS]]=0,0,INVESTORS_LIST[[#This Row],[SIP_TOTAL CURRENT UNITS]]*INVESTORS_LIST[[#This Row],[NAV]])</f>
        <v>0</v>
      </c>
      <c r="AS132" s="50">
        <f>INVESTORS_LIST[[#This Row],[TOTAL CURRENT UNITS]]</f>
        <v>0</v>
      </c>
      <c r="AT132" s="48">
        <f>IF(INVESTORS_LIST[[#This Row],[TOTAL SELLABLE UNITS]]=0,0,INVESTORS_LIST[[#This Row],[TOTAL SELLABLE UNITS]]*INVESTORS_LIST[[#This Row],[NAV]])</f>
        <v>0</v>
      </c>
      <c r="AU132" s="48">
        <f>INVESTORS_LIST[[#This Row],[LS_TOTAL REALIZED GAIN]]+INVESTORS_LIST[[#This Row],[SIP_TOTAL REALIZED GAIN]]</f>
        <v>28752.559999999889</v>
      </c>
      <c r="AV132" s="48">
        <f>INVESTORS_LIST[[#This Row],[TOTAL MARKET VALUE]]-INVESTORS_LIST[[#This Row],[TOTAL COST VALUE OF CURRENT INVESTMENT]]</f>
        <v>0</v>
      </c>
      <c r="AW132" s="108">
        <f>IFERROR(INVESTORS_LIST[[#This Row],[TOTAL CURRENT UNITS]]/SUM(INVESTORS_LIST[TOTAL CURRENT UNITS]),0)</f>
        <v>0</v>
      </c>
    </row>
    <row r="133" spans="1:49" hidden="1">
      <c r="A133" s="262" t="s">
        <v>313</v>
      </c>
      <c r="B133" s="97" t="s">
        <v>314</v>
      </c>
      <c r="C133" t="s">
        <v>52</v>
      </c>
      <c r="D133" s="75" t="s">
        <v>45</v>
      </c>
      <c r="E133" s="47">
        <f>SUMIFS(LS[Unit],LS[Investor ID],INVESTORS_LIST[[#This Row],[INVESTOR CODE]],LS[B/S],"B")</f>
        <v>0</v>
      </c>
      <c r="F133" s="47">
        <f>-SUMIFS(LS[Unit],LS[Investor ID],INVESTORS_LIST[[#This Row],[INVESTOR CODE]],LS[B/S],"S")</f>
        <v>0</v>
      </c>
      <c r="G133" s="47">
        <f>IF(INVESTORS_LIST[[#This Row],[LS_TOTAL UNITS BUY]]=0,0,INVESTORS_LIST[[#This Row],[LS_TOTAL UNITS BUY]]-INVESTORS_LIST[[#This Row],[LS_TOTAL UNITS SOLD]])</f>
        <v>0</v>
      </c>
      <c r="H133" s="49">
        <f>IF(INVESTORS_LIST[[#This Row],[LS_TOTAL UNITS BUY]]=0,0,SUMIFS(LS[Amount],LS[Investor ID],INVESTORS_LIST[[#This Row],[INVESTOR CODE]],LS[B/S],"B"))</f>
        <v>0</v>
      </c>
      <c r="I133" s="48">
        <f>IF(INVESTORS_LIST[[#This Row],[LS_TOTAL UNITS SOLD]]=0,0,SUMIFS(LS[Cost of Units Sold],LS[Investor ID],INVESTORS_LIST[[#This Row],[INVESTOR CODE]],LS[B/S],"S"))</f>
        <v>0</v>
      </c>
      <c r="J133" s="48">
        <f>IF(INVESTORS_LIST[[#This Row],[LS_TOTAL CURRENT UNITS]]=0,0,INVESTORS_LIST[[#This Row],[LS_TOTAL CURRENT UNITS]]*INVESTORS_LIST[[#This Row],[LS_AVERAGE COST]])</f>
        <v>0</v>
      </c>
      <c r="K133" s="49">
        <f>IF(INVESTORS_LIST[[#This Row],[LS_TOTAL UNITS SOLD]]=0,0,SUMIFS(LS[Realized Gain],LS[Investor ID],INVESTORS_LIST[[#This Row],[INVESTOR CODE]],LS[B/S],"S"))</f>
        <v>0</v>
      </c>
      <c r="L133" s="47">
        <f>SUMIFS(SIP[Unit],SIP[Investor ID],INVESTORS_LIST[[#This Row],[INVESTOR CODE]],SIP[B/S],"B")</f>
        <v>0</v>
      </c>
      <c r="M133" s="47">
        <f>-SUMIFS(SIP[Unit],SIP[Investor ID],INVESTORS_LIST[[#This Row],[INVESTOR CODE]],SIP[B/S],"S")</f>
        <v>0</v>
      </c>
      <c r="N133" s="50">
        <f>IF(INVESTORS_LIST[[#This Row],[SIP_TOTAL UNITS BUY]]=0,0,INVESTORS_LIST[[#This Row],[SIP_TOTAL UNITS BUY]]-INVESTORS_LIST[[#This Row],[SIP_TOTAL UNITS SOLD]])</f>
        <v>0</v>
      </c>
      <c r="O133" s="49">
        <f>IF(INVESTORS_LIST[[#This Row],[SIP_TOTAL UNITS BUY]]=0,0,SUMIFS(SIP[Amount],SIP[Investor ID],INVESTORS_LIST[[#This Row],[INVESTOR CODE]],SIP[B/S],"B"))</f>
        <v>0</v>
      </c>
      <c r="P133" s="49">
        <f>IF(INVESTORS_LIST[[#This Row],[SIP_TOTAL UNITS SOLD]]=0,0,SUMIFS(SIP[Cost of Units Sold],SIP[Investor ID],INVESTORS_LIST[[#This Row],[INVESTOR CODE]],SIP[B/S],"S"))</f>
        <v>0</v>
      </c>
      <c r="Q133" s="48">
        <f>IF(INVESTORS_LIST[[#This Row],[SIP_TOTAL CURRENT UNITS]]=0,0,INVESTORS_LIST[[#This Row],[SIP_TOTAL CURRENT UNITS]]*INVESTORS_LIST[[#This Row],[SIP_AVERAGE COST]])</f>
        <v>0</v>
      </c>
      <c r="R133" s="48">
        <f>IF(INVESTORS_LIST[[#This Row],[SIP_TOTAL UNITS SOLD]]=0,0,SUMIFS(SIP[Realized Gain],SIP[Investor ID],INVESTORS_LIST[[#This Row],[INVESTOR CODE]],SIP[B/S],"S"))</f>
        <v>0</v>
      </c>
      <c r="S133" s="50">
        <f>INVESTORS_LIST[[#This Row],[LS_TOTAL UNITS BUY]]+INVESTORS_LIST[[#This Row],[SIP_TOTAL UNITS BUY]]</f>
        <v>0</v>
      </c>
      <c r="T133" s="50">
        <f>INVESTORS_LIST[[#This Row],[LS_TOTAL UNITS SOLD]]+INVESTORS_LIST[[#This Row],[SIP_TOTAL UNITS SOLD]]</f>
        <v>0</v>
      </c>
      <c r="U133" s="50"/>
      <c r="V133" s="50">
        <f>SUMIFS(LS[BO UNIT TRANSFER],LS[Investor ID],INVESTORS_LIST[[#This Row],[INVESTOR CODE]],LS[B/S],"B")</f>
        <v>0</v>
      </c>
      <c r="W133" s="50">
        <f>SUMIFS(SIP[BO UNIT TRANSFER],SIP[Investor ID],INVESTORS_LIST[[#This Row],[INVESTOR CODE]],SIP[B/S],"B")</f>
        <v>0</v>
      </c>
      <c r="X133" s="50">
        <f>SUMIFS(LS[BO UNIT TRANSFER],LS[Investor ID],INVESTORS_LIST[[#This Row],[INVESTOR CODE]],LS[B/S],"S")</f>
        <v>0</v>
      </c>
      <c r="Y133" s="50">
        <f>SUMIFS(SIP[BO UNIT TRANSFER],SIP[Investor ID],INVESTORS_LIST[[#This Row],[INVESTOR CODE]],SIP[B/S],"S")</f>
        <v>0</v>
      </c>
      <c r="Z133" s="106">
        <f>SUM(INVESTORS_LIST[[#This Row],[BO OPENING BALANCE]:[BO SIP UNITS REPURCHASE]])</f>
        <v>0</v>
      </c>
      <c r="AA133" s="107">
        <f>INVESTORS_LIST[[#This Row],[TOTAL UNITS BUY]]-INVESTORS_LIST[[#This Row],[TOTAL UNITS SOLD]]</f>
        <v>0</v>
      </c>
      <c r="AB133" s="107">
        <f>INVESTORS_LIST[[#This Row],[TOTAL CURRENT UNITS]]-INVESTORS_LIST[[#This Row],[BO UNITS HOLD]]</f>
        <v>0</v>
      </c>
      <c r="AC133" s="201" t="e">
        <f>INDEX([3]!Table_1[BO ID],MATCH(INVESTORS_LIST[[#This Row],[INVESTOR CODE]],[3]!Table_1[INVESTOR CODE],0))</f>
        <v>#REF!</v>
      </c>
      <c r="AD133" s="201" t="e">
        <f>INDEX([3]!Table_1[Brokerage Name2],MATCH(INVESTORS_LIST[[#This Row],[INVESTOR CODE]],[3]!Table_1[INVESTOR CODE],0))</f>
        <v>#REF!</v>
      </c>
      <c r="AE133" s="201" t="e">
        <f>MID(INVESTORS_LIST[[#This Row],[BO ID]],4,5)</f>
        <v>#REF!</v>
      </c>
      <c r="AF133" s="201" t="e">
        <f>MID(INVESTORS_LIST[[#This Row],[BO ID]],2,7)</f>
        <v>#REF!</v>
      </c>
      <c r="AG133" s="201" t="e">
        <f>MID(INVESTORS_LIST[[#This Row],[BO ID]],9,7)</f>
        <v>#REF!</v>
      </c>
      <c r="AH133" s="201" t="e">
        <f>RIGHT(INVESTORS_LIST[[#This Row],[BO ID]],1)</f>
        <v>#REF!</v>
      </c>
      <c r="AI133" s="50">
        <f>INVESTORS_LIST[[#This Row],[LS_TOTAL COST VALUE OF CURRENT UNITS]]+INVESTORS_LIST[[#This Row],[SIP_TOTAL COST VALUE OF CURRENT UNITS]]</f>
        <v>0</v>
      </c>
      <c r="AJ133" s="109">
        <f>IF(INVESTORS_LIST[[#This Row],[TOTAL CURRENT UNITS]]=0,0,INVESTORS_LIST[[#This Row],[LS_TOTAL CURRENT UNITS]]/INVESTORS_LIST[[#This Row],[TOTAL CURRENT UNITS]])</f>
        <v>0</v>
      </c>
      <c r="AK133" s="109">
        <f>IF(INVESTORS_LIST[[#This Row],[TOTAL CURRENT UNITS]]=0,0,INVESTORS_LIST[[#This Row],[SIP_TOTAL CURRENT UNITS]]/INVESTORS_LIST[[#This Row],[TOTAL CURRENT UNITS]])</f>
        <v>0</v>
      </c>
      <c r="AL133" s="49" cm="1">
        <f t="array" ref="AL1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3" s="49" cm="1">
        <f t="array" ref="AM1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3" s="105">
        <f t="shared" si="3"/>
        <v>14.224</v>
      </c>
      <c r="AP133" s="112">
        <f>IF(INVESTORS_LIST[[#This Row],[TOTAL CURRENT UNITS]]=0,0,INVESTORS_LIST[[#This Row],[TOTAL CURRENT UNITS]]*INVESTORS_LIST[[#This Row],[NAV]])</f>
        <v>0</v>
      </c>
      <c r="AQ133" s="49">
        <f>IF(INVESTORS_LIST[[#This Row],[LS_TOTAL CURRENT UNITS]]=0,0,INVESTORS_LIST[[#This Row],[LS_TOTAL CURRENT UNITS]]*INVESTORS_LIST[[#This Row],[NAV]])</f>
        <v>0</v>
      </c>
      <c r="AR133" s="48">
        <f>IF(INVESTORS_LIST[[#This Row],[SIP_TOTAL CURRENT UNITS]]=0,0,INVESTORS_LIST[[#This Row],[SIP_TOTAL CURRENT UNITS]]*INVESTORS_LIST[[#This Row],[NAV]])</f>
        <v>0</v>
      </c>
      <c r="AS133" s="50">
        <f>INVESTORS_LIST[[#This Row],[TOTAL CURRENT UNITS]]</f>
        <v>0</v>
      </c>
      <c r="AT133" s="48">
        <f>IF(INVESTORS_LIST[[#This Row],[TOTAL SELLABLE UNITS]]=0,0,INVESTORS_LIST[[#This Row],[TOTAL SELLABLE UNITS]]*INVESTORS_LIST[[#This Row],[NAV]])</f>
        <v>0</v>
      </c>
      <c r="AU133" s="48">
        <f>INVESTORS_LIST[[#This Row],[LS_TOTAL REALIZED GAIN]]+INVESTORS_LIST[[#This Row],[SIP_TOTAL REALIZED GAIN]]</f>
        <v>0</v>
      </c>
      <c r="AV133" s="48">
        <f>INVESTORS_LIST[[#This Row],[TOTAL MARKET VALUE]]-INVESTORS_LIST[[#This Row],[TOTAL COST VALUE OF CURRENT INVESTMENT]]</f>
        <v>0</v>
      </c>
      <c r="AW133" s="48">
        <f>IFERROR(INVESTORS_LIST[[#This Row],[TOTAL CURRENT UNITS]]/SUM(INVESTORS_LIST[TOTAL CURRENT UNITS]),0)</f>
        <v>0</v>
      </c>
    </row>
    <row r="134" spans="1:49" hidden="1">
      <c r="A134" s="262" t="s">
        <v>315</v>
      </c>
      <c r="B134" s="97" t="s">
        <v>316</v>
      </c>
      <c r="C134" t="s">
        <v>44</v>
      </c>
      <c r="D134" s="75" t="s">
        <v>45</v>
      </c>
      <c r="E134" s="47">
        <f>SUMIFS(LS[Unit],LS[Investor ID],INVESTORS_LIST[[#This Row],[INVESTOR CODE]],LS[B/S],"B")</f>
        <v>10000</v>
      </c>
      <c r="F134" s="47">
        <f>-SUMIFS(LS[Unit],LS[Investor ID],INVESTORS_LIST[[#This Row],[INVESTOR CODE]],LS[B/S],"S")</f>
        <v>10000</v>
      </c>
      <c r="G134" s="47">
        <f>IF(INVESTORS_LIST[[#This Row],[LS_TOTAL UNITS BUY]]=0,0,INVESTORS_LIST[[#This Row],[LS_TOTAL UNITS BUY]]-INVESTORS_LIST[[#This Row],[LS_TOTAL UNITS SOLD]])</f>
        <v>0</v>
      </c>
      <c r="H134" s="49">
        <f>IF(INVESTORS_LIST[[#This Row],[LS_TOTAL UNITS BUY]]=0,0,SUMIFS(LS[Amount],LS[Investor ID],INVESTORS_LIST[[#This Row],[INVESTOR CODE]],LS[B/S],"B"))</f>
        <v>103820</v>
      </c>
      <c r="I134" s="48">
        <f>IF(INVESTORS_LIST[[#This Row],[LS_TOTAL UNITS SOLD]]=0,0,SUMIFS(LS[Cost of Units Sold],LS[Investor ID],INVESTORS_LIST[[#This Row],[INVESTOR CODE]],LS[B/S],"S"))</f>
        <v>103820</v>
      </c>
      <c r="J134" s="48">
        <f>IF(INVESTORS_LIST[[#This Row],[LS_TOTAL CURRENT UNITS]]=0,0,INVESTORS_LIST[[#This Row],[LS_TOTAL CURRENT UNITS]]*INVESTORS_LIST[[#This Row],[LS_AVERAGE COST]])</f>
        <v>0</v>
      </c>
      <c r="K134" s="49">
        <f>IF(INVESTORS_LIST[[#This Row],[LS_TOTAL UNITS SOLD]]=0,0,SUMIFS(LS[Realized Gain],LS[Investor ID],INVESTORS_LIST[[#This Row],[INVESTOR CODE]],LS[B/S],"S"))</f>
        <v>1159.9999999999966</v>
      </c>
      <c r="L134" s="47">
        <f>SUMIFS(SIP[Unit],SIP[Investor ID],INVESTORS_LIST[[#This Row],[INVESTOR CODE]],SIP[B/S],"B")</f>
        <v>0</v>
      </c>
      <c r="M134" s="47">
        <f>-SUMIFS(SIP[Unit],SIP[Investor ID],INVESTORS_LIST[[#This Row],[INVESTOR CODE]],SIP[B/S],"S")</f>
        <v>0</v>
      </c>
      <c r="N134" s="50">
        <f>IF(INVESTORS_LIST[[#This Row],[SIP_TOTAL UNITS BUY]]=0,0,INVESTORS_LIST[[#This Row],[SIP_TOTAL UNITS BUY]]-INVESTORS_LIST[[#This Row],[SIP_TOTAL UNITS SOLD]])</f>
        <v>0</v>
      </c>
      <c r="O134" s="49">
        <f>IF(INVESTORS_LIST[[#This Row],[SIP_TOTAL UNITS BUY]]=0,0,SUMIFS(SIP[Amount],SIP[Investor ID],INVESTORS_LIST[[#This Row],[INVESTOR CODE]],SIP[B/S],"B"))</f>
        <v>0</v>
      </c>
      <c r="P134" s="49">
        <f>IF(INVESTORS_LIST[[#This Row],[SIP_TOTAL UNITS SOLD]]=0,0,SUMIFS(SIP[Cost of Units Sold],SIP[Investor ID],INVESTORS_LIST[[#This Row],[INVESTOR CODE]],SIP[B/S],"S"))</f>
        <v>0</v>
      </c>
      <c r="Q134" s="48">
        <f>IF(INVESTORS_LIST[[#This Row],[SIP_TOTAL CURRENT UNITS]]=0,0,INVESTORS_LIST[[#This Row],[SIP_TOTAL CURRENT UNITS]]*INVESTORS_LIST[[#This Row],[SIP_AVERAGE COST]])</f>
        <v>0</v>
      </c>
      <c r="R134" s="48">
        <f>IF(INVESTORS_LIST[[#This Row],[SIP_TOTAL UNITS SOLD]]=0,0,SUMIFS(SIP[Realized Gain],SIP[Investor ID],INVESTORS_LIST[[#This Row],[INVESTOR CODE]],SIP[B/S],"S"))</f>
        <v>0</v>
      </c>
      <c r="S134" s="50">
        <f>INVESTORS_LIST[[#This Row],[LS_TOTAL UNITS BUY]]+INVESTORS_LIST[[#This Row],[SIP_TOTAL UNITS BUY]]</f>
        <v>10000</v>
      </c>
      <c r="T134" s="50">
        <f>INVESTORS_LIST[[#This Row],[LS_TOTAL UNITS SOLD]]+INVESTORS_LIST[[#This Row],[SIP_TOTAL UNITS SOLD]]</f>
        <v>10000</v>
      </c>
      <c r="U134" s="50"/>
      <c r="V134" s="50">
        <f>SUMIFS(LS[BO UNIT TRANSFER],LS[Investor ID],INVESTORS_LIST[[#This Row],[INVESTOR CODE]],LS[B/S],"B")</f>
        <v>0</v>
      </c>
      <c r="W134" s="50">
        <f>SUMIFS(SIP[BO UNIT TRANSFER],SIP[Investor ID],INVESTORS_LIST[[#This Row],[INVESTOR CODE]],SIP[B/S],"B")</f>
        <v>0</v>
      </c>
      <c r="X134" s="50">
        <f>SUMIFS(LS[BO UNIT TRANSFER],LS[Investor ID],INVESTORS_LIST[[#This Row],[INVESTOR CODE]],LS[B/S],"S")</f>
        <v>0</v>
      </c>
      <c r="Y134" s="50">
        <f>SUMIFS(SIP[BO UNIT TRANSFER],SIP[Investor ID],INVESTORS_LIST[[#This Row],[INVESTOR CODE]],SIP[B/S],"S")</f>
        <v>0</v>
      </c>
      <c r="Z134" s="106">
        <f>SUM(INVESTORS_LIST[[#This Row],[BO OPENING BALANCE]:[BO SIP UNITS REPURCHASE]])</f>
        <v>0</v>
      </c>
      <c r="AA134" s="107">
        <f>INVESTORS_LIST[[#This Row],[TOTAL UNITS BUY]]-INVESTORS_LIST[[#This Row],[TOTAL UNITS SOLD]]</f>
        <v>0</v>
      </c>
      <c r="AB134" s="107">
        <f>INVESTORS_LIST[[#This Row],[TOTAL CURRENT UNITS]]-INVESTORS_LIST[[#This Row],[BO UNITS HOLD]]</f>
        <v>0</v>
      </c>
      <c r="AC134" s="201" t="e">
        <f>INDEX([3]!Table_1[BO ID],MATCH(INVESTORS_LIST[[#This Row],[INVESTOR CODE]],[3]!Table_1[INVESTOR CODE],0))</f>
        <v>#REF!</v>
      </c>
      <c r="AD134" s="201" t="e">
        <f>INDEX([3]!Table_1[Brokerage Name2],MATCH(INVESTORS_LIST[[#This Row],[INVESTOR CODE]],[3]!Table_1[INVESTOR CODE],0))</f>
        <v>#REF!</v>
      </c>
      <c r="AE134" s="201" t="e">
        <f>MID(INVESTORS_LIST[[#This Row],[BO ID]],4,5)</f>
        <v>#REF!</v>
      </c>
      <c r="AF134" s="201" t="e">
        <f>MID(INVESTORS_LIST[[#This Row],[BO ID]],2,7)</f>
        <v>#REF!</v>
      </c>
      <c r="AG134" s="201" t="e">
        <f>MID(INVESTORS_LIST[[#This Row],[BO ID]],9,7)</f>
        <v>#REF!</v>
      </c>
      <c r="AH134" s="201" t="e">
        <f>RIGHT(INVESTORS_LIST[[#This Row],[BO ID]],1)</f>
        <v>#REF!</v>
      </c>
      <c r="AI134" s="50">
        <f>INVESTORS_LIST[[#This Row],[LS_TOTAL COST VALUE OF CURRENT UNITS]]+INVESTORS_LIST[[#This Row],[SIP_TOTAL COST VALUE OF CURRENT UNITS]]</f>
        <v>0</v>
      </c>
      <c r="AJ134" s="109">
        <f>IF(INVESTORS_LIST[[#This Row],[TOTAL CURRENT UNITS]]=0,0,INVESTORS_LIST[[#This Row],[LS_TOTAL CURRENT UNITS]]/INVESTORS_LIST[[#This Row],[TOTAL CURRENT UNITS]])</f>
        <v>0</v>
      </c>
      <c r="AK134" s="109">
        <f>IF(INVESTORS_LIST[[#This Row],[TOTAL CURRENT UNITS]]=0,0,INVESTORS_LIST[[#This Row],[SIP_TOTAL CURRENT UNITS]]/INVESTORS_LIST[[#This Row],[TOTAL CURRENT UNITS]])</f>
        <v>0</v>
      </c>
      <c r="AL134" s="49" cm="1">
        <f t="array" ref="AL1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4" s="49" cm="1">
        <f t="array" ref="AM1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4" s="105">
        <f t="shared" si="3"/>
        <v>14.224</v>
      </c>
      <c r="AP134" s="112">
        <f>IF(INVESTORS_LIST[[#This Row],[TOTAL CURRENT UNITS]]=0,0,INVESTORS_LIST[[#This Row],[TOTAL CURRENT UNITS]]*INVESTORS_LIST[[#This Row],[NAV]])</f>
        <v>0</v>
      </c>
      <c r="AQ134" s="49">
        <f>IF(INVESTORS_LIST[[#This Row],[LS_TOTAL CURRENT UNITS]]=0,0,INVESTORS_LIST[[#This Row],[LS_TOTAL CURRENT UNITS]]*INVESTORS_LIST[[#This Row],[NAV]])</f>
        <v>0</v>
      </c>
      <c r="AR134" s="48">
        <f>IF(INVESTORS_LIST[[#This Row],[SIP_TOTAL CURRENT UNITS]]=0,0,INVESTORS_LIST[[#This Row],[SIP_TOTAL CURRENT UNITS]]*INVESTORS_LIST[[#This Row],[NAV]])</f>
        <v>0</v>
      </c>
      <c r="AS134" s="50">
        <f>INVESTORS_LIST[[#This Row],[TOTAL CURRENT UNITS]]</f>
        <v>0</v>
      </c>
      <c r="AT134" s="48">
        <f>IF(INVESTORS_LIST[[#This Row],[TOTAL SELLABLE UNITS]]=0,0,INVESTORS_LIST[[#This Row],[TOTAL SELLABLE UNITS]]*INVESTORS_LIST[[#This Row],[NAV]])</f>
        <v>0</v>
      </c>
      <c r="AU134" s="48">
        <f>INVESTORS_LIST[[#This Row],[LS_TOTAL REALIZED GAIN]]+INVESTORS_LIST[[#This Row],[SIP_TOTAL REALIZED GAIN]]</f>
        <v>1159.9999999999966</v>
      </c>
      <c r="AV134" s="48">
        <f>INVESTORS_LIST[[#This Row],[TOTAL MARKET VALUE]]-INVESTORS_LIST[[#This Row],[TOTAL COST VALUE OF CURRENT INVESTMENT]]</f>
        <v>0</v>
      </c>
      <c r="AW134" s="48">
        <f>IFERROR(INVESTORS_LIST[[#This Row],[TOTAL CURRENT UNITS]]/SUM(INVESTORS_LIST[TOTAL CURRENT UNITS]),0)</f>
        <v>0</v>
      </c>
    </row>
    <row r="135" spans="1:49" hidden="1">
      <c r="A135" s="262" t="s">
        <v>317</v>
      </c>
      <c r="B135" s="97" t="s">
        <v>318</v>
      </c>
      <c r="C135" t="s">
        <v>44</v>
      </c>
      <c r="D135" s="75" t="s">
        <v>45</v>
      </c>
      <c r="E135" s="47">
        <f>SUMIFS(LS[Unit],LS[Investor ID],INVESTORS_LIST[[#This Row],[INVESTOR CODE]],LS[B/S],"B")</f>
        <v>0</v>
      </c>
      <c r="F135" s="47">
        <f>-SUMIFS(LS[Unit],LS[Investor ID],INVESTORS_LIST[[#This Row],[INVESTOR CODE]],LS[B/S],"S")</f>
        <v>0</v>
      </c>
      <c r="G135" s="47">
        <f>IF(INVESTORS_LIST[[#This Row],[LS_TOTAL UNITS BUY]]=0,0,INVESTORS_LIST[[#This Row],[LS_TOTAL UNITS BUY]]-INVESTORS_LIST[[#This Row],[LS_TOTAL UNITS SOLD]])</f>
        <v>0</v>
      </c>
      <c r="H135" s="49">
        <f>IF(INVESTORS_LIST[[#This Row],[LS_TOTAL UNITS BUY]]=0,0,SUMIFS(LS[Amount],LS[Investor ID],INVESTORS_LIST[[#This Row],[INVESTOR CODE]],LS[B/S],"B"))</f>
        <v>0</v>
      </c>
      <c r="I135" s="48">
        <f>IF(INVESTORS_LIST[[#This Row],[LS_TOTAL UNITS SOLD]]=0,0,SUMIFS(LS[Cost of Units Sold],LS[Investor ID],INVESTORS_LIST[[#This Row],[INVESTOR CODE]],LS[B/S],"S"))</f>
        <v>0</v>
      </c>
      <c r="J135" s="48">
        <f>IF(INVESTORS_LIST[[#This Row],[LS_TOTAL CURRENT UNITS]]=0,0,INVESTORS_LIST[[#This Row],[LS_TOTAL CURRENT UNITS]]*INVESTORS_LIST[[#This Row],[LS_AVERAGE COST]])</f>
        <v>0</v>
      </c>
      <c r="K135" s="49">
        <f>IF(INVESTORS_LIST[[#This Row],[LS_TOTAL UNITS SOLD]]=0,0,SUMIFS(LS[Realized Gain],LS[Investor ID],INVESTORS_LIST[[#This Row],[INVESTOR CODE]],LS[B/S],"S"))</f>
        <v>0</v>
      </c>
      <c r="L135" s="47">
        <f>SUMIFS(SIP[Unit],SIP[Investor ID],INVESTORS_LIST[[#This Row],[INVESTOR CODE]],SIP[B/S],"B")</f>
        <v>0</v>
      </c>
      <c r="M135" s="47">
        <f>-SUMIFS(SIP[Unit],SIP[Investor ID],INVESTORS_LIST[[#This Row],[INVESTOR CODE]],SIP[B/S],"S")</f>
        <v>0</v>
      </c>
      <c r="N135" s="50">
        <f>IF(INVESTORS_LIST[[#This Row],[SIP_TOTAL UNITS BUY]]=0,0,INVESTORS_LIST[[#This Row],[SIP_TOTAL UNITS BUY]]-INVESTORS_LIST[[#This Row],[SIP_TOTAL UNITS SOLD]])</f>
        <v>0</v>
      </c>
      <c r="O135" s="49">
        <f>IF(INVESTORS_LIST[[#This Row],[SIP_TOTAL UNITS BUY]]=0,0,SUMIFS(SIP[Amount],SIP[Investor ID],INVESTORS_LIST[[#This Row],[INVESTOR CODE]],SIP[B/S],"B"))</f>
        <v>0</v>
      </c>
      <c r="P135" s="49">
        <f>IF(INVESTORS_LIST[[#This Row],[SIP_TOTAL UNITS SOLD]]=0,0,SUMIFS(SIP[Cost of Units Sold],SIP[Investor ID],INVESTORS_LIST[[#This Row],[INVESTOR CODE]],SIP[B/S],"S"))</f>
        <v>0</v>
      </c>
      <c r="Q135" s="48">
        <f>IF(INVESTORS_LIST[[#This Row],[SIP_TOTAL CURRENT UNITS]]=0,0,INVESTORS_LIST[[#This Row],[SIP_TOTAL CURRENT UNITS]]*INVESTORS_LIST[[#This Row],[SIP_AVERAGE COST]])</f>
        <v>0</v>
      </c>
      <c r="R135" s="48">
        <f>IF(INVESTORS_LIST[[#This Row],[SIP_TOTAL UNITS SOLD]]=0,0,SUMIFS(SIP[Realized Gain],SIP[Investor ID],INVESTORS_LIST[[#This Row],[INVESTOR CODE]],SIP[B/S],"S"))</f>
        <v>0</v>
      </c>
      <c r="S135" s="50">
        <f>INVESTORS_LIST[[#This Row],[LS_TOTAL UNITS BUY]]+INVESTORS_LIST[[#This Row],[SIP_TOTAL UNITS BUY]]</f>
        <v>0</v>
      </c>
      <c r="T135" s="50">
        <f>INVESTORS_LIST[[#This Row],[LS_TOTAL UNITS SOLD]]+INVESTORS_LIST[[#This Row],[SIP_TOTAL UNITS SOLD]]</f>
        <v>0</v>
      </c>
      <c r="U135" s="50"/>
      <c r="V135" s="50">
        <f>SUMIFS(LS[BO UNIT TRANSFER],LS[Investor ID],INVESTORS_LIST[[#This Row],[INVESTOR CODE]],LS[B/S],"B")</f>
        <v>0</v>
      </c>
      <c r="W135" s="50">
        <f>SUMIFS(SIP[BO UNIT TRANSFER],SIP[Investor ID],INVESTORS_LIST[[#This Row],[INVESTOR CODE]],SIP[B/S],"B")</f>
        <v>0</v>
      </c>
      <c r="X135" s="50">
        <f>SUMIFS(LS[BO UNIT TRANSFER],LS[Investor ID],INVESTORS_LIST[[#This Row],[INVESTOR CODE]],LS[B/S],"S")</f>
        <v>0</v>
      </c>
      <c r="Y135" s="50">
        <f>SUMIFS(SIP[BO UNIT TRANSFER],SIP[Investor ID],INVESTORS_LIST[[#This Row],[INVESTOR CODE]],SIP[B/S],"S")</f>
        <v>0</v>
      </c>
      <c r="Z135" s="106">
        <f>SUM(INVESTORS_LIST[[#This Row],[BO OPENING BALANCE]:[BO SIP UNITS REPURCHASE]])</f>
        <v>0</v>
      </c>
      <c r="AA135" s="107">
        <f>INVESTORS_LIST[[#This Row],[TOTAL UNITS BUY]]-INVESTORS_LIST[[#This Row],[TOTAL UNITS SOLD]]</f>
        <v>0</v>
      </c>
      <c r="AB135" s="107">
        <f>INVESTORS_LIST[[#This Row],[TOTAL CURRENT UNITS]]-INVESTORS_LIST[[#This Row],[BO UNITS HOLD]]</f>
        <v>0</v>
      </c>
      <c r="AC135" s="201" t="e">
        <f>INDEX([3]!Table_1[BO ID],MATCH(INVESTORS_LIST[[#This Row],[INVESTOR CODE]],[3]!Table_1[INVESTOR CODE],0))</f>
        <v>#REF!</v>
      </c>
      <c r="AD135" s="201" t="e">
        <f>INDEX([3]!Table_1[Brokerage Name2],MATCH(INVESTORS_LIST[[#This Row],[INVESTOR CODE]],[3]!Table_1[INVESTOR CODE],0))</f>
        <v>#REF!</v>
      </c>
      <c r="AE135" s="201" t="e">
        <f>MID(INVESTORS_LIST[[#This Row],[BO ID]],4,5)</f>
        <v>#REF!</v>
      </c>
      <c r="AF135" s="201" t="e">
        <f>MID(INVESTORS_LIST[[#This Row],[BO ID]],2,7)</f>
        <v>#REF!</v>
      </c>
      <c r="AG135" s="201" t="e">
        <f>MID(INVESTORS_LIST[[#This Row],[BO ID]],9,7)</f>
        <v>#REF!</v>
      </c>
      <c r="AH135" s="201" t="e">
        <f>RIGHT(INVESTORS_LIST[[#This Row],[BO ID]],1)</f>
        <v>#REF!</v>
      </c>
      <c r="AI135" s="50">
        <f>INVESTORS_LIST[[#This Row],[LS_TOTAL COST VALUE OF CURRENT UNITS]]+INVESTORS_LIST[[#This Row],[SIP_TOTAL COST VALUE OF CURRENT UNITS]]</f>
        <v>0</v>
      </c>
      <c r="AJ135" s="109">
        <f>IF(INVESTORS_LIST[[#This Row],[TOTAL CURRENT UNITS]]=0,0,INVESTORS_LIST[[#This Row],[LS_TOTAL CURRENT UNITS]]/INVESTORS_LIST[[#This Row],[TOTAL CURRENT UNITS]])</f>
        <v>0</v>
      </c>
      <c r="AK135" s="109">
        <f>IF(INVESTORS_LIST[[#This Row],[TOTAL CURRENT UNITS]]=0,0,INVESTORS_LIST[[#This Row],[SIP_TOTAL CURRENT UNITS]]/INVESTORS_LIST[[#This Row],[TOTAL CURRENT UNITS]])</f>
        <v>0</v>
      </c>
      <c r="AL135" s="49" cm="1">
        <f t="array" ref="AL1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5" s="49" cm="1">
        <f t="array" ref="AM1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5" s="105">
        <f t="shared" si="3"/>
        <v>14.224</v>
      </c>
      <c r="AP135" s="112">
        <f>IF(INVESTORS_LIST[[#This Row],[TOTAL CURRENT UNITS]]=0,0,INVESTORS_LIST[[#This Row],[TOTAL CURRENT UNITS]]*INVESTORS_LIST[[#This Row],[NAV]])</f>
        <v>0</v>
      </c>
      <c r="AQ135" s="49">
        <f>IF(INVESTORS_LIST[[#This Row],[LS_TOTAL CURRENT UNITS]]=0,0,INVESTORS_LIST[[#This Row],[LS_TOTAL CURRENT UNITS]]*INVESTORS_LIST[[#This Row],[NAV]])</f>
        <v>0</v>
      </c>
      <c r="AR135" s="48">
        <f>IF(INVESTORS_LIST[[#This Row],[SIP_TOTAL CURRENT UNITS]]=0,0,INVESTORS_LIST[[#This Row],[SIP_TOTAL CURRENT UNITS]]*INVESTORS_LIST[[#This Row],[NAV]])</f>
        <v>0</v>
      </c>
      <c r="AS135" s="50">
        <f>INVESTORS_LIST[[#This Row],[TOTAL CURRENT UNITS]]</f>
        <v>0</v>
      </c>
      <c r="AT135" s="48">
        <f>IF(INVESTORS_LIST[[#This Row],[TOTAL SELLABLE UNITS]]=0,0,INVESTORS_LIST[[#This Row],[TOTAL SELLABLE UNITS]]*INVESTORS_LIST[[#This Row],[NAV]])</f>
        <v>0</v>
      </c>
      <c r="AU135" s="48">
        <f>INVESTORS_LIST[[#This Row],[LS_TOTAL REALIZED GAIN]]+INVESTORS_LIST[[#This Row],[SIP_TOTAL REALIZED GAIN]]</f>
        <v>0</v>
      </c>
      <c r="AV135" s="48">
        <f>INVESTORS_LIST[[#This Row],[TOTAL MARKET VALUE]]-INVESTORS_LIST[[#This Row],[TOTAL COST VALUE OF CURRENT INVESTMENT]]</f>
        <v>0</v>
      </c>
      <c r="AW135" s="48">
        <f>IFERROR(INVESTORS_LIST[[#This Row],[TOTAL CURRENT UNITS]]/SUM(INVESTORS_LIST[TOTAL CURRENT UNITS]),0)</f>
        <v>0</v>
      </c>
    </row>
    <row r="136" spans="1:49" hidden="1">
      <c r="A136" s="262" t="s">
        <v>319</v>
      </c>
      <c r="B136" s="97" t="s">
        <v>320</v>
      </c>
      <c r="C136" t="s">
        <v>44</v>
      </c>
      <c r="D136" s="75" t="s">
        <v>45</v>
      </c>
      <c r="E136" s="47">
        <f>SUMIFS(LS[Unit],LS[Investor ID],INVESTORS_LIST[[#This Row],[INVESTOR CODE]],LS[B/S],"B")</f>
        <v>0</v>
      </c>
      <c r="F136" s="47">
        <f>-SUMIFS(LS[Unit],LS[Investor ID],INVESTORS_LIST[[#This Row],[INVESTOR CODE]],LS[B/S],"S")</f>
        <v>0</v>
      </c>
      <c r="G136" s="47">
        <f>IF(INVESTORS_LIST[[#This Row],[LS_TOTAL UNITS BUY]]=0,0,INVESTORS_LIST[[#This Row],[LS_TOTAL UNITS BUY]]-INVESTORS_LIST[[#This Row],[LS_TOTAL UNITS SOLD]])</f>
        <v>0</v>
      </c>
      <c r="H136" s="49">
        <f>IF(INVESTORS_LIST[[#This Row],[LS_TOTAL UNITS BUY]]=0,0,SUMIFS(LS[Amount],LS[Investor ID],INVESTORS_LIST[[#This Row],[INVESTOR CODE]],LS[B/S],"B"))</f>
        <v>0</v>
      </c>
      <c r="I136" s="48">
        <f>IF(INVESTORS_LIST[[#This Row],[LS_TOTAL UNITS SOLD]]=0,0,SUMIFS(LS[Cost of Units Sold],LS[Investor ID],INVESTORS_LIST[[#This Row],[INVESTOR CODE]],LS[B/S],"S"))</f>
        <v>0</v>
      </c>
      <c r="J136" s="48">
        <f>IF(INVESTORS_LIST[[#This Row],[LS_TOTAL CURRENT UNITS]]=0,0,INVESTORS_LIST[[#This Row],[LS_TOTAL CURRENT UNITS]]*INVESTORS_LIST[[#This Row],[LS_AVERAGE COST]])</f>
        <v>0</v>
      </c>
      <c r="K136" s="49">
        <f>IF(INVESTORS_LIST[[#This Row],[LS_TOTAL UNITS SOLD]]=0,0,SUMIFS(LS[Realized Gain],LS[Investor ID],INVESTORS_LIST[[#This Row],[INVESTOR CODE]],LS[B/S],"S"))</f>
        <v>0</v>
      </c>
      <c r="L136" s="47">
        <f>SUMIFS(SIP[Unit],SIP[Investor ID],INVESTORS_LIST[[#This Row],[INVESTOR CODE]],SIP[B/S],"B")</f>
        <v>0</v>
      </c>
      <c r="M136" s="47">
        <f>-SUMIFS(SIP[Unit],SIP[Investor ID],INVESTORS_LIST[[#This Row],[INVESTOR CODE]],SIP[B/S],"S")</f>
        <v>0</v>
      </c>
      <c r="N136" s="50">
        <f>IF(INVESTORS_LIST[[#This Row],[SIP_TOTAL UNITS BUY]]=0,0,INVESTORS_LIST[[#This Row],[SIP_TOTAL UNITS BUY]]-INVESTORS_LIST[[#This Row],[SIP_TOTAL UNITS SOLD]])</f>
        <v>0</v>
      </c>
      <c r="O136" s="49">
        <f>IF(INVESTORS_LIST[[#This Row],[SIP_TOTAL UNITS BUY]]=0,0,SUMIFS(SIP[Amount],SIP[Investor ID],INVESTORS_LIST[[#This Row],[INVESTOR CODE]],SIP[B/S],"B"))</f>
        <v>0</v>
      </c>
      <c r="P136" s="49">
        <f>IF(INVESTORS_LIST[[#This Row],[SIP_TOTAL UNITS SOLD]]=0,0,SUMIFS(SIP[Cost of Units Sold],SIP[Investor ID],INVESTORS_LIST[[#This Row],[INVESTOR CODE]],SIP[B/S],"S"))</f>
        <v>0</v>
      </c>
      <c r="Q136" s="48">
        <f>IF(INVESTORS_LIST[[#This Row],[SIP_TOTAL CURRENT UNITS]]=0,0,INVESTORS_LIST[[#This Row],[SIP_TOTAL CURRENT UNITS]]*INVESTORS_LIST[[#This Row],[SIP_AVERAGE COST]])</f>
        <v>0</v>
      </c>
      <c r="R136" s="48">
        <f>IF(INVESTORS_LIST[[#This Row],[SIP_TOTAL UNITS SOLD]]=0,0,SUMIFS(SIP[Realized Gain],SIP[Investor ID],INVESTORS_LIST[[#This Row],[INVESTOR CODE]],SIP[B/S],"S"))</f>
        <v>0</v>
      </c>
      <c r="S136" s="50">
        <f>INVESTORS_LIST[[#This Row],[LS_TOTAL UNITS BUY]]+INVESTORS_LIST[[#This Row],[SIP_TOTAL UNITS BUY]]</f>
        <v>0</v>
      </c>
      <c r="T136" s="50">
        <f>INVESTORS_LIST[[#This Row],[LS_TOTAL UNITS SOLD]]+INVESTORS_LIST[[#This Row],[SIP_TOTAL UNITS SOLD]]</f>
        <v>0</v>
      </c>
      <c r="U136" s="50"/>
      <c r="V136" s="50">
        <f>SUMIFS(LS[BO UNIT TRANSFER],LS[Investor ID],INVESTORS_LIST[[#This Row],[INVESTOR CODE]],LS[B/S],"B")</f>
        <v>0</v>
      </c>
      <c r="W136" s="50">
        <f>SUMIFS(SIP[BO UNIT TRANSFER],SIP[Investor ID],INVESTORS_LIST[[#This Row],[INVESTOR CODE]],SIP[B/S],"B")</f>
        <v>0</v>
      </c>
      <c r="X136" s="50">
        <f>SUMIFS(LS[BO UNIT TRANSFER],LS[Investor ID],INVESTORS_LIST[[#This Row],[INVESTOR CODE]],LS[B/S],"S")</f>
        <v>0</v>
      </c>
      <c r="Y136" s="50">
        <f>SUMIFS(SIP[BO UNIT TRANSFER],SIP[Investor ID],INVESTORS_LIST[[#This Row],[INVESTOR CODE]],SIP[B/S],"S")</f>
        <v>0</v>
      </c>
      <c r="Z136" s="106">
        <f>SUM(INVESTORS_LIST[[#This Row],[BO OPENING BALANCE]:[BO SIP UNITS REPURCHASE]])</f>
        <v>0</v>
      </c>
      <c r="AA136" s="107">
        <f>INVESTORS_LIST[[#This Row],[TOTAL UNITS BUY]]-INVESTORS_LIST[[#This Row],[TOTAL UNITS SOLD]]</f>
        <v>0</v>
      </c>
      <c r="AB136" s="107">
        <f>INVESTORS_LIST[[#This Row],[TOTAL CURRENT UNITS]]-INVESTORS_LIST[[#This Row],[BO UNITS HOLD]]</f>
        <v>0</v>
      </c>
      <c r="AC136" s="201" t="e">
        <f>INDEX([3]!Table_1[BO ID],MATCH(INVESTORS_LIST[[#This Row],[INVESTOR CODE]],[3]!Table_1[INVESTOR CODE],0))</f>
        <v>#REF!</v>
      </c>
      <c r="AD136" s="201" t="e">
        <f>INDEX([3]!Table_1[Brokerage Name2],MATCH(INVESTORS_LIST[[#This Row],[INVESTOR CODE]],[3]!Table_1[INVESTOR CODE],0))</f>
        <v>#REF!</v>
      </c>
      <c r="AE136" s="201" t="e">
        <f>MID(INVESTORS_LIST[[#This Row],[BO ID]],4,5)</f>
        <v>#REF!</v>
      </c>
      <c r="AF136" s="201" t="e">
        <f>MID(INVESTORS_LIST[[#This Row],[BO ID]],2,7)</f>
        <v>#REF!</v>
      </c>
      <c r="AG136" s="201" t="e">
        <f>MID(INVESTORS_LIST[[#This Row],[BO ID]],9,7)</f>
        <v>#REF!</v>
      </c>
      <c r="AH136" s="201" t="e">
        <f>RIGHT(INVESTORS_LIST[[#This Row],[BO ID]],1)</f>
        <v>#REF!</v>
      </c>
      <c r="AI136" s="50">
        <f>INVESTORS_LIST[[#This Row],[LS_TOTAL COST VALUE OF CURRENT UNITS]]+INVESTORS_LIST[[#This Row],[SIP_TOTAL COST VALUE OF CURRENT UNITS]]</f>
        <v>0</v>
      </c>
      <c r="AJ136" s="109">
        <f>IF(INVESTORS_LIST[[#This Row],[TOTAL CURRENT UNITS]]=0,0,INVESTORS_LIST[[#This Row],[LS_TOTAL CURRENT UNITS]]/INVESTORS_LIST[[#This Row],[TOTAL CURRENT UNITS]])</f>
        <v>0</v>
      </c>
      <c r="AK136" s="109">
        <f>IF(INVESTORS_LIST[[#This Row],[TOTAL CURRENT UNITS]]=0,0,INVESTORS_LIST[[#This Row],[SIP_TOTAL CURRENT UNITS]]/INVESTORS_LIST[[#This Row],[TOTAL CURRENT UNITS]])</f>
        <v>0</v>
      </c>
      <c r="AL136" s="49" cm="1">
        <f t="array" ref="AL1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6" s="49" cm="1">
        <f t="array" ref="AM1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6" s="105">
        <f t="shared" si="3"/>
        <v>14.224</v>
      </c>
      <c r="AP136" s="112">
        <f>IF(INVESTORS_LIST[[#This Row],[TOTAL CURRENT UNITS]]=0,0,INVESTORS_LIST[[#This Row],[TOTAL CURRENT UNITS]]*INVESTORS_LIST[[#This Row],[NAV]])</f>
        <v>0</v>
      </c>
      <c r="AQ136" s="49">
        <f>IF(INVESTORS_LIST[[#This Row],[LS_TOTAL CURRENT UNITS]]=0,0,INVESTORS_LIST[[#This Row],[LS_TOTAL CURRENT UNITS]]*INVESTORS_LIST[[#This Row],[NAV]])</f>
        <v>0</v>
      </c>
      <c r="AR136" s="48">
        <f>IF(INVESTORS_LIST[[#This Row],[SIP_TOTAL CURRENT UNITS]]=0,0,INVESTORS_LIST[[#This Row],[SIP_TOTAL CURRENT UNITS]]*INVESTORS_LIST[[#This Row],[NAV]])</f>
        <v>0</v>
      </c>
      <c r="AS136" s="50">
        <f>INVESTORS_LIST[[#This Row],[TOTAL CURRENT UNITS]]</f>
        <v>0</v>
      </c>
      <c r="AT136" s="48">
        <f>IF(INVESTORS_LIST[[#This Row],[TOTAL SELLABLE UNITS]]=0,0,INVESTORS_LIST[[#This Row],[TOTAL SELLABLE UNITS]]*INVESTORS_LIST[[#This Row],[NAV]])</f>
        <v>0</v>
      </c>
      <c r="AU136" s="48">
        <f>INVESTORS_LIST[[#This Row],[LS_TOTAL REALIZED GAIN]]+INVESTORS_LIST[[#This Row],[SIP_TOTAL REALIZED GAIN]]</f>
        <v>0</v>
      </c>
      <c r="AV136" s="48">
        <f>INVESTORS_LIST[[#This Row],[TOTAL MARKET VALUE]]-INVESTORS_LIST[[#This Row],[TOTAL COST VALUE OF CURRENT INVESTMENT]]</f>
        <v>0</v>
      </c>
      <c r="AW136" s="48">
        <f>IFERROR(INVESTORS_LIST[[#This Row],[TOTAL CURRENT UNITS]]/SUM(INVESTORS_LIST[TOTAL CURRENT UNITS]),0)</f>
        <v>0</v>
      </c>
    </row>
    <row r="137" spans="1:49" hidden="1">
      <c r="A137" s="262" t="s">
        <v>321</v>
      </c>
      <c r="B137" s="97" t="s">
        <v>322</v>
      </c>
      <c r="C137" t="s">
        <v>44</v>
      </c>
      <c r="D137" s="75" t="s">
        <v>45</v>
      </c>
      <c r="E137" s="47">
        <f>SUMIFS(LS[Unit],LS[Investor ID],INVESTORS_LIST[[#This Row],[INVESTOR CODE]],LS[B/S],"B")</f>
        <v>30000</v>
      </c>
      <c r="F137" s="47">
        <f>-SUMIFS(LS[Unit],LS[Investor ID],INVESTORS_LIST[[#This Row],[INVESTOR CODE]],LS[B/S],"S")</f>
        <v>30000</v>
      </c>
      <c r="G137" s="47">
        <f>IF(INVESTORS_LIST[[#This Row],[LS_TOTAL UNITS BUY]]=0,0,INVESTORS_LIST[[#This Row],[LS_TOTAL UNITS BUY]]-INVESTORS_LIST[[#This Row],[LS_TOTAL UNITS SOLD]])</f>
        <v>0</v>
      </c>
      <c r="H137" s="49">
        <f>IF(INVESTORS_LIST[[#This Row],[LS_TOTAL UNITS BUY]]=0,0,SUMIFS(LS[Amount],LS[Investor ID],INVESTORS_LIST[[#This Row],[INVESTOR CODE]],LS[B/S],"B"))</f>
        <v>300000</v>
      </c>
      <c r="I137" s="48">
        <f>IF(INVESTORS_LIST[[#This Row],[LS_TOTAL UNITS SOLD]]=0,0,SUMIFS(LS[Cost of Units Sold],LS[Investor ID],INVESTORS_LIST[[#This Row],[INVESTOR CODE]],LS[B/S],"S"))</f>
        <v>300000</v>
      </c>
      <c r="J137" s="48">
        <f>IF(INVESTORS_LIST[[#This Row],[LS_TOTAL CURRENT UNITS]]=0,0,INVESTORS_LIST[[#This Row],[LS_TOTAL CURRENT UNITS]]*INVESTORS_LIST[[#This Row],[LS_AVERAGE COST]])</f>
        <v>0</v>
      </c>
      <c r="K137" s="49">
        <f>IF(INVESTORS_LIST[[#This Row],[LS_TOTAL UNITS SOLD]]=0,0,SUMIFS(LS[Realized Gain],LS[Investor ID],INVESTORS_LIST[[#This Row],[INVESTOR CODE]],LS[B/S],"S"))</f>
        <v>17850.000000000018</v>
      </c>
      <c r="L137" s="47">
        <f>SUMIFS(SIP[Unit],SIP[Investor ID],INVESTORS_LIST[[#This Row],[INVESTOR CODE]],SIP[B/S],"B")</f>
        <v>0</v>
      </c>
      <c r="M137" s="47">
        <f>-SUMIFS(SIP[Unit],SIP[Investor ID],INVESTORS_LIST[[#This Row],[INVESTOR CODE]],SIP[B/S],"S")</f>
        <v>0</v>
      </c>
      <c r="N137" s="50">
        <f>IF(INVESTORS_LIST[[#This Row],[SIP_TOTAL UNITS BUY]]=0,0,INVESTORS_LIST[[#This Row],[SIP_TOTAL UNITS BUY]]-INVESTORS_LIST[[#This Row],[SIP_TOTAL UNITS SOLD]])</f>
        <v>0</v>
      </c>
      <c r="O137" s="49">
        <f>IF(INVESTORS_LIST[[#This Row],[SIP_TOTAL UNITS BUY]]=0,0,SUMIFS(SIP[Amount],SIP[Investor ID],INVESTORS_LIST[[#This Row],[INVESTOR CODE]],SIP[B/S],"B"))</f>
        <v>0</v>
      </c>
      <c r="P137" s="49">
        <f>IF(INVESTORS_LIST[[#This Row],[SIP_TOTAL UNITS SOLD]]=0,0,SUMIFS(SIP[Cost of Units Sold],SIP[Investor ID],INVESTORS_LIST[[#This Row],[INVESTOR CODE]],SIP[B/S],"S"))</f>
        <v>0</v>
      </c>
      <c r="Q137" s="48">
        <f>IF(INVESTORS_LIST[[#This Row],[SIP_TOTAL CURRENT UNITS]]=0,0,INVESTORS_LIST[[#This Row],[SIP_TOTAL CURRENT UNITS]]*INVESTORS_LIST[[#This Row],[SIP_AVERAGE COST]])</f>
        <v>0</v>
      </c>
      <c r="R137" s="48">
        <f>IF(INVESTORS_LIST[[#This Row],[SIP_TOTAL UNITS SOLD]]=0,0,SUMIFS(SIP[Realized Gain],SIP[Investor ID],INVESTORS_LIST[[#This Row],[INVESTOR CODE]],SIP[B/S],"S"))</f>
        <v>0</v>
      </c>
      <c r="S137" s="50">
        <f>INVESTORS_LIST[[#This Row],[LS_TOTAL UNITS BUY]]+INVESTORS_LIST[[#This Row],[SIP_TOTAL UNITS BUY]]</f>
        <v>30000</v>
      </c>
      <c r="T137" s="50">
        <f>INVESTORS_LIST[[#This Row],[LS_TOTAL UNITS SOLD]]+INVESTORS_LIST[[#This Row],[SIP_TOTAL UNITS SOLD]]</f>
        <v>30000</v>
      </c>
      <c r="U137" s="50"/>
      <c r="V137" s="50">
        <f>SUMIFS(LS[BO UNIT TRANSFER],LS[Investor ID],INVESTORS_LIST[[#This Row],[INVESTOR CODE]],LS[B/S],"B")</f>
        <v>0</v>
      </c>
      <c r="W137" s="50">
        <f>SUMIFS(SIP[BO UNIT TRANSFER],SIP[Investor ID],INVESTORS_LIST[[#This Row],[INVESTOR CODE]],SIP[B/S],"B")</f>
        <v>0</v>
      </c>
      <c r="X137" s="50">
        <f>SUMIFS(LS[BO UNIT TRANSFER],LS[Investor ID],INVESTORS_LIST[[#This Row],[INVESTOR CODE]],LS[B/S],"S")</f>
        <v>0</v>
      </c>
      <c r="Y137" s="50">
        <f>SUMIFS(SIP[BO UNIT TRANSFER],SIP[Investor ID],INVESTORS_LIST[[#This Row],[INVESTOR CODE]],SIP[B/S],"S")</f>
        <v>0</v>
      </c>
      <c r="Z137" s="106">
        <f>SUM(INVESTORS_LIST[[#This Row],[BO OPENING BALANCE]:[BO SIP UNITS REPURCHASE]])</f>
        <v>0</v>
      </c>
      <c r="AA137" s="107">
        <f>INVESTORS_LIST[[#This Row],[TOTAL UNITS BUY]]-INVESTORS_LIST[[#This Row],[TOTAL UNITS SOLD]]</f>
        <v>0</v>
      </c>
      <c r="AB137" s="107">
        <f>INVESTORS_LIST[[#This Row],[TOTAL CURRENT UNITS]]-INVESTORS_LIST[[#This Row],[BO UNITS HOLD]]</f>
        <v>0</v>
      </c>
      <c r="AC137" s="201" t="e">
        <f>INDEX([3]!Table_1[BO ID],MATCH(INVESTORS_LIST[[#This Row],[INVESTOR CODE]],[3]!Table_1[INVESTOR CODE],0))</f>
        <v>#REF!</v>
      </c>
      <c r="AD137" s="201" t="e">
        <f>INDEX([3]!Table_1[Brokerage Name2],MATCH(INVESTORS_LIST[[#This Row],[INVESTOR CODE]],[3]!Table_1[INVESTOR CODE],0))</f>
        <v>#REF!</v>
      </c>
      <c r="AE137" s="201" t="e">
        <f>MID(INVESTORS_LIST[[#This Row],[BO ID]],4,5)</f>
        <v>#REF!</v>
      </c>
      <c r="AF137" s="201" t="e">
        <f>MID(INVESTORS_LIST[[#This Row],[BO ID]],2,7)</f>
        <v>#REF!</v>
      </c>
      <c r="AG137" s="201" t="e">
        <f>MID(INVESTORS_LIST[[#This Row],[BO ID]],9,7)</f>
        <v>#REF!</v>
      </c>
      <c r="AH137" s="201" t="e">
        <f>RIGHT(INVESTORS_LIST[[#This Row],[BO ID]],1)</f>
        <v>#REF!</v>
      </c>
      <c r="AI137" s="50">
        <f>INVESTORS_LIST[[#This Row],[LS_TOTAL COST VALUE OF CURRENT UNITS]]+INVESTORS_LIST[[#This Row],[SIP_TOTAL COST VALUE OF CURRENT UNITS]]</f>
        <v>0</v>
      </c>
      <c r="AJ137" s="109">
        <f>IF(INVESTORS_LIST[[#This Row],[TOTAL CURRENT UNITS]]=0,0,INVESTORS_LIST[[#This Row],[LS_TOTAL CURRENT UNITS]]/INVESTORS_LIST[[#This Row],[TOTAL CURRENT UNITS]])</f>
        <v>0</v>
      </c>
      <c r="AK137" s="109">
        <f>IF(INVESTORS_LIST[[#This Row],[TOTAL CURRENT UNITS]]=0,0,INVESTORS_LIST[[#This Row],[SIP_TOTAL CURRENT UNITS]]/INVESTORS_LIST[[#This Row],[TOTAL CURRENT UNITS]])</f>
        <v>0</v>
      </c>
      <c r="AL137" s="49" cm="1">
        <f t="array" ref="AL1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7" s="49" cm="1">
        <f t="array" ref="AM1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7" s="105">
        <f t="shared" si="3"/>
        <v>14.224</v>
      </c>
      <c r="AP137" s="112">
        <f>IF(INVESTORS_LIST[[#This Row],[TOTAL CURRENT UNITS]]=0,0,INVESTORS_LIST[[#This Row],[TOTAL CURRENT UNITS]]*INVESTORS_LIST[[#This Row],[NAV]])</f>
        <v>0</v>
      </c>
      <c r="AQ137" s="49">
        <f>IF(INVESTORS_LIST[[#This Row],[LS_TOTAL CURRENT UNITS]]=0,0,INVESTORS_LIST[[#This Row],[LS_TOTAL CURRENT UNITS]]*INVESTORS_LIST[[#This Row],[NAV]])</f>
        <v>0</v>
      </c>
      <c r="AR137" s="48">
        <f>IF(INVESTORS_LIST[[#This Row],[SIP_TOTAL CURRENT UNITS]]=0,0,INVESTORS_LIST[[#This Row],[SIP_TOTAL CURRENT UNITS]]*INVESTORS_LIST[[#This Row],[NAV]])</f>
        <v>0</v>
      </c>
      <c r="AS137" s="50">
        <f>INVESTORS_LIST[[#This Row],[TOTAL CURRENT UNITS]]</f>
        <v>0</v>
      </c>
      <c r="AT137" s="48">
        <f>IF(INVESTORS_LIST[[#This Row],[TOTAL SELLABLE UNITS]]=0,0,INVESTORS_LIST[[#This Row],[TOTAL SELLABLE UNITS]]*INVESTORS_LIST[[#This Row],[NAV]])</f>
        <v>0</v>
      </c>
      <c r="AU137" s="48">
        <f>INVESTORS_LIST[[#This Row],[LS_TOTAL REALIZED GAIN]]+INVESTORS_LIST[[#This Row],[SIP_TOTAL REALIZED GAIN]]</f>
        <v>17850.000000000018</v>
      </c>
      <c r="AV137" s="48">
        <f>INVESTORS_LIST[[#This Row],[TOTAL MARKET VALUE]]-INVESTORS_LIST[[#This Row],[TOTAL COST VALUE OF CURRENT INVESTMENT]]</f>
        <v>0</v>
      </c>
      <c r="AW137" s="108">
        <f>IFERROR(INVESTORS_LIST[[#This Row],[TOTAL CURRENT UNITS]]/SUM(INVESTORS_LIST[TOTAL CURRENT UNITS]),0)</f>
        <v>0</v>
      </c>
    </row>
    <row r="138" spans="1:49">
      <c r="A138" s="262" t="s">
        <v>323</v>
      </c>
      <c r="B138" s="97" t="s">
        <v>324</v>
      </c>
      <c r="C138" t="s">
        <v>52</v>
      </c>
      <c r="D138" s="75" t="s">
        <v>45</v>
      </c>
      <c r="E138" s="47">
        <f>SUMIFS(LS[Unit],LS[Investor ID],INVESTORS_LIST[[#This Row],[INVESTOR CODE]],LS[B/S],"B")</f>
        <v>186708</v>
      </c>
      <c r="F138" s="47">
        <f>-SUMIFS(LS[Unit],LS[Investor ID],INVESTORS_LIST[[#This Row],[INVESTOR CODE]],LS[B/S],"S")</f>
        <v>117416</v>
      </c>
      <c r="G138" s="47">
        <f>IF(INVESTORS_LIST[[#This Row],[LS_TOTAL UNITS BUY]]=0,0,INVESTORS_LIST[[#This Row],[LS_TOTAL UNITS BUY]]-INVESTORS_LIST[[#This Row],[LS_TOTAL UNITS SOLD]])</f>
        <v>69292</v>
      </c>
      <c r="H138" s="49">
        <f>IF(INVESTORS_LIST[[#This Row],[LS_TOTAL UNITS BUY]]=0,0,SUMIFS(LS[Amount],LS[Investor ID],INVESTORS_LIST[[#This Row],[INVESTOR CODE]],LS[B/S],"B"))</f>
        <v>1900000</v>
      </c>
      <c r="I138" s="48">
        <f>IF(INVESTORS_LIST[[#This Row],[LS_TOTAL UNITS SOLD]]=0,0,SUMIFS(LS[Cost of Units Sold],LS[Investor ID],INVESTORS_LIST[[#This Row],[INVESTOR CODE]],LS[B/S],"S"))</f>
        <v>1194862.5661460678</v>
      </c>
      <c r="J138" s="48">
        <f>IF(INVESTORS_LIST[[#This Row],[LS_TOTAL CURRENT UNITS]]=0,0,INVESTORS_LIST[[#This Row],[LS_TOTAL CURRENT UNITS]]*INVESTORS_LIST[[#This Row],[LS_AVERAGE COST]])</f>
        <v>705137.43385393242</v>
      </c>
      <c r="K138" s="49">
        <f>IF(INVESTORS_LIST[[#This Row],[LS_TOTAL UNITS SOLD]]=0,0,SUMIFS(LS[Realized Gain],LS[Investor ID],INVESTORS_LIST[[#This Row],[INVESTOR CODE]],LS[B/S],"S"))</f>
        <v>305137.43385393219</v>
      </c>
      <c r="L138" s="47">
        <f>SUMIFS(SIP[Unit],SIP[Investor ID],INVESTORS_LIST[[#This Row],[INVESTOR CODE]],SIP[B/S],"B")</f>
        <v>0</v>
      </c>
      <c r="M138" s="47">
        <f>-SUMIFS(SIP[Unit],SIP[Investor ID],INVESTORS_LIST[[#This Row],[INVESTOR CODE]],SIP[B/S],"S")</f>
        <v>0</v>
      </c>
      <c r="N138" s="50">
        <f>IF(INVESTORS_LIST[[#This Row],[SIP_TOTAL UNITS BUY]]=0,0,INVESTORS_LIST[[#This Row],[SIP_TOTAL UNITS BUY]]-INVESTORS_LIST[[#This Row],[SIP_TOTAL UNITS SOLD]])</f>
        <v>0</v>
      </c>
      <c r="O138" s="49">
        <f>IF(INVESTORS_LIST[[#This Row],[SIP_TOTAL UNITS BUY]]=0,0,SUMIFS(SIP[Amount],SIP[Investor ID],INVESTORS_LIST[[#This Row],[INVESTOR CODE]],SIP[B/S],"B"))</f>
        <v>0</v>
      </c>
      <c r="P138" s="49">
        <f>IF(INVESTORS_LIST[[#This Row],[SIP_TOTAL UNITS SOLD]]=0,0,SUMIFS(SIP[Cost of Units Sold],SIP[Investor ID],INVESTORS_LIST[[#This Row],[INVESTOR CODE]],SIP[B/S],"S"))</f>
        <v>0</v>
      </c>
      <c r="Q138" s="48">
        <f>IF(INVESTORS_LIST[[#This Row],[SIP_TOTAL CURRENT UNITS]]=0,0,INVESTORS_LIST[[#This Row],[SIP_TOTAL CURRENT UNITS]]*INVESTORS_LIST[[#This Row],[SIP_AVERAGE COST]])</f>
        <v>0</v>
      </c>
      <c r="R138" s="48">
        <f>IF(INVESTORS_LIST[[#This Row],[SIP_TOTAL UNITS SOLD]]=0,0,SUMIFS(SIP[Realized Gain],SIP[Investor ID],INVESTORS_LIST[[#This Row],[INVESTOR CODE]],SIP[B/S],"S"))</f>
        <v>0</v>
      </c>
      <c r="S138" s="50">
        <f>INVESTORS_LIST[[#This Row],[LS_TOTAL UNITS BUY]]+INVESTORS_LIST[[#This Row],[SIP_TOTAL UNITS BUY]]</f>
        <v>186708</v>
      </c>
      <c r="T138" s="50">
        <f>INVESTORS_LIST[[#This Row],[LS_TOTAL UNITS SOLD]]+INVESTORS_LIST[[#This Row],[SIP_TOTAL UNITS SOLD]]</f>
        <v>117416</v>
      </c>
      <c r="U138" s="50"/>
      <c r="V138" s="50">
        <f>SUMIFS(LS[BO UNIT TRANSFER],LS[Investor ID],INVESTORS_LIST[[#This Row],[INVESTOR CODE]],LS[B/S],"B")</f>
        <v>0</v>
      </c>
      <c r="W138" s="50">
        <f>SUMIFS(SIP[BO UNIT TRANSFER],SIP[Investor ID],INVESTORS_LIST[[#This Row],[INVESTOR CODE]],SIP[B/S],"B")</f>
        <v>0</v>
      </c>
      <c r="X138" s="50">
        <f>SUMIFS(LS[BO UNIT TRANSFER],LS[Investor ID],INVESTORS_LIST[[#This Row],[INVESTOR CODE]],LS[B/S],"S")</f>
        <v>0</v>
      </c>
      <c r="Y138" s="50">
        <f>SUMIFS(SIP[BO UNIT TRANSFER],SIP[Investor ID],INVESTORS_LIST[[#This Row],[INVESTOR CODE]],SIP[B/S],"S")</f>
        <v>0</v>
      </c>
      <c r="Z138" s="106">
        <f>SUM(INVESTORS_LIST[[#This Row],[BO OPENING BALANCE]:[BO SIP UNITS REPURCHASE]])</f>
        <v>0</v>
      </c>
      <c r="AA138" s="107">
        <f>INVESTORS_LIST[[#This Row],[TOTAL UNITS BUY]]-INVESTORS_LIST[[#This Row],[TOTAL UNITS SOLD]]</f>
        <v>69292</v>
      </c>
      <c r="AB138" s="107">
        <f>INVESTORS_LIST[[#This Row],[TOTAL CURRENT UNITS]]-INVESTORS_LIST[[#This Row],[BO UNITS HOLD]]</f>
        <v>69292</v>
      </c>
      <c r="AC138" s="201" t="e">
        <f>INDEX([3]!Table_1[BO ID],MATCH(INVESTORS_LIST[[#This Row],[INVESTOR CODE]],[3]!Table_1[INVESTOR CODE],0))</f>
        <v>#REF!</v>
      </c>
      <c r="AD138" s="201" t="e">
        <f>INDEX([3]!Table_1[Brokerage Name2],MATCH(INVESTORS_LIST[[#This Row],[INVESTOR CODE]],[3]!Table_1[INVESTOR CODE],0))</f>
        <v>#REF!</v>
      </c>
      <c r="AE138" s="201" t="e">
        <f>MID(INVESTORS_LIST[[#This Row],[BO ID]],4,5)</f>
        <v>#REF!</v>
      </c>
      <c r="AF138" s="201" t="e">
        <f>MID(INVESTORS_LIST[[#This Row],[BO ID]],2,7)</f>
        <v>#REF!</v>
      </c>
      <c r="AG138" s="201" t="e">
        <f>MID(INVESTORS_LIST[[#This Row],[BO ID]],9,7)</f>
        <v>#REF!</v>
      </c>
      <c r="AH138" s="201" t="e">
        <f>RIGHT(INVESTORS_LIST[[#This Row],[BO ID]],1)</f>
        <v>#REF!</v>
      </c>
      <c r="AI138" s="50">
        <f>INVESTORS_LIST[[#This Row],[LS_TOTAL COST VALUE OF CURRENT UNITS]]+INVESTORS_LIST[[#This Row],[SIP_TOTAL COST VALUE OF CURRENT UNITS]]</f>
        <v>705137.43385393242</v>
      </c>
      <c r="AJ138" s="109">
        <f>IF(INVESTORS_LIST[[#This Row],[TOTAL CURRENT UNITS]]=0,0,INVESTORS_LIST[[#This Row],[LS_TOTAL CURRENT UNITS]]/INVESTORS_LIST[[#This Row],[TOTAL CURRENT UNITS]])</f>
        <v>1</v>
      </c>
      <c r="AK138" s="109">
        <f>IF(INVESTORS_LIST[[#This Row],[TOTAL CURRENT UNITS]]=0,0,INVESTORS_LIST[[#This Row],[SIP_TOTAL CURRENT UNITS]]/INVESTORS_LIST[[#This Row],[TOTAL CURRENT UNITS]])</f>
        <v>0</v>
      </c>
      <c r="AL138" s="49" cm="1">
        <f t="array" ref="AL138">IF(INVESTORS_LIST[[#This Row],[LS_TOTAL UNITS BUY]]&gt;0,INDEX(LS[NAV at Cost (Average)],MATCH(CONCATENATE(COUNTIFS(LS[Investor ID],INVESTORS_LIST[[#This Row],[INVESTOR CODE]]),INVESTORS_LIST[[#This Row],[INVESTOR CODE]]),LS[Unique Code],0),),0)</f>
        <v>10.176318100991924</v>
      </c>
      <c r="AM138" s="49" cm="1">
        <f t="array" ref="AM1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8" s="105">
        <f>IF(INVESTORS_LIST[[#This Row],[TOTAL CURRENT UNITS]]=0,0,(INVESTORS_LIST[[#This Row],[LS_WEIGHT]]*INVESTORS_LIST[[#This Row],[LS_AVERAGE COST]])+(INVESTORS_LIST[[#This Row],[SIP_WEIGHT]]*INVESTORS_LIST[[#This Row],[SIP_AVERAGE COST]]))</f>
        <v>10.176318100991924</v>
      </c>
      <c r="AO138" s="105">
        <f t="shared" si="3"/>
        <v>14.224</v>
      </c>
      <c r="AP138" s="112">
        <f>IF(INVESTORS_LIST[[#This Row],[TOTAL CURRENT UNITS]]=0,0,INVESTORS_LIST[[#This Row],[TOTAL CURRENT UNITS]]*INVESTORS_LIST[[#This Row],[NAV]])</f>
        <v>985609.40800000005</v>
      </c>
      <c r="AQ138" s="49">
        <f>IF(INVESTORS_LIST[[#This Row],[LS_TOTAL CURRENT UNITS]]=0,0,INVESTORS_LIST[[#This Row],[LS_TOTAL CURRENT UNITS]]*INVESTORS_LIST[[#This Row],[NAV]])</f>
        <v>985609.40800000005</v>
      </c>
      <c r="AR138" s="48">
        <f>IF(INVESTORS_LIST[[#This Row],[SIP_TOTAL CURRENT UNITS]]=0,0,INVESTORS_LIST[[#This Row],[SIP_TOTAL CURRENT UNITS]]*INVESTORS_LIST[[#This Row],[NAV]])</f>
        <v>0</v>
      </c>
      <c r="AS138" s="50">
        <f>INVESTORS_LIST[[#This Row],[TOTAL CURRENT UNITS]]</f>
        <v>69292</v>
      </c>
      <c r="AT138" s="48">
        <f>IF(INVESTORS_LIST[[#This Row],[TOTAL SELLABLE UNITS]]=0,0,INVESTORS_LIST[[#This Row],[TOTAL SELLABLE UNITS]]*INVESTORS_LIST[[#This Row],[NAV]])</f>
        <v>985609.40800000005</v>
      </c>
      <c r="AU138" s="48">
        <f>INVESTORS_LIST[[#This Row],[LS_TOTAL REALIZED GAIN]]+INVESTORS_LIST[[#This Row],[SIP_TOTAL REALIZED GAIN]]</f>
        <v>305137.43385393219</v>
      </c>
      <c r="AV138" s="48">
        <f>INVESTORS_LIST[[#This Row],[TOTAL MARKET VALUE]]-INVESTORS_LIST[[#This Row],[TOTAL COST VALUE OF CURRENT INVESTMENT]]</f>
        <v>280471.97414606763</v>
      </c>
      <c r="AW138" s="108">
        <f>IFERROR(INVESTORS_LIST[[#This Row],[TOTAL CURRENT UNITS]]/SUM(INVESTORS_LIST[TOTAL CURRENT UNITS]),0)</f>
        <v>1.6821469975368145E-3</v>
      </c>
    </row>
    <row r="139" spans="1:49" hidden="1">
      <c r="A139" s="262" t="s">
        <v>325</v>
      </c>
      <c r="B139" s="97" t="s">
        <v>326</v>
      </c>
      <c r="C139" t="s">
        <v>44</v>
      </c>
      <c r="D139" s="75" t="s">
        <v>45</v>
      </c>
      <c r="E139" s="47">
        <f>SUMIFS(LS[Unit],LS[Investor ID],INVESTORS_LIST[[#This Row],[INVESTOR CODE]],LS[B/S],"B")</f>
        <v>0</v>
      </c>
      <c r="F139" s="47">
        <f>-SUMIFS(LS[Unit],LS[Investor ID],INVESTORS_LIST[[#This Row],[INVESTOR CODE]],LS[B/S],"S")</f>
        <v>0</v>
      </c>
      <c r="G139" s="47">
        <f>IF(INVESTORS_LIST[[#This Row],[LS_TOTAL UNITS BUY]]=0,0,INVESTORS_LIST[[#This Row],[LS_TOTAL UNITS BUY]]-INVESTORS_LIST[[#This Row],[LS_TOTAL UNITS SOLD]])</f>
        <v>0</v>
      </c>
      <c r="H139" s="49">
        <f>IF(INVESTORS_LIST[[#This Row],[LS_TOTAL UNITS BUY]]=0,0,SUMIFS(LS[Amount],LS[Investor ID],INVESTORS_LIST[[#This Row],[INVESTOR CODE]],LS[B/S],"B"))</f>
        <v>0</v>
      </c>
      <c r="I139" s="48">
        <f>IF(INVESTORS_LIST[[#This Row],[LS_TOTAL UNITS SOLD]]=0,0,SUMIFS(LS[Cost of Units Sold],LS[Investor ID],INVESTORS_LIST[[#This Row],[INVESTOR CODE]],LS[B/S],"S"))</f>
        <v>0</v>
      </c>
      <c r="J139" s="48">
        <f>IF(INVESTORS_LIST[[#This Row],[LS_TOTAL CURRENT UNITS]]=0,0,INVESTORS_LIST[[#This Row],[LS_TOTAL CURRENT UNITS]]*INVESTORS_LIST[[#This Row],[LS_AVERAGE COST]])</f>
        <v>0</v>
      </c>
      <c r="K139" s="49">
        <f>IF(INVESTORS_LIST[[#This Row],[LS_TOTAL UNITS SOLD]]=0,0,SUMIFS(LS[Realized Gain],LS[Investor ID],INVESTORS_LIST[[#This Row],[INVESTOR CODE]],LS[B/S],"S"))</f>
        <v>0</v>
      </c>
      <c r="L139" s="47">
        <f>SUMIFS(SIP[Unit],SIP[Investor ID],INVESTORS_LIST[[#This Row],[INVESTOR CODE]],SIP[B/S],"B")</f>
        <v>0</v>
      </c>
      <c r="M139" s="47">
        <f>-SUMIFS(SIP[Unit],SIP[Investor ID],INVESTORS_LIST[[#This Row],[INVESTOR CODE]],SIP[B/S],"S")</f>
        <v>0</v>
      </c>
      <c r="N139" s="50">
        <f>IF(INVESTORS_LIST[[#This Row],[SIP_TOTAL UNITS BUY]]=0,0,INVESTORS_LIST[[#This Row],[SIP_TOTAL UNITS BUY]]-INVESTORS_LIST[[#This Row],[SIP_TOTAL UNITS SOLD]])</f>
        <v>0</v>
      </c>
      <c r="O139" s="49">
        <f>IF(INVESTORS_LIST[[#This Row],[SIP_TOTAL UNITS BUY]]=0,0,SUMIFS(SIP[Amount],SIP[Investor ID],INVESTORS_LIST[[#This Row],[INVESTOR CODE]],SIP[B/S],"B"))</f>
        <v>0</v>
      </c>
      <c r="P139" s="49">
        <f>IF(INVESTORS_LIST[[#This Row],[SIP_TOTAL UNITS SOLD]]=0,0,SUMIFS(SIP[Cost of Units Sold],SIP[Investor ID],INVESTORS_LIST[[#This Row],[INVESTOR CODE]],SIP[B/S],"S"))</f>
        <v>0</v>
      </c>
      <c r="Q139" s="48">
        <f>IF(INVESTORS_LIST[[#This Row],[SIP_TOTAL CURRENT UNITS]]=0,0,INVESTORS_LIST[[#This Row],[SIP_TOTAL CURRENT UNITS]]*INVESTORS_LIST[[#This Row],[SIP_AVERAGE COST]])</f>
        <v>0</v>
      </c>
      <c r="R139" s="48">
        <f>IF(INVESTORS_LIST[[#This Row],[SIP_TOTAL UNITS SOLD]]=0,0,SUMIFS(SIP[Realized Gain],SIP[Investor ID],INVESTORS_LIST[[#This Row],[INVESTOR CODE]],SIP[B/S],"S"))</f>
        <v>0</v>
      </c>
      <c r="S139" s="50">
        <f>INVESTORS_LIST[[#This Row],[LS_TOTAL UNITS BUY]]+INVESTORS_LIST[[#This Row],[SIP_TOTAL UNITS BUY]]</f>
        <v>0</v>
      </c>
      <c r="T139" s="50">
        <f>INVESTORS_LIST[[#This Row],[LS_TOTAL UNITS SOLD]]+INVESTORS_LIST[[#This Row],[SIP_TOTAL UNITS SOLD]]</f>
        <v>0</v>
      </c>
      <c r="U139" s="50"/>
      <c r="V139" s="50">
        <f>SUMIFS(LS[BO UNIT TRANSFER],LS[Investor ID],INVESTORS_LIST[[#This Row],[INVESTOR CODE]],LS[B/S],"B")</f>
        <v>0</v>
      </c>
      <c r="W139" s="50">
        <f>SUMIFS(SIP[BO UNIT TRANSFER],SIP[Investor ID],INVESTORS_LIST[[#This Row],[INVESTOR CODE]],SIP[B/S],"B")</f>
        <v>0</v>
      </c>
      <c r="X139" s="50">
        <f>SUMIFS(LS[BO UNIT TRANSFER],LS[Investor ID],INVESTORS_LIST[[#This Row],[INVESTOR CODE]],LS[B/S],"S")</f>
        <v>0</v>
      </c>
      <c r="Y139" s="50">
        <f>SUMIFS(SIP[BO UNIT TRANSFER],SIP[Investor ID],INVESTORS_LIST[[#This Row],[INVESTOR CODE]],SIP[B/S],"S")</f>
        <v>0</v>
      </c>
      <c r="Z139" s="106">
        <f>SUM(INVESTORS_LIST[[#This Row],[BO OPENING BALANCE]:[BO SIP UNITS REPURCHASE]])</f>
        <v>0</v>
      </c>
      <c r="AA139" s="107">
        <f>INVESTORS_LIST[[#This Row],[TOTAL UNITS BUY]]-INVESTORS_LIST[[#This Row],[TOTAL UNITS SOLD]]</f>
        <v>0</v>
      </c>
      <c r="AB139" s="107">
        <f>INVESTORS_LIST[[#This Row],[TOTAL CURRENT UNITS]]-INVESTORS_LIST[[#This Row],[BO UNITS HOLD]]</f>
        <v>0</v>
      </c>
      <c r="AC139" s="201" t="e">
        <f>INDEX([3]!Table_1[BO ID],MATCH(INVESTORS_LIST[[#This Row],[INVESTOR CODE]],[3]!Table_1[INVESTOR CODE],0))</f>
        <v>#REF!</v>
      </c>
      <c r="AD139" s="201" t="e">
        <f>INDEX([3]!Table_1[Brokerage Name2],MATCH(INVESTORS_LIST[[#This Row],[INVESTOR CODE]],[3]!Table_1[INVESTOR CODE],0))</f>
        <v>#REF!</v>
      </c>
      <c r="AE139" s="201" t="e">
        <f>MID(INVESTORS_LIST[[#This Row],[BO ID]],4,5)</f>
        <v>#REF!</v>
      </c>
      <c r="AF139" s="201" t="e">
        <f>MID(INVESTORS_LIST[[#This Row],[BO ID]],2,7)</f>
        <v>#REF!</v>
      </c>
      <c r="AG139" s="201" t="e">
        <f>MID(INVESTORS_LIST[[#This Row],[BO ID]],9,7)</f>
        <v>#REF!</v>
      </c>
      <c r="AH139" s="201" t="e">
        <f>RIGHT(INVESTORS_LIST[[#This Row],[BO ID]],1)</f>
        <v>#REF!</v>
      </c>
      <c r="AI139" s="50">
        <f>INVESTORS_LIST[[#This Row],[LS_TOTAL COST VALUE OF CURRENT UNITS]]+INVESTORS_LIST[[#This Row],[SIP_TOTAL COST VALUE OF CURRENT UNITS]]</f>
        <v>0</v>
      </c>
      <c r="AJ139" s="109">
        <f>IF(INVESTORS_LIST[[#This Row],[TOTAL CURRENT UNITS]]=0,0,INVESTORS_LIST[[#This Row],[LS_TOTAL CURRENT UNITS]]/INVESTORS_LIST[[#This Row],[TOTAL CURRENT UNITS]])</f>
        <v>0</v>
      </c>
      <c r="AK139" s="109">
        <f>IF(INVESTORS_LIST[[#This Row],[TOTAL CURRENT UNITS]]=0,0,INVESTORS_LIST[[#This Row],[SIP_TOTAL CURRENT UNITS]]/INVESTORS_LIST[[#This Row],[TOTAL CURRENT UNITS]])</f>
        <v>0</v>
      </c>
      <c r="AL139" s="49" cm="1">
        <f t="array" ref="AL1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39" s="49" cm="1">
        <f t="array" ref="AM1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3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39" s="105">
        <f t="shared" si="3"/>
        <v>14.224</v>
      </c>
      <c r="AP139" s="112">
        <f>IF(INVESTORS_LIST[[#This Row],[TOTAL CURRENT UNITS]]=0,0,INVESTORS_LIST[[#This Row],[TOTAL CURRENT UNITS]]*INVESTORS_LIST[[#This Row],[NAV]])</f>
        <v>0</v>
      </c>
      <c r="AQ139" s="49">
        <f>IF(INVESTORS_LIST[[#This Row],[LS_TOTAL CURRENT UNITS]]=0,0,INVESTORS_LIST[[#This Row],[LS_TOTAL CURRENT UNITS]]*INVESTORS_LIST[[#This Row],[NAV]])</f>
        <v>0</v>
      </c>
      <c r="AR139" s="48">
        <f>IF(INVESTORS_LIST[[#This Row],[SIP_TOTAL CURRENT UNITS]]=0,0,INVESTORS_LIST[[#This Row],[SIP_TOTAL CURRENT UNITS]]*INVESTORS_LIST[[#This Row],[NAV]])</f>
        <v>0</v>
      </c>
      <c r="AS139" s="50">
        <f>INVESTORS_LIST[[#This Row],[TOTAL CURRENT UNITS]]</f>
        <v>0</v>
      </c>
      <c r="AT139" s="48">
        <f>IF(INVESTORS_LIST[[#This Row],[TOTAL SELLABLE UNITS]]=0,0,INVESTORS_LIST[[#This Row],[TOTAL SELLABLE UNITS]]*INVESTORS_LIST[[#This Row],[NAV]])</f>
        <v>0</v>
      </c>
      <c r="AU139" s="48">
        <f>INVESTORS_LIST[[#This Row],[LS_TOTAL REALIZED GAIN]]+INVESTORS_LIST[[#This Row],[SIP_TOTAL REALIZED GAIN]]</f>
        <v>0</v>
      </c>
      <c r="AV139" s="48">
        <f>INVESTORS_LIST[[#This Row],[TOTAL MARKET VALUE]]-INVESTORS_LIST[[#This Row],[TOTAL COST VALUE OF CURRENT INVESTMENT]]</f>
        <v>0</v>
      </c>
      <c r="AW139" s="48">
        <f>IFERROR(INVESTORS_LIST[[#This Row],[TOTAL CURRENT UNITS]]/SUM(INVESTORS_LIST[TOTAL CURRENT UNITS]),0)</f>
        <v>0</v>
      </c>
    </row>
    <row r="140" spans="1:49" hidden="1">
      <c r="A140" s="262" t="s">
        <v>327</v>
      </c>
      <c r="B140" s="97" t="s">
        <v>328</v>
      </c>
      <c r="C140" t="s">
        <v>52</v>
      </c>
      <c r="D140" s="75" t="s">
        <v>45</v>
      </c>
      <c r="E140" s="47">
        <f>SUMIFS(LS[Unit],LS[Investor ID],INVESTORS_LIST[[#This Row],[INVESTOR CODE]],LS[B/S],"B")</f>
        <v>0</v>
      </c>
      <c r="F140" s="47">
        <f>-SUMIFS(LS[Unit],LS[Investor ID],INVESTORS_LIST[[#This Row],[INVESTOR CODE]],LS[B/S],"S")</f>
        <v>0</v>
      </c>
      <c r="G140" s="47">
        <f>IF(INVESTORS_LIST[[#This Row],[LS_TOTAL UNITS BUY]]=0,0,INVESTORS_LIST[[#This Row],[LS_TOTAL UNITS BUY]]-INVESTORS_LIST[[#This Row],[LS_TOTAL UNITS SOLD]])</f>
        <v>0</v>
      </c>
      <c r="H140" s="49">
        <f>IF(INVESTORS_LIST[[#This Row],[LS_TOTAL UNITS BUY]]=0,0,SUMIFS(LS[Amount],LS[Investor ID],INVESTORS_LIST[[#This Row],[INVESTOR CODE]],LS[B/S],"B"))</f>
        <v>0</v>
      </c>
      <c r="I140" s="48">
        <f>IF(INVESTORS_LIST[[#This Row],[LS_TOTAL UNITS SOLD]]=0,0,SUMIFS(LS[Cost of Units Sold],LS[Investor ID],INVESTORS_LIST[[#This Row],[INVESTOR CODE]],LS[B/S],"S"))</f>
        <v>0</v>
      </c>
      <c r="J140" s="48">
        <f>IF(INVESTORS_LIST[[#This Row],[LS_TOTAL CURRENT UNITS]]=0,0,INVESTORS_LIST[[#This Row],[LS_TOTAL CURRENT UNITS]]*INVESTORS_LIST[[#This Row],[LS_AVERAGE COST]])</f>
        <v>0</v>
      </c>
      <c r="K140" s="49">
        <f>IF(INVESTORS_LIST[[#This Row],[LS_TOTAL UNITS SOLD]]=0,0,SUMIFS(LS[Realized Gain],LS[Investor ID],INVESTORS_LIST[[#This Row],[INVESTOR CODE]],LS[B/S],"S"))</f>
        <v>0</v>
      </c>
      <c r="L140" s="47">
        <f>SUMIFS(SIP[Unit],SIP[Investor ID],INVESTORS_LIST[[#This Row],[INVESTOR CODE]],SIP[B/S],"B")</f>
        <v>0</v>
      </c>
      <c r="M140" s="47">
        <f>-SUMIFS(SIP[Unit],SIP[Investor ID],INVESTORS_LIST[[#This Row],[INVESTOR CODE]],SIP[B/S],"S")</f>
        <v>0</v>
      </c>
      <c r="N140" s="50">
        <f>IF(INVESTORS_LIST[[#This Row],[SIP_TOTAL UNITS BUY]]=0,0,INVESTORS_LIST[[#This Row],[SIP_TOTAL UNITS BUY]]-INVESTORS_LIST[[#This Row],[SIP_TOTAL UNITS SOLD]])</f>
        <v>0</v>
      </c>
      <c r="O140" s="49">
        <f>IF(INVESTORS_LIST[[#This Row],[SIP_TOTAL UNITS BUY]]=0,0,SUMIFS(SIP[Amount],SIP[Investor ID],INVESTORS_LIST[[#This Row],[INVESTOR CODE]],SIP[B/S],"B"))</f>
        <v>0</v>
      </c>
      <c r="P140" s="49">
        <f>IF(INVESTORS_LIST[[#This Row],[SIP_TOTAL UNITS SOLD]]=0,0,SUMIFS(SIP[Cost of Units Sold],SIP[Investor ID],INVESTORS_LIST[[#This Row],[INVESTOR CODE]],SIP[B/S],"S"))</f>
        <v>0</v>
      </c>
      <c r="Q140" s="48">
        <f>IF(INVESTORS_LIST[[#This Row],[SIP_TOTAL CURRENT UNITS]]=0,0,INVESTORS_LIST[[#This Row],[SIP_TOTAL CURRENT UNITS]]*INVESTORS_LIST[[#This Row],[SIP_AVERAGE COST]])</f>
        <v>0</v>
      </c>
      <c r="R140" s="48">
        <f>IF(INVESTORS_LIST[[#This Row],[SIP_TOTAL UNITS SOLD]]=0,0,SUMIFS(SIP[Realized Gain],SIP[Investor ID],INVESTORS_LIST[[#This Row],[INVESTOR CODE]],SIP[B/S],"S"))</f>
        <v>0</v>
      </c>
      <c r="S140" s="50">
        <f>INVESTORS_LIST[[#This Row],[LS_TOTAL UNITS BUY]]+INVESTORS_LIST[[#This Row],[SIP_TOTAL UNITS BUY]]</f>
        <v>0</v>
      </c>
      <c r="T140" s="50">
        <f>INVESTORS_LIST[[#This Row],[LS_TOTAL UNITS SOLD]]+INVESTORS_LIST[[#This Row],[SIP_TOTAL UNITS SOLD]]</f>
        <v>0</v>
      </c>
      <c r="U140" s="50"/>
      <c r="V140" s="50">
        <f>SUMIFS(LS[BO UNIT TRANSFER],LS[Investor ID],INVESTORS_LIST[[#This Row],[INVESTOR CODE]],LS[B/S],"B")</f>
        <v>0</v>
      </c>
      <c r="W140" s="50">
        <f>SUMIFS(SIP[BO UNIT TRANSFER],SIP[Investor ID],INVESTORS_LIST[[#This Row],[INVESTOR CODE]],SIP[B/S],"B")</f>
        <v>0</v>
      </c>
      <c r="X140" s="50">
        <f>SUMIFS(LS[BO UNIT TRANSFER],LS[Investor ID],INVESTORS_LIST[[#This Row],[INVESTOR CODE]],LS[B/S],"S")</f>
        <v>0</v>
      </c>
      <c r="Y140" s="50">
        <f>SUMIFS(SIP[BO UNIT TRANSFER],SIP[Investor ID],INVESTORS_LIST[[#This Row],[INVESTOR CODE]],SIP[B/S],"S")</f>
        <v>0</v>
      </c>
      <c r="Z140" s="106">
        <f>SUM(INVESTORS_LIST[[#This Row],[BO OPENING BALANCE]:[BO SIP UNITS REPURCHASE]])</f>
        <v>0</v>
      </c>
      <c r="AA140" s="107">
        <f>INVESTORS_LIST[[#This Row],[TOTAL UNITS BUY]]-INVESTORS_LIST[[#This Row],[TOTAL UNITS SOLD]]</f>
        <v>0</v>
      </c>
      <c r="AB140" s="107">
        <f>INVESTORS_LIST[[#This Row],[TOTAL CURRENT UNITS]]-INVESTORS_LIST[[#This Row],[BO UNITS HOLD]]</f>
        <v>0</v>
      </c>
      <c r="AC140" s="201" t="e">
        <f>INDEX([3]!Table_1[BO ID],MATCH(INVESTORS_LIST[[#This Row],[INVESTOR CODE]],[3]!Table_1[INVESTOR CODE],0))</f>
        <v>#REF!</v>
      </c>
      <c r="AD140" s="201" t="e">
        <f>INDEX([3]!Table_1[Brokerage Name2],MATCH(INVESTORS_LIST[[#This Row],[INVESTOR CODE]],[3]!Table_1[INVESTOR CODE],0))</f>
        <v>#REF!</v>
      </c>
      <c r="AE140" s="201" t="e">
        <f>MID(INVESTORS_LIST[[#This Row],[BO ID]],4,5)</f>
        <v>#REF!</v>
      </c>
      <c r="AF140" s="201" t="e">
        <f>MID(INVESTORS_LIST[[#This Row],[BO ID]],2,7)</f>
        <v>#REF!</v>
      </c>
      <c r="AG140" s="201" t="e">
        <f>MID(INVESTORS_LIST[[#This Row],[BO ID]],9,7)</f>
        <v>#REF!</v>
      </c>
      <c r="AH140" s="201" t="e">
        <f>RIGHT(INVESTORS_LIST[[#This Row],[BO ID]],1)</f>
        <v>#REF!</v>
      </c>
      <c r="AI140" s="50">
        <f>INVESTORS_LIST[[#This Row],[LS_TOTAL COST VALUE OF CURRENT UNITS]]+INVESTORS_LIST[[#This Row],[SIP_TOTAL COST VALUE OF CURRENT UNITS]]</f>
        <v>0</v>
      </c>
      <c r="AJ140" s="109">
        <f>IF(INVESTORS_LIST[[#This Row],[TOTAL CURRENT UNITS]]=0,0,INVESTORS_LIST[[#This Row],[LS_TOTAL CURRENT UNITS]]/INVESTORS_LIST[[#This Row],[TOTAL CURRENT UNITS]])</f>
        <v>0</v>
      </c>
      <c r="AK140" s="109">
        <f>IF(INVESTORS_LIST[[#This Row],[TOTAL CURRENT UNITS]]=0,0,INVESTORS_LIST[[#This Row],[SIP_TOTAL CURRENT UNITS]]/INVESTORS_LIST[[#This Row],[TOTAL CURRENT UNITS]])</f>
        <v>0</v>
      </c>
      <c r="AL140" s="49" cm="1">
        <f t="array" ref="AL1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0" s="49" cm="1">
        <f t="array" ref="AM1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0" s="105">
        <f t="shared" si="3"/>
        <v>14.224</v>
      </c>
      <c r="AP140" s="112">
        <f>IF(INVESTORS_LIST[[#This Row],[TOTAL CURRENT UNITS]]=0,0,INVESTORS_LIST[[#This Row],[TOTAL CURRENT UNITS]]*INVESTORS_LIST[[#This Row],[NAV]])</f>
        <v>0</v>
      </c>
      <c r="AQ140" s="49">
        <f>IF(INVESTORS_LIST[[#This Row],[LS_TOTAL CURRENT UNITS]]=0,0,INVESTORS_LIST[[#This Row],[LS_TOTAL CURRENT UNITS]]*INVESTORS_LIST[[#This Row],[NAV]])</f>
        <v>0</v>
      </c>
      <c r="AR140" s="48">
        <f>IF(INVESTORS_LIST[[#This Row],[SIP_TOTAL CURRENT UNITS]]=0,0,INVESTORS_LIST[[#This Row],[SIP_TOTAL CURRENT UNITS]]*INVESTORS_LIST[[#This Row],[NAV]])</f>
        <v>0</v>
      </c>
      <c r="AS140" s="50">
        <f>INVESTORS_LIST[[#This Row],[TOTAL CURRENT UNITS]]</f>
        <v>0</v>
      </c>
      <c r="AT140" s="48">
        <f>IF(INVESTORS_LIST[[#This Row],[TOTAL SELLABLE UNITS]]=0,0,INVESTORS_LIST[[#This Row],[TOTAL SELLABLE UNITS]]*INVESTORS_LIST[[#This Row],[NAV]])</f>
        <v>0</v>
      </c>
      <c r="AU140" s="48">
        <f>INVESTORS_LIST[[#This Row],[LS_TOTAL REALIZED GAIN]]+INVESTORS_LIST[[#This Row],[SIP_TOTAL REALIZED GAIN]]</f>
        <v>0</v>
      </c>
      <c r="AV140" s="48">
        <f>INVESTORS_LIST[[#This Row],[TOTAL MARKET VALUE]]-INVESTORS_LIST[[#This Row],[TOTAL COST VALUE OF CURRENT INVESTMENT]]</f>
        <v>0</v>
      </c>
      <c r="AW140" s="48">
        <f>IFERROR(INVESTORS_LIST[[#This Row],[TOTAL CURRENT UNITS]]/SUM(INVESTORS_LIST[TOTAL CURRENT UNITS]),0)</f>
        <v>0</v>
      </c>
    </row>
    <row r="141" spans="1:49" hidden="1">
      <c r="A141" s="262" t="s">
        <v>329</v>
      </c>
      <c r="B141" s="97" t="s">
        <v>330</v>
      </c>
      <c r="C141" t="s">
        <v>44</v>
      </c>
      <c r="D141" s="75" t="s">
        <v>45</v>
      </c>
      <c r="E141" s="47">
        <f>SUMIFS(LS[Unit],LS[Investor ID],INVESTORS_LIST[[#This Row],[INVESTOR CODE]],LS[B/S],"B")</f>
        <v>0</v>
      </c>
      <c r="F141" s="47">
        <f>-SUMIFS(LS[Unit],LS[Investor ID],INVESTORS_LIST[[#This Row],[INVESTOR CODE]],LS[B/S],"S")</f>
        <v>0</v>
      </c>
      <c r="G141" s="47">
        <f>IF(INVESTORS_LIST[[#This Row],[LS_TOTAL UNITS BUY]]=0,0,INVESTORS_LIST[[#This Row],[LS_TOTAL UNITS BUY]]-INVESTORS_LIST[[#This Row],[LS_TOTAL UNITS SOLD]])</f>
        <v>0</v>
      </c>
      <c r="H141" s="49">
        <f>IF(INVESTORS_LIST[[#This Row],[LS_TOTAL UNITS BUY]]=0,0,SUMIFS(LS[Amount],LS[Investor ID],INVESTORS_LIST[[#This Row],[INVESTOR CODE]],LS[B/S],"B"))</f>
        <v>0</v>
      </c>
      <c r="I141" s="48">
        <f>IF(INVESTORS_LIST[[#This Row],[LS_TOTAL UNITS SOLD]]=0,0,SUMIFS(LS[Cost of Units Sold],LS[Investor ID],INVESTORS_LIST[[#This Row],[INVESTOR CODE]],LS[B/S],"S"))</f>
        <v>0</v>
      </c>
      <c r="J141" s="48">
        <f>IF(INVESTORS_LIST[[#This Row],[LS_TOTAL CURRENT UNITS]]=0,0,INVESTORS_LIST[[#This Row],[LS_TOTAL CURRENT UNITS]]*INVESTORS_LIST[[#This Row],[LS_AVERAGE COST]])</f>
        <v>0</v>
      </c>
      <c r="K141" s="49">
        <f>IF(INVESTORS_LIST[[#This Row],[LS_TOTAL UNITS SOLD]]=0,0,SUMIFS(LS[Realized Gain],LS[Investor ID],INVESTORS_LIST[[#This Row],[INVESTOR CODE]],LS[B/S],"S"))</f>
        <v>0</v>
      </c>
      <c r="L141" s="47">
        <f>SUMIFS(SIP[Unit],SIP[Investor ID],INVESTORS_LIST[[#This Row],[INVESTOR CODE]],SIP[B/S],"B")</f>
        <v>0</v>
      </c>
      <c r="M141" s="47">
        <f>-SUMIFS(SIP[Unit],SIP[Investor ID],INVESTORS_LIST[[#This Row],[INVESTOR CODE]],SIP[B/S],"S")</f>
        <v>0</v>
      </c>
      <c r="N141" s="50">
        <f>IF(INVESTORS_LIST[[#This Row],[SIP_TOTAL UNITS BUY]]=0,0,INVESTORS_LIST[[#This Row],[SIP_TOTAL UNITS BUY]]-INVESTORS_LIST[[#This Row],[SIP_TOTAL UNITS SOLD]])</f>
        <v>0</v>
      </c>
      <c r="O141" s="49">
        <f>IF(INVESTORS_LIST[[#This Row],[SIP_TOTAL UNITS BUY]]=0,0,SUMIFS(SIP[Amount],SIP[Investor ID],INVESTORS_LIST[[#This Row],[INVESTOR CODE]],SIP[B/S],"B"))</f>
        <v>0</v>
      </c>
      <c r="P141" s="49">
        <f>IF(INVESTORS_LIST[[#This Row],[SIP_TOTAL UNITS SOLD]]=0,0,SUMIFS(SIP[Cost of Units Sold],SIP[Investor ID],INVESTORS_LIST[[#This Row],[INVESTOR CODE]],SIP[B/S],"S"))</f>
        <v>0</v>
      </c>
      <c r="Q141" s="48">
        <f>IF(INVESTORS_LIST[[#This Row],[SIP_TOTAL CURRENT UNITS]]=0,0,INVESTORS_LIST[[#This Row],[SIP_TOTAL CURRENT UNITS]]*INVESTORS_LIST[[#This Row],[SIP_AVERAGE COST]])</f>
        <v>0</v>
      </c>
      <c r="R141" s="48">
        <f>IF(INVESTORS_LIST[[#This Row],[SIP_TOTAL UNITS SOLD]]=0,0,SUMIFS(SIP[Realized Gain],SIP[Investor ID],INVESTORS_LIST[[#This Row],[INVESTOR CODE]],SIP[B/S],"S"))</f>
        <v>0</v>
      </c>
      <c r="S141" s="50">
        <f>INVESTORS_LIST[[#This Row],[LS_TOTAL UNITS BUY]]+INVESTORS_LIST[[#This Row],[SIP_TOTAL UNITS BUY]]</f>
        <v>0</v>
      </c>
      <c r="T141" s="50">
        <f>INVESTORS_LIST[[#This Row],[LS_TOTAL UNITS SOLD]]+INVESTORS_LIST[[#This Row],[SIP_TOTAL UNITS SOLD]]</f>
        <v>0</v>
      </c>
      <c r="U141" s="50"/>
      <c r="V141" s="50">
        <f>SUMIFS(LS[BO UNIT TRANSFER],LS[Investor ID],INVESTORS_LIST[[#This Row],[INVESTOR CODE]],LS[B/S],"B")</f>
        <v>0</v>
      </c>
      <c r="W141" s="50">
        <f>SUMIFS(SIP[BO UNIT TRANSFER],SIP[Investor ID],INVESTORS_LIST[[#This Row],[INVESTOR CODE]],SIP[B/S],"B")</f>
        <v>0</v>
      </c>
      <c r="X141" s="50">
        <f>SUMIFS(LS[BO UNIT TRANSFER],LS[Investor ID],INVESTORS_LIST[[#This Row],[INVESTOR CODE]],LS[B/S],"S")</f>
        <v>0</v>
      </c>
      <c r="Y141" s="50">
        <f>SUMIFS(SIP[BO UNIT TRANSFER],SIP[Investor ID],INVESTORS_LIST[[#This Row],[INVESTOR CODE]],SIP[B/S],"S")</f>
        <v>0</v>
      </c>
      <c r="Z141" s="106">
        <f>SUM(INVESTORS_LIST[[#This Row],[BO OPENING BALANCE]:[BO SIP UNITS REPURCHASE]])</f>
        <v>0</v>
      </c>
      <c r="AA141" s="107">
        <f>INVESTORS_LIST[[#This Row],[TOTAL UNITS BUY]]-INVESTORS_LIST[[#This Row],[TOTAL UNITS SOLD]]</f>
        <v>0</v>
      </c>
      <c r="AB141" s="107">
        <f>INVESTORS_LIST[[#This Row],[TOTAL CURRENT UNITS]]-INVESTORS_LIST[[#This Row],[BO UNITS HOLD]]</f>
        <v>0</v>
      </c>
      <c r="AC141" s="201" t="e">
        <f>INDEX([3]!Table_1[BO ID],MATCH(INVESTORS_LIST[[#This Row],[INVESTOR CODE]],[3]!Table_1[INVESTOR CODE],0))</f>
        <v>#REF!</v>
      </c>
      <c r="AD141" s="201" t="e">
        <f>INDEX([3]!Table_1[Brokerage Name2],MATCH(INVESTORS_LIST[[#This Row],[INVESTOR CODE]],[3]!Table_1[INVESTOR CODE],0))</f>
        <v>#REF!</v>
      </c>
      <c r="AE141" s="201" t="e">
        <f>MID(INVESTORS_LIST[[#This Row],[BO ID]],4,5)</f>
        <v>#REF!</v>
      </c>
      <c r="AF141" s="201" t="e">
        <f>MID(INVESTORS_LIST[[#This Row],[BO ID]],2,7)</f>
        <v>#REF!</v>
      </c>
      <c r="AG141" s="201" t="e">
        <f>MID(INVESTORS_LIST[[#This Row],[BO ID]],9,7)</f>
        <v>#REF!</v>
      </c>
      <c r="AH141" s="201" t="e">
        <f>RIGHT(INVESTORS_LIST[[#This Row],[BO ID]],1)</f>
        <v>#REF!</v>
      </c>
      <c r="AI141" s="50">
        <f>INVESTORS_LIST[[#This Row],[LS_TOTAL COST VALUE OF CURRENT UNITS]]+INVESTORS_LIST[[#This Row],[SIP_TOTAL COST VALUE OF CURRENT UNITS]]</f>
        <v>0</v>
      </c>
      <c r="AJ141" s="109">
        <f>IF(INVESTORS_LIST[[#This Row],[TOTAL CURRENT UNITS]]=0,0,INVESTORS_LIST[[#This Row],[LS_TOTAL CURRENT UNITS]]/INVESTORS_LIST[[#This Row],[TOTAL CURRENT UNITS]])</f>
        <v>0</v>
      </c>
      <c r="AK141" s="109">
        <f>IF(INVESTORS_LIST[[#This Row],[TOTAL CURRENT UNITS]]=0,0,INVESTORS_LIST[[#This Row],[SIP_TOTAL CURRENT UNITS]]/INVESTORS_LIST[[#This Row],[TOTAL CURRENT UNITS]])</f>
        <v>0</v>
      </c>
      <c r="AL141" s="49" cm="1">
        <f t="array" ref="AL1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1" s="49" cm="1">
        <f t="array" ref="AM1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1" s="105">
        <f t="shared" si="3"/>
        <v>14.224</v>
      </c>
      <c r="AP141" s="112">
        <f>IF(INVESTORS_LIST[[#This Row],[TOTAL CURRENT UNITS]]=0,0,INVESTORS_LIST[[#This Row],[TOTAL CURRENT UNITS]]*INVESTORS_LIST[[#This Row],[NAV]])</f>
        <v>0</v>
      </c>
      <c r="AQ141" s="49">
        <f>IF(INVESTORS_LIST[[#This Row],[LS_TOTAL CURRENT UNITS]]=0,0,INVESTORS_LIST[[#This Row],[LS_TOTAL CURRENT UNITS]]*INVESTORS_LIST[[#This Row],[NAV]])</f>
        <v>0</v>
      </c>
      <c r="AR141" s="48">
        <f>IF(INVESTORS_LIST[[#This Row],[SIP_TOTAL CURRENT UNITS]]=0,0,INVESTORS_LIST[[#This Row],[SIP_TOTAL CURRENT UNITS]]*INVESTORS_LIST[[#This Row],[NAV]])</f>
        <v>0</v>
      </c>
      <c r="AS141" s="50">
        <f>INVESTORS_LIST[[#This Row],[TOTAL CURRENT UNITS]]</f>
        <v>0</v>
      </c>
      <c r="AT141" s="48">
        <f>IF(INVESTORS_LIST[[#This Row],[TOTAL SELLABLE UNITS]]=0,0,INVESTORS_LIST[[#This Row],[TOTAL SELLABLE UNITS]]*INVESTORS_LIST[[#This Row],[NAV]])</f>
        <v>0</v>
      </c>
      <c r="AU141" s="48">
        <f>INVESTORS_LIST[[#This Row],[LS_TOTAL REALIZED GAIN]]+INVESTORS_LIST[[#This Row],[SIP_TOTAL REALIZED GAIN]]</f>
        <v>0</v>
      </c>
      <c r="AV141" s="48">
        <f>INVESTORS_LIST[[#This Row],[TOTAL MARKET VALUE]]-INVESTORS_LIST[[#This Row],[TOTAL COST VALUE OF CURRENT INVESTMENT]]</f>
        <v>0</v>
      </c>
      <c r="AW141" s="48">
        <f>IFERROR(INVESTORS_LIST[[#This Row],[TOTAL CURRENT UNITS]]/SUM(INVESTORS_LIST[TOTAL CURRENT UNITS]),0)</f>
        <v>0</v>
      </c>
    </row>
    <row r="142" spans="1:49" hidden="1">
      <c r="A142" s="262" t="s">
        <v>331</v>
      </c>
      <c r="B142" s="97" t="s">
        <v>332</v>
      </c>
      <c r="C142" t="s">
        <v>44</v>
      </c>
      <c r="D142" s="75" t="s">
        <v>45</v>
      </c>
      <c r="E142" s="47">
        <f>SUMIFS(LS[Unit],LS[Investor ID],INVESTORS_LIST[[#This Row],[INVESTOR CODE]],LS[B/S],"B")</f>
        <v>0</v>
      </c>
      <c r="F142" s="47">
        <f>-SUMIFS(LS[Unit],LS[Investor ID],INVESTORS_LIST[[#This Row],[INVESTOR CODE]],LS[B/S],"S")</f>
        <v>0</v>
      </c>
      <c r="G142" s="47">
        <f>IF(INVESTORS_LIST[[#This Row],[LS_TOTAL UNITS BUY]]=0,0,INVESTORS_LIST[[#This Row],[LS_TOTAL UNITS BUY]]-INVESTORS_LIST[[#This Row],[LS_TOTAL UNITS SOLD]])</f>
        <v>0</v>
      </c>
      <c r="H142" s="49">
        <f>IF(INVESTORS_LIST[[#This Row],[LS_TOTAL UNITS BUY]]=0,0,SUMIFS(LS[Amount],LS[Investor ID],INVESTORS_LIST[[#This Row],[INVESTOR CODE]],LS[B/S],"B"))</f>
        <v>0</v>
      </c>
      <c r="I142" s="48">
        <f>IF(INVESTORS_LIST[[#This Row],[LS_TOTAL UNITS SOLD]]=0,0,SUMIFS(LS[Cost of Units Sold],LS[Investor ID],INVESTORS_LIST[[#This Row],[INVESTOR CODE]],LS[B/S],"S"))</f>
        <v>0</v>
      </c>
      <c r="J142" s="48">
        <f>IF(INVESTORS_LIST[[#This Row],[LS_TOTAL CURRENT UNITS]]=0,0,INVESTORS_LIST[[#This Row],[LS_TOTAL CURRENT UNITS]]*INVESTORS_LIST[[#This Row],[LS_AVERAGE COST]])</f>
        <v>0</v>
      </c>
      <c r="K142" s="49">
        <f>IF(INVESTORS_LIST[[#This Row],[LS_TOTAL UNITS SOLD]]=0,0,SUMIFS(LS[Realized Gain],LS[Investor ID],INVESTORS_LIST[[#This Row],[INVESTOR CODE]],LS[B/S],"S"))</f>
        <v>0</v>
      </c>
      <c r="L142" s="47">
        <f>SUMIFS(SIP[Unit],SIP[Investor ID],INVESTORS_LIST[[#This Row],[INVESTOR CODE]],SIP[B/S],"B")</f>
        <v>0</v>
      </c>
      <c r="M142" s="47">
        <f>-SUMIFS(SIP[Unit],SIP[Investor ID],INVESTORS_LIST[[#This Row],[INVESTOR CODE]],SIP[B/S],"S")</f>
        <v>0</v>
      </c>
      <c r="N142" s="50">
        <f>IF(INVESTORS_LIST[[#This Row],[SIP_TOTAL UNITS BUY]]=0,0,INVESTORS_LIST[[#This Row],[SIP_TOTAL UNITS BUY]]-INVESTORS_LIST[[#This Row],[SIP_TOTAL UNITS SOLD]])</f>
        <v>0</v>
      </c>
      <c r="O142" s="49">
        <f>IF(INVESTORS_LIST[[#This Row],[SIP_TOTAL UNITS BUY]]=0,0,SUMIFS(SIP[Amount],SIP[Investor ID],INVESTORS_LIST[[#This Row],[INVESTOR CODE]],SIP[B/S],"B"))</f>
        <v>0</v>
      </c>
      <c r="P142" s="49">
        <f>IF(INVESTORS_LIST[[#This Row],[SIP_TOTAL UNITS SOLD]]=0,0,SUMIFS(SIP[Cost of Units Sold],SIP[Investor ID],INVESTORS_LIST[[#This Row],[INVESTOR CODE]],SIP[B/S],"S"))</f>
        <v>0</v>
      </c>
      <c r="Q142" s="48">
        <f>IF(INVESTORS_LIST[[#This Row],[SIP_TOTAL CURRENT UNITS]]=0,0,INVESTORS_LIST[[#This Row],[SIP_TOTAL CURRENT UNITS]]*INVESTORS_LIST[[#This Row],[SIP_AVERAGE COST]])</f>
        <v>0</v>
      </c>
      <c r="R142" s="48">
        <f>IF(INVESTORS_LIST[[#This Row],[SIP_TOTAL UNITS SOLD]]=0,0,SUMIFS(SIP[Realized Gain],SIP[Investor ID],INVESTORS_LIST[[#This Row],[INVESTOR CODE]],SIP[B/S],"S"))</f>
        <v>0</v>
      </c>
      <c r="S142" s="50">
        <f>INVESTORS_LIST[[#This Row],[LS_TOTAL UNITS BUY]]+INVESTORS_LIST[[#This Row],[SIP_TOTAL UNITS BUY]]</f>
        <v>0</v>
      </c>
      <c r="T142" s="50">
        <f>INVESTORS_LIST[[#This Row],[LS_TOTAL UNITS SOLD]]+INVESTORS_LIST[[#This Row],[SIP_TOTAL UNITS SOLD]]</f>
        <v>0</v>
      </c>
      <c r="U142" s="50"/>
      <c r="V142" s="50">
        <f>SUMIFS(LS[BO UNIT TRANSFER],LS[Investor ID],INVESTORS_LIST[[#This Row],[INVESTOR CODE]],LS[B/S],"B")</f>
        <v>0</v>
      </c>
      <c r="W142" s="50">
        <f>SUMIFS(SIP[BO UNIT TRANSFER],SIP[Investor ID],INVESTORS_LIST[[#This Row],[INVESTOR CODE]],SIP[B/S],"B")</f>
        <v>0</v>
      </c>
      <c r="X142" s="50">
        <f>SUMIFS(LS[BO UNIT TRANSFER],LS[Investor ID],INVESTORS_LIST[[#This Row],[INVESTOR CODE]],LS[B/S],"S")</f>
        <v>0</v>
      </c>
      <c r="Y142" s="50">
        <f>SUMIFS(SIP[BO UNIT TRANSFER],SIP[Investor ID],INVESTORS_LIST[[#This Row],[INVESTOR CODE]],SIP[B/S],"S")</f>
        <v>0</v>
      </c>
      <c r="Z142" s="106">
        <f>SUM(INVESTORS_LIST[[#This Row],[BO OPENING BALANCE]:[BO SIP UNITS REPURCHASE]])</f>
        <v>0</v>
      </c>
      <c r="AA142" s="107">
        <f>INVESTORS_LIST[[#This Row],[TOTAL UNITS BUY]]-INVESTORS_LIST[[#This Row],[TOTAL UNITS SOLD]]</f>
        <v>0</v>
      </c>
      <c r="AB142" s="107">
        <f>INVESTORS_LIST[[#This Row],[TOTAL CURRENT UNITS]]-INVESTORS_LIST[[#This Row],[BO UNITS HOLD]]</f>
        <v>0</v>
      </c>
      <c r="AC142" s="201" t="e">
        <f>INDEX([3]!Table_1[BO ID],MATCH(INVESTORS_LIST[[#This Row],[INVESTOR CODE]],[3]!Table_1[INVESTOR CODE],0))</f>
        <v>#REF!</v>
      </c>
      <c r="AD142" s="201" t="e">
        <f>INDEX([3]!Table_1[Brokerage Name2],MATCH(INVESTORS_LIST[[#This Row],[INVESTOR CODE]],[3]!Table_1[INVESTOR CODE],0))</f>
        <v>#REF!</v>
      </c>
      <c r="AE142" s="201" t="e">
        <f>MID(INVESTORS_LIST[[#This Row],[BO ID]],4,5)</f>
        <v>#REF!</v>
      </c>
      <c r="AF142" s="201" t="e">
        <f>MID(INVESTORS_LIST[[#This Row],[BO ID]],2,7)</f>
        <v>#REF!</v>
      </c>
      <c r="AG142" s="201" t="e">
        <f>MID(INVESTORS_LIST[[#This Row],[BO ID]],9,7)</f>
        <v>#REF!</v>
      </c>
      <c r="AH142" s="201" t="e">
        <f>RIGHT(INVESTORS_LIST[[#This Row],[BO ID]],1)</f>
        <v>#REF!</v>
      </c>
      <c r="AI142" s="50">
        <f>INVESTORS_LIST[[#This Row],[LS_TOTAL COST VALUE OF CURRENT UNITS]]+INVESTORS_LIST[[#This Row],[SIP_TOTAL COST VALUE OF CURRENT UNITS]]</f>
        <v>0</v>
      </c>
      <c r="AJ142" s="109">
        <f>IF(INVESTORS_LIST[[#This Row],[TOTAL CURRENT UNITS]]=0,0,INVESTORS_LIST[[#This Row],[LS_TOTAL CURRENT UNITS]]/INVESTORS_LIST[[#This Row],[TOTAL CURRENT UNITS]])</f>
        <v>0</v>
      </c>
      <c r="AK142" s="109">
        <f>IF(INVESTORS_LIST[[#This Row],[TOTAL CURRENT UNITS]]=0,0,INVESTORS_LIST[[#This Row],[SIP_TOTAL CURRENT UNITS]]/INVESTORS_LIST[[#This Row],[TOTAL CURRENT UNITS]])</f>
        <v>0</v>
      </c>
      <c r="AL142" s="49" cm="1">
        <f t="array" ref="AL1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2" s="49" cm="1">
        <f t="array" ref="AM1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2" s="105">
        <f t="shared" si="3"/>
        <v>14.224</v>
      </c>
      <c r="AP142" s="112">
        <f>IF(INVESTORS_LIST[[#This Row],[TOTAL CURRENT UNITS]]=0,0,INVESTORS_LIST[[#This Row],[TOTAL CURRENT UNITS]]*INVESTORS_LIST[[#This Row],[NAV]])</f>
        <v>0</v>
      </c>
      <c r="AQ142" s="49">
        <f>IF(INVESTORS_LIST[[#This Row],[LS_TOTAL CURRENT UNITS]]=0,0,INVESTORS_LIST[[#This Row],[LS_TOTAL CURRENT UNITS]]*INVESTORS_LIST[[#This Row],[NAV]])</f>
        <v>0</v>
      </c>
      <c r="AR142" s="48">
        <f>IF(INVESTORS_LIST[[#This Row],[SIP_TOTAL CURRENT UNITS]]=0,0,INVESTORS_LIST[[#This Row],[SIP_TOTAL CURRENT UNITS]]*INVESTORS_LIST[[#This Row],[NAV]])</f>
        <v>0</v>
      </c>
      <c r="AS142" s="50">
        <f>INVESTORS_LIST[[#This Row],[TOTAL CURRENT UNITS]]</f>
        <v>0</v>
      </c>
      <c r="AT142" s="48">
        <f>IF(INVESTORS_LIST[[#This Row],[TOTAL SELLABLE UNITS]]=0,0,INVESTORS_LIST[[#This Row],[TOTAL SELLABLE UNITS]]*INVESTORS_LIST[[#This Row],[NAV]])</f>
        <v>0</v>
      </c>
      <c r="AU142" s="48">
        <f>INVESTORS_LIST[[#This Row],[LS_TOTAL REALIZED GAIN]]+INVESTORS_LIST[[#This Row],[SIP_TOTAL REALIZED GAIN]]</f>
        <v>0</v>
      </c>
      <c r="AV142" s="48">
        <f>INVESTORS_LIST[[#This Row],[TOTAL MARKET VALUE]]-INVESTORS_LIST[[#This Row],[TOTAL COST VALUE OF CURRENT INVESTMENT]]</f>
        <v>0</v>
      </c>
      <c r="AW142" s="48">
        <f>IFERROR(INVESTORS_LIST[[#This Row],[TOTAL CURRENT UNITS]]/SUM(INVESTORS_LIST[TOTAL CURRENT UNITS]),0)</f>
        <v>0</v>
      </c>
    </row>
    <row r="143" spans="1:49" hidden="1">
      <c r="A143" s="262" t="s">
        <v>333</v>
      </c>
      <c r="B143" s="97" t="s">
        <v>334</v>
      </c>
      <c r="C143" t="s">
        <v>44</v>
      </c>
      <c r="D143" s="75" t="s">
        <v>45</v>
      </c>
      <c r="E143" s="47">
        <f>SUMIFS(LS[Unit],LS[Investor ID],INVESTORS_LIST[[#This Row],[INVESTOR CODE]],LS[B/S],"B")</f>
        <v>0</v>
      </c>
      <c r="F143" s="47">
        <f>-SUMIFS(LS[Unit],LS[Investor ID],INVESTORS_LIST[[#This Row],[INVESTOR CODE]],LS[B/S],"S")</f>
        <v>0</v>
      </c>
      <c r="G143" s="47">
        <f>IF(INVESTORS_LIST[[#This Row],[LS_TOTAL UNITS BUY]]=0,0,INVESTORS_LIST[[#This Row],[LS_TOTAL UNITS BUY]]-INVESTORS_LIST[[#This Row],[LS_TOTAL UNITS SOLD]])</f>
        <v>0</v>
      </c>
      <c r="H143" s="49">
        <f>IF(INVESTORS_LIST[[#This Row],[LS_TOTAL UNITS BUY]]=0,0,SUMIFS(LS[Amount],LS[Investor ID],INVESTORS_LIST[[#This Row],[INVESTOR CODE]],LS[B/S],"B"))</f>
        <v>0</v>
      </c>
      <c r="I143" s="48">
        <f>IF(INVESTORS_LIST[[#This Row],[LS_TOTAL UNITS SOLD]]=0,0,SUMIFS(LS[Cost of Units Sold],LS[Investor ID],INVESTORS_LIST[[#This Row],[INVESTOR CODE]],LS[B/S],"S"))</f>
        <v>0</v>
      </c>
      <c r="J143" s="48">
        <f>IF(INVESTORS_LIST[[#This Row],[LS_TOTAL CURRENT UNITS]]=0,0,INVESTORS_LIST[[#This Row],[LS_TOTAL CURRENT UNITS]]*INVESTORS_LIST[[#This Row],[LS_AVERAGE COST]])</f>
        <v>0</v>
      </c>
      <c r="K143" s="49">
        <f>IF(INVESTORS_LIST[[#This Row],[LS_TOTAL UNITS SOLD]]=0,0,SUMIFS(LS[Realized Gain],LS[Investor ID],INVESTORS_LIST[[#This Row],[INVESTOR CODE]],LS[B/S],"S"))</f>
        <v>0</v>
      </c>
      <c r="L143" s="47">
        <f>SUMIFS(SIP[Unit],SIP[Investor ID],INVESTORS_LIST[[#This Row],[INVESTOR CODE]],SIP[B/S],"B")</f>
        <v>0</v>
      </c>
      <c r="M143" s="47">
        <f>-SUMIFS(SIP[Unit],SIP[Investor ID],INVESTORS_LIST[[#This Row],[INVESTOR CODE]],SIP[B/S],"S")</f>
        <v>0</v>
      </c>
      <c r="N143" s="50">
        <f>IF(INVESTORS_LIST[[#This Row],[SIP_TOTAL UNITS BUY]]=0,0,INVESTORS_LIST[[#This Row],[SIP_TOTAL UNITS BUY]]-INVESTORS_LIST[[#This Row],[SIP_TOTAL UNITS SOLD]])</f>
        <v>0</v>
      </c>
      <c r="O143" s="49">
        <f>IF(INVESTORS_LIST[[#This Row],[SIP_TOTAL UNITS BUY]]=0,0,SUMIFS(SIP[Amount],SIP[Investor ID],INVESTORS_LIST[[#This Row],[INVESTOR CODE]],SIP[B/S],"B"))</f>
        <v>0</v>
      </c>
      <c r="P143" s="49">
        <f>IF(INVESTORS_LIST[[#This Row],[SIP_TOTAL UNITS SOLD]]=0,0,SUMIFS(SIP[Cost of Units Sold],SIP[Investor ID],INVESTORS_LIST[[#This Row],[INVESTOR CODE]],SIP[B/S],"S"))</f>
        <v>0</v>
      </c>
      <c r="Q143" s="48">
        <f>IF(INVESTORS_LIST[[#This Row],[SIP_TOTAL CURRENT UNITS]]=0,0,INVESTORS_LIST[[#This Row],[SIP_TOTAL CURRENT UNITS]]*INVESTORS_LIST[[#This Row],[SIP_AVERAGE COST]])</f>
        <v>0</v>
      </c>
      <c r="R143" s="48">
        <f>IF(INVESTORS_LIST[[#This Row],[SIP_TOTAL UNITS SOLD]]=0,0,SUMIFS(SIP[Realized Gain],SIP[Investor ID],INVESTORS_LIST[[#This Row],[INVESTOR CODE]],SIP[B/S],"S"))</f>
        <v>0</v>
      </c>
      <c r="S143" s="50">
        <f>INVESTORS_LIST[[#This Row],[LS_TOTAL UNITS BUY]]+INVESTORS_LIST[[#This Row],[SIP_TOTAL UNITS BUY]]</f>
        <v>0</v>
      </c>
      <c r="T143" s="50">
        <f>INVESTORS_LIST[[#This Row],[LS_TOTAL UNITS SOLD]]+INVESTORS_LIST[[#This Row],[SIP_TOTAL UNITS SOLD]]</f>
        <v>0</v>
      </c>
      <c r="U143" s="50"/>
      <c r="V143" s="50">
        <f>SUMIFS(LS[BO UNIT TRANSFER],LS[Investor ID],INVESTORS_LIST[[#This Row],[INVESTOR CODE]],LS[B/S],"B")</f>
        <v>0</v>
      </c>
      <c r="W143" s="50">
        <f>SUMIFS(SIP[BO UNIT TRANSFER],SIP[Investor ID],INVESTORS_LIST[[#This Row],[INVESTOR CODE]],SIP[B/S],"B")</f>
        <v>0</v>
      </c>
      <c r="X143" s="50">
        <f>SUMIFS(LS[BO UNIT TRANSFER],LS[Investor ID],INVESTORS_LIST[[#This Row],[INVESTOR CODE]],LS[B/S],"S")</f>
        <v>0</v>
      </c>
      <c r="Y143" s="50">
        <f>SUMIFS(SIP[BO UNIT TRANSFER],SIP[Investor ID],INVESTORS_LIST[[#This Row],[INVESTOR CODE]],SIP[B/S],"S")</f>
        <v>0</v>
      </c>
      <c r="Z143" s="106">
        <f>SUM(INVESTORS_LIST[[#This Row],[BO OPENING BALANCE]:[BO SIP UNITS REPURCHASE]])</f>
        <v>0</v>
      </c>
      <c r="AA143" s="107">
        <f>INVESTORS_LIST[[#This Row],[TOTAL UNITS BUY]]-INVESTORS_LIST[[#This Row],[TOTAL UNITS SOLD]]</f>
        <v>0</v>
      </c>
      <c r="AB143" s="107">
        <f>INVESTORS_LIST[[#This Row],[TOTAL CURRENT UNITS]]-INVESTORS_LIST[[#This Row],[BO UNITS HOLD]]</f>
        <v>0</v>
      </c>
      <c r="AC143" s="201" t="e">
        <f>INDEX([3]!Table_1[BO ID],MATCH(INVESTORS_LIST[[#This Row],[INVESTOR CODE]],[3]!Table_1[INVESTOR CODE],0))</f>
        <v>#REF!</v>
      </c>
      <c r="AD143" s="201" t="e">
        <f>INDEX([3]!Table_1[Brokerage Name2],MATCH(INVESTORS_LIST[[#This Row],[INVESTOR CODE]],[3]!Table_1[INVESTOR CODE],0))</f>
        <v>#REF!</v>
      </c>
      <c r="AE143" s="201" t="e">
        <f>MID(INVESTORS_LIST[[#This Row],[BO ID]],4,5)</f>
        <v>#REF!</v>
      </c>
      <c r="AF143" s="201" t="e">
        <f>MID(INVESTORS_LIST[[#This Row],[BO ID]],2,7)</f>
        <v>#REF!</v>
      </c>
      <c r="AG143" s="201" t="e">
        <f>MID(INVESTORS_LIST[[#This Row],[BO ID]],9,7)</f>
        <v>#REF!</v>
      </c>
      <c r="AH143" s="201" t="e">
        <f>RIGHT(INVESTORS_LIST[[#This Row],[BO ID]],1)</f>
        <v>#REF!</v>
      </c>
      <c r="AI143" s="50">
        <f>INVESTORS_LIST[[#This Row],[LS_TOTAL COST VALUE OF CURRENT UNITS]]+INVESTORS_LIST[[#This Row],[SIP_TOTAL COST VALUE OF CURRENT UNITS]]</f>
        <v>0</v>
      </c>
      <c r="AJ143" s="109">
        <f>IF(INVESTORS_LIST[[#This Row],[TOTAL CURRENT UNITS]]=0,0,INVESTORS_LIST[[#This Row],[LS_TOTAL CURRENT UNITS]]/INVESTORS_LIST[[#This Row],[TOTAL CURRENT UNITS]])</f>
        <v>0</v>
      </c>
      <c r="AK143" s="109">
        <f>IF(INVESTORS_LIST[[#This Row],[TOTAL CURRENT UNITS]]=0,0,INVESTORS_LIST[[#This Row],[SIP_TOTAL CURRENT UNITS]]/INVESTORS_LIST[[#This Row],[TOTAL CURRENT UNITS]])</f>
        <v>0</v>
      </c>
      <c r="AL143" s="49" cm="1">
        <f t="array" ref="AL1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3" s="49" cm="1">
        <f t="array" ref="AM1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3" s="105">
        <f t="shared" si="3"/>
        <v>14.224</v>
      </c>
      <c r="AP143" s="112">
        <f>IF(INVESTORS_LIST[[#This Row],[TOTAL CURRENT UNITS]]=0,0,INVESTORS_LIST[[#This Row],[TOTAL CURRENT UNITS]]*INVESTORS_LIST[[#This Row],[NAV]])</f>
        <v>0</v>
      </c>
      <c r="AQ143" s="49">
        <f>IF(INVESTORS_LIST[[#This Row],[LS_TOTAL CURRENT UNITS]]=0,0,INVESTORS_LIST[[#This Row],[LS_TOTAL CURRENT UNITS]]*INVESTORS_LIST[[#This Row],[NAV]])</f>
        <v>0</v>
      </c>
      <c r="AR143" s="48">
        <f>IF(INVESTORS_LIST[[#This Row],[SIP_TOTAL CURRENT UNITS]]=0,0,INVESTORS_LIST[[#This Row],[SIP_TOTAL CURRENT UNITS]]*INVESTORS_LIST[[#This Row],[NAV]])</f>
        <v>0</v>
      </c>
      <c r="AS143" s="50">
        <f>INVESTORS_LIST[[#This Row],[TOTAL CURRENT UNITS]]</f>
        <v>0</v>
      </c>
      <c r="AT143" s="48">
        <f>IF(INVESTORS_LIST[[#This Row],[TOTAL SELLABLE UNITS]]=0,0,INVESTORS_LIST[[#This Row],[TOTAL SELLABLE UNITS]]*INVESTORS_LIST[[#This Row],[NAV]])</f>
        <v>0</v>
      </c>
      <c r="AU143" s="48">
        <f>INVESTORS_LIST[[#This Row],[LS_TOTAL REALIZED GAIN]]+INVESTORS_LIST[[#This Row],[SIP_TOTAL REALIZED GAIN]]</f>
        <v>0</v>
      </c>
      <c r="AV143" s="48">
        <f>INVESTORS_LIST[[#This Row],[TOTAL MARKET VALUE]]-INVESTORS_LIST[[#This Row],[TOTAL COST VALUE OF CURRENT INVESTMENT]]</f>
        <v>0</v>
      </c>
      <c r="AW143" s="48">
        <f>IFERROR(INVESTORS_LIST[[#This Row],[TOTAL CURRENT UNITS]]/SUM(INVESTORS_LIST[TOTAL CURRENT UNITS]),0)</f>
        <v>0</v>
      </c>
    </row>
    <row r="144" spans="1:49">
      <c r="A144" s="262" t="s">
        <v>335</v>
      </c>
      <c r="B144" s="97" t="s">
        <v>336</v>
      </c>
      <c r="C144" t="s">
        <v>44</v>
      </c>
      <c r="D144" s="75" t="s">
        <v>45</v>
      </c>
      <c r="E144" s="47">
        <f>SUMIFS(LS[Unit],LS[Investor ID],INVESTORS_LIST[[#This Row],[INVESTOR CODE]],LS[B/S],"B")</f>
        <v>8967</v>
      </c>
      <c r="F144" s="47">
        <f>-SUMIFS(LS[Unit],LS[Investor ID],INVESTORS_LIST[[#This Row],[INVESTOR CODE]],LS[B/S],"S")</f>
        <v>8967</v>
      </c>
      <c r="G144" s="47">
        <f>IF(INVESTORS_LIST[[#This Row],[LS_TOTAL UNITS BUY]]=0,0,INVESTORS_LIST[[#This Row],[LS_TOTAL UNITS BUY]]-INVESTORS_LIST[[#This Row],[LS_TOTAL UNITS SOLD]])</f>
        <v>0</v>
      </c>
      <c r="H144" s="49">
        <f>IF(INVESTORS_LIST[[#This Row],[LS_TOTAL UNITS BUY]]=0,0,SUMIFS(LS[Amount],LS[Investor ID],INVESTORS_LIST[[#This Row],[INVESTOR CODE]],LS[B/S],"B"))</f>
        <v>100000</v>
      </c>
      <c r="I144" s="48">
        <f>IF(INVESTORS_LIST[[#This Row],[LS_TOTAL UNITS SOLD]]=0,0,SUMIFS(LS[Cost of Units Sold],LS[Investor ID],INVESTORS_LIST[[#This Row],[INVESTOR CODE]],LS[B/S],"S"))</f>
        <v>100000</v>
      </c>
      <c r="J144" s="48">
        <f>IF(INVESTORS_LIST[[#This Row],[LS_TOTAL CURRENT UNITS]]=0,0,INVESTORS_LIST[[#This Row],[LS_TOTAL CURRENT UNITS]]*INVESTORS_LIST[[#This Row],[LS_AVERAGE COST]])</f>
        <v>0</v>
      </c>
      <c r="K144" s="49">
        <f>IF(INVESTORS_LIST[[#This Row],[LS_TOTAL UNITS SOLD]]=0,0,SUMIFS(LS[Realized Gain],LS[Investor ID],INVESTORS_LIST[[#This Row],[INVESTOR CODE]],LS[B/S],"S"))</f>
        <v>421.42999999999194</v>
      </c>
      <c r="L144" s="47">
        <f>SUMIFS(SIP[Unit],SIP[Investor ID],INVESTORS_LIST[[#This Row],[INVESTOR CODE]],SIP[B/S],"B")</f>
        <v>2556</v>
      </c>
      <c r="M144" s="47">
        <f>-SUMIFS(SIP[Unit],SIP[Investor ID],INVESTORS_LIST[[#This Row],[INVESTOR CODE]],SIP[B/S],"S")</f>
        <v>0</v>
      </c>
      <c r="N144" s="50">
        <f>IF(INVESTORS_LIST[[#This Row],[SIP_TOTAL UNITS BUY]]=0,0,INVESTORS_LIST[[#This Row],[SIP_TOTAL UNITS BUY]]-INVESTORS_LIST[[#This Row],[SIP_TOTAL UNITS SOLD]])</f>
        <v>2556</v>
      </c>
      <c r="O144" s="49">
        <f>IF(INVESTORS_LIST[[#This Row],[SIP_TOTAL UNITS BUY]]=0,0,SUMIFS(SIP[Amount],SIP[Investor ID],INVESTORS_LIST[[#This Row],[INVESTOR CODE]],SIP[B/S],"B"))</f>
        <v>35000</v>
      </c>
      <c r="P144" s="49">
        <f>IF(INVESTORS_LIST[[#This Row],[SIP_TOTAL UNITS SOLD]]=0,0,SUMIFS(SIP[Cost of Units Sold],SIP[Investor ID],INVESTORS_LIST[[#This Row],[INVESTOR CODE]],SIP[B/S],"S"))</f>
        <v>0</v>
      </c>
      <c r="Q144" s="48">
        <f>IF(INVESTORS_LIST[[#This Row],[SIP_TOTAL CURRENT UNITS]]=0,0,INVESTORS_LIST[[#This Row],[SIP_TOTAL CURRENT UNITS]]*INVESTORS_LIST[[#This Row],[SIP_AVERAGE COST]])</f>
        <v>35000</v>
      </c>
      <c r="R144" s="48">
        <f>IF(INVESTORS_LIST[[#This Row],[SIP_TOTAL UNITS SOLD]]=0,0,SUMIFS(SIP[Realized Gain],SIP[Investor ID],INVESTORS_LIST[[#This Row],[INVESTOR CODE]],SIP[B/S],"S"))</f>
        <v>0</v>
      </c>
      <c r="S144" s="50">
        <f>INVESTORS_LIST[[#This Row],[LS_TOTAL UNITS BUY]]+INVESTORS_LIST[[#This Row],[SIP_TOTAL UNITS BUY]]</f>
        <v>11523</v>
      </c>
      <c r="T144" s="50">
        <f>INVESTORS_LIST[[#This Row],[LS_TOTAL UNITS SOLD]]+INVESTORS_LIST[[#This Row],[SIP_TOTAL UNITS SOLD]]</f>
        <v>8967</v>
      </c>
      <c r="U144" s="50">
        <v>19935</v>
      </c>
      <c r="V144" s="50">
        <f>SUMIFS(LS[BO UNIT TRANSFER],LS[Investor ID],INVESTORS_LIST[[#This Row],[INVESTOR CODE]],LS[B/S],"B")</f>
        <v>0</v>
      </c>
      <c r="W144" s="50">
        <f>SUMIFS(SIP[BO UNIT TRANSFER],SIP[Investor ID],INVESTORS_LIST[[#This Row],[INVESTOR CODE]],SIP[B/S],"B")</f>
        <v>0</v>
      </c>
      <c r="X144" s="50">
        <f>SUMIFS(LS[BO UNIT TRANSFER],LS[Investor ID],INVESTORS_LIST[[#This Row],[INVESTOR CODE]],LS[B/S],"S")</f>
        <v>0</v>
      </c>
      <c r="Y144" s="50">
        <f>SUMIFS(SIP[BO UNIT TRANSFER],SIP[Investor ID],INVESTORS_LIST[[#This Row],[INVESTOR CODE]],SIP[B/S],"S")</f>
        <v>0</v>
      </c>
      <c r="Z144" s="106">
        <f>SUM(INVESTORS_LIST[[#This Row],[BO OPENING BALANCE]:[BO SIP UNITS REPURCHASE]])</f>
        <v>19935</v>
      </c>
      <c r="AA144" s="107">
        <f>INVESTORS_LIST[[#This Row],[TOTAL UNITS BUY]]-INVESTORS_LIST[[#This Row],[TOTAL UNITS SOLD]]</f>
        <v>2556</v>
      </c>
      <c r="AB144" s="107">
        <f>INVESTORS_LIST[[#This Row],[TOTAL CURRENT UNITS]]-INVESTORS_LIST[[#This Row],[BO UNITS HOLD]]</f>
        <v>-17379</v>
      </c>
      <c r="AC144" s="201" t="e">
        <f>INDEX([3]!Table_1[BO ID],MATCH(INVESTORS_LIST[[#This Row],[INVESTOR CODE]],[3]!Table_1[INVESTOR CODE],0))</f>
        <v>#REF!</v>
      </c>
      <c r="AD144" s="201" t="e">
        <f>INDEX([3]!Table_1[Brokerage Name2],MATCH(INVESTORS_LIST[[#This Row],[INVESTOR CODE]],[3]!Table_1[INVESTOR CODE],0))</f>
        <v>#REF!</v>
      </c>
      <c r="AE144" s="201" t="e">
        <f>MID(INVESTORS_LIST[[#This Row],[BO ID]],4,5)</f>
        <v>#REF!</v>
      </c>
      <c r="AF144" s="201" t="e">
        <f>MID(INVESTORS_LIST[[#This Row],[BO ID]],2,7)</f>
        <v>#REF!</v>
      </c>
      <c r="AG144" s="201" t="e">
        <f>MID(INVESTORS_LIST[[#This Row],[BO ID]],9,7)</f>
        <v>#REF!</v>
      </c>
      <c r="AH144" s="201" t="e">
        <f>RIGHT(INVESTORS_LIST[[#This Row],[BO ID]],1)</f>
        <v>#REF!</v>
      </c>
      <c r="AI144" s="50">
        <f>INVESTORS_LIST[[#This Row],[LS_TOTAL COST VALUE OF CURRENT UNITS]]+INVESTORS_LIST[[#This Row],[SIP_TOTAL COST VALUE OF CURRENT UNITS]]</f>
        <v>35000</v>
      </c>
      <c r="AJ144" s="109">
        <f>IF(INVESTORS_LIST[[#This Row],[TOTAL CURRENT UNITS]]=0,0,INVESTORS_LIST[[#This Row],[LS_TOTAL CURRENT UNITS]]/INVESTORS_LIST[[#This Row],[TOTAL CURRENT UNITS]])</f>
        <v>0</v>
      </c>
      <c r="AK144" s="109">
        <f>IF(INVESTORS_LIST[[#This Row],[TOTAL CURRENT UNITS]]=0,0,INVESTORS_LIST[[#This Row],[SIP_TOTAL CURRENT UNITS]]/INVESTORS_LIST[[#This Row],[TOTAL CURRENT UNITS]])</f>
        <v>1</v>
      </c>
      <c r="AL144" s="49" cm="1">
        <f t="array" ref="AL1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4" s="49" cm="1">
        <f t="array" ref="AM144">IF(INVESTORS_LIST[[#This Row],[SIP_TOTAL UNITS BUY]]&gt;0,INDEX(SIP[NAV at Cost (Average)],MATCH(CONCATENATE(COUNTIFS(SIP[Investor ID],INVESTORS_LIST[[#This Row],[INVESTOR CODE]]),INVESTORS_LIST[[#This Row],[INVESTOR CODE]]),SIP[Unique Code],0),),0)</f>
        <v>13.693270735524257</v>
      </c>
      <c r="AN144" s="105">
        <f>IF(INVESTORS_LIST[[#This Row],[TOTAL CURRENT UNITS]]=0,0,(INVESTORS_LIST[[#This Row],[LS_WEIGHT]]*INVESTORS_LIST[[#This Row],[LS_AVERAGE COST]])+(INVESTORS_LIST[[#This Row],[SIP_WEIGHT]]*INVESTORS_LIST[[#This Row],[SIP_AVERAGE COST]]))</f>
        <v>13.693270735524257</v>
      </c>
      <c r="AO144" s="105">
        <f t="shared" si="3"/>
        <v>14.224</v>
      </c>
      <c r="AP144" s="112">
        <f>IF(INVESTORS_LIST[[#This Row],[TOTAL CURRENT UNITS]]=0,0,INVESTORS_LIST[[#This Row],[TOTAL CURRENT UNITS]]*INVESTORS_LIST[[#This Row],[NAV]])</f>
        <v>36356.544000000002</v>
      </c>
      <c r="AQ144" s="49">
        <f>IF(INVESTORS_LIST[[#This Row],[LS_TOTAL CURRENT UNITS]]=0,0,INVESTORS_LIST[[#This Row],[LS_TOTAL CURRENT UNITS]]*INVESTORS_LIST[[#This Row],[NAV]])</f>
        <v>0</v>
      </c>
      <c r="AR144" s="48">
        <f>IF(INVESTORS_LIST[[#This Row],[SIP_TOTAL CURRENT UNITS]]=0,0,INVESTORS_LIST[[#This Row],[SIP_TOTAL CURRENT UNITS]]*INVESTORS_LIST[[#This Row],[NAV]])</f>
        <v>36356.544000000002</v>
      </c>
      <c r="AS144" s="50">
        <f>INVESTORS_LIST[[#This Row],[TOTAL CURRENT UNITS]]</f>
        <v>2556</v>
      </c>
      <c r="AT144" s="48">
        <f>IF(INVESTORS_LIST[[#This Row],[TOTAL SELLABLE UNITS]]=0,0,INVESTORS_LIST[[#This Row],[TOTAL SELLABLE UNITS]]*INVESTORS_LIST[[#This Row],[NAV]])</f>
        <v>36356.544000000002</v>
      </c>
      <c r="AU144" s="48">
        <f>INVESTORS_LIST[[#This Row],[LS_TOTAL REALIZED GAIN]]+INVESTORS_LIST[[#This Row],[SIP_TOTAL REALIZED GAIN]]</f>
        <v>421.42999999999194</v>
      </c>
      <c r="AV144" s="48">
        <f>INVESTORS_LIST[[#This Row],[TOTAL MARKET VALUE]]-INVESTORS_LIST[[#This Row],[TOTAL COST VALUE OF CURRENT INVESTMENT]]</f>
        <v>1356.5440000000017</v>
      </c>
      <c r="AW144" s="48">
        <f>IFERROR(INVESTORS_LIST[[#This Row],[TOTAL CURRENT UNITS]]/SUM(INVESTORS_LIST[TOTAL CURRENT UNITS]),0)</f>
        <v>6.2049987382440947E-5</v>
      </c>
    </row>
    <row r="145" spans="1:49" hidden="1">
      <c r="A145" s="262" t="s">
        <v>337</v>
      </c>
      <c r="B145" s="97" t="s">
        <v>338</v>
      </c>
      <c r="C145" t="s">
        <v>44</v>
      </c>
      <c r="D145" s="75" t="s">
        <v>45</v>
      </c>
      <c r="E145" s="47">
        <f>SUMIFS(LS[Unit],LS[Investor ID],INVESTORS_LIST[[#This Row],[INVESTOR CODE]],LS[B/S],"B")</f>
        <v>0</v>
      </c>
      <c r="F145" s="47">
        <f>-SUMIFS(LS[Unit],LS[Investor ID],INVESTORS_LIST[[#This Row],[INVESTOR CODE]],LS[B/S],"S")</f>
        <v>0</v>
      </c>
      <c r="G145" s="47">
        <f>IF(INVESTORS_LIST[[#This Row],[LS_TOTAL UNITS BUY]]=0,0,INVESTORS_LIST[[#This Row],[LS_TOTAL UNITS BUY]]-INVESTORS_LIST[[#This Row],[LS_TOTAL UNITS SOLD]])</f>
        <v>0</v>
      </c>
      <c r="H145" s="49">
        <f>IF(INVESTORS_LIST[[#This Row],[LS_TOTAL UNITS BUY]]=0,0,SUMIFS(LS[Amount],LS[Investor ID],INVESTORS_LIST[[#This Row],[INVESTOR CODE]],LS[B/S],"B"))</f>
        <v>0</v>
      </c>
      <c r="I145" s="48">
        <f>IF(INVESTORS_LIST[[#This Row],[LS_TOTAL UNITS SOLD]]=0,0,SUMIFS(LS[Cost of Units Sold],LS[Investor ID],INVESTORS_LIST[[#This Row],[INVESTOR CODE]],LS[B/S],"S"))</f>
        <v>0</v>
      </c>
      <c r="J145" s="48">
        <f>IF(INVESTORS_LIST[[#This Row],[LS_TOTAL CURRENT UNITS]]=0,0,INVESTORS_LIST[[#This Row],[LS_TOTAL CURRENT UNITS]]*INVESTORS_LIST[[#This Row],[LS_AVERAGE COST]])</f>
        <v>0</v>
      </c>
      <c r="K145" s="49">
        <f>IF(INVESTORS_LIST[[#This Row],[LS_TOTAL UNITS SOLD]]=0,0,SUMIFS(LS[Realized Gain],LS[Investor ID],INVESTORS_LIST[[#This Row],[INVESTOR CODE]],LS[B/S],"S"))</f>
        <v>0</v>
      </c>
      <c r="L145" s="47">
        <f>SUMIFS(SIP[Unit],SIP[Investor ID],INVESTORS_LIST[[#This Row],[INVESTOR CODE]],SIP[B/S],"B")</f>
        <v>0</v>
      </c>
      <c r="M145" s="47">
        <f>-SUMIFS(SIP[Unit],SIP[Investor ID],INVESTORS_LIST[[#This Row],[INVESTOR CODE]],SIP[B/S],"S")</f>
        <v>0</v>
      </c>
      <c r="N145" s="50">
        <f>IF(INVESTORS_LIST[[#This Row],[SIP_TOTAL UNITS BUY]]=0,0,INVESTORS_LIST[[#This Row],[SIP_TOTAL UNITS BUY]]-INVESTORS_LIST[[#This Row],[SIP_TOTAL UNITS SOLD]])</f>
        <v>0</v>
      </c>
      <c r="O145" s="49">
        <f>IF(INVESTORS_LIST[[#This Row],[SIP_TOTAL UNITS BUY]]=0,0,SUMIFS(SIP[Amount],SIP[Investor ID],INVESTORS_LIST[[#This Row],[INVESTOR CODE]],SIP[B/S],"B"))</f>
        <v>0</v>
      </c>
      <c r="P145" s="49">
        <f>IF(INVESTORS_LIST[[#This Row],[SIP_TOTAL UNITS SOLD]]=0,0,SUMIFS(SIP[Cost of Units Sold],SIP[Investor ID],INVESTORS_LIST[[#This Row],[INVESTOR CODE]],SIP[B/S],"S"))</f>
        <v>0</v>
      </c>
      <c r="Q145" s="48">
        <f>IF(INVESTORS_LIST[[#This Row],[SIP_TOTAL CURRENT UNITS]]=0,0,INVESTORS_LIST[[#This Row],[SIP_TOTAL CURRENT UNITS]]*INVESTORS_LIST[[#This Row],[SIP_AVERAGE COST]])</f>
        <v>0</v>
      </c>
      <c r="R145" s="48">
        <f>IF(INVESTORS_LIST[[#This Row],[SIP_TOTAL UNITS SOLD]]=0,0,SUMIFS(SIP[Realized Gain],SIP[Investor ID],INVESTORS_LIST[[#This Row],[INVESTOR CODE]],SIP[B/S],"S"))</f>
        <v>0</v>
      </c>
      <c r="S145" s="50">
        <f>INVESTORS_LIST[[#This Row],[LS_TOTAL UNITS BUY]]+INVESTORS_LIST[[#This Row],[SIP_TOTAL UNITS BUY]]</f>
        <v>0</v>
      </c>
      <c r="T145" s="50">
        <f>INVESTORS_LIST[[#This Row],[LS_TOTAL UNITS SOLD]]+INVESTORS_LIST[[#This Row],[SIP_TOTAL UNITS SOLD]]</f>
        <v>0</v>
      </c>
      <c r="U145" s="50"/>
      <c r="V145" s="50">
        <f>SUMIFS(LS[BO UNIT TRANSFER],LS[Investor ID],INVESTORS_LIST[[#This Row],[INVESTOR CODE]],LS[B/S],"B")</f>
        <v>0</v>
      </c>
      <c r="W145" s="50">
        <f>SUMIFS(SIP[BO UNIT TRANSFER],SIP[Investor ID],INVESTORS_LIST[[#This Row],[INVESTOR CODE]],SIP[B/S],"B")</f>
        <v>0</v>
      </c>
      <c r="X145" s="50">
        <f>SUMIFS(LS[BO UNIT TRANSFER],LS[Investor ID],INVESTORS_LIST[[#This Row],[INVESTOR CODE]],LS[B/S],"S")</f>
        <v>0</v>
      </c>
      <c r="Y145" s="50">
        <f>SUMIFS(SIP[BO UNIT TRANSFER],SIP[Investor ID],INVESTORS_LIST[[#This Row],[INVESTOR CODE]],SIP[B/S],"S")</f>
        <v>0</v>
      </c>
      <c r="Z145" s="106">
        <f>SUM(INVESTORS_LIST[[#This Row],[BO OPENING BALANCE]:[BO SIP UNITS REPURCHASE]])</f>
        <v>0</v>
      </c>
      <c r="AA145" s="107">
        <f>INVESTORS_LIST[[#This Row],[TOTAL UNITS BUY]]-INVESTORS_LIST[[#This Row],[TOTAL UNITS SOLD]]</f>
        <v>0</v>
      </c>
      <c r="AB145" s="107">
        <f>INVESTORS_LIST[[#This Row],[TOTAL CURRENT UNITS]]-INVESTORS_LIST[[#This Row],[BO UNITS HOLD]]</f>
        <v>0</v>
      </c>
      <c r="AC145" s="201" t="e">
        <f>INDEX([3]!Table_1[BO ID],MATCH(INVESTORS_LIST[[#This Row],[INVESTOR CODE]],[3]!Table_1[INVESTOR CODE],0))</f>
        <v>#REF!</v>
      </c>
      <c r="AD145" s="201" t="e">
        <f>INDEX([3]!Table_1[Brokerage Name2],MATCH(INVESTORS_LIST[[#This Row],[INVESTOR CODE]],[3]!Table_1[INVESTOR CODE],0))</f>
        <v>#REF!</v>
      </c>
      <c r="AE145" s="201" t="e">
        <f>MID(INVESTORS_LIST[[#This Row],[BO ID]],4,5)</f>
        <v>#REF!</v>
      </c>
      <c r="AF145" s="201" t="e">
        <f>MID(INVESTORS_LIST[[#This Row],[BO ID]],2,7)</f>
        <v>#REF!</v>
      </c>
      <c r="AG145" s="201" t="e">
        <f>MID(INVESTORS_LIST[[#This Row],[BO ID]],9,7)</f>
        <v>#REF!</v>
      </c>
      <c r="AH145" s="201" t="e">
        <f>RIGHT(INVESTORS_LIST[[#This Row],[BO ID]],1)</f>
        <v>#REF!</v>
      </c>
      <c r="AI145" s="50">
        <f>INVESTORS_LIST[[#This Row],[LS_TOTAL COST VALUE OF CURRENT UNITS]]+INVESTORS_LIST[[#This Row],[SIP_TOTAL COST VALUE OF CURRENT UNITS]]</f>
        <v>0</v>
      </c>
      <c r="AJ145" s="109">
        <f>IF(INVESTORS_LIST[[#This Row],[TOTAL CURRENT UNITS]]=0,0,INVESTORS_LIST[[#This Row],[LS_TOTAL CURRENT UNITS]]/INVESTORS_LIST[[#This Row],[TOTAL CURRENT UNITS]])</f>
        <v>0</v>
      </c>
      <c r="AK145" s="109">
        <f>IF(INVESTORS_LIST[[#This Row],[TOTAL CURRENT UNITS]]=0,0,INVESTORS_LIST[[#This Row],[SIP_TOTAL CURRENT UNITS]]/INVESTORS_LIST[[#This Row],[TOTAL CURRENT UNITS]])</f>
        <v>0</v>
      </c>
      <c r="AL145" s="49" cm="1">
        <f t="array" ref="AL1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5" s="49" cm="1">
        <f t="array" ref="AM1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5" s="105">
        <f t="shared" si="3"/>
        <v>14.224</v>
      </c>
      <c r="AP145" s="112">
        <f>IF(INVESTORS_LIST[[#This Row],[TOTAL CURRENT UNITS]]=0,0,INVESTORS_LIST[[#This Row],[TOTAL CURRENT UNITS]]*INVESTORS_LIST[[#This Row],[NAV]])</f>
        <v>0</v>
      </c>
      <c r="AQ145" s="49">
        <f>IF(INVESTORS_LIST[[#This Row],[LS_TOTAL CURRENT UNITS]]=0,0,INVESTORS_LIST[[#This Row],[LS_TOTAL CURRENT UNITS]]*INVESTORS_LIST[[#This Row],[NAV]])</f>
        <v>0</v>
      </c>
      <c r="AR145" s="48">
        <f>IF(INVESTORS_LIST[[#This Row],[SIP_TOTAL CURRENT UNITS]]=0,0,INVESTORS_LIST[[#This Row],[SIP_TOTAL CURRENT UNITS]]*INVESTORS_LIST[[#This Row],[NAV]])</f>
        <v>0</v>
      </c>
      <c r="AS145" s="50">
        <f>INVESTORS_LIST[[#This Row],[TOTAL CURRENT UNITS]]</f>
        <v>0</v>
      </c>
      <c r="AT145" s="48">
        <f>IF(INVESTORS_LIST[[#This Row],[TOTAL SELLABLE UNITS]]=0,0,INVESTORS_LIST[[#This Row],[TOTAL SELLABLE UNITS]]*INVESTORS_LIST[[#This Row],[NAV]])</f>
        <v>0</v>
      </c>
      <c r="AU145" s="48">
        <f>INVESTORS_LIST[[#This Row],[LS_TOTAL REALIZED GAIN]]+INVESTORS_LIST[[#This Row],[SIP_TOTAL REALIZED GAIN]]</f>
        <v>0</v>
      </c>
      <c r="AV145" s="48">
        <f>INVESTORS_LIST[[#This Row],[TOTAL MARKET VALUE]]-INVESTORS_LIST[[#This Row],[TOTAL COST VALUE OF CURRENT INVESTMENT]]</f>
        <v>0</v>
      </c>
      <c r="AW145" s="48">
        <f>IFERROR(INVESTORS_LIST[[#This Row],[TOTAL CURRENT UNITS]]/SUM(INVESTORS_LIST[TOTAL CURRENT UNITS]),0)</f>
        <v>0</v>
      </c>
    </row>
    <row r="146" spans="1:49" hidden="1">
      <c r="A146" s="262" t="s">
        <v>339</v>
      </c>
      <c r="B146" s="97" t="s">
        <v>340</v>
      </c>
      <c r="C146" t="s">
        <v>44</v>
      </c>
      <c r="D146" s="75" t="s">
        <v>45</v>
      </c>
      <c r="E146" s="47">
        <f>SUMIFS(LS[Unit],LS[Investor ID],INVESTORS_LIST[[#This Row],[INVESTOR CODE]],LS[B/S],"B")</f>
        <v>0</v>
      </c>
      <c r="F146" s="47">
        <f>-SUMIFS(LS[Unit],LS[Investor ID],INVESTORS_LIST[[#This Row],[INVESTOR CODE]],LS[B/S],"S")</f>
        <v>0</v>
      </c>
      <c r="G146" s="47">
        <f>IF(INVESTORS_LIST[[#This Row],[LS_TOTAL UNITS BUY]]=0,0,INVESTORS_LIST[[#This Row],[LS_TOTAL UNITS BUY]]-INVESTORS_LIST[[#This Row],[LS_TOTAL UNITS SOLD]])</f>
        <v>0</v>
      </c>
      <c r="H146" s="49">
        <f>IF(INVESTORS_LIST[[#This Row],[LS_TOTAL UNITS BUY]]=0,0,SUMIFS(LS[Amount],LS[Investor ID],INVESTORS_LIST[[#This Row],[INVESTOR CODE]],LS[B/S],"B"))</f>
        <v>0</v>
      </c>
      <c r="I146" s="48">
        <f>IF(INVESTORS_LIST[[#This Row],[LS_TOTAL UNITS SOLD]]=0,0,SUMIFS(LS[Cost of Units Sold],LS[Investor ID],INVESTORS_LIST[[#This Row],[INVESTOR CODE]],LS[B/S],"S"))</f>
        <v>0</v>
      </c>
      <c r="J146" s="48">
        <f>IF(INVESTORS_LIST[[#This Row],[LS_TOTAL CURRENT UNITS]]=0,0,INVESTORS_LIST[[#This Row],[LS_TOTAL CURRENT UNITS]]*INVESTORS_LIST[[#This Row],[LS_AVERAGE COST]])</f>
        <v>0</v>
      </c>
      <c r="K146" s="49">
        <f>IF(INVESTORS_LIST[[#This Row],[LS_TOTAL UNITS SOLD]]=0,0,SUMIFS(LS[Realized Gain],LS[Investor ID],INVESTORS_LIST[[#This Row],[INVESTOR CODE]],LS[B/S],"S"))</f>
        <v>0</v>
      </c>
      <c r="L146" s="47">
        <f>SUMIFS(SIP[Unit],SIP[Investor ID],INVESTORS_LIST[[#This Row],[INVESTOR CODE]],SIP[B/S],"B")</f>
        <v>0</v>
      </c>
      <c r="M146" s="47">
        <f>-SUMIFS(SIP[Unit],SIP[Investor ID],INVESTORS_LIST[[#This Row],[INVESTOR CODE]],SIP[B/S],"S")</f>
        <v>0</v>
      </c>
      <c r="N146" s="50">
        <f>IF(INVESTORS_LIST[[#This Row],[SIP_TOTAL UNITS BUY]]=0,0,INVESTORS_LIST[[#This Row],[SIP_TOTAL UNITS BUY]]-INVESTORS_LIST[[#This Row],[SIP_TOTAL UNITS SOLD]])</f>
        <v>0</v>
      </c>
      <c r="O146" s="49">
        <f>IF(INVESTORS_LIST[[#This Row],[SIP_TOTAL UNITS BUY]]=0,0,SUMIFS(SIP[Amount],SIP[Investor ID],INVESTORS_LIST[[#This Row],[INVESTOR CODE]],SIP[B/S],"B"))</f>
        <v>0</v>
      </c>
      <c r="P146" s="49">
        <f>IF(INVESTORS_LIST[[#This Row],[SIP_TOTAL UNITS SOLD]]=0,0,SUMIFS(SIP[Cost of Units Sold],SIP[Investor ID],INVESTORS_LIST[[#This Row],[INVESTOR CODE]],SIP[B/S],"S"))</f>
        <v>0</v>
      </c>
      <c r="Q146" s="48">
        <f>IF(INVESTORS_LIST[[#This Row],[SIP_TOTAL CURRENT UNITS]]=0,0,INVESTORS_LIST[[#This Row],[SIP_TOTAL CURRENT UNITS]]*INVESTORS_LIST[[#This Row],[SIP_AVERAGE COST]])</f>
        <v>0</v>
      </c>
      <c r="R146" s="48">
        <f>IF(INVESTORS_LIST[[#This Row],[SIP_TOTAL UNITS SOLD]]=0,0,SUMIFS(SIP[Realized Gain],SIP[Investor ID],INVESTORS_LIST[[#This Row],[INVESTOR CODE]],SIP[B/S],"S"))</f>
        <v>0</v>
      </c>
      <c r="S146" s="50">
        <f>INVESTORS_LIST[[#This Row],[LS_TOTAL UNITS BUY]]+INVESTORS_LIST[[#This Row],[SIP_TOTAL UNITS BUY]]</f>
        <v>0</v>
      </c>
      <c r="T146" s="50">
        <f>INVESTORS_LIST[[#This Row],[LS_TOTAL UNITS SOLD]]+INVESTORS_LIST[[#This Row],[SIP_TOTAL UNITS SOLD]]</f>
        <v>0</v>
      </c>
      <c r="U146" s="50"/>
      <c r="V146" s="50">
        <f>SUMIFS(LS[BO UNIT TRANSFER],LS[Investor ID],INVESTORS_LIST[[#This Row],[INVESTOR CODE]],LS[B/S],"B")</f>
        <v>0</v>
      </c>
      <c r="W146" s="50">
        <f>SUMIFS(SIP[BO UNIT TRANSFER],SIP[Investor ID],INVESTORS_LIST[[#This Row],[INVESTOR CODE]],SIP[B/S],"B")</f>
        <v>0</v>
      </c>
      <c r="X146" s="50">
        <f>SUMIFS(LS[BO UNIT TRANSFER],LS[Investor ID],INVESTORS_LIST[[#This Row],[INVESTOR CODE]],LS[B/S],"S")</f>
        <v>0</v>
      </c>
      <c r="Y146" s="50">
        <f>SUMIFS(SIP[BO UNIT TRANSFER],SIP[Investor ID],INVESTORS_LIST[[#This Row],[INVESTOR CODE]],SIP[B/S],"S")</f>
        <v>0</v>
      </c>
      <c r="Z146" s="106">
        <f>SUM(INVESTORS_LIST[[#This Row],[BO OPENING BALANCE]:[BO SIP UNITS REPURCHASE]])</f>
        <v>0</v>
      </c>
      <c r="AA146" s="107">
        <f>INVESTORS_LIST[[#This Row],[TOTAL UNITS BUY]]-INVESTORS_LIST[[#This Row],[TOTAL UNITS SOLD]]</f>
        <v>0</v>
      </c>
      <c r="AB146" s="107">
        <f>INVESTORS_LIST[[#This Row],[TOTAL CURRENT UNITS]]-INVESTORS_LIST[[#This Row],[BO UNITS HOLD]]</f>
        <v>0</v>
      </c>
      <c r="AC146" s="201" t="e">
        <f>INDEX([3]!Table_1[BO ID],MATCH(INVESTORS_LIST[[#This Row],[INVESTOR CODE]],[3]!Table_1[INVESTOR CODE],0))</f>
        <v>#REF!</v>
      </c>
      <c r="AD146" s="201" t="e">
        <f>INDEX([3]!Table_1[Brokerage Name2],MATCH(INVESTORS_LIST[[#This Row],[INVESTOR CODE]],[3]!Table_1[INVESTOR CODE],0))</f>
        <v>#REF!</v>
      </c>
      <c r="AE146" s="201" t="e">
        <f>MID(INVESTORS_LIST[[#This Row],[BO ID]],4,5)</f>
        <v>#REF!</v>
      </c>
      <c r="AF146" s="201" t="e">
        <f>MID(INVESTORS_LIST[[#This Row],[BO ID]],2,7)</f>
        <v>#REF!</v>
      </c>
      <c r="AG146" s="201" t="e">
        <f>MID(INVESTORS_LIST[[#This Row],[BO ID]],9,7)</f>
        <v>#REF!</v>
      </c>
      <c r="AH146" s="201" t="e">
        <f>RIGHT(INVESTORS_LIST[[#This Row],[BO ID]],1)</f>
        <v>#REF!</v>
      </c>
      <c r="AI146" s="50">
        <f>INVESTORS_LIST[[#This Row],[LS_TOTAL COST VALUE OF CURRENT UNITS]]+INVESTORS_LIST[[#This Row],[SIP_TOTAL COST VALUE OF CURRENT UNITS]]</f>
        <v>0</v>
      </c>
      <c r="AJ146" s="109">
        <f>IF(INVESTORS_LIST[[#This Row],[TOTAL CURRENT UNITS]]=0,0,INVESTORS_LIST[[#This Row],[LS_TOTAL CURRENT UNITS]]/INVESTORS_LIST[[#This Row],[TOTAL CURRENT UNITS]])</f>
        <v>0</v>
      </c>
      <c r="AK146" s="109">
        <f>IF(INVESTORS_LIST[[#This Row],[TOTAL CURRENT UNITS]]=0,0,INVESTORS_LIST[[#This Row],[SIP_TOTAL CURRENT UNITS]]/INVESTORS_LIST[[#This Row],[TOTAL CURRENT UNITS]])</f>
        <v>0</v>
      </c>
      <c r="AL146" s="49" cm="1">
        <f t="array" ref="AL1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6" s="49" cm="1">
        <f t="array" ref="AM1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6" s="105">
        <f t="shared" si="3"/>
        <v>14.224</v>
      </c>
      <c r="AP146" s="112">
        <f>IF(INVESTORS_LIST[[#This Row],[TOTAL CURRENT UNITS]]=0,0,INVESTORS_LIST[[#This Row],[TOTAL CURRENT UNITS]]*INVESTORS_LIST[[#This Row],[NAV]])</f>
        <v>0</v>
      </c>
      <c r="AQ146" s="49">
        <f>IF(INVESTORS_LIST[[#This Row],[LS_TOTAL CURRENT UNITS]]=0,0,INVESTORS_LIST[[#This Row],[LS_TOTAL CURRENT UNITS]]*INVESTORS_LIST[[#This Row],[NAV]])</f>
        <v>0</v>
      </c>
      <c r="AR146" s="48">
        <f>IF(INVESTORS_LIST[[#This Row],[SIP_TOTAL CURRENT UNITS]]=0,0,INVESTORS_LIST[[#This Row],[SIP_TOTAL CURRENT UNITS]]*INVESTORS_LIST[[#This Row],[NAV]])</f>
        <v>0</v>
      </c>
      <c r="AS146" s="50">
        <f>INVESTORS_LIST[[#This Row],[TOTAL CURRENT UNITS]]</f>
        <v>0</v>
      </c>
      <c r="AT146" s="48">
        <f>IF(INVESTORS_LIST[[#This Row],[TOTAL SELLABLE UNITS]]=0,0,INVESTORS_LIST[[#This Row],[TOTAL SELLABLE UNITS]]*INVESTORS_LIST[[#This Row],[NAV]])</f>
        <v>0</v>
      </c>
      <c r="AU146" s="48">
        <f>INVESTORS_LIST[[#This Row],[LS_TOTAL REALIZED GAIN]]+INVESTORS_LIST[[#This Row],[SIP_TOTAL REALIZED GAIN]]</f>
        <v>0</v>
      </c>
      <c r="AV146" s="48">
        <f>INVESTORS_LIST[[#This Row],[TOTAL MARKET VALUE]]-INVESTORS_LIST[[#This Row],[TOTAL COST VALUE OF CURRENT INVESTMENT]]</f>
        <v>0</v>
      </c>
      <c r="AW146" s="48">
        <f>IFERROR(INVESTORS_LIST[[#This Row],[TOTAL CURRENT UNITS]]/SUM(INVESTORS_LIST[TOTAL CURRENT UNITS]),0)</f>
        <v>0</v>
      </c>
    </row>
    <row r="147" spans="1:49" hidden="1">
      <c r="A147" s="262" t="s">
        <v>341</v>
      </c>
      <c r="B147" s="97" t="s">
        <v>342</v>
      </c>
      <c r="C147" t="s">
        <v>48</v>
      </c>
      <c r="D147" s="75" t="s">
        <v>132</v>
      </c>
      <c r="E147" s="47">
        <f>SUMIFS(LS[Unit],LS[Investor ID],INVESTORS_LIST[[#This Row],[INVESTOR CODE]],LS[B/S],"B")</f>
        <v>0</v>
      </c>
      <c r="F147" s="47">
        <f>-SUMIFS(LS[Unit],LS[Investor ID],INVESTORS_LIST[[#This Row],[INVESTOR CODE]],LS[B/S],"S")</f>
        <v>0</v>
      </c>
      <c r="G147" s="47">
        <f>IF(INVESTORS_LIST[[#This Row],[LS_TOTAL UNITS BUY]]=0,0,INVESTORS_LIST[[#This Row],[LS_TOTAL UNITS BUY]]-INVESTORS_LIST[[#This Row],[LS_TOTAL UNITS SOLD]])</f>
        <v>0</v>
      </c>
      <c r="H147" s="49">
        <f>IF(INVESTORS_LIST[[#This Row],[LS_TOTAL UNITS BUY]]=0,0,SUMIFS(LS[Amount],LS[Investor ID],INVESTORS_LIST[[#This Row],[INVESTOR CODE]],LS[B/S],"B"))</f>
        <v>0</v>
      </c>
      <c r="I147" s="48">
        <f>IF(INVESTORS_LIST[[#This Row],[LS_TOTAL UNITS SOLD]]=0,0,SUMIFS(LS[Cost of Units Sold],LS[Investor ID],INVESTORS_LIST[[#This Row],[INVESTOR CODE]],LS[B/S],"S"))</f>
        <v>0</v>
      </c>
      <c r="J147" s="48">
        <f>IF(INVESTORS_LIST[[#This Row],[LS_TOTAL CURRENT UNITS]]=0,0,INVESTORS_LIST[[#This Row],[LS_TOTAL CURRENT UNITS]]*INVESTORS_LIST[[#This Row],[LS_AVERAGE COST]])</f>
        <v>0</v>
      </c>
      <c r="K147" s="49">
        <f>IF(INVESTORS_LIST[[#This Row],[LS_TOTAL UNITS SOLD]]=0,0,SUMIFS(LS[Realized Gain],LS[Investor ID],INVESTORS_LIST[[#This Row],[INVESTOR CODE]],LS[B/S],"S"))</f>
        <v>0</v>
      </c>
      <c r="L147" s="47">
        <f>SUMIFS(SIP[Unit],SIP[Investor ID],INVESTORS_LIST[[#This Row],[INVESTOR CODE]],SIP[B/S],"B")</f>
        <v>0</v>
      </c>
      <c r="M147" s="47">
        <f>-SUMIFS(SIP[Unit],SIP[Investor ID],INVESTORS_LIST[[#This Row],[INVESTOR CODE]],SIP[B/S],"S")</f>
        <v>0</v>
      </c>
      <c r="N147" s="50">
        <f>IF(INVESTORS_LIST[[#This Row],[SIP_TOTAL UNITS BUY]]=0,0,INVESTORS_LIST[[#This Row],[SIP_TOTAL UNITS BUY]]-INVESTORS_LIST[[#This Row],[SIP_TOTAL UNITS SOLD]])</f>
        <v>0</v>
      </c>
      <c r="O147" s="49">
        <f>IF(INVESTORS_LIST[[#This Row],[SIP_TOTAL UNITS BUY]]=0,0,SUMIFS(SIP[Amount],SIP[Investor ID],INVESTORS_LIST[[#This Row],[INVESTOR CODE]],SIP[B/S],"B"))</f>
        <v>0</v>
      </c>
      <c r="P147" s="49">
        <f>IF(INVESTORS_LIST[[#This Row],[SIP_TOTAL UNITS SOLD]]=0,0,SUMIFS(SIP[Cost of Units Sold],SIP[Investor ID],INVESTORS_LIST[[#This Row],[INVESTOR CODE]],SIP[B/S],"S"))</f>
        <v>0</v>
      </c>
      <c r="Q147" s="48">
        <f>IF(INVESTORS_LIST[[#This Row],[SIP_TOTAL CURRENT UNITS]]=0,0,INVESTORS_LIST[[#This Row],[SIP_TOTAL CURRENT UNITS]]*INVESTORS_LIST[[#This Row],[SIP_AVERAGE COST]])</f>
        <v>0</v>
      </c>
      <c r="R147" s="48">
        <f>IF(INVESTORS_LIST[[#This Row],[SIP_TOTAL UNITS SOLD]]=0,0,SUMIFS(SIP[Realized Gain],SIP[Investor ID],INVESTORS_LIST[[#This Row],[INVESTOR CODE]],SIP[B/S],"S"))</f>
        <v>0</v>
      </c>
      <c r="S147" s="50">
        <f>INVESTORS_LIST[[#This Row],[LS_TOTAL UNITS BUY]]+INVESTORS_LIST[[#This Row],[SIP_TOTAL UNITS BUY]]</f>
        <v>0</v>
      </c>
      <c r="T147" s="50">
        <f>INVESTORS_LIST[[#This Row],[LS_TOTAL UNITS SOLD]]+INVESTORS_LIST[[#This Row],[SIP_TOTAL UNITS SOLD]]</f>
        <v>0</v>
      </c>
      <c r="U147" s="50"/>
      <c r="V147" s="50">
        <f>SUMIFS(LS[BO UNIT TRANSFER],LS[Investor ID],INVESTORS_LIST[[#This Row],[INVESTOR CODE]],LS[B/S],"B")</f>
        <v>0</v>
      </c>
      <c r="W147" s="50">
        <f>SUMIFS(SIP[BO UNIT TRANSFER],SIP[Investor ID],INVESTORS_LIST[[#This Row],[INVESTOR CODE]],SIP[B/S],"B")</f>
        <v>0</v>
      </c>
      <c r="X147" s="50">
        <f>SUMIFS(LS[BO UNIT TRANSFER],LS[Investor ID],INVESTORS_LIST[[#This Row],[INVESTOR CODE]],LS[B/S],"S")</f>
        <v>0</v>
      </c>
      <c r="Y147" s="50">
        <f>SUMIFS(SIP[BO UNIT TRANSFER],SIP[Investor ID],INVESTORS_LIST[[#This Row],[INVESTOR CODE]],SIP[B/S],"S")</f>
        <v>0</v>
      </c>
      <c r="Z147" s="106">
        <f>SUM(INVESTORS_LIST[[#This Row],[BO OPENING BALANCE]:[BO SIP UNITS REPURCHASE]])</f>
        <v>0</v>
      </c>
      <c r="AA147" s="107">
        <f>INVESTORS_LIST[[#This Row],[TOTAL UNITS BUY]]-INVESTORS_LIST[[#This Row],[TOTAL UNITS SOLD]]</f>
        <v>0</v>
      </c>
      <c r="AB147" s="107">
        <f>INVESTORS_LIST[[#This Row],[TOTAL CURRENT UNITS]]-INVESTORS_LIST[[#This Row],[BO UNITS HOLD]]</f>
        <v>0</v>
      </c>
      <c r="AC147" s="201" t="e">
        <f>INDEX([3]!Table_1[BO ID],MATCH(INVESTORS_LIST[[#This Row],[INVESTOR CODE]],[3]!Table_1[INVESTOR CODE],0))</f>
        <v>#REF!</v>
      </c>
      <c r="AD147" s="201" t="e">
        <f>INDEX([3]!Table_1[Brokerage Name2],MATCH(INVESTORS_LIST[[#This Row],[INVESTOR CODE]],[3]!Table_1[INVESTOR CODE],0))</f>
        <v>#REF!</v>
      </c>
      <c r="AE147" s="201" t="e">
        <f>MID(INVESTORS_LIST[[#This Row],[BO ID]],4,5)</f>
        <v>#REF!</v>
      </c>
      <c r="AF147" s="201" t="e">
        <f>MID(INVESTORS_LIST[[#This Row],[BO ID]],2,7)</f>
        <v>#REF!</v>
      </c>
      <c r="AG147" s="201" t="e">
        <f>MID(INVESTORS_LIST[[#This Row],[BO ID]],9,7)</f>
        <v>#REF!</v>
      </c>
      <c r="AH147" s="201" t="e">
        <f>RIGHT(INVESTORS_LIST[[#This Row],[BO ID]],1)</f>
        <v>#REF!</v>
      </c>
      <c r="AI147" s="50">
        <f>INVESTORS_LIST[[#This Row],[LS_TOTAL COST VALUE OF CURRENT UNITS]]+INVESTORS_LIST[[#This Row],[SIP_TOTAL COST VALUE OF CURRENT UNITS]]</f>
        <v>0</v>
      </c>
      <c r="AJ147" s="109">
        <f>IF(INVESTORS_LIST[[#This Row],[TOTAL CURRENT UNITS]]=0,0,INVESTORS_LIST[[#This Row],[LS_TOTAL CURRENT UNITS]]/INVESTORS_LIST[[#This Row],[TOTAL CURRENT UNITS]])</f>
        <v>0</v>
      </c>
      <c r="AK147" s="109">
        <f>IF(INVESTORS_LIST[[#This Row],[TOTAL CURRENT UNITS]]=0,0,INVESTORS_LIST[[#This Row],[SIP_TOTAL CURRENT UNITS]]/INVESTORS_LIST[[#This Row],[TOTAL CURRENT UNITS]])</f>
        <v>0</v>
      </c>
      <c r="AL147" s="49" cm="1">
        <f t="array" ref="AL1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7" s="49" cm="1">
        <f t="array" ref="AM1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7" s="105">
        <f t="shared" si="3"/>
        <v>14.224</v>
      </c>
      <c r="AP147" s="112">
        <f>IF(INVESTORS_LIST[[#This Row],[TOTAL CURRENT UNITS]]=0,0,INVESTORS_LIST[[#This Row],[TOTAL CURRENT UNITS]]*INVESTORS_LIST[[#This Row],[NAV]])</f>
        <v>0</v>
      </c>
      <c r="AQ147" s="49">
        <f>IF(INVESTORS_LIST[[#This Row],[LS_TOTAL CURRENT UNITS]]=0,0,INVESTORS_LIST[[#This Row],[LS_TOTAL CURRENT UNITS]]*INVESTORS_LIST[[#This Row],[NAV]])</f>
        <v>0</v>
      </c>
      <c r="AR147" s="48">
        <f>IF(INVESTORS_LIST[[#This Row],[SIP_TOTAL CURRENT UNITS]]=0,0,INVESTORS_LIST[[#This Row],[SIP_TOTAL CURRENT UNITS]]*INVESTORS_LIST[[#This Row],[NAV]])</f>
        <v>0</v>
      </c>
      <c r="AS147" s="50">
        <f>INVESTORS_LIST[[#This Row],[TOTAL CURRENT UNITS]]</f>
        <v>0</v>
      </c>
      <c r="AT147" s="48">
        <f>IF(INVESTORS_LIST[[#This Row],[TOTAL SELLABLE UNITS]]=0,0,INVESTORS_LIST[[#This Row],[TOTAL SELLABLE UNITS]]*INVESTORS_LIST[[#This Row],[NAV]])</f>
        <v>0</v>
      </c>
      <c r="AU147" s="48">
        <f>INVESTORS_LIST[[#This Row],[LS_TOTAL REALIZED GAIN]]+INVESTORS_LIST[[#This Row],[SIP_TOTAL REALIZED GAIN]]</f>
        <v>0</v>
      </c>
      <c r="AV147" s="48">
        <f>INVESTORS_LIST[[#This Row],[TOTAL MARKET VALUE]]-INVESTORS_LIST[[#This Row],[TOTAL COST VALUE OF CURRENT INVESTMENT]]</f>
        <v>0</v>
      </c>
      <c r="AW147" s="48">
        <f>IFERROR(INVESTORS_LIST[[#This Row],[TOTAL CURRENT UNITS]]/SUM(INVESTORS_LIST[TOTAL CURRENT UNITS]),0)</f>
        <v>0</v>
      </c>
    </row>
    <row r="148" spans="1:49" hidden="1">
      <c r="A148" s="262" t="s">
        <v>343</v>
      </c>
      <c r="B148" s="97" t="s">
        <v>344</v>
      </c>
      <c r="C148" t="s">
        <v>44</v>
      </c>
      <c r="D148" s="75" t="s">
        <v>45</v>
      </c>
      <c r="E148" s="47">
        <f>SUMIFS(LS[Unit],LS[Investor ID],INVESTORS_LIST[[#This Row],[INVESTOR CODE]],LS[B/S],"B")</f>
        <v>0</v>
      </c>
      <c r="F148" s="47">
        <f>-SUMIFS(LS[Unit],LS[Investor ID],INVESTORS_LIST[[#This Row],[INVESTOR CODE]],LS[B/S],"S")</f>
        <v>0</v>
      </c>
      <c r="G148" s="47">
        <f>IF(INVESTORS_LIST[[#This Row],[LS_TOTAL UNITS BUY]]=0,0,INVESTORS_LIST[[#This Row],[LS_TOTAL UNITS BUY]]-INVESTORS_LIST[[#This Row],[LS_TOTAL UNITS SOLD]])</f>
        <v>0</v>
      </c>
      <c r="H148" s="49">
        <f>IF(INVESTORS_LIST[[#This Row],[LS_TOTAL UNITS BUY]]=0,0,SUMIFS(LS[Amount],LS[Investor ID],INVESTORS_LIST[[#This Row],[INVESTOR CODE]],LS[B/S],"B"))</f>
        <v>0</v>
      </c>
      <c r="I148" s="48">
        <f>IF(INVESTORS_LIST[[#This Row],[LS_TOTAL UNITS SOLD]]=0,0,SUMIFS(LS[Cost of Units Sold],LS[Investor ID],INVESTORS_LIST[[#This Row],[INVESTOR CODE]],LS[B/S],"S"))</f>
        <v>0</v>
      </c>
      <c r="J148" s="48">
        <f>IF(INVESTORS_LIST[[#This Row],[LS_TOTAL CURRENT UNITS]]=0,0,INVESTORS_LIST[[#This Row],[LS_TOTAL CURRENT UNITS]]*INVESTORS_LIST[[#This Row],[LS_AVERAGE COST]])</f>
        <v>0</v>
      </c>
      <c r="K148" s="49">
        <f>IF(INVESTORS_LIST[[#This Row],[LS_TOTAL UNITS SOLD]]=0,0,SUMIFS(LS[Realized Gain],LS[Investor ID],INVESTORS_LIST[[#This Row],[INVESTOR CODE]],LS[B/S],"S"))</f>
        <v>0</v>
      </c>
      <c r="L148" s="47">
        <f>SUMIFS(SIP[Unit],SIP[Investor ID],INVESTORS_LIST[[#This Row],[INVESTOR CODE]],SIP[B/S],"B")</f>
        <v>0</v>
      </c>
      <c r="M148" s="47">
        <f>-SUMIFS(SIP[Unit],SIP[Investor ID],INVESTORS_LIST[[#This Row],[INVESTOR CODE]],SIP[B/S],"S")</f>
        <v>0</v>
      </c>
      <c r="N148" s="50">
        <f>IF(INVESTORS_LIST[[#This Row],[SIP_TOTAL UNITS BUY]]=0,0,INVESTORS_LIST[[#This Row],[SIP_TOTAL UNITS BUY]]-INVESTORS_LIST[[#This Row],[SIP_TOTAL UNITS SOLD]])</f>
        <v>0</v>
      </c>
      <c r="O148" s="49">
        <f>IF(INVESTORS_LIST[[#This Row],[SIP_TOTAL UNITS BUY]]=0,0,SUMIFS(SIP[Amount],SIP[Investor ID],INVESTORS_LIST[[#This Row],[INVESTOR CODE]],SIP[B/S],"B"))</f>
        <v>0</v>
      </c>
      <c r="P148" s="49">
        <f>IF(INVESTORS_LIST[[#This Row],[SIP_TOTAL UNITS SOLD]]=0,0,SUMIFS(SIP[Cost of Units Sold],SIP[Investor ID],INVESTORS_LIST[[#This Row],[INVESTOR CODE]],SIP[B/S],"S"))</f>
        <v>0</v>
      </c>
      <c r="Q148" s="48">
        <f>IF(INVESTORS_LIST[[#This Row],[SIP_TOTAL CURRENT UNITS]]=0,0,INVESTORS_LIST[[#This Row],[SIP_TOTAL CURRENT UNITS]]*INVESTORS_LIST[[#This Row],[SIP_AVERAGE COST]])</f>
        <v>0</v>
      </c>
      <c r="R148" s="48">
        <f>IF(INVESTORS_LIST[[#This Row],[SIP_TOTAL UNITS SOLD]]=0,0,SUMIFS(SIP[Realized Gain],SIP[Investor ID],INVESTORS_LIST[[#This Row],[INVESTOR CODE]],SIP[B/S],"S"))</f>
        <v>0</v>
      </c>
      <c r="S148" s="50">
        <f>INVESTORS_LIST[[#This Row],[LS_TOTAL UNITS BUY]]+INVESTORS_LIST[[#This Row],[SIP_TOTAL UNITS BUY]]</f>
        <v>0</v>
      </c>
      <c r="T148" s="50">
        <f>INVESTORS_LIST[[#This Row],[LS_TOTAL UNITS SOLD]]+INVESTORS_LIST[[#This Row],[SIP_TOTAL UNITS SOLD]]</f>
        <v>0</v>
      </c>
      <c r="U148" s="50"/>
      <c r="V148" s="50">
        <f>SUMIFS(LS[BO UNIT TRANSFER],LS[Investor ID],INVESTORS_LIST[[#This Row],[INVESTOR CODE]],LS[B/S],"B")</f>
        <v>0</v>
      </c>
      <c r="W148" s="50">
        <f>SUMIFS(SIP[BO UNIT TRANSFER],SIP[Investor ID],INVESTORS_LIST[[#This Row],[INVESTOR CODE]],SIP[B/S],"B")</f>
        <v>0</v>
      </c>
      <c r="X148" s="50">
        <f>SUMIFS(LS[BO UNIT TRANSFER],LS[Investor ID],INVESTORS_LIST[[#This Row],[INVESTOR CODE]],LS[B/S],"S")</f>
        <v>0</v>
      </c>
      <c r="Y148" s="50">
        <f>SUMIFS(SIP[BO UNIT TRANSFER],SIP[Investor ID],INVESTORS_LIST[[#This Row],[INVESTOR CODE]],SIP[B/S],"S")</f>
        <v>0</v>
      </c>
      <c r="Z148" s="106">
        <f>SUM(INVESTORS_LIST[[#This Row],[BO OPENING BALANCE]:[BO SIP UNITS REPURCHASE]])</f>
        <v>0</v>
      </c>
      <c r="AA148" s="107">
        <f>INVESTORS_LIST[[#This Row],[TOTAL UNITS BUY]]-INVESTORS_LIST[[#This Row],[TOTAL UNITS SOLD]]</f>
        <v>0</v>
      </c>
      <c r="AB148" s="107">
        <f>INVESTORS_LIST[[#This Row],[TOTAL CURRENT UNITS]]-INVESTORS_LIST[[#This Row],[BO UNITS HOLD]]</f>
        <v>0</v>
      </c>
      <c r="AC148" s="201" t="e">
        <f>INDEX([3]!Table_1[BO ID],MATCH(INVESTORS_LIST[[#This Row],[INVESTOR CODE]],[3]!Table_1[INVESTOR CODE],0))</f>
        <v>#REF!</v>
      </c>
      <c r="AD148" s="201" t="e">
        <f>INDEX([3]!Table_1[Brokerage Name2],MATCH(INVESTORS_LIST[[#This Row],[INVESTOR CODE]],[3]!Table_1[INVESTOR CODE],0))</f>
        <v>#REF!</v>
      </c>
      <c r="AE148" s="201" t="e">
        <f>MID(INVESTORS_LIST[[#This Row],[BO ID]],4,5)</f>
        <v>#REF!</v>
      </c>
      <c r="AF148" s="201" t="e">
        <f>MID(INVESTORS_LIST[[#This Row],[BO ID]],2,7)</f>
        <v>#REF!</v>
      </c>
      <c r="AG148" s="201" t="e">
        <f>MID(INVESTORS_LIST[[#This Row],[BO ID]],9,7)</f>
        <v>#REF!</v>
      </c>
      <c r="AH148" s="201" t="e">
        <f>RIGHT(INVESTORS_LIST[[#This Row],[BO ID]],1)</f>
        <v>#REF!</v>
      </c>
      <c r="AI148" s="50">
        <f>INVESTORS_LIST[[#This Row],[LS_TOTAL COST VALUE OF CURRENT UNITS]]+INVESTORS_LIST[[#This Row],[SIP_TOTAL COST VALUE OF CURRENT UNITS]]</f>
        <v>0</v>
      </c>
      <c r="AJ148" s="109">
        <f>IF(INVESTORS_LIST[[#This Row],[TOTAL CURRENT UNITS]]=0,0,INVESTORS_LIST[[#This Row],[LS_TOTAL CURRENT UNITS]]/INVESTORS_LIST[[#This Row],[TOTAL CURRENT UNITS]])</f>
        <v>0</v>
      </c>
      <c r="AK148" s="109">
        <f>IF(INVESTORS_LIST[[#This Row],[TOTAL CURRENT UNITS]]=0,0,INVESTORS_LIST[[#This Row],[SIP_TOTAL CURRENT UNITS]]/INVESTORS_LIST[[#This Row],[TOTAL CURRENT UNITS]])</f>
        <v>0</v>
      </c>
      <c r="AL148" s="49" cm="1">
        <f t="array" ref="AL1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8" s="49" cm="1">
        <f t="array" ref="AM1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8" s="105">
        <f t="shared" si="3"/>
        <v>14.224</v>
      </c>
      <c r="AP148" s="112">
        <f>IF(INVESTORS_LIST[[#This Row],[TOTAL CURRENT UNITS]]=0,0,INVESTORS_LIST[[#This Row],[TOTAL CURRENT UNITS]]*INVESTORS_LIST[[#This Row],[NAV]])</f>
        <v>0</v>
      </c>
      <c r="AQ148" s="49">
        <f>IF(INVESTORS_LIST[[#This Row],[LS_TOTAL CURRENT UNITS]]=0,0,INVESTORS_LIST[[#This Row],[LS_TOTAL CURRENT UNITS]]*INVESTORS_LIST[[#This Row],[NAV]])</f>
        <v>0</v>
      </c>
      <c r="AR148" s="48">
        <f>IF(INVESTORS_LIST[[#This Row],[SIP_TOTAL CURRENT UNITS]]=0,0,INVESTORS_LIST[[#This Row],[SIP_TOTAL CURRENT UNITS]]*INVESTORS_LIST[[#This Row],[NAV]])</f>
        <v>0</v>
      </c>
      <c r="AS148" s="50">
        <f>INVESTORS_LIST[[#This Row],[TOTAL CURRENT UNITS]]</f>
        <v>0</v>
      </c>
      <c r="AT148" s="48">
        <f>IF(INVESTORS_LIST[[#This Row],[TOTAL SELLABLE UNITS]]=0,0,INVESTORS_LIST[[#This Row],[TOTAL SELLABLE UNITS]]*INVESTORS_LIST[[#This Row],[NAV]])</f>
        <v>0</v>
      </c>
      <c r="AU148" s="48">
        <f>INVESTORS_LIST[[#This Row],[LS_TOTAL REALIZED GAIN]]+INVESTORS_LIST[[#This Row],[SIP_TOTAL REALIZED GAIN]]</f>
        <v>0</v>
      </c>
      <c r="AV148" s="48">
        <f>INVESTORS_LIST[[#This Row],[TOTAL MARKET VALUE]]-INVESTORS_LIST[[#This Row],[TOTAL COST VALUE OF CURRENT INVESTMENT]]</f>
        <v>0</v>
      </c>
      <c r="AW148" s="48">
        <f>IFERROR(INVESTORS_LIST[[#This Row],[TOTAL CURRENT UNITS]]/SUM(INVESTORS_LIST[TOTAL CURRENT UNITS]),0)</f>
        <v>0</v>
      </c>
    </row>
    <row r="149" spans="1:49" hidden="1">
      <c r="A149" s="262" t="s">
        <v>345</v>
      </c>
      <c r="B149" s="97" t="s">
        <v>346</v>
      </c>
      <c r="C149" t="s">
        <v>44</v>
      </c>
      <c r="D149" s="75" t="s">
        <v>45</v>
      </c>
      <c r="E149" s="47">
        <f>SUMIFS(LS[Unit],LS[Investor ID],INVESTORS_LIST[[#This Row],[INVESTOR CODE]],LS[B/S],"B")</f>
        <v>0</v>
      </c>
      <c r="F149" s="47">
        <f>-SUMIFS(LS[Unit],LS[Investor ID],INVESTORS_LIST[[#This Row],[INVESTOR CODE]],LS[B/S],"S")</f>
        <v>0</v>
      </c>
      <c r="G149" s="47">
        <f>IF(INVESTORS_LIST[[#This Row],[LS_TOTAL UNITS BUY]]=0,0,INVESTORS_LIST[[#This Row],[LS_TOTAL UNITS BUY]]-INVESTORS_LIST[[#This Row],[LS_TOTAL UNITS SOLD]])</f>
        <v>0</v>
      </c>
      <c r="H149" s="49">
        <f>IF(INVESTORS_LIST[[#This Row],[LS_TOTAL UNITS BUY]]=0,0,SUMIFS(LS[Amount],LS[Investor ID],INVESTORS_LIST[[#This Row],[INVESTOR CODE]],LS[B/S],"B"))</f>
        <v>0</v>
      </c>
      <c r="I149" s="48">
        <f>IF(INVESTORS_LIST[[#This Row],[LS_TOTAL UNITS SOLD]]=0,0,SUMIFS(LS[Cost of Units Sold],LS[Investor ID],INVESTORS_LIST[[#This Row],[INVESTOR CODE]],LS[B/S],"S"))</f>
        <v>0</v>
      </c>
      <c r="J149" s="48">
        <f>IF(INVESTORS_LIST[[#This Row],[LS_TOTAL CURRENT UNITS]]=0,0,INVESTORS_LIST[[#This Row],[LS_TOTAL CURRENT UNITS]]*INVESTORS_LIST[[#This Row],[LS_AVERAGE COST]])</f>
        <v>0</v>
      </c>
      <c r="K149" s="49">
        <f>IF(INVESTORS_LIST[[#This Row],[LS_TOTAL UNITS SOLD]]=0,0,SUMIFS(LS[Realized Gain],LS[Investor ID],INVESTORS_LIST[[#This Row],[INVESTOR CODE]],LS[B/S],"S"))</f>
        <v>0</v>
      </c>
      <c r="L149" s="47">
        <f>SUMIFS(SIP[Unit],SIP[Investor ID],INVESTORS_LIST[[#This Row],[INVESTOR CODE]],SIP[B/S],"B")</f>
        <v>0</v>
      </c>
      <c r="M149" s="47">
        <f>-SUMIFS(SIP[Unit],SIP[Investor ID],INVESTORS_LIST[[#This Row],[INVESTOR CODE]],SIP[B/S],"S")</f>
        <v>0</v>
      </c>
      <c r="N149" s="50">
        <f>IF(INVESTORS_LIST[[#This Row],[SIP_TOTAL UNITS BUY]]=0,0,INVESTORS_LIST[[#This Row],[SIP_TOTAL UNITS BUY]]-INVESTORS_LIST[[#This Row],[SIP_TOTAL UNITS SOLD]])</f>
        <v>0</v>
      </c>
      <c r="O149" s="49">
        <f>IF(INVESTORS_LIST[[#This Row],[SIP_TOTAL UNITS BUY]]=0,0,SUMIFS(SIP[Amount],SIP[Investor ID],INVESTORS_LIST[[#This Row],[INVESTOR CODE]],SIP[B/S],"B"))</f>
        <v>0</v>
      </c>
      <c r="P149" s="49">
        <f>IF(INVESTORS_LIST[[#This Row],[SIP_TOTAL UNITS SOLD]]=0,0,SUMIFS(SIP[Cost of Units Sold],SIP[Investor ID],INVESTORS_LIST[[#This Row],[INVESTOR CODE]],SIP[B/S],"S"))</f>
        <v>0</v>
      </c>
      <c r="Q149" s="48">
        <f>IF(INVESTORS_LIST[[#This Row],[SIP_TOTAL CURRENT UNITS]]=0,0,INVESTORS_LIST[[#This Row],[SIP_TOTAL CURRENT UNITS]]*INVESTORS_LIST[[#This Row],[SIP_AVERAGE COST]])</f>
        <v>0</v>
      </c>
      <c r="R149" s="48">
        <f>IF(INVESTORS_LIST[[#This Row],[SIP_TOTAL UNITS SOLD]]=0,0,SUMIFS(SIP[Realized Gain],SIP[Investor ID],INVESTORS_LIST[[#This Row],[INVESTOR CODE]],SIP[B/S],"S"))</f>
        <v>0</v>
      </c>
      <c r="S149" s="50">
        <f>INVESTORS_LIST[[#This Row],[LS_TOTAL UNITS BUY]]+INVESTORS_LIST[[#This Row],[SIP_TOTAL UNITS BUY]]</f>
        <v>0</v>
      </c>
      <c r="T149" s="50">
        <f>INVESTORS_LIST[[#This Row],[LS_TOTAL UNITS SOLD]]+INVESTORS_LIST[[#This Row],[SIP_TOTAL UNITS SOLD]]</f>
        <v>0</v>
      </c>
      <c r="U149" s="50"/>
      <c r="V149" s="50">
        <f>SUMIFS(LS[BO UNIT TRANSFER],LS[Investor ID],INVESTORS_LIST[[#This Row],[INVESTOR CODE]],LS[B/S],"B")</f>
        <v>0</v>
      </c>
      <c r="W149" s="50">
        <f>SUMIFS(SIP[BO UNIT TRANSFER],SIP[Investor ID],INVESTORS_LIST[[#This Row],[INVESTOR CODE]],SIP[B/S],"B")</f>
        <v>0</v>
      </c>
      <c r="X149" s="50">
        <f>SUMIFS(LS[BO UNIT TRANSFER],LS[Investor ID],INVESTORS_LIST[[#This Row],[INVESTOR CODE]],LS[B/S],"S")</f>
        <v>0</v>
      </c>
      <c r="Y149" s="50">
        <f>SUMIFS(SIP[BO UNIT TRANSFER],SIP[Investor ID],INVESTORS_LIST[[#This Row],[INVESTOR CODE]],SIP[B/S],"S")</f>
        <v>0</v>
      </c>
      <c r="Z149" s="106">
        <f>SUM(INVESTORS_LIST[[#This Row],[BO OPENING BALANCE]:[BO SIP UNITS REPURCHASE]])</f>
        <v>0</v>
      </c>
      <c r="AA149" s="107">
        <f>INVESTORS_LIST[[#This Row],[TOTAL UNITS BUY]]-INVESTORS_LIST[[#This Row],[TOTAL UNITS SOLD]]</f>
        <v>0</v>
      </c>
      <c r="AB149" s="107">
        <f>INVESTORS_LIST[[#This Row],[TOTAL CURRENT UNITS]]-INVESTORS_LIST[[#This Row],[BO UNITS HOLD]]</f>
        <v>0</v>
      </c>
      <c r="AC149" s="201" t="e">
        <f>INDEX([3]!Table_1[BO ID],MATCH(INVESTORS_LIST[[#This Row],[INVESTOR CODE]],[3]!Table_1[INVESTOR CODE],0))</f>
        <v>#REF!</v>
      </c>
      <c r="AD149" s="201" t="e">
        <f>INDEX([3]!Table_1[Brokerage Name2],MATCH(INVESTORS_LIST[[#This Row],[INVESTOR CODE]],[3]!Table_1[INVESTOR CODE],0))</f>
        <v>#REF!</v>
      </c>
      <c r="AE149" s="201" t="e">
        <f>MID(INVESTORS_LIST[[#This Row],[BO ID]],4,5)</f>
        <v>#REF!</v>
      </c>
      <c r="AF149" s="201" t="e">
        <f>MID(INVESTORS_LIST[[#This Row],[BO ID]],2,7)</f>
        <v>#REF!</v>
      </c>
      <c r="AG149" s="201" t="e">
        <f>MID(INVESTORS_LIST[[#This Row],[BO ID]],9,7)</f>
        <v>#REF!</v>
      </c>
      <c r="AH149" s="201" t="e">
        <f>RIGHT(INVESTORS_LIST[[#This Row],[BO ID]],1)</f>
        <v>#REF!</v>
      </c>
      <c r="AI149" s="50">
        <f>INVESTORS_LIST[[#This Row],[LS_TOTAL COST VALUE OF CURRENT UNITS]]+INVESTORS_LIST[[#This Row],[SIP_TOTAL COST VALUE OF CURRENT UNITS]]</f>
        <v>0</v>
      </c>
      <c r="AJ149" s="109">
        <f>IF(INVESTORS_LIST[[#This Row],[TOTAL CURRENT UNITS]]=0,0,INVESTORS_LIST[[#This Row],[LS_TOTAL CURRENT UNITS]]/INVESTORS_LIST[[#This Row],[TOTAL CURRENT UNITS]])</f>
        <v>0</v>
      </c>
      <c r="AK149" s="109">
        <f>IF(INVESTORS_LIST[[#This Row],[TOTAL CURRENT UNITS]]=0,0,INVESTORS_LIST[[#This Row],[SIP_TOTAL CURRENT UNITS]]/INVESTORS_LIST[[#This Row],[TOTAL CURRENT UNITS]])</f>
        <v>0</v>
      </c>
      <c r="AL149" s="49" cm="1">
        <f t="array" ref="AL1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49" s="49" cm="1">
        <f t="array" ref="AM1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4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49" s="105">
        <f t="shared" si="3"/>
        <v>14.224</v>
      </c>
      <c r="AP149" s="112">
        <f>IF(INVESTORS_LIST[[#This Row],[TOTAL CURRENT UNITS]]=0,0,INVESTORS_LIST[[#This Row],[TOTAL CURRENT UNITS]]*INVESTORS_LIST[[#This Row],[NAV]])</f>
        <v>0</v>
      </c>
      <c r="AQ149" s="49">
        <f>IF(INVESTORS_LIST[[#This Row],[LS_TOTAL CURRENT UNITS]]=0,0,INVESTORS_LIST[[#This Row],[LS_TOTAL CURRENT UNITS]]*INVESTORS_LIST[[#This Row],[NAV]])</f>
        <v>0</v>
      </c>
      <c r="AR149" s="48">
        <f>IF(INVESTORS_LIST[[#This Row],[SIP_TOTAL CURRENT UNITS]]=0,0,INVESTORS_LIST[[#This Row],[SIP_TOTAL CURRENT UNITS]]*INVESTORS_LIST[[#This Row],[NAV]])</f>
        <v>0</v>
      </c>
      <c r="AS149" s="50">
        <f>INVESTORS_LIST[[#This Row],[TOTAL CURRENT UNITS]]</f>
        <v>0</v>
      </c>
      <c r="AT149" s="48">
        <f>IF(INVESTORS_LIST[[#This Row],[TOTAL SELLABLE UNITS]]=0,0,INVESTORS_LIST[[#This Row],[TOTAL SELLABLE UNITS]]*INVESTORS_LIST[[#This Row],[NAV]])</f>
        <v>0</v>
      </c>
      <c r="AU149" s="48">
        <f>INVESTORS_LIST[[#This Row],[LS_TOTAL REALIZED GAIN]]+INVESTORS_LIST[[#This Row],[SIP_TOTAL REALIZED GAIN]]</f>
        <v>0</v>
      </c>
      <c r="AV149" s="48">
        <f>INVESTORS_LIST[[#This Row],[TOTAL MARKET VALUE]]-INVESTORS_LIST[[#This Row],[TOTAL COST VALUE OF CURRENT INVESTMENT]]</f>
        <v>0</v>
      </c>
      <c r="AW149" s="48">
        <f>IFERROR(INVESTORS_LIST[[#This Row],[TOTAL CURRENT UNITS]]/SUM(INVESTORS_LIST[TOTAL CURRENT UNITS]),0)</f>
        <v>0</v>
      </c>
    </row>
    <row r="150" spans="1:49" hidden="1">
      <c r="A150" s="262" t="s">
        <v>347</v>
      </c>
      <c r="B150" s="97" t="s">
        <v>348</v>
      </c>
      <c r="C150" t="s">
        <v>44</v>
      </c>
      <c r="D150" s="75" t="s">
        <v>45</v>
      </c>
      <c r="E150" s="47">
        <f>SUMIFS(LS[Unit],LS[Investor ID],INVESTORS_LIST[[#This Row],[INVESTOR CODE]],LS[B/S],"B")</f>
        <v>28948</v>
      </c>
      <c r="F150" s="47">
        <f>-SUMIFS(LS[Unit],LS[Investor ID],INVESTORS_LIST[[#This Row],[INVESTOR CODE]],LS[B/S],"S")</f>
        <v>28948</v>
      </c>
      <c r="G150" s="47">
        <f>IF(INVESTORS_LIST[[#This Row],[LS_TOTAL UNITS BUY]]=0,0,INVESTORS_LIST[[#This Row],[LS_TOTAL UNITS BUY]]-INVESTORS_LIST[[#This Row],[LS_TOTAL UNITS SOLD]])</f>
        <v>0</v>
      </c>
      <c r="H150" s="49">
        <f>IF(INVESTORS_LIST[[#This Row],[LS_TOTAL UNITS BUY]]=0,0,SUMIFS(LS[Amount],LS[Investor ID],INVESTORS_LIST[[#This Row],[INVESTOR CODE]],LS[B/S],"B"))</f>
        <v>300000</v>
      </c>
      <c r="I150" s="48">
        <f>IF(INVESTORS_LIST[[#This Row],[LS_TOTAL UNITS SOLD]]=0,0,SUMIFS(LS[Cost of Units Sold],LS[Investor ID],INVESTORS_LIST[[#This Row],[INVESTOR CODE]],LS[B/S],"S"))</f>
        <v>300000</v>
      </c>
      <c r="J150" s="48">
        <f>IF(INVESTORS_LIST[[#This Row],[LS_TOTAL CURRENT UNITS]]=0,0,INVESTORS_LIST[[#This Row],[LS_TOTAL CURRENT UNITS]]*INVESTORS_LIST[[#This Row],[LS_AVERAGE COST]])</f>
        <v>0</v>
      </c>
      <c r="K150" s="49">
        <f>IF(INVESTORS_LIST[[#This Row],[LS_TOTAL UNITS SOLD]]=0,0,SUMIFS(LS[Realized Gain],LS[Investor ID],INVESTORS_LIST[[#This Row],[INVESTOR CODE]],LS[B/S],"S"))</f>
        <v>19991.189999999988</v>
      </c>
      <c r="L150" s="47">
        <f>SUMIFS(SIP[Unit],SIP[Investor ID],INVESTORS_LIST[[#This Row],[INVESTOR CODE]],SIP[B/S],"B")</f>
        <v>0</v>
      </c>
      <c r="M150" s="47">
        <f>-SUMIFS(SIP[Unit],SIP[Investor ID],INVESTORS_LIST[[#This Row],[INVESTOR CODE]],SIP[B/S],"S")</f>
        <v>0</v>
      </c>
      <c r="N150" s="50">
        <f>IF(INVESTORS_LIST[[#This Row],[SIP_TOTAL UNITS BUY]]=0,0,INVESTORS_LIST[[#This Row],[SIP_TOTAL UNITS BUY]]-INVESTORS_LIST[[#This Row],[SIP_TOTAL UNITS SOLD]])</f>
        <v>0</v>
      </c>
      <c r="O150" s="49">
        <f>IF(INVESTORS_LIST[[#This Row],[SIP_TOTAL UNITS BUY]]=0,0,SUMIFS(SIP[Amount],SIP[Investor ID],INVESTORS_LIST[[#This Row],[INVESTOR CODE]],SIP[B/S],"B"))</f>
        <v>0</v>
      </c>
      <c r="P150" s="49">
        <f>IF(INVESTORS_LIST[[#This Row],[SIP_TOTAL UNITS SOLD]]=0,0,SUMIFS(SIP[Cost of Units Sold],SIP[Investor ID],INVESTORS_LIST[[#This Row],[INVESTOR CODE]],SIP[B/S],"S"))</f>
        <v>0</v>
      </c>
      <c r="Q150" s="48">
        <f>IF(INVESTORS_LIST[[#This Row],[SIP_TOTAL CURRENT UNITS]]=0,0,INVESTORS_LIST[[#This Row],[SIP_TOTAL CURRENT UNITS]]*INVESTORS_LIST[[#This Row],[SIP_AVERAGE COST]])</f>
        <v>0</v>
      </c>
      <c r="R150" s="48">
        <f>IF(INVESTORS_LIST[[#This Row],[SIP_TOTAL UNITS SOLD]]=0,0,SUMIFS(SIP[Realized Gain],SIP[Investor ID],INVESTORS_LIST[[#This Row],[INVESTOR CODE]],SIP[B/S],"S"))</f>
        <v>0</v>
      </c>
      <c r="S150" s="50">
        <f>INVESTORS_LIST[[#This Row],[LS_TOTAL UNITS BUY]]+INVESTORS_LIST[[#This Row],[SIP_TOTAL UNITS BUY]]</f>
        <v>28948</v>
      </c>
      <c r="T150" s="50">
        <f>INVESTORS_LIST[[#This Row],[LS_TOTAL UNITS SOLD]]+INVESTORS_LIST[[#This Row],[SIP_TOTAL UNITS SOLD]]</f>
        <v>28948</v>
      </c>
      <c r="U150" s="50"/>
      <c r="V150" s="50">
        <f>SUMIFS(LS[BO UNIT TRANSFER],LS[Investor ID],INVESTORS_LIST[[#This Row],[INVESTOR CODE]],LS[B/S],"B")</f>
        <v>0</v>
      </c>
      <c r="W150" s="50">
        <f>SUMIFS(SIP[BO UNIT TRANSFER],SIP[Investor ID],INVESTORS_LIST[[#This Row],[INVESTOR CODE]],SIP[B/S],"B")</f>
        <v>0</v>
      </c>
      <c r="X150" s="50">
        <f>SUMIFS(LS[BO UNIT TRANSFER],LS[Investor ID],INVESTORS_LIST[[#This Row],[INVESTOR CODE]],LS[B/S],"S")</f>
        <v>0</v>
      </c>
      <c r="Y150" s="50">
        <f>SUMIFS(SIP[BO UNIT TRANSFER],SIP[Investor ID],INVESTORS_LIST[[#This Row],[INVESTOR CODE]],SIP[B/S],"S")</f>
        <v>0</v>
      </c>
      <c r="Z150" s="106">
        <f>SUM(INVESTORS_LIST[[#This Row],[BO OPENING BALANCE]:[BO SIP UNITS REPURCHASE]])</f>
        <v>0</v>
      </c>
      <c r="AA150" s="107">
        <f>INVESTORS_LIST[[#This Row],[TOTAL UNITS BUY]]-INVESTORS_LIST[[#This Row],[TOTAL UNITS SOLD]]</f>
        <v>0</v>
      </c>
      <c r="AB150" s="107">
        <f>INVESTORS_LIST[[#This Row],[TOTAL CURRENT UNITS]]-INVESTORS_LIST[[#This Row],[BO UNITS HOLD]]</f>
        <v>0</v>
      </c>
      <c r="AC150" s="201" t="e">
        <f>INDEX([3]!Table_1[BO ID],MATCH(INVESTORS_LIST[[#This Row],[INVESTOR CODE]],[3]!Table_1[INVESTOR CODE],0))</f>
        <v>#REF!</v>
      </c>
      <c r="AD150" s="201" t="e">
        <f>INDEX([3]!Table_1[Brokerage Name2],MATCH(INVESTORS_LIST[[#This Row],[INVESTOR CODE]],[3]!Table_1[INVESTOR CODE],0))</f>
        <v>#REF!</v>
      </c>
      <c r="AE150" s="201" t="e">
        <f>MID(INVESTORS_LIST[[#This Row],[BO ID]],4,5)</f>
        <v>#REF!</v>
      </c>
      <c r="AF150" s="201" t="e">
        <f>MID(INVESTORS_LIST[[#This Row],[BO ID]],2,7)</f>
        <v>#REF!</v>
      </c>
      <c r="AG150" s="201" t="e">
        <f>MID(INVESTORS_LIST[[#This Row],[BO ID]],9,7)</f>
        <v>#REF!</v>
      </c>
      <c r="AH150" s="201" t="e">
        <f>RIGHT(INVESTORS_LIST[[#This Row],[BO ID]],1)</f>
        <v>#REF!</v>
      </c>
      <c r="AI150" s="50">
        <f>INVESTORS_LIST[[#This Row],[LS_TOTAL COST VALUE OF CURRENT UNITS]]+INVESTORS_LIST[[#This Row],[SIP_TOTAL COST VALUE OF CURRENT UNITS]]</f>
        <v>0</v>
      </c>
      <c r="AJ150" s="109">
        <f>IF(INVESTORS_LIST[[#This Row],[TOTAL CURRENT UNITS]]=0,0,INVESTORS_LIST[[#This Row],[LS_TOTAL CURRENT UNITS]]/INVESTORS_LIST[[#This Row],[TOTAL CURRENT UNITS]])</f>
        <v>0</v>
      </c>
      <c r="AK150" s="109">
        <f>IF(INVESTORS_LIST[[#This Row],[TOTAL CURRENT UNITS]]=0,0,INVESTORS_LIST[[#This Row],[SIP_TOTAL CURRENT UNITS]]/INVESTORS_LIST[[#This Row],[TOTAL CURRENT UNITS]])</f>
        <v>0</v>
      </c>
      <c r="AL150" s="49" cm="1">
        <f t="array" ref="AL1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0" s="49" cm="1">
        <f t="array" ref="AM1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0" s="105">
        <f t="shared" si="3"/>
        <v>14.224</v>
      </c>
      <c r="AP150" s="112">
        <f>IF(INVESTORS_LIST[[#This Row],[TOTAL CURRENT UNITS]]=0,0,INVESTORS_LIST[[#This Row],[TOTAL CURRENT UNITS]]*INVESTORS_LIST[[#This Row],[NAV]])</f>
        <v>0</v>
      </c>
      <c r="AQ150" s="49">
        <f>IF(INVESTORS_LIST[[#This Row],[LS_TOTAL CURRENT UNITS]]=0,0,INVESTORS_LIST[[#This Row],[LS_TOTAL CURRENT UNITS]]*INVESTORS_LIST[[#This Row],[NAV]])</f>
        <v>0</v>
      </c>
      <c r="AR150" s="48">
        <f>IF(INVESTORS_LIST[[#This Row],[SIP_TOTAL CURRENT UNITS]]=0,0,INVESTORS_LIST[[#This Row],[SIP_TOTAL CURRENT UNITS]]*INVESTORS_LIST[[#This Row],[NAV]])</f>
        <v>0</v>
      </c>
      <c r="AS150" s="50">
        <f>INVESTORS_LIST[[#This Row],[TOTAL CURRENT UNITS]]</f>
        <v>0</v>
      </c>
      <c r="AT150" s="48">
        <f>IF(INVESTORS_LIST[[#This Row],[TOTAL SELLABLE UNITS]]=0,0,INVESTORS_LIST[[#This Row],[TOTAL SELLABLE UNITS]]*INVESTORS_LIST[[#This Row],[NAV]])</f>
        <v>0</v>
      </c>
      <c r="AU150" s="48">
        <f>INVESTORS_LIST[[#This Row],[LS_TOTAL REALIZED GAIN]]+INVESTORS_LIST[[#This Row],[SIP_TOTAL REALIZED GAIN]]</f>
        <v>19991.189999999988</v>
      </c>
      <c r="AV150" s="48">
        <f>INVESTORS_LIST[[#This Row],[TOTAL MARKET VALUE]]-INVESTORS_LIST[[#This Row],[TOTAL COST VALUE OF CURRENT INVESTMENT]]</f>
        <v>0</v>
      </c>
      <c r="AW150" s="108">
        <f>IFERROR(INVESTORS_LIST[[#This Row],[TOTAL CURRENT UNITS]]/SUM(INVESTORS_LIST[TOTAL CURRENT UNITS]),0)</f>
        <v>0</v>
      </c>
    </row>
    <row r="151" spans="1:49" hidden="1">
      <c r="A151" s="262" t="s">
        <v>349</v>
      </c>
      <c r="B151" s="97" t="s">
        <v>350</v>
      </c>
      <c r="C151" t="s">
        <v>48</v>
      </c>
      <c r="D151" s="75" t="s">
        <v>49</v>
      </c>
      <c r="E151" s="47">
        <f>SUMIFS(LS[Unit],LS[Investor ID],INVESTORS_LIST[[#This Row],[INVESTOR CODE]],LS[B/S],"B")</f>
        <v>0</v>
      </c>
      <c r="F151" s="47">
        <f>-SUMIFS(LS[Unit],LS[Investor ID],INVESTORS_LIST[[#This Row],[INVESTOR CODE]],LS[B/S],"S")</f>
        <v>0</v>
      </c>
      <c r="G151" s="47">
        <f>IF(INVESTORS_LIST[[#This Row],[LS_TOTAL UNITS BUY]]=0,0,INVESTORS_LIST[[#This Row],[LS_TOTAL UNITS BUY]]-INVESTORS_LIST[[#This Row],[LS_TOTAL UNITS SOLD]])</f>
        <v>0</v>
      </c>
      <c r="H151" s="49">
        <f>IF(INVESTORS_LIST[[#This Row],[LS_TOTAL UNITS BUY]]=0,0,SUMIFS(LS[Amount],LS[Investor ID],INVESTORS_LIST[[#This Row],[INVESTOR CODE]],LS[B/S],"B"))</f>
        <v>0</v>
      </c>
      <c r="I151" s="48">
        <f>IF(INVESTORS_LIST[[#This Row],[LS_TOTAL UNITS SOLD]]=0,0,SUMIFS(LS[Cost of Units Sold],LS[Investor ID],INVESTORS_LIST[[#This Row],[INVESTOR CODE]],LS[B/S],"S"))</f>
        <v>0</v>
      </c>
      <c r="J151" s="48">
        <f>IF(INVESTORS_LIST[[#This Row],[LS_TOTAL CURRENT UNITS]]=0,0,INVESTORS_LIST[[#This Row],[LS_TOTAL CURRENT UNITS]]*INVESTORS_LIST[[#This Row],[LS_AVERAGE COST]])</f>
        <v>0</v>
      </c>
      <c r="K151" s="49">
        <f>IF(INVESTORS_LIST[[#This Row],[LS_TOTAL UNITS SOLD]]=0,0,SUMIFS(LS[Realized Gain],LS[Investor ID],INVESTORS_LIST[[#This Row],[INVESTOR CODE]],LS[B/S],"S"))</f>
        <v>0</v>
      </c>
      <c r="L151" s="47">
        <f>SUMIFS(SIP[Unit],SIP[Investor ID],INVESTORS_LIST[[#This Row],[INVESTOR CODE]],SIP[B/S],"B")</f>
        <v>0</v>
      </c>
      <c r="M151" s="47">
        <f>-SUMIFS(SIP[Unit],SIP[Investor ID],INVESTORS_LIST[[#This Row],[INVESTOR CODE]],SIP[B/S],"S")</f>
        <v>0</v>
      </c>
      <c r="N151" s="50">
        <f>IF(INVESTORS_LIST[[#This Row],[SIP_TOTAL UNITS BUY]]=0,0,INVESTORS_LIST[[#This Row],[SIP_TOTAL UNITS BUY]]-INVESTORS_LIST[[#This Row],[SIP_TOTAL UNITS SOLD]])</f>
        <v>0</v>
      </c>
      <c r="O151" s="49">
        <f>IF(INVESTORS_LIST[[#This Row],[SIP_TOTAL UNITS BUY]]=0,0,SUMIFS(SIP[Amount],SIP[Investor ID],INVESTORS_LIST[[#This Row],[INVESTOR CODE]],SIP[B/S],"B"))</f>
        <v>0</v>
      </c>
      <c r="P151" s="49">
        <f>IF(INVESTORS_LIST[[#This Row],[SIP_TOTAL UNITS SOLD]]=0,0,SUMIFS(SIP[Cost of Units Sold],SIP[Investor ID],INVESTORS_LIST[[#This Row],[INVESTOR CODE]],SIP[B/S],"S"))</f>
        <v>0</v>
      </c>
      <c r="Q151" s="48">
        <f>IF(INVESTORS_LIST[[#This Row],[SIP_TOTAL CURRENT UNITS]]=0,0,INVESTORS_LIST[[#This Row],[SIP_TOTAL CURRENT UNITS]]*INVESTORS_LIST[[#This Row],[SIP_AVERAGE COST]])</f>
        <v>0</v>
      </c>
      <c r="R151" s="48">
        <f>IF(INVESTORS_LIST[[#This Row],[SIP_TOTAL UNITS SOLD]]=0,0,SUMIFS(SIP[Realized Gain],SIP[Investor ID],INVESTORS_LIST[[#This Row],[INVESTOR CODE]],SIP[B/S],"S"))</f>
        <v>0</v>
      </c>
      <c r="S151" s="50">
        <f>INVESTORS_LIST[[#This Row],[LS_TOTAL UNITS BUY]]+INVESTORS_LIST[[#This Row],[SIP_TOTAL UNITS BUY]]</f>
        <v>0</v>
      </c>
      <c r="T151" s="50">
        <f>INVESTORS_LIST[[#This Row],[LS_TOTAL UNITS SOLD]]+INVESTORS_LIST[[#This Row],[SIP_TOTAL UNITS SOLD]]</f>
        <v>0</v>
      </c>
      <c r="U151" s="50"/>
      <c r="V151" s="50">
        <f>SUMIFS(LS[BO UNIT TRANSFER],LS[Investor ID],INVESTORS_LIST[[#This Row],[INVESTOR CODE]],LS[B/S],"B")</f>
        <v>0</v>
      </c>
      <c r="W151" s="50">
        <f>SUMIFS(SIP[BO UNIT TRANSFER],SIP[Investor ID],INVESTORS_LIST[[#This Row],[INVESTOR CODE]],SIP[B/S],"B")</f>
        <v>0</v>
      </c>
      <c r="X151" s="50">
        <f>SUMIFS(LS[BO UNIT TRANSFER],LS[Investor ID],INVESTORS_LIST[[#This Row],[INVESTOR CODE]],LS[B/S],"S")</f>
        <v>0</v>
      </c>
      <c r="Y151" s="50">
        <f>SUMIFS(SIP[BO UNIT TRANSFER],SIP[Investor ID],INVESTORS_LIST[[#This Row],[INVESTOR CODE]],SIP[B/S],"S")</f>
        <v>0</v>
      </c>
      <c r="Z151" s="106">
        <f>SUM(INVESTORS_LIST[[#This Row],[BO OPENING BALANCE]:[BO SIP UNITS REPURCHASE]])</f>
        <v>0</v>
      </c>
      <c r="AA151" s="107">
        <f>INVESTORS_LIST[[#This Row],[TOTAL UNITS BUY]]-INVESTORS_LIST[[#This Row],[TOTAL UNITS SOLD]]</f>
        <v>0</v>
      </c>
      <c r="AB151" s="107">
        <f>INVESTORS_LIST[[#This Row],[TOTAL CURRENT UNITS]]-INVESTORS_LIST[[#This Row],[BO UNITS HOLD]]</f>
        <v>0</v>
      </c>
      <c r="AC151" s="201" t="e">
        <f>INDEX([3]!Table_1[BO ID],MATCH(INVESTORS_LIST[[#This Row],[INVESTOR CODE]],[3]!Table_1[INVESTOR CODE],0))</f>
        <v>#REF!</v>
      </c>
      <c r="AD151" s="201" t="e">
        <f>INDEX([3]!Table_1[Brokerage Name2],MATCH(INVESTORS_LIST[[#This Row],[INVESTOR CODE]],[3]!Table_1[INVESTOR CODE],0))</f>
        <v>#REF!</v>
      </c>
      <c r="AE151" s="201" t="e">
        <f>MID(INVESTORS_LIST[[#This Row],[BO ID]],4,5)</f>
        <v>#REF!</v>
      </c>
      <c r="AF151" s="201" t="e">
        <f>MID(INVESTORS_LIST[[#This Row],[BO ID]],2,7)</f>
        <v>#REF!</v>
      </c>
      <c r="AG151" s="201" t="e">
        <f>MID(INVESTORS_LIST[[#This Row],[BO ID]],9,7)</f>
        <v>#REF!</v>
      </c>
      <c r="AH151" s="201" t="e">
        <f>RIGHT(INVESTORS_LIST[[#This Row],[BO ID]],1)</f>
        <v>#REF!</v>
      </c>
      <c r="AI151" s="50">
        <f>INVESTORS_LIST[[#This Row],[LS_TOTAL COST VALUE OF CURRENT UNITS]]+INVESTORS_LIST[[#This Row],[SIP_TOTAL COST VALUE OF CURRENT UNITS]]</f>
        <v>0</v>
      </c>
      <c r="AJ151" s="109">
        <f>IF(INVESTORS_LIST[[#This Row],[TOTAL CURRENT UNITS]]=0,0,INVESTORS_LIST[[#This Row],[LS_TOTAL CURRENT UNITS]]/INVESTORS_LIST[[#This Row],[TOTAL CURRENT UNITS]])</f>
        <v>0</v>
      </c>
      <c r="AK151" s="109">
        <f>IF(INVESTORS_LIST[[#This Row],[TOTAL CURRENT UNITS]]=0,0,INVESTORS_LIST[[#This Row],[SIP_TOTAL CURRENT UNITS]]/INVESTORS_LIST[[#This Row],[TOTAL CURRENT UNITS]])</f>
        <v>0</v>
      </c>
      <c r="AL151" s="49" cm="1">
        <f t="array" ref="AL1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1" s="49" cm="1">
        <f t="array" ref="AM1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1" s="105">
        <f t="shared" si="3"/>
        <v>14.224</v>
      </c>
      <c r="AP151" s="112">
        <f>IF(INVESTORS_LIST[[#This Row],[TOTAL CURRENT UNITS]]=0,0,INVESTORS_LIST[[#This Row],[TOTAL CURRENT UNITS]]*INVESTORS_LIST[[#This Row],[NAV]])</f>
        <v>0</v>
      </c>
      <c r="AQ151" s="49">
        <f>IF(INVESTORS_LIST[[#This Row],[LS_TOTAL CURRENT UNITS]]=0,0,INVESTORS_LIST[[#This Row],[LS_TOTAL CURRENT UNITS]]*INVESTORS_LIST[[#This Row],[NAV]])</f>
        <v>0</v>
      </c>
      <c r="AR151" s="48">
        <f>IF(INVESTORS_LIST[[#This Row],[SIP_TOTAL CURRENT UNITS]]=0,0,INVESTORS_LIST[[#This Row],[SIP_TOTAL CURRENT UNITS]]*INVESTORS_LIST[[#This Row],[NAV]])</f>
        <v>0</v>
      </c>
      <c r="AS151" s="50">
        <f>INVESTORS_LIST[[#This Row],[TOTAL CURRENT UNITS]]</f>
        <v>0</v>
      </c>
      <c r="AT151" s="48">
        <f>IF(INVESTORS_LIST[[#This Row],[TOTAL SELLABLE UNITS]]=0,0,INVESTORS_LIST[[#This Row],[TOTAL SELLABLE UNITS]]*INVESTORS_LIST[[#This Row],[NAV]])</f>
        <v>0</v>
      </c>
      <c r="AU151" s="48">
        <f>INVESTORS_LIST[[#This Row],[LS_TOTAL REALIZED GAIN]]+INVESTORS_LIST[[#This Row],[SIP_TOTAL REALIZED GAIN]]</f>
        <v>0</v>
      </c>
      <c r="AV151" s="48">
        <f>INVESTORS_LIST[[#This Row],[TOTAL MARKET VALUE]]-INVESTORS_LIST[[#This Row],[TOTAL COST VALUE OF CURRENT INVESTMENT]]</f>
        <v>0</v>
      </c>
      <c r="AW151" s="48">
        <f>IFERROR(INVESTORS_LIST[[#This Row],[TOTAL CURRENT UNITS]]/SUM(INVESTORS_LIST[TOTAL CURRENT UNITS]),0)</f>
        <v>0</v>
      </c>
    </row>
    <row r="152" spans="1:49" hidden="1">
      <c r="A152" s="262" t="s">
        <v>351</v>
      </c>
      <c r="B152" s="97" t="s">
        <v>352</v>
      </c>
      <c r="C152" t="s">
        <v>44</v>
      </c>
      <c r="D152" s="75" t="s">
        <v>45</v>
      </c>
      <c r="E152" s="47">
        <f>SUMIFS(LS[Unit],LS[Investor ID],INVESTORS_LIST[[#This Row],[INVESTOR CODE]],LS[B/S],"B")</f>
        <v>0</v>
      </c>
      <c r="F152" s="47">
        <f>-SUMIFS(LS[Unit],LS[Investor ID],INVESTORS_LIST[[#This Row],[INVESTOR CODE]],LS[B/S],"S")</f>
        <v>0</v>
      </c>
      <c r="G152" s="47">
        <f>IF(INVESTORS_LIST[[#This Row],[LS_TOTAL UNITS BUY]]=0,0,INVESTORS_LIST[[#This Row],[LS_TOTAL UNITS BUY]]-INVESTORS_LIST[[#This Row],[LS_TOTAL UNITS SOLD]])</f>
        <v>0</v>
      </c>
      <c r="H152" s="49">
        <f>IF(INVESTORS_LIST[[#This Row],[LS_TOTAL UNITS BUY]]=0,0,SUMIFS(LS[Amount],LS[Investor ID],INVESTORS_LIST[[#This Row],[INVESTOR CODE]],LS[B/S],"B"))</f>
        <v>0</v>
      </c>
      <c r="I152" s="48">
        <f>IF(INVESTORS_LIST[[#This Row],[LS_TOTAL UNITS SOLD]]=0,0,SUMIFS(LS[Cost of Units Sold],LS[Investor ID],INVESTORS_LIST[[#This Row],[INVESTOR CODE]],LS[B/S],"S"))</f>
        <v>0</v>
      </c>
      <c r="J152" s="48">
        <f>IF(INVESTORS_LIST[[#This Row],[LS_TOTAL CURRENT UNITS]]=0,0,INVESTORS_LIST[[#This Row],[LS_TOTAL CURRENT UNITS]]*INVESTORS_LIST[[#This Row],[LS_AVERAGE COST]])</f>
        <v>0</v>
      </c>
      <c r="K152" s="49">
        <f>IF(INVESTORS_LIST[[#This Row],[LS_TOTAL UNITS SOLD]]=0,0,SUMIFS(LS[Realized Gain],LS[Investor ID],INVESTORS_LIST[[#This Row],[INVESTOR CODE]],LS[B/S],"S"))</f>
        <v>0</v>
      </c>
      <c r="L152" s="47">
        <f>SUMIFS(SIP[Unit],SIP[Investor ID],INVESTORS_LIST[[#This Row],[INVESTOR CODE]],SIP[B/S],"B")</f>
        <v>0</v>
      </c>
      <c r="M152" s="47">
        <f>-SUMIFS(SIP[Unit],SIP[Investor ID],INVESTORS_LIST[[#This Row],[INVESTOR CODE]],SIP[B/S],"S")</f>
        <v>0</v>
      </c>
      <c r="N152" s="50">
        <f>IF(INVESTORS_LIST[[#This Row],[SIP_TOTAL UNITS BUY]]=0,0,INVESTORS_LIST[[#This Row],[SIP_TOTAL UNITS BUY]]-INVESTORS_LIST[[#This Row],[SIP_TOTAL UNITS SOLD]])</f>
        <v>0</v>
      </c>
      <c r="O152" s="49">
        <f>IF(INVESTORS_LIST[[#This Row],[SIP_TOTAL UNITS BUY]]=0,0,SUMIFS(SIP[Amount],SIP[Investor ID],INVESTORS_LIST[[#This Row],[INVESTOR CODE]],SIP[B/S],"B"))</f>
        <v>0</v>
      </c>
      <c r="P152" s="49">
        <f>IF(INVESTORS_LIST[[#This Row],[SIP_TOTAL UNITS SOLD]]=0,0,SUMIFS(SIP[Cost of Units Sold],SIP[Investor ID],INVESTORS_LIST[[#This Row],[INVESTOR CODE]],SIP[B/S],"S"))</f>
        <v>0</v>
      </c>
      <c r="Q152" s="48">
        <f>IF(INVESTORS_LIST[[#This Row],[SIP_TOTAL CURRENT UNITS]]=0,0,INVESTORS_LIST[[#This Row],[SIP_TOTAL CURRENT UNITS]]*INVESTORS_LIST[[#This Row],[SIP_AVERAGE COST]])</f>
        <v>0</v>
      </c>
      <c r="R152" s="48">
        <f>IF(INVESTORS_LIST[[#This Row],[SIP_TOTAL UNITS SOLD]]=0,0,SUMIFS(SIP[Realized Gain],SIP[Investor ID],INVESTORS_LIST[[#This Row],[INVESTOR CODE]],SIP[B/S],"S"))</f>
        <v>0</v>
      </c>
      <c r="S152" s="50">
        <f>INVESTORS_LIST[[#This Row],[LS_TOTAL UNITS BUY]]+INVESTORS_LIST[[#This Row],[SIP_TOTAL UNITS BUY]]</f>
        <v>0</v>
      </c>
      <c r="T152" s="50">
        <f>INVESTORS_LIST[[#This Row],[LS_TOTAL UNITS SOLD]]+INVESTORS_LIST[[#This Row],[SIP_TOTAL UNITS SOLD]]</f>
        <v>0</v>
      </c>
      <c r="U152" s="50"/>
      <c r="V152" s="50">
        <f>SUMIFS(LS[BO UNIT TRANSFER],LS[Investor ID],INVESTORS_LIST[[#This Row],[INVESTOR CODE]],LS[B/S],"B")</f>
        <v>0</v>
      </c>
      <c r="W152" s="50">
        <f>SUMIFS(SIP[BO UNIT TRANSFER],SIP[Investor ID],INVESTORS_LIST[[#This Row],[INVESTOR CODE]],SIP[B/S],"B")</f>
        <v>0</v>
      </c>
      <c r="X152" s="50">
        <f>SUMIFS(LS[BO UNIT TRANSFER],LS[Investor ID],INVESTORS_LIST[[#This Row],[INVESTOR CODE]],LS[B/S],"S")</f>
        <v>0</v>
      </c>
      <c r="Y152" s="50">
        <f>SUMIFS(SIP[BO UNIT TRANSFER],SIP[Investor ID],INVESTORS_LIST[[#This Row],[INVESTOR CODE]],SIP[B/S],"S")</f>
        <v>0</v>
      </c>
      <c r="Z152" s="106">
        <f>SUM(INVESTORS_LIST[[#This Row],[BO OPENING BALANCE]:[BO SIP UNITS REPURCHASE]])</f>
        <v>0</v>
      </c>
      <c r="AA152" s="107">
        <f>INVESTORS_LIST[[#This Row],[TOTAL UNITS BUY]]-INVESTORS_LIST[[#This Row],[TOTAL UNITS SOLD]]</f>
        <v>0</v>
      </c>
      <c r="AB152" s="107">
        <f>INVESTORS_LIST[[#This Row],[TOTAL CURRENT UNITS]]-INVESTORS_LIST[[#This Row],[BO UNITS HOLD]]</f>
        <v>0</v>
      </c>
      <c r="AC152" s="201" t="e">
        <f>INDEX([3]!Table_1[BO ID],MATCH(INVESTORS_LIST[[#This Row],[INVESTOR CODE]],[3]!Table_1[INVESTOR CODE],0))</f>
        <v>#REF!</v>
      </c>
      <c r="AD152" s="201" t="e">
        <f>INDEX([3]!Table_1[Brokerage Name2],MATCH(INVESTORS_LIST[[#This Row],[INVESTOR CODE]],[3]!Table_1[INVESTOR CODE],0))</f>
        <v>#REF!</v>
      </c>
      <c r="AE152" s="201" t="e">
        <f>MID(INVESTORS_LIST[[#This Row],[BO ID]],4,5)</f>
        <v>#REF!</v>
      </c>
      <c r="AF152" s="201" t="e">
        <f>MID(INVESTORS_LIST[[#This Row],[BO ID]],2,7)</f>
        <v>#REF!</v>
      </c>
      <c r="AG152" s="201" t="e">
        <f>MID(INVESTORS_LIST[[#This Row],[BO ID]],9,7)</f>
        <v>#REF!</v>
      </c>
      <c r="AH152" s="201" t="e">
        <f>RIGHT(INVESTORS_LIST[[#This Row],[BO ID]],1)</f>
        <v>#REF!</v>
      </c>
      <c r="AI152" s="50">
        <f>INVESTORS_LIST[[#This Row],[LS_TOTAL COST VALUE OF CURRENT UNITS]]+INVESTORS_LIST[[#This Row],[SIP_TOTAL COST VALUE OF CURRENT UNITS]]</f>
        <v>0</v>
      </c>
      <c r="AJ152" s="109">
        <f>IF(INVESTORS_LIST[[#This Row],[TOTAL CURRENT UNITS]]=0,0,INVESTORS_LIST[[#This Row],[LS_TOTAL CURRENT UNITS]]/INVESTORS_LIST[[#This Row],[TOTAL CURRENT UNITS]])</f>
        <v>0</v>
      </c>
      <c r="AK152" s="109">
        <f>IF(INVESTORS_LIST[[#This Row],[TOTAL CURRENT UNITS]]=0,0,INVESTORS_LIST[[#This Row],[SIP_TOTAL CURRENT UNITS]]/INVESTORS_LIST[[#This Row],[TOTAL CURRENT UNITS]])</f>
        <v>0</v>
      </c>
      <c r="AL152" s="49" cm="1">
        <f t="array" ref="AL1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2" s="49" cm="1">
        <f t="array" ref="AM1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2" s="105">
        <f t="shared" si="3"/>
        <v>14.224</v>
      </c>
      <c r="AP152" s="112">
        <f>IF(INVESTORS_LIST[[#This Row],[TOTAL CURRENT UNITS]]=0,0,INVESTORS_LIST[[#This Row],[TOTAL CURRENT UNITS]]*INVESTORS_LIST[[#This Row],[NAV]])</f>
        <v>0</v>
      </c>
      <c r="AQ152" s="49">
        <f>IF(INVESTORS_LIST[[#This Row],[LS_TOTAL CURRENT UNITS]]=0,0,INVESTORS_LIST[[#This Row],[LS_TOTAL CURRENT UNITS]]*INVESTORS_LIST[[#This Row],[NAV]])</f>
        <v>0</v>
      </c>
      <c r="AR152" s="48">
        <f>IF(INVESTORS_LIST[[#This Row],[SIP_TOTAL CURRENT UNITS]]=0,0,INVESTORS_LIST[[#This Row],[SIP_TOTAL CURRENT UNITS]]*INVESTORS_LIST[[#This Row],[NAV]])</f>
        <v>0</v>
      </c>
      <c r="AS152" s="50">
        <f>INVESTORS_LIST[[#This Row],[TOTAL CURRENT UNITS]]</f>
        <v>0</v>
      </c>
      <c r="AT152" s="48">
        <f>IF(INVESTORS_LIST[[#This Row],[TOTAL SELLABLE UNITS]]=0,0,INVESTORS_LIST[[#This Row],[TOTAL SELLABLE UNITS]]*INVESTORS_LIST[[#This Row],[NAV]])</f>
        <v>0</v>
      </c>
      <c r="AU152" s="48">
        <f>INVESTORS_LIST[[#This Row],[LS_TOTAL REALIZED GAIN]]+INVESTORS_LIST[[#This Row],[SIP_TOTAL REALIZED GAIN]]</f>
        <v>0</v>
      </c>
      <c r="AV152" s="48">
        <f>INVESTORS_LIST[[#This Row],[TOTAL MARKET VALUE]]-INVESTORS_LIST[[#This Row],[TOTAL COST VALUE OF CURRENT INVESTMENT]]</f>
        <v>0</v>
      </c>
      <c r="AW152" s="48">
        <f>IFERROR(INVESTORS_LIST[[#This Row],[TOTAL CURRENT UNITS]]/SUM(INVESTORS_LIST[TOTAL CURRENT UNITS]),0)</f>
        <v>0</v>
      </c>
    </row>
    <row r="153" spans="1:49" hidden="1">
      <c r="A153" s="262" t="s">
        <v>353</v>
      </c>
      <c r="B153" s="97" t="s">
        <v>354</v>
      </c>
      <c r="C153" t="s">
        <v>48</v>
      </c>
      <c r="D153" s="75" t="s">
        <v>132</v>
      </c>
      <c r="E153" s="47">
        <f>SUMIFS(LS[Unit],LS[Investor ID],INVESTORS_LIST[[#This Row],[INVESTOR CODE]],LS[B/S],"B")</f>
        <v>0</v>
      </c>
      <c r="F153" s="47">
        <f>-SUMIFS(LS[Unit],LS[Investor ID],INVESTORS_LIST[[#This Row],[INVESTOR CODE]],LS[B/S],"S")</f>
        <v>0</v>
      </c>
      <c r="G153" s="47">
        <f>IF(INVESTORS_LIST[[#This Row],[LS_TOTAL UNITS BUY]]=0,0,INVESTORS_LIST[[#This Row],[LS_TOTAL UNITS BUY]]-INVESTORS_LIST[[#This Row],[LS_TOTAL UNITS SOLD]])</f>
        <v>0</v>
      </c>
      <c r="H153" s="49">
        <f>IF(INVESTORS_LIST[[#This Row],[LS_TOTAL UNITS BUY]]=0,0,SUMIFS(LS[Amount],LS[Investor ID],INVESTORS_LIST[[#This Row],[INVESTOR CODE]],LS[B/S],"B"))</f>
        <v>0</v>
      </c>
      <c r="I153" s="48">
        <f>IF(INVESTORS_LIST[[#This Row],[LS_TOTAL UNITS SOLD]]=0,0,SUMIFS(LS[Cost of Units Sold],LS[Investor ID],INVESTORS_LIST[[#This Row],[INVESTOR CODE]],LS[B/S],"S"))</f>
        <v>0</v>
      </c>
      <c r="J153" s="48">
        <f>IF(INVESTORS_LIST[[#This Row],[LS_TOTAL CURRENT UNITS]]=0,0,INVESTORS_LIST[[#This Row],[LS_TOTAL CURRENT UNITS]]*INVESTORS_LIST[[#This Row],[LS_AVERAGE COST]])</f>
        <v>0</v>
      </c>
      <c r="K153" s="49">
        <f>IF(INVESTORS_LIST[[#This Row],[LS_TOTAL UNITS SOLD]]=0,0,SUMIFS(LS[Realized Gain],LS[Investor ID],INVESTORS_LIST[[#This Row],[INVESTOR CODE]],LS[B/S],"S"))</f>
        <v>0</v>
      </c>
      <c r="L153" s="47">
        <f>SUMIFS(SIP[Unit],SIP[Investor ID],INVESTORS_LIST[[#This Row],[INVESTOR CODE]],SIP[B/S],"B")</f>
        <v>0</v>
      </c>
      <c r="M153" s="47">
        <f>-SUMIFS(SIP[Unit],SIP[Investor ID],INVESTORS_LIST[[#This Row],[INVESTOR CODE]],SIP[B/S],"S")</f>
        <v>0</v>
      </c>
      <c r="N153" s="50">
        <f>IF(INVESTORS_LIST[[#This Row],[SIP_TOTAL UNITS BUY]]=0,0,INVESTORS_LIST[[#This Row],[SIP_TOTAL UNITS BUY]]-INVESTORS_LIST[[#This Row],[SIP_TOTAL UNITS SOLD]])</f>
        <v>0</v>
      </c>
      <c r="O153" s="49">
        <f>IF(INVESTORS_LIST[[#This Row],[SIP_TOTAL UNITS BUY]]=0,0,SUMIFS(SIP[Amount],SIP[Investor ID],INVESTORS_LIST[[#This Row],[INVESTOR CODE]],SIP[B/S],"B"))</f>
        <v>0</v>
      </c>
      <c r="P153" s="49">
        <f>IF(INVESTORS_LIST[[#This Row],[SIP_TOTAL UNITS SOLD]]=0,0,SUMIFS(SIP[Cost of Units Sold],SIP[Investor ID],INVESTORS_LIST[[#This Row],[INVESTOR CODE]],SIP[B/S],"S"))</f>
        <v>0</v>
      </c>
      <c r="Q153" s="48">
        <f>IF(INVESTORS_LIST[[#This Row],[SIP_TOTAL CURRENT UNITS]]=0,0,INVESTORS_LIST[[#This Row],[SIP_TOTAL CURRENT UNITS]]*INVESTORS_LIST[[#This Row],[SIP_AVERAGE COST]])</f>
        <v>0</v>
      </c>
      <c r="R153" s="48">
        <f>IF(INVESTORS_LIST[[#This Row],[SIP_TOTAL UNITS SOLD]]=0,0,SUMIFS(SIP[Realized Gain],SIP[Investor ID],INVESTORS_LIST[[#This Row],[INVESTOR CODE]],SIP[B/S],"S"))</f>
        <v>0</v>
      </c>
      <c r="S153" s="50">
        <f>INVESTORS_LIST[[#This Row],[LS_TOTAL UNITS BUY]]+INVESTORS_LIST[[#This Row],[SIP_TOTAL UNITS BUY]]</f>
        <v>0</v>
      </c>
      <c r="T153" s="50">
        <f>INVESTORS_LIST[[#This Row],[LS_TOTAL UNITS SOLD]]+INVESTORS_LIST[[#This Row],[SIP_TOTAL UNITS SOLD]]</f>
        <v>0</v>
      </c>
      <c r="U153" s="50"/>
      <c r="V153" s="50">
        <f>SUMIFS(LS[BO UNIT TRANSFER],LS[Investor ID],INVESTORS_LIST[[#This Row],[INVESTOR CODE]],LS[B/S],"B")</f>
        <v>0</v>
      </c>
      <c r="W153" s="50">
        <f>SUMIFS(SIP[BO UNIT TRANSFER],SIP[Investor ID],INVESTORS_LIST[[#This Row],[INVESTOR CODE]],SIP[B/S],"B")</f>
        <v>0</v>
      </c>
      <c r="X153" s="50">
        <f>SUMIFS(LS[BO UNIT TRANSFER],LS[Investor ID],INVESTORS_LIST[[#This Row],[INVESTOR CODE]],LS[B/S],"S")</f>
        <v>0</v>
      </c>
      <c r="Y153" s="50">
        <f>SUMIFS(SIP[BO UNIT TRANSFER],SIP[Investor ID],INVESTORS_LIST[[#This Row],[INVESTOR CODE]],SIP[B/S],"S")</f>
        <v>0</v>
      </c>
      <c r="Z153" s="106">
        <f>SUM(INVESTORS_LIST[[#This Row],[BO OPENING BALANCE]:[BO SIP UNITS REPURCHASE]])</f>
        <v>0</v>
      </c>
      <c r="AA153" s="107">
        <f>INVESTORS_LIST[[#This Row],[TOTAL UNITS BUY]]-INVESTORS_LIST[[#This Row],[TOTAL UNITS SOLD]]</f>
        <v>0</v>
      </c>
      <c r="AB153" s="107">
        <f>INVESTORS_LIST[[#This Row],[TOTAL CURRENT UNITS]]-INVESTORS_LIST[[#This Row],[BO UNITS HOLD]]</f>
        <v>0</v>
      </c>
      <c r="AC153" s="201" t="e">
        <f>INDEX([3]!Table_1[BO ID],MATCH(INVESTORS_LIST[[#This Row],[INVESTOR CODE]],[3]!Table_1[INVESTOR CODE],0))</f>
        <v>#REF!</v>
      </c>
      <c r="AD153" s="201" t="e">
        <f>INDEX([3]!Table_1[Brokerage Name2],MATCH(INVESTORS_LIST[[#This Row],[INVESTOR CODE]],[3]!Table_1[INVESTOR CODE],0))</f>
        <v>#REF!</v>
      </c>
      <c r="AE153" s="201" t="e">
        <f>MID(INVESTORS_LIST[[#This Row],[BO ID]],4,5)</f>
        <v>#REF!</v>
      </c>
      <c r="AF153" s="201" t="e">
        <f>MID(INVESTORS_LIST[[#This Row],[BO ID]],2,7)</f>
        <v>#REF!</v>
      </c>
      <c r="AG153" s="201" t="e">
        <f>MID(INVESTORS_LIST[[#This Row],[BO ID]],9,7)</f>
        <v>#REF!</v>
      </c>
      <c r="AH153" s="201" t="e">
        <f>RIGHT(INVESTORS_LIST[[#This Row],[BO ID]],1)</f>
        <v>#REF!</v>
      </c>
      <c r="AI153" s="50">
        <f>INVESTORS_LIST[[#This Row],[LS_TOTAL COST VALUE OF CURRENT UNITS]]+INVESTORS_LIST[[#This Row],[SIP_TOTAL COST VALUE OF CURRENT UNITS]]</f>
        <v>0</v>
      </c>
      <c r="AJ153" s="109">
        <f>IF(INVESTORS_LIST[[#This Row],[TOTAL CURRENT UNITS]]=0,0,INVESTORS_LIST[[#This Row],[LS_TOTAL CURRENT UNITS]]/INVESTORS_LIST[[#This Row],[TOTAL CURRENT UNITS]])</f>
        <v>0</v>
      </c>
      <c r="AK153" s="109">
        <f>IF(INVESTORS_LIST[[#This Row],[TOTAL CURRENT UNITS]]=0,0,INVESTORS_LIST[[#This Row],[SIP_TOTAL CURRENT UNITS]]/INVESTORS_LIST[[#This Row],[TOTAL CURRENT UNITS]])</f>
        <v>0</v>
      </c>
      <c r="AL153" s="49" cm="1">
        <f t="array" ref="AL1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3" s="49" cm="1">
        <f t="array" ref="AM1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3" s="105">
        <f t="shared" si="3"/>
        <v>14.224</v>
      </c>
      <c r="AP153" s="112">
        <f>IF(INVESTORS_LIST[[#This Row],[TOTAL CURRENT UNITS]]=0,0,INVESTORS_LIST[[#This Row],[TOTAL CURRENT UNITS]]*INVESTORS_LIST[[#This Row],[NAV]])</f>
        <v>0</v>
      </c>
      <c r="AQ153" s="49">
        <f>IF(INVESTORS_LIST[[#This Row],[LS_TOTAL CURRENT UNITS]]=0,0,INVESTORS_LIST[[#This Row],[LS_TOTAL CURRENT UNITS]]*INVESTORS_LIST[[#This Row],[NAV]])</f>
        <v>0</v>
      </c>
      <c r="AR153" s="48">
        <f>IF(INVESTORS_LIST[[#This Row],[SIP_TOTAL CURRENT UNITS]]=0,0,INVESTORS_LIST[[#This Row],[SIP_TOTAL CURRENT UNITS]]*INVESTORS_LIST[[#This Row],[NAV]])</f>
        <v>0</v>
      </c>
      <c r="AS153" s="50">
        <f>INVESTORS_LIST[[#This Row],[TOTAL CURRENT UNITS]]</f>
        <v>0</v>
      </c>
      <c r="AT153" s="48">
        <f>IF(INVESTORS_LIST[[#This Row],[TOTAL SELLABLE UNITS]]=0,0,INVESTORS_LIST[[#This Row],[TOTAL SELLABLE UNITS]]*INVESTORS_LIST[[#This Row],[NAV]])</f>
        <v>0</v>
      </c>
      <c r="AU153" s="48">
        <f>INVESTORS_LIST[[#This Row],[LS_TOTAL REALIZED GAIN]]+INVESTORS_LIST[[#This Row],[SIP_TOTAL REALIZED GAIN]]</f>
        <v>0</v>
      </c>
      <c r="AV153" s="48">
        <f>INVESTORS_LIST[[#This Row],[TOTAL MARKET VALUE]]-INVESTORS_LIST[[#This Row],[TOTAL COST VALUE OF CURRENT INVESTMENT]]</f>
        <v>0</v>
      </c>
      <c r="AW153" s="48">
        <f>IFERROR(INVESTORS_LIST[[#This Row],[TOTAL CURRENT UNITS]]/SUM(INVESTORS_LIST[TOTAL CURRENT UNITS]),0)</f>
        <v>0</v>
      </c>
    </row>
    <row r="154" spans="1:49" hidden="1">
      <c r="A154" s="262" t="s">
        <v>355</v>
      </c>
      <c r="B154" s="97" t="s">
        <v>356</v>
      </c>
      <c r="C154" t="s">
        <v>48</v>
      </c>
      <c r="D154" s="75" t="s">
        <v>132</v>
      </c>
      <c r="E154" s="47">
        <f>SUMIFS(LS[Unit],LS[Investor ID],INVESTORS_LIST[[#This Row],[INVESTOR CODE]],LS[B/S],"B")</f>
        <v>0</v>
      </c>
      <c r="F154" s="47">
        <f>-SUMIFS(LS[Unit],LS[Investor ID],INVESTORS_LIST[[#This Row],[INVESTOR CODE]],LS[B/S],"S")</f>
        <v>0</v>
      </c>
      <c r="G154" s="47">
        <f>IF(INVESTORS_LIST[[#This Row],[LS_TOTAL UNITS BUY]]=0,0,INVESTORS_LIST[[#This Row],[LS_TOTAL UNITS BUY]]-INVESTORS_LIST[[#This Row],[LS_TOTAL UNITS SOLD]])</f>
        <v>0</v>
      </c>
      <c r="H154" s="49">
        <f>IF(INVESTORS_LIST[[#This Row],[LS_TOTAL UNITS BUY]]=0,0,SUMIFS(LS[Amount],LS[Investor ID],INVESTORS_LIST[[#This Row],[INVESTOR CODE]],LS[B/S],"B"))</f>
        <v>0</v>
      </c>
      <c r="I154" s="48">
        <f>IF(INVESTORS_LIST[[#This Row],[LS_TOTAL UNITS SOLD]]=0,0,SUMIFS(LS[Cost of Units Sold],LS[Investor ID],INVESTORS_LIST[[#This Row],[INVESTOR CODE]],LS[B/S],"S"))</f>
        <v>0</v>
      </c>
      <c r="J154" s="48">
        <f>IF(INVESTORS_LIST[[#This Row],[LS_TOTAL CURRENT UNITS]]=0,0,INVESTORS_LIST[[#This Row],[LS_TOTAL CURRENT UNITS]]*INVESTORS_LIST[[#This Row],[LS_AVERAGE COST]])</f>
        <v>0</v>
      </c>
      <c r="K154" s="49">
        <f>IF(INVESTORS_LIST[[#This Row],[LS_TOTAL UNITS SOLD]]=0,0,SUMIFS(LS[Realized Gain],LS[Investor ID],INVESTORS_LIST[[#This Row],[INVESTOR CODE]],LS[B/S],"S"))</f>
        <v>0</v>
      </c>
      <c r="L154" s="47">
        <f>SUMIFS(SIP[Unit],SIP[Investor ID],INVESTORS_LIST[[#This Row],[INVESTOR CODE]],SIP[B/S],"B")</f>
        <v>0</v>
      </c>
      <c r="M154" s="47">
        <f>-SUMIFS(SIP[Unit],SIP[Investor ID],INVESTORS_LIST[[#This Row],[INVESTOR CODE]],SIP[B/S],"S")</f>
        <v>0</v>
      </c>
      <c r="N154" s="50">
        <f>IF(INVESTORS_LIST[[#This Row],[SIP_TOTAL UNITS BUY]]=0,0,INVESTORS_LIST[[#This Row],[SIP_TOTAL UNITS BUY]]-INVESTORS_LIST[[#This Row],[SIP_TOTAL UNITS SOLD]])</f>
        <v>0</v>
      </c>
      <c r="O154" s="49">
        <f>IF(INVESTORS_LIST[[#This Row],[SIP_TOTAL UNITS BUY]]=0,0,SUMIFS(SIP[Amount],SIP[Investor ID],INVESTORS_LIST[[#This Row],[INVESTOR CODE]],SIP[B/S],"B"))</f>
        <v>0</v>
      </c>
      <c r="P154" s="49">
        <f>IF(INVESTORS_LIST[[#This Row],[SIP_TOTAL UNITS SOLD]]=0,0,SUMIFS(SIP[Cost of Units Sold],SIP[Investor ID],INVESTORS_LIST[[#This Row],[INVESTOR CODE]],SIP[B/S],"S"))</f>
        <v>0</v>
      </c>
      <c r="Q154" s="48">
        <f>IF(INVESTORS_LIST[[#This Row],[SIP_TOTAL CURRENT UNITS]]=0,0,INVESTORS_LIST[[#This Row],[SIP_TOTAL CURRENT UNITS]]*INVESTORS_LIST[[#This Row],[SIP_AVERAGE COST]])</f>
        <v>0</v>
      </c>
      <c r="R154" s="48">
        <f>IF(INVESTORS_LIST[[#This Row],[SIP_TOTAL UNITS SOLD]]=0,0,SUMIFS(SIP[Realized Gain],SIP[Investor ID],INVESTORS_LIST[[#This Row],[INVESTOR CODE]],SIP[B/S],"S"))</f>
        <v>0</v>
      </c>
      <c r="S154" s="50">
        <f>INVESTORS_LIST[[#This Row],[LS_TOTAL UNITS BUY]]+INVESTORS_LIST[[#This Row],[SIP_TOTAL UNITS BUY]]</f>
        <v>0</v>
      </c>
      <c r="T154" s="50">
        <f>INVESTORS_LIST[[#This Row],[LS_TOTAL UNITS SOLD]]+INVESTORS_LIST[[#This Row],[SIP_TOTAL UNITS SOLD]]</f>
        <v>0</v>
      </c>
      <c r="U154" s="50"/>
      <c r="V154" s="50">
        <f>SUMIFS(LS[BO UNIT TRANSFER],LS[Investor ID],INVESTORS_LIST[[#This Row],[INVESTOR CODE]],LS[B/S],"B")</f>
        <v>0</v>
      </c>
      <c r="W154" s="50">
        <f>SUMIFS(SIP[BO UNIT TRANSFER],SIP[Investor ID],INVESTORS_LIST[[#This Row],[INVESTOR CODE]],SIP[B/S],"B")</f>
        <v>0</v>
      </c>
      <c r="X154" s="50">
        <f>SUMIFS(LS[BO UNIT TRANSFER],LS[Investor ID],INVESTORS_LIST[[#This Row],[INVESTOR CODE]],LS[B/S],"S")</f>
        <v>0</v>
      </c>
      <c r="Y154" s="50">
        <f>SUMIFS(SIP[BO UNIT TRANSFER],SIP[Investor ID],INVESTORS_LIST[[#This Row],[INVESTOR CODE]],SIP[B/S],"S")</f>
        <v>0</v>
      </c>
      <c r="Z154" s="106">
        <f>SUM(INVESTORS_LIST[[#This Row],[BO OPENING BALANCE]:[BO SIP UNITS REPURCHASE]])</f>
        <v>0</v>
      </c>
      <c r="AA154" s="107">
        <f>INVESTORS_LIST[[#This Row],[TOTAL UNITS BUY]]-INVESTORS_LIST[[#This Row],[TOTAL UNITS SOLD]]</f>
        <v>0</v>
      </c>
      <c r="AB154" s="107">
        <f>INVESTORS_LIST[[#This Row],[TOTAL CURRENT UNITS]]-INVESTORS_LIST[[#This Row],[BO UNITS HOLD]]</f>
        <v>0</v>
      </c>
      <c r="AC154" s="201" t="e">
        <f>INDEX([3]!Table_1[BO ID],MATCH(INVESTORS_LIST[[#This Row],[INVESTOR CODE]],[3]!Table_1[INVESTOR CODE],0))</f>
        <v>#REF!</v>
      </c>
      <c r="AD154" s="201" t="e">
        <f>INDEX([3]!Table_1[Brokerage Name2],MATCH(INVESTORS_LIST[[#This Row],[INVESTOR CODE]],[3]!Table_1[INVESTOR CODE],0))</f>
        <v>#REF!</v>
      </c>
      <c r="AE154" s="201" t="e">
        <f>MID(INVESTORS_LIST[[#This Row],[BO ID]],4,5)</f>
        <v>#REF!</v>
      </c>
      <c r="AF154" s="201" t="e">
        <f>MID(INVESTORS_LIST[[#This Row],[BO ID]],2,7)</f>
        <v>#REF!</v>
      </c>
      <c r="AG154" s="201" t="e">
        <f>MID(INVESTORS_LIST[[#This Row],[BO ID]],9,7)</f>
        <v>#REF!</v>
      </c>
      <c r="AH154" s="201" t="e">
        <f>RIGHT(INVESTORS_LIST[[#This Row],[BO ID]],1)</f>
        <v>#REF!</v>
      </c>
      <c r="AI154" s="50">
        <f>INVESTORS_LIST[[#This Row],[LS_TOTAL COST VALUE OF CURRENT UNITS]]+INVESTORS_LIST[[#This Row],[SIP_TOTAL COST VALUE OF CURRENT UNITS]]</f>
        <v>0</v>
      </c>
      <c r="AJ154" s="109">
        <f>IF(INVESTORS_LIST[[#This Row],[TOTAL CURRENT UNITS]]=0,0,INVESTORS_LIST[[#This Row],[LS_TOTAL CURRENT UNITS]]/INVESTORS_LIST[[#This Row],[TOTAL CURRENT UNITS]])</f>
        <v>0</v>
      </c>
      <c r="AK154" s="109">
        <f>IF(INVESTORS_LIST[[#This Row],[TOTAL CURRENT UNITS]]=0,0,INVESTORS_LIST[[#This Row],[SIP_TOTAL CURRENT UNITS]]/INVESTORS_LIST[[#This Row],[TOTAL CURRENT UNITS]])</f>
        <v>0</v>
      </c>
      <c r="AL154" s="49" cm="1">
        <f t="array" ref="AL1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4" s="49" cm="1">
        <f t="array" ref="AM1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4" s="105">
        <f t="shared" si="3"/>
        <v>14.224</v>
      </c>
      <c r="AP154" s="112">
        <f>IF(INVESTORS_LIST[[#This Row],[TOTAL CURRENT UNITS]]=0,0,INVESTORS_LIST[[#This Row],[TOTAL CURRENT UNITS]]*INVESTORS_LIST[[#This Row],[NAV]])</f>
        <v>0</v>
      </c>
      <c r="AQ154" s="49">
        <f>IF(INVESTORS_LIST[[#This Row],[LS_TOTAL CURRENT UNITS]]=0,0,INVESTORS_LIST[[#This Row],[LS_TOTAL CURRENT UNITS]]*INVESTORS_LIST[[#This Row],[NAV]])</f>
        <v>0</v>
      </c>
      <c r="AR154" s="48">
        <f>IF(INVESTORS_LIST[[#This Row],[SIP_TOTAL CURRENT UNITS]]=0,0,INVESTORS_LIST[[#This Row],[SIP_TOTAL CURRENT UNITS]]*INVESTORS_LIST[[#This Row],[NAV]])</f>
        <v>0</v>
      </c>
      <c r="AS154" s="50">
        <f>INVESTORS_LIST[[#This Row],[TOTAL CURRENT UNITS]]</f>
        <v>0</v>
      </c>
      <c r="AT154" s="48">
        <f>IF(INVESTORS_LIST[[#This Row],[TOTAL SELLABLE UNITS]]=0,0,INVESTORS_LIST[[#This Row],[TOTAL SELLABLE UNITS]]*INVESTORS_LIST[[#This Row],[NAV]])</f>
        <v>0</v>
      </c>
      <c r="AU154" s="48">
        <f>INVESTORS_LIST[[#This Row],[LS_TOTAL REALIZED GAIN]]+INVESTORS_LIST[[#This Row],[SIP_TOTAL REALIZED GAIN]]</f>
        <v>0</v>
      </c>
      <c r="AV154" s="48">
        <f>INVESTORS_LIST[[#This Row],[TOTAL MARKET VALUE]]-INVESTORS_LIST[[#This Row],[TOTAL COST VALUE OF CURRENT INVESTMENT]]</f>
        <v>0</v>
      </c>
      <c r="AW154" s="48">
        <f>IFERROR(INVESTORS_LIST[[#This Row],[TOTAL CURRENT UNITS]]/SUM(INVESTORS_LIST[TOTAL CURRENT UNITS]),0)</f>
        <v>0</v>
      </c>
    </row>
    <row r="155" spans="1:49" hidden="1">
      <c r="A155" s="262" t="s">
        <v>357</v>
      </c>
      <c r="B155" s="97" t="s">
        <v>358</v>
      </c>
      <c r="C155" t="s">
        <v>52</v>
      </c>
      <c r="D155" s="75" t="s">
        <v>45</v>
      </c>
      <c r="E155" s="47">
        <f>SUMIFS(LS[Unit],LS[Investor ID],INVESTORS_LIST[[#This Row],[INVESTOR CODE]],LS[B/S],"B")</f>
        <v>0</v>
      </c>
      <c r="F155" s="47">
        <f>-SUMIFS(LS[Unit],LS[Investor ID],INVESTORS_LIST[[#This Row],[INVESTOR CODE]],LS[B/S],"S")</f>
        <v>0</v>
      </c>
      <c r="G155" s="47">
        <f>IF(INVESTORS_LIST[[#This Row],[LS_TOTAL UNITS BUY]]=0,0,INVESTORS_LIST[[#This Row],[LS_TOTAL UNITS BUY]]-INVESTORS_LIST[[#This Row],[LS_TOTAL UNITS SOLD]])</f>
        <v>0</v>
      </c>
      <c r="H155" s="49">
        <f>IF(INVESTORS_LIST[[#This Row],[LS_TOTAL UNITS BUY]]=0,0,SUMIFS(LS[Amount],LS[Investor ID],INVESTORS_LIST[[#This Row],[INVESTOR CODE]],LS[B/S],"B"))</f>
        <v>0</v>
      </c>
      <c r="I155" s="48">
        <f>IF(INVESTORS_LIST[[#This Row],[LS_TOTAL UNITS SOLD]]=0,0,SUMIFS(LS[Cost of Units Sold],LS[Investor ID],INVESTORS_LIST[[#This Row],[INVESTOR CODE]],LS[B/S],"S"))</f>
        <v>0</v>
      </c>
      <c r="J155" s="48">
        <f>IF(INVESTORS_LIST[[#This Row],[LS_TOTAL CURRENT UNITS]]=0,0,INVESTORS_LIST[[#This Row],[LS_TOTAL CURRENT UNITS]]*INVESTORS_LIST[[#This Row],[LS_AVERAGE COST]])</f>
        <v>0</v>
      </c>
      <c r="K155" s="49">
        <f>IF(INVESTORS_LIST[[#This Row],[LS_TOTAL UNITS SOLD]]=0,0,SUMIFS(LS[Realized Gain],LS[Investor ID],INVESTORS_LIST[[#This Row],[INVESTOR CODE]],LS[B/S],"S"))</f>
        <v>0</v>
      </c>
      <c r="L155" s="47">
        <f>SUMIFS(SIP[Unit],SIP[Investor ID],INVESTORS_LIST[[#This Row],[INVESTOR CODE]],SIP[B/S],"B")</f>
        <v>0</v>
      </c>
      <c r="M155" s="47">
        <f>-SUMIFS(SIP[Unit],SIP[Investor ID],INVESTORS_LIST[[#This Row],[INVESTOR CODE]],SIP[B/S],"S")</f>
        <v>0</v>
      </c>
      <c r="N155" s="50">
        <f>IF(INVESTORS_LIST[[#This Row],[SIP_TOTAL UNITS BUY]]=0,0,INVESTORS_LIST[[#This Row],[SIP_TOTAL UNITS BUY]]-INVESTORS_LIST[[#This Row],[SIP_TOTAL UNITS SOLD]])</f>
        <v>0</v>
      </c>
      <c r="O155" s="49">
        <f>IF(INVESTORS_LIST[[#This Row],[SIP_TOTAL UNITS BUY]]=0,0,SUMIFS(SIP[Amount],SIP[Investor ID],INVESTORS_LIST[[#This Row],[INVESTOR CODE]],SIP[B/S],"B"))</f>
        <v>0</v>
      </c>
      <c r="P155" s="49">
        <f>IF(INVESTORS_LIST[[#This Row],[SIP_TOTAL UNITS SOLD]]=0,0,SUMIFS(SIP[Cost of Units Sold],SIP[Investor ID],INVESTORS_LIST[[#This Row],[INVESTOR CODE]],SIP[B/S],"S"))</f>
        <v>0</v>
      </c>
      <c r="Q155" s="48">
        <f>IF(INVESTORS_LIST[[#This Row],[SIP_TOTAL CURRENT UNITS]]=0,0,INVESTORS_LIST[[#This Row],[SIP_TOTAL CURRENT UNITS]]*INVESTORS_LIST[[#This Row],[SIP_AVERAGE COST]])</f>
        <v>0</v>
      </c>
      <c r="R155" s="48">
        <f>IF(INVESTORS_LIST[[#This Row],[SIP_TOTAL UNITS SOLD]]=0,0,SUMIFS(SIP[Realized Gain],SIP[Investor ID],INVESTORS_LIST[[#This Row],[INVESTOR CODE]],SIP[B/S],"S"))</f>
        <v>0</v>
      </c>
      <c r="S155" s="50">
        <f>INVESTORS_LIST[[#This Row],[LS_TOTAL UNITS BUY]]+INVESTORS_LIST[[#This Row],[SIP_TOTAL UNITS BUY]]</f>
        <v>0</v>
      </c>
      <c r="T155" s="50">
        <f>INVESTORS_LIST[[#This Row],[LS_TOTAL UNITS SOLD]]+INVESTORS_LIST[[#This Row],[SIP_TOTAL UNITS SOLD]]</f>
        <v>0</v>
      </c>
      <c r="U155" s="50"/>
      <c r="V155" s="50">
        <f>SUMIFS(LS[BO UNIT TRANSFER],LS[Investor ID],INVESTORS_LIST[[#This Row],[INVESTOR CODE]],LS[B/S],"B")</f>
        <v>0</v>
      </c>
      <c r="W155" s="50">
        <f>SUMIFS(SIP[BO UNIT TRANSFER],SIP[Investor ID],INVESTORS_LIST[[#This Row],[INVESTOR CODE]],SIP[B/S],"B")</f>
        <v>0</v>
      </c>
      <c r="X155" s="50">
        <f>SUMIFS(LS[BO UNIT TRANSFER],LS[Investor ID],INVESTORS_LIST[[#This Row],[INVESTOR CODE]],LS[B/S],"S")</f>
        <v>0</v>
      </c>
      <c r="Y155" s="50">
        <f>SUMIFS(SIP[BO UNIT TRANSFER],SIP[Investor ID],INVESTORS_LIST[[#This Row],[INVESTOR CODE]],SIP[B/S],"S")</f>
        <v>0</v>
      </c>
      <c r="Z155" s="106">
        <f>SUM(INVESTORS_LIST[[#This Row],[BO OPENING BALANCE]:[BO SIP UNITS REPURCHASE]])</f>
        <v>0</v>
      </c>
      <c r="AA155" s="107">
        <f>INVESTORS_LIST[[#This Row],[TOTAL UNITS BUY]]-INVESTORS_LIST[[#This Row],[TOTAL UNITS SOLD]]</f>
        <v>0</v>
      </c>
      <c r="AB155" s="107">
        <f>INVESTORS_LIST[[#This Row],[TOTAL CURRENT UNITS]]-INVESTORS_LIST[[#This Row],[BO UNITS HOLD]]</f>
        <v>0</v>
      </c>
      <c r="AC155" s="201" t="e">
        <f>INDEX([3]!Table_1[BO ID],MATCH(INVESTORS_LIST[[#This Row],[INVESTOR CODE]],[3]!Table_1[INVESTOR CODE],0))</f>
        <v>#REF!</v>
      </c>
      <c r="AD155" s="201" t="e">
        <f>INDEX([3]!Table_1[Brokerage Name2],MATCH(INVESTORS_LIST[[#This Row],[INVESTOR CODE]],[3]!Table_1[INVESTOR CODE],0))</f>
        <v>#REF!</v>
      </c>
      <c r="AE155" s="201" t="e">
        <f>MID(INVESTORS_LIST[[#This Row],[BO ID]],4,5)</f>
        <v>#REF!</v>
      </c>
      <c r="AF155" s="201" t="e">
        <f>MID(INVESTORS_LIST[[#This Row],[BO ID]],2,7)</f>
        <v>#REF!</v>
      </c>
      <c r="AG155" s="201" t="e">
        <f>MID(INVESTORS_LIST[[#This Row],[BO ID]],9,7)</f>
        <v>#REF!</v>
      </c>
      <c r="AH155" s="201" t="e">
        <f>RIGHT(INVESTORS_LIST[[#This Row],[BO ID]],1)</f>
        <v>#REF!</v>
      </c>
      <c r="AI155" s="50">
        <f>INVESTORS_LIST[[#This Row],[LS_TOTAL COST VALUE OF CURRENT UNITS]]+INVESTORS_LIST[[#This Row],[SIP_TOTAL COST VALUE OF CURRENT UNITS]]</f>
        <v>0</v>
      </c>
      <c r="AJ155" s="109">
        <f>IF(INVESTORS_LIST[[#This Row],[TOTAL CURRENT UNITS]]=0,0,INVESTORS_LIST[[#This Row],[LS_TOTAL CURRENT UNITS]]/INVESTORS_LIST[[#This Row],[TOTAL CURRENT UNITS]])</f>
        <v>0</v>
      </c>
      <c r="AK155" s="109">
        <f>IF(INVESTORS_LIST[[#This Row],[TOTAL CURRENT UNITS]]=0,0,INVESTORS_LIST[[#This Row],[SIP_TOTAL CURRENT UNITS]]/INVESTORS_LIST[[#This Row],[TOTAL CURRENT UNITS]])</f>
        <v>0</v>
      </c>
      <c r="AL155" s="49" cm="1">
        <f t="array" ref="AL1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5" s="49" cm="1">
        <f t="array" ref="AM1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5" s="105">
        <f t="shared" si="3"/>
        <v>14.224</v>
      </c>
      <c r="AP155" s="112">
        <f>IF(INVESTORS_LIST[[#This Row],[TOTAL CURRENT UNITS]]=0,0,INVESTORS_LIST[[#This Row],[TOTAL CURRENT UNITS]]*INVESTORS_LIST[[#This Row],[NAV]])</f>
        <v>0</v>
      </c>
      <c r="AQ155" s="49">
        <f>IF(INVESTORS_LIST[[#This Row],[LS_TOTAL CURRENT UNITS]]=0,0,INVESTORS_LIST[[#This Row],[LS_TOTAL CURRENT UNITS]]*INVESTORS_LIST[[#This Row],[NAV]])</f>
        <v>0</v>
      </c>
      <c r="AR155" s="48">
        <f>IF(INVESTORS_LIST[[#This Row],[SIP_TOTAL CURRENT UNITS]]=0,0,INVESTORS_LIST[[#This Row],[SIP_TOTAL CURRENT UNITS]]*INVESTORS_LIST[[#This Row],[NAV]])</f>
        <v>0</v>
      </c>
      <c r="AS155" s="50">
        <f>INVESTORS_LIST[[#This Row],[TOTAL CURRENT UNITS]]</f>
        <v>0</v>
      </c>
      <c r="AT155" s="48">
        <f>IF(INVESTORS_LIST[[#This Row],[TOTAL SELLABLE UNITS]]=0,0,INVESTORS_LIST[[#This Row],[TOTAL SELLABLE UNITS]]*INVESTORS_LIST[[#This Row],[NAV]])</f>
        <v>0</v>
      </c>
      <c r="AU155" s="48">
        <f>INVESTORS_LIST[[#This Row],[LS_TOTAL REALIZED GAIN]]+INVESTORS_LIST[[#This Row],[SIP_TOTAL REALIZED GAIN]]</f>
        <v>0</v>
      </c>
      <c r="AV155" s="48">
        <f>INVESTORS_LIST[[#This Row],[TOTAL MARKET VALUE]]-INVESTORS_LIST[[#This Row],[TOTAL COST VALUE OF CURRENT INVESTMENT]]</f>
        <v>0</v>
      </c>
      <c r="AW155" s="48">
        <f>IFERROR(INVESTORS_LIST[[#This Row],[TOTAL CURRENT UNITS]]/SUM(INVESTORS_LIST[TOTAL CURRENT UNITS]),0)</f>
        <v>0</v>
      </c>
    </row>
    <row r="156" spans="1:49" hidden="1">
      <c r="A156" s="262" t="s">
        <v>359</v>
      </c>
      <c r="B156" s="97" t="s">
        <v>360</v>
      </c>
      <c r="C156" t="s">
        <v>44</v>
      </c>
      <c r="D156" s="75" t="s">
        <v>45</v>
      </c>
      <c r="E156" s="47">
        <f>SUMIFS(LS[Unit],LS[Investor ID],INVESTORS_LIST[[#This Row],[INVESTOR CODE]],LS[B/S],"B")</f>
        <v>0</v>
      </c>
      <c r="F156" s="47">
        <f>-SUMIFS(LS[Unit],LS[Investor ID],INVESTORS_LIST[[#This Row],[INVESTOR CODE]],LS[B/S],"S")</f>
        <v>0</v>
      </c>
      <c r="G156" s="47">
        <f>IF(INVESTORS_LIST[[#This Row],[LS_TOTAL UNITS BUY]]=0,0,INVESTORS_LIST[[#This Row],[LS_TOTAL UNITS BUY]]-INVESTORS_LIST[[#This Row],[LS_TOTAL UNITS SOLD]])</f>
        <v>0</v>
      </c>
      <c r="H156" s="49">
        <f>IF(INVESTORS_LIST[[#This Row],[LS_TOTAL UNITS BUY]]=0,0,SUMIFS(LS[Amount],LS[Investor ID],INVESTORS_LIST[[#This Row],[INVESTOR CODE]],LS[B/S],"B"))</f>
        <v>0</v>
      </c>
      <c r="I156" s="48">
        <f>IF(INVESTORS_LIST[[#This Row],[LS_TOTAL UNITS SOLD]]=0,0,SUMIFS(LS[Cost of Units Sold],LS[Investor ID],INVESTORS_LIST[[#This Row],[INVESTOR CODE]],LS[B/S],"S"))</f>
        <v>0</v>
      </c>
      <c r="J156" s="48">
        <f>IF(INVESTORS_LIST[[#This Row],[LS_TOTAL CURRENT UNITS]]=0,0,INVESTORS_LIST[[#This Row],[LS_TOTAL CURRENT UNITS]]*INVESTORS_LIST[[#This Row],[LS_AVERAGE COST]])</f>
        <v>0</v>
      </c>
      <c r="K156" s="49">
        <f>IF(INVESTORS_LIST[[#This Row],[LS_TOTAL UNITS SOLD]]=0,0,SUMIFS(LS[Realized Gain],LS[Investor ID],INVESTORS_LIST[[#This Row],[INVESTOR CODE]],LS[B/S],"S"))</f>
        <v>0</v>
      </c>
      <c r="L156" s="47">
        <f>SUMIFS(SIP[Unit],SIP[Investor ID],INVESTORS_LIST[[#This Row],[INVESTOR CODE]],SIP[B/S],"B")</f>
        <v>0</v>
      </c>
      <c r="M156" s="47">
        <f>-SUMIFS(SIP[Unit],SIP[Investor ID],INVESTORS_LIST[[#This Row],[INVESTOR CODE]],SIP[B/S],"S")</f>
        <v>0</v>
      </c>
      <c r="N156" s="50">
        <f>IF(INVESTORS_LIST[[#This Row],[SIP_TOTAL UNITS BUY]]=0,0,INVESTORS_LIST[[#This Row],[SIP_TOTAL UNITS BUY]]-INVESTORS_LIST[[#This Row],[SIP_TOTAL UNITS SOLD]])</f>
        <v>0</v>
      </c>
      <c r="O156" s="49">
        <f>IF(INVESTORS_LIST[[#This Row],[SIP_TOTAL UNITS BUY]]=0,0,SUMIFS(SIP[Amount],SIP[Investor ID],INVESTORS_LIST[[#This Row],[INVESTOR CODE]],SIP[B/S],"B"))</f>
        <v>0</v>
      </c>
      <c r="P156" s="49">
        <f>IF(INVESTORS_LIST[[#This Row],[SIP_TOTAL UNITS SOLD]]=0,0,SUMIFS(SIP[Cost of Units Sold],SIP[Investor ID],INVESTORS_LIST[[#This Row],[INVESTOR CODE]],SIP[B/S],"S"))</f>
        <v>0</v>
      </c>
      <c r="Q156" s="48">
        <f>IF(INVESTORS_LIST[[#This Row],[SIP_TOTAL CURRENT UNITS]]=0,0,INVESTORS_LIST[[#This Row],[SIP_TOTAL CURRENT UNITS]]*INVESTORS_LIST[[#This Row],[SIP_AVERAGE COST]])</f>
        <v>0</v>
      </c>
      <c r="R156" s="48">
        <f>IF(INVESTORS_LIST[[#This Row],[SIP_TOTAL UNITS SOLD]]=0,0,SUMIFS(SIP[Realized Gain],SIP[Investor ID],INVESTORS_LIST[[#This Row],[INVESTOR CODE]],SIP[B/S],"S"))</f>
        <v>0</v>
      </c>
      <c r="S156" s="50">
        <f>INVESTORS_LIST[[#This Row],[LS_TOTAL UNITS BUY]]+INVESTORS_LIST[[#This Row],[SIP_TOTAL UNITS BUY]]</f>
        <v>0</v>
      </c>
      <c r="T156" s="50">
        <f>INVESTORS_LIST[[#This Row],[LS_TOTAL UNITS SOLD]]+INVESTORS_LIST[[#This Row],[SIP_TOTAL UNITS SOLD]]</f>
        <v>0</v>
      </c>
      <c r="U156" s="50"/>
      <c r="V156" s="50">
        <f>SUMIFS(LS[BO UNIT TRANSFER],LS[Investor ID],INVESTORS_LIST[[#This Row],[INVESTOR CODE]],LS[B/S],"B")</f>
        <v>0</v>
      </c>
      <c r="W156" s="50">
        <f>SUMIFS(SIP[BO UNIT TRANSFER],SIP[Investor ID],INVESTORS_LIST[[#This Row],[INVESTOR CODE]],SIP[B/S],"B")</f>
        <v>0</v>
      </c>
      <c r="X156" s="50">
        <f>SUMIFS(LS[BO UNIT TRANSFER],LS[Investor ID],INVESTORS_LIST[[#This Row],[INVESTOR CODE]],LS[B/S],"S")</f>
        <v>0</v>
      </c>
      <c r="Y156" s="50">
        <f>SUMIFS(SIP[BO UNIT TRANSFER],SIP[Investor ID],INVESTORS_LIST[[#This Row],[INVESTOR CODE]],SIP[B/S],"S")</f>
        <v>0</v>
      </c>
      <c r="Z156" s="106">
        <f>SUM(INVESTORS_LIST[[#This Row],[BO OPENING BALANCE]:[BO SIP UNITS REPURCHASE]])</f>
        <v>0</v>
      </c>
      <c r="AA156" s="107">
        <f>INVESTORS_LIST[[#This Row],[TOTAL UNITS BUY]]-INVESTORS_LIST[[#This Row],[TOTAL UNITS SOLD]]</f>
        <v>0</v>
      </c>
      <c r="AB156" s="107">
        <f>INVESTORS_LIST[[#This Row],[TOTAL CURRENT UNITS]]-INVESTORS_LIST[[#This Row],[BO UNITS HOLD]]</f>
        <v>0</v>
      </c>
      <c r="AC156" s="201" t="e">
        <f>INDEX([3]!Table_1[BO ID],MATCH(INVESTORS_LIST[[#This Row],[INVESTOR CODE]],[3]!Table_1[INVESTOR CODE],0))</f>
        <v>#REF!</v>
      </c>
      <c r="AD156" s="201" t="e">
        <f>INDEX([3]!Table_1[Brokerage Name2],MATCH(INVESTORS_LIST[[#This Row],[INVESTOR CODE]],[3]!Table_1[INVESTOR CODE],0))</f>
        <v>#REF!</v>
      </c>
      <c r="AE156" s="201" t="e">
        <f>MID(INVESTORS_LIST[[#This Row],[BO ID]],4,5)</f>
        <v>#REF!</v>
      </c>
      <c r="AF156" s="201" t="e">
        <f>MID(INVESTORS_LIST[[#This Row],[BO ID]],2,7)</f>
        <v>#REF!</v>
      </c>
      <c r="AG156" s="201" t="e">
        <f>MID(INVESTORS_LIST[[#This Row],[BO ID]],9,7)</f>
        <v>#REF!</v>
      </c>
      <c r="AH156" s="201" t="e">
        <f>RIGHT(INVESTORS_LIST[[#This Row],[BO ID]],1)</f>
        <v>#REF!</v>
      </c>
      <c r="AI156" s="50">
        <f>INVESTORS_LIST[[#This Row],[LS_TOTAL COST VALUE OF CURRENT UNITS]]+INVESTORS_LIST[[#This Row],[SIP_TOTAL COST VALUE OF CURRENT UNITS]]</f>
        <v>0</v>
      </c>
      <c r="AJ156" s="109">
        <f>IF(INVESTORS_LIST[[#This Row],[TOTAL CURRENT UNITS]]=0,0,INVESTORS_LIST[[#This Row],[LS_TOTAL CURRENT UNITS]]/INVESTORS_LIST[[#This Row],[TOTAL CURRENT UNITS]])</f>
        <v>0</v>
      </c>
      <c r="AK156" s="109">
        <f>IF(INVESTORS_LIST[[#This Row],[TOTAL CURRENT UNITS]]=0,0,INVESTORS_LIST[[#This Row],[SIP_TOTAL CURRENT UNITS]]/INVESTORS_LIST[[#This Row],[TOTAL CURRENT UNITS]])</f>
        <v>0</v>
      </c>
      <c r="AL156" s="49" cm="1">
        <f t="array" ref="AL1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6" s="49" cm="1">
        <f t="array" ref="AM1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6" s="105">
        <f t="shared" si="3"/>
        <v>14.224</v>
      </c>
      <c r="AP156" s="112">
        <f>IF(INVESTORS_LIST[[#This Row],[TOTAL CURRENT UNITS]]=0,0,INVESTORS_LIST[[#This Row],[TOTAL CURRENT UNITS]]*INVESTORS_LIST[[#This Row],[NAV]])</f>
        <v>0</v>
      </c>
      <c r="AQ156" s="49">
        <f>IF(INVESTORS_LIST[[#This Row],[LS_TOTAL CURRENT UNITS]]=0,0,INVESTORS_LIST[[#This Row],[LS_TOTAL CURRENT UNITS]]*INVESTORS_LIST[[#This Row],[NAV]])</f>
        <v>0</v>
      </c>
      <c r="AR156" s="48">
        <f>IF(INVESTORS_LIST[[#This Row],[SIP_TOTAL CURRENT UNITS]]=0,0,INVESTORS_LIST[[#This Row],[SIP_TOTAL CURRENT UNITS]]*INVESTORS_LIST[[#This Row],[NAV]])</f>
        <v>0</v>
      </c>
      <c r="AS156" s="50">
        <f>INVESTORS_LIST[[#This Row],[TOTAL CURRENT UNITS]]</f>
        <v>0</v>
      </c>
      <c r="AT156" s="48">
        <f>IF(INVESTORS_LIST[[#This Row],[TOTAL SELLABLE UNITS]]=0,0,INVESTORS_LIST[[#This Row],[TOTAL SELLABLE UNITS]]*INVESTORS_LIST[[#This Row],[NAV]])</f>
        <v>0</v>
      </c>
      <c r="AU156" s="48">
        <f>INVESTORS_LIST[[#This Row],[LS_TOTAL REALIZED GAIN]]+INVESTORS_LIST[[#This Row],[SIP_TOTAL REALIZED GAIN]]</f>
        <v>0</v>
      </c>
      <c r="AV156" s="48">
        <f>INVESTORS_LIST[[#This Row],[TOTAL MARKET VALUE]]-INVESTORS_LIST[[#This Row],[TOTAL COST VALUE OF CURRENT INVESTMENT]]</f>
        <v>0</v>
      </c>
      <c r="AW156" s="48">
        <f>IFERROR(INVESTORS_LIST[[#This Row],[TOTAL CURRENT UNITS]]/SUM(INVESTORS_LIST[TOTAL CURRENT UNITS]),0)</f>
        <v>0</v>
      </c>
    </row>
    <row r="157" spans="1:49" hidden="1">
      <c r="A157" s="262" t="s">
        <v>361</v>
      </c>
      <c r="B157" s="97" t="s">
        <v>362</v>
      </c>
      <c r="C157" t="s">
        <v>44</v>
      </c>
      <c r="D157" s="75" t="s">
        <v>45</v>
      </c>
      <c r="E157" s="47">
        <f>SUMIFS(LS[Unit],LS[Investor ID],INVESTORS_LIST[[#This Row],[INVESTOR CODE]],LS[B/S],"B")</f>
        <v>0</v>
      </c>
      <c r="F157" s="47">
        <f>-SUMIFS(LS[Unit],LS[Investor ID],INVESTORS_LIST[[#This Row],[INVESTOR CODE]],LS[B/S],"S")</f>
        <v>0</v>
      </c>
      <c r="G157" s="47">
        <f>IF(INVESTORS_LIST[[#This Row],[LS_TOTAL UNITS BUY]]=0,0,INVESTORS_LIST[[#This Row],[LS_TOTAL UNITS BUY]]-INVESTORS_LIST[[#This Row],[LS_TOTAL UNITS SOLD]])</f>
        <v>0</v>
      </c>
      <c r="H157" s="49">
        <f>IF(INVESTORS_LIST[[#This Row],[LS_TOTAL UNITS BUY]]=0,0,SUMIFS(LS[Amount],LS[Investor ID],INVESTORS_LIST[[#This Row],[INVESTOR CODE]],LS[B/S],"B"))</f>
        <v>0</v>
      </c>
      <c r="I157" s="48">
        <f>IF(INVESTORS_LIST[[#This Row],[LS_TOTAL UNITS SOLD]]=0,0,SUMIFS(LS[Cost of Units Sold],LS[Investor ID],INVESTORS_LIST[[#This Row],[INVESTOR CODE]],LS[B/S],"S"))</f>
        <v>0</v>
      </c>
      <c r="J157" s="48">
        <f>IF(INVESTORS_LIST[[#This Row],[LS_TOTAL CURRENT UNITS]]=0,0,INVESTORS_LIST[[#This Row],[LS_TOTAL CURRENT UNITS]]*INVESTORS_LIST[[#This Row],[LS_AVERAGE COST]])</f>
        <v>0</v>
      </c>
      <c r="K157" s="49">
        <f>IF(INVESTORS_LIST[[#This Row],[LS_TOTAL UNITS SOLD]]=0,0,SUMIFS(LS[Realized Gain],LS[Investor ID],INVESTORS_LIST[[#This Row],[INVESTOR CODE]],LS[B/S],"S"))</f>
        <v>0</v>
      </c>
      <c r="L157" s="47">
        <f>SUMIFS(SIP[Unit],SIP[Investor ID],INVESTORS_LIST[[#This Row],[INVESTOR CODE]],SIP[B/S],"B")</f>
        <v>0</v>
      </c>
      <c r="M157" s="47">
        <f>-SUMIFS(SIP[Unit],SIP[Investor ID],INVESTORS_LIST[[#This Row],[INVESTOR CODE]],SIP[B/S],"S")</f>
        <v>0</v>
      </c>
      <c r="N157" s="50">
        <f>IF(INVESTORS_LIST[[#This Row],[SIP_TOTAL UNITS BUY]]=0,0,INVESTORS_LIST[[#This Row],[SIP_TOTAL UNITS BUY]]-INVESTORS_LIST[[#This Row],[SIP_TOTAL UNITS SOLD]])</f>
        <v>0</v>
      </c>
      <c r="O157" s="49">
        <f>IF(INVESTORS_LIST[[#This Row],[SIP_TOTAL UNITS BUY]]=0,0,SUMIFS(SIP[Amount],SIP[Investor ID],INVESTORS_LIST[[#This Row],[INVESTOR CODE]],SIP[B/S],"B"))</f>
        <v>0</v>
      </c>
      <c r="P157" s="49">
        <f>IF(INVESTORS_LIST[[#This Row],[SIP_TOTAL UNITS SOLD]]=0,0,SUMIFS(SIP[Cost of Units Sold],SIP[Investor ID],INVESTORS_LIST[[#This Row],[INVESTOR CODE]],SIP[B/S],"S"))</f>
        <v>0</v>
      </c>
      <c r="Q157" s="48">
        <f>IF(INVESTORS_LIST[[#This Row],[SIP_TOTAL CURRENT UNITS]]=0,0,INVESTORS_LIST[[#This Row],[SIP_TOTAL CURRENT UNITS]]*INVESTORS_LIST[[#This Row],[SIP_AVERAGE COST]])</f>
        <v>0</v>
      </c>
      <c r="R157" s="48">
        <f>IF(INVESTORS_LIST[[#This Row],[SIP_TOTAL UNITS SOLD]]=0,0,SUMIFS(SIP[Realized Gain],SIP[Investor ID],INVESTORS_LIST[[#This Row],[INVESTOR CODE]],SIP[B/S],"S"))</f>
        <v>0</v>
      </c>
      <c r="S157" s="50">
        <f>INVESTORS_LIST[[#This Row],[LS_TOTAL UNITS BUY]]+INVESTORS_LIST[[#This Row],[SIP_TOTAL UNITS BUY]]</f>
        <v>0</v>
      </c>
      <c r="T157" s="50">
        <f>INVESTORS_LIST[[#This Row],[LS_TOTAL UNITS SOLD]]+INVESTORS_LIST[[#This Row],[SIP_TOTAL UNITS SOLD]]</f>
        <v>0</v>
      </c>
      <c r="U157" s="50"/>
      <c r="V157" s="50">
        <f>SUMIFS(LS[BO UNIT TRANSFER],LS[Investor ID],INVESTORS_LIST[[#This Row],[INVESTOR CODE]],LS[B/S],"B")</f>
        <v>0</v>
      </c>
      <c r="W157" s="50">
        <f>SUMIFS(SIP[BO UNIT TRANSFER],SIP[Investor ID],INVESTORS_LIST[[#This Row],[INVESTOR CODE]],SIP[B/S],"B")</f>
        <v>0</v>
      </c>
      <c r="X157" s="50">
        <f>SUMIFS(LS[BO UNIT TRANSFER],LS[Investor ID],INVESTORS_LIST[[#This Row],[INVESTOR CODE]],LS[B/S],"S")</f>
        <v>0</v>
      </c>
      <c r="Y157" s="50">
        <f>SUMIFS(SIP[BO UNIT TRANSFER],SIP[Investor ID],INVESTORS_LIST[[#This Row],[INVESTOR CODE]],SIP[B/S],"S")</f>
        <v>0</v>
      </c>
      <c r="Z157" s="106">
        <f>SUM(INVESTORS_LIST[[#This Row],[BO OPENING BALANCE]:[BO SIP UNITS REPURCHASE]])</f>
        <v>0</v>
      </c>
      <c r="AA157" s="107">
        <f>INVESTORS_LIST[[#This Row],[TOTAL UNITS BUY]]-INVESTORS_LIST[[#This Row],[TOTAL UNITS SOLD]]</f>
        <v>0</v>
      </c>
      <c r="AB157" s="107">
        <f>INVESTORS_LIST[[#This Row],[TOTAL CURRENT UNITS]]-INVESTORS_LIST[[#This Row],[BO UNITS HOLD]]</f>
        <v>0</v>
      </c>
      <c r="AC157" s="201" t="e">
        <f>INDEX([3]!Table_1[BO ID],MATCH(INVESTORS_LIST[[#This Row],[INVESTOR CODE]],[3]!Table_1[INVESTOR CODE],0))</f>
        <v>#REF!</v>
      </c>
      <c r="AD157" s="201" t="e">
        <f>INDEX([3]!Table_1[Brokerage Name2],MATCH(INVESTORS_LIST[[#This Row],[INVESTOR CODE]],[3]!Table_1[INVESTOR CODE],0))</f>
        <v>#REF!</v>
      </c>
      <c r="AE157" s="201" t="e">
        <f>MID(INVESTORS_LIST[[#This Row],[BO ID]],4,5)</f>
        <v>#REF!</v>
      </c>
      <c r="AF157" s="201" t="e">
        <f>MID(INVESTORS_LIST[[#This Row],[BO ID]],2,7)</f>
        <v>#REF!</v>
      </c>
      <c r="AG157" s="201" t="e">
        <f>MID(INVESTORS_LIST[[#This Row],[BO ID]],9,7)</f>
        <v>#REF!</v>
      </c>
      <c r="AH157" s="201" t="e">
        <f>RIGHT(INVESTORS_LIST[[#This Row],[BO ID]],1)</f>
        <v>#REF!</v>
      </c>
      <c r="AI157" s="50">
        <f>INVESTORS_LIST[[#This Row],[LS_TOTAL COST VALUE OF CURRENT UNITS]]+INVESTORS_LIST[[#This Row],[SIP_TOTAL COST VALUE OF CURRENT UNITS]]</f>
        <v>0</v>
      </c>
      <c r="AJ157" s="109">
        <f>IF(INVESTORS_LIST[[#This Row],[TOTAL CURRENT UNITS]]=0,0,INVESTORS_LIST[[#This Row],[LS_TOTAL CURRENT UNITS]]/INVESTORS_LIST[[#This Row],[TOTAL CURRENT UNITS]])</f>
        <v>0</v>
      </c>
      <c r="AK157" s="109">
        <f>IF(INVESTORS_LIST[[#This Row],[TOTAL CURRENT UNITS]]=0,0,INVESTORS_LIST[[#This Row],[SIP_TOTAL CURRENT UNITS]]/INVESTORS_LIST[[#This Row],[TOTAL CURRENT UNITS]])</f>
        <v>0</v>
      </c>
      <c r="AL157" s="49" cm="1">
        <f t="array" ref="AL1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7" s="49" cm="1">
        <f t="array" ref="AM1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7" s="105">
        <f t="shared" si="3"/>
        <v>14.224</v>
      </c>
      <c r="AP157" s="112">
        <f>IF(INVESTORS_LIST[[#This Row],[TOTAL CURRENT UNITS]]=0,0,INVESTORS_LIST[[#This Row],[TOTAL CURRENT UNITS]]*INVESTORS_LIST[[#This Row],[NAV]])</f>
        <v>0</v>
      </c>
      <c r="AQ157" s="49">
        <f>IF(INVESTORS_LIST[[#This Row],[LS_TOTAL CURRENT UNITS]]=0,0,INVESTORS_LIST[[#This Row],[LS_TOTAL CURRENT UNITS]]*INVESTORS_LIST[[#This Row],[NAV]])</f>
        <v>0</v>
      </c>
      <c r="AR157" s="48">
        <f>IF(INVESTORS_LIST[[#This Row],[SIP_TOTAL CURRENT UNITS]]=0,0,INVESTORS_LIST[[#This Row],[SIP_TOTAL CURRENT UNITS]]*INVESTORS_LIST[[#This Row],[NAV]])</f>
        <v>0</v>
      </c>
      <c r="AS157" s="50">
        <f>INVESTORS_LIST[[#This Row],[TOTAL CURRENT UNITS]]</f>
        <v>0</v>
      </c>
      <c r="AT157" s="48">
        <f>IF(INVESTORS_LIST[[#This Row],[TOTAL SELLABLE UNITS]]=0,0,INVESTORS_LIST[[#This Row],[TOTAL SELLABLE UNITS]]*INVESTORS_LIST[[#This Row],[NAV]])</f>
        <v>0</v>
      </c>
      <c r="AU157" s="48">
        <f>INVESTORS_LIST[[#This Row],[LS_TOTAL REALIZED GAIN]]+INVESTORS_LIST[[#This Row],[SIP_TOTAL REALIZED GAIN]]</f>
        <v>0</v>
      </c>
      <c r="AV157" s="48">
        <f>INVESTORS_LIST[[#This Row],[TOTAL MARKET VALUE]]-INVESTORS_LIST[[#This Row],[TOTAL COST VALUE OF CURRENT INVESTMENT]]</f>
        <v>0</v>
      </c>
      <c r="AW157" s="48">
        <f>IFERROR(INVESTORS_LIST[[#This Row],[TOTAL CURRENT UNITS]]/SUM(INVESTORS_LIST[TOTAL CURRENT UNITS]),0)</f>
        <v>0</v>
      </c>
    </row>
    <row r="158" spans="1:49">
      <c r="A158" s="262" t="s">
        <v>363</v>
      </c>
      <c r="B158" s="97" t="s">
        <v>364</v>
      </c>
      <c r="C158" t="s">
        <v>44</v>
      </c>
      <c r="D158" s="75" t="s">
        <v>45</v>
      </c>
      <c r="E158" s="47">
        <f>SUMIFS(LS[Unit],LS[Investor ID],INVESTORS_LIST[[#This Row],[INVESTOR CODE]],LS[B/S],"B")</f>
        <v>247657</v>
      </c>
      <c r="F158" s="47">
        <f>-SUMIFS(LS[Unit],LS[Investor ID],INVESTORS_LIST[[#This Row],[INVESTOR CODE]],LS[B/S],"S")</f>
        <v>59811</v>
      </c>
      <c r="G158" s="47">
        <f>IF(INVESTORS_LIST[[#This Row],[LS_TOTAL UNITS BUY]]=0,0,INVESTORS_LIST[[#This Row],[LS_TOTAL UNITS BUY]]-INVESTORS_LIST[[#This Row],[LS_TOTAL UNITS SOLD]])</f>
        <v>187846</v>
      </c>
      <c r="H158" s="49">
        <f>IF(INVESTORS_LIST[[#This Row],[LS_TOTAL UNITS BUY]]=0,0,SUMIFS(LS[Amount],LS[Investor ID],INVESTORS_LIST[[#This Row],[INVESTOR CODE]],LS[B/S],"B"))</f>
        <v>2700000</v>
      </c>
      <c r="I158" s="48">
        <f>IF(INVESTORS_LIST[[#This Row],[LS_TOTAL UNITS SOLD]]=0,0,SUMIFS(LS[Cost of Units Sold],LS[Investor ID],INVESTORS_LIST[[#This Row],[INVESTOR CODE]],LS[B/S],"S"))</f>
        <v>599999.99999999988</v>
      </c>
      <c r="J158" s="48">
        <f>IF(INVESTORS_LIST[[#This Row],[LS_TOTAL CURRENT UNITS]]=0,0,INVESTORS_LIST[[#This Row],[LS_TOTAL CURRENT UNITS]]*INVESTORS_LIST[[#This Row],[LS_AVERAGE COST]])</f>
        <v>2100000</v>
      </c>
      <c r="K158" s="49">
        <f>IF(INVESTORS_LIST[[#This Row],[LS_TOTAL UNITS SOLD]]=0,0,SUMIFS(LS[Realized Gain],LS[Investor ID],INVESTORS_LIST[[#This Row],[INVESTOR CODE]],LS[B/S],"S"))</f>
        <v>29331.340000000095</v>
      </c>
      <c r="L158" s="47">
        <f>SUMIFS(SIP[Unit],SIP[Investor ID],INVESTORS_LIST[[#This Row],[INVESTOR CODE]],SIP[B/S],"B")</f>
        <v>2869</v>
      </c>
      <c r="M158" s="47">
        <f>-SUMIFS(SIP[Unit],SIP[Investor ID],INVESTORS_LIST[[#This Row],[INVESTOR CODE]],SIP[B/S],"S")</f>
        <v>0</v>
      </c>
      <c r="N158" s="50">
        <f>IF(INVESTORS_LIST[[#This Row],[SIP_TOTAL UNITS BUY]]=0,0,INVESTORS_LIST[[#This Row],[SIP_TOTAL UNITS BUY]]-INVESTORS_LIST[[#This Row],[SIP_TOTAL UNITS SOLD]])</f>
        <v>2869</v>
      </c>
      <c r="O158" s="49">
        <f>IF(INVESTORS_LIST[[#This Row],[SIP_TOTAL UNITS BUY]]=0,0,SUMIFS(SIP[Amount],SIP[Investor ID],INVESTORS_LIST[[#This Row],[INVESTOR CODE]],SIP[B/S],"B"))</f>
        <v>40000</v>
      </c>
      <c r="P158" s="49">
        <f>IF(INVESTORS_LIST[[#This Row],[SIP_TOTAL UNITS SOLD]]=0,0,SUMIFS(SIP[Cost of Units Sold],SIP[Investor ID],INVESTORS_LIST[[#This Row],[INVESTOR CODE]],SIP[B/S],"S"))</f>
        <v>0</v>
      </c>
      <c r="Q158" s="48">
        <f>IF(INVESTORS_LIST[[#This Row],[SIP_TOTAL CURRENT UNITS]]=0,0,INVESTORS_LIST[[#This Row],[SIP_TOTAL CURRENT UNITS]]*INVESTORS_LIST[[#This Row],[SIP_AVERAGE COST]])</f>
        <v>40000</v>
      </c>
      <c r="R158" s="48">
        <f>IF(INVESTORS_LIST[[#This Row],[SIP_TOTAL UNITS SOLD]]=0,0,SUMIFS(SIP[Realized Gain],SIP[Investor ID],INVESTORS_LIST[[#This Row],[INVESTOR CODE]],SIP[B/S],"S"))</f>
        <v>0</v>
      </c>
      <c r="S158" s="50">
        <f>INVESTORS_LIST[[#This Row],[LS_TOTAL UNITS BUY]]+INVESTORS_LIST[[#This Row],[SIP_TOTAL UNITS BUY]]</f>
        <v>250526</v>
      </c>
      <c r="T158" s="50">
        <f>INVESTORS_LIST[[#This Row],[LS_TOTAL UNITS SOLD]]+INVESTORS_LIST[[#This Row],[SIP_TOTAL UNITS SOLD]]</f>
        <v>59811</v>
      </c>
      <c r="U158" s="50"/>
      <c r="V158" s="50">
        <f>SUMIFS(LS[BO UNIT TRANSFER],LS[Investor ID],INVESTORS_LIST[[#This Row],[INVESTOR CODE]],LS[B/S],"B")</f>
        <v>0</v>
      </c>
      <c r="W158" s="50">
        <f>SUMIFS(SIP[BO UNIT TRANSFER],SIP[Investor ID],INVESTORS_LIST[[#This Row],[INVESTOR CODE]],SIP[B/S],"B")</f>
        <v>0</v>
      </c>
      <c r="X158" s="50">
        <f>SUMIFS(LS[BO UNIT TRANSFER],LS[Investor ID],INVESTORS_LIST[[#This Row],[INVESTOR CODE]],LS[B/S],"S")</f>
        <v>0</v>
      </c>
      <c r="Y158" s="50">
        <f>SUMIFS(SIP[BO UNIT TRANSFER],SIP[Investor ID],INVESTORS_LIST[[#This Row],[INVESTOR CODE]],SIP[B/S],"S")</f>
        <v>0</v>
      </c>
      <c r="Z158" s="106">
        <f>SUM(INVESTORS_LIST[[#This Row],[BO OPENING BALANCE]:[BO SIP UNITS REPURCHASE]])</f>
        <v>0</v>
      </c>
      <c r="AA158" s="107">
        <f>INVESTORS_LIST[[#This Row],[TOTAL UNITS BUY]]-INVESTORS_LIST[[#This Row],[TOTAL UNITS SOLD]]</f>
        <v>190715</v>
      </c>
      <c r="AB158" s="107">
        <f>INVESTORS_LIST[[#This Row],[TOTAL CURRENT UNITS]]-INVESTORS_LIST[[#This Row],[BO UNITS HOLD]]</f>
        <v>190715</v>
      </c>
      <c r="AC158" s="201" t="e">
        <f>INDEX([3]!Table_1[BO ID],MATCH(INVESTORS_LIST[[#This Row],[INVESTOR CODE]],[3]!Table_1[INVESTOR CODE],0))</f>
        <v>#REF!</v>
      </c>
      <c r="AD158" s="201" t="e">
        <f>INDEX([3]!Table_1[Brokerage Name2],MATCH(INVESTORS_LIST[[#This Row],[INVESTOR CODE]],[3]!Table_1[INVESTOR CODE],0))</f>
        <v>#REF!</v>
      </c>
      <c r="AE158" s="201" t="e">
        <f>MID(INVESTORS_LIST[[#This Row],[BO ID]],4,5)</f>
        <v>#REF!</v>
      </c>
      <c r="AF158" s="201" t="e">
        <f>MID(INVESTORS_LIST[[#This Row],[BO ID]],2,7)</f>
        <v>#REF!</v>
      </c>
      <c r="AG158" s="201" t="e">
        <f>MID(INVESTORS_LIST[[#This Row],[BO ID]],9,7)</f>
        <v>#REF!</v>
      </c>
      <c r="AH158" s="201" t="e">
        <f>RIGHT(INVESTORS_LIST[[#This Row],[BO ID]],1)</f>
        <v>#REF!</v>
      </c>
      <c r="AI158" s="50">
        <f>INVESTORS_LIST[[#This Row],[LS_TOTAL COST VALUE OF CURRENT UNITS]]+INVESTORS_LIST[[#This Row],[SIP_TOTAL COST VALUE OF CURRENT UNITS]]</f>
        <v>2140000</v>
      </c>
      <c r="AJ158" s="109">
        <f>IF(INVESTORS_LIST[[#This Row],[TOTAL CURRENT UNITS]]=0,0,INVESTORS_LIST[[#This Row],[LS_TOTAL CURRENT UNITS]]/INVESTORS_LIST[[#This Row],[TOTAL CURRENT UNITS]])</f>
        <v>0.98495661064939832</v>
      </c>
      <c r="AK158" s="109">
        <f>IF(INVESTORS_LIST[[#This Row],[TOTAL CURRENT UNITS]]=0,0,INVESTORS_LIST[[#This Row],[SIP_TOTAL CURRENT UNITS]]/INVESTORS_LIST[[#This Row],[TOTAL CURRENT UNITS]])</f>
        <v>1.5043389350601684E-2</v>
      </c>
      <c r="AL158" s="49" cm="1">
        <f t="array" ref="AL158">IF(INVESTORS_LIST[[#This Row],[LS_TOTAL UNITS BUY]]&gt;0,INDEX(LS[NAV at Cost (Average)],MATCH(CONCATENATE(COUNTIFS(LS[Investor ID],INVESTORS_LIST[[#This Row],[INVESTOR CODE]]),INVESTORS_LIST[[#This Row],[INVESTOR CODE]]),LS[Unique Code],0),),0)</f>
        <v>11.179370335274641</v>
      </c>
      <c r="AM158" s="49" cm="1">
        <f t="array" ref="AM158">IF(INVESTORS_LIST[[#This Row],[SIP_TOTAL UNITS BUY]]&gt;0,INDEX(SIP[NAV at Cost (Average)],MATCH(CONCATENATE(COUNTIFS(SIP[Investor ID],INVESTORS_LIST[[#This Row],[INVESTOR CODE]]),INVESTORS_LIST[[#This Row],[INVESTOR CODE]]),SIP[Unique Code],0),),0)</f>
        <v>13.942140118508192</v>
      </c>
      <c r="AN158" s="105">
        <f>IF(INVESTORS_LIST[[#This Row],[TOTAL CURRENT UNITS]]=0,0,(INVESTORS_LIST[[#This Row],[LS_WEIGHT]]*INVESTORS_LIST[[#This Row],[LS_AVERAGE COST]])+(INVESTORS_LIST[[#This Row],[SIP_WEIGHT]]*INVESTORS_LIST[[#This Row],[SIP_AVERAGE COST]]))</f>
        <v>11.2209317568099</v>
      </c>
      <c r="AO158" s="105">
        <f t="shared" si="3"/>
        <v>14.224</v>
      </c>
      <c r="AP158" s="112">
        <f>IF(INVESTORS_LIST[[#This Row],[TOTAL CURRENT UNITS]]=0,0,INVESTORS_LIST[[#This Row],[TOTAL CURRENT UNITS]]*INVESTORS_LIST[[#This Row],[NAV]])</f>
        <v>2712730.16</v>
      </c>
      <c r="AQ158" s="49">
        <f>IF(INVESTORS_LIST[[#This Row],[LS_TOTAL CURRENT UNITS]]=0,0,INVESTORS_LIST[[#This Row],[LS_TOTAL CURRENT UNITS]]*INVESTORS_LIST[[#This Row],[NAV]])</f>
        <v>2671921.5040000002</v>
      </c>
      <c r="AR158" s="48">
        <f>IF(INVESTORS_LIST[[#This Row],[SIP_TOTAL CURRENT UNITS]]=0,0,INVESTORS_LIST[[#This Row],[SIP_TOTAL CURRENT UNITS]]*INVESTORS_LIST[[#This Row],[NAV]])</f>
        <v>40808.656000000003</v>
      </c>
      <c r="AS158" s="50">
        <f>INVESTORS_LIST[[#This Row],[TOTAL CURRENT UNITS]]</f>
        <v>190715</v>
      </c>
      <c r="AT158" s="48">
        <f>IF(INVESTORS_LIST[[#This Row],[TOTAL SELLABLE UNITS]]=0,0,INVESTORS_LIST[[#This Row],[TOTAL SELLABLE UNITS]]*INVESTORS_LIST[[#This Row],[NAV]])</f>
        <v>2712730.16</v>
      </c>
      <c r="AU158" s="48">
        <f>INVESTORS_LIST[[#This Row],[LS_TOTAL REALIZED GAIN]]+INVESTORS_LIST[[#This Row],[SIP_TOTAL REALIZED GAIN]]</f>
        <v>29331.340000000095</v>
      </c>
      <c r="AV158" s="48">
        <f>INVESTORS_LIST[[#This Row],[TOTAL MARKET VALUE]]-INVESTORS_LIST[[#This Row],[TOTAL COST VALUE OF CURRENT INVESTMENT]]</f>
        <v>572730.16000000015</v>
      </c>
      <c r="AW158" s="48">
        <f>IFERROR(INVESTORS_LIST[[#This Row],[TOTAL CURRENT UNITS]]/SUM(INVESTORS_LIST[TOTAL CURRENT UNITS]),0)</f>
        <v>4.629836988905409E-3</v>
      </c>
    </row>
    <row r="159" spans="1:49" hidden="1">
      <c r="A159" s="262" t="s">
        <v>365</v>
      </c>
      <c r="B159" s="97" t="s">
        <v>366</v>
      </c>
      <c r="C159" t="s">
        <v>44</v>
      </c>
      <c r="D159" s="75" t="s">
        <v>45</v>
      </c>
      <c r="E159" s="47">
        <f>SUMIFS(LS[Unit],LS[Investor ID],INVESTORS_LIST[[#This Row],[INVESTOR CODE]],LS[B/S],"B")</f>
        <v>0</v>
      </c>
      <c r="F159" s="47">
        <f>-SUMIFS(LS[Unit],LS[Investor ID],INVESTORS_LIST[[#This Row],[INVESTOR CODE]],LS[B/S],"S")</f>
        <v>0</v>
      </c>
      <c r="G159" s="47">
        <f>IF(INVESTORS_LIST[[#This Row],[LS_TOTAL UNITS BUY]]=0,0,INVESTORS_LIST[[#This Row],[LS_TOTAL UNITS BUY]]-INVESTORS_LIST[[#This Row],[LS_TOTAL UNITS SOLD]])</f>
        <v>0</v>
      </c>
      <c r="H159" s="49">
        <f>IF(INVESTORS_LIST[[#This Row],[LS_TOTAL UNITS BUY]]=0,0,SUMIFS(LS[Amount],LS[Investor ID],INVESTORS_LIST[[#This Row],[INVESTOR CODE]],LS[B/S],"B"))</f>
        <v>0</v>
      </c>
      <c r="I159" s="48">
        <f>IF(INVESTORS_LIST[[#This Row],[LS_TOTAL UNITS SOLD]]=0,0,SUMIFS(LS[Cost of Units Sold],LS[Investor ID],INVESTORS_LIST[[#This Row],[INVESTOR CODE]],LS[B/S],"S"))</f>
        <v>0</v>
      </c>
      <c r="J159" s="48">
        <f>IF(INVESTORS_LIST[[#This Row],[LS_TOTAL CURRENT UNITS]]=0,0,INVESTORS_LIST[[#This Row],[LS_TOTAL CURRENT UNITS]]*INVESTORS_LIST[[#This Row],[LS_AVERAGE COST]])</f>
        <v>0</v>
      </c>
      <c r="K159" s="49">
        <f>IF(INVESTORS_LIST[[#This Row],[LS_TOTAL UNITS SOLD]]=0,0,SUMIFS(LS[Realized Gain],LS[Investor ID],INVESTORS_LIST[[#This Row],[INVESTOR CODE]],LS[B/S],"S"))</f>
        <v>0</v>
      </c>
      <c r="L159" s="47">
        <f>SUMIFS(SIP[Unit],SIP[Investor ID],INVESTORS_LIST[[#This Row],[INVESTOR CODE]],SIP[B/S],"B")</f>
        <v>0</v>
      </c>
      <c r="M159" s="47">
        <f>-SUMIFS(SIP[Unit],SIP[Investor ID],INVESTORS_LIST[[#This Row],[INVESTOR CODE]],SIP[B/S],"S")</f>
        <v>0</v>
      </c>
      <c r="N159" s="50">
        <f>IF(INVESTORS_LIST[[#This Row],[SIP_TOTAL UNITS BUY]]=0,0,INVESTORS_LIST[[#This Row],[SIP_TOTAL UNITS BUY]]-INVESTORS_LIST[[#This Row],[SIP_TOTAL UNITS SOLD]])</f>
        <v>0</v>
      </c>
      <c r="O159" s="49">
        <f>IF(INVESTORS_LIST[[#This Row],[SIP_TOTAL UNITS BUY]]=0,0,SUMIFS(SIP[Amount],SIP[Investor ID],INVESTORS_LIST[[#This Row],[INVESTOR CODE]],SIP[B/S],"B"))</f>
        <v>0</v>
      </c>
      <c r="P159" s="49">
        <f>IF(INVESTORS_LIST[[#This Row],[SIP_TOTAL UNITS SOLD]]=0,0,SUMIFS(SIP[Cost of Units Sold],SIP[Investor ID],INVESTORS_LIST[[#This Row],[INVESTOR CODE]],SIP[B/S],"S"))</f>
        <v>0</v>
      </c>
      <c r="Q159" s="48">
        <f>IF(INVESTORS_LIST[[#This Row],[SIP_TOTAL CURRENT UNITS]]=0,0,INVESTORS_LIST[[#This Row],[SIP_TOTAL CURRENT UNITS]]*INVESTORS_LIST[[#This Row],[SIP_AVERAGE COST]])</f>
        <v>0</v>
      </c>
      <c r="R159" s="48">
        <f>IF(INVESTORS_LIST[[#This Row],[SIP_TOTAL UNITS SOLD]]=0,0,SUMIFS(SIP[Realized Gain],SIP[Investor ID],INVESTORS_LIST[[#This Row],[INVESTOR CODE]],SIP[B/S],"S"))</f>
        <v>0</v>
      </c>
      <c r="S159" s="50">
        <f>INVESTORS_LIST[[#This Row],[LS_TOTAL UNITS BUY]]+INVESTORS_LIST[[#This Row],[SIP_TOTAL UNITS BUY]]</f>
        <v>0</v>
      </c>
      <c r="T159" s="50">
        <f>INVESTORS_LIST[[#This Row],[LS_TOTAL UNITS SOLD]]+INVESTORS_LIST[[#This Row],[SIP_TOTAL UNITS SOLD]]</f>
        <v>0</v>
      </c>
      <c r="U159" s="50"/>
      <c r="V159" s="50">
        <f>SUMIFS(LS[BO UNIT TRANSFER],LS[Investor ID],INVESTORS_LIST[[#This Row],[INVESTOR CODE]],LS[B/S],"B")</f>
        <v>0</v>
      </c>
      <c r="W159" s="50">
        <f>SUMIFS(SIP[BO UNIT TRANSFER],SIP[Investor ID],INVESTORS_LIST[[#This Row],[INVESTOR CODE]],SIP[B/S],"B")</f>
        <v>0</v>
      </c>
      <c r="X159" s="50">
        <f>SUMIFS(LS[BO UNIT TRANSFER],LS[Investor ID],INVESTORS_LIST[[#This Row],[INVESTOR CODE]],LS[B/S],"S")</f>
        <v>0</v>
      </c>
      <c r="Y159" s="50">
        <f>SUMIFS(SIP[BO UNIT TRANSFER],SIP[Investor ID],INVESTORS_LIST[[#This Row],[INVESTOR CODE]],SIP[B/S],"S")</f>
        <v>0</v>
      </c>
      <c r="Z159" s="106">
        <f>SUM(INVESTORS_LIST[[#This Row],[BO OPENING BALANCE]:[BO SIP UNITS REPURCHASE]])</f>
        <v>0</v>
      </c>
      <c r="AA159" s="107">
        <f>INVESTORS_LIST[[#This Row],[TOTAL UNITS BUY]]-INVESTORS_LIST[[#This Row],[TOTAL UNITS SOLD]]</f>
        <v>0</v>
      </c>
      <c r="AB159" s="107">
        <f>INVESTORS_LIST[[#This Row],[TOTAL CURRENT UNITS]]-INVESTORS_LIST[[#This Row],[BO UNITS HOLD]]</f>
        <v>0</v>
      </c>
      <c r="AC159" s="201" t="e">
        <f>INDEX([3]!Table_1[BO ID],MATCH(INVESTORS_LIST[[#This Row],[INVESTOR CODE]],[3]!Table_1[INVESTOR CODE],0))</f>
        <v>#REF!</v>
      </c>
      <c r="AD159" s="201" t="e">
        <f>INDEX([3]!Table_1[Brokerage Name2],MATCH(INVESTORS_LIST[[#This Row],[INVESTOR CODE]],[3]!Table_1[INVESTOR CODE],0))</f>
        <v>#REF!</v>
      </c>
      <c r="AE159" s="201" t="e">
        <f>MID(INVESTORS_LIST[[#This Row],[BO ID]],4,5)</f>
        <v>#REF!</v>
      </c>
      <c r="AF159" s="201" t="e">
        <f>MID(INVESTORS_LIST[[#This Row],[BO ID]],2,7)</f>
        <v>#REF!</v>
      </c>
      <c r="AG159" s="201" t="e">
        <f>MID(INVESTORS_LIST[[#This Row],[BO ID]],9,7)</f>
        <v>#REF!</v>
      </c>
      <c r="AH159" s="201" t="e">
        <f>RIGHT(INVESTORS_LIST[[#This Row],[BO ID]],1)</f>
        <v>#REF!</v>
      </c>
      <c r="AI159" s="50">
        <f>INVESTORS_LIST[[#This Row],[LS_TOTAL COST VALUE OF CURRENT UNITS]]+INVESTORS_LIST[[#This Row],[SIP_TOTAL COST VALUE OF CURRENT UNITS]]</f>
        <v>0</v>
      </c>
      <c r="AJ159" s="109">
        <f>IF(INVESTORS_LIST[[#This Row],[TOTAL CURRENT UNITS]]=0,0,INVESTORS_LIST[[#This Row],[LS_TOTAL CURRENT UNITS]]/INVESTORS_LIST[[#This Row],[TOTAL CURRENT UNITS]])</f>
        <v>0</v>
      </c>
      <c r="AK159" s="109">
        <f>IF(INVESTORS_LIST[[#This Row],[TOTAL CURRENT UNITS]]=0,0,INVESTORS_LIST[[#This Row],[SIP_TOTAL CURRENT UNITS]]/INVESTORS_LIST[[#This Row],[TOTAL CURRENT UNITS]])</f>
        <v>0</v>
      </c>
      <c r="AL159" s="49" cm="1">
        <f t="array" ref="AL1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59" s="49" cm="1">
        <f t="array" ref="AM1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5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59" s="105">
        <f t="shared" si="3"/>
        <v>14.224</v>
      </c>
      <c r="AP159" s="112">
        <f>IF(INVESTORS_LIST[[#This Row],[TOTAL CURRENT UNITS]]=0,0,INVESTORS_LIST[[#This Row],[TOTAL CURRENT UNITS]]*INVESTORS_LIST[[#This Row],[NAV]])</f>
        <v>0</v>
      </c>
      <c r="AQ159" s="49">
        <f>IF(INVESTORS_LIST[[#This Row],[LS_TOTAL CURRENT UNITS]]=0,0,INVESTORS_LIST[[#This Row],[LS_TOTAL CURRENT UNITS]]*INVESTORS_LIST[[#This Row],[NAV]])</f>
        <v>0</v>
      </c>
      <c r="AR159" s="48">
        <f>IF(INVESTORS_LIST[[#This Row],[SIP_TOTAL CURRENT UNITS]]=0,0,INVESTORS_LIST[[#This Row],[SIP_TOTAL CURRENT UNITS]]*INVESTORS_LIST[[#This Row],[NAV]])</f>
        <v>0</v>
      </c>
      <c r="AS159" s="50">
        <f>INVESTORS_LIST[[#This Row],[TOTAL CURRENT UNITS]]</f>
        <v>0</v>
      </c>
      <c r="AT159" s="48">
        <f>IF(INVESTORS_LIST[[#This Row],[TOTAL SELLABLE UNITS]]=0,0,INVESTORS_LIST[[#This Row],[TOTAL SELLABLE UNITS]]*INVESTORS_LIST[[#This Row],[NAV]])</f>
        <v>0</v>
      </c>
      <c r="AU159" s="48">
        <f>INVESTORS_LIST[[#This Row],[LS_TOTAL REALIZED GAIN]]+INVESTORS_LIST[[#This Row],[SIP_TOTAL REALIZED GAIN]]</f>
        <v>0</v>
      </c>
      <c r="AV159" s="48">
        <f>INVESTORS_LIST[[#This Row],[TOTAL MARKET VALUE]]-INVESTORS_LIST[[#This Row],[TOTAL COST VALUE OF CURRENT INVESTMENT]]</f>
        <v>0</v>
      </c>
      <c r="AW159" s="48">
        <f>IFERROR(INVESTORS_LIST[[#This Row],[TOTAL CURRENT UNITS]]/SUM(INVESTORS_LIST[TOTAL CURRENT UNITS]),0)</f>
        <v>0</v>
      </c>
    </row>
    <row r="160" spans="1:49">
      <c r="A160" s="262" t="s">
        <v>367</v>
      </c>
      <c r="B160" s="97" t="s">
        <v>368</v>
      </c>
      <c r="C160" t="s">
        <v>44</v>
      </c>
      <c r="D160" s="75" t="s">
        <v>45</v>
      </c>
      <c r="E160" s="47">
        <f>SUMIFS(LS[Unit],LS[Investor ID],INVESTORS_LIST[[#This Row],[INVESTOR CODE]],LS[B/S],"B")</f>
        <v>57959</v>
      </c>
      <c r="F160" s="47">
        <f>-SUMIFS(LS[Unit],LS[Investor ID],INVESTORS_LIST[[#This Row],[INVESTOR CODE]],LS[B/S],"S")</f>
        <v>57959</v>
      </c>
      <c r="G160" s="47">
        <f>IF(INVESTORS_LIST[[#This Row],[LS_TOTAL UNITS BUY]]=0,0,INVESTORS_LIST[[#This Row],[LS_TOTAL UNITS BUY]]-INVESTORS_LIST[[#This Row],[LS_TOTAL UNITS SOLD]])</f>
        <v>0</v>
      </c>
      <c r="H160" s="49">
        <f>IF(INVESTORS_LIST[[#This Row],[LS_TOTAL UNITS BUY]]=0,0,SUMIFS(LS[Amount],LS[Investor ID],INVESTORS_LIST[[#This Row],[INVESTOR CODE]],LS[B/S],"B"))</f>
        <v>620000</v>
      </c>
      <c r="I160" s="48">
        <f>IF(INVESTORS_LIST[[#This Row],[LS_TOTAL UNITS SOLD]]=0,0,SUMIFS(LS[Cost of Units Sold],LS[Investor ID],INVESTORS_LIST[[#This Row],[INVESTOR CODE]],LS[B/S],"S"))</f>
        <v>620000.00000000023</v>
      </c>
      <c r="J160" s="48">
        <f>IF(INVESTORS_LIST[[#This Row],[LS_TOTAL CURRENT UNITS]]=0,0,INVESTORS_LIST[[#This Row],[LS_TOTAL CURRENT UNITS]]*INVESTORS_LIST[[#This Row],[LS_AVERAGE COST]])</f>
        <v>0</v>
      </c>
      <c r="K160" s="49">
        <f>IF(INVESTORS_LIST[[#This Row],[LS_TOTAL UNITS SOLD]]=0,0,SUMIFS(LS[Realized Gain],LS[Investor ID],INVESTORS_LIST[[#This Row],[INVESTOR CODE]],LS[B/S],"S"))</f>
        <v>172554.88999999978</v>
      </c>
      <c r="L160" s="47">
        <f>SUMIFS(SIP[Unit],SIP[Investor ID],INVESTORS_LIST[[#This Row],[INVESTOR CODE]],SIP[B/S],"B")</f>
        <v>39027</v>
      </c>
      <c r="M160" s="47">
        <f>-SUMIFS(SIP[Unit],SIP[Investor ID],INVESTORS_LIST[[#This Row],[INVESTOR CODE]],SIP[B/S],"S")</f>
        <v>25417</v>
      </c>
      <c r="N160" s="50">
        <f>IF(INVESTORS_LIST[[#This Row],[SIP_TOTAL UNITS BUY]]=0,0,INVESTORS_LIST[[#This Row],[SIP_TOTAL UNITS BUY]]-INVESTORS_LIST[[#This Row],[SIP_TOTAL UNITS SOLD]])</f>
        <v>13610</v>
      </c>
      <c r="O160" s="49">
        <f>IF(INVESTORS_LIST[[#This Row],[SIP_TOTAL UNITS BUY]]=0,0,SUMIFS(SIP[Amount],SIP[Investor ID],INVESTORS_LIST[[#This Row],[INVESTOR CODE]],SIP[B/S],"B"))</f>
        <v>450000</v>
      </c>
      <c r="P160" s="49">
        <f>IF(INVESTORS_LIST[[#This Row],[SIP_TOTAL UNITS SOLD]]=0,0,SUMIFS(SIP[Cost of Units Sold],SIP[Investor ID],INVESTORS_LIST[[#This Row],[INVESTOR CODE]],SIP[B/S],"S"))</f>
        <v>291225.99762939557</v>
      </c>
      <c r="Q160" s="48">
        <f>IF(INVESTORS_LIST[[#This Row],[SIP_TOTAL CURRENT UNITS]]=0,0,INVESTORS_LIST[[#This Row],[SIP_TOTAL CURRENT UNITS]]*INVESTORS_LIST[[#This Row],[SIP_AVERAGE COST]])</f>
        <v>158774.00237060455</v>
      </c>
      <c r="R160" s="48">
        <f>IF(INVESTORS_LIST[[#This Row],[SIP_TOTAL UNITS SOLD]]=0,0,SUMIFS(SIP[Realized Gain],SIP[Investor ID],INVESTORS_LIST[[#This Row],[INVESTOR CODE]],SIP[B/S],"S"))</f>
        <v>66219.362370604431</v>
      </c>
      <c r="S160" s="50">
        <f>INVESTORS_LIST[[#This Row],[LS_TOTAL UNITS BUY]]+INVESTORS_LIST[[#This Row],[SIP_TOTAL UNITS BUY]]</f>
        <v>96986</v>
      </c>
      <c r="T160" s="50">
        <f>INVESTORS_LIST[[#This Row],[LS_TOTAL UNITS SOLD]]+INVESTORS_LIST[[#This Row],[SIP_TOTAL UNITS SOLD]]</f>
        <v>83376</v>
      </c>
      <c r="U160" s="50"/>
      <c r="V160" s="50">
        <f>SUMIFS(LS[BO UNIT TRANSFER],LS[Investor ID],INVESTORS_LIST[[#This Row],[INVESTOR CODE]],LS[B/S],"B")</f>
        <v>0</v>
      </c>
      <c r="W160" s="50">
        <f>SUMIFS(SIP[BO UNIT TRANSFER],SIP[Investor ID],INVESTORS_LIST[[#This Row],[INVESTOR CODE]],SIP[B/S],"B")</f>
        <v>0</v>
      </c>
      <c r="X160" s="50">
        <f>SUMIFS(LS[BO UNIT TRANSFER],LS[Investor ID],INVESTORS_LIST[[#This Row],[INVESTOR CODE]],LS[B/S],"S")</f>
        <v>0</v>
      </c>
      <c r="Y160" s="50">
        <f>SUMIFS(SIP[BO UNIT TRANSFER],SIP[Investor ID],INVESTORS_LIST[[#This Row],[INVESTOR CODE]],SIP[B/S],"S")</f>
        <v>0</v>
      </c>
      <c r="Z160" s="106">
        <f>SUM(INVESTORS_LIST[[#This Row],[BO OPENING BALANCE]:[BO SIP UNITS REPURCHASE]])</f>
        <v>0</v>
      </c>
      <c r="AA160" s="107">
        <f>INVESTORS_LIST[[#This Row],[TOTAL UNITS BUY]]-INVESTORS_LIST[[#This Row],[TOTAL UNITS SOLD]]</f>
        <v>13610</v>
      </c>
      <c r="AB160" s="107">
        <f>INVESTORS_LIST[[#This Row],[TOTAL CURRENT UNITS]]-INVESTORS_LIST[[#This Row],[BO UNITS HOLD]]</f>
        <v>13610</v>
      </c>
      <c r="AC160" s="201" t="e">
        <f>INDEX([3]!Table_1[BO ID],MATCH(INVESTORS_LIST[[#This Row],[INVESTOR CODE]],[3]!Table_1[INVESTOR CODE],0))</f>
        <v>#REF!</v>
      </c>
      <c r="AD160" s="201" t="e">
        <f>INDEX([3]!Table_1[Brokerage Name2],MATCH(INVESTORS_LIST[[#This Row],[INVESTOR CODE]],[3]!Table_1[INVESTOR CODE],0))</f>
        <v>#REF!</v>
      </c>
      <c r="AE160" s="201" t="e">
        <f>MID(INVESTORS_LIST[[#This Row],[BO ID]],4,5)</f>
        <v>#REF!</v>
      </c>
      <c r="AF160" s="201" t="e">
        <f>MID(INVESTORS_LIST[[#This Row],[BO ID]],2,7)</f>
        <v>#REF!</v>
      </c>
      <c r="AG160" s="201" t="e">
        <f>MID(INVESTORS_LIST[[#This Row],[BO ID]],9,7)</f>
        <v>#REF!</v>
      </c>
      <c r="AH160" s="201" t="e">
        <f>RIGHT(INVESTORS_LIST[[#This Row],[BO ID]],1)</f>
        <v>#REF!</v>
      </c>
      <c r="AI160" s="50">
        <f>INVESTORS_LIST[[#This Row],[LS_TOTAL COST VALUE OF CURRENT UNITS]]+INVESTORS_LIST[[#This Row],[SIP_TOTAL COST VALUE OF CURRENT UNITS]]</f>
        <v>158774.00237060455</v>
      </c>
      <c r="AJ160" s="109">
        <f>IF(INVESTORS_LIST[[#This Row],[TOTAL CURRENT UNITS]]=0,0,INVESTORS_LIST[[#This Row],[LS_TOTAL CURRENT UNITS]]/INVESTORS_LIST[[#This Row],[TOTAL CURRENT UNITS]])</f>
        <v>0</v>
      </c>
      <c r="AK160" s="109">
        <f>IF(INVESTORS_LIST[[#This Row],[TOTAL CURRENT UNITS]]=0,0,INVESTORS_LIST[[#This Row],[SIP_TOTAL CURRENT UNITS]]/INVESTORS_LIST[[#This Row],[TOTAL CURRENT UNITS]])</f>
        <v>1</v>
      </c>
      <c r="AL160" s="49" cm="1">
        <f t="array" ref="AL1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0" s="49" cm="1">
        <f t="array" ref="AM160">IF(INVESTORS_LIST[[#This Row],[SIP_TOTAL UNITS BUY]]&gt;0,INDEX(SIP[NAV at Cost (Average)],MATCH(CONCATENATE(COUNTIFS(SIP[Investor ID],INVESTORS_LIST[[#This Row],[INVESTOR CODE]]),INVESTORS_LIST[[#This Row],[INVESTOR CODE]]),SIP[Unique Code],0),),0)</f>
        <v>11.66598107058079</v>
      </c>
      <c r="AN160" s="105">
        <f>IF(INVESTORS_LIST[[#This Row],[TOTAL CURRENT UNITS]]=0,0,(INVESTORS_LIST[[#This Row],[LS_WEIGHT]]*INVESTORS_LIST[[#This Row],[LS_AVERAGE COST]])+(INVESTORS_LIST[[#This Row],[SIP_WEIGHT]]*INVESTORS_LIST[[#This Row],[SIP_AVERAGE COST]]))</f>
        <v>11.66598107058079</v>
      </c>
      <c r="AO160" s="105">
        <f t="shared" si="3"/>
        <v>14.224</v>
      </c>
      <c r="AP160" s="112">
        <f>IF(INVESTORS_LIST[[#This Row],[TOTAL CURRENT UNITS]]=0,0,INVESTORS_LIST[[#This Row],[TOTAL CURRENT UNITS]]*INVESTORS_LIST[[#This Row],[NAV]])</f>
        <v>193588.64</v>
      </c>
      <c r="AQ160" s="49">
        <f>IF(INVESTORS_LIST[[#This Row],[LS_TOTAL CURRENT UNITS]]=0,0,INVESTORS_LIST[[#This Row],[LS_TOTAL CURRENT UNITS]]*INVESTORS_LIST[[#This Row],[NAV]])</f>
        <v>0</v>
      </c>
      <c r="AR160" s="48">
        <f>IF(INVESTORS_LIST[[#This Row],[SIP_TOTAL CURRENT UNITS]]=0,0,INVESTORS_LIST[[#This Row],[SIP_TOTAL CURRENT UNITS]]*INVESTORS_LIST[[#This Row],[NAV]])</f>
        <v>193588.64</v>
      </c>
      <c r="AS160" s="50">
        <f>INVESTORS_LIST[[#This Row],[TOTAL CURRENT UNITS]]</f>
        <v>13610</v>
      </c>
      <c r="AT160" s="48">
        <f>IF(INVESTORS_LIST[[#This Row],[TOTAL SELLABLE UNITS]]=0,0,INVESTORS_LIST[[#This Row],[TOTAL SELLABLE UNITS]]*INVESTORS_LIST[[#This Row],[NAV]])</f>
        <v>193588.64</v>
      </c>
      <c r="AU160" s="48">
        <f>INVESTORS_LIST[[#This Row],[LS_TOTAL REALIZED GAIN]]+INVESTORS_LIST[[#This Row],[SIP_TOTAL REALIZED GAIN]]</f>
        <v>238774.2523706042</v>
      </c>
      <c r="AV160" s="48">
        <f>INVESTORS_LIST[[#This Row],[TOTAL MARKET VALUE]]-INVESTORS_LIST[[#This Row],[TOTAL COST VALUE OF CURRENT INVESTMENT]]</f>
        <v>34814.637629395467</v>
      </c>
      <c r="AW160" s="108">
        <f>IFERROR(INVESTORS_LIST[[#This Row],[TOTAL CURRENT UNITS]]/SUM(INVESTORS_LIST[TOTAL CURRENT UNITS]),0)</f>
        <v>3.3039918946597079E-4</v>
      </c>
    </row>
    <row r="161" spans="1:49" hidden="1">
      <c r="A161" s="262" t="s">
        <v>369</v>
      </c>
      <c r="B161" s="97" t="s">
        <v>370</v>
      </c>
      <c r="C161" t="s">
        <v>44</v>
      </c>
      <c r="D161" s="75" t="s">
        <v>45</v>
      </c>
      <c r="E161" s="47">
        <f>SUMIFS(LS[Unit],LS[Investor ID],INVESTORS_LIST[[#This Row],[INVESTOR CODE]],LS[B/S],"B")</f>
        <v>13680</v>
      </c>
      <c r="F161" s="47">
        <f>-SUMIFS(LS[Unit],LS[Investor ID],INVESTORS_LIST[[#This Row],[INVESTOR CODE]],LS[B/S],"S")</f>
        <v>13680</v>
      </c>
      <c r="G161" s="47">
        <f>IF(INVESTORS_LIST[[#This Row],[LS_TOTAL UNITS BUY]]=0,0,INVESTORS_LIST[[#This Row],[LS_TOTAL UNITS BUY]]-INVESTORS_LIST[[#This Row],[LS_TOTAL UNITS SOLD]])</f>
        <v>0</v>
      </c>
      <c r="H161" s="49">
        <f>IF(INVESTORS_LIST[[#This Row],[LS_TOTAL UNITS BUY]]=0,0,SUMIFS(LS[Amount],LS[Investor ID],INVESTORS_LIST[[#This Row],[INVESTOR CODE]],LS[B/S],"B"))</f>
        <v>140000</v>
      </c>
      <c r="I161" s="48">
        <f>IF(INVESTORS_LIST[[#This Row],[LS_TOTAL UNITS SOLD]]=0,0,SUMIFS(LS[Cost of Units Sold],LS[Investor ID],INVESTORS_LIST[[#This Row],[INVESTOR CODE]],LS[B/S],"S"))</f>
        <v>140000</v>
      </c>
      <c r="J161" s="48">
        <f>IF(INVESTORS_LIST[[#This Row],[LS_TOTAL CURRENT UNITS]]=0,0,INVESTORS_LIST[[#This Row],[LS_TOTAL CURRENT UNITS]]*INVESTORS_LIST[[#This Row],[LS_AVERAGE COST]])</f>
        <v>0</v>
      </c>
      <c r="K161" s="49">
        <f>IF(INVESTORS_LIST[[#This Row],[LS_TOTAL UNITS SOLD]]=0,0,SUMIFS(LS[Realized Gain],LS[Investor ID],INVESTORS_LIST[[#This Row],[INVESTOR CODE]],LS[B/S],"S"))</f>
        <v>10356.880000000001</v>
      </c>
      <c r="L161" s="47">
        <f>SUMIFS(SIP[Unit],SIP[Investor ID],INVESTORS_LIST[[#This Row],[INVESTOR CODE]],SIP[B/S],"B")</f>
        <v>0</v>
      </c>
      <c r="M161" s="47">
        <f>-SUMIFS(SIP[Unit],SIP[Investor ID],INVESTORS_LIST[[#This Row],[INVESTOR CODE]],SIP[B/S],"S")</f>
        <v>0</v>
      </c>
      <c r="N161" s="50">
        <f>IF(INVESTORS_LIST[[#This Row],[SIP_TOTAL UNITS BUY]]=0,0,INVESTORS_LIST[[#This Row],[SIP_TOTAL UNITS BUY]]-INVESTORS_LIST[[#This Row],[SIP_TOTAL UNITS SOLD]])</f>
        <v>0</v>
      </c>
      <c r="O161" s="49">
        <f>IF(INVESTORS_LIST[[#This Row],[SIP_TOTAL UNITS BUY]]=0,0,SUMIFS(SIP[Amount],SIP[Investor ID],INVESTORS_LIST[[#This Row],[INVESTOR CODE]],SIP[B/S],"B"))</f>
        <v>0</v>
      </c>
      <c r="P161" s="49">
        <f>IF(INVESTORS_LIST[[#This Row],[SIP_TOTAL UNITS SOLD]]=0,0,SUMIFS(SIP[Cost of Units Sold],SIP[Investor ID],INVESTORS_LIST[[#This Row],[INVESTOR CODE]],SIP[B/S],"S"))</f>
        <v>0</v>
      </c>
      <c r="Q161" s="48">
        <f>IF(INVESTORS_LIST[[#This Row],[SIP_TOTAL CURRENT UNITS]]=0,0,INVESTORS_LIST[[#This Row],[SIP_TOTAL CURRENT UNITS]]*INVESTORS_LIST[[#This Row],[SIP_AVERAGE COST]])</f>
        <v>0</v>
      </c>
      <c r="R161" s="48">
        <f>IF(INVESTORS_LIST[[#This Row],[SIP_TOTAL UNITS SOLD]]=0,0,SUMIFS(SIP[Realized Gain],SIP[Investor ID],INVESTORS_LIST[[#This Row],[INVESTOR CODE]],SIP[B/S],"S"))</f>
        <v>0</v>
      </c>
      <c r="S161" s="50">
        <f>INVESTORS_LIST[[#This Row],[LS_TOTAL UNITS BUY]]+INVESTORS_LIST[[#This Row],[SIP_TOTAL UNITS BUY]]</f>
        <v>13680</v>
      </c>
      <c r="T161" s="50">
        <f>INVESTORS_LIST[[#This Row],[LS_TOTAL UNITS SOLD]]+INVESTORS_LIST[[#This Row],[SIP_TOTAL UNITS SOLD]]</f>
        <v>13680</v>
      </c>
      <c r="U161" s="50"/>
      <c r="V161" s="50">
        <f>SUMIFS(LS[BO UNIT TRANSFER],LS[Investor ID],INVESTORS_LIST[[#This Row],[INVESTOR CODE]],LS[B/S],"B")</f>
        <v>0</v>
      </c>
      <c r="W161" s="50">
        <f>SUMIFS(SIP[BO UNIT TRANSFER],SIP[Investor ID],INVESTORS_LIST[[#This Row],[INVESTOR CODE]],SIP[B/S],"B")</f>
        <v>0</v>
      </c>
      <c r="X161" s="50">
        <f>SUMIFS(LS[BO UNIT TRANSFER],LS[Investor ID],INVESTORS_LIST[[#This Row],[INVESTOR CODE]],LS[B/S],"S")</f>
        <v>0</v>
      </c>
      <c r="Y161" s="50">
        <f>SUMIFS(SIP[BO UNIT TRANSFER],SIP[Investor ID],INVESTORS_LIST[[#This Row],[INVESTOR CODE]],SIP[B/S],"S")</f>
        <v>0</v>
      </c>
      <c r="Z161" s="106">
        <f>SUM(INVESTORS_LIST[[#This Row],[BO OPENING BALANCE]:[BO SIP UNITS REPURCHASE]])</f>
        <v>0</v>
      </c>
      <c r="AA161" s="107">
        <f>INVESTORS_LIST[[#This Row],[TOTAL UNITS BUY]]-INVESTORS_LIST[[#This Row],[TOTAL UNITS SOLD]]</f>
        <v>0</v>
      </c>
      <c r="AB161" s="107">
        <f>INVESTORS_LIST[[#This Row],[TOTAL CURRENT UNITS]]-INVESTORS_LIST[[#This Row],[BO UNITS HOLD]]</f>
        <v>0</v>
      </c>
      <c r="AC161" s="201" t="e">
        <f>INDEX([3]!Table_1[BO ID],MATCH(INVESTORS_LIST[[#This Row],[INVESTOR CODE]],[3]!Table_1[INVESTOR CODE],0))</f>
        <v>#REF!</v>
      </c>
      <c r="AD161" s="201" t="e">
        <f>INDEX([3]!Table_1[Brokerage Name2],MATCH(INVESTORS_LIST[[#This Row],[INVESTOR CODE]],[3]!Table_1[INVESTOR CODE],0))</f>
        <v>#REF!</v>
      </c>
      <c r="AE161" s="201" t="e">
        <f>MID(INVESTORS_LIST[[#This Row],[BO ID]],4,5)</f>
        <v>#REF!</v>
      </c>
      <c r="AF161" s="201" t="e">
        <f>MID(INVESTORS_LIST[[#This Row],[BO ID]],2,7)</f>
        <v>#REF!</v>
      </c>
      <c r="AG161" s="201" t="e">
        <f>MID(INVESTORS_LIST[[#This Row],[BO ID]],9,7)</f>
        <v>#REF!</v>
      </c>
      <c r="AH161" s="201" t="e">
        <f>RIGHT(INVESTORS_LIST[[#This Row],[BO ID]],1)</f>
        <v>#REF!</v>
      </c>
      <c r="AI161" s="50">
        <f>INVESTORS_LIST[[#This Row],[LS_TOTAL COST VALUE OF CURRENT UNITS]]+INVESTORS_LIST[[#This Row],[SIP_TOTAL COST VALUE OF CURRENT UNITS]]</f>
        <v>0</v>
      </c>
      <c r="AJ161" s="109">
        <f>IF(INVESTORS_LIST[[#This Row],[TOTAL CURRENT UNITS]]=0,0,INVESTORS_LIST[[#This Row],[LS_TOTAL CURRENT UNITS]]/INVESTORS_LIST[[#This Row],[TOTAL CURRENT UNITS]])</f>
        <v>0</v>
      </c>
      <c r="AK161" s="109">
        <f>IF(INVESTORS_LIST[[#This Row],[TOTAL CURRENT UNITS]]=0,0,INVESTORS_LIST[[#This Row],[SIP_TOTAL CURRENT UNITS]]/INVESTORS_LIST[[#This Row],[TOTAL CURRENT UNITS]])</f>
        <v>0</v>
      </c>
      <c r="AL161" s="49" cm="1">
        <f t="array" ref="AL1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1" s="49" cm="1">
        <f t="array" ref="AM1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1" s="105">
        <f t="shared" si="3"/>
        <v>14.224</v>
      </c>
      <c r="AP161" s="112">
        <f>IF(INVESTORS_LIST[[#This Row],[TOTAL CURRENT UNITS]]=0,0,INVESTORS_LIST[[#This Row],[TOTAL CURRENT UNITS]]*INVESTORS_LIST[[#This Row],[NAV]])</f>
        <v>0</v>
      </c>
      <c r="AQ161" s="49">
        <f>IF(INVESTORS_LIST[[#This Row],[LS_TOTAL CURRENT UNITS]]=0,0,INVESTORS_LIST[[#This Row],[LS_TOTAL CURRENT UNITS]]*INVESTORS_LIST[[#This Row],[NAV]])</f>
        <v>0</v>
      </c>
      <c r="AR161" s="48">
        <f>IF(INVESTORS_LIST[[#This Row],[SIP_TOTAL CURRENT UNITS]]=0,0,INVESTORS_LIST[[#This Row],[SIP_TOTAL CURRENT UNITS]]*INVESTORS_LIST[[#This Row],[NAV]])</f>
        <v>0</v>
      </c>
      <c r="AS161" s="50">
        <f>INVESTORS_LIST[[#This Row],[TOTAL CURRENT UNITS]]</f>
        <v>0</v>
      </c>
      <c r="AT161" s="48">
        <f>IF(INVESTORS_LIST[[#This Row],[TOTAL SELLABLE UNITS]]=0,0,INVESTORS_LIST[[#This Row],[TOTAL SELLABLE UNITS]]*INVESTORS_LIST[[#This Row],[NAV]])</f>
        <v>0</v>
      </c>
      <c r="AU161" s="48">
        <f>INVESTORS_LIST[[#This Row],[LS_TOTAL REALIZED GAIN]]+INVESTORS_LIST[[#This Row],[SIP_TOTAL REALIZED GAIN]]</f>
        <v>10356.880000000001</v>
      </c>
      <c r="AV161" s="48">
        <f>INVESTORS_LIST[[#This Row],[TOTAL MARKET VALUE]]-INVESTORS_LIST[[#This Row],[TOTAL COST VALUE OF CURRENT INVESTMENT]]</f>
        <v>0</v>
      </c>
      <c r="AW161" s="108">
        <f>IFERROR(INVESTORS_LIST[[#This Row],[TOTAL CURRENT UNITS]]/SUM(INVESTORS_LIST[TOTAL CURRENT UNITS]),0)</f>
        <v>0</v>
      </c>
    </row>
    <row r="162" spans="1:49" hidden="1">
      <c r="A162" s="262" t="s">
        <v>371</v>
      </c>
      <c r="B162" s="97" t="s">
        <v>372</v>
      </c>
      <c r="C162" t="s">
        <v>44</v>
      </c>
      <c r="D162" s="75" t="s">
        <v>45</v>
      </c>
      <c r="E162" s="47">
        <f>SUMIFS(LS[Unit],LS[Investor ID],INVESTORS_LIST[[#This Row],[INVESTOR CODE]],LS[B/S],"B")</f>
        <v>0</v>
      </c>
      <c r="F162" s="47">
        <f>-SUMIFS(LS[Unit],LS[Investor ID],INVESTORS_LIST[[#This Row],[INVESTOR CODE]],LS[B/S],"S")</f>
        <v>0</v>
      </c>
      <c r="G162" s="47">
        <f>IF(INVESTORS_LIST[[#This Row],[LS_TOTAL UNITS BUY]]=0,0,INVESTORS_LIST[[#This Row],[LS_TOTAL UNITS BUY]]-INVESTORS_LIST[[#This Row],[LS_TOTAL UNITS SOLD]])</f>
        <v>0</v>
      </c>
      <c r="H162" s="49">
        <f>IF(INVESTORS_LIST[[#This Row],[LS_TOTAL UNITS BUY]]=0,0,SUMIFS(LS[Amount],LS[Investor ID],INVESTORS_LIST[[#This Row],[INVESTOR CODE]],LS[B/S],"B"))</f>
        <v>0</v>
      </c>
      <c r="I162" s="48">
        <f>IF(INVESTORS_LIST[[#This Row],[LS_TOTAL UNITS SOLD]]=0,0,SUMIFS(LS[Cost of Units Sold],LS[Investor ID],INVESTORS_LIST[[#This Row],[INVESTOR CODE]],LS[B/S],"S"))</f>
        <v>0</v>
      </c>
      <c r="J162" s="48">
        <f>IF(INVESTORS_LIST[[#This Row],[LS_TOTAL CURRENT UNITS]]=0,0,INVESTORS_LIST[[#This Row],[LS_TOTAL CURRENT UNITS]]*INVESTORS_LIST[[#This Row],[LS_AVERAGE COST]])</f>
        <v>0</v>
      </c>
      <c r="K162" s="49">
        <f>IF(INVESTORS_LIST[[#This Row],[LS_TOTAL UNITS SOLD]]=0,0,SUMIFS(LS[Realized Gain],LS[Investor ID],INVESTORS_LIST[[#This Row],[INVESTOR CODE]],LS[B/S],"S"))</f>
        <v>0</v>
      </c>
      <c r="L162" s="47">
        <f>SUMIFS(SIP[Unit],SIP[Investor ID],INVESTORS_LIST[[#This Row],[INVESTOR CODE]],SIP[B/S],"B")</f>
        <v>0</v>
      </c>
      <c r="M162" s="47">
        <f>-SUMIFS(SIP[Unit],SIP[Investor ID],INVESTORS_LIST[[#This Row],[INVESTOR CODE]],SIP[B/S],"S")</f>
        <v>0</v>
      </c>
      <c r="N162" s="50">
        <f>IF(INVESTORS_LIST[[#This Row],[SIP_TOTAL UNITS BUY]]=0,0,INVESTORS_LIST[[#This Row],[SIP_TOTAL UNITS BUY]]-INVESTORS_LIST[[#This Row],[SIP_TOTAL UNITS SOLD]])</f>
        <v>0</v>
      </c>
      <c r="O162" s="49">
        <f>IF(INVESTORS_LIST[[#This Row],[SIP_TOTAL UNITS BUY]]=0,0,SUMIFS(SIP[Amount],SIP[Investor ID],INVESTORS_LIST[[#This Row],[INVESTOR CODE]],SIP[B/S],"B"))</f>
        <v>0</v>
      </c>
      <c r="P162" s="49">
        <f>IF(INVESTORS_LIST[[#This Row],[SIP_TOTAL UNITS SOLD]]=0,0,SUMIFS(SIP[Cost of Units Sold],SIP[Investor ID],INVESTORS_LIST[[#This Row],[INVESTOR CODE]],SIP[B/S],"S"))</f>
        <v>0</v>
      </c>
      <c r="Q162" s="48">
        <f>IF(INVESTORS_LIST[[#This Row],[SIP_TOTAL CURRENT UNITS]]=0,0,INVESTORS_LIST[[#This Row],[SIP_TOTAL CURRENT UNITS]]*INVESTORS_LIST[[#This Row],[SIP_AVERAGE COST]])</f>
        <v>0</v>
      </c>
      <c r="R162" s="48">
        <f>IF(INVESTORS_LIST[[#This Row],[SIP_TOTAL UNITS SOLD]]=0,0,SUMIFS(SIP[Realized Gain],SIP[Investor ID],INVESTORS_LIST[[#This Row],[INVESTOR CODE]],SIP[B/S],"S"))</f>
        <v>0</v>
      </c>
      <c r="S162" s="50">
        <f>INVESTORS_LIST[[#This Row],[LS_TOTAL UNITS BUY]]+INVESTORS_LIST[[#This Row],[SIP_TOTAL UNITS BUY]]</f>
        <v>0</v>
      </c>
      <c r="T162" s="50">
        <f>INVESTORS_LIST[[#This Row],[LS_TOTAL UNITS SOLD]]+INVESTORS_LIST[[#This Row],[SIP_TOTAL UNITS SOLD]]</f>
        <v>0</v>
      </c>
      <c r="U162" s="50"/>
      <c r="V162" s="50">
        <f>SUMIFS(LS[BO UNIT TRANSFER],LS[Investor ID],INVESTORS_LIST[[#This Row],[INVESTOR CODE]],LS[B/S],"B")</f>
        <v>0</v>
      </c>
      <c r="W162" s="50">
        <f>SUMIFS(SIP[BO UNIT TRANSFER],SIP[Investor ID],INVESTORS_LIST[[#This Row],[INVESTOR CODE]],SIP[B/S],"B")</f>
        <v>0</v>
      </c>
      <c r="X162" s="50">
        <f>SUMIFS(LS[BO UNIT TRANSFER],LS[Investor ID],INVESTORS_LIST[[#This Row],[INVESTOR CODE]],LS[B/S],"S")</f>
        <v>0</v>
      </c>
      <c r="Y162" s="50">
        <f>SUMIFS(SIP[BO UNIT TRANSFER],SIP[Investor ID],INVESTORS_LIST[[#This Row],[INVESTOR CODE]],SIP[B/S],"S")</f>
        <v>0</v>
      </c>
      <c r="Z162" s="106">
        <f>SUM(INVESTORS_LIST[[#This Row],[BO OPENING BALANCE]:[BO SIP UNITS REPURCHASE]])</f>
        <v>0</v>
      </c>
      <c r="AA162" s="107">
        <f>INVESTORS_LIST[[#This Row],[TOTAL UNITS BUY]]-INVESTORS_LIST[[#This Row],[TOTAL UNITS SOLD]]</f>
        <v>0</v>
      </c>
      <c r="AB162" s="107">
        <f>INVESTORS_LIST[[#This Row],[TOTAL CURRENT UNITS]]-INVESTORS_LIST[[#This Row],[BO UNITS HOLD]]</f>
        <v>0</v>
      </c>
      <c r="AC162" s="201" t="e">
        <f>INDEX([3]!Table_1[BO ID],MATCH(INVESTORS_LIST[[#This Row],[INVESTOR CODE]],[3]!Table_1[INVESTOR CODE],0))</f>
        <v>#REF!</v>
      </c>
      <c r="AD162" s="201" t="e">
        <f>INDEX([3]!Table_1[Brokerage Name2],MATCH(INVESTORS_LIST[[#This Row],[INVESTOR CODE]],[3]!Table_1[INVESTOR CODE],0))</f>
        <v>#REF!</v>
      </c>
      <c r="AE162" s="201" t="e">
        <f>MID(INVESTORS_LIST[[#This Row],[BO ID]],4,5)</f>
        <v>#REF!</v>
      </c>
      <c r="AF162" s="201" t="e">
        <f>MID(INVESTORS_LIST[[#This Row],[BO ID]],2,7)</f>
        <v>#REF!</v>
      </c>
      <c r="AG162" s="201" t="e">
        <f>MID(INVESTORS_LIST[[#This Row],[BO ID]],9,7)</f>
        <v>#REF!</v>
      </c>
      <c r="AH162" s="201" t="e">
        <f>RIGHT(INVESTORS_LIST[[#This Row],[BO ID]],1)</f>
        <v>#REF!</v>
      </c>
      <c r="AI162" s="50">
        <f>INVESTORS_LIST[[#This Row],[LS_TOTAL COST VALUE OF CURRENT UNITS]]+INVESTORS_LIST[[#This Row],[SIP_TOTAL COST VALUE OF CURRENT UNITS]]</f>
        <v>0</v>
      </c>
      <c r="AJ162" s="109">
        <f>IF(INVESTORS_LIST[[#This Row],[TOTAL CURRENT UNITS]]=0,0,INVESTORS_LIST[[#This Row],[LS_TOTAL CURRENT UNITS]]/INVESTORS_LIST[[#This Row],[TOTAL CURRENT UNITS]])</f>
        <v>0</v>
      </c>
      <c r="AK162" s="109">
        <f>IF(INVESTORS_LIST[[#This Row],[TOTAL CURRENT UNITS]]=0,0,INVESTORS_LIST[[#This Row],[SIP_TOTAL CURRENT UNITS]]/INVESTORS_LIST[[#This Row],[TOTAL CURRENT UNITS]])</f>
        <v>0</v>
      </c>
      <c r="AL162" s="49" cm="1">
        <f t="array" ref="AL1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2" s="49" cm="1">
        <f t="array" ref="AM1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2" s="105">
        <f t="shared" si="3"/>
        <v>14.224</v>
      </c>
      <c r="AP162" s="112">
        <f>IF(INVESTORS_LIST[[#This Row],[TOTAL CURRENT UNITS]]=0,0,INVESTORS_LIST[[#This Row],[TOTAL CURRENT UNITS]]*INVESTORS_LIST[[#This Row],[NAV]])</f>
        <v>0</v>
      </c>
      <c r="AQ162" s="49">
        <f>IF(INVESTORS_LIST[[#This Row],[LS_TOTAL CURRENT UNITS]]=0,0,INVESTORS_LIST[[#This Row],[LS_TOTAL CURRENT UNITS]]*INVESTORS_LIST[[#This Row],[NAV]])</f>
        <v>0</v>
      </c>
      <c r="AR162" s="48">
        <f>IF(INVESTORS_LIST[[#This Row],[SIP_TOTAL CURRENT UNITS]]=0,0,INVESTORS_LIST[[#This Row],[SIP_TOTAL CURRENT UNITS]]*INVESTORS_LIST[[#This Row],[NAV]])</f>
        <v>0</v>
      </c>
      <c r="AS162" s="50">
        <f>INVESTORS_LIST[[#This Row],[TOTAL CURRENT UNITS]]</f>
        <v>0</v>
      </c>
      <c r="AT162" s="48">
        <f>IF(INVESTORS_LIST[[#This Row],[TOTAL SELLABLE UNITS]]=0,0,INVESTORS_LIST[[#This Row],[TOTAL SELLABLE UNITS]]*INVESTORS_LIST[[#This Row],[NAV]])</f>
        <v>0</v>
      </c>
      <c r="AU162" s="48">
        <f>INVESTORS_LIST[[#This Row],[LS_TOTAL REALIZED GAIN]]+INVESTORS_LIST[[#This Row],[SIP_TOTAL REALIZED GAIN]]</f>
        <v>0</v>
      </c>
      <c r="AV162" s="48">
        <f>INVESTORS_LIST[[#This Row],[TOTAL MARKET VALUE]]-INVESTORS_LIST[[#This Row],[TOTAL COST VALUE OF CURRENT INVESTMENT]]</f>
        <v>0</v>
      </c>
      <c r="AW162" s="48">
        <f>IFERROR(INVESTORS_LIST[[#This Row],[TOTAL CURRENT UNITS]]/SUM(INVESTORS_LIST[TOTAL CURRENT UNITS]),0)</f>
        <v>0</v>
      </c>
    </row>
    <row r="163" spans="1:49" hidden="1">
      <c r="A163" s="262" t="s">
        <v>373</v>
      </c>
      <c r="B163" s="97" t="s">
        <v>374</v>
      </c>
      <c r="C163" t="s">
        <v>44</v>
      </c>
      <c r="D163" s="75" t="s">
        <v>45</v>
      </c>
      <c r="E163" s="47">
        <f>SUMIFS(LS[Unit],LS[Investor ID],INVESTORS_LIST[[#This Row],[INVESTOR CODE]],LS[B/S],"B")</f>
        <v>0</v>
      </c>
      <c r="F163" s="47">
        <f>-SUMIFS(LS[Unit],LS[Investor ID],INVESTORS_LIST[[#This Row],[INVESTOR CODE]],LS[B/S],"S")</f>
        <v>0</v>
      </c>
      <c r="G163" s="47">
        <f>IF(INVESTORS_LIST[[#This Row],[LS_TOTAL UNITS BUY]]=0,0,INVESTORS_LIST[[#This Row],[LS_TOTAL UNITS BUY]]-INVESTORS_LIST[[#This Row],[LS_TOTAL UNITS SOLD]])</f>
        <v>0</v>
      </c>
      <c r="H163" s="49">
        <f>IF(INVESTORS_LIST[[#This Row],[LS_TOTAL UNITS BUY]]=0,0,SUMIFS(LS[Amount],LS[Investor ID],INVESTORS_LIST[[#This Row],[INVESTOR CODE]],LS[B/S],"B"))</f>
        <v>0</v>
      </c>
      <c r="I163" s="48">
        <f>IF(INVESTORS_LIST[[#This Row],[LS_TOTAL UNITS SOLD]]=0,0,SUMIFS(LS[Cost of Units Sold],LS[Investor ID],INVESTORS_LIST[[#This Row],[INVESTOR CODE]],LS[B/S],"S"))</f>
        <v>0</v>
      </c>
      <c r="J163" s="48">
        <f>IF(INVESTORS_LIST[[#This Row],[LS_TOTAL CURRENT UNITS]]=0,0,INVESTORS_LIST[[#This Row],[LS_TOTAL CURRENT UNITS]]*INVESTORS_LIST[[#This Row],[LS_AVERAGE COST]])</f>
        <v>0</v>
      </c>
      <c r="K163" s="49">
        <f>IF(INVESTORS_LIST[[#This Row],[LS_TOTAL UNITS SOLD]]=0,0,SUMIFS(LS[Realized Gain],LS[Investor ID],INVESTORS_LIST[[#This Row],[INVESTOR CODE]],LS[B/S],"S"))</f>
        <v>0</v>
      </c>
      <c r="L163" s="47">
        <f>SUMIFS(SIP[Unit],SIP[Investor ID],INVESTORS_LIST[[#This Row],[INVESTOR CODE]],SIP[B/S],"B")</f>
        <v>0</v>
      </c>
      <c r="M163" s="47">
        <f>-SUMIFS(SIP[Unit],SIP[Investor ID],INVESTORS_LIST[[#This Row],[INVESTOR CODE]],SIP[B/S],"S")</f>
        <v>0</v>
      </c>
      <c r="N163" s="50">
        <f>IF(INVESTORS_LIST[[#This Row],[SIP_TOTAL UNITS BUY]]=0,0,INVESTORS_LIST[[#This Row],[SIP_TOTAL UNITS BUY]]-INVESTORS_LIST[[#This Row],[SIP_TOTAL UNITS SOLD]])</f>
        <v>0</v>
      </c>
      <c r="O163" s="49">
        <f>IF(INVESTORS_LIST[[#This Row],[SIP_TOTAL UNITS BUY]]=0,0,SUMIFS(SIP[Amount],SIP[Investor ID],INVESTORS_LIST[[#This Row],[INVESTOR CODE]],SIP[B/S],"B"))</f>
        <v>0</v>
      </c>
      <c r="P163" s="49">
        <f>IF(INVESTORS_LIST[[#This Row],[SIP_TOTAL UNITS SOLD]]=0,0,SUMIFS(SIP[Cost of Units Sold],SIP[Investor ID],INVESTORS_LIST[[#This Row],[INVESTOR CODE]],SIP[B/S],"S"))</f>
        <v>0</v>
      </c>
      <c r="Q163" s="48">
        <f>IF(INVESTORS_LIST[[#This Row],[SIP_TOTAL CURRENT UNITS]]=0,0,INVESTORS_LIST[[#This Row],[SIP_TOTAL CURRENT UNITS]]*INVESTORS_LIST[[#This Row],[SIP_AVERAGE COST]])</f>
        <v>0</v>
      </c>
      <c r="R163" s="48">
        <f>IF(INVESTORS_LIST[[#This Row],[SIP_TOTAL UNITS SOLD]]=0,0,SUMIFS(SIP[Realized Gain],SIP[Investor ID],INVESTORS_LIST[[#This Row],[INVESTOR CODE]],SIP[B/S],"S"))</f>
        <v>0</v>
      </c>
      <c r="S163" s="50">
        <f>INVESTORS_LIST[[#This Row],[LS_TOTAL UNITS BUY]]+INVESTORS_LIST[[#This Row],[SIP_TOTAL UNITS BUY]]</f>
        <v>0</v>
      </c>
      <c r="T163" s="50">
        <f>INVESTORS_LIST[[#This Row],[LS_TOTAL UNITS SOLD]]+INVESTORS_LIST[[#This Row],[SIP_TOTAL UNITS SOLD]]</f>
        <v>0</v>
      </c>
      <c r="U163" s="50"/>
      <c r="V163" s="50">
        <f>SUMIFS(LS[BO UNIT TRANSFER],LS[Investor ID],INVESTORS_LIST[[#This Row],[INVESTOR CODE]],LS[B/S],"B")</f>
        <v>0</v>
      </c>
      <c r="W163" s="50">
        <f>SUMIFS(SIP[BO UNIT TRANSFER],SIP[Investor ID],INVESTORS_LIST[[#This Row],[INVESTOR CODE]],SIP[B/S],"B")</f>
        <v>0</v>
      </c>
      <c r="X163" s="50">
        <f>SUMIFS(LS[BO UNIT TRANSFER],LS[Investor ID],INVESTORS_LIST[[#This Row],[INVESTOR CODE]],LS[B/S],"S")</f>
        <v>0</v>
      </c>
      <c r="Y163" s="50">
        <f>SUMIFS(SIP[BO UNIT TRANSFER],SIP[Investor ID],INVESTORS_LIST[[#This Row],[INVESTOR CODE]],SIP[B/S],"S")</f>
        <v>0</v>
      </c>
      <c r="Z163" s="106">
        <f>SUM(INVESTORS_LIST[[#This Row],[BO OPENING BALANCE]:[BO SIP UNITS REPURCHASE]])</f>
        <v>0</v>
      </c>
      <c r="AA163" s="107">
        <f>INVESTORS_LIST[[#This Row],[TOTAL UNITS BUY]]-INVESTORS_LIST[[#This Row],[TOTAL UNITS SOLD]]</f>
        <v>0</v>
      </c>
      <c r="AB163" s="107">
        <f>INVESTORS_LIST[[#This Row],[TOTAL CURRENT UNITS]]-INVESTORS_LIST[[#This Row],[BO UNITS HOLD]]</f>
        <v>0</v>
      </c>
      <c r="AC163" s="201" t="e">
        <f>INDEX([3]!Table_1[BO ID],MATCH(INVESTORS_LIST[[#This Row],[INVESTOR CODE]],[3]!Table_1[INVESTOR CODE],0))</f>
        <v>#REF!</v>
      </c>
      <c r="AD163" s="201" t="e">
        <f>INDEX([3]!Table_1[Brokerage Name2],MATCH(INVESTORS_LIST[[#This Row],[INVESTOR CODE]],[3]!Table_1[INVESTOR CODE],0))</f>
        <v>#REF!</v>
      </c>
      <c r="AE163" s="201" t="e">
        <f>MID(INVESTORS_LIST[[#This Row],[BO ID]],4,5)</f>
        <v>#REF!</v>
      </c>
      <c r="AF163" s="201" t="e">
        <f>MID(INVESTORS_LIST[[#This Row],[BO ID]],2,7)</f>
        <v>#REF!</v>
      </c>
      <c r="AG163" s="201" t="e">
        <f>MID(INVESTORS_LIST[[#This Row],[BO ID]],9,7)</f>
        <v>#REF!</v>
      </c>
      <c r="AH163" s="201" t="e">
        <f>RIGHT(INVESTORS_LIST[[#This Row],[BO ID]],1)</f>
        <v>#REF!</v>
      </c>
      <c r="AI163" s="50">
        <f>INVESTORS_LIST[[#This Row],[LS_TOTAL COST VALUE OF CURRENT UNITS]]+INVESTORS_LIST[[#This Row],[SIP_TOTAL COST VALUE OF CURRENT UNITS]]</f>
        <v>0</v>
      </c>
      <c r="AJ163" s="109">
        <f>IF(INVESTORS_LIST[[#This Row],[TOTAL CURRENT UNITS]]=0,0,INVESTORS_LIST[[#This Row],[LS_TOTAL CURRENT UNITS]]/INVESTORS_LIST[[#This Row],[TOTAL CURRENT UNITS]])</f>
        <v>0</v>
      </c>
      <c r="AK163" s="109">
        <f>IF(INVESTORS_LIST[[#This Row],[TOTAL CURRENT UNITS]]=0,0,INVESTORS_LIST[[#This Row],[SIP_TOTAL CURRENT UNITS]]/INVESTORS_LIST[[#This Row],[TOTAL CURRENT UNITS]])</f>
        <v>0</v>
      </c>
      <c r="AL163" s="49" cm="1">
        <f t="array" ref="AL1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3" s="49" cm="1">
        <f t="array" ref="AM1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3" s="105">
        <f t="shared" si="3"/>
        <v>14.224</v>
      </c>
      <c r="AP163" s="112">
        <f>IF(INVESTORS_LIST[[#This Row],[TOTAL CURRENT UNITS]]=0,0,INVESTORS_LIST[[#This Row],[TOTAL CURRENT UNITS]]*INVESTORS_LIST[[#This Row],[NAV]])</f>
        <v>0</v>
      </c>
      <c r="AQ163" s="49">
        <f>IF(INVESTORS_LIST[[#This Row],[LS_TOTAL CURRENT UNITS]]=0,0,INVESTORS_LIST[[#This Row],[LS_TOTAL CURRENT UNITS]]*INVESTORS_LIST[[#This Row],[NAV]])</f>
        <v>0</v>
      </c>
      <c r="AR163" s="48">
        <f>IF(INVESTORS_LIST[[#This Row],[SIP_TOTAL CURRENT UNITS]]=0,0,INVESTORS_LIST[[#This Row],[SIP_TOTAL CURRENT UNITS]]*INVESTORS_LIST[[#This Row],[NAV]])</f>
        <v>0</v>
      </c>
      <c r="AS163" s="50">
        <f>INVESTORS_LIST[[#This Row],[TOTAL CURRENT UNITS]]</f>
        <v>0</v>
      </c>
      <c r="AT163" s="48">
        <f>IF(INVESTORS_LIST[[#This Row],[TOTAL SELLABLE UNITS]]=0,0,INVESTORS_LIST[[#This Row],[TOTAL SELLABLE UNITS]]*INVESTORS_LIST[[#This Row],[NAV]])</f>
        <v>0</v>
      </c>
      <c r="AU163" s="48">
        <f>INVESTORS_LIST[[#This Row],[LS_TOTAL REALIZED GAIN]]+INVESTORS_LIST[[#This Row],[SIP_TOTAL REALIZED GAIN]]</f>
        <v>0</v>
      </c>
      <c r="AV163" s="48">
        <f>INVESTORS_LIST[[#This Row],[TOTAL MARKET VALUE]]-INVESTORS_LIST[[#This Row],[TOTAL COST VALUE OF CURRENT INVESTMENT]]</f>
        <v>0</v>
      </c>
      <c r="AW163" s="48">
        <f>IFERROR(INVESTORS_LIST[[#This Row],[TOTAL CURRENT UNITS]]/SUM(INVESTORS_LIST[TOTAL CURRENT UNITS]),0)</f>
        <v>0</v>
      </c>
    </row>
    <row r="164" spans="1:49" hidden="1">
      <c r="A164" s="262" t="s">
        <v>375</v>
      </c>
      <c r="B164" s="97" t="s">
        <v>376</v>
      </c>
      <c r="C164" t="s">
        <v>44</v>
      </c>
      <c r="D164" s="75" t="s">
        <v>45</v>
      </c>
      <c r="E164" s="47">
        <f>SUMIFS(LS[Unit],LS[Investor ID],INVESTORS_LIST[[#This Row],[INVESTOR CODE]],LS[B/S],"B")</f>
        <v>0</v>
      </c>
      <c r="F164" s="47">
        <f>-SUMIFS(LS[Unit],LS[Investor ID],INVESTORS_LIST[[#This Row],[INVESTOR CODE]],LS[B/S],"S")</f>
        <v>0</v>
      </c>
      <c r="G164" s="47">
        <f>IF(INVESTORS_LIST[[#This Row],[LS_TOTAL UNITS BUY]]=0,0,INVESTORS_LIST[[#This Row],[LS_TOTAL UNITS BUY]]-INVESTORS_LIST[[#This Row],[LS_TOTAL UNITS SOLD]])</f>
        <v>0</v>
      </c>
      <c r="H164" s="49">
        <f>IF(INVESTORS_LIST[[#This Row],[LS_TOTAL UNITS BUY]]=0,0,SUMIFS(LS[Amount],LS[Investor ID],INVESTORS_LIST[[#This Row],[INVESTOR CODE]],LS[B/S],"B"))</f>
        <v>0</v>
      </c>
      <c r="I164" s="48">
        <f>IF(INVESTORS_LIST[[#This Row],[LS_TOTAL UNITS SOLD]]=0,0,SUMIFS(LS[Cost of Units Sold],LS[Investor ID],INVESTORS_LIST[[#This Row],[INVESTOR CODE]],LS[B/S],"S"))</f>
        <v>0</v>
      </c>
      <c r="J164" s="48">
        <f>IF(INVESTORS_LIST[[#This Row],[LS_TOTAL CURRENT UNITS]]=0,0,INVESTORS_LIST[[#This Row],[LS_TOTAL CURRENT UNITS]]*INVESTORS_LIST[[#This Row],[LS_AVERAGE COST]])</f>
        <v>0</v>
      </c>
      <c r="K164" s="49">
        <f>IF(INVESTORS_LIST[[#This Row],[LS_TOTAL UNITS SOLD]]=0,0,SUMIFS(LS[Realized Gain],LS[Investor ID],INVESTORS_LIST[[#This Row],[INVESTOR CODE]],LS[B/S],"S"))</f>
        <v>0</v>
      </c>
      <c r="L164" s="47">
        <f>SUMIFS(SIP[Unit],SIP[Investor ID],INVESTORS_LIST[[#This Row],[INVESTOR CODE]],SIP[B/S],"B")</f>
        <v>0</v>
      </c>
      <c r="M164" s="47">
        <f>-SUMIFS(SIP[Unit],SIP[Investor ID],INVESTORS_LIST[[#This Row],[INVESTOR CODE]],SIP[B/S],"S")</f>
        <v>0</v>
      </c>
      <c r="N164" s="50">
        <f>IF(INVESTORS_LIST[[#This Row],[SIP_TOTAL UNITS BUY]]=0,0,INVESTORS_LIST[[#This Row],[SIP_TOTAL UNITS BUY]]-INVESTORS_LIST[[#This Row],[SIP_TOTAL UNITS SOLD]])</f>
        <v>0</v>
      </c>
      <c r="O164" s="49">
        <f>IF(INVESTORS_LIST[[#This Row],[SIP_TOTAL UNITS BUY]]=0,0,SUMIFS(SIP[Amount],SIP[Investor ID],INVESTORS_LIST[[#This Row],[INVESTOR CODE]],SIP[B/S],"B"))</f>
        <v>0</v>
      </c>
      <c r="P164" s="49">
        <f>IF(INVESTORS_LIST[[#This Row],[SIP_TOTAL UNITS SOLD]]=0,0,SUMIFS(SIP[Cost of Units Sold],SIP[Investor ID],INVESTORS_LIST[[#This Row],[INVESTOR CODE]],SIP[B/S],"S"))</f>
        <v>0</v>
      </c>
      <c r="Q164" s="48">
        <f>IF(INVESTORS_LIST[[#This Row],[SIP_TOTAL CURRENT UNITS]]=0,0,INVESTORS_LIST[[#This Row],[SIP_TOTAL CURRENT UNITS]]*INVESTORS_LIST[[#This Row],[SIP_AVERAGE COST]])</f>
        <v>0</v>
      </c>
      <c r="R164" s="48">
        <f>IF(INVESTORS_LIST[[#This Row],[SIP_TOTAL UNITS SOLD]]=0,0,SUMIFS(SIP[Realized Gain],SIP[Investor ID],INVESTORS_LIST[[#This Row],[INVESTOR CODE]],SIP[B/S],"S"))</f>
        <v>0</v>
      </c>
      <c r="S164" s="50">
        <f>INVESTORS_LIST[[#This Row],[LS_TOTAL UNITS BUY]]+INVESTORS_LIST[[#This Row],[SIP_TOTAL UNITS BUY]]</f>
        <v>0</v>
      </c>
      <c r="T164" s="50">
        <f>INVESTORS_LIST[[#This Row],[LS_TOTAL UNITS SOLD]]+INVESTORS_LIST[[#This Row],[SIP_TOTAL UNITS SOLD]]</f>
        <v>0</v>
      </c>
      <c r="U164" s="50"/>
      <c r="V164" s="50">
        <f>SUMIFS(LS[BO UNIT TRANSFER],LS[Investor ID],INVESTORS_LIST[[#This Row],[INVESTOR CODE]],LS[B/S],"B")</f>
        <v>0</v>
      </c>
      <c r="W164" s="50">
        <f>SUMIFS(SIP[BO UNIT TRANSFER],SIP[Investor ID],INVESTORS_LIST[[#This Row],[INVESTOR CODE]],SIP[B/S],"B")</f>
        <v>0</v>
      </c>
      <c r="X164" s="50">
        <f>SUMIFS(LS[BO UNIT TRANSFER],LS[Investor ID],INVESTORS_LIST[[#This Row],[INVESTOR CODE]],LS[B/S],"S")</f>
        <v>0</v>
      </c>
      <c r="Y164" s="50">
        <f>SUMIFS(SIP[BO UNIT TRANSFER],SIP[Investor ID],INVESTORS_LIST[[#This Row],[INVESTOR CODE]],SIP[B/S],"S")</f>
        <v>0</v>
      </c>
      <c r="Z164" s="106">
        <f>SUM(INVESTORS_LIST[[#This Row],[BO OPENING BALANCE]:[BO SIP UNITS REPURCHASE]])</f>
        <v>0</v>
      </c>
      <c r="AA164" s="107">
        <f>INVESTORS_LIST[[#This Row],[TOTAL UNITS BUY]]-INVESTORS_LIST[[#This Row],[TOTAL UNITS SOLD]]</f>
        <v>0</v>
      </c>
      <c r="AB164" s="107">
        <f>INVESTORS_LIST[[#This Row],[TOTAL CURRENT UNITS]]-INVESTORS_LIST[[#This Row],[BO UNITS HOLD]]</f>
        <v>0</v>
      </c>
      <c r="AC164" s="201" t="e">
        <f>INDEX([3]!Table_1[BO ID],MATCH(INVESTORS_LIST[[#This Row],[INVESTOR CODE]],[3]!Table_1[INVESTOR CODE],0))</f>
        <v>#REF!</v>
      </c>
      <c r="AD164" s="201" t="e">
        <f>INDEX([3]!Table_1[Brokerage Name2],MATCH(INVESTORS_LIST[[#This Row],[INVESTOR CODE]],[3]!Table_1[INVESTOR CODE],0))</f>
        <v>#REF!</v>
      </c>
      <c r="AE164" s="201" t="e">
        <f>MID(INVESTORS_LIST[[#This Row],[BO ID]],4,5)</f>
        <v>#REF!</v>
      </c>
      <c r="AF164" s="201" t="e">
        <f>MID(INVESTORS_LIST[[#This Row],[BO ID]],2,7)</f>
        <v>#REF!</v>
      </c>
      <c r="AG164" s="201" t="e">
        <f>MID(INVESTORS_LIST[[#This Row],[BO ID]],9,7)</f>
        <v>#REF!</v>
      </c>
      <c r="AH164" s="201" t="e">
        <f>RIGHT(INVESTORS_LIST[[#This Row],[BO ID]],1)</f>
        <v>#REF!</v>
      </c>
      <c r="AI164" s="50">
        <f>INVESTORS_LIST[[#This Row],[LS_TOTAL COST VALUE OF CURRENT UNITS]]+INVESTORS_LIST[[#This Row],[SIP_TOTAL COST VALUE OF CURRENT UNITS]]</f>
        <v>0</v>
      </c>
      <c r="AJ164" s="109">
        <f>IF(INVESTORS_LIST[[#This Row],[TOTAL CURRENT UNITS]]=0,0,INVESTORS_LIST[[#This Row],[LS_TOTAL CURRENT UNITS]]/INVESTORS_LIST[[#This Row],[TOTAL CURRENT UNITS]])</f>
        <v>0</v>
      </c>
      <c r="AK164" s="109">
        <f>IF(INVESTORS_LIST[[#This Row],[TOTAL CURRENT UNITS]]=0,0,INVESTORS_LIST[[#This Row],[SIP_TOTAL CURRENT UNITS]]/INVESTORS_LIST[[#This Row],[TOTAL CURRENT UNITS]])</f>
        <v>0</v>
      </c>
      <c r="AL164" s="49" cm="1">
        <f t="array" ref="AL1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4" s="49" cm="1">
        <f t="array" ref="AM1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4" s="105">
        <f t="shared" si="3"/>
        <v>14.224</v>
      </c>
      <c r="AP164" s="112">
        <f>IF(INVESTORS_LIST[[#This Row],[TOTAL CURRENT UNITS]]=0,0,INVESTORS_LIST[[#This Row],[TOTAL CURRENT UNITS]]*INVESTORS_LIST[[#This Row],[NAV]])</f>
        <v>0</v>
      </c>
      <c r="AQ164" s="49">
        <f>IF(INVESTORS_LIST[[#This Row],[LS_TOTAL CURRENT UNITS]]=0,0,INVESTORS_LIST[[#This Row],[LS_TOTAL CURRENT UNITS]]*INVESTORS_LIST[[#This Row],[NAV]])</f>
        <v>0</v>
      </c>
      <c r="AR164" s="48">
        <f>IF(INVESTORS_LIST[[#This Row],[SIP_TOTAL CURRENT UNITS]]=0,0,INVESTORS_LIST[[#This Row],[SIP_TOTAL CURRENT UNITS]]*INVESTORS_LIST[[#This Row],[NAV]])</f>
        <v>0</v>
      </c>
      <c r="AS164" s="50">
        <f>INVESTORS_LIST[[#This Row],[TOTAL CURRENT UNITS]]</f>
        <v>0</v>
      </c>
      <c r="AT164" s="48">
        <f>IF(INVESTORS_LIST[[#This Row],[TOTAL SELLABLE UNITS]]=0,0,INVESTORS_LIST[[#This Row],[TOTAL SELLABLE UNITS]]*INVESTORS_LIST[[#This Row],[NAV]])</f>
        <v>0</v>
      </c>
      <c r="AU164" s="48">
        <f>INVESTORS_LIST[[#This Row],[LS_TOTAL REALIZED GAIN]]+INVESTORS_LIST[[#This Row],[SIP_TOTAL REALIZED GAIN]]</f>
        <v>0</v>
      </c>
      <c r="AV164" s="48">
        <f>INVESTORS_LIST[[#This Row],[TOTAL MARKET VALUE]]-INVESTORS_LIST[[#This Row],[TOTAL COST VALUE OF CURRENT INVESTMENT]]</f>
        <v>0</v>
      </c>
      <c r="AW164" s="48">
        <f>IFERROR(INVESTORS_LIST[[#This Row],[TOTAL CURRENT UNITS]]/SUM(INVESTORS_LIST[TOTAL CURRENT UNITS]),0)</f>
        <v>0</v>
      </c>
    </row>
    <row r="165" spans="1:49" hidden="1">
      <c r="A165" s="262" t="s">
        <v>377</v>
      </c>
      <c r="B165" s="97" t="s">
        <v>378</v>
      </c>
      <c r="C165" t="s">
        <v>44</v>
      </c>
      <c r="D165" s="75" t="s">
        <v>45</v>
      </c>
      <c r="E165" s="47">
        <f>SUMIFS(LS[Unit],LS[Investor ID],INVESTORS_LIST[[#This Row],[INVESTOR CODE]],LS[B/S],"B")</f>
        <v>0</v>
      </c>
      <c r="F165" s="47">
        <f>-SUMIFS(LS[Unit],LS[Investor ID],INVESTORS_LIST[[#This Row],[INVESTOR CODE]],LS[B/S],"S")</f>
        <v>0</v>
      </c>
      <c r="G165" s="47">
        <f>IF(INVESTORS_LIST[[#This Row],[LS_TOTAL UNITS BUY]]=0,0,INVESTORS_LIST[[#This Row],[LS_TOTAL UNITS BUY]]-INVESTORS_LIST[[#This Row],[LS_TOTAL UNITS SOLD]])</f>
        <v>0</v>
      </c>
      <c r="H165" s="49">
        <f>IF(INVESTORS_LIST[[#This Row],[LS_TOTAL UNITS BUY]]=0,0,SUMIFS(LS[Amount],LS[Investor ID],INVESTORS_LIST[[#This Row],[INVESTOR CODE]],LS[B/S],"B"))</f>
        <v>0</v>
      </c>
      <c r="I165" s="48">
        <f>IF(INVESTORS_LIST[[#This Row],[LS_TOTAL UNITS SOLD]]=0,0,SUMIFS(LS[Cost of Units Sold],LS[Investor ID],INVESTORS_LIST[[#This Row],[INVESTOR CODE]],LS[B/S],"S"))</f>
        <v>0</v>
      </c>
      <c r="J165" s="48">
        <f>IF(INVESTORS_LIST[[#This Row],[LS_TOTAL CURRENT UNITS]]=0,0,INVESTORS_LIST[[#This Row],[LS_TOTAL CURRENT UNITS]]*INVESTORS_LIST[[#This Row],[LS_AVERAGE COST]])</f>
        <v>0</v>
      </c>
      <c r="K165" s="49">
        <f>IF(INVESTORS_LIST[[#This Row],[LS_TOTAL UNITS SOLD]]=0,0,SUMIFS(LS[Realized Gain],LS[Investor ID],INVESTORS_LIST[[#This Row],[INVESTOR CODE]],LS[B/S],"S"))</f>
        <v>0</v>
      </c>
      <c r="L165" s="47">
        <f>SUMIFS(SIP[Unit],SIP[Investor ID],INVESTORS_LIST[[#This Row],[INVESTOR CODE]],SIP[B/S],"B")</f>
        <v>0</v>
      </c>
      <c r="M165" s="47">
        <f>-SUMIFS(SIP[Unit],SIP[Investor ID],INVESTORS_LIST[[#This Row],[INVESTOR CODE]],SIP[B/S],"S")</f>
        <v>0</v>
      </c>
      <c r="N165" s="50">
        <f>IF(INVESTORS_LIST[[#This Row],[SIP_TOTAL UNITS BUY]]=0,0,INVESTORS_LIST[[#This Row],[SIP_TOTAL UNITS BUY]]-INVESTORS_LIST[[#This Row],[SIP_TOTAL UNITS SOLD]])</f>
        <v>0</v>
      </c>
      <c r="O165" s="49">
        <f>IF(INVESTORS_LIST[[#This Row],[SIP_TOTAL UNITS BUY]]=0,0,SUMIFS(SIP[Amount],SIP[Investor ID],INVESTORS_LIST[[#This Row],[INVESTOR CODE]],SIP[B/S],"B"))</f>
        <v>0</v>
      </c>
      <c r="P165" s="49">
        <f>IF(INVESTORS_LIST[[#This Row],[SIP_TOTAL UNITS SOLD]]=0,0,SUMIFS(SIP[Cost of Units Sold],SIP[Investor ID],INVESTORS_LIST[[#This Row],[INVESTOR CODE]],SIP[B/S],"S"))</f>
        <v>0</v>
      </c>
      <c r="Q165" s="48">
        <f>IF(INVESTORS_LIST[[#This Row],[SIP_TOTAL CURRENT UNITS]]=0,0,INVESTORS_LIST[[#This Row],[SIP_TOTAL CURRENT UNITS]]*INVESTORS_LIST[[#This Row],[SIP_AVERAGE COST]])</f>
        <v>0</v>
      </c>
      <c r="R165" s="48">
        <f>IF(INVESTORS_LIST[[#This Row],[SIP_TOTAL UNITS SOLD]]=0,0,SUMIFS(SIP[Realized Gain],SIP[Investor ID],INVESTORS_LIST[[#This Row],[INVESTOR CODE]],SIP[B/S],"S"))</f>
        <v>0</v>
      </c>
      <c r="S165" s="50">
        <f>INVESTORS_LIST[[#This Row],[LS_TOTAL UNITS BUY]]+INVESTORS_LIST[[#This Row],[SIP_TOTAL UNITS BUY]]</f>
        <v>0</v>
      </c>
      <c r="T165" s="50">
        <f>INVESTORS_LIST[[#This Row],[LS_TOTAL UNITS SOLD]]+INVESTORS_LIST[[#This Row],[SIP_TOTAL UNITS SOLD]]</f>
        <v>0</v>
      </c>
      <c r="U165" s="50"/>
      <c r="V165" s="50">
        <f>SUMIFS(LS[BO UNIT TRANSFER],LS[Investor ID],INVESTORS_LIST[[#This Row],[INVESTOR CODE]],LS[B/S],"B")</f>
        <v>0</v>
      </c>
      <c r="W165" s="50">
        <f>SUMIFS(SIP[BO UNIT TRANSFER],SIP[Investor ID],INVESTORS_LIST[[#This Row],[INVESTOR CODE]],SIP[B/S],"B")</f>
        <v>0</v>
      </c>
      <c r="X165" s="50">
        <f>SUMIFS(LS[BO UNIT TRANSFER],LS[Investor ID],INVESTORS_LIST[[#This Row],[INVESTOR CODE]],LS[B/S],"S")</f>
        <v>0</v>
      </c>
      <c r="Y165" s="50">
        <f>SUMIFS(SIP[BO UNIT TRANSFER],SIP[Investor ID],INVESTORS_LIST[[#This Row],[INVESTOR CODE]],SIP[B/S],"S")</f>
        <v>0</v>
      </c>
      <c r="Z165" s="106">
        <f>SUM(INVESTORS_LIST[[#This Row],[BO OPENING BALANCE]:[BO SIP UNITS REPURCHASE]])</f>
        <v>0</v>
      </c>
      <c r="AA165" s="107">
        <f>INVESTORS_LIST[[#This Row],[TOTAL UNITS BUY]]-INVESTORS_LIST[[#This Row],[TOTAL UNITS SOLD]]</f>
        <v>0</v>
      </c>
      <c r="AB165" s="107">
        <f>INVESTORS_LIST[[#This Row],[TOTAL CURRENT UNITS]]-INVESTORS_LIST[[#This Row],[BO UNITS HOLD]]</f>
        <v>0</v>
      </c>
      <c r="AC165" s="201" t="e">
        <f>INDEX([3]!Table_1[BO ID],MATCH(INVESTORS_LIST[[#This Row],[INVESTOR CODE]],[3]!Table_1[INVESTOR CODE],0))</f>
        <v>#REF!</v>
      </c>
      <c r="AD165" s="201" t="e">
        <f>INDEX([3]!Table_1[Brokerage Name2],MATCH(INVESTORS_LIST[[#This Row],[INVESTOR CODE]],[3]!Table_1[INVESTOR CODE],0))</f>
        <v>#REF!</v>
      </c>
      <c r="AE165" s="201" t="e">
        <f>MID(INVESTORS_LIST[[#This Row],[BO ID]],4,5)</f>
        <v>#REF!</v>
      </c>
      <c r="AF165" s="201" t="e">
        <f>MID(INVESTORS_LIST[[#This Row],[BO ID]],2,7)</f>
        <v>#REF!</v>
      </c>
      <c r="AG165" s="201" t="e">
        <f>MID(INVESTORS_LIST[[#This Row],[BO ID]],9,7)</f>
        <v>#REF!</v>
      </c>
      <c r="AH165" s="201" t="e">
        <f>RIGHT(INVESTORS_LIST[[#This Row],[BO ID]],1)</f>
        <v>#REF!</v>
      </c>
      <c r="AI165" s="50">
        <f>INVESTORS_LIST[[#This Row],[LS_TOTAL COST VALUE OF CURRENT UNITS]]+INVESTORS_LIST[[#This Row],[SIP_TOTAL COST VALUE OF CURRENT UNITS]]</f>
        <v>0</v>
      </c>
      <c r="AJ165" s="109">
        <f>IF(INVESTORS_LIST[[#This Row],[TOTAL CURRENT UNITS]]=0,0,INVESTORS_LIST[[#This Row],[LS_TOTAL CURRENT UNITS]]/INVESTORS_LIST[[#This Row],[TOTAL CURRENT UNITS]])</f>
        <v>0</v>
      </c>
      <c r="AK165" s="109">
        <f>IF(INVESTORS_LIST[[#This Row],[TOTAL CURRENT UNITS]]=0,0,INVESTORS_LIST[[#This Row],[SIP_TOTAL CURRENT UNITS]]/INVESTORS_LIST[[#This Row],[TOTAL CURRENT UNITS]])</f>
        <v>0</v>
      </c>
      <c r="AL165" s="49" cm="1">
        <f t="array" ref="AL1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5" s="49" cm="1">
        <f t="array" ref="AM1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5" s="105">
        <f t="shared" si="3"/>
        <v>14.224</v>
      </c>
      <c r="AP165" s="112">
        <f>IF(INVESTORS_LIST[[#This Row],[TOTAL CURRENT UNITS]]=0,0,INVESTORS_LIST[[#This Row],[TOTAL CURRENT UNITS]]*INVESTORS_LIST[[#This Row],[NAV]])</f>
        <v>0</v>
      </c>
      <c r="AQ165" s="49">
        <f>IF(INVESTORS_LIST[[#This Row],[LS_TOTAL CURRENT UNITS]]=0,0,INVESTORS_LIST[[#This Row],[LS_TOTAL CURRENT UNITS]]*INVESTORS_LIST[[#This Row],[NAV]])</f>
        <v>0</v>
      </c>
      <c r="AR165" s="48">
        <f>IF(INVESTORS_LIST[[#This Row],[SIP_TOTAL CURRENT UNITS]]=0,0,INVESTORS_LIST[[#This Row],[SIP_TOTAL CURRENT UNITS]]*INVESTORS_LIST[[#This Row],[NAV]])</f>
        <v>0</v>
      </c>
      <c r="AS165" s="50">
        <f>INVESTORS_LIST[[#This Row],[TOTAL CURRENT UNITS]]</f>
        <v>0</v>
      </c>
      <c r="AT165" s="48">
        <f>IF(INVESTORS_LIST[[#This Row],[TOTAL SELLABLE UNITS]]=0,0,INVESTORS_LIST[[#This Row],[TOTAL SELLABLE UNITS]]*INVESTORS_LIST[[#This Row],[NAV]])</f>
        <v>0</v>
      </c>
      <c r="AU165" s="48">
        <f>INVESTORS_LIST[[#This Row],[LS_TOTAL REALIZED GAIN]]+INVESTORS_LIST[[#This Row],[SIP_TOTAL REALIZED GAIN]]</f>
        <v>0</v>
      </c>
      <c r="AV165" s="48">
        <f>INVESTORS_LIST[[#This Row],[TOTAL MARKET VALUE]]-INVESTORS_LIST[[#This Row],[TOTAL COST VALUE OF CURRENT INVESTMENT]]</f>
        <v>0</v>
      </c>
      <c r="AW165" s="48">
        <f>IFERROR(INVESTORS_LIST[[#This Row],[TOTAL CURRENT UNITS]]/SUM(INVESTORS_LIST[TOTAL CURRENT UNITS]),0)</f>
        <v>0</v>
      </c>
    </row>
    <row r="166" spans="1:49" hidden="1">
      <c r="A166" s="262" t="s">
        <v>379</v>
      </c>
      <c r="B166" s="97" t="s">
        <v>380</v>
      </c>
      <c r="C166" t="s">
        <v>44</v>
      </c>
      <c r="D166" s="75" t="s">
        <v>45</v>
      </c>
      <c r="E166" s="47">
        <f>SUMIFS(LS[Unit],LS[Investor ID],INVESTORS_LIST[[#This Row],[INVESTOR CODE]],LS[B/S],"B")</f>
        <v>0</v>
      </c>
      <c r="F166" s="47">
        <f>-SUMIFS(LS[Unit],LS[Investor ID],INVESTORS_LIST[[#This Row],[INVESTOR CODE]],LS[B/S],"S")</f>
        <v>0</v>
      </c>
      <c r="G166" s="47">
        <f>IF(INVESTORS_LIST[[#This Row],[LS_TOTAL UNITS BUY]]=0,0,INVESTORS_LIST[[#This Row],[LS_TOTAL UNITS BUY]]-INVESTORS_LIST[[#This Row],[LS_TOTAL UNITS SOLD]])</f>
        <v>0</v>
      </c>
      <c r="H166" s="49">
        <f>IF(INVESTORS_LIST[[#This Row],[LS_TOTAL UNITS BUY]]=0,0,SUMIFS(LS[Amount],LS[Investor ID],INVESTORS_LIST[[#This Row],[INVESTOR CODE]],LS[B/S],"B"))</f>
        <v>0</v>
      </c>
      <c r="I166" s="48">
        <f>IF(INVESTORS_LIST[[#This Row],[LS_TOTAL UNITS SOLD]]=0,0,SUMIFS(LS[Cost of Units Sold],LS[Investor ID],INVESTORS_LIST[[#This Row],[INVESTOR CODE]],LS[B/S],"S"))</f>
        <v>0</v>
      </c>
      <c r="J166" s="48">
        <f>IF(INVESTORS_LIST[[#This Row],[LS_TOTAL CURRENT UNITS]]=0,0,INVESTORS_LIST[[#This Row],[LS_TOTAL CURRENT UNITS]]*INVESTORS_LIST[[#This Row],[LS_AVERAGE COST]])</f>
        <v>0</v>
      </c>
      <c r="K166" s="49">
        <f>IF(INVESTORS_LIST[[#This Row],[LS_TOTAL UNITS SOLD]]=0,0,SUMIFS(LS[Realized Gain],LS[Investor ID],INVESTORS_LIST[[#This Row],[INVESTOR CODE]],LS[B/S],"S"))</f>
        <v>0</v>
      </c>
      <c r="L166" s="47">
        <f>SUMIFS(SIP[Unit],SIP[Investor ID],INVESTORS_LIST[[#This Row],[INVESTOR CODE]],SIP[B/S],"B")</f>
        <v>0</v>
      </c>
      <c r="M166" s="47">
        <f>-SUMIFS(SIP[Unit],SIP[Investor ID],INVESTORS_LIST[[#This Row],[INVESTOR CODE]],SIP[B/S],"S")</f>
        <v>0</v>
      </c>
      <c r="N166" s="50">
        <f>IF(INVESTORS_LIST[[#This Row],[SIP_TOTAL UNITS BUY]]=0,0,INVESTORS_LIST[[#This Row],[SIP_TOTAL UNITS BUY]]-INVESTORS_LIST[[#This Row],[SIP_TOTAL UNITS SOLD]])</f>
        <v>0</v>
      </c>
      <c r="O166" s="49">
        <f>IF(INVESTORS_LIST[[#This Row],[SIP_TOTAL UNITS BUY]]=0,0,SUMIFS(SIP[Amount],SIP[Investor ID],INVESTORS_LIST[[#This Row],[INVESTOR CODE]],SIP[B/S],"B"))</f>
        <v>0</v>
      </c>
      <c r="P166" s="49">
        <f>IF(INVESTORS_LIST[[#This Row],[SIP_TOTAL UNITS SOLD]]=0,0,SUMIFS(SIP[Cost of Units Sold],SIP[Investor ID],INVESTORS_LIST[[#This Row],[INVESTOR CODE]],SIP[B/S],"S"))</f>
        <v>0</v>
      </c>
      <c r="Q166" s="48">
        <f>IF(INVESTORS_LIST[[#This Row],[SIP_TOTAL CURRENT UNITS]]=0,0,INVESTORS_LIST[[#This Row],[SIP_TOTAL CURRENT UNITS]]*INVESTORS_LIST[[#This Row],[SIP_AVERAGE COST]])</f>
        <v>0</v>
      </c>
      <c r="R166" s="48">
        <f>IF(INVESTORS_LIST[[#This Row],[SIP_TOTAL UNITS SOLD]]=0,0,SUMIFS(SIP[Realized Gain],SIP[Investor ID],INVESTORS_LIST[[#This Row],[INVESTOR CODE]],SIP[B/S],"S"))</f>
        <v>0</v>
      </c>
      <c r="S166" s="50">
        <f>INVESTORS_LIST[[#This Row],[LS_TOTAL UNITS BUY]]+INVESTORS_LIST[[#This Row],[SIP_TOTAL UNITS BUY]]</f>
        <v>0</v>
      </c>
      <c r="T166" s="50">
        <f>INVESTORS_LIST[[#This Row],[LS_TOTAL UNITS SOLD]]+INVESTORS_LIST[[#This Row],[SIP_TOTAL UNITS SOLD]]</f>
        <v>0</v>
      </c>
      <c r="U166" s="50"/>
      <c r="V166" s="50">
        <f>SUMIFS(LS[BO UNIT TRANSFER],LS[Investor ID],INVESTORS_LIST[[#This Row],[INVESTOR CODE]],LS[B/S],"B")</f>
        <v>0</v>
      </c>
      <c r="W166" s="50">
        <f>SUMIFS(SIP[BO UNIT TRANSFER],SIP[Investor ID],INVESTORS_LIST[[#This Row],[INVESTOR CODE]],SIP[B/S],"B")</f>
        <v>0</v>
      </c>
      <c r="X166" s="50">
        <f>SUMIFS(LS[BO UNIT TRANSFER],LS[Investor ID],INVESTORS_LIST[[#This Row],[INVESTOR CODE]],LS[B/S],"S")</f>
        <v>0</v>
      </c>
      <c r="Y166" s="50">
        <f>SUMIFS(SIP[BO UNIT TRANSFER],SIP[Investor ID],INVESTORS_LIST[[#This Row],[INVESTOR CODE]],SIP[B/S],"S")</f>
        <v>0</v>
      </c>
      <c r="Z166" s="106">
        <f>SUM(INVESTORS_LIST[[#This Row],[BO OPENING BALANCE]:[BO SIP UNITS REPURCHASE]])</f>
        <v>0</v>
      </c>
      <c r="AA166" s="107">
        <f>INVESTORS_LIST[[#This Row],[TOTAL UNITS BUY]]-INVESTORS_LIST[[#This Row],[TOTAL UNITS SOLD]]</f>
        <v>0</v>
      </c>
      <c r="AB166" s="107">
        <f>INVESTORS_LIST[[#This Row],[TOTAL CURRENT UNITS]]-INVESTORS_LIST[[#This Row],[BO UNITS HOLD]]</f>
        <v>0</v>
      </c>
      <c r="AC166" s="201" t="e">
        <f>INDEX([3]!Table_1[BO ID],MATCH(INVESTORS_LIST[[#This Row],[INVESTOR CODE]],[3]!Table_1[INVESTOR CODE],0))</f>
        <v>#REF!</v>
      </c>
      <c r="AD166" s="201" t="e">
        <f>INDEX([3]!Table_1[Brokerage Name2],MATCH(INVESTORS_LIST[[#This Row],[INVESTOR CODE]],[3]!Table_1[INVESTOR CODE],0))</f>
        <v>#REF!</v>
      </c>
      <c r="AE166" s="201" t="e">
        <f>MID(INVESTORS_LIST[[#This Row],[BO ID]],4,5)</f>
        <v>#REF!</v>
      </c>
      <c r="AF166" s="201" t="e">
        <f>MID(INVESTORS_LIST[[#This Row],[BO ID]],2,7)</f>
        <v>#REF!</v>
      </c>
      <c r="AG166" s="201" t="e">
        <f>MID(INVESTORS_LIST[[#This Row],[BO ID]],9,7)</f>
        <v>#REF!</v>
      </c>
      <c r="AH166" s="201" t="e">
        <f>RIGHT(INVESTORS_LIST[[#This Row],[BO ID]],1)</f>
        <v>#REF!</v>
      </c>
      <c r="AI166" s="50">
        <f>INVESTORS_LIST[[#This Row],[LS_TOTAL COST VALUE OF CURRENT UNITS]]+INVESTORS_LIST[[#This Row],[SIP_TOTAL COST VALUE OF CURRENT UNITS]]</f>
        <v>0</v>
      </c>
      <c r="AJ166" s="109">
        <f>IF(INVESTORS_LIST[[#This Row],[TOTAL CURRENT UNITS]]=0,0,INVESTORS_LIST[[#This Row],[LS_TOTAL CURRENT UNITS]]/INVESTORS_LIST[[#This Row],[TOTAL CURRENT UNITS]])</f>
        <v>0</v>
      </c>
      <c r="AK166" s="109">
        <f>IF(INVESTORS_LIST[[#This Row],[TOTAL CURRENT UNITS]]=0,0,INVESTORS_LIST[[#This Row],[SIP_TOTAL CURRENT UNITS]]/INVESTORS_LIST[[#This Row],[TOTAL CURRENT UNITS]])</f>
        <v>0</v>
      </c>
      <c r="AL166" s="49" cm="1">
        <f t="array" ref="AL1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6" s="49" cm="1">
        <f t="array" ref="AM1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6" s="105">
        <f t="shared" si="3"/>
        <v>14.224</v>
      </c>
      <c r="AP166" s="112">
        <f>IF(INVESTORS_LIST[[#This Row],[TOTAL CURRENT UNITS]]=0,0,INVESTORS_LIST[[#This Row],[TOTAL CURRENT UNITS]]*INVESTORS_LIST[[#This Row],[NAV]])</f>
        <v>0</v>
      </c>
      <c r="AQ166" s="49">
        <f>IF(INVESTORS_LIST[[#This Row],[LS_TOTAL CURRENT UNITS]]=0,0,INVESTORS_LIST[[#This Row],[LS_TOTAL CURRENT UNITS]]*INVESTORS_LIST[[#This Row],[NAV]])</f>
        <v>0</v>
      </c>
      <c r="AR166" s="48">
        <f>IF(INVESTORS_LIST[[#This Row],[SIP_TOTAL CURRENT UNITS]]=0,0,INVESTORS_LIST[[#This Row],[SIP_TOTAL CURRENT UNITS]]*INVESTORS_LIST[[#This Row],[NAV]])</f>
        <v>0</v>
      </c>
      <c r="AS166" s="50">
        <f>INVESTORS_LIST[[#This Row],[TOTAL CURRENT UNITS]]</f>
        <v>0</v>
      </c>
      <c r="AT166" s="48">
        <f>IF(INVESTORS_LIST[[#This Row],[TOTAL SELLABLE UNITS]]=0,0,INVESTORS_LIST[[#This Row],[TOTAL SELLABLE UNITS]]*INVESTORS_LIST[[#This Row],[NAV]])</f>
        <v>0</v>
      </c>
      <c r="AU166" s="48">
        <f>INVESTORS_LIST[[#This Row],[LS_TOTAL REALIZED GAIN]]+INVESTORS_LIST[[#This Row],[SIP_TOTAL REALIZED GAIN]]</f>
        <v>0</v>
      </c>
      <c r="AV166" s="48">
        <f>INVESTORS_LIST[[#This Row],[TOTAL MARKET VALUE]]-INVESTORS_LIST[[#This Row],[TOTAL COST VALUE OF CURRENT INVESTMENT]]</f>
        <v>0</v>
      </c>
      <c r="AW166" s="48">
        <f>IFERROR(INVESTORS_LIST[[#This Row],[TOTAL CURRENT UNITS]]/SUM(INVESTORS_LIST[TOTAL CURRENT UNITS]),0)</f>
        <v>0</v>
      </c>
    </row>
    <row r="167" spans="1:49" hidden="1">
      <c r="A167" s="262" t="s">
        <v>381</v>
      </c>
      <c r="B167" s="97" t="s">
        <v>382</v>
      </c>
      <c r="C167" t="s">
        <v>44</v>
      </c>
      <c r="D167" s="75" t="s">
        <v>45</v>
      </c>
      <c r="E167" s="47">
        <f>SUMIFS(LS[Unit],LS[Investor ID],INVESTORS_LIST[[#This Row],[INVESTOR CODE]],LS[B/S],"B")</f>
        <v>0</v>
      </c>
      <c r="F167" s="47">
        <f>-SUMIFS(LS[Unit],LS[Investor ID],INVESTORS_LIST[[#This Row],[INVESTOR CODE]],LS[B/S],"S")</f>
        <v>0</v>
      </c>
      <c r="G167" s="47">
        <f>IF(INVESTORS_LIST[[#This Row],[LS_TOTAL UNITS BUY]]=0,0,INVESTORS_LIST[[#This Row],[LS_TOTAL UNITS BUY]]-INVESTORS_LIST[[#This Row],[LS_TOTAL UNITS SOLD]])</f>
        <v>0</v>
      </c>
      <c r="H167" s="49">
        <f>IF(INVESTORS_LIST[[#This Row],[LS_TOTAL UNITS BUY]]=0,0,SUMIFS(LS[Amount],LS[Investor ID],INVESTORS_LIST[[#This Row],[INVESTOR CODE]],LS[B/S],"B"))</f>
        <v>0</v>
      </c>
      <c r="I167" s="48">
        <f>IF(INVESTORS_LIST[[#This Row],[LS_TOTAL UNITS SOLD]]=0,0,SUMIFS(LS[Cost of Units Sold],LS[Investor ID],INVESTORS_LIST[[#This Row],[INVESTOR CODE]],LS[B/S],"S"))</f>
        <v>0</v>
      </c>
      <c r="J167" s="48">
        <f>IF(INVESTORS_LIST[[#This Row],[LS_TOTAL CURRENT UNITS]]=0,0,INVESTORS_LIST[[#This Row],[LS_TOTAL CURRENT UNITS]]*INVESTORS_LIST[[#This Row],[LS_AVERAGE COST]])</f>
        <v>0</v>
      </c>
      <c r="K167" s="49">
        <f>IF(INVESTORS_LIST[[#This Row],[LS_TOTAL UNITS SOLD]]=0,0,SUMIFS(LS[Realized Gain],LS[Investor ID],INVESTORS_LIST[[#This Row],[INVESTOR CODE]],LS[B/S],"S"))</f>
        <v>0</v>
      </c>
      <c r="L167" s="47">
        <f>SUMIFS(SIP[Unit],SIP[Investor ID],INVESTORS_LIST[[#This Row],[INVESTOR CODE]],SIP[B/S],"B")</f>
        <v>0</v>
      </c>
      <c r="M167" s="47">
        <f>-SUMIFS(SIP[Unit],SIP[Investor ID],INVESTORS_LIST[[#This Row],[INVESTOR CODE]],SIP[B/S],"S")</f>
        <v>0</v>
      </c>
      <c r="N167" s="50">
        <f>IF(INVESTORS_LIST[[#This Row],[SIP_TOTAL UNITS BUY]]=0,0,INVESTORS_LIST[[#This Row],[SIP_TOTAL UNITS BUY]]-INVESTORS_LIST[[#This Row],[SIP_TOTAL UNITS SOLD]])</f>
        <v>0</v>
      </c>
      <c r="O167" s="49">
        <f>IF(INVESTORS_LIST[[#This Row],[SIP_TOTAL UNITS BUY]]=0,0,SUMIFS(SIP[Amount],SIP[Investor ID],INVESTORS_LIST[[#This Row],[INVESTOR CODE]],SIP[B/S],"B"))</f>
        <v>0</v>
      </c>
      <c r="P167" s="49">
        <f>IF(INVESTORS_LIST[[#This Row],[SIP_TOTAL UNITS SOLD]]=0,0,SUMIFS(SIP[Cost of Units Sold],SIP[Investor ID],INVESTORS_LIST[[#This Row],[INVESTOR CODE]],SIP[B/S],"S"))</f>
        <v>0</v>
      </c>
      <c r="Q167" s="48">
        <f>IF(INVESTORS_LIST[[#This Row],[SIP_TOTAL CURRENT UNITS]]=0,0,INVESTORS_LIST[[#This Row],[SIP_TOTAL CURRENT UNITS]]*INVESTORS_LIST[[#This Row],[SIP_AVERAGE COST]])</f>
        <v>0</v>
      </c>
      <c r="R167" s="48">
        <f>IF(INVESTORS_LIST[[#This Row],[SIP_TOTAL UNITS SOLD]]=0,0,SUMIFS(SIP[Realized Gain],SIP[Investor ID],INVESTORS_LIST[[#This Row],[INVESTOR CODE]],SIP[B/S],"S"))</f>
        <v>0</v>
      </c>
      <c r="S167" s="50">
        <f>INVESTORS_LIST[[#This Row],[LS_TOTAL UNITS BUY]]+INVESTORS_LIST[[#This Row],[SIP_TOTAL UNITS BUY]]</f>
        <v>0</v>
      </c>
      <c r="T167" s="50">
        <f>INVESTORS_LIST[[#This Row],[LS_TOTAL UNITS SOLD]]+INVESTORS_LIST[[#This Row],[SIP_TOTAL UNITS SOLD]]</f>
        <v>0</v>
      </c>
      <c r="U167" s="50"/>
      <c r="V167" s="50">
        <f>SUMIFS(LS[BO UNIT TRANSFER],LS[Investor ID],INVESTORS_LIST[[#This Row],[INVESTOR CODE]],LS[B/S],"B")</f>
        <v>0</v>
      </c>
      <c r="W167" s="50">
        <f>SUMIFS(SIP[BO UNIT TRANSFER],SIP[Investor ID],INVESTORS_LIST[[#This Row],[INVESTOR CODE]],SIP[B/S],"B")</f>
        <v>0</v>
      </c>
      <c r="X167" s="50">
        <f>SUMIFS(LS[BO UNIT TRANSFER],LS[Investor ID],INVESTORS_LIST[[#This Row],[INVESTOR CODE]],LS[B/S],"S")</f>
        <v>0</v>
      </c>
      <c r="Y167" s="50">
        <f>SUMIFS(SIP[BO UNIT TRANSFER],SIP[Investor ID],INVESTORS_LIST[[#This Row],[INVESTOR CODE]],SIP[B/S],"S")</f>
        <v>0</v>
      </c>
      <c r="Z167" s="106">
        <f>SUM(INVESTORS_LIST[[#This Row],[BO OPENING BALANCE]:[BO SIP UNITS REPURCHASE]])</f>
        <v>0</v>
      </c>
      <c r="AA167" s="107">
        <f>INVESTORS_LIST[[#This Row],[TOTAL UNITS BUY]]-INVESTORS_LIST[[#This Row],[TOTAL UNITS SOLD]]</f>
        <v>0</v>
      </c>
      <c r="AB167" s="107">
        <f>INVESTORS_LIST[[#This Row],[TOTAL CURRENT UNITS]]-INVESTORS_LIST[[#This Row],[BO UNITS HOLD]]</f>
        <v>0</v>
      </c>
      <c r="AC167" s="201" t="e">
        <f>INDEX([3]!Table_1[BO ID],MATCH(INVESTORS_LIST[[#This Row],[INVESTOR CODE]],[3]!Table_1[INVESTOR CODE],0))</f>
        <v>#REF!</v>
      </c>
      <c r="AD167" s="201" t="e">
        <f>INDEX([3]!Table_1[Brokerage Name2],MATCH(INVESTORS_LIST[[#This Row],[INVESTOR CODE]],[3]!Table_1[INVESTOR CODE],0))</f>
        <v>#REF!</v>
      </c>
      <c r="AE167" s="201" t="e">
        <f>MID(INVESTORS_LIST[[#This Row],[BO ID]],4,5)</f>
        <v>#REF!</v>
      </c>
      <c r="AF167" s="201" t="e">
        <f>MID(INVESTORS_LIST[[#This Row],[BO ID]],2,7)</f>
        <v>#REF!</v>
      </c>
      <c r="AG167" s="201" t="e">
        <f>MID(INVESTORS_LIST[[#This Row],[BO ID]],9,7)</f>
        <v>#REF!</v>
      </c>
      <c r="AH167" s="201" t="e">
        <f>RIGHT(INVESTORS_LIST[[#This Row],[BO ID]],1)</f>
        <v>#REF!</v>
      </c>
      <c r="AI167" s="50">
        <f>INVESTORS_LIST[[#This Row],[LS_TOTAL COST VALUE OF CURRENT UNITS]]+INVESTORS_LIST[[#This Row],[SIP_TOTAL COST VALUE OF CURRENT UNITS]]</f>
        <v>0</v>
      </c>
      <c r="AJ167" s="109">
        <f>IF(INVESTORS_LIST[[#This Row],[TOTAL CURRENT UNITS]]=0,0,INVESTORS_LIST[[#This Row],[LS_TOTAL CURRENT UNITS]]/INVESTORS_LIST[[#This Row],[TOTAL CURRENT UNITS]])</f>
        <v>0</v>
      </c>
      <c r="AK167" s="109">
        <f>IF(INVESTORS_LIST[[#This Row],[TOTAL CURRENT UNITS]]=0,0,INVESTORS_LIST[[#This Row],[SIP_TOTAL CURRENT UNITS]]/INVESTORS_LIST[[#This Row],[TOTAL CURRENT UNITS]])</f>
        <v>0</v>
      </c>
      <c r="AL167" s="49" cm="1">
        <f t="array" ref="AL1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7" s="49" cm="1">
        <f t="array" ref="AM1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7" s="105">
        <f t="shared" si="3"/>
        <v>14.224</v>
      </c>
      <c r="AP167" s="112">
        <f>IF(INVESTORS_LIST[[#This Row],[TOTAL CURRENT UNITS]]=0,0,INVESTORS_LIST[[#This Row],[TOTAL CURRENT UNITS]]*INVESTORS_LIST[[#This Row],[NAV]])</f>
        <v>0</v>
      </c>
      <c r="AQ167" s="49">
        <f>IF(INVESTORS_LIST[[#This Row],[LS_TOTAL CURRENT UNITS]]=0,0,INVESTORS_LIST[[#This Row],[LS_TOTAL CURRENT UNITS]]*INVESTORS_LIST[[#This Row],[NAV]])</f>
        <v>0</v>
      </c>
      <c r="AR167" s="48">
        <f>IF(INVESTORS_LIST[[#This Row],[SIP_TOTAL CURRENT UNITS]]=0,0,INVESTORS_LIST[[#This Row],[SIP_TOTAL CURRENT UNITS]]*INVESTORS_LIST[[#This Row],[NAV]])</f>
        <v>0</v>
      </c>
      <c r="AS167" s="50">
        <f>INVESTORS_LIST[[#This Row],[TOTAL CURRENT UNITS]]</f>
        <v>0</v>
      </c>
      <c r="AT167" s="48">
        <f>IF(INVESTORS_LIST[[#This Row],[TOTAL SELLABLE UNITS]]=0,0,INVESTORS_LIST[[#This Row],[TOTAL SELLABLE UNITS]]*INVESTORS_LIST[[#This Row],[NAV]])</f>
        <v>0</v>
      </c>
      <c r="AU167" s="48">
        <f>INVESTORS_LIST[[#This Row],[LS_TOTAL REALIZED GAIN]]+INVESTORS_LIST[[#This Row],[SIP_TOTAL REALIZED GAIN]]</f>
        <v>0</v>
      </c>
      <c r="AV167" s="48">
        <f>INVESTORS_LIST[[#This Row],[TOTAL MARKET VALUE]]-INVESTORS_LIST[[#This Row],[TOTAL COST VALUE OF CURRENT INVESTMENT]]</f>
        <v>0</v>
      </c>
      <c r="AW167" s="48">
        <f>IFERROR(INVESTORS_LIST[[#This Row],[TOTAL CURRENT UNITS]]/SUM(INVESTORS_LIST[TOTAL CURRENT UNITS]),0)</f>
        <v>0</v>
      </c>
    </row>
    <row r="168" spans="1:49">
      <c r="A168" s="262" t="s">
        <v>383</v>
      </c>
      <c r="B168" s="97" t="s">
        <v>384</v>
      </c>
      <c r="C168" t="s">
        <v>385</v>
      </c>
      <c r="D168" s="75" t="s">
        <v>45</v>
      </c>
      <c r="E168" s="47">
        <f>SUMIFS(LS[Unit],LS[Investor ID],INVESTORS_LIST[[#This Row],[INVESTOR CODE]],LS[B/S],"B")</f>
        <v>451182</v>
      </c>
      <c r="F168" s="47">
        <f>-SUMIFS(LS[Unit],LS[Investor ID],INVESTORS_LIST[[#This Row],[INVESTOR CODE]],LS[B/S],"S")</f>
        <v>123571</v>
      </c>
      <c r="G168" s="47">
        <f>IF(INVESTORS_LIST[[#This Row],[LS_TOTAL UNITS BUY]]=0,0,INVESTORS_LIST[[#This Row],[LS_TOTAL UNITS BUY]]-INVESTORS_LIST[[#This Row],[LS_TOTAL UNITS SOLD]])</f>
        <v>327611</v>
      </c>
      <c r="H168" s="49">
        <f>IF(INVESTORS_LIST[[#This Row],[LS_TOTAL UNITS BUY]]=0,0,SUMIFS(LS[Amount],LS[Investor ID],INVESTORS_LIST[[#This Row],[INVESTOR CODE]],LS[B/S],"B"))</f>
        <v>5000000</v>
      </c>
      <c r="I168" s="48">
        <f>IF(INVESTORS_LIST[[#This Row],[LS_TOTAL UNITS SOLD]]=0,0,SUMIFS(LS[Cost of Units Sold],LS[Investor ID],INVESTORS_LIST[[#This Row],[INVESTOR CODE]],LS[B/S],"S"))</f>
        <v>1369414.1166979182</v>
      </c>
      <c r="J168" s="48">
        <f>IF(INVESTORS_LIST[[#This Row],[LS_TOTAL CURRENT UNITS]]=0,0,INVESTORS_LIST[[#This Row],[LS_TOTAL CURRENT UNITS]]*INVESTORS_LIST[[#This Row],[LS_AVERAGE COST]])</f>
        <v>3630585.8833020823</v>
      </c>
      <c r="K168" s="49">
        <f>IF(INVESTORS_LIST[[#This Row],[LS_TOTAL UNITS SOLD]]=0,0,SUMIFS(LS[Realized Gain],LS[Investor ID],INVESTORS_LIST[[#This Row],[INVESTOR CODE]],LS[B/S],"S"))</f>
        <v>236994.65330208189</v>
      </c>
      <c r="L168" s="47">
        <f>SUMIFS(SIP[Unit],SIP[Investor ID],INVESTORS_LIST[[#This Row],[INVESTOR CODE]],SIP[B/S],"B")</f>
        <v>0</v>
      </c>
      <c r="M168" s="47">
        <f>-SUMIFS(SIP[Unit],SIP[Investor ID],INVESTORS_LIST[[#This Row],[INVESTOR CODE]],SIP[B/S],"S")</f>
        <v>0</v>
      </c>
      <c r="N168" s="50">
        <f>IF(INVESTORS_LIST[[#This Row],[SIP_TOTAL UNITS BUY]]=0,0,INVESTORS_LIST[[#This Row],[SIP_TOTAL UNITS BUY]]-INVESTORS_LIST[[#This Row],[SIP_TOTAL UNITS SOLD]])</f>
        <v>0</v>
      </c>
      <c r="O168" s="49">
        <f>IF(INVESTORS_LIST[[#This Row],[SIP_TOTAL UNITS BUY]]=0,0,SUMIFS(SIP[Amount],SIP[Investor ID],INVESTORS_LIST[[#This Row],[INVESTOR CODE]],SIP[B/S],"B"))</f>
        <v>0</v>
      </c>
      <c r="P168" s="49">
        <f>IF(INVESTORS_LIST[[#This Row],[SIP_TOTAL UNITS SOLD]]=0,0,SUMIFS(SIP[Cost of Units Sold],SIP[Investor ID],INVESTORS_LIST[[#This Row],[INVESTOR CODE]],SIP[B/S],"S"))</f>
        <v>0</v>
      </c>
      <c r="Q168" s="48">
        <f>IF(INVESTORS_LIST[[#This Row],[SIP_TOTAL CURRENT UNITS]]=0,0,INVESTORS_LIST[[#This Row],[SIP_TOTAL CURRENT UNITS]]*INVESTORS_LIST[[#This Row],[SIP_AVERAGE COST]])</f>
        <v>0</v>
      </c>
      <c r="R168" s="48">
        <f>IF(INVESTORS_LIST[[#This Row],[SIP_TOTAL UNITS SOLD]]=0,0,SUMIFS(SIP[Realized Gain],SIP[Investor ID],INVESTORS_LIST[[#This Row],[INVESTOR CODE]],SIP[B/S],"S"))</f>
        <v>0</v>
      </c>
      <c r="S168" s="50">
        <f>INVESTORS_LIST[[#This Row],[LS_TOTAL UNITS BUY]]+INVESTORS_LIST[[#This Row],[SIP_TOTAL UNITS BUY]]</f>
        <v>451182</v>
      </c>
      <c r="T168" s="50">
        <f>INVESTORS_LIST[[#This Row],[LS_TOTAL UNITS SOLD]]+INVESTORS_LIST[[#This Row],[SIP_TOTAL UNITS SOLD]]</f>
        <v>123571</v>
      </c>
      <c r="U168" s="50"/>
      <c r="V168" s="50">
        <f>SUMIFS(LS[BO UNIT TRANSFER],LS[Investor ID],INVESTORS_LIST[[#This Row],[INVESTOR CODE]],LS[B/S],"B")</f>
        <v>0</v>
      </c>
      <c r="W168" s="50">
        <f>SUMIFS(SIP[BO UNIT TRANSFER],SIP[Investor ID],INVESTORS_LIST[[#This Row],[INVESTOR CODE]],SIP[B/S],"B")</f>
        <v>0</v>
      </c>
      <c r="X168" s="50">
        <f>SUMIFS(LS[BO UNIT TRANSFER],LS[Investor ID],INVESTORS_LIST[[#This Row],[INVESTOR CODE]],LS[B/S],"S")</f>
        <v>0</v>
      </c>
      <c r="Y168" s="50">
        <f>SUMIFS(SIP[BO UNIT TRANSFER],SIP[Investor ID],INVESTORS_LIST[[#This Row],[INVESTOR CODE]],SIP[B/S],"S")</f>
        <v>0</v>
      </c>
      <c r="Z168" s="106">
        <f>SUM(INVESTORS_LIST[[#This Row],[BO OPENING BALANCE]:[BO SIP UNITS REPURCHASE]])</f>
        <v>0</v>
      </c>
      <c r="AA168" s="107">
        <f>INVESTORS_LIST[[#This Row],[TOTAL UNITS BUY]]-INVESTORS_LIST[[#This Row],[TOTAL UNITS SOLD]]</f>
        <v>327611</v>
      </c>
      <c r="AB168" s="107">
        <f>INVESTORS_LIST[[#This Row],[TOTAL CURRENT UNITS]]-INVESTORS_LIST[[#This Row],[BO UNITS HOLD]]</f>
        <v>327611</v>
      </c>
      <c r="AC168" s="201" t="e">
        <f>INDEX([3]!Table_1[BO ID],MATCH(INVESTORS_LIST[[#This Row],[INVESTOR CODE]],[3]!Table_1[INVESTOR CODE],0))</f>
        <v>#REF!</v>
      </c>
      <c r="AD168" s="201" t="e">
        <f>INDEX([3]!Table_1[Brokerage Name2],MATCH(INVESTORS_LIST[[#This Row],[INVESTOR CODE]],[3]!Table_1[INVESTOR CODE],0))</f>
        <v>#REF!</v>
      </c>
      <c r="AE168" s="201" t="e">
        <f>MID(INVESTORS_LIST[[#This Row],[BO ID]],4,5)</f>
        <v>#REF!</v>
      </c>
      <c r="AF168" s="201" t="e">
        <f>MID(INVESTORS_LIST[[#This Row],[BO ID]],2,7)</f>
        <v>#REF!</v>
      </c>
      <c r="AG168" s="201" t="e">
        <f>MID(INVESTORS_LIST[[#This Row],[BO ID]],9,7)</f>
        <v>#REF!</v>
      </c>
      <c r="AH168" s="201" t="e">
        <f>RIGHT(INVESTORS_LIST[[#This Row],[BO ID]],1)</f>
        <v>#REF!</v>
      </c>
      <c r="AI168" s="50">
        <f>INVESTORS_LIST[[#This Row],[LS_TOTAL COST VALUE OF CURRENT UNITS]]+INVESTORS_LIST[[#This Row],[SIP_TOTAL COST VALUE OF CURRENT UNITS]]</f>
        <v>3630585.8833020823</v>
      </c>
      <c r="AJ168" s="109">
        <f>IF(INVESTORS_LIST[[#This Row],[TOTAL CURRENT UNITS]]=0,0,INVESTORS_LIST[[#This Row],[LS_TOTAL CURRENT UNITS]]/INVESTORS_LIST[[#This Row],[TOTAL CURRENT UNITS]])</f>
        <v>1</v>
      </c>
      <c r="AK168" s="109">
        <f>IF(INVESTORS_LIST[[#This Row],[TOTAL CURRENT UNITS]]=0,0,INVESTORS_LIST[[#This Row],[SIP_TOTAL CURRENT UNITS]]/INVESTORS_LIST[[#This Row],[TOTAL CURRENT UNITS]])</f>
        <v>0</v>
      </c>
      <c r="AL168" s="49" cm="1">
        <f t="array" ref="AL168">IF(INVESTORS_LIST[[#This Row],[LS_TOTAL UNITS BUY]]&gt;0,INDEX(LS[NAV at Cost (Average)],MATCH(CONCATENATE(COUNTIFS(LS[Investor ID],INVESTORS_LIST[[#This Row],[INVESTOR CODE]]),INVESTORS_LIST[[#This Row],[INVESTOR CODE]]),LS[Unique Code],0),),0)</f>
        <v>11.082002384846914</v>
      </c>
      <c r="AM168" s="49" cm="1">
        <f t="array" ref="AM1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8" s="105">
        <f>IF(INVESTORS_LIST[[#This Row],[TOTAL CURRENT UNITS]]=0,0,(INVESTORS_LIST[[#This Row],[LS_WEIGHT]]*INVESTORS_LIST[[#This Row],[LS_AVERAGE COST]])+(INVESTORS_LIST[[#This Row],[SIP_WEIGHT]]*INVESTORS_LIST[[#This Row],[SIP_AVERAGE COST]]))</f>
        <v>11.082002384846914</v>
      </c>
      <c r="AO168" s="105">
        <f t="shared" si="3"/>
        <v>14.224</v>
      </c>
      <c r="AP168" s="112">
        <f>IF(INVESTORS_LIST[[#This Row],[TOTAL CURRENT UNITS]]=0,0,INVESTORS_LIST[[#This Row],[TOTAL CURRENT UNITS]]*INVESTORS_LIST[[#This Row],[NAV]])</f>
        <v>4659938.8640000001</v>
      </c>
      <c r="AQ168" s="49">
        <f>IF(INVESTORS_LIST[[#This Row],[LS_TOTAL CURRENT UNITS]]=0,0,INVESTORS_LIST[[#This Row],[LS_TOTAL CURRENT UNITS]]*INVESTORS_LIST[[#This Row],[NAV]])</f>
        <v>4659938.8640000001</v>
      </c>
      <c r="AR168" s="48">
        <f>IF(INVESTORS_LIST[[#This Row],[SIP_TOTAL CURRENT UNITS]]=0,0,INVESTORS_LIST[[#This Row],[SIP_TOTAL CURRENT UNITS]]*INVESTORS_LIST[[#This Row],[NAV]])</f>
        <v>0</v>
      </c>
      <c r="AS168" s="50">
        <f>INVESTORS_LIST[[#This Row],[TOTAL CURRENT UNITS]]</f>
        <v>327611</v>
      </c>
      <c r="AT168" s="48">
        <f>IF(INVESTORS_LIST[[#This Row],[TOTAL SELLABLE UNITS]]=0,0,INVESTORS_LIST[[#This Row],[TOTAL SELLABLE UNITS]]*INVESTORS_LIST[[#This Row],[NAV]])</f>
        <v>4659938.8640000001</v>
      </c>
      <c r="AU168" s="48">
        <f>INVESTORS_LIST[[#This Row],[LS_TOTAL REALIZED GAIN]]+INVESTORS_LIST[[#This Row],[SIP_TOTAL REALIZED GAIN]]</f>
        <v>236994.65330208189</v>
      </c>
      <c r="AV168" s="48">
        <f>INVESTORS_LIST[[#This Row],[TOTAL MARKET VALUE]]-INVESTORS_LIST[[#This Row],[TOTAL COST VALUE OF CURRENT INVESTMENT]]</f>
        <v>1029352.9806979178</v>
      </c>
      <c r="AW168" s="48">
        <f>IFERROR(INVESTORS_LIST[[#This Row],[TOTAL CURRENT UNITS]]/SUM(INVESTORS_LIST[TOTAL CURRENT UNITS]),0)</f>
        <v>7.9531527450504153E-3</v>
      </c>
    </row>
    <row r="169" spans="1:49" hidden="1">
      <c r="A169" s="262" t="s">
        <v>386</v>
      </c>
      <c r="B169" s="97" t="s">
        <v>387</v>
      </c>
      <c r="C169" t="s">
        <v>44</v>
      </c>
      <c r="D169" s="75" t="s">
        <v>45</v>
      </c>
      <c r="E169" s="47">
        <f>SUMIFS(LS[Unit],LS[Investor ID],INVESTORS_LIST[[#This Row],[INVESTOR CODE]],LS[B/S],"B")</f>
        <v>0</v>
      </c>
      <c r="F169" s="47">
        <f>-SUMIFS(LS[Unit],LS[Investor ID],INVESTORS_LIST[[#This Row],[INVESTOR CODE]],LS[B/S],"S")</f>
        <v>0</v>
      </c>
      <c r="G169" s="47">
        <f>IF(INVESTORS_LIST[[#This Row],[LS_TOTAL UNITS BUY]]=0,0,INVESTORS_LIST[[#This Row],[LS_TOTAL UNITS BUY]]-INVESTORS_LIST[[#This Row],[LS_TOTAL UNITS SOLD]])</f>
        <v>0</v>
      </c>
      <c r="H169" s="49">
        <f>IF(INVESTORS_LIST[[#This Row],[LS_TOTAL UNITS BUY]]=0,0,SUMIFS(LS[Amount],LS[Investor ID],INVESTORS_LIST[[#This Row],[INVESTOR CODE]],LS[B/S],"B"))</f>
        <v>0</v>
      </c>
      <c r="I169" s="48">
        <f>IF(INVESTORS_LIST[[#This Row],[LS_TOTAL UNITS SOLD]]=0,0,SUMIFS(LS[Cost of Units Sold],LS[Investor ID],INVESTORS_LIST[[#This Row],[INVESTOR CODE]],LS[B/S],"S"))</f>
        <v>0</v>
      </c>
      <c r="J169" s="48">
        <f>IF(INVESTORS_LIST[[#This Row],[LS_TOTAL CURRENT UNITS]]=0,0,INVESTORS_LIST[[#This Row],[LS_TOTAL CURRENT UNITS]]*INVESTORS_LIST[[#This Row],[LS_AVERAGE COST]])</f>
        <v>0</v>
      </c>
      <c r="K169" s="49">
        <f>IF(INVESTORS_LIST[[#This Row],[LS_TOTAL UNITS SOLD]]=0,0,SUMIFS(LS[Realized Gain],LS[Investor ID],INVESTORS_LIST[[#This Row],[INVESTOR CODE]],LS[B/S],"S"))</f>
        <v>0</v>
      </c>
      <c r="L169" s="47">
        <f>SUMIFS(SIP[Unit],SIP[Investor ID],INVESTORS_LIST[[#This Row],[INVESTOR CODE]],SIP[B/S],"B")</f>
        <v>0</v>
      </c>
      <c r="M169" s="47">
        <f>-SUMIFS(SIP[Unit],SIP[Investor ID],INVESTORS_LIST[[#This Row],[INVESTOR CODE]],SIP[B/S],"S")</f>
        <v>0</v>
      </c>
      <c r="N169" s="50">
        <f>IF(INVESTORS_LIST[[#This Row],[SIP_TOTAL UNITS BUY]]=0,0,INVESTORS_LIST[[#This Row],[SIP_TOTAL UNITS BUY]]-INVESTORS_LIST[[#This Row],[SIP_TOTAL UNITS SOLD]])</f>
        <v>0</v>
      </c>
      <c r="O169" s="49">
        <f>IF(INVESTORS_LIST[[#This Row],[SIP_TOTAL UNITS BUY]]=0,0,SUMIFS(SIP[Amount],SIP[Investor ID],INVESTORS_LIST[[#This Row],[INVESTOR CODE]],SIP[B/S],"B"))</f>
        <v>0</v>
      </c>
      <c r="P169" s="49">
        <f>IF(INVESTORS_LIST[[#This Row],[SIP_TOTAL UNITS SOLD]]=0,0,SUMIFS(SIP[Cost of Units Sold],SIP[Investor ID],INVESTORS_LIST[[#This Row],[INVESTOR CODE]],SIP[B/S],"S"))</f>
        <v>0</v>
      </c>
      <c r="Q169" s="48">
        <f>IF(INVESTORS_LIST[[#This Row],[SIP_TOTAL CURRENT UNITS]]=0,0,INVESTORS_LIST[[#This Row],[SIP_TOTAL CURRENT UNITS]]*INVESTORS_LIST[[#This Row],[SIP_AVERAGE COST]])</f>
        <v>0</v>
      </c>
      <c r="R169" s="48">
        <f>IF(INVESTORS_LIST[[#This Row],[SIP_TOTAL UNITS SOLD]]=0,0,SUMIFS(SIP[Realized Gain],SIP[Investor ID],INVESTORS_LIST[[#This Row],[INVESTOR CODE]],SIP[B/S],"S"))</f>
        <v>0</v>
      </c>
      <c r="S169" s="50">
        <f>INVESTORS_LIST[[#This Row],[LS_TOTAL UNITS BUY]]+INVESTORS_LIST[[#This Row],[SIP_TOTAL UNITS BUY]]</f>
        <v>0</v>
      </c>
      <c r="T169" s="50">
        <f>INVESTORS_LIST[[#This Row],[LS_TOTAL UNITS SOLD]]+INVESTORS_LIST[[#This Row],[SIP_TOTAL UNITS SOLD]]</f>
        <v>0</v>
      </c>
      <c r="U169" s="50"/>
      <c r="V169" s="50">
        <f>SUMIFS(LS[BO UNIT TRANSFER],LS[Investor ID],INVESTORS_LIST[[#This Row],[INVESTOR CODE]],LS[B/S],"B")</f>
        <v>0</v>
      </c>
      <c r="W169" s="50">
        <f>SUMIFS(SIP[BO UNIT TRANSFER],SIP[Investor ID],INVESTORS_LIST[[#This Row],[INVESTOR CODE]],SIP[B/S],"B")</f>
        <v>0</v>
      </c>
      <c r="X169" s="50">
        <f>SUMIFS(LS[BO UNIT TRANSFER],LS[Investor ID],INVESTORS_LIST[[#This Row],[INVESTOR CODE]],LS[B/S],"S")</f>
        <v>0</v>
      </c>
      <c r="Y169" s="50">
        <f>SUMIFS(SIP[BO UNIT TRANSFER],SIP[Investor ID],INVESTORS_LIST[[#This Row],[INVESTOR CODE]],SIP[B/S],"S")</f>
        <v>0</v>
      </c>
      <c r="Z169" s="106">
        <f>SUM(INVESTORS_LIST[[#This Row],[BO OPENING BALANCE]:[BO SIP UNITS REPURCHASE]])</f>
        <v>0</v>
      </c>
      <c r="AA169" s="107">
        <f>INVESTORS_LIST[[#This Row],[TOTAL UNITS BUY]]-INVESTORS_LIST[[#This Row],[TOTAL UNITS SOLD]]</f>
        <v>0</v>
      </c>
      <c r="AB169" s="107">
        <f>INVESTORS_LIST[[#This Row],[TOTAL CURRENT UNITS]]-INVESTORS_LIST[[#This Row],[BO UNITS HOLD]]</f>
        <v>0</v>
      </c>
      <c r="AC169" s="201" t="e">
        <f>INDEX([3]!Table_1[BO ID],MATCH(INVESTORS_LIST[[#This Row],[INVESTOR CODE]],[3]!Table_1[INVESTOR CODE],0))</f>
        <v>#REF!</v>
      </c>
      <c r="AD169" s="201" t="e">
        <f>INDEX([3]!Table_1[Brokerage Name2],MATCH(INVESTORS_LIST[[#This Row],[INVESTOR CODE]],[3]!Table_1[INVESTOR CODE],0))</f>
        <v>#REF!</v>
      </c>
      <c r="AE169" s="201" t="e">
        <f>MID(INVESTORS_LIST[[#This Row],[BO ID]],4,5)</f>
        <v>#REF!</v>
      </c>
      <c r="AF169" s="201" t="e">
        <f>MID(INVESTORS_LIST[[#This Row],[BO ID]],2,7)</f>
        <v>#REF!</v>
      </c>
      <c r="AG169" s="201" t="e">
        <f>MID(INVESTORS_LIST[[#This Row],[BO ID]],9,7)</f>
        <v>#REF!</v>
      </c>
      <c r="AH169" s="201" t="e">
        <f>RIGHT(INVESTORS_LIST[[#This Row],[BO ID]],1)</f>
        <v>#REF!</v>
      </c>
      <c r="AI169" s="50">
        <f>INVESTORS_LIST[[#This Row],[LS_TOTAL COST VALUE OF CURRENT UNITS]]+INVESTORS_LIST[[#This Row],[SIP_TOTAL COST VALUE OF CURRENT UNITS]]</f>
        <v>0</v>
      </c>
      <c r="AJ169" s="109">
        <f>IF(INVESTORS_LIST[[#This Row],[TOTAL CURRENT UNITS]]=0,0,INVESTORS_LIST[[#This Row],[LS_TOTAL CURRENT UNITS]]/INVESTORS_LIST[[#This Row],[TOTAL CURRENT UNITS]])</f>
        <v>0</v>
      </c>
      <c r="AK169" s="109">
        <f>IF(INVESTORS_LIST[[#This Row],[TOTAL CURRENT UNITS]]=0,0,INVESTORS_LIST[[#This Row],[SIP_TOTAL CURRENT UNITS]]/INVESTORS_LIST[[#This Row],[TOTAL CURRENT UNITS]])</f>
        <v>0</v>
      </c>
      <c r="AL169" s="49" cm="1">
        <f t="array" ref="AL1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69" s="49" cm="1">
        <f t="array" ref="AM1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6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69" s="105">
        <f t="shared" si="3"/>
        <v>14.224</v>
      </c>
      <c r="AP169" s="112">
        <f>IF(INVESTORS_LIST[[#This Row],[TOTAL CURRENT UNITS]]=0,0,INVESTORS_LIST[[#This Row],[TOTAL CURRENT UNITS]]*INVESTORS_LIST[[#This Row],[NAV]])</f>
        <v>0</v>
      </c>
      <c r="AQ169" s="49">
        <f>IF(INVESTORS_LIST[[#This Row],[LS_TOTAL CURRENT UNITS]]=0,0,INVESTORS_LIST[[#This Row],[LS_TOTAL CURRENT UNITS]]*INVESTORS_LIST[[#This Row],[NAV]])</f>
        <v>0</v>
      </c>
      <c r="AR169" s="48">
        <f>IF(INVESTORS_LIST[[#This Row],[SIP_TOTAL CURRENT UNITS]]=0,0,INVESTORS_LIST[[#This Row],[SIP_TOTAL CURRENT UNITS]]*INVESTORS_LIST[[#This Row],[NAV]])</f>
        <v>0</v>
      </c>
      <c r="AS169" s="50">
        <f>INVESTORS_LIST[[#This Row],[TOTAL CURRENT UNITS]]</f>
        <v>0</v>
      </c>
      <c r="AT169" s="48">
        <f>IF(INVESTORS_LIST[[#This Row],[TOTAL SELLABLE UNITS]]=0,0,INVESTORS_LIST[[#This Row],[TOTAL SELLABLE UNITS]]*INVESTORS_LIST[[#This Row],[NAV]])</f>
        <v>0</v>
      </c>
      <c r="AU169" s="48">
        <f>INVESTORS_LIST[[#This Row],[LS_TOTAL REALIZED GAIN]]+INVESTORS_LIST[[#This Row],[SIP_TOTAL REALIZED GAIN]]</f>
        <v>0</v>
      </c>
      <c r="AV169" s="48">
        <f>INVESTORS_LIST[[#This Row],[TOTAL MARKET VALUE]]-INVESTORS_LIST[[#This Row],[TOTAL COST VALUE OF CURRENT INVESTMENT]]</f>
        <v>0</v>
      </c>
      <c r="AW169" s="48">
        <f>IFERROR(INVESTORS_LIST[[#This Row],[TOTAL CURRENT UNITS]]/SUM(INVESTORS_LIST[TOTAL CURRENT UNITS]),0)</f>
        <v>0</v>
      </c>
    </row>
    <row r="170" spans="1:49" hidden="1">
      <c r="A170" s="262" t="s">
        <v>388</v>
      </c>
      <c r="B170" s="97" t="s">
        <v>389</v>
      </c>
      <c r="C170" t="s">
        <v>52</v>
      </c>
      <c r="D170" s="75" t="s">
        <v>45</v>
      </c>
      <c r="E170" s="47">
        <f>SUMIFS(LS[Unit],LS[Investor ID],INVESTORS_LIST[[#This Row],[INVESTOR CODE]],LS[B/S],"B")</f>
        <v>80000</v>
      </c>
      <c r="F170" s="47">
        <f>-SUMIFS(LS[Unit],LS[Investor ID],INVESTORS_LIST[[#This Row],[INVESTOR CODE]],LS[B/S],"S")</f>
        <v>80000</v>
      </c>
      <c r="G170" s="47">
        <f>IF(INVESTORS_LIST[[#This Row],[LS_TOTAL UNITS BUY]]=0,0,INVESTORS_LIST[[#This Row],[LS_TOTAL UNITS BUY]]-INVESTORS_LIST[[#This Row],[LS_TOTAL UNITS SOLD]])</f>
        <v>0</v>
      </c>
      <c r="H170" s="49">
        <f>IF(INVESTORS_LIST[[#This Row],[LS_TOTAL UNITS BUY]]=0,0,SUMIFS(LS[Amount],LS[Investor ID],INVESTORS_LIST[[#This Row],[INVESTOR CODE]],LS[B/S],"B"))</f>
        <v>800000</v>
      </c>
      <c r="I170" s="48">
        <f>IF(INVESTORS_LIST[[#This Row],[LS_TOTAL UNITS SOLD]]=0,0,SUMIFS(LS[Cost of Units Sold],LS[Investor ID],INVESTORS_LIST[[#This Row],[INVESTOR CODE]],LS[B/S],"S"))</f>
        <v>800000</v>
      </c>
      <c r="J170" s="48">
        <f>IF(INVESTORS_LIST[[#This Row],[LS_TOTAL CURRENT UNITS]]=0,0,INVESTORS_LIST[[#This Row],[LS_TOTAL CURRENT UNITS]]*INVESTORS_LIST[[#This Row],[LS_AVERAGE COST]])</f>
        <v>0</v>
      </c>
      <c r="K170" s="49">
        <f>IF(INVESTORS_LIST[[#This Row],[LS_TOTAL UNITS SOLD]]=0,0,SUMIFS(LS[Realized Gain],LS[Investor ID],INVESTORS_LIST[[#This Row],[INVESTOR CODE]],LS[B/S],"S"))</f>
        <v>47600.000000000051</v>
      </c>
      <c r="L170" s="47">
        <f>SUMIFS(SIP[Unit],SIP[Investor ID],INVESTORS_LIST[[#This Row],[INVESTOR CODE]],SIP[B/S],"B")</f>
        <v>0</v>
      </c>
      <c r="M170" s="47">
        <f>-SUMIFS(SIP[Unit],SIP[Investor ID],INVESTORS_LIST[[#This Row],[INVESTOR CODE]],SIP[B/S],"S")</f>
        <v>0</v>
      </c>
      <c r="N170" s="50">
        <f>IF(INVESTORS_LIST[[#This Row],[SIP_TOTAL UNITS BUY]]=0,0,INVESTORS_LIST[[#This Row],[SIP_TOTAL UNITS BUY]]-INVESTORS_LIST[[#This Row],[SIP_TOTAL UNITS SOLD]])</f>
        <v>0</v>
      </c>
      <c r="O170" s="49">
        <f>IF(INVESTORS_LIST[[#This Row],[SIP_TOTAL UNITS BUY]]=0,0,SUMIFS(SIP[Amount],SIP[Investor ID],INVESTORS_LIST[[#This Row],[INVESTOR CODE]],SIP[B/S],"B"))</f>
        <v>0</v>
      </c>
      <c r="P170" s="49">
        <f>IF(INVESTORS_LIST[[#This Row],[SIP_TOTAL UNITS SOLD]]=0,0,SUMIFS(SIP[Cost of Units Sold],SIP[Investor ID],INVESTORS_LIST[[#This Row],[INVESTOR CODE]],SIP[B/S],"S"))</f>
        <v>0</v>
      </c>
      <c r="Q170" s="48">
        <f>IF(INVESTORS_LIST[[#This Row],[SIP_TOTAL CURRENT UNITS]]=0,0,INVESTORS_LIST[[#This Row],[SIP_TOTAL CURRENT UNITS]]*INVESTORS_LIST[[#This Row],[SIP_AVERAGE COST]])</f>
        <v>0</v>
      </c>
      <c r="R170" s="48">
        <f>IF(INVESTORS_LIST[[#This Row],[SIP_TOTAL UNITS SOLD]]=0,0,SUMIFS(SIP[Realized Gain],SIP[Investor ID],INVESTORS_LIST[[#This Row],[INVESTOR CODE]],SIP[B/S],"S"))</f>
        <v>0</v>
      </c>
      <c r="S170" s="50">
        <f>INVESTORS_LIST[[#This Row],[LS_TOTAL UNITS BUY]]+INVESTORS_LIST[[#This Row],[SIP_TOTAL UNITS BUY]]</f>
        <v>80000</v>
      </c>
      <c r="T170" s="50">
        <f>INVESTORS_LIST[[#This Row],[LS_TOTAL UNITS SOLD]]+INVESTORS_LIST[[#This Row],[SIP_TOTAL UNITS SOLD]]</f>
        <v>80000</v>
      </c>
      <c r="U170" s="50">
        <v>80000</v>
      </c>
      <c r="V170" s="50">
        <f>SUMIFS(LS[BO UNIT TRANSFER],LS[Investor ID],INVESTORS_LIST[[#This Row],[INVESTOR CODE]],LS[B/S],"B")</f>
        <v>0</v>
      </c>
      <c r="W170" s="50">
        <f>SUMIFS(SIP[BO UNIT TRANSFER],SIP[Investor ID],INVESTORS_LIST[[#This Row],[INVESTOR CODE]],SIP[B/S],"B")</f>
        <v>0</v>
      </c>
      <c r="X170" s="50">
        <f>SUMIFS(LS[BO UNIT TRANSFER],LS[Investor ID],INVESTORS_LIST[[#This Row],[INVESTOR CODE]],LS[B/S],"S")</f>
        <v>0</v>
      </c>
      <c r="Y170" s="50">
        <f>SUMIFS(SIP[BO UNIT TRANSFER],SIP[Investor ID],INVESTORS_LIST[[#This Row],[INVESTOR CODE]],SIP[B/S],"S")</f>
        <v>0</v>
      </c>
      <c r="Z170" s="106">
        <f>SUM(INVESTORS_LIST[[#This Row],[BO OPENING BALANCE]:[BO SIP UNITS REPURCHASE]])</f>
        <v>80000</v>
      </c>
      <c r="AA170" s="107">
        <f>INVESTORS_LIST[[#This Row],[TOTAL UNITS BUY]]-INVESTORS_LIST[[#This Row],[TOTAL UNITS SOLD]]</f>
        <v>0</v>
      </c>
      <c r="AB170" s="107">
        <f>INVESTORS_LIST[[#This Row],[TOTAL CURRENT UNITS]]-INVESTORS_LIST[[#This Row],[BO UNITS HOLD]]</f>
        <v>-80000</v>
      </c>
      <c r="AC170" s="201" t="e">
        <f>INDEX([3]!Table_1[BO ID],MATCH(INVESTORS_LIST[[#This Row],[INVESTOR CODE]],[3]!Table_1[INVESTOR CODE],0))</f>
        <v>#REF!</v>
      </c>
      <c r="AD170" s="201" t="e">
        <f>INDEX([3]!Table_1[Brokerage Name2],MATCH(INVESTORS_LIST[[#This Row],[INVESTOR CODE]],[3]!Table_1[INVESTOR CODE],0))</f>
        <v>#REF!</v>
      </c>
      <c r="AE170" s="201" t="e">
        <f>MID(INVESTORS_LIST[[#This Row],[BO ID]],4,5)</f>
        <v>#REF!</v>
      </c>
      <c r="AF170" s="201" t="e">
        <f>MID(INVESTORS_LIST[[#This Row],[BO ID]],2,7)</f>
        <v>#REF!</v>
      </c>
      <c r="AG170" s="201" t="e">
        <f>MID(INVESTORS_LIST[[#This Row],[BO ID]],9,7)</f>
        <v>#REF!</v>
      </c>
      <c r="AH170" s="201" t="e">
        <f>RIGHT(INVESTORS_LIST[[#This Row],[BO ID]],1)</f>
        <v>#REF!</v>
      </c>
      <c r="AI170" s="50">
        <f>INVESTORS_LIST[[#This Row],[LS_TOTAL COST VALUE OF CURRENT UNITS]]+INVESTORS_LIST[[#This Row],[SIP_TOTAL COST VALUE OF CURRENT UNITS]]</f>
        <v>0</v>
      </c>
      <c r="AJ170" s="109">
        <f>IF(INVESTORS_LIST[[#This Row],[TOTAL CURRENT UNITS]]=0,0,INVESTORS_LIST[[#This Row],[LS_TOTAL CURRENT UNITS]]/INVESTORS_LIST[[#This Row],[TOTAL CURRENT UNITS]])</f>
        <v>0</v>
      </c>
      <c r="AK170" s="109">
        <f>IF(INVESTORS_LIST[[#This Row],[TOTAL CURRENT UNITS]]=0,0,INVESTORS_LIST[[#This Row],[SIP_TOTAL CURRENT UNITS]]/INVESTORS_LIST[[#This Row],[TOTAL CURRENT UNITS]])</f>
        <v>0</v>
      </c>
      <c r="AL170" s="49" cm="1">
        <f t="array" ref="AL1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0" s="49" cm="1">
        <f t="array" ref="AM1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0" s="105">
        <f t="shared" si="3"/>
        <v>14.224</v>
      </c>
      <c r="AP170" s="112">
        <f>IF(INVESTORS_LIST[[#This Row],[TOTAL CURRENT UNITS]]=0,0,INVESTORS_LIST[[#This Row],[TOTAL CURRENT UNITS]]*INVESTORS_LIST[[#This Row],[NAV]])</f>
        <v>0</v>
      </c>
      <c r="AQ170" s="49">
        <f>IF(INVESTORS_LIST[[#This Row],[LS_TOTAL CURRENT UNITS]]=0,0,INVESTORS_LIST[[#This Row],[LS_TOTAL CURRENT UNITS]]*INVESTORS_LIST[[#This Row],[NAV]])</f>
        <v>0</v>
      </c>
      <c r="AR170" s="48">
        <f>IF(INVESTORS_LIST[[#This Row],[SIP_TOTAL CURRENT UNITS]]=0,0,INVESTORS_LIST[[#This Row],[SIP_TOTAL CURRENT UNITS]]*INVESTORS_LIST[[#This Row],[NAV]])</f>
        <v>0</v>
      </c>
      <c r="AS170" s="50">
        <f>INVESTORS_LIST[[#This Row],[TOTAL CURRENT UNITS]]</f>
        <v>0</v>
      </c>
      <c r="AT170" s="48">
        <f>IF(INVESTORS_LIST[[#This Row],[TOTAL SELLABLE UNITS]]=0,0,INVESTORS_LIST[[#This Row],[TOTAL SELLABLE UNITS]]*INVESTORS_LIST[[#This Row],[NAV]])</f>
        <v>0</v>
      </c>
      <c r="AU170" s="48">
        <f>INVESTORS_LIST[[#This Row],[LS_TOTAL REALIZED GAIN]]+INVESTORS_LIST[[#This Row],[SIP_TOTAL REALIZED GAIN]]</f>
        <v>47600.000000000051</v>
      </c>
      <c r="AV170" s="48">
        <f>INVESTORS_LIST[[#This Row],[TOTAL MARKET VALUE]]-INVESTORS_LIST[[#This Row],[TOTAL COST VALUE OF CURRENT INVESTMENT]]</f>
        <v>0</v>
      </c>
      <c r="AW170" s="108">
        <f>IFERROR(INVESTORS_LIST[[#This Row],[TOTAL CURRENT UNITS]]/SUM(INVESTORS_LIST[TOTAL CURRENT UNITS]),0)</f>
        <v>0</v>
      </c>
    </row>
    <row r="171" spans="1:49" hidden="1">
      <c r="A171" s="262" t="s">
        <v>390</v>
      </c>
      <c r="B171" s="97" t="s">
        <v>391</v>
      </c>
      <c r="C171" t="s">
        <v>44</v>
      </c>
      <c r="D171" s="75" t="s">
        <v>45</v>
      </c>
      <c r="E171" s="47">
        <f>SUMIFS(LS[Unit],LS[Investor ID],INVESTORS_LIST[[#This Row],[INVESTOR CODE]],LS[B/S],"B")</f>
        <v>0</v>
      </c>
      <c r="F171" s="47">
        <f>-SUMIFS(LS[Unit],LS[Investor ID],INVESTORS_LIST[[#This Row],[INVESTOR CODE]],LS[B/S],"S")</f>
        <v>0</v>
      </c>
      <c r="G171" s="47">
        <f>IF(INVESTORS_LIST[[#This Row],[LS_TOTAL UNITS BUY]]=0,0,INVESTORS_LIST[[#This Row],[LS_TOTAL UNITS BUY]]-INVESTORS_LIST[[#This Row],[LS_TOTAL UNITS SOLD]])</f>
        <v>0</v>
      </c>
      <c r="H171" s="49">
        <f>IF(INVESTORS_LIST[[#This Row],[LS_TOTAL UNITS BUY]]=0,0,SUMIFS(LS[Amount],LS[Investor ID],INVESTORS_LIST[[#This Row],[INVESTOR CODE]],LS[B/S],"B"))</f>
        <v>0</v>
      </c>
      <c r="I171" s="48">
        <f>IF(INVESTORS_LIST[[#This Row],[LS_TOTAL UNITS SOLD]]=0,0,SUMIFS(LS[Cost of Units Sold],LS[Investor ID],INVESTORS_LIST[[#This Row],[INVESTOR CODE]],LS[B/S],"S"))</f>
        <v>0</v>
      </c>
      <c r="J171" s="48">
        <f>IF(INVESTORS_LIST[[#This Row],[LS_TOTAL CURRENT UNITS]]=0,0,INVESTORS_LIST[[#This Row],[LS_TOTAL CURRENT UNITS]]*INVESTORS_LIST[[#This Row],[LS_AVERAGE COST]])</f>
        <v>0</v>
      </c>
      <c r="K171" s="49">
        <f>IF(INVESTORS_LIST[[#This Row],[LS_TOTAL UNITS SOLD]]=0,0,SUMIFS(LS[Realized Gain],LS[Investor ID],INVESTORS_LIST[[#This Row],[INVESTOR CODE]],LS[B/S],"S"))</f>
        <v>0</v>
      </c>
      <c r="L171" s="47">
        <f>SUMIFS(SIP[Unit],SIP[Investor ID],INVESTORS_LIST[[#This Row],[INVESTOR CODE]],SIP[B/S],"B")</f>
        <v>0</v>
      </c>
      <c r="M171" s="47">
        <f>-SUMIFS(SIP[Unit],SIP[Investor ID],INVESTORS_LIST[[#This Row],[INVESTOR CODE]],SIP[B/S],"S")</f>
        <v>0</v>
      </c>
      <c r="N171" s="50">
        <f>IF(INVESTORS_LIST[[#This Row],[SIP_TOTAL UNITS BUY]]=0,0,INVESTORS_LIST[[#This Row],[SIP_TOTAL UNITS BUY]]-INVESTORS_LIST[[#This Row],[SIP_TOTAL UNITS SOLD]])</f>
        <v>0</v>
      </c>
      <c r="O171" s="49">
        <f>IF(INVESTORS_LIST[[#This Row],[SIP_TOTAL UNITS BUY]]=0,0,SUMIFS(SIP[Amount],SIP[Investor ID],INVESTORS_LIST[[#This Row],[INVESTOR CODE]],SIP[B/S],"B"))</f>
        <v>0</v>
      </c>
      <c r="P171" s="49">
        <f>IF(INVESTORS_LIST[[#This Row],[SIP_TOTAL UNITS SOLD]]=0,0,SUMIFS(SIP[Cost of Units Sold],SIP[Investor ID],INVESTORS_LIST[[#This Row],[INVESTOR CODE]],SIP[B/S],"S"))</f>
        <v>0</v>
      </c>
      <c r="Q171" s="48">
        <f>IF(INVESTORS_LIST[[#This Row],[SIP_TOTAL CURRENT UNITS]]=0,0,INVESTORS_LIST[[#This Row],[SIP_TOTAL CURRENT UNITS]]*INVESTORS_LIST[[#This Row],[SIP_AVERAGE COST]])</f>
        <v>0</v>
      </c>
      <c r="R171" s="48">
        <f>IF(INVESTORS_LIST[[#This Row],[SIP_TOTAL UNITS SOLD]]=0,0,SUMIFS(SIP[Realized Gain],SIP[Investor ID],INVESTORS_LIST[[#This Row],[INVESTOR CODE]],SIP[B/S],"S"))</f>
        <v>0</v>
      </c>
      <c r="S171" s="50">
        <f>INVESTORS_LIST[[#This Row],[LS_TOTAL UNITS BUY]]+INVESTORS_LIST[[#This Row],[SIP_TOTAL UNITS BUY]]</f>
        <v>0</v>
      </c>
      <c r="T171" s="50">
        <f>INVESTORS_LIST[[#This Row],[LS_TOTAL UNITS SOLD]]+INVESTORS_LIST[[#This Row],[SIP_TOTAL UNITS SOLD]]</f>
        <v>0</v>
      </c>
      <c r="U171" s="50"/>
      <c r="V171" s="50">
        <f>SUMIFS(LS[BO UNIT TRANSFER],LS[Investor ID],INVESTORS_LIST[[#This Row],[INVESTOR CODE]],LS[B/S],"B")</f>
        <v>0</v>
      </c>
      <c r="W171" s="50">
        <f>SUMIFS(SIP[BO UNIT TRANSFER],SIP[Investor ID],INVESTORS_LIST[[#This Row],[INVESTOR CODE]],SIP[B/S],"B")</f>
        <v>0</v>
      </c>
      <c r="X171" s="50">
        <f>SUMIFS(LS[BO UNIT TRANSFER],LS[Investor ID],INVESTORS_LIST[[#This Row],[INVESTOR CODE]],LS[B/S],"S")</f>
        <v>0</v>
      </c>
      <c r="Y171" s="50">
        <f>SUMIFS(SIP[BO UNIT TRANSFER],SIP[Investor ID],INVESTORS_LIST[[#This Row],[INVESTOR CODE]],SIP[B/S],"S")</f>
        <v>0</v>
      </c>
      <c r="Z171" s="106">
        <f>SUM(INVESTORS_LIST[[#This Row],[BO OPENING BALANCE]:[BO SIP UNITS REPURCHASE]])</f>
        <v>0</v>
      </c>
      <c r="AA171" s="107">
        <f>INVESTORS_LIST[[#This Row],[TOTAL UNITS BUY]]-INVESTORS_LIST[[#This Row],[TOTAL UNITS SOLD]]</f>
        <v>0</v>
      </c>
      <c r="AB171" s="107">
        <f>INVESTORS_LIST[[#This Row],[TOTAL CURRENT UNITS]]-INVESTORS_LIST[[#This Row],[BO UNITS HOLD]]</f>
        <v>0</v>
      </c>
      <c r="AC171" s="201" t="e">
        <f>INDEX([3]!Table_1[BO ID],MATCH(INVESTORS_LIST[[#This Row],[INVESTOR CODE]],[3]!Table_1[INVESTOR CODE],0))</f>
        <v>#REF!</v>
      </c>
      <c r="AD171" s="201" t="e">
        <f>INDEX([3]!Table_1[Brokerage Name2],MATCH(INVESTORS_LIST[[#This Row],[INVESTOR CODE]],[3]!Table_1[INVESTOR CODE],0))</f>
        <v>#REF!</v>
      </c>
      <c r="AE171" s="201" t="e">
        <f>MID(INVESTORS_LIST[[#This Row],[BO ID]],4,5)</f>
        <v>#REF!</v>
      </c>
      <c r="AF171" s="201" t="e">
        <f>MID(INVESTORS_LIST[[#This Row],[BO ID]],2,7)</f>
        <v>#REF!</v>
      </c>
      <c r="AG171" s="201" t="e">
        <f>MID(INVESTORS_LIST[[#This Row],[BO ID]],9,7)</f>
        <v>#REF!</v>
      </c>
      <c r="AH171" s="201" t="e">
        <f>RIGHT(INVESTORS_LIST[[#This Row],[BO ID]],1)</f>
        <v>#REF!</v>
      </c>
      <c r="AI171" s="50">
        <f>INVESTORS_LIST[[#This Row],[LS_TOTAL COST VALUE OF CURRENT UNITS]]+INVESTORS_LIST[[#This Row],[SIP_TOTAL COST VALUE OF CURRENT UNITS]]</f>
        <v>0</v>
      </c>
      <c r="AJ171" s="109">
        <f>IF(INVESTORS_LIST[[#This Row],[TOTAL CURRENT UNITS]]=0,0,INVESTORS_LIST[[#This Row],[LS_TOTAL CURRENT UNITS]]/INVESTORS_LIST[[#This Row],[TOTAL CURRENT UNITS]])</f>
        <v>0</v>
      </c>
      <c r="AK171" s="109">
        <f>IF(INVESTORS_LIST[[#This Row],[TOTAL CURRENT UNITS]]=0,0,INVESTORS_LIST[[#This Row],[SIP_TOTAL CURRENT UNITS]]/INVESTORS_LIST[[#This Row],[TOTAL CURRENT UNITS]])</f>
        <v>0</v>
      </c>
      <c r="AL171" s="49" cm="1">
        <f t="array" ref="AL1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1" s="49" cm="1">
        <f t="array" ref="AM1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1" s="105">
        <f t="shared" si="3"/>
        <v>14.224</v>
      </c>
      <c r="AP171" s="112">
        <f>IF(INVESTORS_LIST[[#This Row],[TOTAL CURRENT UNITS]]=0,0,INVESTORS_LIST[[#This Row],[TOTAL CURRENT UNITS]]*INVESTORS_LIST[[#This Row],[NAV]])</f>
        <v>0</v>
      </c>
      <c r="AQ171" s="49">
        <f>IF(INVESTORS_LIST[[#This Row],[LS_TOTAL CURRENT UNITS]]=0,0,INVESTORS_LIST[[#This Row],[LS_TOTAL CURRENT UNITS]]*INVESTORS_LIST[[#This Row],[NAV]])</f>
        <v>0</v>
      </c>
      <c r="AR171" s="48">
        <f>IF(INVESTORS_LIST[[#This Row],[SIP_TOTAL CURRENT UNITS]]=0,0,INVESTORS_LIST[[#This Row],[SIP_TOTAL CURRENT UNITS]]*INVESTORS_LIST[[#This Row],[NAV]])</f>
        <v>0</v>
      </c>
      <c r="AS171" s="50">
        <f>INVESTORS_LIST[[#This Row],[TOTAL CURRENT UNITS]]</f>
        <v>0</v>
      </c>
      <c r="AT171" s="48">
        <f>IF(INVESTORS_LIST[[#This Row],[TOTAL SELLABLE UNITS]]=0,0,INVESTORS_LIST[[#This Row],[TOTAL SELLABLE UNITS]]*INVESTORS_LIST[[#This Row],[NAV]])</f>
        <v>0</v>
      </c>
      <c r="AU171" s="48">
        <f>INVESTORS_LIST[[#This Row],[LS_TOTAL REALIZED GAIN]]+INVESTORS_LIST[[#This Row],[SIP_TOTAL REALIZED GAIN]]</f>
        <v>0</v>
      </c>
      <c r="AV171" s="48">
        <f>INVESTORS_LIST[[#This Row],[TOTAL MARKET VALUE]]-INVESTORS_LIST[[#This Row],[TOTAL COST VALUE OF CURRENT INVESTMENT]]</f>
        <v>0</v>
      </c>
      <c r="AW171" s="48">
        <f>IFERROR(INVESTORS_LIST[[#This Row],[TOTAL CURRENT UNITS]]/SUM(INVESTORS_LIST[TOTAL CURRENT UNITS]),0)</f>
        <v>0</v>
      </c>
    </row>
    <row r="172" spans="1:49" hidden="1">
      <c r="A172" s="262" t="s">
        <v>392</v>
      </c>
      <c r="B172" s="97" t="s">
        <v>393</v>
      </c>
      <c r="C172" t="s">
        <v>48</v>
      </c>
      <c r="D172" s="75" t="s">
        <v>49</v>
      </c>
      <c r="E172" s="47">
        <f>SUMIFS(LS[Unit],LS[Investor ID],INVESTORS_LIST[[#This Row],[INVESTOR CODE]],LS[B/S],"B")</f>
        <v>0</v>
      </c>
      <c r="F172" s="47">
        <f>-SUMIFS(LS[Unit],LS[Investor ID],INVESTORS_LIST[[#This Row],[INVESTOR CODE]],LS[B/S],"S")</f>
        <v>0</v>
      </c>
      <c r="G172" s="47">
        <f>IF(INVESTORS_LIST[[#This Row],[LS_TOTAL UNITS BUY]]=0,0,INVESTORS_LIST[[#This Row],[LS_TOTAL UNITS BUY]]-INVESTORS_LIST[[#This Row],[LS_TOTAL UNITS SOLD]])</f>
        <v>0</v>
      </c>
      <c r="H172" s="49">
        <f>IF(INVESTORS_LIST[[#This Row],[LS_TOTAL UNITS BUY]]=0,0,SUMIFS(LS[Amount],LS[Investor ID],INVESTORS_LIST[[#This Row],[INVESTOR CODE]],LS[B/S],"B"))</f>
        <v>0</v>
      </c>
      <c r="I172" s="48">
        <f>IF(INVESTORS_LIST[[#This Row],[LS_TOTAL UNITS SOLD]]=0,0,SUMIFS(LS[Cost of Units Sold],LS[Investor ID],INVESTORS_LIST[[#This Row],[INVESTOR CODE]],LS[B/S],"S"))</f>
        <v>0</v>
      </c>
      <c r="J172" s="48">
        <f>IF(INVESTORS_LIST[[#This Row],[LS_TOTAL CURRENT UNITS]]=0,0,INVESTORS_LIST[[#This Row],[LS_TOTAL CURRENT UNITS]]*INVESTORS_LIST[[#This Row],[LS_AVERAGE COST]])</f>
        <v>0</v>
      </c>
      <c r="K172" s="49">
        <f>IF(INVESTORS_LIST[[#This Row],[LS_TOTAL UNITS SOLD]]=0,0,SUMIFS(LS[Realized Gain],LS[Investor ID],INVESTORS_LIST[[#This Row],[INVESTOR CODE]],LS[B/S],"S"))</f>
        <v>0</v>
      </c>
      <c r="L172" s="47">
        <f>SUMIFS(SIP[Unit],SIP[Investor ID],INVESTORS_LIST[[#This Row],[INVESTOR CODE]],SIP[B/S],"B")</f>
        <v>0</v>
      </c>
      <c r="M172" s="47">
        <f>-SUMIFS(SIP[Unit],SIP[Investor ID],INVESTORS_LIST[[#This Row],[INVESTOR CODE]],SIP[B/S],"S")</f>
        <v>0</v>
      </c>
      <c r="N172" s="50">
        <f>IF(INVESTORS_LIST[[#This Row],[SIP_TOTAL UNITS BUY]]=0,0,INVESTORS_LIST[[#This Row],[SIP_TOTAL UNITS BUY]]-INVESTORS_LIST[[#This Row],[SIP_TOTAL UNITS SOLD]])</f>
        <v>0</v>
      </c>
      <c r="O172" s="49">
        <f>IF(INVESTORS_LIST[[#This Row],[SIP_TOTAL UNITS BUY]]=0,0,SUMIFS(SIP[Amount],SIP[Investor ID],INVESTORS_LIST[[#This Row],[INVESTOR CODE]],SIP[B/S],"B"))</f>
        <v>0</v>
      </c>
      <c r="P172" s="49">
        <f>IF(INVESTORS_LIST[[#This Row],[SIP_TOTAL UNITS SOLD]]=0,0,SUMIFS(SIP[Cost of Units Sold],SIP[Investor ID],INVESTORS_LIST[[#This Row],[INVESTOR CODE]],SIP[B/S],"S"))</f>
        <v>0</v>
      </c>
      <c r="Q172" s="48">
        <f>IF(INVESTORS_LIST[[#This Row],[SIP_TOTAL CURRENT UNITS]]=0,0,INVESTORS_LIST[[#This Row],[SIP_TOTAL CURRENT UNITS]]*INVESTORS_LIST[[#This Row],[SIP_AVERAGE COST]])</f>
        <v>0</v>
      </c>
      <c r="R172" s="48">
        <f>IF(INVESTORS_LIST[[#This Row],[SIP_TOTAL UNITS SOLD]]=0,0,SUMIFS(SIP[Realized Gain],SIP[Investor ID],INVESTORS_LIST[[#This Row],[INVESTOR CODE]],SIP[B/S],"S"))</f>
        <v>0</v>
      </c>
      <c r="S172" s="50">
        <f>INVESTORS_LIST[[#This Row],[LS_TOTAL UNITS BUY]]+INVESTORS_LIST[[#This Row],[SIP_TOTAL UNITS BUY]]</f>
        <v>0</v>
      </c>
      <c r="T172" s="50">
        <f>INVESTORS_LIST[[#This Row],[LS_TOTAL UNITS SOLD]]+INVESTORS_LIST[[#This Row],[SIP_TOTAL UNITS SOLD]]</f>
        <v>0</v>
      </c>
      <c r="U172" s="50"/>
      <c r="V172" s="50">
        <f>SUMIFS(LS[BO UNIT TRANSFER],LS[Investor ID],INVESTORS_LIST[[#This Row],[INVESTOR CODE]],LS[B/S],"B")</f>
        <v>0</v>
      </c>
      <c r="W172" s="50">
        <f>SUMIFS(SIP[BO UNIT TRANSFER],SIP[Investor ID],INVESTORS_LIST[[#This Row],[INVESTOR CODE]],SIP[B/S],"B")</f>
        <v>0</v>
      </c>
      <c r="X172" s="50">
        <f>SUMIFS(LS[BO UNIT TRANSFER],LS[Investor ID],INVESTORS_LIST[[#This Row],[INVESTOR CODE]],LS[B/S],"S")</f>
        <v>0</v>
      </c>
      <c r="Y172" s="50">
        <f>SUMIFS(SIP[BO UNIT TRANSFER],SIP[Investor ID],INVESTORS_LIST[[#This Row],[INVESTOR CODE]],SIP[B/S],"S")</f>
        <v>0</v>
      </c>
      <c r="Z172" s="106">
        <f>SUM(INVESTORS_LIST[[#This Row],[BO OPENING BALANCE]:[BO SIP UNITS REPURCHASE]])</f>
        <v>0</v>
      </c>
      <c r="AA172" s="107">
        <f>INVESTORS_LIST[[#This Row],[TOTAL UNITS BUY]]-INVESTORS_LIST[[#This Row],[TOTAL UNITS SOLD]]</f>
        <v>0</v>
      </c>
      <c r="AB172" s="107">
        <f>INVESTORS_LIST[[#This Row],[TOTAL CURRENT UNITS]]-INVESTORS_LIST[[#This Row],[BO UNITS HOLD]]</f>
        <v>0</v>
      </c>
      <c r="AC172" s="201" t="e">
        <f>INDEX([3]!Table_1[BO ID],MATCH(INVESTORS_LIST[[#This Row],[INVESTOR CODE]],[3]!Table_1[INVESTOR CODE],0))</f>
        <v>#REF!</v>
      </c>
      <c r="AD172" s="201" t="e">
        <f>INDEX([3]!Table_1[Brokerage Name2],MATCH(INVESTORS_LIST[[#This Row],[INVESTOR CODE]],[3]!Table_1[INVESTOR CODE],0))</f>
        <v>#REF!</v>
      </c>
      <c r="AE172" s="201" t="e">
        <f>MID(INVESTORS_LIST[[#This Row],[BO ID]],4,5)</f>
        <v>#REF!</v>
      </c>
      <c r="AF172" s="201" t="e">
        <f>MID(INVESTORS_LIST[[#This Row],[BO ID]],2,7)</f>
        <v>#REF!</v>
      </c>
      <c r="AG172" s="201" t="e">
        <f>MID(INVESTORS_LIST[[#This Row],[BO ID]],9,7)</f>
        <v>#REF!</v>
      </c>
      <c r="AH172" s="201" t="e">
        <f>RIGHT(INVESTORS_LIST[[#This Row],[BO ID]],1)</f>
        <v>#REF!</v>
      </c>
      <c r="AI172" s="50">
        <f>INVESTORS_LIST[[#This Row],[LS_TOTAL COST VALUE OF CURRENT UNITS]]+INVESTORS_LIST[[#This Row],[SIP_TOTAL COST VALUE OF CURRENT UNITS]]</f>
        <v>0</v>
      </c>
      <c r="AJ172" s="109">
        <f>IF(INVESTORS_LIST[[#This Row],[TOTAL CURRENT UNITS]]=0,0,INVESTORS_LIST[[#This Row],[LS_TOTAL CURRENT UNITS]]/INVESTORS_LIST[[#This Row],[TOTAL CURRENT UNITS]])</f>
        <v>0</v>
      </c>
      <c r="AK172" s="109">
        <f>IF(INVESTORS_LIST[[#This Row],[TOTAL CURRENT UNITS]]=0,0,INVESTORS_LIST[[#This Row],[SIP_TOTAL CURRENT UNITS]]/INVESTORS_LIST[[#This Row],[TOTAL CURRENT UNITS]])</f>
        <v>0</v>
      </c>
      <c r="AL172" s="49" cm="1">
        <f t="array" ref="AL1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2" s="49" cm="1">
        <f t="array" ref="AM1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2" s="105">
        <f t="shared" si="3"/>
        <v>14.224</v>
      </c>
      <c r="AP172" s="112">
        <f>IF(INVESTORS_LIST[[#This Row],[TOTAL CURRENT UNITS]]=0,0,INVESTORS_LIST[[#This Row],[TOTAL CURRENT UNITS]]*INVESTORS_LIST[[#This Row],[NAV]])</f>
        <v>0</v>
      </c>
      <c r="AQ172" s="49">
        <f>IF(INVESTORS_LIST[[#This Row],[LS_TOTAL CURRENT UNITS]]=0,0,INVESTORS_LIST[[#This Row],[LS_TOTAL CURRENT UNITS]]*INVESTORS_LIST[[#This Row],[NAV]])</f>
        <v>0</v>
      </c>
      <c r="AR172" s="48">
        <f>IF(INVESTORS_LIST[[#This Row],[SIP_TOTAL CURRENT UNITS]]=0,0,INVESTORS_LIST[[#This Row],[SIP_TOTAL CURRENT UNITS]]*INVESTORS_LIST[[#This Row],[NAV]])</f>
        <v>0</v>
      </c>
      <c r="AS172" s="50">
        <f>INVESTORS_LIST[[#This Row],[TOTAL CURRENT UNITS]]</f>
        <v>0</v>
      </c>
      <c r="AT172" s="48">
        <f>IF(INVESTORS_LIST[[#This Row],[TOTAL SELLABLE UNITS]]=0,0,INVESTORS_LIST[[#This Row],[TOTAL SELLABLE UNITS]]*INVESTORS_LIST[[#This Row],[NAV]])</f>
        <v>0</v>
      </c>
      <c r="AU172" s="48">
        <f>INVESTORS_LIST[[#This Row],[LS_TOTAL REALIZED GAIN]]+INVESTORS_LIST[[#This Row],[SIP_TOTAL REALIZED GAIN]]</f>
        <v>0</v>
      </c>
      <c r="AV172" s="48">
        <f>INVESTORS_LIST[[#This Row],[TOTAL MARKET VALUE]]-INVESTORS_LIST[[#This Row],[TOTAL COST VALUE OF CURRENT INVESTMENT]]</f>
        <v>0</v>
      </c>
      <c r="AW172" s="48">
        <f>IFERROR(INVESTORS_LIST[[#This Row],[TOTAL CURRENT UNITS]]/SUM(INVESTORS_LIST[TOTAL CURRENT UNITS]),0)</f>
        <v>0</v>
      </c>
    </row>
    <row r="173" spans="1:49" hidden="1">
      <c r="A173" s="262" t="s">
        <v>394</v>
      </c>
      <c r="B173" s="97" t="s">
        <v>395</v>
      </c>
      <c r="C173" t="s">
        <v>52</v>
      </c>
      <c r="D173" s="75" t="s">
        <v>45</v>
      </c>
      <c r="E173" s="47">
        <f>SUMIFS(LS[Unit],LS[Investor ID],INVESTORS_LIST[[#This Row],[INVESTOR CODE]],LS[B/S],"B")</f>
        <v>0</v>
      </c>
      <c r="F173" s="47">
        <f>-SUMIFS(LS[Unit],LS[Investor ID],INVESTORS_LIST[[#This Row],[INVESTOR CODE]],LS[B/S],"S")</f>
        <v>0</v>
      </c>
      <c r="G173" s="47">
        <f>IF(INVESTORS_LIST[[#This Row],[LS_TOTAL UNITS BUY]]=0,0,INVESTORS_LIST[[#This Row],[LS_TOTAL UNITS BUY]]-INVESTORS_LIST[[#This Row],[LS_TOTAL UNITS SOLD]])</f>
        <v>0</v>
      </c>
      <c r="H173" s="49">
        <f>IF(INVESTORS_LIST[[#This Row],[LS_TOTAL UNITS BUY]]=0,0,SUMIFS(LS[Amount],LS[Investor ID],INVESTORS_LIST[[#This Row],[INVESTOR CODE]],LS[B/S],"B"))</f>
        <v>0</v>
      </c>
      <c r="I173" s="48">
        <f>IF(INVESTORS_LIST[[#This Row],[LS_TOTAL UNITS SOLD]]=0,0,SUMIFS(LS[Cost of Units Sold],LS[Investor ID],INVESTORS_LIST[[#This Row],[INVESTOR CODE]],LS[B/S],"S"))</f>
        <v>0</v>
      </c>
      <c r="J173" s="48">
        <f>IF(INVESTORS_LIST[[#This Row],[LS_TOTAL CURRENT UNITS]]=0,0,INVESTORS_LIST[[#This Row],[LS_TOTAL CURRENT UNITS]]*INVESTORS_LIST[[#This Row],[LS_AVERAGE COST]])</f>
        <v>0</v>
      </c>
      <c r="K173" s="49">
        <f>IF(INVESTORS_LIST[[#This Row],[LS_TOTAL UNITS SOLD]]=0,0,SUMIFS(LS[Realized Gain],LS[Investor ID],INVESTORS_LIST[[#This Row],[INVESTOR CODE]],LS[B/S],"S"))</f>
        <v>0</v>
      </c>
      <c r="L173" s="47">
        <f>SUMIFS(SIP[Unit],SIP[Investor ID],INVESTORS_LIST[[#This Row],[INVESTOR CODE]],SIP[B/S],"B")</f>
        <v>0</v>
      </c>
      <c r="M173" s="47">
        <f>-SUMIFS(SIP[Unit],SIP[Investor ID],INVESTORS_LIST[[#This Row],[INVESTOR CODE]],SIP[B/S],"S")</f>
        <v>0</v>
      </c>
      <c r="N173" s="50">
        <f>IF(INVESTORS_LIST[[#This Row],[SIP_TOTAL UNITS BUY]]=0,0,INVESTORS_LIST[[#This Row],[SIP_TOTAL UNITS BUY]]-INVESTORS_LIST[[#This Row],[SIP_TOTAL UNITS SOLD]])</f>
        <v>0</v>
      </c>
      <c r="O173" s="49">
        <f>IF(INVESTORS_LIST[[#This Row],[SIP_TOTAL UNITS BUY]]=0,0,SUMIFS(SIP[Amount],SIP[Investor ID],INVESTORS_LIST[[#This Row],[INVESTOR CODE]],SIP[B/S],"B"))</f>
        <v>0</v>
      </c>
      <c r="P173" s="49">
        <f>IF(INVESTORS_LIST[[#This Row],[SIP_TOTAL UNITS SOLD]]=0,0,SUMIFS(SIP[Cost of Units Sold],SIP[Investor ID],INVESTORS_LIST[[#This Row],[INVESTOR CODE]],SIP[B/S],"S"))</f>
        <v>0</v>
      </c>
      <c r="Q173" s="48">
        <f>IF(INVESTORS_LIST[[#This Row],[SIP_TOTAL CURRENT UNITS]]=0,0,INVESTORS_LIST[[#This Row],[SIP_TOTAL CURRENT UNITS]]*INVESTORS_LIST[[#This Row],[SIP_AVERAGE COST]])</f>
        <v>0</v>
      </c>
      <c r="R173" s="48">
        <f>IF(INVESTORS_LIST[[#This Row],[SIP_TOTAL UNITS SOLD]]=0,0,SUMIFS(SIP[Realized Gain],SIP[Investor ID],INVESTORS_LIST[[#This Row],[INVESTOR CODE]],SIP[B/S],"S"))</f>
        <v>0</v>
      </c>
      <c r="S173" s="50">
        <f>INVESTORS_LIST[[#This Row],[LS_TOTAL UNITS BUY]]+INVESTORS_LIST[[#This Row],[SIP_TOTAL UNITS BUY]]</f>
        <v>0</v>
      </c>
      <c r="T173" s="50">
        <f>INVESTORS_LIST[[#This Row],[LS_TOTAL UNITS SOLD]]+INVESTORS_LIST[[#This Row],[SIP_TOTAL UNITS SOLD]]</f>
        <v>0</v>
      </c>
      <c r="U173" s="50"/>
      <c r="V173" s="50">
        <f>SUMIFS(LS[BO UNIT TRANSFER],LS[Investor ID],INVESTORS_LIST[[#This Row],[INVESTOR CODE]],LS[B/S],"B")</f>
        <v>0</v>
      </c>
      <c r="W173" s="50">
        <f>SUMIFS(SIP[BO UNIT TRANSFER],SIP[Investor ID],INVESTORS_LIST[[#This Row],[INVESTOR CODE]],SIP[B/S],"B")</f>
        <v>0</v>
      </c>
      <c r="X173" s="50">
        <f>SUMIFS(LS[BO UNIT TRANSFER],LS[Investor ID],INVESTORS_LIST[[#This Row],[INVESTOR CODE]],LS[B/S],"S")</f>
        <v>0</v>
      </c>
      <c r="Y173" s="50">
        <f>SUMIFS(SIP[BO UNIT TRANSFER],SIP[Investor ID],INVESTORS_LIST[[#This Row],[INVESTOR CODE]],SIP[B/S],"S")</f>
        <v>0</v>
      </c>
      <c r="Z173" s="106">
        <f>SUM(INVESTORS_LIST[[#This Row],[BO OPENING BALANCE]:[BO SIP UNITS REPURCHASE]])</f>
        <v>0</v>
      </c>
      <c r="AA173" s="107">
        <f>INVESTORS_LIST[[#This Row],[TOTAL UNITS BUY]]-INVESTORS_LIST[[#This Row],[TOTAL UNITS SOLD]]</f>
        <v>0</v>
      </c>
      <c r="AB173" s="107">
        <f>INVESTORS_LIST[[#This Row],[TOTAL CURRENT UNITS]]-INVESTORS_LIST[[#This Row],[BO UNITS HOLD]]</f>
        <v>0</v>
      </c>
      <c r="AC173" s="201" t="e">
        <f>INDEX([3]!Table_1[BO ID],MATCH(INVESTORS_LIST[[#This Row],[INVESTOR CODE]],[3]!Table_1[INVESTOR CODE],0))</f>
        <v>#REF!</v>
      </c>
      <c r="AD173" s="201" t="e">
        <f>INDEX([3]!Table_1[Brokerage Name2],MATCH(INVESTORS_LIST[[#This Row],[INVESTOR CODE]],[3]!Table_1[INVESTOR CODE],0))</f>
        <v>#REF!</v>
      </c>
      <c r="AE173" s="201" t="e">
        <f>MID(INVESTORS_LIST[[#This Row],[BO ID]],4,5)</f>
        <v>#REF!</v>
      </c>
      <c r="AF173" s="201" t="e">
        <f>MID(INVESTORS_LIST[[#This Row],[BO ID]],2,7)</f>
        <v>#REF!</v>
      </c>
      <c r="AG173" s="201" t="e">
        <f>MID(INVESTORS_LIST[[#This Row],[BO ID]],9,7)</f>
        <v>#REF!</v>
      </c>
      <c r="AH173" s="201" t="e">
        <f>RIGHT(INVESTORS_LIST[[#This Row],[BO ID]],1)</f>
        <v>#REF!</v>
      </c>
      <c r="AI173" s="50">
        <f>INVESTORS_LIST[[#This Row],[LS_TOTAL COST VALUE OF CURRENT UNITS]]+INVESTORS_LIST[[#This Row],[SIP_TOTAL COST VALUE OF CURRENT UNITS]]</f>
        <v>0</v>
      </c>
      <c r="AJ173" s="109">
        <f>IF(INVESTORS_LIST[[#This Row],[TOTAL CURRENT UNITS]]=0,0,INVESTORS_LIST[[#This Row],[LS_TOTAL CURRENT UNITS]]/INVESTORS_LIST[[#This Row],[TOTAL CURRENT UNITS]])</f>
        <v>0</v>
      </c>
      <c r="AK173" s="109">
        <f>IF(INVESTORS_LIST[[#This Row],[TOTAL CURRENT UNITS]]=0,0,INVESTORS_LIST[[#This Row],[SIP_TOTAL CURRENT UNITS]]/INVESTORS_LIST[[#This Row],[TOTAL CURRENT UNITS]])</f>
        <v>0</v>
      </c>
      <c r="AL173" s="49" cm="1">
        <f t="array" ref="AL1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3" s="49" cm="1">
        <f t="array" ref="AM1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3" s="105">
        <f t="shared" si="3"/>
        <v>14.224</v>
      </c>
      <c r="AP173" s="112">
        <f>IF(INVESTORS_LIST[[#This Row],[TOTAL CURRENT UNITS]]=0,0,INVESTORS_LIST[[#This Row],[TOTAL CURRENT UNITS]]*INVESTORS_LIST[[#This Row],[NAV]])</f>
        <v>0</v>
      </c>
      <c r="AQ173" s="49">
        <f>IF(INVESTORS_LIST[[#This Row],[LS_TOTAL CURRENT UNITS]]=0,0,INVESTORS_LIST[[#This Row],[LS_TOTAL CURRENT UNITS]]*INVESTORS_LIST[[#This Row],[NAV]])</f>
        <v>0</v>
      </c>
      <c r="AR173" s="48">
        <f>IF(INVESTORS_LIST[[#This Row],[SIP_TOTAL CURRENT UNITS]]=0,0,INVESTORS_LIST[[#This Row],[SIP_TOTAL CURRENT UNITS]]*INVESTORS_LIST[[#This Row],[NAV]])</f>
        <v>0</v>
      </c>
      <c r="AS173" s="50">
        <f>INVESTORS_LIST[[#This Row],[TOTAL CURRENT UNITS]]</f>
        <v>0</v>
      </c>
      <c r="AT173" s="48">
        <f>IF(INVESTORS_LIST[[#This Row],[TOTAL SELLABLE UNITS]]=0,0,INVESTORS_LIST[[#This Row],[TOTAL SELLABLE UNITS]]*INVESTORS_LIST[[#This Row],[NAV]])</f>
        <v>0</v>
      </c>
      <c r="AU173" s="48">
        <f>INVESTORS_LIST[[#This Row],[LS_TOTAL REALIZED GAIN]]+INVESTORS_LIST[[#This Row],[SIP_TOTAL REALIZED GAIN]]</f>
        <v>0</v>
      </c>
      <c r="AV173" s="48">
        <f>INVESTORS_LIST[[#This Row],[TOTAL MARKET VALUE]]-INVESTORS_LIST[[#This Row],[TOTAL COST VALUE OF CURRENT INVESTMENT]]</f>
        <v>0</v>
      </c>
      <c r="AW173" s="48">
        <f>IFERROR(INVESTORS_LIST[[#This Row],[TOTAL CURRENT UNITS]]/SUM(INVESTORS_LIST[TOTAL CURRENT UNITS]),0)</f>
        <v>0</v>
      </c>
    </row>
    <row r="174" spans="1:49" hidden="1">
      <c r="A174" s="262" t="s">
        <v>396</v>
      </c>
      <c r="B174" s="97" t="s">
        <v>397</v>
      </c>
      <c r="C174" t="s">
        <v>52</v>
      </c>
      <c r="D174" s="75" t="s">
        <v>45</v>
      </c>
      <c r="E174" s="47">
        <f>SUMIFS(LS[Unit],LS[Investor ID],INVESTORS_LIST[[#This Row],[INVESTOR CODE]],LS[B/S],"B")</f>
        <v>0</v>
      </c>
      <c r="F174" s="47">
        <f>-SUMIFS(LS[Unit],LS[Investor ID],INVESTORS_LIST[[#This Row],[INVESTOR CODE]],LS[B/S],"S")</f>
        <v>0</v>
      </c>
      <c r="G174" s="47">
        <f>IF(INVESTORS_LIST[[#This Row],[LS_TOTAL UNITS BUY]]=0,0,INVESTORS_LIST[[#This Row],[LS_TOTAL UNITS BUY]]-INVESTORS_LIST[[#This Row],[LS_TOTAL UNITS SOLD]])</f>
        <v>0</v>
      </c>
      <c r="H174" s="49">
        <f>IF(INVESTORS_LIST[[#This Row],[LS_TOTAL UNITS BUY]]=0,0,SUMIFS(LS[Amount],LS[Investor ID],INVESTORS_LIST[[#This Row],[INVESTOR CODE]],LS[B/S],"B"))</f>
        <v>0</v>
      </c>
      <c r="I174" s="48">
        <f>IF(INVESTORS_LIST[[#This Row],[LS_TOTAL UNITS SOLD]]=0,0,SUMIFS(LS[Cost of Units Sold],LS[Investor ID],INVESTORS_LIST[[#This Row],[INVESTOR CODE]],LS[B/S],"S"))</f>
        <v>0</v>
      </c>
      <c r="J174" s="48">
        <f>IF(INVESTORS_LIST[[#This Row],[LS_TOTAL CURRENT UNITS]]=0,0,INVESTORS_LIST[[#This Row],[LS_TOTAL CURRENT UNITS]]*INVESTORS_LIST[[#This Row],[LS_AVERAGE COST]])</f>
        <v>0</v>
      </c>
      <c r="K174" s="49">
        <f>IF(INVESTORS_LIST[[#This Row],[LS_TOTAL UNITS SOLD]]=0,0,SUMIFS(LS[Realized Gain],LS[Investor ID],INVESTORS_LIST[[#This Row],[INVESTOR CODE]],LS[B/S],"S"))</f>
        <v>0</v>
      </c>
      <c r="L174" s="47">
        <f>SUMIFS(SIP[Unit],SIP[Investor ID],INVESTORS_LIST[[#This Row],[INVESTOR CODE]],SIP[B/S],"B")</f>
        <v>0</v>
      </c>
      <c r="M174" s="47">
        <f>-SUMIFS(SIP[Unit],SIP[Investor ID],INVESTORS_LIST[[#This Row],[INVESTOR CODE]],SIP[B/S],"S")</f>
        <v>0</v>
      </c>
      <c r="N174" s="50">
        <f>IF(INVESTORS_LIST[[#This Row],[SIP_TOTAL UNITS BUY]]=0,0,INVESTORS_LIST[[#This Row],[SIP_TOTAL UNITS BUY]]-INVESTORS_LIST[[#This Row],[SIP_TOTAL UNITS SOLD]])</f>
        <v>0</v>
      </c>
      <c r="O174" s="49">
        <f>IF(INVESTORS_LIST[[#This Row],[SIP_TOTAL UNITS BUY]]=0,0,SUMIFS(SIP[Amount],SIP[Investor ID],INVESTORS_LIST[[#This Row],[INVESTOR CODE]],SIP[B/S],"B"))</f>
        <v>0</v>
      </c>
      <c r="P174" s="49">
        <f>IF(INVESTORS_LIST[[#This Row],[SIP_TOTAL UNITS SOLD]]=0,0,SUMIFS(SIP[Cost of Units Sold],SIP[Investor ID],INVESTORS_LIST[[#This Row],[INVESTOR CODE]],SIP[B/S],"S"))</f>
        <v>0</v>
      </c>
      <c r="Q174" s="48">
        <f>IF(INVESTORS_LIST[[#This Row],[SIP_TOTAL CURRENT UNITS]]=0,0,INVESTORS_LIST[[#This Row],[SIP_TOTAL CURRENT UNITS]]*INVESTORS_LIST[[#This Row],[SIP_AVERAGE COST]])</f>
        <v>0</v>
      </c>
      <c r="R174" s="48">
        <f>IF(INVESTORS_LIST[[#This Row],[SIP_TOTAL UNITS SOLD]]=0,0,SUMIFS(SIP[Realized Gain],SIP[Investor ID],INVESTORS_LIST[[#This Row],[INVESTOR CODE]],SIP[B/S],"S"))</f>
        <v>0</v>
      </c>
      <c r="S174" s="50">
        <f>INVESTORS_LIST[[#This Row],[LS_TOTAL UNITS BUY]]+INVESTORS_LIST[[#This Row],[SIP_TOTAL UNITS BUY]]</f>
        <v>0</v>
      </c>
      <c r="T174" s="50">
        <f>INVESTORS_LIST[[#This Row],[LS_TOTAL UNITS SOLD]]+INVESTORS_LIST[[#This Row],[SIP_TOTAL UNITS SOLD]]</f>
        <v>0</v>
      </c>
      <c r="U174" s="50"/>
      <c r="V174" s="50">
        <f>SUMIFS(LS[BO UNIT TRANSFER],LS[Investor ID],INVESTORS_LIST[[#This Row],[INVESTOR CODE]],LS[B/S],"B")</f>
        <v>0</v>
      </c>
      <c r="W174" s="50">
        <f>SUMIFS(SIP[BO UNIT TRANSFER],SIP[Investor ID],INVESTORS_LIST[[#This Row],[INVESTOR CODE]],SIP[B/S],"B")</f>
        <v>0</v>
      </c>
      <c r="X174" s="50">
        <f>SUMIFS(LS[BO UNIT TRANSFER],LS[Investor ID],INVESTORS_LIST[[#This Row],[INVESTOR CODE]],LS[B/S],"S")</f>
        <v>0</v>
      </c>
      <c r="Y174" s="50">
        <f>SUMIFS(SIP[BO UNIT TRANSFER],SIP[Investor ID],INVESTORS_LIST[[#This Row],[INVESTOR CODE]],SIP[B/S],"S")</f>
        <v>0</v>
      </c>
      <c r="Z174" s="106">
        <f>SUM(INVESTORS_LIST[[#This Row],[BO OPENING BALANCE]:[BO SIP UNITS REPURCHASE]])</f>
        <v>0</v>
      </c>
      <c r="AA174" s="107">
        <f>INVESTORS_LIST[[#This Row],[TOTAL UNITS BUY]]-INVESTORS_LIST[[#This Row],[TOTAL UNITS SOLD]]</f>
        <v>0</v>
      </c>
      <c r="AB174" s="107">
        <f>INVESTORS_LIST[[#This Row],[TOTAL CURRENT UNITS]]-INVESTORS_LIST[[#This Row],[BO UNITS HOLD]]</f>
        <v>0</v>
      </c>
      <c r="AC174" s="201" t="e">
        <f>INDEX([3]!Table_1[BO ID],MATCH(INVESTORS_LIST[[#This Row],[INVESTOR CODE]],[3]!Table_1[INVESTOR CODE],0))</f>
        <v>#REF!</v>
      </c>
      <c r="AD174" s="201" t="e">
        <f>INDEX([3]!Table_1[Brokerage Name2],MATCH(INVESTORS_LIST[[#This Row],[INVESTOR CODE]],[3]!Table_1[INVESTOR CODE],0))</f>
        <v>#REF!</v>
      </c>
      <c r="AE174" s="201" t="e">
        <f>MID(INVESTORS_LIST[[#This Row],[BO ID]],4,5)</f>
        <v>#REF!</v>
      </c>
      <c r="AF174" s="201" t="e">
        <f>MID(INVESTORS_LIST[[#This Row],[BO ID]],2,7)</f>
        <v>#REF!</v>
      </c>
      <c r="AG174" s="201" t="e">
        <f>MID(INVESTORS_LIST[[#This Row],[BO ID]],9,7)</f>
        <v>#REF!</v>
      </c>
      <c r="AH174" s="201" t="e">
        <f>RIGHT(INVESTORS_LIST[[#This Row],[BO ID]],1)</f>
        <v>#REF!</v>
      </c>
      <c r="AI174" s="50">
        <f>INVESTORS_LIST[[#This Row],[LS_TOTAL COST VALUE OF CURRENT UNITS]]+INVESTORS_LIST[[#This Row],[SIP_TOTAL COST VALUE OF CURRENT UNITS]]</f>
        <v>0</v>
      </c>
      <c r="AJ174" s="109">
        <f>IF(INVESTORS_LIST[[#This Row],[TOTAL CURRENT UNITS]]=0,0,INVESTORS_LIST[[#This Row],[LS_TOTAL CURRENT UNITS]]/INVESTORS_LIST[[#This Row],[TOTAL CURRENT UNITS]])</f>
        <v>0</v>
      </c>
      <c r="AK174" s="109">
        <f>IF(INVESTORS_LIST[[#This Row],[TOTAL CURRENT UNITS]]=0,0,INVESTORS_LIST[[#This Row],[SIP_TOTAL CURRENT UNITS]]/INVESTORS_LIST[[#This Row],[TOTAL CURRENT UNITS]])</f>
        <v>0</v>
      </c>
      <c r="AL174" s="49" cm="1">
        <f t="array" ref="AL1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4" s="49" cm="1">
        <f t="array" ref="AM1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4" s="105">
        <f t="shared" si="3"/>
        <v>14.224</v>
      </c>
      <c r="AP174" s="112">
        <f>IF(INVESTORS_LIST[[#This Row],[TOTAL CURRENT UNITS]]=0,0,INVESTORS_LIST[[#This Row],[TOTAL CURRENT UNITS]]*INVESTORS_LIST[[#This Row],[NAV]])</f>
        <v>0</v>
      </c>
      <c r="AQ174" s="49">
        <f>IF(INVESTORS_LIST[[#This Row],[LS_TOTAL CURRENT UNITS]]=0,0,INVESTORS_LIST[[#This Row],[LS_TOTAL CURRENT UNITS]]*INVESTORS_LIST[[#This Row],[NAV]])</f>
        <v>0</v>
      </c>
      <c r="AR174" s="48">
        <f>IF(INVESTORS_LIST[[#This Row],[SIP_TOTAL CURRENT UNITS]]=0,0,INVESTORS_LIST[[#This Row],[SIP_TOTAL CURRENT UNITS]]*INVESTORS_LIST[[#This Row],[NAV]])</f>
        <v>0</v>
      </c>
      <c r="AS174" s="50">
        <f>INVESTORS_LIST[[#This Row],[TOTAL CURRENT UNITS]]</f>
        <v>0</v>
      </c>
      <c r="AT174" s="48">
        <f>IF(INVESTORS_LIST[[#This Row],[TOTAL SELLABLE UNITS]]=0,0,INVESTORS_LIST[[#This Row],[TOTAL SELLABLE UNITS]]*INVESTORS_LIST[[#This Row],[NAV]])</f>
        <v>0</v>
      </c>
      <c r="AU174" s="48">
        <f>INVESTORS_LIST[[#This Row],[LS_TOTAL REALIZED GAIN]]+INVESTORS_LIST[[#This Row],[SIP_TOTAL REALIZED GAIN]]</f>
        <v>0</v>
      </c>
      <c r="AV174" s="48">
        <f>INVESTORS_LIST[[#This Row],[TOTAL MARKET VALUE]]-INVESTORS_LIST[[#This Row],[TOTAL COST VALUE OF CURRENT INVESTMENT]]</f>
        <v>0</v>
      </c>
      <c r="AW174" s="48">
        <f>IFERROR(INVESTORS_LIST[[#This Row],[TOTAL CURRENT UNITS]]/SUM(INVESTORS_LIST[TOTAL CURRENT UNITS]),0)</f>
        <v>0</v>
      </c>
    </row>
    <row r="175" spans="1:49" hidden="1">
      <c r="A175" s="262" t="s">
        <v>398</v>
      </c>
      <c r="B175" s="97" t="s">
        <v>399</v>
      </c>
      <c r="C175" t="s">
        <v>44</v>
      </c>
      <c r="D175" s="75" t="s">
        <v>45</v>
      </c>
      <c r="E175" s="47">
        <f>SUMIFS(LS[Unit],LS[Investor ID],INVESTORS_LIST[[#This Row],[INVESTOR CODE]],LS[B/S],"B")</f>
        <v>0</v>
      </c>
      <c r="F175" s="47">
        <f>-SUMIFS(LS[Unit],LS[Investor ID],INVESTORS_LIST[[#This Row],[INVESTOR CODE]],LS[B/S],"S")</f>
        <v>0</v>
      </c>
      <c r="G175" s="47">
        <f>IF(INVESTORS_LIST[[#This Row],[LS_TOTAL UNITS BUY]]=0,0,INVESTORS_LIST[[#This Row],[LS_TOTAL UNITS BUY]]-INVESTORS_LIST[[#This Row],[LS_TOTAL UNITS SOLD]])</f>
        <v>0</v>
      </c>
      <c r="H175" s="49">
        <f>IF(INVESTORS_LIST[[#This Row],[LS_TOTAL UNITS BUY]]=0,0,SUMIFS(LS[Amount],LS[Investor ID],INVESTORS_LIST[[#This Row],[INVESTOR CODE]],LS[B/S],"B"))</f>
        <v>0</v>
      </c>
      <c r="I175" s="48">
        <f>IF(INVESTORS_LIST[[#This Row],[LS_TOTAL UNITS SOLD]]=0,0,SUMIFS(LS[Cost of Units Sold],LS[Investor ID],INVESTORS_LIST[[#This Row],[INVESTOR CODE]],LS[B/S],"S"))</f>
        <v>0</v>
      </c>
      <c r="J175" s="48">
        <f>IF(INVESTORS_LIST[[#This Row],[LS_TOTAL CURRENT UNITS]]=0,0,INVESTORS_LIST[[#This Row],[LS_TOTAL CURRENT UNITS]]*INVESTORS_LIST[[#This Row],[LS_AVERAGE COST]])</f>
        <v>0</v>
      </c>
      <c r="K175" s="49">
        <f>IF(INVESTORS_LIST[[#This Row],[LS_TOTAL UNITS SOLD]]=0,0,SUMIFS(LS[Realized Gain],LS[Investor ID],INVESTORS_LIST[[#This Row],[INVESTOR CODE]],LS[B/S],"S"))</f>
        <v>0</v>
      </c>
      <c r="L175" s="47">
        <f>SUMIFS(SIP[Unit],SIP[Investor ID],INVESTORS_LIST[[#This Row],[INVESTOR CODE]],SIP[B/S],"B")</f>
        <v>0</v>
      </c>
      <c r="M175" s="47">
        <f>-SUMIFS(SIP[Unit],SIP[Investor ID],INVESTORS_LIST[[#This Row],[INVESTOR CODE]],SIP[B/S],"S")</f>
        <v>0</v>
      </c>
      <c r="N175" s="50">
        <f>IF(INVESTORS_LIST[[#This Row],[SIP_TOTAL UNITS BUY]]=0,0,INVESTORS_LIST[[#This Row],[SIP_TOTAL UNITS BUY]]-INVESTORS_LIST[[#This Row],[SIP_TOTAL UNITS SOLD]])</f>
        <v>0</v>
      </c>
      <c r="O175" s="49">
        <f>IF(INVESTORS_LIST[[#This Row],[SIP_TOTAL UNITS BUY]]=0,0,SUMIFS(SIP[Amount],SIP[Investor ID],INVESTORS_LIST[[#This Row],[INVESTOR CODE]],SIP[B/S],"B"))</f>
        <v>0</v>
      </c>
      <c r="P175" s="49">
        <f>IF(INVESTORS_LIST[[#This Row],[SIP_TOTAL UNITS SOLD]]=0,0,SUMIFS(SIP[Cost of Units Sold],SIP[Investor ID],INVESTORS_LIST[[#This Row],[INVESTOR CODE]],SIP[B/S],"S"))</f>
        <v>0</v>
      </c>
      <c r="Q175" s="48">
        <f>IF(INVESTORS_LIST[[#This Row],[SIP_TOTAL CURRENT UNITS]]=0,0,INVESTORS_LIST[[#This Row],[SIP_TOTAL CURRENT UNITS]]*INVESTORS_LIST[[#This Row],[SIP_AVERAGE COST]])</f>
        <v>0</v>
      </c>
      <c r="R175" s="48">
        <f>IF(INVESTORS_LIST[[#This Row],[SIP_TOTAL UNITS SOLD]]=0,0,SUMIFS(SIP[Realized Gain],SIP[Investor ID],INVESTORS_LIST[[#This Row],[INVESTOR CODE]],SIP[B/S],"S"))</f>
        <v>0</v>
      </c>
      <c r="S175" s="50">
        <f>INVESTORS_LIST[[#This Row],[LS_TOTAL UNITS BUY]]+INVESTORS_LIST[[#This Row],[SIP_TOTAL UNITS BUY]]</f>
        <v>0</v>
      </c>
      <c r="T175" s="50">
        <f>INVESTORS_LIST[[#This Row],[LS_TOTAL UNITS SOLD]]+INVESTORS_LIST[[#This Row],[SIP_TOTAL UNITS SOLD]]</f>
        <v>0</v>
      </c>
      <c r="U175" s="50"/>
      <c r="V175" s="50">
        <f>SUMIFS(LS[BO UNIT TRANSFER],LS[Investor ID],INVESTORS_LIST[[#This Row],[INVESTOR CODE]],LS[B/S],"B")</f>
        <v>0</v>
      </c>
      <c r="W175" s="50">
        <f>SUMIFS(SIP[BO UNIT TRANSFER],SIP[Investor ID],INVESTORS_LIST[[#This Row],[INVESTOR CODE]],SIP[B/S],"B")</f>
        <v>0</v>
      </c>
      <c r="X175" s="50">
        <f>SUMIFS(LS[BO UNIT TRANSFER],LS[Investor ID],INVESTORS_LIST[[#This Row],[INVESTOR CODE]],LS[B/S],"S")</f>
        <v>0</v>
      </c>
      <c r="Y175" s="50">
        <f>SUMIFS(SIP[BO UNIT TRANSFER],SIP[Investor ID],INVESTORS_LIST[[#This Row],[INVESTOR CODE]],SIP[B/S],"S")</f>
        <v>0</v>
      </c>
      <c r="Z175" s="106">
        <f>SUM(INVESTORS_LIST[[#This Row],[BO OPENING BALANCE]:[BO SIP UNITS REPURCHASE]])</f>
        <v>0</v>
      </c>
      <c r="AA175" s="107">
        <f>INVESTORS_LIST[[#This Row],[TOTAL UNITS BUY]]-INVESTORS_LIST[[#This Row],[TOTAL UNITS SOLD]]</f>
        <v>0</v>
      </c>
      <c r="AB175" s="107">
        <f>INVESTORS_LIST[[#This Row],[TOTAL CURRENT UNITS]]-INVESTORS_LIST[[#This Row],[BO UNITS HOLD]]</f>
        <v>0</v>
      </c>
      <c r="AC175" s="201" t="e">
        <f>INDEX([3]!Table_1[BO ID],MATCH(INVESTORS_LIST[[#This Row],[INVESTOR CODE]],[3]!Table_1[INVESTOR CODE],0))</f>
        <v>#REF!</v>
      </c>
      <c r="AD175" s="201" t="e">
        <f>INDEX([3]!Table_1[Brokerage Name2],MATCH(INVESTORS_LIST[[#This Row],[INVESTOR CODE]],[3]!Table_1[INVESTOR CODE],0))</f>
        <v>#REF!</v>
      </c>
      <c r="AE175" s="201" t="e">
        <f>MID(INVESTORS_LIST[[#This Row],[BO ID]],4,5)</f>
        <v>#REF!</v>
      </c>
      <c r="AF175" s="201" t="e">
        <f>MID(INVESTORS_LIST[[#This Row],[BO ID]],2,7)</f>
        <v>#REF!</v>
      </c>
      <c r="AG175" s="201" t="e">
        <f>MID(INVESTORS_LIST[[#This Row],[BO ID]],9,7)</f>
        <v>#REF!</v>
      </c>
      <c r="AH175" s="201" t="e">
        <f>RIGHT(INVESTORS_LIST[[#This Row],[BO ID]],1)</f>
        <v>#REF!</v>
      </c>
      <c r="AI175" s="50">
        <f>INVESTORS_LIST[[#This Row],[LS_TOTAL COST VALUE OF CURRENT UNITS]]+INVESTORS_LIST[[#This Row],[SIP_TOTAL COST VALUE OF CURRENT UNITS]]</f>
        <v>0</v>
      </c>
      <c r="AJ175" s="109">
        <f>IF(INVESTORS_LIST[[#This Row],[TOTAL CURRENT UNITS]]=0,0,INVESTORS_LIST[[#This Row],[LS_TOTAL CURRENT UNITS]]/INVESTORS_LIST[[#This Row],[TOTAL CURRENT UNITS]])</f>
        <v>0</v>
      </c>
      <c r="AK175" s="109">
        <f>IF(INVESTORS_LIST[[#This Row],[TOTAL CURRENT UNITS]]=0,0,INVESTORS_LIST[[#This Row],[SIP_TOTAL CURRENT UNITS]]/INVESTORS_LIST[[#This Row],[TOTAL CURRENT UNITS]])</f>
        <v>0</v>
      </c>
      <c r="AL175" s="49" cm="1">
        <f t="array" ref="AL1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5" s="49" cm="1">
        <f t="array" ref="AM1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5" s="105">
        <f t="shared" si="3"/>
        <v>14.224</v>
      </c>
      <c r="AP175" s="112">
        <f>IF(INVESTORS_LIST[[#This Row],[TOTAL CURRENT UNITS]]=0,0,INVESTORS_LIST[[#This Row],[TOTAL CURRENT UNITS]]*INVESTORS_LIST[[#This Row],[NAV]])</f>
        <v>0</v>
      </c>
      <c r="AQ175" s="49">
        <f>IF(INVESTORS_LIST[[#This Row],[LS_TOTAL CURRENT UNITS]]=0,0,INVESTORS_LIST[[#This Row],[LS_TOTAL CURRENT UNITS]]*INVESTORS_LIST[[#This Row],[NAV]])</f>
        <v>0</v>
      </c>
      <c r="AR175" s="48">
        <f>IF(INVESTORS_LIST[[#This Row],[SIP_TOTAL CURRENT UNITS]]=0,0,INVESTORS_LIST[[#This Row],[SIP_TOTAL CURRENT UNITS]]*INVESTORS_LIST[[#This Row],[NAV]])</f>
        <v>0</v>
      </c>
      <c r="AS175" s="50">
        <f>INVESTORS_LIST[[#This Row],[TOTAL CURRENT UNITS]]</f>
        <v>0</v>
      </c>
      <c r="AT175" s="48">
        <f>IF(INVESTORS_LIST[[#This Row],[TOTAL SELLABLE UNITS]]=0,0,INVESTORS_LIST[[#This Row],[TOTAL SELLABLE UNITS]]*INVESTORS_LIST[[#This Row],[NAV]])</f>
        <v>0</v>
      </c>
      <c r="AU175" s="48">
        <f>INVESTORS_LIST[[#This Row],[LS_TOTAL REALIZED GAIN]]+INVESTORS_LIST[[#This Row],[SIP_TOTAL REALIZED GAIN]]</f>
        <v>0</v>
      </c>
      <c r="AV175" s="48">
        <f>INVESTORS_LIST[[#This Row],[TOTAL MARKET VALUE]]-INVESTORS_LIST[[#This Row],[TOTAL COST VALUE OF CURRENT INVESTMENT]]</f>
        <v>0</v>
      </c>
      <c r="AW175" s="48">
        <f>IFERROR(INVESTORS_LIST[[#This Row],[TOTAL CURRENT UNITS]]/SUM(INVESTORS_LIST[TOTAL CURRENT UNITS]),0)</f>
        <v>0</v>
      </c>
    </row>
    <row r="176" spans="1:49" hidden="1">
      <c r="A176" s="262" t="s">
        <v>400</v>
      </c>
      <c r="B176" s="97" t="s">
        <v>401</v>
      </c>
      <c r="C176" t="s">
        <v>44</v>
      </c>
      <c r="D176" s="75" t="s">
        <v>45</v>
      </c>
      <c r="E176" s="47">
        <f>SUMIFS(LS[Unit],LS[Investor ID],INVESTORS_LIST[[#This Row],[INVESTOR CODE]],LS[B/S],"B")</f>
        <v>0</v>
      </c>
      <c r="F176" s="47">
        <f>-SUMIFS(LS[Unit],LS[Investor ID],INVESTORS_LIST[[#This Row],[INVESTOR CODE]],LS[B/S],"S")</f>
        <v>0</v>
      </c>
      <c r="G176" s="47">
        <f>IF(INVESTORS_LIST[[#This Row],[LS_TOTAL UNITS BUY]]=0,0,INVESTORS_LIST[[#This Row],[LS_TOTAL UNITS BUY]]-INVESTORS_LIST[[#This Row],[LS_TOTAL UNITS SOLD]])</f>
        <v>0</v>
      </c>
      <c r="H176" s="49">
        <f>IF(INVESTORS_LIST[[#This Row],[LS_TOTAL UNITS BUY]]=0,0,SUMIFS(LS[Amount],LS[Investor ID],INVESTORS_LIST[[#This Row],[INVESTOR CODE]],LS[B/S],"B"))</f>
        <v>0</v>
      </c>
      <c r="I176" s="48">
        <f>IF(INVESTORS_LIST[[#This Row],[LS_TOTAL UNITS SOLD]]=0,0,SUMIFS(LS[Cost of Units Sold],LS[Investor ID],INVESTORS_LIST[[#This Row],[INVESTOR CODE]],LS[B/S],"S"))</f>
        <v>0</v>
      </c>
      <c r="J176" s="48">
        <f>IF(INVESTORS_LIST[[#This Row],[LS_TOTAL CURRENT UNITS]]=0,0,INVESTORS_LIST[[#This Row],[LS_TOTAL CURRENT UNITS]]*INVESTORS_LIST[[#This Row],[LS_AVERAGE COST]])</f>
        <v>0</v>
      </c>
      <c r="K176" s="49">
        <f>IF(INVESTORS_LIST[[#This Row],[LS_TOTAL UNITS SOLD]]=0,0,SUMIFS(LS[Realized Gain],LS[Investor ID],INVESTORS_LIST[[#This Row],[INVESTOR CODE]],LS[B/S],"S"))</f>
        <v>0</v>
      </c>
      <c r="L176" s="47">
        <f>SUMIFS(SIP[Unit],SIP[Investor ID],INVESTORS_LIST[[#This Row],[INVESTOR CODE]],SIP[B/S],"B")</f>
        <v>0</v>
      </c>
      <c r="M176" s="47">
        <f>-SUMIFS(SIP[Unit],SIP[Investor ID],INVESTORS_LIST[[#This Row],[INVESTOR CODE]],SIP[B/S],"S")</f>
        <v>0</v>
      </c>
      <c r="N176" s="50">
        <f>IF(INVESTORS_LIST[[#This Row],[SIP_TOTAL UNITS BUY]]=0,0,INVESTORS_LIST[[#This Row],[SIP_TOTAL UNITS BUY]]-INVESTORS_LIST[[#This Row],[SIP_TOTAL UNITS SOLD]])</f>
        <v>0</v>
      </c>
      <c r="O176" s="49">
        <f>IF(INVESTORS_LIST[[#This Row],[SIP_TOTAL UNITS BUY]]=0,0,SUMIFS(SIP[Amount],SIP[Investor ID],INVESTORS_LIST[[#This Row],[INVESTOR CODE]],SIP[B/S],"B"))</f>
        <v>0</v>
      </c>
      <c r="P176" s="49">
        <f>IF(INVESTORS_LIST[[#This Row],[SIP_TOTAL UNITS SOLD]]=0,0,SUMIFS(SIP[Cost of Units Sold],SIP[Investor ID],INVESTORS_LIST[[#This Row],[INVESTOR CODE]],SIP[B/S],"S"))</f>
        <v>0</v>
      </c>
      <c r="Q176" s="48">
        <f>IF(INVESTORS_LIST[[#This Row],[SIP_TOTAL CURRENT UNITS]]=0,0,INVESTORS_LIST[[#This Row],[SIP_TOTAL CURRENT UNITS]]*INVESTORS_LIST[[#This Row],[SIP_AVERAGE COST]])</f>
        <v>0</v>
      </c>
      <c r="R176" s="48">
        <f>IF(INVESTORS_LIST[[#This Row],[SIP_TOTAL UNITS SOLD]]=0,0,SUMIFS(SIP[Realized Gain],SIP[Investor ID],INVESTORS_LIST[[#This Row],[INVESTOR CODE]],SIP[B/S],"S"))</f>
        <v>0</v>
      </c>
      <c r="S176" s="50">
        <f>INVESTORS_LIST[[#This Row],[LS_TOTAL UNITS BUY]]+INVESTORS_LIST[[#This Row],[SIP_TOTAL UNITS BUY]]</f>
        <v>0</v>
      </c>
      <c r="T176" s="50">
        <f>INVESTORS_LIST[[#This Row],[LS_TOTAL UNITS SOLD]]+INVESTORS_LIST[[#This Row],[SIP_TOTAL UNITS SOLD]]</f>
        <v>0</v>
      </c>
      <c r="U176" s="50"/>
      <c r="V176" s="50">
        <f>SUMIFS(LS[BO UNIT TRANSFER],LS[Investor ID],INVESTORS_LIST[[#This Row],[INVESTOR CODE]],LS[B/S],"B")</f>
        <v>0</v>
      </c>
      <c r="W176" s="50">
        <f>SUMIFS(SIP[BO UNIT TRANSFER],SIP[Investor ID],INVESTORS_LIST[[#This Row],[INVESTOR CODE]],SIP[B/S],"B")</f>
        <v>0</v>
      </c>
      <c r="X176" s="50">
        <f>SUMIFS(LS[BO UNIT TRANSFER],LS[Investor ID],INVESTORS_LIST[[#This Row],[INVESTOR CODE]],LS[B/S],"S")</f>
        <v>0</v>
      </c>
      <c r="Y176" s="50">
        <f>SUMIFS(SIP[BO UNIT TRANSFER],SIP[Investor ID],INVESTORS_LIST[[#This Row],[INVESTOR CODE]],SIP[B/S],"S")</f>
        <v>0</v>
      </c>
      <c r="Z176" s="106">
        <f>SUM(INVESTORS_LIST[[#This Row],[BO OPENING BALANCE]:[BO SIP UNITS REPURCHASE]])</f>
        <v>0</v>
      </c>
      <c r="AA176" s="107">
        <f>INVESTORS_LIST[[#This Row],[TOTAL UNITS BUY]]-INVESTORS_LIST[[#This Row],[TOTAL UNITS SOLD]]</f>
        <v>0</v>
      </c>
      <c r="AB176" s="107">
        <f>INVESTORS_LIST[[#This Row],[TOTAL CURRENT UNITS]]-INVESTORS_LIST[[#This Row],[BO UNITS HOLD]]</f>
        <v>0</v>
      </c>
      <c r="AC176" s="201" t="e">
        <f>INDEX([3]!Table_1[BO ID],MATCH(INVESTORS_LIST[[#This Row],[INVESTOR CODE]],[3]!Table_1[INVESTOR CODE],0))</f>
        <v>#REF!</v>
      </c>
      <c r="AD176" s="201" t="e">
        <f>INDEX([3]!Table_1[Brokerage Name2],MATCH(INVESTORS_LIST[[#This Row],[INVESTOR CODE]],[3]!Table_1[INVESTOR CODE],0))</f>
        <v>#REF!</v>
      </c>
      <c r="AE176" s="201" t="e">
        <f>MID(INVESTORS_LIST[[#This Row],[BO ID]],4,5)</f>
        <v>#REF!</v>
      </c>
      <c r="AF176" s="201" t="e">
        <f>MID(INVESTORS_LIST[[#This Row],[BO ID]],2,7)</f>
        <v>#REF!</v>
      </c>
      <c r="AG176" s="201" t="e">
        <f>MID(INVESTORS_LIST[[#This Row],[BO ID]],9,7)</f>
        <v>#REF!</v>
      </c>
      <c r="AH176" s="201" t="e">
        <f>RIGHT(INVESTORS_LIST[[#This Row],[BO ID]],1)</f>
        <v>#REF!</v>
      </c>
      <c r="AI176" s="50">
        <f>INVESTORS_LIST[[#This Row],[LS_TOTAL COST VALUE OF CURRENT UNITS]]+INVESTORS_LIST[[#This Row],[SIP_TOTAL COST VALUE OF CURRENT UNITS]]</f>
        <v>0</v>
      </c>
      <c r="AJ176" s="109">
        <f>IF(INVESTORS_LIST[[#This Row],[TOTAL CURRENT UNITS]]=0,0,INVESTORS_LIST[[#This Row],[LS_TOTAL CURRENT UNITS]]/INVESTORS_LIST[[#This Row],[TOTAL CURRENT UNITS]])</f>
        <v>0</v>
      </c>
      <c r="AK176" s="109">
        <f>IF(INVESTORS_LIST[[#This Row],[TOTAL CURRENT UNITS]]=0,0,INVESTORS_LIST[[#This Row],[SIP_TOTAL CURRENT UNITS]]/INVESTORS_LIST[[#This Row],[TOTAL CURRENT UNITS]])</f>
        <v>0</v>
      </c>
      <c r="AL176" s="49" cm="1">
        <f t="array" ref="AL1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6" s="49" cm="1">
        <f t="array" ref="AM1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6" s="105">
        <f t="shared" si="3"/>
        <v>14.224</v>
      </c>
      <c r="AP176" s="112">
        <f>IF(INVESTORS_LIST[[#This Row],[TOTAL CURRENT UNITS]]=0,0,INVESTORS_LIST[[#This Row],[TOTAL CURRENT UNITS]]*INVESTORS_LIST[[#This Row],[NAV]])</f>
        <v>0</v>
      </c>
      <c r="AQ176" s="49">
        <f>IF(INVESTORS_LIST[[#This Row],[LS_TOTAL CURRENT UNITS]]=0,0,INVESTORS_LIST[[#This Row],[LS_TOTAL CURRENT UNITS]]*INVESTORS_LIST[[#This Row],[NAV]])</f>
        <v>0</v>
      </c>
      <c r="AR176" s="48">
        <f>IF(INVESTORS_LIST[[#This Row],[SIP_TOTAL CURRENT UNITS]]=0,0,INVESTORS_LIST[[#This Row],[SIP_TOTAL CURRENT UNITS]]*INVESTORS_LIST[[#This Row],[NAV]])</f>
        <v>0</v>
      </c>
      <c r="AS176" s="50">
        <f>INVESTORS_LIST[[#This Row],[TOTAL CURRENT UNITS]]</f>
        <v>0</v>
      </c>
      <c r="AT176" s="48">
        <f>IF(INVESTORS_LIST[[#This Row],[TOTAL SELLABLE UNITS]]=0,0,INVESTORS_LIST[[#This Row],[TOTAL SELLABLE UNITS]]*INVESTORS_LIST[[#This Row],[NAV]])</f>
        <v>0</v>
      </c>
      <c r="AU176" s="48">
        <f>INVESTORS_LIST[[#This Row],[LS_TOTAL REALIZED GAIN]]+INVESTORS_LIST[[#This Row],[SIP_TOTAL REALIZED GAIN]]</f>
        <v>0</v>
      </c>
      <c r="AV176" s="48">
        <f>INVESTORS_LIST[[#This Row],[TOTAL MARKET VALUE]]-INVESTORS_LIST[[#This Row],[TOTAL COST VALUE OF CURRENT INVESTMENT]]</f>
        <v>0</v>
      </c>
      <c r="AW176" s="48">
        <f>IFERROR(INVESTORS_LIST[[#This Row],[TOTAL CURRENT UNITS]]/SUM(INVESTORS_LIST[TOTAL CURRENT UNITS]),0)</f>
        <v>0</v>
      </c>
    </row>
    <row r="177" spans="1:49" hidden="1">
      <c r="A177" s="262" t="s">
        <v>402</v>
      </c>
      <c r="B177" s="97" t="s">
        <v>403</v>
      </c>
      <c r="C177" t="s">
        <v>44</v>
      </c>
      <c r="D177" s="75" t="s">
        <v>45</v>
      </c>
      <c r="E177" s="47">
        <f>SUMIFS(LS[Unit],LS[Investor ID],INVESTORS_LIST[[#This Row],[INVESTOR CODE]],LS[B/S],"B")</f>
        <v>0</v>
      </c>
      <c r="F177" s="47">
        <f>-SUMIFS(LS[Unit],LS[Investor ID],INVESTORS_LIST[[#This Row],[INVESTOR CODE]],LS[B/S],"S")</f>
        <v>0</v>
      </c>
      <c r="G177" s="47">
        <f>IF(INVESTORS_LIST[[#This Row],[LS_TOTAL UNITS BUY]]=0,0,INVESTORS_LIST[[#This Row],[LS_TOTAL UNITS BUY]]-INVESTORS_LIST[[#This Row],[LS_TOTAL UNITS SOLD]])</f>
        <v>0</v>
      </c>
      <c r="H177" s="49">
        <f>IF(INVESTORS_LIST[[#This Row],[LS_TOTAL UNITS BUY]]=0,0,SUMIFS(LS[Amount],LS[Investor ID],INVESTORS_LIST[[#This Row],[INVESTOR CODE]],LS[B/S],"B"))</f>
        <v>0</v>
      </c>
      <c r="I177" s="48">
        <f>IF(INVESTORS_LIST[[#This Row],[LS_TOTAL UNITS SOLD]]=0,0,SUMIFS(LS[Cost of Units Sold],LS[Investor ID],INVESTORS_LIST[[#This Row],[INVESTOR CODE]],LS[B/S],"S"))</f>
        <v>0</v>
      </c>
      <c r="J177" s="48">
        <f>IF(INVESTORS_LIST[[#This Row],[LS_TOTAL CURRENT UNITS]]=0,0,INVESTORS_LIST[[#This Row],[LS_TOTAL CURRENT UNITS]]*INVESTORS_LIST[[#This Row],[LS_AVERAGE COST]])</f>
        <v>0</v>
      </c>
      <c r="K177" s="49">
        <f>IF(INVESTORS_LIST[[#This Row],[LS_TOTAL UNITS SOLD]]=0,0,SUMIFS(LS[Realized Gain],LS[Investor ID],INVESTORS_LIST[[#This Row],[INVESTOR CODE]],LS[B/S],"S"))</f>
        <v>0</v>
      </c>
      <c r="L177" s="47">
        <f>SUMIFS(SIP[Unit],SIP[Investor ID],INVESTORS_LIST[[#This Row],[INVESTOR CODE]],SIP[B/S],"B")</f>
        <v>0</v>
      </c>
      <c r="M177" s="47">
        <f>-SUMIFS(SIP[Unit],SIP[Investor ID],INVESTORS_LIST[[#This Row],[INVESTOR CODE]],SIP[B/S],"S")</f>
        <v>0</v>
      </c>
      <c r="N177" s="50">
        <f>IF(INVESTORS_LIST[[#This Row],[SIP_TOTAL UNITS BUY]]=0,0,INVESTORS_LIST[[#This Row],[SIP_TOTAL UNITS BUY]]-INVESTORS_LIST[[#This Row],[SIP_TOTAL UNITS SOLD]])</f>
        <v>0</v>
      </c>
      <c r="O177" s="49">
        <f>IF(INVESTORS_LIST[[#This Row],[SIP_TOTAL UNITS BUY]]=0,0,SUMIFS(SIP[Amount],SIP[Investor ID],INVESTORS_LIST[[#This Row],[INVESTOR CODE]],SIP[B/S],"B"))</f>
        <v>0</v>
      </c>
      <c r="P177" s="49">
        <f>IF(INVESTORS_LIST[[#This Row],[SIP_TOTAL UNITS SOLD]]=0,0,SUMIFS(SIP[Cost of Units Sold],SIP[Investor ID],INVESTORS_LIST[[#This Row],[INVESTOR CODE]],SIP[B/S],"S"))</f>
        <v>0</v>
      </c>
      <c r="Q177" s="48">
        <f>IF(INVESTORS_LIST[[#This Row],[SIP_TOTAL CURRENT UNITS]]=0,0,INVESTORS_LIST[[#This Row],[SIP_TOTAL CURRENT UNITS]]*INVESTORS_LIST[[#This Row],[SIP_AVERAGE COST]])</f>
        <v>0</v>
      </c>
      <c r="R177" s="48">
        <f>IF(INVESTORS_LIST[[#This Row],[SIP_TOTAL UNITS SOLD]]=0,0,SUMIFS(SIP[Realized Gain],SIP[Investor ID],INVESTORS_LIST[[#This Row],[INVESTOR CODE]],SIP[B/S],"S"))</f>
        <v>0</v>
      </c>
      <c r="S177" s="50">
        <f>INVESTORS_LIST[[#This Row],[LS_TOTAL UNITS BUY]]+INVESTORS_LIST[[#This Row],[SIP_TOTAL UNITS BUY]]</f>
        <v>0</v>
      </c>
      <c r="T177" s="50">
        <f>INVESTORS_LIST[[#This Row],[LS_TOTAL UNITS SOLD]]+INVESTORS_LIST[[#This Row],[SIP_TOTAL UNITS SOLD]]</f>
        <v>0</v>
      </c>
      <c r="U177" s="50"/>
      <c r="V177" s="50">
        <f>SUMIFS(LS[BO UNIT TRANSFER],LS[Investor ID],INVESTORS_LIST[[#This Row],[INVESTOR CODE]],LS[B/S],"B")</f>
        <v>0</v>
      </c>
      <c r="W177" s="50">
        <f>SUMIFS(SIP[BO UNIT TRANSFER],SIP[Investor ID],INVESTORS_LIST[[#This Row],[INVESTOR CODE]],SIP[B/S],"B")</f>
        <v>0</v>
      </c>
      <c r="X177" s="50">
        <f>SUMIFS(LS[BO UNIT TRANSFER],LS[Investor ID],INVESTORS_LIST[[#This Row],[INVESTOR CODE]],LS[B/S],"S")</f>
        <v>0</v>
      </c>
      <c r="Y177" s="50">
        <f>SUMIFS(SIP[BO UNIT TRANSFER],SIP[Investor ID],INVESTORS_LIST[[#This Row],[INVESTOR CODE]],SIP[B/S],"S")</f>
        <v>0</v>
      </c>
      <c r="Z177" s="106">
        <f>SUM(INVESTORS_LIST[[#This Row],[BO OPENING BALANCE]:[BO SIP UNITS REPURCHASE]])</f>
        <v>0</v>
      </c>
      <c r="AA177" s="107">
        <f>INVESTORS_LIST[[#This Row],[TOTAL UNITS BUY]]-INVESTORS_LIST[[#This Row],[TOTAL UNITS SOLD]]</f>
        <v>0</v>
      </c>
      <c r="AB177" s="107">
        <f>INVESTORS_LIST[[#This Row],[TOTAL CURRENT UNITS]]-INVESTORS_LIST[[#This Row],[BO UNITS HOLD]]</f>
        <v>0</v>
      </c>
      <c r="AC177" s="201" t="e">
        <f>INDEX([3]!Table_1[BO ID],MATCH(INVESTORS_LIST[[#This Row],[INVESTOR CODE]],[3]!Table_1[INVESTOR CODE],0))</f>
        <v>#REF!</v>
      </c>
      <c r="AD177" s="201" t="e">
        <f>INDEX([3]!Table_1[Brokerage Name2],MATCH(INVESTORS_LIST[[#This Row],[INVESTOR CODE]],[3]!Table_1[INVESTOR CODE],0))</f>
        <v>#REF!</v>
      </c>
      <c r="AE177" s="201" t="e">
        <f>MID(INVESTORS_LIST[[#This Row],[BO ID]],4,5)</f>
        <v>#REF!</v>
      </c>
      <c r="AF177" s="201" t="e">
        <f>MID(INVESTORS_LIST[[#This Row],[BO ID]],2,7)</f>
        <v>#REF!</v>
      </c>
      <c r="AG177" s="201" t="e">
        <f>MID(INVESTORS_LIST[[#This Row],[BO ID]],9,7)</f>
        <v>#REF!</v>
      </c>
      <c r="AH177" s="201" t="e">
        <f>RIGHT(INVESTORS_LIST[[#This Row],[BO ID]],1)</f>
        <v>#REF!</v>
      </c>
      <c r="AI177" s="50">
        <f>INVESTORS_LIST[[#This Row],[LS_TOTAL COST VALUE OF CURRENT UNITS]]+INVESTORS_LIST[[#This Row],[SIP_TOTAL COST VALUE OF CURRENT UNITS]]</f>
        <v>0</v>
      </c>
      <c r="AJ177" s="109">
        <f>IF(INVESTORS_LIST[[#This Row],[TOTAL CURRENT UNITS]]=0,0,INVESTORS_LIST[[#This Row],[LS_TOTAL CURRENT UNITS]]/INVESTORS_LIST[[#This Row],[TOTAL CURRENT UNITS]])</f>
        <v>0</v>
      </c>
      <c r="AK177" s="109">
        <f>IF(INVESTORS_LIST[[#This Row],[TOTAL CURRENT UNITS]]=0,0,INVESTORS_LIST[[#This Row],[SIP_TOTAL CURRENT UNITS]]/INVESTORS_LIST[[#This Row],[TOTAL CURRENT UNITS]])</f>
        <v>0</v>
      </c>
      <c r="AL177" s="49" cm="1">
        <f t="array" ref="AL1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7" s="49" cm="1">
        <f t="array" ref="AM1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7" s="105">
        <f t="shared" si="3"/>
        <v>14.224</v>
      </c>
      <c r="AP177" s="112">
        <f>IF(INVESTORS_LIST[[#This Row],[TOTAL CURRENT UNITS]]=0,0,INVESTORS_LIST[[#This Row],[TOTAL CURRENT UNITS]]*INVESTORS_LIST[[#This Row],[NAV]])</f>
        <v>0</v>
      </c>
      <c r="AQ177" s="49">
        <f>IF(INVESTORS_LIST[[#This Row],[LS_TOTAL CURRENT UNITS]]=0,0,INVESTORS_LIST[[#This Row],[LS_TOTAL CURRENT UNITS]]*INVESTORS_LIST[[#This Row],[NAV]])</f>
        <v>0</v>
      </c>
      <c r="AR177" s="48">
        <f>IF(INVESTORS_LIST[[#This Row],[SIP_TOTAL CURRENT UNITS]]=0,0,INVESTORS_LIST[[#This Row],[SIP_TOTAL CURRENT UNITS]]*INVESTORS_LIST[[#This Row],[NAV]])</f>
        <v>0</v>
      </c>
      <c r="AS177" s="50">
        <f>INVESTORS_LIST[[#This Row],[TOTAL CURRENT UNITS]]</f>
        <v>0</v>
      </c>
      <c r="AT177" s="48">
        <f>IF(INVESTORS_LIST[[#This Row],[TOTAL SELLABLE UNITS]]=0,0,INVESTORS_LIST[[#This Row],[TOTAL SELLABLE UNITS]]*INVESTORS_LIST[[#This Row],[NAV]])</f>
        <v>0</v>
      </c>
      <c r="AU177" s="48">
        <f>INVESTORS_LIST[[#This Row],[LS_TOTAL REALIZED GAIN]]+INVESTORS_LIST[[#This Row],[SIP_TOTAL REALIZED GAIN]]</f>
        <v>0</v>
      </c>
      <c r="AV177" s="48">
        <f>INVESTORS_LIST[[#This Row],[TOTAL MARKET VALUE]]-INVESTORS_LIST[[#This Row],[TOTAL COST VALUE OF CURRENT INVESTMENT]]</f>
        <v>0</v>
      </c>
      <c r="AW177" s="48">
        <f>IFERROR(INVESTORS_LIST[[#This Row],[TOTAL CURRENT UNITS]]/SUM(INVESTORS_LIST[TOTAL CURRENT UNITS]),0)</f>
        <v>0</v>
      </c>
    </row>
    <row r="178" spans="1:49" hidden="1">
      <c r="A178" s="262" t="s">
        <v>404</v>
      </c>
      <c r="B178" s="97" t="s">
        <v>405</v>
      </c>
      <c r="C178" t="s">
        <v>44</v>
      </c>
      <c r="D178" s="75" t="s">
        <v>45</v>
      </c>
      <c r="E178" s="47">
        <f>SUMIFS(LS[Unit],LS[Investor ID],INVESTORS_LIST[[#This Row],[INVESTOR CODE]],LS[B/S],"B")</f>
        <v>0</v>
      </c>
      <c r="F178" s="47">
        <f>-SUMIFS(LS[Unit],LS[Investor ID],INVESTORS_LIST[[#This Row],[INVESTOR CODE]],LS[B/S],"S")</f>
        <v>0</v>
      </c>
      <c r="G178" s="47">
        <f>IF(INVESTORS_LIST[[#This Row],[LS_TOTAL UNITS BUY]]=0,0,INVESTORS_LIST[[#This Row],[LS_TOTAL UNITS BUY]]-INVESTORS_LIST[[#This Row],[LS_TOTAL UNITS SOLD]])</f>
        <v>0</v>
      </c>
      <c r="H178" s="49">
        <f>IF(INVESTORS_LIST[[#This Row],[LS_TOTAL UNITS BUY]]=0,0,SUMIFS(LS[Amount],LS[Investor ID],INVESTORS_LIST[[#This Row],[INVESTOR CODE]],LS[B/S],"B"))</f>
        <v>0</v>
      </c>
      <c r="I178" s="48">
        <f>IF(INVESTORS_LIST[[#This Row],[LS_TOTAL UNITS SOLD]]=0,0,SUMIFS(LS[Cost of Units Sold],LS[Investor ID],INVESTORS_LIST[[#This Row],[INVESTOR CODE]],LS[B/S],"S"))</f>
        <v>0</v>
      </c>
      <c r="J178" s="48">
        <f>IF(INVESTORS_LIST[[#This Row],[LS_TOTAL CURRENT UNITS]]=0,0,INVESTORS_LIST[[#This Row],[LS_TOTAL CURRENT UNITS]]*INVESTORS_LIST[[#This Row],[LS_AVERAGE COST]])</f>
        <v>0</v>
      </c>
      <c r="K178" s="49">
        <f>IF(INVESTORS_LIST[[#This Row],[LS_TOTAL UNITS SOLD]]=0,0,SUMIFS(LS[Realized Gain],LS[Investor ID],INVESTORS_LIST[[#This Row],[INVESTOR CODE]],LS[B/S],"S"))</f>
        <v>0</v>
      </c>
      <c r="L178" s="47">
        <f>SUMIFS(SIP[Unit],SIP[Investor ID],INVESTORS_LIST[[#This Row],[INVESTOR CODE]],SIP[B/S],"B")</f>
        <v>0</v>
      </c>
      <c r="M178" s="47">
        <f>-SUMIFS(SIP[Unit],SIP[Investor ID],INVESTORS_LIST[[#This Row],[INVESTOR CODE]],SIP[B/S],"S")</f>
        <v>0</v>
      </c>
      <c r="N178" s="50">
        <f>IF(INVESTORS_LIST[[#This Row],[SIP_TOTAL UNITS BUY]]=0,0,INVESTORS_LIST[[#This Row],[SIP_TOTAL UNITS BUY]]-INVESTORS_LIST[[#This Row],[SIP_TOTAL UNITS SOLD]])</f>
        <v>0</v>
      </c>
      <c r="O178" s="49">
        <f>IF(INVESTORS_LIST[[#This Row],[SIP_TOTAL UNITS BUY]]=0,0,SUMIFS(SIP[Amount],SIP[Investor ID],INVESTORS_LIST[[#This Row],[INVESTOR CODE]],SIP[B/S],"B"))</f>
        <v>0</v>
      </c>
      <c r="P178" s="49">
        <f>IF(INVESTORS_LIST[[#This Row],[SIP_TOTAL UNITS SOLD]]=0,0,SUMIFS(SIP[Cost of Units Sold],SIP[Investor ID],INVESTORS_LIST[[#This Row],[INVESTOR CODE]],SIP[B/S],"S"))</f>
        <v>0</v>
      </c>
      <c r="Q178" s="48">
        <f>IF(INVESTORS_LIST[[#This Row],[SIP_TOTAL CURRENT UNITS]]=0,0,INVESTORS_LIST[[#This Row],[SIP_TOTAL CURRENT UNITS]]*INVESTORS_LIST[[#This Row],[SIP_AVERAGE COST]])</f>
        <v>0</v>
      </c>
      <c r="R178" s="48">
        <f>IF(INVESTORS_LIST[[#This Row],[SIP_TOTAL UNITS SOLD]]=0,0,SUMIFS(SIP[Realized Gain],SIP[Investor ID],INVESTORS_LIST[[#This Row],[INVESTOR CODE]],SIP[B/S],"S"))</f>
        <v>0</v>
      </c>
      <c r="S178" s="50">
        <f>INVESTORS_LIST[[#This Row],[LS_TOTAL UNITS BUY]]+INVESTORS_LIST[[#This Row],[SIP_TOTAL UNITS BUY]]</f>
        <v>0</v>
      </c>
      <c r="T178" s="50">
        <f>INVESTORS_LIST[[#This Row],[LS_TOTAL UNITS SOLD]]+INVESTORS_LIST[[#This Row],[SIP_TOTAL UNITS SOLD]]</f>
        <v>0</v>
      </c>
      <c r="U178" s="50"/>
      <c r="V178" s="50">
        <f>SUMIFS(LS[BO UNIT TRANSFER],LS[Investor ID],INVESTORS_LIST[[#This Row],[INVESTOR CODE]],LS[B/S],"B")</f>
        <v>0</v>
      </c>
      <c r="W178" s="50">
        <f>SUMIFS(SIP[BO UNIT TRANSFER],SIP[Investor ID],INVESTORS_LIST[[#This Row],[INVESTOR CODE]],SIP[B/S],"B")</f>
        <v>0</v>
      </c>
      <c r="X178" s="50">
        <f>SUMIFS(LS[BO UNIT TRANSFER],LS[Investor ID],INVESTORS_LIST[[#This Row],[INVESTOR CODE]],LS[B/S],"S")</f>
        <v>0</v>
      </c>
      <c r="Y178" s="50">
        <f>SUMIFS(SIP[BO UNIT TRANSFER],SIP[Investor ID],INVESTORS_LIST[[#This Row],[INVESTOR CODE]],SIP[B/S],"S")</f>
        <v>0</v>
      </c>
      <c r="Z178" s="106">
        <f>SUM(INVESTORS_LIST[[#This Row],[BO OPENING BALANCE]:[BO SIP UNITS REPURCHASE]])</f>
        <v>0</v>
      </c>
      <c r="AA178" s="107">
        <f>INVESTORS_LIST[[#This Row],[TOTAL UNITS BUY]]-INVESTORS_LIST[[#This Row],[TOTAL UNITS SOLD]]</f>
        <v>0</v>
      </c>
      <c r="AB178" s="107">
        <f>INVESTORS_LIST[[#This Row],[TOTAL CURRENT UNITS]]-INVESTORS_LIST[[#This Row],[BO UNITS HOLD]]</f>
        <v>0</v>
      </c>
      <c r="AC178" s="201" t="e">
        <f>INDEX([3]!Table_1[BO ID],MATCH(INVESTORS_LIST[[#This Row],[INVESTOR CODE]],[3]!Table_1[INVESTOR CODE],0))</f>
        <v>#REF!</v>
      </c>
      <c r="AD178" s="201" t="e">
        <f>INDEX([3]!Table_1[Brokerage Name2],MATCH(INVESTORS_LIST[[#This Row],[INVESTOR CODE]],[3]!Table_1[INVESTOR CODE],0))</f>
        <v>#REF!</v>
      </c>
      <c r="AE178" s="201" t="e">
        <f>MID(INVESTORS_LIST[[#This Row],[BO ID]],4,5)</f>
        <v>#REF!</v>
      </c>
      <c r="AF178" s="201" t="e">
        <f>MID(INVESTORS_LIST[[#This Row],[BO ID]],2,7)</f>
        <v>#REF!</v>
      </c>
      <c r="AG178" s="201" t="e">
        <f>MID(INVESTORS_LIST[[#This Row],[BO ID]],9,7)</f>
        <v>#REF!</v>
      </c>
      <c r="AH178" s="201" t="e">
        <f>RIGHT(INVESTORS_LIST[[#This Row],[BO ID]],1)</f>
        <v>#REF!</v>
      </c>
      <c r="AI178" s="50">
        <f>INVESTORS_LIST[[#This Row],[LS_TOTAL COST VALUE OF CURRENT UNITS]]+INVESTORS_LIST[[#This Row],[SIP_TOTAL COST VALUE OF CURRENT UNITS]]</f>
        <v>0</v>
      </c>
      <c r="AJ178" s="109">
        <f>IF(INVESTORS_LIST[[#This Row],[TOTAL CURRENT UNITS]]=0,0,INVESTORS_LIST[[#This Row],[LS_TOTAL CURRENT UNITS]]/INVESTORS_LIST[[#This Row],[TOTAL CURRENT UNITS]])</f>
        <v>0</v>
      </c>
      <c r="AK178" s="109">
        <f>IF(INVESTORS_LIST[[#This Row],[TOTAL CURRENT UNITS]]=0,0,INVESTORS_LIST[[#This Row],[SIP_TOTAL CURRENT UNITS]]/INVESTORS_LIST[[#This Row],[TOTAL CURRENT UNITS]])</f>
        <v>0</v>
      </c>
      <c r="AL178" s="49" cm="1">
        <f t="array" ref="AL1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8" s="49" cm="1">
        <f t="array" ref="AM1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8" s="105">
        <f t="shared" si="3"/>
        <v>14.224</v>
      </c>
      <c r="AP178" s="112">
        <f>IF(INVESTORS_LIST[[#This Row],[TOTAL CURRENT UNITS]]=0,0,INVESTORS_LIST[[#This Row],[TOTAL CURRENT UNITS]]*INVESTORS_LIST[[#This Row],[NAV]])</f>
        <v>0</v>
      </c>
      <c r="AQ178" s="49">
        <f>IF(INVESTORS_LIST[[#This Row],[LS_TOTAL CURRENT UNITS]]=0,0,INVESTORS_LIST[[#This Row],[LS_TOTAL CURRENT UNITS]]*INVESTORS_LIST[[#This Row],[NAV]])</f>
        <v>0</v>
      </c>
      <c r="AR178" s="48">
        <f>IF(INVESTORS_LIST[[#This Row],[SIP_TOTAL CURRENT UNITS]]=0,0,INVESTORS_LIST[[#This Row],[SIP_TOTAL CURRENT UNITS]]*INVESTORS_LIST[[#This Row],[NAV]])</f>
        <v>0</v>
      </c>
      <c r="AS178" s="50">
        <f>INVESTORS_LIST[[#This Row],[TOTAL CURRENT UNITS]]</f>
        <v>0</v>
      </c>
      <c r="AT178" s="48">
        <f>IF(INVESTORS_LIST[[#This Row],[TOTAL SELLABLE UNITS]]=0,0,INVESTORS_LIST[[#This Row],[TOTAL SELLABLE UNITS]]*INVESTORS_LIST[[#This Row],[NAV]])</f>
        <v>0</v>
      </c>
      <c r="AU178" s="48">
        <f>INVESTORS_LIST[[#This Row],[LS_TOTAL REALIZED GAIN]]+INVESTORS_LIST[[#This Row],[SIP_TOTAL REALIZED GAIN]]</f>
        <v>0</v>
      </c>
      <c r="AV178" s="48">
        <f>INVESTORS_LIST[[#This Row],[TOTAL MARKET VALUE]]-INVESTORS_LIST[[#This Row],[TOTAL COST VALUE OF CURRENT INVESTMENT]]</f>
        <v>0</v>
      </c>
      <c r="AW178" s="48">
        <f>IFERROR(INVESTORS_LIST[[#This Row],[TOTAL CURRENT UNITS]]/SUM(INVESTORS_LIST[TOTAL CURRENT UNITS]),0)</f>
        <v>0</v>
      </c>
    </row>
    <row r="179" spans="1:49" hidden="1">
      <c r="A179" s="262" t="s">
        <v>406</v>
      </c>
      <c r="B179" s="97" t="s">
        <v>407</v>
      </c>
      <c r="C179" t="s">
        <v>44</v>
      </c>
      <c r="D179" s="75" t="s">
        <v>45</v>
      </c>
      <c r="E179" s="47">
        <f>SUMIFS(LS[Unit],LS[Investor ID],INVESTORS_LIST[[#This Row],[INVESTOR CODE]],LS[B/S],"B")</f>
        <v>0</v>
      </c>
      <c r="F179" s="47">
        <f>-SUMIFS(LS[Unit],LS[Investor ID],INVESTORS_LIST[[#This Row],[INVESTOR CODE]],LS[B/S],"S")</f>
        <v>0</v>
      </c>
      <c r="G179" s="47">
        <f>IF(INVESTORS_LIST[[#This Row],[LS_TOTAL UNITS BUY]]=0,0,INVESTORS_LIST[[#This Row],[LS_TOTAL UNITS BUY]]-INVESTORS_LIST[[#This Row],[LS_TOTAL UNITS SOLD]])</f>
        <v>0</v>
      </c>
      <c r="H179" s="49">
        <f>IF(INVESTORS_LIST[[#This Row],[LS_TOTAL UNITS BUY]]=0,0,SUMIFS(LS[Amount],LS[Investor ID],INVESTORS_LIST[[#This Row],[INVESTOR CODE]],LS[B/S],"B"))</f>
        <v>0</v>
      </c>
      <c r="I179" s="48">
        <f>IF(INVESTORS_LIST[[#This Row],[LS_TOTAL UNITS SOLD]]=0,0,SUMIFS(LS[Cost of Units Sold],LS[Investor ID],INVESTORS_LIST[[#This Row],[INVESTOR CODE]],LS[B/S],"S"))</f>
        <v>0</v>
      </c>
      <c r="J179" s="48">
        <f>IF(INVESTORS_LIST[[#This Row],[LS_TOTAL CURRENT UNITS]]=0,0,INVESTORS_LIST[[#This Row],[LS_TOTAL CURRENT UNITS]]*INVESTORS_LIST[[#This Row],[LS_AVERAGE COST]])</f>
        <v>0</v>
      </c>
      <c r="K179" s="49">
        <f>IF(INVESTORS_LIST[[#This Row],[LS_TOTAL UNITS SOLD]]=0,0,SUMIFS(LS[Realized Gain],LS[Investor ID],INVESTORS_LIST[[#This Row],[INVESTOR CODE]],LS[B/S],"S"))</f>
        <v>0</v>
      </c>
      <c r="L179" s="47">
        <f>SUMIFS(SIP[Unit],SIP[Investor ID],INVESTORS_LIST[[#This Row],[INVESTOR CODE]],SIP[B/S],"B")</f>
        <v>0</v>
      </c>
      <c r="M179" s="47">
        <f>-SUMIFS(SIP[Unit],SIP[Investor ID],INVESTORS_LIST[[#This Row],[INVESTOR CODE]],SIP[B/S],"S")</f>
        <v>0</v>
      </c>
      <c r="N179" s="50">
        <f>IF(INVESTORS_LIST[[#This Row],[SIP_TOTAL UNITS BUY]]=0,0,INVESTORS_LIST[[#This Row],[SIP_TOTAL UNITS BUY]]-INVESTORS_LIST[[#This Row],[SIP_TOTAL UNITS SOLD]])</f>
        <v>0</v>
      </c>
      <c r="O179" s="49">
        <f>IF(INVESTORS_LIST[[#This Row],[SIP_TOTAL UNITS BUY]]=0,0,SUMIFS(SIP[Amount],SIP[Investor ID],INVESTORS_LIST[[#This Row],[INVESTOR CODE]],SIP[B/S],"B"))</f>
        <v>0</v>
      </c>
      <c r="P179" s="49">
        <f>IF(INVESTORS_LIST[[#This Row],[SIP_TOTAL UNITS SOLD]]=0,0,SUMIFS(SIP[Cost of Units Sold],SIP[Investor ID],INVESTORS_LIST[[#This Row],[INVESTOR CODE]],SIP[B/S],"S"))</f>
        <v>0</v>
      </c>
      <c r="Q179" s="48">
        <f>IF(INVESTORS_LIST[[#This Row],[SIP_TOTAL CURRENT UNITS]]=0,0,INVESTORS_LIST[[#This Row],[SIP_TOTAL CURRENT UNITS]]*INVESTORS_LIST[[#This Row],[SIP_AVERAGE COST]])</f>
        <v>0</v>
      </c>
      <c r="R179" s="48">
        <f>IF(INVESTORS_LIST[[#This Row],[SIP_TOTAL UNITS SOLD]]=0,0,SUMIFS(SIP[Realized Gain],SIP[Investor ID],INVESTORS_LIST[[#This Row],[INVESTOR CODE]],SIP[B/S],"S"))</f>
        <v>0</v>
      </c>
      <c r="S179" s="50">
        <f>INVESTORS_LIST[[#This Row],[LS_TOTAL UNITS BUY]]+INVESTORS_LIST[[#This Row],[SIP_TOTAL UNITS BUY]]</f>
        <v>0</v>
      </c>
      <c r="T179" s="50">
        <f>INVESTORS_LIST[[#This Row],[LS_TOTAL UNITS SOLD]]+INVESTORS_LIST[[#This Row],[SIP_TOTAL UNITS SOLD]]</f>
        <v>0</v>
      </c>
      <c r="U179" s="50"/>
      <c r="V179" s="50">
        <f>SUMIFS(LS[BO UNIT TRANSFER],LS[Investor ID],INVESTORS_LIST[[#This Row],[INVESTOR CODE]],LS[B/S],"B")</f>
        <v>0</v>
      </c>
      <c r="W179" s="50">
        <f>SUMIFS(SIP[BO UNIT TRANSFER],SIP[Investor ID],INVESTORS_LIST[[#This Row],[INVESTOR CODE]],SIP[B/S],"B")</f>
        <v>0</v>
      </c>
      <c r="X179" s="50">
        <f>SUMIFS(LS[BO UNIT TRANSFER],LS[Investor ID],INVESTORS_LIST[[#This Row],[INVESTOR CODE]],LS[B/S],"S")</f>
        <v>0</v>
      </c>
      <c r="Y179" s="50">
        <f>SUMIFS(SIP[BO UNIT TRANSFER],SIP[Investor ID],INVESTORS_LIST[[#This Row],[INVESTOR CODE]],SIP[B/S],"S")</f>
        <v>0</v>
      </c>
      <c r="Z179" s="106">
        <f>SUM(INVESTORS_LIST[[#This Row],[BO OPENING BALANCE]:[BO SIP UNITS REPURCHASE]])</f>
        <v>0</v>
      </c>
      <c r="AA179" s="107">
        <f>INVESTORS_LIST[[#This Row],[TOTAL UNITS BUY]]-INVESTORS_LIST[[#This Row],[TOTAL UNITS SOLD]]</f>
        <v>0</v>
      </c>
      <c r="AB179" s="107">
        <f>INVESTORS_LIST[[#This Row],[TOTAL CURRENT UNITS]]-INVESTORS_LIST[[#This Row],[BO UNITS HOLD]]</f>
        <v>0</v>
      </c>
      <c r="AC179" s="201" t="e">
        <f>INDEX([3]!Table_1[BO ID],MATCH(INVESTORS_LIST[[#This Row],[INVESTOR CODE]],[3]!Table_1[INVESTOR CODE],0))</f>
        <v>#REF!</v>
      </c>
      <c r="AD179" s="201" t="e">
        <f>INDEX([3]!Table_1[Brokerage Name2],MATCH(INVESTORS_LIST[[#This Row],[INVESTOR CODE]],[3]!Table_1[INVESTOR CODE],0))</f>
        <v>#REF!</v>
      </c>
      <c r="AE179" s="201" t="e">
        <f>MID(INVESTORS_LIST[[#This Row],[BO ID]],4,5)</f>
        <v>#REF!</v>
      </c>
      <c r="AF179" s="201" t="e">
        <f>MID(INVESTORS_LIST[[#This Row],[BO ID]],2,7)</f>
        <v>#REF!</v>
      </c>
      <c r="AG179" s="201" t="e">
        <f>MID(INVESTORS_LIST[[#This Row],[BO ID]],9,7)</f>
        <v>#REF!</v>
      </c>
      <c r="AH179" s="201" t="e">
        <f>RIGHT(INVESTORS_LIST[[#This Row],[BO ID]],1)</f>
        <v>#REF!</v>
      </c>
      <c r="AI179" s="50">
        <f>INVESTORS_LIST[[#This Row],[LS_TOTAL COST VALUE OF CURRENT UNITS]]+INVESTORS_LIST[[#This Row],[SIP_TOTAL COST VALUE OF CURRENT UNITS]]</f>
        <v>0</v>
      </c>
      <c r="AJ179" s="109">
        <f>IF(INVESTORS_LIST[[#This Row],[TOTAL CURRENT UNITS]]=0,0,INVESTORS_LIST[[#This Row],[LS_TOTAL CURRENT UNITS]]/INVESTORS_LIST[[#This Row],[TOTAL CURRENT UNITS]])</f>
        <v>0</v>
      </c>
      <c r="AK179" s="109">
        <f>IF(INVESTORS_LIST[[#This Row],[TOTAL CURRENT UNITS]]=0,0,INVESTORS_LIST[[#This Row],[SIP_TOTAL CURRENT UNITS]]/INVESTORS_LIST[[#This Row],[TOTAL CURRENT UNITS]])</f>
        <v>0</v>
      </c>
      <c r="AL179" s="49" cm="1">
        <f t="array" ref="AL1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79" s="49" cm="1">
        <f t="array" ref="AM1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79" s="105">
        <f t="shared" si="3"/>
        <v>14.224</v>
      </c>
      <c r="AP179" s="112">
        <f>IF(INVESTORS_LIST[[#This Row],[TOTAL CURRENT UNITS]]=0,0,INVESTORS_LIST[[#This Row],[TOTAL CURRENT UNITS]]*INVESTORS_LIST[[#This Row],[NAV]])</f>
        <v>0</v>
      </c>
      <c r="AQ179" s="49">
        <f>IF(INVESTORS_LIST[[#This Row],[LS_TOTAL CURRENT UNITS]]=0,0,INVESTORS_LIST[[#This Row],[LS_TOTAL CURRENT UNITS]]*INVESTORS_LIST[[#This Row],[NAV]])</f>
        <v>0</v>
      </c>
      <c r="AR179" s="48">
        <f>IF(INVESTORS_LIST[[#This Row],[SIP_TOTAL CURRENT UNITS]]=0,0,INVESTORS_LIST[[#This Row],[SIP_TOTAL CURRENT UNITS]]*INVESTORS_LIST[[#This Row],[NAV]])</f>
        <v>0</v>
      </c>
      <c r="AS179" s="50">
        <f>INVESTORS_LIST[[#This Row],[TOTAL CURRENT UNITS]]</f>
        <v>0</v>
      </c>
      <c r="AT179" s="48">
        <f>IF(INVESTORS_LIST[[#This Row],[TOTAL SELLABLE UNITS]]=0,0,INVESTORS_LIST[[#This Row],[TOTAL SELLABLE UNITS]]*INVESTORS_LIST[[#This Row],[NAV]])</f>
        <v>0</v>
      </c>
      <c r="AU179" s="48">
        <f>INVESTORS_LIST[[#This Row],[LS_TOTAL REALIZED GAIN]]+INVESTORS_LIST[[#This Row],[SIP_TOTAL REALIZED GAIN]]</f>
        <v>0</v>
      </c>
      <c r="AV179" s="48">
        <f>INVESTORS_LIST[[#This Row],[TOTAL MARKET VALUE]]-INVESTORS_LIST[[#This Row],[TOTAL COST VALUE OF CURRENT INVESTMENT]]</f>
        <v>0</v>
      </c>
      <c r="AW179" s="48">
        <f>IFERROR(INVESTORS_LIST[[#This Row],[TOTAL CURRENT UNITS]]/SUM(INVESTORS_LIST[TOTAL CURRENT UNITS]),0)</f>
        <v>0</v>
      </c>
    </row>
    <row r="180" spans="1:49">
      <c r="A180" s="262" t="s">
        <v>408</v>
      </c>
      <c r="B180" s="97" t="s">
        <v>409</v>
      </c>
      <c r="C180" t="s">
        <v>52</v>
      </c>
      <c r="D180" s="75" t="s">
        <v>45</v>
      </c>
      <c r="E180" s="47">
        <f>SUMIFS(LS[Unit],LS[Investor ID],INVESTORS_LIST[[#This Row],[INVESTOR CODE]],LS[B/S],"B")</f>
        <v>23949</v>
      </c>
      <c r="F180" s="47">
        <f>-SUMIFS(LS[Unit],LS[Investor ID],INVESTORS_LIST[[#This Row],[INVESTOR CODE]],LS[B/S],"S")</f>
        <v>0</v>
      </c>
      <c r="G180" s="47">
        <f>IF(INVESTORS_LIST[[#This Row],[LS_TOTAL UNITS BUY]]=0,0,INVESTORS_LIST[[#This Row],[LS_TOTAL UNITS BUY]]-INVESTORS_LIST[[#This Row],[LS_TOTAL UNITS SOLD]])</f>
        <v>23949</v>
      </c>
      <c r="H180" s="49">
        <f>IF(INVESTORS_LIST[[#This Row],[LS_TOTAL UNITS BUY]]=0,0,SUMIFS(LS[Amount],LS[Investor ID],INVESTORS_LIST[[#This Row],[INVESTOR CODE]],LS[B/S],"B"))</f>
        <v>250000</v>
      </c>
      <c r="I180" s="48">
        <f>IF(INVESTORS_LIST[[#This Row],[LS_TOTAL UNITS SOLD]]=0,0,SUMIFS(LS[Cost of Units Sold],LS[Investor ID],INVESTORS_LIST[[#This Row],[INVESTOR CODE]],LS[B/S],"S"))</f>
        <v>0</v>
      </c>
      <c r="J180" s="48">
        <f>IF(INVESTORS_LIST[[#This Row],[LS_TOTAL CURRENT UNITS]]=0,0,INVESTORS_LIST[[#This Row],[LS_TOTAL CURRENT UNITS]]*INVESTORS_LIST[[#This Row],[LS_AVERAGE COST]])</f>
        <v>249999.99999999997</v>
      </c>
      <c r="K180" s="49">
        <f>IF(INVESTORS_LIST[[#This Row],[LS_TOTAL UNITS SOLD]]=0,0,SUMIFS(LS[Realized Gain],LS[Investor ID],INVESTORS_LIST[[#This Row],[INVESTOR CODE]],LS[B/S],"S"))</f>
        <v>0</v>
      </c>
      <c r="L180" s="47">
        <f>SUMIFS(SIP[Unit],SIP[Investor ID],INVESTORS_LIST[[#This Row],[INVESTOR CODE]],SIP[B/S],"B")</f>
        <v>12697</v>
      </c>
      <c r="M180" s="47">
        <f>-SUMIFS(SIP[Unit],SIP[Investor ID],INVESTORS_LIST[[#This Row],[INVESTOR CODE]],SIP[B/S],"S")</f>
        <v>0</v>
      </c>
      <c r="N180" s="50">
        <f>IF(INVESTORS_LIST[[#This Row],[SIP_TOTAL UNITS BUY]]=0,0,INVESTORS_LIST[[#This Row],[SIP_TOTAL UNITS BUY]]-INVESTORS_LIST[[#This Row],[SIP_TOTAL UNITS SOLD]])</f>
        <v>12697</v>
      </c>
      <c r="O180" s="49">
        <f>IF(INVESTORS_LIST[[#This Row],[SIP_TOTAL UNITS BUY]]=0,0,SUMIFS(SIP[Amount],SIP[Investor ID],INVESTORS_LIST[[#This Row],[INVESTOR CODE]],SIP[B/S],"B"))</f>
        <v>150000</v>
      </c>
      <c r="P180" s="49">
        <f>IF(INVESTORS_LIST[[#This Row],[SIP_TOTAL UNITS SOLD]]=0,0,SUMIFS(SIP[Cost of Units Sold],SIP[Investor ID],INVESTORS_LIST[[#This Row],[INVESTOR CODE]],SIP[B/S],"S"))</f>
        <v>0</v>
      </c>
      <c r="Q180" s="48">
        <f>IF(INVESTORS_LIST[[#This Row],[SIP_TOTAL CURRENT UNITS]]=0,0,INVESTORS_LIST[[#This Row],[SIP_TOTAL CURRENT UNITS]]*INVESTORS_LIST[[#This Row],[SIP_AVERAGE COST]])</f>
        <v>150000</v>
      </c>
      <c r="R180" s="48">
        <f>IF(INVESTORS_LIST[[#This Row],[SIP_TOTAL UNITS SOLD]]=0,0,SUMIFS(SIP[Realized Gain],SIP[Investor ID],INVESTORS_LIST[[#This Row],[INVESTOR CODE]],SIP[B/S],"S"))</f>
        <v>0</v>
      </c>
      <c r="S180" s="50">
        <f>INVESTORS_LIST[[#This Row],[LS_TOTAL UNITS BUY]]+INVESTORS_LIST[[#This Row],[SIP_TOTAL UNITS BUY]]</f>
        <v>36646</v>
      </c>
      <c r="T180" s="50">
        <f>INVESTORS_LIST[[#This Row],[LS_TOTAL UNITS SOLD]]+INVESTORS_LIST[[#This Row],[SIP_TOTAL UNITS SOLD]]</f>
        <v>0</v>
      </c>
      <c r="U180" s="50"/>
      <c r="V180" s="50">
        <f>SUMIFS(LS[BO UNIT TRANSFER],LS[Investor ID],INVESTORS_LIST[[#This Row],[INVESTOR CODE]],LS[B/S],"B")</f>
        <v>0</v>
      </c>
      <c r="W180" s="50">
        <f>SUMIFS(SIP[BO UNIT TRANSFER],SIP[Investor ID],INVESTORS_LIST[[#This Row],[INVESTOR CODE]],SIP[B/S],"B")</f>
        <v>0</v>
      </c>
      <c r="X180" s="50">
        <f>SUMIFS(LS[BO UNIT TRANSFER],LS[Investor ID],INVESTORS_LIST[[#This Row],[INVESTOR CODE]],LS[B/S],"S")</f>
        <v>0</v>
      </c>
      <c r="Y180" s="50">
        <f>SUMIFS(SIP[BO UNIT TRANSFER],SIP[Investor ID],INVESTORS_LIST[[#This Row],[INVESTOR CODE]],SIP[B/S],"S")</f>
        <v>0</v>
      </c>
      <c r="Z180" s="106">
        <f>SUM(INVESTORS_LIST[[#This Row],[BO OPENING BALANCE]:[BO SIP UNITS REPURCHASE]])</f>
        <v>0</v>
      </c>
      <c r="AA180" s="107">
        <f>INVESTORS_LIST[[#This Row],[TOTAL UNITS BUY]]-INVESTORS_LIST[[#This Row],[TOTAL UNITS SOLD]]</f>
        <v>36646</v>
      </c>
      <c r="AB180" s="107">
        <f>INVESTORS_LIST[[#This Row],[TOTAL CURRENT UNITS]]-INVESTORS_LIST[[#This Row],[BO UNITS HOLD]]</f>
        <v>36646</v>
      </c>
      <c r="AC180" s="201" t="e">
        <f>INDEX([3]!Table_1[BO ID],MATCH(INVESTORS_LIST[[#This Row],[INVESTOR CODE]],[3]!Table_1[INVESTOR CODE],0))</f>
        <v>#REF!</v>
      </c>
      <c r="AD180" s="201" t="e">
        <f>INDEX([3]!Table_1[Brokerage Name2],MATCH(INVESTORS_LIST[[#This Row],[INVESTOR CODE]],[3]!Table_1[INVESTOR CODE],0))</f>
        <v>#REF!</v>
      </c>
      <c r="AE180" s="201" t="e">
        <f>MID(INVESTORS_LIST[[#This Row],[BO ID]],4,5)</f>
        <v>#REF!</v>
      </c>
      <c r="AF180" s="201" t="e">
        <f>MID(INVESTORS_LIST[[#This Row],[BO ID]],2,7)</f>
        <v>#REF!</v>
      </c>
      <c r="AG180" s="201" t="e">
        <f>MID(INVESTORS_LIST[[#This Row],[BO ID]],9,7)</f>
        <v>#REF!</v>
      </c>
      <c r="AH180" s="201" t="e">
        <f>RIGHT(INVESTORS_LIST[[#This Row],[BO ID]],1)</f>
        <v>#REF!</v>
      </c>
      <c r="AI180" s="50">
        <f>INVESTORS_LIST[[#This Row],[LS_TOTAL COST VALUE OF CURRENT UNITS]]+INVESTORS_LIST[[#This Row],[SIP_TOTAL COST VALUE OF CURRENT UNITS]]</f>
        <v>400000</v>
      </c>
      <c r="AJ180" s="109">
        <f>IF(INVESTORS_LIST[[#This Row],[TOTAL CURRENT UNITS]]=0,0,INVESTORS_LIST[[#This Row],[LS_TOTAL CURRENT UNITS]]/INVESTORS_LIST[[#This Row],[TOTAL CURRENT UNITS]])</f>
        <v>0.65352289472247993</v>
      </c>
      <c r="AK180" s="109">
        <f>IF(INVESTORS_LIST[[#This Row],[TOTAL CURRENT UNITS]]=0,0,INVESTORS_LIST[[#This Row],[SIP_TOTAL CURRENT UNITS]]/INVESTORS_LIST[[#This Row],[TOTAL CURRENT UNITS]])</f>
        <v>0.34647710527752007</v>
      </c>
      <c r="AL180" s="49" cm="1">
        <f t="array" ref="AL180">IF(INVESTORS_LIST[[#This Row],[LS_TOTAL UNITS BUY]]&gt;0,INDEX(LS[NAV at Cost (Average)],MATCH(CONCATENATE(COUNTIFS(LS[Investor ID],INVESTORS_LIST[[#This Row],[INVESTOR CODE]]),INVESTORS_LIST[[#This Row],[INVESTOR CODE]]),LS[Unique Code],0),),0)</f>
        <v>10.438849221261847</v>
      </c>
      <c r="AM180" s="49" cm="1">
        <f t="array" ref="AM180">IF(INVESTORS_LIST[[#This Row],[SIP_TOTAL UNITS BUY]]&gt;0,INDEX(SIP[NAV at Cost (Average)],MATCH(CONCATENATE(COUNTIFS(SIP[Investor ID],INVESTORS_LIST[[#This Row],[INVESTOR CODE]]),INVESTORS_LIST[[#This Row],[INVESTOR CODE]]),SIP[Unique Code],0),),0)</f>
        <v>11.813814286839412</v>
      </c>
      <c r="AN180" s="105">
        <f>IF(INVESTORS_LIST[[#This Row],[TOTAL CURRENT UNITS]]=0,0,(INVESTORS_LIST[[#This Row],[LS_WEIGHT]]*INVESTORS_LIST[[#This Row],[LS_AVERAGE COST]])+(INVESTORS_LIST[[#This Row],[SIP_WEIGHT]]*INVESTORS_LIST[[#This Row],[SIP_AVERAGE COST]]))</f>
        <v>10.915243137040878</v>
      </c>
      <c r="AO180" s="105">
        <f t="shared" si="3"/>
        <v>14.224</v>
      </c>
      <c r="AP180" s="112">
        <f>IF(INVESTORS_LIST[[#This Row],[TOTAL CURRENT UNITS]]=0,0,INVESTORS_LIST[[#This Row],[TOTAL CURRENT UNITS]]*INVESTORS_LIST[[#This Row],[NAV]])</f>
        <v>521252.70400000003</v>
      </c>
      <c r="AQ180" s="49">
        <f>IF(INVESTORS_LIST[[#This Row],[LS_TOTAL CURRENT UNITS]]=0,0,INVESTORS_LIST[[#This Row],[LS_TOTAL CURRENT UNITS]]*INVESTORS_LIST[[#This Row],[NAV]])</f>
        <v>340650.576</v>
      </c>
      <c r="AR180" s="48">
        <f>IF(INVESTORS_LIST[[#This Row],[SIP_TOTAL CURRENT UNITS]]=0,0,INVESTORS_LIST[[#This Row],[SIP_TOTAL CURRENT UNITS]]*INVESTORS_LIST[[#This Row],[NAV]])</f>
        <v>180602.128</v>
      </c>
      <c r="AS180" s="50">
        <f>INVESTORS_LIST[[#This Row],[TOTAL CURRENT UNITS]]</f>
        <v>36646</v>
      </c>
      <c r="AT180" s="48">
        <f>IF(INVESTORS_LIST[[#This Row],[TOTAL SELLABLE UNITS]]=0,0,INVESTORS_LIST[[#This Row],[TOTAL SELLABLE UNITS]]*INVESTORS_LIST[[#This Row],[NAV]])</f>
        <v>521252.70400000003</v>
      </c>
      <c r="AU180" s="48">
        <f>INVESTORS_LIST[[#This Row],[LS_TOTAL REALIZED GAIN]]+INVESTORS_LIST[[#This Row],[SIP_TOTAL REALIZED GAIN]]</f>
        <v>0</v>
      </c>
      <c r="AV180" s="48">
        <f>INVESTORS_LIST[[#This Row],[TOTAL MARKET VALUE]]-INVESTORS_LIST[[#This Row],[TOTAL COST VALUE OF CURRENT INVESTMENT]]</f>
        <v>121252.70400000003</v>
      </c>
      <c r="AW180" s="108">
        <f>IFERROR(INVESTORS_LIST[[#This Row],[TOTAL CURRENT UNITS]]/SUM(INVESTORS_LIST[TOTAL CURRENT UNITS]),0)</f>
        <v>8.8962591456061464E-4</v>
      </c>
    </row>
    <row r="181" spans="1:49">
      <c r="A181" s="262" t="s">
        <v>410</v>
      </c>
      <c r="B181" s="97" t="s">
        <v>411</v>
      </c>
      <c r="C181" t="s">
        <v>44</v>
      </c>
      <c r="D181" s="75" t="s">
        <v>45</v>
      </c>
      <c r="E181" s="47">
        <f>SUMIFS(LS[Unit],LS[Investor ID],INVESTORS_LIST[[#This Row],[INVESTOR CODE]],LS[B/S],"B")</f>
        <v>203170</v>
      </c>
      <c r="F181" s="47">
        <f>-SUMIFS(LS[Unit],LS[Investor ID],INVESTORS_LIST[[#This Row],[INVESTOR CODE]],LS[B/S],"S")</f>
        <v>59524</v>
      </c>
      <c r="G181" s="47">
        <f>IF(INVESTORS_LIST[[#This Row],[LS_TOTAL UNITS BUY]]=0,0,INVESTORS_LIST[[#This Row],[LS_TOTAL UNITS BUY]]-INVESTORS_LIST[[#This Row],[LS_TOTAL UNITS SOLD]])</f>
        <v>143646</v>
      </c>
      <c r="H181" s="49">
        <f>IF(INVESTORS_LIST[[#This Row],[LS_TOTAL UNITS BUY]]=0,0,SUMIFS(LS[Amount],LS[Investor ID],INVESTORS_LIST[[#This Row],[INVESTOR CODE]],LS[B/S],"B"))</f>
        <v>2725000</v>
      </c>
      <c r="I181" s="48">
        <f>IF(INVESTORS_LIST[[#This Row],[LS_TOTAL UNITS SOLD]]=0,0,SUMIFS(LS[Cost of Units Sold],LS[Investor ID],INVESTORS_LIST[[#This Row],[INVESTOR CODE]],LS[B/S],"S"))</f>
        <v>798360.48629226757</v>
      </c>
      <c r="J181" s="48">
        <f>IF(INVESTORS_LIST[[#This Row],[LS_TOTAL CURRENT UNITS]]=0,0,INVESTORS_LIST[[#This Row],[LS_TOTAL CURRENT UNITS]]*INVESTORS_LIST[[#This Row],[LS_AVERAGE COST]])</f>
        <v>1926639.5137077325</v>
      </c>
      <c r="K181" s="49">
        <f>IF(INVESTORS_LIST[[#This Row],[LS_TOTAL UNITS SOLD]]=0,0,SUMIFS(LS[Realized Gain],LS[Investor ID],INVESTORS_LIST[[#This Row],[INVESTOR CODE]],LS[B/S],"S"))</f>
        <v>31639.513707732385</v>
      </c>
      <c r="L181" s="47">
        <f>SUMIFS(SIP[Unit],SIP[Investor ID],INVESTORS_LIST[[#This Row],[INVESTOR CODE]],SIP[B/S],"B")</f>
        <v>0</v>
      </c>
      <c r="M181" s="47">
        <f>-SUMIFS(SIP[Unit],SIP[Investor ID],INVESTORS_LIST[[#This Row],[INVESTOR CODE]],SIP[B/S],"S")</f>
        <v>0</v>
      </c>
      <c r="N181" s="50">
        <f>IF(INVESTORS_LIST[[#This Row],[SIP_TOTAL UNITS BUY]]=0,0,INVESTORS_LIST[[#This Row],[SIP_TOTAL UNITS BUY]]-INVESTORS_LIST[[#This Row],[SIP_TOTAL UNITS SOLD]])</f>
        <v>0</v>
      </c>
      <c r="O181" s="49">
        <f>IF(INVESTORS_LIST[[#This Row],[SIP_TOTAL UNITS BUY]]=0,0,SUMIFS(SIP[Amount],SIP[Investor ID],INVESTORS_LIST[[#This Row],[INVESTOR CODE]],SIP[B/S],"B"))</f>
        <v>0</v>
      </c>
      <c r="P181" s="49">
        <f>IF(INVESTORS_LIST[[#This Row],[SIP_TOTAL UNITS SOLD]]=0,0,SUMIFS(SIP[Cost of Units Sold],SIP[Investor ID],INVESTORS_LIST[[#This Row],[INVESTOR CODE]],SIP[B/S],"S"))</f>
        <v>0</v>
      </c>
      <c r="Q181" s="48">
        <f>IF(INVESTORS_LIST[[#This Row],[SIP_TOTAL CURRENT UNITS]]=0,0,INVESTORS_LIST[[#This Row],[SIP_TOTAL CURRENT UNITS]]*INVESTORS_LIST[[#This Row],[SIP_AVERAGE COST]])</f>
        <v>0</v>
      </c>
      <c r="R181" s="48">
        <f>IF(INVESTORS_LIST[[#This Row],[SIP_TOTAL UNITS SOLD]]=0,0,SUMIFS(SIP[Realized Gain],SIP[Investor ID],INVESTORS_LIST[[#This Row],[INVESTOR CODE]],SIP[B/S],"S"))</f>
        <v>0</v>
      </c>
      <c r="S181" s="50">
        <f>INVESTORS_LIST[[#This Row],[LS_TOTAL UNITS BUY]]+INVESTORS_LIST[[#This Row],[SIP_TOTAL UNITS BUY]]</f>
        <v>203170</v>
      </c>
      <c r="T181" s="50">
        <f>INVESTORS_LIST[[#This Row],[LS_TOTAL UNITS SOLD]]+INVESTORS_LIST[[#This Row],[SIP_TOTAL UNITS SOLD]]</f>
        <v>59524</v>
      </c>
      <c r="U181" s="50"/>
      <c r="V181" s="50">
        <f>SUMIFS(LS[BO UNIT TRANSFER],LS[Investor ID],INVESTORS_LIST[[#This Row],[INVESTOR CODE]],LS[B/S],"B")</f>
        <v>0</v>
      </c>
      <c r="W181" s="50">
        <f>SUMIFS(SIP[BO UNIT TRANSFER],SIP[Investor ID],INVESTORS_LIST[[#This Row],[INVESTOR CODE]],SIP[B/S],"B")</f>
        <v>0</v>
      </c>
      <c r="X181" s="50">
        <f>SUMIFS(LS[BO UNIT TRANSFER],LS[Investor ID],INVESTORS_LIST[[#This Row],[INVESTOR CODE]],LS[B/S],"S")</f>
        <v>0</v>
      </c>
      <c r="Y181" s="50">
        <f>SUMIFS(SIP[BO UNIT TRANSFER],SIP[Investor ID],INVESTORS_LIST[[#This Row],[INVESTOR CODE]],SIP[B/S],"S")</f>
        <v>0</v>
      </c>
      <c r="Z181" s="106">
        <f>SUM(INVESTORS_LIST[[#This Row],[BO OPENING BALANCE]:[BO SIP UNITS REPURCHASE]])</f>
        <v>0</v>
      </c>
      <c r="AA181" s="107">
        <f>INVESTORS_LIST[[#This Row],[TOTAL UNITS BUY]]-INVESTORS_LIST[[#This Row],[TOTAL UNITS SOLD]]</f>
        <v>143646</v>
      </c>
      <c r="AB181" s="107">
        <f>INVESTORS_LIST[[#This Row],[TOTAL CURRENT UNITS]]-INVESTORS_LIST[[#This Row],[BO UNITS HOLD]]</f>
        <v>143646</v>
      </c>
      <c r="AC181" s="201" t="e">
        <f>INDEX([3]!Table_1[BO ID],MATCH(INVESTORS_LIST[[#This Row],[INVESTOR CODE]],[3]!Table_1[INVESTOR CODE],0))</f>
        <v>#REF!</v>
      </c>
      <c r="AD181" s="201" t="e">
        <f>INDEX([3]!Table_1[Brokerage Name2],MATCH(INVESTORS_LIST[[#This Row],[INVESTOR CODE]],[3]!Table_1[INVESTOR CODE],0))</f>
        <v>#REF!</v>
      </c>
      <c r="AE181" s="201" t="e">
        <f>MID(INVESTORS_LIST[[#This Row],[BO ID]],4,5)</f>
        <v>#REF!</v>
      </c>
      <c r="AF181" s="201" t="e">
        <f>MID(INVESTORS_LIST[[#This Row],[BO ID]],2,7)</f>
        <v>#REF!</v>
      </c>
      <c r="AG181" s="201" t="e">
        <f>MID(INVESTORS_LIST[[#This Row],[BO ID]],9,7)</f>
        <v>#REF!</v>
      </c>
      <c r="AH181" s="201" t="e">
        <f>RIGHT(INVESTORS_LIST[[#This Row],[BO ID]],1)</f>
        <v>#REF!</v>
      </c>
      <c r="AI181" s="50">
        <f>INVESTORS_LIST[[#This Row],[LS_TOTAL COST VALUE OF CURRENT UNITS]]+INVESTORS_LIST[[#This Row],[SIP_TOTAL COST VALUE OF CURRENT UNITS]]</f>
        <v>1926639.5137077325</v>
      </c>
      <c r="AJ181" s="109">
        <f>IF(INVESTORS_LIST[[#This Row],[TOTAL CURRENT UNITS]]=0,0,INVESTORS_LIST[[#This Row],[LS_TOTAL CURRENT UNITS]]/INVESTORS_LIST[[#This Row],[TOTAL CURRENT UNITS]])</f>
        <v>1</v>
      </c>
      <c r="AK181" s="109">
        <f>IF(INVESTORS_LIST[[#This Row],[TOTAL CURRENT UNITS]]=0,0,INVESTORS_LIST[[#This Row],[SIP_TOTAL CURRENT UNITS]]/INVESTORS_LIST[[#This Row],[TOTAL CURRENT UNITS]])</f>
        <v>0</v>
      </c>
      <c r="AL181" s="49" cm="1">
        <f t="array" ref="AL181">IF(INVESTORS_LIST[[#This Row],[LS_TOTAL UNITS BUY]]&gt;0,INDEX(LS[NAV at Cost (Average)],MATCH(CONCATENATE(COUNTIFS(LS[Investor ID],INVESTORS_LIST[[#This Row],[INVESTOR CODE]]),INVESTORS_LIST[[#This Row],[INVESTOR CODE]]),LS[Unique Code],0),),0)</f>
        <v>13.412413249987695</v>
      </c>
      <c r="AM181" s="49" cm="1">
        <f t="array" ref="AM1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1" s="105">
        <f>IF(INVESTORS_LIST[[#This Row],[TOTAL CURRENT UNITS]]=0,0,(INVESTORS_LIST[[#This Row],[LS_WEIGHT]]*INVESTORS_LIST[[#This Row],[LS_AVERAGE COST]])+(INVESTORS_LIST[[#This Row],[SIP_WEIGHT]]*INVESTORS_LIST[[#This Row],[SIP_AVERAGE COST]]))</f>
        <v>13.412413249987695</v>
      </c>
      <c r="AO181" s="105">
        <f t="shared" si="3"/>
        <v>14.224</v>
      </c>
      <c r="AP181" s="112">
        <f>IF(INVESTORS_LIST[[#This Row],[TOTAL CURRENT UNITS]]=0,0,INVESTORS_LIST[[#This Row],[TOTAL CURRENT UNITS]]*INVESTORS_LIST[[#This Row],[NAV]])</f>
        <v>2043220.7040000001</v>
      </c>
      <c r="AQ181" s="49">
        <f>IF(INVESTORS_LIST[[#This Row],[LS_TOTAL CURRENT UNITS]]=0,0,INVESTORS_LIST[[#This Row],[LS_TOTAL CURRENT UNITS]]*INVESTORS_LIST[[#This Row],[NAV]])</f>
        <v>2043220.7040000001</v>
      </c>
      <c r="AR181" s="48">
        <f>IF(INVESTORS_LIST[[#This Row],[SIP_TOTAL CURRENT UNITS]]=0,0,INVESTORS_LIST[[#This Row],[SIP_TOTAL CURRENT UNITS]]*INVESTORS_LIST[[#This Row],[NAV]])</f>
        <v>0</v>
      </c>
      <c r="AS181" s="50">
        <f>INVESTORS_LIST[[#This Row],[TOTAL CURRENT UNITS]]</f>
        <v>143646</v>
      </c>
      <c r="AT181" s="48">
        <f>IF(INVESTORS_LIST[[#This Row],[TOTAL SELLABLE UNITS]]=0,0,INVESTORS_LIST[[#This Row],[TOTAL SELLABLE UNITS]]*INVESTORS_LIST[[#This Row],[NAV]])</f>
        <v>2043220.7040000001</v>
      </c>
      <c r="AU181" s="48">
        <f>INVESTORS_LIST[[#This Row],[LS_TOTAL REALIZED GAIN]]+INVESTORS_LIST[[#This Row],[SIP_TOTAL REALIZED GAIN]]</f>
        <v>31639.513707732385</v>
      </c>
      <c r="AV181" s="48">
        <f>INVESTORS_LIST[[#This Row],[TOTAL MARKET VALUE]]-INVESTORS_LIST[[#This Row],[TOTAL COST VALUE OF CURRENT INVESTMENT]]</f>
        <v>116581.19029226759</v>
      </c>
      <c r="AW181" s="48">
        <f>IFERROR(INVESTORS_LIST[[#This Row],[TOTAL CURRENT UNITS]]/SUM(INVESTORS_LIST[TOTAL CURRENT UNITS]),0)</f>
        <v>3.4871801594437059E-3</v>
      </c>
    </row>
    <row r="182" spans="1:49" hidden="1">
      <c r="A182" s="262" t="s">
        <v>412</v>
      </c>
      <c r="B182" s="97" t="s">
        <v>413</v>
      </c>
      <c r="C182" t="s">
        <v>44</v>
      </c>
      <c r="D182" s="75" t="s">
        <v>45</v>
      </c>
      <c r="E182" s="47">
        <f>SUMIFS(LS[Unit],LS[Investor ID],INVESTORS_LIST[[#This Row],[INVESTOR CODE]],LS[B/S],"B")</f>
        <v>0</v>
      </c>
      <c r="F182" s="47">
        <f>-SUMIFS(LS[Unit],LS[Investor ID],INVESTORS_LIST[[#This Row],[INVESTOR CODE]],LS[B/S],"S")</f>
        <v>0</v>
      </c>
      <c r="G182" s="47">
        <f>IF(INVESTORS_LIST[[#This Row],[LS_TOTAL UNITS BUY]]=0,0,INVESTORS_LIST[[#This Row],[LS_TOTAL UNITS BUY]]-INVESTORS_LIST[[#This Row],[LS_TOTAL UNITS SOLD]])</f>
        <v>0</v>
      </c>
      <c r="H182" s="49">
        <f>IF(INVESTORS_LIST[[#This Row],[LS_TOTAL UNITS BUY]]=0,0,SUMIFS(LS[Amount],LS[Investor ID],INVESTORS_LIST[[#This Row],[INVESTOR CODE]],LS[B/S],"B"))</f>
        <v>0</v>
      </c>
      <c r="I182" s="48">
        <f>IF(INVESTORS_LIST[[#This Row],[LS_TOTAL UNITS SOLD]]=0,0,SUMIFS(LS[Cost of Units Sold],LS[Investor ID],INVESTORS_LIST[[#This Row],[INVESTOR CODE]],LS[B/S],"S"))</f>
        <v>0</v>
      </c>
      <c r="J182" s="48">
        <f>IF(INVESTORS_LIST[[#This Row],[LS_TOTAL CURRENT UNITS]]=0,0,INVESTORS_LIST[[#This Row],[LS_TOTAL CURRENT UNITS]]*INVESTORS_LIST[[#This Row],[LS_AVERAGE COST]])</f>
        <v>0</v>
      </c>
      <c r="K182" s="49">
        <f>IF(INVESTORS_LIST[[#This Row],[LS_TOTAL UNITS SOLD]]=0,0,SUMIFS(LS[Realized Gain],LS[Investor ID],INVESTORS_LIST[[#This Row],[INVESTOR CODE]],LS[B/S],"S"))</f>
        <v>0</v>
      </c>
      <c r="L182" s="47">
        <f>SUMIFS(SIP[Unit],SIP[Investor ID],INVESTORS_LIST[[#This Row],[INVESTOR CODE]],SIP[B/S],"B")</f>
        <v>0</v>
      </c>
      <c r="M182" s="47">
        <f>-SUMIFS(SIP[Unit],SIP[Investor ID],INVESTORS_LIST[[#This Row],[INVESTOR CODE]],SIP[B/S],"S")</f>
        <v>0</v>
      </c>
      <c r="N182" s="50">
        <f>IF(INVESTORS_LIST[[#This Row],[SIP_TOTAL UNITS BUY]]=0,0,INVESTORS_LIST[[#This Row],[SIP_TOTAL UNITS BUY]]-INVESTORS_LIST[[#This Row],[SIP_TOTAL UNITS SOLD]])</f>
        <v>0</v>
      </c>
      <c r="O182" s="49">
        <f>IF(INVESTORS_LIST[[#This Row],[SIP_TOTAL UNITS BUY]]=0,0,SUMIFS(SIP[Amount],SIP[Investor ID],INVESTORS_LIST[[#This Row],[INVESTOR CODE]],SIP[B/S],"B"))</f>
        <v>0</v>
      </c>
      <c r="P182" s="49">
        <f>IF(INVESTORS_LIST[[#This Row],[SIP_TOTAL UNITS SOLD]]=0,0,SUMIFS(SIP[Cost of Units Sold],SIP[Investor ID],INVESTORS_LIST[[#This Row],[INVESTOR CODE]],SIP[B/S],"S"))</f>
        <v>0</v>
      </c>
      <c r="Q182" s="48">
        <f>IF(INVESTORS_LIST[[#This Row],[SIP_TOTAL CURRENT UNITS]]=0,0,INVESTORS_LIST[[#This Row],[SIP_TOTAL CURRENT UNITS]]*INVESTORS_LIST[[#This Row],[SIP_AVERAGE COST]])</f>
        <v>0</v>
      </c>
      <c r="R182" s="48">
        <f>IF(INVESTORS_LIST[[#This Row],[SIP_TOTAL UNITS SOLD]]=0,0,SUMIFS(SIP[Realized Gain],SIP[Investor ID],INVESTORS_LIST[[#This Row],[INVESTOR CODE]],SIP[B/S],"S"))</f>
        <v>0</v>
      </c>
      <c r="S182" s="50">
        <f>INVESTORS_LIST[[#This Row],[LS_TOTAL UNITS BUY]]+INVESTORS_LIST[[#This Row],[SIP_TOTAL UNITS BUY]]</f>
        <v>0</v>
      </c>
      <c r="T182" s="50">
        <f>INVESTORS_LIST[[#This Row],[LS_TOTAL UNITS SOLD]]+INVESTORS_LIST[[#This Row],[SIP_TOTAL UNITS SOLD]]</f>
        <v>0</v>
      </c>
      <c r="U182" s="50"/>
      <c r="V182" s="50">
        <f>SUMIFS(LS[BO UNIT TRANSFER],LS[Investor ID],INVESTORS_LIST[[#This Row],[INVESTOR CODE]],LS[B/S],"B")</f>
        <v>0</v>
      </c>
      <c r="W182" s="50">
        <f>SUMIFS(SIP[BO UNIT TRANSFER],SIP[Investor ID],INVESTORS_LIST[[#This Row],[INVESTOR CODE]],SIP[B/S],"B")</f>
        <v>0</v>
      </c>
      <c r="X182" s="50">
        <f>SUMIFS(LS[BO UNIT TRANSFER],LS[Investor ID],INVESTORS_LIST[[#This Row],[INVESTOR CODE]],LS[B/S],"S")</f>
        <v>0</v>
      </c>
      <c r="Y182" s="50">
        <f>SUMIFS(SIP[BO UNIT TRANSFER],SIP[Investor ID],INVESTORS_LIST[[#This Row],[INVESTOR CODE]],SIP[B/S],"S")</f>
        <v>0</v>
      </c>
      <c r="Z182" s="106">
        <f>SUM(INVESTORS_LIST[[#This Row],[BO OPENING BALANCE]:[BO SIP UNITS REPURCHASE]])</f>
        <v>0</v>
      </c>
      <c r="AA182" s="107">
        <f>INVESTORS_LIST[[#This Row],[TOTAL UNITS BUY]]-INVESTORS_LIST[[#This Row],[TOTAL UNITS SOLD]]</f>
        <v>0</v>
      </c>
      <c r="AB182" s="107">
        <f>INVESTORS_LIST[[#This Row],[TOTAL CURRENT UNITS]]-INVESTORS_LIST[[#This Row],[BO UNITS HOLD]]</f>
        <v>0</v>
      </c>
      <c r="AC182" s="201" t="e">
        <f>INDEX([3]!Table_1[BO ID],MATCH(INVESTORS_LIST[[#This Row],[INVESTOR CODE]],[3]!Table_1[INVESTOR CODE],0))</f>
        <v>#REF!</v>
      </c>
      <c r="AD182" s="201" t="e">
        <f>INDEX([3]!Table_1[Brokerage Name2],MATCH(INVESTORS_LIST[[#This Row],[INVESTOR CODE]],[3]!Table_1[INVESTOR CODE],0))</f>
        <v>#REF!</v>
      </c>
      <c r="AE182" s="201" t="e">
        <f>MID(INVESTORS_LIST[[#This Row],[BO ID]],4,5)</f>
        <v>#REF!</v>
      </c>
      <c r="AF182" s="201" t="e">
        <f>MID(INVESTORS_LIST[[#This Row],[BO ID]],2,7)</f>
        <v>#REF!</v>
      </c>
      <c r="AG182" s="201" t="e">
        <f>MID(INVESTORS_LIST[[#This Row],[BO ID]],9,7)</f>
        <v>#REF!</v>
      </c>
      <c r="AH182" s="201" t="e">
        <f>RIGHT(INVESTORS_LIST[[#This Row],[BO ID]],1)</f>
        <v>#REF!</v>
      </c>
      <c r="AI182" s="50">
        <f>INVESTORS_LIST[[#This Row],[LS_TOTAL COST VALUE OF CURRENT UNITS]]+INVESTORS_LIST[[#This Row],[SIP_TOTAL COST VALUE OF CURRENT UNITS]]</f>
        <v>0</v>
      </c>
      <c r="AJ182" s="109">
        <f>IF(INVESTORS_LIST[[#This Row],[TOTAL CURRENT UNITS]]=0,0,INVESTORS_LIST[[#This Row],[LS_TOTAL CURRENT UNITS]]/INVESTORS_LIST[[#This Row],[TOTAL CURRENT UNITS]])</f>
        <v>0</v>
      </c>
      <c r="AK182" s="109">
        <f>IF(INVESTORS_LIST[[#This Row],[TOTAL CURRENT UNITS]]=0,0,INVESTORS_LIST[[#This Row],[SIP_TOTAL CURRENT UNITS]]/INVESTORS_LIST[[#This Row],[TOTAL CURRENT UNITS]])</f>
        <v>0</v>
      </c>
      <c r="AL182" s="49" cm="1">
        <f t="array" ref="AL1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2" s="49" cm="1">
        <f t="array" ref="AM1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2" s="105">
        <f t="shared" si="3"/>
        <v>14.224</v>
      </c>
      <c r="AP182" s="112">
        <f>IF(INVESTORS_LIST[[#This Row],[TOTAL CURRENT UNITS]]=0,0,INVESTORS_LIST[[#This Row],[TOTAL CURRENT UNITS]]*INVESTORS_LIST[[#This Row],[NAV]])</f>
        <v>0</v>
      </c>
      <c r="AQ182" s="49">
        <f>IF(INVESTORS_LIST[[#This Row],[LS_TOTAL CURRENT UNITS]]=0,0,INVESTORS_LIST[[#This Row],[LS_TOTAL CURRENT UNITS]]*INVESTORS_LIST[[#This Row],[NAV]])</f>
        <v>0</v>
      </c>
      <c r="AR182" s="48">
        <f>IF(INVESTORS_LIST[[#This Row],[SIP_TOTAL CURRENT UNITS]]=0,0,INVESTORS_LIST[[#This Row],[SIP_TOTAL CURRENT UNITS]]*INVESTORS_LIST[[#This Row],[NAV]])</f>
        <v>0</v>
      </c>
      <c r="AS182" s="50">
        <f>INVESTORS_LIST[[#This Row],[TOTAL CURRENT UNITS]]</f>
        <v>0</v>
      </c>
      <c r="AT182" s="48">
        <f>IF(INVESTORS_LIST[[#This Row],[TOTAL SELLABLE UNITS]]=0,0,INVESTORS_LIST[[#This Row],[TOTAL SELLABLE UNITS]]*INVESTORS_LIST[[#This Row],[NAV]])</f>
        <v>0</v>
      </c>
      <c r="AU182" s="48">
        <f>INVESTORS_LIST[[#This Row],[LS_TOTAL REALIZED GAIN]]+INVESTORS_LIST[[#This Row],[SIP_TOTAL REALIZED GAIN]]</f>
        <v>0</v>
      </c>
      <c r="AV182" s="48">
        <f>INVESTORS_LIST[[#This Row],[TOTAL MARKET VALUE]]-INVESTORS_LIST[[#This Row],[TOTAL COST VALUE OF CURRENT INVESTMENT]]</f>
        <v>0</v>
      </c>
      <c r="AW182" s="48">
        <f>IFERROR(INVESTORS_LIST[[#This Row],[TOTAL CURRENT UNITS]]/SUM(INVESTORS_LIST[TOTAL CURRENT UNITS]),0)</f>
        <v>0</v>
      </c>
    </row>
    <row r="183" spans="1:49" hidden="1">
      <c r="A183" s="262" t="s">
        <v>414</v>
      </c>
      <c r="B183" s="97" t="s">
        <v>415</v>
      </c>
      <c r="C183" t="s">
        <v>44</v>
      </c>
      <c r="D183" s="75" t="s">
        <v>45</v>
      </c>
      <c r="E183" s="47">
        <f>SUMIFS(LS[Unit],LS[Investor ID],INVESTORS_LIST[[#This Row],[INVESTOR CODE]],LS[B/S],"B")</f>
        <v>0</v>
      </c>
      <c r="F183" s="47">
        <f>-SUMIFS(LS[Unit],LS[Investor ID],INVESTORS_LIST[[#This Row],[INVESTOR CODE]],LS[B/S],"S")</f>
        <v>0</v>
      </c>
      <c r="G183" s="47">
        <f>IF(INVESTORS_LIST[[#This Row],[LS_TOTAL UNITS BUY]]=0,0,INVESTORS_LIST[[#This Row],[LS_TOTAL UNITS BUY]]-INVESTORS_LIST[[#This Row],[LS_TOTAL UNITS SOLD]])</f>
        <v>0</v>
      </c>
      <c r="H183" s="49">
        <f>IF(INVESTORS_LIST[[#This Row],[LS_TOTAL UNITS BUY]]=0,0,SUMIFS(LS[Amount],LS[Investor ID],INVESTORS_LIST[[#This Row],[INVESTOR CODE]],LS[B/S],"B"))</f>
        <v>0</v>
      </c>
      <c r="I183" s="48">
        <f>IF(INVESTORS_LIST[[#This Row],[LS_TOTAL UNITS SOLD]]=0,0,SUMIFS(LS[Cost of Units Sold],LS[Investor ID],INVESTORS_LIST[[#This Row],[INVESTOR CODE]],LS[B/S],"S"))</f>
        <v>0</v>
      </c>
      <c r="J183" s="48">
        <f>IF(INVESTORS_LIST[[#This Row],[LS_TOTAL CURRENT UNITS]]=0,0,INVESTORS_LIST[[#This Row],[LS_TOTAL CURRENT UNITS]]*INVESTORS_LIST[[#This Row],[LS_AVERAGE COST]])</f>
        <v>0</v>
      </c>
      <c r="K183" s="49">
        <f>IF(INVESTORS_LIST[[#This Row],[LS_TOTAL UNITS SOLD]]=0,0,SUMIFS(LS[Realized Gain],LS[Investor ID],INVESTORS_LIST[[#This Row],[INVESTOR CODE]],LS[B/S],"S"))</f>
        <v>0</v>
      </c>
      <c r="L183" s="47">
        <f>SUMIFS(SIP[Unit],SIP[Investor ID],INVESTORS_LIST[[#This Row],[INVESTOR CODE]],SIP[B/S],"B")</f>
        <v>0</v>
      </c>
      <c r="M183" s="47">
        <f>-SUMIFS(SIP[Unit],SIP[Investor ID],INVESTORS_LIST[[#This Row],[INVESTOR CODE]],SIP[B/S],"S")</f>
        <v>0</v>
      </c>
      <c r="N183" s="50">
        <f>IF(INVESTORS_LIST[[#This Row],[SIP_TOTAL UNITS BUY]]=0,0,INVESTORS_LIST[[#This Row],[SIP_TOTAL UNITS BUY]]-INVESTORS_LIST[[#This Row],[SIP_TOTAL UNITS SOLD]])</f>
        <v>0</v>
      </c>
      <c r="O183" s="49">
        <f>IF(INVESTORS_LIST[[#This Row],[SIP_TOTAL UNITS BUY]]=0,0,SUMIFS(SIP[Amount],SIP[Investor ID],INVESTORS_LIST[[#This Row],[INVESTOR CODE]],SIP[B/S],"B"))</f>
        <v>0</v>
      </c>
      <c r="P183" s="49">
        <f>IF(INVESTORS_LIST[[#This Row],[SIP_TOTAL UNITS SOLD]]=0,0,SUMIFS(SIP[Cost of Units Sold],SIP[Investor ID],INVESTORS_LIST[[#This Row],[INVESTOR CODE]],SIP[B/S],"S"))</f>
        <v>0</v>
      </c>
      <c r="Q183" s="48">
        <f>IF(INVESTORS_LIST[[#This Row],[SIP_TOTAL CURRENT UNITS]]=0,0,INVESTORS_LIST[[#This Row],[SIP_TOTAL CURRENT UNITS]]*INVESTORS_LIST[[#This Row],[SIP_AVERAGE COST]])</f>
        <v>0</v>
      </c>
      <c r="R183" s="48">
        <f>IF(INVESTORS_LIST[[#This Row],[SIP_TOTAL UNITS SOLD]]=0,0,SUMIFS(SIP[Realized Gain],SIP[Investor ID],INVESTORS_LIST[[#This Row],[INVESTOR CODE]],SIP[B/S],"S"))</f>
        <v>0</v>
      </c>
      <c r="S183" s="50">
        <f>INVESTORS_LIST[[#This Row],[LS_TOTAL UNITS BUY]]+INVESTORS_LIST[[#This Row],[SIP_TOTAL UNITS BUY]]</f>
        <v>0</v>
      </c>
      <c r="T183" s="50">
        <f>INVESTORS_LIST[[#This Row],[LS_TOTAL UNITS SOLD]]+INVESTORS_LIST[[#This Row],[SIP_TOTAL UNITS SOLD]]</f>
        <v>0</v>
      </c>
      <c r="U183" s="50"/>
      <c r="V183" s="50">
        <f>SUMIFS(LS[BO UNIT TRANSFER],LS[Investor ID],INVESTORS_LIST[[#This Row],[INVESTOR CODE]],LS[B/S],"B")</f>
        <v>0</v>
      </c>
      <c r="W183" s="50">
        <f>SUMIFS(SIP[BO UNIT TRANSFER],SIP[Investor ID],INVESTORS_LIST[[#This Row],[INVESTOR CODE]],SIP[B/S],"B")</f>
        <v>0</v>
      </c>
      <c r="X183" s="50">
        <f>SUMIFS(LS[BO UNIT TRANSFER],LS[Investor ID],INVESTORS_LIST[[#This Row],[INVESTOR CODE]],LS[B/S],"S")</f>
        <v>0</v>
      </c>
      <c r="Y183" s="50">
        <f>SUMIFS(SIP[BO UNIT TRANSFER],SIP[Investor ID],INVESTORS_LIST[[#This Row],[INVESTOR CODE]],SIP[B/S],"S")</f>
        <v>0</v>
      </c>
      <c r="Z183" s="106">
        <f>SUM(INVESTORS_LIST[[#This Row],[BO OPENING BALANCE]:[BO SIP UNITS REPURCHASE]])</f>
        <v>0</v>
      </c>
      <c r="AA183" s="107">
        <f>INVESTORS_LIST[[#This Row],[TOTAL UNITS BUY]]-INVESTORS_LIST[[#This Row],[TOTAL UNITS SOLD]]</f>
        <v>0</v>
      </c>
      <c r="AB183" s="107">
        <f>INVESTORS_LIST[[#This Row],[TOTAL CURRENT UNITS]]-INVESTORS_LIST[[#This Row],[BO UNITS HOLD]]</f>
        <v>0</v>
      </c>
      <c r="AC183" s="201" t="e">
        <f>INDEX([3]!Table_1[BO ID],MATCH(INVESTORS_LIST[[#This Row],[INVESTOR CODE]],[3]!Table_1[INVESTOR CODE],0))</f>
        <v>#REF!</v>
      </c>
      <c r="AD183" s="201" t="e">
        <f>INDEX([3]!Table_1[Brokerage Name2],MATCH(INVESTORS_LIST[[#This Row],[INVESTOR CODE]],[3]!Table_1[INVESTOR CODE],0))</f>
        <v>#REF!</v>
      </c>
      <c r="AE183" s="201" t="e">
        <f>MID(INVESTORS_LIST[[#This Row],[BO ID]],4,5)</f>
        <v>#REF!</v>
      </c>
      <c r="AF183" s="201" t="e">
        <f>MID(INVESTORS_LIST[[#This Row],[BO ID]],2,7)</f>
        <v>#REF!</v>
      </c>
      <c r="AG183" s="201" t="e">
        <f>MID(INVESTORS_LIST[[#This Row],[BO ID]],9,7)</f>
        <v>#REF!</v>
      </c>
      <c r="AH183" s="201" t="e">
        <f>RIGHT(INVESTORS_LIST[[#This Row],[BO ID]],1)</f>
        <v>#REF!</v>
      </c>
      <c r="AI183" s="50">
        <f>INVESTORS_LIST[[#This Row],[LS_TOTAL COST VALUE OF CURRENT UNITS]]+INVESTORS_LIST[[#This Row],[SIP_TOTAL COST VALUE OF CURRENT UNITS]]</f>
        <v>0</v>
      </c>
      <c r="AJ183" s="109">
        <f>IF(INVESTORS_LIST[[#This Row],[TOTAL CURRENT UNITS]]=0,0,INVESTORS_LIST[[#This Row],[LS_TOTAL CURRENT UNITS]]/INVESTORS_LIST[[#This Row],[TOTAL CURRENT UNITS]])</f>
        <v>0</v>
      </c>
      <c r="AK183" s="109">
        <f>IF(INVESTORS_LIST[[#This Row],[TOTAL CURRENT UNITS]]=0,0,INVESTORS_LIST[[#This Row],[SIP_TOTAL CURRENT UNITS]]/INVESTORS_LIST[[#This Row],[TOTAL CURRENT UNITS]])</f>
        <v>0</v>
      </c>
      <c r="AL183" s="49" cm="1">
        <f t="array" ref="AL1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3" s="49" cm="1">
        <f t="array" ref="AM1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3" s="105">
        <f t="shared" si="3"/>
        <v>14.224</v>
      </c>
      <c r="AP183" s="112">
        <f>IF(INVESTORS_LIST[[#This Row],[TOTAL CURRENT UNITS]]=0,0,INVESTORS_LIST[[#This Row],[TOTAL CURRENT UNITS]]*INVESTORS_LIST[[#This Row],[NAV]])</f>
        <v>0</v>
      </c>
      <c r="AQ183" s="49">
        <f>IF(INVESTORS_LIST[[#This Row],[LS_TOTAL CURRENT UNITS]]=0,0,INVESTORS_LIST[[#This Row],[LS_TOTAL CURRENT UNITS]]*INVESTORS_LIST[[#This Row],[NAV]])</f>
        <v>0</v>
      </c>
      <c r="AR183" s="48">
        <f>IF(INVESTORS_LIST[[#This Row],[SIP_TOTAL CURRENT UNITS]]=0,0,INVESTORS_LIST[[#This Row],[SIP_TOTAL CURRENT UNITS]]*INVESTORS_LIST[[#This Row],[NAV]])</f>
        <v>0</v>
      </c>
      <c r="AS183" s="50">
        <f>INVESTORS_LIST[[#This Row],[TOTAL CURRENT UNITS]]</f>
        <v>0</v>
      </c>
      <c r="AT183" s="48">
        <f>IF(INVESTORS_LIST[[#This Row],[TOTAL SELLABLE UNITS]]=0,0,INVESTORS_LIST[[#This Row],[TOTAL SELLABLE UNITS]]*INVESTORS_LIST[[#This Row],[NAV]])</f>
        <v>0</v>
      </c>
      <c r="AU183" s="48">
        <f>INVESTORS_LIST[[#This Row],[LS_TOTAL REALIZED GAIN]]+INVESTORS_LIST[[#This Row],[SIP_TOTAL REALIZED GAIN]]</f>
        <v>0</v>
      </c>
      <c r="AV183" s="48">
        <f>INVESTORS_LIST[[#This Row],[TOTAL MARKET VALUE]]-INVESTORS_LIST[[#This Row],[TOTAL COST VALUE OF CURRENT INVESTMENT]]</f>
        <v>0</v>
      </c>
      <c r="AW183" s="48">
        <f>IFERROR(INVESTORS_LIST[[#This Row],[TOTAL CURRENT UNITS]]/SUM(INVESTORS_LIST[TOTAL CURRENT UNITS]),0)</f>
        <v>0</v>
      </c>
    </row>
    <row r="184" spans="1:49" hidden="1">
      <c r="A184" s="262" t="s">
        <v>416</v>
      </c>
      <c r="B184" s="97" t="s">
        <v>417</v>
      </c>
      <c r="C184" t="s">
        <v>67</v>
      </c>
      <c r="D184" s="75" t="s">
        <v>45</v>
      </c>
      <c r="E184" s="47">
        <f>SUMIFS(LS[Unit],LS[Investor ID],INVESTORS_LIST[[#This Row],[INVESTOR CODE]],LS[B/S],"B")</f>
        <v>0</v>
      </c>
      <c r="F184" s="47">
        <f>-SUMIFS(LS[Unit],LS[Investor ID],INVESTORS_LIST[[#This Row],[INVESTOR CODE]],LS[B/S],"S")</f>
        <v>0</v>
      </c>
      <c r="G184" s="47">
        <f>IF(INVESTORS_LIST[[#This Row],[LS_TOTAL UNITS BUY]]=0,0,INVESTORS_LIST[[#This Row],[LS_TOTAL UNITS BUY]]-INVESTORS_LIST[[#This Row],[LS_TOTAL UNITS SOLD]])</f>
        <v>0</v>
      </c>
      <c r="H184" s="49">
        <f>IF(INVESTORS_LIST[[#This Row],[LS_TOTAL UNITS BUY]]=0,0,SUMIFS(LS[Amount],LS[Investor ID],INVESTORS_LIST[[#This Row],[INVESTOR CODE]],LS[B/S],"B"))</f>
        <v>0</v>
      </c>
      <c r="I184" s="48">
        <f>IF(INVESTORS_LIST[[#This Row],[LS_TOTAL UNITS SOLD]]=0,0,SUMIFS(LS[Cost of Units Sold],LS[Investor ID],INVESTORS_LIST[[#This Row],[INVESTOR CODE]],LS[B/S],"S"))</f>
        <v>0</v>
      </c>
      <c r="J184" s="48">
        <f>IF(INVESTORS_LIST[[#This Row],[LS_TOTAL CURRENT UNITS]]=0,0,INVESTORS_LIST[[#This Row],[LS_TOTAL CURRENT UNITS]]*INVESTORS_LIST[[#This Row],[LS_AVERAGE COST]])</f>
        <v>0</v>
      </c>
      <c r="K184" s="49">
        <f>IF(INVESTORS_LIST[[#This Row],[LS_TOTAL UNITS SOLD]]=0,0,SUMIFS(LS[Realized Gain],LS[Investor ID],INVESTORS_LIST[[#This Row],[INVESTOR CODE]],LS[B/S],"S"))</f>
        <v>0</v>
      </c>
      <c r="L184" s="47">
        <f>SUMIFS(SIP[Unit],SIP[Investor ID],INVESTORS_LIST[[#This Row],[INVESTOR CODE]],SIP[B/S],"B")</f>
        <v>0</v>
      </c>
      <c r="M184" s="47">
        <f>-SUMIFS(SIP[Unit],SIP[Investor ID],INVESTORS_LIST[[#This Row],[INVESTOR CODE]],SIP[B/S],"S")</f>
        <v>0</v>
      </c>
      <c r="N184" s="50">
        <f>IF(INVESTORS_LIST[[#This Row],[SIP_TOTAL UNITS BUY]]=0,0,INVESTORS_LIST[[#This Row],[SIP_TOTAL UNITS BUY]]-INVESTORS_LIST[[#This Row],[SIP_TOTAL UNITS SOLD]])</f>
        <v>0</v>
      </c>
      <c r="O184" s="49">
        <f>IF(INVESTORS_LIST[[#This Row],[SIP_TOTAL UNITS BUY]]=0,0,SUMIFS(SIP[Amount],SIP[Investor ID],INVESTORS_LIST[[#This Row],[INVESTOR CODE]],SIP[B/S],"B"))</f>
        <v>0</v>
      </c>
      <c r="P184" s="49">
        <f>IF(INVESTORS_LIST[[#This Row],[SIP_TOTAL UNITS SOLD]]=0,0,SUMIFS(SIP[Cost of Units Sold],SIP[Investor ID],INVESTORS_LIST[[#This Row],[INVESTOR CODE]],SIP[B/S],"S"))</f>
        <v>0</v>
      </c>
      <c r="Q184" s="48">
        <f>IF(INVESTORS_LIST[[#This Row],[SIP_TOTAL CURRENT UNITS]]=0,0,INVESTORS_LIST[[#This Row],[SIP_TOTAL CURRENT UNITS]]*INVESTORS_LIST[[#This Row],[SIP_AVERAGE COST]])</f>
        <v>0</v>
      </c>
      <c r="R184" s="48">
        <f>IF(INVESTORS_LIST[[#This Row],[SIP_TOTAL UNITS SOLD]]=0,0,SUMIFS(SIP[Realized Gain],SIP[Investor ID],INVESTORS_LIST[[#This Row],[INVESTOR CODE]],SIP[B/S],"S"))</f>
        <v>0</v>
      </c>
      <c r="S184" s="50">
        <f>INVESTORS_LIST[[#This Row],[LS_TOTAL UNITS BUY]]+INVESTORS_LIST[[#This Row],[SIP_TOTAL UNITS BUY]]</f>
        <v>0</v>
      </c>
      <c r="T184" s="50">
        <f>INVESTORS_LIST[[#This Row],[LS_TOTAL UNITS SOLD]]+INVESTORS_LIST[[#This Row],[SIP_TOTAL UNITS SOLD]]</f>
        <v>0</v>
      </c>
      <c r="U184" s="50"/>
      <c r="V184" s="50">
        <f>SUMIFS(LS[BO UNIT TRANSFER],LS[Investor ID],INVESTORS_LIST[[#This Row],[INVESTOR CODE]],LS[B/S],"B")</f>
        <v>0</v>
      </c>
      <c r="W184" s="50">
        <f>SUMIFS(SIP[BO UNIT TRANSFER],SIP[Investor ID],INVESTORS_LIST[[#This Row],[INVESTOR CODE]],SIP[B/S],"B")</f>
        <v>0</v>
      </c>
      <c r="X184" s="50">
        <f>SUMIFS(LS[BO UNIT TRANSFER],LS[Investor ID],INVESTORS_LIST[[#This Row],[INVESTOR CODE]],LS[B/S],"S")</f>
        <v>0</v>
      </c>
      <c r="Y184" s="50">
        <f>SUMIFS(SIP[BO UNIT TRANSFER],SIP[Investor ID],INVESTORS_LIST[[#This Row],[INVESTOR CODE]],SIP[B/S],"S")</f>
        <v>0</v>
      </c>
      <c r="Z184" s="106">
        <f>SUM(INVESTORS_LIST[[#This Row],[BO OPENING BALANCE]:[BO SIP UNITS REPURCHASE]])</f>
        <v>0</v>
      </c>
      <c r="AA184" s="107">
        <f>INVESTORS_LIST[[#This Row],[TOTAL UNITS BUY]]-INVESTORS_LIST[[#This Row],[TOTAL UNITS SOLD]]</f>
        <v>0</v>
      </c>
      <c r="AB184" s="107">
        <f>INVESTORS_LIST[[#This Row],[TOTAL CURRENT UNITS]]-INVESTORS_LIST[[#This Row],[BO UNITS HOLD]]</f>
        <v>0</v>
      </c>
      <c r="AC184" s="201" t="e">
        <f>INDEX([3]!Table_1[BO ID],MATCH(INVESTORS_LIST[[#This Row],[INVESTOR CODE]],[3]!Table_1[INVESTOR CODE],0))</f>
        <v>#REF!</v>
      </c>
      <c r="AD184" s="201" t="e">
        <f>INDEX([3]!Table_1[Brokerage Name2],MATCH(INVESTORS_LIST[[#This Row],[INVESTOR CODE]],[3]!Table_1[INVESTOR CODE],0))</f>
        <v>#REF!</v>
      </c>
      <c r="AE184" s="201" t="e">
        <f>MID(INVESTORS_LIST[[#This Row],[BO ID]],4,5)</f>
        <v>#REF!</v>
      </c>
      <c r="AF184" s="201" t="e">
        <f>MID(INVESTORS_LIST[[#This Row],[BO ID]],2,7)</f>
        <v>#REF!</v>
      </c>
      <c r="AG184" s="201" t="e">
        <f>MID(INVESTORS_LIST[[#This Row],[BO ID]],9,7)</f>
        <v>#REF!</v>
      </c>
      <c r="AH184" s="201" t="e">
        <f>RIGHT(INVESTORS_LIST[[#This Row],[BO ID]],1)</f>
        <v>#REF!</v>
      </c>
      <c r="AI184" s="50">
        <f>INVESTORS_LIST[[#This Row],[LS_TOTAL COST VALUE OF CURRENT UNITS]]+INVESTORS_LIST[[#This Row],[SIP_TOTAL COST VALUE OF CURRENT UNITS]]</f>
        <v>0</v>
      </c>
      <c r="AJ184" s="109">
        <f>IF(INVESTORS_LIST[[#This Row],[TOTAL CURRENT UNITS]]=0,0,INVESTORS_LIST[[#This Row],[LS_TOTAL CURRENT UNITS]]/INVESTORS_LIST[[#This Row],[TOTAL CURRENT UNITS]])</f>
        <v>0</v>
      </c>
      <c r="AK184" s="109">
        <f>IF(INVESTORS_LIST[[#This Row],[TOTAL CURRENT UNITS]]=0,0,INVESTORS_LIST[[#This Row],[SIP_TOTAL CURRENT UNITS]]/INVESTORS_LIST[[#This Row],[TOTAL CURRENT UNITS]])</f>
        <v>0</v>
      </c>
      <c r="AL184" s="49" cm="1">
        <f t="array" ref="AL1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4" s="49" cm="1">
        <f t="array" ref="AM1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4" s="105">
        <f t="shared" si="3"/>
        <v>14.224</v>
      </c>
      <c r="AP184" s="112">
        <f>IF(INVESTORS_LIST[[#This Row],[TOTAL CURRENT UNITS]]=0,0,INVESTORS_LIST[[#This Row],[TOTAL CURRENT UNITS]]*INVESTORS_LIST[[#This Row],[NAV]])</f>
        <v>0</v>
      </c>
      <c r="AQ184" s="49">
        <f>IF(INVESTORS_LIST[[#This Row],[LS_TOTAL CURRENT UNITS]]=0,0,INVESTORS_LIST[[#This Row],[LS_TOTAL CURRENT UNITS]]*INVESTORS_LIST[[#This Row],[NAV]])</f>
        <v>0</v>
      </c>
      <c r="AR184" s="48">
        <f>IF(INVESTORS_LIST[[#This Row],[SIP_TOTAL CURRENT UNITS]]=0,0,INVESTORS_LIST[[#This Row],[SIP_TOTAL CURRENT UNITS]]*INVESTORS_LIST[[#This Row],[NAV]])</f>
        <v>0</v>
      </c>
      <c r="AS184" s="50">
        <f>INVESTORS_LIST[[#This Row],[TOTAL CURRENT UNITS]]</f>
        <v>0</v>
      </c>
      <c r="AT184" s="48">
        <f>IF(INVESTORS_LIST[[#This Row],[TOTAL SELLABLE UNITS]]=0,0,INVESTORS_LIST[[#This Row],[TOTAL SELLABLE UNITS]]*INVESTORS_LIST[[#This Row],[NAV]])</f>
        <v>0</v>
      </c>
      <c r="AU184" s="48">
        <f>INVESTORS_LIST[[#This Row],[LS_TOTAL REALIZED GAIN]]+INVESTORS_LIST[[#This Row],[SIP_TOTAL REALIZED GAIN]]</f>
        <v>0</v>
      </c>
      <c r="AV184" s="48">
        <f>INVESTORS_LIST[[#This Row],[TOTAL MARKET VALUE]]-INVESTORS_LIST[[#This Row],[TOTAL COST VALUE OF CURRENT INVESTMENT]]</f>
        <v>0</v>
      </c>
      <c r="AW184" s="48">
        <f>IFERROR(INVESTORS_LIST[[#This Row],[TOTAL CURRENT UNITS]]/SUM(INVESTORS_LIST[TOTAL CURRENT UNITS]),0)</f>
        <v>0</v>
      </c>
    </row>
    <row r="185" spans="1:49" hidden="1">
      <c r="A185" s="262" t="s">
        <v>418</v>
      </c>
      <c r="B185" s="97" t="s">
        <v>419</v>
      </c>
      <c r="C185" t="s">
        <v>44</v>
      </c>
      <c r="D185" s="75" t="s">
        <v>45</v>
      </c>
      <c r="E185" s="47">
        <f>SUMIFS(LS[Unit],LS[Investor ID],INVESTORS_LIST[[#This Row],[INVESTOR CODE]],LS[B/S],"B")</f>
        <v>0</v>
      </c>
      <c r="F185" s="47">
        <f>-SUMIFS(LS[Unit],LS[Investor ID],INVESTORS_LIST[[#This Row],[INVESTOR CODE]],LS[B/S],"S")</f>
        <v>0</v>
      </c>
      <c r="G185" s="47">
        <f>IF(INVESTORS_LIST[[#This Row],[LS_TOTAL UNITS BUY]]=0,0,INVESTORS_LIST[[#This Row],[LS_TOTAL UNITS BUY]]-INVESTORS_LIST[[#This Row],[LS_TOTAL UNITS SOLD]])</f>
        <v>0</v>
      </c>
      <c r="H185" s="49">
        <f>IF(INVESTORS_LIST[[#This Row],[LS_TOTAL UNITS BUY]]=0,0,SUMIFS(LS[Amount],LS[Investor ID],INVESTORS_LIST[[#This Row],[INVESTOR CODE]],LS[B/S],"B"))</f>
        <v>0</v>
      </c>
      <c r="I185" s="48">
        <f>IF(INVESTORS_LIST[[#This Row],[LS_TOTAL UNITS SOLD]]=0,0,SUMIFS(LS[Cost of Units Sold],LS[Investor ID],INVESTORS_LIST[[#This Row],[INVESTOR CODE]],LS[B/S],"S"))</f>
        <v>0</v>
      </c>
      <c r="J185" s="48">
        <f>IF(INVESTORS_LIST[[#This Row],[LS_TOTAL CURRENT UNITS]]=0,0,INVESTORS_LIST[[#This Row],[LS_TOTAL CURRENT UNITS]]*INVESTORS_LIST[[#This Row],[LS_AVERAGE COST]])</f>
        <v>0</v>
      </c>
      <c r="K185" s="49">
        <f>IF(INVESTORS_LIST[[#This Row],[LS_TOTAL UNITS SOLD]]=0,0,SUMIFS(LS[Realized Gain],LS[Investor ID],INVESTORS_LIST[[#This Row],[INVESTOR CODE]],LS[B/S],"S"))</f>
        <v>0</v>
      </c>
      <c r="L185" s="47">
        <f>SUMIFS(SIP[Unit],SIP[Investor ID],INVESTORS_LIST[[#This Row],[INVESTOR CODE]],SIP[B/S],"B")</f>
        <v>0</v>
      </c>
      <c r="M185" s="47">
        <f>-SUMIFS(SIP[Unit],SIP[Investor ID],INVESTORS_LIST[[#This Row],[INVESTOR CODE]],SIP[B/S],"S")</f>
        <v>0</v>
      </c>
      <c r="N185" s="50">
        <f>IF(INVESTORS_LIST[[#This Row],[SIP_TOTAL UNITS BUY]]=0,0,INVESTORS_LIST[[#This Row],[SIP_TOTAL UNITS BUY]]-INVESTORS_LIST[[#This Row],[SIP_TOTAL UNITS SOLD]])</f>
        <v>0</v>
      </c>
      <c r="O185" s="49">
        <f>IF(INVESTORS_LIST[[#This Row],[SIP_TOTAL UNITS BUY]]=0,0,SUMIFS(SIP[Amount],SIP[Investor ID],INVESTORS_LIST[[#This Row],[INVESTOR CODE]],SIP[B/S],"B"))</f>
        <v>0</v>
      </c>
      <c r="P185" s="49">
        <f>IF(INVESTORS_LIST[[#This Row],[SIP_TOTAL UNITS SOLD]]=0,0,SUMIFS(SIP[Cost of Units Sold],SIP[Investor ID],INVESTORS_LIST[[#This Row],[INVESTOR CODE]],SIP[B/S],"S"))</f>
        <v>0</v>
      </c>
      <c r="Q185" s="48">
        <f>IF(INVESTORS_LIST[[#This Row],[SIP_TOTAL CURRENT UNITS]]=0,0,INVESTORS_LIST[[#This Row],[SIP_TOTAL CURRENT UNITS]]*INVESTORS_LIST[[#This Row],[SIP_AVERAGE COST]])</f>
        <v>0</v>
      </c>
      <c r="R185" s="48">
        <f>IF(INVESTORS_LIST[[#This Row],[SIP_TOTAL UNITS SOLD]]=0,0,SUMIFS(SIP[Realized Gain],SIP[Investor ID],INVESTORS_LIST[[#This Row],[INVESTOR CODE]],SIP[B/S],"S"))</f>
        <v>0</v>
      </c>
      <c r="S185" s="50">
        <f>INVESTORS_LIST[[#This Row],[LS_TOTAL UNITS BUY]]+INVESTORS_LIST[[#This Row],[SIP_TOTAL UNITS BUY]]</f>
        <v>0</v>
      </c>
      <c r="T185" s="50">
        <f>INVESTORS_LIST[[#This Row],[LS_TOTAL UNITS SOLD]]+INVESTORS_LIST[[#This Row],[SIP_TOTAL UNITS SOLD]]</f>
        <v>0</v>
      </c>
      <c r="U185" s="50"/>
      <c r="V185" s="50">
        <f>SUMIFS(LS[BO UNIT TRANSFER],LS[Investor ID],INVESTORS_LIST[[#This Row],[INVESTOR CODE]],LS[B/S],"B")</f>
        <v>0</v>
      </c>
      <c r="W185" s="50">
        <f>SUMIFS(SIP[BO UNIT TRANSFER],SIP[Investor ID],INVESTORS_LIST[[#This Row],[INVESTOR CODE]],SIP[B/S],"B")</f>
        <v>0</v>
      </c>
      <c r="X185" s="50">
        <f>SUMIFS(LS[BO UNIT TRANSFER],LS[Investor ID],INVESTORS_LIST[[#This Row],[INVESTOR CODE]],LS[B/S],"S")</f>
        <v>0</v>
      </c>
      <c r="Y185" s="50">
        <f>SUMIFS(SIP[BO UNIT TRANSFER],SIP[Investor ID],INVESTORS_LIST[[#This Row],[INVESTOR CODE]],SIP[B/S],"S")</f>
        <v>0</v>
      </c>
      <c r="Z185" s="106">
        <f>SUM(INVESTORS_LIST[[#This Row],[BO OPENING BALANCE]:[BO SIP UNITS REPURCHASE]])</f>
        <v>0</v>
      </c>
      <c r="AA185" s="107">
        <f>INVESTORS_LIST[[#This Row],[TOTAL UNITS BUY]]-INVESTORS_LIST[[#This Row],[TOTAL UNITS SOLD]]</f>
        <v>0</v>
      </c>
      <c r="AB185" s="107">
        <f>INVESTORS_LIST[[#This Row],[TOTAL CURRENT UNITS]]-INVESTORS_LIST[[#This Row],[BO UNITS HOLD]]</f>
        <v>0</v>
      </c>
      <c r="AC185" s="201" t="e">
        <f>INDEX([3]!Table_1[BO ID],MATCH(INVESTORS_LIST[[#This Row],[INVESTOR CODE]],[3]!Table_1[INVESTOR CODE],0))</f>
        <v>#REF!</v>
      </c>
      <c r="AD185" s="201" t="e">
        <f>INDEX([3]!Table_1[Brokerage Name2],MATCH(INVESTORS_LIST[[#This Row],[INVESTOR CODE]],[3]!Table_1[INVESTOR CODE],0))</f>
        <v>#REF!</v>
      </c>
      <c r="AE185" s="201" t="e">
        <f>MID(INVESTORS_LIST[[#This Row],[BO ID]],4,5)</f>
        <v>#REF!</v>
      </c>
      <c r="AF185" s="201" t="e">
        <f>MID(INVESTORS_LIST[[#This Row],[BO ID]],2,7)</f>
        <v>#REF!</v>
      </c>
      <c r="AG185" s="201" t="e">
        <f>MID(INVESTORS_LIST[[#This Row],[BO ID]],9,7)</f>
        <v>#REF!</v>
      </c>
      <c r="AH185" s="201" t="e">
        <f>RIGHT(INVESTORS_LIST[[#This Row],[BO ID]],1)</f>
        <v>#REF!</v>
      </c>
      <c r="AI185" s="50">
        <f>INVESTORS_LIST[[#This Row],[LS_TOTAL COST VALUE OF CURRENT UNITS]]+INVESTORS_LIST[[#This Row],[SIP_TOTAL COST VALUE OF CURRENT UNITS]]</f>
        <v>0</v>
      </c>
      <c r="AJ185" s="109">
        <f>IF(INVESTORS_LIST[[#This Row],[TOTAL CURRENT UNITS]]=0,0,INVESTORS_LIST[[#This Row],[LS_TOTAL CURRENT UNITS]]/INVESTORS_LIST[[#This Row],[TOTAL CURRENT UNITS]])</f>
        <v>0</v>
      </c>
      <c r="AK185" s="109">
        <f>IF(INVESTORS_LIST[[#This Row],[TOTAL CURRENT UNITS]]=0,0,INVESTORS_LIST[[#This Row],[SIP_TOTAL CURRENT UNITS]]/INVESTORS_LIST[[#This Row],[TOTAL CURRENT UNITS]])</f>
        <v>0</v>
      </c>
      <c r="AL185" s="49" cm="1">
        <f t="array" ref="AL1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5" s="49" cm="1">
        <f t="array" ref="AM1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5" s="105">
        <f t="shared" si="3"/>
        <v>14.224</v>
      </c>
      <c r="AP185" s="112">
        <f>IF(INVESTORS_LIST[[#This Row],[TOTAL CURRENT UNITS]]=0,0,INVESTORS_LIST[[#This Row],[TOTAL CURRENT UNITS]]*INVESTORS_LIST[[#This Row],[NAV]])</f>
        <v>0</v>
      </c>
      <c r="AQ185" s="49">
        <f>IF(INVESTORS_LIST[[#This Row],[LS_TOTAL CURRENT UNITS]]=0,0,INVESTORS_LIST[[#This Row],[LS_TOTAL CURRENT UNITS]]*INVESTORS_LIST[[#This Row],[NAV]])</f>
        <v>0</v>
      </c>
      <c r="AR185" s="48">
        <f>IF(INVESTORS_LIST[[#This Row],[SIP_TOTAL CURRENT UNITS]]=0,0,INVESTORS_LIST[[#This Row],[SIP_TOTAL CURRENT UNITS]]*INVESTORS_LIST[[#This Row],[NAV]])</f>
        <v>0</v>
      </c>
      <c r="AS185" s="50">
        <f>INVESTORS_LIST[[#This Row],[TOTAL CURRENT UNITS]]</f>
        <v>0</v>
      </c>
      <c r="AT185" s="48">
        <f>IF(INVESTORS_LIST[[#This Row],[TOTAL SELLABLE UNITS]]=0,0,INVESTORS_LIST[[#This Row],[TOTAL SELLABLE UNITS]]*INVESTORS_LIST[[#This Row],[NAV]])</f>
        <v>0</v>
      </c>
      <c r="AU185" s="48">
        <f>INVESTORS_LIST[[#This Row],[LS_TOTAL REALIZED GAIN]]+INVESTORS_LIST[[#This Row],[SIP_TOTAL REALIZED GAIN]]</f>
        <v>0</v>
      </c>
      <c r="AV185" s="48">
        <f>INVESTORS_LIST[[#This Row],[TOTAL MARKET VALUE]]-INVESTORS_LIST[[#This Row],[TOTAL COST VALUE OF CURRENT INVESTMENT]]</f>
        <v>0</v>
      </c>
      <c r="AW185" s="48">
        <f>IFERROR(INVESTORS_LIST[[#This Row],[TOTAL CURRENT UNITS]]/SUM(INVESTORS_LIST[TOTAL CURRENT UNITS]),0)</f>
        <v>0</v>
      </c>
    </row>
    <row r="186" spans="1:49" hidden="1">
      <c r="A186" s="262" t="s">
        <v>420</v>
      </c>
      <c r="B186" s="97" t="s">
        <v>421</v>
      </c>
      <c r="C186" t="s">
        <v>44</v>
      </c>
      <c r="D186" s="75" t="s">
        <v>45</v>
      </c>
      <c r="E186" s="47">
        <f>SUMIFS(LS[Unit],LS[Investor ID],INVESTORS_LIST[[#This Row],[INVESTOR CODE]],LS[B/S],"B")</f>
        <v>0</v>
      </c>
      <c r="F186" s="47">
        <f>-SUMIFS(LS[Unit],LS[Investor ID],INVESTORS_LIST[[#This Row],[INVESTOR CODE]],LS[B/S],"S")</f>
        <v>0</v>
      </c>
      <c r="G186" s="47">
        <f>IF(INVESTORS_LIST[[#This Row],[LS_TOTAL UNITS BUY]]=0,0,INVESTORS_LIST[[#This Row],[LS_TOTAL UNITS BUY]]-INVESTORS_LIST[[#This Row],[LS_TOTAL UNITS SOLD]])</f>
        <v>0</v>
      </c>
      <c r="H186" s="49">
        <f>IF(INVESTORS_LIST[[#This Row],[LS_TOTAL UNITS BUY]]=0,0,SUMIFS(LS[Amount],LS[Investor ID],INVESTORS_LIST[[#This Row],[INVESTOR CODE]],LS[B/S],"B"))</f>
        <v>0</v>
      </c>
      <c r="I186" s="48">
        <f>IF(INVESTORS_LIST[[#This Row],[LS_TOTAL UNITS SOLD]]=0,0,SUMIFS(LS[Cost of Units Sold],LS[Investor ID],INVESTORS_LIST[[#This Row],[INVESTOR CODE]],LS[B/S],"S"))</f>
        <v>0</v>
      </c>
      <c r="J186" s="48">
        <f>IF(INVESTORS_LIST[[#This Row],[LS_TOTAL CURRENT UNITS]]=0,0,INVESTORS_LIST[[#This Row],[LS_TOTAL CURRENT UNITS]]*INVESTORS_LIST[[#This Row],[LS_AVERAGE COST]])</f>
        <v>0</v>
      </c>
      <c r="K186" s="49">
        <f>IF(INVESTORS_LIST[[#This Row],[LS_TOTAL UNITS SOLD]]=0,0,SUMIFS(LS[Realized Gain],LS[Investor ID],INVESTORS_LIST[[#This Row],[INVESTOR CODE]],LS[B/S],"S"))</f>
        <v>0</v>
      </c>
      <c r="L186" s="47">
        <f>SUMIFS(SIP[Unit],SIP[Investor ID],INVESTORS_LIST[[#This Row],[INVESTOR CODE]],SIP[B/S],"B")</f>
        <v>0</v>
      </c>
      <c r="M186" s="47">
        <f>-SUMIFS(SIP[Unit],SIP[Investor ID],INVESTORS_LIST[[#This Row],[INVESTOR CODE]],SIP[B/S],"S")</f>
        <v>0</v>
      </c>
      <c r="N186" s="50">
        <f>IF(INVESTORS_LIST[[#This Row],[SIP_TOTAL UNITS BUY]]=0,0,INVESTORS_LIST[[#This Row],[SIP_TOTAL UNITS BUY]]-INVESTORS_LIST[[#This Row],[SIP_TOTAL UNITS SOLD]])</f>
        <v>0</v>
      </c>
      <c r="O186" s="49">
        <f>IF(INVESTORS_LIST[[#This Row],[SIP_TOTAL UNITS BUY]]=0,0,SUMIFS(SIP[Amount],SIP[Investor ID],INVESTORS_LIST[[#This Row],[INVESTOR CODE]],SIP[B/S],"B"))</f>
        <v>0</v>
      </c>
      <c r="P186" s="49">
        <f>IF(INVESTORS_LIST[[#This Row],[SIP_TOTAL UNITS SOLD]]=0,0,SUMIFS(SIP[Cost of Units Sold],SIP[Investor ID],INVESTORS_LIST[[#This Row],[INVESTOR CODE]],SIP[B/S],"S"))</f>
        <v>0</v>
      </c>
      <c r="Q186" s="48">
        <f>IF(INVESTORS_LIST[[#This Row],[SIP_TOTAL CURRENT UNITS]]=0,0,INVESTORS_LIST[[#This Row],[SIP_TOTAL CURRENT UNITS]]*INVESTORS_LIST[[#This Row],[SIP_AVERAGE COST]])</f>
        <v>0</v>
      </c>
      <c r="R186" s="48">
        <f>IF(INVESTORS_LIST[[#This Row],[SIP_TOTAL UNITS SOLD]]=0,0,SUMIFS(SIP[Realized Gain],SIP[Investor ID],INVESTORS_LIST[[#This Row],[INVESTOR CODE]],SIP[B/S],"S"))</f>
        <v>0</v>
      </c>
      <c r="S186" s="50">
        <f>INVESTORS_LIST[[#This Row],[LS_TOTAL UNITS BUY]]+INVESTORS_LIST[[#This Row],[SIP_TOTAL UNITS BUY]]</f>
        <v>0</v>
      </c>
      <c r="T186" s="50">
        <f>INVESTORS_LIST[[#This Row],[LS_TOTAL UNITS SOLD]]+INVESTORS_LIST[[#This Row],[SIP_TOTAL UNITS SOLD]]</f>
        <v>0</v>
      </c>
      <c r="U186" s="50"/>
      <c r="V186" s="50">
        <f>SUMIFS(LS[BO UNIT TRANSFER],LS[Investor ID],INVESTORS_LIST[[#This Row],[INVESTOR CODE]],LS[B/S],"B")</f>
        <v>0</v>
      </c>
      <c r="W186" s="50">
        <f>SUMIFS(SIP[BO UNIT TRANSFER],SIP[Investor ID],INVESTORS_LIST[[#This Row],[INVESTOR CODE]],SIP[B/S],"B")</f>
        <v>0</v>
      </c>
      <c r="X186" s="50">
        <f>SUMIFS(LS[BO UNIT TRANSFER],LS[Investor ID],INVESTORS_LIST[[#This Row],[INVESTOR CODE]],LS[B/S],"S")</f>
        <v>0</v>
      </c>
      <c r="Y186" s="50">
        <f>SUMIFS(SIP[BO UNIT TRANSFER],SIP[Investor ID],INVESTORS_LIST[[#This Row],[INVESTOR CODE]],SIP[B/S],"S")</f>
        <v>0</v>
      </c>
      <c r="Z186" s="106">
        <f>SUM(INVESTORS_LIST[[#This Row],[BO OPENING BALANCE]:[BO SIP UNITS REPURCHASE]])</f>
        <v>0</v>
      </c>
      <c r="AA186" s="107">
        <f>INVESTORS_LIST[[#This Row],[TOTAL UNITS BUY]]-INVESTORS_LIST[[#This Row],[TOTAL UNITS SOLD]]</f>
        <v>0</v>
      </c>
      <c r="AB186" s="107">
        <f>INVESTORS_LIST[[#This Row],[TOTAL CURRENT UNITS]]-INVESTORS_LIST[[#This Row],[BO UNITS HOLD]]</f>
        <v>0</v>
      </c>
      <c r="AC186" s="201" t="e">
        <f>INDEX([3]!Table_1[BO ID],MATCH(INVESTORS_LIST[[#This Row],[INVESTOR CODE]],[3]!Table_1[INVESTOR CODE],0))</f>
        <v>#REF!</v>
      </c>
      <c r="AD186" s="201" t="e">
        <f>INDEX([3]!Table_1[Brokerage Name2],MATCH(INVESTORS_LIST[[#This Row],[INVESTOR CODE]],[3]!Table_1[INVESTOR CODE],0))</f>
        <v>#REF!</v>
      </c>
      <c r="AE186" s="201" t="e">
        <f>MID(INVESTORS_LIST[[#This Row],[BO ID]],4,5)</f>
        <v>#REF!</v>
      </c>
      <c r="AF186" s="201" t="e">
        <f>MID(INVESTORS_LIST[[#This Row],[BO ID]],2,7)</f>
        <v>#REF!</v>
      </c>
      <c r="AG186" s="201" t="e">
        <f>MID(INVESTORS_LIST[[#This Row],[BO ID]],9,7)</f>
        <v>#REF!</v>
      </c>
      <c r="AH186" s="201" t="e">
        <f>RIGHT(INVESTORS_LIST[[#This Row],[BO ID]],1)</f>
        <v>#REF!</v>
      </c>
      <c r="AI186" s="50">
        <f>INVESTORS_LIST[[#This Row],[LS_TOTAL COST VALUE OF CURRENT UNITS]]+INVESTORS_LIST[[#This Row],[SIP_TOTAL COST VALUE OF CURRENT UNITS]]</f>
        <v>0</v>
      </c>
      <c r="AJ186" s="109">
        <f>IF(INVESTORS_LIST[[#This Row],[TOTAL CURRENT UNITS]]=0,0,INVESTORS_LIST[[#This Row],[LS_TOTAL CURRENT UNITS]]/INVESTORS_LIST[[#This Row],[TOTAL CURRENT UNITS]])</f>
        <v>0</v>
      </c>
      <c r="AK186" s="109">
        <f>IF(INVESTORS_LIST[[#This Row],[TOTAL CURRENT UNITS]]=0,0,INVESTORS_LIST[[#This Row],[SIP_TOTAL CURRENT UNITS]]/INVESTORS_LIST[[#This Row],[TOTAL CURRENT UNITS]])</f>
        <v>0</v>
      </c>
      <c r="AL186" s="49" cm="1">
        <f t="array" ref="AL1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6" s="49" cm="1">
        <f t="array" ref="AM1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6" s="105">
        <f t="shared" si="3"/>
        <v>14.224</v>
      </c>
      <c r="AP186" s="112">
        <f>IF(INVESTORS_LIST[[#This Row],[TOTAL CURRENT UNITS]]=0,0,INVESTORS_LIST[[#This Row],[TOTAL CURRENT UNITS]]*INVESTORS_LIST[[#This Row],[NAV]])</f>
        <v>0</v>
      </c>
      <c r="AQ186" s="49">
        <f>IF(INVESTORS_LIST[[#This Row],[LS_TOTAL CURRENT UNITS]]=0,0,INVESTORS_LIST[[#This Row],[LS_TOTAL CURRENT UNITS]]*INVESTORS_LIST[[#This Row],[NAV]])</f>
        <v>0</v>
      </c>
      <c r="AR186" s="48">
        <f>IF(INVESTORS_LIST[[#This Row],[SIP_TOTAL CURRENT UNITS]]=0,0,INVESTORS_LIST[[#This Row],[SIP_TOTAL CURRENT UNITS]]*INVESTORS_LIST[[#This Row],[NAV]])</f>
        <v>0</v>
      </c>
      <c r="AS186" s="50">
        <f>INVESTORS_LIST[[#This Row],[TOTAL CURRENT UNITS]]</f>
        <v>0</v>
      </c>
      <c r="AT186" s="48">
        <f>IF(INVESTORS_LIST[[#This Row],[TOTAL SELLABLE UNITS]]=0,0,INVESTORS_LIST[[#This Row],[TOTAL SELLABLE UNITS]]*INVESTORS_LIST[[#This Row],[NAV]])</f>
        <v>0</v>
      </c>
      <c r="AU186" s="48">
        <f>INVESTORS_LIST[[#This Row],[LS_TOTAL REALIZED GAIN]]+INVESTORS_LIST[[#This Row],[SIP_TOTAL REALIZED GAIN]]</f>
        <v>0</v>
      </c>
      <c r="AV186" s="48">
        <f>INVESTORS_LIST[[#This Row],[TOTAL MARKET VALUE]]-INVESTORS_LIST[[#This Row],[TOTAL COST VALUE OF CURRENT INVESTMENT]]</f>
        <v>0</v>
      </c>
      <c r="AW186" s="48">
        <f>IFERROR(INVESTORS_LIST[[#This Row],[TOTAL CURRENT UNITS]]/SUM(INVESTORS_LIST[TOTAL CURRENT UNITS]),0)</f>
        <v>0</v>
      </c>
    </row>
    <row r="187" spans="1:49" hidden="1">
      <c r="A187" s="262" t="s">
        <v>422</v>
      </c>
      <c r="B187" s="97" t="s">
        <v>423</v>
      </c>
      <c r="C187" t="s">
        <v>44</v>
      </c>
      <c r="D187" s="75" t="s">
        <v>45</v>
      </c>
      <c r="E187" s="47">
        <f>SUMIFS(LS[Unit],LS[Investor ID],INVESTORS_LIST[[#This Row],[INVESTOR CODE]],LS[B/S],"B")</f>
        <v>0</v>
      </c>
      <c r="F187" s="47">
        <f>-SUMIFS(LS[Unit],LS[Investor ID],INVESTORS_LIST[[#This Row],[INVESTOR CODE]],LS[B/S],"S")</f>
        <v>0</v>
      </c>
      <c r="G187" s="47">
        <f>IF(INVESTORS_LIST[[#This Row],[LS_TOTAL UNITS BUY]]=0,0,INVESTORS_LIST[[#This Row],[LS_TOTAL UNITS BUY]]-INVESTORS_LIST[[#This Row],[LS_TOTAL UNITS SOLD]])</f>
        <v>0</v>
      </c>
      <c r="H187" s="49">
        <f>IF(INVESTORS_LIST[[#This Row],[LS_TOTAL UNITS BUY]]=0,0,SUMIFS(LS[Amount],LS[Investor ID],INVESTORS_LIST[[#This Row],[INVESTOR CODE]],LS[B/S],"B"))</f>
        <v>0</v>
      </c>
      <c r="I187" s="48">
        <f>IF(INVESTORS_LIST[[#This Row],[LS_TOTAL UNITS SOLD]]=0,0,SUMIFS(LS[Cost of Units Sold],LS[Investor ID],INVESTORS_LIST[[#This Row],[INVESTOR CODE]],LS[B/S],"S"))</f>
        <v>0</v>
      </c>
      <c r="J187" s="48">
        <f>IF(INVESTORS_LIST[[#This Row],[LS_TOTAL CURRENT UNITS]]=0,0,INVESTORS_LIST[[#This Row],[LS_TOTAL CURRENT UNITS]]*INVESTORS_LIST[[#This Row],[LS_AVERAGE COST]])</f>
        <v>0</v>
      </c>
      <c r="K187" s="49">
        <f>IF(INVESTORS_LIST[[#This Row],[LS_TOTAL UNITS SOLD]]=0,0,SUMIFS(LS[Realized Gain],LS[Investor ID],INVESTORS_LIST[[#This Row],[INVESTOR CODE]],LS[B/S],"S"))</f>
        <v>0</v>
      </c>
      <c r="L187" s="47">
        <f>SUMIFS(SIP[Unit],SIP[Investor ID],INVESTORS_LIST[[#This Row],[INVESTOR CODE]],SIP[B/S],"B")</f>
        <v>0</v>
      </c>
      <c r="M187" s="47">
        <f>-SUMIFS(SIP[Unit],SIP[Investor ID],INVESTORS_LIST[[#This Row],[INVESTOR CODE]],SIP[B/S],"S")</f>
        <v>0</v>
      </c>
      <c r="N187" s="50">
        <f>IF(INVESTORS_LIST[[#This Row],[SIP_TOTAL UNITS BUY]]=0,0,INVESTORS_LIST[[#This Row],[SIP_TOTAL UNITS BUY]]-INVESTORS_LIST[[#This Row],[SIP_TOTAL UNITS SOLD]])</f>
        <v>0</v>
      </c>
      <c r="O187" s="49">
        <f>IF(INVESTORS_LIST[[#This Row],[SIP_TOTAL UNITS BUY]]=0,0,SUMIFS(SIP[Amount],SIP[Investor ID],INVESTORS_LIST[[#This Row],[INVESTOR CODE]],SIP[B/S],"B"))</f>
        <v>0</v>
      </c>
      <c r="P187" s="49">
        <f>IF(INVESTORS_LIST[[#This Row],[SIP_TOTAL UNITS SOLD]]=0,0,SUMIFS(SIP[Cost of Units Sold],SIP[Investor ID],INVESTORS_LIST[[#This Row],[INVESTOR CODE]],SIP[B/S],"S"))</f>
        <v>0</v>
      </c>
      <c r="Q187" s="48">
        <f>IF(INVESTORS_LIST[[#This Row],[SIP_TOTAL CURRENT UNITS]]=0,0,INVESTORS_LIST[[#This Row],[SIP_TOTAL CURRENT UNITS]]*INVESTORS_LIST[[#This Row],[SIP_AVERAGE COST]])</f>
        <v>0</v>
      </c>
      <c r="R187" s="48">
        <f>IF(INVESTORS_LIST[[#This Row],[SIP_TOTAL UNITS SOLD]]=0,0,SUMIFS(SIP[Realized Gain],SIP[Investor ID],INVESTORS_LIST[[#This Row],[INVESTOR CODE]],SIP[B/S],"S"))</f>
        <v>0</v>
      </c>
      <c r="S187" s="50">
        <f>INVESTORS_LIST[[#This Row],[LS_TOTAL UNITS BUY]]+INVESTORS_LIST[[#This Row],[SIP_TOTAL UNITS BUY]]</f>
        <v>0</v>
      </c>
      <c r="T187" s="50">
        <f>INVESTORS_LIST[[#This Row],[LS_TOTAL UNITS SOLD]]+INVESTORS_LIST[[#This Row],[SIP_TOTAL UNITS SOLD]]</f>
        <v>0</v>
      </c>
      <c r="U187" s="50"/>
      <c r="V187" s="50">
        <f>SUMIFS(LS[BO UNIT TRANSFER],LS[Investor ID],INVESTORS_LIST[[#This Row],[INVESTOR CODE]],LS[B/S],"B")</f>
        <v>0</v>
      </c>
      <c r="W187" s="50">
        <f>SUMIFS(SIP[BO UNIT TRANSFER],SIP[Investor ID],INVESTORS_LIST[[#This Row],[INVESTOR CODE]],SIP[B/S],"B")</f>
        <v>0</v>
      </c>
      <c r="X187" s="50">
        <f>SUMIFS(LS[BO UNIT TRANSFER],LS[Investor ID],INVESTORS_LIST[[#This Row],[INVESTOR CODE]],LS[B/S],"S")</f>
        <v>0</v>
      </c>
      <c r="Y187" s="50">
        <f>SUMIFS(SIP[BO UNIT TRANSFER],SIP[Investor ID],INVESTORS_LIST[[#This Row],[INVESTOR CODE]],SIP[B/S],"S")</f>
        <v>0</v>
      </c>
      <c r="Z187" s="106">
        <f>SUM(INVESTORS_LIST[[#This Row],[BO OPENING BALANCE]:[BO SIP UNITS REPURCHASE]])</f>
        <v>0</v>
      </c>
      <c r="AA187" s="107">
        <f>INVESTORS_LIST[[#This Row],[TOTAL UNITS BUY]]-INVESTORS_LIST[[#This Row],[TOTAL UNITS SOLD]]</f>
        <v>0</v>
      </c>
      <c r="AB187" s="107">
        <f>INVESTORS_LIST[[#This Row],[TOTAL CURRENT UNITS]]-INVESTORS_LIST[[#This Row],[BO UNITS HOLD]]</f>
        <v>0</v>
      </c>
      <c r="AC187" s="201" t="e">
        <f>INDEX([3]!Table_1[BO ID],MATCH(INVESTORS_LIST[[#This Row],[INVESTOR CODE]],[3]!Table_1[INVESTOR CODE],0))</f>
        <v>#REF!</v>
      </c>
      <c r="AD187" s="201" t="e">
        <f>INDEX([3]!Table_1[Brokerage Name2],MATCH(INVESTORS_LIST[[#This Row],[INVESTOR CODE]],[3]!Table_1[INVESTOR CODE],0))</f>
        <v>#REF!</v>
      </c>
      <c r="AE187" s="201" t="e">
        <f>MID(INVESTORS_LIST[[#This Row],[BO ID]],4,5)</f>
        <v>#REF!</v>
      </c>
      <c r="AF187" s="201" t="e">
        <f>MID(INVESTORS_LIST[[#This Row],[BO ID]],2,7)</f>
        <v>#REF!</v>
      </c>
      <c r="AG187" s="201" t="e">
        <f>MID(INVESTORS_LIST[[#This Row],[BO ID]],9,7)</f>
        <v>#REF!</v>
      </c>
      <c r="AH187" s="201" t="e">
        <f>RIGHT(INVESTORS_LIST[[#This Row],[BO ID]],1)</f>
        <v>#REF!</v>
      </c>
      <c r="AI187" s="50">
        <f>INVESTORS_LIST[[#This Row],[LS_TOTAL COST VALUE OF CURRENT UNITS]]+INVESTORS_LIST[[#This Row],[SIP_TOTAL COST VALUE OF CURRENT UNITS]]</f>
        <v>0</v>
      </c>
      <c r="AJ187" s="109">
        <f>IF(INVESTORS_LIST[[#This Row],[TOTAL CURRENT UNITS]]=0,0,INVESTORS_LIST[[#This Row],[LS_TOTAL CURRENT UNITS]]/INVESTORS_LIST[[#This Row],[TOTAL CURRENT UNITS]])</f>
        <v>0</v>
      </c>
      <c r="AK187" s="109">
        <f>IF(INVESTORS_LIST[[#This Row],[TOTAL CURRENT UNITS]]=0,0,INVESTORS_LIST[[#This Row],[SIP_TOTAL CURRENT UNITS]]/INVESTORS_LIST[[#This Row],[TOTAL CURRENT UNITS]])</f>
        <v>0</v>
      </c>
      <c r="AL187" s="49" cm="1">
        <f t="array" ref="AL1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7" s="49" cm="1">
        <f t="array" ref="AM1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7" s="105">
        <f t="shared" si="3"/>
        <v>14.224</v>
      </c>
      <c r="AP187" s="112">
        <f>IF(INVESTORS_LIST[[#This Row],[TOTAL CURRENT UNITS]]=0,0,INVESTORS_LIST[[#This Row],[TOTAL CURRENT UNITS]]*INVESTORS_LIST[[#This Row],[NAV]])</f>
        <v>0</v>
      </c>
      <c r="AQ187" s="49">
        <f>IF(INVESTORS_LIST[[#This Row],[LS_TOTAL CURRENT UNITS]]=0,0,INVESTORS_LIST[[#This Row],[LS_TOTAL CURRENT UNITS]]*INVESTORS_LIST[[#This Row],[NAV]])</f>
        <v>0</v>
      </c>
      <c r="AR187" s="48">
        <f>IF(INVESTORS_LIST[[#This Row],[SIP_TOTAL CURRENT UNITS]]=0,0,INVESTORS_LIST[[#This Row],[SIP_TOTAL CURRENT UNITS]]*INVESTORS_LIST[[#This Row],[NAV]])</f>
        <v>0</v>
      </c>
      <c r="AS187" s="50">
        <f>INVESTORS_LIST[[#This Row],[TOTAL CURRENT UNITS]]</f>
        <v>0</v>
      </c>
      <c r="AT187" s="48">
        <f>IF(INVESTORS_LIST[[#This Row],[TOTAL SELLABLE UNITS]]=0,0,INVESTORS_LIST[[#This Row],[TOTAL SELLABLE UNITS]]*INVESTORS_LIST[[#This Row],[NAV]])</f>
        <v>0</v>
      </c>
      <c r="AU187" s="48">
        <f>INVESTORS_LIST[[#This Row],[LS_TOTAL REALIZED GAIN]]+INVESTORS_LIST[[#This Row],[SIP_TOTAL REALIZED GAIN]]</f>
        <v>0</v>
      </c>
      <c r="AV187" s="48">
        <f>INVESTORS_LIST[[#This Row],[TOTAL MARKET VALUE]]-INVESTORS_LIST[[#This Row],[TOTAL COST VALUE OF CURRENT INVESTMENT]]</f>
        <v>0</v>
      </c>
      <c r="AW187" s="48">
        <f>IFERROR(INVESTORS_LIST[[#This Row],[TOTAL CURRENT UNITS]]/SUM(INVESTORS_LIST[TOTAL CURRENT UNITS]),0)</f>
        <v>0</v>
      </c>
    </row>
    <row r="188" spans="1:49" hidden="1">
      <c r="A188" s="262" t="s">
        <v>424</v>
      </c>
      <c r="B188" s="97" t="s">
        <v>425</v>
      </c>
      <c r="C188" t="s">
        <v>44</v>
      </c>
      <c r="D188" s="75" t="s">
        <v>45</v>
      </c>
      <c r="E188" s="47">
        <f>SUMIFS(LS[Unit],LS[Investor ID],INVESTORS_LIST[[#This Row],[INVESTOR CODE]],LS[B/S],"B")</f>
        <v>0</v>
      </c>
      <c r="F188" s="47">
        <f>-SUMIFS(LS[Unit],LS[Investor ID],INVESTORS_LIST[[#This Row],[INVESTOR CODE]],LS[B/S],"S")</f>
        <v>0</v>
      </c>
      <c r="G188" s="47">
        <f>IF(INVESTORS_LIST[[#This Row],[LS_TOTAL UNITS BUY]]=0,0,INVESTORS_LIST[[#This Row],[LS_TOTAL UNITS BUY]]-INVESTORS_LIST[[#This Row],[LS_TOTAL UNITS SOLD]])</f>
        <v>0</v>
      </c>
      <c r="H188" s="49">
        <f>IF(INVESTORS_LIST[[#This Row],[LS_TOTAL UNITS BUY]]=0,0,SUMIFS(LS[Amount],LS[Investor ID],INVESTORS_LIST[[#This Row],[INVESTOR CODE]],LS[B/S],"B"))</f>
        <v>0</v>
      </c>
      <c r="I188" s="48">
        <f>IF(INVESTORS_LIST[[#This Row],[LS_TOTAL UNITS SOLD]]=0,0,SUMIFS(LS[Cost of Units Sold],LS[Investor ID],INVESTORS_LIST[[#This Row],[INVESTOR CODE]],LS[B/S],"S"))</f>
        <v>0</v>
      </c>
      <c r="J188" s="48">
        <f>IF(INVESTORS_LIST[[#This Row],[LS_TOTAL CURRENT UNITS]]=0,0,INVESTORS_LIST[[#This Row],[LS_TOTAL CURRENT UNITS]]*INVESTORS_LIST[[#This Row],[LS_AVERAGE COST]])</f>
        <v>0</v>
      </c>
      <c r="K188" s="49">
        <f>IF(INVESTORS_LIST[[#This Row],[LS_TOTAL UNITS SOLD]]=0,0,SUMIFS(LS[Realized Gain],LS[Investor ID],INVESTORS_LIST[[#This Row],[INVESTOR CODE]],LS[B/S],"S"))</f>
        <v>0</v>
      </c>
      <c r="L188" s="47">
        <f>SUMIFS(SIP[Unit],SIP[Investor ID],INVESTORS_LIST[[#This Row],[INVESTOR CODE]],SIP[B/S],"B")</f>
        <v>1738</v>
      </c>
      <c r="M188" s="47">
        <f>-SUMIFS(SIP[Unit],SIP[Investor ID],INVESTORS_LIST[[#This Row],[INVESTOR CODE]],SIP[B/S],"S")</f>
        <v>1738</v>
      </c>
      <c r="N188" s="50">
        <f>IF(INVESTORS_LIST[[#This Row],[SIP_TOTAL UNITS BUY]]=0,0,INVESTORS_LIST[[#This Row],[SIP_TOTAL UNITS BUY]]-INVESTORS_LIST[[#This Row],[SIP_TOTAL UNITS SOLD]])</f>
        <v>0</v>
      </c>
      <c r="O188" s="49">
        <f>IF(INVESTORS_LIST[[#This Row],[SIP_TOTAL UNITS BUY]]=0,0,SUMIFS(SIP[Amount],SIP[Investor ID],INVESTORS_LIST[[#This Row],[INVESTOR CODE]],SIP[B/S],"B"))</f>
        <v>20000</v>
      </c>
      <c r="P188" s="49">
        <f>IF(INVESTORS_LIST[[#This Row],[SIP_TOTAL UNITS SOLD]]=0,0,SUMIFS(SIP[Cost of Units Sold],SIP[Investor ID],INVESTORS_LIST[[#This Row],[INVESTOR CODE]],SIP[B/S],"S"))</f>
        <v>20000</v>
      </c>
      <c r="Q188" s="48">
        <f>IF(INVESTORS_LIST[[#This Row],[SIP_TOTAL CURRENT UNITS]]=0,0,INVESTORS_LIST[[#This Row],[SIP_TOTAL CURRENT UNITS]]*INVESTORS_LIST[[#This Row],[SIP_AVERAGE COST]])</f>
        <v>0</v>
      </c>
      <c r="R188" s="48">
        <f>IF(INVESTORS_LIST[[#This Row],[SIP_TOTAL UNITS SOLD]]=0,0,SUMIFS(SIP[Realized Gain],SIP[Investor ID],INVESTORS_LIST[[#This Row],[INVESTOR CODE]],SIP[B/S],"S"))</f>
        <v>0</v>
      </c>
      <c r="S188" s="50">
        <f>INVESTORS_LIST[[#This Row],[LS_TOTAL UNITS BUY]]+INVESTORS_LIST[[#This Row],[SIP_TOTAL UNITS BUY]]</f>
        <v>1738</v>
      </c>
      <c r="T188" s="50">
        <f>INVESTORS_LIST[[#This Row],[LS_TOTAL UNITS SOLD]]+INVESTORS_LIST[[#This Row],[SIP_TOTAL UNITS SOLD]]</f>
        <v>1738</v>
      </c>
      <c r="U188" s="50"/>
      <c r="V188" s="50">
        <f>SUMIFS(LS[BO UNIT TRANSFER],LS[Investor ID],INVESTORS_LIST[[#This Row],[INVESTOR CODE]],LS[B/S],"B")</f>
        <v>0</v>
      </c>
      <c r="W188" s="50">
        <f>SUMIFS(SIP[BO UNIT TRANSFER],SIP[Investor ID],INVESTORS_LIST[[#This Row],[INVESTOR CODE]],SIP[B/S],"B")</f>
        <v>0</v>
      </c>
      <c r="X188" s="50">
        <f>SUMIFS(LS[BO UNIT TRANSFER],LS[Investor ID],INVESTORS_LIST[[#This Row],[INVESTOR CODE]],LS[B/S],"S")</f>
        <v>0</v>
      </c>
      <c r="Y188" s="50">
        <f>SUMIFS(SIP[BO UNIT TRANSFER],SIP[Investor ID],INVESTORS_LIST[[#This Row],[INVESTOR CODE]],SIP[B/S],"S")</f>
        <v>0</v>
      </c>
      <c r="Z188" s="106">
        <f>SUM(INVESTORS_LIST[[#This Row],[BO OPENING BALANCE]:[BO SIP UNITS REPURCHASE]])</f>
        <v>0</v>
      </c>
      <c r="AA188" s="107">
        <f>INVESTORS_LIST[[#This Row],[TOTAL UNITS BUY]]-INVESTORS_LIST[[#This Row],[TOTAL UNITS SOLD]]</f>
        <v>0</v>
      </c>
      <c r="AB188" s="107">
        <f>INVESTORS_LIST[[#This Row],[TOTAL CURRENT UNITS]]-INVESTORS_LIST[[#This Row],[BO UNITS HOLD]]</f>
        <v>0</v>
      </c>
      <c r="AC188" s="201" t="e">
        <f>INDEX([3]!Table_1[BO ID],MATCH(INVESTORS_LIST[[#This Row],[INVESTOR CODE]],[3]!Table_1[INVESTOR CODE],0))</f>
        <v>#REF!</v>
      </c>
      <c r="AD188" s="201" t="e">
        <f>INDEX([3]!Table_1[Brokerage Name2],MATCH(INVESTORS_LIST[[#This Row],[INVESTOR CODE]],[3]!Table_1[INVESTOR CODE],0))</f>
        <v>#REF!</v>
      </c>
      <c r="AE188" s="201" t="e">
        <f>MID(INVESTORS_LIST[[#This Row],[BO ID]],4,5)</f>
        <v>#REF!</v>
      </c>
      <c r="AF188" s="201" t="e">
        <f>MID(INVESTORS_LIST[[#This Row],[BO ID]],2,7)</f>
        <v>#REF!</v>
      </c>
      <c r="AG188" s="201" t="e">
        <f>MID(INVESTORS_LIST[[#This Row],[BO ID]],9,7)</f>
        <v>#REF!</v>
      </c>
      <c r="AH188" s="201" t="e">
        <f>RIGHT(INVESTORS_LIST[[#This Row],[BO ID]],1)</f>
        <v>#REF!</v>
      </c>
      <c r="AI188" s="50">
        <f>INVESTORS_LIST[[#This Row],[LS_TOTAL COST VALUE OF CURRENT UNITS]]+INVESTORS_LIST[[#This Row],[SIP_TOTAL COST VALUE OF CURRENT UNITS]]</f>
        <v>0</v>
      </c>
      <c r="AJ188" s="109">
        <f>IF(INVESTORS_LIST[[#This Row],[TOTAL CURRENT UNITS]]=0,0,INVESTORS_LIST[[#This Row],[LS_TOTAL CURRENT UNITS]]/INVESTORS_LIST[[#This Row],[TOTAL CURRENT UNITS]])</f>
        <v>0</v>
      </c>
      <c r="AK188" s="109">
        <f>IF(INVESTORS_LIST[[#This Row],[TOTAL CURRENT UNITS]]=0,0,INVESTORS_LIST[[#This Row],[SIP_TOTAL CURRENT UNITS]]/INVESTORS_LIST[[#This Row],[TOTAL CURRENT UNITS]])</f>
        <v>0</v>
      </c>
      <c r="AL188" s="49" cm="1">
        <f t="array" ref="AL1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8" s="49" cm="1">
        <f t="array" ref="AM1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8" s="105">
        <f t="shared" si="3"/>
        <v>14.224</v>
      </c>
      <c r="AP188" s="112">
        <f>IF(INVESTORS_LIST[[#This Row],[TOTAL CURRENT UNITS]]=0,0,INVESTORS_LIST[[#This Row],[TOTAL CURRENT UNITS]]*INVESTORS_LIST[[#This Row],[NAV]])</f>
        <v>0</v>
      </c>
      <c r="AQ188" s="49">
        <f>IF(INVESTORS_LIST[[#This Row],[LS_TOTAL CURRENT UNITS]]=0,0,INVESTORS_LIST[[#This Row],[LS_TOTAL CURRENT UNITS]]*INVESTORS_LIST[[#This Row],[NAV]])</f>
        <v>0</v>
      </c>
      <c r="AR188" s="48">
        <f>IF(INVESTORS_LIST[[#This Row],[SIP_TOTAL CURRENT UNITS]]=0,0,INVESTORS_LIST[[#This Row],[SIP_TOTAL CURRENT UNITS]]*INVESTORS_LIST[[#This Row],[NAV]])</f>
        <v>0</v>
      </c>
      <c r="AS188" s="50">
        <f>INVESTORS_LIST[[#This Row],[TOTAL CURRENT UNITS]]</f>
        <v>0</v>
      </c>
      <c r="AT188" s="48">
        <f>IF(INVESTORS_LIST[[#This Row],[TOTAL SELLABLE UNITS]]=0,0,INVESTORS_LIST[[#This Row],[TOTAL SELLABLE UNITS]]*INVESTORS_LIST[[#This Row],[NAV]])</f>
        <v>0</v>
      </c>
      <c r="AU188" s="48">
        <f>INVESTORS_LIST[[#This Row],[LS_TOTAL REALIZED GAIN]]+INVESTORS_LIST[[#This Row],[SIP_TOTAL REALIZED GAIN]]</f>
        <v>0</v>
      </c>
      <c r="AV188" s="48">
        <f>INVESTORS_LIST[[#This Row],[TOTAL MARKET VALUE]]-INVESTORS_LIST[[#This Row],[TOTAL COST VALUE OF CURRENT INVESTMENT]]</f>
        <v>0</v>
      </c>
      <c r="AW188" s="48">
        <f>IFERROR(INVESTORS_LIST[[#This Row],[TOTAL CURRENT UNITS]]/SUM(INVESTORS_LIST[TOTAL CURRENT UNITS]),0)</f>
        <v>0</v>
      </c>
    </row>
    <row r="189" spans="1:49" hidden="1">
      <c r="A189" s="262" t="s">
        <v>426</v>
      </c>
      <c r="B189" s="97" t="s">
        <v>427</v>
      </c>
      <c r="C189" t="s">
        <v>44</v>
      </c>
      <c r="D189" s="75" t="s">
        <v>45</v>
      </c>
      <c r="E189" s="47">
        <f>SUMIFS(LS[Unit],LS[Investor ID],INVESTORS_LIST[[#This Row],[INVESTOR CODE]],LS[B/S],"B")</f>
        <v>0</v>
      </c>
      <c r="F189" s="47">
        <f>-SUMIFS(LS[Unit],LS[Investor ID],INVESTORS_LIST[[#This Row],[INVESTOR CODE]],LS[B/S],"S")</f>
        <v>0</v>
      </c>
      <c r="G189" s="47">
        <f>IF(INVESTORS_LIST[[#This Row],[LS_TOTAL UNITS BUY]]=0,0,INVESTORS_LIST[[#This Row],[LS_TOTAL UNITS BUY]]-INVESTORS_LIST[[#This Row],[LS_TOTAL UNITS SOLD]])</f>
        <v>0</v>
      </c>
      <c r="H189" s="49">
        <f>IF(INVESTORS_LIST[[#This Row],[LS_TOTAL UNITS BUY]]=0,0,SUMIFS(LS[Amount],LS[Investor ID],INVESTORS_LIST[[#This Row],[INVESTOR CODE]],LS[B/S],"B"))</f>
        <v>0</v>
      </c>
      <c r="I189" s="48">
        <f>IF(INVESTORS_LIST[[#This Row],[LS_TOTAL UNITS SOLD]]=0,0,SUMIFS(LS[Cost of Units Sold],LS[Investor ID],INVESTORS_LIST[[#This Row],[INVESTOR CODE]],LS[B/S],"S"))</f>
        <v>0</v>
      </c>
      <c r="J189" s="48">
        <f>IF(INVESTORS_LIST[[#This Row],[LS_TOTAL CURRENT UNITS]]=0,0,INVESTORS_LIST[[#This Row],[LS_TOTAL CURRENT UNITS]]*INVESTORS_LIST[[#This Row],[LS_AVERAGE COST]])</f>
        <v>0</v>
      </c>
      <c r="K189" s="49">
        <f>IF(INVESTORS_LIST[[#This Row],[LS_TOTAL UNITS SOLD]]=0,0,SUMIFS(LS[Realized Gain],LS[Investor ID],INVESTORS_LIST[[#This Row],[INVESTOR CODE]],LS[B/S],"S"))</f>
        <v>0</v>
      </c>
      <c r="L189" s="47">
        <f>SUMIFS(SIP[Unit],SIP[Investor ID],INVESTORS_LIST[[#This Row],[INVESTOR CODE]],SIP[B/S],"B")</f>
        <v>0</v>
      </c>
      <c r="M189" s="47">
        <f>-SUMIFS(SIP[Unit],SIP[Investor ID],INVESTORS_LIST[[#This Row],[INVESTOR CODE]],SIP[B/S],"S")</f>
        <v>0</v>
      </c>
      <c r="N189" s="50">
        <f>IF(INVESTORS_LIST[[#This Row],[SIP_TOTAL UNITS BUY]]=0,0,INVESTORS_LIST[[#This Row],[SIP_TOTAL UNITS BUY]]-INVESTORS_LIST[[#This Row],[SIP_TOTAL UNITS SOLD]])</f>
        <v>0</v>
      </c>
      <c r="O189" s="49">
        <f>IF(INVESTORS_LIST[[#This Row],[SIP_TOTAL UNITS BUY]]=0,0,SUMIFS(SIP[Amount],SIP[Investor ID],INVESTORS_LIST[[#This Row],[INVESTOR CODE]],SIP[B/S],"B"))</f>
        <v>0</v>
      </c>
      <c r="P189" s="49">
        <f>IF(INVESTORS_LIST[[#This Row],[SIP_TOTAL UNITS SOLD]]=0,0,SUMIFS(SIP[Cost of Units Sold],SIP[Investor ID],INVESTORS_LIST[[#This Row],[INVESTOR CODE]],SIP[B/S],"S"))</f>
        <v>0</v>
      </c>
      <c r="Q189" s="48">
        <f>IF(INVESTORS_LIST[[#This Row],[SIP_TOTAL CURRENT UNITS]]=0,0,INVESTORS_LIST[[#This Row],[SIP_TOTAL CURRENT UNITS]]*INVESTORS_LIST[[#This Row],[SIP_AVERAGE COST]])</f>
        <v>0</v>
      </c>
      <c r="R189" s="48">
        <f>IF(INVESTORS_LIST[[#This Row],[SIP_TOTAL UNITS SOLD]]=0,0,SUMIFS(SIP[Realized Gain],SIP[Investor ID],INVESTORS_LIST[[#This Row],[INVESTOR CODE]],SIP[B/S],"S"))</f>
        <v>0</v>
      </c>
      <c r="S189" s="50">
        <f>INVESTORS_LIST[[#This Row],[LS_TOTAL UNITS BUY]]+INVESTORS_LIST[[#This Row],[SIP_TOTAL UNITS BUY]]</f>
        <v>0</v>
      </c>
      <c r="T189" s="50">
        <f>INVESTORS_LIST[[#This Row],[LS_TOTAL UNITS SOLD]]+INVESTORS_LIST[[#This Row],[SIP_TOTAL UNITS SOLD]]</f>
        <v>0</v>
      </c>
      <c r="U189" s="50"/>
      <c r="V189" s="50">
        <f>SUMIFS(LS[BO UNIT TRANSFER],LS[Investor ID],INVESTORS_LIST[[#This Row],[INVESTOR CODE]],LS[B/S],"B")</f>
        <v>0</v>
      </c>
      <c r="W189" s="50">
        <f>SUMIFS(SIP[BO UNIT TRANSFER],SIP[Investor ID],INVESTORS_LIST[[#This Row],[INVESTOR CODE]],SIP[B/S],"B")</f>
        <v>0</v>
      </c>
      <c r="X189" s="50">
        <f>SUMIFS(LS[BO UNIT TRANSFER],LS[Investor ID],INVESTORS_LIST[[#This Row],[INVESTOR CODE]],LS[B/S],"S")</f>
        <v>0</v>
      </c>
      <c r="Y189" s="50">
        <f>SUMIFS(SIP[BO UNIT TRANSFER],SIP[Investor ID],INVESTORS_LIST[[#This Row],[INVESTOR CODE]],SIP[B/S],"S")</f>
        <v>0</v>
      </c>
      <c r="Z189" s="106">
        <f>SUM(INVESTORS_LIST[[#This Row],[BO OPENING BALANCE]:[BO SIP UNITS REPURCHASE]])</f>
        <v>0</v>
      </c>
      <c r="AA189" s="107">
        <f>INVESTORS_LIST[[#This Row],[TOTAL UNITS BUY]]-INVESTORS_LIST[[#This Row],[TOTAL UNITS SOLD]]</f>
        <v>0</v>
      </c>
      <c r="AB189" s="107">
        <f>INVESTORS_LIST[[#This Row],[TOTAL CURRENT UNITS]]-INVESTORS_LIST[[#This Row],[BO UNITS HOLD]]</f>
        <v>0</v>
      </c>
      <c r="AC189" s="201" t="e">
        <f>INDEX([3]!Table_1[BO ID],MATCH(INVESTORS_LIST[[#This Row],[INVESTOR CODE]],[3]!Table_1[INVESTOR CODE],0))</f>
        <v>#REF!</v>
      </c>
      <c r="AD189" s="201" t="e">
        <f>INDEX([3]!Table_1[Brokerage Name2],MATCH(INVESTORS_LIST[[#This Row],[INVESTOR CODE]],[3]!Table_1[INVESTOR CODE],0))</f>
        <v>#REF!</v>
      </c>
      <c r="AE189" s="201" t="e">
        <f>MID(INVESTORS_LIST[[#This Row],[BO ID]],4,5)</f>
        <v>#REF!</v>
      </c>
      <c r="AF189" s="201" t="e">
        <f>MID(INVESTORS_LIST[[#This Row],[BO ID]],2,7)</f>
        <v>#REF!</v>
      </c>
      <c r="AG189" s="201" t="e">
        <f>MID(INVESTORS_LIST[[#This Row],[BO ID]],9,7)</f>
        <v>#REF!</v>
      </c>
      <c r="AH189" s="201" t="e">
        <f>RIGHT(INVESTORS_LIST[[#This Row],[BO ID]],1)</f>
        <v>#REF!</v>
      </c>
      <c r="AI189" s="50">
        <f>INVESTORS_LIST[[#This Row],[LS_TOTAL COST VALUE OF CURRENT UNITS]]+INVESTORS_LIST[[#This Row],[SIP_TOTAL COST VALUE OF CURRENT UNITS]]</f>
        <v>0</v>
      </c>
      <c r="AJ189" s="109">
        <f>IF(INVESTORS_LIST[[#This Row],[TOTAL CURRENT UNITS]]=0,0,INVESTORS_LIST[[#This Row],[LS_TOTAL CURRENT UNITS]]/INVESTORS_LIST[[#This Row],[TOTAL CURRENT UNITS]])</f>
        <v>0</v>
      </c>
      <c r="AK189" s="109">
        <f>IF(INVESTORS_LIST[[#This Row],[TOTAL CURRENT UNITS]]=0,0,INVESTORS_LIST[[#This Row],[SIP_TOTAL CURRENT UNITS]]/INVESTORS_LIST[[#This Row],[TOTAL CURRENT UNITS]])</f>
        <v>0</v>
      </c>
      <c r="AL189" s="49" cm="1">
        <f t="array" ref="AL1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89" s="49" cm="1">
        <f t="array" ref="AM1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8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89" s="105">
        <f t="shared" si="3"/>
        <v>14.224</v>
      </c>
      <c r="AP189" s="112">
        <f>IF(INVESTORS_LIST[[#This Row],[TOTAL CURRENT UNITS]]=0,0,INVESTORS_LIST[[#This Row],[TOTAL CURRENT UNITS]]*INVESTORS_LIST[[#This Row],[NAV]])</f>
        <v>0</v>
      </c>
      <c r="AQ189" s="49">
        <f>IF(INVESTORS_LIST[[#This Row],[LS_TOTAL CURRENT UNITS]]=0,0,INVESTORS_LIST[[#This Row],[LS_TOTAL CURRENT UNITS]]*INVESTORS_LIST[[#This Row],[NAV]])</f>
        <v>0</v>
      </c>
      <c r="AR189" s="48">
        <f>IF(INVESTORS_LIST[[#This Row],[SIP_TOTAL CURRENT UNITS]]=0,0,INVESTORS_LIST[[#This Row],[SIP_TOTAL CURRENT UNITS]]*INVESTORS_LIST[[#This Row],[NAV]])</f>
        <v>0</v>
      </c>
      <c r="AS189" s="50">
        <f>INVESTORS_LIST[[#This Row],[TOTAL CURRENT UNITS]]</f>
        <v>0</v>
      </c>
      <c r="AT189" s="48">
        <f>IF(INVESTORS_LIST[[#This Row],[TOTAL SELLABLE UNITS]]=0,0,INVESTORS_LIST[[#This Row],[TOTAL SELLABLE UNITS]]*INVESTORS_LIST[[#This Row],[NAV]])</f>
        <v>0</v>
      </c>
      <c r="AU189" s="48">
        <f>INVESTORS_LIST[[#This Row],[LS_TOTAL REALIZED GAIN]]+INVESTORS_LIST[[#This Row],[SIP_TOTAL REALIZED GAIN]]</f>
        <v>0</v>
      </c>
      <c r="AV189" s="48">
        <f>INVESTORS_LIST[[#This Row],[TOTAL MARKET VALUE]]-INVESTORS_LIST[[#This Row],[TOTAL COST VALUE OF CURRENT INVESTMENT]]</f>
        <v>0</v>
      </c>
      <c r="AW189" s="48">
        <f>IFERROR(INVESTORS_LIST[[#This Row],[TOTAL CURRENT UNITS]]/SUM(INVESTORS_LIST[TOTAL CURRENT UNITS]),0)</f>
        <v>0</v>
      </c>
    </row>
    <row r="190" spans="1:49" hidden="1">
      <c r="A190" s="262" t="s">
        <v>428</v>
      </c>
      <c r="B190" s="97" t="s">
        <v>429</v>
      </c>
      <c r="C190" t="s">
        <v>44</v>
      </c>
      <c r="D190" s="75" t="s">
        <v>45</v>
      </c>
      <c r="E190" s="47">
        <f>SUMIFS(LS[Unit],LS[Investor ID],INVESTORS_LIST[[#This Row],[INVESTOR CODE]],LS[B/S],"B")</f>
        <v>0</v>
      </c>
      <c r="F190" s="47">
        <f>-SUMIFS(LS[Unit],LS[Investor ID],INVESTORS_LIST[[#This Row],[INVESTOR CODE]],LS[B/S],"S")</f>
        <v>0</v>
      </c>
      <c r="G190" s="47">
        <f>IF(INVESTORS_LIST[[#This Row],[LS_TOTAL UNITS BUY]]=0,0,INVESTORS_LIST[[#This Row],[LS_TOTAL UNITS BUY]]-INVESTORS_LIST[[#This Row],[LS_TOTAL UNITS SOLD]])</f>
        <v>0</v>
      </c>
      <c r="H190" s="49">
        <f>IF(INVESTORS_LIST[[#This Row],[LS_TOTAL UNITS BUY]]=0,0,SUMIFS(LS[Amount],LS[Investor ID],INVESTORS_LIST[[#This Row],[INVESTOR CODE]],LS[B/S],"B"))</f>
        <v>0</v>
      </c>
      <c r="I190" s="48">
        <f>IF(INVESTORS_LIST[[#This Row],[LS_TOTAL UNITS SOLD]]=0,0,SUMIFS(LS[Cost of Units Sold],LS[Investor ID],INVESTORS_LIST[[#This Row],[INVESTOR CODE]],LS[B/S],"S"))</f>
        <v>0</v>
      </c>
      <c r="J190" s="48">
        <f>IF(INVESTORS_LIST[[#This Row],[LS_TOTAL CURRENT UNITS]]=0,0,INVESTORS_LIST[[#This Row],[LS_TOTAL CURRENT UNITS]]*INVESTORS_LIST[[#This Row],[LS_AVERAGE COST]])</f>
        <v>0</v>
      </c>
      <c r="K190" s="49">
        <f>IF(INVESTORS_LIST[[#This Row],[LS_TOTAL UNITS SOLD]]=0,0,SUMIFS(LS[Realized Gain],LS[Investor ID],INVESTORS_LIST[[#This Row],[INVESTOR CODE]],LS[B/S],"S"))</f>
        <v>0</v>
      </c>
      <c r="L190" s="47">
        <f>SUMIFS(SIP[Unit],SIP[Investor ID],INVESTORS_LIST[[#This Row],[INVESTOR CODE]],SIP[B/S],"B")</f>
        <v>0</v>
      </c>
      <c r="M190" s="47">
        <f>-SUMIFS(SIP[Unit],SIP[Investor ID],INVESTORS_LIST[[#This Row],[INVESTOR CODE]],SIP[B/S],"S")</f>
        <v>0</v>
      </c>
      <c r="N190" s="50">
        <f>IF(INVESTORS_LIST[[#This Row],[SIP_TOTAL UNITS BUY]]=0,0,INVESTORS_LIST[[#This Row],[SIP_TOTAL UNITS BUY]]-INVESTORS_LIST[[#This Row],[SIP_TOTAL UNITS SOLD]])</f>
        <v>0</v>
      </c>
      <c r="O190" s="49">
        <f>IF(INVESTORS_LIST[[#This Row],[SIP_TOTAL UNITS BUY]]=0,0,SUMIFS(SIP[Amount],SIP[Investor ID],INVESTORS_LIST[[#This Row],[INVESTOR CODE]],SIP[B/S],"B"))</f>
        <v>0</v>
      </c>
      <c r="P190" s="49">
        <f>IF(INVESTORS_LIST[[#This Row],[SIP_TOTAL UNITS SOLD]]=0,0,SUMIFS(SIP[Cost of Units Sold],SIP[Investor ID],INVESTORS_LIST[[#This Row],[INVESTOR CODE]],SIP[B/S],"S"))</f>
        <v>0</v>
      </c>
      <c r="Q190" s="48">
        <f>IF(INVESTORS_LIST[[#This Row],[SIP_TOTAL CURRENT UNITS]]=0,0,INVESTORS_LIST[[#This Row],[SIP_TOTAL CURRENT UNITS]]*INVESTORS_LIST[[#This Row],[SIP_AVERAGE COST]])</f>
        <v>0</v>
      </c>
      <c r="R190" s="48">
        <f>IF(INVESTORS_LIST[[#This Row],[SIP_TOTAL UNITS SOLD]]=0,0,SUMIFS(SIP[Realized Gain],SIP[Investor ID],INVESTORS_LIST[[#This Row],[INVESTOR CODE]],SIP[B/S],"S"))</f>
        <v>0</v>
      </c>
      <c r="S190" s="50">
        <f>INVESTORS_LIST[[#This Row],[LS_TOTAL UNITS BUY]]+INVESTORS_LIST[[#This Row],[SIP_TOTAL UNITS BUY]]</f>
        <v>0</v>
      </c>
      <c r="T190" s="50">
        <f>INVESTORS_LIST[[#This Row],[LS_TOTAL UNITS SOLD]]+INVESTORS_LIST[[#This Row],[SIP_TOTAL UNITS SOLD]]</f>
        <v>0</v>
      </c>
      <c r="U190" s="50"/>
      <c r="V190" s="50">
        <f>SUMIFS(LS[BO UNIT TRANSFER],LS[Investor ID],INVESTORS_LIST[[#This Row],[INVESTOR CODE]],LS[B/S],"B")</f>
        <v>0</v>
      </c>
      <c r="W190" s="50">
        <f>SUMIFS(SIP[BO UNIT TRANSFER],SIP[Investor ID],INVESTORS_LIST[[#This Row],[INVESTOR CODE]],SIP[B/S],"B")</f>
        <v>0</v>
      </c>
      <c r="X190" s="50">
        <f>SUMIFS(LS[BO UNIT TRANSFER],LS[Investor ID],INVESTORS_LIST[[#This Row],[INVESTOR CODE]],LS[B/S],"S")</f>
        <v>0</v>
      </c>
      <c r="Y190" s="50">
        <f>SUMIFS(SIP[BO UNIT TRANSFER],SIP[Investor ID],INVESTORS_LIST[[#This Row],[INVESTOR CODE]],SIP[B/S],"S")</f>
        <v>0</v>
      </c>
      <c r="Z190" s="106">
        <f>SUM(INVESTORS_LIST[[#This Row],[BO OPENING BALANCE]:[BO SIP UNITS REPURCHASE]])</f>
        <v>0</v>
      </c>
      <c r="AA190" s="107">
        <f>INVESTORS_LIST[[#This Row],[TOTAL UNITS BUY]]-INVESTORS_LIST[[#This Row],[TOTAL UNITS SOLD]]</f>
        <v>0</v>
      </c>
      <c r="AB190" s="107">
        <f>INVESTORS_LIST[[#This Row],[TOTAL CURRENT UNITS]]-INVESTORS_LIST[[#This Row],[BO UNITS HOLD]]</f>
        <v>0</v>
      </c>
      <c r="AC190" s="201" t="e">
        <f>INDEX([3]!Table_1[BO ID],MATCH(INVESTORS_LIST[[#This Row],[INVESTOR CODE]],[3]!Table_1[INVESTOR CODE],0))</f>
        <v>#REF!</v>
      </c>
      <c r="AD190" s="201" t="e">
        <f>INDEX([3]!Table_1[Brokerage Name2],MATCH(INVESTORS_LIST[[#This Row],[INVESTOR CODE]],[3]!Table_1[INVESTOR CODE],0))</f>
        <v>#REF!</v>
      </c>
      <c r="AE190" s="201" t="e">
        <f>MID(INVESTORS_LIST[[#This Row],[BO ID]],4,5)</f>
        <v>#REF!</v>
      </c>
      <c r="AF190" s="201" t="e">
        <f>MID(INVESTORS_LIST[[#This Row],[BO ID]],2,7)</f>
        <v>#REF!</v>
      </c>
      <c r="AG190" s="201" t="e">
        <f>MID(INVESTORS_LIST[[#This Row],[BO ID]],9,7)</f>
        <v>#REF!</v>
      </c>
      <c r="AH190" s="201" t="e">
        <f>RIGHT(INVESTORS_LIST[[#This Row],[BO ID]],1)</f>
        <v>#REF!</v>
      </c>
      <c r="AI190" s="50">
        <f>INVESTORS_LIST[[#This Row],[LS_TOTAL COST VALUE OF CURRENT UNITS]]+INVESTORS_LIST[[#This Row],[SIP_TOTAL COST VALUE OF CURRENT UNITS]]</f>
        <v>0</v>
      </c>
      <c r="AJ190" s="109">
        <f>IF(INVESTORS_LIST[[#This Row],[TOTAL CURRENT UNITS]]=0,0,INVESTORS_LIST[[#This Row],[LS_TOTAL CURRENT UNITS]]/INVESTORS_LIST[[#This Row],[TOTAL CURRENT UNITS]])</f>
        <v>0</v>
      </c>
      <c r="AK190" s="109">
        <f>IF(INVESTORS_LIST[[#This Row],[TOTAL CURRENT UNITS]]=0,0,INVESTORS_LIST[[#This Row],[SIP_TOTAL CURRENT UNITS]]/INVESTORS_LIST[[#This Row],[TOTAL CURRENT UNITS]])</f>
        <v>0</v>
      </c>
      <c r="AL190" s="49" cm="1">
        <f t="array" ref="AL1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0" s="49" cm="1">
        <f t="array" ref="AM1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0" s="105">
        <f t="shared" si="3"/>
        <v>14.224</v>
      </c>
      <c r="AP190" s="112">
        <f>IF(INVESTORS_LIST[[#This Row],[TOTAL CURRENT UNITS]]=0,0,INVESTORS_LIST[[#This Row],[TOTAL CURRENT UNITS]]*INVESTORS_LIST[[#This Row],[NAV]])</f>
        <v>0</v>
      </c>
      <c r="AQ190" s="49">
        <f>IF(INVESTORS_LIST[[#This Row],[LS_TOTAL CURRENT UNITS]]=0,0,INVESTORS_LIST[[#This Row],[LS_TOTAL CURRENT UNITS]]*INVESTORS_LIST[[#This Row],[NAV]])</f>
        <v>0</v>
      </c>
      <c r="AR190" s="48">
        <f>IF(INVESTORS_LIST[[#This Row],[SIP_TOTAL CURRENT UNITS]]=0,0,INVESTORS_LIST[[#This Row],[SIP_TOTAL CURRENT UNITS]]*INVESTORS_LIST[[#This Row],[NAV]])</f>
        <v>0</v>
      </c>
      <c r="AS190" s="50">
        <f>INVESTORS_LIST[[#This Row],[TOTAL CURRENT UNITS]]</f>
        <v>0</v>
      </c>
      <c r="AT190" s="48">
        <f>IF(INVESTORS_LIST[[#This Row],[TOTAL SELLABLE UNITS]]=0,0,INVESTORS_LIST[[#This Row],[TOTAL SELLABLE UNITS]]*INVESTORS_LIST[[#This Row],[NAV]])</f>
        <v>0</v>
      </c>
      <c r="AU190" s="48">
        <f>INVESTORS_LIST[[#This Row],[LS_TOTAL REALIZED GAIN]]+INVESTORS_LIST[[#This Row],[SIP_TOTAL REALIZED GAIN]]</f>
        <v>0</v>
      </c>
      <c r="AV190" s="48">
        <f>INVESTORS_LIST[[#This Row],[TOTAL MARKET VALUE]]-INVESTORS_LIST[[#This Row],[TOTAL COST VALUE OF CURRENT INVESTMENT]]</f>
        <v>0</v>
      </c>
      <c r="AW190" s="48">
        <f>IFERROR(INVESTORS_LIST[[#This Row],[TOTAL CURRENT UNITS]]/SUM(INVESTORS_LIST[TOTAL CURRENT UNITS]),0)</f>
        <v>0</v>
      </c>
    </row>
    <row r="191" spans="1:49" hidden="1">
      <c r="A191" s="262" t="s">
        <v>430</v>
      </c>
      <c r="B191" s="97" t="s">
        <v>431</v>
      </c>
      <c r="C191" t="s">
        <v>44</v>
      </c>
      <c r="D191" s="75" t="s">
        <v>45</v>
      </c>
      <c r="E191" s="47">
        <f>SUMIFS(LS[Unit],LS[Investor ID],INVESTORS_LIST[[#This Row],[INVESTOR CODE]],LS[B/S],"B")</f>
        <v>0</v>
      </c>
      <c r="F191" s="47">
        <f>-SUMIFS(LS[Unit],LS[Investor ID],INVESTORS_LIST[[#This Row],[INVESTOR CODE]],LS[B/S],"S")</f>
        <v>0</v>
      </c>
      <c r="G191" s="47">
        <f>IF(INVESTORS_LIST[[#This Row],[LS_TOTAL UNITS BUY]]=0,0,INVESTORS_LIST[[#This Row],[LS_TOTAL UNITS BUY]]-INVESTORS_LIST[[#This Row],[LS_TOTAL UNITS SOLD]])</f>
        <v>0</v>
      </c>
      <c r="H191" s="49">
        <f>IF(INVESTORS_LIST[[#This Row],[LS_TOTAL UNITS BUY]]=0,0,SUMIFS(LS[Amount],LS[Investor ID],INVESTORS_LIST[[#This Row],[INVESTOR CODE]],LS[B/S],"B"))</f>
        <v>0</v>
      </c>
      <c r="I191" s="48">
        <f>IF(INVESTORS_LIST[[#This Row],[LS_TOTAL UNITS SOLD]]=0,0,SUMIFS(LS[Cost of Units Sold],LS[Investor ID],INVESTORS_LIST[[#This Row],[INVESTOR CODE]],LS[B/S],"S"))</f>
        <v>0</v>
      </c>
      <c r="J191" s="48">
        <f>IF(INVESTORS_LIST[[#This Row],[LS_TOTAL CURRENT UNITS]]=0,0,INVESTORS_LIST[[#This Row],[LS_TOTAL CURRENT UNITS]]*INVESTORS_LIST[[#This Row],[LS_AVERAGE COST]])</f>
        <v>0</v>
      </c>
      <c r="K191" s="49">
        <f>IF(INVESTORS_LIST[[#This Row],[LS_TOTAL UNITS SOLD]]=0,0,SUMIFS(LS[Realized Gain],LS[Investor ID],INVESTORS_LIST[[#This Row],[INVESTOR CODE]],LS[B/S],"S"))</f>
        <v>0</v>
      </c>
      <c r="L191" s="47">
        <f>SUMIFS(SIP[Unit],SIP[Investor ID],INVESTORS_LIST[[#This Row],[INVESTOR CODE]],SIP[B/S],"B")</f>
        <v>0</v>
      </c>
      <c r="M191" s="47">
        <f>-SUMIFS(SIP[Unit],SIP[Investor ID],INVESTORS_LIST[[#This Row],[INVESTOR CODE]],SIP[B/S],"S")</f>
        <v>0</v>
      </c>
      <c r="N191" s="50">
        <f>IF(INVESTORS_LIST[[#This Row],[SIP_TOTAL UNITS BUY]]=0,0,INVESTORS_LIST[[#This Row],[SIP_TOTAL UNITS BUY]]-INVESTORS_LIST[[#This Row],[SIP_TOTAL UNITS SOLD]])</f>
        <v>0</v>
      </c>
      <c r="O191" s="49">
        <f>IF(INVESTORS_LIST[[#This Row],[SIP_TOTAL UNITS BUY]]=0,0,SUMIFS(SIP[Amount],SIP[Investor ID],INVESTORS_LIST[[#This Row],[INVESTOR CODE]],SIP[B/S],"B"))</f>
        <v>0</v>
      </c>
      <c r="P191" s="49">
        <f>IF(INVESTORS_LIST[[#This Row],[SIP_TOTAL UNITS SOLD]]=0,0,SUMIFS(SIP[Cost of Units Sold],SIP[Investor ID],INVESTORS_LIST[[#This Row],[INVESTOR CODE]],SIP[B/S],"S"))</f>
        <v>0</v>
      </c>
      <c r="Q191" s="48">
        <f>IF(INVESTORS_LIST[[#This Row],[SIP_TOTAL CURRENT UNITS]]=0,0,INVESTORS_LIST[[#This Row],[SIP_TOTAL CURRENT UNITS]]*INVESTORS_LIST[[#This Row],[SIP_AVERAGE COST]])</f>
        <v>0</v>
      </c>
      <c r="R191" s="48">
        <f>IF(INVESTORS_LIST[[#This Row],[SIP_TOTAL UNITS SOLD]]=0,0,SUMIFS(SIP[Realized Gain],SIP[Investor ID],INVESTORS_LIST[[#This Row],[INVESTOR CODE]],SIP[B/S],"S"))</f>
        <v>0</v>
      </c>
      <c r="S191" s="50">
        <f>INVESTORS_LIST[[#This Row],[LS_TOTAL UNITS BUY]]+INVESTORS_LIST[[#This Row],[SIP_TOTAL UNITS BUY]]</f>
        <v>0</v>
      </c>
      <c r="T191" s="50">
        <f>INVESTORS_LIST[[#This Row],[LS_TOTAL UNITS SOLD]]+INVESTORS_LIST[[#This Row],[SIP_TOTAL UNITS SOLD]]</f>
        <v>0</v>
      </c>
      <c r="U191" s="50"/>
      <c r="V191" s="50">
        <f>SUMIFS(LS[BO UNIT TRANSFER],LS[Investor ID],INVESTORS_LIST[[#This Row],[INVESTOR CODE]],LS[B/S],"B")</f>
        <v>0</v>
      </c>
      <c r="W191" s="50">
        <f>SUMIFS(SIP[BO UNIT TRANSFER],SIP[Investor ID],INVESTORS_LIST[[#This Row],[INVESTOR CODE]],SIP[B/S],"B")</f>
        <v>0</v>
      </c>
      <c r="X191" s="50">
        <f>SUMIFS(LS[BO UNIT TRANSFER],LS[Investor ID],INVESTORS_LIST[[#This Row],[INVESTOR CODE]],LS[B/S],"S")</f>
        <v>0</v>
      </c>
      <c r="Y191" s="50">
        <f>SUMIFS(SIP[BO UNIT TRANSFER],SIP[Investor ID],INVESTORS_LIST[[#This Row],[INVESTOR CODE]],SIP[B/S],"S")</f>
        <v>0</v>
      </c>
      <c r="Z191" s="106">
        <f>SUM(INVESTORS_LIST[[#This Row],[BO OPENING BALANCE]:[BO SIP UNITS REPURCHASE]])</f>
        <v>0</v>
      </c>
      <c r="AA191" s="107">
        <f>INVESTORS_LIST[[#This Row],[TOTAL UNITS BUY]]-INVESTORS_LIST[[#This Row],[TOTAL UNITS SOLD]]</f>
        <v>0</v>
      </c>
      <c r="AB191" s="107">
        <f>INVESTORS_LIST[[#This Row],[TOTAL CURRENT UNITS]]-INVESTORS_LIST[[#This Row],[BO UNITS HOLD]]</f>
        <v>0</v>
      </c>
      <c r="AC191" s="201" t="e">
        <f>INDEX([3]!Table_1[BO ID],MATCH(INVESTORS_LIST[[#This Row],[INVESTOR CODE]],[3]!Table_1[INVESTOR CODE],0))</f>
        <v>#REF!</v>
      </c>
      <c r="AD191" s="201" t="e">
        <f>INDEX([3]!Table_1[Brokerage Name2],MATCH(INVESTORS_LIST[[#This Row],[INVESTOR CODE]],[3]!Table_1[INVESTOR CODE],0))</f>
        <v>#REF!</v>
      </c>
      <c r="AE191" s="201" t="e">
        <f>MID(INVESTORS_LIST[[#This Row],[BO ID]],4,5)</f>
        <v>#REF!</v>
      </c>
      <c r="AF191" s="201" t="e">
        <f>MID(INVESTORS_LIST[[#This Row],[BO ID]],2,7)</f>
        <v>#REF!</v>
      </c>
      <c r="AG191" s="201" t="e">
        <f>MID(INVESTORS_LIST[[#This Row],[BO ID]],9,7)</f>
        <v>#REF!</v>
      </c>
      <c r="AH191" s="201" t="e">
        <f>RIGHT(INVESTORS_LIST[[#This Row],[BO ID]],1)</f>
        <v>#REF!</v>
      </c>
      <c r="AI191" s="50">
        <f>INVESTORS_LIST[[#This Row],[LS_TOTAL COST VALUE OF CURRENT UNITS]]+INVESTORS_LIST[[#This Row],[SIP_TOTAL COST VALUE OF CURRENT UNITS]]</f>
        <v>0</v>
      </c>
      <c r="AJ191" s="109">
        <f>IF(INVESTORS_LIST[[#This Row],[TOTAL CURRENT UNITS]]=0,0,INVESTORS_LIST[[#This Row],[LS_TOTAL CURRENT UNITS]]/INVESTORS_LIST[[#This Row],[TOTAL CURRENT UNITS]])</f>
        <v>0</v>
      </c>
      <c r="AK191" s="109">
        <f>IF(INVESTORS_LIST[[#This Row],[TOTAL CURRENT UNITS]]=0,0,INVESTORS_LIST[[#This Row],[SIP_TOTAL CURRENT UNITS]]/INVESTORS_LIST[[#This Row],[TOTAL CURRENT UNITS]])</f>
        <v>0</v>
      </c>
      <c r="AL191" s="49" cm="1">
        <f t="array" ref="AL1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1" s="49" cm="1">
        <f t="array" ref="AM1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1" s="105">
        <f t="shared" si="3"/>
        <v>14.224</v>
      </c>
      <c r="AP191" s="112">
        <f>IF(INVESTORS_LIST[[#This Row],[TOTAL CURRENT UNITS]]=0,0,INVESTORS_LIST[[#This Row],[TOTAL CURRENT UNITS]]*INVESTORS_LIST[[#This Row],[NAV]])</f>
        <v>0</v>
      </c>
      <c r="AQ191" s="49">
        <f>IF(INVESTORS_LIST[[#This Row],[LS_TOTAL CURRENT UNITS]]=0,0,INVESTORS_LIST[[#This Row],[LS_TOTAL CURRENT UNITS]]*INVESTORS_LIST[[#This Row],[NAV]])</f>
        <v>0</v>
      </c>
      <c r="AR191" s="48">
        <f>IF(INVESTORS_LIST[[#This Row],[SIP_TOTAL CURRENT UNITS]]=0,0,INVESTORS_LIST[[#This Row],[SIP_TOTAL CURRENT UNITS]]*INVESTORS_LIST[[#This Row],[NAV]])</f>
        <v>0</v>
      </c>
      <c r="AS191" s="50">
        <f>INVESTORS_LIST[[#This Row],[TOTAL CURRENT UNITS]]</f>
        <v>0</v>
      </c>
      <c r="AT191" s="48">
        <f>IF(INVESTORS_LIST[[#This Row],[TOTAL SELLABLE UNITS]]=0,0,INVESTORS_LIST[[#This Row],[TOTAL SELLABLE UNITS]]*INVESTORS_LIST[[#This Row],[NAV]])</f>
        <v>0</v>
      </c>
      <c r="AU191" s="48">
        <f>INVESTORS_LIST[[#This Row],[LS_TOTAL REALIZED GAIN]]+INVESTORS_LIST[[#This Row],[SIP_TOTAL REALIZED GAIN]]</f>
        <v>0</v>
      </c>
      <c r="AV191" s="48">
        <f>INVESTORS_LIST[[#This Row],[TOTAL MARKET VALUE]]-INVESTORS_LIST[[#This Row],[TOTAL COST VALUE OF CURRENT INVESTMENT]]</f>
        <v>0</v>
      </c>
      <c r="AW191" s="48">
        <f>IFERROR(INVESTORS_LIST[[#This Row],[TOTAL CURRENT UNITS]]/SUM(INVESTORS_LIST[TOTAL CURRENT UNITS]),0)</f>
        <v>0</v>
      </c>
    </row>
    <row r="192" spans="1:49" hidden="1">
      <c r="A192" s="262" t="s">
        <v>432</v>
      </c>
      <c r="B192" s="97" t="s">
        <v>433</v>
      </c>
      <c r="C192" t="s">
        <v>44</v>
      </c>
      <c r="D192" s="75" t="s">
        <v>45</v>
      </c>
      <c r="E192" s="47">
        <f>SUMIFS(LS[Unit],LS[Investor ID],INVESTORS_LIST[[#This Row],[INVESTOR CODE]],LS[B/S],"B")</f>
        <v>0</v>
      </c>
      <c r="F192" s="47">
        <f>-SUMIFS(LS[Unit],LS[Investor ID],INVESTORS_LIST[[#This Row],[INVESTOR CODE]],LS[B/S],"S")</f>
        <v>0</v>
      </c>
      <c r="G192" s="47">
        <f>IF(INVESTORS_LIST[[#This Row],[LS_TOTAL UNITS BUY]]=0,0,INVESTORS_LIST[[#This Row],[LS_TOTAL UNITS BUY]]-INVESTORS_LIST[[#This Row],[LS_TOTAL UNITS SOLD]])</f>
        <v>0</v>
      </c>
      <c r="H192" s="49">
        <f>IF(INVESTORS_LIST[[#This Row],[LS_TOTAL UNITS BUY]]=0,0,SUMIFS(LS[Amount],LS[Investor ID],INVESTORS_LIST[[#This Row],[INVESTOR CODE]],LS[B/S],"B"))</f>
        <v>0</v>
      </c>
      <c r="I192" s="48">
        <f>IF(INVESTORS_LIST[[#This Row],[LS_TOTAL UNITS SOLD]]=0,0,SUMIFS(LS[Cost of Units Sold],LS[Investor ID],INVESTORS_LIST[[#This Row],[INVESTOR CODE]],LS[B/S],"S"))</f>
        <v>0</v>
      </c>
      <c r="J192" s="48">
        <f>IF(INVESTORS_LIST[[#This Row],[LS_TOTAL CURRENT UNITS]]=0,0,INVESTORS_LIST[[#This Row],[LS_TOTAL CURRENT UNITS]]*INVESTORS_LIST[[#This Row],[LS_AVERAGE COST]])</f>
        <v>0</v>
      </c>
      <c r="K192" s="49">
        <f>IF(INVESTORS_LIST[[#This Row],[LS_TOTAL UNITS SOLD]]=0,0,SUMIFS(LS[Realized Gain],LS[Investor ID],INVESTORS_LIST[[#This Row],[INVESTOR CODE]],LS[B/S],"S"))</f>
        <v>0</v>
      </c>
      <c r="L192" s="47">
        <f>SUMIFS(SIP[Unit],SIP[Investor ID],INVESTORS_LIST[[#This Row],[INVESTOR CODE]],SIP[B/S],"B")</f>
        <v>0</v>
      </c>
      <c r="M192" s="47">
        <f>-SUMIFS(SIP[Unit],SIP[Investor ID],INVESTORS_LIST[[#This Row],[INVESTOR CODE]],SIP[B/S],"S")</f>
        <v>0</v>
      </c>
      <c r="N192" s="50">
        <f>IF(INVESTORS_LIST[[#This Row],[SIP_TOTAL UNITS BUY]]=0,0,INVESTORS_LIST[[#This Row],[SIP_TOTAL UNITS BUY]]-INVESTORS_LIST[[#This Row],[SIP_TOTAL UNITS SOLD]])</f>
        <v>0</v>
      </c>
      <c r="O192" s="49">
        <f>IF(INVESTORS_LIST[[#This Row],[SIP_TOTAL UNITS BUY]]=0,0,SUMIFS(SIP[Amount],SIP[Investor ID],INVESTORS_LIST[[#This Row],[INVESTOR CODE]],SIP[B/S],"B"))</f>
        <v>0</v>
      </c>
      <c r="P192" s="49">
        <f>IF(INVESTORS_LIST[[#This Row],[SIP_TOTAL UNITS SOLD]]=0,0,SUMIFS(SIP[Cost of Units Sold],SIP[Investor ID],INVESTORS_LIST[[#This Row],[INVESTOR CODE]],SIP[B/S],"S"))</f>
        <v>0</v>
      </c>
      <c r="Q192" s="48">
        <f>IF(INVESTORS_LIST[[#This Row],[SIP_TOTAL CURRENT UNITS]]=0,0,INVESTORS_LIST[[#This Row],[SIP_TOTAL CURRENT UNITS]]*INVESTORS_LIST[[#This Row],[SIP_AVERAGE COST]])</f>
        <v>0</v>
      </c>
      <c r="R192" s="48">
        <f>IF(INVESTORS_LIST[[#This Row],[SIP_TOTAL UNITS SOLD]]=0,0,SUMIFS(SIP[Realized Gain],SIP[Investor ID],INVESTORS_LIST[[#This Row],[INVESTOR CODE]],SIP[B/S],"S"))</f>
        <v>0</v>
      </c>
      <c r="S192" s="50">
        <f>INVESTORS_LIST[[#This Row],[LS_TOTAL UNITS BUY]]+INVESTORS_LIST[[#This Row],[SIP_TOTAL UNITS BUY]]</f>
        <v>0</v>
      </c>
      <c r="T192" s="50">
        <f>INVESTORS_LIST[[#This Row],[LS_TOTAL UNITS SOLD]]+INVESTORS_LIST[[#This Row],[SIP_TOTAL UNITS SOLD]]</f>
        <v>0</v>
      </c>
      <c r="U192" s="50"/>
      <c r="V192" s="50">
        <f>SUMIFS(LS[BO UNIT TRANSFER],LS[Investor ID],INVESTORS_LIST[[#This Row],[INVESTOR CODE]],LS[B/S],"B")</f>
        <v>0</v>
      </c>
      <c r="W192" s="50">
        <f>SUMIFS(SIP[BO UNIT TRANSFER],SIP[Investor ID],INVESTORS_LIST[[#This Row],[INVESTOR CODE]],SIP[B/S],"B")</f>
        <v>0</v>
      </c>
      <c r="X192" s="50">
        <f>SUMIFS(LS[BO UNIT TRANSFER],LS[Investor ID],INVESTORS_LIST[[#This Row],[INVESTOR CODE]],LS[B/S],"S")</f>
        <v>0</v>
      </c>
      <c r="Y192" s="50">
        <f>SUMIFS(SIP[BO UNIT TRANSFER],SIP[Investor ID],INVESTORS_LIST[[#This Row],[INVESTOR CODE]],SIP[B/S],"S")</f>
        <v>0</v>
      </c>
      <c r="Z192" s="106">
        <f>SUM(INVESTORS_LIST[[#This Row],[BO OPENING BALANCE]:[BO SIP UNITS REPURCHASE]])</f>
        <v>0</v>
      </c>
      <c r="AA192" s="107">
        <f>INVESTORS_LIST[[#This Row],[TOTAL UNITS BUY]]-INVESTORS_LIST[[#This Row],[TOTAL UNITS SOLD]]</f>
        <v>0</v>
      </c>
      <c r="AB192" s="107">
        <f>INVESTORS_LIST[[#This Row],[TOTAL CURRENT UNITS]]-INVESTORS_LIST[[#This Row],[BO UNITS HOLD]]</f>
        <v>0</v>
      </c>
      <c r="AC192" s="201" t="e">
        <f>INDEX([3]!Table_1[BO ID],MATCH(INVESTORS_LIST[[#This Row],[INVESTOR CODE]],[3]!Table_1[INVESTOR CODE],0))</f>
        <v>#REF!</v>
      </c>
      <c r="AD192" s="201" t="e">
        <f>INDEX([3]!Table_1[Brokerage Name2],MATCH(INVESTORS_LIST[[#This Row],[INVESTOR CODE]],[3]!Table_1[INVESTOR CODE],0))</f>
        <v>#REF!</v>
      </c>
      <c r="AE192" s="201" t="e">
        <f>MID(INVESTORS_LIST[[#This Row],[BO ID]],4,5)</f>
        <v>#REF!</v>
      </c>
      <c r="AF192" s="201" t="e">
        <f>MID(INVESTORS_LIST[[#This Row],[BO ID]],2,7)</f>
        <v>#REF!</v>
      </c>
      <c r="AG192" s="201" t="e">
        <f>MID(INVESTORS_LIST[[#This Row],[BO ID]],9,7)</f>
        <v>#REF!</v>
      </c>
      <c r="AH192" s="201" t="e">
        <f>RIGHT(INVESTORS_LIST[[#This Row],[BO ID]],1)</f>
        <v>#REF!</v>
      </c>
      <c r="AI192" s="50">
        <f>INVESTORS_LIST[[#This Row],[LS_TOTAL COST VALUE OF CURRENT UNITS]]+INVESTORS_LIST[[#This Row],[SIP_TOTAL COST VALUE OF CURRENT UNITS]]</f>
        <v>0</v>
      </c>
      <c r="AJ192" s="109">
        <f>IF(INVESTORS_LIST[[#This Row],[TOTAL CURRENT UNITS]]=0,0,INVESTORS_LIST[[#This Row],[LS_TOTAL CURRENT UNITS]]/INVESTORS_LIST[[#This Row],[TOTAL CURRENT UNITS]])</f>
        <v>0</v>
      </c>
      <c r="AK192" s="109">
        <f>IF(INVESTORS_LIST[[#This Row],[TOTAL CURRENT UNITS]]=0,0,INVESTORS_LIST[[#This Row],[SIP_TOTAL CURRENT UNITS]]/INVESTORS_LIST[[#This Row],[TOTAL CURRENT UNITS]])</f>
        <v>0</v>
      </c>
      <c r="AL192" s="49" cm="1">
        <f t="array" ref="AL1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2" s="49" cm="1">
        <f t="array" ref="AM1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2" s="105">
        <f t="shared" si="3"/>
        <v>14.224</v>
      </c>
      <c r="AP192" s="112">
        <f>IF(INVESTORS_LIST[[#This Row],[TOTAL CURRENT UNITS]]=0,0,INVESTORS_LIST[[#This Row],[TOTAL CURRENT UNITS]]*INVESTORS_LIST[[#This Row],[NAV]])</f>
        <v>0</v>
      </c>
      <c r="AQ192" s="49">
        <f>IF(INVESTORS_LIST[[#This Row],[LS_TOTAL CURRENT UNITS]]=0,0,INVESTORS_LIST[[#This Row],[LS_TOTAL CURRENT UNITS]]*INVESTORS_LIST[[#This Row],[NAV]])</f>
        <v>0</v>
      </c>
      <c r="AR192" s="48">
        <f>IF(INVESTORS_LIST[[#This Row],[SIP_TOTAL CURRENT UNITS]]=0,0,INVESTORS_LIST[[#This Row],[SIP_TOTAL CURRENT UNITS]]*INVESTORS_LIST[[#This Row],[NAV]])</f>
        <v>0</v>
      </c>
      <c r="AS192" s="50">
        <f>INVESTORS_LIST[[#This Row],[TOTAL CURRENT UNITS]]</f>
        <v>0</v>
      </c>
      <c r="AT192" s="48">
        <f>IF(INVESTORS_LIST[[#This Row],[TOTAL SELLABLE UNITS]]=0,0,INVESTORS_LIST[[#This Row],[TOTAL SELLABLE UNITS]]*INVESTORS_LIST[[#This Row],[NAV]])</f>
        <v>0</v>
      </c>
      <c r="AU192" s="48">
        <f>INVESTORS_LIST[[#This Row],[LS_TOTAL REALIZED GAIN]]+INVESTORS_LIST[[#This Row],[SIP_TOTAL REALIZED GAIN]]</f>
        <v>0</v>
      </c>
      <c r="AV192" s="48">
        <f>INVESTORS_LIST[[#This Row],[TOTAL MARKET VALUE]]-INVESTORS_LIST[[#This Row],[TOTAL COST VALUE OF CURRENT INVESTMENT]]</f>
        <v>0</v>
      </c>
      <c r="AW192" s="48">
        <f>IFERROR(INVESTORS_LIST[[#This Row],[TOTAL CURRENT UNITS]]/SUM(INVESTORS_LIST[TOTAL CURRENT UNITS]),0)</f>
        <v>0</v>
      </c>
    </row>
    <row r="193" spans="1:49" hidden="1">
      <c r="A193" s="262" t="s">
        <v>434</v>
      </c>
      <c r="B193" s="97" t="s">
        <v>435</v>
      </c>
      <c r="C193" t="s">
        <v>52</v>
      </c>
      <c r="D193" s="75" t="s">
        <v>45</v>
      </c>
      <c r="E193" s="47">
        <f>SUMIFS(LS[Unit],LS[Investor ID],INVESTORS_LIST[[#This Row],[INVESTOR CODE]],LS[B/S],"B")</f>
        <v>0</v>
      </c>
      <c r="F193" s="47">
        <f>-SUMIFS(LS[Unit],LS[Investor ID],INVESTORS_LIST[[#This Row],[INVESTOR CODE]],LS[B/S],"S")</f>
        <v>0</v>
      </c>
      <c r="G193" s="47">
        <f>IF(INVESTORS_LIST[[#This Row],[LS_TOTAL UNITS BUY]]=0,0,INVESTORS_LIST[[#This Row],[LS_TOTAL UNITS BUY]]-INVESTORS_LIST[[#This Row],[LS_TOTAL UNITS SOLD]])</f>
        <v>0</v>
      </c>
      <c r="H193" s="49">
        <f>IF(INVESTORS_LIST[[#This Row],[LS_TOTAL UNITS BUY]]=0,0,SUMIFS(LS[Amount],LS[Investor ID],INVESTORS_LIST[[#This Row],[INVESTOR CODE]],LS[B/S],"B"))</f>
        <v>0</v>
      </c>
      <c r="I193" s="48">
        <f>IF(INVESTORS_LIST[[#This Row],[LS_TOTAL UNITS SOLD]]=0,0,SUMIFS(LS[Cost of Units Sold],LS[Investor ID],INVESTORS_LIST[[#This Row],[INVESTOR CODE]],LS[B/S],"S"))</f>
        <v>0</v>
      </c>
      <c r="J193" s="48">
        <f>IF(INVESTORS_LIST[[#This Row],[LS_TOTAL CURRENT UNITS]]=0,0,INVESTORS_LIST[[#This Row],[LS_TOTAL CURRENT UNITS]]*INVESTORS_LIST[[#This Row],[LS_AVERAGE COST]])</f>
        <v>0</v>
      </c>
      <c r="K193" s="49">
        <f>IF(INVESTORS_LIST[[#This Row],[LS_TOTAL UNITS SOLD]]=0,0,SUMIFS(LS[Realized Gain],LS[Investor ID],INVESTORS_LIST[[#This Row],[INVESTOR CODE]],LS[B/S],"S"))</f>
        <v>0</v>
      </c>
      <c r="L193" s="47">
        <f>SUMIFS(SIP[Unit],SIP[Investor ID],INVESTORS_LIST[[#This Row],[INVESTOR CODE]],SIP[B/S],"B")</f>
        <v>0</v>
      </c>
      <c r="M193" s="47">
        <f>-SUMIFS(SIP[Unit],SIP[Investor ID],INVESTORS_LIST[[#This Row],[INVESTOR CODE]],SIP[B/S],"S")</f>
        <v>0</v>
      </c>
      <c r="N193" s="50">
        <f>IF(INVESTORS_LIST[[#This Row],[SIP_TOTAL UNITS BUY]]=0,0,INVESTORS_LIST[[#This Row],[SIP_TOTAL UNITS BUY]]-INVESTORS_LIST[[#This Row],[SIP_TOTAL UNITS SOLD]])</f>
        <v>0</v>
      </c>
      <c r="O193" s="49">
        <f>IF(INVESTORS_LIST[[#This Row],[SIP_TOTAL UNITS BUY]]=0,0,SUMIFS(SIP[Amount],SIP[Investor ID],INVESTORS_LIST[[#This Row],[INVESTOR CODE]],SIP[B/S],"B"))</f>
        <v>0</v>
      </c>
      <c r="P193" s="49">
        <f>IF(INVESTORS_LIST[[#This Row],[SIP_TOTAL UNITS SOLD]]=0,0,SUMIFS(SIP[Cost of Units Sold],SIP[Investor ID],INVESTORS_LIST[[#This Row],[INVESTOR CODE]],SIP[B/S],"S"))</f>
        <v>0</v>
      </c>
      <c r="Q193" s="48">
        <f>IF(INVESTORS_LIST[[#This Row],[SIP_TOTAL CURRENT UNITS]]=0,0,INVESTORS_LIST[[#This Row],[SIP_TOTAL CURRENT UNITS]]*INVESTORS_LIST[[#This Row],[SIP_AVERAGE COST]])</f>
        <v>0</v>
      </c>
      <c r="R193" s="48">
        <f>IF(INVESTORS_LIST[[#This Row],[SIP_TOTAL UNITS SOLD]]=0,0,SUMIFS(SIP[Realized Gain],SIP[Investor ID],INVESTORS_LIST[[#This Row],[INVESTOR CODE]],SIP[B/S],"S"))</f>
        <v>0</v>
      </c>
      <c r="S193" s="50">
        <f>INVESTORS_LIST[[#This Row],[LS_TOTAL UNITS BUY]]+INVESTORS_LIST[[#This Row],[SIP_TOTAL UNITS BUY]]</f>
        <v>0</v>
      </c>
      <c r="T193" s="50">
        <f>INVESTORS_LIST[[#This Row],[LS_TOTAL UNITS SOLD]]+INVESTORS_LIST[[#This Row],[SIP_TOTAL UNITS SOLD]]</f>
        <v>0</v>
      </c>
      <c r="U193" s="50"/>
      <c r="V193" s="50">
        <f>SUMIFS(LS[BO UNIT TRANSFER],LS[Investor ID],INVESTORS_LIST[[#This Row],[INVESTOR CODE]],LS[B/S],"B")</f>
        <v>0</v>
      </c>
      <c r="W193" s="50">
        <f>SUMIFS(SIP[BO UNIT TRANSFER],SIP[Investor ID],INVESTORS_LIST[[#This Row],[INVESTOR CODE]],SIP[B/S],"B")</f>
        <v>0</v>
      </c>
      <c r="X193" s="50">
        <f>SUMIFS(LS[BO UNIT TRANSFER],LS[Investor ID],INVESTORS_LIST[[#This Row],[INVESTOR CODE]],LS[B/S],"S")</f>
        <v>0</v>
      </c>
      <c r="Y193" s="50">
        <f>SUMIFS(SIP[BO UNIT TRANSFER],SIP[Investor ID],INVESTORS_LIST[[#This Row],[INVESTOR CODE]],SIP[B/S],"S")</f>
        <v>0</v>
      </c>
      <c r="Z193" s="106">
        <f>SUM(INVESTORS_LIST[[#This Row],[BO OPENING BALANCE]:[BO SIP UNITS REPURCHASE]])</f>
        <v>0</v>
      </c>
      <c r="AA193" s="107">
        <f>INVESTORS_LIST[[#This Row],[TOTAL UNITS BUY]]-INVESTORS_LIST[[#This Row],[TOTAL UNITS SOLD]]</f>
        <v>0</v>
      </c>
      <c r="AB193" s="107">
        <f>INVESTORS_LIST[[#This Row],[TOTAL CURRENT UNITS]]-INVESTORS_LIST[[#This Row],[BO UNITS HOLD]]</f>
        <v>0</v>
      </c>
      <c r="AC193" s="201" t="e">
        <f>INDEX([3]!Table_1[BO ID],MATCH(INVESTORS_LIST[[#This Row],[INVESTOR CODE]],[3]!Table_1[INVESTOR CODE],0))</f>
        <v>#REF!</v>
      </c>
      <c r="AD193" s="201" t="e">
        <f>INDEX([3]!Table_1[Brokerage Name2],MATCH(INVESTORS_LIST[[#This Row],[INVESTOR CODE]],[3]!Table_1[INVESTOR CODE],0))</f>
        <v>#REF!</v>
      </c>
      <c r="AE193" s="201" t="e">
        <f>MID(INVESTORS_LIST[[#This Row],[BO ID]],4,5)</f>
        <v>#REF!</v>
      </c>
      <c r="AF193" s="201" t="e">
        <f>MID(INVESTORS_LIST[[#This Row],[BO ID]],2,7)</f>
        <v>#REF!</v>
      </c>
      <c r="AG193" s="201" t="e">
        <f>MID(INVESTORS_LIST[[#This Row],[BO ID]],9,7)</f>
        <v>#REF!</v>
      </c>
      <c r="AH193" s="201" t="e">
        <f>RIGHT(INVESTORS_LIST[[#This Row],[BO ID]],1)</f>
        <v>#REF!</v>
      </c>
      <c r="AI193" s="50">
        <f>INVESTORS_LIST[[#This Row],[LS_TOTAL COST VALUE OF CURRENT UNITS]]+INVESTORS_LIST[[#This Row],[SIP_TOTAL COST VALUE OF CURRENT UNITS]]</f>
        <v>0</v>
      </c>
      <c r="AJ193" s="109">
        <f>IF(INVESTORS_LIST[[#This Row],[TOTAL CURRENT UNITS]]=0,0,INVESTORS_LIST[[#This Row],[LS_TOTAL CURRENT UNITS]]/INVESTORS_LIST[[#This Row],[TOTAL CURRENT UNITS]])</f>
        <v>0</v>
      </c>
      <c r="AK193" s="109">
        <f>IF(INVESTORS_LIST[[#This Row],[TOTAL CURRENT UNITS]]=0,0,INVESTORS_LIST[[#This Row],[SIP_TOTAL CURRENT UNITS]]/INVESTORS_LIST[[#This Row],[TOTAL CURRENT UNITS]])</f>
        <v>0</v>
      </c>
      <c r="AL193" s="49" cm="1">
        <f t="array" ref="AL1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3" s="49" cm="1">
        <f t="array" ref="AM1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3" s="105">
        <f t="shared" si="3"/>
        <v>14.224</v>
      </c>
      <c r="AP193" s="112">
        <f>IF(INVESTORS_LIST[[#This Row],[TOTAL CURRENT UNITS]]=0,0,INVESTORS_LIST[[#This Row],[TOTAL CURRENT UNITS]]*INVESTORS_LIST[[#This Row],[NAV]])</f>
        <v>0</v>
      </c>
      <c r="AQ193" s="49">
        <f>IF(INVESTORS_LIST[[#This Row],[LS_TOTAL CURRENT UNITS]]=0,0,INVESTORS_LIST[[#This Row],[LS_TOTAL CURRENT UNITS]]*INVESTORS_LIST[[#This Row],[NAV]])</f>
        <v>0</v>
      </c>
      <c r="AR193" s="48">
        <f>IF(INVESTORS_LIST[[#This Row],[SIP_TOTAL CURRENT UNITS]]=0,0,INVESTORS_LIST[[#This Row],[SIP_TOTAL CURRENT UNITS]]*INVESTORS_LIST[[#This Row],[NAV]])</f>
        <v>0</v>
      </c>
      <c r="AS193" s="50">
        <f>INVESTORS_LIST[[#This Row],[TOTAL CURRENT UNITS]]</f>
        <v>0</v>
      </c>
      <c r="AT193" s="48">
        <f>IF(INVESTORS_LIST[[#This Row],[TOTAL SELLABLE UNITS]]=0,0,INVESTORS_LIST[[#This Row],[TOTAL SELLABLE UNITS]]*INVESTORS_LIST[[#This Row],[NAV]])</f>
        <v>0</v>
      </c>
      <c r="AU193" s="48">
        <f>INVESTORS_LIST[[#This Row],[LS_TOTAL REALIZED GAIN]]+INVESTORS_LIST[[#This Row],[SIP_TOTAL REALIZED GAIN]]</f>
        <v>0</v>
      </c>
      <c r="AV193" s="48">
        <f>INVESTORS_LIST[[#This Row],[TOTAL MARKET VALUE]]-INVESTORS_LIST[[#This Row],[TOTAL COST VALUE OF CURRENT INVESTMENT]]</f>
        <v>0</v>
      </c>
      <c r="AW193" s="48">
        <f>IFERROR(INVESTORS_LIST[[#This Row],[TOTAL CURRENT UNITS]]/SUM(INVESTORS_LIST[TOTAL CURRENT UNITS]),0)</f>
        <v>0</v>
      </c>
    </row>
    <row r="194" spans="1:49">
      <c r="A194" s="262" t="s">
        <v>436</v>
      </c>
      <c r="B194" s="97" t="s">
        <v>437</v>
      </c>
      <c r="C194" t="s">
        <v>44</v>
      </c>
      <c r="D194" s="75" t="s">
        <v>45</v>
      </c>
      <c r="E194" s="47">
        <f>SUMIFS(LS[Unit],LS[Investor ID],INVESTORS_LIST[[#This Row],[INVESTOR CODE]],LS[B/S],"B")</f>
        <v>244835</v>
      </c>
      <c r="F194" s="47">
        <f>-SUMIFS(LS[Unit],LS[Investor ID],INVESTORS_LIST[[#This Row],[INVESTOR CODE]],LS[B/S],"S")</f>
        <v>168564</v>
      </c>
      <c r="G194" s="47">
        <f>IF(INVESTORS_LIST[[#This Row],[LS_TOTAL UNITS BUY]]=0,0,INVESTORS_LIST[[#This Row],[LS_TOTAL UNITS BUY]]-INVESTORS_LIST[[#This Row],[LS_TOTAL UNITS SOLD]])</f>
        <v>76271</v>
      </c>
      <c r="H194" s="49">
        <f>IF(INVESTORS_LIST[[#This Row],[LS_TOTAL UNITS BUY]]=0,0,SUMIFS(LS[Amount],LS[Investor ID],INVESTORS_LIST[[#This Row],[INVESTOR CODE]],LS[B/S],"B"))</f>
        <v>2500000</v>
      </c>
      <c r="I194" s="48">
        <f>IF(INVESTORS_LIST[[#This Row],[LS_TOTAL UNITS SOLD]]=0,0,SUMIFS(LS[Cost of Units Sold],LS[Investor ID],INVESTORS_LIST[[#This Row],[INVESTOR CODE]],LS[B/S],"S"))</f>
        <v>1721199.9918312333</v>
      </c>
      <c r="J194" s="48">
        <f>IF(INVESTORS_LIST[[#This Row],[LS_TOTAL CURRENT UNITS]]=0,0,INVESTORS_LIST[[#This Row],[LS_TOTAL CURRENT UNITS]]*INVESTORS_LIST[[#This Row],[LS_AVERAGE COST]])</f>
        <v>778800.00816876674</v>
      </c>
      <c r="K194" s="49">
        <f>IF(INVESTORS_LIST[[#This Row],[LS_TOTAL UNITS SOLD]]=0,0,SUMIFS(LS[Realized Gain],LS[Investor ID],INVESTORS_LIST[[#This Row],[INVESTOR CODE]],LS[B/S],"S"))</f>
        <v>278800.00816876657</v>
      </c>
      <c r="L194" s="47">
        <f>SUMIFS(SIP[Unit],SIP[Investor ID],INVESTORS_LIST[[#This Row],[INVESTOR CODE]],SIP[B/S],"B")</f>
        <v>0</v>
      </c>
      <c r="M194" s="47">
        <f>-SUMIFS(SIP[Unit],SIP[Investor ID],INVESTORS_LIST[[#This Row],[INVESTOR CODE]],SIP[B/S],"S")</f>
        <v>0</v>
      </c>
      <c r="N194" s="50">
        <f>IF(INVESTORS_LIST[[#This Row],[SIP_TOTAL UNITS BUY]]=0,0,INVESTORS_LIST[[#This Row],[SIP_TOTAL UNITS BUY]]-INVESTORS_LIST[[#This Row],[SIP_TOTAL UNITS SOLD]])</f>
        <v>0</v>
      </c>
      <c r="O194" s="49">
        <f>IF(INVESTORS_LIST[[#This Row],[SIP_TOTAL UNITS BUY]]=0,0,SUMIFS(SIP[Amount],SIP[Investor ID],INVESTORS_LIST[[#This Row],[INVESTOR CODE]],SIP[B/S],"B"))</f>
        <v>0</v>
      </c>
      <c r="P194" s="49">
        <f>IF(INVESTORS_LIST[[#This Row],[SIP_TOTAL UNITS SOLD]]=0,0,SUMIFS(SIP[Cost of Units Sold],SIP[Investor ID],INVESTORS_LIST[[#This Row],[INVESTOR CODE]],SIP[B/S],"S"))</f>
        <v>0</v>
      </c>
      <c r="Q194" s="48">
        <f>IF(INVESTORS_LIST[[#This Row],[SIP_TOTAL CURRENT UNITS]]=0,0,INVESTORS_LIST[[#This Row],[SIP_TOTAL CURRENT UNITS]]*INVESTORS_LIST[[#This Row],[SIP_AVERAGE COST]])</f>
        <v>0</v>
      </c>
      <c r="R194" s="48">
        <f>IF(INVESTORS_LIST[[#This Row],[SIP_TOTAL UNITS SOLD]]=0,0,SUMIFS(SIP[Realized Gain],SIP[Investor ID],INVESTORS_LIST[[#This Row],[INVESTOR CODE]],SIP[B/S],"S"))</f>
        <v>0</v>
      </c>
      <c r="S194" s="50">
        <f>INVESTORS_LIST[[#This Row],[LS_TOTAL UNITS BUY]]+INVESTORS_LIST[[#This Row],[SIP_TOTAL UNITS BUY]]</f>
        <v>244835</v>
      </c>
      <c r="T194" s="50">
        <f>INVESTORS_LIST[[#This Row],[LS_TOTAL UNITS SOLD]]+INVESTORS_LIST[[#This Row],[SIP_TOTAL UNITS SOLD]]</f>
        <v>168564</v>
      </c>
      <c r="U194" s="50">
        <v>200000</v>
      </c>
      <c r="V194" s="50">
        <f>SUMIFS(LS[BO UNIT TRANSFER],LS[Investor ID],INVESTORS_LIST[[#This Row],[INVESTOR CODE]],LS[B/S],"B")</f>
        <v>0</v>
      </c>
      <c r="W194" s="50">
        <f>SUMIFS(SIP[BO UNIT TRANSFER],SIP[Investor ID],INVESTORS_LIST[[#This Row],[INVESTOR CODE]],SIP[B/S],"B")</f>
        <v>0</v>
      </c>
      <c r="X194" s="50">
        <f>SUMIFS(LS[BO UNIT TRANSFER],LS[Investor ID],INVESTORS_LIST[[#This Row],[INVESTOR CODE]],LS[B/S],"S")</f>
        <v>0</v>
      </c>
      <c r="Y194" s="50">
        <f>SUMIFS(SIP[BO UNIT TRANSFER],SIP[Investor ID],INVESTORS_LIST[[#This Row],[INVESTOR CODE]],SIP[B/S],"S")</f>
        <v>0</v>
      </c>
      <c r="Z194" s="106">
        <f>SUM(INVESTORS_LIST[[#This Row],[BO OPENING BALANCE]:[BO SIP UNITS REPURCHASE]])</f>
        <v>200000</v>
      </c>
      <c r="AA194" s="107">
        <f>INVESTORS_LIST[[#This Row],[TOTAL UNITS BUY]]-INVESTORS_LIST[[#This Row],[TOTAL UNITS SOLD]]</f>
        <v>76271</v>
      </c>
      <c r="AB194" s="107">
        <f>INVESTORS_LIST[[#This Row],[TOTAL CURRENT UNITS]]-INVESTORS_LIST[[#This Row],[BO UNITS HOLD]]</f>
        <v>-123729</v>
      </c>
      <c r="AC194" s="201" t="e">
        <f>INDEX([3]!Table_1[BO ID],MATCH(INVESTORS_LIST[[#This Row],[INVESTOR CODE]],[3]!Table_1[INVESTOR CODE],0))</f>
        <v>#REF!</v>
      </c>
      <c r="AD194" s="201" t="e">
        <f>INDEX([3]!Table_1[Brokerage Name2],MATCH(INVESTORS_LIST[[#This Row],[INVESTOR CODE]],[3]!Table_1[INVESTOR CODE],0))</f>
        <v>#REF!</v>
      </c>
      <c r="AE194" s="201" t="e">
        <f>MID(INVESTORS_LIST[[#This Row],[BO ID]],4,5)</f>
        <v>#REF!</v>
      </c>
      <c r="AF194" s="201" t="e">
        <f>MID(INVESTORS_LIST[[#This Row],[BO ID]],2,7)</f>
        <v>#REF!</v>
      </c>
      <c r="AG194" s="201" t="e">
        <f>MID(INVESTORS_LIST[[#This Row],[BO ID]],9,7)</f>
        <v>#REF!</v>
      </c>
      <c r="AH194" s="201" t="e">
        <f>RIGHT(INVESTORS_LIST[[#This Row],[BO ID]],1)</f>
        <v>#REF!</v>
      </c>
      <c r="AI194" s="50">
        <f>INVESTORS_LIST[[#This Row],[LS_TOTAL COST VALUE OF CURRENT UNITS]]+INVESTORS_LIST[[#This Row],[SIP_TOTAL COST VALUE OF CURRENT UNITS]]</f>
        <v>778800.00816876674</v>
      </c>
      <c r="AJ194" s="109">
        <f>IF(INVESTORS_LIST[[#This Row],[TOTAL CURRENT UNITS]]=0,0,INVESTORS_LIST[[#This Row],[LS_TOTAL CURRENT UNITS]]/INVESTORS_LIST[[#This Row],[TOTAL CURRENT UNITS]])</f>
        <v>1</v>
      </c>
      <c r="AK194" s="109">
        <f>IF(INVESTORS_LIST[[#This Row],[TOTAL CURRENT UNITS]]=0,0,INVESTORS_LIST[[#This Row],[SIP_TOTAL CURRENT UNITS]]/INVESTORS_LIST[[#This Row],[TOTAL CURRENT UNITS]])</f>
        <v>0</v>
      </c>
      <c r="AL194" s="49" cm="1">
        <f t="array" ref="AL194">IF(INVESTORS_LIST[[#This Row],[LS_TOTAL UNITS BUY]]&gt;0,INDEX(LS[NAV at Cost (Average)],MATCH(CONCATENATE(COUNTIFS(LS[Investor ID],INVESTORS_LIST[[#This Row],[INVESTOR CODE]]),INVESTORS_LIST[[#This Row],[INVESTOR CODE]]),LS[Unique Code],0),),0)</f>
        <v>10.210958400555477</v>
      </c>
      <c r="AM194" s="49" cm="1">
        <f t="array" ref="AM1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4" s="105">
        <f>IF(INVESTORS_LIST[[#This Row],[TOTAL CURRENT UNITS]]=0,0,(INVESTORS_LIST[[#This Row],[LS_WEIGHT]]*INVESTORS_LIST[[#This Row],[LS_AVERAGE COST]])+(INVESTORS_LIST[[#This Row],[SIP_WEIGHT]]*INVESTORS_LIST[[#This Row],[SIP_AVERAGE COST]]))</f>
        <v>10.210958400555477</v>
      </c>
      <c r="AO194" s="105">
        <f t="shared" si="3"/>
        <v>14.224</v>
      </c>
      <c r="AP194" s="112">
        <f>IF(INVESTORS_LIST[[#This Row],[TOTAL CURRENT UNITS]]=0,0,INVESTORS_LIST[[#This Row],[TOTAL CURRENT UNITS]]*INVESTORS_LIST[[#This Row],[NAV]])</f>
        <v>1084878.7039999999</v>
      </c>
      <c r="AQ194" s="49">
        <f>IF(INVESTORS_LIST[[#This Row],[LS_TOTAL CURRENT UNITS]]=0,0,INVESTORS_LIST[[#This Row],[LS_TOTAL CURRENT UNITS]]*INVESTORS_LIST[[#This Row],[NAV]])</f>
        <v>1084878.7039999999</v>
      </c>
      <c r="AR194" s="48">
        <f>IF(INVESTORS_LIST[[#This Row],[SIP_TOTAL CURRENT UNITS]]=0,0,INVESTORS_LIST[[#This Row],[SIP_TOTAL CURRENT UNITS]]*INVESTORS_LIST[[#This Row],[NAV]])</f>
        <v>0</v>
      </c>
      <c r="AS194" s="50">
        <f>INVESTORS_LIST[[#This Row],[TOTAL CURRENT UNITS]]</f>
        <v>76271</v>
      </c>
      <c r="AT194" s="48">
        <f>IF(INVESTORS_LIST[[#This Row],[TOTAL SELLABLE UNITS]]=0,0,INVESTORS_LIST[[#This Row],[TOTAL SELLABLE UNITS]]*INVESTORS_LIST[[#This Row],[NAV]])</f>
        <v>1084878.7039999999</v>
      </c>
      <c r="AU194" s="48">
        <f>INVESTORS_LIST[[#This Row],[LS_TOTAL REALIZED GAIN]]+INVESTORS_LIST[[#This Row],[SIP_TOTAL REALIZED GAIN]]</f>
        <v>278800.00816876657</v>
      </c>
      <c r="AV194" s="48">
        <f>INVESTORS_LIST[[#This Row],[TOTAL MARKET VALUE]]-INVESTORS_LIST[[#This Row],[TOTAL COST VALUE OF CURRENT INVESTMENT]]</f>
        <v>306078.69583123317</v>
      </c>
      <c r="AW194" s="108">
        <f>IFERROR(INVESTORS_LIST[[#This Row],[TOTAL CURRENT UNITS]]/SUM(INVESTORS_LIST[TOTAL CURRENT UNITS]),0)</f>
        <v>1.851570652443722E-3</v>
      </c>
    </row>
    <row r="195" spans="1:49" hidden="1">
      <c r="A195" s="262" t="s">
        <v>438</v>
      </c>
      <c r="B195" s="97" t="s">
        <v>439</v>
      </c>
      <c r="C195" t="s">
        <v>44</v>
      </c>
      <c r="D195" s="75" t="s">
        <v>45</v>
      </c>
      <c r="E195" s="47">
        <f>SUMIFS(LS[Unit],LS[Investor ID],INVESTORS_LIST[[#This Row],[INVESTOR CODE]],LS[B/S],"B")</f>
        <v>0</v>
      </c>
      <c r="F195" s="47">
        <f>-SUMIFS(LS[Unit],LS[Investor ID],INVESTORS_LIST[[#This Row],[INVESTOR CODE]],LS[B/S],"S")</f>
        <v>0</v>
      </c>
      <c r="G195" s="47">
        <f>IF(INVESTORS_LIST[[#This Row],[LS_TOTAL UNITS BUY]]=0,0,INVESTORS_LIST[[#This Row],[LS_TOTAL UNITS BUY]]-INVESTORS_LIST[[#This Row],[LS_TOTAL UNITS SOLD]])</f>
        <v>0</v>
      </c>
      <c r="H195" s="49">
        <f>IF(INVESTORS_LIST[[#This Row],[LS_TOTAL UNITS BUY]]=0,0,SUMIFS(LS[Amount],LS[Investor ID],INVESTORS_LIST[[#This Row],[INVESTOR CODE]],LS[B/S],"B"))</f>
        <v>0</v>
      </c>
      <c r="I195" s="48">
        <f>IF(INVESTORS_LIST[[#This Row],[LS_TOTAL UNITS SOLD]]=0,0,SUMIFS(LS[Cost of Units Sold],LS[Investor ID],INVESTORS_LIST[[#This Row],[INVESTOR CODE]],LS[B/S],"S"))</f>
        <v>0</v>
      </c>
      <c r="J195" s="48">
        <f>IF(INVESTORS_LIST[[#This Row],[LS_TOTAL CURRENT UNITS]]=0,0,INVESTORS_LIST[[#This Row],[LS_TOTAL CURRENT UNITS]]*INVESTORS_LIST[[#This Row],[LS_AVERAGE COST]])</f>
        <v>0</v>
      </c>
      <c r="K195" s="49">
        <f>IF(INVESTORS_LIST[[#This Row],[LS_TOTAL UNITS SOLD]]=0,0,SUMIFS(LS[Realized Gain],LS[Investor ID],INVESTORS_LIST[[#This Row],[INVESTOR CODE]],LS[B/S],"S"))</f>
        <v>0</v>
      </c>
      <c r="L195" s="47">
        <f>SUMIFS(SIP[Unit],SIP[Investor ID],INVESTORS_LIST[[#This Row],[INVESTOR CODE]],SIP[B/S],"B")</f>
        <v>0</v>
      </c>
      <c r="M195" s="47">
        <f>-SUMIFS(SIP[Unit],SIP[Investor ID],INVESTORS_LIST[[#This Row],[INVESTOR CODE]],SIP[B/S],"S")</f>
        <v>0</v>
      </c>
      <c r="N195" s="50">
        <f>IF(INVESTORS_LIST[[#This Row],[SIP_TOTAL UNITS BUY]]=0,0,INVESTORS_LIST[[#This Row],[SIP_TOTAL UNITS BUY]]-INVESTORS_LIST[[#This Row],[SIP_TOTAL UNITS SOLD]])</f>
        <v>0</v>
      </c>
      <c r="O195" s="49">
        <f>IF(INVESTORS_LIST[[#This Row],[SIP_TOTAL UNITS BUY]]=0,0,SUMIFS(SIP[Amount],SIP[Investor ID],INVESTORS_LIST[[#This Row],[INVESTOR CODE]],SIP[B/S],"B"))</f>
        <v>0</v>
      </c>
      <c r="P195" s="49">
        <f>IF(INVESTORS_LIST[[#This Row],[SIP_TOTAL UNITS SOLD]]=0,0,SUMIFS(SIP[Cost of Units Sold],SIP[Investor ID],INVESTORS_LIST[[#This Row],[INVESTOR CODE]],SIP[B/S],"S"))</f>
        <v>0</v>
      </c>
      <c r="Q195" s="48">
        <f>IF(INVESTORS_LIST[[#This Row],[SIP_TOTAL CURRENT UNITS]]=0,0,INVESTORS_LIST[[#This Row],[SIP_TOTAL CURRENT UNITS]]*INVESTORS_LIST[[#This Row],[SIP_AVERAGE COST]])</f>
        <v>0</v>
      </c>
      <c r="R195" s="48">
        <f>IF(INVESTORS_LIST[[#This Row],[SIP_TOTAL UNITS SOLD]]=0,0,SUMIFS(SIP[Realized Gain],SIP[Investor ID],INVESTORS_LIST[[#This Row],[INVESTOR CODE]],SIP[B/S],"S"))</f>
        <v>0</v>
      </c>
      <c r="S195" s="50">
        <f>INVESTORS_LIST[[#This Row],[LS_TOTAL UNITS BUY]]+INVESTORS_LIST[[#This Row],[SIP_TOTAL UNITS BUY]]</f>
        <v>0</v>
      </c>
      <c r="T195" s="50">
        <f>INVESTORS_LIST[[#This Row],[LS_TOTAL UNITS SOLD]]+INVESTORS_LIST[[#This Row],[SIP_TOTAL UNITS SOLD]]</f>
        <v>0</v>
      </c>
      <c r="U195" s="50"/>
      <c r="V195" s="50">
        <f>SUMIFS(LS[BO UNIT TRANSFER],LS[Investor ID],INVESTORS_LIST[[#This Row],[INVESTOR CODE]],LS[B/S],"B")</f>
        <v>0</v>
      </c>
      <c r="W195" s="50">
        <f>SUMIFS(SIP[BO UNIT TRANSFER],SIP[Investor ID],INVESTORS_LIST[[#This Row],[INVESTOR CODE]],SIP[B/S],"B")</f>
        <v>0</v>
      </c>
      <c r="X195" s="50">
        <f>SUMIFS(LS[BO UNIT TRANSFER],LS[Investor ID],INVESTORS_LIST[[#This Row],[INVESTOR CODE]],LS[B/S],"S")</f>
        <v>0</v>
      </c>
      <c r="Y195" s="50">
        <f>SUMIFS(SIP[BO UNIT TRANSFER],SIP[Investor ID],INVESTORS_LIST[[#This Row],[INVESTOR CODE]],SIP[B/S],"S")</f>
        <v>0</v>
      </c>
      <c r="Z195" s="106">
        <f>SUM(INVESTORS_LIST[[#This Row],[BO OPENING BALANCE]:[BO SIP UNITS REPURCHASE]])</f>
        <v>0</v>
      </c>
      <c r="AA195" s="107">
        <f>INVESTORS_LIST[[#This Row],[TOTAL UNITS BUY]]-INVESTORS_LIST[[#This Row],[TOTAL UNITS SOLD]]</f>
        <v>0</v>
      </c>
      <c r="AB195" s="107">
        <f>INVESTORS_LIST[[#This Row],[TOTAL CURRENT UNITS]]-INVESTORS_LIST[[#This Row],[BO UNITS HOLD]]</f>
        <v>0</v>
      </c>
      <c r="AC195" s="201" t="e">
        <f>INDEX([3]!Table_1[BO ID],MATCH(INVESTORS_LIST[[#This Row],[INVESTOR CODE]],[3]!Table_1[INVESTOR CODE],0))</f>
        <v>#REF!</v>
      </c>
      <c r="AD195" s="201" t="e">
        <f>INDEX([3]!Table_1[Brokerage Name2],MATCH(INVESTORS_LIST[[#This Row],[INVESTOR CODE]],[3]!Table_1[INVESTOR CODE],0))</f>
        <v>#REF!</v>
      </c>
      <c r="AE195" s="201" t="e">
        <f>MID(INVESTORS_LIST[[#This Row],[BO ID]],4,5)</f>
        <v>#REF!</v>
      </c>
      <c r="AF195" s="201" t="e">
        <f>MID(INVESTORS_LIST[[#This Row],[BO ID]],2,7)</f>
        <v>#REF!</v>
      </c>
      <c r="AG195" s="201" t="e">
        <f>MID(INVESTORS_LIST[[#This Row],[BO ID]],9,7)</f>
        <v>#REF!</v>
      </c>
      <c r="AH195" s="201" t="e">
        <f>RIGHT(INVESTORS_LIST[[#This Row],[BO ID]],1)</f>
        <v>#REF!</v>
      </c>
      <c r="AI195" s="50">
        <f>INVESTORS_LIST[[#This Row],[LS_TOTAL COST VALUE OF CURRENT UNITS]]+INVESTORS_LIST[[#This Row],[SIP_TOTAL COST VALUE OF CURRENT UNITS]]</f>
        <v>0</v>
      </c>
      <c r="AJ195" s="109">
        <f>IF(INVESTORS_LIST[[#This Row],[TOTAL CURRENT UNITS]]=0,0,INVESTORS_LIST[[#This Row],[LS_TOTAL CURRENT UNITS]]/INVESTORS_LIST[[#This Row],[TOTAL CURRENT UNITS]])</f>
        <v>0</v>
      </c>
      <c r="AK195" s="109">
        <f>IF(INVESTORS_LIST[[#This Row],[TOTAL CURRENT UNITS]]=0,0,INVESTORS_LIST[[#This Row],[SIP_TOTAL CURRENT UNITS]]/INVESTORS_LIST[[#This Row],[TOTAL CURRENT UNITS]])</f>
        <v>0</v>
      </c>
      <c r="AL195" s="49" cm="1">
        <f t="array" ref="AL1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5" s="49" cm="1">
        <f t="array" ref="AM1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5" s="105">
        <f t="shared" ref="AO195:AO258" si="4">NAV_MKT</f>
        <v>14.224</v>
      </c>
      <c r="AP195" s="112">
        <f>IF(INVESTORS_LIST[[#This Row],[TOTAL CURRENT UNITS]]=0,0,INVESTORS_LIST[[#This Row],[TOTAL CURRENT UNITS]]*INVESTORS_LIST[[#This Row],[NAV]])</f>
        <v>0</v>
      </c>
      <c r="AQ195" s="49">
        <f>IF(INVESTORS_LIST[[#This Row],[LS_TOTAL CURRENT UNITS]]=0,0,INVESTORS_LIST[[#This Row],[LS_TOTAL CURRENT UNITS]]*INVESTORS_LIST[[#This Row],[NAV]])</f>
        <v>0</v>
      </c>
      <c r="AR195" s="48">
        <f>IF(INVESTORS_LIST[[#This Row],[SIP_TOTAL CURRENT UNITS]]=0,0,INVESTORS_LIST[[#This Row],[SIP_TOTAL CURRENT UNITS]]*INVESTORS_LIST[[#This Row],[NAV]])</f>
        <v>0</v>
      </c>
      <c r="AS195" s="50">
        <f>INVESTORS_LIST[[#This Row],[TOTAL CURRENT UNITS]]</f>
        <v>0</v>
      </c>
      <c r="AT195" s="48">
        <f>IF(INVESTORS_LIST[[#This Row],[TOTAL SELLABLE UNITS]]=0,0,INVESTORS_LIST[[#This Row],[TOTAL SELLABLE UNITS]]*INVESTORS_LIST[[#This Row],[NAV]])</f>
        <v>0</v>
      </c>
      <c r="AU195" s="48">
        <f>INVESTORS_LIST[[#This Row],[LS_TOTAL REALIZED GAIN]]+INVESTORS_LIST[[#This Row],[SIP_TOTAL REALIZED GAIN]]</f>
        <v>0</v>
      </c>
      <c r="AV195" s="48">
        <f>INVESTORS_LIST[[#This Row],[TOTAL MARKET VALUE]]-INVESTORS_LIST[[#This Row],[TOTAL COST VALUE OF CURRENT INVESTMENT]]</f>
        <v>0</v>
      </c>
      <c r="AW195" s="48">
        <f>IFERROR(INVESTORS_LIST[[#This Row],[TOTAL CURRENT UNITS]]/SUM(INVESTORS_LIST[TOTAL CURRENT UNITS]),0)</f>
        <v>0</v>
      </c>
    </row>
    <row r="196" spans="1:49">
      <c r="A196" s="262" t="s">
        <v>440</v>
      </c>
      <c r="B196" s="97" t="s">
        <v>441</v>
      </c>
      <c r="C196" t="s">
        <v>44</v>
      </c>
      <c r="D196" s="75" t="s">
        <v>45</v>
      </c>
      <c r="E196" s="47">
        <f>SUMIFS(LS[Unit],LS[Investor ID],INVESTORS_LIST[[#This Row],[INVESTOR CODE]],LS[B/S],"B")</f>
        <v>21626</v>
      </c>
      <c r="F196" s="47">
        <f>-SUMIFS(LS[Unit],LS[Investor ID],INVESTORS_LIST[[#This Row],[INVESTOR CODE]],LS[B/S],"S")</f>
        <v>0</v>
      </c>
      <c r="G196" s="47">
        <f>IF(INVESTORS_LIST[[#This Row],[LS_TOTAL UNITS BUY]]=0,0,INVESTORS_LIST[[#This Row],[LS_TOTAL UNITS BUY]]-INVESTORS_LIST[[#This Row],[LS_TOTAL UNITS SOLD]])</f>
        <v>21626</v>
      </c>
      <c r="H196" s="49">
        <f>IF(INVESTORS_LIST[[#This Row],[LS_TOTAL UNITS BUY]]=0,0,SUMIFS(LS[Amount],LS[Investor ID],INVESTORS_LIST[[#This Row],[INVESTOR CODE]],LS[B/S],"B"))</f>
        <v>300000</v>
      </c>
      <c r="I196" s="48">
        <f>IF(INVESTORS_LIST[[#This Row],[LS_TOTAL UNITS SOLD]]=0,0,SUMIFS(LS[Cost of Units Sold],LS[Investor ID],INVESTORS_LIST[[#This Row],[INVESTOR CODE]],LS[B/S],"S"))</f>
        <v>0</v>
      </c>
      <c r="J196" s="48">
        <f>IF(INVESTORS_LIST[[#This Row],[LS_TOTAL CURRENT UNITS]]=0,0,INVESTORS_LIST[[#This Row],[LS_TOTAL CURRENT UNITS]]*INVESTORS_LIST[[#This Row],[LS_AVERAGE COST]])</f>
        <v>300000</v>
      </c>
      <c r="K196" s="49">
        <f>IF(INVESTORS_LIST[[#This Row],[LS_TOTAL UNITS SOLD]]=0,0,SUMIFS(LS[Realized Gain],LS[Investor ID],INVESTORS_LIST[[#This Row],[INVESTOR CODE]],LS[B/S],"S"))</f>
        <v>0</v>
      </c>
      <c r="L196" s="47">
        <f>SUMIFS(SIP[Unit],SIP[Investor ID],INVESTORS_LIST[[#This Row],[INVESTOR CODE]],SIP[B/S],"B")</f>
        <v>0</v>
      </c>
      <c r="M196" s="47">
        <f>-SUMIFS(SIP[Unit],SIP[Investor ID],INVESTORS_LIST[[#This Row],[INVESTOR CODE]],SIP[B/S],"S")</f>
        <v>0</v>
      </c>
      <c r="N196" s="50">
        <f>IF(INVESTORS_LIST[[#This Row],[SIP_TOTAL UNITS BUY]]=0,0,INVESTORS_LIST[[#This Row],[SIP_TOTAL UNITS BUY]]-INVESTORS_LIST[[#This Row],[SIP_TOTAL UNITS SOLD]])</f>
        <v>0</v>
      </c>
      <c r="O196" s="49">
        <f>IF(INVESTORS_LIST[[#This Row],[SIP_TOTAL UNITS BUY]]=0,0,SUMIFS(SIP[Amount],SIP[Investor ID],INVESTORS_LIST[[#This Row],[INVESTOR CODE]],SIP[B/S],"B"))</f>
        <v>0</v>
      </c>
      <c r="P196" s="49">
        <f>IF(INVESTORS_LIST[[#This Row],[SIP_TOTAL UNITS SOLD]]=0,0,SUMIFS(SIP[Cost of Units Sold],SIP[Investor ID],INVESTORS_LIST[[#This Row],[INVESTOR CODE]],SIP[B/S],"S"))</f>
        <v>0</v>
      </c>
      <c r="Q196" s="48">
        <f>IF(INVESTORS_LIST[[#This Row],[SIP_TOTAL CURRENT UNITS]]=0,0,INVESTORS_LIST[[#This Row],[SIP_TOTAL CURRENT UNITS]]*INVESTORS_LIST[[#This Row],[SIP_AVERAGE COST]])</f>
        <v>0</v>
      </c>
      <c r="R196" s="48">
        <f>IF(INVESTORS_LIST[[#This Row],[SIP_TOTAL UNITS SOLD]]=0,0,SUMIFS(SIP[Realized Gain],SIP[Investor ID],INVESTORS_LIST[[#This Row],[INVESTOR CODE]],SIP[B/S],"S"))</f>
        <v>0</v>
      </c>
      <c r="S196" s="50">
        <f>INVESTORS_LIST[[#This Row],[LS_TOTAL UNITS BUY]]+INVESTORS_LIST[[#This Row],[SIP_TOTAL UNITS BUY]]</f>
        <v>21626</v>
      </c>
      <c r="T196" s="50">
        <f>INVESTORS_LIST[[#This Row],[LS_TOTAL UNITS SOLD]]+INVESTORS_LIST[[#This Row],[SIP_TOTAL UNITS SOLD]]</f>
        <v>0</v>
      </c>
      <c r="U196" s="50"/>
      <c r="V196" s="50">
        <f>SUMIFS(LS[BO UNIT TRANSFER],LS[Investor ID],INVESTORS_LIST[[#This Row],[INVESTOR CODE]],LS[B/S],"B")</f>
        <v>0</v>
      </c>
      <c r="W196" s="50">
        <f>SUMIFS(SIP[BO UNIT TRANSFER],SIP[Investor ID],INVESTORS_LIST[[#This Row],[INVESTOR CODE]],SIP[B/S],"B")</f>
        <v>0</v>
      </c>
      <c r="X196" s="50">
        <f>SUMIFS(LS[BO UNIT TRANSFER],LS[Investor ID],INVESTORS_LIST[[#This Row],[INVESTOR CODE]],LS[B/S],"S")</f>
        <v>0</v>
      </c>
      <c r="Y196" s="50">
        <f>SUMIFS(SIP[BO UNIT TRANSFER],SIP[Investor ID],INVESTORS_LIST[[#This Row],[INVESTOR CODE]],SIP[B/S],"S")</f>
        <v>0</v>
      </c>
      <c r="Z196" s="106">
        <f>SUM(INVESTORS_LIST[[#This Row],[BO OPENING BALANCE]:[BO SIP UNITS REPURCHASE]])</f>
        <v>0</v>
      </c>
      <c r="AA196" s="107">
        <f>INVESTORS_LIST[[#This Row],[TOTAL UNITS BUY]]-INVESTORS_LIST[[#This Row],[TOTAL UNITS SOLD]]</f>
        <v>21626</v>
      </c>
      <c r="AB196" s="107">
        <f>INVESTORS_LIST[[#This Row],[TOTAL CURRENT UNITS]]-INVESTORS_LIST[[#This Row],[BO UNITS HOLD]]</f>
        <v>21626</v>
      </c>
      <c r="AC196" s="201" t="e">
        <f>INDEX([3]!Table_1[BO ID],MATCH(INVESTORS_LIST[[#This Row],[INVESTOR CODE]],[3]!Table_1[INVESTOR CODE],0))</f>
        <v>#REF!</v>
      </c>
      <c r="AD196" s="201" t="e">
        <f>INDEX([3]!Table_1[Brokerage Name2],MATCH(INVESTORS_LIST[[#This Row],[INVESTOR CODE]],[3]!Table_1[INVESTOR CODE],0))</f>
        <v>#REF!</v>
      </c>
      <c r="AE196" s="201" t="e">
        <f>MID(INVESTORS_LIST[[#This Row],[BO ID]],4,5)</f>
        <v>#REF!</v>
      </c>
      <c r="AF196" s="201" t="e">
        <f>MID(INVESTORS_LIST[[#This Row],[BO ID]],2,7)</f>
        <v>#REF!</v>
      </c>
      <c r="AG196" s="201" t="e">
        <f>MID(INVESTORS_LIST[[#This Row],[BO ID]],9,7)</f>
        <v>#REF!</v>
      </c>
      <c r="AH196" s="201" t="e">
        <f>RIGHT(INVESTORS_LIST[[#This Row],[BO ID]],1)</f>
        <v>#REF!</v>
      </c>
      <c r="AI196" s="50">
        <f>INVESTORS_LIST[[#This Row],[LS_TOTAL COST VALUE OF CURRENT UNITS]]+INVESTORS_LIST[[#This Row],[SIP_TOTAL COST VALUE OF CURRENT UNITS]]</f>
        <v>300000</v>
      </c>
      <c r="AJ196" s="109">
        <f>IF(INVESTORS_LIST[[#This Row],[TOTAL CURRENT UNITS]]=0,0,INVESTORS_LIST[[#This Row],[LS_TOTAL CURRENT UNITS]]/INVESTORS_LIST[[#This Row],[TOTAL CURRENT UNITS]])</f>
        <v>1</v>
      </c>
      <c r="AK196" s="109">
        <f>IF(INVESTORS_LIST[[#This Row],[TOTAL CURRENT UNITS]]=0,0,INVESTORS_LIST[[#This Row],[SIP_TOTAL CURRENT UNITS]]/INVESTORS_LIST[[#This Row],[TOTAL CURRENT UNITS]])</f>
        <v>0</v>
      </c>
      <c r="AL196" s="49" cm="1">
        <f t="array" ref="AL196">IF(INVESTORS_LIST[[#This Row],[LS_TOTAL UNITS BUY]]&gt;0,INDEX(LS[NAV at Cost (Average)],MATCH(CONCATENATE(COUNTIFS(LS[Investor ID],INVESTORS_LIST[[#This Row],[INVESTOR CODE]]),INVESTORS_LIST[[#This Row],[INVESTOR CODE]]),LS[Unique Code],0),),0)</f>
        <v>13.872190881346526</v>
      </c>
      <c r="AM196" s="49" cm="1">
        <f t="array" ref="AM1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6" s="105">
        <f>IF(INVESTORS_LIST[[#This Row],[TOTAL CURRENT UNITS]]=0,0,(INVESTORS_LIST[[#This Row],[LS_WEIGHT]]*INVESTORS_LIST[[#This Row],[LS_AVERAGE COST]])+(INVESTORS_LIST[[#This Row],[SIP_WEIGHT]]*INVESTORS_LIST[[#This Row],[SIP_AVERAGE COST]]))</f>
        <v>13.872190881346526</v>
      </c>
      <c r="AO196" s="105">
        <f t="shared" si="4"/>
        <v>14.224</v>
      </c>
      <c r="AP196" s="112">
        <f>IF(INVESTORS_LIST[[#This Row],[TOTAL CURRENT UNITS]]=0,0,INVESTORS_LIST[[#This Row],[TOTAL CURRENT UNITS]]*INVESTORS_LIST[[#This Row],[NAV]])</f>
        <v>307608.22399999999</v>
      </c>
      <c r="AQ196" s="49">
        <f>IF(INVESTORS_LIST[[#This Row],[LS_TOTAL CURRENT UNITS]]=0,0,INVESTORS_LIST[[#This Row],[LS_TOTAL CURRENT UNITS]]*INVESTORS_LIST[[#This Row],[NAV]])</f>
        <v>307608.22399999999</v>
      </c>
      <c r="AR196" s="48">
        <f>IF(INVESTORS_LIST[[#This Row],[SIP_TOTAL CURRENT UNITS]]=0,0,INVESTORS_LIST[[#This Row],[SIP_TOTAL CURRENT UNITS]]*INVESTORS_LIST[[#This Row],[NAV]])</f>
        <v>0</v>
      </c>
      <c r="AS196" s="50">
        <f>INVESTORS_LIST[[#This Row],[TOTAL CURRENT UNITS]]</f>
        <v>21626</v>
      </c>
      <c r="AT196" s="48">
        <f>IF(INVESTORS_LIST[[#This Row],[TOTAL SELLABLE UNITS]]=0,0,INVESTORS_LIST[[#This Row],[TOTAL SELLABLE UNITS]]*INVESTORS_LIST[[#This Row],[NAV]])</f>
        <v>307608.22399999999</v>
      </c>
      <c r="AU196" s="48">
        <f>INVESTORS_LIST[[#This Row],[LS_TOTAL REALIZED GAIN]]+INVESTORS_LIST[[#This Row],[SIP_TOTAL REALIZED GAIN]]</f>
        <v>0</v>
      </c>
      <c r="AV196" s="48">
        <f>INVESTORS_LIST[[#This Row],[TOTAL MARKET VALUE]]-INVESTORS_LIST[[#This Row],[TOTAL COST VALUE OF CURRENT INVESTMENT]]</f>
        <v>7608.2239999999874</v>
      </c>
      <c r="AW196" s="48">
        <f>IFERROR(INVESTORS_LIST[[#This Row],[TOTAL CURRENT UNITS]]/SUM(INVESTORS_LIST[TOTAL CURRENT UNITS]),0)</f>
        <v>5.2499727196113767E-4</v>
      </c>
    </row>
    <row r="197" spans="1:49">
      <c r="A197" s="262" t="s">
        <v>442</v>
      </c>
      <c r="B197" s="97" t="s">
        <v>443</v>
      </c>
      <c r="C197" t="s">
        <v>44</v>
      </c>
      <c r="D197" s="75" t="s">
        <v>45</v>
      </c>
      <c r="E197" s="47">
        <f>SUMIFS(LS[Unit],LS[Investor ID],INVESTORS_LIST[[#This Row],[INVESTOR CODE]],LS[B/S],"B")</f>
        <v>0</v>
      </c>
      <c r="F197" s="47">
        <f>-SUMIFS(LS[Unit],LS[Investor ID],INVESTORS_LIST[[#This Row],[INVESTOR CODE]],LS[B/S],"S")</f>
        <v>0</v>
      </c>
      <c r="G197" s="47">
        <f>IF(INVESTORS_LIST[[#This Row],[LS_TOTAL UNITS BUY]]=0,0,INVESTORS_LIST[[#This Row],[LS_TOTAL UNITS BUY]]-INVESTORS_LIST[[#This Row],[LS_TOTAL UNITS SOLD]])</f>
        <v>0</v>
      </c>
      <c r="H197" s="49">
        <f>IF(INVESTORS_LIST[[#This Row],[LS_TOTAL UNITS BUY]]=0,0,SUMIFS(LS[Amount],LS[Investor ID],INVESTORS_LIST[[#This Row],[INVESTOR CODE]],LS[B/S],"B"))</f>
        <v>0</v>
      </c>
      <c r="I197" s="48">
        <f>IF(INVESTORS_LIST[[#This Row],[LS_TOTAL UNITS SOLD]]=0,0,SUMIFS(LS[Cost of Units Sold],LS[Investor ID],INVESTORS_LIST[[#This Row],[INVESTOR CODE]],LS[B/S],"S"))</f>
        <v>0</v>
      </c>
      <c r="J197" s="48">
        <f>IF(INVESTORS_LIST[[#This Row],[LS_TOTAL CURRENT UNITS]]=0,0,INVESTORS_LIST[[#This Row],[LS_TOTAL CURRENT UNITS]]*INVESTORS_LIST[[#This Row],[LS_AVERAGE COST]])</f>
        <v>0</v>
      </c>
      <c r="K197" s="49">
        <f>IF(INVESTORS_LIST[[#This Row],[LS_TOTAL UNITS SOLD]]=0,0,SUMIFS(LS[Realized Gain],LS[Investor ID],INVESTORS_LIST[[#This Row],[INVESTOR CODE]],LS[B/S],"S"))</f>
        <v>0</v>
      </c>
      <c r="L197" s="47">
        <f>SUMIFS(SIP[Unit],SIP[Investor ID],INVESTORS_LIST[[#This Row],[INVESTOR CODE]],SIP[B/S],"B")</f>
        <v>43642</v>
      </c>
      <c r="M197" s="47">
        <f>-SUMIFS(SIP[Unit],SIP[Investor ID],INVESTORS_LIST[[#This Row],[INVESTOR CODE]],SIP[B/S],"S")</f>
        <v>0</v>
      </c>
      <c r="N197" s="50">
        <f>IF(INVESTORS_LIST[[#This Row],[SIP_TOTAL UNITS BUY]]=0,0,INVESTORS_LIST[[#This Row],[SIP_TOTAL UNITS BUY]]-INVESTORS_LIST[[#This Row],[SIP_TOTAL UNITS SOLD]])</f>
        <v>43642</v>
      </c>
      <c r="O197" s="49">
        <f>IF(INVESTORS_LIST[[#This Row],[SIP_TOTAL UNITS BUY]]=0,0,SUMIFS(SIP[Amount],SIP[Investor ID],INVESTORS_LIST[[#This Row],[INVESTOR CODE]],SIP[B/S],"B"))</f>
        <v>510000</v>
      </c>
      <c r="P197" s="49">
        <f>IF(INVESTORS_LIST[[#This Row],[SIP_TOTAL UNITS SOLD]]=0,0,SUMIFS(SIP[Cost of Units Sold],SIP[Investor ID],INVESTORS_LIST[[#This Row],[INVESTOR CODE]],SIP[B/S],"S"))</f>
        <v>0</v>
      </c>
      <c r="Q197" s="48">
        <f>IF(INVESTORS_LIST[[#This Row],[SIP_TOTAL CURRENT UNITS]]=0,0,INVESTORS_LIST[[#This Row],[SIP_TOTAL CURRENT UNITS]]*INVESTORS_LIST[[#This Row],[SIP_AVERAGE COST]])</f>
        <v>510000.00000000006</v>
      </c>
      <c r="R197" s="48">
        <f>IF(INVESTORS_LIST[[#This Row],[SIP_TOTAL UNITS SOLD]]=0,0,SUMIFS(SIP[Realized Gain],SIP[Investor ID],INVESTORS_LIST[[#This Row],[INVESTOR CODE]],SIP[B/S],"S"))</f>
        <v>0</v>
      </c>
      <c r="S197" s="50">
        <f>INVESTORS_LIST[[#This Row],[LS_TOTAL UNITS BUY]]+INVESTORS_LIST[[#This Row],[SIP_TOTAL UNITS BUY]]</f>
        <v>43642</v>
      </c>
      <c r="T197" s="50">
        <f>INVESTORS_LIST[[#This Row],[LS_TOTAL UNITS SOLD]]+INVESTORS_LIST[[#This Row],[SIP_TOTAL UNITS SOLD]]</f>
        <v>0</v>
      </c>
      <c r="U197" s="50"/>
      <c r="V197" s="50">
        <f>SUMIFS(LS[BO UNIT TRANSFER],LS[Investor ID],INVESTORS_LIST[[#This Row],[INVESTOR CODE]],LS[B/S],"B")</f>
        <v>0</v>
      </c>
      <c r="W197" s="50">
        <f>SUMIFS(SIP[BO UNIT TRANSFER],SIP[Investor ID],INVESTORS_LIST[[#This Row],[INVESTOR CODE]],SIP[B/S],"B")</f>
        <v>0</v>
      </c>
      <c r="X197" s="50">
        <f>SUMIFS(LS[BO UNIT TRANSFER],LS[Investor ID],INVESTORS_LIST[[#This Row],[INVESTOR CODE]],LS[B/S],"S")</f>
        <v>0</v>
      </c>
      <c r="Y197" s="50">
        <f>SUMIFS(SIP[BO UNIT TRANSFER],SIP[Investor ID],INVESTORS_LIST[[#This Row],[INVESTOR CODE]],SIP[B/S],"S")</f>
        <v>0</v>
      </c>
      <c r="Z197" s="106">
        <f>SUM(INVESTORS_LIST[[#This Row],[BO OPENING BALANCE]:[BO SIP UNITS REPURCHASE]])</f>
        <v>0</v>
      </c>
      <c r="AA197" s="107">
        <f>INVESTORS_LIST[[#This Row],[TOTAL UNITS BUY]]-INVESTORS_LIST[[#This Row],[TOTAL UNITS SOLD]]</f>
        <v>43642</v>
      </c>
      <c r="AB197" s="107">
        <f>INVESTORS_LIST[[#This Row],[TOTAL CURRENT UNITS]]-INVESTORS_LIST[[#This Row],[BO UNITS HOLD]]</f>
        <v>43642</v>
      </c>
      <c r="AC197" s="201" t="e">
        <f>INDEX([3]!Table_1[BO ID],MATCH(INVESTORS_LIST[[#This Row],[INVESTOR CODE]],[3]!Table_1[INVESTOR CODE],0))</f>
        <v>#REF!</v>
      </c>
      <c r="AD197" s="201" t="e">
        <f>INDEX([3]!Table_1[Brokerage Name2],MATCH(INVESTORS_LIST[[#This Row],[INVESTOR CODE]],[3]!Table_1[INVESTOR CODE],0))</f>
        <v>#REF!</v>
      </c>
      <c r="AE197" s="201" t="e">
        <f>MID(INVESTORS_LIST[[#This Row],[BO ID]],4,5)</f>
        <v>#REF!</v>
      </c>
      <c r="AF197" s="201" t="e">
        <f>MID(INVESTORS_LIST[[#This Row],[BO ID]],2,7)</f>
        <v>#REF!</v>
      </c>
      <c r="AG197" s="201" t="e">
        <f>MID(INVESTORS_LIST[[#This Row],[BO ID]],9,7)</f>
        <v>#REF!</v>
      </c>
      <c r="AH197" s="201" t="e">
        <f>RIGHT(INVESTORS_LIST[[#This Row],[BO ID]],1)</f>
        <v>#REF!</v>
      </c>
      <c r="AI197" s="50">
        <f>INVESTORS_LIST[[#This Row],[LS_TOTAL COST VALUE OF CURRENT UNITS]]+INVESTORS_LIST[[#This Row],[SIP_TOTAL COST VALUE OF CURRENT UNITS]]</f>
        <v>510000.00000000006</v>
      </c>
      <c r="AJ197" s="109">
        <f>IF(INVESTORS_LIST[[#This Row],[TOTAL CURRENT UNITS]]=0,0,INVESTORS_LIST[[#This Row],[LS_TOTAL CURRENT UNITS]]/INVESTORS_LIST[[#This Row],[TOTAL CURRENT UNITS]])</f>
        <v>0</v>
      </c>
      <c r="AK197" s="109">
        <f>IF(INVESTORS_LIST[[#This Row],[TOTAL CURRENT UNITS]]=0,0,INVESTORS_LIST[[#This Row],[SIP_TOTAL CURRENT UNITS]]/INVESTORS_LIST[[#This Row],[TOTAL CURRENT UNITS]])</f>
        <v>1</v>
      </c>
      <c r="AL197" s="49" cm="1">
        <f t="array" ref="AL1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7" s="49" cm="1">
        <f t="array" ref="AM197">IF(INVESTORS_LIST[[#This Row],[SIP_TOTAL UNITS BUY]]&gt;0,INDEX(SIP[NAV at Cost (Average)],MATCH(CONCATENATE(COUNTIFS(SIP[Investor ID],INVESTORS_LIST[[#This Row],[INVESTOR CODE]]),INVESTORS_LIST[[#This Row],[INVESTOR CODE]]),SIP[Unique Code],0),),0)</f>
        <v>11.685990559552726</v>
      </c>
      <c r="AN197" s="105">
        <f>IF(INVESTORS_LIST[[#This Row],[TOTAL CURRENT UNITS]]=0,0,(INVESTORS_LIST[[#This Row],[LS_WEIGHT]]*INVESTORS_LIST[[#This Row],[LS_AVERAGE COST]])+(INVESTORS_LIST[[#This Row],[SIP_WEIGHT]]*INVESTORS_LIST[[#This Row],[SIP_AVERAGE COST]]))</f>
        <v>11.685990559552726</v>
      </c>
      <c r="AO197" s="105">
        <f t="shared" si="4"/>
        <v>14.224</v>
      </c>
      <c r="AP197" s="112">
        <f>IF(INVESTORS_LIST[[#This Row],[TOTAL CURRENT UNITS]]=0,0,INVESTORS_LIST[[#This Row],[TOTAL CURRENT UNITS]]*INVESTORS_LIST[[#This Row],[NAV]])</f>
        <v>620763.80799999996</v>
      </c>
      <c r="AQ197" s="49">
        <f>IF(INVESTORS_LIST[[#This Row],[LS_TOTAL CURRENT UNITS]]=0,0,INVESTORS_LIST[[#This Row],[LS_TOTAL CURRENT UNITS]]*INVESTORS_LIST[[#This Row],[NAV]])</f>
        <v>0</v>
      </c>
      <c r="AR197" s="48">
        <f>IF(INVESTORS_LIST[[#This Row],[SIP_TOTAL CURRENT UNITS]]=0,0,INVESTORS_LIST[[#This Row],[SIP_TOTAL CURRENT UNITS]]*INVESTORS_LIST[[#This Row],[NAV]])</f>
        <v>620763.80799999996</v>
      </c>
      <c r="AS197" s="50">
        <f>INVESTORS_LIST[[#This Row],[TOTAL CURRENT UNITS]]</f>
        <v>43642</v>
      </c>
      <c r="AT197" s="48">
        <f>IF(INVESTORS_LIST[[#This Row],[TOTAL SELLABLE UNITS]]=0,0,INVESTORS_LIST[[#This Row],[TOTAL SELLABLE UNITS]]*INVESTORS_LIST[[#This Row],[NAV]])</f>
        <v>620763.80799999996</v>
      </c>
      <c r="AU197" s="48">
        <f>INVESTORS_LIST[[#This Row],[LS_TOTAL REALIZED GAIN]]+INVESTORS_LIST[[#This Row],[SIP_TOTAL REALIZED GAIN]]</f>
        <v>0</v>
      </c>
      <c r="AV197" s="48">
        <f>INVESTORS_LIST[[#This Row],[TOTAL MARKET VALUE]]-INVESTORS_LIST[[#This Row],[TOTAL COST VALUE OF CURRENT INVESTMENT]]</f>
        <v>110763.8079999999</v>
      </c>
      <c r="AW197" s="108">
        <f>IFERROR(INVESTORS_LIST[[#This Row],[TOTAL CURRENT UNITS]]/SUM(INVESTORS_LIST[TOTAL CURRENT UNITS]),0)</f>
        <v>1.0594622650017557E-3</v>
      </c>
    </row>
    <row r="198" spans="1:49" hidden="1">
      <c r="A198" s="262" t="s">
        <v>444</v>
      </c>
      <c r="B198" s="97" t="s">
        <v>445</v>
      </c>
      <c r="C198" t="s">
        <v>44</v>
      </c>
      <c r="D198" s="75" t="s">
        <v>45</v>
      </c>
      <c r="E198" s="47">
        <f>SUMIFS(LS[Unit],LS[Investor ID],INVESTORS_LIST[[#This Row],[INVESTOR CODE]],LS[B/S],"B")</f>
        <v>26901</v>
      </c>
      <c r="F198" s="47">
        <f>-SUMIFS(LS[Unit],LS[Investor ID],INVESTORS_LIST[[#This Row],[INVESTOR CODE]],LS[B/S],"S")</f>
        <v>26901</v>
      </c>
      <c r="G198" s="47">
        <f>IF(INVESTORS_LIST[[#This Row],[LS_TOTAL UNITS BUY]]=0,0,INVESTORS_LIST[[#This Row],[LS_TOTAL UNITS BUY]]-INVESTORS_LIST[[#This Row],[LS_TOTAL UNITS SOLD]])</f>
        <v>0</v>
      </c>
      <c r="H198" s="49">
        <f>IF(INVESTORS_LIST[[#This Row],[LS_TOTAL UNITS BUY]]=0,0,SUMIFS(LS[Amount],LS[Investor ID],INVESTORS_LIST[[#This Row],[INVESTOR CODE]],LS[B/S],"B"))</f>
        <v>300000</v>
      </c>
      <c r="I198" s="48">
        <f>IF(INVESTORS_LIST[[#This Row],[LS_TOTAL UNITS SOLD]]=0,0,SUMIFS(LS[Cost of Units Sold],LS[Investor ID],INVESTORS_LIST[[#This Row],[INVESTOR CODE]],LS[B/S],"S"))</f>
        <v>300000</v>
      </c>
      <c r="J198" s="48">
        <f>IF(INVESTORS_LIST[[#This Row],[LS_TOTAL CURRENT UNITS]]=0,0,INVESTORS_LIST[[#This Row],[LS_TOTAL CURRENT UNITS]]*INVESTORS_LIST[[#This Row],[LS_AVERAGE COST]])</f>
        <v>0</v>
      </c>
      <c r="K198" s="49">
        <f>IF(INVESTORS_LIST[[#This Row],[LS_TOTAL UNITS SOLD]]=0,0,SUMIFS(LS[Realized Gain],LS[Investor ID],INVESTORS_LIST[[#This Row],[INVESTOR CODE]],LS[B/S],"S"))</f>
        <v>1264.2999999999677</v>
      </c>
      <c r="L198" s="47">
        <f>SUMIFS(SIP[Unit],SIP[Investor ID],INVESTORS_LIST[[#This Row],[INVESTOR CODE]],SIP[B/S],"B")</f>
        <v>0</v>
      </c>
      <c r="M198" s="47">
        <f>-SUMIFS(SIP[Unit],SIP[Investor ID],INVESTORS_LIST[[#This Row],[INVESTOR CODE]],SIP[B/S],"S")</f>
        <v>0</v>
      </c>
      <c r="N198" s="50">
        <f>IF(INVESTORS_LIST[[#This Row],[SIP_TOTAL UNITS BUY]]=0,0,INVESTORS_LIST[[#This Row],[SIP_TOTAL UNITS BUY]]-INVESTORS_LIST[[#This Row],[SIP_TOTAL UNITS SOLD]])</f>
        <v>0</v>
      </c>
      <c r="O198" s="49">
        <f>IF(INVESTORS_LIST[[#This Row],[SIP_TOTAL UNITS BUY]]=0,0,SUMIFS(SIP[Amount],SIP[Investor ID],INVESTORS_LIST[[#This Row],[INVESTOR CODE]],SIP[B/S],"B"))</f>
        <v>0</v>
      </c>
      <c r="P198" s="49">
        <f>IF(INVESTORS_LIST[[#This Row],[SIP_TOTAL UNITS SOLD]]=0,0,SUMIFS(SIP[Cost of Units Sold],SIP[Investor ID],INVESTORS_LIST[[#This Row],[INVESTOR CODE]],SIP[B/S],"S"))</f>
        <v>0</v>
      </c>
      <c r="Q198" s="48">
        <f>IF(INVESTORS_LIST[[#This Row],[SIP_TOTAL CURRENT UNITS]]=0,0,INVESTORS_LIST[[#This Row],[SIP_TOTAL CURRENT UNITS]]*INVESTORS_LIST[[#This Row],[SIP_AVERAGE COST]])</f>
        <v>0</v>
      </c>
      <c r="R198" s="48">
        <f>IF(INVESTORS_LIST[[#This Row],[SIP_TOTAL UNITS SOLD]]=0,0,SUMIFS(SIP[Realized Gain],SIP[Investor ID],INVESTORS_LIST[[#This Row],[INVESTOR CODE]],SIP[B/S],"S"))</f>
        <v>0</v>
      </c>
      <c r="S198" s="50">
        <f>INVESTORS_LIST[[#This Row],[LS_TOTAL UNITS BUY]]+INVESTORS_LIST[[#This Row],[SIP_TOTAL UNITS BUY]]</f>
        <v>26901</v>
      </c>
      <c r="T198" s="50">
        <f>INVESTORS_LIST[[#This Row],[LS_TOTAL UNITS SOLD]]+INVESTORS_LIST[[#This Row],[SIP_TOTAL UNITS SOLD]]</f>
        <v>26901</v>
      </c>
      <c r="U198" s="50"/>
      <c r="V198" s="50">
        <f>SUMIFS(LS[BO UNIT TRANSFER],LS[Investor ID],INVESTORS_LIST[[#This Row],[INVESTOR CODE]],LS[B/S],"B")</f>
        <v>0</v>
      </c>
      <c r="W198" s="50">
        <f>SUMIFS(SIP[BO UNIT TRANSFER],SIP[Investor ID],INVESTORS_LIST[[#This Row],[INVESTOR CODE]],SIP[B/S],"B")</f>
        <v>0</v>
      </c>
      <c r="X198" s="50">
        <f>SUMIFS(LS[BO UNIT TRANSFER],LS[Investor ID],INVESTORS_LIST[[#This Row],[INVESTOR CODE]],LS[B/S],"S")</f>
        <v>0</v>
      </c>
      <c r="Y198" s="50">
        <f>SUMIFS(SIP[BO UNIT TRANSFER],SIP[Investor ID],INVESTORS_LIST[[#This Row],[INVESTOR CODE]],SIP[B/S],"S")</f>
        <v>0</v>
      </c>
      <c r="Z198" s="106">
        <f>SUM(INVESTORS_LIST[[#This Row],[BO OPENING BALANCE]:[BO SIP UNITS REPURCHASE]])</f>
        <v>0</v>
      </c>
      <c r="AA198" s="107">
        <f>INVESTORS_LIST[[#This Row],[TOTAL UNITS BUY]]-INVESTORS_LIST[[#This Row],[TOTAL UNITS SOLD]]</f>
        <v>0</v>
      </c>
      <c r="AB198" s="107">
        <f>INVESTORS_LIST[[#This Row],[TOTAL CURRENT UNITS]]-INVESTORS_LIST[[#This Row],[BO UNITS HOLD]]</f>
        <v>0</v>
      </c>
      <c r="AC198" s="201" t="e">
        <f>INDEX([3]!Table_1[BO ID],MATCH(INVESTORS_LIST[[#This Row],[INVESTOR CODE]],[3]!Table_1[INVESTOR CODE],0))</f>
        <v>#REF!</v>
      </c>
      <c r="AD198" s="201" t="e">
        <f>INDEX([3]!Table_1[Brokerage Name2],MATCH(INVESTORS_LIST[[#This Row],[INVESTOR CODE]],[3]!Table_1[INVESTOR CODE],0))</f>
        <v>#REF!</v>
      </c>
      <c r="AE198" s="201" t="e">
        <f>MID(INVESTORS_LIST[[#This Row],[BO ID]],4,5)</f>
        <v>#REF!</v>
      </c>
      <c r="AF198" s="201" t="e">
        <f>MID(INVESTORS_LIST[[#This Row],[BO ID]],2,7)</f>
        <v>#REF!</v>
      </c>
      <c r="AG198" s="201" t="e">
        <f>MID(INVESTORS_LIST[[#This Row],[BO ID]],9,7)</f>
        <v>#REF!</v>
      </c>
      <c r="AH198" s="201" t="e">
        <f>RIGHT(INVESTORS_LIST[[#This Row],[BO ID]],1)</f>
        <v>#REF!</v>
      </c>
      <c r="AI198" s="50">
        <f>INVESTORS_LIST[[#This Row],[LS_TOTAL COST VALUE OF CURRENT UNITS]]+INVESTORS_LIST[[#This Row],[SIP_TOTAL COST VALUE OF CURRENT UNITS]]</f>
        <v>0</v>
      </c>
      <c r="AJ198" s="109">
        <f>IF(INVESTORS_LIST[[#This Row],[TOTAL CURRENT UNITS]]=0,0,INVESTORS_LIST[[#This Row],[LS_TOTAL CURRENT UNITS]]/INVESTORS_LIST[[#This Row],[TOTAL CURRENT UNITS]])</f>
        <v>0</v>
      </c>
      <c r="AK198" s="109">
        <f>IF(INVESTORS_LIST[[#This Row],[TOTAL CURRENT UNITS]]=0,0,INVESTORS_LIST[[#This Row],[SIP_TOTAL CURRENT UNITS]]/INVESTORS_LIST[[#This Row],[TOTAL CURRENT UNITS]])</f>
        <v>0</v>
      </c>
      <c r="AL198" s="49" cm="1">
        <f t="array" ref="AL1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8" s="49" cm="1">
        <f t="array" ref="AM1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8" s="105">
        <f t="shared" si="4"/>
        <v>14.224</v>
      </c>
      <c r="AP198" s="112">
        <f>IF(INVESTORS_LIST[[#This Row],[TOTAL CURRENT UNITS]]=0,0,INVESTORS_LIST[[#This Row],[TOTAL CURRENT UNITS]]*INVESTORS_LIST[[#This Row],[NAV]])</f>
        <v>0</v>
      </c>
      <c r="AQ198" s="49">
        <f>IF(INVESTORS_LIST[[#This Row],[LS_TOTAL CURRENT UNITS]]=0,0,INVESTORS_LIST[[#This Row],[LS_TOTAL CURRENT UNITS]]*INVESTORS_LIST[[#This Row],[NAV]])</f>
        <v>0</v>
      </c>
      <c r="AR198" s="48">
        <f>IF(INVESTORS_LIST[[#This Row],[SIP_TOTAL CURRENT UNITS]]=0,0,INVESTORS_LIST[[#This Row],[SIP_TOTAL CURRENT UNITS]]*INVESTORS_LIST[[#This Row],[NAV]])</f>
        <v>0</v>
      </c>
      <c r="AS198" s="50">
        <f>INVESTORS_LIST[[#This Row],[TOTAL CURRENT UNITS]]</f>
        <v>0</v>
      </c>
      <c r="AT198" s="48">
        <f>IF(INVESTORS_LIST[[#This Row],[TOTAL SELLABLE UNITS]]=0,0,INVESTORS_LIST[[#This Row],[TOTAL SELLABLE UNITS]]*INVESTORS_LIST[[#This Row],[NAV]])</f>
        <v>0</v>
      </c>
      <c r="AU198" s="48">
        <f>INVESTORS_LIST[[#This Row],[LS_TOTAL REALIZED GAIN]]+INVESTORS_LIST[[#This Row],[SIP_TOTAL REALIZED GAIN]]</f>
        <v>1264.2999999999677</v>
      </c>
      <c r="AV198" s="48">
        <f>INVESTORS_LIST[[#This Row],[TOTAL MARKET VALUE]]-INVESTORS_LIST[[#This Row],[TOTAL COST VALUE OF CURRENT INVESTMENT]]</f>
        <v>0</v>
      </c>
      <c r="AW198" s="48">
        <f>IFERROR(INVESTORS_LIST[[#This Row],[TOTAL CURRENT UNITS]]/SUM(INVESTORS_LIST[TOTAL CURRENT UNITS]),0)</f>
        <v>0</v>
      </c>
    </row>
    <row r="199" spans="1:49" hidden="1">
      <c r="A199" s="262" t="s">
        <v>446</v>
      </c>
      <c r="B199" s="97" t="s">
        <v>447</v>
      </c>
      <c r="C199" t="s">
        <v>48</v>
      </c>
      <c r="D199" s="75" t="s">
        <v>95</v>
      </c>
      <c r="E199" s="47">
        <f>SUMIFS(LS[Unit],LS[Investor ID],INVESTORS_LIST[[#This Row],[INVESTOR CODE]],LS[B/S],"B")</f>
        <v>0</v>
      </c>
      <c r="F199" s="47">
        <f>-SUMIFS(LS[Unit],LS[Investor ID],INVESTORS_LIST[[#This Row],[INVESTOR CODE]],LS[B/S],"S")</f>
        <v>0</v>
      </c>
      <c r="G199" s="47">
        <f>IF(INVESTORS_LIST[[#This Row],[LS_TOTAL UNITS BUY]]=0,0,INVESTORS_LIST[[#This Row],[LS_TOTAL UNITS BUY]]-INVESTORS_LIST[[#This Row],[LS_TOTAL UNITS SOLD]])</f>
        <v>0</v>
      </c>
      <c r="H199" s="49">
        <f>IF(INVESTORS_LIST[[#This Row],[LS_TOTAL UNITS BUY]]=0,0,SUMIFS(LS[Amount],LS[Investor ID],INVESTORS_LIST[[#This Row],[INVESTOR CODE]],LS[B/S],"B"))</f>
        <v>0</v>
      </c>
      <c r="I199" s="48">
        <f>IF(INVESTORS_LIST[[#This Row],[LS_TOTAL UNITS SOLD]]=0,0,SUMIFS(LS[Cost of Units Sold],LS[Investor ID],INVESTORS_LIST[[#This Row],[INVESTOR CODE]],LS[B/S],"S"))</f>
        <v>0</v>
      </c>
      <c r="J199" s="48">
        <f>IF(INVESTORS_LIST[[#This Row],[LS_TOTAL CURRENT UNITS]]=0,0,INVESTORS_LIST[[#This Row],[LS_TOTAL CURRENT UNITS]]*INVESTORS_LIST[[#This Row],[LS_AVERAGE COST]])</f>
        <v>0</v>
      </c>
      <c r="K199" s="49">
        <f>IF(INVESTORS_LIST[[#This Row],[LS_TOTAL UNITS SOLD]]=0,0,SUMIFS(LS[Realized Gain],LS[Investor ID],INVESTORS_LIST[[#This Row],[INVESTOR CODE]],LS[B/S],"S"))</f>
        <v>0</v>
      </c>
      <c r="L199" s="47">
        <f>SUMIFS(SIP[Unit],SIP[Investor ID],INVESTORS_LIST[[#This Row],[INVESTOR CODE]],SIP[B/S],"B")</f>
        <v>0</v>
      </c>
      <c r="M199" s="47">
        <f>-SUMIFS(SIP[Unit],SIP[Investor ID],INVESTORS_LIST[[#This Row],[INVESTOR CODE]],SIP[B/S],"S")</f>
        <v>0</v>
      </c>
      <c r="N199" s="50">
        <f>IF(INVESTORS_LIST[[#This Row],[SIP_TOTAL UNITS BUY]]=0,0,INVESTORS_LIST[[#This Row],[SIP_TOTAL UNITS BUY]]-INVESTORS_LIST[[#This Row],[SIP_TOTAL UNITS SOLD]])</f>
        <v>0</v>
      </c>
      <c r="O199" s="49">
        <f>IF(INVESTORS_LIST[[#This Row],[SIP_TOTAL UNITS BUY]]=0,0,SUMIFS(SIP[Amount],SIP[Investor ID],INVESTORS_LIST[[#This Row],[INVESTOR CODE]],SIP[B/S],"B"))</f>
        <v>0</v>
      </c>
      <c r="P199" s="49">
        <f>IF(INVESTORS_LIST[[#This Row],[SIP_TOTAL UNITS SOLD]]=0,0,SUMIFS(SIP[Cost of Units Sold],SIP[Investor ID],INVESTORS_LIST[[#This Row],[INVESTOR CODE]],SIP[B/S],"S"))</f>
        <v>0</v>
      </c>
      <c r="Q199" s="48">
        <f>IF(INVESTORS_LIST[[#This Row],[SIP_TOTAL CURRENT UNITS]]=0,0,INVESTORS_LIST[[#This Row],[SIP_TOTAL CURRENT UNITS]]*INVESTORS_LIST[[#This Row],[SIP_AVERAGE COST]])</f>
        <v>0</v>
      </c>
      <c r="R199" s="48">
        <f>IF(INVESTORS_LIST[[#This Row],[SIP_TOTAL UNITS SOLD]]=0,0,SUMIFS(SIP[Realized Gain],SIP[Investor ID],INVESTORS_LIST[[#This Row],[INVESTOR CODE]],SIP[B/S],"S"))</f>
        <v>0</v>
      </c>
      <c r="S199" s="50">
        <f>INVESTORS_LIST[[#This Row],[LS_TOTAL UNITS BUY]]+INVESTORS_LIST[[#This Row],[SIP_TOTAL UNITS BUY]]</f>
        <v>0</v>
      </c>
      <c r="T199" s="50">
        <f>INVESTORS_LIST[[#This Row],[LS_TOTAL UNITS SOLD]]+INVESTORS_LIST[[#This Row],[SIP_TOTAL UNITS SOLD]]</f>
        <v>0</v>
      </c>
      <c r="U199" s="50"/>
      <c r="V199" s="50">
        <f>SUMIFS(LS[BO UNIT TRANSFER],LS[Investor ID],INVESTORS_LIST[[#This Row],[INVESTOR CODE]],LS[B/S],"B")</f>
        <v>0</v>
      </c>
      <c r="W199" s="50">
        <f>SUMIFS(SIP[BO UNIT TRANSFER],SIP[Investor ID],INVESTORS_LIST[[#This Row],[INVESTOR CODE]],SIP[B/S],"B")</f>
        <v>0</v>
      </c>
      <c r="X199" s="50">
        <f>SUMIFS(LS[BO UNIT TRANSFER],LS[Investor ID],INVESTORS_LIST[[#This Row],[INVESTOR CODE]],LS[B/S],"S")</f>
        <v>0</v>
      </c>
      <c r="Y199" s="50">
        <f>SUMIFS(SIP[BO UNIT TRANSFER],SIP[Investor ID],INVESTORS_LIST[[#This Row],[INVESTOR CODE]],SIP[B/S],"S")</f>
        <v>0</v>
      </c>
      <c r="Z199" s="106">
        <f>SUM(INVESTORS_LIST[[#This Row],[BO OPENING BALANCE]:[BO SIP UNITS REPURCHASE]])</f>
        <v>0</v>
      </c>
      <c r="AA199" s="107">
        <f>INVESTORS_LIST[[#This Row],[TOTAL UNITS BUY]]-INVESTORS_LIST[[#This Row],[TOTAL UNITS SOLD]]</f>
        <v>0</v>
      </c>
      <c r="AB199" s="107">
        <f>INVESTORS_LIST[[#This Row],[TOTAL CURRENT UNITS]]-INVESTORS_LIST[[#This Row],[BO UNITS HOLD]]</f>
        <v>0</v>
      </c>
      <c r="AC199" s="201" t="e">
        <f>INDEX([3]!Table_1[BO ID],MATCH(INVESTORS_LIST[[#This Row],[INVESTOR CODE]],[3]!Table_1[INVESTOR CODE],0))</f>
        <v>#REF!</v>
      </c>
      <c r="AD199" s="201" t="e">
        <f>INDEX([3]!Table_1[Brokerage Name2],MATCH(INVESTORS_LIST[[#This Row],[INVESTOR CODE]],[3]!Table_1[INVESTOR CODE],0))</f>
        <v>#REF!</v>
      </c>
      <c r="AE199" s="201" t="e">
        <f>MID(INVESTORS_LIST[[#This Row],[BO ID]],4,5)</f>
        <v>#REF!</v>
      </c>
      <c r="AF199" s="201" t="e">
        <f>MID(INVESTORS_LIST[[#This Row],[BO ID]],2,7)</f>
        <v>#REF!</v>
      </c>
      <c r="AG199" s="201" t="e">
        <f>MID(INVESTORS_LIST[[#This Row],[BO ID]],9,7)</f>
        <v>#REF!</v>
      </c>
      <c r="AH199" s="201" t="e">
        <f>RIGHT(INVESTORS_LIST[[#This Row],[BO ID]],1)</f>
        <v>#REF!</v>
      </c>
      <c r="AI199" s="50">
        <f>INVESTORS_LIST[[#This Row],[LS_TOTAL COST VALUE OF CURRENT UNITS]]+INVESTORS_LIST[[#This Row],[SIP_TOTAL COST VALUE OF CURRENT UNITS]]</f>
        <v>0</v>
      </c>
      <c r="AJ199" s="109">
        <f>IF(INVESTORS_LIST[[#This Row],[TOTAL CURRENT UNITS]]=0,0,INVESTORS_LIST[[#This Row],[LS_TOTAL CURRENT UNITS]]/INVESTORS_LIST[[#This Row],[TOTAL CURRENT UNITS]])</f>
        <v>0</v>
      </c>
      <c r="AK199" s="109">
        <f>IF(INVESTORS_LIST[[#This Row],[TOTAL CURRENT UNITS]]=0,0,INVESTORS_LIST[[#This Row],[SIP_TOTAL CURRENT UNITS]]/INVESTORS_LIST[[#This Row],[TOTAL CURRENT UNITS]])</f>
        <v>0</v>
      </c>
      <c r="AL199" s="49" cm="1">
        <f t="array" ref="AL1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199" s="49" cm="1">
        <f t="array" ref="AM1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1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199" s="105">
        <f t="shared" si="4"/>
        <v>14.224</v>
      </c>
      <c r="AP199" s="112">
        <f>IF(INVESTORS_LIST[[#This Row],[TOTAL CURRENT UNITS]]=0,0,INVESTORS_LIST[[#This Row],[TOTAL CURRENT UNITS]]*INVESTORS_LIST[[#This Row],[NAV]])</f>
        <v>0</v>
      </c>
      <c r="AQ199" s="49">
        <f>IF(INVESTORS_LIST[[#This Row],[LS_TOTAL CURRENT UNITS]]=0,0,INVESTORS_LIST[[#This Row],[LS_TOTAL CURRENT UNITS]]*INVESTORS_LIST[[#This Row],[NAV]])</f>
        <v>0</v>
      </c>
      <c r="AR199" s="48">
        <f>IF(INVESTORS_LIST[[#This Row],[SIP_TOTAL CURRENT UNITS]]=0,0,INVESTORS_LIST[[#This Row],[SIP_TOTAL CURRENT UNITS]]*INVESTORS_LIST[[#This Row],[NAV]])</f>
        <v>0</v>
      </c>
      <c r="AS199" s="50">
        <f>INVESTORS_LIST[[#This Row],[TOTAL CURRENT UNITS]]</f>
        <v>0</v>
      </c>
      <c r="AT199" s="48">
        <f>IF(INVESTORS_LIST[[#This Row],[TOTAL SELLABLE UNITS]]=0,0,INVESTORS_LIST[[#This Row],[TOTAL SELLABLE UNITS]]*INVESTORS_LIST[[#This Row],[NAV]])</f>
        <v>0</v>
      </c>
      <c r="AU199" s="48">
        <f>INVESTORS_LIST[[#This Row],[LS_TOTAL REALIZED GAIN]]+INVESTORS_LIST[[#This Row],[SIP_TOTAL REALIZED GAIN]]</f>
        <v>0</v>
      </c>
      <c r="AV199" s="48">
        <f>INVESTORS_LIST[[#This Row],[TOTAL MARKET VALUE]]-INVESTORS_LIST[[#This Row],[TOTAL COST VALUE OF CURRENT INVESTMENT]]</f>
        <v>0</v>
      </c>
      <c r="AW199" s="48">
        <f>IFERROR(INVESTORS_LIST[[#This Row],[TOTAL CURRENT UNITS]]/SUM(INVESTORS_LIST[TOTAL CURRENT UNITS]),0)</f>
        <v>0</v>
      </c>
    </row>
    <row r="200" spans="1:49" hidden="1">
      <c r="A200" s="262" t="s">
        <v>448</v>
      </c>
      <c r="B200" s="97" t="s">
        <v>449</v>
      </c>
      <c r="C200" t="s">
        <v>52</v>
      </c>
      <c r="D200" s="75" t="s">
        <v>45</v>
      </c>
      <c r="E200" s="47">
        <f>SUMIFS(LS[Unit],LS[Investor ID],INVESTORS_LIST[[#This Row],[INVESTOR CODE]],LS[B/S],"B")</f>
        <v>0</v>
      </c>
      <c r="F200" s="47">
        <f>-SUMIFS(LS[Unit],LS[Investor ID],INVESTORS_LIST[[#This Row],[INVESTOR CODE]],LS[B/S],"S")</f>
        <v>0</v>
      </c>
      <c r="G200" s="47">
        <f>IF(INVESTORS_LIST[[#This Row],[LS_TOTAL UNITS BUY]]=0,0,INVESTORS_LIST[[#This Row],[LS_TOTAL UNITS BUY]]-INVESTORS_LIST[[#This Row],[LS_TOTAL UNITS SOLD]])</f>
        <v>0</v>
      </c>
      <c r="H200" s="49">
        <f>IF(INVESTORS_LIST[[#This Row],[LS_TOTAL UNITS BUY]]=0,0,SUMIFS(LS[Amount],LS[Investor ID],INVESTORS_LIST[[#This Row],[INVESTOR CODE]],LS[B/S],"B"))</f>
        <v>0</v>
      </c>
      <c r="I200" s="48">
        <f>IF(INVESTORS_LIST[[#This Row],[LS_TOTAL UNITS SOLD]]=0,0,SUMIFS(LS[Cost of Units Sold],LS[Investor ID],INVESTORS_LIST[[#This Row],[INVESTOR CODE]],LS[B/S],"S"))</f>
        <v>0</v>
      </c>
      <c r="J200" s="48">
        <f>IF(INVESTORS_LIST[[#This Row],[LS_TOTAL CURRENT UNITS]]=0,0,INVESTORS_LIST[[#This Row],[LS_TOTAL CURRENT UNITS]]*INVESTORS_LIST[[#This Row],[LS_AVERAGE COST]])</f>
        <v>0</v>
      </c>
      <c r="K200" s="49">
        <f>IF(INVESTORS_LIST[[#This Row],[LS_TOTAL UNITS SOLD]]=0,0,SUMIFS(LS[Realized Gain],LS[Investor ID],INVESTORS_LIST[[#This Row],[INVESTOR CODE]],LS[B/S],"S"))</f>
        <v>0</v>
      </c>
      <c r="L200" s="47">
        <f>SUMIFS(SIP[Unit],SIP[Investor ID],INVESTORS_LIST[[#This Row],[INVESTOR CODE]],SIP[B/S],"B")</f>
        <v>0</v>
      </c>
      <c r="M200" s="47">
        <f>-SUMIFS(SIP[Unit],SIP[Investor ID],INVESTORS_LIST[[#This Row],[INVESTOR CODE]],SIP[B/S],"S")</f>
        <v>0</v>
      </c>
      <c r="N200" s="50">
        <f>IF(INVESTORS_LIST[[#This Row],[SIP_TOTAL UNITS BUY]]=0,0,INVESTORS_LIST[[#This Row],[SIP_TOTAL UNITS BUY]]-INVESTORS_LIST[[#This Row],[SIP_TOTAL UNITS SOLD]])</f>
        <v>0</v>
      </c>
      <c r="O200" s="49">
        <f>IF(INVESTORS_LIST[[#This Row],[SIP_TOTAL UNITS BUY]]=0,0,SUMIFS(SIP[Amount],SIP[Investor ID],INVESTORS_LIST[[#This Row],[INVESTOR CODE]],SIP[B/S],"B"))</f>
        <v>0</v>
      </c>
      <c r="P200" s="49">
        <f>IF(INVESTORS_LIST[[#This Row],[SIP_TOTAL UNITS SOLD]]=0,0,SUMIFS(SIP[Cost of Units Sold],SIP[Investor ID],INVESTORS_LIST[[#This Row],[INVESTOR CODE]],SIP[B/S],"S"))</f>
        <v>0</v>
      </c>
      <c r="Q200" s="48">
        <f>IF(INVESTORS_LIST[[#This Row],[SIP_TOTAL CURRENT UNITS]]=0,0,INVESTORS_LIST[[#This Row],[SIP_TOTAL CURRENT UNITS]]*INVESTORS_LIST[[#This Row],[SIP_AVERAGE COST]])</f>
        <v>0</v>
      </c>
      <c r="R200" s="48">
        <f>IF(INVESTORS_LIST[[#This Row],[SIP_TOTAL UNITS SOLD]]=0,0,SUMIFS(SIP[Realized Gain],SIP[Investor ID],INVESTORS_LIST[[#This Row],[INVESTOR CODE]],SIP[B/S],"S"))</f>
        <v>0</v>
      </c>
      <c r="S200" s="50">
        <f>INVESTORS_LIST[[#This Row],[LS_TOTAL UNITS BUY]]+INVESTORS_LIST[[#This Row],[SIP_TOTAL UNITS BUY]]</f>
        <v>0</v>
      </c>
      <c r="T200" s="50">
        <f>INVESTORS_LIST[[#This Row],[LS_TOTAL UNITS SOLD]]+INVESTORS_LIST[[#This Row],[SIP_TOTAL UNITS SOLD]]</f>
        <v>0</v>
      </c>
      <c r="U200" s="50"/>
      <c r="V200" s="50">
        <f>SUMIFS(LS[BO UNIT TRANSFER],LS[Investor ID],INVESTORS_LIST[[#This Row],[INVESTOR CODE]],LS[B/S],"B")</f>
        <v>0</v>
      </c>
      <c r="W200" s="50">
        <f>SUMIFS(SIP[BO UNIT TRANSFER],SIP[Investor ID],INVESTORS_LIST[[#This Row],[INVESTOR CODE]],SIP[B/S],"B")</f>
        <v>0</v>
      </c>
      <c r="X200" s="50">
        <f>SUMIFS(LS[BO UNIT TRANSFER],LS[Investor ID],INVESTORS_LIST[[#This Row],[INVESTOR CODE]],LS[B/S],"S")</f>
        <v>0</v>
      </c>
      <c r="Y200" s="50">
        <f>SUMIFS(SIP[BO UNIT TRANSFER],SIP[Investor ID],INVESTORS_LIST[[#This Row],[INVESTOR CODE]],SIP[B/S],"S")</f>
        <v>0</v>
      </c>
      <c r="Z200" s="106">
        <f>SUM(INVESTORS_LIST[[#This Row],[BO OPENING BALANCE]:[BO SIP UNITS REPURCHASE]])</f>
        <v>0</v>
      </c>
      <c r="AA200" s="107">
        <f>INVESTORS_LIST[[#This Row],[TOTAL UNITS BUY]]-INVESTORS_LIST[[#This Row],[TOTAL UNITS SOLD]]</f>
        <v>0</v>
      </c>
      <c r="AB200" s="107">
        <f>INVESTORS_LIST[[#This Row],[TOTAL CURRENT UNITS]]-INVESTORS_LIST[[#This Row],[BO UNITS HOLD]]</f>
        <v>0</v>
      </c>
      <c r="AC200" s="201" t="e">
        <f>INDEX([3]!Table_1[BO ID],MATCH(INVESTORS_LIST[[#This Row],[INVESTOR CODE]],[3]!Table_1[INVESTOR CODE],0))</f>
        <v>#REF!</v>
      </c>
      <c r="AD200" s="201" t="e">
        <f>INDEX([3]!Table_1[Brokerage Name2],MATCH(INVESTORS_LIST[[#This Row],[INVESTOR CODE]],[3]!Table_1[INVESTOR CODE],0))</f>
        <v>#REF!</v>
      </c>
      <c r="AE200" s="201" t="e">
        <f>MID(INVESTORS_LIST[[#This Row],[BO ID]],4,5)</f>
        <v>#REF!</v>
      </c>
      <c r="AF200" s="201" t="e">
        <f>MID(INVESTORS_LIST[[#This Row],[BO ID]],2,7)</f>
        <v>#REF!</v>
      </c>
      <c r="AG200" s="201" t="e">
        <f>MID(INVESTORS_LIST[[#This Row],[BO ID]],9,7)</f>
        <v>#REF!</v>
      </c>
      <c r="AH200" s="201" t="e">
        <f>RIGHT(INVESTORS_LIST[[#This Row],[BO ID]],1)</f>
        <v>#REF!</v>
      </c>
      <c r="AI200" s="50">
        <f>INVESTORS_LIST[[#This Row],[LS_TOTAL COST VALUE OF CURRENT UNITS]]+INVESTORS_LIST[[#This Row],[SIP_TOTAL COST VALUE OF CURRENT UNITS]]</f>
        <v>0</v>
      </c>
      <c r="AJ200" s="109">
        <f>IF(INVESTORS_LIST[[#This Row],[TOTAL CURRENT UNITS]]=0,0,INVESTORS_LIST[[#This Row],[LS_TOTAL CURRENT UNITS]]/INVESTORS_LIST[[#This Row],[TOTAL CURRENT UNITS]])</f>
        <v>0</v>
      </c>
      <c r="AK200" s="109">
        <f>IF(INVESTORS_LIST[[#This Row],[TOTAL CURRENT UNITS]]=0,0,INVESTORS_LIST[[#This Row],[SIP_TOTAL CURRENT UNITS]]/INVESTORS_LIST[[#This Row],[TOTAL CURRENT UNITS]])</f>
        <v>0</v>
      </c>
      <c r="AL200" s="49" cm="1">
        <f t="array" ref="AL2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0" s="49" cm="1">
        <f t="array" ref="AM2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0" s="105">
        <f t="shared" si="4"/>
        <v>14.224</v>
      </c>
      <c r="AP200" s="112">
        <f>IF(INVESTORS_LIST[[#This Row],[TOTAL CURRENT UNITS]]=0,0,INVESTORS_LIST[[#This Row],[TOTAL CURRENT UNITS]]*INVESTORS_LIST[[#This Row],[NAV]])</f>
        <v>0</v>
      </c>
      <c r="AQ200" s="49">
        <f>IF(INVESTORS_LIST[[#This Row],[LS_TOTAL CURRENT UNITS]]=0,0,INVESTORS_LIST[[#This Row],[LS_TOTAL CURRENT UNITS]]*INVESTORS_LIST[[#This Row],[NAV]])</f>
        <v>0</v>
      </c>
      <c r="AR200" s="48">
        <f>IF(INVESTORS_LIST[[#This Row],[SIP_TOTAL CURRENT UNITS]]=0,0,INVESTORS_LIST[[#This Row],[SIP_TOTAL CURRENT UNITS]]*INVESTORS_LIST[[#This Row],[NAV]])</f>
        <v>0</v>
      </c>
      <c r="AS200" s="50">
        <f>INVESTORS_LIST[[#This Row],[TOTAL CURRENT UNITS]]</f>
        <v>0</v>
      </c>
      <c r="AT200" s="48">
        <f>IF(INVESTORS_LIST[[#This Row],[TOTAL SELLABLE UNITS]]=0,0,INVESTORS_LIST[[#This Row],[TOTAL SELLABLE UNITS]]*INVESTORS_LIST[[#This Row],[NAV]])</f>
        <v>0</v>
      </c>
      <c r="AU200" s="48">
        <f>INVESTORS_LIST[[#This Row],[LS_TOTAL REALIZED GAIN]]+INVESTORS_LIST[[#This Row],[SIP_TOTAL REALIZED GAIN]]</f>
        <v>0</v>
      </c>
      <c r="AV200" s="48">
        <f>INVESTORS_LIST[[#This Row],[TOTAL MARKET VALUE]]-INVESTORS_LIST[[#This Row],[TOTAL COST VALUE OF CURRENT INVESTMENT]]</f>
        <v>0</v>
      </c>
      <c r="AW200" s="48">
        <f>IFERROR(INVESTORS_LIST[[#This Row],[TOTAL CURRENT UNITS]]/SUM(INVESTORS_LIST[TOTAL CURRENT UNITS]),0)</f>
        <v>0</v>
      </c>
    </row>
    <row r="201" spans="1:49">
      <c r="A201" s="262" t="s">
        <v>450</v>
      </c>
      <c r="B201" s="97" t="s">
        <v>451</v>
      </c>
      <c r="C201" t="s">
        <v>44</v>
      </c>
      <c r="D201" s="75" t="s">
        <v>45</v>
      </c>
      <c r="E201" s="47">
        <f>SUMIFS(LS[Unit],LS[Investor ID],INVESTORS_LIST[[#This Row],[INVESTOR CODE]],LS[B/S],"B")</f>
        <v>986660</v>
      </c>
      <c r="F201" s="47">
        <f>-SUMIFS(LS[Unit],LS[Investor ID],INVESTORS_LIST[[#This Row],[INVESTOR CODE]],LS[B/S],"S")</f>
        <v>931010</v>
      </c>
      <c r="G201" s="47">
        <f>IF(INVESTORS_LIST[[#This Row],[LS_TOTAL UNITS BUY]]=0,0,INVESTORS_LIST[[#This Row],[LS_TOTAL UNITS BUY]]-INVESTORS_LIST[[#This Row],[LS_TOTAL UNITS SOLD]])</f>
        <v>55650</v>
      </c>
      <c r="H201" s="49">
        <f>IF(INVESTORS_LIST[[#This Row],[LS_TOTAL UNITS BUY]]=0,0,SUMIFS(LS[Amount],LS[Investor ID],INVESTORS_LIST[[#This Row],[INVESTOR CODE]],LS[B/S],"B"))</f>
        <v>10900000</v>
      </c>
      <c r="I201" s="48">
        <f>IF(INVESTORS_LIST[[#This Row],[LS_TOTAL UNITS SOLD]]=0,0,SUMIFS(LS[Cost of Units Sold],LS[Investor ID],INVESTORS_LIST[[#This Row],[INVESTOR CODE]],LS[B/S],"S"))</f>
        <v>10248255.320534239</v>
      </c>
      <c r="J201" s="48">
        <f>IF(INVESTORS_LIST[[#This Row],[LS_TOTAL CURRENT UNITS]]=0,0,INVESTORS_LIST[[#This Row],[LS_TOTAL CURRENT UNITS]]*INVESTORS_LIST[[#This Row],[LS_AVERAGE COST]])</f>
        <v>651744.67946576234</v>
      </c>
      <c r="K201" s="49">
        <f>IF(INVESTORS_LIST[[#This Row],[LS_TOTAL UNITS SOLD]]=0,0,SUMIFS(LS[Realized Gain],LS[Investor ID],INVESTORS_LIST[[#This Row],[INVESTOR CODE]],LS[B/S],"S"))</f>
        <v>651744.67946576141</v>
      </c>
      <c r="L201" s="47">
        <f>SUMIFS(SIP[Unit],SIP[Investor ID],INVESTORS_LIST[[#This Row],[INVESTOR CODE]],SIP[B/S],"B")</f>
        <v>0</v>
      </c>
      <c r="M201" s="47">
        <f>-SUMIFS(SIP[Unit],SIP[Investor ID],INVESTORS_LIST[[#This Row],[INVESTOR CODE]],SIP[B/S],"S")</f>
        <v>0</v>
      </c>
      <c r="N201" s="50">
        <f>IF(INVESTORS_LIST[[#This Row],[SIP_TOTAL UNITS BUY]]=0,0,INVESTORS_LIST[[#This Row],[SIP_TOTAL UNITS BUY]]-INVESTORS_LIST[[#This Row],[SIP_TOTAL UNITS SOLD]])</f>
        <v>0</v>
      </c>
      <c r="O201" s="49">
        <f>IF(INVESTORS_LIST[[#This Row],[SIP_TOTAL UNITS BUY]]=0,0,SUMIFS(SIP[Amount],SIP[Investor ID],INVESTORS_LIST[[#This Row],[INVESTOR CODE]],SIP[B/S],"B"))</f>
        <v>0</v>
      </c>
      <c r="P201" s="49">
        <f>IF(INVESTORS_LIST[[#This Row],[SIP_TOTAL UNITS SOLD]]=0,0,SUMIFS(SIP[Cost of Units Sold],SIP[Investor ID],INVESTORS_LIST[[#This Row],[INVESTOR CODE]],SIP[B/S],"S"))</f>
        <v>0</v>
      </c>
      <c r="Q201" s="48">
        <f>IF(INVESTORS_LIST[[#This Row],[SIP_TOTAL CURRENT UNITS]]=0,0,INVESTORS_LIST[[#This Row],[SIP_TOTAL CURRENT UNITS]]*INVESTORS_LIST[[#This Row],[SIP_AVERAGE COST]])</f>
        <v>0</v>
      </c>
      <c r="R201" s="48">
        <f>IF(INVESTORS_LIST[[#This Row],[SIP_TOTAL UNITS SOLD]]=0,0,SUMIFS(SIP[Realized Gain],SIP[Investor ID],INVESTORS_LIST[[#This Row],[INVESTOR CODE]],SIP[B/S],"S"))</f>
        <v>0</v>
      </c>
      <c r="S201" s="50">
        <f>INVESTORS_LIST[[#This Row],[LS_TOTAL UNITS BUY]]+INVESTORS_LIST[[#This Row],[SIP_TOTAL UNITS BUY]]</f>
        <v>986660</v>
      </c>
      <c r="T201" s="50">
        <f>INVESTORS_LIST[[#This Row],[LS_TOTAL UNITS SOLD]]+INVESTORS_LIST[[#This Row],[SIP_TOTAL UNITS SOLD]]</f>
        <v>931010</v>
      </c>
      <c r="U201" s="50"/>
      <c r="V201" s="50">
        <f>SUMIFS(LS[BO UNIT TRANSFER],LS[Investor ID],INVESTORS_LIST[[#This Row],[INVESTOR CODE]],LS[B/S],"B")</f>
        <v>0</v>
      </c>
      <c r="W201" s="50">
        <f>SUMIFS(SIP[BO UNIT TRANSFER],SIP[Investor ID],INVESTORS_LIST[[#This Row],[INVESTOR CODE]],SIP[B/S],"B")</f>
        <v>0</v>
      </c>
      <c r="X201" s="50">
        <f>SUMIFS(LS[BO UNIT TRANSFER],LS[Investor ID],INVESTORS_LIST[[#This Row],[INVESTOR CODE]],LS[B/S],"S")</f>
        <v>0</v>
      </c>
      <c r="Y201" s="50">
        <f>SUMIFS(SIP[BO UNIT TRANSFER],SIP[Investor ID],INVESTORS_LIST[[#This Row],[INVESTOR CODE]],SIP[B/S],"S")</f>
        <v>0</v>
      </c>
      <c r="Z201" s="106">
        <f>SUM(INVESTORS_LIST[[#This Row],[BO OPENING BALANCE]:[BO SIP UNITS REPURCHASE]])</f>
        <v>0</v>
      </c>
      <c r="AA201" s="107">
        <f>INVESTORS_LIST[[#This Row],[TOTAL UNITS BUY]]-INVESTORS_LIST[[#This Row],[TOTAL UNITS SOLD]]</f>
        <v>55650</v>
      </c>
      <c r="AB201" s="107">
        <f>INVESTORS_LIST[[#This Row],[TOTAL CURRENT UNITS]]-INVESTORS_LIST[[#This Row],[BO UNITS HOLD]]</f>
        <v>55650</v>
      </c>
      <c r="AC201" s="201" t="e">
        <f>INDEX([3]!Table_1[BO ID],MATCH(INVESTORS_LIST[[#This Row],[INVESTOR CODE]],[3]!Table_1[INVESTOR CODE],0))</f>
        <v>#REF!</v>
      </c>
      <c r="AD201" s="201" t="e">
        <f>INDEX([3]!Table_1[Brokerage Name2],MATCH(INVESTORS_LIST[[#This Row],[INVESTOR CODE]],[3]!Table_1[INVESTOR CODE],0))</f>
        <v>#REF!</v>
      </c>
      <c r="AE201" s="201" t="e">
        <f>MID(INVESTORS_LIST[[#This Row],[BO ID]],4,5)</f>
        <v>#REF!</v>
      </c>
      <c r="AF201" s="201" t="e">
        <f>MID(INVESTORS_LIST[[#This Row],[BO ID]],2,7)</f>
        <v>#REF!</v>
      </c>
      <c r="AG201" s="201" t="e">
        <f>MID(INVESTORS_LIST[[#This Row],[BO ID]],9,7)</f>
        <v>#REF!</v>
      </c>
      <c r="AH201" s="201" t="e">
        <f>RIGHT(INVESTORS_LIST[[#This Row],[BO ID]],1)</f>
        <v>#REF!</v>
      </c>
      <c r="AI201" s="50">
        <f>INVESTORS_LIST[[#This Row],[LS_TOTAL COST VALUE OF CURRENT UNITS]]+INVESTORS_LIST[[#This Row],[SIP_TOTAL COST VALUE OF CURRENT UNITS]]</f>
        <v>651744.67946576234</v>
      </c>
      <c r="AJ201" s="109">
        <f>IF(INVESTORS_LIST[[#This Row],[TOTAL CURRENT UNITS]]=0,0,INVESTORS_LIST[[#This Row],[LS_TOTAL CURRENT UNITS]]/INVESTORS_LIST[[#This Row],[TOTAL CURRENT UNITS]])</f>
        <v>1</v>
      </c>
      <c r="AK201" s="109">
        <f>IF(INVESTORS_LIST[[#This Row],[TOTAL CURRENT UNITS]]=0,0,INVESTORS_LIST[[#This Row],[SIP_TOTAL CURRENT UNITS]]/INVESTORS_LIST[[#This Row],[TOTAL CURRENT UNITS]])</f>
        <v>0</v>
      </c>
      <c r="AL201" s="49" cm="1">
        <f t="array" ref="AL201">IF(INVESTORS_LIST[[#This Row],[LS_TOTAL UNITS BUY]]&gt;0,INDEX(LS[NAV at Cost (Average)],MATCH(CONCATENATE(COUNTIFS(LS[Investor ID],INVESTORS_LIST[[#This Row],[INVESTOR CODE]]),INVESTORS_LIST[[#This Row],[INVESTOR CODE]]),LS[Unique Code],0),),0)</f>
        <v>11.711494689411722</v>
      </c>
      <c r="AM201" s="49" cm="1">
        <f t="array" ref="AM2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1" s="105">
        <f>IF(INVESTORS_LIST[[#This Row],[TOTAL CURRENT UNITS]]=0,0,(INVESTORS_LIST[[#This Row],[LS_WEIGHT]]*INVESTORS_LIST[[#This Row],[LS_AVERAGE COST]])+(INVESTORS_LIST[[#This Row],[SIP_WEIGHT]]*INVESTORS_LIST[[#This Row],[SIP_AVERAGE COST]]))</f>
        <v>11.711494689411722</v>
      </c>
      <c r="AO201" s="105">
        <f t="shared" si="4"/>
        <v>14.224</v>
      </c>
      <c r="AP201" s="112">
        <f>IF(INVESTORS_LIST[[#This Row],[TOTAL CURRENT UNITS]]=0,0,INVESTORS_LIST[[#This Row],[TOTAL CURRENT UNITS]]*INVESTORS_LIST[[#This Row],[NAV]])</f>
        <v>791565.6</v>
      </c>
      <c r="AQ201" s="49">
        <f>IF(INVESTORS_LIST[[#This Row],[LS_TOTAL CURRENT UNITS]]=0,0,INVESTORS_LIST[[#This Row],[LS_TOTAL CURRENT UNITS]]*INVESTORS_LIST[[#This Row],[NAV]])</f>
        <v>791565.6</v>
      </c>
      <c r="AR201" s="48">
        <f>IF(INVESTORS_LIST[[#This Row],[SIP_TOTAL CURRENT UNITS]]=0,0,INVESTORS_LIST[[#This Row],[SIP_TOTAL CURRENT UNITS]]*INVESTORS_LIST[[#This Row],[NAV]])</f>
        <v>0</v>
      </c>
      <c r="AS201" s="50">
        <f>INVESTORS_LIST[[#This Row],[TOTAL CURRENT UNITS]]</f>
        <v>55650</v>
      </c>
      <c r="AT201" s="48">
        <f>IF(INVESTORS_LIST[[#This Row],[TOTAL SELLABLE UNITS]]=0,0,INVESTORS_LIST[[#This Row],[TOTAL SELLABLE UNITS]]*INVESTORS_LIST[[#This Row],[NAV]])</f>
        <v>791565.6</v>
      </c>
      <c r="AU201" s="48">
        <f>INVESTORS_LIST[[#This Row],[LS_TOTAL REALIZED GAIN]]+INVESTORS_LIST[[#This Row],[SIP_TOTAL REALIZED GAIN]]</f>
        <v>651744.67946576141</v>
      </c>
      <c r="AV201" s="48">
        <f>INVESTORS_LIST[[#This Row],[TOTAL MARKET VALUE]]-INVESTORS_LIST[[#This Row],[TOTAL COST VALUE OF CURRENT INVESTMENT]]</f>
        <v>139820.92053423764</v>
      </c>
      <c r="AW201" s="108">
        <f>IFERROR(INVESTORS_LIST[[#This Row],[TOTAL CURRENT UNITS]]/SUM(INVESTORS_LIST[TOTAL CURRENT UNITS]),0)</f>
        <v>1.3509709694181685E-3</v>
      </c>
    </row>
    <row r="202" spans="1:49" hidden="1">
      <c r="A202" s="262" t="s">
        <v>452</v>
      </c>
      <c r="B202" s="97" t="s">
        <v>453</v>
      </c>
      <c r="C202" t="s">
        <v>44</v>
      </c>
      <c r="D202" s="75" t="s">
        <v>45</v>
      </c>
      <c r="E202" s="47">
        <f>SUMIFS(LS[Unit],LS[Investor ID],INVESTORS_LIST[[#This Row],[INVESTOR CODE]],LS[B/S],"B")</f>
        <v>0</v>
      </c>
      <c r="F202" s="47">
        <f>-SUMIFS(LS[Unit],LS[Investor ID],INVESTORS_LIST[[#This Row],[INVESTOR CODE]],LS[B/S],"S")</f>
        <v>0</v>
      </c>
      <c r="G202" s="47">
        <f>IF(INVESTORS_LIST[[#This Row],[LS_TOTAL UNITS BUY]]=0,0,INVESTORS_LIST[[#This Row],[LS_TOTAL UNITS BUY]]-INVESTORS_LIST[[#This Row],[LS_TOTAL UNITS SOLD]])</f>
        <v>0</v>
      </c>
      <c r="H202" s="49">
        <f>IF(INVESTORS_LIST[[#This Row],[LS_TOTAL UNITS BUY]]=0,0,SUMIFS(LS[Amount],LS[Investor ID],INVESTORS_LIST[[#This Row],[INVESTOR CODE]],LS[B/S],"B"))</f>
        <v>0</v>
      </c>
      <c r="I202" s="48">
        <f>IF(INVESTORS_LIST[[#This Row],[LS_TOTAL UNITS SOLD]]=0,0,SUMIFS(LS[Cost of Units Sold],LS[Investor ID],INVESTORS_LIST[[#This Row],[INVESTOR CODE]],LS[B/S],"S"))</f>
        <v>0</v>
      </c>
      <c r="J202" s="48">
        <f>IF(INVESTORS_LIST[[#This Row],[LS_TOTAL CURRENT UNITS]]=0,0,INVESTORS_LIST[[#This Row],[LS_TOTAL CURRENT UNITS]]*INVESTORS_LIST[[#This Row],[LS_AVERAGE COST]])</f>
        <v>0</v>
      </c>
      <c r="K202" s="49">
        <f>IF(INVESTORS_LIST[[#This Row],[LS_TOTAL UNITS SOLD]]=0,0,SUMIFS(LS[Realized Gain],LS[Investor ID],INVESTORS_LIST[[#This Row],[INVESTOR CODE]],LS[B/S],"S"))</f>
        <v>0</v>
      </c>
      <c r="L202" s="47">
        <f>SUMIFS(SIP[Unit],SIP[Investor ID],INVESTORS_LIST[[#This Row],[INVESTOR CODE]],SIP[B/S],"B")</f>
        <v>0</v>
      </c>
      <c r="M202" s="47">
        <f>-SUMIFS(SIP[Unit],SIP[Investor ID],INVESTORS_LIST[[#This Row],[INVESTOR CODE]],SIP[B/S],"S")</f>
        <v>0</v>
      </c>
      <c r="N202" s="50">
        <f>IF(INVESTORS_LIST[[#This Row],[SIP_TOTAL UNITS BUY]]=0,0,INVESTORS_LIST[[#This Row],[SIP_TOTAL UNITS BUY]]-INVESTORS_LIST[[#This Row],[SIP_TOTAL UNITS SOLD]])</f>
        <v>0</v>
      </c>
      <c r="O202" s="49">
        <f>IF(INVESTORS_LIST[[#This Row],[SIP_TOTAL UNITS BUY]]=0,0,SUMIFS(SIP[Amount],SIP[Investor ID],INVESTORS_LIST[[#This Row],[INVESTOR CODE]],SIP[B/S],"B"))</f>
        <v>0</v>
      </c>
      <c r="P202" s="49">
        <f>IF(INVESTORS_LIST[[#This Row],[SIP_TOTAL UNITS SOLD]]=0,0,SUMIFS(SIP[Cost of Units Sold],SIP[Investor ID],INVESTORS_LIST[[#This Row],[INVESTOR CODE]],SIP[B/S],"S"))</f>
        <v>0</v>
      </c>
      <c r="Q202" s="48">
        <f>IF(INVESTORS_LIST[[#This Row],[SIP_TOTAL CURRENT UNITS]]=0,0,INVESTORS_LIST[[#This Row],[SIP_TOTAL CURRENT UNITS]]*INVESTORS_LIST[[#This Row],[SIP_AVERAGE COST]])</f>
        <v>0</v>
      </c>
      <c r="R202" s="48">
        <f>IF(INVESTORS_LIST[[#This Row],[SIP_TOTAL UNITS SOLD]]=0,0,SUMIFS(SIP[Realized Gain],SIP[Investor ID],INVESTORS_LIST[[#This Row],[INVESTOR CODE]],SIP[B/S],"S"))</f>
        <v>0</v>
      </c>
      <c r="S202" s="50">
        <f>INVESTORS_LIST[[#This Row],[LS_TOTAL UNITS BUY]]+INVESTORS_LIST[[#This Row],[SIP_TOTAL UNITS BUY]]</f>
        <v>0</v>
      </c>
      <c r="T202" s="50">
        <f>INVESTORS_LIST[[#This Row],[LS_TOTAL UNITS SOLD]]+INVESTORS_LIST[[#This Row],[SIP_TOTAL UNITS SOLD]]</f>
        <v>0</v>
      </c>
      <c r="U202" s="50"/>
      <c r="V202" s="50">
        <f>SUMIFS(LS[BO UNIT TRANSFER],LS[Investor ID],INVESTORS_LIST[[#This Row],[INVESTOR CODE]],LS[B/S],"B")</f>
        <v>0</v>
      </c>
      <c r="W202" s="50">
        <f>SUMIFS(SIP[BO UNIT TRANSFER],SIP[Investor ID],INVESTORS_LIST[[#This Row],[INVESTOR CODE]],SIP[B/S],"B")</f>
        <v>0</v>
      </c>
      <c r="X202" s="50">
        <f>SUMIFS(LS[BO UNIT TRANSFER],LS[Investor ID],INVESTORS_LIST[[#This Row],[INVESTOR CODE]],LS[B/S],"S")</f>
        <v>0</v>
      </c>
      <c r="Y202" s="50">
        <f>SUMIFS(SIP[BO UNIT TRANSFER],SIP[Investor ID],INVESTORS_LIST[[#This Row],[INVESTOR CODE]],SIP[B/S],"S")</f>
        <v>0</v>
      </c>
      <c r="Z202" s="106">
        <f>SUM(INVESTORS_LIST[[#This Row],[BO OPENING BALANCE]:[BO SIP UNITS REPURCHASE]])</f>
        <v>0</v>
      </c>
      <c r="AA202" s="107">
        <f>INVESTORS_LIST[[#This Row],[TOTAL UNITS BUY]]-INVESTORS_LIST[[#This Row],[TOTAL UNITS SOLD]]</f>
        <v>0</v>
      </c>
      <c r="AB202" s="107">
        <f>INVESTORS_LIST[[#This Row],[TOTAL CURRENT UNITS]]-INVESTORS_LIST[[#This Row],[BO UNITS HOLD]]</f>
        <v>0</v>
      </c>
      <c r="AC202" s="201" t="e">
        <f>INDEX([3]!Table_1[BO ID],MATCH(INVESTORS_LIST[[#This Row],[INVESTOR CODE]],[3]!Table_1[INVESTOR CODE],0))</f>
        <v>#REF!</v>
      </c>
      <c r="AD202" s="201" t="e">
        <f>INDEX([3]!Table_1[Brokerage Name2],MATCH(INVESTORS_LIST[[#This Row],[INVESTOR CODE]],[3]!Table_1[INVESTOR CODE],0))</f>
        <v>#REF!</v>
      </c>
      <c r="AE202" s="201" t="e">
        <f>MID(INVESTORS_LIST[[#This Row],[BO ID]],4,5)</f>
        <v>#REF!</v>
      </c>
      <c r="AF202" s="201" t="e">
        <f>MID(INVESTORS_LIST[[#This Row],[BO ID]],2,7)</f>
        <v>#REF!</v>
      </c>
      <c r="AG202" s="201" t="e">
        <f>MID(INVESTORS_LIST[[#This Row],[BO ID]],9,7)</f>
        <v>#REF!</v>
      </c>
      <c r="AH202" s="201" t="e">
        <f>RIGHT(INVESTORS_LIST[[#This Row],[BO ID]],1)</f>
        <v>#REF!</v>
      </c>
      <c r="AI202" s="50">
        <f>INVESTORS_LIST[[#This Row],[LS_TOTAL COST VALUE OF CURRENT UNITS]]+INVESTORS_LIST[[#This Row],[SIP_TOTAL COST VALUE OF CURRENT UNITS]]</f>
        <v>0</v>
      </c>
      <c r="AJ202" s="109">
        <f>IF(INVESTORS_LIST[[#This Row],[TOTAL CURRENT UNITS]]=0,0,INVESTORS_LIST[[#This Row],[LS_TOTAL CURRENT UNITS]]/INVESTORS_LIST[[#This Row],[TOTAL CURRENT UNITS]])</f>
        <v>0</v>
      </c>
      <c r="AK202" s="109">
        <f>IF(INVESTORS_LIST[[#This Row],[TOTAL CURRENT UNITS]]=0,0,INVESTORS_LIST[[#This Row],[SIP_TOTAL CURRENT UNITS]]/INVESTORS_LIST[[#This Row],[TOTAL CURRENT UNITS]])</f>
        <v>0</v>
      </c>
      <c r="AL202" s="49" cm="1">
        <f t="array" ref="AL2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2" s="49" cm="1">
        <f t="array" ref="AM2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2" s="105">
        <f t="shared" si="4"/>
        <v>14.224</v>
      </c>
      <c r="AP202" s="112">
        <f>IF(INVESTORS_LIST[[#This Row],[TOTAL CURRENT UNITS]]=0,0,INVESTORS_LIST[[#This Row],[TOTAL CURRENT UNITS]]*INVESTORS_LIST[[#This Row],[NAV]])</f>
        <v>0</v>
      </c>
      <c r="AQ202" s="49">
        <f>IF(INVESTORS_LIST[[#This Row],[LS_TOTAL CURRENT UNITS]]=0,0,INVESTORS_LIST[[#This Row],[LS_TOTAL CURRENT UNITS]]*INVESTORS_LIST[[#This Row],[NAV]])</f>
        <v>0</v>
      </c>
      <c r="AR202" s="48">
        <f>IF(INVESTORS_LIST[[#This Row],[SIP_TOTAL CURRENT UNITS]]=0,0,INVESTORS_LIST[[#This Row],[SIP_TOTAL CURRENT UNITS]]*INVESTORS_LIST[[#This Row],[NAV]])</f>
        <v>0</v>
      </c>
      <c r="AS202" s="50">
        <f>INVESTORS_LIST[[#This Row],[TOTAL CURRENT UNITS]]</f>
        <v>0</v>
      </c>
      <c r="AT202" s="48">
        <f>IF(INVESTORS_LIST[[#This Row],[TOTAL SELLABLE UNITS]]=0,0,INVESTORS_LIST[[#This Row],[TOTAL SELLABLE UNITS]]*INVESTORS_LIST[[#This Row],[NAV]])</f>
        <v>0</v>
      </c>
      <c r="AU202" s="48">
        <f>INVESTORS_LIST[[#This Row],[LS_TOTAL REALIZED GAIN]]+INVESTORS_LIST[[#This Row],[SIP_TOTAL REALIZED GAIN]]</f>
        <v>0</v>
      </c>
      <c r="AV202" s="48">
        <f>INVESTORS_LIST[[#This Row],[TOTAL MARKET VALUE]]-INVESTORS_LIST[[#This Row],[TOTAL COST VALUE OF CURRENT INVESTMENT]]</f>
        <v>0</v>
      </c>
      <c r="AW202" s="48">
        <f>IFERROR(INVESTORS_LIST[[#This Row],[TOTAL CURRENT UNITS]]/SUM(INVESTORS_LIST[TOTAL CURRENT UNITS]),0)</f>
        <v>0</v>
      </c>
    </row>
    <row r="203" spans="1:49" hidden="1">
      <c r="A203" s="262" t="s">
        <v>454</v>
      </c>
      <c r="B203" s="97" t="s">
        <v>455</v>
      </c>
      <c r="C203" t="s">
        <v>52</v>
      </c>
      <c r="D203" s="75" t="s">
        <v>45</v>
      </c>
      <c r="E203" s="47">
        <f>SUMIFS(LS[Unit],LS[Investor ID],INVESTORS_LIST[[#This Row],[INVESTOR CODE]],LS[B/S],"B")</f>
        <v>0</v>
      </c>
      <c r="F203" s="47">
        <f>-SUMIFS(LS[Unit],LS[Investor ID],INVESTORS_LIST[[#This Row],[INVESTOR CODE]],LS[B/S],"S")</f>
        <v>0</v>
      </c>
      <c r="G203" s="47">
        <f>IF(INVESTORS_LIST[[#This Row],[LS_TOTAL UNITS BUY]]=0,0,INVESTORS_LIST[[#This Row],[LS_TOTAL UNITS BUY]]-INVESTORS_LIST[[#This Row],[LS_TOTAL UNITS SOLD]])</f>
        <v>0</v>
      </c>
      <c r="H203" s="49">
        <f>IF(INVESTORS_LIST[[#This Row],[LS_TOTAL UNITS BUY]]=0,0,SUMIFS(LS[Amount],LS[Investor ID],INVESTORS_LIST[[#This Row],[INVESTOR CODE]],LS[B/S],"B"))</f>
        <v>0</v>
      </c>
      <c r="I203" s="48">
        <f>IF(INVESTORS_LIST[[#This Row],[LS_TOTAL UNITS SOLD]]=0,0,SUMIFS(LS[Cost of Units Sold],LS[Investor ID],INVESTORS_LIST[[#This Row],[INVESTOR CODE]],LS[B/S],"S"))</f>
        <v>0</v>
      </c>
      <c r="J203" s="48">
        <f>IF(INVESTORS_LIST[[#This Row],[LS_TOTAL CURRENT UNITS]]=0,0,INVESTORS_LIST[[#This Row],[LS_TOTAL CURRENT UNITS]]*INVESTORS_LIST[[#This Row],[LS_AVERAGE COST]])</f>
        <v>0</v>
      </c>
      <c r="K203" s="49">
        <f>IF(INVESTORS_LIST[[#This Row],[LS_TOTAL UNITS SOLD]]=0,0,SUMIFS(LS[Realized Gain],LS[Investor ID],INVESTORS_LIST[[#This Row],[INVESTOR CODE]],LS[B/S],"S"))</f>
        <v>0</v>
      </c>
      <c r="L203" s="47">
        <f>SUMIFS(SIP[Unit],SIP[Investor ID],INVESTORS_LIST[[#This Row],[INVESTOR CODE]],SIP[B/S],"B")</f>
        <v>0</v>
      </c>
      <c r="M203" s="47">
        <f>-SUMIFS(SIP[Unit],SIP[Investor ID],INVESTORS_LIST[[#This Row],[INVESTOR CODE]],SIP[B/S],"S")</f>
        <v>0</v>
      </c>
      <c r="N203" s="50">
        <f>IF(INVESTORS_LIST[[#This Row],[SIP_TOTAL UNITS BUY]]=0,0,INVESTORS_LIST[[#This Row],[SIP_TOTAL UNITS BUY]]-INVESTORS_LIST[[#This Row],[SIP_TOTAL UNITS SOLD]])</f>
        <v>0</v>
      </c>
      <c r="O203" s="49">
        <f>IF(INVESTORS_LIST[[#This Row],[SIP_TOTAL UNITS BUY]]=0,0,SUMIFS(SIP[Amount],SIP[Investor ID],INVESTORS_LIST[[#This Row],[INVESTOR CODE]],SIP[B/S],"B"))</f>
        <v>0</v>
      </c>
      <c r="P203" s="49">
        <f>IF(INVESTORS_LIST[[#This Row],[SIP_TOTAL UNITS SOLD]]=0,0,SUMIFS(SIP[Cost of Units Sold],SIP[Investor ID],INVESTORS_LIST[[#This Row],[INVESTOR CODE]],SIP[B/S],"S"))</f>
        <v>0</v>
      </c>
      <c r="Q203" s="48">
        <f>IF(INVESTORS_LIST[[#This Row],[SIP_TOTAL CURRENT UNITS]]=0,0,INVESTORS_LIST[[#This Row],[SIP_TOTAL CURRENT UNITS]]*INVESTORS_LIST[[#This Row],[SIP_AVERAGE COST]])</f>
        <v>0</v>
      </c>
      <c r="R203" s="48">
        <f>IF(INVESTORS_LIST[[#This Row],[SIP_TOTAL UNITS SOLD]]=0,0,SUMIFS(SIP[Realized Gain],SIP[Investor ID],INVESTORS_LIST[[#This Row],[INVESTOR CODE]],SIP[B/S],"S"))</f>
        <v>0</v>
      </c>
      <c r="S203" s="50">
        <f>INVESTORS_LIST[[#This Row],[LS_TOTAL UNITS BUY]]+INVESTORS_LIST[[#This Row],[SIP_TOTAL UNITS BUY]]</f>
        <v>0</v>
      </c>
      <c r="T203" s="50">
        <f>INVESTORS_LIST[[#This Row],[LS_TOTAL UNITS SOLD]]+INVESTORS_LIST[[#This Row],[SIP_TOTAL UNITS SOLD]]</f>
        <v>0</v>
      </c>
      <c r="U203" s="50"/>
      <c r="V203" s="50">
        <f>SUMIFS(LS[BO UNIT TRANSFER],LS[Investor ID],INVESTORS_LIST[[#This Row],[INVESTOR CODE]],LS[B/S],"B")</f>
        <v>0</v>
      </c>
      <c r="W203" s="50">
        <f>SUMIFS(SIP[BO UNIT TRANSFER],SIP[Investor ID],INVESTORS_LIST[[#This Row],[INVESTOR CODE]],SIP[B/S],"B")</f>
        <v>0</v>
      </c>
      <c r="X203" s="50">
        <f>SUMIFS(LS[BO UNIT TRANSFER],LS[Investor ID],INVESTORS_LIST[[#This Row],[INVESTOR CODE]],LS[B/S],"S")</f>
        <v>0</v>
      </c>
      <c r="Y203" s="50">
        <f>SUMIFS(SIP[BO UNIT TRANSFER],SIP[Investor ID],INVESTORS_LIST[[#This Row],[INVESTOR CODE]],SIP[B/S],"S")</f>
        <v>0</v>
      </c>
      <c r="Z203" s="106">
        <f>SUM(INVESTORS_LIST[[#This Row],[BO OPENING BALANCE]:[BO SIP UNITS REPURCHASE]])</f>
        <v>0</v>
      </c>
      <c r="AA203" s="107">
        <f>INVESTORS_LIST[[#This Row],[TOTAL UNITS BUY]]-INVESTORS_LIST[[#This Row],[TOTAL UNITS SOLD]]</f>
        <v>0</v>
      </c>
      <c r="AB203" s="107">
        <f>INVESTORS_LIST[[#This Row],[TOTAL CURRENT UNITS]]-INVESTORS_LIST[[#This Row],[BO UNITS HOLD]]</f>
        <v>0</v>
      </c>
      <c r="AC203" s="201" t="e">
        <f>INDEX([3]!Table_1[BO ID],MATCH(INVESTORS_LIST[[#This Row],[INVESTOR CODE]],[3]!Table_1[INVESTOR CODE],0))</f>
        <v>#REF!</v>
      </c>
      <c r="AD203" s="201" t="e">
        <f>INDEX([3]!Table_1[Brokerage Name2],MATCH(INVESTORS_LIST[[#This Row],[INVESTOR CODE]],[3]!Table_1[INVESTOR CODE],0))</f>
        <v>#REF!</v>
      </c>
      <c r="AE203" s="201" t="e">
        <f>MID(INVESTORS_LIST[[#This Row],[BO ID]],4,5)</f>
        <v>#REF!</v>
      </c>
      <c r="AF203" s="201" t="e">
        <f>MID(INVESTORS_LIST[[#This Row],[BO ID]],2,7)</f>
        <v>#REF!</v>
      </c>
      <c r="AG203" s="201" t="e">
        <f>MID(INVESTORS_LIST[[#This Row],[BO ID]],9,7)</f>
        <v>#REF!</v>
      </c>
      <c r="AH203" s="201" t="e">
        <f>RIGHT(INVESTORS_LIST[[#This Row],[BO ID]],1)</f>
        <v>#REF!</v>
      </c>
      <c r="AI203" s="50">
        <f>INVESTORS_LIST[[#This Row],[LS_TOTAL COST VALUE OF CURRENT UNITS]]+INVESTORS_LIST[[#This Row],[SIP_TOTAL COST VALUE OF CURRENT UNITS]]</f>
        <v>0</v>
      </c>
      <c r="AJ203" s="109">
        <f>IF(INVESTORS_LIST[[#This Row],[TOTAL CURRENT UNITS]]=0,0,INVESTORS_LIST[[#This Row],[LS_TOTAL CURRENT UNITS]]/INVESTORS_LIST[[#This Row],[TOTAL CURRENT UNITS]])</f>
        <v>0</v>
      </c>
      <c r="AK203" s="109">
        <f>IF(INVESTORS_LIST[[#This Row],[TOTAL CURRENT UNITS]]=0,0,INVESTORS_LIST[[#This Row],[SIP_TOTAL CURRENT UNITS]]/INVESTORS_LIST[[#This Row],[TOTAL CURRENT UNITS]])</f>
        <v>0</v>
      </c>
      <c r="AL203" s="49" cm="1">
        <f t="array" ref="AL2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3" s="49" cm="1">
        <f t="array" ref="AM2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3" s="105">
        <f t="shared" si="4"/>
        <v>14.224</v>
      </c>
      <c r="AP203" s="112">
        <f>IF(INVESTORS_LIST[[#This Row],[TOTAL CURRENT UNITS]]=0,0,INVESTORS_LIST[[#This Row],[TOTAL CURRENT UNITS]]*INVESTORS_LIST[[#This Row],[NAV]])</f>
        <v>0</v>
      </c>
      <c r="AQ203" s="49">
        <f>IF(INVESTORS_LIST[[#This Row],[LS_TOTAL CURRENT UNITS]]=0,0,INVESTORS_LIST[[#This Row],[LS_TOTAL CURRENT UNITS]]*INVESTORS_LIST[[#This Row],[NAV]])</f>
        <v>0</v>
      </c>
      <c r="AR203" s="48">
        <f>IF(INVESTORS_LIST[[#This Row],[SIP_TOTAL CURRENT UNITS]]=0,0,INVESTORS_LIST[[#This Row],[SIP_TOTAL CURRENT UNITS]]*INVESTORS_LIST[[#This Row],[NAV]])</f>
        <v>0</v>
      </c>
      <c r="AS203" s="50">
        <f>INVESTORS_LIST[[#This Row],[TOTAL CURRENT UNITS]]</f>
        <v>0</v>
      </c>
      <c r="AT203" s="48">
        <f>IF(INVESTORS_LIST[[#This Row],[TOTAL SELLABLE UNITS]]=0,0,INVESTORS_LIST[[#This Row],[TOTAL SELLABLE UNITS]]*INVESTORS_LIST[[#This Row],[NAV]])</f>
        <v>0</v>
      </c>
      <c r="AU203" s="48">
        <f>INVESTORS_LIST[[#This Row],[LS_TOTAL REALIZED GAIN]]+INVESTORS_LIST[[#This Row],[SIP_TOTAL REALIZED GAIN]]</f>
        <v>0</v>
      </c>
      <c r="AV203" s="48">
        <f>INVESTORS_LIST[[#This Row],[TOTAL MARKET VALUE]]-INVESTORS_LIST[[#This Row],[TOTAL COST VALUE OF CURRENT INVESTMENT]]</f>
        <v>0</v>
      </c>
      <c r="AW203" s="48">
        <f>IFERROR(INVESTORS_LIST[[#This Row],[TOTAL CURRENT UNITS]]/SUM(INVESTORS_LIST[TOTAL CURRENT UNITS]),0)</f>
        <v>0</v>
      </c>
    </row>
    <row r="204" spans="1:49" hidden="1">
      <c r="A204" s="262" t="s">
        <v>456</v>
      </c>
      <c r="B204" s="97" t="s">
        <v>457</v>
      </c>
      <c r="C204" t="s">
        <v>44</v>
      </c>
      <c r="D204" s="75" t="s">
        <v>45</v>
      </c>
      <c r="E204" s="47">
        <f>SUMIFS(LS[Unit],LS[Investor ID],INVESTORS_LIST[[#This Row],[INVESTOR CODE]],LS[B/S],"B")</f>
        <v>0</v>
      </c>
      <c r="F204" s="47">
        <f>-SUMIFS(LS[Unit],LS[Investor ID],INVESTORS_LIST[[#This Row],[INVESTOR CODE]],LS[B/S],"S")</f>
        <v>0</v>
      </c>
      <c r="G204" s="47">
        <f>IF(INVESTORS_LIST[[#This Row],[LS_TOTAL UNITS BUY]]=0,0,INVESTORS_LIST[[#This Row],[LS_TOTAL UNITS BUY]]-INVESTORS_LIST[[#This Row],[LS_TOTAL UNITS SOLD]])</f>
        <v>0</v>
      </c>
      <c r="H204" s="49">
        <f>IF(INVESTORS_LIST[[#This Row],[LS_TOTAL UNITS BUY]]=0,0,SUMIFS(LS[Amount],LS[Investor ID],INVESTORS_LIST[[#This Row],[INVESTOR CODE]],LS[B/S],"B"))</f>
        <v>0</v>
      </c>
      <c r="I204" s="48">
        <f>IF(INVESTORS_LIST[[#This Row],[LS_TOTAL UNITS SOLD]]=0,0,SUMIFS(LS[Cost of Units Sold],LS[Investor ID],INVESTORS_LIST[[#This Row],[INVESTOR CODE]],LS[B/S],"S"))</f>
        <v>0</v>
      </c>
      <c r="J204" s="48">
        <f>IF(INVESTORS_LIST[[#This Row],[LS_TOTAL CURRENT UNITS]]=0,0,INVESTORS_LIST[[#This Row],[LS_TOTAL CURRENT UNITS]]*INVESTORS_LIST[[#This Row],[LS_AVERAGE COST]])</f>
        <v>0</v>
      </c>
      <c r="K204" s="49">
        <f>IF(INVESTORS_LIST[[#This Row],[LS_TOTAL UNITS SOLD]]=0,0,SUMIFS(LS[Realized Gain],LS[Investor ID],INVESTORS_LIST[[#This Row],[INVESTOR CODE]],LS[B/S],"S"))</f>
        <v>0</v>
      </c>
      <c r="L204" s="47">
        <f>SUMIFS(SIP[Unit],SIP[Investor ID],INVESTORS_LIST[[#This Row],[INVESTOR CODE]],SIP[B/S],"B")</f>
        <v>0</v>
      </c>
      <c r="M204" s="47">
        <f>-SUMIFS(SIP[Unit],SIP[Investor ID],INVESTORS_LIST[[#This Row],[INVESTOR CODE]],SIP[B/S],"S")</f>
        <v>0</v>
      </c>
      <c r="N204" s="50">
        <f>IF(INVESTORS_LIST[[#This Row],[SIP_TOTAL UNITS BUY]]=0,0,INVESTORS_LIST[[#This Row],[SIP_TOTAL UNITS BUY]]-INVESTORS_LIST[[#This Row],[SIP_TOTAL UNITS SOLD]])</f>
        <v>0</v>
      </c>
      <c r="O204" s="49">
        <f>IF(INVESTORS_LIST[[#This Row],[SIP_TOTAL UNITS BUY]]=0,0,SUMIFS(SIP[Amount],SIP[Investor ID],INVESTORS_LIST[[#This Row],[INVESTOR CODE]],SIP[B/S],"B"))</f>
        <v>0</v>
      </c>
      <c r="P204" s="49">
        <f>IF(INVESTORS_LIST[[#This Row],[SIP_TOTAL UNITS SOLD]]=0,0,SUMIFS(SIP[Cost of Units Sold],SIP[Investor ID],INVESTORS_LIST[[#This Row],[INVESTOR CODE]],SIP[B/S],"S"))</f>
        <v>0</v>
      </c>
      <c r="Q204" s="48">
        <f>IF(INVESTORS_LIST[[#This Row],[SIP_TOTAL CURRENT UNITS]]=0,0,INVESTORS_LIST[[#This Row],[SIP_TOTAL CURRENT UNITS]]*INVESTORS_LIST[[#This Row],[SIP_AVERAGE COST]])</f>
        <v>0</v>
      </c>
      <c r="R204" s="48">
        <f>IF(INVESTORS_LIST[[#This Row],[SIP_TOTAL UNITS SOLD]]=0,0,SUMIFS(SIP[Realized Gain],SIP[Investor ID],INVESTORS_LIST[[#This Row],[INVESTOR CODE]],SIP[B/S],"S"))</f>
        <v>0</v>
      </c>
      <c r="S204" s="50">
        <f>INVESTORS_LIST[[#This Row],[LS_TOTAL UNITS BUY]]+INVESTORS_LIST[[#This Row],[SIP_TOTAL UNITS BUY]]</f>
        <v>0</v>
      </c>
      <c r="T204" s="50">
        <f>INVESTORS_LIST[[#This Row],[LS_TOTAL UNITS SOLD]]+INVESTORS_LIST[[#This Row],[SIP_TOTAL UNITS SOLD]]</f>
        <v>0</v>
      </c>
      <c r="U204" s="50"/>
      <c r="V204" s="50">
        <f>SUMIFS(LS[BO UNIT TRANSFER],LS[Investor ID],INVESTORS_LIST[[#This Row],[INVESTOR CODE]],LS[B/S],"B")</f>
        <v>0</v>
      </c>
      <c r="W204" s="50">
        <f>SUMIFS(SIP[BO UNIT TRANSFER],SIP[Investor ID],INVESTORS_LIST[[#This Row],[INVESTOR CODE]],SIP[B/S],"B")</f>
        <v>0</v>
      </c>
      <c r="X204" s="50">
        <f>SUMIFS(LS[BO UNIT TRANSFER],LS[Investor ID],INVESTORS_LIST[[#This Row],[INVESTOR CODE]],LS[B/S],"S")</f>
        <v>0</v>
      </c>
      <c r="Y204" s="50">
        <f>SUMIFS(SIP[BO UNIT TRANSFER],SIP[Investor ID],INVESTORS_LIST[[#This Row],[INVESTOR CODE]],SIP[B/S],"S")</f>
        <v>0</v>
      </c>
      <c r="Z204" s="106">
        <f>SUM(INVESTORS_LIST[[#This Row],[BO OPENING BALANCE]:[BO SIP UNITS REPURCHASE]])</f>
        <v>0</v>
      </c>
      <c r="AA204" s="107">
        <f>INVESTORS_LIST[[#This Row],[TOTAL UNITS BUY]]-INVESTORS_LIST[[#This Row],[TOTAL UNITS SOLD]]</f>
        <v>0</v>
      </c>
      <c r="AB204" s="107">
        <f>INVESTORS_LIST[[#This Row],[TOTAL CURRENT UNITS]]-INVESTORS_LIST[[#This Row],[BO UNITS HOLD]]</f>
        <v>0</v>
      </c>
      <c r="AC204" s="201" t="e">
        <f>INDEX([3]!Table_1[BO ID],MATCH(INVESTORS_LIST[[#This Row],[INVESTOR CODE]],[3]!Table_1[INVESTOR CODE],0))</f>
        <v>#REF!</v>
      </c>
      <c r="AD204" s="201" t="e">
        <f>INDEX([3]!Table_1[Brokerage Name2],MATCH(INVESTORS_LIST[[#This Row],[INVESTOR CODE]],[3]!Table_1[INVESTOR CODE],0))</f>
        <v>#REF!</v>
      </c>
      <c r="AE204" s="201" t="e">
        <f>MID(INVESTORS_LIST[[#This Row],[BO ID]],4,5)</f>
        <v>#REF!</v>
      </c>
      <c r="AF204" s="201" t="e">
        <f>MID(INVESTORS_LIST[[#This Row],[BO ID]],2,7)</f>
        <v>#REF!</v>
      </c>
      <c r="AG204" s="201" t="e">
        <f>MID(INVESTORS_LIST[[#This Row],[BO ID]],9,7)</f>
        <v>#REF!</v>
      </c>
      <c r="AH204" s="201" t="e">
        <f>RIGHT(INVESTORS_LIST[[#This Row],[BO ID]],1)</f>
        <v>#REF!</v>
      </c>
      <c r="AI204" s="50">
        <f>INVESTORS_LIST[[#This Row],[LS_TOTAL COST VALUE OF CURRENT UNITS]]+INVESTORS_LIST[[#This Row],[SIP_TOTAL COST VALUE OF CURRENT UNITS]]</f>
        <v>0</v>
      </c>
      <c r="AJ204" s="109">
        <f>IF(INVESTORS_LIST[[#This Row],[TOTAL CURRENT UNITS]]=0,0,INVESTORS_LIST[[#This Row],[LS_TOTAL CURRENT UNITS]]/INVESTORS_LIST[[#This Row],[TOTAL CURRENT UNITS]])</f>
        <v>0</v>
      </c>
      <c r="AK204" s="109">
        <f>IF(INVESTORS_LIST[[#This Row],[TOTAL CURRENT UNITS]]=0,0,INVESTORS_LIST[[#This Row],[SIP_TOTAL CURRENT UNITS]]/INVESTORS_LIST[[#This Row],[TOTAL CURRENT UNITS]])</f>
        <v>0</v>
      </c>
      <c r="AL204" s="49" cm="1">
        <f t="array" ref="AL2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4" s="49" cm="1">
        <f t="array" ref="AM2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4" s="105">
        <f t="shared" si="4"/>
        <v>14.224</v>
      </c>
      <c r="AP204" s="112">
        <f>IF(INVESTORS_LIST[[#This Row],[TOTAL CURRENT UNITS]]=0,0,INVESTORS_LIST[[#This Row],[TOTAL CURRENT UNITS]]*INVESTORS_LIST[[#This Row],[NAV]])</f>
        <v>0</v>
      </c>
      <c r="AQ204" s="49">
        <f>IF(INVESTORS_LIST[[#This Row],[LS_TOTAL CURRENT UNITS]]=0,0,INVESTORS_LIST[[#This Row],[LS_TOTAL CURRENT UNITS]]*INVESTORS_LIST[[#This Row],[NAV]])</f>
        <v>0</v>
      </c>
      <c r="AR204" s="48">
        <f>IF(INVESTORS_LIST[[#This Row],[SIP_TOTAL CURRENT UNITS]]=0,0,INVESTORS_LIST[[#This Row],[SIP_TOTAL CURRENT UNITS]]*INVESTORS_LIST[[#This Row],[NAV]])</f>
        <v>0</v>
      </c>
      <c r="AS204" s="50">
        <f>INVESTORS_LIST[[#This Row],[TOTAL CURRENT UNITS]]</f>
        <v>0</v>
      </c>
      <c r="AT204" s="48">
        <f>IF(INVESTORS_LIST[[#This Row],[TOTAL SELLABLE UNITS]]=0,0,INVESTORS_LIST[[#This Row],[TOTAL SELLABLE UNITS]]*INVESTORS_LIST[[#This Row],[NAV]])</f>
        <v>0</v>
      </c>
      <c r="AU204" s="48">
        <f>INVESTORS_LIST[[#This Row],[LS_TOTAL REALIZED GAIN]]+INVESTORS_LIST[[#This Row],[SIP_TOTAL REALIZED GAIN]]</f>
        <v>0</v>
      </c>
      <c r="AV204" s="48">
        <f>INVESTORS_LIST[[#This Row],[TOTAL MARKET VALUE]]-INVESTORS_LIST[[#This Row],[TOTAL COST VALUE OF CURRENT INVESTMENT]]</f>
        <v>0</v>
      </c>
      <c r="AW204" s="48">
        <f>IFERROR(INVESTORS_LIST[[#This Row],[TOTAL CURRENT UNITS]]/SUM(INVESTORS_LIST[TOTAL CURRENT UNITS]),0)</f>
        <v>0</v>
      </c>
    </row>
    <row r="205" spans="1:49">
      <c r="A205" s="262" t="s">
        <v>458</v>
      </c>
      <c r="B205" s="97" t="s">
        <v>459</v>
      </c>
      <c r="C205" t="s">
        <v>52</v>
      </c>
      <c r="D205" s="75" t="s">
        <v>45</v>
      </c>
      <c r="E205" s="47">
        <f>SUMIFS(LS[Unit],LS[Investor ID],INVESTORS_LIST[[#This Row],[INVESTOR CODE]],LS[B/S],"B")</f>
        <v>40535</v>
      </c>
      <c r="F205" s="47">
        <f>-SUMIFS(LS[Unit],LS[Investor ID],INVESTORS_LIST[[#This Row],[INVESTOR CODE]],LS[B/S],"S")</f>
        <v>0</v>
      </c>
      <c r="G205" s="47">
        <f>IF(INVESTORS_LIST[[#This Row],[LS_TOTAL UNITS BUY]]=0,0,INVESTORS_LIST[[#This Row],[LS_TOTAL UNITS BUY]]-INVESTORS_LIST[[#This Row],[LS_TOTAL UNITS SOLD]])</f>
        <v>40535</v>
      </c>
      <c r="H205" s="49">
        <f>IF(INVESTORS_LIST[[#This Row],[LS_TOTAL UNITS BUY]]=0,0,SUMIFS(LS[Amount],LS[Investor ID],INVESTORS_LIST[[#This Row],[INVESTOR CODE]],LS[B/S],"B"))</f>
        <v>500000</v>
      </c>
      <c r="I205" s="48">
        <f>IF(INVESTORS_LIST[[#This Row],[LS_TOTAL UNITS SOLD]]=0,0,SUMIFS(LS[Cost of Units Sold],LS[Investor ID],INVESTORS_LIST[[#This Row],[INVESTOR CODE]],LS[B/S],"S"))</f>
        <v>0</v>
      </c>
      <c r="J205" s="48">
        <f>IF(INVESTORS_LIST[[#This Row],[LS_TOTAL CURRENT UNITS]]=0,0,INVESTORS_LIST[[#This Row],[LS_TOTAL CURRENT UNITS]]*INVESTORS_LIST[[#This Row],[LS_AVERAGE COST]])</f>
        <v>499999.99999999994</v>
      </c>
      <c r="K205" s="49">
        <f>IF(INVESTORS_LIST[[#This Row],[LS_TOTAL UNITS SOLD]]=0,0,SUMIFS(LS[Realized Gain],LS[Investor ID],INVESTORS_LIST[[#This Row],[INVESTOR CODE]],LS[B/S],"S"))</f>
        <v>0</v>
      </c>
      <c r="L205" s="47">
        <f>SUMIFS(SIP[Unit],SIP[Investor ID],INVESTORS_LIST[[#This Row],[INVESTOR CODE]],SIP[B/S],"B")</f>
        <v>0</v>
      </c>
      <c r="M205" s="47">
        <f>-SUMIFS(SIP[Unit],SIP[Investor ID],INVESTORS_LIST[[#This Row],[INVESTOR CODE]],SIP[B/S],"S")</f>
        <v>0</v>
      </c>
      <c r="N205" s="50">
        <f>IF(INVESTORS_LIST[[#This Row],[SIP_TOTAL UNITS BUY]]=0,0,INVESTORS_LIST[[#This Row],[SIP_TOTAL UNITS BUY]]-INVESTORS_LIST[[#This Row],[SIP_TOTAL UNITS SOLD]])</f>
        <v>0</v>
      </c>
      <c r="O205" s="49">
        <f>IF(INVESTORS_LIST[[#This Row],[SIP_TOTAL UNITS BUY]]=0,0,SUMIFS(SIP[Amount],SIP[Investor ID],INVESTORS_LIST[[#This Row],[INVESTOR CODE]],SIP[B/S],"B"))</f>
        <v>0</v>
      </c>
      <c r="P205" s="49">
        <f>IF(INVESTORS_LIST[[#This Row],[SIP_TOTAL UNITS SOLD]]=0,0,SUMIFS(SIP[Cost of Units Sold],SIP[Investor ID],INVESTORS_LIST[[#This Row],[INVESTOR CODE]],SIP[B/S],"S"))</f>
        <v>0</v>
      </c>
      <c r="Q205" s="48">
        <f>IF(INVESTORS_LIST[[#This Row],[SIP_TOTAL CURRENT UNITS]]=0,0,INVESTORS_LIST[[#This Row],[SIP_TOTAL CURRENT UNITS]]*INVESTORS_LIST[[#This Row],[SIP_AVERAGE COST]])</f>
        <v>0</v>
      </c>
      <c r="R205" s="48">
        <f>IF(INVESTORS_LIST[[#This Row],[SIP_TOTAL UNITS SOLD]]=0,0,SUMIFS(SIP[Realized Gain],SIP[Investor ID],INVESTORS_LIST[[#This Row],[INVESTOR CODE]],SIP[B/S],"S"))</f>
        <v>0</v>
      </c>
      <c r="S205" s="50">
        <f>INVESTORS_LIST[[#This Row],[LS_TOTAL UNITS BUY]]+INVESTORS_LIST[[#This Row],[SIP_TOTAL UNITS BUY]]</f>
        <v>40535</v>
      </c>
      <c r="T205" s="50">
        <f>INVESTORS_LIST[[#This Row],[LS_TOTAL UNITS SOLD]]+INVESTORS_LIST[[#This Row],[SIP_TOTAL UNITS SOLD]]</f>
        <v>0</v>
      </c>
      <c r="U205" s="50"/>
      <c r="V205" s="50">
        <f>SUMIFS(LS[BO UNIT TRANSFER],LS[Investor ID],INVESTORS_LIST[[#This Row],[INVESTOR CODE]],LS[B/S],"B")</f>
        <v>0</v>
      </c>
      <c r="W205" s="50">
        <f>SUMIFS(SIP[BO UNIT TRANSFER],SIP[Investor ID],INVESTORS_LIST[[#This Row],[INVESTOR CODE]],SIP[B/S],"B")</f>
        <v>0</v>
      </c>
      <c r="X205" s="50">
        <f>SUMIFS(LS[BO UNIT TRANSFER],LS[Investor ID],INVESTORS_LIST[[#This Row],[INVESTOR CODE]],LS[B/S],"S")</f>
        <v>0</v>
      </c>
      <c r="Y205" s="50">
        <f>SUMIFS(SIP[BO UNIT TRANSFER],SIP[Investor ID],INVESTORS_LIST[[#This Row],[INVESTOR CODE]],SIP[B/S],"S")</f>
        <v>0</v>
      </c>
      <c r="Z205" s="106">
        <f>SUM(INVESTORS_LIST[[#This Row],[BO OPENING BALANCE]:[BO SIP UNITS REPURCHASE]])</f>
        <v>0</v>
      </c>
      <c r="AA205" s="107">
        <f>INVESTORS_LIST[[#This Row],[TOTAL UNITS BUY]]-INVESTORS_LIST[[#This Row],[TOTAL UNITS SOLD]]</f>
        <v>40535</v>
      </c>
      <c r="AB205" s="107">
        <f>INVESTORS_LIST[[#This Row],[TOTAL CURRENT UNITS]]-INVESTORS_LIST[[#This Row],[BO UNITS HOLD]]</f>
        <v>40535</v>
      </c>
      <c r="AC205" s="201" t="e">
        <f>INDEX([3]!Table_1[BO ID],MATCH(INVESTORS_LIST[[#This Row],[INVESTOR CODE]],[3]!Table_1[INVESTOR CODE],0))</f>
        <v>#REF!</v>
      </c>
      <c r="AD205" s="201" t="e">
        <f>INDEX([3]!Table_1[Brokerage Name2],MATCH(INVESTORS_LIST[[#This Row],[INVESTOR CODE]],[3]!Table_1[INVESTOR CODE],0))</f>
        <v>#REF!</v>
      </c>
      <c r="AE205" s="201" t="e">
        <f>MID(INVESTORS_LIST[[#This Row],[BO ID]],4,5)</f>
        <v>#REF!</v>
      </c>
      <c r="AF205" s="201" t="e">
        <f>MID(INVESTORS_LIST[[#This Row],[BO ID]],2,7)</f>
        <v>#REF!</v>
      </c>
      <c r="AG205" s="201" t="e">
        <f>MID(INVESTORS_LIST[[#This Row],[BO ID]],9,7)</f>
        <v>#REF!</v>
      </c>
      <c r="AH205" s="201" t="e">
        <f>RIGHT(INVESTORS_LIST[[#This Row],[BO ID]],1)</f>
        <v>#REF!</v>
      </c>
      <c r="AI205" s="50">
        <f>INVESTORS_LIST[[#This Row],[LS_TOTAL COST VALUE OF CURRENT UNITS]]+INVESTORS_LIST[[#This Row],[SIP_TOTAL COST VALUE OF CURRENT UNITS]]</f>
        <v>499999.99999999994</v>
      </c>
      <c r="AJ205" s="109">
        <f>IF(INVESTORS_LIST[[#This Row],[TOTAL CURRENT UNITS]]=0,0,INVESTORS_LIST[[#This Row],[LS_TOTAL CURRENT UNITS]]/INVESTORS_LIST[[#This Row],[TOTAL CURRENT UNITS]])</f>
        <v>1</v>
      </c>
      <c r="AK205" s="109">
        <f>IF(INVESTORS_LIST[[#This Row],[TOTAL CURRENT UNITS]]=0,0,INVESTORS_LIST[[#This Row],[SIP_TOTAL CURRENT UNITS]]/INVESTORS_LIST[[#This Row],[TOTAL CURRENT UNITS]])</f>
        <v>0</v>
      </c>
      <c r="AL205" s="49" cm="1">
        <f t="array" ref="AL205">IF(INVESTORS_LIST[[#This Row],[LS_TOTAL UNITS BUY]]&gt;0,INDEX(LS[NAV at Cost (Average)],MATCH(CONCATENATE(COUNTIFS(LS[Investor ID],INVESTORS_LIST[[#This Row],[INVESTOR CODE]]),INVESTORS_LIST[[#This Row],[INVESTOR CODE]]),LS[Unique Code],0),),0)</f>
        <v>12.335019119279634</v>
      </c>
      <c r="AM205" s="49" cm="1">
        <f t="array" ref="AM2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5" s="105">
        <f>IF(INVESTORS_LIST[[#This Row],[TOTAL CURRENT UNITS]]=0,0,(INVESTORS_LIST[[#This Row],[LS_WEIGHT]]*INVESTORS_LIST[[#This Row],[LS_AVERAGE COST]])+(INVESTORS_LIST[[#This Row],[SIP_WEIGHT]]*INVESTORS_LIST[[#This Row],[SIP_AVERAGE COST]]))</f>
        <v>12.335019119279634</v>
      </c>
      <c r="AO205" s="105">
        <f t="shared" si="4"/>
        <v>14.224</v>
      </c>
      <c r="AP205" s="112">
        <f>IF(INVESTORS_LIST[[#This Row],[TOTAL CURRENT UNITS]]=0,0,INVESTORS_LIST[[#This Row],[TOTAL CURRENT UNITS]]*INVESTORS_LIST[[#This Row],[NAV]])</f>
        <v>576569.84</v>
      </c>
      <c r="AQ205" s="49">
        <f>IF(INVESTORS_LIST[[#This Row],[LS_TOTAL CURRENT UNITS]]=0,0,INVESTORS_LIST[[#This Row],[LS_TOTAL CURRENT UNITS]]*INVESTORS_LIST[[#This Row],[NAV]])</f>
        <v>576569.84</v>
      </c>
      <c r="AR205" s="48">
        <f>IF(INVESTORS_LIST[[#This Row],[SIP_TOTAL CURRENT UNITS]]=0,0,INVESTORS_LIST[[#This Row],[SIP_TOTAL CURRENT UNITS]]*INVESTORS_LIST[[#This Row],[NAV]])</f>
        <v>0</v>
      </c>
      <c r="AS205" s="50">
        <f>INVESTORS_LIST[[#This Row],[TOTAL CURRENT UNITS]]</f>
        <v>40535</v>
      </c>
      <c r="AT205" s="48">
        <f>IF(INVESTORS_LIST[[#This Row],[TOTAL SELLABLE UNITS]]=0,0,INVESTORS_LIST[[#This Row],[TOTAL SELLABLE UNITS]]*INVESTORS_LIST[[#This Row],[NAV]])</f>
        <v>576569.84</v>
      </c>
      <c r="AU205" s="48">
        <f>INVESTORS_LIST[[#This Row],[LS_TOTAL REALIZED GAIN]]+INVESTORS_LIST[[#This Row],[SIP_TOTAL REALIZED GAIN]]</f>
        <v>0</v>
      </c>
      <c r="AV205" s="48">
        <f>INVESTORS_LIST[[#This Row],[TOTAL MARKET VALUE]]-INVESTORS_LIST[[#This Row],[TOTAL COST VALUE OF CURRENT INVESTMENT]]</f>
        <v>76569.840000000026</v>
      </c>
      <c r="AW205" s="48">
        <f>IFERROR(INVESTORS_LIST[[#This Row],[TOTAL CURRENT UNITS]]/SUM(INVESTORS_LIST[TOTAL CURRENT UNITS]),0)</f>
        <v>9.8403608706856176E-4</v>
      </c>
    </row>
    <row r="206" spans="1:49">
      <c r="A206" s="262" t="s">
        <v>460</v>
      </c>
      <c r="B206" s="97" t="s">
        <v>461</v>
      </c>
      <c r="C206" t="s">
        <v>44</v>
      </c>
      <c r="D206" s="75" t="s">
        <v>45</v>
      </c>
      <c r="E206" s="47">
        <f>SUMIFS(LS[Unit],LS[Investor ID],INVESTORS_LIST[[#This Row],[INVESTOR CODE]],LS[B/S],"B")</f>
        <v>0</v>
      </c>
      <c r="F206" s="47">
        <f>-SUMIFS(LS[Unit],LS[Investor ID],INVESTORS_LIST[[#This Row],[INVESTOR CODE]],LS[B/S],"S")</f>
        <v>0</v>
      </c>
      <c r="G206" s="47">
        <f>IF(INVESTORS_LIST[[#This Row],[LS_TOTAL UNITS BUY]]=0,0,INVESTORS_LIST[[#This Row],[LS_TOTAL UNITS BUY]]-INVESTORS_LIST[[#This Row],[LS_TOTAL UNITS SOLD]])</f>
        <v>0</v>
      </c>
      <c r="H206" s="49">
        <f>IF(INVESTORS_LIST[[#This Row],[LS_TOTAL UNITS BUY]]=0,0,SUMIFS(LS[Amount],LS[Investor ID],INVESTORS_LIST[[#This Row],[INVESTOR CODE]],LS[B/S],"B"))</f>
        <v>0</v>
      </c>
      <c r="I206" s="48">
        <f>IF(INVESTORS_LIST[[#This Row],[LS_TOTAL UNITS SOLD]]=0,0,SUMIFS(LS[Cost of Units Sold],LS[Investor ID],INVESTORS_LIST[[#This Row],[INVESTOR CODE]],LS[B/S],"S"))</f>
        <v>0</v>
      </c>
      <c r="J206" s="48">
        <f>IF(INVESTORS_LIST[[#This Row],[LS_TOTAL CURRENT UNITS]]=0,0,INVESTORS_LIST[[#This Row],[LS_TOTAL CURRENT UNITS]]*INVESTORS_LIST[[#This Row],[LS_AVERAGE COST]])</f>
        <v>0</v>
      </c>
      <c r="K206" s="49">
        <f>IF(INVESTORS_LIST[[#This Row],[LS_TOTAL UNITS SOLD]]=0,0,SUMIFS(LS[Realized Gain],LS[Investor ID],INVESTORS_LIST[[#This Row],[INVESTOR CODE]],LS[B/S],"S"))</f>
        <v>0</v>
      </c>
      <c r="L206" s="47">
        <f>SUMIFS(SIP[Unit],SIP[Investor ID],INVESTORS_LIST[[#This Row],[INVESTOR CODE]],SIP[B/S],"B")</f>
        <v>18351</v>
      </c>
      <c r="M206" s="47">
        <f>-SUMIFS(SIP[Unit],SIP[Investor ID],INVESTORS_LIST[[#This Row],[INVESTOR CODE]],SIP[B/S],"S")</f>
        <v>15955</v>
      </c>
      <c r="N206" s="50">
        <f>IF(INVESTORS_LIST[[#This Row],[SIP_TOTAL UNITS BUY]]=0,0,INVESTORS_LIST[[#This Row],[SIP_TOTAL UNITS BUY]]-INVESTORS_LIST[[#This Row],[SIP_TOTAL UNITS SOLD]])</f>
        <v>2396</v>
      </c>
      <c r="O206" s="49">
        <f>IF(INVESTORS_LIST[[#This Row],[SIP_TOTAL UNITS BUY]]=0,0,SUMIFS(SIP[Amount],SIP[Investor ID],INVESTORS_LIST[[#This Row],[INVESTOR CODE]],SIP[B/S],"B"))</f>
        <v>210000</v>
      </c>
      <c r="P206" s="49">
        <f>IF(INVESTORS_LIST[[#This Row],[SIP_TOTAL UNITS SOLD]]=0,0,SUMIFS(SIP[Cost of Units Sold],SIP[Investor ID],INVESTORS_LIST[[#This Row],[INVESTOR CODE]],SIP[B/S],"S"))</f>
        <v>178496.11434322115</v>
      </c>
      <c r="Q206" s="48">
        <f>IF(INVESTORS_LIST[[#This Row],[SIP_TOTAL CURRENT UNITS]]=0,0,INVESTORS_LIST[[#This Row],[SIP_TOTAL CURRENT UNITS]]*INVESTORS_LIST[[#This Row],[SIP_AVERAGE COST]])</f>
        <v>31503.885656778853</v>
      </c>
      <c r="R206" s="48">
        <f>IF(INVESTORS_LIST[[#This Row],[SIP_TOTAL UNITS SOLD]]=0,0,SUMIFS(SIP[Realized Gain],SIP[Investor ID],INVESTORS_LIST[[#This Row],[INVESTOR CODE]],SIP[B/S],"S"))</f>
        <v>26503.885656778839</v>
      </c>
      <c r="S206" s="50">
        <f>INVESTORS_LIST[[#This Row],[LS_TOTAL UNITS BUY]]+INVESTORS_LIST[[#This Row],[SIP_TOTAL UNITS BUY]]</f>
        <v>18351</v>
      </c>
      <c r="T206" s="50">
        <f>INVESTORS_LIST[[#This Row],[LS_TOTAL UNITS SOLD]]+INVESTORS_LIST[[#This Row],[SIP_TOTAL UNITS SOLD]]</f>
        <v>15955</v>
      </c>
      <c r="U206" s="50"/>
      <c r="V206" s="50">
        <f>SUMIFS(LS[BO UNIT TRANSFER],LS[Investor ID],INVESTORS_LIST[[#This Row],[INVESTOR CODE]],LS[B/S],"B")</f>
        <v>0</v>
      </c>
      <c r="W206" s="50">
        <f>SUMIFS(SIP[BO UNIT TRANSFER],SIP[Investor ID],INVESTORS_LIST[[#This Row],[INVESTOR CODE]],SIP[B/S],"B")</f>
        <v>0</v>
      </c>
      <c r="X206" s="50">
        <f>SUMIFS(LS[BO UNIT TRANSFER],LS[Investor ID],INVESTORS_LIST[[#This Row],[INVESTOR CODE]],LS[B/S],"S")</f>
        <v>0</v>
      </c>
      <c r="Y206" s="50">
        <f>SUMIFS(SIP[BO UNIT TRANSFER],SIP[Investor ID],INVESTORS_LIST[[#This Row],[INVESTOR CODE]],SIP[B/S],"S")</f>
        <v>0</v>
      </c>
      <c r="Z206" s="106">
        <f>SUM(INVESTORS_LIST[[#This Row],[BO OPENING BALANCE]:[BO SIP UNITS REPURCHASE]])</f>
        <v>0</v>
      </c>
      <c r="AA206" s="107">
        <f>INVESTORS_LIST[[#This Row],[TOTAL UNITS BUY]]-INVESTORS_LIST[[#This Row],[TOTAL UNITS SOLD]]</f>
        <v>2396</v>
      </c>
      <c r="AB206" s="107">
        <f>INVESTORS_LIST[[#This Row],[TOTAL CURRENT UNITS]]-INVESTORS_LIST[[#This Row],[BO UNITS HOLD]]</f>
        <v>2396</v>
      </c>
      <c r="AC206" s="201" t="e">
        <f>INDEX([3]!Table_1[BO ID],MATCH(INVESTORS_LIST[[#This Row],[INVESTOR CODE]],[3]!Table_1[INVESTOR CODE],0))</f>
        <v>#REF!</v>
      </c>
      <c r="AD206" s="201" t="e">
        <f>INDEX([3]!Table_1[Brokerage Name2],MATCH(INVESTORS_LIST[[#This Row],[INVESTOR CODE]],[3]!Table_1[INVESTOR CODE],0))</f>
        <v>#REF!</v>
      </c>
      <c r="AE206" s="201" t="e">
        <f>MID(INVESTORS_LIST[[#This Row],[BO ID]],4,5)</f>
        <v>#REF!</v>
      </c>
      <c r="AF206" s="201" t="e">
        <f>MID(INVESTORS_LIST[[#This Row],[BO ID]],2,7)</f>
        <v>#REF!</v>
      </c>
      <c r="AG206" s="201" t="e">
        <f>MID(INVESTORS_LIST[[#This Row],[BO ID]],9,7)</f>
        <v>#REF!</v>
      </c>
      <c r="AH206" s="201" t="e">
        <f>RIGHT(INVESTORS_LIST[[#This Row],[BO ID]],1)</f>
        <v>#REF!</v>
      </c>
      <c r="AI206" s="50">
        <f>INVESTORS_LIST[[#This Row],[LS_TOTAL COST VALUE OF CURRENT UNITS]]+INVESTORS_LIST[[#This Row],[SIP_TOTAL COST VALUE OF CURRENT UNITS]]</f>
        <v>31503.885656778853</v>
      </c>
      <c r="AJ206" s="109">
        <f>IF(INVESTORS_LIST[[#This Row],[TOTAL CURRENT UNITS]]=0,0,INVESTORS_LIST[[#This Row],[LS_TOTAL CURRENT UNITS]]/INVESTORS_LIST[[#This Row],[TOTAL CURRENT UNITS]])</f>
        <v>0</v>
      </c>
      <c r="AK206" s="109">
        <f>IF(INVESTORS_LIST[[#This Row],[TOTAL CURRENT UNITS]]=0,0,INVESTORS_LIST[[#This Row],[SIP_TOTAL CURRENT UNITS]]/INVESTORS_LIST[[#This Row],[TOTAL CURRENT UNITS]])</f>
        <v>1</v>
      </c>
      <c r="AL206" s="49" cm="1">
        <f t="array" ref="AL2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6" s="49" cm="1">
        <f t="array" ref="AM206">IF(INVESTORS_LIST[[#This Row],[SIP_TOTAL UNITS BUY]]&gt;0,INDEX(SIP[NAV at Cost (Average)],MATCH(CONCATENATE(COUNTIFS(SIP[Investor ID],INVESTORS_LIST[[#This Row],[INVESTOR CODE]]),INVESTORS_LIST[[#This Row],[INVESTOR CODE]]),SIP[Unique Code],0),),0)</f>
        <v>13.148533245734079</v>
      </c>
      <c r="AN206" s="105">
        <f>IF(INVESTORS_LIST[[#This Row],[TOTAL CURRENT UNITS]]=0,0,(INVESTORS_LIST[[#This Row],[LS_WEIGHT]]*INVESTORS_LIST[[#This Row],[LS_AVERAGE COST]])+(INVESTORS_LIST[[#This Row],[SIP_WEIGHT]]*INVESTORS_LIST[[#This Row],[SIP_AVERAGE COST]]))</f>
        <v>13.148533245734079</v>
      </c>
      <c r="AO206" s="105">
        <f t="shared" si="4"/>
        <v>14.224</v>
      </c>
      <c r="AP206" s="112">
        <f>IF(INVESTORS_LIST[[#This Row],[TOTAL CURRENT UNITS]]=0,0,INVESTORS_LIST[[#This Row],[TOTAL CURRENT UNITS]]*INVESTORS_LIST[[#This Row],[NAV]])</f>
        <v>34080.703999999998</v>
      </c>
      <c r="AQ206" s="49">
        <f>IF(INVESTORS_LIST[[#This Row],[LS_TOTAL CURRENT UNITS]]=0,0,INVESTORS_LIST[[#This Row],[LS_TOTAL CURRENT UNITS]]*INVESTORS_LIST[[#This Row],[NAV]])</f>
        <v>0</v>
      </c>
      <c r="AR206" s="48">
        <f>IF(INVESTORS_LIST[[#This Row],[SIP_TOTAL CURRENT UNITS]]=0,0,INVESTORS_LIST[[#This Row],[SIP_TOTAL CURRENT UNITS]]*INVESTORS_LIST[[#This Row],[NAV]])</f>
        <v>34080.703999999998</v>
      </c>
      <c r="AS206" s="50">
        <f>INVESTORS_LIST[[#This Row],[TOTAL CURRENT UNITS]]</f>
        <v>2396</v>
      </c>
      <c r="AT206" s="48">
        <f>IF(INVESTORS_LIST[[#This Row],[TOTAL SELLABLE UNITS]]=0,0,INVESTORS_LIST[[#This Row],[TOTAL SELLABLE UNITS]]*INVESTORS_LIST[[#This Row],[NAV]])</f>
        <v>34080.703999999998</v>
      </c>
      <c r="AU206" s="48">
        <f>INVESTORS_LIST[[#This Row],[LS_TOTAL REALIZED GAIN]]+INVESTORS_LIST[[#This Row],[SIP_TOTAL REALIZED GAIN]]</f>
        <v>26503.885656778839</v>
      </c>
      <c r="AV206" s="48">
        <f>INVESTORS_LIST[[#This Row],[TOTAL MARKET VALUE]]-INVESTORS_LIST[[#This Row],[TOTAL COST VALUE OF CURRENT INVESTMENT]]</f>
        <v>2576.8183432211445</v>
      </c>
      <c r="AW206" s="108">
        <f>IFERROR(INVESTORS_LIST[[#This Row],[TOTAL CURRENT UNITS]]/SUM(INVESTORS_LIST[TOTAL CURRENT UNITS]),0)</f>
        <v>5.816579411906436E-5</v>
      </c>
    </row>
    <row r="207" spans="1:49" hidden="1">
      <c r="A207" s="262" t="s">
        <v>462</v>
      </c>
      <c r="B207" s="97" t="s">
        <v>463</v>
      </c>
      <c r="C207" t="s">
        <v>44</v>
      </c>
      <c r="D207" s="75" t="s">
        <v>45</v>
      </c>
      <c r="E207" s="47">
        <f>SUMIFS(LS[Unit],LS[Investor ID],INVESTORS_LIST[[#This Row],[INVESTOR CODE]],LS[B/S],"B")</f>
        <v>0</v>
      </c>
      <c r="F207" s="47">
        <f>-SUMIFS(LS[Unit],LS[Investor ID],INVESTORS_LIST[[#This Row],[INVESTOR CODE]],LS[B/S],"S")</f>
        <v>0</v>
      </c>
      <c r="G207" s="47">
        <f>IF(INVESTORS_LIST[[#This Row],[LS_TOTAL UNITS BUY]]=0,0,INVESTORS_LIST[[#This Row],[LS_TOTAL UNITS BUY]]-INVESTORS_LIST[[#This Row],[LS_TOTAL UNITS SOLD]])</f>
        <v>0</v>
      </c>
      <c r="H207" s="49">
        <f>IF(INVESTORS_LIST[[#This Row],[LS_TOTAL UNITS BUY]]=0,0,SUMIFS(LS[Amount],LS[Investor ID],INVESTORS_LIST[[#This Row],[INVESTOR CODE]],LS[B/S],"B"))</f>
        <v>0</v>
      </c>
      <c r="I207" s="48">
        <f>IF(INVESTORS_LIST[[#This Row],[LS_TOTAL UNITS SOLD]]=0,0,SUMIFS(LS[Cost of Units Sold],LS[Investor ID],INVESTORS_LIST[[#This Row],[INVESTOR CODE]],LS[B/S],"S"))</f>
        <v>0</v>
      </c>
      <c r="J207" s="48">
        <f>IF(INVESTORS_LIST[[#This Row],[LS_TOTAL CURRENT UNITS]]=0,0,INVESTORS_LIST[[#This Row],[LS_TOTAL CURRENT UNITS]]*INVESTORS_LIST[[#This Row],[LS_AVERAGE COST]])</f>
        <v>0</v>
      </c>
      <c r="K207" s="49">
        <f>IF(INVESTORS_LIST[[#This Row],[LS_TOTAL UNITS SOLD]]=0,0,SUMIFS(LS[Realized Gain],LS[Investor ID],INVESTORS_LIST[[#This Row],[INVESTOR CODE]],LS[B/S],"S"))</f>
        <v>0</v>
      </c>
      <c r="L207" s="47">
        <f>SUMIFS(SIP[Unit],SIP[Investor ID],INVESTORS_LIST[[#This Row],[INVESTOR CODE]],SIP[B/S],"B")</f>
        <v>0</v>
      </c>
      <c r="M207" s="47">
        <f>-SUMIFS(SIP[Unit],SIP[Investor ID],INVESTORS_LIST[[#This Row],[INVESTOR CODE]],SIP[B/S],"S")</f>
        <v>0</v>
      </c>
      <c r="N207" s="50">
        <f>IF(INVESTORS_LIST[[#This Row],[SIP_TOTAL UNITS BUY]]=0,0,INVESTORS_LIST[[#This Row],[SIP_TOTAL UNITS BUY]]-INVESTORS_LIST[[#This Row],[SIP_TOTAL UNITS SOLD]])</f>
        <v>0</v>
      </c>
      <c r="O207" s="49">
        <f>IF(INVESTORS_LIST[[#This Row],[SIP_TOTAL UNITS BUY]]=0,0,SUMIFS(SIP[Amount],SIP[Investor ID],INVESTORS_LIST[[#This Row],[INVESTOR CODE]],SIP[B/S],"B"))</f>
        <v>0</v>
      </c>
      <c r="P207" s="49">
        <f>IF(INVESTORS_LIST[[#This Row],[SIP_TOTAL UNITS SOLD]]=0,0,SUMIFS(SIP[Cost of Units Sold],SIP[Investor ID],INVESTORS_LIST[[#This Row],[INVESTOR CODE]],SIP[B/S],"S"))</f>
        <v>0</v>
      </c>
      <c r="Q207" s="48">
        <f>IF(INVESTORS_LIST[[#This Row],[SIP_TOTAL CURRENT UNITS]]=0,0,INVESTORS_LIST[[#This Row],[SIP_TOTAL CURRENT UNITS]]*INVESTORS_LIST[[#This Row],[SIP_AVERAGE COST]])</f>
        <v>0</v>
      </c>
      <c r="R207" s="48">
        <f>IF(INVESTORS_LIST[[#This Row],[SIP_TOTAL UNITS SOLD]]=0,0,SUMIFS(SIP[Realized Gain],SIP[Investor ID],INVESTORS_LIST[[#This Row],[INVESTOR CODE]],SIP[B/S],"S"))</f>
        <v>0</v>
      </c>
      <c r="S207" s="50">
        <f>INVESTORS_LIST[[#This Row],[LS_TOTAL UNITS BUY]]+INVESTORS_LIST[[#This Row],[SIP_TOTAL UNITS BUY]]</f>
        <v>0</v>
      </c>
      <c r="T207" s="50">
        <f>INVESTORS_LIST[[#This Row],[LS_TOTAL UNITS SOLD]]+INVESTORS_LIST[[#This Row],[SIP_TOTAL UNITS SOLD]]</f>
        <v>0</v>
      </c>
      <c r="U207" s="50"/>
      <c r="V207" s="50">
        <f>SUMIFS(LS[BO UNIT TRANSFER],LS[Investor ID],INVESTORS_LIST[[#This Row],[INVESTOR CODE]],LS[B/S],"B")</f>
        <v>0</v>
      </c>
      <c r="W207" s="50">
        <f>SUMIFS(SIP[BO UNIT TRANSFER],SIP[Investor ID],INVESTORS_LIST[[#This Row],[INVESTOR CODE]],SIP[B/S],"B")</f>
        <v>0</v>
      </c>
      <c r="X207" s="50">
        <f>SUMIFS(LS[BO UNIT TRANSFER],LS[Investor ID],INVESTORS_LIST[[#This Row],[INVESTOR CODE]],LS[B/S],"S")</f>
        <v>0</v>
      </c>
      <c r="Y207" s="50">
        <f>SUMIFS(SIP[BO UNIT TRANSFER],SIP[Investor ID],INVESTORS_LIST[[#This Row],[INVESTOR CODE]],SIP[B/S],"S")</f>
        <v>0</v>
      </c>
      <c r="Z207" s="106">
        <f>SUM(INVESTORS_LIST[[#This Row],[BO OPENING BALANCE]:[BO SIP UNITS REPURCHASE]])</f>
        <v>0</v>
      </c>
      <c r="AA207" s="107">
        <f>INVESTORS_LIST[[#This Row],[TOTAL UNITS BUY]]-INVESTORS_LIST[[#This Row],[TOTAL UNITS SOLD]]</f>
        <v>0</v>
      </c>
      <c r="AB207" s="107">
        <f>INVESTORS_LIST[[#This Row],[TOTAL CURRENT UNITS]]-INVESTORS_LIST[[#This Row],[BO UNITS HOLD]]</f>
        <v>0</v>
      </c>
      <c r="AC207" s="201" t="e">
        <f>INDEX([3]!Table_1[BO ID],MATCH(INVESTORS_LIST[[#This Row],[INVESTOR CODE]],[3]!Table_1[INVESTOR CODE],0))</f>
        <v>#REF!</v>
      </c>
      <c r="AD207" s="201" t="e">
        <f>INDEX([3]!Table_1[Brokerage Name2],MATCH(INVESTORS_LIST[[#This Row],[INVESTOR CODE]],[3]!Table_1[INVESTOR CODE],0))</f>
        <v>#REF!</v>
      </c>
      <c r="AE207" s="201" t="e">
        <f>MID(INVESTORS_LIST[[#This Row],[BO ID]],4,5)</f>
        <v>#REF!</v>
      </c>
      <c r="AF207" s="201" t="e">
        <f>MID(INVESTORS_LIST[[#This Row],[BO ID]],2,7)</f>
        <v>#REF!</v>
      </c>
      <c r="AG207" s="201" t="e">
        <f>MID(INVESTORS_LIST[[#This Row],[BO ID]],9,7)</f>
        <v>#REF!</v>
      </c>
      <c r="AH207" s="201" t="e">
        <f>RIGHT(INVESTORS_LIST[[#This Row],[BO ID]],1)</f>
        <v>#REF!</v>
      </c>
      <c r="AI207" s="50">
        <f>INVESTORS_LIST[[#This Row],[LS_TOTAL COST VALUE OF CURRENT UNITS]]+INVESTORS_LIST[[#This Row],[SIP_TOTAL COST VALUE OF CURRENT UNITS]]</f>
        <v>0</v>
      </c>
      <c r="AJ207" s="109">
        <f>IF(INVESTORS_LIST[[#This Row],[TOTAL CURRENT UNITS]]=0,0,INVESTORS_LIST[[#This Row],[LS_TOTAL CURRENT UNITS]]/INVESTORS_LIST[[#This Row],[TOTAL CURRENT UNITS]])</f>
        <v>0</v>
      </c>
      <c r="AK207" s="109">
        <f>IF(INVESTORS_LIST[[#This Row],[TOTAL CURRENT UNITS]]=0,0,INVESTORS_LIST[[#This Row],[SIP_TOTAL CURRENT UNITS]]/INVESTORS_LIST[[#This Row],[TOTAL CURRENT UNITS]])</f>
        <v>0</v>
      </c>
      <c r="AL207" s="49" cm="1">
        <f t="array" ref="AL2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7" s="49" cm="1">
        <f t="array" ref="AM2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7" s="105">
        <f t="shared" si="4"/>
        <v>14.224</v>
      </c>
      <c r="AP207" s="112">
        <f>IF(INVESTORS_LIST[[#This Row],[TOTAL CURRENT UNITS]]=0,0,INVESTORS_LIST[[#This Row],[TOTAL CURRENT UNITS]]*INVESTORS_LIST[[#This Row],[NAV]])</f>
        <v>0</v>
      </c>
      <c r="AQ207" s="49">
        <f>IF(INVESTORS_LIST[[#This Row],[LS_TOTAL CURRENT UNITS]]=0,0,INVESTORS_LIST[[#This Row],[LS_TOTAL CURRENT UNITS]]*INVESTORS_LIST[[#This Row],[NAV]])</f>
        <v>0</v>
      </c>
      <c r="AR207" s="48">
        <f>IF(INVESTORS_LIST[[#This Row],[SIP_TOTAL CURRENT UNITS]]=0,0,INVESTORS_LIST[[#This Row],[SIP_TOTAL CURRENT UNITS]]*INVESTORS_LIST[[#This Row],[NAV]])</f>
        <v>0</v>
      </c>
      <c r="AS207" s="50">
        <f>INVESTORS_LIST[[#This Row],[TOTAL CURRENT UNITS]]</f>
        <v>0</v>
      </c>
      <c r="AT207" s="48">
        <f>IF(INVESTORS_LIST[[#This Row],[TOTAL SELLABLE UNITS]]=0,0,INVESTORS_LIST[[#This Row],[TOTAL SELLABLE UNITS]]*INVESTORS_LIST[[#This Row],[NAV]])</f>
        <v>0</v>
      </c>
      <c r="AU207" s="48">
        <f>INVESTORS_LIST[[#This Row],[LS_TOTAL REALIZED GAIN]]+INVESTORS_LIST[[#This Row],[SIP_TOTAL REALIZED GAIN]]</f>
        <v>0</v>
      </c>
      <c r="AV207" s="48">
        <f>INVESTORS_LIST[[#This Row],[TOTAL MARKET VALUE]]-INVESTORS_LIST[[#This Row],[TOTAL COST VALUE OF CURRENT INVESTMENT]]</f>
        <v>0</v>
      </c>
      <c r="AW207" s="48">
        <f>IFERROR(INVESTORS_LIST[[#This Row],[TOTAL CURRENT UNITS]]/SUM(INVESTORS_LIST[TOTAL CURRENT UNITS]),0)</f>
        <v>0</v>
      </c>
    </row>
    <row r="208" spans="1:49" hidden="1">
      <c r="A208" s="262" t="s">
        <v>464</v>
      </c>
      <c r="B208" s="97" t="s">
        <v>465</v>
      </c>
      <c r="C208" t="s">
        <v>44</v>
      </c>
      <c r="D208" s="75" t="s">
        <v>45</v>
      </c>
      <c r="E208" s="47">
        <f>SUMIFS(LS[Unit],LS[Investor ID],INVESTORS_LIST[[#This Row],[INVESTOR CODE]],LS[B/S],"B")</f>
        <v>0</v>
      </c>
      <c r="F208" s="47">
        <f>-SUMIFS(LS[Unit],LS[Investor ID],INVESTORS_LIST[[#This Row],[INVESTOR CODE]],LS[B/S],"S")</f>
        <v>0</v>
      </c>
      <c r="G208" s="47">
        <f>IF(INVESTORS_LIST[[#This Row],[LS_TOTAL UNITS BUY]]=0,0,INVESTORS_LIST[[#This Row],[LS_TOTAL UNITS BUY]]-INVESTORS_LIST[[#This Row],[LS_TOTAL UNITS SOLD]])</f>
        <v>0</v>
      </c>
      <c r="H208" s="49">
        <f>IF(INVESTORS_LIST[[#This Row],[LS_TOTAL UNITS BUY]]=0,0,SUMIFS(LS[Amount],LS[Investor ID],INVESTORS_LIST[[#This Row],[INVESTOR CODE]],LS[B/S],"B"))</f>
        <v>0</v>
      </c>
      <c r="I208" s="48">
        <f>IF(INVESTORS_LIST[[#This Row],[LS_TOTAL UNITS SOLD]]=0,0,SUMIFS(LS[Cost of Units Sold],LS[Investor ID],INVESTORS_LIST[[#This Row],[INVESTOR CODE]],LS[B/S],"S"))</f>
        <v>0</v>
      </c>
      <c r="J208" s="48">
        <f>IF(INVESTORS_LIST[[#This Row],[LS_TOTAL CURRENT UNITS]]=0,0,INVESTORS_LIST[[#This Row],[LS_TOTAL CURRENT UNITS]]*INVESTORS_LIST[[#This Row],[LS_AVERAGE COST]])</f>
        <v>0</v>
      </c>
      <c r="K208" s="49">
        <f>IF(INVESTORS_LIST[[#This Row],[LS_TOTAL UNITS SOLD]]=0,0,SUMIFS(LS[Realized Gain],LS[Investor ID],INVESTORS_LIST[[#This Row],[INVESTOR CODE]],LS[B/S],"S"))</f>
        <v>0</v>
      </c>
      <c r="L208" s="47">
        <f>SUMIFS(SIP[Unit],SIP[Investor ID],INVESTORS_LIST[[#This Row],[INVESTOR CODE]],SIP[B/S],"B")</f>
        <v>0</v>
      </c>
      <c r="M208" s="47">
        <f>-SUMIFS(SIP[Unit],SIP[Investor ID],INVESTORS_LIST[[#This Row],[INVESTOR CODE]],SIP[B/S],"S")</f>
        <v>0</v>
      </c>
      <c r="N208" s="50">
        <f>IF(INVESTORS_LIST[[#This Row],[SIP_TOTAL UNITS BUY]]=0,0,INVESTORS_LIST[[#This Row],[SIP_TOTAL UNITS BUY]]-INVESTORS_LIST[[#This Row],[SIP_TOTAL UNITS SOLD]])</f>
        <v>0</v>
      </c>
      <c r="O208" s="49">
        <f>IF(INVESTORS_LIST[[#This Row],[SIP_TOTAL UNITS BUY]]=0,0,SUMIFS(SIP[Amount],SIP[Investor ID],INVESTORS_LIST[[#This Row],[INVESTOR CODE]],SIP[B/S],"B"))</f>
        <v>0</v>
      </c>
      <c r="P208" s="49">
        <f>IF(INVESTORS_LIST[[#This Row],[SIP_TOTAL UNITS SOLD]]=0,0,SUMIFS(SIP[Cost of Units Sold],SIP[Investor ID],INVESTORS_LIST[[#This Row],[INVESTOR CODE]],SIP[B/S],"S"))</f>
        <v>0</v>
      </c>
      <c r="Q208" s="48">
        <f>IF(INVESTORS_LIST[[#This Row],[SIP_TOTAL CURRENT UNITS]]=0,0,INVESTORS_LIST[[#This Row],[SIP_TOTAL CURRENT UNITS]]*INVESTORS_LIST[[#This Row],[SIP_AVERAGE COST]])</f>
        <v>0</v>
      </c>
      <c r="R208" s="48">
        <f>IF(INVESTORS_LIST[[#This Row],[SIP_TOTAL UNITS SOLD]]=0,0,SUMIFS(SIP[Realized Gain],SIP[Investor ID],INVESTORS_LIST[[#This Row],[INVESTOR CODE]],SIP[B/S],"S"))</f>
        <v>0</v>
      </c>
      <c r="S208" s="50">
        <f>INVESTORS_LIST[[#This Row],[LS_TOTAL UNITS BUY]]+INVESTORS_LIST[[#This Row],[SIP_TOTAL UNITS BUY]]</f>
        <v>0</v>
      </c>
      <c r="T208" s="50">
        <f>INVESTORS_LIST[[#This Row],[LS_TOTAL UNITS SOLD]]+INVESTORS_LIST[[#This Row],[SIP_TOTAL UNITS SOLD]]</f>
        <v>0</v>
      </c>
      <c r="U208" s="50"/>
      <c r="V208" s="50">
        <f>SUMIFS(LS[BO UNIT TRANSFER],LS[Investor ID],INVESTORS_LIST[[#This Row],[INVESTOR CODE]],LS[B/S],"B")</f>
        <v>0</v>
      </c>
      <c r="W208" s="50">
        <f>SUMIFS(SIP[BO UNIT TRANSFER],SIP[Investor ID],INVESTORS_LIST[[#This Row],[INVESTOR CODE]],SIP[B/S],"B")</f>
        <v>0</v>
      </c>
      <c r="X208" s="50">
        <f>SUMIFS(LS[BO UNIT TRANSFER],LS[Investor ID],INVESTORS_LIST[[#This Row],[INVESTOR CODE]],LS[B/S],"S")</f>
        <v>0</v>
      </c>
      <c r="Y208" s="50">
        <f>SUMIFS(SIP[BO UNIT TRANSFER],SIP[Investor ID],INVESTORS_LIST[[#This Row],[INVESTOR CODE]],SIP[B/S],"S")</f>
        <v>0</v>
      </c>
      <c r="Z208" s="106">
        <f>SUM(INVESTORS_LIST[[#This Row],[BO OPENING BALANCE]:[BO SIP UNITS REPURCHASE]])</f>
        <v>0</v>
      </c>
      <c r="AA208" s="107">
        <f>INVESTORS_LIST[[#This Row],[TOTAL UNITS BUY]]-INVESTORS_LIST[[#This Row],[TOTAL UNITS SOLD]]</f>
        <v>0</v>
      </c>
      <c r="AB208" s="107">
        <f>INVESTORS_LIST[[#This Row],[TOTAL CURRENT UNITS]]-INVESTORS_LIST[[#This Row],[BO UNITS HOLD]]</f>
        <v>0</v>
      </c>
      <c r="AC208" s="201" t="e">
        <f>INDEX([3]!Table_1[BO ID],MATCH(INVESTORS_LIST[[#This Row],[INVESTOR CODE]],[3]!Table_1[INVESTOR CODE],0))</f>
        <v>#REF!</v>
      </c>
      <c r="AD208" s="201" t="e">
        <f>INDEX([3]!Table_1[Brokerage Name2],MATCH(INVESTORS_LIST[[#This Row],[INVESTOR CODE]],[3]!Table_1[INVESTOR CODE],0))</f>
        <v>#REF!</v>
      </c>
      <c r="AE208" s="201" t="e">
        <f>MID(INVESTORS_LIST[[#This Row],[BO ID]],4,5)</f>
        <v>#REF!</v>
      </c>
      <c r="AF208" s="201" t="e">
        <f>MID(INVESTORS_LIST[[#This Row],[BO ID]],2,7)</f>
        <v>#REF!</v>
      </c>
      <c r="AG208" s="201" t="e">
        <f>MID(INVESTORS_LIST[[#This Row],[BO ID]],9,7)</f>
        <v>#REF!</v>
      </c>
      <c r="AH208" s="201" t="e">
        <f>RIGHT(INVESTORS_LIST[[#This Row],[BO ID]],1)</f>
        <v>#REF!</v>
      </c>
      <c r="AI208" s="50">
        <f>INVESTORS_LIST[[#This Row],[LS_TOTAL COST VALUE OF CURRENT UNITS]]+INVESTORS_LIST[[#This Row],[SIP_TOTAL COST VALUE OF CURRENT UNITS]]</f>
        <v>0</v>
      </c>
      <c r="AJ208" s="109">
        <f>IF(INVESTORS_LIST[[#This Row],[TOTAL CURRENT UNITS]]=0,0,INVESTORS_LIST[[#This Row],[LS_TOTAL CURRENT UNITS]]/INVESTORS_LIST[[#This Row],[TOTAL CURRENT UNITS]])</f>
        <v>0</v>
      </c>
      <c r="AK208" s="109">
        <f>IF(INVESTORS_LIST[[#This Row],[TOTAL CURRENT UNITS]]=0,0,INVESTORS_LIST[[#This Row],[SIP_TOTAL CURRENT UNITS]]/INVESTORS_LIST[[#This Row],[TOTAL CURRENT UNITS]])</f>
        <v>0</v>
      </c>
      <c r="AL208" s="49" cm="1">
        <f t="array" ref="AL2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8" s="49" cm="1">
        <f t="array" ref="AM2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8" s="105">
        <f t="shared" si="4"/>
        <v>14.224</v>
      </c>
      <c r="AP208" s="112">
        <f>IF(INVESTORS_LIST[[#This Row],[TOTAL CURRENT UNITS]]=0,0,INVESTORS_LIST[[#This Row],[TOTAL CURRENT UNITS]]*INVESTORS_LIST[[#This Row],[NAV]])</f>
        <v>0</v>
      </c>
      <c r="AQ208" s="49">
        <f>IF(INVESTORS_LIST[[#This Row],[LS_TOTAL CURRENT UNITS]]=0,0,INVESTORS_LIST[[#This Row],[LS_TOTAL CURRENT UNITS]]*INVESTORS_LIST[[#This Row],[NAV]])</f>
        <v>0</v>
      </c>
      <c r="AR208" s="48">
        <f>IF(INVESTORS_LIST[[#This Row],[SIP_TOTAL CURRENT UNITS]]=0,0,INVESTORS_LIST[[#This Row],[SIP_TOTAL CURRENT UNITS]]*INVESTORS_LIST[[#This Row],[NAV]])</f>
        <v>0</v>
      </c>
      <c r="AS208" s="50">
        <f>INVESTORS_LIST[[#This Row],[TOTAL CURRENT UNITS]]</f>
        <v>0</v>
      </c>
      <c r="AT208" s="48">
        <f>IF(INVESTORS_LIST[[#This Row],[TOTAL SELLABLE UNITS]]=0,0,INVESTORS_LIST[[#This Row],[TOTAL SELLABLE UNITS]]*INVESTORS_LIST[[#This Row],[NAV]])</f>
        <v>0</v>
      </c>
      <c r="AU208" s="48">
        <f>INVESTORS_LIST[[#This Row],[LS_TOTAL REALIZED GAIN]]+INVESTORS_LIST[[#This Row],[SIP_TOTAL REALIZED GAIN]]</f>
        <v>0</v>
      </c>
      <c r="AV208" s="48">
        <f>INVESTORS_LIST[[#This Row],[TOTAL MARKET VALUE]]-INVESTORS_LIST[[#This Row],[TOTAL COST VALUE OF CURRENT INVESTMENT]]</f>
        <v>0</v>
      </c>
      <c r="AW208" s="48">
        <f>IFERROR(INVESTORS_LIST[[#This Row],[TOTAL CURRENT UNITS]]/SUM(INVESTORS_LIST[TOTAL CURRENT UNITS]),0)</f>
        <v>0</v>
      </c>
    </row>
    <row r="209" spans="1:49" hidden="1">
      <c r="A209" s="262" t="s">
        <v>466</v>
      </c>
      <c r="B209" s="97" t="s">
        <v>467</v>
      </c>
      <c r="C209" t="s">
        <v>44</v>
      </c>
      <c r="D209" s="75" t="s">
        <v>45</v>
      </c>
      <c r="E209" s="47">
        <f>SUMIFS(LS[Unit],LS[Investor ID],INVESTORS_LIST[[#This Row],[INVESTOR CODE]],LS[B/S],"B")</f>
        <v>0</v>
      </c>
      <c r="F209" s="47">
        <f>-SUMIFS(LS[Unit],LS[Investor ID],INVESTORS_LIST[[#This Row],[INVESTOR CODE]],LS[B/S],"S")</f>
        <v>0</v>
      </c>
      <c r="G209" s="47">
        <f>IF(INVESTORS_LIST[[#This Row],[LS_TOTAL UNITS BUY]]=0,0,INVESTORS_LIST[[#This Row],[LS_TOTAL UNITS BUY]]-INVESTORS_LIST[[#This Row],[LS_TOTAL UNITS SOLD]])</f>
        <v>0</v>
      </c>
      <c r="H209" s="49">
        <f>IF(INVESTORS_LIST[[#This Row],[LS_TOTAL UNITS BUY]]=0,0,SUMIFS(LS[Amount],LS[Investor ID],INVESTORS_LIST[[#This Row],[INVESTOR CODE]],LS[B/S],"B"))</f>
        <v>0</v>
      </c>
      <c r="I209" s="48">
        <f>IF(INVESTORS_LIST[[#This Row],[LS_TOTAL UNITS SOLD]]=0,0,SUMIFS(LS[Cost of Units Sold],LS[Investor ID],INVESTORS_LIST[[#This Row],[INVESTOR CODE]],LS[B/S],"S"))</f>
        <v>0</v>
      </c>
      <c r="J209" s="48">
        <f>IF(INVESTORS_LIST[[#This Row],[LS_TOTAL CURRENT UNITS]]=0,0,INVESTORS_LIST[[#This Row],[LS_TOTAL CURRENT UNITS]]*INVESTORS_LIST[[#This Row],[LS_AVERAGE COST]])</f>
        <v>0</v>
      </c>
      <c r="K209" s="49">
        <f>IF(INVESTORS_LIST[[#This Row],[LS_TOTAL UNITS SOLD]]=0,0,SUMIFS(LS[Realized Gain],LS[Investor ID],INVESTORS_LIST[[#This Row],[INVESTOR CODE]],LS[B/S],"S"))</f>
        <v>0</v>
      </c>
      <c r="L209" s="47">
        <f>SUMIFS(SIP[Unit],SIP[Investor ID],INVESTORS_LIST[[#This Row],[INVESTOR CODE]],SIP[B/S],"B")</f>
        <v>0</v>
      </c>
      <c r="M209" s="47">
        <f>-SUMIFS(SIP[Unit],SIP[Investor ID],INVESTORS_LIST[[#This Row],[INVESTOR CODE]],SIP[B/S],"S")</f>
        <v>0</v>
      </c>
      <c r="N209" s="50">
        <f>IF(INVESTORS_LIST[[#This Row],[SIP_TOTAL UNITS BUY]]=0,0,INVESTORS_LIST[[#This Row],[SIP_TOTAL UNITS BUY]]-INVESTORS_LIST[[#This Row],[SIP_TOTAL UNITS SOLD]])</f>
        <v>0</v>
      </c>
      <c r="O209" s="49">
        <f>IF(INVESTORS_LIST[[#This Row],[SIP_TOTAL UNITS BUY]]=0,0,SUMIFS(SIP[Amount],SIP[Investor ID],INVESTORS_LIST[[#This Row],[INVESTOR CODE]],SIP[B/S],"B"))</f>
        <v>0</v>
      </c>
      <c r="P209" s="49">
        <f>IF(INVESTORS_LIST[[#This Row],[SIP_TOTAL UNITS SOLD]]=0,0,SUMIFS(SIP[Cost of Units Sold],SIP[Investor ID],INVESTORS_LIST[[#This Row],[INVESTOR CODE]],SIP[B/S],"S"))</f>
        <v>0</v>
      </c>
      <c r="Q209" s="48">
        <f>IF(INVESTORS_LIST[[#This Row],[SIP_TOTAL CURRENT UNITS]]=0,0,INVESTORS_LIST[[#This Row],[SIP_TOTAL CURRENT UNITS]]*INVESTORS_LIST[[#This Row],[SIP_AVERAGE COST]])</f>
        <v>0</v>
      </c>
      <c r="R209" s="48">
        <f>IF(INVESTORS_LIST[[#This Row],[SIP_TOTAL UNITS SOLD]]=0,0,SUMIFS(SIP[Realized Gain],SIP[Investor ID],INVESTORS_LIST[[#This Row],[INVESTOR CODE]],SIP[B/S],"S"))</f>
        <v>0</v>
      </c>
      <c r="S209" s="50">
        <f>INVESTORS_LIST[[#This Row],[LS_TOTAL UNITS BUY]]+INVESTORS_LIST[[#This Row],[SIP_TOTAL UNITS BUY]]</f>
        <v>0</v>
      </c>
      <c r="T209" s="50">
        <f>INVESTORS_LIST[[#This Row],[LS_TOTAL UNITS SOLD]]+INVESTORS_LIST[[#This Row],[SIP_TOTAL UNITS SOLD]]</f>
        <v>0</v>
      </c>
      <c r="U209" s="50"/>
      <c r="V209" s="50">
        <f>SUMIFS(LS[BO UNIT TRANSFER],LS[Investor ID],INVESTORS_LIST[[#This Row],[INVESTOR CODE]],LS[B/S],"B")</f>
        <v>0</v>
      </c>
      <c r="W209" s="50">
        <f>SUMIFS(SIP[BO UNIT TRANSFER],SIP[Investor ID],INVESTORS_LIST[[#This Row],[INVESTOR CODE]],SIP[B/S],"B")</f>
        <v>0</v>
      </c>
      <c r="X209" s="50">
        <f>SUMIFS(LS[BO UNIT TRANSFER],LS[Investor ID],INVESTORS_LIST[[#This Row],[INVESTOR CODE]],LS[B/S],"S")</f>
        <v>0</v>
      </c>
      <c r="Y209" s="50">
        <f>SUMIFS(SIP[BO UNIT TRANSFER],SIP[Investor ID],INVESTORS_LIST[[#This Row],[INVESTOR CODE]],SIP[B/S],"S")</f>
        <v>0</v>
      </c>
      <c r="Z209" s="106">
        <f>SUM(INVESTORS_LIST[[#This Row],[BO OPENING BALANCE]:[BO SIP UNITS REPURCHASE]])</f>
        <v>0</v>
      </c>
      <c r="AA209" s="107">
        <f>INVESTORS_LIST[[#This Row],[TOTAL UNITS BUY]]-INVESTORS_LIST[[#This Row],[TOTAL UNITS SOLD]]</f>
        <v>0</v>
      </c>
      <c r="AB209" s="107">
        <f>INVESTORS_LIST[[#This Row],[TOTAL CURRENT UNITS]]-INVESTORS_LIST[[#This Row],[BO UNITS HOLD]]</f>
        <v>0</v>
      </c>
      <c r="AC209" s="201" t="e">
        <f>INDEX([3]!Table_1[BO ID],MATCH(INVESTORS_LIST[[#This Row],[INVESTOR CODE]],[3]!Table_1[INVESTOR CODE],0))</f>
        <v>#REF!</v>
      </c>
      <c r="AD209" s="201" t="e">
        <f>INDEX([3]!Table_1[Brokerage Name2],MATCH(INVESTORS_LIST[[#This Row],[INVESTOR CODE]],[3]!Table_1[INVESTOR CODE],0))</f>
        <v>#REF!</v>
      </c>
      <c r="AE209" s="201" t="e">
        <f>MID(INVESTORS_LIST[[#This Row],[BO ID]],4,5)</f>
        <v>#REF!</v>
      </c>
      <c r="AF209" s="201" t="e">
        <f>MID(INVESTORS_LIST[[#This Row],[BO ID]],2,7)</f>
        <v>#REF!</v>
      </c>
      <c r="AG209" s="201" t="e">
        <f>MID(INVESTORS_LIST[[#This Row],[BO ID]],9,7)</f>
        <v>#REF!</v>
      </c>
      <c r="AH209" s="201" t="e">
        <f>RIGHT(INVESTORS_LIST[[#This Row],[BO ID]],1)</f>
        <v>#REF!</v>
      </c>
      <c r="AI209" s="50">
        <f>INVESTORS_LIST[[#This Row],[LS_TOTAL COST VALUE OF CURRENT UNITS]]+INVESTORS_LIST[[#This Row],[SIP_TOTAL COST VALUE OF CURRENT UNITS]]</f>
        <v>0</v>
      </c>
      <c r="AJ209" s="109">
        <f>IF(INVESTORS_LIST[[#This Row],[TOTAL CURRENT UNITS]]=0,0,INVESTORS_LIST[[#This Row],[LS_TOTAL CURRENT UNITS]]/INVESTORS_LIST[[#This Row],[TOTAL CURRENT UNITS]])</f>
        <v>0</v>
      </c>
      <c r="AK209" s="109">
        <f>IF(INVESTORS_LIST[[#This Row],[TOTAL CURRENT UNITS]]=0,0,INVESTORS_LIST[[#This Row],[SIP_TOTAL CURRENT UNITS]]/INVESTORS_LIST[[#This Row],[TOTAL CURRENT UNITS]])</f>
        <v>0</v>
      </c>
      <c r="AL209" s="49" cm="1">
        <f t="array" ref="AL2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09" s="49" cm="1">
        <f t="array" ref="AM2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0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09" s="105">
        <f t="shared" si="4"/>
        <v>14.224</v>
      </c>
      <c r="AP209" s="112">
        <f>IF(INVESTORS_LIST[[#This Row],[TOTAL CURRENT UNITS]]=0,0,INVESTORS_LIST[[#This Row],[TOTAL CURRENT UNITS]]*INVESTORS_LIST[[#This Row],[NAV]])</f>
        <v>0</v>
      </c>
      <c r="AQ209" s="49">
        <f>IF(INVESTORS_LIST[[#This Row],[LS_TOTAL CURRENT UNITS]]=0,0,INVESTORS_LIST[[#This Row],[LS_TOTAL CURRENT UNITS]]*INVESTORS_LIST[[#This Row],[NAV]])</f>
        <v>0</v>
      </c>
      <c r="AR209" s="48">
        <f>IF(INVESTORS_LIST[[#This Row],[SIP_TOTAL CURRENT UNITS]]=0,0,INVESTORS_LIST[[#This Row],[SIP_TOTAL CURRENT UNITS]]*INVESTORS_LIST[[#This Row],[NAV]])</f>
        <v>0</v>
      </c>
      <c r="AS209" s="50">
        <f>INVESTORS_LIST[[#This Row],[TOTAL CURRENT UNITS]]</f>
        <v>0</v>
      </c>
      <c r="AT209" s="48">
        <f>IF(INVESTORS_LIST[[#This Row],[TOTAL SELLABLE UNITS]]=0,0,INVESTORS_LIST[[#This Row],[TOTAL SELLABLE UNITS]]*INVESTORS_LIST[[#This Row],[NAV]])</f>
        <v>0</v>
      </c>
      <c r="AU209" s="48">
        <f>INVESTORS_LIST[[#This Row],[LS_TOTAL REALIZED GAIN]]+INVESTORS_LIST[[#This Row],[SIP_TOTAL REALIZED GAIN]]</f>
        <v>0</v>
      </c>
      <c r="AV209" s="48">
        <f>INVESTORS_LIST[[#This Row],[TOTAL MARKET VALUE]]-INVESTORS_LIST[[#This Row],[TOTAL COST VALUE OF CURRENT INVESTMENT]]</f>
        <v>0</v>
      </c>
      <c r="AW209" s="48">
        <f>IFERROR(INVESTORS_LIST[[#This Row],[TOTAL CURRENT UNITS]]/SUM(INVESTORS_LIST[TOTAL CURRENT UNITS]),0)</f>
        <v>0</v>
      </c>
    </row>
    <row r="210" spans="1:49" hidden="1">
      <c r="A210" s="262" t="s">
        <v>468</v>
      </c>
      <c r="B210" s="97" t="s">
        <v>469</v>
      </c>
      <c r="C210" t="s">
        <v>48</v>
      </c>
      <c r="D210" s="75" t="s">
        <v>45</v>
      </c>
      <c r="E210" s="47">
        <f>SUMIFS(LS[Unit],LS[Investor ID],INVESTORS_LIST[[#This Row],[INVESTOR CODE]],LS[B/S],"B")</f>
        <v>0</v>
      </c>
      <c r="F210" s="47">
        <f>-SUMIFS(LS[Unit],LS[Investor ID],INVESTORS_LIST[[#This Row],[INVESTOR CODE]],LS[B/S],"S")</f>
        <v>0</v>
      </c>
      <c r="G210" s="47">
        <f>IF(INVESTORS_LIST[[#This Row],[LS_TOTAL UNITS BUY]]=0,0,INVESTORS_LIST[[#This Row],[LS_TOTAL UNITS BUY]]-INVESTORS_LIST[[#This Row],[LS_TOTAL UNITS SOLD]])</f>
        <v>0</v>
      </c>
      <c r="H210" s="49">
        <f>IF(INVESTORS_LIST[[#This Row],[LS_TOTAL UNITS BUY]]=0,0,SUMIFS(LS[Amount],LS[Investor ID],INVESTORS_LIST[[#This Row],[INVESTOR CODE]],LS[B/S],"B"))</f>
        <v>0</v>
      </c>
      <c r="I210" s="48">
        <f>IF(INVESTORS_LIST[[#This Row],[LS_TOTAL UNITS SOLD]]=0,0,SUMIFS(LS[Cost of Units Sold],LS[Investor ID],INVESTORS_LIST[[#This Row],[INVESTOR CODE]],LS[B/S],"S"))</f>
        <v>0</v>
      </c>
      <c r="J210" s="48">
        <f>IF(INVESTORS_LIST[[#This Row],[LS_TOTAL CURRENT UNITS]]=0,0,INVESTORS_LIST[[#This Row],[LS_TOTAL CURRENT UNITS]]*INVESTORS_LIST[[#This Row],[LS_AVERAGE COST]])</f>
        <v>0</v>
      </c>
      <c r="K210" s="49">
        <f>IF(INVESTORS_LIST[[#This Row],[LS_TOTAL UNITS SOLD]]=0,0,SUMIFS(LS[Realized Gain],LS[Investor ID],INVESTORS_LIST[[#This Row],[INVESTOR CODE]],LS[B/S],"S"))</f>
        <v>0</v>
      </c>
      <c r="L210" s="47">
        <f>SUMIFS(SIP[Unit],SIP[Investor ID],INVESTORS_LIST[[#This Row],[INVESTOR CODE]],SIP[B/S],"B")</f>
        <v>0</v>
      </c>
      <c r="M210" s="47">
        <f>-SUMIFS(SIP[Unit],SIP[Investor ID],INVESTORS_LIST[[#This Row],[INVESTOR CODE]],SIP[B/S],"S")</f>
        <v>0</v>
      </c>
      <c r="N210" s="50">
        <f>IF(INVESTORS_LIST[[#This Row],[SIP_TOTAL UNITS BUY]]=0,0,INVESTORS_LIST[[#This Row],[SIP_TOTAL UNITS BUY]]-INVESTORS_LIST[[#This Row],[SIP_TOTAL UNITS SOLD]])</f>
        <v>0</v>
      </c>
      <c r="O210" s="49">
        <f>IF(INVESTORS_LIST[[#This Row],[SIP_TOTAL UNITS BUY]]=0,0,SUMIFS(SIP[Amount],SIP[Investor ID],INVESTORS_LIST[[#This Row],[INVESTOR CODE]],SIP[B/S],"B"))</f>
        <v>0</v>
      </c>
      <c r="P210" s="49">
        <f>IF(INVESTORS_LIST[[#This Row],[SIP_TOTAL UNITS SOLD]]=0,0,SUMIFS(SIP[Cost of Units Sold],SIP[Investor ID],INVESTORS_LIST[[#This Row],[INVESTOR CODE]],SIP[B/S],"S"))</f>
        <v>0</v>
      </c>
      <c r="Q210" s="48">
        <f>IF(INVESTORS_LIST[[#This Row],[SIP_TOTAL CURRENT UNITS]]=0,0,INVESTORS_LIST[[#This Row],[SIP_TOTAL CURRENT UNITS]]*INVESTORS_LIST[[#This Row],[SIP_AVERAGE COST]])</f>
        <v>0</v>
      </c>
      <c r="R210" s="48">
        <f>IF(INVESTORS_LIST[[#This Row],[SIP_TOTAL UNITS SOLD]]=0,0,SUMIFS(SIP[Realized Gain],SIP[Investor ID],INVESTORS_LIST[[#This Row],[INVESTOR CODE]],SIP[B/S],"S"))</f>
        <v>0</v>
      </c>
      <c r="S210" s="50">
        <f>INVESTORS_LIST[[#This Row],[LS_TOTAL UNITS BUY]]+INVESTORS_LIST[[#This Row],[SIP_TOTAL UNITS BUY]]</f>
        <v>0</v>
      </c>
      <c r="T210" s="50">
        <f>INVESTORS_LIST[[#This Row],[LS_TOTAL UNITS SOLD]]+INVESTORS_LIST[[#This Row],[SIP_TOTAL UNITS SOLD]]</f>
        <v>0</v>
      </c>
      <c r="U210" s="50"/>
      <c r="V210" s="50">
        <f>SUMIFS(LS[BO UNIT TRANSFER],LS[Investor ID],INVESTORS_LIST[[#This Row],[INVESTOR CODE]],LS[B/S],"B")</f>
        <v>0</v>
      </c>
      <c r="W210" s="50">
        <f>SUMIFS(SIP[BO UNIT TRANSFER],SIP[Investor ID],INVESTORS_LIST[[#This Row],[INVESTOR CODE]],SIP[B/S],"B")</f>
        <v>0</v>
      </c>
      <c r="X210" s="50">
        <f>SUMIFS(LS[BO UNIT TRANSFER],LS[Investor ID],INVESTORS_LIST[[#This Row],[INVESTOR CODE]],LS[B/S],"S")</f>
        <v>0</v>
      </c>
      <c r="Y210" s="50">
        <f>SUMIFS(SIP[BO UNIT TRANSFER],SIP[Investor ID],INVESTORS_LIST[[#This Row],[INVESTOR CODE]],SIP[B/S],"S")</f>
        <v>0</v>
      </c>
      <c r="Z210" s="106">
        <f>SUM(INVESTORS_LIST[[#This Row],[BO OPENING BALANCE]:[BO SIP UNITS REPURCHASE]])</f>
        <v>0</v>
      </c>
      <c r="AA210" s="107">
        <f>INVESTORS_LIST[[#This Row],[TOTAL UNITS BUY]]-INVESTORS_LIST[[#This Row],[TOTAL UNITS SOLD]]</f>
        <v>0</v>
      </c>
      <c r="AB210" s="107">
        <f>INVESTORS_LIST[[#This Row],[TOTAL CURRENT UNITS]]-INVESTORS_LIST[[#This Row],[BO UNITS HOLD]]</f>
        <v>0</v>
      </c>
      <c r="AC210" s="201" t="e">
        <f>INDEX([3]!Table_1[BO ID],MATCH(INVESTORS_LIST[[#This Row],[INVESTOR CODE]],[3]!Table_1[INVESTOR CODE],0))</f>
        <v>#REF!</v>
      </c>
      <c r="AD210" s="201" t="e">
        <f>INDEX([3]!Table_1[Brokerage Name2],MATCH(INVESTORS_LIST[[#This Row],[INVESTOR CODE]],[3]!Table_1[INVESTOR CODE],0))</f>
        <v>#REF!</v>
      </c>
      <c r="AE210" s="201" t="e">
        <f>MID(INVESTORS_LIST[[#This Row],[BO ID]],4,5)</f>
        <v>#REF!</v>
      </c>
      <c r="AF210" s="201" t="e">
        <f>MID(INVESTORS_LIST[[#This Row],[BO ID]],2,7)</f>
        <v>#REF!</v>
      </c>
      <c r="AG210" s="201" t="e">
        <f>MID(INVESTORS_LIST[[#This Row],[BO ID]],9,7)</f>
        <v>#REF!</v>
      </c>
      <c r="AH210" s="201" t="e">
        <f>RIGHT(INVESTORS_LIST[[#This Row],[BO ID]],1)</f>
        <v>#REF!</v>
      </c>
      <c r="AI210" s="50">
        <f>INVESTORS_LIST[[#This Row],[LS_TOTAL COST VALUE OF CURRENT UNITS]]+INVESTORS_LIST[[#This Row],[SIP_TOTAL COST VALUE OF CURRENT UNITS]]</f>
        <v>0</v>
      </c>
      <c r="AJ210" s="109">
        <f>IF(INVESTORS_LIST[[#This Row],[TOTAL CURRENT UNITS]]=0,0,INVESTORS_LIST[[#This Row],[LS_TOTAL CURRENT UNITS]]/INVESTORS_LIST[[#This Row],[TOTAL CURRENT UNITS]])</f>
        <v>0</v>
      </c>
      <c r="AK210" s="109">
        <f>IF(INVESTORS_LIST[[#This Row],[TOTAL CURRENT UNITS]]=0,0,INVESTORS_LIST[[#This Row],[SIP_TOTAL CURRENT UNITS]]/INVESTORS_LIST[[#This Row],[TOTAL CURRENT UNITS]])</f>
        <v>0</v>
      </c>
      <c r="AL210" s="49" cm="1">
        <f t="array" ref="AL2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0" s="49" cm="1">
        <f t="array" ref="AM2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0" s="105">
        <f t="shared" si="4"/>
        <v>14.224</v>
      </c>
      <c r="AP210" s="112">
        <f>IF(INVESTORS_LIST[[#This Row],[TOTAL CURRENT UNITS]]=0,0,INVESTORS_LIST[[#This Row],[TOTAL CURRENT UNITS]]*INVESTORS_LIST[[#This Row],[NAV]])</f>
        <v>0</v>
      </c>
      <c r="AQ210" s="49">
        <f>IF(INVESTORS_LIST[[#This Row],[LS_TOTAL CURRENT UNITS]]=0,0,INVESTORS_LIST[[#This Row],[LS_TOTAL CURRENT UNITS]]*INVESTORS_LIST[[#This Row],[NAV]])</f>
        <v>0</v>
      </c>
      <c r="AR210" s="48">
        <f>IF(INVESTORS_LIST[[#This Row],[SIP_TOTAL CURRENT UNITS]]=0,0,INVESTORS_LIST[[#This Row],[SIP_TOTAL CURRENT UNITS]]*INVESTORS_LIST[[#This Row],[NAV]])</f>
        <v>0</v>
      </c>
      <c r="AS210" s="50">
        <f>INVESTORS_LIST[[#This Row],[TOTAL CURRENT UNITS]]</f>
        <v>0</v>
      </c>
      <c r="AT210" s="48">
        <f>IF(INVESTORS_LIST[[#This Row],[TOTAL SELLABLE UNITS]]=0,0,INVESTORS_LIST[[#This Row],[TOTAL SELLABLE UNITS]]*INVESTORS_LIST[[#This Row],[NAV]])</f>
        <v>0</v>
      </c>
      <c r="AU210" s="48">
        <f>INVESTORS_LIST[[#This Row],[LS_TOTAL REALIZED GAIN]]+INVESTORS_LIST[[#This Row],[SIP_TOTAL REALIZED GAIN]]</f>
        <v>0</v>
      </c>
      <c r="AV210" s="48">
        <f>INVESTORS_LIST[[#This Row],[TOTAL MARKET VALUE]]-INVESTORS_LIST[[#This Row],[TOTAL COST VALUE OF CURRENT INVESTMENT]]</f>
        <v>0</v>
      </c>
      <c r="AW210" s="48">
        <f>IFERROR(INVESTORS_LIST[[#This Row],[TOTAL CURRENT UNITS]]/SUM(INVESTORS_LIST[TOTAL CURRENT UNITS]),0)</f>
        <v>0</v>
      </c>
    </row>
    <row r="211" spans="1:49" hidden="1">
      <c r="A211" s="262" t="s">
        <v>470</v>
      </c>
      <c r="B211" s="97" t="s">
        <v>471</v>
      </c>
      <c r="C211" t="s">
        <v>44</v>
      </c>
      <c r="D211" s="75" t="s">
        <v>45</v>
      </c>
      <c r="E211" s="47">
        <f>SUMIFS(LS[Unit],LS[Investor ID],INVESTORS_LIST[[#This Row],[INVESTOR CODE]],LS[B/S],"B")</f>
        <v>0</v>
      </c>
      <c r="F211" s="47">
        <f>-SUMIFS(LS[Unit],LS[Investor ID],INVESTORS_LIST[[#This Row],[INVESTOR CODE]],LS[B/S],"S")</f>
        <v>0</v>
      </c>
      <c r="G211" s="47">
        <f>IF(INVESTORS_LIST[[#This Row],[LS_TOTAL UNITS BUY]]=0,0,INVESTORS_LIST[[#This Row],[LS_TOTAL UNITS BUY]]-INVESTORS_LIST[[#This Row],[LS_TOTAL UNITS SOLD]])</f>
        <v>0</v>
      </c>
      <c r="H211" s="49">
        <f>IF(INVESTORS_LIST[[#This Row],[LS_TOTAL UNITS BUY]]=0,0,SUMIFS(LS[Amount],LS[Investor ID],INVESTORS_LIST[[#This Row],[INVESTOR CODE]],LS[B/S],"B"))</f>
        <v>0</v>
      </c>
      <c r="I211" s="48">
        <f>IF(INVESTORS_LIST[[#This Row],[LS_TOTAL UNITS SOLD]]=0,0,SUMIFS(LS[Cost of Units Sold],LS[Investor ID],INVESTORS_LIST[[#This Row],[INVESTOR CODE]],LS[B/S],"S"))</f>
        <v>0</v>
      </c>
      <c r="J211" s="48">
        <f>IF(INVESTORS_LIST[[#This Row],[LS_TOTAL CURRENT UNITS]]=0,0,INVESTORS_LIST[[#This Row],[LS_TOTAL CURRENT UNITS]]*INVESTORS_LIST[[#This Row],[LS_AVERAGE COST]])</f>
        <v>0</v>
      </c>
      <c r="K211" s="49">
        <f>IF(INVESTORS_LIST[[#This Row],[LS_TOTAL UNITS SOLD]]=0,0,SUMIFS(LS[Realized Gain],LS[Investor ID],INVESTORS_LIST[[#This Row],[INVESTOR CODE]],LS[B/S],"S"))</f>
        <v>0</v>
      </c>
      <c r="L211" s="47">
        <f>SUMIFS(SIP[Unit],SIP[Investor ID],INVESTORS_LIST[[#This Row],[INVESTOR CODE]],SIP[B/S],"B")</f>
        <v>0</v>
      </c>
      <c r="M211" s="47">
        <f>-SUMIFS(SIP[Unit],SIP[Investor ID],INVESTORS_LIST[[#This Row],[INVESTOR CODE]],SIP[B/S],"S")</f>
        <v>0</v>
      </c>
      <c r="N211" s="50">
        <f>IF(INVESTORS_LIST[[#This Row],[SIP_TOTAL UNITS BUY]]=0,0,INVESTORS_LIST[[#This Row],[SIP_TOTAL UNITS BUY]]-INVESTORS_LIST[[#This Row],[SIP_TOTAL UNITS SOLD]])</f>
        <v>0</v>
      </c>
      <c r="O211" s="49">
        <f>IF(INVESTORS_LIST[[#This Row],[SIP_TOTAL UNITS BUY]]=0,0,SUMIFS(SIP[Amount],SIP[Investor ID],INVESTORS_LIST[[#This Row],[INVESTOR CODE]],SIP[B/S],"B"))</f>
        <v>0</v>
      </c>
      <c r="P211" s="49">
        <f>IF(INVESTORS_LIST[[#This Row],[SIP_TOTAL UNITS SOLD]]=0,0,SUMIFS(SIP[Cost of Units Sold],SIP[Investor ID],INVESTORS_LIST[[#This Row],[INVESTOR CODE]],SIP[B/S],"S"))</f>
        <v>0</v>
      </c>
      <c r="Q211" s="48">
        <f>IF(INVESTORS_LIST[[#This Row],[SIP_TOTAL CURRENT UNITS]]=0,0,INVESTORS_LIST[[#This Row],[SIP_TOTAL CURRENT UNITS]]*INVESTORS_LIST[[#This Row],[SIP_AVERAGE COST]])</f>
        <v>0</v>
      </c>
      <c r="R211" s="48">
        <f>IF(INVESTORS_LIST[[#This Row],[SIP_TOTAL UNITS SOLD]]=0,0,SUMIFS(SIP[Realized Gain],SIP[Investor ID],INVESTORS_LIST[[#This Row],[INVESTOR CODE]],SIP[B/S],"S"))</f>
        <v>0</v>
      </c>
      <c r="S211" s="50">
        <f>INVESTORS_LIST[[#This Row],[LS_TOTAL UNITS BUY]]+INVESTORS_LIST[[#This Row],[SIP_TOTAL UNITS BUY]]</f>
        <v>0</v>
      </c>
      <c r="T211" s="50">
        <f>INVESTORS_LIST[[#This Row],[LS_TOTAL UNITS SOLD]]+INVESTORS_LIST[[#This Row],[SIP_TOTAL UNITS SOLD]]</f>
        <v>0</v>
      </c>
      <c r="U211" s="50"/>
      <c r="V211" s="50">
        <f>SUMIFS(LS[BO UNIT TRANSFER],LS[Investor ID],INVESTORS_LIST[[#This Row],[INVESTOR CODE]],LS[B/S],"B")</f>
        <v>0</v>
      </c>
      <c r="W211" s="50">
        <f>SUMIFS(SIP[BO UNIT TRANSFER],SIP[Investor ID],INVESTORS_LIST[[#This Row],[INVESTOR CODE]],SIP[B/S],"B")</f>
        <v>0</v>
      </c>
      <c r="X211" s="50">
        <f>SUMIFS(LS[BO UNIT TRANSFER],LS[Investor ID],INVESTORS_LIST[[#This Row],[INVESTOR CODE]],LS[B/S],"S")</f>
        <v>0</v>
      </c>
      <c r="Y211" s="50">
        <f>SUMIFS(SIP[BO UNIT TRANSFER],SIP[Investor ID],INVESTORS_LIST[[#This Row],[INVESTOR CODE]],SIP[B/S],"S")</f>
        <v>0</v>
      </c>
      <c r="Z211" s="106">
        <f>SUM(INVESTORS_LIST[[#This Row],[BO OPENING BALANCE]:[BO SIP UNITS REPURCHASE]])</f>
        <v>0</v>
      </c>
      <c r="AA211" s="107">
        <f>INVESTORS_LIST[[#This Row],[TOTAL UNITS BUY]]-INVESTORS_LIST[[#This Row],[TOTAL UNITS SOLD]]</f>
        <v>0</v>
      </c>
      <c r="AB211" s="107">
        <f>INVESTORS_LIST[[#This Row],[TOTAL CURRENT UNITS]]-INVESTORS_LIST[[#This Row],[BO UNITS HOLD]]</f>
        <v>0</v>
      </c>
      <c r="AC211" s="201" t="e">
        <f>INDEX([3]!Table_1[BO ID],MATCH(INVESTORS_LIST[[#This Row],[INVESTOR CODE]],[3]!Table_1[INVESTOR CODE],0))</f>
        <v>#REF!</v>
      </c>
      <c r="AD211" s="201" t="e">
        <f>INDEX([3]!Table_1[Brokerage Name2],MATCH(INVESTORS_LIST[[#This Row],[INVESTOR CODE]],[3]!Table_1[INVESTOR CODE],0))</f>
        <v>#REF!</v>
      </c>
      <c r="AE211" s="201" t="e">
        <f>MID(INVESTORS_LIST[[#This Row],[BO ID]],4,5)</f>
        <v>#REF!</v>
      </c>
      <c r="AF211" s="201" t="e">
        <f>MID(INVESTORS_LIST[[#This Row],[BO ID]],2,7)</f>
        <v>#REF!</v>
      </c>
      <c r="AG211" s="201" t="e">
        <f>MID(INVESTORS_LIST[[#This Row],[BO ID]],9,7)</f>
        <v>#REF!</v>
      </c>
      <c r="AH211" s="201" t="e">
        <f>RIGHT(INVESTORS_LIST[[#This Row],[BO ID]],1)</f>
        <v>#REF!</v>
      </c>
      <c r="AI211" s="50">
        <f>INVESTORS_LIST[[#This Row],[LS_TOTAL COST VALUE OF CURRENT UNITS]]+INVESTORS_LIST[[#This Row],[SIP_TOTAL COST VALUE OF CURRENT UNITS]]</f>
        <v>0</v>
      </c>
      <c r="AJ211" s="109">
        <f>IF(INVESTORS_LIST[[#This Row],[TOTAL CURRENT UNITS]]=0,0,INVESTORS_LIST[[#This Row],[LS_TOTAL CURRENT UNITS]]/INVESTORS_LIST[[#This Row],[TOTAL CURRENT UNITS]])</f>
        <v>0</v>
      </c>
      <c r="AK211" s="109">
        <f>IF(INVESTORS_LIST[[#This Row],[TOTAL CURRENT UNITS]]=0,0,INVESTORS_LIST[[#This Row],[SIP_TOTAL CURRENT UNITS]]/INVESTORS_LIST[[#This Row],[TOTAL CURRENT UNITS]])</f>
        <v>0</v>
      </c>
      <c r="AL211" s="49" cm="1">
        <f t="array" ref="AL2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1" s="49" cm="1">
        <f t="array" ref="AM2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1" s="105">
        <f t="shared" si="4"/>
        <v>14.224</v>
      </c>
      <c r="AP211" s="112">
        <f>IF(INVESTORS_LIST[[#This Row],[TOTAL CURRENT UNITS]]=0,0,INVESTORS_LIST[[#This Row],[TOTAL CURRENT UNITS]]*INVESTORS_LIST[[#This Row],[NAV]])</f>
        <v>0</v>
      </c>
      <c r="AQ211" s="49">
        <f>IF(INVESTORS_LIST[[#This Row],[LS_TOTAL CURRENT UNITS]]=0,0,INVESTORS_LIST[[#This Row],[LS_TOTAL CURRENT UNITS]]*INVESTORS_LIST[[#This Row],[NAV]])</f>
        <v>0</v>
      </c>
      <c r="AR211" s="48">
        <f>IF(INVESTORS_LIST[[#This Row],[SIP_TOTAL CURRENT UNITS]]=0,0,INVESTORS_LIST[[#This Row],[SIP_TOTAL CURRENT UNITS]]*INVESTORS_LIST[[#This Row],[NAV]])</f>
        <v>0</v>
      </c>
      <c r="AS211" s="50">
        <f>INVESTORS_LIST[[#This Row],[TOTAL CURRENT UNITS]]</f>
        <v>0</v>
      </c>
      <c r="AT211" s="48">
        <f>IF(INVESTORS_LIST[[#This Row],[TOTAL SELLABLE UNITS]]=0,0,INVESTORS_LIST[[#This Row],[TOTAL SELLABLE UNITS]]*INVESTORS_LIST[[#This Row],[NAV]])</f>
        <v>0</v>
      </c>
      <c r="AU211" s="48">
        <f>INVESTORS_LIST[[#This Row],[LS_TOTAL REALIZED GAIN]]+INVESTORS_LIST[[#This Row],[SIP_TOTAL REALIZED GAIN]]</f>
        <v>0</v>
      </c>
      <c r="AV211" s="48">
        <f>INVESTORS_LIST[[#This Row],[TOTAL MARKET VALUE]]-INVESTORS_LIST[[#This Row],[TOTAL COST VALUE OF CURRENT INVESTMENT]]</f>
        <v>0</v>
      </c>
      <c r="AW211" s="48">
        <f>IFERROR(INVESTORS_LIST[[#This Row],[TOTAL CURRENT UNITS]]/SUM(INVESTORS_LIST[TOTAL CURRENT UNITS]),0)</f>
        <v>0</v>
      </c>
    </row>
    <row r="212" spans="1:49">
      <c r="A212" s="262" t="s">
        <v>472</v>
      </c>
      <c r="B212" s="97" t="s">
        <v>473</v>
      </c>
      <c r="C212" t="s">
        <v>44</v>
      </c>
      <c r="D212" s="75" t="s">
        <v>45</v>
      </c>
      <c r="E212" s="47">
        <f>SUMIFS(LS[Unit],LS[Investor ID],INVESTORS_LIST[[#This Row],[INVESTOR CODE]],LS[B/S],"B")</f>
        <v>35000</v>
      </c>
      <c r="F212" s="47">
        <f>-SUMIFS(LS[Unit],LS[Investor ID],INVESTORS_LIST[[#This Row],[INVESTOR CODE]],LS[B/S],"S")</f>
        <v>35000</v>
      </c>
      <c r="G212" s="47">
        <f>IF(INVESTORS_LIST[[#This Row],[LS_TOTAL UNITS BUY]]=0,0,INVESTORS_LIST[[#This Row],[LS_TOTAL UNITS BUY]]-INVESTORS_LIST[[#This Row],[LS_TOTAL UNITS SOLD]])</f>
        <v>0</v>
      </c>
      <c r="H212" s="49">
        <f>IF(INVESTORS_LIST[[#This Row],[LS_TOTAL UNITS BUY]]=0,0,SUMIFS(LS[Amount],LS[Investor ID],INVESTORS_LIST[[#This Row],[INVESTOR CODE]],LS[B/S],"B"))</f>
        <v>371255</v>
      </c>
      <c r="I212" s="48">
        <f>IF(INVESTORS_LIST[[#This Row],[LS_TOTAL UNITS SOLD]]=0,0,SUMIFS(LS[Cost of Units Sold],LS[Investor ID],INVESTORS_LIST[[#This Row],[INVESTOR CODE]],LS[B/S],"S"))</f>
        <v>371255</v>
      </c>
      <c r="J212" s="48">
        <f>IF(INVESTORS_LIST[[#This Row],[LS_TOTAL CURRENT UNITS]]=0,0,INVESTORS_LIST[[#This Row],[LS_TOTAL CURRENT UNITS]]*INVESTORS_LIST[[#This Row],[LS_AVERAGE COST]])</f>
        <v>0</v>
      </c>
      <c r="K212" s="49">
        <f>IF(INVESTORS_LIST[[#This Row],[LS_TOTAL UNITS SOLD]]=0,0,SUMIFS(LS[Realized Gain],LS[Investor ID],INVESTORS_LIST[[#This Row],[INVESTOR CODE]],LS[B/S],"S"))</f>
        <v>4670</v>
      </c>
      <c r="L212" s="47">
        <f>SUMIFS(SIP[Unit],SIP[Investor ID],INVESTORS_LIST[[#This Row],[INVESTOR CODE]],SIP[B/S],"B")</f>
        <v>3491</v>
      </c>
      <c r="M212" s="47">
        <f>-SUMIFS(SIP[Unit],SIP[Investor ID],INVESTORS_LIST[[#This Row],[INVESTOR CODE]],SIP[B/S],"S")</f>
        <v>0</v>
      </c>
      <c r="N212" s="50">
        <f>IF(INVESTORS_LIST[[#This Row],[SIP_TOTAL UNITS BUY]]=0,0,INVESTORS_LIST[[#This Row],[SIP_TOTAL UNITS BUY]]-INVESTORS_LIST[[#This Row],[SIP_TOTAL UNITS SOLD]])</f>
        <v>3491</v>
      </c>
      <c r="O212" s="49">
        <f>IF(INVESTORS_LIST[[#This Row],[SIP_TOTAL UNITS BUY]]=0,0,SUMIFS(SIP[Amount],SIP[Investor ID],INVESTORS_LIST[[#This Row],[INVESTOR CODE]],SIP[B/S],"B"))</f>
        <v>43000</v>
      </c>
      <c r="P212" s="49">
        <f>IF(INVESTORS_LIST[[#This Row],[SIP_TOTAL UNITS SOLD]]=0,0,SUMIFS(SIP[Cost of Units Sold],SIP[Investor ID],INVESTORS_LIST[[#This Row],[INVESTOR CODE]],SIP[B/S],"S"))</f>
        <v>0</v>
      </c>
      <c r="Q212" s="48">
        <f>IF(INVESTORS_LIST[[#This Row],[SIP_TOTAL CURRENT UNITS]]=0,0,INVESTORS_LIST[[#This Row],[SIP_TOTAL CURRENT UNITS]]*INVESTORS_LIST[[#This Row],[SIP_AVERAGE COST]])</f>
        <v>43000</v>
      </c>
      <c r="R212" s="48">
        <f>IF(INVESTORS_LIST[[#This Row],[SIP_TOTAL UNITS SOLD]]=0,0,SUMIFS(SIP[Realized Gain],SIP[Investor ID],INVESTORS_LIST[[#This Row],[INVESTOR CODE]],SIP[B/S],"S"))</f>
        <v>0</v>
      </c>
      <c r="S212" s="50">
        <f>INVESTORS_LIST[[#This Row],[LS_TOTAL UNITS BUY]]+INVESTORS_LIST[[#This Row],[SIP_TOTAL UNITS BUY]]</f>
        <v>38491</v>
      </c>
      <c r="T212" s="50">
        <f>INVESTORS_LIST[[#This Row],[LS_TOTAL UNITS SOLD]]+INVESTORS_LIST[[#This Row],[SIP_TOTAL UNITS SOLD]]</f>
        <v>35000</v>
      </c>
      <c r="U212" s="50"/>
      <c r="V212" s="50">
        <f>SUMIFS(LS[BO UNIT TRANSFER],LS[Investor ID],INVESTORS_LIST[[#This Row],[INVESTOR CODE]],LS[B/S],"B")</f>
        <v>0</v>
      </c>
      <c r="W212" s="50">
        <f>SUMIFS(SIP[BO UNIT TRANSFER],SIP[Investor ID],INVESTORS_LIST[[#This Row],[INVESTOR CODE]],SIP[B/S],"B")</f>
        <v>3278</v>
      </c>
      <c r="X212" s="50">
        <f>SUMIFS(LS[BO UNIT TRANSFER],LS[Investor ID],INVESTORS_LIST[[#This Row],[INVESTOR CODE]],LS[B/S],"S")</f>
        <v>0</v>
      </c>
      <c r="Y212" s="50">
        <f>SUMIFS(SIP[BO UNIT TRANSFER],SIP[Investor ID],INVESTORS_LIST[[#This Row],[INVESTOR CODE]],SIP[B/S],"S")</f>
        <v>0</v>
      </c>
      <c r="Z212" s="106">
        <f>SUM(INVESTORS_LIST[[#This Row],[BO OPENING BALANCE]:[BO SIP UNITS REPURCHASE]])</f>
        <v>3278</v>
      </c>
      <c r="AA212" s="107">
        <f>INVESTORS_LIST[[#This Row],[TOTAL UNITS BUY]]-INVESTORS_LIST[[#This Row],[TOTAL UNITS SOLD]]</f>
        <v>3491</v>
      </c>
      <c r="AB212" s="107">
        <f>INVESTORS_LIST[[#This Row],[TOTAL CURRENT UNITS]]-INVESTORS_LIST[[#This Row],[BO UNITS HOLD]]</f>
        <v>213</v>
      </c>
      <c r="AC212" s="201" t="e">
        <f>INDEX([3]!Table_1[BO ID],MATCH(INVESTORS_LIST[[#This Row],[INVESTOR CODE]],[3]!Table_1[INVESTOR CODE],0))</f>
        <v>#REF!</v>
      </c>
      <c r="AD212" s="201" t="e">
        <f>INDEX([3]!Table_1[Brokerage Name2],MATCH(INVESTORS_LIST[[#This Row],[INVESTOR CODE]],[3]!Table_1[INVESTOR CODE],0))</f>
        <v>#REF!</v>
      </c>
      <c r="AE212" s="201" t="e">
        <f>MID(INVESTORS_LIST[[#This Row],[BO ID]],4,5)</f>
        <v>#REF!</v>
      </c>
      <c r="AF212" s="201" t="e">
        <f>MID(INVESTORS_LIST[[#This Row],[BO ID]],2,7)</f>
        <v>#REF!</v>
      </c>
      <c r="AG212" s="201" t="e">
        <f>MID(INVESTORS_LIST[[#This Row],[BO ID]],9,7)</f>
        <v>#REF!</v>
      </c>
      <c r="AH212" s="201" t="e">
        <f>RIGHT(INVESTORS_LIST[[#This Row],[BO ID]],1)</f>
        <v>#REF!</v>
      </c>
      <c r="AI212" s="50">
        <f>INVESTORS_LIST[[#This Row],[LS_TOTAL COST VALUE OF CURRENT UNITS]]+INVESTORS_LIST[[#This Row],[SIP_TOTAL COST VALUE OF CURRENT UNITS]]</f>
        <v>43000</v>
      </c>
      <c r="AJ212" s="109">
        <f>IF(INVESTORS_LIST[[#This Row],[TOTAL CURRENT UNITS]]=0,0,INVESTORS_LIST[[#This Row],[LS_TOTAL CURRENT UNITS]]/INVESTORS_LIST[[#This Row],[TOTAL CURRENT UNITS]])</f>
        <v>0</v>
      </c>
      <c r="AK212" s="109">
        <f>IF(INVESTORS_LIST[[#This Row],[TOTAL CURRENT UNITS]]=0,0,INVESTORS_LIST[[#This Row],[SIP_TOTAL CURRENT UNITS]]/INVESTORS_LIST[[#This Row],[TOTAL CURRENT UNITS]])</f>
        <v>1</v>
      </c>
      <c r="AL212" s="49" cm="1">
        <f t="array" ref="AL2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2" s="49" cm="1">
        <f t="array" ref="AM212">IF(INVESTORS_LIST[[#This Row],[SIP_TOTAL UNITS BUY]]&gt;0,INDEX(SIP[NAV at Cost (Average)],MATCH(CONCATENATE(COUNTIFS(SIP[Investor ID],INVESTORS_LIST[[#This Row],[INVESTOR CODE]]),INVESTORS_LIST[[#This Row],[INVESTOR CODE]]),SIP[Unique Code],0),),0)</f>
        <v>12.317387568032082</v>
      </c>
      <c r="AN212" s="105">
        <f>IF(INVESTORS_LIST[[#This Row],[TOTAL CURRENT UNITS]]=0,0,(INVESTORS_LIST[[#This Row],[LS_WEIGHT]]*INVESTORS_LIST[[#This Row],[LS_AVERAGE COST]])+(INVESTORS_LIST[[#This Row],[SIP_WEIGHT]]*INVESTORS_LIST[[#This Row],[SIP_AVERAGE COST]]))</f>
        <v>12.317387568032082</v>
      </c>
      <c r="AO212" s="105">
        <f t="shared" si="4"/>
        <v>14.224</v>
      </c>
      <c r="AP212" s="112">
        <f>IF(INVESTORS_LIST[[#This Row],[TOTAL CURRENT UNITS]]=0,0,INVESTORS_LIST[[#This Row],[TOTAL CURRENT UNITS]]*INVESTORS_LIST[[#This Row],[NAV]])</f>
        <v>49655.984000000004</v>
      </c>
      <c r="AQ212" s="49">
        <f>IF(INVESTORS_LIST[[#This Row],[LS_TOTAL CURRENT UNITS]]=0,0,INVESTORS_LIST[[#This Row],[LS_TOTAL CURRENT UNITS]]*INVESTORS_LIST[[#This Row],[NAV]])</f>
        <v>0</v>
      </c>
      <c r="AR212" s="48">
        <f>IF(INVESTORS_LIST[[#This Row],[SIP_TOTAL CURRENT UNITS]]=0,0,INVESTORS_LIST[[#This Row],[SIP_TOTAL CURRENT UNITS]]*INVESTORS_LIST[[#This Row],[NAV]])</f>
        <v>49655.984000000004</v>
      </c>
      <c r="AS212" s="50">
        <f>INVESTORS_LIST[[#This Row],[TOTAL CURRENT UNITS]]</f>
        <v>3491</v>
      </c>
      <c r="AT212" s="48">
        <f>IF(INVESTORS_LIST[[#This Row],[TOTAL SELLABLE UNITS]]=0,0,INVESTORS_LIST[[#This Row],[TOTAL SELLABLE UNITS]]*INVESTORS_LIST[[#This Row],[NAV]])</f>
        <v>49655.984000000004</v>
      </c>
      <c r="AU212" s="48">
        <f>INVESTORS_LIST[[#This Row],[LS_TOTAL REALIZED GAIN]]+INVESTORS_LIST[[#This Row],[SIP_TOTAL REALIZED GAIN]]</f>
        <v>4670</v>
      </c>
      <c r="AV212" s="48">
        <f>INVESTORS_LIST[[#This Row],[TOTAL MARKET VALUE]]-INVESTORS_LIST[[#This Row],[TOTAL COST VALUE OF CURRENT INVESTMENT]]</f>
        <v>6655.984000000004</v>
      </c>
      <c r="AW212" s="48">
        <f>IFERROR(INVESTORS_LIST[[#This Row],[TOTAL CURRENT UNITS]]/SUM(INVESTORS_LIST[TOTAL CURRENT UNITS]),0)</f>
        <v>8.4748241765297868E-5</v>
      </c>
    </row>
    <row r="213" spans="1:49">
      <c r="A213" s="262" t="s">
        <v>474</v>
      </c>
      <c r="B213" s="97" t="s">
        <v>475</v>
      </c>
      <c r="C213" t="s">
        <v>52</v>
      </c>
      <c r="D213" s="75" t="s">
        <v>45</v>
      </c>
      <c r="E213" s="47">
        <f>SUMIFS(LS[Unit],LS[Investor ID],INVESTORS_LIST[[#This Row],[INVESTOR CODE]],LS[B/S],"B")</f>
        <v>24417</v>
      </c>
      <c r="F213" s="47">
        <f>-SUMIFS(LS[Unit],LS[Investor ID],INVESTORS_LIST[[#This Row],[INVESTOR CODE]],LS[B/S],"S")</f>
        <v>22032</v>
      </c>
      <c r="G213" s="47">
        <f>IF(INVESTORS_LIST[[#This Row],[LS_TOTAL UNITS BUY]]=0,0,INVESTORS_LIST[[#This Row],[LS_TOTAL UNITS BUY]]-INVESTORS_LIST[[#This Row],[LS_TOTAL UNITS SOLD]])</f>
        <v>2385</v>
      </c>
      <c r="H213" s="49">
        <f>IF(INVESTORS_LIST[[#This Row],[LS_TOTAL UNITS BUY]]=0,0,SUMIFS(LS[Amount],LS[Investor ID],INVESTORS_LIST[[#This Row],[INVESTOR CODE]],LS[B/S],"B"))</f>
        <v>250000</v>
      </c>
      <c r="I213" s="48">
        <f>IF(INVESTORS_LIST[[#This Row],[LS_TOTAL UNITS SOLD]]=0,0,SUMIFS(LS[Cost of Units Sold],LS[Investor ID],INVESTORS_LIST[[#This Row],[INVESTOR CODE]],LS[B/S],"S"))</f>
        <v>225580.53814964983</v>
      </c>
      <c r="J213" s="48">
        <f>IF(INVESTORS_LIST[[#This Row],[LS_TOTAL CURRENT UNITS]]=0,0,INVESTORS_LIST[[#This Row],[LS_TOTAL CURRENT UNITS]]*INVESTORS_LIST[[#This Row],[LS_AVERAGE COST]])</f>
        <v>24419.461850350166</v>
      </c>
      <c r="K213" s="49">
        <f>IF(INVESTORS_LIST[[#This Row],[LS_TOTAL UNITS SOLD]]=0,0,SUMIFS(LS[Realized Gain],LS[Investor ID],INVESTORS_LIST[[#This Row],[INVESTOR CODE]],LS[B/S],"S"))</f>
        <v>4408.5218503501492</v>
      </c>
      <c r="L213" s="47">
        <f>SUMIFS(SIP[Unit],SIP[Investor ID],INVESTORS_LIST[[#This Row],[INVESTOR CODE]],SIP[B/S],"B")</f>
        <v>0</v>
      </c>
      <c r="M213" s="47">
        <f>-SUMIFS(SIP[Unit],SIP[Investor ID],INVESTORS_LIST[[#This Row],[INVESTOR CODE]],SIP[B/S],"S")</f>
        <v>0</v>
      </c>
      <c r="N213" s="50">
        <f>IF(INVESTORS_LIST[[#This Row],[SIP_TOTAL UNITS BUY]]=0,0,INVESTORS_LIST[[#This Row],[SIP_TOTAL UNITS BUY]]-INVESTORS_LIST[[#This Row],[SIP_TOTAL UNITS SOLD]])</f>
        <v>0</v>
      </c>
      <c r="O213" s="49">
        <f>IF(INVESTORS_LIST[[#This Row],[SIP_TOTAL UNITS BUY]]=0,0,SUMIFS(SIP[Amount],SIP[Investor ID],INVESTORS_LIST[[#This Row],[INVESTOR CODE]],SIP[B/S],"B"))</f>
        <v>0</v>
      </c>
      <c r="P213" s="49">
        <f>IF(INVESTORS_LIST[[#This Row],[SIP_TOTAL UNITS SOLD]]=0,0,SUMIFS(SIP[Cost of Units Sold],SIP[Investor ID],INVESTORS_LIST[[#This Row],[INVESTOR CODE]],SIP[B/S],"S"))</f>
        <v>0</v>
      </c>
      <c r="Q213" s="48">
        <f>IF(INVESTORS_LIST[[#This Row],[SIP_TOTAL CURRENT UNITS]]=0,0,INVESTORS_LIST[[#This Row],[SIP_TOTAL CURRENT UNITS]]*INVESTORS_LIST[[#This Row],[SIP_AVERAGE COST]])</f>
        <v>0</v>
      </c>
      <c r="R213" s="48">
        <f>IF(INVESTORS_LIST[[#This Row],[SIP_TOTAL UNITS SOLD]]=0,0,SUMIFS(SIP[Realized Gain],SIP[Investor ID],INVESTORS_LIST[[#This Row],[INVESTOR CODE]],SIP[B/S],"S"))</f>
        <v>0</v>
      </c>
      <c r="S213" s="50">
        <f>INVESTORS_LIST[[#This Row],[LS_TOTAL UNITS BUY]]+INVESTORS_LIST[[#This Row],[SIP_TOTAL UNITS BUY]]</f>
        <v>24417</v>
      </c>
      <c r="T213" s="50">
        <f>INVESTORS_LIST[[#This Row],[LS_TOTAL UNITS SOLD]]+INVESTORS_LIST[[#This Row],[SIP_TOTAL UNITS SOLD]]</f>
        <v>22032</v>
      </c>
      <c r="U213" s="50">
        <v>2385</v>
      </c>
      <c r="V213" s="50">
        <f>SUMIFS(LS[BO UNIT TRANSFER],LS[Investor ID],INVESTORS_LIST[[#This Row],[INVESTOR CODE]],LS[B/S],"B")</f>
        <v>0</v>
      </c>
      <c r="W213" s="50">
        <f>SUMIFS(SIP[BO UNIT TRANSFER],SIP[Investor ID],INVESTORS_LIST[[#This Row],[INVESTOR CODE]],SIP[B/S],"B")</f>
        <v>0</v>
      </c>
      <c r="X213" s="50">
        <f>SUMIFS(LS[BO UNIT TRANSFER],LS[Investor ID],INVESTORS_LIST[[#This Row],[INVESTOR CODE]],LS[B/S],"S")</f>
        <v>0</v>
      </c>
      <c r="Y213" s="50">
        <f>SUMIFS(SIP[BO UNIT TRANSFER],SIP[Investor ID],INVESTORS_LIST[[#This Row],[INVESTOR CODE]],SIP[B/S],"S")</f>
        <v>0</v>
      </c>
      <c r="Z213" s="106">
        <f>SUM(INVESTORS_LIST[[#This Row],[BO OPENING BALANCE]:[BO SIP UNITS REPURCHASE]])</f>
        <v>2385</v>
      </c>
      <c r="AA213" s="107">
        <f>INVESTORS_LIST[[#This Row],[TOTAL UNITS BUY]]-INVESTORS_LIST[[#This Row],[TOTAL UNITS SOLD]]</f>
        <v>2385</v>
      </c>
      <c r="AB213" s="107">
        <f>INVESTORS_LIST[[#This Row],[TOTAL CURRENT UNITS]]-INVESTORS_LIST[[#This Row],[BO UNITS HOLD]]</f>
        <v>0</v>
      </c>
      <c r="AC213" s="201" t="e">
        <f>INDEX([3]!Table_1[BO ID],MATCH(INVESTORS_LIST[[#This Row],[INVESTOR CODE]],[3]!Table_1[INVESTOR CODE],0))</f>
        <v>#REF!</v>
      </c>
      <c r="AD213" s="201" t="e">
        <f>INDEX([3]!Table_1[Brokerage Name2],MATCH(INVESTORS_LIST[[#This Row],[INVESTOR CODE]],[3]!Table_1[INVESTOR CODE],0))</f>
        <v>#REF!</v>
      </c>
      <c r="AE213" s="201" t="e">
        <f>MID(INVESTORS_LIST[[#This Row],[BO ID]],4,5)</f>
        <v>#REF!</v>
      </c>
      <c r="AF213" s="201" t="e">
        <f>MID(INVESTORS_LIST[[#This Row],[BO ID]],2,7)</f>
        <v>#REF!</v>
      </c>
      <c r="AG213" s="201" t="e">
        <f>MID(INVESTORS_LIST[[#This Row],[BO ID]],9,7)</f>
        <v>#REF!</v>
      </c>
      <c r="AH213" s="201" t="e">
        <f>RIGHT(INVESTORS_LIST[[#This Row],[BO ID]],1)</f>
        <v>#REF!</v>
      </c>
      <c r="AI213" s="50">
        <f>INVESTORS_LIST[[#This Row],[LS_TOTAL COST VALUE OF CURRENT UNITS]]+INVESTORS_LIST[[#This Row],[SIP_TOTAL COST VALUE OF CURRENT UNITS]]</f>
        <v>24419.461850350166</v>
      </c>
      <c r="AJ213" s="109">
        <f>IF(INVESTORS_LIST[[#This Row],[TOTAL CURRENT UNITS]]=0,0,INVESTORS_LIST[[#This Row],[LS_TOTAL CURRENT UNITS]]/INVESTORS_LIST[[#This Row],[TOTAL CURRENT UNITS]])</f>
        <v>1</v>
      </c>
      <c r="AK213" s="109">
        <f>IF(INVESTORS_LIST[[#This Row],[TOTAL CURRENT UNITS]]=0,0,INVESTORS_LIST[[#This Row],[SIP_TOTAL CURRENT UNITS]]/INVESTORS_LIST[[#This Row],[TOTAL CURRENT UNITS]])</f>
        <v>0</v>
      </c>
      <c r="AL213" s="49" cm="1">
        <f t="array" ref="AL213">IF(INVESTORS_LIST[[#This Row],[LS_TOTAL UNITS BUY]]&gt;0,INDEX(LS[NAV at Cost (Average)],MATCH(CONCATENATE(COUNTIFS(LS[Investor ID],INVESTORS_LIST[[#This Row],[INVESTOR CODE]]),INVESTORS_LIST[[#This Row],[INVESTOR CODE]]),LS[Unique Code],0),),0)</f>
        <v>10.238768071425646</v>
      </c>
      <c r="AM213" s="49" cm="1">
        <f t="array" ref="AM2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3" s="105">
        <f>IF(INVESTORS_LIST[[#This Row],[TOTAL CURRENT UNITS]]=0,0,(INVESTORS_LIST[[#This Row],[LS_WEIGHT]]*INVESTORS_LIST[[#This Row],[LS_AVERAGE COST]])+(INVESTORS_LIST[[#This Row],[SIP_WEIGHT]]*INVESTORS_LIST[[#This Row],[SIP_AVERAGE COST]]))</f>
        <v>10.238768071425646</v>
      </c>
      <c r="AO213" s="105">
        <f t="shared" si="4"/>
        <v>14.224</v>
      </c>
      <c r="AP213" s="112">
        <f>IF(INVESTORS_LIST[[#This Row],[TOTAL CURRENT UNITS]]=0,0,INVESTORS_LIST[[#This Row],[TOTAL CURRENT UNITS]]*INVESTORS_LIST[[#This Row],[NAV]])</f>
        <v>33924.239999999998</v>
      </c>
      <c r="AQ213" s="49">
        <f>IF(INVESTORS_LIST[[#This Row],[LS_TOTAL CURRENT UNITS]]=0,0,INVESTORS_LIST[[#This Row],[LS_TOTAL CURRENT UNITS]]*INVESTORS_LIST[[#This Row],[NAV]])</f>
        <v>33924.239999999998</v>
      </c>
      <c r="AR213" s="48">
        <f>IF(INVESTORS_LIST[[#This Row],[SIP_TOTAL CURRENT UNITS]]=0,0,INVESTORS_LIST[[#This Row],[SIP_TOTAL CURRENT UNITS]]*INVESTORS_LIST[[#This Row],[NAV]])</f>
        <v>0</v>
      </c>
      <c r="AS213" s="50">
        <f>INVESTORS_LIST[[#This Row],[TOTAL CURRENT UNITS]]</f>
        <v>2385</v>
      </c>
      <c r="AT213" s="48">
        <f>IF(INVESTORS_LIST[[#This Row],[TOTAL SELLABLE UNITS]]=0,0,INVESTORS_LIST[[#This Row],[TOTAL SELLABLE UNITS]]*INVESTORS_LIST[[#This Row],[NAV]])</f>
        <v>33924.239999999998</v>
      </c>
      <c r="AU213" s="48">
        <f>INVESTORS_LIST[[#This Row],[LS_TOTAL REALIZED GAIN]]+INVESTORS_LIST[[#This Row],[SIP_TOTAL REALIZED GAIN]]</f>
        <v>4408.5218503501492</v>
      </c>
      <c r="AV213" s="48">
        <f>INVESTORS_LIST[[#This Row],[TOTAL MARKET VALUE]]-INVESTORS_LIST[[#This Row],[TOTAL COST VALUE OF CURRENT INVESTMENT]]</f>
        <v>9504.7781496498319</v>
      </c>
      <c r="AW213" s="108">
        <f>IFERROR(INVESTORS_LIST[[#This Row],[TOTAL CURRENT UNITS]]/SUM(INVESTORS_LIST[TOTAL CURRENT UNITS]),0)</f>
        <v>5.789875583220722E-5</v>
      </c>
    </row>
    <row r="214" spans="1:49" hidden="1">
      <c r="A214" s="262" t="s">
        <v>476</v>
      </c>
      <c r="B214" s="97" t="s">
        <v>477</v>
      </c>
      <c r="C214" t="s">
        <v>44</v>
      </c>
      <c r="D214" s="75" t="s">
        <v>45</v>
      </c>
      <c r="E214" s="47">
        <f>SUMIFS(LS[Unit],LS[Investor ID],INVESTORS_LIST[[#This Row],[INVESTOR CODE]],LS[B/S],"B")</f>
        <v>0</v>
      </c>
      <c r="F214" s="47">
        <f>-SUMIFS(LS[Unit],LS[Investor ID],INVESTORS_LIST[[#This Row],[INVESTOR CODE]],LS[B/S],"S")</f>
        <v>0</v>
      </c>
      <c r="G214" s="47">
        <f>IF(INVESTORS_LIST[[#This Row],[LS_TOTAL UNITS BUY]]=0,0,INVESTORS_LIST[[#This Row],[LS_TOTAL UNITS BUY]]-INVESTORS_LIST[[#This Row],[LS_TOTAL UNITS SOLD]])</f>
        <v>0</v>
      </c>
      <c r="H214" s="49">
        <f>IF(INVESTORS_LIST[[#This Row],[LS_TOTAL UNITS BUY]]=0,0,SUMIFS(LS[Amount],LS[Investor ID],INVESTORS_LIST[[#This Row],[INVESTOR CODE]],LS[B/S],"B"))</f>
        <v>0</v>
      </c>
      <c r="I214" s="48">
        <f>IF(INVESTORS_LIST[[#This Row],[LS_TOTAL UNITS SOLD]]=0,0,SUMIFS(LS[Cost of Units Sold],LS[Investor ID],INVESTORS_LIST[[#This Row],[INVESTOR CODE]],LS[B/S],"S"))</f>
        <v>0</v>
      </c>
      <c r="J214" s="48">
        <f>IF(INVESTORS_LIST[[#This Row],[LS_TOTAL CURRENT UNITS]]=0,0,INVESTORS_LIST[[#This Row],[LS_TOTAL CURRENT UNITS]]*INVESTORS_LIST[[#This Row],[LS_AVERAGE COST]])</f>
        <v>0</v>
      </c>
      <c r="K214" s="49">
        <f>IF(INVESTORS_LIST[[#This Row],[LS_TOTAL UNITS SOLD]]=0,0,SUMIFS(LS[Realized Gain],LS[Investor ID],INVESTORS_LIST[[#This Row],[INVESTOR CODE]],LS[B/S],"S"))</f>
        <v>0</v>
      </c>
      <c r="L214" s="47">
        <f>SUMIFS(SIP[Unit],SIP[Investor ID],INVESTORS_LIST[[#This Row],[INVESTOR CODE]],SIP[B/S],"B")</f>
        <v>0</v>
      </c>
      <c r="M214" s="47">
        <f>-SUMIFS(SIP[Unit],SIP[Investor ID],INVESTORS_LIST[[#This Row],[INVESTOR CODE]],SIP[B/S],"S")</f>
        <v>0</v>
      </c>
      <c r="N214" s="50">
        <f>IF(INVESTORS_LIST[[#This Row],[SIP_TOTAL UNITS BUY]]=0,0,INVESTORS_LIST[[#This Row],[SIP_TOTAL UNITS BUY]]-INVESTORS_LIST[[#This Row],[SIP_TOTAL UNITS SOLD]])</f>
        <v>0</v>
      </c>
      <c r="O214" s="49">
        <f>IF(INVESTORS_LIST[[#This Row],[SIP_TOTAL UNITS BUY]]=0,0,SUMIFS(SIP[Amount],SIP[Investor ID],INVESTORS_LIST[[#This Row],[INVESTOR CODE]],SIP[B/S],"B"))</f>
        <v>0</v>
      </c>
      <c r="P214" s="49">
        <f>IF(INVESTORS_LIST[[#This Row],[SIP_TOTAL UNITS SOLD]]=0,0,SUMIFS(SIP[Cost of Units Sold],SIP[Investor ID],INVESTORS_LIST[[#This Row],[INVESTOR CODE]],SIP[B/S],"S"))</f>
        <v>0</v>
      </c>
      <c r="Q214" s="48">
        <f>IF(INVESTORS_LIST[[#This Row],[SIP_TOTAL CURRENT UNITS]]=0,0,INVESTORS_LIST[[#This Row],[SIP_TOTAL CURRENT UNITS]]*INVESTORS_LIST[[#This Row],[SIP_AVERAGE COST]])</f>
        <v>0</v>
      </c>
      <c r="R214" s="48">
        <f>IF(INVESTORS_LIST[[#This Row],[SIP_TOTAL UNITS SOLD]]=0,0,SUMIFS(SIP[Realized Gain],SIP[Investor ID],INVESTORS_LIST[[#This Row],[INVESTOR CODE]],SIP[B/S],"S"))</f>
        <v>0</v>
      </c>
      <c r="S214" s="50">
        <f>INVESTORS_LIST[[#This Row],[LS_TOTAL UNITS BUY]]+INVESTORS_LIST[[#This Row],[SIP_TOTAL UNITS BUY]]</f>
        <v>0</v>
      </c>
      <c r="T214" s="50">
        <f>INVESTORS_LIST[[#This Row],[LS_TOTAL UNITS SOLD]]+INVESTORS_LIST[[#This Row],[SIP_TOTAL UNITS SOLD]]</f>
        <v>0</v>
      </c>
      <c r="U214" s="50"/>
      <c r="V214" s="50">
        <f>SUMIFS(LS[BO UNIT TRANSFER],LS[Investor ID],INVESTORS_LIST[[#This Row],[INVESTOR CODE]],LS[B/S],"B")</f>
        <v>0</v>
      </c>
      <c r="W214" s="50">
        <f>SUMIFS(SIP[BO UNIT TRANSFER],SIP[Investor ID],INVESTORS_LIST[[#This Row],[INVESTOR CODE]],SIP[B/S],"B")</f>
        <v>0</v>
      </c>
      <c r="X214" s="50">
        <f>SUMIFS(LS[BO UNIT TRANSFER],LS[Investor ID],INVESTORS_LIST[[#This Row],[INVESTOR CODE]],LS[B/S],"S")</f>
        <v>0</v>
      </c>
      <c r="Y214" s="50">
        <f>SUMIFS(SIP[BO UNIT TRANSFER],SIP[Investor ID],INVESTORS_LIST[[#This Row],[INVESTOR CODE]],SIP[B/S],"S")</f>
        <v>0</v>
      </c>
      <c r="Z214" s="106">
        <f>SUM(INVESTORS_LIST[[#This Row],[BO OPENING BALANCE]:[BO SIP UNITS REPURCHASE]])</f>
        <v>0</v>
      </c>
      <c r="AA214" s="107">
        <f>INVESTORS_LIST[[#This Row],[TOTAL UNITS BUY]]-INVESTORS_LIST[[#This Row],[TOTAL UNITS SOLD]]</f>
        <v>0</v>
      </c>
      <c r="AB214" s="107">
        <f>INVESTORS_LIST[[#This Row],[TOTAL CURRENT UNITS]]-INVESTORS_LIST[[#This Row],[BO UNITS HOLD]]</f>
        <v>0</v>
      </c>
      <c r="AC214" s="201" t="e">
        <f>INDEX([3]!Table_1[BO ID],MATCH(INVESTORS_LIST[[#This Row],[INVESTOR CODE]],[3]!Table_1[INVESTOR CODE],0))</f>
        <v>#REF!</v>
      </c>
      <c r="AD214" s="201" t="e">
        <f>INDEX([3]!Table_1[Brokerage Name2],MATCH(INVESTORS_LIST[[#This Row],[INVESTOR CODE]],[3]!Table_1[INVESTOR CODE],0))</f>
        <v>#REF!</v>
      </c>
      <c r="AE214" s="201" t="e">
        <f>MID(INVESTORS_LIST[[#This Row],[BO ID]],4,5)</f>
        <v>#REF!</v>
      </c>
      <c r="AF214" s="201" t="e">
        <f>MID(INVESTORS_LIST[[#This Row],[BO ID]],2,7)</f>
        <v>#REF!</v>
      </c>
      <c r="AG214" s="201" t="e">
        <f>MID(INVESTORS_LIST[[#This Row],[BO ID]],9,7)</f>
        <v>#REF!</v>
      </c>
      <c r="AH214" s="201" t="e">
        <f>RIGHT(INVESTORS_LIST[[#This Row],[BO ID]],1)</f>
        <v>#REF!</v>
      </c>
      <c r="AI214" s="50">
        <f>INVESTORS_LIST[[#This Row],[LS_TOTAL COST VALUE OF CURRENT UNITS]]+INVESTORS_LIST[[#This Row],[SIP_TOTAL COST VALUE OF CURRENT UNITS]]</f>
        <v>0</v>
      </c>
      <c r="AJ214" s="109">
        <f>IF(INVESTORS_LIST[[#This Row],[TOTAL CURRENT UNITS]]=0,0,INVESTORS_LIST[[#This Row],[LS_TOTAL CURRENT UNITS]]/INVESTORS_LIST[[#This Row],[TOTAL CURRENT UNITS]])</f>
        <v>0</v>
      </c>
      <c r="AK214" s="109">
        <f>IF(INVESTORS_LIST[[#This Row],[TOTAL CURRENT UNITS]]=0,0,INVESTORS_LIST[[#This Row],[SIP_TOTAL CURRENT UNITS]]/INVESTORS_LIST[[#This Row],[TOTAL CURRENT UNITS]])</f>
        <v>0</v>
      </c>
      <c r="AL214" s="49" cm="1">
        <f t="array" ref="AL2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4" s="49" cm="1">
        <f t="array" ref="AM2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4" s="105">
        <f t="shared" si="4"/>
        <v>14.224</v>
      </c>
      <c r="AP214" s="112">
        <f>IF(INVESTORS_LIST[[#This Row],[TOTAL CURRENT UNITS]]=0,0,INVESTORS_LIST[[#This Row],[TOTAL CURRENT UNITS]]*INVESTORS_LIST[[#This Row],[NAV]])</f>
        <v>0</v>
      </c>
      <c r="AQ214" s="49">
        <f>IF(INVESTORS_LIST[[#This Row],[LS_TOTAL CURRENT UNITS]]=0,0,INVESTORS_LIST[[#This Row],[LS_TOTAL CURRENT UNITS]]*INVESTORS_LIST[[#This Row],[NAV]])</f>
        <v>0</v>
      </c>
      <c r="AR214" s="48">
        <f>IF(INVESTORS_LIST[[#This Row],[SIP_TOTAL CURRENT UNITS]]=0,0,INVESTORS_LIST[[#This Row],[SIP_TOTAL CURRENT UNITS]]*INVESTORS_LIST[[#This Row],[NAV]])</f>
        <v>0</v>
      </c>
      <c r="AS214" s="50">
        <f>INVESTORS_LIST[[#This Row],[TOTAL CURRENT UNITS]]</f>
        <v>0</v>
      </c>
      <c r="AT214" s="48">
        <f>IF(INVESTORS_LIST[[#This Row],[TOTAL SELLABLE UNITS]]=0,0,INVESTORS_LIST[[#This Row],[TOTAL SELLABLE UNITS]]*INVESTORS_LIST[[#This Row],[NAV]])</f>
        <v>0</v>
      </c>
      <c r="AU214" s="48">
        <f>INVESTORS_LIST[[#This Row],[LS_TOTAL REALIZED GAIN]]+INVESTORS_LIST[[#This Row],[SIP_TOTAL REALIZED GAIN]]</f>
        <v>0</v>
      </c>
      <c r="AV214" s="48">
        <f>INVESTORS_LIST[[#This Row],[TOTAL MARKET VALUE]]-INVESTORS_LIST[[#This Row],[TOTAL COST VALUE OF CURRENT INVESTMENT]]</f>
        <v>0</v>
      </c>
      <c r="AW214" s="48">
        <f>IFERROR(INVESTORS_LIST[[#This Row],[TOTAL CURRENT UNITS]]/SUM(INVESTORS_LIST[TOTAL CURRENT UNITS]),0)</f>
        <v>0</v>
      </c>
    </row>
    <row r="215" spans="1:49">
      <c r="A215" s="262" t="s">
        <v>478</v>
      </c>
      <c r="B215" s="97" t="s">
        <v>479</v>
      </c>
      <c r="C215" t="s">
        <v>44</v>
      </c>
      <c r="D215" s="75" t="s">
        <v>45</v>
      </c>
      <c r="E215" s="47">
        <f>SUMIFS(LS[Unit],LS[Investor ID],INVESTORS_LIST[[#This Row],[INVESTOR CODE]],LS[B/S],"B")</f>
        <v>161644</v>
      </c>
      <c r="F215" s="47">
        <f>-SUMIFS(LS[Unit],LS[Investor ID],INVESTORS_LIST[[#This Row],[INVESTOR CODE]],LS[B/S],"S")</f>
        <v>0</v>
      </c>
      <c r="G215" s="47">
        <f>IF(INVESTORS_LIST[[#This Row],[LS_TOTAL UNITS BUY]]=0,0,INVESTORS_LIST[[#This Row],[LS_TOTAL UNITS BUY]]-INVESTORS_LIST[[#This Row],[LS_TOTAL UNITS SOLD]])</f>
        <v>161644</v>
      </c>
      <c r="H215" s="49">
        <f>IF(INVESTORS_LIST[[#This Row],[LS_TOTAL UNITS BUY]]=0,0,SUMIFS(LS[Amount],LS[Investor ID],INVESTORS_LIST[[#This Row],[INVESTOR CODE]],LS[B/S],"B"))</f>
        <v>2000000</v>
      </c>
      <c r="I215" s="48">
        <f>IF(INVESTORS_LIST[[#This Row],[LS_TOTAL UNITS SOLD]]=0,0,SUMIFS(LS[Cost of Units Sold],LS[Investor ID],INVESTORS_LIST[[#This Row],[INVESTOR CODE]],LS[B/S],"S"))</f>
        <v>0</v>
      </c>
      <c r="J215" s="48">
        <f>IF(INVESTORS_LIST[[#This Row],[LS_TOTAL CURRENT UNITS]]=0,0,INVESTORS_LIST[[#This Row],[LS_TOTAL CURRENT UNITS]]*INVESTORS_LIST[[#This Row],[LS_AVERAGE COST]])</f>
        <v>2000000</v>
      </c>
      <c r="K215" s="49">
        <f>IF(INVESTORS_LIST[[#This Row],[LS_TOTAL UNITS SOLD]]=0,0,SUMIFS(LS[Realized Gain],LS[Investor ID],INVESTORS_LIST[[#This Row],[INVESTOR CODE]],LS[B/S],"S"))</f>
        <v>0</v>
      </c>
      <c r="L215" s="47">
        <f>SUMIFS(SIP[Unit],SIP[Investor ID],INVESTORS_LIST[[#This Row],[INVESTOR CODE]],SIP[B/S],"B")</f>
        <v>0</v>
      </c>
      <c r="M215" s="47">
        <f>-SUMIFS(SIP[Unit],SIP[Investor ID],INVESTORS_LIST[[#This Row],[INVESTOR CODE]],SIP[B/S],"S")</f>
        <v>0</v>
      </c>
      <c r="N215" s="50">
        <f>IF(INVESTORS_LIST[[#This Row],[SIP_TOTAL UNITS BUY]]=0,0,INVESTORS_LIST[[#This Row],[SIP_TOTAL UNITS BUY]]-INVESTORS_LIST[[#This Row],[SIP_TOTAL UNITS SOLD]])</f>
        <v>0</v>
      </c>
      <c r="O215" s="49">
        <f>IF(INVESTORS_LIST[[#This Row],[SIP_TOTAL UNITS BUY]]=0,0,SUMIFS(SIP[Amount],SIP[Investor ID],INVESTORS_LIST[[#This Row],[INVESTOR CODE]],SIP[B/S],"B"))</f>
        <v>0</v>
      </c>
      <c r="P215" s="49">
        <f>IF(INVESTORS_LIST[[#This Row],[SIP_TOTAL UNITS SOLD]]=0,0,SUMIFS(SIP[Cost of Units Sold],SIP[Investor ID],INVESTORS_LIST[[#This Row],[INVESTOR CODE]],SIP[B/S],"S"))</f>
        <v>0</v>
      </c>
      <c r="Q215" s="48">
        <f>IF(INVESTORS_LIST[[#This Row],[SIP_TOTAL CURRENT UNITS]]=0,0,INVESTORS_LIST[[#This Row],[SIP_TOTAL CURRENT UNITS]]*INVESTORS_LIST[[#This Row],[SIP_AVERAGE COST]])</f>
        <v>0</v>
      </c>
      <c r="R215" s="48">
        <f>IF(INVESTORS_LIST[[#This Row],[SIP_TOTAL UNITS SOLD]]=0,0,SUMIFS(SIP[Realized Gain],SIP[Investor ID],INVESTORS_LIST[[#This Row],[INVESTOR CODE]],SIP[B/S],"S"))</f>
        <v>0</v>
      </c>
      <c r="S215" s="50">
        <f>INVESTORS_LIST[[#This Row],[LS_TOTAL UNITS BUY]]+INVESTORS_LIST[[#This Row],[SIP_TOTAL UNITS BUY]]</f>
        <v>161644</v>
      </c>
      <c r="T215" s="50">
        <f>INVESTORS_LIST[[#This Row],[LS_TOTAL UNITS SOLD]]+INVESTORS_LIST[[#This Row],[SIP_TOTAL UNITS SOLD]]</f>
        <v>0</v>
      </c>
      <c r="U215" s="50">
        <v>161644</v>
      </c>
      <c r="V215" s="50">
        <f>SUMIFS(LS[BO UNIT TRANSFER],LS[Investor ID],INVESTORS_LIST[[#This Row],[INVESTOR CODE]],LS[B/S],"B")</f>
        <v>0</v>
      </c>
      <c r="W215" s="50">
        <f>SUMIFS(SIP[BO UNIT TRANSFER],SIP[Investor ID],INVESTORS_LIST[[#This Row],[INVESTOR CODE]],SIP[B/S],"B")</f>
        <v>0</v>
      </c>
      <c r="X215" s="50">
        <f>SUMIFS(LS[BO UNIT TRANSFER],LS[Investor ID],INVESTORS_LIST[[#This Row],[INVESTOR CODE]],LS[B/S],"S")</f>
        <v>0</v>
      </c>
      <c r="Y215" s="50">
        <f>SUMIFS(SIP[BO UNIT TRANSFER],SIP[Investor ID],INVESTORS_LIST[[#This Row],[INVESTOR CODE]],SIP[B/S],"S")</f>
        <v>0</v>
      </c>
      <c r="Z215" s="106">
        <f>SUM(INVESTORS_LIST[[#This Row],[BO OPENING BALANCE]:[BO SIP UNITS REPURCHASE]])</f>
        <v>161644</v>
      </c>
      <c r="AA215" s="107">
        <f>INVESTORS_LIST[[#This Row],[TOTAL UNITS BUY]]-INVESTORS_LIST[[#This Row],[TOTAL UNITS SOLD]]</f>
        <v>161644</v>
      </c>
      <c r="AB215" s="107">
        <f>INVESTORS_LIST[[#This Row],[TOTAL CURRENT UNITS]]-INVESTORS_LIST[[#This Row],[BO UNITS HOLD]]</f>
        <v>0</v>
      </c>
      <c r="AC215" s="205" t="s">
        <v>1392</v>
      </c>
      <c r="AD215" s="99" t="s">
        <v>1393</v>
      </c>
      <c r="AE215" s="201" t="str">
        <f>MID(INVESTORS_LIST[[#This Row],[BO ID]],4,5)</f>
        <v>18300</v>
      </c>
      <c r="AF215" s="201" t="str">
        <f>MID(INVESTORS_LIST[[#This Row],[BO ID]],2,7)</f>
        <v>2018300</v>
      </c>
      <c r="AG215" s="201" t="str">
        <f>MID(INVESTORS_LIST[[#This Row],[BO ID]],9,7)</f>
        <v>7655191</v>
      </c>
      <c r="AH215" s="201" t="str">
        <f>RIGHT(INVESTORS_LIST[[#This Row],[BO ID]],1)</f>
        <v>7</v>
      </c>
      <c r="AI215" s="50">
        <f>INVESTORS_LIST[[#This Row],[LS_TOTAL COST VALUE OF CURRENT UNITS]]+INVESTORS_LIST[[#This Row],[SIP_TOTAL COST VALUE OF CURRENT UNITS]]</f>
        <v>2000000</v>
      </c>
      <c r="AJ215" s="109">
        <f>IF(INVESTORS_LIST[[#This Row],[TOTAL CURRENT UNITS]]=0,0,INVESTORS_LIST[[#This Row],[LS_TOTAL CURRENT UNITS]]/INVESTORS_LIST[[#This Row],[TOTAL CURRENT UNITS]])</f>
        <v>1</v>
      </c>
      <c r="AK215" s="109">
        <f>IF(INVESTORS_LIST[[#This Row],[TOTAL CURRENT UNITS]]=0,0,INVESTORS_LIST[[#This Row],[SIP_TOTAL CURRENT UNITS]]/INVESTORS_LIST[[#This Row],[TOTAL CURRENT UNITS]])</f>
        <v>0</v>
      </c>
      <c r="AL215" s="49" cm="1">
        <f t="array" ref="AL215">IF(INVESTORS_LIST[[#This Row],[LS_TOTAL UNITS BUY]]&gt;0,INDEX(LS[NAV at Cost (Average)],MATCH(CONCATENATE(COUNTIFS(LS[Investor ID],INVESTORS_LIST[[#This Row],[INVESTOR CODE]]),INVESTORS_LIST[[#This Row],[INVESTOR CODE]]),LS[Unique Code],0),),0)</f>
        <v>12.37286877335379</v>
      </c>
      <c r="AM215" s="49" cm="1">
        <f t="array" ref="AM2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5" s="105">
        <f>IF(INVESTORS_LIST[[#This Row],[TOTAL CURRENT UNITS]]=0,0,(INVESTORS_LIST[[#This Row],[LS_WEIGHT]]*INVESTORS_LIST[[#This Row],[LS_AVERAGE COST]])+(INVESTORS_LIST[[#This Row],[SIP_WEIGHT]]*INVESTORS_LIST[[#This Row],[SIP_AVERAGE COST]]))</f>
        <v>12.37286877335379</v>
      </c>
      <c r="AO215" s="105">
        <f t="shared" si="4"/>
        <v>14.224</v>
      </c>
      <c r="AP215" s="112">
        <f>IF(INVESTORS_LIST[[#This Row],[TOTAL CURRENT UNITS]]=0,0,INVESTORS_LIST[[#This Row],[TOTAL CURRENT UNITS]]*INVESTORS_LIST[[#This Row],[NAV]])</f>
        <v>2299224.2560000001</v>
      </c>
      <c r="AQ215" s="49">
        <f>IF(INVESTORS_LIST[[#This Row],[LS_TOTAL CURRENT UNITS]]=0,0,INVESTORS_LIST[[#This Row],[LS_TOTAL CURRENT UNITS]]*INVESTORS_LIST[[#This Row],[NAV]])</f>
        <v>2299224.2560000001</v>
      </c>
      <c r="AR215" s="48">
        <f>IF(INVESTORS_LIST[[#This Row],[SIP_TOTAL CURRENT UNITS]]=0,0,INVESTORS_LIST[[#This Row],[SIP_TOTAL CURRENT UNITS]]*INVESTORS_LIST[[#This Row],[NAV]])</f>
        <v>0</v>
      </c>
      <c r="AS215" s="50">
        <f>INVESTORS_LIST[[#This Row],[TOTAL CURRENT UNITS]]</f>
        <v>161644</v>
      </c>
      <c r="AT215" s="48">
        <f>IF(INVESTORS_LIST[[#This Row],[TOTAL SELLABLE UNITS]]=0,0,INVESTORS_LIST[[#This Row],[TOTAL SELLABLE UNITS]]*INVESTORS_LIST[[#This Row],[NAV]])</f>
        <v>2299224.2560000001</v>
      </c>
      <c r="AU215" s="48">
        <f>INVESTORS_LIST[[#This Row],[LS_TOTAL REALIZED GAIN]]+INVESTORS_LIST[[#This Row],[SIP_TOTAL REALIZED GAIN]]</f>
        <v>0</v>
      </c>
      <c r="AV215" s="48">
        <f>INVESTORS_LIST[[#This Row],[TOTAL MARKET VALUE]]-INVESTORS_LIST[[#This Row],[TOTAL COST VALUE OF CURRENT INVESTMENT]]</f>
        <v>299224.25600000005</v>
      </c>
      <c r="AW215" s="48">
        <f>IFERROR(INVESTORS_LIST[[#This Row],[TOTAL CURRENT UNITS]]/SUM(INVESTORS_LIST[TOTAL CURRENT UNITS]),0)</f>
        <v>3.924103349157779E-3</v>
      </c>
    </row>
    <row r="216" spans="1:49">
      <c r="A216" s="262" t="s">
        <v>480</v>
      </c>
      <c r="B216" s="97" t="s">
        <v>481</v>
      </c>
      <c r="C216" t="s">
        <v>48</v>
      </c>
      <c r="D216" s="75" t="s">
        <v>45</v>
      </c>
      <c r="E216" s="47">
        <f>SUMIFS(LS[Unit],LS[Investor ID],INVESTORS_LIST[[#This Row],[INVESTOR CODE]],LS[B/S],"B")</f>
        <v>94038</v>
      </c>
      <c r="F216" s="47">
        <f>-SUMIFS(LS[Unit],LS[Investor ID],INVESTORS_LIST[[#This Row],[INVESTOR CODE]],LS[B/S],"S")</f>
        <v>34038</v>
      </c>
      <c r="G216" s="47">
        <f>IF(INVESTORS_LIST[[#This Row],[LS_TOTAL UNITS BUY]]=0,0,INVESTORS_LIST[[#This Row],[LS_TOTAL UNITS BUY]]-INVESTORS_LIST[[#This Row],[LS_TOTAL UNITS SOLD]])</f>
        <v>60000</v>
      </c>
      <c r="H216" s="49">
        <f>IF(INVESTORS_LIST[[#This Row],[LS_TOTAL UNITS BUY]]=0,0,SUMIFS(LS[Amount],LS[Investor ID],INVESTORS_LIST[[#This Row],[INVESTOR CODE]],LS[B/S],"B"))</f>
        <v>1059325</v>
      </c>
      <c r="I216" s="48">
        <f>IF(INVESTORS_LIST[[#This Row],[LS_TOTAL UNITS SOLD]]=0,0,SUMIFS(LS[Cost of Units Sold],LS[Investor ID],INVESTORS_LIST[[#This Row],[INVESTOR CODE]],LS[B/S],"S"))</f>
        <v>357050</v>
      </c>
      <c r="J216" s="48">
        <f>IF(INVESTORS_LIST[[#This Row],[LS_TOTAL CURRENT UNITS]]=0,0,INVESTORS_LIST[[#This Row],[LS_TOTAL CURRENT UNITS]]*INVESTORS_LIST[[#This Row],[LS_AVERAGE COST]])</f>
        <v>702274.99999999988</v>
      </c>
      <c r="K216" s="49">
        <f>IF(INVESTORS_LIST[[#This Row],[LS_TOTAL UNITS SOLD]]=0,0,SUMIFS(LS[Realized Gain],LS[Investor ID],INVESTORS_LIST[[#This Row],[INVESTOR CODE]],LS[B/S],"S"))</f>
        <v>23514.120000000006</v>
      </c>
      <c r="L216" s="47">
        <f>SUMIFS(SIP[Unit],SIP[Investor ID],INVESTORS_LIST[[#This Row],[INVESTOR CODE]],SIP[B/S],"B")</f>
        <v>0</v>
      </c>
      <c r="M216" s="47">
        <f>-SUMIFS(SIP[Unit],SIP[Investor ID],INVESTORS_LIST[[#This Row],[INVESTOR CODE]],SIP[B/S],"S")</f>
        <v>0</v>
      </c>
      <c r="N216" s="50">
        <f>IF(INVESTORS_LIST[[#This Row],[SIP_TOTAL UNITS BUY]]=0,0,INVESTORS_LIST[[#This Row],[SIP_TOTAL UNITS BUY]]-INVESTORS_LIST[[#This Row],[SIP_TOTAL UNITS SOLD]])</f>
        <v>0</v>
      </c>
      <c r="O216" s="49">
        <f>IF(INVESTORS_LIST[[#This Row],[SIP_TOTAL UNITS BUY]]=0,0,SUMIFS(SIP[Amount],SIP[Investor ID],INVESTORS_LIST[[#This Row],[INVESTOR CODE]],SIP[B/S],"B"))</f>
        <v>0</v>
      </c>
      <c r="P216" s="49">
        <f>IF(INVESTORS_LIST[[#This Row],[SIP_TOTAL UNITS SOLD]]=0,0,SUMIFS(SIP[Cost of Units Sold],SIP[Investor ID],INVESTORS_LIST[[#This Row],[INVESTOR CODE]],SIP[B/S],"S"))</f>
        <v>0</v>
      </c>
      <c r="Q216" s="48">
        <f>IF(INVESTORS_LIST[[#This Row],[SIP_TOTAL CURRENT UNITS]]=0,0,INVESTORS_LIST[[#This Row],[SIP_TOTAL CURRENT UNITS]]*INVESTORS_LIST[[#This Row],[SIP_AVERAGE COST]])</f>
        <v>0</v>
      </c>
      <c r="R216" s="48">
        <f>IF(INVESTORS_LIST[[#This Row],[SIP_TOTAL UNITS SOLD]]=0,0,SUMIFS(SIP[Realized Gain],SIP[Investor ID],INVESTORS_LIST[[#This Row],[INVESTOR CODE]],SIP[B/S],"S"))</f>
        <v>0</v>
      </c>
      <c r="S216" s="50">
        <f>INVESTORS_LIST[[#This Row],[LS_TOTAL UNITS BUY]]+INVESTORS_LIST[[#This Row],[SIP_TOTAL UNITS BUY]]</f>
        <v>94038</v>
      </c>
      <c r="T216" s="50">
        <f>INVESTORS_LIST[[#This Row],[LS_TOTAL UNITS SOLD]]+INVESTORS_LIST[[#This Row],[SIP_TOTAL UNITS SOLD]]</f>
        <v>34038</v>
      </c>
      <c r="U216" s="50"/>
      <c r="V216" s="50">
        <f>SUMIFS(LS[BO UNIT TRANSFER],LS[Investor ID],INVESTORS_LIST[[#This Row],[INVESTOR CODE]],LS[B/S],"B")</f>
        <v>0</v>
      </c>
      <c r="W216" s="50">
        <f>SUMIFS(SIP[BO UNIT TRANSFER],SIP[Investor ID],INVESTORS_LIST[[#This Row],[INVESTOR CODE]],SIP[B/S],"B")</f>
        <v>0</v>
      </c>
      <c r="X216" s="50">
        <f>SUMIFS(LS[BO UNIT TRANSFER],LS[Investor ID],INVESTORS_LIST[[#This Row],[INVESTOR CODE]],LS[B/S],"S")</f>
        <v>0</v>
      </c>
      <c r="Y216" s="50">
        <f>SUMIFS(SIP[BO UNIT TRANSFER],SIP[Investor ID],INVESTORS_LIST[[#This Row],[INVESTOR CODE]],SIP[B/S],"S")</f>
        <v>0</v>
      </c>
      <c r="Z216" s="106">
        <f>SUM(INVESTORS_LIST[[#This Row],[BO OPENING BALANCE]:[BO SIP UNITS REPURCHASE]])</f>
        <v>0</v>
      </c>
      <c r="AA216" s="107">
        <f>INVESTORS_LIST[[#This Row],[TOTAL UNITS BUY]]-INVESTORS_LIST[[#This Row],[TOTAL UNITS SOLD]]</f>
        <v>60000</v>
      </c>
      <c r="AB216" s="107">
        <f>INVESTORS_LIST[[#This Row],[TOTAL CURRENT UNITS]]-INVESTORS_LIST[[#This Row],[BO UNITS HOLD]]</f>
        <v>60000</v>
      </c>
      <c r="AC216" s="201" t="e">
        <f>INDEX([3]!Table_1[BO ID],MATCH(INVESTORS_LIST[[#This Row],[INVESTOR CODE]],[3]!Table_1[INVESTOR CODE],0))</f>
        <v>#REF!</v>
      </c>
      <c r="AD216" s="201" t="e">
        <f>INDEX([3]!Table_1[Brokerage Name2],MATCH(INVESTORS_LIST[[#This Row],[INVESTOR CODE]],[3]!Table_1[INVESTOR CODE],0))</f>
        <v>#REF!</v>
      </c>
      <c r="AE216" s="201" t="e">
        <f>MID(INVESTORS_LIST[[#This Row],[BO ID]],4,5)</f>
        <v>#REF!</v>
      </c>
      <c r="AF216" s="201" t="e">
        <f>MID(INVESTORS_LIST[[#This Row],[BO ID]],2,7)</f>
        <v>#REF!</v>
      </c>
      <c r="AG216" s="201" t="e">
        <f>MID(INVESTORS_LIST[[#This Row],[BO ID]],9,7)</f>
        <v>#REF!</v>
      </c>
      <c r="AH216" s="201" t="e">
        <f>RIGHT(INVESTORS_LIST[[#This Row],[BO ID]],1)</f>
        <v>#REF!</v>
      </c>
      <c r="AI216" s="50">
        <f>INVESTORS_LIST[[#This Row],[LS_TOTAL COST VALUE OF CURRENT UNITS]]+INVESTORS_LIST[[#This Row],[SIP_TOTAL COST VALUE OF CURRENT UNITS]]</f>
        <v>702274.99999999988</v>
      </c>
      <c r="AJ216" s="109">
        <f>IF(INVESTORS_LIST[[#This Row],[TOTAL CURRENT UNITS]]=0,0,INVESTORS_LIST[[#This Row],[LS_TOTAL CURRENT UNITS]]/INVESTORS_LIST[[#This Row],[TOTAL CURRENT UNITS]])</f>
        <v>1</v>
      </c>
      <c r="AK216" s="109">
        <f>IF(INVESTORS_LIST[[#This Row],[TOTAL CURRENT UNITS]]=0,0,INVESTORS_LIST[[#This Row],[SIP_TOTAL CURRENT UNITS]]/INVESTORS_LIST[[#This Row],[TOTAL CURRENT UNITS]])</f>
        <v>0</v>
      </c>
      <c r="AL216" s="49" cm="1">
        <f t="array" ref="AL216">IF(INVESTORS_LIST[[#This Row],[LS_TOTAL UNITS BUY]]&gt;0,INDEX(LS[NAV at Cost (Average)],MATCH(CONCATENATE(COUNTIFS(LS[Investor ID],INVESTORS_LIST[[#This Row],[INVESTOR CODE]]),INVESTORS_LIST[[#This Row],[INVESTOR CODE]]),LS[Unique Code],0),),0)</f>
        <v>11.704583333333332</v>
      </c>
      <c r="AM216" s="49" cm="1">
        <f t="array" ref="AM2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6" s="105">
        <f>IF(INVESTORS_LIST[[#This Row],[TOTAL CURRENT UNITS]]=0,0,(INVESTORS_LIST[[#This Row],[LS_WEIGHT]]*INVESTORS_LIST[[#This Row],[LS_AVERAGE COST]])+(INVESTORS_LIST[[#This Row],[SIP_WEIGHT]]*INVESTORS_LIST[[#This Row],[SIP_AVERAGE COST]]))</f>
        <v>11.704583333333332</v>
      </c>
      <c r="AO216" s="105">
        <f t="shared" si="4"/>
        <v>14.224</v>
      </c>
      <c r="AP216" s="112">
        <f>IF(INVESTORS_LIST[[#This Row],[TOTAL CURRENT UNITS]]=0,0,INVESTORS_LIST[[#This Row],[TOTAL CURRENT UNITS]]*INVESTORS_LIST[[#This Row],[NAV]])</f>
        <v>853440</v>
      </c>
      <c r="AQ216" s="49">
        <f>IF(INVESTORS_LIST[[#This Row],[LS_TOTAL CURRENT UNITS]]=0,0,INVESTORS_LIST[[#This Row],[LS_TOTAL CURRENT UNITS]]*INVESTORS_LIST[[#This Row],[NAV]])</f>
        <v>853440</v>
      </c>
      <c r="AR216" s="48">
        <f>IF(INVESTORS_LIST[[#This Row],[SIP_TOTAL CURRENT UNITS]]=0,0,INVESTORS_LIST[[#This Row],[SIP_TOTAL CURRENT UNITS]]*INVESTORS_LIST[[#This Row],[NAV]])</f>
        <v>0</v>
      </c>
      <c r="AS216" s="50">
        <f>INVESTORS_LIST[[#This Row],[TOTAL CURRENT UNITS]]</f>
        <v>60000</v>
      </c>
      <c r="AT216" s="48">
        <f>IF(INVESTORS_LIST[[#This Row],[TOTAL SELLABLE UNITS]]=0,0,INVESTORS_LIST[[#This Row],[TOTAL SELLABLE UNITS]]*INVESTORS_LIST[[#This Row],[NAV]])</f>
        <v>853440</v>
      </c>
      <c r="AU216" s="48">
        <f>INVESTORS_LIST[[#This Row],[LS_TOTAL REALIZED GAIN]]+INVESTORS_LIST[[#This Row],[SIP_TOTAL REALIZED GAIN]]</f>
        <v>23514.120000000006</v>
      </c>
      <c r="AV216" s="48">
        <f>INVESTORS_LIST[[#This Row],[TOTAL MARKET VALUE]]-INVESTORS_LIST[[#This Row],[TOTAL COST VALUE OF CURRENT INVESTMENT]]</f>
        <v>151165.00000000012</v>
      </c>
      <c r="AW216" s="108">
        <f>IFERROR(INVESTORS_LIST[[#This Row],[TOTAL CURRENT UNITS]]/SUM(INVESTORS_LIST[TOTAL CURRENT UNITS]),0)</f>
        <v>1.4565724737662193E-3</v>
      </c>
    </row>
    <row r="217" spans="1:49" hidden="1">
      <c r="A217" s="262" t="s">
        <v>482</v>
      </c>
      <c r="B217" s="97" t="s">
        <v>483</v>
      </c>
      <c r="C217" t="s">
        <v>44</v>
      </c>
      <c r="D217" s="75" t="s">
        <v>45</v>
      </c>
      <c r="E217" s="47">
        <f>SUMIFS(LS[Unit],LS[Investor ID],INVESTORS_LIST[[#This Row],[INVESTOR CODE]],LS[B/S],"B")</f>
        <v>0</v>
      </c>
      <c r="F217" s="47">
        <f>-SUMIFS(LS[Unit],LS[Investor ID],INVESTORS_LIST[[#This Row],[INVESTOR CODE]],LS[B/S],"S")</f>
        <v>0</v>
      </c>
      <c r="G217" s="47">
        <f>IF(INVESTORS_LIST[[#This Row],[LS_TOTAL UNITS BUY]]=0,0,INVESTORS_LIST[[#This Row],[LS_TOTAL UNITS BUY]]-INVESTORS_LIST[[#This Row],[LS_TOTAL UNITS SOLD]])</f>
        <v>0</v>
      </c>
      <c r="H217" s="49">
        <f>IF(INVESTORS_LIST[[#This Row],[LS_TOTAL UNITS BUY]]=0,0,SUMIFS(LS[Amount],LS[Investor ID],INVESTORS_LIST[[#This Row],[INVESTOR CODE]],LS[B/S],"B"))</f>
        <v>0</v>
      </c>
      <c r="I217" s="48">
        <f>IF(INVESTORS_LIST[[#This Row],[LS_TOTAL UNITS SOLD]]=0,0,SUMIFS(LS[Cost of Units Sold],LS[Investor ID],INVESTORS_LIST[[#This Row],[INVESTOR CODE]],LS[B/S],"S"))</f>
        <v>0</v>
      </c>
      <c r="J217" s="48">
        <f>IF(INVESTORS_LIST[[#This Row],[LS_TOTAL CURRENT UNITS]]=0,0,INVESTORS_LIST[[#This Row],[LS_TOTAL CURRENT UNITS]]*INVESTORS_LIST[[#This Row],[LS_AVERAGE COST]])</f>
        <v>0</v>
      </c>
      <c r="K217" s="49">
        <f>IF(INVESTORS_LIST[[#This Row],[LS_TOTAL UNITS SOLD]]=0,0,SUMIFS(LS[Realized Gain],LS[Investor ID],INVESTORS_LIST[[#This Row],[INVESTOR CODE]],LS[B/S],"S"))</f>
        <v>0</v>
      </c>
      <c r="L217" s="47">
        <f>SUMIFS(SIP[Unit],SIP[Investor ID],INVESTORS_LIST[[#This Row],[INVESTOR CODE]],SIP[B/S],"B")</f>
        <v>5110</v>
      </c>
      <c r="M217" s="47">
        <f>-SUMIFS(SIP[Unit],SIP[Investor ID],INVESTORS_LIST[[#This Row],[INVESTOR CODE]],SIP[B/S],"S")</f>
        <v>5110</v>
      </c>
      <c r="N217" s="50">
        <f>IF(INVESTORS_LIST[[#This Row],[SIP_TOTAL UNITS BUY]]=0,0,INVESTORS_LIST[[#This Row],[SIP_TOTAL UNITS BUY]]-INVESTORS_LIST[[#This Row],[SIP_TOTAL UNITS SOLD]])</f>
        <v>0</v>
      </c>
      <c r="O217" s="49">
        <f>IF(INVESTORS_LIST[[#This Row],[SIP_TOTAL UNITS BUY]]=0,0,SUMIFS(SIP[Amount],SIP[Investor ID],INVESTORS_LIST[[#This Row],[INVESTOR CODE]],SIP[B/S],"B"))</f>
        <v>55000</v>
      </c>
      <c r="P217" s="49">
        <f>IF(INVESTORS_LIST[[#This Row],[SIP_TOTAL UNITS SOLD]]=0,0,SUMIFS(SIP[Cost of Units Sold],SIP[Investor ID],INVESTORS_LIST[[#This Row],[INVESTOR CODE]],SIP[B/S],"S"))</f>
        <v>55000</v>
      </c>
      <c r="Q217" s="48">
        <f>IF(INVESTORS_LIST[[#This Row],[SIP_TOTAL CURRENT UNITS]]=0,0,INVESTORS_LIST[[#This Row],[SIP_TOTAL CURRENT UNITS]]*INVESTORS_LIST[[#This Row],[SIP_AVERAGE COST]])</f>
        <v>0</v>
      </c>
      <c r="R217" s="48">
        <f>IF(INVESTORS_LIST[[#This Row],[SIP_TOTAL UNITS SOLD]]=0,0,SUMIFS(SIP[Realized Gain],SIP[Investor ID],INVESTORS_LIST[[#This Row],[INVESTOR CODE]],SIP[B/S],"S"))</f>
        <v>2226.8900000000012</v>
      </c>
      <c r="S217" s="50">
        <f>INVESTORS_LIST[[#This Row],[LS_TOTAL UNITS BUY]]+INVESTORS_LIST[[#This Row],[SIP_TOTAL UNITS BUY]]</f>
        <v>5110</v>
      </c>
      <c r="T217" s="50">
        <f>INVESTORS_LIST[[#This Row],[LS_TOTAL UNITS SOLD]]+INVESTORS_LIST[[#This Row],[SIP_TOTAL UNITS SOLD]]</f>
        <v>5110</v>
      </c>
      <c r="U217" s="50"/>
      <c r="V217" s="50">
        <f>SUMIFS(LS[BO UNIT TRANSFER],LS[Investor ID],INVESTORS_LIST[[#This Row],[INVESTOR CODE]],LS[B/S],"B")</f>
        <v>0</v>
      </c>
      <c r="W217" s="50">
        <f>SUMIFS(SIP[BO UNIT TRANSFER],SIP[Investor ID],INVESTORS_LIST[[#This Row],[INVESTOR CODE]],SIP[B/S],"B")</f>
        <v>0</v>
      </c>
      <c r="X217" s="50">
        <f>SUMIFS(LS[BO UNIT TRANSFER],LS[Investor ID],INVESTORS_LIST[[#This Row],[INVESTOR CODE]],LS[B/S],"S")</f>
        <v>0</v>
      </c>
      <c r="Y217" s="50">
        <f>SUMIFS(SIP[BO UNIT TRANSFER],SIP[Investor ID],INVESTORS_LIST[[#This Row],[INVESTOR CODE]],SIP[B/S],"S")</f>
        <v>0</v>
      </c>
      <c r="Z217" s="106">
        <f>SUM(INVESTORS_LIST[[#This Row],[BO OPENING BALANCE]:[BO SIP UNITS REPURCHASE]])</f>
        <v>0</v>
      </c>
      <c r="AA217" s="107">
        <f>INVESTORS_LIST[[#This Row],[TOTAL UNITS BUY]]-INVESTORS_LIST[[#This Row],[TOTAL UNITS SOLD]]</f>
        <v>0</v>
      </c>
      <c r="AB217" s="107">
        <f>INVESTORS_LIST[[#This Row],[TOTAL CURRENT UNITS]]-INVESTORS_LIST[[#This Row],[BO UNITS HOLD]]</f>
        <v>0</v>
      </c>
      <c r="AC217" s="201" t="e">
        <f>INDEX([3]!Table_1[BO ID],MATCH(INVESTORS_LIST[[#This Row],[INVESTOR CODE]],[3]!Table_1[INVESTOR CODE],0))</f>
        <v>#REF!</v>
      </c>
      <c r="AD217" s="201" t="e">
        <f>INDEX([3]!Table_1[Brokerage Name2],MATCH(INVESTORS_LIST[[#This Row],[INVESTOR CODE]],[3]!Table_1[INVESTOR CODE],0))</f>
        <v>#REF!</v>
      </c>
      <c r="AE217" s="201" t="e">
        <f>MID(INVESTORS_LIST[[#This Row],[BO ID]],4,5)</f>
        <v>#REF!</v>
      </c>
      <c r="AF217" s="201" t="e">
        <f>MID(INVESTORS_LIST[[#This Row],[BO ID]],2,7)</f>
        <v>#REF!</v>
      </c>
      <c r="AG217" s="201" t="e">
        <f>MID(INVESTORS_LIST[[#This Row],[BO ID]],9,7)</f>
        <v>#REF!</v>
      </c>
      <c r="AH217" s="201" t="e">
        <f>RIGHT(INVESTORS_LIST[[#This Row],[BO ID]],1)</f>
        <v>#REF!</v>
      </c>
      <c r="AI217" s="50">
        <f>INVESTORS_LIST[[#This Row],[LS_TOTAL COST VALUE OF CURRENT UNITS]]+INVESTORS_LIST[[#This Row],[SIP_TOTAL COST VALUE OF CURRENT UNITS]]</f>
        <v>0</v>
      </c>
      <c r="AJ217" s="109">
        <f>IF(INVESTORS_LIST[[#This Row],[TOTAL CURRENT UNITS]]=0,0,INVESTORS_LIST[[#This Row],[LS_TOTAL CURRENT UNITS]]/INVESTORS_LIST[[#This Row],[TOTAL CURRENT UNITS]])</f>
        <v>0</v>
      </c>
      <c r="AK217" s="109">
        <f>IF(INVESTORS_LIST[[#This Row],[TOTAL CURRENT UNITS]]=0,0,INVESTORS_LIST[[#This Row],[SIP_TOTAL CURRENT UNITS]]/INVESTORS_LIST[[#This Row],[TOTAL CURRENT UNITS]])</f>
        <v>0</v>
      </c>
      <c r="AL217" s="49" cm="1">
        <f t="array" ref="AL2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7" s="49" cm="1">
        <f t="array" ref="AM2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7" s="105">
        <f t="shared" si="4"/>
        <v>14.224</v>
      </c>
      <c r="AP217" s="112">
        <f>IF(INVESTORS_LIST[[#This Row],[TOTAL CURRENT UNITS]]=0,0,INVESTORS_LIST[[#This Row],[TOTAL CURRENT UNITS]]*INVESTORS_LIST[[#This Row],[NAV]])</f>
        <v>0</v>
      </c>
      <c r="AQ217" s="49">
        <f>IF(INVESTORS_LIST[[#This Row],[LS_TOTAL CURRENT UNITS]]=0,0,INVESTORS_LIST[[#This Row],[LS_TOTAL CURRENT UNITS]]*INVESTORS_LIST[[#This Row],[NAV]])</f>
        <v>0</v>
      </c>
      <c r="AR217" s="48">
        <f>IF(INVESTORS_LIST[[#This Row],[SIP_TOTAL CURRENT UNITS]]=0,0,INVESTORS_LIST[[#This Row],[SIP_TOTAL CURRENT UNITS]]*INVESTORS_LIST[[#This Row],[NAV]])</f>
        <v>0</v>
      </c>
      <c r="AS217" s="50">
        <f>INVESTORS_LIST[[#This Row],[TOTAL CURRENT UNITS]]</f>
        <v>0</v>
      </c>
      <c r="AT217" s="48">
        <f>IF(INVESTORS_LIST[[#This Row],[TOTAL SELLABLE UNITS]]=0,0,INVESTORS_LIST[[#This Row],[TOTAL SELLABLE UNITS]]*INVESTORS_LIST[[#This Row],[NAV]])</f>
        <v>0</v>
      </c>
      <c r="AU217" s="48">
        <f>INVESTORS_LIST[[#This Row],[LS_TOTAL REALIZED GAIN]]+INVESTORS_LIST[[#This Row],[SIP_TOTAL REALIZED GAIN]]</f>
        <v>2226.8900000000012</v>
      </c>
      <c r="AV217" s="48">
        <f>INVESTORS_LIST[[#This Row],[TOTAL MARKET VALUE]]-INVESTORS_LIST[[#This Row],[TOTAL COST VALUE OF CURRENT INVESTMENT]]</f>
        <v>0</v>
      </c>
      <c r="AW217" s="108">
        <f>IFERROR(INVESTORS_LIST[[#This Row],[TOTAL CURRENT UNITS]]/SUM(INVESTORS_LIST[TOTAL CURRENT UNITS]),0)</f>
        <v>0</v>
      </c>
    </row>
    <row r="218" spans="1:49" hidden="1">
      <c r="A218" s="262" t="s">
        <v>484</v>
      </c>
      <c r="B218" s="97" t="s">
        <v>485</v>
      </c>
      <c r="C218" t="s">
        <v>44</v>
      </c>
      <c r="D218" s="75" t="s">
        <v>45</v>
      </c>
      <c r="E218" s="47">
        <f>SUMIFS(LS[Unit],LS[Investor ID],INVESTORS_LIST[[#This Row],[INVESTOR CODE]],LS[B/S],"B")</f>
        <v>0</v>
      </c>
      <c r="F218" s="47">
        <f>-SUMIFS(LS[Unit],LS[Investor ID],INVESTORS_LIST[[#This Row],[INVESTOR CODE]],LS[B/S],"S")</f>
        <v>0</v>
      </c>
      <c r="G218" s="47">
        <f>IF(INVESTORS_LIST[[#This Row],[LS_TOTAL UNITS BUY]]=0,0,INVESTORS_LIST[[#This Row],[LS_TOTAL UNITS BUY]]-INVESTORS_LIST[[#This Row],[LS_TOTAL UNITS SOLD]])</f>
        <v>0</v>
      </c>
      <c r="H218" s="49">
        <f>IF(INVESTORS_LIST[[#This Row],[LS_TOTAL UNITS BUY]]=0,0,SUMIFS(LS[Amount],LS[Investor ID],INVESTORS_LIST[[#This Row],[INVESTOR CODE]],LS[B/S],"B"))</f>
        <v>0</v>
      </c>
      <c r="I218" s="48">
        <f>IF(INVESTORS_LIST[[#This Row],[LS_TOTAL UNITS SOLD]]=0,0,SUMIFS(LS[Cost of Units Sold],LS[Investor ID],INVESTORS_LIST[[#This Row],[INVESTOR CODE]],LS[B/S],"S"))</f>
        <v>0</v>
      </c>
      <c r="J218" s="48">
        <f>IF(INVESTORS_LIST[[#This Row],[LS_TOTAL CURRENT UNITS]]=0,0,INVESTORS_LIST[[#This Row],[LS_TOTAL CURRENT UNITS]]*INVESTORS_LIST[[#This Row],[LS_AVERAGE COST]])</f>
        <v>0</v>
      </c>
      <c r="K218" s="49">
        <f>IF(INVESTORS_LIST[[#This Row],[LS_TOTAL UNITS SOLD]]=0,0,SUMIFS(LS[Realized Gain],LS[Investor ID],INVESTORS_LIST[[#This Row],[INVESTOR CODE]],LS[B/S],"S"))</f>
        <v>0</v>
      </c>
      <c r="L218" s="47">
        <f>SUMIFS(SIP[Unit],SIP[Investor ID],INVESTORS_LIST[[#This Row],[INVESTOR CODE]],SIP[B/S],"B")</f>
        <v>0</v>
      </c>
      <c r="M218" s="47">
        <f>-SUMIFS(SIP[Unit],SIP[Investor ID],INVESTORS_LIST[[#This Row],[INVESTOR CODE]],SIP[B/S],"S")</f>
        <v>0</v>
      </c>
      <c r="N218" s="50">
        <f>IF(INVESTORS_LIST[[#This Row],[SIP_TOTAL UNITS BUY]]=0,0,INVESTORS_LIST[[#This Row],[SIP_TOTAL UNITS BUY]]-INVESTORS_LIST[[#This Row],[SIP_TOTAL UNITS SOLD]])</f>
        <v>0</v>
      </c>
      <c r="O218" s="49">
        <f>IF(INVESTORS_LIST[[#This Row],[SIP_TOTAL UNITS BUY]]=0,0,SUMIFS(SIP[Amount],SIP[Investor ID],INVESTORS_LIST[[#This Row],[INVESTOR CODE]],SIP[B/S],"B"))</f>
        <v>0</v>
      </c>
      <c r="P218" s="49">
        <f>IF(INVESTORS_LIST[[#This Row],[SIP_TOTAL UNITS SOLD]]=0,0,SUMIFS(SIP[Cost of Units Sold],SIP[Investor ID],INVESTORS_LIST[[#This Row],[INVESTOR CODE]],SIP[B/S],"S"))</f>
        <v>0</v>
      </c>
      <c r="Q218" s="48">
        <f>IF(INVESTORS_LIST[[#This Row],[SIP_TOTAL CURRENT UNITS]]=0,0,INVESTORS_LIST[[#This Row],[SIP_TOTAL CURRENT UNITS]]*INVESTORS_LIST[[#This Row],[SIP_AVERAGE COST]])</f>
        <v>0</v>
      </c>
      <c r="R218" s="48">
        <f>IF(INVESTORS_LIST[[#This Row],[SIP_TOTAL UNITS SOLD]]=0,0,SUMIFS(SIP[Realized Gain],SIP[Investor ID],INVESTORS_LIST[[#This Row],[INVESTOR CODE]],SIP[B/S],"S"))</f>
        <v>0</v>
      </c>
      <c r="S218" s="50">
        <f>INVESTORS_LIST[[#This Row],[LS_TOTAL UNITS BUY]]+INVESTORS_LIST[[#This Row],[SIP_TOTAL UNITS BUY]]</f>
        <v>0</v>
      </c>
      <c r="T218" s="50">
        <f>INVESTORS_LIST[[#This Row],[LS_TOTAL UNITS SOLD]]+INVESTORS_LIST[[#This Row],[SIP_TOTAL UNITS SOLD]]</f>
        <v>0</v>
      </c>
      <c r="U218" s="50"/>
      <c r="V218" s="50">
        <f>SUMIFS(LS[BO UNIT TRANSFER],LS[Investor ID],INVESTORS_LIST[[#This Row],[INVESTOR CODE]],LS[B/S],"B")</f>
        <v>0</v>
      </c>
      <c r="W218" s="50">
        <f>SUMIFS(SIP[BO UNIT TRANSFER],SIP[Investor ID],INVESTORS_LIST[[#This Row],[INVESTOR CODE]],SIP[B/S],"B")</f>
        <v>0</v>
      </c>
      <c r="X218" s="50">
        <f>SUMIFS(LS[BO UNIT TRANSFER],LS[Investor ID],INVESTORS_LIST[[#This Row],[INVESTOR CODE]],LS[B/S],"S")</f>
        <v>0</v>
      </c>
      <c r="Y218" s="50">
        <f>SUMIFS(SIP[BO UNIT TRANSFER],SIP[Investor ID],INVESTORS_LIST[[#This Row],[INVESTOR CODE]],SIP[B/S],"S")</f>
        <v>0</v>
      </c>
      <c r="Z218" s="106">
        <f>SUM(INVESTORS_LIST[[#This Row],[BO OPENING BALANCE]:[BO SIP UNITS REPURCHASE]])</f>
        <v>0</v>
      </c>
      <c r="AA218" s="107">
        <f>INVESTORS_LIST[[#This Row],[TOTAL UNITS BUY]]-INVESTORS_LIST[[#This Row],[TOTAL UNITS SOLD]]</f>
        <v>0</v>
      </c>
      <c r="AB218" s="107">
        <f>INVESTORS_LIST[[#This Row],[TOTAL CURRENT UNITS]]-INVESTORS_LIST[[#This Row],[BO UNITS HOLD]]</f>
        <v>0</v>
      </c>
      <c r="AC218" s="201" t="e">
        <f>INDEX([3]!Table_1[BO ID],MATCH(INVESTORS_LIST[[#This Row],[INVESTOR CODE]],[3]!Table_1[INVESTOR CODE],0))</f>
        <v>#REF!</v>
      </c>
      <c r="AD218" s="201" t="e">
        <f>INDEX([3]!Table_1[Brokerage Name2],MATCH(INVESTORS_LIST[[#This Row],[INVESTOR CODE]],[3]!Table_1[INVESTOR CODE],0))</f>
        <v>#REF!</v>
      </c>
      <c r="AE218" s="201" t="e">
        <f>MID(INVESTORS_LIST[[#This Row],[BO ID]],4,5)</f>
        <v>#REF!</v>
      </c>
      <c r="AF218" s="201" t="e">
        <f>MID(INVESTORS_LIST[[#This Row],[BO ID]],2,7)</f>
        <v>#REF!</v>
      </c>
      <c r="AG218" s="201" t="e">
        <f>MID(INVESTORS_LIST[[#This Row],[BO ID]],9,7)</f>
        <v>#REF!</v>
      </c>
      <c r="AH218" s="201" t="e">
        <f>RIGHT(INVESTORS_LIST[[#This Row],[BO ID]],1)</f>
        <v>#REF!</v>
      </c>
      <c r="AI218" s="50">
        <f>INVESTORS_LIST[[#This Row],[LS_TOTAL COST VALUE OF CURRENT UNITS]]+INVESTORS_LIST[[#This Row],[SIP_TOTAL COST VALUE OF CURRENT UNITS]]</f>
        <v>0</v>
      </c>
      <c r="AJ218" s="109">
        <f>IF(INVESTORS_LIST[[#This Row],[TOTAL CURRENT UNITS]]=0,0,INVESTORS_LIST[[#This Row],[LS_TOTAL CURRENT UNITS]]/INVESTORS_LIST[[#This Row],[TOTAL CURRENT UNITS]])</f>
        <v>0</v>
      </c>
      <c r="AK218" s="109">
        <f>IF(INVESTORS_LIST[[#This Row],[TOTAL CURRENT UNITS]]=0,0,INVESTORS_LIST[[#This Row],[SIP_TOTAL CURRENT UNITS]]/INVESTORS_LIST[[#This Row],[TOTAL CURRENT UNITS]])</f>
        <v>0</v>
      </c>
      <c r="AL218" s="49" cm="1">
        <f t="array" ref="AL2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8" s="49" cm="1">
        <f t="array" ref="AM2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8" s="105">
        <f t="shared" si="4"/>
        <v>14.224</v>
      </c>
      <c r="AP218" s="112">
        <f>IF(INVESTORS_LIST[[#This Row],[TOTAL CURRENT UNITS]]=0,0,INVESTORS_LIST[[#This Row],[TOTAL CURRENT UNITS]]*INVESTORS_LIST[[#This Row],[NAV]])</f>
        <v>0</v>
      </c>
      <c r="AQ218" s="49">
        <f>IF(INVESTORS_LIST[[#This Row],[LS_TOTAL CURRENT UNITS]]=0,0,INVESTORS_LIST[[#This Row],[LS_TOTAL CURRENT UNITS]]*INVESTORS_LIST[[#This Row],[NAV]])</f>
        <v>0</v>
      </c>
      <c r="AR218" s="48">
        <f>IF(INVESTORS_LIST[[#This Row],[SIP_TOTAL CURRENT UNITS]]=0,0,INVESTORS_LIST[[#This Row],[SIP_TOTAL CURRENT UNITS]]*INVESTORS_LIST[[#This Row],[NAV]])</f>
        <v>0</v>
      </c>
      <c r="AS218" s="50">
        <f>INVESTORS_LIST[[#This Row],[TOTAL CURRENT UNITS]]</f>
        <v>0</v>
      </c>
      <c r="AT218" s="48">
        <f>IF(INVESTORS_LIST[[#This Row],[TOTAL SELLABLE UNITS]]=0,0,INVESTORS_LIST[[#This Row],[TOTAL SELLABLE UNITS]]*INVESTORS_LIST[[#This Row],[NAV]])</f>
        <v>0</v>
      </c>
      <c r="AU218" s="48">
        <f>INVESTORS_LIST[[#This Row],[LS_TOTAL REALIZED GAIN]]+INVESTORS_LIST[[#This Row],[SIP_TOTAL REALIZED GAIN]]</f>
        <v>0</v>
      </c>
      <c r="AV218" s="48">
        <f>INVESTORS_LIST[[#This Row],[TOTAL MARKET VALUE]]-INVESTORS_LIST[[#This Row],[TOTAL COST VALUE OF CURRENT INVESTMENT]]</f>
        <v>0</v>
      </c>
      <c r="AW218" s="48">
        <f>IFERROR(INVESTORS_LIST[[#This Row],[TOTAL CURRENT UNITS]]/SUM(INVESTORS_LIST[TOTAL CURRENT UNITS]),0)</f>
        <v>0</v>
      </c>
    </row>
    <row r="219" spans="1:49" hidden="1">
      <c r="A219" s="262" t="s">
        <v>486</v>
      </c>
      <c r="B219" s="97" t="s">
        <v>487</v>
      </c>
      <c r="C219" t="s">
        <v>44</v>
      </c>
      <c r="D219" s="75" t="s">
        <v>45</v>
      </c>
      <c r="E219" s="47">
        <f>SUMIFS(LS[Unit],LS[Investor ID],INVESTORS_LIST[[#This Row],[INVESTOR CODE]],LS[B/S],"B")</f>
        <v>0</v>
      </c>
      <c r="F219" s="47">
        <f>-SUMIFS(LS[Unit],LS[Investor ID],INVESTORS_LIST[[#This Row],[INVESTOR CODE]],LS[B/S],"S")</f>
        <v>0</v>
      </c>
      <c r="G219" s="47">
        <f>IF(INVESTORS_LIST[[#This Row],[LS_TOTAL UNITS BUY]]=0,0,INVESTORS_LIST[[#This Row],[LS_TOTAL UNITS BUY]]-INVESTORS_LIST[[#This Row],[LS_TOTAL UNITS SOLD]])</f>
        <v>0</v>
      </c>
      <c r="H219" s="49">
        <f>IF(INVESTORS_LIST[[#This Row],[LS_TOTAL UNITS BUY]]=0,0,SUMIFS(LS[Amount],LS[Investor ID],INVESTORS_LIST[[#This Row],[INVESTOR CODE]],LS[B/S],"B"))</f>
        <v>0</v>
      </c>
      <c r="I219" s="48">
        <f>IF(INVESTORS_LIST[[#This Row],[LS_TOTAL UNITS SOLD]]=0,0,SUMIFS(LS[Cost of Units Sold],LS[Investor ID],INVESTORS_LIST[[#This Row],[INVESTOR CODE]],LS[B/S],"S"))</f>
        <v>0</v>
      </c>
      <c r="J219" s="48">
        <f>IF(INVESTORS_LIST[[#This Row],[LS_TOTAL CURRENT UNITS]]=0,0,INVESTORS_LIST[[#This Row],[LS_TOTAL CURRENT UNITS]]*INVESTORS_LIST[[#This Row],[LS_AVERAGE COST]])</f>
        <v>0</v>
      </c>
      <c r="K219" s="49">
        <f>IF(INVESTORS_LIST[[#This Row],[LS_TOTAL UNITS SOLD]]=0,0,SUMIFS(LS[Realized Gain],LS[Investor ID],INVESTORS_LIST[[#This Row],[INVESTOR CODE]],LS[B/S],"S"))</f>
        <v>0</v>
      </c>
      <c r="L219" s="47">
        <f>SUMIFS(SIP[Unit],SIP[Investor ID],INVESTORS_LIST[[#This Row],[INVESTOR CODE]],SIP[B/S],"B")</f>
        <v>0</v>
      </c>
      <c r="M219" s="47">
        <f>-SUMIFS(SIP[Unit],SIP[Investor ID],INVESTORS_LIST[[#This Row],[INVESTOR CODE]],SIP[B/S],"S")</f>
        <v>0</v>
      </c>
      <c r="N219" s="50">
        <f>IF(INVESTORS_LIST[[#This Row],[SIP_TOTAL UNITS BUY]]=0,0,INVESTORS_LIST[[#This Row],[SIP_TOTAL UNITS BUY]]-INVESTORS_LIST[[#This Row],[SIP_TOTAL UNITS SOLD]])</f>
        <v>0</v>
      </c>
      <c r="O219" s="49">
        <f>IF(INVESTORS_LIST[[#This Row],[SIP_TOTAL UNITS BUY]]=0,0,SUMIFS(SIP[Amount],SIP[Investor ID],INVESTORS_LIST[[#This Row],[INVESTOR CODE]],SIP[B/S],"B"))</f>
        <v>0</v>
      </c>
      <c r="P219" s="49">
        <f>IF(INVESTORS_LIST[[#This Row],[SIP_TOTAL UNITS SOLD]]=0,0,SUMIFS(SIP[Cost of Units Sold],SIP[Investor ID],INVESTORS_LIST[[#This Row],[INVESTOR CODE]],SIP[B/S],"S"))</f>
        <v>0</v>
      </c>
      <c r="Q219" s="48">
        <f>IF(INVESTORS_LIST[[#This Row],[SIP_TOTAL CURRENT UNITS]]=0,0,INVESTORS_LIST[[#This Row],[SIP_TOTAL CURRENT UNITS]]*INVESTORS_LIST[[#This Row],[SIP_AVERAGE COST]])</f>
        <v>0</v>
      </c>
      <c r="R219" s="48">
        <f>IF(INVESTORS_LIST[[#This Row],[SIP_TOTAL UNITS SOLD]]=0,0,SUMIFS(SIP[Realized Gain],SIP[Investor ID],INVESTORS_LIST[[#This Row],[INVESTOR CODE]],SIP[B/S],"S"))</f>
        <v>0</v>
      </c>
      <c r="S219" s="50">
        <f>INVESTORS_LIST[[#This Row],[LS_TOTAL UNITS BUY]]+INVESTORS_LIST[[#This Row],[SIP_TOTAL UNITS BUY]]</f>
        <v>0</v>
      </c>
      <c r="T219" s="50">
        <f>INVESTORS_LIST[[#This Row],[LS_TOTAL UNITS SOLD]]+INVESTORS_LIST[[#This Row],[SIP_TOTAL UNITS SOLD]]</f>
        <v>0</v>
      </c>
      <c r="U219" s="50"/>
      <c r="V219" s="50">
        <f>SUMIFS(LS[BO UNIT TRANSFER],LS[Investor ID],INVESTORS_LIST[[#This Row],[INVESTOR CODE]],LS[B/S],"B")</f>
        <v>0</v>
      </c>
      <c r="W219" s="50">
        <f>SUMIFS(SIP[BO UNIT TRANSFER],SIP[Investor ID],INVESTORS_LIST[[#This Row],[INVESTOR CODE]],SIP[B/S],"B")</f>
        <v>0</v>
      </c>
      <c r="X219" s="50">
        <f>SUMIFS(LS[BO UNIT TRANSFER],LS[Investor ID],INVESTORS_LIST[[#This Row],[INVESTOR CODE]],LS[B/S],"S")</f>
        <v>0</v>
      </c>
      <c r="Y219" s="50">
        <f>SUMIFS(SIP[BO UNIT TRANSFER],SIP[Investor ID],INVESTORS_LIST[[#This Row],[INVESTOR CODE]],SIP[B/S],"S")</f>
        <v>0</v>
      </c>
      <c r="Z219" s="106">
        <f>SUM(INVESTORS_LIST[[#This Row],[BO OPENING BALANCE]:[BO SIP UNITS REPURCHASE]])</f>
        <v>0</v>
      </c>
      <c r="AA219" s="107">
        <f>INVESTORS_LIST[[#This Row],[TOTAL UNITS BUY]]-INVESTORS_LIST[[#This Row],[TOTAL UNITS SOLD]]</f>
        <v>0</v>
      </c>
      <c r="AB219" s="107">
        <f>INVESTORS_LIST[[#This Row],[TOTAL CURRENT UNITS]]-INVESTORS_LIST[[#This Row],[BO UNITS HOLD]]</f>
        <v>0</v>
      </c>
      <c r="AC219" s="201" t="e">
        <f>INDEX([3]!Table_1[BO ID],MATCH(INVESTORS_LIST[[#This Row],[INVESTOR CODE]],[3]!Table_1[INVESTOR CODE],0))</f>
        <v>#REF!</v>
      </c>
      <c r="AD219" s="201" t="e">
        <f>INDEX([3]!Table_1[Brokerage Name2],MATCH(INVESTORS_LIST[[#This Row],[INVESTOR CODE]],[3]!Table_1[INVESTOR CODE],0))</f>
        <v>#REF!</v>
      </c>
      <c r="AE219" s="201" t="e">
        <f>MID(INVESTORS_LIST[[#This Row],[BO ID]],4,5)</f>
        <v>#REF!</v>
      </c>
      <c r="AF219" s="201" t="e">
        <f>MID(INVESTORS_LIST[[#This Row],[BO ID]],2,7)</f>
        <v>#REF!</v>
      </c>
      <c r="AG219" s="201" t="e">
        <f>MID(INVESTORS_LIST[[#This Row],[BO ID]],9,7)</f>
        <v>#REF!</v>
      </c>
      <c r="AH219" s="201" t="e">
        <f>RIGHT(INVESTORS_LIST[[#This Row],[BO ID]],1)</f>
        <v>#REF!</v>
      </c>
      <c r="AI219" s="50">
        <f>INVESTORS_LIST[[#This Row],[LS_TOTAL COST VALUE OF CURRENT UNITS]]+INVESTORS_LIST[[#This Row],[SIP_TOTAL COST VALUE OF CURRENT UNITS]]</f>
        <v>0</v>
      </c>
      <c r="AJ219" s="109">
        <f>IF(INVESTORS_LIST[[#This Row],[TOTAL CURRENT UNITS]]=0,0,INVESTORS_LIST[[#This Row],[LS_TOTAL CURRENT UNITS]]/INVESTORS_LIST[[#This Row],[TOTAL CURRENT UNITS]])</f>
        <v>0</v>
      </c>
      <c r="AK219" s="109">
        <f>IF(INVESTORS_LIST[[#This Row],[TOTAL CURRENT UNITS]]=0,0,INVESTORS_LIST[[#This Row],[SIP_TOTAL CURRENT UNITS]]/INVESTORS_LIST[[#This Row],[TOTAL CURRENT UNITS]])</f>
        <v>0</v>
      </c>
      <c r="AL219" s="49" cm="1">
        <f t="array" ref="AL2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19" s="49" cm="1">
        <f t="array" ref="AM2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19" s="105">
        <f t="shared" si="4"/>
        <v>14.224</v>
      </c>
      <c r="AP219" s="112">
        <f>IF(INVESTORS_LIST[[#This Row],[TOTAL CURRENT UNITS]]=0,0,INVESTORS_LIST[[#This Row],[TOTAL CURRENT UNITS]]*INVESTORS_LIST[[#This Row],[NAV]])</f>
        <v>0</v>
      </c>
      <c r="AQ219" s="49">
        <f>IF(INVESTORS_LIST[[#This Row],[LS_TOTAL CURRENT UNITS]]=0,0,INVESTORS_LIST[[#This Row],[LS_TOTAL CURRENT UNITS]]*INVESTORS_LIST[[#This Row],[NAV]])</f>
        <v>0</v>
      </c>
      <c r="AR219" s="48">
        <f>IF(INVESTORS_LIST[[#This Row],[SIP_TOTAL CURRENT UNITS]]=0,0,INVESTORS_LIST[[#This Row],[SIP_TOTAL CURRENT UNITS]]*INVESTORS_LIST[[#This Row],[NAV]])</f>
        <v>0</v>
      </c>
      <c r="AS219" s="50">
        <f>INVESTORS_LIST[[#This Row],[TOTAL CURRENT UNITS]]</f>
        <v>0</v>
      </c>
      <c r="AT219" s="48">
        <f>IF(INVESTORS_LIST[[#This Row],[TOTAL SELLABLE UNITS]]=0,0,INVESTORS_LIST[[#This Row],[TOTAL SELLABLE UNITS]]*INVESTORS_LIST[[#This Row],[NAV]])</f>
        <v>0</v>
      </c>
      <c r="AU219" s="48">
        <f>INVESTORS_LIST[[#This Row],[LS_TOTAL REALIZED GAIN]]+INVESTORS_LIST[[#This Row],[SIP_TOTAL REALIZED GAIN]]</f>
        <v>0</v>
      </c>
      <c r="AV219" s="48">
        <f>INVESTORS_LIST[[#This Row],[TOTAL MARKET VALUE]]-INVESTORS_LIST[[#This Row],[TOTAL COST VALUE OF CURRENT INVESTMENT]]</f>
        <v>0</v>
      </c>
      <c r="AW219" s="48">
        <f>IFERROR(INVESTORS_LIST[[#This Row],[TOTAL CURRENT UNITS]]/SUM(INVESTORS_LIST[TOTAL CURRENT UNITS]),0)</f>
        <v>0</v>
      </c>
    </row>
    <row r="220" spans="1:49" hidden="1">
      <c r="A220" s="262" t="s">
        <v>488</v>
      </c>
      <c r="B220" s="97" t="s">
        <v>489</v>
      </c>
      <c r="C220" t="s">
        <v>44</v>
      </c>
      <c r="D220" s="75" t="s">
        <v>45</v>
      </c>
      <c r="E220" s="47">
        <f>SUMIFS(LS[Unit],LS[Investor ID],INVESTORS_LIST[[#This Row],[INVESTOR CODE]],LS[B/S],"B")</f>
        <v>0</v>
      </c>
      <c r="F220" s="47">
        <f>-SUMIFS(LS[Unit],LS[Investor ID],INVESTORS_LIST[[#This Row],[INVESTOR CODE]],LS[B/S],"S")</f>
        <v>0</v>
      </c>
      <c r="G220" s="47">
        <f>IF(INVESTORS_LIST[[#This Row],[LS_TOTAL UNITS BUY]]=0,0,INVESTORS_LIST[[#This Row],[LS_TOTAL UNITS BUY]]-INVESTORS_LIST[[#This Row],[LS_TOTAL UNITS SOLD]])</f>
        <v>0</v>
      </c>
      <c r="H220" s="49">
        <f>IF(INVESTORS_LIST[[#This Row],[LS_TOTAL UNITS BUY]]=0,0,SUMIFS(LS[Amount],LS[Investor ID],INVESTORS_LIST[[#This Row],[INVESTOR CODE]],LS[B/S],"B"))</f>
        <v>0</v>
      </c>
      <c r="I220" s="48">
        <f>IF(INVESTORS_LIST[[#This Row],[LS_TOTAL UNITS SOLD]]=0,0,SUMIFS(LS[Cost of Units Sold],LS[Investor ID],INVESTORS_LIST[[#This Row],[INVESTOR CODE]],LS[B/S],"S"))</f>
        <v>0</v>
      </c>
      <c r="J220" s="48">
        <f>IF(INVESTORS_LIST[[#This Row],[LS_TOTAL CURRENT UNITS]]=0,0,INVESTORS_LIST[[#This Row],[LS_TOTAL CURRENT UNITS]]*INVESTORS_LIST[[#This Row],[LS_AVERAGE COST]])</f>
        <v>0</v>
      </c>
      <c r="K220" s="49">
        <f>IF(INVESTORS_LIST[[#This Row],[LS_TOTAL UNITS SOLD]]=0,0,SUMIFS(LS[Realized Gain],LS[Investor ID],INVESTORS_LIST[[#This Row],[INVESTOR CODE]],LS[B/S],"S"))</f>
        <v>0</v>
      </c>
      <c r="L220" s="47">
        <f>SUMIFS(SIP[Unit],SIP[Investor ID],INVESTORS_LIST[[#This Row],[INVESTOR CODE]],SIP[B/S],"B")</f>
        <v>0</v>
      </c>
      <c r="M220" s="47">
        <f>-SUMIFS(SIP[Unit],SIP[Investor ID],INVESTORS_LIST[[#This Row],[INVESTOR CODE]],SIP[B/S],"S")</f>
        <v>0</v>
      </c>
      <c r="N220" s="50">
        <f>IF(INVESTORS_LIST[[#This Row],[SIP_TOTAL UNITS BUY]]=0,0,INVESTORS_LIST[[#This Row],[SIP_TOTAL UNITS BUY]]-INVESTORS_LIST[[#This Row],[SIP_TOTAL UNITS SOLD]])</f>
        <v>0</v>
      </c>
      <c r="O220" s="49">
        <f>IF(INVESTORS_LIST[[#This Row],[SIP_TOTAL UNITS BUY]]=0,0,SUMIFS(SIP[Amount],SIP[Investor ID],INVESTORS_LIST[[#This Row],[INVESTOR CODE]],SIP[B/S],"B"))</f>
        <v>0</v>
      </c>
      <c r="P220" s="49">
        <f>IF(INVESTORS_LIST[[#This Row],[SIP_TOTAL UNITS SOLD]]=0,0,SUMIFS(SIP[Cost of Units Sold],SIP[Investor ID],INVESTORS_LIST[[#This Row],[INVESTOR CODE]],SIP[B/S],"S"))</f>
        <v>0</v>
      </c>
      <c r="Q220" s="48">
        <f>IF(INVESTORS_LIST[[#This Row],[SIP_TOTAL CURRENT UNITS]]=0,0,INVESTORS_LIST[[#This Row],[SIP_TOTAL CURRENT UNITS]]*INVESTORS_LIST[[#This Row],[SIP_AVERAGE COST]])</f>
        <v>0</v>
      </c>
      <c r="R220" s="48">
        <f>IF(INVESTORS_LIST[[#This Row],[SIP_TOTAL UNITS SOLD]]=0,0,SUMIFS(SIP[Realized Gain],SIP[Investor ID],INVESTORS_LIST[[#This Row],[INVESTOR CODE]],SIP[B/S],"S"))</f>
        <v>0</v>
      </c>
      <c r="S220" s="50">
        <f>INVESTORS_LIST[[#This Row],[LS_TOTAL UNITS BUY]]+INVESTORS_LIST[[#This Row],[SIP_TOTAL UNITS BUY]]</f>
        <v>0</v>
      </c>
      <c r="T220" s="50">
        <f>INVESTORS_LIST[[#This Row],[LS_TOTAL UNITS SOLD]]+INVESTORS_LIST[[#This Row],[SIP_TOTAL UNITS SOLD]]</f>
        <v>0</v>
      </c>
      <c r="U220" s="50"/>
      <c r="V220" s="50">
        <f>SUMIFS(LS[BO UNIT TRANSFER],LS[Investor ID],INVESTORS_LIST[[#This Row],[INVESTOR CODE]],LS[B/S],"B")</f>
        <v>0</v>
      </c>
      <c r="W220" s="50">
        <f>SUMIFS(SIP[BO UNIT TRANSFER],SIP[Investor ID],INVESTORS_LIST[[#This Row],[INVESTOR CODE]],SIP[B/S],"B")</f>
        <v>0</v>
      </c>
      <c r="X220" s="50">
        <f>SUMIFS(LS[BO UNIT TRANSFER],LS[Investor ID],INVESTORS_LIST[[#This Row],[INVESTOR CODE]],LS[B/S],"S")</f>
        <v>0</v>
      </c>
      <c r="Y220" s="50">
        <f>SUMIFS(SIP[BO UNIT TRANSFER],SIP[Investor ID],INVESTORS_LIST[[#This Row],[INVESTOR CODE]],SIP[B/S],"S")</f>
        <v>0</v>
      </c>
      <c r="Z220" s="106">
        <f>SUM(INVESTORS_LIST[[#This Row],[BO OPENING BALANCE]:[BO SIP UNITS REPURCHASE]])</f>
        <v>0</v>
      </c>
      <c r="AA220" s="107">
        <f>INVESTORS_LIST[[#This Row],[TOTAL UNITS BUY]]-INVESTORS_LIST[[#This Row],[TOTAL UNITS SOLD]]</f>
        <v>0</v>
      </c>
      <c r="AB220" s="107">
        <f>INVESTORS_LIST[[#This Row],[TOTAL CURRENT UNITS]]-INVESTORS_LIST[[#This Row],[BO UNITS HOLD]]</f>
        <v>0</v>
      </c>
      <c r="AC220" s="201" t="e">
        <f>INDEX([3]!Table_1[BO ID],MATCH(INVESTORS_LIST[[#This Row],[INVESTOR CODE]],[3]!Table_1[INVESTOR CODE],0))</f>
        <v>#REF!</v>
      </c>
      <c r="AD220" s="201" t="e">
        <f>INDEX([3]!Table_1[Brokerage Name2],MATCH(INVESTORS_LIST[[#This Row],[INVESTOR CODE]],[3]!Table_1[INVESTOR CODE],0))</f>
        <v>#REF!</v>
      </c>
      <c r="AE220" s="201" t="e">
        <f>MID(INVESTORS_LIST[[#This Row],[BO ID]],4,5)</f>
        <v>#REF!</v>
      </c>
      <c r="AF220" s="201" t="e">
        <f>MID(INVESTORS_LIST[[#This Row],[BO ID]],2,7)</f>
        <v>#REF!</v>
      </c>
      <c r="AG220" s="201" t="e">
        <f>MID(INVESTORS_LIST[[#This Row],[BO ID]],9,7)</f>
        <v>#REF!</v>
      </c>
      <c r="AH220" s="201" t="e">
        <f>RIGHT(INVESTORS_LIST[[#This Row],[BO ID]],1)</f>
        <v>#REF!</v>
      </c>
      <c r="AI220" s="50">
        <f>INVESTORS_LIST[[#This Row],[LS_TOTAL COST VALUE OF CURRENT UNITS]]+INVESTORS_LIST[[#This Row],[SIP_TOTAL COST VALUE OF CURRENT UNITS]]</f>
        <v>0</v>
      </c>
      <c r="AJ220" s="109">
        <f>IF(INVESTORS_LIST[[#This Row],[TOTAL CURRENT UNITS]]=0,0,INVESTORS_LIST[[#This Row],[LS_TOTAL CURRENT UNITS]]/INVESTORS_LIST[[#This Row],[TOTAL CURRENT UNITS]])</f>
        <v>0</v>
      </c>
      <c r="AK220" s="109">
        <f>IF(INVESTORS_LIST[[#This Row],[TOTAL CURRENT UNITS]]=0,0,INVESTORS_LIST[[#This Row],[SIP_TOTAL CURRENT UNITS]]/INVESTORS_LIST[[#This Row],[TOTAL CURRENT UNITS]])</f>
        <v>0</v>
      </c>
      <c r="AL220" s="49" cm="1">
        <f t="array" ref="AL2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0" s="49" cm="1">
        <f t="array" ref="AM2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0" s="105">
        <f t="shared" si="4"/>
        <v>14.224</v>
      </c>
      <c r="AP220" s="112">
        <f>IF(INVESTORS_LIST[[#This Row],[TOTAL CURRENT UNITS]]=0,0,INVESTORS_LIST[[#This Row],[TOTAL CURRENT UNITS]]*INVESTORS_LIST[[#This Row],[NAV]])</f>
        <v>0</v>
      </c>
      <c r="AQ220" s="49">
        <f>IF(INVESTORS_LIST[[#This Row],[LS_TOTAL CURRENT UNITS]]=0,0,INVESTORS_LIST[[#This Row],[LS_TOTAL CURRENT UNITS]]*INVESTORS_LIST[[#This Row],[NAV]])</f>
        <v>0</v>
      </c>
      <c r="AR220" s="48">
        <f>IF(INVESTORS_LIST[[#This Row],[SIP_TOTAL CURRENT UNITS]]=0,0,INVESTORS_LIST[[#This Row],[SIP_TOTAL CURRENT UNITS]]*INVESTORS_LIST[[#This Row],[NAV]])</f>
        <v>0</v>
      </c>
      <c r="AS220" s="50">
        <f>INVESTORS_LIST[[#This Row],[TOTAL CURRENT UNITS]]</f>
        <v>0</v>
      </c>
      <c r="AT220" s="48">
        <f>IF(INVESTORS_LIST[[#This Row],[TOTAL SELLABLE UNITS]]=0,0,INVESTORS_LIST[[#This Row],[TOTAL SELLABLE UNITS]]*INVESTORS_LIST[[#This Row],[NAV]])</f>
        <v>0</v>
      </c>
      <c r="AU220" s="48">
        <f>INVESTORS_LIST[[#This Row],[LS_TOTAL REALIZED GAIN]]+INVESTORS_LIST[[#This Row],[SIP_TOTAL REALIZED GAIN]]</f>
        <v>0</v>
      </c>
      <c r="AV220" s="48">
        <f>INVESTORS_LIST[[#This Row],[TOTAL MARKET VALUE]]-INVESTORS_LIST[[#This Row],[TOTAL COST VALUE OF CURRENT INVESTMENT]]</f>
        <v>0</v>
      </c>
      <c r="AW220" s="48">
        <f>IFERROR(INVESTORS_LIST[[#This Row],[TOTAL CURRENT UNITS]]/SUM(INVESTORS_LIST[TOTAL CURRENT UNITS]),0)</f>
        <v>0</v>
      </c>
    </row>
    <row r="221" spans="1:49" hidden="1">
      <c r="A221" s="262" t="s">
        <v>490</v>
      </c>
      <c r="B221" s="97" t="s">
        <v>491</v>
      </c>
      <c r="C221" t="s">
        <v>44</v>
      </c>
      <c r="D221" s="75" t="s">
        <v>45</v>
      </c>
      <c r="E221" s="47">
        <f>SUMIFS(LS[Unit],LS[Investor ID],INVESTORS_LIST[[#This Row],[INVESTOR CODE]],LS[B/S],"B")</f>
        <v>0</v>
      </c>
      <c r="F221" s="47">
        <f>-SUMIFS(LS[Unit],LS[Investor ID],INVESTORS_LIST[[#This Row],[INVESTOR CODE]],LS[B/S],"S")</f>
        <v>0</v>
      </c>
      <c r="G221" s="47">
        <f>IF(INVESTORS_LIST[[#This Row],[LS_TOTAL UNITS BUY]]=0,0,INVESTORS_LIST[[#This Row],[LS_TOTAL UNITS BUY]]-INVESTORS_LIST[[#This Row],[LS_TOTAL UNITS SOLD]])</f>
        <v>0</v>
      </c>
      <c r="H221" s="49">
        <f>IF(INVESTORS_LIST[[#This Row],[LS_TOTAL UNITS BUY]]=0,0,SUMIFS(LS[Amount],LS[Investor ID],INVESTORS_LIST[[#This Row],[INVESTOR CODE]],LS[B/S],"B"))</f>
        <v>0</v>
      </c>
      <c r="I221" s="48">
        <f>IF(INVESTORS_LIST[[#This Row],[LS_TOTAL UNITS SOLD]]=0,0,SUMIFS(LS[Cost of Units Sold],LS[Investor ID],INVESTORS_LIST[[#This Row],[INVESTOR CODE]],LS[B/S],"S"))</f>
        <v>0</v>
      </c>
      <c r="J221" s="48">
        <f>IF(INVESTORS_LIST[[#This Row],[LS_TOTAL CURRENT UNITS]]=0,0,INVESTORS_LIST[[#This Row],[LS_TOTAL CURRENT UNITS]]*INVESTORS_LIST[[#This Row],[LS_AVERAGE COST]])</f>
        <v>0</v>
      </c>
      <c r="K221" s="49">
        <f>IF(INVESTORS_LIST[[#This Row],[LS_TOTAL UNITS SOLD]]=0,0,SUMIFS(LS[Realized Gain],LS[Investor ID],INVESTORS_LIST[[#This Row],[INVESTOR CODE]],LS[B/S],"S"))</f>
        <v>0</v>
      </c>
      <c r="L221" s="47">
        <f>SUMIFS(SIP[Unit],SIP[Investor ID],INVESTORS_LIST[[#This Row],[INVESTOR CODE]],SIP[B/S],"B")</f>
        <v>0</v>
      </c>
      <c r="M221" s="47">
        <f>-SUMIFS(SIP[Unit],SIP[Investor ID],INVESTORS_LIST[[#This Row],[INVESTOR CODE]],SIP[B/S],"S")</f>
        <v>0</v>
      </c>
      <c r="N221" s="50">
        <f>IF(INVESTORS_LIST[[#This Row],[SIP_TOTAL UNITS BUY]]=0,0,INVESTORS_LIST[[#This Row],[SIP_TOTAL UNITS BUY]]-INVESTORS_LIST[[#This Row],[SIP_TOTAL UNITS SOLD]])</f>
        <v>0</v>
      </c>
      <c r="O221" s="49">
        <f>IF(INVESTORS_LIST[[#This Row],[SIP_TOTAL UNITS BUY]]=0,0,SUMIFS(SIP[Amount],SIP[Investor ID],INVESTORS_LIST[[#This Row],[INVESTOR CODE]],SIP[B/S],"B"))</f>
        <v>0</v>
      </c>
      <c r="P221" s="49">
        <f>IF(INVESTORS_LIST[[#This Row],[SIP_TOTAL UNITS SOLD]]=0,0,SUMIFS(SIP[Cost of Units Sold],SIP[Investor ID],INVESTORS_LIST[[#This Row],[INVESTOR CODE]],SIP[B/S],"S"))</f>
        <v>0</v>
      </c>
      <c r="Q221" s="48">
        <f>IF(INVESTORS_LIST[[#This Row],[SIP_TOTAL CURRENT UNITS]]=0,0,INVESTORS_LIST[[#This Row],[SIP_TOTAL CURRENT UNITS]]*INVESTORS_LIST[[#This Row],[SIP_AVERAGE COST]])</f>
        <v>0</v>
      </c>
      <c r="R221" s="48">
        <f>IF(INVESTORS_LIST[[#This Row],[SIP_TOTAL UNITS SOLD]]=0,0,SUMIFS(SIP[Realized Gain],SIP[Investor ID],INVESTORS_LIST[[#This Row],[INVESTOR CODE]],SIP[B/S],"S"))</f>
        <v>0</v>
      </c>
      <c r="S221" s="50">
        <f>INVESTORS_LIST[[#This Row],[LS_TOTAL UNITS BUY]]+INVESTORS_LIST[[#This Row],[SIP_TOTAL UNITS BUY]]</f>
        <v>0</v>
      </c>
      <c r="T221" s="50">
        <f>INVESTORS_LIST[[#This Row],[LS_TOTAL UNITS SOLD]]+INVESTORS_LIST[[#This Row],[SIP_TOTAL UNITS SOLD]]</f>
        <v>0</v>
      </c>
      <c r="U221" s="50"/>
      <c r="V221" s="50">
        <f>SUMIFS(LS[BO UNIT TRANSFER],LS[Investor ID],INVESTORS_LIST[[#This Row],[INVESTOR CODE]],LS[B/S],"B")</f>
        <v>0</v>
      </c>
      <c r="W221" s="50">
        <f>SUMIFS(SIP[BO UNIT TRANSFER],SIP[Investor ID],INVESTORS_LIST[[#This Row],[INVESTOR CODE]],SIP[B/S],"B")</f>
        <v>0</v>
      </c>
      <c r="X221" s="50">
        <f>SUMIFS(LS[BO UNIT TRANSFER],LS[Investor ID],INVESTORS_LIST[[#This Row],[INVESTOR CODE]],LS[B/S],"S")</f>
        <v>0</v>
      </c>
      <c r="Y221" s="50">
        <f>SUMIFS(SIP[BO UNIT TRANSFER],SIP[Investor ID],INVESTORS_LIST[[#This Row],[INVESTOR CODE]],SIP[B/S],"S")</f>
        <v>0</v>
      </c>
      <c r="Z221" s="106">
        <f>SUM(INVESTORS_LIST[[#This Row],[BO OPENING BALANCE]:[BO SIP UNITS REPURCHASE]])</f>
        <v>0</v>
      </c>
      <c r="AA221" s="107">
        <f>INVESTORS_LIST[[#This Row],[TOTAL UNITS BUY]]-INVESTORS_LIST[[#This Row],[TOTAL UNITS SOLD]]</f>
        <v>0</v>
      </c>
      <c r="AB221" s="107">
        <f>INVESTORS_LIST[[#This Row],[TOTAL CURRENT UNITS]]-INVESTORS_LIST[[#This Row],[BO UNITS HOLD]]</f>
        <v>0</v>
      </c>
      <c r="AC221" s="201" t="e">
        <f>INDEX([3]!Table_1[BO ID],MATCH(INVESTORS_LIST[[#This Row],[INVESTOR CODE]],[3]!Table_1[INVESTOR CODE],0))</f>
        <v>#REF!</v>
      </c>
      <c r="AD221" s="201" t="e">
        <f>INDEX([3]!Table_1[Brokerage Name2],MATCH(INVESTORS_LIST[[#This Row],[INVESTOR CODE]],[3]!Table_1[INVESTOR CODE],0))</f>
        <v>#REF!</v>
      </c>
      <c r="AE221" s="201" t="e">
        <f>MID(INVESTORS_LIST[[#This Row],[BO ID]],4,5)</f>
        <v>#REF!</v>
      </c>
      <c r="AF221" s="201" t="e">
        <f>MID(INVESTORS_LIST[[#This Row],[BO ID]],2,7)</f>
        <v>#REF!</v>
      </c>
      <c r="AG221" s="201" t="e">
        <f>MID(INVESTORS_LIST[[#This Row],[BO ID]],9,7)</f>
        <v>#REF!</v>
      </c>
      <c r="AH221" s="201" t="e">
        <f>RIGHT(INVESTORS_LIST[[#This Row],[BO ID]],1)</f>
        <v>#REF!</v>
      </c>
      <c r="AI221" s="50">
        <f>INVESTORS_LIST[[#This Row],[LS_TOTAL COST VALUE OF CURRENT UNITS]]+INVESTORS_LIST[[#This Row],[SIP_TOTAL COST VALUE OF CURRENT UNITS]]</f>
        <v>0</v>
      </c>
      <c r="AJ221" s="109">
        <f>IF(INVESTORS_LIST[[#This Row],[TOTAL CURRENT UNITS]]=0,0,INVESTORS_LIST[[#This Row],[LS_TOTAL CURRENT UNITS]]/INVESTORS_LIST[[#This Row],[TOTAL CURRENT UNITS]])</f>
        <v>0</v>
      </c>
      <c r="AK221" s="109">
        <f>IF(INVESTORS_LIST[[#This Row],[TOTAL CURRENT UNITS]]=0,0,INVESTORS_LIST[[#This Row],[SIP_TOTAL CURRENT UNITS]]/INVESTORS_LIST[[#This Row],[TOTAL CURRENT UNITS]])</f>
        <v>0</v>
      </c>
      <c r="AL221" s="49" cm="1">
        <f t="array" ref="AL2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1" s="49" cm="1">
        <f t="array" ref="AM2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1" s="105">
        <f t="shared" si="4"/>
        <v>14.224</v>
      </c>
      <c r="AP221" s="112">
        <f>IF(INVESTORS_LIST[[#This Row],[TOTAL CURRENT UNITS]]=0,0,INVESTORS_LIST[[#This Row],[TOTAL CURRENT UNITS]]*INVESTORS_LIST[[#This Row],[NAV]])</f>
        <v>0</v>
      </c>
      <c r="AQ221" s="49">
        <f>IF(INVESTORS_LIST[[#This Row],[LS_TOTAL CURRENT UNITS]]=0,0,INVESTORS_LIST[[#This Row],[LS_TOTAL CURRENT UNITS]]*INVESTORS_LIST[[#This Row],[NAV]])</f>
        <v>0</v>
      </c>
      <c r="AR221" s="48">
        <f>IF(INVESTORS_LIST[[#This Row],[SIP_TOTAL CURRENT UNITS]]=0,0,INVESTORS_LIST[[#This Row],[SIP_TOTAL CURRENT UNITS]]*INVESTORS_LIST[[#This Row],[NAV]])</f>
        <v>0</v>
      </c>
      <c r="AS221" s="50">
        <f>INVESTORS_LIST[[#This Row],[TOTAL CURRENT UNITS]]</f>
        <v>0</v>
      </c>
      <c r="AT221" s="48">
        <f>IF(INVESTORS_LIST[[#This Row],[TOTAL SELLABLE UNITS]]=0,0,INVESTORS_LIST[[#This Row],[TOTAL SELLABLE UNITS]]*INVESTORS_LIST[[#This Row],[NAV]])</f>
        <v>0</v>
      </c>
      <c r="AU221" s="48">
        <f>INVESTORS_LIST[[#This Row],[LS_TOTAL REALIZED GAIN]]+INVESTORS_LIST[[#This Row],[SIP_TOTAL REALIZED GAIN]]</f>
        <v>0</v>
      </c>
      <c r="AV221" s="48">
        <f>INVESTORS_LIST[[#This Row],[TOTAL MARKET VALUE]]-INVESTORS_LIST[[#This Row],[TOTAL COST VALUE OF CURRENT INVESTMENT]]</f>
        <v>0</v>
      </c>
      <c r="AW221" s="48">
        <f>IFERROR(INVESTORS_LIST[[#This Row],[TOTAL CURRENT UNITS]]/SUM(INVESTORS_LIST[TOTAL CURRENT UNITS]),0)</f>
        <v>0</v>
      </c>
    </row>
    <row r="222" spans="1:49">
      <c r="A222" s="262" t="s">
        <v>492</v>
      </c>
      <c r="B222" s="97" t="s">
        <v>493</v>
      </c>
      <c r="C222" t="s">
        <v>48</v>
      </c>
      <c r="D222" s="75" t="s">
        <v>49</v>
      </c>
      <c r="E222" s="47">
        <f>SUMIFS(LS[Unit],LS[Investor ID],INVESTORS_LIST[[#This Row],[INVESTOR CODE]],LS[B/S],"B")</f>
        <v>429611</v>
      </c>
      <c r="F222" s="47">
        <f>-SUMIFS(LS[Unit],LS[Investor ID],INVESTORS_LIST[[#This Row],[INVESTOR CODE]],LS[B/S],"S")</f>
        <v>0</v>
      </c>
      <c r="G222" s="47">
        <f>IF(INVESTORS_LIST[[#This Row],[LS_TOTAL UNITS BUY]]=0,0,INVESTORS_LIST[[#This Row],[LS_TOTAL UNITS BUY]]-INVESTORS_LIST[[#This Row],[LS_TOTAL UNITS SOLD]])</f>
        <v>429611</v>
      </c>
      <c r="H222" s="49">
        <f>IF(INVESTORS_LIST[[#This Row],[LS_TOTAL UNITS BUY]]=0,0,SUMIFS(LS[Amount],LS[Investor ID],INVESTORS_LIST[[#This Row],[INVESTOR CODE]],LS[B/S],"B"))</f>
        <v>4565480</v>
      </c>
      <c r="I222" s="48">
        <f>IF(INVESTORS_LIST[[#This Row],[LS_TOTAL UNITS SOLD]]=0,0,SUMIFS(LS[Cost of Units Sold],LS[Investor ID],INVESTORS_LIST[[#This Row],[INVESTOR CODE]],LS[B/S],"S"))</f>
        <v>0</v>
      </c>
      <c r="J222" s="48">
        <f>IF(INVESTORS_LIST[[#This Row],[LS_TOTAL CURRENT UNITS]]=0,0,INVESTORS_LIST[[#This Row],[LS_TOTAL CURRENT UNITS]]*INVESTORS_LIST[[#This Row],[LS_AVERAGE COST]])</f>
        <v>4565480</v>
      </c>
      <c r="K222" s="49">
        <f>IF(INVESTORS_LIST[[#This Row],[LS_TOTAL UNITS SOLD]]=0,0,SUMIFS(LS[Realized Gain],LS[Investor ID],INVESTORS_LIST[[#This Row],[INVESTOR CODE]],LS[B/S],"S"))</f>
        <v>0</v>
      </c>
      <c r="L222" s="47">
        <f>SUMIFS(SIP[Unit],SIP[Investor ID],INVESTORS_LIST[[#This Row],[INVESTOR CODE]],SIP[B/S],"B")</f>
        <v>0</v>
      </c>
      <c r="M222" s="47">
        <f>-SUMIFS(SIP[Unit],SIP[Investor ID],INVESTORS_LIST[[#This Row],[INVESTOR CODE]],SIP[B/S],"S")</f>
        <v>0</v>
      </c>
      <c r="N222" s="50">
        <f>IF(INVESTORS_LIST[[#This Row],[SIP_TOTAL UNITS BUY]]=0,0,INVESTORS_LIST[[#This Row],[SIP_TOTAL UNITS BUY]]-INVESTORS_LIST[[#This Row],[SIP_TOTAL UNITS SOLD]])</f>
        <v>0</v>
      </c>
      <c r="O222" s="49">
        <f>IF(INVESTORS_LIST[[#This Row],[SIP_TOTAL UNITS BUY]]=0,0,SUMIFS(SIP[Amount],SIP[Investor ID],INVESTORS_LIST[[#This Row],[INVESTOR CODE]],SIP[B/S],"B"))</f>
        <v>0</v>
      </c>
      <c r="P222" s="49">
        <f>IF(INVESTORS_LIST[[#This Row],[SIP_TOTAL UNITS SOLD]]=0,0,SUMIFS(SIP[Cost of Units Sold],SIP[Investor ID],INVESTORS_LIST[[#This Row],[INVESTOR CODE]],SIP[B/S],"S"))</f>
        <v>0</v>
      </c>
      <c r="Q222" s="48">
        <f>IF(INVESTORS_LIST[[#This Row],[SIP_TOTAL CURRENT UNITS]]=0,0,INVESTORS_LIST[[#This Row],[SIP_TOTAL CURRENT UNITS]]*INVESTORS_LIST[[#This Row],[SIP_AVERAGE COST]])</f>
        <v>0</v>
      </c>
      <c r="R222" s="48">
        <f>IF(INVESTORS_LIST[[#This Row],[SIP_TOTAL UNITS SOLD]]=0,0,SUMIFS(SIP[Realized Gain],SIP[Investor ID],INVESTORS_LIST[[#This Row],[INVESTOR CODE]],SIP[B/S],"S"))</f>
        <v>0</v>
      </c>
      <c r="S222" s="50">
        <f>INVESTORS_LIST[[#This Row],[LS_TOTAL UNITS BUY]]+INVESTORS_LIST[[#This Row],[SIP_TOTAL UNITS BUY]]</f>
        <v>429611</v>
      </c>
      <c r="T222" s="50">
        <f>INVESTORS_LIST[[#This Row],[LS_TOTAL UNITS SOLD]]+INVESTORS_LIST[[#This Row],[SIP_TOTAL UNITS SOLD]]</f>
        <v>0</v>
      </c>
      <c r="U222" s="50">
        <v>429611</v>
      </c>
      <c r="V222" s="50">
        <f>SUMIFS(LS[BO UNIT TRANSFER],LS[Investor ID],INVESTORS_LIST[[#This Row],[INVESTOR CODE]],LS[B/S],"B")</f>
        <v>0</v>
      </c>
      <c r="W222" s="50">
        <f>SUMIFS(SIP[BO UNIT TRANSFER],SIP[Investor ID],INVESTORS_LIST[[#This Row],[INVESTOR CODE]],SIP[B/S],"B")</f>
        <v>0</v>
      </c>
      <c r="X222" s="50">
        <f>SUMIFS(LS[BO UNIT TRANSFER],LS[Investor ID],INVESTORS_LIST[[#This Row],[INVESTOR CODE]],LS[B/S],"S")</f>
        <v>0</v>
      </c>
      <c r="Y222" s="50">
        <f>SUMIFS(SIP[BO UNIT TRANSFER],SIP[Investor ID],INVESTORS_LIST[[#This Row],[INVESTOR CODE]],SIP[B/S],"S")</f>
        <v>0</v>
      </c>
      <c r="Z222" s="106">
        <f>SUM(INVESTORS_LIST[[#This Row],[BO OPENING BALANCE]:[BO SIP UNITS REPURCHASE]])</f>
        <v>429611</v>
      </c>
      <c r="AA222" s="107">
        <f>INVESTORS_LIST[[#This Row],[TOTAL UNITS BUY]]-INVESTORS_LIST[[#This Row],[TOTAL UNITS SOLD]]</f>
        <v>429611</v>
      </c>
      <c r="AB222" s="107">
        <f>INVESTORS_LIST[[#This Row],[TOTAL CURRENT UNITS]]-INVESTORS_LIST[[#This Row],[BO UNITS HOLD]]</f>
        <v>0</v>
      </c>
      <c r="AC222" s="201" t="e">
        <f>INDEX([3]!Table_1[BO ID],MATCH(INVESTORS_LIST[[#This Row],[INVESTOR CODE]],[3]!Table_1[INVESTOR CODE],0))</f>
        <v>#REF!</v>
      </c>
      <c r="AD222" s="201" t="e">
        <f>INDEX([3]!Table_1[Brokerage Name2],MATCH(INVESTORS_LIST[[#This Row],[INVESTOR CODE]],[3]!Table_1[INVESTOR CODE],0))</f>
        <v>#REF!</v>
      </c>
      <c r="AE222" s="201" t="e">
        <f>MID(INVESTORS_LIST[[#This Row],[BO ID]],4,5)</f>
        <v>#REF!</v>
      </c>
      <c r="AF222" s="201" t="e">
        <f>MID(INVESTORS_LIST[[#This Row],[BO ID]],2,7)</f>
        <v>#REF!</v>
      </c>
      <c r="AG222" s="201" t="e">
        <f>MID(INVESTORS_LIST[[#This Row],[BO ID]],9,7)</f>
        <v>#REF!</v>
      </c>
      <c r="AH222" s="201" t="e">
        <f>RIGHT(INVESTORS_LIST[[#This Row],[BO ID]],1)</f>
        <v>#REF!</v>
      </c>
      <c r="AI222" s="50">
        <f>INVESTORS_LIST[[#This Row],[LS_TOTAL COST VALUE OF CURRENT UNITS]]+INVESTORS_LIST[[#This Row],[SIP_TOTAL COST VALUE OF CURRENT UNITS]]</f>
        <v>4565480</v>
      </c>
      <c r="AJ222" s="109">
        <f>IF(INVESTORS_LIST[[#This Row],[TOTAL CURRENT UNITS]]=0,0,INVESTORS_LIST[[#This Row],[LS_TOTAL CURRENT UNITS]]/INVESTORS_LIST[[#This Row],[TOTAL CURRENT UNITS]])</f>
        <v>1</v>
      </c>
      <c r="AK222" s="109">
        <f>IF(INVESTORS_LIST[[#This Row],[TOTAL CURRENT UNITS]]=0,0,INVESTORS_LIST[[#This Row],[SIP_TOTAL CURRENT UNITS]]/INVESTORS_LIST[[#This Row],[TOTAL CURRENT UNITS]])</f>
        <v>0</v>
      </c>
      <c r="AL222" s="49" cm="1">
        <f t="array" ref="AL222">IF(INVESTORS_LIST[[#This Row],[LS_TOTAL UNITS BUY]]&gt;0,INDEX(LS[NAV at Cost (Average)],MATCH(CONCATENATE(COUNTIFS(LS[Investor ID],INVESTORS_LIST[[#This Row],[INVESTOR CODE]]),INVESTORS_LIST[[#This Row],[INVESTOR CODE]]),LS[Unique Code],0),),0)</f>
        <v>10.627009084962909</v>
      </c>
      <c r="AM222" s="49" cm="1">
        <f t="array" ref="AM2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2" s="105">
        <f>IF(INVESTORS_LIST[[#This Row],[TOTAL CURRENT UNITS]]=0,0,(INVESTORS_LIST[[#This Row],[LS_WEIGHT]]*INVESTORS_LIST[[#This Row],[LS_AVERAGE COST]])+(INVESTORS_LIST[[#This Row],[SIP_WEIGHT]]*INVESTORS_LIST[[#This Row],[SIP_AVERAGE COST]]))</f>
        <v>10.627009084962909</v>
      </c>
      <c r="AO222" s="105">
        <f t="shared" si="4"/>
        <v>14.224</v>
      </c>
      <c r="AP222" s="112">
        <f>IF(INVESTORS_LIST[[#This Row],[TOTAL CURRENT UNITS]]=0,0,INVESTORS_LIST[[#This Row],[TOTAL CURRENT UNITS]]*INVESTORS_LIST[[#This Row],[NAV]])</f>
        <v>6110786.8640000001</v>
      </c>
      <c r="AQ222" s="49">
        <f>IF(INVESTORS_LIST[[#This Row],[LS_TOTAL CURRENT UNITS]]=0,0,INVESTORS_LIST[[#This Row],[LS_TOTAL CURRENT UNITS]]*INVESTORS_LIST[[#This Row],[NAV]])</f>
        <v>6110786.8640000001</v>
      </c>
      <c r="AR222" s="48">
        <f>IF(INVESTORS_LIST[[#This Row],[SIP_TOTAL CURRENT UNITS]]=0,0,INVESTORS_LIST[[#This Row],[SIP_TOTAL CURRENT UNITS]]*INVESTORS_LIST[[#This Row],[NAV]])</f>
        <v>0</v>
      </c>
      <c r="AS222" s="50">
        <f>INVESTORS_LIST[[#This Row],[TOTAL CURRENT UNITS]]</f>
        <v>429611</v>
      </c>
      <c r="AT222" s="48">
        <f>IF(INVESTORS_LIST[[#This Row],[TOTAL SELLABLE UNITS]]=0,0,INVESTORS_LIST[[#This Row],[TOTAL SELLABLE UNITS]]*INVESTORS_LIST[[#This Row],[NAV]])</f>
        <v>6110786.8640000001</v>
      </c>
      <c r="AU222" s="48">
        <f>INVESTORS_LIST[[#This Row],[LS_TOTAL REALIZED GAIN]]+INVESTORS_LIST[[#This Row],[SIP_TOTAL REALIZED GAIN]]</f>
        <v>0</v>
      </c>
      <c r="AV222" s="48">
        <f>INVESTORS_LIST[[#This Row],[TOTAL MARKET VALUE]]-INVESTORS_LIST[[#This Row],[TOTAL COST VALUE OF CURRENT INVESTMENT]]</f>
        <v>1545306.8640000001</v>
      </c>
      <c r="AW222" s="48">
        <f>IFERROR(INVESTORS_LIST[[#This Row],[TOTAL CURRENT UNITS]]/SUM(INVESTORS_LIST[TOTAL CURRENT UNITS]),0)</f>
        <v>1.0429325950452989E-2</v>
      </c>
    </row>
    <row r="223" spans="1:49">
      <c r="A223" s="262" t="s">
        <v>494</v>
      </c>
      <c r="B223" s="97" t="s">
        <v>495</v>
      </c>
      <c r="C223" t="s">
        <v>44</v>
      </c>
      <c r="D223" s="75" t="s">
        <v>45</v>
      </c>
      <c r="E223" s="47">
        <f>SUMIFS(LS[Unit],LS[Investor ID],INVESTORS_LIST[[#This Row],[INVESTOR CODE]],LS[B/S],"B")</f>
        <v>39998</v>
      </c>
      <c r="F223" s="47">
        <f>-SUMIFS(LS[Unit],LS[Investor ID],INVESTORS_LIST[[#This Row],[INVESTOR CODE]],LS[B/S],"S")</f>
        <v>20000</v>
      </c>
      <c r="G223" s="47">
        <f>IF(INVESTORS_LIST[[#This Row],[LS_TOTAL UNITS BUY]]=0,0,INVESTORS_LIST[[#This Row],[LS_TOTAL UNITS BUY]]-INVESTORS_LIST[[#This Row],[LS_TOTAL UNITS SOLD]])</f>
        <v>19998</v>
      </c>
      <c r="H223" s="49">
        <f>IF(INVESTORS_LIST[[#This Row],[LS_TOTAL UNITS BUY]]=0,0,SUMIFS(LS[Amount],LS[Investor ID],INVESTORS_LIST[[#This Row],[INVESTOR CODE]],LS[B/S],"B"))</f>
        <v>450000</v>
      </c>
      <c r="I223" s="48">
        <f>IF(INVESTORS_LIST[[#This Row],[LS_TOTAL UNITS SOLD]]=0,0,SUMIFS(LS[Cost of Units Sold],LS[Investor ID],INVESTORS_LIST[[#This Row],[INVESTOR CODE]],LS[B/S],"S"))</f>
        <v>200000</v>
      </c>
      <c r="J223" s="48">
        <f>IF(INVESTORS_LIST[[#This Row],[LS_TOTAL CURRENT UNITS]]=0,0,INVESTORS_LIST[[#This Row],[LS_TOTAL CURRENT UNITS]]*INVESTORS_LIST[[#This Row],[LS_AVERAGE COST]])</f>
        <v>250000.00000000003</v>
      </c>
      <c r="K223" s="49">
        <f>IF(INVESTORS_LIST[[#This Row],[LS_TOTAL UNITS SOLD]]=0,0,SUMIFS(LS[Realized Gain],LS[Investor ID],INVESTORS_LIST[[#This Row],[INVESTOR CODE]],LS[B/S],"S"))</f>
        <v>9340.0000000000109</v>
      </c>
      <c r="L223" s="47">
        <f>SUMIFS(SIP[Unit],SIP[Investor ID],INVESTORS_LIST[[#This Row],[INVESTOR CODE]],SIP[B/S],"B")</f>
        <v>0</v>
      </c>
      <c r="M223" s="47">
        <f>-SUMIFS(SIP[Unit],SIP[Investor ID],INVESTORS_LIST[[#This Row],[INVESTOR CODE]],SIP[B/S],"S")</f>
        <v>0</v>
      </c>
      <c r="N223" s="50">
        <f>IF(INVESTORS_LIST[[#This Row],[SIP_TOTAL UNITS BUY]]=0,0,INVESTORS_LIST[[#This Row],[SIP_TOTAL UNITS BUY]]-INVESTORS_LIST[[#This Row],[SIP_TOTAL UNITS SOLD]])</f>
        <v>0</v>
      </c>
      <c r="O223" s="49">
        <f>IF(INVESTORS_LIST[[#This Row],[SIP_TOTAL UNITS BUY]]=0,0,SUMIFS(SIP[Amount],SIP[Investor ID],INVESTORS_LIST[[#This Row],[INVESTOR CODE]],SIP[B/S],"B"))</f>
        <v>0</v>
      </c>
      <c r="P223" s="49">
        <f>IF(INVESTORS_LIST[[#This Row],[SIP_TOTAL UNITS SOLD]]=0,0,SUMIFS(SIP[Cost of Units Sold],SIP[Investor ID],INVESTORS_LIST[[#This Row],[INVESTOR CODE]],SIP[B/S],"S"))</f>
        <v>0</v>
      </c>
      <c r="Q223" s="48">
        <f>IF(INVESTORS_LIST[[#This Row],[SIP_TOTAL CURRENT UNITS]]=0,0,INVESTORS_LIST[[#This Row],[SIP_TOTAL CURRENT UNITS]]*INVESTORS_LIST[[#This Row],[SIP_AVERAGE COST]])</f>
        <v>0</v>
      </c>
      <c r="R223" s="48">
        <f>IF(INVESTORS_LIST[[#This Row],[SIP_TOTAL UNITS SOLD]]=0,0,SUMIFS(SIP[Realized Gain],SIP[Investor ID],INVESTORS_LIST[[#This Row],[INVESTOR CODE]],SIP[B/S],"S"))</f>
        <v>0</v>
      </c>
      <c r="S223" s="50">
        <f>INVESTORS_LIST[[#This Row],[LS_TOTAL UNITS BUY]]+INVESTORS_LIST[[#This Row],[SIP_TOTAL UNITS BUY]]</f>
        <v>39998</v>
      </c>
      <c r="T223" s="50">
        <f>INVESTORS_LIST[[#This Row],[LS_TOTAL UNITS SOLD]]+INVESTORS_LIST[[#This Row],[SIP_TOTAL UNITS SOLD]]</f>
        <v>20000</v>
      </c>
      <c r="U223" s="50"/>
      <c r="V223" s="50">
        <f>SUMIFS(LS[BO UNIT TRANSFER],LS[Investor ID],INVESTORS_LIST[[#This Row],[INVESTOR CODE]],LS[B/S],"B")</f>
        <v>0</v>
      </c>
      <c r="W223" s="50">
        <f>SUMIFS(SIP[BO UNIT TRANSFER],SIP[Investor ID],INVESTORS_LIST[[#This Row],[INVESTOR CODE]],SIP[B/S],"B")</f>
        <v>0</v>
      </c>
      <c r="X223" s="50">
        <f>SUMIFS(LS[BO UNIT TRANSFER],LS[Investor ID],INVESTORS_LIST[[#This Row],[INVESTOR CODE]],LS[B/S],"S")</f>
        <v>0</v>
      </c>
      <c r="Y223" s="50">
        <f>SUMIFS(SIP[BO UNIT TRANSFER],SIP[Investor ID],INVESTORS_LIST[[#This Row],[INVESTOR CODE]],SIP[B/S],"S")</f>
        <v>0</v>
      </c>
      <c r="Z223" s="106">
        <f>SUM(INVESTORS_LIST[[#This Row],[BO OPENING BALANCE]:[BO SIP UNITS REPURCHASE]])</f>
        <v>0</v>
      </c>
      <c r="AA223" s="107">
        <f>INVESTORS_LIST[[#This Row],[TOTAL UNITS BUY]]-INVESTORS_LIST[[#This Row],[TOTAL UNITS SOLD]]</f>
        <v>19998</v>
      </c>
      <c r="AB223" s="107">
        <f>INVESTORS_LIST[[#This Row],[TOTAL CURRENT UNITS]]-INVESTORS_LIST[[#This Row],[BO UNITS HOLD]]</f>
        <v>19998</v>
      </c>
      <c r="AC223" s="201" t="e">
        <f>INDEX([3]!Table_1[BO ID],MATCH(INVESTORS_LIST[[#This Row],[INVESTOR CODE]],[3]!Table_1[INVESTOR CODE],0))</f>
        <v>#REF!</v>
      </c>
      <c r="AD223" s="201" t="e">
        <f>INDEX([3]!Table_1[Brokerage Name2],MATCH(INVESTORS_LIST[[#This Row],[INVESTOR CODE]],[3]!Table_1[INVESTOR CODE],0))</f>
        <v>#REF!</v>
      </c>
      <c r="AE223" s="201" t="e">
        <f>MID(INVESTORS_LIST[[#This Row],[BO ID]],4,5)</f>
        <v>#REF!</v>
      </c>
      <c r="AF223" s="201" t="e">
        <f>MID(INVESTORS_LIST[[#This Row],[BO ID]],2,7)</f>
        <v>#REF!</v>
      </c>
      <c r="AG223" s="201" t="e">
        <f>MID(INVESTORS_LIST[[#This Row],[BO ID]],9,7)</f>
        <v>#REF!</v>
      </c>
      <c r="AH223" s="201" t="e">
        <f>RIGHT(INVESTORS_LIST[[#This Row],[BO ID]],1)</f>
        <v>#REF!</v>
      </c>
      <c r="AI223" s="50">
        <f>INVESTORS_LIST[[#This Row],[LS_TOTAL COST VALUE OF CURRENT UNITS]]+INVESTORS_LIST[[#This Row],[SIP_TOTAL COST VALUE OF CURRENT UNITS]]</f>
        <v>250000.00000000003</v>
      </c>
      <c r="AJ223" s="109">
        <f>IF(INVESTORS_LIST[[#This Row],[TOTAL CURRENT UNITS]]=0,0,INVESTORS_LIST[[#This Row],[LS_TOTAL CURRENT UNITS]]/INVESTORS_LIST[[#This Row],[TOTAL CURRENT UNITS]])</f>
        <v>1</v>
      </c>
      <c r="AK223" s="109">
        <f>IF(INVESTORS_LIST[[#This Row],[TOTAL CURRENT UNITS]]=0,0,INVESTORS_LIST[[#This Row],[SIP_TOTAL CURRENT UNITS]]/INVESTORS_LIST[[#This Row],[TOTAL CURRENT UNITS]])</f>
        <v>0</v>
      </c>
      <c r="AL223" s="49" cm="1">
        <f t="array" ref="AL223">IF(INVESTORS_LIST[[#This Row],[LS_TOTAL UNITS BUY]]&gt;0,INDEX(LS[NAV at Cost (Average)],MATCH(CONCATENATE(COUNTIFS(LS[Investor ID],INVESTORS_LIST[[#This Row],[INVESTOR CODE]]),INVESTORS_LIST[[#This Row],[INVESTOR CODE]]),LS[Unique Code],0),),0)</f>
        <v>12.501250125012502</v>
      </c>
      <c r="AM223" s="49" cm="1">
        <f t="array" ref="AM2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3" s="105">
        <f>IF(INVESTORS_LIST[[#This Row],[TOTAL CURRENT UNITS]]=0,0,(INVESTORS_LIST[[#This Row],[LS_WEIGHT]]*INVESTORS_LIST[[#This Row],[LS_AVERAGE COST]])+(INVESTORS_LIST[[#This Row],[SIP_WEIGHT]]*INVESTORS_LIST[[#This Row],[SIP_AVERAGE COST]]))</f>
        <v>12.501250125012502</v>
      </c>
      <c r="AO223" s="105">
        <f t="shared" si="4"/>
        <v>14.224</v>
      </c>
      <c r="AP223" s="112">
        <f>IF(INVESTORS_LIST[[#This Row],[TOTAL CURRENT UNITS]]=0,0,INVESTORS_LIST[[#This Row],[TOTAL CURRENT UNITS]]*INVESTORS_LIST[[#This Row],[NAV]])</f>
        <v>284451.55200000003</v>
      </c>
      <c r="AQ223" s="49">
        <f>IF(INVESTORS_LIST[[#This Row],[LS_TOTAL CURRENT UNITS]]=0,0,INVESTORS_LIST[[#This Row],[LS_TOTAL CURRENT UNITS]]*INVESTORS_LIST[[#This Row],[NAV]])</f>
        <v>284451.55200000003</v>
      </c>
      <c r="AR223" s="48">
        <f>IF(INVESTORS_LIST[[#This Row],[SIP_TOTAL CURRENT UNITS]]=0,0,INVESTORS_LIST[[#This Row],[SIP_TOTAL CURRENT UNITS]]*INVESTORS_LIST[[#This Row],[NAV]])</f>
        <v>0</v>
      </c>
      <c r="AS223" s="50">
        <f>INVESTORS_LIST[[#This Row],[TOTAL CURRENT UNITS]]</f>
        <v>19998</v>
      </c>
      <c r="AT223" s="48">
        <f>IF(INVESTORS_LIST[[#This Row],[TOTAL SELLABLE UNITS]]=0,0,INVESTORS_LIST[[#This Row],[TOTAL SELLABLE UNITS]]*INVESTORS_LIST[[#This Row],[NAV]])</f>
        <v>284451.55200000003</v>
      </c>
      <c r="AU223" s="48">
        <f>INVESTORS_LIST[[#This Row],[LS_TOTAL REALIZED GAIN]]+INVESTORS_LIST[[#This Row],[SIP_TOTAL REALIZED GAIN]]</f>
        <v>9340.0000000000109</v>
      </c>
      <c r="AV223" s="48">
        <f>INVESTORS_LIST[[#This Row],[TOTAL MARKET VALUE]]-INVESTORS_LIST[[#This Row],[TOTAL COST VALUE OF CURRENT INVESTMENT]]</f>
        <v>34451.551999999996</v>
      </c>
      <c r="AW223" s="48">
        <f>IFERROR(INVESTORS_LIST[[#This Row],[TOTAL CURRENT UNITS]]/SUM(INVESTORS_LIST[TOTAL CURRENT UNITS]),0)</f>
        <v>4.8547560550628093E-4</v>
      </c>
    </row>
    <row r="224" spans="1:49">
      <c r="A224" s="262" t="s">
        <v>496</v>
      </c>
      <c r="B224" s="97" t="s">
        <v>497</v>
      </c>
      <c r="C224" t="s">
        <v>44</v>
      </c>
      <c r="D224" s="75" t="s">
        <v>45</v>
      </c>
      <c r="E224" s="47">
        <f>SUMIFS(LS[Unit],LS[Investor ID],INVESTORS_LIST[[#This Row],[INVESTOR CODE]],LS[B/S],"B")</f>
        <v>0</v>
      </c>
      <c r="F224" s="47">
        <f>-SUMIFS(LS[Unit],LS[Investor ID],INVESTORS_LIST[[#This Row],[INVESTOR CODE]],LS[B/S],"S")</f>
        <v>0</v>
      </c>
      <c r="G224" s="47">
        <f>IF(INVESTORS_LIST[[#This Row],[LS_TOTAL UNITS BUY]]=0,0,INVESTORS_LIST[[#This Row],[LS_TOTAL UNITS BUY]]-INVESTORS_LIST[[#This Row],[LS_TOTAL UNITS SOLD]])</f>
        <v>0</v>
      </c>
      <c r="H224" s="49">
        <f>IF(INVESTORS_LIST[[#This Row],[LS_TOTAL UNITS BUY]]=0,0,SUMIFS(LS[Amount],LS[Investor ID],INVESTORS_LIST[[#This Row],[INVESTOR CODE]],LS[B/S],"B"))</f>
        <v>0</v>
      </c>
      <c r="I224" s="48">
        <f>IF(INVESTORS_LIST[[#This Row],[LS_TOTAL UNITS SOLD]]=0,0,SUMIFS(LS[Cost of Units Sold],LS[Investor ID],INVESTORS_LIST[[#This Row],[INVESTOR CODE]],LS[B/S],"S"))</f>
        <v>0</v>
      </c>
      <c r="J224" s="48">
        <f>IF(INVESTORS_LIST[[#This Row],[LS_TOTAL CURRENT UNITS]]=0,0,INVESTORS_LIST[[#This Row],[LS_TOTAL CURRENT UNITS]]*INVESTORS_LIST[[#This Row],[LS_AVERAGE COST]])</f>
        <v>0</v>
      </c>
      <c r="K224" s="49">
        <f>IF(INVESTORS_LIST[[#This Row],[LS_TOTAL UNITS SOLD]]=0,0,SUMIFS(LS[Realized Gain],LS[Investor ID],INVESTORS_LIST[[#This Row],[INVESTOR CODE]],LS[B/S],"S"))</f>
        <v>0</v>
      </c>
      <c r="L224" s="47">
        <f>SUMIFS(SIP[Unit],SIP[Investor ID],INVESTORS_LIST[[#This Row],[INVESTOR CODE]],SIP[B/S],"B")</f>
        <v>9336</v>
      </c>
      <c r="M224" s="47">
        <f>-SUMIFS(SIP[Unit],SIP[Investor ID],INVESTORS_LIST[[#This Row],[INVESTOR CODE]],SIP[B/S],"S")</f>
        <v>0</v>
      </c>
      <c r="N224" s="50">
        <f>IF(INVESTORS_LIST[[#This Row],[SIP_TOTAL UNITS BUY]]=0,0,INVESTORS_LIST[[#This Row],[SIP_TOTAL UNITS BUY]]-INVESTORS_LIST[[#This Row],[SIP_TOTAL UNITS SOLD]])</f>
        <v>9336</v>
      </c>
      <c r="O224" s="49">
        <f>IF(INVESTORS_LIST[[#This Row],[SIP_TOTAL UNITS BUY]]=0,0,SUMIFS(SIP[Amount],SIP[Investor ID],INVESTORS_LIST[[#This Row],[INVESTOR CODE]],SIP[B/S],"B"))</f>
        <v>115000</v>
      </c>
      <c r="P224" s="49">
        <f>IF(INVESTORS_LIST[[#This Row],[SIP_TOTAL UNITS SOLD]]=0,0,SUMIFS(SIP[Cost of Units Sold],SIP[Investor ID],INVESTORS_LIST[[#This Row],[INVESTOR CODE]],SIP[B/S],"S"))</f>
        <v>0</v>
      </c>
      <c r="Q224" s="48">
        <f>IF(INVESTORS_LIST[[#This Row],[SIP_TOTAL CURRENT UNITS]]=0,0,INVESTORS_LIST[[#This Row],[SIP_TOTAL CURRENT UNITS]]*INVESTORS_LIST[[#This Row],[SIP_AVERAGE COST]])</f>
        <v>115000.00000000003</v>
      </c>
      <c r="R224" s="48">
        <f>IF(INVESTORS_LIST[[#This Row],[SIP_TOTAL UNITS SOLD]]=0,0,SUMIFS(SIP[Realized Gain],SIP[Investor ID],INVESTORS_LIST[[#This Row],[INVESTOR CODE]],SIP[B/S],"S"))</f>
        <v>0</v>
      </c>
      <c r="S224" s="50">
        <f>INVESTORS_LIST[[#This Row],[LS_TOTAL UNITS BUY]]+INVESTORS_LIST[[#This Row],[SIP_TOTAL UNITS BUY]]</f>
        <v>9336</v>
      </c>
      <c r="T224" s="50">
        <f>INVESTORS_LIST[[#This Row],[LS_TOTAL UNITS SOLD]]+INVESTORS_LIST[[#This Row],[SIP_TOTAL UNITS SOLD]]</f>
        <v>0</v>
      </c>
      <c r="U224" s="50">
        <f>7056+1926</f>
        <v>8982</v>
      </c>
      <c r="V224" s="50">
        <f>SUMIFS(LS[BO UNIT TRANSFER],LS[Investor ID],INVESTORS_LIST[[#This Row],[INVESTOR CODE]],LS[B/S],"B")</f>
        <v>0</v>
      </c>
      <c r="W224" s="50">
        <f>SUMIFS(SIP[BO UNIT TRANSFER],SIP[Investor ID],INVESTORS_LIST[[#This Row],[INVESTOR CODE]],SIP[B/S],"B")</f>
        <v>0</v>
      </c>
      <c r="X224" s="50">
        <f>SUMIFS(LS[BO UNIT TRANSFER],LS[Investor ID],INVESTORS_LIST[[#This Row],[INVESTOR CODE]],LS[B/S],"S")</f>
        <v>0</v>
      </c>
      <c r="Y224" s="50">
        <f>SUMIFS(SIP[BO UNIT TRANSFER],SIP[Investor ID],INVESTORS_LIST[[#This Row],[INVESTOR CODE]],SIP[B/S],"S")</f>
        <v>0</v>
      </c>
      <c r="Z224" s="106">
        <f>SUM(INVESTORS_LIST[[#This Row],[BO OPENING BALANCE]:[BO SIP UNITS REPURCHASE]])</f>
        <v>8982</v>
      </c>
      <c r="AA224" s="107">
        <f>INVESTORS_LIST[[#This Row],[TOTAL UNITS BUY]]-INVESTORS_LIST[[#This Row],[TOTAL UNITS SOLD]]</f>
        <v>9336</v>
      </c>
      <c r="AB224" s="107">
        <f>INVESTORS_LIST[[#This Row],[TOTAL CURRENT UNITS]]-INVESTORS_LIST[[#This Row],[BO UNITS HOLD]]</f>
        <v>354</v>
      </c>
      <c r="AC224" s="201" t="e">
        <f>INDEX([3]!Table_1[BO ID],MATCH(INVESTORS_LIST[[#This Row],[INVESTOR CODE]],[3]!Table_1[INVESTOR CODE],0))</f>
        <v>#REF!</v>
      </c>
      <c r="AD224" s="201" t="e">
        <f>INDEX([3]!Table_1[Brokerage Name2],MATCH(INVESTORS_LIST[[#This Row],[INVESTOR CODE]],[3]!Table_1[INVESTOR CODE],0))</f>
        <v>#REF!</v>
      </c>
      <c r="AE224" s="201" t="e">
        <f>MID(INVESTORS_LIST[[#This Row],[BO ID]],4,5)</f>
        <v>#REF!</v>
      </c>
      <c r="AF224" s="201" t="e">
        <f>MID(INVESTORS_LIST[[#This Row],[BO ID]],2,7)</f>
        <v>#REF!</v>
      </c>
      <c r="AG224" s="201" t="e">
        <f>MID(INVESTORS_LIST[[#This Row],[BO ID]],9,7)</f>
        <v>#REF!</v>
      </c>
      <c r="AH224" s="201" t="e">
        <f>RIGHT(INVESTORS_LIST[[#This Row],[BO ID]],1)</f>
        <v>#REF!</v>
      </c>
      <c r="AI224" s="50">
        <f>INVESTORS_LIST[[#This Row],[LS_TOTAL COST VALUE OF CURRENT UNITS]]+INVESTORS_LIST[[#This Row],[SIP_TOTAL COST VALUE OF CURRENT UNITS]]</f>
        <v>115000.00000000003</v>
      </c>
      <c r="AJ224" s="109">
        <f>IF(INVESTORS_LIST[[#This Row],[TOTAL CURRENT UNITS]]=0,0,INVESTORS_LIST[[#This Row],[LS_TOTAL CURRENT UNITS]]/INVESTORS_LIST[[#This Row],[TOTAL CURRENT UNITS]])</f>
        <v>0</v>
      </c>
      <c r="AK224" s="109">
        <f>IF(INVESTORS_LIST[[#This Row],[TOTAL CURRENT UNITS]]=0,0,INVESTORS_LIST[[#This Row],[SIP_TOTAL CURRENT UNITS]]/INVESTORS_LIST[[#This Row],[TOTAL CURRENT UNITS]])</f>
        <v>1</v>
      </c>
      <c r="AL224" s="49" cm="1">
        <f t="array" ref="AL2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4" s="49" cm="1">
        <f t="array" ref="AM224">IF(INVESTORS_LIST[[#This Row],[SIP_TOTAL UNITS BUY]]&gt;0,INDEX(SIP[NAV at Cost (Average)],MATCH(CONCATENATE(COUNTIFS(SIP[Investor ID],INVESTORS_LIST[[#This Row],[INVESTOR CODE]]),INVESTORS_LIST[[#This Row],[INVESTOR CODE]]),SIP[Unique Code],0),),0)</f>
        <v>12.317909168808916</v>
      </c>
      <c r="AN224" s="105">
        <f>IF(INVESTORS_LIST[[#This Row],[TOTAL CURRENT UNITS]]=0,0,(INVESTORS_LIST[[#This Row],[LS_WEIGHT]]*INVESTORS_LIST[[#This Row],[LS_AVERAGE COST]])+(INVESTORS_LIST[[#This Row],[SIP_WEIGHT]]*INVESTORS_LIST[[#This Row],[SIP_AVERAGE COST]]))</f>
        <v>12.317909168808916</v>
      </c>
      <c r="AO224" s="105">
        <f t="shared" si="4"/>
        <v>14.224</v>
      </c>
      <c r="AP224" s="112">
        <f>IF(INVESTORS_LIST[[#This Row],[TOTAL CURRENT UNITS]]=0,0,INVESTORS_LIST[[#This Row],[TOTAL CURRENT UNITS]]*INVESTORS_LIST[[#This Row],[NAV]])</f>
        <v>132795.264</v>
      </c>
      <c r="AQ224" s="49">
        <f>IF(INVESTORS_LIST[[#This Row],[LS_TOTAL CURRENT UNITS]]=0,0,INVESTORS_LIST[[#This Row],[LS_TOTAL CURRENT UNITS]]*INVESTORS_LIST[[#This Row],[NAV]])</f>
        <v>0</v>
      </c>
      <c r="AR224" s="48">
        <f>IF(INVESTORS_LIST[[#This Row],[SIP_TOTAL CURRENT UNITS]]=0,0,INVESTORS_LIST[[#This Row],[SIP_TOTAL CURRENT UNITS]]*INVESTORS_LIST[[#This Row],[NAV]])</f>
        <v>132795.264</v>
      </c>
      <c r="AS224" s="50">
        <f>INVESTORS_LIST[[#This Row],[TOTAL CURRENT UNITS]]</f>
        <v>9336</v>
      </c>
      <c r="AT224" s="48">
        <f>IF(INVESTORS_LIST[[#This Row],[TOTAL SELLABLE UNITS]]=0,0,INVESTORS_LIST[[#This Row],[TOTAL SELLABLE UNITS]]*INVESTORS_LIST[[#This Row],[NAV]])</f>
        <v>132795.264</v>
      </c>
      <c r="AU224" s="48">
        <f>INVESTORS_LIST[[#This Row],[LS_TOTAL REALIZED GAIN]]+INVESTORS_LIST[[#This Row],[SIP_TOTAL REALIZED GAIN]]</f>
        <v>0</v>
      </c>
      <c r="AV224" s="48">
        <f>INVESTORS_LIST[[#This Row],[TOTAL MARKET VALUE]]-INVESTORS_LIST[[#This Row],[TOTAL COST VALUE OF CURRENT INVESTMENT]]</f>
        <v>17795.263999999966</v>
      </c>
      <c r="AW224" s="48">
        <f>IFERROR(INVESTORS_LIST[[#This Row],[TOTAL CURRENT UNITS]]/SUM(INVESTORS_LIST[TOTAL CURRENT UNITS]),0)</f>
        <v>2.2664267691802374E-4</v>
      </c>
    </row>
    <row r="225" spans="1:49" hidden="1">
      <c r="A225" s="262" t="s">
        <v>498</v>
      </c>
      <c r="B225" s="97" t="s">
        <v>499</v>
      </c>
      <c r="C225" t="s">
        <v>44</v>
      </c>
      <c r="D225" s="75" t="s">
        <v>45</v>
      </c>
      <c r="E225" s="47">
        <f>SUMIFS(LS[Unit],LS[Investor ID],INVESTORS_LIST[[#This Row],[INVESTOR CODE]],LS[B/S],"B")</f>
        <v>0</v>
      </c>
      <c r="F225" s="47">
        <f>-SUMIFS(LS[Unit],LS[Investor ID],INVESTORS_LIST[[#This Row],[INVESTOR CODE]],LS[B/S],"S")</f>
        <v>0</v>
      </c>
      <c r="G225" s="47">
        <f>IF(INVESTORS_LIST[[#This Row],[LS_TOTAL UNITS BUY]]=0,0,INVESTORS_LIST[[#This Row],[LS_TOTAL UNITS BUY]]-INVESTORS_LIST[[#This Row],[LS_TOTAL UNITS SOLD]])</f>
        <v>0</v>
      </c>
      <c r="H225" s="49">
        <f>IF(INVESTORS_LIST[[#This Row],[LS_TOTAL UNITS BUY]]=0,0,SUMIFS(LS[Amount],LS[Investor ID],INVESTORS_LIST[[#This Row],[INVESTOR CODE]],LS[B/S],"B"))</f>
        <v>0</v>
      </c>
      <c r="I225" s="48">
        <f>IF(INVESTORS_LIST[[#This Row],[LS_TOTAL UNITS SOLD]]=0,0,SUMIFS(LS[Cost of Units Sold],LS[Investor ID],INVESTORS_LIST[[#This Row],[INVESTOR CODE]],LS[B/S],"S"))</f>
        <v>0</v>
      </c>
      <c r="J225" s="48">
        <f>IF(INVESTORS_LIST[[#This Row],[LS_TOTAL CURRENT UNITS]]=0,0,INVESTORS_LIST[[#This Row],[LS_TOTAL CURRENT UNITS]]*INVESTORS_LIST[[#This Row],[LS_AVERAGE COST]])</f>
        <v>0</v>
      </c>
      <c r="K225" s="49">
        <f>IF(INVESTORS_LIST[[#This Row],[LS_TOTAL UNITS SOLD]]=0,0,SUMIFS(LS[Realized Gain],LS[Investor ID],INVESTORS_LIST[[#This Row],[INVESTOR CODE]],LS[B/S],"S"))</f>
        <v>0</v>
      </c>
      <c r="L225" s="47">
        <f>SUMIFS(SIP[Unit],SIP[Investor ID],INVESTORS_LIST[[#This Row],[INVESTOR CODE]],SIP[B/S],"B")</f>
        <v>0</v>
      </c>
      <c r="M225" s="47">
        <f>-SUMIFS(SIP[Unit],SIP[Investor ID],INVESTORS_LIST[[#This Row],[INVESTOR CODE]],SIP[B/S],"S")</f>
        <v>0</v>
      </c>
      <c r="N225" s="50">
        <f>IF(INVESTORS_LIST[[#This Row],[SIP_TOTAL UNITS BUY]]=0,0,INVESTORS_LIST[[#This Row],[SIP_TOTAL UNITS BUY]]-INVESTORS_LIST[[#This Row],[SIP_TOTAL UNITS SOLD]])</f>
        <v>0</v>
      </c>
      <c r="O225" s="49">
        <f>IF(INVESTORS_LIST[[#This Row],[SIP_TOTAL UNITS BUY]]=0,0,SUMIFS(SIP[Amount],SIP[Investor ID],INVESTORS_LIST[[#This Row],[INVESTOR CODE]],SIP[B/S],"B"))</f>
        <v>0</v>
      </c>
      <c r="P225" s="49">
        <f>IF(INVESTORS_LIST[[#This Row],[SIP_TOTAL UNITS SOLD]]=0,0,SUMIFS(SIP[Cost of Units Sold],SIP[Investor ID],INVESTORS_LIST[[#This Row],[INVESTOR CODE]],SIP[B/S],"S"))</f>
        <v>0</v>
      </c>
      <c r="Q225" s="48">
        <f>IF(INVESTORS_LIST[[#This Row],[SIP_TOTAL CURRENT UNITS]]=0,0,INVESTORS_LIST[[#This Row],[SIP_TOTAL CURRENT UNITS]]*INVESTORS_LIST[[#This Row],[SIP_AVERAGE COST]])</f>
        <v>0</v>
      </c>
      <c r="R225" s="48">
        <f>IF(INVESTORS_LIST[[#This Row],[SIP_TOTAL UNITS SOLD]]=0,0,SUMIFS(SIP[Realized Gain],SIP[Investor ID],INVESTORS_LIST[[#This Row],[INVESTOR CODE]],SIP[B/S],"S"))</f>
        <v>0</v>
      </c>
      <c r="S225" s="50">
        <f>INVESTORS_LIST[[#This Row],[LS_TOTAL UNITS BUY]]+INVESTORS_LIST[[#This Row],[SIP_TOTAL UNITS BUY]]</f>
        <v>0</v>
      </c>
      <c r="T225" s="50">
        <f>INVESTORS_LIST[[#This Row],[LS_TOTAL UNITS SOLD]]+INVESTORS_LIST[[#This Row],[SIP_TOTAL UNITS SOLD]]</f>
        <v>0</v>
      </c>
      <c r="U225" s="50"/>
      <c r="V225" s="50">
        <f>SUMIFS(LS[BO UNIT TRANSFER],LS[Investor ID],INVESTORS_LIST[[#This Row],[INVESTOR CODE]],LS[B/S],"B")</f>
        <v>0</v>
      </c>
      <c r="W225" s="50">
        <f>SUMIFS(SIP[BO UNIT TRANSFER],SIP[Investor ID],INVESTORS_LIST[[#This Row],[INVESTOR CODE]],SIP[B/S],"B")</f>
        <v>0</v>
      </c>
      <c r="X225" s="50">
        <f>SUMIFS(LS[BO UNIT TRANSFER],LS[Investor ID],INVESTORS_LIST[[#This Row],[INVESTOR CODE]],LS[B/S],"S")</f>
        <v>0</v>
      </c>
      <c r="Y225" s="50">
        <f>SUMIFS(SIP[BO UNIT TRANSFER],SIP[Investor ID],INVESTORS_LIST[[#This Row],[INVESTOR CODE]],SIP[B/S],"S")</f>
        <v>0</v>
      </c>
      <c r="Z225" s="106">
        <f>SUM(INVESTORS_LIST[[#This Row],[BO OPENING BALANCE]:[BO SIP UNITS REPURCHASE]])</f>
        <v>0</v>
      </c>
      <c r="AA225" s="107">
        <f>INVESTORS_LIST[[#This Row],[TOTAL UNITS BUY]]-INVESTORS_LIST[[#This Row],[TOTAL UNITS SOLD]]</f>
        <v>0</v>
      </c>
      <c r="AB225" s="107">
        <f>INVESTORS_LIST[[#This Row],[TOTAL CURRENT UNITS]]-INVESTORS_LIST[[#This Row],[BO UNITS HOLD]]</f>
        <v>0</v>
      </c>
      <c r="AC225" s="201" t="e">
        <f>INDEX([3]!Table_1[BO ID],MATCH(INVESTORS_LIST[[#This Row],[INVESTOR CODE]],[3]!Table_1[INVESTOR CODE],0))</f>
        <v>#REF!</v>
      </c>
      <c r="AD225" s="201" t="e">
        <f>INDEX([3]!Table_1[Brokerage Name2],MATCH(INVESTORS_LIST[[#This Row],[INVESTOR CODE]],[3]!Table_1[INVESTOR CODE],0))</f>
        <v>#REF!</v>
      </c>
      <c r="AE225" s="201" t="e">
        <f>MID(INVESTORS_LIST[[#This Row],[BO ID]],4,5)</f>
        <v>#REF!</v>
      </c>
      <c r="AF225" s="201" t="e">
        <f>MID(INVESTORS_LIST[[#This Row],[BO ID]],2,7)</f>
        <v>#REF!</v>
      </c>
      <c r="AG225" s="201" t="e">
        <f>MID(INVESTORS_LIST[[#This Row],[BO ID]],9,7)</f>
        <v>#REF!</v>
      </c>
      <c r="AH225" s="201" t="e">
        <f>RIGHT(INVESTORS_LIST[[#This Row],[BO ID]],1)</f>
        <v>#REF!</v>
      </c>
      <c r="AI225" s="50">
        <f>INVESTORS_LIST[[#This Row],[LS_TOTAL COST VALUE OF CURRENT UNITS]]+INVESTORS_LIST[[#This Row],[SIP_TOTAL COST VALUE OF CURRENT UNITS]]</f>
        <v>0</v>
      </c>
      <c r="AJ225" s="109">
        <f>IF(INVESTORS_LIST[[#This Row],[TOTAL CURRENT UNITS]]=0,0,INVESTORS_LIST[[#This Row],[LS_TOTAL CURRENT UNITS]]/INVESTORS_LIST[[#This Row],[TOTAL CURRENT UNITS]])</f>
        <v>0</v>
      </c>
      <c r="AK225" s="109">
        <f>IF(INVESTORS_LIST[[#This Row],[TOTAL CURRENT UNITS]]=0,0,INVESTORS_LIST[[#This Row],[SIP_TOTAL CURRENT UNITS]]/INVESTORS_LIST[[#This Row],[TOTAL CURRENT UNITS]])</f>
        <v>0</v>
      </c>
      <c r="AL225" s="49" cm="1">
        <f t="array" ref="AL2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5" s="49" cm="1">
        <f t="array" ref="AM2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5" s="105">
        <f t="shared" si="4"/>
        <v>14.224</v>
      </c>
      <c r="AP225" s="112">
        <f>IF(INVESTORS_LIST[[#This Row],[TOTAL CURRENT UNITS]]=0,0,INVESTORS_LIST[[#This Row],[TOTAL CURRENT UNITS]]*INVESTORS_LIST[[#This Row],[NAV]])</f>
        <v>0</v>
      </c>
      <c r="AQ225" s="49">
        <f>IF(INVESTORS_LIST[[#This Row],[LS_TOTAL CURRENT UNITS]]=0,0,INVESTORS_LIST[[#This Row],[LS_TOTAL CURRENT UNITS]]*INVESTORS_LIST[[#This Row],[NAV]])</f>
        <v>0</v>
      </c>
      <c r="AR225" s="48">
        <f>IF(INVESTORS_LIST[[#This Row],[SIP_TOTAL CURRENT UNITS]]=0,0,INVESTORS_LIST[[#This Row],[SIP_TOTAL CURRENT UNITS]]*INVESTORS_LIST[[#This Row],[NAV]])</f>
        <v>0</v>
      </c>
      <c r="AS225" s="50">
        <f>INVESTORS_LIST[[#This Row],[TOTAL CURRENT UNITS]]</f>
        <v>0</v>
      </c>
      <c r="AT225" s="48">
        <f>IF(INVESTORS_LIST[[#This Row],[TOTAL SELLABLE UNITS]]=0,0,INVESTORS_LIST[[#This Row],[TOTAL SELLABLE UNITS]]*INVESTORS_LIST[[#This Row],[NAV]])</f>
        <v>0</v>
      </c>
      <c r="AU225" s="48">
        <f>INVESTORS_LIST[[#This Row],[LS_TOTAL REALIZED GAIN]]+INVESTORS_LIST[[#This Row],[SIP_TOTAL REALIZED GAIN]]</f>
        <v>0</v>
      </c>
      <c r="AV225" s="48">
        <f>INVESTORS_LIST[[#This Row],[TOTAL MARKET VALUE]]-INVESTORS_LIST[[#This Row],[TOTAL COST VALUE OF CURRENT INVESTMENT]]</f>
        <v>0</v>
      </c>
      <c r="AW225" s="48">
        <f>IFERROR(INVESTORS_LIST[[#This Row],[TOTAL CURRENT UNITS]]/SUM(INVESTORS_LIST[TOTAL CURRENT UNITS]),0)</f>
        <v>0</v>
      </c>
    </row>
    <row r="226" spans="1:49" hidden="1">
      <c r="A226" s="262" t="s">
        <v>500</v>
      </c>
      <c r="B226" s="97" t="s">
        <v>501</v>
      </c>
      <c r="C226" t="s">
        <v>67</v>
      </c>
      <c r="D226" s="75" t="s">
        <v>45</v>
      </c>
      <c r="E226" s="47">
        <f>SUMIFS(LS[Unit],LS[Investor ID],INVESTORS_LIST[[#This Row],[INVESTOR CODE]],LS[B/S],"B")</f>
        <v>0</v>
      </c>
      <c r="F226" s="47">
        <f>-SUMIFS(LS[Unit],LS[Investor ID],INVESTORS_LIST[[#This Row],[INVESTOR CODE]],LS[B/S],"S")</f>
        <v>0</v>
      </c>
      <c r="G226" s="47">
        <f>IF(INVESTORS_LIST[[#This Row],[LS_TOTAL UNITS BUY]]=0,0,INVESTORS_LIST[[#This Row],[LS_TOTAL UNITS BUY]]-INVESTORS_LIST[[#This Row],[LS_TOTAL UNITS SOLD]])</f>
        <v>0</v>
      </c>
      <c r="H226" s="49">
        <f>IF(INVESTORS_LIST[[#This Row],[LS_TOTAL UNITS BUY]]=0,0,SUMIFS(LS[Amount],LS[Investor ID],INVESTORS_LIST[[#This Row],[INVESTOR CODE]],LS[B/S],"B"))</f>
        <v>0</v>
      </c>
      <c r="I226" s="48">
        <f>IF(INVESTORS_LIST[[#This Row],[LS_TOTAL UNITS SOLD]]=0,0,SUMIFS(LS[Cost of Units Sold],LS[Investor ID],INVESTORS_LIST[[#This Row],[INVESTOR CODE]],LS[B/S],"S"))</f>
        <v>0</v>
      </c>
      <c r="J226" s="48">
        <f>IF(INVESTORS_LIST[[#This Row],[LS_TOTAL CURRENT UNITS]]=0,0,INVESTORS_LIST[[#This Row],[LS_TOTAL CURRENT UNITS]]*INVESTORS_LIST[[#This Row],[LS_AVERAGE COST]])</f>
        <v>0</v>
      </c>
      <c r="K226" s="49">
        <f>IF(INVESTORS_LIST[[#This Row],[LS_TOTAL UNITS SOLD]]=0,0,SUMIFS(LS[Realized Gain],LS[Investor ID],INVESTORS_LIST[[#This Row],[INVESTOR CODE]],LS[B/S],"S"))</f>
        <v>0</v>
      </c>
      <c r="L226" s="47">
        <f>SUMIFS(SIP[Unit],SIP[Investor ID],INVESTORS_LIST[[#This Row],[INVESTOR CODE]],SIP[B/S],"B")</f>
        <v>0</v>
      </c>
      <c r="M226" s="47">
        <f>-SUMIFS(SIP[Unit],SIP[Investor ID],INVESTORS_LIST[[#This Row],[INVESTOR CODE]],SIP[B/S],"S")</f>
        <v>0</v>
      </c>
      <c r="N226" s="50">
        <f>IF(INVESTORS_LIST[[#This Row],[SIP_TOTAL UNITS BUY]]=0,0,INVESTORS_LIST[[#This Row],[SIP_TOTAL UNITS BUY]]-INVESTORS_LIST[[#This Row],[SIP_TOTAL UNITS SOLD]])</f>
        <v>0</v>
      </c>
      <c r="O226" s="49">
        <f>IF(INVESTORS_LIST[[#This Row],[SIP_TOTAL UNITS BUY]]=0,0,SUMIFS(SIP[Amount],SIP[Investor ID],INVESTORS_LIST[[#This Row],[INVESTOR CODE]],SIP[B/S],"B"))</f>
        <v>0</v>
      </c>
      <c r="P226" s="49">
        <f>IF(INVESTORS_LIST[[#This Row],[SIP_TOTAL UNITS SOLD]]=0,0,SUMIFS(SIP[Cost of Units Sold],SIP[Investor ID],INVESTORS_LIST[[#This Row],[INVESTOR CODE]],SIP[B/S],"S"))</f>
        <v>0</v>
      </c>
      <c r="Q226" s="48">
        <f>IF(INVESTORS_LIST[[#This Row],[SIP_TOTAL CURRENT UNITS]]=0,0,INVESTORS_LIST[[#This Row],[SIP_TOTAL CURRENT UNITS]]*INVESTORS_LIST[[#This Row],[SIP_AVERAGE COST]])</f>
        <v>0</v>
      </c>
      <c r="R226" s="48">
        <f>IF(INVESTORS_LIST[[#This Row],[SIP_TOTAL UNITS SOLD]]=0,0,SUMIFS(SIP[Realized Gain],SIP[Investor ID],INVESTORS_LIST[[#This Row],[INVESTOR CODE]],SIP[B/S],"S"))</f>
        <v>0</v>
      </c>
      <c r="S226" s="50">
        <f>INVESTORS_LIST[[#This Row],[LS_TOTAL UNITS BUY]]+INVESTORS_LIST[[#This Row],[SIP_TOTAL UNITS BUY]]</f>
        <v>0</v>
      </c>
      <c r="T226" s="50">
        <f>INVESTORS_LIST[[#This Row],[LS_TOTAL UNITS SOLD]]+INVESTORS_LIST[[#This Row],[SIP_TOTAL UNITS SOLD]]</f>
        <v>0</v>
      </c>
      <c r="U226" s="50"/>
      <c r="V226" s="50">
        <f>SUMIFS(LS[BO UNIT TRANSFER],LS[Investor ID],INVESTORS_LIST[[#This Row],[INVESTOR CODE]],LS[B/S],"B")</f>
        <v>0</v>
      </c>
      <c r="W226" s="50">
        <f>SUMIFS(SIP[BO UNIT TRANSFER],SIP[Investor ID],INVESTORS_LIST[[#This Row],[INVESTOR CODE]],SIP[B/S],"B")</f>
        <v>0</v>
      </c>
      <c r="X226" s="50">
        <f>SUMIFS(LS[BO UNIT TRANSFER],LS[Investor ID],INVESTORS_LIST[[#This Row],[INVESTOR CODE]],LS[B/S],"S")</f>
        <v>0</v>
      </c>
      <c r="Y226" s="50">
        <f>SUMIFS(SIP[BO UNIT TRANSFER],SIP[Investor ID],INVESTORS_LIST[[#This Row],[INVESTOR CODE]],SIP[B/S],"S")</f>
        <v>0</v>
      </c>
      <c r="Z226" s="106">
        <f>SUM(INVESTORS_LIST[[#This Row],[BO OPENING BALANCE]:[BO SIP UNITS REPURCHASE]])</f>
        <v>0</v>
      </c>
      <c r="AA226" s="107">
        <f>INVESTORS_LIST[[#This Row],[TOTAL UNITS BUY]]-INVESTORS_LIST[[#This Row],[TOTAL UNITS SOLD]]</f>
        <v>0</v>
      </c>
      <c r="AB226" s="107">
        <f>INVESTORS_LIST[[#This Row],[TOTAL CURRENT UNITS]]-INVESTORS_LIST[[#This Row],[BO UNITS HOLD]]</f>
        <v>0</v>
      </c>
      <c r="AC226" s="201" t="e">
        <f>INDEX([3]!Table_1[BO ID],MATCH(INVESTORS_LIST[[#This Row],[INVESTOR CODE]],[3]!Table_1[INVESTOR CODE],0))</f>
        <v>#REF!</v>
      </c>
      <c r="AD226" s="201" t="e">
        <f>INDEX([3]!Table_1[Brokerage Name2],MATCH(INVESTORS_LIST[[#This Row],[INVESTOR CODE]],[3]!Table_1[INVESTOR CODE],0))</f>
        <v>#REF!</v>
      </c>
      <c r="AE226" s="201" t="e">
        <f>MID(INVESTORS_LIST[[#This Row],[BO ID]],4,5)</f>
        <v>#REF!</v>
      </c>
      <c r="AF226" s="201" t="e">
        <f>MID(INVESTORS_LIST[[#This Row],[BO ID]],2,7)</f>
        <v>#REF!</v>
      </c>
      <c r="AG226" s="201" t="e">
        <f>MID(INVESTORS_LIST[[#This Row],[BO ID]],9,7)</f>
        <v>#REF!</v>
      </c>
      <c r="AH226" s="201" t="e">
        <f>RIGHT(INVESTORS_LIST[[#This Row],[BO ID]],1)</f>
        <v>#REF!</v>
      </c>
      <c r="AI226" s="50">
        <f>INVESTORS_LIST[[#This Row],[LS_TOTAL COST VALUE OF CURRENT UNITS]]+INVESTORS_LIST[[#This Row],[SIP_TOTAL COST VALUE OF CURRENT UNITS]]</f>
        <v>0</v>
      </c>
      <c r="AJ226" s="109">
        <f>IF(INVESTORS_LIST[[#This Row],[TOTAL CURRENT UNITS]]=0,0,INVESTORS_LIST[[#This Row],[LS_TOTAL CURRENT UNITS]]/INVESTORS_LIST[[#This Row],[TOTAL CURRENT UNITS]])</f>
        <v>0</v>
      </c>
      <c r="AK226" s="109">
        <f>IF(INVESTORS_LIST[[#This Row],[TOTAL CURRENT UNITS]]=0,0,INVESTORS_LIST[[#This Row],[SIP_TOTAL CURRENT UNITS]]/INVESTORS_LIST[[#This Row],[TOTAL CURRENT UNITS]])</f>
        <v>0</v>
      </c>
      <c r="AL226" s="49" cm="1">
        <f t="array" ref="AL2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6" s="49" cm="1">
        <f t="array" ref="AM2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6" s="105">
        <f t="shared" si="4"/>
        <v>14.224</v>
      </c>
      <c r="AP226" s="112">
        <f>IF(INVESTORS_LIST[[#This Row],[TOTAL CURRENT UNITS]]=0,0,INVESTORS_LIST[[#This Row],[TOTAL CURRENT UNITS]]*INVESTORS_LIST[[#This Row],[NAV]])</f>
        <v>0</v>
      </c>
      <c r="AQ226" s="49">
        <f>IF(INVESTORS_LIST[[#This Row],[LS_TOTAL CURRENT UNITS]]=0,0,INVESTORS_LIST[[#This Row],[LS_TOTAL CURRENT UNITS]]*INVESTORS_LIST[[#This Row],[NAV]])</f>
        <v>0</v>
      </c>
      <c r="AR226" s="48">
        <f>IF(INVESTORS_LIST[[#This Row],[SIP_TOTAL CURRENT UNITS]]=0,0,INVESTORS_LIST[[#This Row],[SIP_TOTAL CURRENT UNITS]]*INVESTORS_LIST[[#This Row],[NAV]])</f>
        <v>0</v>
      </c>
      <c r="AS226" s="50">
        <f>INVESTORS_LIST[[#This Row],[TOTAL CURRENT UNITS]]</f>
        <v>0</v>
      </c>
      <c r="AT226" s="48">
        <f>IF(INVESTORS_LIST[[#This Row],[TOTAL SELLABLE UNITS]]=0,0,INVESTORS_LIST[[#This Row],[TOTAL SELLABLE UNITS]]*INVESTORS_LIST[[#This Row],[NAV]])</f>
        <v>0</v>
      </c>
      <c r="AU226" s="48">
        <f>INVESTORS_LIST[[#This Row],[LS_TOTAL REALIZED GAIN]]+INVESTORS_LIST[[#This Row],[SIP_TOTAL REALIZED GAIN]]</f>
        <v>0</v>
      </c>
      <c r="AV226" s="48">
        <f>INVESTORS_LIST[[#This Row],[TOTAL MARKET VALUE]]-INVESTORS_LIST[[#This Row],[TOTAL COST VALUE OF CURRENT INVESTMENT]]</f>
        <v>0</v>
      </c>
      <c r="AW226" s="48">
        <f>IFERROR(INVESTORS_LIST[[#This Row],[TOTAL CURRENT UNITS]]/SUM(INVESTORS_LIST[TOTAL CURRENT UNITS]),0)</f>
        <v>0</v>
      </c>
    </row>
    <row r="227" spans="1:49" hidden="1">
      <c r="A227" s="262" t="s">
        <v>502</v>
      </c>
      <c r="B227" s="97" t="s">
        <v>503</v>
      </c>
      <c r="C227" t="s">
        <v>48</v>
      </c>
      <c r="D227" s="75" t="s">
        <v>49</v>
      </c>
      <c r="E227" s="47">
        <f>SUMIFS(LS[Unit],LS[Investor ID],INVESTORS_LIST[[#This Row],[INVESTOR CODE]],LS[B/S],"B")</f>
        <v>0</v>
      </c>
      <c r="F227" s="47">
        <f>-SUMIFS(LS[Unit],LS[Investor ID],INVESTORS_LIST[[#This Row],[INVESTOR CODE]],LS[B/S],"S")</f>
        <v>0</v>
      </c>
      <c r="G227" s="47">
        <f>IF(INVESTORS_LIST[[#This Row],[LS_TOTAL UNITS BUY]]=0,0,INVESTORS_LIST[[#This Row],[LS_TOTAL UNITS BUY]]-INVESTORS_LIST[[#This Row],[LS_TOTAL UNITS SOLD]])</f>
        <v>0</v>
      </c>
      <c r="H227" s="49">
        <f>IF(INVESTORS_LIST[[#This Row],[LS_TOTAL UNITS BUY]]=0,0,SUMIFS(LS[Amount],LS[Investor ID],INVESTORS_LIST[[#This Row],[INVESTOR CODE]],LS[B/S],"B"))</f>
        <v>0</v>
      </c>
      <c r="I227" s="48">
        <f>IF(INVESTORS_LIST[[#This Row],[LS_TOTAL UNITS SOLD]]=0,0,SUMIFS(LS[Cost of Units Sold],LS[Investor ID],INVESTORS_LIST[[#This Row],[INVESTOR CODE]],LS[B/S],"S"))</f>
        <v>0</v>
      </c>
      <c r="J227" s="48">
        <f>IF(INVESTORS_LIST[[#This Row],[LS_TOTAL CURRENT UNITS]]=0,0,INVESTORS_LIST[[#This Row],[LS_TOTAL CURRENT UNITS]]*INVESTORS_LIST[[#This Row],[LS_AVERAGE COST]])</f>
        <v>0</v>
      </c>
      <c r="K227" s="49">
        <f>IF(INVESTORS_LIST[[#This Row],[LS_TOTAL UNITS SOLD]]=0,0,SUMIFS(LS[Realized Gain],LS[Investor ID],INVESTORS_LIST[[#This Row],[INVESTOR CODE]],LS[B/S],"S"))</f>
        <v>0</v>
      </c>
      <c r="L227" s="47">
        <f>SUMIFS(SIP[Unit],SIP[Investor ID],INVESTORS_LIST[[#This Row],[INVESTOR CODE]],SIP[B/S],"B")</f>
        <v>0</v>
      </c>
      <c r="M227" s="47">
        <f>-SUMIFS(SIP[Unit],SIP[Investor ID],INVESTORS_LIST[[#This Row],[INVESTOR CODE]],SIP[B/S],"S")</f>
        <v>0</v>
      </c>
      <c r="N227" s="50">
        <f>IF(INVESTORS_LIST[[#This Row],[SIP_TOTAL UNITS BUY]]=0,0,INVESTORS_LIST[[#This Row],[SIP_TOTAL UNITS BUY]]-INVESTORS_LIST[[#This Row],[SIP_TOTAL UNITS SOLD]])</f>
        <v>0</v>
      </c>
      <c r="O227" s="49">
        <f>IF(INVESTORS_LIST[[#This Row],[SIP_TOTAL UNITS BUY]]=0,0,SUMIFS(SIP[Amount],SIP[Investor ID],INVESTORS_LIST[[#This Row],[INVESTOR CODE]],SIP[B/S],"B"))</f>
        <v>0</v>
      </c>
      <c r="P227" s="49">
        <f>IF(INVESTORS_LIST[[#This Row],[SIP_TOTAL UNITS SOLD]]=0,0,SUMIFS(SIP[Cost of Units Sold],SIP[Investor ID],INVESTORS_LIST[[#This Row],[INVESTOR CODE]],SIP[B/S],"S"))</f>
        <v>0</v>
      </c>
      <c r="Q227" s="48">
        <f>IF(INVESTORS_LIST[[#This Row],[SIP_TOTAL CURRENT UNITS]]=0,0,INVESTORS_LIST[[#This Row],[SIP_TOTAL CURRENT UNITS]]*INVESTORS_LIST[[#This Row],[SIP_AVERAGE COST]])</f>
        <v>0</v>
      </c>
      <c r="R227" s="48">
        <f>IF(INVESTORS_LIST[[#This Row],[SIP_TOTAL UNITS SOLD]]=0,0,SUMIFS(SIP[Realized Gain],SIP[Investor ID],INVESTORS_LIST[[#This Row],[INVESTOR CODE]],SIP[B/S],"S"))</f>
        <v>0</v>
      </c>
      <c r="S227" s="50">
        <f>INVESTORS_LIST[[#This Row],[LS_TOTAL UNITS BUY]]+INVESTORS_LIST[[#This Row],[SIP_TOTAL UNITS BUY]]</f>
        <v>0</v>
      </c>
      <c r="T227" s="50">
        <f>INVESTORS_LIST[[#This Row],[LS_TOTAL UNITS SOLD]]+INVESTORS_LIST[[#This Row],[SIP_TOTAL UNITS SOLD]]</f>
        <v>0</v>
      </c>
      <c r="U227" s="50"/>
      <c r="V227" s="50">
        <f>SUMIFS(LS[BO UNIT TRANSFER],LS[Investor ID],INVESTORS_LIST[[#This Row],[INVESTOR CODE]],LS[B/S],"B")</f>
        <v>0</v>
      </c>
      <c r="W227" s="50">
        <f>SUMIFS(SIP[BO UNIT TRANSFER],SIP[Investor ID],INVESTORS_LIST[[#This Row],[INVESTOR CODE]],SIP[B/S],"B")</f>
        <v>0</v>
      </c>
      <c r="X227" s="50">
        <f>SUMIFS(LS[BO UNIT TRANSFER],LS[Investor ID],INVESTORS_LIST[[#This Row],[INVESTOR CODE]],LS[B/S],"S")</f>
        <v>0</v>
      </c>
      <c r="Y227" s="50">
        <f>SUMIFS(SIP[BO UNIT TRANSFER],SIP[Investor ID],INVESTORS_LIST[[#This Row],[INVESTOR CODE]],SIP[B/S],"S")</f>
        <v>0</v>
      </c>
      <c r="Z227" s="106">
        <f>SUM(INVESTORS_LIST[[#This Row],[BO OPENING BALANCE]:[BO SIP UNITS REPURCHASE]])</f>
        <v>0</v>
      </c>
      <c r="AA227" s="107">
        <f>INVESTORS_LIST[[#This Row],[TOTAL UNITS BUY]]-INVESTORS_LIST[[#This Row],[TOTAL UNITS SOLD]]</f>
        <v>0</v>
      </c>
      <c r="AB227" s="107">
        <f>INVESTORS_LIST[[#This Row],[TOTAL CURRENT UNITS]]-INVESTORS_LIST[[#This Row],[BO UNITS HOLD]]</f>
        <v>0</v>
      </c>
      <c r="AC227" s="201" t="e">
        <f>INDEX([3]!Table_1[BO ID],MATCH(INVESTORS_LIST[[#This Row],[INVESTOR CODE]],[3]!Table_1[INVESTOR CODE],0))</f>
        <v>#REF!</v>
      </c>
      <c r="AD227" s="201" t="e">
        <f>INDEX([3]!Table_1[Brokerage Name2],MATCH(INVESTORS_LIST[[#This Row],[INVESTOR CODE]],[3]!Table_1[INVESTOR CODE],0))</f>
        <v>#REF!</v>
      </c>
      <c r="AE227" s="201" t="e">
        <f>MID(INVESTORS_LIST[[#This Row],[BO ID]],4,5)</f>
        <v>#REF!</v>
      </c>
      <c r="AF227" s="201" t="e">
        <f>MID(INVESTORS_LIST[[#This Row],[BO ID]],2,7)</f>
        <v>#REF!</v>
      </c>
      <c r="AG227" s="201" t="e">
        <f>MID(INVESTORS_LIST[[#This Row],[BO ID]],9,7)</f>
        <v>#REF!</v>
      </c>
      <c r="AH227" s="201" t="e">
        <f>RIGHT(INVESTORS_LIST[[#This Row],[BO ID]],1)</f>
        <v>#REF!</v>
      </c>
      <c r="AI227" s="50">
        <f>INVESTORS_LIST[[#This Row],[LS_TOTAL COST VALUE OF CURRENT UNITS]]+INVESTORS_LIST[[#This Row],[SIP_TOTAL COST VALUE OF CURRENT UNITS]]</f>
        <v>0</v>
      </c>
      <c r="AJ227" s="109">
        <f>IF(INVESTORS_LIST[[#This Row],[TOTAL CURRENT UNITS]]=0,0,INVESTORS_LIST[[#This Row],[LS_TOTAL CURRENT UNITS]]/INVESTORS_LIST[[#This Row],[TOTAL CURRENT UNITS]])</f>
        <v>0</v>
      </c>
      <c r="AK227" s="109">
        <f>IF(INVESTORS_LIST[[#This Row],[TOTAL CURRENT UNITS]]=0,0,INVESTORS_LIST[[#This Row],[SIP_TOTAL CURRENT UNITS]]/INVESTORS_LIST[[#This Row],[TOTAL CURRENT UNITS]])</f>
        <v>0</v>
      </c>
      <c r="AL227" s="49" cm="1">
        <f t="array" ref="AL2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7" s="49" cm="1">
        <f t="array" ref="AM2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7" s="105">
        <f t="shared" si="4"/>
        <v>14.224</v>
      </c>
      <c r="AP227" s="112">
        <f>IF(INVESTORS_LIST[[#This Row],[TOTAL CURRENT UNITS]]=0,0,INVESTORS_LIST[[#This Row],[TOTAL CURRENT UNITS]]*INVESTORS_LIST[[#This Row],[NAV]])</f>
        <v>0</v>
      </c>
      <c r="AQ227" s="49">
        <f>IF(INVESTORS_LIST[[#This Row],[LS_TOTAL CURRENT UNITS]]=0,0,INVESTORS_LIST[[#This Row],[LS_TOTAL CURRENT UNITS]]*INVESTORS_LIST[[#This Row],[NAV]])</f>
        <v>0</v>
      </c>
      <c r="AR227" s="48">
        <f>IF(INVESTORS_LIST[[#This Row],[SIP_TOTAL CURRENT UNITS]]=0,0,INVESTORS_LIST[[#This Row],[SIP_TOTAL CURRENT UNITS]]*INVESTORS_LIST[[#This Row],[NAV]])</f>
        <v>0</v>
      </c>
      <c r="AS227" s="50">
        <f>INVESTORS_LIST[[#This Row],[TOTAL CURRENT UNITS]]</f>
        <v>0</v>
      </c>
      <c r="AT227" s="48">
        <f>IF(INVESTORS_LIST[[#This Row],[TOTAL SELLABLE UNITS]]=0,0,INVESTORS_LIST[[#This Row],[TOTAL SELLABLE UNITS]]*INVESTORS_LIST[[#This Row],[NAV]])</f>
        <v>0</v>
      </c>
      <c r="AU227" s="48">
        <f>INVESTORS_LIST[[#This Row],[LS_TOTAL REALIZED GAIN]]+INVESTORS_LIST[[#This Row],[SIP_TOTAL REALIZED GAIN]]</f>
        <v>0</v>
      </c>
      <c r="AV227" s="48">
        <f>INVESTORS_LIST[[#This Row],[TOTAL MARKET VALUE]]-INVESTORS_LIST[[#This Row],[TOTAL COST VALUE OF CURRENT INVESTMENT]]</f>
        <v>0</v>
      </c>
      <c r="AW227" s="48">
        <f>IFERROR(INVESTORS_LIST[[#This Row],[TOTAL CURRENT UNITS]]/SUM(INVESTORS_LIST[TOTAL CURRENT UNITS]),0)</f>
        <v>0</v>
      </c>
    </row>
    <row r="228" spans="1:49">
      <c r="A228" s="262" t="s">
        <v>504</v>
      </c>
      <c r="B228" s="97" t="s">
        <v>505</v>
      </c>
      <c r="C228" t="s">
        <v>44</v>
      </c>
      <c r="D228" s="75" t="s">
        <v>45</v>
      </c>
      <c r="E228" s="47">
        <f>SUMIFS(LS[Unit],LS[Investor ID],INVESTORS_LIST[[#This Row],[INVESTOR CODE]],LS[B/S],"B")</f>
        <v>0</v>
      </c>
      <c r="F228" s="47">
        <f>-SUMIFS(LS[Unit],LS[Investor ID],INVESTORS_LIST[[#This Row],[INVESTOR CODE]],LS[B/S],"S")</f>
        <v>0</v>
      </c>
      <c r="G228" s="47">
        <f>IF(INVESTORS_LIST[[#This Row],[LS_TOTAL UNITS BUY]]=0,0,INVESTORS_LIST[[#This Row],[LS_TOTAL UNITS BUY]]-INVESTORS_LIST[[#This Row],[LS_TOTAL UNITS SOLD]])</f>
        <v>0</v>
      </c>
      <c r="H228" s="49">
        <f>IF(INVESTORS_LIST[[#This Row],[LS_TOTAL UNITS BUY]]=0,0,SUMIFS(LS[Amount],LS[Investor ID],INVESTORS_LIST[[#This Row],[INVESTOR CODE]],LS[B/S],"B"))</f>
        <v>0</v>
      </c>
      <c r="I228" s="48">
        <f>IF(INVESTORS_LIST[[#This Row],[LS_TOTAL UNITS SOLD]]=0,0,SUMIFS(LS[Cost of Units Sold],LS[Investor ID],INVESTORS_LIST[[#This Row],[INVESTOR CODE]],LS[B/S],"S"))</f>
        <v>0</v>
      </c>
      <c r="J228" s="48">
        <f>IF(INVESTORS_LIST[[#This Row],[LS_TOTAL CURRENT UNITS]]=0,0,INVESTORS_LIST[[#This Row],[LS_TOTAL CURRENT UNITS]]*INVESTORS_LIST[[#This Row],[LS_AVERAGE COST]])</f>
        <v>0</v>
      </c>
      <c r="K228" s="49">
        <f>IF(INVESTORS_LIST[[#This Row],[LS_TOTAL UNITS SOLD]]=0,0,SUMIFS(LS[Realized Gain],LS[Investor ID],INVESTORS_LIST[[#This Row],[INVESTOR CODE]],LS[B/S],"S"))</f>
        <v>0</v>
      </c>
      <c r="L228" s="47">
        <f>SUMIFS(SIP[Unit],SIP[Investor ID],INVESTORS_LIST[[#This Row],[INVESTOR CODE]],SIP[B/S],"B")</f>
        <v>22763</v>
      </c>
      <c r="M228" s="47">
        <f>-SUMIFS(SIP[Unit],SIP[Investor ID],INVESTORS_LIST[[#This Row],[INVESTOR CODE]],SIP[B/S],"S")</f>
        <v>0</v>
      </c>
      <c r="N228" s="50">
        <f>IF(INVESTORS_LIST[[#This Row],[SIP_TOTAL UNITS BUY]]=0,0,INVESTORS_LIST[[#This Row],[SIP_TOTAL UNITS BUY]]-INVESTORS_LIST[[#This Row],[SIP_TOTAL UNITS SOLD]])</f>
        <v>22763</v>
      </c>
      <c r="O228" s="49">
        <f>IF(INVESTORS_LIST[[#This Row],[SIP_TOTAL UNITS BUY]]=0,0,SUMIFS(SIP[Amount],SIP[Investor ID],INVESTORS_LIST[[#This Row],[INVESTOR CODE]],SIP[B/S],"B"))</f>
        <v>300000</v>
      </c>
      <c r="P228" s="49">
        <f>IF(INVESTORS_LIST[[#This Row],[SIP_TOTAL UNITS SOLD]]=0,0,SUMIFS(SIP[Cost of Units Sold],SIP[Investor ID],INVESTORS_LIST[[#This Row],[INVESTOR CODE]],SIP[B/S],"S"))</f>
        <v>0</v>
      </c>
      <c r="Q228" s="48">
        <f>IF(INVESTORS_LIST[[#This Row],[SIP_TOTAL CURRENT UNITS]]=0,0,INVESTORS_LIST[[#This Row],[SIP_TOTAL CURRENT UNITS]]*INVESTORS_LIST[[#This Row],[SIP_AVERAGE COST]])</f>
        <v>300000</v>
      </c>
      <c r="R228" s="48">
        <f>IF(INVESTORS_LIST[[#This Row],[SIP_TOTAL UNITS SOLD]]=0,0,SUMIFS(SIP[Realized Gain],SIP[Investor ID],INVESTORS_LIST[[#This Row],[INVESTOR CODE]],SIP[B/S],"S"))</f>
        <v>0</v>
      </c>
      <c r="S228" s="50">
        <f>INVESTORS_LIST[[#This Row],[LS_TOTAL UNITS BUY]]+INVESTORS_LIST[[#This Row],[SIP_TOTAL UNITS BUY]]</f>
        <v>22763</v>
      </c>
      <c r="T228" s="50">
        <f>INVESTORS_LIST[[#This Row],[LS_TOTAL UNITS SOLD]]+INVESTORS_LIST[[#This Row],[SIP_TOTAL UNITS SOLD]]</f>
        <v>0</v>
      </c>
      <c r="U228" s="50"/>
      <c r="V228" s="50">
        <f>SUMIFS(LS[BO UNIT TRANSFER],LS[Investor ID],INVESTORS_LIST[[#This Row],[INVESTOR CODE]],LS[B/S],"B")</f>
        <v>0</v>
      </c>
      <c r="W228" s="50">
        <f>SUMIFS(SIP[BO UNIT TRANSFER],SIP[Investor ID],INVESTORS_LIST[[#This Row],[INVESTOR CODE]],SIP[B/S],"B")</f>
        <v>0</v>
      </c>
      <c r="X228" s="50">
        <f>SUMIFS(LS[BO UNIT TRANSFER],LS[Investor ID],INVESTORS_LIST[[#This Row],[INVESTOR CODE]],LS[B/S],"S")</f>
        <v>0</v>
      </c>
      <c r="Y228" s="50">
        <f>SUMIFS(SIP[BO UNIT TRANSFER],SIP[Investor ID],INVESTORS_LIST[[#This Row],[INVESTOR CODE]],SIP[B/S],"S")</f>
        <v>0</v>
      </c>
      <c r="Z228" s="106">
        <f>SUM(INVESTORS_LIST[[#This Row],[BO OPENING BALANCE]:[BO SIP UNITS REPURCHASE]])</f>
        <v>0</v>
      </c>
      <c r="AA228" s="107">
        <f>INVESTORS_LIST[[#This Row],[TOTAL UNITS BUY]]-INVESTORS_LIST[[#This Row],[TOTAL UNITS SOLD]]</f>
        <v>22763</v>
      </c>
      <c r="AB228" s="107">
        <f>INVESTORS_LIST[[#This Row],[TOTAL CURRENT UNITS]]-INVESTORS_LIST[[#This Row],[BO UNITS HOLD]]</f>
        <v>22763</v>
      </c>
      <c r="AC228" s="201" t="e">
        <f>INDEX([3]!Table_1[BO ID],MATCH(INVESTORS_LIST[[#This Row],[INVESTOR CODE]],[3]!Table_1[INVESTOR CODE],0))</f>
        <v>#REF!</v>
      </c>
      <c r="AD228" s="201" t="e">
        <f>INDEX([3]!Table_1[Brokerage Name2],MATCH(INVESTORS_LIST[[#This Row],[INVESTOR CODE]],[3]!Table_1[INVESTOR CODE],0))</f>
        <v>#REF!</v>
      </c>
      <c r="AE228" s="201" t="e">
        <f>MID(INVESTORS_LIST[[#This Row],[BO ID]],4,5)</f>
        <v>#REF!</v>
      </c>
      <c r="AF228" s="201" t="e">
        <f>MID(INVESTORS_LIST[[#This Row],[BO ID]],2,7)</f>
        <v>#REF!</v>
      </c>
      <c r="AG228" s="201" t="e">
        <f>MID(INVESTORS_LIST[[#This Row],[BO ID]],9,7)</f>
        <v>#REF!</v>
      </c>
      <c r="AH228" s="201" t="e">
        <f>RIGHT(INVESTORS_LIST[[#This Row],[BO ID]],1)</f>
        <v>#REF!</v>
      </c>
      <c r="AI228" s="50">
        <f>INVESTORS_LIST[[#This Row],[LS_TOTAL COST VALUE OF CURRENT UNITS]]+INVESTORS_LIST[[#This Row],[SIP_TOTAL COST VALUE OF CURRENT UNITS]]</f>
        <v>300000</v>
      </c>
      <c r="AJ228" s="109">
        <f>IF(INVESTORS_LIST[[#This Row],[TOTAL CURRENT UNITS]]=0,0,INVESTORS_LIST[[#This Row],[LS_TOTAL CURRENT UNITS]]/INVESTORS_LIST[[#This Row],[TOTAL CURRENT UNITS]])</f>
        <v>0</v>
      </c>
      <c r="AK228" s="109">
        <f>IF(INVESTORS_LIST[[#This Row],[TOTAL CURRENT UNITS]]=0,0,INVESTORS_LIST[[#This Row],[SIP_TOTAL CURRENT UNITS]]/INVESTORS_LIST[[#This Row],[TOTAL CURRENT UNITS]])</f>
        <v>1</v>
      </c>
      <c r="AL228" s="49" cm="1">
        <f t="array" ref="AL2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8" s="49" cm="1">
        <f t="array" ref="AM228">IF(INVESTORS_LIST[[#This Row],[SIP_TOTAL UNITS BUY]]&gt;0,INDEX(SIP[NAV at Cost (Average)],MATCH(CONCATENATE(COUNTIFS(SIP[Investor ID],INVESTORS_LIST[[#This Row],[INVESTOR CODE]]),INVESTORS_LIST[[#This Row],[INVESTOR CODE]]),SIP[Unique Code],0),),0)</f>
        <v>13.179282168431225</v>
      </c>
      <c r="AN228" s="105">
        <f>IF(INVESTORS_LIST[[#This Row],[TOTAL CURRENT UNITS]]=0,0,(INVESTORS_LIST[[#This Row],[LS_WEIGHT]]*INVESTORS_LIST[[#This Row],[LS_AVERAGE COST]])+(INVESTORS_LIST[[#This Row],[SIP_WEIGHT]]*INVESTORS_LIST[[#This Row],[SIP_AVERAGE COST]]))</f>
        <v>13.179282168431225</v>
      </c>
      <c r="AO228" s="105">
        <f t="shared" si="4"/>
        <v>14.224</v>
      </c>
      <c r="AP228" s="112">
        <f>IF(INVESTORS_LIST[[#This Row],[TOTAL CURRENT UNITS]]=0,0,INVESTORS_LIST[[#This Row],[TOTAL CURRENT UNITS]]*INVESTORS_LIST[[#This Row],[NAV]])</f>
        <v>323780.91200000001</v>
      </c>
      <c r="AQ228" s="49">
        <f>IF(INVESTORS_LIST[[#This Row],[LS_TOTAL CURRENT UNITS]]=0,0,INVESTORS_LIST[[#This Row],[LS_TOTAL CURRENT UNITS]]*INVESTORS_LIST[[#This Row],[NAV]])</f>
        <v>0</v>
      </c>
      <c r="AR228" s="48">
        <f>IF(INVESTORS_LIST[[#This Row],[SIP_TOTAL CURRENT UNITS]]=0,0,INVESTORS_LIST[[#This Row],[SIP_TOTAL CURRENT UNITS]]*INVESTORS_LIST[[#This Row],[NAV]])</f>
        <v>323780.91200000001</v>
      </c>
      <c r="AS228" s="50">
        <f>INVESTORS_LIST[[#This Row],[TOTAL CURRENT UNITS]]</f>
        <v>22763</v>
      </c>
      <c r="AT228" s="48">
        <f>IF(INVESTORS_LIST[[#This Row],[TOTAL SELLABLE UNITS]]=0,0,INVESTORS_LIST[[#This Row],[TOTAL SELLABLE UNITS]]*INVESTORS_LIST[[#This Row],[NAV]])</f>
        <v>323780.91200000001</v>
      </c>
      <c r="AU228" s="48">
        <f>INVESTORS_LIST[[#This Row],[LS_TOTAL REALIZED GAIN]]+INVESTORS_LIST[[#This Row],[SIP_TOTAL REALIZED GAIN]]</f>
        <v>0</v>
      </c>
      <c r="AV228" s="48">
        <f>INVESTORS_LIST[[#This Row],[TOTAL MARKET VALUE]]-INVESTORS_LIST[[#This Row],[TOTAL COST VALUE OF CURRENT INVESTMENT]]</f>
        <v>23780.912000000011</v>
      </c>
      <c r="AW228" s="48">
        <f>IFERROR(INVESTORS_LIST[[#This Row],[TOTAL CURRENT UNITS]]/SUM(INVESTORS_LIST[TOTAL CURRENT UNITS]),0)</f>
        <v>5.5259932033900757E-4</v>
      </c>
    </row>
    <row r="229" spans="1:49" hidden="1">
      <c r="A229" s="262" t="s">
        <v>506</v>
      </c>
      <c r="B229" s="97" t="s">
        <v>507</v>
      </c>
      <c r="C229" t="s">
        <v>48</v>
      </c>
      <c r="D229" s="75" t="s">
        <v>49</v>
      </c>
      <c r="E229" s="47">
        <f>SUMIFS(LS[Unit],LS[Investor ID],INVESTORS_LIST[[#This Row],[INVESTOR CODE]],LS[B/S],"B")</f>
        <v>0</v>
      </c>
      <c r="F229" s="47">
        <f>-SUMIFS(LS[Unit],LS[Investor ID],INVESTORS_LIST[[#This Row],[INVESTOR CODE]],LS[B/S],"S")</f>
        <v>0</v>
      </c>
      <c r="G229" s="47">
        <f>IF(INVESTORS_LIST[[#This Row],[LS_TOTAL UNITS BUY]]=0,0,INVESTORS_LIST[[#This Row],[LS_TOTAL UNITS BUY]]-INVESTORS_LIST[[#This Row],[LS_TOTAL UNITS SOLD]])</f>
        <v>0</v>
      </c>
      <c r="H229" s="49">
        <f>IF(INVESTORS_LIST[[#This Row],[LS_TOTAL UNITS BUY]]=0,0,SUMIFS(LS[Amount],LS[Investor ID],INVESTORS_LIST[[#This Row],[INVESTOR CODE]],LS[B/S],"B"))</f>
        <v>0</v>
      </c>
      <c r="I229" s="48">
        <f>IF(INVESTORS_LIST[[#This Row],[LS_TOTAL UNITS SOLD]]=0,0,SUMIFS(LS[Cost of Units Sold],LS[Investor ID],INVESTORS_LIST[[#This Row],[INVESTOR CODE]],LS[B/S],"S"))</f>
        <v>0</v>
      </c>
      <c r="J229" s="48">
        <f>IF(INVESTORS_LIST[[#This Row],[LS_TOTAL CURRENT UNITS]]=0,0,INVESTORS_LIST[[#This Row],[LS_TOTAL CURRENT UNITS]]*INVESTORS_LIST[[#This Row],[LS_AVERAGE COST]])</f>
        <v>0</v>
      </c>
      <c r="K229" s="49">
        <f>IF(INVESTORS_LIST[[#This Row],[LS_TOTAL UNITS SOLD]]=0,0,SUMIFS(LS[Realized Gain],LS[Investor ID],INVESTORS_LIST[[#This Row],[INVESTOR CODE]],LS[B/S],"S"))</f>
        <v>0</v>
      </c>
      <c r="L229" s="47">
        <f>SUMIFS(SIP[Unit],SIP[Investor ID],INVESTORS_LIST[[#This Row],[INVESTOR CODE]],SIP[B/S],"B")</f>
        <v>0</v>
      </c>
      <c r="M229" s="47">
        <f>-SUMIFS(SIP[Unit],SIP[Investor ID],INVESTORS_LIST[[#This Row],[INVESTOR CODE]],SIP[B/S],"S")</f>
        <v>0</v>
      </c>
      <c r="N229" s="50">
        <f>IF(INVESTORS_LIST[[#This Row],[SIP_TOTAL UNITS BUY]]=0,0,INVESTORS_LIST[[#This Row],[SIP_TOTAL UNITS BUY]]-INVESTORS_LIST[[#This Row],[SIP_TOTAL UNITS SOLD]])</f>
        <v>0</v>
      </c>
      <c r="O229" s="49">
        <f>IF(INVESTORS_LIST[[#This Row],[SIP_TOTAL UNITS BUY]]=0,0,SUMIFS(SIP[Amount],SIP[Investor ID],INVESTORS_LIST[[#This Row],[INVESTOR CODE]],SIP[B/S],"B"))</f>
        <v>0</v>
      </c>
      <c r="P229" s="49">
        <f>IF(INVESTORS_LIST[[#This Row],[SIP_TOTAL UNITS SOLD]]=0,0,SUMIFS(SIP[Cost of Units Sold],SIP[Investor ID],INVESTORS_LIST[[#This Row],[INVESTOR CODE]],SIP[B/S],"S"))</f>
        <v>0</v>
      </c>
      <c r="Q229" s="48">
        <f>IF(INVESTORS_LIST[[#This Row],[SIP_TOTAL CURRENT UNITS]]=0,0,INVESTORS_LIST[[#This Row],[SIP_TOTAL CURRENT UNITS]]*INVESTORS_LIST[[#This Row],[SIP_AVERAGE COST]])</f>
        <v>0</v>
      </c>
      <c r="R229" s="48">
        <f>IF(INVESTORS_LIST[[#This Row],[SIP_TOTAL UNITS SOLD]]=0,0,SUMIFS(SIP[Realized Gain],SIP[Investor ID],INVESTORS_LIST[[#This Row],[INVESTOR CODE]],SIP[B/S],"S"))</f>
        <v>0</v>
      </c>
      <c r="S229" s="50">
        <f>INVESTORS_LIST[[#This Row],[LS_TOTAL UNITS BUY]]+INVESTORS_LIST[[#This Row],[SIP_TOTAL UNITS BUY]]</f>
        <v>0</v>
      </c>
      <c r="T229" s="50">
        <f>INVESTORS_LIST[[#This Row],[LS_TOTAL UNITS SOLD]]+INVESTORS_LIST[[#This Row],[SIP_TOTAL UNITS SOLD]]</f>
        <v>0</v>
      </c>
      <c r="U229" s="50"/>
      <c r="V229" s="50">
        <f>SUMIFS(LS[BO UNIT TRANSFER],LS[Investor ID],INVESTORS_LIST[[#This Row],[INVESTOR CODE]],LS[B/S],"B")</f>
        <v>0</v>
      </c>
      <c r="W229" s="50">
        <f>SUMIFS(SIP[BO UNIT TRANSFER],SIP[Investor ID],INVESTORS_LIST[[#This Row],[INVESTOR CODE]],SIP[B/S],"B")</f>
        <v>0</v>
      </c>
      <c r="X229" s="50">
        <f>SUMIFS(LS[BO UNIT TRANSFER],LS[Investor ID],INVESTORS_LIST[[#This Row],[INVESTOR CODE]],LS[B/S],"S")</f>
        <v>0</v>
      </c>
      <c r="Y229" s="50">
        <f>SUMIFS(SIP[BO UNIT TRANSFER],SIP[Investor ID],INVESTORS_LIST[[#This Row],[INVESTOR CODE]],SIP[B/S],"S")</f>
        <v>0</v>
      </c>
      <c r="Z229" s="106">
        <f>SUM(INVESTORS_LIST[[#This Row],[BO OPENING BALANCE]:[BO SIP UNITS REPURCHASE]])</f>
        <v>0</v>
      </c>
      <c r="AA229" s="107">
        <f>INVESTORS_LIST[[#This Row],[TOTAL UNITS BUY]]-INVESTORS_LIST[[#This Row],[TOTAL UNITS SOLD]]</f>
        <v>0</v>
      </c>
      <c r="AB229" s="107">
        <f>INVESTORS_LIST[[#This Row],[TOTAL CURRENT UNITS]]-INVESTORS_LIST[[#This Row],[BO UNITS HOLD]]</f>
        <v>0</v>
      </c>
      <c r="AC229" s="201" t="e">
        <f>INDEX([3]!Table_1[BO ID],MATCH(INVESTORS_LIST[[#This Row],[INVESTOR CODE]],[3]!Table_1[INVESTOR CODE],0))</f>
        <v>#REF!</v>
      </c>
      <c r="AD229" s="201" t="e">
        <f>INDEX([3]!Table_1[Brokerage Name2],MATCH(INVESTORS_LIST[[#This Row],[INVESTOR CODE]],[3]!Table_1[INVESTOR CODE],0))</f>
        <v>#REF!</v>
      </c>
      <c r="AE229" s="201" t="e">
        <f>MID(INVESTORS_LIST[[#This Row],[BO ID]],4,5)</f>
        <v>#REF!</v>
      </c>
      <c r="AF229" s="201" t="e">
        <f>MID(INVESTORS_LIST[[#This Row],[BO ID]],2,7)</f>
        <v>#REF!</v>
      </c>
      <c r="AG229" s="201" t="e">
        <f>MID(INVESTORS_LIST[[#This Row],[BO ID]],9,7)</f>
        <v>#REF!</v>
      </c>
      <c r="AH229" s="201" t="e">
        <f>RIGHT(INVESTORS_LIST[[#This Row],[BO ID]],1)</f>
        <v>#REF!</v>
      </c>
      <c r="AI229" s="50">
        <f>INVESTORS_LIST[[#This Row],[LS_TOTAL COST VALUE OF CURRENT UNITS]]+INVESTORS_LIST[[#This Row],[SIP_TOTAL COST VALUE OF CURRENT UNITS]]</f>
        <v>0</v>
      </c>
      <c r="AJ229" s="109">
        <f>IF(INVESTORS_LIST[[#This Row],[TOTAL CURRENT UNITS]]=0,0,INVESTORS_LIST[[#This Row],[LS_TOTAL CURRENT UNITS]]/INVESTORS_LIST[[#This Row],[TOTAL CURRENT UNITS]])</f>
        <v>0</v>
      </c>
      <c r="AK229" s="109">
        <f>IF(INVESTORS_LIST[[#This Row],[TOTAL CURRENT UNITS]]=0,0,INVESTORS_LIST[[#This Row],[SIP_TOTAL CURRENT UNITS]]/INVESTORS_LIST[[#This Row],[TOTAL CURRENT UNITS]])</f>
        <v>0</v>
      </c>
      <c r="AL229" s="49" cm="1">
        <f t="array" ref="AL2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29" s="49" cm="1">
        <f t="array" ref="AM2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2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29" s="105">
        <f t="shared" si="4"/>
        <v>14.224</v>
      </c>
      <c r="AP229" s="112">
        <f>IF(INVESTORS_LIST[[#This Row],[TOTAL CURRENT UNITS]]=0,0,INVESTORS_LIST[[#This Row],[TOTAL CURRENT UNITS]]*INVESTORS_LIST[[#This Row],[NAV]])</f>
        <v>0</v>
      </c>
      <c r="AQ229" s="49">
        <f>IF(INVESTORS_LIST[[#This Row],[LS_TOTAL CURRENT UNITS]]=0,0,INVESTORS_LIST[[#This Row],[LS_TOTAL CURRENT UNITS]]*INVESTORS_LIST[[#This Row],[NAV]])</f>
        <v>0</v>
      </c>
      <c r="AR229" s="48">
        <f>IF(INVESTORS_LIST[[#This Row],[SIP_TOTAL CURRENT UNITS]]=0,0,INVESTORS_LIST[[#This Row],[SIP_TOTAL CURRENT UNITS]]*INVESTORS_LIST[[#This Row],[NAV]])</f>
        <v>0</v>
      </c>
      <c r="AS229" s="50">
        <f>INVESTORS_LIST[[#This Row],[TOTAL CURRENT UNITS]]</f>
        <v>0</v>
      </c>
      <c r="AT229" s="48">
        <f>IF(INVESTORS_LIST[[#This Row],[TOTAL SELLABLE UNITS]]=0,0,INVESTORS_LIST[[#This Row],[TOTAL SELLABLE UNITS]]*INVESTORS_LIST[[#This Row],[NAV]])</f>
        <v>0</v>
      </c>
      <c r="AU229" s="48">
        <f>INVESTORS_LIST[[#This Row],[LS_TOTAL REALIZED GAIN]]+INVESTORS_LIST[[#This Row],[SIP_TOTAL REALIZED GAIN]]</f>
        <v>0</v>
      </c>
      <c r="AV229" s="48">
        <f>INVESTORS_LIST[[#This Row],[TOTAL MARKET VALUE]]-INVESTORS_LIST[[#This Row],[TOTAL COST VALUE OF CURRENT INVESTMENT]]</f>
        <v>0</v>
      </c>
      <c r="AW229" s="48">
        <f>IFERROR(INVESTORS_LIST[[#This Row],[TOTAL CURRENT UNITS]]/SUM(INVESTORS_LIST[TOTAL CURRENT UNITS]),0)</f>
        <v>0</v>
      </c>
    </row>
    <row r="230" spans="1:49" hidden="1">
      <c r="A230" s="262" t="s">
        <v>508</v>
      </c>
      <c r="B230" s="97" t="s">
        <v>509</v>
      </c>
      <c r="C230" t="s">
        <v>44</v>
      </c>
      <c r="D230" s="75" t="s">
        <v>45</v>
      </c>
      <c r="E230" s="47">
        <f>SUMIFS(LS[Unit],LS[Investor ID],INVESTORS_LIST[[#This Row],[INVESTOR CODE]],LS[B/S],"B")</f>
        <v>0</v>
      </c>
      <c r="F230" s="47">
        <f>-SUMIFS(LS[Unit],LS[Investor ID],INVESTORS_LIST[[#This Row],[INVESTOR CODE]],LS[B/S],"S")</f>
        <v>0</v>
      </c>
      <c r="G230" s="47">
        <f>IF(INVESTORS_LIST[[#This Row],[LS_TOTAL UNITS BUY]]=0,0,INVESTORS_LIST[[#This Row],[LS_TOTAL UNITS BUY]]-INVESTORS_LIST[[#This Row],[LS_TOTAL UNITS SOLD]])</f>
        <v>0</v>
      </c>
      <c r="H230" s="49">
        <f>IF(INVESTORS_LIST[[#This Row],[LS_TOTAL UNITS BUY]]=0,0,SUMIFS(LS[Amount],LS[Investor ID],INVESTORS_LIST[[#This Row],[INVESTOR CODE]],LS[B/S],"B"))</f>
        <v>0</v>
      </c>
      <c r="I230" s="48">
        <f>IF(INVESTORS_LIST[[#This Row],[LS_TOTAL UNITS SOLD]]=0,0,SUMIFS(LS[Cost of Units Sold],LS[Investor ID],INVESTORS_LIST[[#This Row],[INVESTOR CODE]],LS[B/S],"S"))</f>
        <v>0</v>
      </c>
      <c r="J230" s="48">
        <f>IF(INVESTORS_LIST[[#This Row],[LS_TOTAL CURRENT UNITS]]=0,0,INVESTORS_LIST[[#This Row],[LS_TOTAL CURRENT UNITS]]*INVESTORS_LIST[[#This Row],[LS_AVERAGE COST]])</f>
        <v>0</v>
      </c>
      <c r="K230" s="49">
        <f>IF(INVESTORS_LIST[[#This Row],[LS_TOTAL UNITS SOLD]]=0,0,SUMIFS(LS[Realized Gain],LS[Investor ID],INVESTORS_LIST[[#This Row],[INVESTOR CODE]],LS[B/S],"S"))</f>
        <v>0</v>
      </c>
      <c r="L230" s="47">
        <f>SUMIFS(SIP[Unit],SIP[Investor ID],INVESTORS_LIST[[#This Row],[INVESTOR CODE]],SIP[B/S],"B")</f>
        <v>0</v>
      </c>
      <c r="M230" s="47">
        <f>-SUMIFS(SIP[Unit],SIP[Investor ID],INVESTORS_LIST[[#This Row],[INVESTOR CODE]],SIP[B/S],"S")</f>
        <v>0</v>
      </c>
      <c r="N230" s="50">
        <f>IF(INVESTORS_LIST[[#This Row],[SIP_TOTAL UNITS BUY]]=0,0,INVESTORS_LIST[[#This Row],[SIP_TOTAL UNITS BUY]]-INVESTORS_LIST[[#This Row],[SIP_TOTAL UNITS SOLD]])</f>
        <v>0</v>
      </c>
      <c r="O230" s="49">
        <f>IF(INVESTORS_LIST[[#This Row],[SIP_TOTAL UNITS BUY]]=0,0,SUMIFS(SIP[Amount],SIP[Investor ID],INVESTORS_LIST[[#This Row],[INVESTOR CODE]],SIP[B/S],"B"))</f>
        <v>0</v>
      </c>
      <c r="P230" s="49">
        <f>IF(INVESTORS_LIST[[#This Row],[SIP_TOTAL UNITS SOLD]]=0,0,SUMIFS(SIP[Cost of Units Sold],SIP[Investor ID],INVESTORS_LIST[[#This Row],[INVESTOR CODE]],SIP[B/S],"S"))</f>
        <v>0</v>
      </c>
      <c r="Q230" s="48">
        <f>IF(INVESTORS_LIST[[#This Row],[SIP_TOTAL CURRENT UNITS]]=0,0,INVESTORS_LIST[[#This Row],[SIP_TOTAL CURRENT UNITS]]*INVESTORS_LIST[[#This Row],[SIP_AVERAGE COST]])</f>
        <v>0</v>
      </c>
      <c r="R230" s="48">
        <f>IF(INVESTORS_LIST[[#This Row],[SIP_TOTAL UNITS SOLD]]=0,0,SUMIFS(SIP[Realized Gain],SIP[Investor ID],INVESTORS_LIST[[#This Row],[INVESTOR CODE]],SIP[B/S],"S"))</f>
        <v>0</v>
      </c>
      <c r="S230" s="50">
        <f>INVESTORS_LIST[[#This Row],[LS_TOTAL UNITS BUY]]+INVESTORS_LIST[[#This Row],[SIP_TOTAL UNITS BUY]]</f>
        <v>0</v>
      </c>
      <c r="T230" s="50">
        <f>INVESTORS_LIST[[#This Row],[LS_TOTAL UNITS SOLD]]+INVESTORS_LIST[[#This Row],[SIP_TOTAL UNITS SOLD]]</f>
        <v>0</v>
      </c>
      <c r="U230" s="50"/>
      <c r="V230" s="50">
        <f>SUMIFS(LS[BO UNIT TRANSFER],LS[Investor ID],INVESTORS_LIST[[#This Row],[INVESTOR CODE]],LS[B/S],"B")</f>
        <v>0</v>
      </c>
      <c r="W230" s="50">
        <f>SUMIFS(SIP[BO UNIT TRANSFER],SIP[Investor ID],INVESTORS_LIST[[#This Row],[INVESTOR CODE]],SIP[B/S],"B")</f>
        <v>0</v>
      </c>
      <c r="X230" s="50">
        <f>SUMIFS(LS[BO UNIT TRANSFER],LS[Investor ID],INVESTORS_LIST[[#This Row],[INVESTOR CODE]],LS[B/S],"S")</f>
        <v>0</v>
      </c>
      <c r="Y230" s="50">
        <f>SUMIFS(SIP[BO UNIT TRANSFER],SIP[Investor ID],INVESTORS_LIST[[#This Row],[INVESTOR CODE]],SIP[B/S],"S")</f>
        <v>0</v>
      </c>
      <c r="Z230" s="106">
        <f>SUM(INVESTORS_LIST[[#This Row],[BO OPENING BALANCE]:[BO SIP UNITS REPURCHASE]])</f>
        <v>0</v>
      </c>
      <c r="AA230" s="107">
        <f>INVESTORS_LIST[[#This Row],[TOTAL UNITS BUY]]-INVESTORS_LIST[[#This Row],[TOTAL UNITS SOLD]]</f>
        <v>0</v>
      </c>
      <c r="AB230" s="107">
        <f>INVESTORS_LIST[[#This Row],[TOTAL CURRENT UNITS]]-INVESTORS_LIST[[#This Row],[BO UNITS HOLD]]</f>
        <v>0</v>
      </c>
      <c r="AC230" s="201" t="e">
        <f>INDEX([3]!Table_1[BO ID],MATCH(INVESTORS_LIST[[#This Row],[INVESTOR CODE]],[3]!Table_1[INVESTOR CODE],0))</f>
        <v>#REF!</v>
      </c>
      <c r="AD230" s="201" t="e">
        <f>INDEX([3]!Table_1[Brokerage Name2],MATCH(INVESTORS_LIST[[#This Row],[INVESTOR CODE]],[3]!Table_1[INVESTOR CODE],0))</f>
        <v>#REF!</v>
      </c>
      <c r="AE230" s="201" t="e">
        <f>MID(INVESTORS_LIST[[#This Row],[BO ID]],4,5)</f>
        <v>#REF!</v>
      </c>
      <c r="AF230" s="201" t="e">
        <f>MID(INVESTORS_LIST[[#This Row],[BO ID]],2,7)</f>
        <v>#REF!</v>
      </c>
      <c r="AG230" s="201" t="e">
        <f>MID(INVESTORS_LIST[[#This Row],[BO ID]],9,7)</f>
        <v>#REF!</v>
      </c>
      <c r="AH230" s="201" t="e">
        <f>RIGHT(INVESTORS_LIST[[#This Row],[BO ID]],1)</f>
        <v>#REF!</v>
      </c>
      <c r="AI230" s="50">
        <f>INVESTORS_LIST[[#This Row],[LS_TOTAL COST VALUE OF CURRENT UNITS]]+INVESTORS_LIST[[#This Row],[SIP_TOTAL COST VALUE OF CURRENT UNITS]]</f>
        <v>0</v>
      </c>
      <c r="AJ230" s="109">
        <f>IF(INVESTORS_LIST[[#This Row],[TOTAL CURRENT UNITS]]=0,0,INVESTORS_LIST[[#This Row],[LS_TOTAL CURRENT UNITS]]/INVESTORS_LIST[[#This Row],[TOTAL CURRENT UNITS]])</f>
        <v>0</v>
      </c>
      <c r="AK230" s="109">
        <f>IF(INVESTORS_LIST[[#This Row],[TOTAL CURRENT UNITS]]=0,0,INVESTORS_LIST[[#This Row],[SIP_TOTAL CURRENT UNITS]]/INVESTORS_LIST[[#This Row],[TOTAL CURRENT UNITS]])</f>
        <v>0</v>
      </c>
      <c r="AL230" s="49" cm="1">
        <f t="array" ref="AL2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0" s="49" cm="1">
        <f t="array" ref="AM2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0" s="105">
        <f t="shared" si="4"/>
        <v>14.224</v>
      </c>
      <c r="AP230" s="112">
        <f>IF(INVESTORS_LIST[[#This Row],[TOTAL CURRENT UNITS]]=0,0,INVESTORS_LIST[[#This Row],[TOTAL CURRENT UNITS]]*INVESTORS_LIST[[#This Row],[NAV]])</f>
        <v>0</v>
      </c>
      <c r="AQ230" s="49">
        <f>IF(INVESTORS_LIST[[#This Row],[LS_TOTAL CURRENT UNITS]]=0,0,INVESTORS_LIST[[#This Row],[LS_TOTAL CURRENT UNITS]]*INVESTORS_LIST[[#This Row],[NAV]])</f>
        <v>0</v>
      </c>
      <c r="AR230" s="48">
        <f>IF(INVESTORS_LIST[[#This Row],[SIP_TOTAL CURRENT UNITS]]=0,0,INVESTORS_LIST[[#This Row],[SIP_TOTAL CURRENT UNITS]]*INVESTORS_LIST[[#This Row],[NAV]])</f>
        <v>0</v>
      </c>
      <c r="AS230" s="50">
        <f>INVESTORS_LIST[[#This Row],[TOTAL CURRENT UNITS]]</f>
        <v>0</v>
      </c>
      <c r="AT230" s="48">
        <f>IF(INVESTORS_LIST[[#This Row],[TOTAL SELLABLE UNITS]]=0,0,INVESTORS_LIST[[#This Row],[TOTAL SELLABLE UNITS]]*INVESTORS_LIST[[#This Row],[NAV]])</f>
        <v>0</v>
      </c>
      <c r="AU230" s="48">
        <f>INVESTORS_LIST[[#This Row],[LS_TOTAL REALIZED GAIN]]+INVESTORS_LIST[[#This Row],[SIP_TOTAL REALIZED GAIN]]</f>
        <v>0</v>
      </c>
      <c r="AV230" s="48">
        <f>INVESTORS_LIST[[#This Row],[TOTAL MARKET VALUE]]-INVESTORS_LIST[[#This Row],[TOTAL COST VALUE OF CURRENT INVESTMENT]]</f>
        <v>0</v>
      </c>
      <c r="AW230" s="48">
        <f>IFERROR(INVESTORS_LIST[[#This Row],[TOTAL CURRENT UNITS]]/SUM(INVESTORS_LIST[TOTAL CURRENT UNITS]),0)</f>
        <v>0</v>
      </c>
    </row>
    <row r="231" spans="1:49">
      <c r="A231" s="262" t="s">
        <v>510</v>
      </c>
      <c r="B231" s="97" t="s">
        <v>511</v>
      </c>
      <c r="C231" t="s">
        <v>67</v>
      </c>
      <c r="D231" s="75" t="s">
        <v>45</v>
      </c>
      <c r="E231" s="47">
        <f>SUMIFS(LS[Unit],LS[Investor ID],INVESTORS_LIST[[#This Row],[INVESTOR CODE]],LS[B/S],"B")</f>
        <v>523711</v>
      </c>
      <c r="F231" s="47">
        <f>-SUMIFS(LS[Unit],LS[Investor ID],INVESTORS_LIST[[#This Row],[INVESTOR CODE]],LS[B/S],"S")</f>
        <v>388295</v>
      </c>
      <c r="G231" s="47">
        <f>IF(INVESTORS_LIST[[#This Row],[LS_TOTAL UNITS BUY]]=0,0,INVESTORS_LIST[[#This Row],[LS_TOTAL UNITS BUY]]-INVESTORS_LIST[[#This Row],[LS_TOTAL UNITS SOLD]])</f>
        <v>135416</v>
      </c>
      <c r="H231" s="49">
        <f>IF(INVESTORS_LIST[[#This Row],[LS_TOTAL UNITS BUY]]=0,0,SUMIFS(LS[Amount],LS[Investor ID],INVESTORS_LIST[[#This Row],[INVESTOR CODE]],LS[B/S],"B"))</f>
        <v>5950000</v>
      </c>
      <c r="I231" s="48">
        <f>IF(INVESTORS_LIST[[#This Row],[LS_TOTAL UNITS SOLD]]=0,0,SUMIFS(LS[Cost of Units Sold],LS[Investor ID],INVESTORS_LIST[[#This Row],[INVESTOR CODE]],LS[B/S],"S"))</f>
        <v>4250000</v>
      </c>
      <c r="J231" s="48">
        <f>IF(INVESTORS_LIST[[#This Row],[LS_TOTAL CURRENT UNITS]]=0,0,INVESTORS_LIST[[#This Row],[LS_TOTAL CURRENT UNITS]]*INVESTORS_LIST[[#This Row],[LS_AVERAGE COST]])</f>
        <v>1700000</v>
      </c>
      <c r="K231" s="49">
        <f>IF(INVESTORS_LIST[[#This Row],[LS_TOTAL UNITS SOLD]]=0,0,SUMIFS(LS[Realized Gain],LS[Investor ID],INVESTORS_LIST[[#This Row],[INVESTOR CODE]],LS[B/S],"S"))</f>
        <v>448216.39999999962</v>
      </c>
      <c r="L231" s="47">
        <f>SUMIFS(SIP[Unit],SIP[Investor ID],INVESTORS_LIST[[#This Row],[INVESTOR CODE]],SIP[B/S],"B")</f>
        <v>0</v>
      </c>
      <c r="M231" s="47">
        <f>-SUMIFS(SIP[Unit],SIP[Investor ID],INVESTORS_LIST[[#This Row],[INVESTOR CODE]],SIP[B/S],"S")</f>
        <v>0</v>
      </c>
      <c r="N231" s="50">
        <f>IF(INVESTORS_LIST[[#This Row],[SIP_TOTAL UNITS BUY]]=0,0,INVESTORS_LIST[[#This Row],[SIP_TOTAL UNITS BUY]]-INVESTORS_LIST[[#This Row],[SIP_TOTAL UNITS SOLD]])</f>
        <v>0</v>
      </c>
      <c r="O231" s="49">
        <f>IF(INVESTORS_LIST[[#This Row],[SIP_TOTAL UNITS BUY]]=0,0,SUMIFS(SIP[Amount],SIP[Investor ID],INVESTORS_LIST[[#This Row],[INVESTOR CODE]],SIP[B/S],"B"))</f>
        <v>0</v>
      </c>
      <c r="P231" s="49">
        <f>IF(INVESTORS_LIST[[#This Row],[SIP_TOTAL UNITS SOLD]]=0,0,SUMIFS(SIP[Cost of Units Sold],SIP[Investor ID],INVESTORS_LIST[[#This Row],[INVESTOR CODE]],SIP[B/S],"S"))</f>
        <v>0</v>
      </c>
      <c r="Q231" s="48">
        <f>IF(INVESTORS_LIST[[#This Row],[SIP_TOTAL CURRENT UNITS]]=0,0,INVESTORS_LIST[[#This Row],[SIP_TOTAL CURRENT UNITS]]*INVESTORS_LIST[[#This Row],[SIP_AVERAGE COST]])</f>
        <v>0</v>
      </c>
      <c r="R231" s="48">
        <f>IF(INVESTORS_LIST[[#This Row],[SIP_TOTAL UNITS SOLD]]=0,0,SUMIFS(SIP[Realized Gain],SIP[Investor ID],INVESTORS_LIST[[#This Row],[INVESTOR CODE]],SIP[B/S],"S"))</f>
        <v>0</v>
      </c>
      <c r="S231" s="50">
        <f>INVESTORS_LIST[[#This Row],[LS_TOTAL UNITS BUY]]+INVESTORS_LIST[[#This Row],[SIP_TOTAL UNITS BUY]]</f>
        <v>523711</v>
      </c>
      <c r="T231" s="50">
        <f>INVESTORS_LIST[[#This Row],[LS_TOTAL UNITS SOLD]]+INVESTORS_LIST[[#This Row],[SIP_TOTAL UNITS SOLD]]</f>
        <v>388295</v>
      </c>
      <c r="U231" s="50"/>
      <c r="V231" s="50">
        <f>SUMIFS(LS[BO UNIT TRANSFER],LS[Investor ID],INVESTORS_LIST[[#This Row],[INVESTOR CODE]],LS[B/S],"B")</f>
        <v>0</v>
      </c>
      <c r="W231" s="50">
        <f>SUMIFS(SIP[BO UNIT TRANSFER],SIP[Investor ID],INVESTORS_LIST[[#This Row],[INVESTOR CODE]],SIP[B/S],"B")</f>
        <v>0</v>
      </c>
      <c r="X231" s="50">
        <f>SUMIFS(LS[BO UNIT TRANSFER],LS[Investor ID],INVESTORS_LIST[[#This Row],[INVESTOR CODE]],LS[B/S],"S")</f>
        <v>0</v>
      </c>
      <c r="Y231" s="50">
        <f>SUMIFS(SIP[BO UNIT TRANSFER],SIP[Investor ID],INVESTORS_LIST[[#This Row],[INVESTOR CODE]],SIP[B/S],"S")</f>
        <v>0</v>
      </c>
      <c r="Z231" s="106">
        <f>SUM(INVESTORS_LIST[[#This Row],[BO OPENING BALANCE]:[BO SIP UNITS REPURCHASE]])</f>
        <v>0</v>
      </c>
      <c r="AA231" s="107">
        <f>INVESTORS_LIST[[#This Row],[TOTAL UNITS BUY]]-INVESTORS_LIST[[#This Row],[TOTAL UNITS SOLD]]</f>
        <v>135416</v>
      </c>
      <c r="AB231" s="107">
        <f>INVESTORS_LIST[[#This Row],[TOTAL CURRENT UNITS]]-INVESTORS_LIST[[#This Row],[BO UNITS HOLD]]</f>
        <v>135416</v>
      </c>
      <c r="AC231" s="201" t="e">
        <f>INDEX([3]!Table_1[BO ID],MATCH(INVESTORS_LIST[[#This Row],[INVESTOR CODE]],[3]!Table_1[INVESTOR CODE],0))</f>
        <v>#REF!</v>
      </c>
      <c r="AD231" s="201" t="e">
        <f>INDEX([3]!Table_1[Brokerage Name2],MATCH(INVESTORS_LIST[[#This Row],[INVESTOR CODE]],[3]!Table_1[INVESTOR CODE],0))</f>
        <v>#REF!</v>
      </c>
      <c r="AE231" s="201" t="e">
        <f>MID(INVESTORS_LIST[[#This Row],[BO ID]],4,5)</f>
        <v>#REF!</v>
      </c>
      <c r="AF231" s="201" t="e">
        <f>MID(INVESTORS_LIST[[#This Row],[BO ID]],2,7)</f>
        <v>#REF!</v>
      </c>
      <c r="AG231" s="201" t="e">
        <f>MID(INVESTORS_LIST[[#This Row],[BO ID]],9,7)</f>
        <v>#REF!</v>
      </c>
      <c r="AH231" s="201" t="e">
        <f>RIGHT(INVESTORS_LIST[[#This Row],[BO ID]],1)</f>
        <v>#REF!</v>
      </c>
      <c r="AI231" s="50">
        <f>INVESTORS_LIST[[#This Row],[LS_TOTAL COST VALUE OF CURRENT UNITS]]+INVESTORS_LIST[[#This Row],[SIP_TOTAL COST VALUE OF CURRENT UNITS]]</f>
        <v>1700000</v>
      </c>
      <c r="AJ231" s="109">
        <f>IF(INVESTORS_LIST[[#This Row],[TOTAL CURRENT UNITS]]=0,0,INVESTORS_LIST[[#This Row],[LS_TOTAL CURRENT UNITS]]/INVESTORS_LIST[[#This Row],[TOTAL CURRENT UNITS]])</f>
        <v>1</v>
      </c>
      <c r="AK231" s="109">
        <f>IF(INVESTORS_LIST[[#This Row],[TOTAL CURRENT UNITS]]=0,0,INVESTORS_LIST[[#This Row],[SIP_TOTAL CURRENT UNITS]]/INVESTORS_LIST[[#This Row],[TOTAL CURRENT UNITS]])</f>
        <v>0</v>
      </c>
      <c r="AL231" s="49" cm="1">
        <f t="array" ref="AL231">IF(INVESTORS_LIST[[#This Row],[LS_TOTAL UNITS BUY]]&gt;0,INDEX(LS[NAV at Cost (Average)],MATCH(CONCATENATE(COUNTIFS(LS[Investor ID],INVESTORS_LIST[[#This Row],[INVESTOR CODE]]),INVESTORS_LIST[[#This Row],[INVESTOR CODE]]),LS[Unique Code],0),),0)</f>
        <v>12.553907957700714</v>
      </c>
      <c r="AM231" s="49" cm="1">
        <f t="array" ref="AM2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1" s="105">
        <f>IF(INVESTORS_LIST[[#This Row],[TOTAL CURRENT UNITS]]=0,0,(INVESTORS_LIST[[#This Row],[LS_WEIGHT]]*INVESTORS_LIST[[#This Row],[LS_AVERAGE COST]])+(INVESTORS_LIST[[#This Row],[SIP_WEIGHT]]*INVESTORS_LIST[[#This Row],[SIP_AVERAGE COST]]))</f>
        <v>12.553907957700714</v>
      </c>
      <c r="AO231" s="105">
        <f t="shared" si="4"/>
        <v>14.224</v>
      </c>
      <c r="AP231" s="112">
        <f>IF(INVESTORS_LIST[[#This Row],[TOTAL CURRENT UNITS]]=0,0,INVESTORS_LIST[[#This Row],[TOTAL CURRENT UNITS]]*INVESTORS_LIST[[#This Row],[NAV]])</f>
        <v>1926157.1840000001</v>
      </c>
      <c r="AQ231" s="49">
        <f>IF(INVESTORS_LIST[[#This Row],[LS_TOTAL CURRENT UNITS]]=0,0,INVESTORS_LIST[[#This Row],[LS_TOTAL CURRENT UNITS]]*INVESTORS_LIST[[#This Row],[NAV]])</f>
        <v>1926157.1840000001</v>
      </c>
      <c r="AR231" s="48">
        <f>IF(INVESTORS_LIST[[#This Row],[SIP_TOTAL CURRENT UNITS]]=0,0,INVESTORS_LIST[[#This Row],[SIP_TOTAL CURRENT UNITS]]*INVESTORS_LIST[[#This Row],[NAV]])</f>
        <v>0</v>
      </c>
      <c r="AS231" s="50">
        <f>INVESTORS_LIST[[#This Row],[TOTAL CURRENT UNITS]]</f>
        <v>135416</v>
      </c>
      <c r="AT231" s="48">
        <f>IF(INVESTORS_LIST[[#This Row],[TOTAL SELLABLE UNITS]]=0,0,INVESTORS_LIST[[#This Row],[TOTAL SELLABLE UNITS]]*INVESTORS_LIST[[#This Row],[NAV]])</f>
        <v>1926157.1840000001</v>
      </c>
      <c r="AU231" s="48">
        <f>INVESTORS_LIST[[#This Row],[LS_TOTAL REALIZED GAIN]]+INVESTORS_LIST[[#This Row],[SIP_TOTAL REALIZED GAIN]]</f>
        <v>448216.39999999962</v>
      </c>
      <c r="AV231" s="48">
        <f>INVESTORS_LIST[[#This Row],[TOTAL MARKET VALUE]]-INVESTORS_LIST[[#This Row],[TOTAL COST VALUE OF CURRENT INVESTMENT]]</f>
        <v>226157.18400000012</v>
      </c>
      <c r="AW231" s="108">
        <f>IFERROR(INVESTORS_LIST[[#This Row],[TOTAL CURRENT UNITS]]/SUM(INVESTORS_LIST[TOTAL CURRENT UNITS]),0)</f>
        <v>3.2873869684587726E-3</v>
      </c>
    </row>
    <row r="232" spans="1:49" hidden="1">
      <c r="A232" s="262" t="s">
        <v>512</v>
      </c>
      <c r="B232" s="97" t="s">
        <v>513</v>
      </c>
      <c r="C232" t="s">
        <v>48</v>
      </c>
      <c r="D232" s="75" t="s">
        <v>49</v>
      </c>
      <c r="E232" s="47">
        <f>SUMIFS(LS[Unit],LS[Investor ID],INVESTORS_LIST[[#This Row],[INVESTOR CODE]],LS[B/S],"B")</f>
        <v>0</v>
      </c>
      <c r="F232" s="47">
        <f>-SUMIFS(LS[Unit],LS[Investor ID],INVESTORS_LIST[[#This Row],[INVESTOR CODE]],LS[B/S],"S")</f>
        <v>0</v>
      </c>
      <c r="G232" s="47">
        <f>IF(INVESTORS_LIST[[#This Row],[LS_TOTAL UNITS BUY]]=0,0,INVESTORS_LIST[[#This Row],[LS_TOTAL UNITS BUY]]-INVESTORS_LIST[[#This Row],[LS_TOTAL UNITS SOLD]])</f>
        <v>0</v>
      </c>
      <c r="H232" s="49">
        <f>IF(INVESTORS_LIST[[#This Row],[LS_TOTAL UNITS BUY]]=0,0,SUMIFS(LS[Amount],LS[Investor ID],INVESTORS_LIST[[#This Row],[INVESTOR CODE]],LS[B/S],"B"))</f>
        <v>0</v>
      </c>
      <c r="I232" s="48">
        <f>IF(INVESTORS_LIST[[#This Row],[LS_TOTAL UNITS SOLD]]=0,0,SUMIFS(LS[Cost of Units Sold],LS[Investor ID],INVESTORS_LIST[[#This Row],[INVESTOR CODE]],LS[B/S],"S"))</f>
        <v>0</v>
      </c>
      <c r="J232" s="48">
        <f>IF(INVESTORS_LIST[[#This Row],[LS_TOTAL CURRENT UNITS]]=0,0,INVESTORS_LIST[[#This Row],[LS_TOTAL CURRENT UNITS]]*INVESTORS_LIST[[#This Row],[LS_AVERAGE COST]])</f>
        <v>0</v>
      </c>
      <c r="K232" s="49">
        <f>IF(INVESTORS_LIST[[#This Row],[LS_TOTAL UNITS SOLD]]=0,0,SUMIFS(LS[Realized Gain],LS[Investor ID],INVESTORS_LIST[[#This Row],[INVESTOR CODE]],LS[B/S],"S"))</f>
        <v>0</v>
      </c>
      <c r="L232" s="47">
        <f>SUMIFS(SIP[Unit],SIP[Investor ID],INVESTORS_LIST[[#This Row],[INVESTOR CODE]],SIP[B/S],"B")</f>
        <v>0</v>
      </c>
      <c r="M232" s="47">
        <f>-SUMIFS(SIP[Unit],SIP[Investor ID],INVESTORS_LIST[[#This Row],[INVESTOR CODE]],SIP[B/S],"S")</f>
        <v>0</v>
      </c>
      <c r="N232" s="50">
        <f>IF(INVESTORS_LIST[[#This Row],[SIP_TOTAL UNITS BUY]]=0,0,INVESTORS_LIST[[#This Row],[SIP_TOTAL UNITS BUY]]-INVESTORS_LIST[[#This Row],[SIP_TOTAL UNITS SOLD]])</f>
        <v>0</v>
      </c>
      <c r="O232" s="49">
        <f>IF(INVESTORS_LIST[[#This Row],[SIP_TOTAL UNITS BUY]]=0,0,SUMIFS(SIP[Amount],SIP[Investor ID],INVESTORS_LIST[[#This Row],[INVESTOR CODE]],SIP[B/S],"B"))</f>
        <v>0</v>
      </c>
      <c r="P232" s="49">
        <f>IF(INVESTORS_LIST[[#This Row],[SIP_TOTAL UNITS SOLD]]=0,0,SUMIFS(SIP[Cost of Units Sold],SIP[Investor ID],INVESTORS_LIST[[#This Row],[INVESTOR CODE]],SIP[B/S],"S"))</f>
        <v>0</v>
      </c>
      <c r="Q232" s="48">
        <f>IF(INVESTORS_LIST[[#This Row],[SIP_TOTAL CURRENT UNITS]]=0,0,INVESTORS_LIST[[#This Row],[SIP_TOTAL CURRENT UNITS]]*INVESTORS_LIST[[#This Row],[SIP_AVERAGE COST]])</f>
        <v>0</v>
      </c>
      <c r="R232" s="48">
        <f>IF(INVESTORS_LIST[[#This Row],[SIP_TOTAL UNITS SOLD]]=0,0,SUMIFS(SIP[Realized Gain],SIP[Investor ID],INVESTORS_LIST[[#This Row],[INVESTOR CODE]],SIP[B/S],"S"))</f>
        <v>0</v>
      </c>
      <c r="S232" s="50">
        <f>INVESTORS_LIST[[#This Row],[LS_TOTAL UNITS BUY]]+INVESTORS_LIST[[#This Row],[SIP_TOTAL UNITS BUY]]</f>
        <v>0</v>
      </c>
      <c r="T232" s="50">
        <f>INVESTORS_LIST[[#This Row],[LS_TOTAL UNITS SOLD]]+INVESTORS_LIST[[#This Row],[SIP_TOTAL UNITS SOLD]]</f>
        <v>0</v>
      </c>
      <c r="U232" s="50"/>
      <c r="V232" s="50">
        <f>SUMIFS(LS[BO UNIT TRANSFER],LS[Investor ID],INVESTORS_LIST[[#This Row],[INVESTOR CODE]],LS[B/S],"B")</f>
        <v>0</v>
      </c>
      <c r="W232" s="50">
        <f>SUMIFS(SIP[BO UNIT TRANSFER],SIP[Investor ID],INVESTORS_LIST[[#This Row],[INVESTOR CODE]],SIP[B/S],"B")</f>
        <v>0</v>
      </c>
      <c r="X232" s="50">
        <f>SUMIFS(LS[BO UNIT TRANSFER],LS[Investor ID],INVESTORS_LIST[[#This Row],[INVESTOR CODE]],LS[B/S],"S")</f>
        <v>0</v>
      </c>
      <c r="Y232" s="50">
        <f>SUMIFS(SIP[BO UNIT TRANSFER],SIP[Investor ID],INVESTORS_LIST[[#This Row],[INVESTOR CODE]],SIP[B/S],"S")</f>
        <v>0</v>
      </c>
      <c r="Z232" s="106">
        <f>SUM(INVESTORS_LIST[[#This Row],[BO OPENING BALANCE]:[BO SIP UNITS REPURCHASE]])</f>
        <v>0</v>
      </c>
      <c r="AA232" s="107">
        <f>INVESTORS_LIST[[#This Row],[TOTAL UNITS BUY]]-INVESTORS_LIST[[#This Row],[TOTAL UNITS SOLD]]</f>
        <v>0</v>
      </c>
      <c r="AB232" s="107">
        <f>INVESTORS_LIST[[#This Row],[TOTAL CURRENT UNITS]]-INVESTORS_LIST[[#This Row],[BO UNITS HOLD]]</f>
        <v>0</v>
      </c>
      <c r="AC232" s="201" t="e">
        <f>INDEX([3]!Table_1[BO ID],MATCH(INVESTORS_LIST[[#This Row],[INVESTOR CODE]],[3]!Table_1[INVESTOR CODE],0))</f>
        <v>#REF!</v>
      </c>
      <c r="AD232" s="201" t="e">
        <f>INDEX([3]!Table_1[Brokerage Name2],MATCH(INVESTORS_LIST[[#This Row],[INVESTOR CODE]],[3]!Table_1[INVESTOR CODE],0))</f>
        <v>#REF!</v>
      </c>
      <c r="AE232" s="201" t="e">
        <f>MID(INVESTORS_LIST[[#This Row],[BO ID]],4,5)</f>
        <v>#REF!</v>
      </c>
      <c r="AF232" s="201" t="e">
        <f>MID(INVESTORS_LIST[[#This Row],[BO ID]],2,7)</f>
        <v>#REF!</v>
      </c>
      <c r="AG232" s="201" t="e">
        <f>MID(INVESTORS_LIST[[#This Row],[BO ID]],9,7)</f>
        <v>#REF!</v>
      </c>
      <c r="AH232" s="201" t="e">
        <f>RIGHT(INVESTORS_LIST[[#This Row],[BO ID]],1)</f>
        <v>#REF!</v>
      </c>
      <c r="AI232" s="50">
        <f>INVESTORS_LIST[[#This Row],[LS_TOTAL COST VALUE OF CURRENT UNITS]]+INVESTORS_LIST[[#This Row],[SIP_TOTAL COST VALUE OF CURRENT UNITS]]</f>
        <v>0</v>
      </c>
      <c r="AJ232" s="109">
        <f>IF(INVESTORS_LIST[[#This Row],[TOTAL CURRENT UNITS]]=0,0,INVESTORS_LIST[[#This Row],[LS_TOTAL CURRENT UNITS]]/INVESTORS_LIST[[#This Row],[TOTAL CURRENT UNITS]])</f>
        <v>0</v>
      </c>
      <c r="AK232" s="109">
        <f>IF(INVESTORS_LIST[[#This Row],[TOTAL CURRENT UNITS]]=0,0,INVESTORS_LIST[[#This Row],[SIP_TOTAL CURRENT UNITS]]/INVESTORS_LIST[[#This Row],[TOTAL CURRENT UNITS]])</f>
        <v>0</v>
      </c>
      <c r="AL232" s="49" cm="1">
        <f t="array" ref="AL2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2" s="49" cm="1">
        <f t="array" ref="AM2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2" s="105">
        <f t="shared" si="4"/>
        <v>14.224</v>
      </c>
      <c r="AP232" s="112">
        <f>IF(INVESTORS_LIST[[#This Row],[TOTAL CURRENT UNITS]]=0,0,INVESTORS_LIST[[#This Row],[TOTAL CURRENT UNITS]]*INVESTORS_LIST[[#This Row],[NAV]])</f>
        <v>0</v>
      </c>
      <c r="AQ232" s="49">
        <f>IF(INVESTORS_LIST[[#This Row],[LS_TOTAL CURRENT UNITS]]=0,0,INVESTORS_LIST[[#This Row],[LS_TOTAL CURRENT UNITS]]*INVESTORS_LIST[[#This Row],[NAV]])</f>
        <v>0</v>
      </c>
      <c r="AR232" s="48">
        <f>IF(INVESTORS_LIST[[#This Row],[SIP_TOTAL CURRENT UNITS]]=0,0,INVESTORS_LIST[[#This Row],[SIP_TOTAL CURRENT UNITS]]*INVESTORS_LIST[[#This Row],[NAV]])</f>
        <v>0</v>
      </c>
      <c r="AS232" s="50">
        <f>INVESTORS_LIST[[#This Row],[TOTAL CURRENT UNITS]]</f>
        <v>0</v>
      </c>
      <c r="AT232" s="48">
        <f>IF(INVESTORS_LIST[[#This Row],[TOTAL SELLABLE UNITS]]=0,0,INVESTORS_LIST[[#This Row],[TOTAL SELLABLE UNITS]]*INVESTORS_LIST[[#This Row],[NAV]])</f>
        <v>0</v>
      </c>
      <c r="AU232" s="48">
        <f>INVESTORS_LIST[[#This Row],[LS_TOTAL REALIZED GAIN]]+INVESTORS_LIST[[#This Row],[SIP_TOTAL REALIZED GAIN]]</f>
        <v>0</v>
      </c>
      <c r="AV232" s="48">
        <f>INVESTORS_LIST[[#This Row],[TOTAL MARKET VALUE]]-INVESTORS_LIST[[#This Row],[TOTAL COST VALUE OF CURRENT INVESTMENT]]</f>
        <v>0</v>
      </c>
      <c r="AW232" s="48">
        <f>IFERROR(INVESTORS_LIST[[#This Row],[TOTAL CURRENT UNITS]]/SUM(INVESTORS_LIST[TOTAL CURRENT UNITS]),0)</f>
        <v>0</v>
      </c>
    </row>
    <row r="233" spans="1:49" hidden="1">
      <c r="A233" s="262" t="s">
        <v>514</v>
      </c>
      <c r="B233" s="97" t="s">
        <v>515</v>
      </c>
      <c r="C233" t="s">
        <v>44</v>
      </c>
      <c r="D233" s="75" t="s">
        <v>45</v>
      </c>
      <c r="E233" s="47">
        <f>SUMIFS(LS[Unit],LS[Investor ID],INVESTORS_LIST[[#This Row],[INVESTOR CODE]],LS[B/S],"B")</f>
        <v>0</v>
      </c>
      <c r="F233" s="47">
        <f>-SUMIFS(LS[Unit],LS[Investor ID],INVESTORS_LIST[[#This Row],[INVESTOR CODE]],LS[B/S],"S")</f>
        <v>0</v>
      </c>
      <c r="G233" s="47">
        <f>IF(INVESTORS_LIST[[#This Row],[LS_TOTAL UNITS BUY]]=0,0,INVESTORS_LIST[[#This Row],[LS_TOTAL UNITS BUY]]-INVESTORS_LIST[[#This Row],[LS_TOTAL UNITS SOLD]])</f>
        <v>0</v>
      </c>
      <c r="H233" s="49">
        <f>IF(INVESTORS_LIST[[#This Row],[LS_TOTAL UNITS BUY]]=0,0,SUMIFS(LS[Amount],LS[Investor ID],INVESTORS_LIST[[#This Row],[INVESTOR CODE]],LS[B/S],"B"))</f>
        <v>0</v>
      </c>
      <c r="I233" s="48">
        <f>IF(INVESTORS_LIST[[#This Row],[LS_TOTAL UNITS SOLD]]=0,0,SUMIFS(LS[Cost of Units Sold],LS[Investor ID],INVESTORS_LIST[[#This Row],[INVESTOR CODE]],LS[B/S],"S"))</f>
        <v>0</v>
      </c>
      <c r="J233" s="48">
        <f>IF(INVESTORS_LIST[[#This Row],[LS_TOTAL CURRENT UNITS]]=0,0,INVESTORS_LIST[[#This Row],[LS_TOTAL CURRENT UNITS]]*INVESTORS_LIST[[#This Row],[LS_AVERAGE COST]])</f>
        <v>0</v>
      </c>
      <c r="K233" s="49">
        <f>IF(INVESTORS_LIST[[#This Row],[LS_TOTAL UNITS SOLD]]=0,0,SUMIFS(LS[Realized Gain],LS[Investor ID],INVESTORS_LIST[[#This Row],[INVESTOR CODE]],LS[B/S],"S"))</f>
        <v>0</v>
      </c>
      <c r="L233" s="47">
        <f>SUMIFS(SIP[Unit],SIP[Investor ID],INVESTORS_LIST[[#This Row],[INVESTOR CODE]],SIP[B/S],"B")</f>
        <v>0</v>
      </c>
      <c r="M233" s="47">
        <f>-SUMIFS(SIP[Unit],SIP[Investor ID],INVESTORS_LIST[[#This Row],[INVESTOR CODE]],SIP[B/S],"S")</f>
        <v>0</v>
      </c>
      <c r="N233" s="50">
        <f>IF(INVESTORS_LIST[[#This Row],[SIP_TOTAL UNITS BUY]]=0,0,INVESTORS_LIST[[#This Row],[SIP_TOTAL UNITS BUY]]-INVESTORS_LIST[[#This Row],[SIP_TOTAL UNITS SOLD]])</f>
        <v>0</v>
      </c>
      <c r="O233" s="49">
        <f>IF(INVESTORS_LIST[[#This Row],[SIP_TOTAL UNITS BUY]]=0,0,SUMIFS(SIP[Amount],SIP[Investor ID],INVESTORS_LIST[[#This Row],[INVESTOR CODE]],SIP[B/S],"B"))</f>
        <v>0</v>
      </c>
      <c r="P233" s="49">
        <f>IF(INVESTORS_LIST[[#This Row],[SIP_TOTAL UNITS SOLD]]=0,0,SUMIFS(SIP[Cost of Units Sold],SIP[Investor ID],INVESTORS_LIST[[#This Row],[INVESTOR CODE]],SIP[B/S],"S"))</f>
        <v>0</v>
      </c>
      <c r="Q233" s="48">
        <f>IF(INVESTORS_LIST[[#This Row],[SIP_TOTAL CURRENT UNITS]]=0,0,INVESTORS_LIST[[#This Row],[SIP_TOTAL CURRENT UNITS]]*INVESTORS_LIST[[#This Row],[SIP_AVERAGE COST]])</f>
        <v>0</v>
      </c>
      <c r="R233" s="48">
        <f>IF(INVESTORS_LIST[[#This Row],[SIP_TOTAL UNITS SOLD]]=0,0,SUMIFS(SIP[Realized Gain],SIP[Investor ID],INVESTORS_LIST[[#This Row],[INVESTOR CODE]],SIP[B/S],"S"))</f>
        <v>0</v>
      </c>
      <c r="S233" s="50">
        <f>INVESTORS_LIST[[#This Row],[LS_TOTAL UNITS BUY]]+INVESTORS_LIST[[#This Row],[SIP_TOTAL UNITS BUY]]</f>
        <v>0</v>
      </c>
      <c r="T233" s="50">
        <f>INVESTORS_LIST[[#This Row],[LS_TOTAL UNITS SOLD]]+INVESTORS_LIST[[#This Row],[SIP_TOTAL UNITS SOLD]]</f>
        <v>0</v>
      </c>
      <c r="U233" s="50"/>
      <c r="V233" s="50">
        <f>SUMIFS(LS[BO UNIT TRANSFER],LS[Investor ID],INVESTORS_LIST[[#This Row],[INVESTOR CODE]],LS[B/S],"B")</f>
        <v>0</v>
      </c>
      <c r="W233" s="50">
        <f>SUMIFS(SIP[BO UNIT TRANSFER],SIP[Investor ID],INVESTORS_LIST[[#This Row],[INVESTOR CODE]],SIP[B/S],"B")</f>
        <v>0</v>
      </c>
      <c r="X233" s="50">
        <f>SUMIFS(LS[BO UNIT TRANSFER],LS[Investor ID],INVESTORS_LIST[[#This Row],[INVESTOR CODE]],LS[B/S],"S")</f>
        <v>0</v>
      </c>
      <c r="Y233" s="50">
        <f>SUMIFS(SIP[BO UNIT TRANSFER],SIP[Investor ID],INVESTORS_LIST[[#This Row],[INVESTOR CODE]],SIP[B/S],"S")</f>
        <v>0</v>
      </c>
      <c r="Z233" s="106">
        <f>SUM(INVESTORS_LIST[[#This Row],[BO OPENING BALANCE]:[BO SIP UNITS REPURCHASE]])</f>
        <v>0</v>
      </c>
      <c r="AA233" s="107">
        <f>INVESTORS_LIST[[#This Row],[TOTAL UNITS BUY]]-INVESTORS_LIST[[#This Row],[TOTAL UNITS SOLD]]</f>
        <v>0</v>
      </c>
      <c r="AB233" s="107">
        <f>INVESTORS_LIST[[#This Row],[TOTAL CURRENT UNITS]]-INVESTORS_LIST[[#This Row],[BO UNITS HOLD]]</f>
        <v>0</v>
      </c>
      <c r="AC233" s="201" t="e">
        <f>INDEX([3]!Table_1[BO ID],MATCH(INVESTORS_LIST[[#This Row],[INVESTOR CODE]],[3]!Table_1[INVESTOR CODE],0))</f>
        <v>#REF!</v>
      </c>
      <c r="AD233" s="201" t="e">
        <f>INDEX([3]!Table_1[Brokerage Name2],MATCH(INVESTORS_LIST[[#This Row],[INVESTOR CODE]],[3]!Table_1[INVESTOR CODE],0))</f>
        <v>#REF!</v>
      </c>
      <c r="AE233" s="201" t="e">
        <f>MID(INVESTORS_LIST[[#This Row],[BO ID]],4,5)</f>
        <v>#REF!</v>
      </c>
      <c r="AF233" s="201" t="e">
        <f>MID(INVESTORS_LIST[[#This Row],[BO ID]],2,7)</f>
        <v>#REF!</v>
      </c>
      <c r="AG233" s="201" t="e">
        <f>MID(INVESTORS_LIST[[#This Row],[BO ID]],9,7)</f>
        <v>#REF!</v>
      </c>
      <c r="AH233" s="201" t="e">
        <f>RIGHT(INVESTORS_LIST[[#This Row],[BO ID]],1)</f>
        <v>#REF!</v>
      </c>
      <c r="AI233" s="50">
        <f>INVESTORS_LIST[[#This Row],[LS_TOTAL COST VALUE OF CURRENT UNITS]]+INVESTORS_LIST[[#This Row],[SIP_TOTAL COST VALUE OF CURRENT UNITS]]</f>
        <v>0</v>
      </c>
      <c r="AJ233" s="109">
        <f>IF(INVESTORS_LIST[[#This Row],[TOTAL CURRENT UNITS]]=0,0,INVESTORS_LIST[[#This Row],[LS_TOTAL CURRENT UNITS]]/INVESTORS_LIST[[#This Row],[TOTAL CURRENT UNITS]])</f>
        <v>0</v>
      </c>
      <c r="AK233" s="109">
        <f>IF(INVESTORS_LIST[[#This Row],[TOTAL CURRENT UNITS]]=0,0,INVESTORS_LIST[[#This Row],[SIP_TOTAL CURRENT UNITS]]/INVESTORS_LIST[[#This Row],[TOTAL CURRENT UNITS]])</f>
        <v>0</v>
      </c>
      <c r="AL233" s="49" cm="1">
        <f t="array" ref="AL2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3" s="49" cm="1">
        <f t="array" ref="AM2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3" s="105">
        <f t="shared" si="4"/>
        <v>14.224</v>
      </c>
      <c r="AP233" s="112">
        <f>IF(INVESTORS_LIST[[#This Row],[TOTAL CURRENT UNITS]]=0,0,INVESTORS_LIST[[#This Row],[TOTAL CURRENT UNITS]]*INVESTORS_LIST[[#This Row],[NAV]])</f>
        <v>0</v>
      </c>
      <c r="AQ233" s="49">
        <f>IF(INVESTORS_LIST[[#This Row],[LS_TOTAL CURRENT UNITS]]=0,0,INVESTORS_LIST[[#This Row],[LS_TOTAL CURRENT UNITS]]*INVESTORS_LIST[[#This Row],[NAV]])</f>
        <v>0</v>
      </c>
      <c r="AR233" s="48">
        <f>IF(INVESTORS_LIST[[#This Row],[SIP_TOTAL CURRENT UNITS]]=0,0,INVESTORS_LIST[[#This Row],[SIP_TOTAL CURRENT UNITS]]*INVESTORS_LIST[[#This Row],[NAV]])</f>
        <v>0</v>
      </c>
      <c r="AS233" s="50">
        <f>INVESTORS_LIST[[#This Row],[TOTAL CURRENT UNITS]]</f>
        <v>0</v>
      </c>
      <c r="AT233" s="48">
        <f>IF(INVESTORS_LIST[[#This Row],[TOTAL SELLABLE UNITS]]=0,0,INVESTORS_LIST[[#This Row],[TOTAL SELLABLE UNITS]]*INVESTORS_LIST[[#This Row],[NAV]])</f>
        <v>0</v>
      </c>
      <c r="AU233" s="48">
        <f>INVESTORS_LIST[[#This Row],[LS_TOTAL REALIZED GAIN]]+INVESTORS_LIST[[#This Row],[SIP_TOTAL REALIZED GAIN]]</f>
        <v>0</v>
      </c>
      <c r="AV233" s="48">
        <f>INVESTORS_LIST[[#This Row],[TOTAL MARKET VALUE]]-INVESTORS_LIST[[#This Row],[TOTAL COST VALUE OF CURRENT INVESTMENT]]</f>
        <v>0</v>
      </c>
      <c r="AW233" s="48">
        <f>IFERROR(INVESTORS_LIST[[#This Row],[TOTAL CURRENT UNITS]]/SUM(INVESTORS_LIST[TOTAL CURRENT UNITS]),0)</f>
        <v>0</v>
      </c>
    </row>
    <row r="234" spans="1:49" hidden="1">
      <c r="A234" s="262" t="s">
        <v>516</v>
      </c>
      <c r="B234" s="97" t="s">
        <v>517</v>
      </c>
      <c r="C234" t="s">
        <v>44</v>
      </c>
      <c r="D234" s="75" t="s">
        <v>45</v>
      </c>
      <c r="E234" s="47">
        <f>SUMIFS(LS[Unit],LS[Investor ID],INVESTORS_LIST[[#This Row],[INVESTOR CODE]],LS[B/S],"B")</f>
        <v>0</v>
      </c>
      <c r="F234" s="47">
        <f>-SUMIFS(LS[Unit],LS[Investor ID],INVESTORS_LIST[[#This Row],[INVESTOR CODE]],LS[B/S],"S")</f>
        <v>0</v>
      </c>
      <c r="G234" s="47">
        <f>IF(INVESTORS_LIST[[#This Row],[LS_TOTAL UNITS BUY]]=0,0,INVESTORS_LIST[[#This Row],[LS_TOTAL UNITS BUY]]-INVESTORS_LIST[[#This Row],[LS_TOTAL UNITS SOLD]])</f>
        <v>0</v>
      </c>
      <c r="H234" s="49">
        <f>IF(INVESTORS_LIST[[#This Row],[LS_TOTAL UNITS BUY]]=0,0,SUMIFS(LS[Amount],LS[Investor ID],INVESTORS_LIST[[#This Row],[INVESTOR CODE]],LS[B/S],"B"))</f>
        <v>0</v>
      </c>
      <c r="I234" s="48">
        <f>IF(INVESTORS_LIST[[#This Row],[LS_TOTAL UNITS SOLD]]=0,0,SUMIFS(LS[Cost of Units Sold],LS[Investor ID],INVESTORS_LIST[[#This Row],[INVESTOR CODE]],LS[B/S],"S"))</f>
        <v>0</v>
      </c>
      <c r="J234" s="48">
        <f>IF(INVESTORS_LIST[[#This Row],[LS_TOTAL CURRENT UNITS]]=0,0,INVESTORS_LIST[[#This Row],[LS_TOTAL CURRENT UNITS]]*INVESTORS_LIST[[#This Row],[LS_AVERAGE COST]])</f>
        <v>0</v>
      </c>
      <c r="K234" s="49">
        <f>IF(INVESTORS_LIST[[#This Row],[LS_TOTAL UNITS SOLD]]=0,0,SUMIFS(LS[Realized Gain],LS[Investor ID],INVESTORS_LIST[[#This Row],[INVESTOR CODE]],LS[B/S],"S"))</f>
        <v>0</v>
      </c>
      <c r="L234" s="47">
        <f>SUMIFS(SIP[Unit],SIP[Investor ID],INVESTORS_LIST[[#This Row],[INVESTOR CODE]],SIP[B/S],"B")</f>
        <v>0</v>
      </c>
      <c r="M234" s="47">
        <f>-SUMIFS(SIP[Unit],SIP[Investor ID],INVESTORS_LIST[[#This Row],[INVESTOR CODE]],SIP[B/S],"S")</f>
        <v>0</v>
      </c>
      <c r="N234" s="50">
        <f>IF(INVESTORS_LIST[[#This Row],[SIP_TOTAL UNITS BUY]]=0,0,INVESTORS_LIST[[#This Row],[SIP_TOTAL UNITS BUY]]-INVESTORS_LIST[[#This Row],[SIP_TOTAL UNITS SOLD]])</f>
        <v>0</v>
      </c>
      <c r="O234" s="49">
        <f>IF(INVESTORS_LIST[[#This Row],[SIP_TOTAL UNITS BUY]]=0,0,SUMIFS(SIP[Amount],SIP[Investor ID],INVESTORS_LIST[[#This Row],[INVESTOR CODE]],SIP[B/S],"B"))</f>
        <v>0</v>
      </c>
      <c r="P234" s="49">
        <f>IF(INVESTORS_LIST[[#This Row],[SIP_TOTAL UNITS SOLD]]=0,0,SUMIFS(SIP[Cost of Units Sold],SIP[Investor ID],INVESTORS_LIST[[#This Row],[INVESTOR CODE]],SIP[B/S],"S"))</f>
        <v>0</v>
      </c>
      <c r="Q234" s="48">
        <f>IF(INVESTORS_LIST[[#This Row],[SIP_TOTAL CURRENT UNITS]]=0,0,INVESTORS_LIST[[#This Row],[SIP_TOTAL CURRENT UNITS]]*INVESTORS_LIST[[#This Row],[SIP_AVERAGE COST]])</f>
        <v>0</v>
      </c>
      <c r="R234" s="48">
        <f>IF(INVESTORS_LIST[[#This Row],[SIP_TOTAL UNITS SOLD]]=0,0,SUMIFS(SIP[Realized Gain],SIP[Investor ID],INVESTORS_LIST[[#This Row],[INVESTOR CODE]],SIP[B/S],"S"))</f>
        <v>0</v>
      </c>
      <c r="S234" s="50">
        <f>INVESTORS_LIST[[#This Row],[LS_TOTAL UNITS BUY]]+INVESTORS_LIST[[#This Row],[SIP_TOTAL UNITS BUY]]</f>
        <v>0</v>
      </c>
      <c r="T234" s="50">
        <f>INVESTORS_LIST[[#This Row],[LS_TOTAL UNITS SOLD]]+INVESTORS_LIST[[#This Row],[SIP_TOTAL UNITS SOLD]]</f>
        <v>0</v>
      </c>
      <c r="U234" s="50"/>
      <c r="V234" s="50">
        <f>SUMIFS(LS[BO UNIT TRANSFER],LS[Investor ID],INVESTORS_LIST[[#This Row],[INVESTOR CODE]],LS[B/S],"B")</f>
        <v>0</v>
      </c>
      <c r="W234" s="50">
        <f>SUMIFS(SIP[BO UNIT TRANSFER],SIP[Investor ID],INVESTORS_LIST[[#This Row],[INVESTOR CODE]],SIP[B/S],"B")</f>
        <v>0</v>
      </c>
      <c r="X234" s="50">
        <f>SUMIFS(LS[BO UNIT TRANSFER],LS[Investor ID],INVESTORS_LIST[[#This Row],[INVESTOR CODE]],LS[B/S],"S")</f>
        <v>0</v>
      </c>
      <c r="Y234" s="50">
        <f>SUMIFS(SIP[BO UNIT TRANSFER],SIP[Investor ID],INVESTORS_LIST[[#This Row],[INVESTOR CODE]],SIP[B/S],"S")</f>
        <v>0</v>
      </c>
      <c r="Z234" s="106">
        <f>SUM(INVESTORS_LIST[[#This Row],[BO OPENING BALANCE]:[BO SIP UNITS REPURCHASE]])</f>
        <v>0</v>
      </c>
      <c r="AA234" s="107">
        <f>INVESTORS_LIST[[#This Row],[TOTAL UNITS BUY]]-INVESTORS_LIST[[#This Row],[TOTAL UNITS SOLD]]</f>
        <v>0</v>
      </c>
      <c r="AB234" s="107">
        <f>INVESTORS_LIST[[#This Row],[TOTAL CURRENT UNITS]]-INVESTORS_LIST[[#This Row],[BO UNITS HOLD]]</f>
        <v>0</v>
      </c>
      <c r="AC234" s="201" t="e">
        <f>INDEX([3]!Table_1[BO ID],MATCH(INVESTORS_LIST[[#This Row],[INVESTOR CODE]],[3]!Table_1[INVESTOR CODE],0))</f>
        <v>#REF!</v>
      </c>
      <c r="AD234" s="201" t="e">
        <f>INDEX([3]!Table_1[Brokerage Name2],MATCH(INVESTORS_LIST[[#This Row],[INVESTOR CODE]],[3]!Table_1[INVESTOR CODE],0))</f>
        <v>#REF!</v>
      </c>
      <c r="AE234" s="201" t="e">
        <f>MID(INVESTORS_LIST[[#This Row],[BO ID]],4,5)</f>
        <v>#REF!</v>
      </c>
      <c r="AF234" s="201" t="e">
        <f>MID(INVESTORS_LIST[[#This Row],[BO ID]],2,7)</f>
        <v>#REF!</v>
      </c>
      <c r="AG234" s="201" t="e">
        <f>MID(INVESTORS_LIST[[#This Row],[BO ID]],9,7)</f>
        <v>#REF!</v>
      </c>
      <c r="AH234" s="201" t="e">
        <f>RIGHT(INVESTORS_LIST[[#This Row],[BO ID]],1)</f>
        <v>#REF!</v>
      </c>
      <c r="AI234" s="50">
        <f>INVESTORS_LIST[[#This Row],[LS_TOTAL COST VALUE OF CURRENT UNITS]]+INVESTORS_LIST[[#This Row],[SIP_TOTAL COST VALUE OF CURRENT UNITS]]</f>
        <v>0</v>
      </c>
      <c r="AJ234" s="109">
        <f>IF(INVESTORS_LIST[[#This Row],[TOTAL CURRENT UNITS]]=0,0,INVESTORS_LIST[[#This Row],[LS_TOTAL CURRENT UNITS]]/INVESTORS_LIST[[#This Row],[TOTAL CURRENT UNITS]])</f>
        <v>0</v>
      </c>
      <c r="AK234" s="109">
        <f>IF(INVESTORS_LIST[[#This Row],[TOTAL CURRENT UNITS]]=0,0,INVESTORS_LIST[[#This Row],[SIP_TOTAL CURRENT UNITS]]/INVESTORS_LIST[[#This Row],[TOTAL CURRENT UNITS]])</f>
        <v>0</v>
      </c>
      <c r="AL234" s="49" cm="1">
        <f t="array" ref="AL2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4" s="49" cm="1">
        <f t="array" ref="AM2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4" s="105">
        <f t="shared" si="4"/>
        <v>14.224</v>
      </c>
      <c r="AP234" s="112">
        <f>IF(INVESTORS_LIST[[#This Row],[TOTAL CURRENT UNITS]]=0,0,INVESTORS_LIST[[#This Row],[TOTAL CURRENT UNITS]]*INVESTORS_LIST[[#This Row],[NAV]])</f>
        <v>0</v>
      </c>
      <c r="AQ234" s="49">
        <f>IF(INVESTORS_LIST[[#This Row],[LS_TOTAL CURRENT UNITS]]=0,0,INVESTORS_LIST[[#This Row],[LS_TOTAL CURRENT UNITS]]*INVESTORS_LIST[[#This Row],[NAV]])</f>
        <v>0</v>
      </c>
      <c r="AR234" s="48">
        <f>IF(INVESTORS_LIST[[#This Row],[SIP_TOTAL CURRENT UNITS]]=0,0,INVESTORS_LIST[[#This Row],[SIP_TOTAL CURRENT UNITS]]*INVESTORS_LIST[[#This Row],[NAV]])</f>
        <v>0</v>
      </c>
      <c r="AS234" s="50">
        <f>INVESTORS_LIST[[#This Row],[TOTAL CURRENT UNITS]]</f>
        <v>0</v>
      </c>
      <c r="AT234" s="48">
        <f>IF(INVESTORS_LIST[[#This Row],[TOTAL SELLABLE UNITS]]=0,0,INVESTORS_LIST[[#This Row],[TOTAL SELLABLE UNITS]]*INVESTORS_LIST[[#This Row],[NAV]])</f>
        <v>0</v>
      </c>
      <c r="AU234" s="48">
        <f>INVESTORS_LIST[[#This Row],[LS_TOTAL REALIZED GAIN]]+INVESTORS_LIST[[#This Row],[SIP_TOTAL REALIZED GAIN]]</f>
        <v>0</v>
      </c>
      <c r="AV234" s="48">
        <f>INVESTORS_LIST[[#This Row],[TOTAL MARKET VALUE]]-INVESTORS_LIST[[#This Row],[TOTAL COST VALUE OF CURRENT INVESTMENT]]</f>
        <v>0</v>
      </c>
      <c r="AW234" s="48">
        <f>IFERROR(INVESTORS_LIST[[#This Row],[TOTAL CURRENT UNITS]]/SUM(INVESTORS_LIST[TOTAL CURRENT UNITS]),0)</f>
        <v>0</v>
      </c>
    </row>
    <row r="235" spans="1:49" hidden="1">
      <c r="A235" s="262" t="s">
        <v>518</v>
      </c>
      <c r="B235" s="97" t="s">
        <v>519</v>
      </c>
      <c r="C235" t="s">
        <v>44</v>
      </c>
      <c r="D235" s="75" t="s">
        <v>45</v>
      </c>
      <c r="E235" s="47">
        <f>SUMIFS(LS[Unit],LS[Investor ID],INVESTORS_LIST[[#This Row],[INVESTOR CODE]],LS[B/S],"B")</f>
        <v>0</v>
      </c>
      <c r="F235" s="47">
        <f>-SUMIFS(LS[Unit],LS[Investor ID],INVESTORS_LIST[[#This Row],[INVESTOR CODE]],LS[B/S],"S")</f>
        <v>0</v>
      </c>
      <c r="G235" s="47">
        <f>IF(INVESTORS_LIST[[#This Row],[LS_TOTAL UNITS BUY]]=0,0,INVESTORS_LIST[[#This Row],[LS_TOTAL UNITS BUY]]-INVESTORS_LIST[[#This Row],[LS_TOTAL UNITS SOLD]])</f>
        <v>0</v>
      </c>
      <c r="H235" s="49">
        <f>IF(INVESTORS_LIST[[#This Row],[LS_TOTAL UNITS BUY]]=0,0,SUMIFS(LS[Amount],LS[Investor ID],INVESTORS_LIST[[#This Row],[INVESTOR CODE]],LS[B/S],"B"))</f>
        <v>0</v>
      </c>
      <c r="I235" s="48">
        <f>IF(INVESTORS_LIST[[#This Row],[LS_TOTAL UNITS SOLD]]=0,0,SUMIFS(LS[Cost of Units Sold],LS[Investor ID],INVESTORS_LIST[[#This Row],[INVESTOR CODE]],LS[B/S],"S"))</f>
        <v>0</v>
      </c>
      <c r="J235" s="48">
        <f>IF(INVESTORS_LIST[[#This Row],[LS_TOTAL CURRENT UNITS]]=0,0,INVESTORS_LIST[[#This Row],[LS_TOTAL CURRENT UNITS]]*INVESTORS_LIST[[#This Row],[LS_AVERAGE COST]])</f>
        <v>0</v>
      </c>
      <c r="K235" s="49">
        <f>IF(INVESTORS_LIST[[#This Row],[LS_TOTAL UNITS SOLD]]=0,0,SUMIFS(LS[Realized Gain],LS[Investor ID],INVESTORS_LIST[[#This Row],[INVESTOR CODE]],LS[B/S],"S"))</f>
        <v>0</v>
      </c>
      <c r="L235" s="47">
        <f>SUMIFS(SIP[Unit],SIP[Investor ID],INVESTORS_LIST[[#This Row],[INVESTOR CODE]],SIP[B/S],"B")</f>
        <v>0</v>
      </c>
      <c r="M235" s="47">
        <f>-SUMIFS(SIP[Unit],SIP[Investor ID],INVESTORS_LIST[[#This Row],[INVESTOR CODE]],SIP[B/S],"S")</f>
        <v>0</v>
      </c>
      <c r="N235" s="50">
        <f>IF(INVESTORS_LIST[[#This Row],[SIP_TOTAL UNITS BUY]]=0,0,INVESTORS_LIST[[#This Row],[SIP_TOTAL UNITS BUY]]-INVESTORS_LIST[[#This Row],[SIP_TOTAL UNITS SOLD]])</f>
        <v>0</v>
      </c>
      <c r="O235" s="49">
        <f>IF(INVESTORS_LIST[[#This Row],[SIP_TOTAL UNITS BUY]]=0,0,SUMIFS(SIP[Amount],SIP[Investor ID],INVESTORS_LIST[[#This Row],[INVESTOR CODE]],SIP[B/S],"B"))</f>
        <v>0</v>
      </c>
      <c r="P235" s="49">
        <f>IF(INVESTORS_LIST[[#This Row],[SIP_TOTAL UNITS SOLD]]=0,0,SUMIFS(SIP[Cost of Units Sold],SIP[Investor ID],INVESTORS_LIST[[#This Row],[INVESTOR CODE]],SIP[B/S],"S"))</f>
        <v>0</v>
      </c>
      <c r="Q235" s="48">
        <f>IF(INVESTORS_LIST[[#This Row],[SIP_TOTAL CURRENT UNITS]]=0,0,INVESTORS_LIST[[#This Row],[SIP_TOTAL CURRENT UNITS]]*INVESTORS_LIST[[#This Row],[SIP_AVERAGE COST]])</f>
        <v>0</v>
      </c>
      <c r="R235" s="48">
        <f>IF(INVESTORS_LIST[[#This Row],[SIP_TOTAL UNITS SOLD]]=0,0,SUMIFS(SIP[Realized Gain],SIP[Investor ID],INVESTORS_LIST[[#This Row],[INVESTOR CODE]],SIP[B/S],"S"))</f>
        <v>0</v>
      </c>
      <c r="S235" s="50">
        <f>INVESTORS_LIST[[#This Row],[LS_TOTAL UNITS BUY]]+INVESTORS_LIST[[#This Row],[SIP_TOTAL UNITS BUY]]</f>
        <v>0</v>
      </c>
      <c r="T235" s="50">
        <f>INVESTORS_LIST[[#This Row],[LS_TOTAL UNITS SOLD]]+INVESTORS_LIST[[#This Row],[SIP_TOTAL UNITS SOLD]]</f>
        <v>0</v>
      </c>
      <c r="U235" s="50"/>
      <c r="V235" s="50">
        <f>SUMIFS(LS[BO UNIT TRANSFER],LS[Investor ID],INVESTORS_LIST[[#This Row],[INVESTOR CODE]],LS[B/S],"B")</f>
        <v>0</v>
      </c>
      <c r="W235" s="50">
        <f>SUMIFS(SIP[BO UNIT TRANSFER],SIP[Investor ID],INVESTORS_LIST[[#This Row],[INVESTOR CODE]],SIP[B/S],"B")</f>
        <v>0</v>
      </c>
      <c r="X235" s="50">
        <f>SUMIFS(LS[BO UNIT TRANSFER],LS[Investor ID],INVESTORS_LIST[[#This Row],[INVESTOR CODE]],LS[B/S],"S")</f>
        <v>0</v>
      </c>
      <c r="Y235" s="50">
        <f>SUMIFS(SIP[BO UNIT TRANSFER],SIP[Investor ID],INVESTORS_LIST[[#This Row],[INVESTOR CODE]],SIP[B/S],"S")</f>
        <v>0</v>
      </c>
      <c r="Z235" s="106">
        <f>SUM(INVESTORS_LIST[[#This Row],[BO OPENING BALANCE]:[BO SIP UNITS REPURCHASE]])</f>
        <v>0</v>
      </c>
      <c r="AA235" s="107">
        <f>INVESTORS_LIST[[#This Row],[TOTAL UNITS BUY]]-INVESTORS_LIST[[#This Row],[TOTAL UNITS SOLD]]</f>
        <v>0</v>
      </c>
      <c r="AB235" s="107">
        <f>INVESTORS_LIST[[#This Row],[TOTAL CURRENT UNITS]]-INVESTORS_LIST[[#This Row],[BO UNITS HOLD]]</f>
        <v>0</v>
      </c>
      <c r="AC235" s="201" t="e">
        <f>INDEX([3]!Table_1[BO ID],MATCH(INVESTORS_LIST[[#This Row],[INVESTOR CODE]],[3]!Table_1[INVESTOR CODE],0))</f>
        <v>#REF!</v>
      </c>
      <c r="AD235" s="201" t="e">
        <f>INDEX([3]!Table_1[Brokerage Name2],MATCH(INVESTORS_LIST[[#This Row],[INVESTOR CODE]],[3]!Table_1[INVESTOR CODE],0))</f>
        <v>#REF!</v>
      </c>
      <c r="AE235" s="201" t="e">
        <f>MID(INVESTORS_LIST[[#This Row],[BO ID]],4,5)</f>
        <v>#REF!</v>
      </c>
      <c r="AF235" s="201" t="e">
        <f>MID(INVESTORS_LIST[[#This Row],[BO ID]],2,7)</f>
        <v>#REF!</v>
      </c>
      <c r="AG235" s="201" t="e">
        <f>MID(INVESTORS_LIST[[#This Row],[BO ID]],9,7)</f>
        <v>#REF!</v>
      </c>
      <c r="AH235" s="201" t="e">
        <f>RIGHT(INVESTORS_LIST[[#This Row],[BO ID]],1)</f>
        <v>#REF!</v>
      </c>
      <c r="AI235" s="50">
        <f>INVESTORS_LIST[[#This Row],[LS_TOTAL COST VALUE OF CURRENT UNITS]]+INVESTORS_LIST[[#This Row],[SIP_TOTAL COST VALUE OF CURRENT UNITS]]</f>
        <v>0</v>
      </c>
      <c r="AJ235" s="109">
        <f>IF(INVESTORS_LIST[[#This Row],[TOTAL CURRENT UNITS]]=0,0,INVESTORS_LIST[[#This Row],[LS_TOTAL CURRENT UNITS]]/INVESTORS_LIST[[#This Row],[TOTAL CURRENT UNITS]])</f>
        <v>0</v>
      </c>
      <c r="AK235" s="109">
        <f>IF(INVESTORS_LIST[[#This Row],[TOTAL CURRENT UNITS]]=0,0,INVESTORS_LIST[[#This Row],[SIP_TOTAL CURRENT UNITS]]/INVESTORS_LIST[[#This Row],[TOTAL CURRENT UNITS]])</f>
        <v>0</v>
      </c>
      <c r="AL235" s="49" cm="1">
        <f t="array" ref="AL2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5" s="49" cm="1">
        <f t="array" ref="AM2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5" s="105">
        <f t="shared" si="4"/>
        <v>14.224</v>
      </c>
      <c r="AP235" s="112">
        <f>IF(INVESTORS_LIST[[#This Row],[TOTAL CURRENT UNITS]]=0,0,INVESTORS_LIST[[#This Row],[TOTAL CURRENT UNITS]]*INVESTORS_LIST[[#This Row],[NAV]])</f>
        <v>0</v>
      </c>
      <c r="AQ235" s="49">
        <f>IF(INVESTORS_LIST[[#This Row],[LS_TOTAL CURRENT UNITS]]=0,0,INVESTORS_LIST[[#This Row],[LS_TOTAL CURRENT UNITS]]*INVESTORS_LIST[[#This Row],[NAV]])</f>
        <v>0</v>
      </c>
      <c r="AR235" s="48">
        <f>IF(INVESTORS_LIST[[#This Row],[SIP_TOTAL CURRENT UNITS]]=0,0,INVESTORS_LIST[[#This Row],[SIP_TOTAL CURRENT UNITS]]*INVESTORS_LIST[[#This Row],[NAV]])</f>
        <v>0</v>
      </c>
      <c r="AS235" s="50">
        <f>INVESTORS_LIST[[#This Row],[TOTAL CURRENT UNITS]]</f>
        <v>0</v>
      </c>
      <c r="AT235" s="48">
        <f>IF(INVESTORS_LIST[[#This Row],[TOTAL SELLABLE UNITS]]=0,0,INVESTORS_LIST[[#This Row],[TOTAL SELLABLE UNITS]]*INVESTORS_LIST[[#This Row],[NAV]])</f>
        <v>0</v>
      </c>
      <c r="AU235" s="48">
        <f>INVESTORS_LIST[[#This Row],[LS_TOTAL REALIZED GAIN]]+INVESTORS_LIST[[#This Row],[SIP_TOTAL REALIZED GAIN]]</f>
        <v>0</v>
      </c>
      <c r="AV235" s="48">
        <f>INVESTORS_LIST[[#This Row],[TOTAL MARKET VALUE]]-INVESTORS_LIST[[#This Row],[TOTAL COST VALUE OF CURRENT INVESTMENT]]</f>
        <v>0</v>
      </c>
      <c r="AW235" s="48">
        <f>IFERROR(INVESTORS_LIST[[#This Row],[TOTAL CURRENT UNITS]]/SUM(INVESTORS_LIST[TOTAL CURRENT UNITS]),0)</f>
        <v>0</v>
      </c>
    </row>
    <row r="236" spans="1:49" hidden="1">
      <c r="A236" s="262" t="s">
        <v>520</v>
      </c>
      <c r="B236" s="97" t="s">
        <v>521</v>
      </c>
      <c r="C236" t="s">
        <v>44</v>
      </c>
      <c r="D236" s="75" t="s">
        <v>45</v>
      </c>
      <c r="E236" s="47">
        <f>SUMIFS(LS[Unit],LS[Investor ID],INVESTORS_LIST[[#This Row],[INVESTOR CODE]],LS[B/S],"B")</f>
        <v>0</v>
      </c>
      <c r="F236" s="47">
        <f>-SUMIFS(LS[Unit],LS[Investor ID],INVESTORS_LIST[[#This Row],[INVESTOR CODE]],LS[B/S],"S")</f>
        <v>0</v>
      </c>
      <c r="G236" s="47">
        <f>IF(INVESTORS_LIST[[#This Row],[LS_TOTAL UNITS BUY]]=0,0,INVESTORS_LIST[[#This Row],[LS_TOTAL UNITS BUY]]-INVESTORS_LIST[[#This Row],[LS_TOTAL UNITS SOLD]])</f>
        <v>0</v>
      </c>
      <c r="H236" s="49">
        <f>IF(INVESTORS_LIST[[#This Row],[LS_TOTAL UNITS BUY]]=0,0,SUMIFS(LS[Amount],LS[Investor ID],INVESTORS_LIST[[#This Row],[INVESTOR CODE]],LS[B/S],"B"))</f>
        <v>0</v>
      </c>
      <c r="I236" s="48">
        <f>IF(INVESTORS_LIST[[#This Row],[LS_TOTAL UNITS SOLD]]=0,0,SUMIFS(LS[Cost of Units Sold],LS[Investor ID],INVESTORS_LIST[[#This Row],[INVESTOR CODE]],LS[B/S],"S"))</f>
        <v>0</v>
      </c>
      <c r="J236" s="48">
        <f>IF(INVESTORS_LIST[[#This Row],[LS_TOTAL CURRENT UNITS]]=0,0,INVESTORS_LIST[[#This Row],[LS_TOTAL CURRENT UNITS]]*INVESTORS_LIST[[#This Row],[LS_AVERAGE COST]])</f>
        <v>0</v>
      </c>
      <c r="K236" s="49">
        <f>IF(INVESTORS_LIST[[#This Row],[LS_TOTAL UNITS SOLD]]=0,0,SUMIFS(LS[Realized Gain],LS[Investor ID],INVESTORS_LIST[[#This Row],[INVESTOR CODE]],LS[B/S],"S"))</f>
        <v>0</v>
      </c>
      <c r="L236" s="47">
        <f>SUMIFS(SIP[Unit],SIP[Investor ID],INVESTORS_LIST[[#This Row],[INVESTOR CODE]],SIP[B/S],"B")</f>
        <v>0</v>
      </c>
      <c r="M236" s="47">
        <f>-SUMIFS(SIP[Unit],SIP[Investor ID],INVESTORS_LIST[[#This Row],[INVESTOR CODE]],SIP[B/S],"S")</f>
        <v>0</v>
      </c>
      <c r="N236" s="50">
        <f>IF(INVESTORS_LIST[[#This Row],[SIP_TOTAL UNITS BUY]]=0,0,INVESTORS_LIST[[#This Row],[SIP_TOTAL UNITS BUY]]-INVESTORS_LIST[[#This Row],[SIP_TOTAL UNITS SOLD]])</f>
        <v>0</v>
      </c>
      <c r="O236" s="49">
        <f>IF(INVESTORS_LIST[[#This Row],[SIP_TOTAL UNITS BUY]]=0,0,SUMIFS(SIP[Amount],SIP[Investor ID],INVESTORS_LIST[[#This Row],[INVESTOR CODE]],SIP[B/S],"B"))</f>
        <v>0</v>
      </c>
      <c r="P236" s="49">
        <f>IF(INVESTORS_LIST[[#This Row],[SIP_TOTAL UNITS SOLD]]=0,0,SUMIFS(SIP[Cost of Units Sold],SIP[Investor ID],INVESTORS_LIST[[#This Row],[INVESTOR CODE]],SIP[B/S],"S"))</f>
        <v>0</v>
      </c>
      <c r="Q236" s="48">
        <f>IF(INVESTORS_LIST[[#This Row],[SIP_TOTAL CURRENT UNITS]]=0,0,INVESTORS_LIST[[#This Row],[SIP_TOTAL CURRENT UNITS]]*INVESTORS_LIST[[#This Row],[SIP_AVERAGE COST]])</f>
        <v>0</v>
      </c>
      <c r="R236" s="48">
        <f>IF(INVESTORS_LIST[[#This Row],[SIP_TOTAL UNITS SOLD]]=0,0,SUMIFS(SIP[Realized Gain],SIP[Investor ID],INVESTORS_LIST[[#This Row],[INVESTOR CODE]],SIP[B/S],"S"))</f>
        <v>0</v>
      </c>
      <c r="S236" s="50">
        <f>INVESTORS_LIST[[#This Row],[LS_TOTAL UNITS BUY]]+INVESTORS_LIST[[#This Row],[SIP_TOTAL UNITS BUY]]</f>
        <v>0</v>
      </c>
      <c r="T236" s="50">
        <f>INVESTORS_LIST[[#This Row],[LS_TOTAL UNITS SOLD]]+INVESTORS_LIST[[#This Row],[SIP_TOTAL UNITS SOLD]]</f>
        <v>0</v>
      </c>
      <c r="U236" s="50"/>
      <c r="V236" s="50">
        <f>SUMIFS(LS[BO UNIT TRANSFER],LS[Investor ID],INVESTORS_LIST[[#This Row],[INVESTOR CODE]],LS[B/S],"B")</f>
        <v>0</v>
      </c>
      <c r="W236" s="50">
        <f>SUMIFS(SIP[BO UNIT TRANSFER],SIP[Investor ID],INVESTORS_LIST[[#This Row],[INVESTOR CODE]],SIP[B/S],"B")</f>
        <v>0</v>
      </c>
      <c r="X236" s="50">
        <f>SUMIFS(LS[BO UNIT TRANSFER],LS[Investor ID],INVESTORS_LIST[[#This Row],[INVESTOR CODE]],LS[B/S],"S")</f>
        <v>0</v>
      </c>
      <c r="Y236" s="50">
        <f>SUMIFS(SIP[BO UNIT TRANSFER],SIP[Investor ID],INVESTORS_LIST[[#This Row],[INVESTOR CODE]],SIP[B/S],"S")</f>
        <v>0</v>
      </c>
      <c r="Z236" s="106">
        <f>SUM(INVESTORS_LIST[[#This Row],[BO OPENING BALANCE]:[BO SIP UNITS REPURCHASE]])</f>
        <v>0</v>
      </c>
      <c r="AA236" s="107">
        <f>INVESTORS_LIST[[#This Row],[TOTAL UNITS BUY]]-INVESTORS_LIST[[#This Row],[TOTAL UNITS SOLD]]</f>
        <v>0</v>
      </c>
      <c r="AB236" s="107">
        <f>INVESTORS_LIST[[#This Row],[TOTAL CURRENT UNITS]]-INVESTORS_LIST[[#This Row],[BO UNITS HOLD]]</f>
        <v>0</v>
      </c>
      <c r="AC236" s="201" t="e">
        <f>INDEX([3]!Table_1[BO ID],MATCH(INVESTORS_LIST[[#This Row],[INVESTOR CODE]],[3]!Table_1[INVESTOR CODE],0))</f>
        <v>#REF!</v>
      </c>
      <c r="AD236" s="201" t="e">
        <f>INDEX([3]!Table_1[Brokerage Name2],MATCH(INVESTORS_LIST[[#This Row],[INVESTOR CODE]],[3]!Table_1[INVESTOR CODE],0))</f>
        <v>#REF!</v>
      </c>
      <c r="AE236" s="201" t="e">
        <f>MID(INVESTORS_LIST[[#This Row],[BO ID]],4,5)</f>
        <v>#REF!</v>
      </c>
      <c r="AF236" s="201" t="e">
        <f>MID(INVESTORS_LIST[[#This Row],[BO ID]],2,7)</f>
        <v>#REF!</v>
      </c>
      <c r="AG236" s="201" t="e">
        <f>MID(INVESTORS_LIST[[#This Row],[BO ID]],9,7)</f>
        <v>#REF!</v>
      </c>
      <c r="AH236" s="201" t="e">
        <f>RIGHT(INVESTORS_LIST[[#This Row],[BO ID]],1)</f>
        <v>#REF!</v>
      </c>
      <c r="AI236" s="50">
        <f>INVESTORS_LIST[[#This Row],[LS_TOTAL COST VALUE OF CURRENT UNITS]]+INVESTORS_LIST[[#This Row],[SIP_TOTAL COST VALUE OF CURRENT UNITS]]</f>
        <v>0</v>
      </c>
      <c r="AJ236" s="109">
        <f>IF(INVESTORS_LIST[[#This Row],[TOTAL CURRENT UNITS]]=0,0,INVESTORS_LIST[[#This Row],[LS_TOTAL CURRENT UNITS]]/INVESTORS_LIST[[#This Row],[TOTAL CURRENT UNITS]])</f>
        <v>0</v>
      </c>
      <c r="AK236" s="109">
        <f>IF(INVESTORS_LIST[[#This Row],[TOTAL CURRENT UNITS]]=0,0,INVESTORS_LIST[[#This Row],[SIP_TOTAL CURRENT UNITS]]/INVESTORS_LIST[[#This Row],[TOTAL CURRENT UNITS]])</f>
        <v>0</v>
      </c>
      <c r="AL236" s="49" cm="1">
        <f t="array" ref="AL2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6" s="49" cm="1">
        <f t="array" ref="AM2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6" s="105">
        <f t="shared" si="4"/>
        <v>14.224</v>
      </c>
      <c r="AP236" s="112">
        <f>IF(INVESTORS_LIST[[#This Row],[TOTAL CURRENT UNITS]]=0,0,INVESTORS_LIST[[#This Row],[TOTAL CURRENT UNITS]]*INVESTORS_LIST[[#This Row],[NAV]])</f>
        <v>0</v>
      </c>
      <c r="AQ236" s="49">
        <f>IF(INVESTORS_LIST[[#This Row],[LS_TOTAL CURRENT UNITS]]=0,0,INVESTORS_LIST[[#This Row],[LS_TOTAL CURRENT UNITS]]*INVESTORS_LIST[[#This Row],[NAV]])</f>
        <v>0</v>
      </c>
      <c r="AR236" s="48">
        <f>IF(INVESTORS_LIST[[#This Row],[SIP_TOTAL CURRENT UNITS]]=0,0,INVESTORS_LIST[[#This Row],[SIP_TOTAL CURRENT UNITS]]*INVESTORS_LIST[[#This Row],[NAV]])</f>
        <v>0</v>
      </c>
      <c r="AS236" s="50">
        <f>INVESTORS_LIST[[#This Row],[TOTAL CURRENT UNITS]]</f>
        <v>0</v>
      </c>
      <c r="AT236" s="48">
        <f>IF(INVESTORS_LIST[[#This Row],[TOTAL SELLABLE UNITS]]=0,0,INVESTORS_LIST[[#This Row],[TOTAL SELLABLE UNITS]]*INVESTORS_LIST[[#This Row],[NAV]])</f>
        <v>0</v>
      </c>
      <c r="AU236" s="48">
        <f>INVESTORS_LIST[[#This Row],[LS_TOTAL REALIZED GAIN]]+INVESTORS_LIST[[#This Row],[SIP_TOTAL REALIZED GAIN]]</f>
        <v>0</v>
      </c>
      <c r="AV236" s="48">
        <f>INVESTORS_LIST[[#This Row],[TOTAL MARKET VALUE]]-INVESTORS_LIST[[#This Row],[TOTAL COST VALUE OF CURRENT INVESTMENT]]</f>
        <v>0</v>
      </c>
      <c r="AW236" s="48">
        <f>IFERROR(INVESTORS_LIST[[#This Row],[TOTAL CURRENT UNITS]]/SUM(INVESTORS_LIST[TOTAL CURRENT UNITS]),0)</f>
        <v>0</v>
      </c>
    </row>
    <row r="237" spans="1:49" hidden="1">
      <c r="A237" s="262" t="s">
        <v>522</v>
      </c>
      <c r="B237" s="97" t="s">
        <v>523</v>
      </c>
      <c r="C237" t="s">
        <v>67</v>
      </c>
      <c r="D237" s="75" t="s">
        <v>45</v>
      </c>
      <c r="E237" s="47">
        <f>SUMIFS(LS[Unit],LS[Investor ID],INVESTORS_LIST[[#This Row],[INVESTOR CODE]],LS[B/S],"B")</f>
        <v>0</v>
      </c>
      <c r="F237" s="47">
        <f>-SUMIFS(LS[Unit],LS[Investor ID],INVESTORS_LIST[[#This Row],[INVESTOR CODE]],LS[B/S],"S")</f>
        <v>0</v>
      </c>
      <c r="G237" s="47">
        <f>IF(INVESTORS_LIST[[#This Row],[LS_TOTAL UNITS BUY]]=0,0,INVESTORS_LIST[[#This Row],[LS_TOTAL UNITS BUY]]-INVESTORS_LIST[[#This Row],[LS_TOTAL UNITS SOLD]])</f>
        <v>0</v>
      </c>
      <c r="H237" s="49">
        <f>IF(INVESTORS_LIST[[#This Row],[LS_TOTAL UNITS BUY]]=0,0,SUMIFS(LS[Amount],LS[Investor ID],INVESTORS_LIST[[#This Row],[INVESTOR CODE]],LS[B/S],"B"))</f>
        <v>0</v>
      </c>
      <c r="I237" s="48">
        <f>IF(INVESTORS_LIST[[#This Row],[LS_TOTAL UNITS SOLD]]=0,0,SUMIFS(LS[Cost of Units Sold],LS[Investor ID],INVESTORS_LIST[[#This Row],[INVESTOR CODE]],LS[B/S],"S"))</f>
        <v>0</v>
      </c>
      <c r="J237" s="48">
        <f>IF(INVESTORS_LIST[[#This Row],[LS_TOTAL CURRENT UNITS]]=0,0,INVESTORS_LIST[[#This Row],[LS_TOTAL CURRENT UNITS]]*INVESTORS_LIST[[#This Row],[LS_AVERAGE COST]])</f>
        <v>0</v>
      </c>
      <c r="K237" s="49">
        <f>IF(INVESTORS_LIST[[#This Row],[LS_TOTAL UNITS SOLD]]=0,0,SUMIFS(LS[Realized Gain],LS[Investor ID],INVESTORS_LIST[[#This Row],[INVESTOR CODE]],LS[B/S],"S"))</f>
        <v>0</v>
      </c>
      <c r="L237" s="47">
        <f>SUMIFS(SIP[Unit],SIP[Investor ID],INVESTORS_LIST[[#This Row],[INVESTOR CODE]],SIP[B/S],"B")</f>
        <v>0</v>
      </c>
      <c r="M237" s="47">
        <f>-SUMIFS(SIP[Unit],SIP[Investor ID],INVESTORS_LIST[[#This Row],[INVESTOR CODE]],SIP[B/S],"S")</f>
        <v>0</v>
      </c>
      <c r="N237" s="50">
        <f>IF(INVESTORS_LIST[[#This Row],[SIP_TOTAL UNITS BUY]]=0,0,INVESTORS_LIST[[#This Row],[SIP_TOTAL UNITS BUY]]-INVESTORS_LIST[[#This Row],[SIP_TOTAL UNITS SOLD]])</f>
        <v>0</v>
      </c>
      <c r="O237" s="49">
        <f>IF(INVESTORS_LIST[[#This Row],[SIP_TOTAL UNITS BUY]]=0,0,SUMIFS(SIP[Amount],SIP[Investor ID],INVESTORS_LIST[[#This Row],[INVESTOR CODE]],SIP[B/S],"B"))</f>
        <v>0</v>
      </c>
      <c r="P237" s="49">
        <f>IF(INVESTORS_LIST[[#This Row],[SIP_TOTAL UNITS SOLD]]=0,0,SUMIFS(SIP[Cost of Units Sold],SIP[Investor ID],INVESTORS_LIST[[#This Row],[INVESTOR CODE]],SIP[B/S],"S"))</f>
        <v>0</v>
      </c>
      <c r="Q237" s="48">
        <f>IF(INVESTORS_LIST[[#This Row],[SIP_TOTAL CURRENT UNITS]]=0,0,INVESTORS_LIST[[#This Row],[SIP_TOTAL CURRENT UNITS]]*INVESTORS_LIST[[#This Row],[SIP_AVERAGE COST]])</f>
        <v>0</v>
      </c>
      <c r="R237" s="48">
        <f>IF(INVESTORS_LIST[[#This Row],[SIP_TOTAL UNITS SOLD]]=0,0,SUMIFS(SIP[Realized Gain],SIP[Investor ID],INVESTORS_LIST[[#This Row],[INVESTOR CODE]],SIP[B/S],"S"))</f>
        <v>0</v>
      </c>
      <c r="S237" s="50">
        <f>INVESTORS_LIST[[#This Row],[LS_TOTAL UNITS BUY]]+INVESTORS_LIST[[#This Row],[SIP_TOTAL UNITS BUY]]</f>
        <v>0</v>
      </c>
      <c r="T237" s="50">
        <f>INVESTORS_LIST[[#This Row],[LS_TOTAL UNITS SOLD]]+INVESTORS_LIST[[#This Row],[SIP_TOTAL UNITS SOLD]]</f>
        <v>0</v>
      </c>
      <c r="U237" s="50"/>
      <c r="V237" s="50">
        <f>SUMIFS(LS[BO UNIT TRANSFER],LS[Investor ID],INVESTORS_LIST[[#This Row],[INVESTOR CODE]],LS[B/S],"B")</f>
        <v>0</v>
      </c>
      <c r="W237" s="50">
        <f>SUMIFS(SIP[BO UNIT TRANSFER],SIP[Investor ID],INVESTORS_LIST[[#This Row],[INVESTOR CODE]],SIP[B/S],"B")</f>
        <v>0</v>
      </c>
      <c r="X237" s="50">
        <f>SUMIFS(LS[BO UNIT TRANSFER],LS[Investor ID],INVESTORS_LIST[[#This Row],[INVESTOR CODE]],LS[B/S],"S")</f>
        <v>0</v>
      </c>
      <c r="Y237" s="50">
        <f>SUMIFS(SIP[BO UNIT TRANSFER],SIP[Investor ID],INVESTORS_LIST[[#This Row],[INVESTOR CODE]],SIP[B/S],"S")</f>
        <v>0</v>
      </c>
      <c r="Z237" s="106">
        <f>SUM(INVESTORS_LIST[[#This Row],[BO OPENING BALANCE]:[BO SIP UNITS REPURCHASE]])</f>
        <v>0</v>
      </c>
      <c r="AA237" s="107">
        <f>INVESTORS_LIST[[#This Row],[TOTAL UNITS BUY]]-INVESTORS_LIST[[#This Row],[TOTAL UNITS SOLD]]</f>
        <v>0</v>
      </c>
      <c r="AB237" s="107">
        <f>INVESTORS_LIST[[#This Row],[TOTAL CURRENT UNITS]]-INVESTORS_LIST[[#This Row],[BO UNITS HOLD]]</f>
        <v>0</v>
      </c>
      <c r="AC237" s="201" t="e">
        <f>INDEX([3]!Table_1[BO ID],MATCH(INVESTORS_LIST[[#This Row],[INVESTOR CODE]],[3]!Table_1[INVESTOR CODE],0))</f>
        <v>#REF!</v>
      </c>
      <c r="AD237" s="201" t="e">
        <f>INDEX([3]!Table_1[Brokerage Name2],MATCH(INVESTORS_LIST[[#This Row],[INVESTOR CODE]],[3]!Table_1[INVESTOR CODE],0))</f>
        <v>#REF!</v>
      </c>
      <c r="AE237" s="201" t="e">
        <f>MID(INVESTORS_LIST[[#This Row],[BO ID]],4,5)</f>
        <v>#REF!</v>
      </c>
      <c r="AF237" s="201" t="e">
        <f>MID(INVESTORS_LIST[[#This Row],[BO ID]],2,7)</f>
        <v>#REF!</v>
      </c>
      <c r="AG237" s="201" t="e">
        <f>MID(INVESTORS_LIST[[#This Row],[BO ID]],9,7)</f>
        <v>#REF!</v>
      </c>
      <c r="AH237" s="201" t="e">
        <f>RIGHT(INVESTORS_LIST[[#This Row],[BO ID]],1)</f>
        <v>#REF!</v>
      </c>
      <c r="AI237" s="50">
        <f>INVESTORS_LIST[[#This Row],[LS_TOTAL COST VALUE OF CURRENT UNITS]]+INVESTORS_LIST[[#This Row],[SIP_TOTAL COST VALUE OF CURRENT UNITS]]</f>
        <v>0</v>
      </c>
      <c r="AJ237" s="109">
        <f>IF(INVESTORS_LIST[[#This Row],[TOTAL CURRENT UNITS]]=0,0,INVESTORS_LIST[[#This Row],[LS_TOTAL CURRENT UNITS]]/INVESTORS_LIST[[#This Row],[TOTAL CURRENT UNITS]])</f>
        <v>0</v>
      </c>
      <c r="AK237" s="109">
        <f>IF(INVESTORS_LIST[[#This Row],[TOTAL CURRENT UNITS]]=0,0,INVESTORS_LIST[[#This Row],[SIP_TOTAL CURRENT UNITS]]/INVESTORS_LIST[[#This Row],[TOTAL CURRENT UNITS]])</f>
        <v>0</v>
      </c>
      <c r="AL237" s="49" cm="1">
        <f t="array" ref="AL2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7" s="49" cm="1">
        <f t="array" ref="AM2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7" s="105">
        <f t="shared" si="4"/>
        <v>14.224</v>
      </c>
      <c r="AP237" s="112">
        <f>IF(INVESTORS_LIST[[#This Row],[TOTAL CURRENT UNITS]]=0,0,INVESTORS_LIST[[#This Row],[TOTAL CURRENT UNITS]]*INVESTORS_LIST[[#This Row],[NAV]])</f>
        <v>0</v>
      </c>
      <c r="AQ237" s="49">
        <f>IF(INVESTORS_LIST[[#This Row],[LS_TOTAL CURRENT UNITS]]=0,0,INVESTORS_LIST[[#This Row],[LS_TOTAL CURRENT UNITS]]*INVESTORS_LIST[[#This Row],[NAV]])</f>
        <v>0</v>
      </c>
      <c r="AR237" s="48">
        <f>IF(INVESTORS_LIST[[#This Row],[SIP_TOTAL CURRENT UNITS]]=0,0,INVESTORS_LIST[[#This Row],[SIP_TOTAL CURRENT UNITS]]*INVESTORS_LIST[[#This Row],[NAV]])</f>
        <v>0</v>
      </c>
      <c r="AS237" s="50">
        <f>INVESTORS_LIST[[#This Row],[TOTAL CURRENT UNITS]]</f>
        <v>0</v>
      </c>
      <c r="AT237" s="48">
        <f>IF(INVESTORS_LIST[[#This Row],[TOTAL SELLABLE UNITS]]=0,0,INVESTORS_LIST[[#This Row],[TOTAL SELLABLE UNITS]]*INVESTORS_LIST[[#This Row],[NAV]])</f>
        <v>0</v>
      </c>
      <c r="AU237" s="48">
        <f>INVESTORS_LIST[[#This Row],[LS_TOTAL REALIZED GAIN]]+INVESTORS_LIST[[#This Row],[SIP_TOTAL REALIZED GAIN]]</f>
        <v>0</v>
      </c>
      <c r="AV237" s="48">
        <f>INVESTORS_LIST[[#This Row],[TOTAL MARKET VALUE]]-INVESTORS_LIST[[#This Row],[TOTAL COST VALUE OF CURRENT INVESTMENT]]</f>
        <v>0</v>
      </c>
      <c r="AW237" s="48">
        <f>IFERROR(INVESTORS_LIST[[#This Row],[TOTAL CURRENT UNITS]]/SUM(INVESTORS_LIST[TOTAL CURRENT UNITS]),0)</f>
        <v>0</v>
      </c>
    </row>
    <row r="238" spans="1:49" hidden="1">
      <c r="A238" s="262" t="s">
        <v>524</v>
      </c>
      <c r="B238" s="97" t="s">
        <v>525</v>
      </c>
      <c r="C238" t="s">
        <v>67</v>
      </c>
      <c r="D238" s="75" t="s">
        <v>45</v>
      </c>
      <c r="E238" s="47">
        <f>SUMIFS(LS[Unit],LS[Investor ID],INVESTORS_LIST[[#This Row],[INVESTOR CODE]],LS[B/S],"B")</f>
        <v>0</v>
      </c>
      <c r="F238" s="47">
        <f>-SUMIFS(LS[Unit],LS[Investor ID],INVESTORS_LIST[[#This Row],[INVESTOR CODE]],LS[B/S],"S")</f>
        <v>0</v>
      </c>
      <c r="G238" s="47">
        <f>IF(INVESTORS_LIST[[#This Row],[LS_TOTAL UNITS BUY]]=0,0,INVESTORS_LIST[[#This Row],[LS_TOTAL UNITS BUY]]-INVESTORS_LIST[[#This Row],[LS_TOTAL UNITS SOLD]])</f>
        <v>0</v>
      </c>
      <c r="H238" s="49">
        <f>IF(INVESTORS_LIST[[#This Row],[LS_TOTAL UNITS BUY]]=0,0,SUMIFS(LS[Amount],LS[Investor ID],INVESTORS_LIST[[#This Row],[INVESTOR CODE]],LS[B/S],"B"))</f>
        <v>0</v>
      </c>
      <c r="I238" s="48">
        <f>IF(INVESTORS_LIST[[#This Row],[LS_TOTAL UNITS SOLD]]=0,0,SUMIFS(LS[Cost of Units Sold],LS[Investor ID],INVESTORS_LIST[[#This Row],[INVESTOR CODE]],LS[B/S],"S"))</f>
        <v>0</v>
      </c>
      <c r="J238" s="48">
        <f>IF(INVESTORS_LIST[[#This Row],[LS_TOTAL CURRENT UNITS]]=0,0,INVESTORS_LIST[[#This Row],[LS_TOTAL CURRENT UNITS]]*INVESTORS_LIST[[#This Row],[LS_AVERAGE COST]])</f>
        <v>0</v>
      </c>
      <c r="K238" s="49">
        <f>IF(INVESTORS_LIST[[#This Row],[LS_TOTAL UNITS SOLD]]=0,0,SUMIFS(LS[Realized Gain],LS[Investor ID],INVESTORS_LIST[[#This Row],[INVESTOR CODE]],LS[B/S],"S"))</f>
        <v>0</v>
      </c>
      <c r="L238" s="47">
        <f>SUMIFS(SIP[Unit],SIP[Investor ID],INVESTORS_LIST[[#This Row],[INVESTOR CODE]],SIP[B/S],"B")</f>
        <v>0</v>
      </c>
      <c r="M238" s="47">
        <f>-SUMIFS(SIP[Unit],SIP[Investor ID],INVESTORS_LIST[[#This Row],[INVESTOR CODE]],SIP[B/S],"S")</f>
        <v>0</v>
      </c>
      <c r="N238" s="50">
        <f>IF(INVESTORS_LIST[[#This Row],[SIP_TOTAL UNITS BUY]]=0,0,INVESTORS_LIST[[#This Row],[SIP_TOTAL UNITS BUY]]-INVESTORS_LIST[[#This Row],[SIP_TOTAL UNITS SOLD]])</f>
        <v>0</v>
      </c>
      <c r="O238" s="49">
        <f>IF(INVESTORS_LIST[[#This Row],[SIP_TOTAL UNITS BUY]]=0,0,SUMIFS(SIP[Amount],SIP[Investor ID],INVESTORS_LIST[[#This Row],[INVESTOR CODE]],SIP[B/S],"B"))</f>
        <v>0</v>
      </c>
      <c r="P238" s="49">
        <f>IF(INVESTORS_LIST[[#This Row],[SIP_TOTAL UNITS SOLD]]=0,0,SUMIFS(SIP[Cost of Units Sold],SIP[Investor ID],INVESTORS_LIST[[#This Row],[INVESTOR CODE]],SIP[B/S],"S"))</f>
        <v>0</v>
      </c>
      <c r="Q238" s="48">
        <f>IF(INVESTORS_LIST[[#This Row],[SIP_TOTAL CURRENT UNITS]]=0,0,INVESTORS_LIST[[#This Row],[SIP_TOTAL CURRENT UNITS]]*INVESTORS_LIST[[#This Row],[SIP_AVERAGE COST]])</f>
        <v>0</v>
      </c>
      <c r="R238" s="48">
        <f>IF(INVESTORS_LIST[[#This Row],[SIP_TOTAL UNITS SOLD]]=0,0,SUMIFS(SIP[Realized Gain],SIP[Investor ID],INVESTORS_LIST[[#This Row],[INVESTOR CODE]],SIP[B/S],"S"))</f>
        <v>0</v>
      </c>
      <c r="S238" s="50">
        <f>INVESTORS_LIST[[#This Row],[LS_TOTAL UNITS BUY]]+INVESTORS_LIST[[#This Row],[SIP_TOTAL UNITS BUY]]</f>
        <v>0</v>
      </c>
      <c r="T238" s="50">
        <f>INVESTORS_LIST[[#This Row],[LS_TOTAL UNITS SOLD]]+INVESTORS_LIST[[#This Row],[SIP_TOTAL UNITS SOLD]]</f>
        <v>0</v>
      </c>
      <c r="U238" s="50"/>
      <c r="V238" s="50">
        <f>SUMIFS(LS[BO UNIT TRANSFER],LS[Investor ID],INVESTORS_LIST[[#This Row],[INVESTOR CODE]],LS[B/S],"B")</f>
        <v>0</v>
      </c>
      <c r="W238" s="50">
        <f>SUMIFS(SIP[BO UNIT TRANSFER],SIP[Investor ID],INVESTORS_LIST[[#This Row],[INVESTOR CODE]],SIP[B/S],"B")</f>
        <v>0</v>
      </c>
      <c r="X238" s="50">
        <f>SUMIFS(LS[BO UNIT TRANSFER],LS[Investor ID],INVESTORS_LIST[[#This Row],[INVESTOR CODE]],LS[B/S],"S")</f>
        <v>0</v>
      </c>
      <c r="Y238" s="50">
        <f>SUMIFS(SIP[BO UNIT TRANSFER],SIP[Investor ID],INVESTORS_LIST[[#This Row],[INVESTOR CODE]],SIP[B/S],"S")</f>
        <v>0</v>
      </c>
      <c r="Z238" s="106">
        <f>SUM(INVESTORS_LIST[[#This Row],[BO OPENING BALANCE]:[BO SIP UNITS REPURCHASE]])</f>
        <v>0</v>
      </c>
      <c r="AA238" s="107">
        <f>INVESTORS_LIST[[#This Row],[TOTAL UNITS BUY]]-INVESTORS_LIST[[#This Row],[TOTAL UNITS SOLD]]</f>
        <v>0</v>
      </c>
      <c r="AB238" s="107">
        <f>INVESTORS_LIST[[#This Row],[TOTAL CURRENT UNITS]]-INVESTORS_LIST[[#This Row],[BO UNITS HOLD]]</f>
        <v>0</v>
      </c>
      <c r="AC238" s="201" t="e">
        <f>INDEX([3]!Table_1[BO ID],MATCH(INVESTORS_LIST[[#This Row],[INVESTOR CODE]],[3]!Table_1[INVESTOR CODE],0))</f>
        <v>#REF!</v>
      </c>
      <c r="AD238" s="201" t="e">
        <f>INDEX([3]!Table_1[Brokerage Name2],MATCH(INVESTORS_LIST[[#This Row],[INVESTOR CODE]],[3]!Table_1[INVESTOR CODE],0))</f>
        <v>#REF!</v>
      </c>
      <c r="AE238" s="201" t="e">
        <f>MID(INVESTORS_LIST[[#This Row],[BO ID]],4,5)</f>
        <v>#REF!</v>
      </c>
      <c r="AF238" s="201" t="e">
        <f>MID(INVESTORS_LIST[[#This Row],[BO ID]],2,7)</f>
        <v>#REF!</v>
      </c>
      <c r="AG238" s="201" t="e">
        <f>MID(INVESTORS_LIST[[#This Row],[BO ID]],9,7)</f>
        <v>#REF!</v>
      </c>
      <c r="AH238" s="201" t="e">
        <f>RIGHT(INVESTORS_LIST[[#This Row],[BO ID]],1)</f>
        <v>#REF!</v>
      </c>
      <c r="AI238" s="50">
        <f>INVESTORS_LIST[[#This Row],[LS_TOTAL COST VALUE OF CURRENT UNITS]]+INVESTORS_LIST[[#This Row],[SIP_TOTAL COST VALUE OF CURRENT UNITS]]</f>
        <v>0</v>
      </c>
      <c r="AJ238" s="109">
        <f>IF(INVESTORS_LIST[[#This Row],[TOTAL CURRENT UNITS]]=0,0,INVESTORS_LIST[[#This Row],[LS_TOTAL CURRENT UNITS]]/INVESTORS_LIST[[#This Row],[TOTAL CURRENT UNITS]])</f>
        <v>0</v>
      </c>
      <c r="AK238" s="109">
        <f>IF(INVESTORS_LIST[[#This Row],[TOTAL CURRENT UNITS]]=0,0,INVESTORS_LIST[[#This Row],[SIP_TOTAL CURRENT UNITS]]/INVESTORS_LIST[[#This Row],[TOTAL CURRENT UNITS]])</f>
        <v>0</v>
      </c>
      <c r="AL238" s="49" cm="1">
        <f t="array" ref="AL2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8" s="49" cm="1">
        <f t="array" ref="AM2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8" s="105">
        <f t="shared" si="4"/>
        <v>14.224</v>
      </c>
      <c r="AP238" s="112">
        <f>IF(INVESTORS_LIST[[#This Row],[TOTAL CURRENT UNITS]]=0,0,INVESTORS_LIST[[#This Row],[TOTAL CURRENT UNITS]]*INVESTORS_LIST[[#This Row],[NAV]])</f>
        <v>0</v>
      </c>
      <c r="AQ238" s="49">
        <f>IF(INVESTORS_LIST[[#This Row],[LS_TOTAL CURRENT UNITS]]=0,0,INVESTORS_LIST[[#This Row],[LS_TOTAL CURRENT UNITS]]*INVESTORS_LIST[[#This Row],[NAV]])</f>
        <v>0</v>
      </c>
      <c r="AR238" s="48">
        <f>IF(INVESTORS_LIST[[#This Row],[SIP_TOTAL CURRENT UNITS]]=0,0,INVESTORS_LIST[[#This Row],[SIP_TOTAL CURRENT UNITS]]*INVESTORS_LIST[[#This Row],[NAV]])</f>
        <v>0</v>
      </c>
      <c r="AS238" s="50">
        <f>INVESTORS_LIST[[#This Row],[TOTAL CURRENT UNITS]]</f>
        <v>0</v>
      </c>
      <c r="AT238" s="48">
        <f>IF(INVESTORS_LIST[[#This Row],[TOTAL SELLABLE UNITS]]=0,0,INVESTORS_LIST[[#This Row],[TOTAL SELLABLE UNITS]]*INVESTORS_LIST[[#This Row],[NAV]])</f>
        <v>0</v>
      </c>
      <c r="AU238" s="48">
        <f>INVESTORS_LIST[[#This Row],[LS_TOTAL REALIZED GAIN]]+INVESTORS_LIST[[#This Row],[SIP_TOTAL REALIZED GAIN]]</f>
        <v>0</v>
      </c>
      <c r="AV238" s="48">
        <f>INVESTORS_LIST[[#This Row],[TOTAL MARKET VALUE]]-INVESTORS_LIST[[#This Row],[TOTAL COST VALUE OF CURRENT INVESTMENT]]</f>
        <v>0</v>
      </c>
      <c r="AW238" s="48">
        <f>IFERROR(INVESTORS_LIST[[#This Row],[TOTAL CURRENT UNITS]]/SUM(INVESTORS_LIST[TOTAL CURRENT UNITS]),0)</f>
        <v>0</v>
      </c>
    </row>
    <row r="239" spans="1:49" hidden="1">
      <c r="A239" s="262" t="s">
        <v>526</v>
      </c>
      <c r="B239" s="97" t="s">
        <v>527</v>
      </c>
      <c r="C239" t="s">
        <v>44</v>
      </c>
      <c r="D239" s="75" t="s">
        <v>45</v>
      </c>
      <c r="E239" s="47">
        <f>SUMIFS(LS[Unit],LS[Investor ID],INVESTORS_LIST[[#This Row],[INVESTOR CODE]],LS[B/S],"B")</f>
        <v>0</v>
      </c>
      <c r="F239" s="47">
        <f>-SUMIFS(LS[Unit],LS[Investor ID],INVESTORS_LIST[[#This Row],[INVESTOR CODE]],LS[B/S],"S")</f>
        <v>0</v>
      </c>
      <c r="G239" s="47">
        <f>IF(INVESTORS_LIST[[#This Row],[LS_TOTAL UNITS BUY]]=0,0,INVESTORS_LIST[[#This Row],[LS_TOTAL UNITS BUY]]-INVESTORS_LIST[[#This Row],[LS_TOTAL UNITS SOLD]])</f>
        <v>0</v>
      </c>
      <c r="H239" s="49">
        <f>IF(INVESTORS_LIST[[#This Row],[LS_TOTAL UNITS BUY]]=0,0,SUMIFS(LS[Amount],LS[Investor ID],INVESTORS_LIST[[#This Row],[INVESTOR CODE]],LS[B/S],"B"))</f>
        <v>0</v>
      </c>
      <c r="I239" s="48">
        <f>IF(INVESTORS_LIST[[#This Row],[LS_TOTAL UNITS SOLD]]=0,0,SUMIFS(LS[Cost of Units Sold],LS[Investor ID],INVESTORS_LIST[[#This Row],[INVESTOR CODE]],LS[B/S],"S"))</f>
        <v>0</v>
      </c>
      <c r="J239" s="48">
        <f>IF(INVESTORS_LIST[[#This Row],[LS_TOTAL CURRENT UNITS]]=0,0,INVESTORS_LIST[[#This Row],[LS_TOTAL CURRENT UNITS]]*INVESTORS_LIST[[#This Row],[LS_AVERAGE COST]])</f>
        <v>0</v>
      </c>
      <c r="K239" s="49">
        <f>IF(INVESTORS_LIST[[#This Row],[LS_TOTAL UNITS SOLD]]=0,0,SUMIFS(LS[Realized Gain],LS[Investor ID],INVESTORS_LIST[[#This Row],[INVESTOR CODE]],LS[B/S],"S"))</f>
        <v>0</v>
      </c>
      <c r="L239" s="47">
        <f>SUMIFS(SIP[Unit],SIP[Investor ID],INVESTORS_LIST[[#This Row],[INVESTOR CODE]],SIP[B/S],"B")</f>
        <v>0</v>
      </c>
      <c r="M239" s="47">
        <f>-SUMIFS(SIP[Unit],SIP[Investor ID],INVESTORS_LIST[[#This Row],[INVESTOR CODE]],SIP[B/S],"S")</f>
        <v>0</v>
      </c>
      <c r="N239" s="50">
        <f>IF(INVESTORS_LIST[[#This Row],[SIP_TOTAL UNITS BUY]]=0,0,INVESTORS_LIST[[#This Row],[SIP_TOTAL UNITS BUY]]-INVESTORS_LIST[[#This Row],[SIP_TOTAL UNITS SOLD]])</f>
        <v>0</v>
      </c>
      <c r="O239" s="49">
        <f>IF(INVESTORS_LIST[[#This Row],[SIP_TOTAL UNITS BUY]]=0,0,SUMIFS(SIP[Amount],SIP[Investor ID],INVESTORS_LIST[[#This Row],[INVESTOR CODE]],SIP[B/S],"B"))</f>
        <v>0</v>
      </c>
      <c r="P239" s="49">
        <f>IF(INVESTORS_LIST[[#This Row],[SIP_TOTAL UNITS SOLD]]=0,0,SUMIFS(SIP[Cost of Units Sold],SIP[Investor ID],INVESTORS_LIST[[#This Row],[INVESTOR CODE]],SIP[B/S],"S"))</f>
        <v>0</v>
      </c>
      <c r="Q239" s="48">
        <f>IF(INVESTORS_LIST[[#This Row],[SIP_TOTAL CURRENT UNITS]]=0,0,INVESTORS_LIST[[#This Row],[SIP_TOTAL CURRENT UNITS]]*INVESTORS_LIST[[#This Row],[SIP_AVERAGE COST]])</f>
        <v>0</v>
      </c>
      <c r="R239" s="48">
        <f>IF(INVESTORS_LIST[[#This Row],[SIP_TOTAL UNITS SOLD]]=0,0,SUMIFS(SIP[Realized Gain],SIP[Investor ID],INVESTORS_LIST[[#This Row],[INVESTOR CODE]],SIP[B/S],"S"))</f>
        <v>0</v>
      </c>
      <c r="S239" s="50">
        <f>INVESTORS_LIST[[#This Row],[LS_TOTAL UNITS BUY]]+INVESTORS_LIST[[#This Row],[SIP_TOTAL UNITS BUY]]</f>
        <v>0</v>
      </c>
      <c r="T239" s="50">
        <f>INVESTORS_LIST[[#This Row],[LS_TOTAL UNITS SOLD]]+INVESTORS_LIST[[#This Row],[SIP_TOTAL UNITS SOLD]]</f>
        <v>0</v>
      </c>
      <c r="U239" s="50"/>
      <c r="V239" s="50">
        <f>SUMIFS(LS[BO UNIT TRANSFER],LS[Investor ID],INVESTORS_LIST[[#This Row],[INVESTOR CODE]],LS[B/S],"B")</f>
        <v>0</v>
      </c>
      <c r="W239" s="50">
        <f>SUMIFS(SIP[BO UNIT TRANSFER],SIP[Investor ID],INVESTORS_LIST[[#This Row],[INVESTOR CODE]],SIP[B/S],"B")</f>
        <v>0</v>
      </c>
      <c r="X239" s="50">
        <f>SUMIFS(LS[BO UNIT TRANSFER],LS[Investor ID],INVESTORS_LIST[[#This Row],[INVESTOR CODE]],LS[B/S],"S")</f>
        <v>0</v>
      </c>
      <c r="Y239" s="50">
        <f>SUMIFS(SIP[BO UNIT TRANSFER],SIP[Investor ID],INVESTORS_LIST[[#This Row],[INVESTOR CODE]],SIP[B/S],"S")</f>
        <v>0</v>
      </c>
      <c r="Z239" s="106">
        <f>SUM(INVESTORS_LIST[[#This Row],[BO OPENING BALANCE]:[BO SIP UNITS REPURCHASE]])</f>
        <v>0</v>
      </c>
      <c r="AA239" s="107">
        <f>INVESTORS_LIST[[#This Row],[TOTAL UNITS BUY]]-INVESTORS_LIST[[#This Row],[TOTAL UNITS SOLD]]</f>
        <v>0</v>
      </c>
      <c r="AB239" s="107">
        <f>INVESTORS_LIST[[#This Row],[TOTAL CURRENT UNITS]]-INVESTORS_LIST[[#This Row],[BO UNITS HOLD]]</f>
        <v>0</v>
      </c>
      <c r="AC239" s="201" t="e">
        <f>INDEX([3]!Table_1[BO ID],MATCH(INVESTORS_LIST[[#This Row],[INVESTOR CODE]],[3]!Table_1[INVESTOR CODE],0))</f>
        <v>#REF!</v>
      </c>
      <c r="AD239" s="201" t="e">
        <f>INDEX([3]!Table_1[Brokerage Name2],MATCH(INVESTORS_LIST[[#This Row],[INVESTOR CODE]],[3]!Table_1[INVESTOR CODE],0))</f>
        <v>#REF!</v>
      </c>
      <c r="AE239" s="201" t="e">
        <f>MID(INVESTORS_LIST[[#This Row],[BO ID]],4,5)</f>
        <v>#REF!</v>
      </c>
      <c r="AF239" s="201" t="e">
        <f>MID(INVESTORS_LIST[[#This Row],[BO ID]],2,7)</f>
        <v>#REF!</v>
      </c>
      <c r="AG239" s="201" t="e">
        <f>MID(INVESTORS_LIST[[#This Row],[BO ID]],9,7)</f>
        <v>#REF!</v>
      </c>
      <c r="AH239" s="201" t="e">
        <f>RIGHT(INVESTORS_LIST[[#This Row],[BO ID]],1)</f>
        <v>#REF!</v>
      </c>
      <c r="AI239" s="50">
        <f>INVESTORS_LIST[[#This Row],[LS_TOTAL COST VALUE OF CURRENT UNITS]]+INVESTORS_LIST[[#This Row],[SIP_TOTAL COST VALUE OF CURRENT UNITS]]</f>
        <v>0</v>
      </c>
      <c r="AJ239" s="109">
        <f>IF(INVESTORS_LIST[[#This Row],[TOTAL CURRENT UNITS]]=0,0,INVESTORS_LIST[[#This Row],[LS_TOTAL CURRENT UNITS]]/INVESTORS_LIST[[#This Row],[TOTAL CURRENT UNITS]])</f>
        <v>0</v>
      </c>
      <c r="AK239" s="109">
        <f>IF(INVESTORS_LIST[[#This Row],[TOTAL CURRENT UNITS]]=0,0,INVESTORS_LIST[[#This Row],[SIP_TOTAL CURRENT UNITS]]/INVESTORS_LIST[[#This Row],[TOTAL CURRENT UNITS]])</f>
        <v>0</v>
      </c>
      <c r="AL239" s="49" cm="1">
        <f t="array" ref="AL2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39" s="49" cm="1">
        <f t="array" ref="AM2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3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39" s="105">
        <f t="shared" si="4"/>
        <v>14.224</v>
      </c>
      <c r="AP239" s="112">
        <f>IF(INVESTORS_LIST[[#This Row],[TOTAL CURRENT UNITS]]=0,0,INVESTORS_LIST[[#This Row],[TOTAL CURRENT UNITS]]*INVESTORS_LIST[[#This Row],[NAV]])</f>
        <v>0</v>
      </c>
      <c r="AQ239" s="49">
        <f>IF(INVESTORS_LIST[[#This Row],[LS_TOTAL CURRENT UNITS]]=0,0,INVESTORS_LIST[[#This Row],[LS_TOTAL CURRENT UNITS]]*INVESTORS_LIST[[#This Row],[NAV]])</f>
        <v>0</v>
      </c>
      <c r="AR239" s="48">
        <f>IF(INVESTORS_LIST[[#This Row],[SIP_TOTAL CURRENT UNITS]]=0,0,INVESTORS_LIST[[#This Row],[SIP_TOTAL CURRENT UNITS]]*INVESTORS_LIST[[#This Row],[NAV]])</f>
        <v>0</v>
      </c>
      <c r="AS239" s="50">
        <f>INVESTORS_LIST[[#This Row],[TOTAL CURRENT UNITS]]</f>
        <v>0</v>
      </c>
      <c r="AT239" s="48">
        <f>IF(INVESTORS_LIST[[#This Row],[TOTAL SELLABLE UNITS]]=0,0,INVESTORS_LIST[[#This Row],[TOTAL SELLABLE UNITS]]*INVESTORS_LIST[[#This Row],[NAV]])</f>
        <v>0</v>
      </c>
      <c r="AU239" s="48">
        <f>INVESTORS_LIST[[#This Row],[LS_TOTAL REALIZED GAIN]]+INVESTORS_LIST[[#This Row],[SIP_TOTAL REALIZED GAIN]]</f>
        <v>0</v>
      </c>
      <c r="AV239" s="48">
        <f>INVESTORS_LIST[[#This Row],[TOTAL MARKET VALUE]]-INVESTORS_LIST[[#This Row],[TOTAL COST VALUE OF CURRENT INVESTMENT]]</f>
        <v>0</v>
      </c>
      <c r="AW239" s="48">
        <f>IFERROR(INVESTORS_LIST[[#This Row],[TOTAL CURRENT UNITS]]/SUM(INVESTORS_LIST[TOTAL CURRENT UNITS]),0)</f>
        <v>0</v>
      </c>
    </row>
    <row r="240" spans="1:49" hidden="1">
      <c r="A240" s="262" t="s">
        <v>528</v>
      </c>
      <c r="B240" s="97" t="s">
        <v>529</v>
      </c>
      <c r="C240" t="s">
        <v>52</v>
      </c>
      <c r="D240" s="75" t="s">
        <v>45</v>
      </c>
      <c r="E240" s="47">
        <f>SUMIFS(LS[Unit],LS[Investor ID],INVESTORS_LIST[[#This Row],[INVESTOR CODE]],LS[B/S],"B")</f>
        <v>0</v>
      </c>
      <c r="F240" s="47">
        <f>-SUMIFS(LS[Unit],LS[Investor ID],INVESTORS_LIST[[#This Row],[INVESTOR CODE]],LS[B/S],"S")</f>
        <v>0</v>
      </c>
      <c r="G240" s="47">
        <f>IF(INVESTORS_LIST[[#This Row],[LS_TOTAL UNITS BUY]]=0,0,INVESTORS_LIST[[#This Row],[LS_TOTAL UNITS BUY]]-INVESTORS_LIST[[#This Row],[LS_TOTAL UNITS SOLD]])</f>
        <v>0</v>
      </c>
      <c r="H240" s="49">
        <f>IF(INVESTORS_LIST[[#This Row],[LS_TOTAL UNITS BUY]]=0,0,SUMIFS(LS[Amount],LS[Investor ID],INVESTORS_LIST[[#This Row],[INVESTOR CODE]],LS[B/S],"B"))</f>
        <v>0</v>
      </c>
      <c r="I240" s="48">
        <f>IF(INVESTORS_LIST[[#This Row],[LS_TOTAL UNITS SOLD]]=0,0,SUMIFS(LS[Cost of Units Sold],LS[Investor ID],INVESTORS_LIST[[#This Row],[INVESTOR CODE]],LS[B/S],"S"))</f>
        <v>0</v>
      </c>
      <c r="J240" s="48">
        <f>IF(INVESTORS_LIST[[#This Row],[LS_TOTAL CURRENT UNITS]]=0,0,INVESTORS_LIST[[#This Row],[LS_TOTAL CURRENT UNITS]]*INVESTORS_LIST[[#This Row],[LS_AVERAGE COST]])</f>
        <v>0</v>
      </c>
      <c r="K240" s="49">
        <f>IF(INVESTORS_LIST[[#This Row],[LS_TOTAL UNITS SOLD]]=0,0,SUMIFS(LS[Realized Gain],LS[Investor ID],INVESTORS_LIST[[#This Row],[INVESTOR CODE]],LS[B/S],"S"))</f>
        <v>0</v>
      </c>
      <c r="L240" s="47">
        <f>SUMIFS(SIP[Unit],SIP[Investor ID],INVESTORS_LIST[[#This Row],[INVESTOR CODE]],SIP[B/S],"B")</f>
        <v>0</v>
      </c>
      <c r="M240" s="47">
        <f>-SUMIFS(SIP[Unit],SIP[Investor ID],INVESTORS_LIST[[#This Row],[INVESTOR CODE]],SIP[B/S],"S")</f>
        <v>0</v>
      </c>
      <c r="N240" s="50">
        <f>IF(INVESTORS_LIST[[#This Row],[SIP_TOTAL UNITS BUY]]=0,0,INVESTORS_LIST[[#This Row],[SIP_TOTAL UNITS BUY]]-INVESTORS_LIST[[#This Row],[SIP_TOTAL UNITS SOLD]])</f>
        <v>0</v>
      </c>
      <c r="O240" s="49">
        <f>IF(INVESTORS_LIST[[#This Row],[SIP_TOTAL UNITS BUY]]=0,0,SUMIFS(SIP[Amount],SIP[Investor ID],INVESTORS_LIST[[#This Row],[INVESTOR CODE]],SIP[B/S],"B"))</f>
        <v>0</v>
      </c>
      <c r="P240" s="49">
        <f>IF(INVESTORS_LIST[[#This Row],[SIP_TOTAL UNITS SOLD]]=0,0,SUMIFS(SIP[Cost of Units Sold],SIP[Investor ID],INVESTORS_LIST[[#This Row],[INVESTOR CODE]],SIP[B/S],"S"))</f>
        <v>0</v>
      </c>
      <c r="Q240" s="48">
        <f>IF(INVESTORS_LIST[[#This Row],[SIP_TOTAL CURRENT UNITS]]=0,0,INVESTORS_LIST[[#This Row],[SIP_TOTAL CURRENT UNITS]]*INVESTORS_LIST[[#This Row],[SIP_AVERAGE COST]])</f>
        <v>0</v>
      </c>
      <c r="R240" s="48">
        <f>IF(INVESTORS_LIST[[#This Row],[SIP_TOTAL UNITS SOLD]]=0,0,SUMIFS(SIP[Realized Gain],SIP[Investor ID],INVESTORS_LIST[[#This Row],[INVESTOR CODE]],SIP[B/S],"S"))</f>
        <v>0</v>
      </c>
      <c r="S240" s="50">
        <f>INVESTORS_LIST[[#This Row],[LS_TOTAL UNITS BUY]]+INVESTORS_LIST[[#This Row],[SIP_TOTAL UNITS BUY]]</f>
        <v>0</v>
      </c>
      <c r="T240" s="50">
        <f>INVESTORS_LIST[[#This Row],[LS_TOTAL UNITS SOLD]]+INVESTORS_LIST[[#This Row],[SIP_TOTAL UNITS SOLD]]</f>
        <v>0</v>
      </c>
      <c r="U240" s="50"/>
      <c r="V240" s="50">
        <f>SUMIFS(LS[BO UNIT TRANSFER],LS[Investor ID],INVESTORS_LIST[[#This Row],[INVESTOR CODE]],LS[B/S],"B")</f>
        <v>0</v>
      </c>
      <c r="W240" s="50">
        <f>SUMIFS(SIP[BO UNIT TRANSFER],SIP[Investor ID],INVESTORS_LIST[[#This Row],[INVESTOR CODE]],SIP[B/S],"B")</f>
        <v>0</v>
      </c>
      <c r="X240" s="50">
        <f>SUMIFS(LS[BO UNIT TRANSFER],LS[Investor ID],INVESTORS_LIST[[#This Row],[INVESTOR CODE]],LS[B/S],"S")</f>
        <v>0</v>
      </c>
      <c r="Y240" s="50">
        <f>SUMIFS(SIP[BO UNIT TRANSFER],SIP[Investor ID],INVESTORS_LIST[[#This Row],[INVESTOR CODE]],SIP[B/S],"S")</f>
        <v>0</v>
      </c>
      <c r="Z240" s="106">
        <f>SUM(INVESTORS_LIST[[#This Row],[BO OPENING BALANCE]:[BO SIP UNITS REPURCHASE]])</f>
        <v>0</v>
      </c>
      <c r="AA240" s="107">
        <f>INVESTORS_LIST[[#This Row],[TOTAL UNITS BUY]]-INVESTORS_LIST[[#This Row],[TOTAL UNITS SOLD]]</f>
        <v>0</v>
      </c>
      <c r="AB240" s="107">
        <f>INVESTORS_LIST[[#This Row],[TOTAL CURRENT UNITS]]-INVESTORS_LIST[[#This Row],[BO UNITS HOLD]]</f>
        <v>0</v>
      </c>
      <c r="AC240" s="201" t="e">
        <f>INDEX([3]!Table_1[BO ID],MATCH(INVESTORS_LIST[[#This Row],[INVESTOR CODE]],[3]!Table_1[INVESTOR CODE],0))</f>
        <v>#REF!</v>
      </c>
      <c r="AD240" s="201" t="e">
        <f>INDEX([3]!Table_1[Brokerage Name2],MATCH(INVESTORS_LIST[[#This Row],[INVESTOR CODE]],[3]!Table_1[INVESTOR CODE],0))</f>
        <v>#REF!</v>
      </c>
      <c r="AE240" s="201" t="e">
        <f>MID(INVESTORS_LIST[[#This Row],[BO ID]],4,5)</f>
        <v>#REF!</v>
      </c>
      <c r="AF240" s="201" t="e">
        <f>MID(INVESTORS_LIST[[#This Row],[BO ID]],2,7)</f>
        <v>#REF!</v>
      </c>
      <c r="AG240" s="201" t="e">
        <f>MID(INVESTORS_LIST[[#This Row],[BO ID]],9,7)</f>
        <v>#REF!</v>
      </c>
      <c r="AH240" s="201" t="e">
        <f>RIGHT(INVESTORS_LIST[[#This Row],[BO ID]],1)</f>
        <v>#REF!</v>
      </c>
      <c r="AI240" s="50">
        <f>INVESTORS_LIST[[#This Row],[LS_TOTAL COST VALUE OF CURRENT UNITS]]+INVESTORS_LIST[[#This Row],[SIP_TOTAL COST VALUE OF CURRENT UNITS]]</f>
        <v>0</v>
      </c>
      <c r="AJ240" s="109">
        <f>IF(INVESTORS_LIST[[#This Row],[TOTAL CURRENT UNITS]]=0,0,INVESTORS_LIST[[#This Row],[LS_TOTAL CURRENT UNITS]]/INVESTORS_LIST[[#This Row],[TOTAL CURRENT UNITS]])</f>
        <v>0</v>
      </c>
      <c r="AK240" s="109">
        <f>IF(INVESTORS_LIST[[#This Row],[TOTAL CURRENT UNITS]]=0,0,INVESTORS_LIST[[#This Row],[SIP_TOTAL CURRENT UNITS]]/INVESTORS_LIST[[#This Row],[TOTAL CURRENT UNITS]])</f>
        <v>0</v>
      </c>
      <c r="AL240" s="49" cm="1">
        <f t="array" ref="AL2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0" s="49" cm="1">
        <f t="array" ref="AM2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0" s="105">
        <f t="shared" si="4"/>
        <v>14.224</v>
      </c>
      <c r="AP240" s="112">
        <f>IF(INVESTORS_LIST[[#This Row],[TOTAL CURRENT UNITS]]=0,0,INVESTORS_LIST[[#This Row],[TOTAL CURRENT UNITS]]*INVESTORS_LIST[[#This Row],[NAV]])</f>
        <v>0</v>
      </c>
      <c r="AQ240" s="49">
        <f>IF(INVESTORS_LIST[[#This Row],[LS_TOTAL CURRENT UNITS]]=0,0,INVESTORS_LIST[[#This Row],[LS_TOTAL CURRENT UNITS]]*INVESTORS_LIST[[#This Row],[NAV]])</f>
        <v>0</v>
      </c>
      <c r="AR240" s="48">
        <f>IF(INVESTORS_LIST[[#This Row],[SIP_TOTAL CURRENT UNITS]]=0,0,INVESTORS_LIST[[#This Row],[SIP_TOTAL CURRENT UNITS]]*INVESTORS_LIST[[#This Row],[NAV]])</f>
        <v>0</v>
      </c>
      <c r="AS240" s="50">
        <f>INVESTORS_LIST[[#This Row],[TOTAL CURRENT UNITS]]</f>
        <v>0</v>
      </c>
      <c r="AT240" s="48">
        <f>IF(INVESTORS_LIST[[#This Row],[TOTAL SELLABLE UNITS]]=0,0,INVESTORS_LIST[[#This Row],[TOTAL SELLABLE UNITS]]*INVESTORS_LIST[[#This Row],[NAV]])</f>
        <v>0</v>
      </c>
      <c r="AU240" s="48">
        <f>INVESTORS_LIST[[#This Row],[LS_TOTAL REALIZED GAIN]]+INVESTORS_LIST[[#This Row],[SIP_TOTAL REALIZED GAIN]]</f>
        <v>0</v>
      </c>
      <c r="AV240" s="48">
        <f>INVESTORS_LIST[[#This Row],[TOTAL MARKET VALUE]]-INVESTORS_LIST[[#This Row],[TOTAL COST VALUE OF CURRENT INVESTMENT]]</f>
        <v>0</v>
      </c>
      <c r="AW240" s="48">
        <f>IFERROR(INVESTORS_LIST[[#This Row],[TOTAL CURRENT UNITS]]/SUM(INVESTORS_LIST[TOTAL CURRENT UNITS]),0)</f>
        <v>0</v>
      </c>
    </row>
    <row r="241" spans="1:49" hidden="1">
      <c r="A241" s="262" t="s">
        <v>530</v>
      </c>
      <c r="B241" s="97" t="s">
        <v>531</v>
      </c>
      <c r="C241" t="s">
        <v>44</v>
      </c>
      <c r="D241" s="75" t="s">
        <v>45</v>
      </c>
      <c r="E241" s="47">
        <f>SUMIFS(LS[Unit],LS[Investor ID],INVESTORS_LIST[[#This Row],[INVESTOR CODE]],LS[B/S],"B")</f>
        <v>0</v>
      </c>
      <c r="F241" s="47">
        <f>-SUMIFS(LS[Unit],LS[Investor ID],INVESTORS_LIST[[#This Row],[INVESTOR CODE]],LS[B/S],"S")</f>
        <v>0</v>
      </c>
      <c r="G241" s="47">
        <f>IF(INVESTORS_LIST[[#This Row],[LS_TOTAL UNITS BUY]]=0,0,INVESTORS_LIST[[#This Row],[LS_TOTAL UNITS BUY]]-INVESTORS_LIST[[#This Row],[LS_TOTAL UNITS SOLD]])</f>
        <v>0</v>
      </c>
      <c r="H241" s="49">
        <f>IF(INVESTORS_LIST[[#This Row],[LS_TOTAL UNITS BUY]]=0,0,SUMIFS(LS[Amount],LS[Investor ID],INVESTORS_LIST[[#This Row],[INVESTOR CODE]],LS[B/S],"B"))</f>
        <v>0</v>
      </c>
      <c r="I241" s="48">
        <f>IF(INVESTORS_LIST[[#This Row],[LS_TOTAL UNITS SOLD]]=0,0,SUMIFS(LS[Cost of Units Sold],LS[Investor ID],INVESTORS_LIST[[#This Row],[INVESTOR CODE]],LS[B/S],"S"))</f>
        <v>0</v>
      </c>
      <c r="J241" s="48">
        <f>IF(INVESTORS_LIST[[#This Row],[LS_TOTAL CURRENT UNITS]]=0,0,INVESTORS_LIST[[#This Row],[LS_TOTAL CURRENT UNITS]]*INVESTORS_LIST[[#This Row],[LS_AVERAGE COST]])</f>
        <v>0</v>
      </c>
      <c r="K241" s="49">
        <f>IF(INVESTORS_LIST[[#This Row],[LS_TOTAL UNITS SOLD]]=0,0,SUMIFS(LS[Realized Gain],LS[Investor ID],INVESTORS_LIST[[#This Row],[INVESTOR CODE]],LS[B/S],"S"))</f>
        <v>0</v>
      </c>
      <c r="L241" s="47">
        <f>SUMIFS(SIP[Unit],SIP[Investor ID],INVESTORS_LIST[[#This Row],[INVESTOR CODE]],SIP[B/S],"B")</f>
        <v>0</v>
      </c>
      <c r="M241" s="47">
        <f>-SUMIFS(SIP[Unit],SIP[Investor ID],INVESTORS_LIST[[#This Row],[INVESTOR CODE]],SIP[B/S],"S")</f>
        <v>0</v>
      </c>
      <c r="N241" s="50">
        <f>IF(INVESTORS_LIST[[#This Row],[SIP_TOTAL UNITS BUY]]=0,0,INVESTORS_LIST[[#This Row],[SIP_TOTAL UNITS BUY]]-INVESTORS_LIST[[#This Row],[SIP_TOTAL UNITS SOLD]])</f>
        <v>0</v>
      </c>
      <c r="O241" s="49">
        <f>IF(INVESTORS_LIST[[#This Row],[SIP_TOTAL UNITS BUY]]=0,0,SUMIFS(SIP[Amount],SIP[Investor ID],INVESTORS_LIST[[#This Row],[INVESTOR CODE]],SIP[B/S],"B"))</f>
        <v>0</v>
      </c>
      <c r="P241" s="49">
        <f>IF(INVESTORS_LIST[[#This Row],[SIP_TOTAL UNITS SOLD]]=0,0,SUMIFS(SIP[Cost of Units Sold],SIP[Investor ID],INVESTORS_LIST[[#This Row],[INVESTOR CODE]],SIP[B/S],"S"))</f>
        <v>0</v>
      </c>
      <c r="Q241" s="48">
        <f>IF(INVESTORS_LIST[[#This Row],[SIP_TOTAL CURRENT UNITS]]=0,0,INVESTORS_LIST[[#This Row],[SIP_TOTAL CURRENT UNITS]]*INVESTORS_LIST[[#This Row],[SIP_AVERAGE COST]])</f>
        <v>0</v>
      </c>
      <c r="R241" s="48">
        <f>IF(INVESTORS_LIST[[#This Row],[SIP_TOTAL UNITS SOLD]]=0,0,SUMIFS(SIP[Realized Gain],SIP[Investor ID],INVESTORS_LIST[[#This Row],[INVESTOR CODE]],SIP[B/S],"S"))</f>
        <v>0</v>
      </c>
      <c r="S241" s="50">
        <f>INVESTORS_LIST[[#This Row],[LS_TOTAL UNITS BUY]]+INVESTORS_LIST[[#This Row],[SIP_TOTAL UNITS BUY]]</f>
        <v>0</v>
      </c>
      <c r="T241" s="50">
        <f>INVESTORS_LIST[[#This Row],[LS_TOTAL UNITS SOLD]]+INVESTORS_LIST[[#This Row],[SIP_TOTAL UNITS SOLD]]</f>
        <v>0</v>
      </c>
      <c r="U241" s="50"/>
      <c r="V241" s="50">
        <f>SUMIFS(LS[BO UNIT TRANSFER],LS[Investor ID],INVESTORS_LIST[[#This Row],[INVESTOR CODE]],LS[B/S],"B")</f>
        <v>0</v>
      </c>
      <c r="W241" s="50">
        <f>SUMIFS(SIP[BO UNIT TRANSFER],SIP[Investor ID],INVESTORS_LIST[[#This Row],[INVESTOR CODE]],SIP[B/S],"B")</f>
        <v>0</v>
      </c>
      <c r="X241" s="50">
        <f>SUMIFS(LS[BO UNIT TRANSFER],LS[Investor ID],INVESTORS_LIST[[#This Row],[INVESTOR CODE]],LS[B/S],"S")</f>
        <v>0</v>
      </c>
      <c r="Y241" s="50">
        <f>SUMIFS(SIP[BO UNIT TRANSFER],SIP[Investor ID],INVESTORS_LIST[[#This Row],[INVESTOR CODE]],SIP[B/S],"S")</f>
        <v>0</v>
      </c>
      <c r="Z241" s="106">
        <f>SUM(INVESTORS_LIST[[#This Row],[BO OPENING BALANCE]:[BO SIP UNITS REPURCHASE]])</f>
        <v>0</v>
      </c>
      <c r="AA241" s="107">
        <f>INVESTORS_LIST[[#This Row],[TOTAL UNITS BUY]]-INVESTORS_LIST[[#This Row],[TOTAL UNITS SOLD]]</f>
        <v>0</v>
      </c>
      <c r="AB241" s="107">
        <f>INVESTORS_LIST[[#This Row],[TOTAL CURRENT UNITS]]-INVESTORS_LIST[[#This Row],[BO UNITS HOLD]]</f>
        <v>0</v>
      </c>
      <c r="AC241" s="201" t="e">
        <f>INDEX([3]!Table_1[BO ID],MATCH(INVESTORS_LIST[[#This Row],[INVESTOR CODE]],[3]!Table_1[INVESTOR CODE],0))</f>
        <v>#REF!</v>
      </c>
      <c r="AD241" s="201" t="e">
        <f>INDEX([3]!Table_1[Brokerage Name2],MATCH(INVESTORS_LIST[[#This Row],[INVESTOR CODE]],[3]!Table_1[INVESTOR CODE],0))</f>
        <v>#REF!</v>
      </c>
      <c r="AE241" s="201" t="e">
        <f>MID(INVESTORS_LIST[[#This Row],[BO ID]],4,5)</f>
        <v>#REF!</v>
      </c>
      <c r="AF241" s="201" t="e">
        <f>MID(INVESTORS_LIST[[#This Row],[BO ID]],2,7)</f>
        <v>#REF!</v>
      </c>
      <c r="AG241" s="201" t="e">
        <f>MID(INVESTORS_LIST[[#This Row],[BO ID]],9,7)</f>
        <v>#REF!</v>
      </c>
      <c r="AH241" s="201" t="e">
        <f>RIGHT(INVESTORS_LIST[[#This Row],[BO ID]],1)</f>
        <v>#REF!</v>
      </c>
      <c r="AI241" s="50">
        <f>INVESTORS_LIST[[#This Row],[LS_TOTAL COST VALUE OF CURRENT UNITS]]+INVESTORS_LIST[[#This Row],[SIP_TOTAL COST VALUE OF CURRENT UNITS]]</f>
        <v>0</v>
      </c>
      <c r="AJ241" s="109">
        <f>IF(INVESTORS_LIST[[#This Row],[TOTAL CURRENT UNITS]]=0,0,INVESTORS_LIST[[#This Row],[LS_TOTAL CURRENT UNITS]]/INVESTORS_LIST[[#This Row],[TOTAL CURRENT UNITS]])</f>
        <v>0</v>
      </c>
      <c r="AK241" s="109">
        <f>IF(INVESTORS_LIST[[#This Row],[TOTAL CURRENT UNITS]]=0,0,INVESTORS_LIST[[#This Row],[SIP_TOTAL CURRENT UNITS]]/INVESTORS_LIST[[#This Row],[TOTAL CURRENT UNITS]])</f>
        <v>0</v>
      </c>
      <c r="AL241" s="49" cm="1">
        <f t="array" ref="AL2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1" s="49" cm="1">
        <f t="array" ref="AM2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1" s="105">
        <f t="shared" si="4"/>
        <v>14.224</v>
      </c>
      <c r="AP241" s="112">
        <f>IF(INVESTORS_LIST[[#This Row],[TOTAL CURRENT UNITS]]=0,0,INVESTORS_LIST[[#This Row],[TOTAL CURRENT UNITS]]*INVESTORS_LIST[[#This Row],[NAV]])</f>
        <v>0</v>
      </c>
      <c r="AQ241" s="49">
        <f>IF(INVESTORS_LIST[[#This Row],[LS_TOTAL CURRENT UNITS]]=0,0,INVESTORS_LIST[[#This Row],[LS_TOTAL CURRENT UNITS]]*INVESTORS_LIST[[#This Row],[NAV]])</f>
        <v>0</v>
      </c>
      <c r="AR241" s="48">
        <f>IF(INVESTORS_LIST[[#This Row],[SIP_TOTAL CURRENT UNITS]]=0,0,INVESTORS_LIST[[#This Row],[SIP_TOTAL CURRENT UNITS]]*INVESTORS_LIST[[#This Row],[NAV]])</f>
        <v>0</v>
      </c>
      <c r="AS241" s="50">
        <f>INVESTORS_LIST[[#This Row],[TOTAL CURRENT UNITS]]</f>
        <v>0</v>
      </c>
      <c r="AT241" s="48">
        <f>IF(INVESTORS_LIST[[#This Row],[TOTAL SELLABLE UNITS]]=0,0,INVESTORS_LIST[[#This Row],[TOTAL SELLABLE UNITS]]*INVESTORS_LIST[[#This Row],[NAV]])</f>
        <v>0</v>
      </c>
      <c r="AU241" s="48">
        <f>INVESTORS_LIST[[#This Row],[LS_TOTAL REALIZED GAIN]]+INVESTORS_LIST[[#This Row],[SIP_TOTAL REALIZED GAIN]]</f>
        <v>0</v>
      </c>
      <c r="AV241" s="48">
        <f>INVESTORS_LIST[[#This Row],[TOTAL MARKET VALUE]]-INVESTORS_LIST[[#This Row],[TOTAL COST VALUE OF CURRENT INVESTMENT]]</f>
        <v>0</v>
      </c>
      <c r="AW241" s="48">
        <f>IFERROR(INVESTORS_LIST[[#This Row],[TOTAL CURRENT UNITS]]/SUM(INVESTORS_LIST[TOTAL CURRENT UNITS]),0)</f>
        <v>0</v>
      </c>
    </row>
    <row r="242" spans="1:49">
      <c r="A242" s="262" t="s">
        <v>532</v>
      </c>
      <c r="B242" s="97" t="s">
        <v>533</v>
      </c>
      <c r="C242" t="s">
        <v>44</v>
      </c>
      <c r="D242" s="75" t="s">
        <v>45</v>
      </c>
      <c r="E242" s="47">
        <f>SUMIFS(LS[Unit],LS[Investor ID],INVESTORS_LIST[[#This Row],[INVESTOR CODE]],LS[B/S],"B")</f>
        <v>8322</v>
      </c>
      <c r="F242" s="47">
        <f>-SUMIFS(LS[Unit],LS[Investor ID],INVESTORS_LIST[[#This Row],[INVESTOR CODE]],LS[B/S],"S")</f>
        <v>0</v>
      </c>
      <c r="G242" s="47">
        <f>IF(INVESTORS_LIST[[#This Row],[LS_TOTAL UNITS BUY]]=0,0,INVESTORS_LIST[[#This Row],[LS_TOTAL UNITS BUY]]-INVESTORS_LIST[[#This Row],[LS_TOTAL UNITS SOLD]])</f>
        <v>8322</v>
      </c>
      <c r="H242" s="49">
        <f>IF(INVESTORS_LIST[[#This Row],[LS_TOTAL UNITS BUY]]=0,0,SUMIFS(LS[Amount],LS[Investor ID],INVESTORS_LIST[[#This Row],[INVESTOR CODE]],LS[B/S],"B"))</f>
        <v>100000</v>
      </c>
      <c r="I242" s="48">
        <f>IF(INVESTORS_LIST[[#This Row],[LS_TOTAL UNITS SOLD]]=0,0,SUMIFS(LS[Cost of Units Sold],LS[Investor ID],INVESTORS_LIST[[#This Row],[INVESTOR CODE]],LS[B/S],"S"))</f>
        <v>0</v>
      </c>
      <c r="J242" s="48">
        <f>IF(INVESTORS_LIST[[#This Row],[LS_TOTAL CURRENT UNITS]]=0,0,INVESTORS_LIST[[#This Row],[LS_TOTAL CURRENT UNITS]]*INVESTORS_LIST[[#This Row],[LS_AVERAGE COST]])</f>
        <v>100000</v>
      </c>
      <c r="K242" s="49">
        <f>IF(INVESTORS_LIST[[#This Row],[LS_TOTAL UNITS SOLD]]=0,0,SUMIFS(LS[Realized Gain],LS[Investor ID],INVESTORS_LIST[[#This Row],[INVESTOR CODE]],LS[B/S],"S"))</f>
        <v>0</v>
      </c>
      <c r="L242" s="47">
        <f>SUMIFS(SIP[Unit],SIP[Investor ID],INVESTORS_LIST[[#This Row],[INVESTOR CODE]],SIP[B/S],"B")</f>
        <v>43078</v>
      </c>
      <c r="M242" s="47">
        <f>-SUMIFS(SIP[Unit],SIP[Investor ID],INVESTORS_LIST[[#This Row],[INVESTOR CODE]],SIP[B/S],"S")</f>
        <v>30227</v>
      </c>
      <c r="N242" s="50">
        <f>IF(INVESTORS_LIST[[#This Row],[SIP_TOTAL UNITS BUY]]=0,0,INVESTORS_LIST[[#This Row],[SIP_TOTAL UNITS BUY]]-INVESTORS_LIST[[#This Row],[SIP_TOTAL UNITS SOLD]])</f>
        <v>12851</v>
      </c>
      <c r="O242" s="49">
        <f>IF(INVESTORS_LIST[[#This Row],[SIP_TOTAL UNITS BUY]]=0,0,SUMIFS(SIP[Amount],SIP[Investor ID],INVESTORS_LIST[[#This Row],[INVESTOR CODE]],SIP[B/S],"B"))</f>
        <v>525000</v>
      </c>
      <c r="P242" s="49">
        <f>IF(INVESTORS_LIST[[#This Row],[SIP_TOTAL UNITS SOLD]]=0,0,SUMIFS(SIP[Cost of Units Sold],SIP[Investor ID],INVESTORS_LIST[[#This Row],[INVESTOR CODE]],SIP[B/S],"S"))</f>
        <v>352044.3816386112</v>
      </c>
      <c r="Q242" s="48">
        <f>IF(INVESTORS_LIST[[#This Row],[SIP_TOTAL CURRENT UNITS]]=0,0,INVESTORS_LIST[[#This Row],[SIP_TOTAL CURRENT UNITS]]*INVESTORS_LIST[[#This Row],[SIP_AVERAGE COST]])</f>
        <v>172955.61836138894</v>
      </c>
      <c r="R242" s="48">
        <f>IF(INVESTORS_LIST[[#This Row],[SIP_TOTAL UNITS SOLD]]=0,0,SUMIFS(SIP[Realized Gain],SIP[Investor ID],INVESTORS_LIST[[#This Row],[INVESTOR CODE]],SIP[B/S],"S"))</f>
        <v>47955.618361388828</v>
      </c>
      <c r="S242" s="50">
        <f>INVESTORS_LIST[[#This Row],[LS_TOTAL UNITS BUY]]+INVESTORS_LIST[[#This Row],[SIP_TOTAL UNITS BUY]]</f>
        <v>51400</v>
      </c>
      <c r="T242" s="50">
        <f>INVESTORS_LIST[[#This Row],[LS_TOTAL UNITS SOLD]]+INVESTORS_LIST[[#This Row],[SIP_TOTAL UNITS SOLD]]</f>
        <v>30227</v>
      </c>
      <c r="U242" s="50"/>
      <c r="V242" s="50">
        <f>SUMIFS(LS[BO UNIT TRANSFER],LS[Investor ID],INVESTORS_LIST[[#This Row],[INVESTOR CODE]],LS[B/S],"B")</f>
        <v>0</v>
      </c>
      <c r="W242" s="50">
        <f>SUMIFS(SIP[BO UNIT TRANSFER],SIP[Investor ID],INVESTORS_LIST[[#This Row],[INVESTOR CODE]],SIP[B/S],"B")</f>
        <v>0</v>
      </c>
      <c r="X242" s="50">
        <f>SUMIFS(LS[BO UNIT TRANSFER],LS[Investor ID],INVESTORS_LIST[[#This Row],[INVESTOR CODE]],LS[B/S],"S")</f>
        <v>0</v>
      </c>
      <c r="Y242" s="50">
        <f>SUMIFS(SIP[BO UNIT TRANSFER],SIP[Investor ID],INVESTORS_LIST[[#This Row],[INVESTOR CODE]],SIP[B/S],"S")</f>
        <v>0</v>
      </c>
      <c r="Z242" s="106">
        <f>SUM(INVESTORS_LIST[[#This Row],[BO OPENING BALANCE]:[BO SIP UNITS REPURCHASE]])</f>
        <v>0</v>
      </c>
      <c r="AA242" s="107">
        <f>INVESTORS_LIST[[#This Row],[TOTAL UNITS BUY]]-INVESTORS_LIST[[#This Row],[TOTAL UNITS SOLD]]</f>
        <v>21173</v>
      </c>
      <c r="AB242" s="107">
        <f>INVESTORS_LIST[[#This Row],[TOTAL CURRENT UNITS]]-INVESTORS_LIST[[#This Row],[BO UNITS HOLD]]</f>
        <v>21173</v>
      </c>
      <c r="AC242" s="201" t="e">
        <f>INDEX([3]!Table_1[BO ID],MATCH(INVESTORS_LIST[[#This Row],[INVESTOR CODE]],[3]!Table_1[INVESTOR CODE],0))</f>
        <v>#REF!</v>
      </c>
      <c r="AD242" s="201" t="e">
        <f>INDEX([3]!Table_1[Brokerage Name2],MATCH(INVESTORS_LIST[[#This Row],[INVESTOR CODE]],[3]!Table_1[INVESTOR CODE],0))</f>
        <v>#REF!</v>
      </c>
      <c r="AE242" s="201" t="e">
        <f>MID(INVESTORS_LIST[[#This Row],[BO ID]],4,5)</f>
        <v>#REF!</v>
      </c>
      <c r="AF242" s="201" t="e">
        <f>MID(INVESTORS_LIST[[#This Row],[BO ID]],2,7)</f>
        <v>#REF!</v>
      </c>
      <c r="AG242" s="201" t="e">
        <f>MID(INVESTORS_LIST[[#This Row],[BO ID]],9,7)</f>
        <v>#REF!</v>
      </c>
      <c r="AH242" s="201" t="e">
        <f>RIGHT(INVESTORS_LIST[[#This Row],[BO ID]],1)</f>
        <v>#REF!</v>
      </c>
      <c r="AI242" s="50">
        <f>INVESTORS_LIST[[#This Row],[LS_TOTAL COST VALUE OF CURRENT UNITS]]+INVESTORS_LIST[[#This Row],[SIP_TOTAL COST VALUE OF CURRENT UNITS]]</f>
        <v>272955.61836138892</v>
      </c>
      <c r="AJ242" s="109">
        <f>IF(INVESTORS_LIST[[#This Row],[TOTAL CURRENT UNITS]]=0,0,INVESTORS_LIST[[#This Row],[LS_TOTAL CURRENT UNITS]]/INVESTORS_LIST[[#This Row],[TOTAL CURRENT UNITS]])</f>
        <v>0.39304774949227789</v>
      </c>
      <c r="AK242" s="109">
        <f>IF(INVESTORS_LIST[[#This Row],[TOTAL CURRENT UNITS]]=0,0,INVESTORS_LIST[[#This Row],[SIP_TOTAL CURRENT UNITS]]/INVESTORS_LIST[[#This Row],[TOTAL CURRENT UNITS]])</f>
        <v>0.60695225050772206</v>
      </c>
      <c r="AL242" s="49" cm="1">
        <f t="array" ref="AL242">IF(INVESTORS_LIST[[#This Row],[LS_TOTAL UNITS BUY]]&gt;0,INDEX(LS[NAV at Cost (Average)],MATCH(CONCATENATE(COUNTIFS(LS[Investor ID],INVESTORS_LIST[[#This Row],[INVESTOR CODE]]),INVESTORS_LIST[[#This Row],[INVESTOR CODE]]),LS[Unique Code],0),),0)</f>
        <v>12.01634222542658</v>
      </c>
      <c r="AM242" s="49" cm="1">
        <f t="array" ref="AM242">IF(INVESTORS_LIST[[#This Row],[SIP_TOTAL UNITS BUY]]&gt;0,INDEX(SIP[NAV at Cost (Average)],MATCH(CONCATENATE(COUNTIFS(SIP[Investor ID],INVESTORS_LIST[[#This Row],[INVESTOR CODE]]),INVESTORS_LIST[[#This Row],[INVESTOR CODE]]),SIP[Unique Code],0),),0)</f>
        <v>13.458533838719861</v>
      </c>
      <c r="AN242" s="105">
        <f>IF(INVESTORS_LIST[[#This Row],[TOTAL CURRENT UNITS]]=0,0,(INVESTORS_LIST[[#This Row],[LS_WEIGHT]]*INVESTORS_LIST[[#This Row],[LS_AVERAGE COST]])+(INVESTORS_LIST[[#This Row],[SIP_WEIGHT]]*INVESTORS_LIST[[#This Row],[SIP_AVERAGE COST]]))</f>
        <v>12.891683670778299</v>
      </c>
      <c r="AO242" s="105">
        <f t="shared" si="4"/>
        <v>14.224</v>
      </c>
      <c r="AP242" s="112">
        <f>IF(INVESTORS_LIST[[#This Row],[TOTAL CURRENT UNITS]]=0,0,INVESTORS_LIST[[#This Row],[TOTAL CURRENT UNITS]]*INVESTORS_LIST[[#This Row],[NAV]])</f>
        <v>301164.75199999998</v>
      </c>
      <c r="AQ242" s="49">
        <f>IF(INVESTORS_LIST[[#This Row],[LS_TOTAL CURRENT UNITS]]=0,0,INVESTORS_LIST[[#This Row],[LS_TOTAL CURRENT UNITS]]*INVESTORS_LIST[[#This Row],[NAV]])</f>
        <v>118372.128</v>
      </c>
      <c r="AR242" s="48">
        <f>IF(INVESTORS_LIST[[#This Row],[SIP_TOTAL CURRENT UNITS]]=0,0,INVESTORS_LIST[[#This Row],[SIP_TOTAL CURRENT UNITS]]*INVESTORS_LIST[[#This Row],[NAV]])</f>
        <v>182792.62400000001</v>
      </c>
      <c r="AS242" s="50">
        <f>INVESTORS_LIST[[#This Row],[TOTAL CURRENT UNITS]]</f>
        <v>21173</v>
      </c>
      <c r="AT242" s="48">
        <f>IF(INVESTORS_LIST[[#This Row],[TOTAL SELLABLE UNITS]]=0,0,INVESTORS_LIST[[#This Row],[TOTAL SELLABLE UNITS]]*INVESTORS_LIST[[#This Row],[NAV]])</f>
        <v>301164.75199999998</v>
      </c>
      <c r="AU242" s="48">
        <f>INVESTORS_LIST[[#This Row],[LS_TOTAL REALIZED GAIN]]+INVESTORS_LIST[[#This Row],[SIP_TOTAL REALIZED GAIN]]</f>
        <v>47955.618361388828</v>
      </c>
      <c r="AV242" s="48">
        <f>INVESTORS_LIST[[#This Row],[TOTAL MARKET VALUE]]-INVESTORS_LIST[[#This Row],[TOTAL COST VALUE OF CURRENT INVESTMENT]]</f>
        <v>28209.133638611063</v>
      </c>
      <c r="AW242" s="108">
        <f>IFERROR(INVESTORS_LIST[[#This Row],[TOTAL CURRENT UNITS]]/SUM(INVESTORS_LIST[TOTAL CURRENT UNITS]),0)</f>
        <v>5.1400014978420275E-4</v>
      </c>
    </row>
    <row r="243" spans="1:49" hidden="1">
      <c r="A243" s="262" t="s">
        <v>534</v>
      </c>
      <c r="B243" s="97" t="s">
        <v>535</v>
      </c>
      <c r="C243" t="s">
        <v>44</v>
      </c>
      <c r="D243" s="75" t="s">
        <v>45</v>
      </c>
      <c r="E243" s="47">
        <f>SUMIFS(LS[Unit],LS[Investor ID],INVESTORS_LIST[[#This Row],[INVESTOR CODE]],LS[B/S],"B")</f>
        <v>0</v>
      </c>
      <c r="F243" s="47">
        <f>-SUMIFS(LS[Unit],LS[Investor ID],INVESTORS_LIST[[#This Row],[INVESTOR CODE]],LS[B/S],"S")</f>
        <v>0</v>
      </c>
      <c r="G243" s="47">
        <f>IF(INVESTORS_LIST[[#This Row],[LS_TOTAL UNITS BUY]]=0,0,INVESTORS_LIST[[#This Row],[LS_TOTAL UNITS BUY]]-INVESTORS_LIST[[#This Row],[LS_TOTAL UNITS SOLD]])</f>
        <v>0</v>
      </c>
      <c r="H243" s="49">
        <f>IF(INVESTORS_LIST[[#This Row],[LS_TOTAL UNITS BUY]]=0,0,SUMIFS(LS[Amount],LS[Investor ID],INVESTORS_LIST[[#This Row],[INVESTOR CODE]],LS[B/S],"B"))</f>
        <v>0</v>
      </c>
      <c r="I243" s="48">
        <f>IF(INVESTORS_LIST[[#This Row],[LS_TOTAL UNITS SOLD]]=0,0,SUMIFS(LS[Cost of Units Sold],LS[Investor ID],INVESTORS_LIST[[#This Row],[INVESTOR CODE]],LS[B/S],"S"))</f>
        <v>0</v>
      </c>
      <c r="J243" s="48">
        <f>IF(INVESTORS_LIST[[#This Row],[LS_TOTAL CURRENT UNITS]]=0,0,INVESTORS_LIST[[#This Row],[LS_TOTAL CURRENT UNITS]]*INVESTORS_LIST[[#This Row],[LS_AVERAGE COST]])</f>
        <v>0</v>
      </c>
      <c r="K243" s="49">
        <f>IF(INVESTORS_LIST[[#This Row],[LS_TOTAL UNITS SOLD]]=0,0,SUMIFS(LS[Realized Gain],LS[Investor ID],INVESTORS_LIST[[#This Row],[INVESTOR CODE]],LS[B/S],"S"))</f>
        <v>0</v>
      </c>
      <c r="L243" s="47">
        <f>SUMIFS(SIP[Unit],SIP[Investor ID],INVESTORS_LIST[[#This Row],[INVESTOR CODE]],SIP[B/S],"B")</f>
        <v>0</v>
      </c>
      <c r="M243" s="47">
        <f>-SUMIFS(SIP[Unit],SIP[Investor ID],INVESTORS_LIST[[#This Row],[INVESTOR CODE]],SIP[B/S],"S")</f>
        <v>0</v>
      </c>
      <c r="N243" s="50">
        <f>IF(INVESTORS_LIST[[#This Row],[SIP_TOTAL UNITS BUY]]=0,0,INVESTORS_LIST[[#This Row],[SIP_TOTAL UNITS BUY]]-INVESTORS_LIST[[#This Row],[SIP_TOTAL UNITS SOLD]])</f>
        <v>0</v>
      </c>
      <c r="O243" s="49">
        <f>IF(INVESTORS_LIST[[#This Row],[SIP_TOTAL UNITS BUY]]=0,0,SUMIFS(SIP[Amount],SIP[Investor ID],INVESTORS_LIST[[#This Row],[INVESTOR CODE]],SIP[B/S],"B"))</f>
        <v>0</v>
      </c>
      <c r="P243" s="49">
        <f>IF(INVESTORS_LIST[[#This Row],[SIP_TOTAL UNITS SOLD]]=0,0,SUMIFS(SIP[Cost of Units Sold],SIP[Investor ID],INVESTORS_LIST[[#This Row],[INVESTOR CODE]],SIP[B/S],"S"))</f>
        <v>0</v>
      </c>
      <c r="Q243" s="48">
        <f>IF(INVESTORS_LIST[[#This Row],[SIP_TOTAL CURRENT UNITS]]=0,0,INVESTORS_LIST[[#This Row],[SIP_TOTAL CURRENT UNITS]]*INVESTORS_LIST[[#This Row],[SIP_AVERAGE COST]])</f>
        <v>0</v>
      </c>
      <c r="R243" s="48">
        <f>IF(INVESTORS_LIST[[#This Row],[SIP_TOTAL UNITS SOLD]]=0,0,SUMIFS(SIP[Realized Gain],SIP[Investor ID],INVESTORS_LIST[[#This Row],[INVESTOR CODE]],SIP[B/S],"S"))</f>
        <v>0</v>
      </c>
      <c r="S243" s="50">
        <f>INVESTORS_LIST[[#This Row],[LS_TOTAL UNITS BUY]]+INVESTORS_LIST[[#This Row],[SIP_TOTAL UNITS BUY]]</f>
        <v>0</v>
      </c>
      <c r="T243" s="50">
        <f>INVESTORS_LIST[[#This Row],[LS_TOTAL UNITS SOLD]]+INVESTORS_LIST[[#This Row],[SIP_TOTAL UNITS SOLD]]</f>
        <v>0</v>
      </c>
      <c r="U243" s="50"/>
      <c r="V243" s="50">
        <f>SUMIFS(LS[BO UNIT TRANSFER],LS[Investor ID],INVESTORS_LIST[[#This Row],[INVESTOR CODE]],LS[B/S],"B")</f>
        <v>0</v>
      </c>
      <c r="W243" s="50">
        <f>SUMIFS(SIP[BO UNIT TRANSFER],SIP[Investor ID],INVESTORS_LIST[[#This Row],[INVESTOR CODE]],SIP[B/S],"B")</f>
        <v>0</v>
      </c>
      <c r="X243" s="50">
        <f>SUMIFS(LS[BO UNIT TRANSFER],LS[Investor ID],INVESTORS_LIST[[#This Row],[INVESTOR CODE]],LS[B/S],"S")</f>
        <v>0</v>
      </c>
      <c r="Y243" s="50">
        <f>SUMIFS(SIP[BO UNIT TRANSFER],SIP[Investor ID],INVESTORS_LIST[[#This Row],[INVESTOR CODE]],SIP[B/S],"S")</f>
        <v>0</v>
      </c>
      <c r="Z243" s="106">
        <f>SUM(INVESTORS_LIST[[#This Row],[BO OPENING BALANCE]:[BO SIP UNITS REPURCHASE]])</f>
        <v>0</v>
      </c>
      <c r="AA243" s="107">
        <f>INVESTORS_LIST[[#This Row],[TOTAL UNITS BUY]]-INVESTORS_LIST[[#This Row],[TOTAL UNITS SOLD]]</f>
        <v>0</v>
      </c>
      <c r="AB243" s="107">
        <f>INVESTORS_LIST[[#This Row],[TOTAL CURRENT UNITS]]-INVESTORS_LIST[[#This Row],[BO UNITS HOLD]]</f>
        <v>0</v>
      </c>
      <c r="AC243" s="201" t="e">
        <f>INDEX([3]!Table_1[BO ID],MATCH(INVESTORS_LIST[[#This Row],[INVESTOR CODE]],[3]!Table_1[INVESTOR CODE],0))</f>
        <v>#REF!</v>
      </c>
      <c r="AD243" s="201" t="e">
        <f>INDEX([3]!Table_1[Brokerage Name2],MATCH(INVESTORS_LIST[[#This Row],[INVESTOR CODE]],[3]!Table_1[INVESTOR CODE],0))</f>
        <v>#REF!</v>
      </c>
      <c r="AE243" s="201" t="e">
        <f>MID(INVESTORS_LIST[[#This Row],[BO ID]],4,5)</f>
        <v>#REF!</v>
      </c>
      <c r="AF243" s="201" t="e">
        <f>MID(INVESTORS_LIST[[#This Row],[BO ID]],2,7)</f>
        <v>#REF!</v>
      </c>
      <c r="AG243" s="201" t="e">
        <f>MID(INVESTORS_LIST[[#This Row],[BO ID]],9,7)</f>
        <v>#REF!</v>
      </c>
      <c r="AH243" s="201" t="e">
        <f>RIGHT(INVESTORS_LIST[[#This Row],[BO ID]],1)</f>
        <v>#REF!</v>
      </c>
      <c r="AI243" s="50">
        <f>INVESTORS_LIST[[#This Row],[LS_TOTAL COST VALUE OF CURRENT UNITS]]+INVESTORS_LIST[[#This Row],[SIP_TOTAL COST VALUE OF CURRENT UNITS]]</f>
        <v>0</v>
      </c>
      <c r="AJ243" s="109">
        <f>IF(INVESTORS_LIST[[#This Row],[TOTAL CURRENT UNITS]]=0,0,INVESTORS_LIST[[#This Row],[LS_TOTAL CURRENT UNITS]]/INVESTORS_LIST[[#This Row],[TOTAL CURRENT UNITS]])</f>
        <v>0</v>
      </c>
      <c r="AK243" s="109">
        <f>IF(INVESTORS_LIST[[#This Row],[TOTAL CURRENT UNITS]]=0,0,INVESTORS_LIST[[#This Row],[SIP_TOTAL CURRENT UNITS]]/INVESTORS_LIST[[#This Row],[TOTAL CURRENT UNITS]])</f>
        <v>0</v>
      </c>
      <c r="AL243" s="49" cm="1">
        <f t="array" ref="AL2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3" s="49" cm="1">
        <f t="array" ref="AM2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3" s="105">
        <f t="shared" si="4"/>
        <v>14.224</v>
      </c>
      <c r="AP243" s="112">
        <f>IF(INVESTORS_LIST[[#This Row],[TOTAL CURRENT UNITS]]=0,0,INVESTORS_LIST[[#This Row],[TOTAL CURRENT UNITS]]*INVESTORS_LIST[[#This Row],[NAV]])</f>
        <v>0</v>
      </c>
      <c r="AQ243" s="49">
        <f>IF(INVESTORS_LIST[[#This Row],[LS_TOTAL CURRENT UNITS]]=0,0,INVESTORS_LIST[[#This Row],[LS_TOTAL CURRENT UNITS]]*INVESTORS_LIST[[#This Row],[NAV]])</f>
        <v>0</v>
      </c>
      <c r="AR243" s="48">
        <f>IF(INVESTORS_LIST[[#This Row],[SIP_TOTAL CURRENT UNITS]]=0,0,INVESTORS_LIST[[#This Row],[SIP_TOTAL CURRENT UNITS]]*INVESTORS_LIST[[#This Row],[NAV]])</f>
        <v>0</v>
      </c>
      <c r="AS243" s="50">
        <f>INVESTORS_LIST[[#This Row],[TOTAL CURRENT UNITS]]</f>
        <v>0</v>
      </c>
      <c r="AT243" s="48">
        <f>IF(INVESTORS_LIST[[#This Row],[TOTAL SELLABLE UNITS]]=0,0,INVESTORS_LIST[[#This Row],[TOTAL SELLABLE UNITS]]*INVESTORS_LIST[[#This Row],[NAV]])</f>
        <v>0</v>
      </c>
      <c r="AU243" s="48">
        <f>INVESTORS_LIST[[#This Row],[LS_TOTAL REALIZED GAIN]]+INVESTORS_LIST[[#This Row],[SIP_TOTAL REALIZED GAIN]]</f>
        <v>0</v>
      </c>
      <c r="AV243" s="48">
        <f>INVESTORS_LIST[[#This Row],[TOTAL MARKET VALUE]]-INVESTORS_LIST[[#This Row],[TOTAL COST VALUE OF CURRENT INVESTMENT]]</f>
        <v>0</v>
      </c>
      <c r="AW243" s="48">
        <f>IFERROR(INVESTORS_LIST[[#This Row],[TOTAL CURRENT UNITS]]/SUM(INVESTORS_LIST[TOTAL CURRENT UNITS]),0)</f>
        <v>0</v>
      </c>
    </row>
    <row r="244" spans="1:49">
      <c r="A244" s="262" t="s">
        <v>536</v>
      </c>
      <c r="B244" s="97" t="s">
        <v>537</v>
      </c>
      <c r="C244" t="s">
        <v>538</v>
      </c>
      <c r="D244" s="75" t="s">
        <v>45</v>
      </c>
      <c r="E244" s="47">
        <f>SUMIFS(LS[Unit],LS[Investor ID],INVESTORS_LIST[[#This Row],[INVESTOR CODE]],LS[B/S],"B")</f>
        <v>0</v>
      </c>
      <c r="F244" s="47">
        <f>-SUMIFS(LS[Unit],LS[Investor ID],INVESTORS_LIST[[#This Row],[INVESTOR CODE]],LS[B/S],"S")</f>
        <v>0</v>
      </c>
      <c r="G244" s="47">
        <f>IF(INVESTORS_LIST[[#This Row],[LS_TOTAL UNITS BUY]]=0,0,INVESTORS_LIST[[#This Row],[LS_TOTAL UNITS BUY]]-INVESTORS_LIST[[#This Row],[LS_TOTAL UNITS SOLD]])</f>
        <v>0</v>
      </c>
      <c r="H244" s="49">
        <f>IF(INVESTORS_LIST[[#This Row],[LS_TOTAL UNITS BUY]]=0,0,SUMIFS(LS[Amount],LS[Investor ID],INVESTORS_LIST[[#This Row],[INVESTOR CODE]],LS[B/S],"B"))</f>
        <v>0</v>
      </c>
      <c r="I244" s="48">
        <f>IF(INVESTORS_LIST[[#This Row],[LS_TOTAL UNITS SOLD]]=0,0,SUMIFS(LS[Cost of Units Sold],LS[Investor ID],INVESTORS_LIST[[#This Row],[INVESTOR CODE]],LS[B/S],"S"))</f>
        <v>0</v>
      </c>
      <c r="J244" s="48">
        <f>IF(INVESTORS_LIST[[#This Row],[LS_TOTAL CURRENT UNITS]]=0,0,INVESTORS_LIST[[#This Row],[LS_TOTAL CURRENT UNITS]]*INVESTORS_LIST[[#This Row],[LS_AVERAGE COST]])</f>
        <v>0</v>
      </c>
      <c r="K244" s="49">
        <f>IF(INVESTORS_LIST[[#This Row],[LS_TOTAL UNITS SOLD]]=0,0,SUMIFS(LS[Realized Gain],LS[Investor ID],INVESTORS_LIST[[#This Row],[INVESTOR CODE]],LS[B/S],"S"))</f>
        <v>0</v>
      </c>
      <c r="L244" s="47">
        <f>SUMIFS(SIP[Unit],SIP[Investor ID],INVESTORS_LIST[[#This Row],[INVESTOR CODE]],SIP[B/S],"B")</f>
        <v>62249</v>
      </c>
      <c r="M244" s="47">
        <f>-SUMIFS(SIP[Unit],SIP[Investor ID],INVESTORS_LIST[[#This Row],[INVESTOR CODE]],SIP[B/S],"S")</f>
        <v>0</v>
      </c>
      <c r="N244" s="50">
        <f>IF(INVESTORS_LIST[[#This Row],[SIP_TOTAL UNITS BUY]]=0,0,INVESTORS_LIST[[#This Row],[SIP_TOTAL UNITS BUY]]-INVESTORS_LIST[[#This Row],[SIP_TOTAL UNITS SOLD]])</f>
        <v>62249</v>
      </c>
      <c r="O244" s="49">
        <f>IF(INVESTORS_LIST[[#This Row],[SIP_TOTAL UNITS BUY]]=0,0,SUMIFS(SIP[Amount],SIP[Investor ID],INVESTORS_LIST[[#This Row],[INVESTOR CODE]],SIP[B/S],"B"))</f>
        <v>755000</v>
      </c>
      <c r="P244" s="49">
        <f>IF(INVESTORS_LIST[[#This Row],[SIP_TOTAL UNITS SOLD]]=0,0,SUMIFS(SIP[Cost of Units Sold],SIP[Investor ID],INVESTORS_LIST[[#This Row],[INVESTOR CODE]],SIP[B/S],"S"))</f>
        <v>0</v>
      </c>
      <c r="Q244" s="48">
        <f>IF(INVESTORS_LIST[[#This Row],[SIP_TOTAL CURRENT UNITS]]=0,0,INVESTORS_LIST[[#This Row],[SIP_TOTAL CURRENT UNITS]]*INVESTORS_LIST[[#This Row],[SIP_AVERAGE COST]])</f>
        <v>755000.00000000023</v>
      </c>
      <c r="R244" s="48">
        <f>IF(INVESTORS_LIST[[#This Row],[SIP_TOTAL UNITS SOLD]]=0,0,SUMIFS(SIP[Realized Gain],SIP[Investor ID],INVESTORS_LIST[[#This Row],[INVESTOR CODE]],SIP[B/S],"S"))</f>
        <v>0</v>
      </c>
      <c r="S244" s="50">
        <f>INVESTORS_LIST[[#This Row],[LS_TOTAL UNITS BUY]]+INVESTORS_LIST[[#This Row],[SIP_TOTAL UNITS BUY]]</f>
        <v>62249</v>
      </c>
      <c r="T244" s="50">
        <f>INVESTORS_LIST[[#This Row],[LS_TOTAL UNITS SOLD]]+INVESTORS_LIST[[#This Row],[SIP_TOTAL UNITS SOLD]]</f>
        <v>0</v>
      </c>
      <c r="U244" s="50">
        <v>40560</v>
      </c>
      <c r="V244" s="50">
        <f>SUMIFS(LS[BO UNIT TRANSFER],LS[Investor ID],INVESTORS_LIST[[#This Row],[INVESTOR CODE]],LS[B/S],"B")</f>
        <v>0</v>
      </c>
      <c r="W244" s="50">
        <f>SUMIFS(SIP[BO UNIT TRANSFER],SIP[Investor ID],INVESTORS_LIST[[#This Row],[INVESTOR CODE]],SIP[B/S],"B")</f>
        <v>18140</v>
      </c>
      <c r="X244" s="50">
        <f>SUMIFS(LS[BO UNIT TRANSFER],LS[Investor ID],INVESTORS_LIST[[#This Row],[INVESTOR CODE]],LS[B/S],"S")</f>
        <v>0</v>
      </c>
      <c r="Y244" s="50">
        <f>SUMIFS(SIP[BO UNIT TRANSFER],SIP[Investor ID],INVESTORS_LIST[[#This Row],[INVESTOR CODE]],SIP[B/S],"S")</f>
        <v>0</v>
      </c>
      <c r="Z244" s="106">
        <f>SUM(INVESTORS_LIST[[#This Row],[BO OPENING BALANCE]:[BO SIP UNITS REPURCHASE]])</f>
        <v>58700</v>
      </c>
      <c r="AA244" s="107">
        <f>INVESTORS_LIST[[#This Row],[TOTAL UNITS BUY]]-INVESTORS_LIST[[#This Row],[TOTAL UNITS SOLD]]</f>
        <v>62249</v>
      </c>
      <c r="AB244" s="107">
        <f>INVESTORS_LIST[[#This Row],[TOTAL CURRENT UNITS]]-INVESTORS_LIST[[#This Row],[BO UNITS HOLD]]</f>
        <v>3549</v>
      </c>
      <c r="AC244" s="201" t="e">
        <f>INDEX([3]!Table_1[BO ID],MATCH(INVESTORS_LIST[[#This Row],[INVESTOR CODE]],[3]!Table_1[INVESTOR CODE],0))</f>
        <v>#REF!</v>
      </c>
      <c r="AD244" s="201" t="e">
        <f>INDEX([3]!Table_1[Brokerage Name2],MATCH(INVESTORS_LIST[[#This Row],[INVESTOR CODE]],[3]!Table_1[INVESTOR CODE],0))</f>
        <v>#REF!</v>
      </c>
      <c r="AE244" s="201" t="e">
        <f>MID(INVESTORS_LIST[[#This Row],[BO ID]],4,5)</f>
        <v>#REF!</v>
      </c>
      <c r="AF244" s="201" t="e">
        <f>MID(INVESTORS_LIST[[#This Row],[BO ID]],2,7)</f>
        <v>#REF!</v>
      </c>
      <c r="AG244" s="201" t="e">
        <f>MID(INVESTORS_LIST[[#This Row],[BO ID]],9,7)</f>
        <v>#REF!</v>
      </c>
      <c r="AH244" s="201" t="e">
        <f>RIGHT(INVESTORS_LIST[[#This Row],[BO ID]],1)</f>
        <v>#REF!</v>
      </c>
      <c r="AI244" s="50">
        <f>INVESTORS_LIST[[#This Row],[LS_TOTAL COST VALUE OF CURRENT UNITS]]+INVESTORS_LIST[[#This Row],[SIP_TOTAL COST VALUE OF CURRENT UNITS]]</f>
        <v>755000.00000000023</v>
      </c>
      <c r="AJ244" s="109">
        <f>IF(INVESTORS_LIST[[#This Row],[TOTAL CURRENT UNITS]]=0,0,INVESTORS_LIST[[#This Row],[LS_TOTAL CURRENT UNITS]]/INVESTORS_LIST[[#This Row],[TOTAL CURRENT UNITS]])</f>
        <v>0</v>
      </c>
      <c r="AK244" s="109">
        <f>IF(INVESTORS_LIST[[#This Row],[TOTAL CURRENT UNITS]]=0,0,INVESTORS_LIST[[#This Row],[SIP_TOTAL CURRENT UNITS]]/INVESTORS_LIST[[#This Row],[TOTAL CURRENT UNITS]])</f>
        <v>1</v>
      </c>
      <c r="AL244" s="49" cm="1">
        <f t="array" ref="AL2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4" s="49" cm="1">
        <f t="array" ref="AM244">IF(INVESTORS_LIST[[#This Row],[SIP_TOTAL UNITS BUY]]&gt;0,INDEX(SIP[NAV at Cost (Average)],MATCH(CONCATENATE(COUNTIFS(SIP[Investor ID],INVESTORS_LIST[[#This Row],[INVESTOR CODE]]),INVESTORS_LIST[[#This Row],[INVESTOR CODE]]),SIP[Unique Code],0),),0)</f>
        <v>12.12870889492201</v>
      </c>
      <c r="AN244" s="105">
        <f>IF(INVESTORS_LIST[[#This Row],[TOTAL CURRENT UNITS]]=0,0,(INVESTORS_LIST[[#This Row],[LS_WEIGHT]]*INVESTORS_LIST[[#This Row],[LS_AVERAGE COST]])+(INVESTORS_LIST[[#This Row],[SIP_WEIGHT]]*INVESTORS_LIST[[#This Row],[SIP_AVERAGE COST]]))</f>
        <v>12.12870889492201</v>
      </c>
      <c r="AO244" s="105">
        <f t="shared" si="4"/>
        <v>14.224</v>
      </c>
      <c r="AP244" s="112">
        <f>IF(INVESTORS_LIST[[#This Row],[TOTAL CURRENT UNITS]]=0,0,INVESTORS_LIST[[#This Row],[TOTAL CURRENT UNITS]]*INVESTORS_LIST[[#This Row],[NAV]])</f>
        <v>885429.77599999995</v>
      </c>
      <c r="AQ244" s="49">
        <f>IF(INVESTORS_LIST[[#This Row],[LS_TOTAL CURRENT UNITS]]=0,0,INVESTORS_LIST[[#This Row],[LS_TOTAL CURRENT UNITS]]*INVESTORS_LIST[[#This Row],[NAV]])</f>
        <v>0</v>
      </c>
      <c r="AR244" s="48">
        <f>IF(INVESTORS_LIST[[#This Row],[SIP_TOTAL CURRENT UNITS]]=0,0,INVESTORS_LIST[[#This Row],[SIP_TOTAL CURRENT UNITS]]*INVESTORS_LIST[[#This Row],[NAV]])</f>
        <v>885429.77599999995</v>
      </c>
      <c r="AS244" s="50">
        <f>INVESTORS_LIST[[#This Row],[TOTAL CURRENT UNITS]]</f>
        <v>62249</v>
      </c>
      <c r="AT244" s="48">
        <f>IF(INVESTORS_LIST[[#This Row],[TOTAL SELLABLE UNITS]]=0,0,INVESTORS_LIST[[#This Row],[TOTAL SELLABLE UNITS]]*INVESTORS_LIST[[#This Row],[NAV]])</f>
        <v>885429.77599999995</v>
      </c>
      <c r="AU244" s="48">
        <f>INVESTORS_LIST[[#This Row],[LS_TOTAL REALIZED GAIN]]+INVESTORS_LIST[[#This Row],[SIP_TOTAL REALIZED GAIN]]</f>
        <v>0</v>
      </c>
      <c r="AV244" s="48">
        <f>INVESTORS_LIST[[#This Row],[TOTAL MARKET VALUE]]-INVESTORS_LIST[[#This Row],[TOTAL COST VALUE OF CURRENT INVESTMENT]]</f>
        <v>130429.77599999972</v>
      </c>
      <c r="AW244" s="108">
        <f>IFERROR(INVESTORS_LIST[[#This Row],[TOTAL CURRENT UNITS]]/SUM(INVESTORS_LIST[TOTAL CURRENT UNITS]),0)</f>
        <v>1.5111696653245564E-3</v>
      </c>
    </row>
    <row r="245" spans="1:49" hidden="1">
      <c r="A245" s="262" t="s">
        <v>539</v>
      </c>
      <c r="B245" s="97" t="s">
        <v>540</v>
      </c>
      <c r="C245" t="s">
        <v>44</v>
      </c>
      <c r="D245" s="75" t="s">
        <v>45</v>
      </c>
      <c r="E245" s="47">
        <f>SUMIFS(LS[Unit],LS[Investor ID],INVESTORS_LIST[[#This Row],[INVESTOR CODE]],LS[B/S],"B")</f>
        <v>0</v>
      </c>
      <c r="F245" s="47">
        <f>-SUMIFS(LS[Unit],LS[Investor ID],INVESTORS_LIST[[#This Row],[INVESTOR CODE]],LS[B/S],"S")</f>
        <v>0</v>
      </c>
      <c r="G245" s="47">
        <f>IF(INVESTORS_LIST[[#This Row],[LS_TOTAL UNITS BUY]]=0,0,INVESTORS_LIST[[#This Row],[LS_TOTAL UNITS BUY]]-INVESTORS_LIST[[#This Row],[LS_TOTAL UNITS SOLD]])</f>
        <v>0</v>
      </c>
      <c r="H245" s="49">
        <f>IF(INVESTORS_LIST[[#This Row],[LS_TOTAL UNITS BUY]]=0,0,SUMIFS(LS[Amount],LS[Investor ID],INVESTORS_LIST[[#This Row],[INVESTOR CODE]],LS[B/S],"B"))</f>
        <v>0</v>
      </c>
      <c r="I245" s="48">
        <f>IF(INVESTORS_LIST[[#This Row],[LS_TOTAL UNITS SOLD]]=0,0,SUMIFS(LS[Cost of Units Sold],LS[Investor ID],INVESTORS_LIST[[#This Row],[INVESTOR CODE]],LS[B/S],"S"))</f>
        <v>0</v>
      </c>
      <c r="J245" s="48">
        <f>IF(INVESTORS_LIST[[#This Row],[LS_TOTAL CURRENT UNITS]]=0,0,INVESTORS_LIST[[#This Row],[LS_TOTAL CURRENT UNITS]]*INVESTORS_LIST[[#This Row],[LS_AVERAGE COST]])</f>
        <v>0</v>
      </c>
      <c r="K245" s="49">
        <f>IF(INVESTORS_LIST[[#This Row],[LS_TOTAL UNITS SOLD]]=0,0,SUMIFS(LS[Realized Gain],LS[Investor ID],INVESTORS_LIST[[#This Row],[INVESTOR CODE]],LS[B/S],"S"))</f>
        <v>0</v>
      </c>
      <c r="L245" s="47">
        <f>SUMIFS(SIP[Unit],SIP[Investor ID],INVESTORS_LIST[[#This Row],[INVESTOR CODE]],SIP[B/S],"B")</f>
        <v>0</v>
      </c>
      <c r="M245" s="47">
        <f>-SUMIFS(SIP[Unit],SIP[Investor ID],INVESTORS_LIST[[#This Row],[INVESTOR CODE]],SIP[B/S],"S")</f>
        <v>0</v>
      </c>
      <c r="N245" s="50">
        <f>IF(INVESTORS_LIST[[#This Row],[SIP_TOTAL UNITS BUY]]=0,0,INVESTORS_LIST[[#This Row],[SIP_TOTAL UNITS BUY]]-INVESTORS_LIST[[#This Row],[SIP_TOTAL UNITS SOLD]])</f>
        <v>0</v>
      </c>
      <c r="O245" s="49">
        <f>IF(INVESTORS_LIST[[#This Row],[SIP_TOTAL UNITS BUY]]=0,0,SUMIFS(SIP[Amount],SIP[Investor ID],INVESTORS_LIST[[#This Row],[INVESTOR CODE]],SIP[B/S],"B"))</f>
        <v>0</v>
      </c>
      <c r="P245" s="49">
        <f>IF(INVESTORS_LIST[[#This Row],[SIP_TOTAL UNITS SOLD]]=0,0,SUMIFS(SIP[Cost of Units Sold],SIP[Investor ID],INVESTORS_LIST[[#This Row],[INVESTOR CODE]],SIP[B/S],"S"))</f>
        <v>0</v>
      </c>
      <c r="Q245" s="48">
        <f>IF(INVESTORS_LIST[[#This Row],[SIP_TOTAL CURRENT UNITS]]=0,0,INVESTORS_LIST[[#This Row],[SIP_TOTAL CURRENT UNITS]]*INVESTORS_LIST[[#This Row],[SIP_AVERAGE COST]])</f>
        <v>0</v>
      </c>
      <c r="R245" s="48">
        <f>IF(INVESTORS_LIST[[#This Row],[SIP_TOTAL UNITS SOLD]]=0,0,SUMIFS(SIP[Realized Gain],SIP[Investor ID],INVESTORS_LIST[[#This Row],[INVESTOR CODE]],SIP[B/S],"S"))</f>
        <v>0</v>
      </c>
      <c r="S245" s="50">
        <f>INVESTORS_LIST[[#This Row],[LS_TOTAL UNITS BUY]]+INVESTORS_LIST[[#This Row],[SIP_TOTAL UNITS BUY]]</f>
        <v>0</v>
      </c>
      <c r="T245" s="50">
        <f>INVESTORS_LIST[[#This Row],[LS_TOTAL UNITS SOLD]]+INVESTORS_LIST[[#This Row],[SIP_TOTAL UNITS SOLD]]</f>
        <v>0</v>
      </c>
      <c r="U245" s="50"/>
      <c r="V245" s="50">
        <f>SUMIFS(LS[BO UNIT TRANSFER],LS[Investor ID],INVESTORS_LIST[[#This Row],[INVESTOR CODE]],LS[B/S],"B")</f>
        <v>0</v>
      </c>
      <c r="W245" s="50">
        <f>SUMIFS(SIP[BO UNIT TRANSFER],SIP[Investor ID],INVESTORS_LIST[[#This Row],[INVESTOR CODE]],SIP[B/S],"B")</f>
        <v>0</v>
      </c>
      <c r="X245" s="50">
        <f>SUMIFS(LS[BO UNIT TRANSFER],LS[Investor ID],INVESTORS_LIST[[#This Row],[INVESTOR CODE]],LS[B/S],"S")</f>
        <v>0</v>
      </c>
      <c r="Y245" s="50">
        <f>SUMIFS(SIP[BO UNIT TRANSFER],SIP[Investor ID],INVESTORS_LIST[[#This Row],[INVESTOR CODE]],SIP[B/S],"S")</f>
        <v>0</v>
      </c>
      <c r="Z245" s="106">
        <f>SUM(INVESTORS_LIST[[#This Row],[BO OPENING BALANCE]:[BO SIP UNITS REPURCHASE]])</f>
        <v>0</v>
      </c>
      <c r="AA245" s="107">
        <f>INVESTORS_LIST[[#This Row],[TOTAL UNITS BUY]]-INVESTORS_LIST[[#This Row],[TOTAL UNITS SOLD]]</f>
        <v>0</v>
      </c>
      <c r="AB245" s="107">
        <f>INVESTORS_LIST[[#This Row],[TOTAL CURRENT UNITS]]-INVESTORS_LIST[[#This Row],[BO UNITS HOLD]]</f>
        <v>0</v>
      </c>
      <c r="AC245" s="201" t="e">
        <f>INDEX([3]!Table_1[BO ID],MATCH(INVESTORS_LIST[[#This Row],[INVESTOR CODE]],[3]!Table_1[INVESTOR CODE],0))</f>
        <v>#REF!</v>
      </c>
      <c r="AD245" s="201" t="e">
        <f>INDEX([3]!Table_1[Brokerage Name2],MATCH(INVESTORS_LIST[[#This Row],[INVESTOR CODE]],[3]!Table_1[INVESTOR CODE],0))</f>
        <v>#REF!</v>
      </c>
      <c r="AE245" s="201" t="e">
        <f>MID(INVESTORS_LIST[[#This Row],[BO ID]],4,5)</f>
        <v>#REF!</v>
      </c>
      <c r="AF245" s="201" t="e">
        <f>MID(INVESTORS_LIST[[#This Row],[BO ID]],2,7)</f>
        <v>#REF!</v>
      </c>
      <c r="AG245" s="201" t="e">
        <f>MID(INVESTORS_LIST[[#This Row],[BO ID]],9,7)</f>
        <v>#REF!</v>
      </c>
      <c r="AH245" s="201" t="e">
        <f>RIGHT(INVESTORS_LIST[[#This Row],[BO ID]],1)</f>
        <v>#REF!</v>
      </c>
      <c r="AI245" s="50">
        <f>INVESTORS_LIST[[#This Row],[LS_TOTAL COST VALUE OF CURRENT UNITS]]+INVESTORS_LIST[[#This Row],[SIP_TOTAL COST VALUE OF CURRENT UNITS]]</f>
        <v>0</v>
      </c>
      <c r="AJ245" s="109">
        <f>IF(INVESTORS_LIST[[#This Row],[TOTAL CURRENT UNITS]]=0,0,INVESTORS_LIST[[#This Row],[LS_TOTAL CURRENT UNITS]]/INVESTORS_LIST[[#This Row],[TOTAL CURRENT UNITS]])</f>
        <v>0</v>
      </c>
      <c r="AK245" s="109">
        <f>IF(INVESTORS_LIST[[#This Row],[TOTAL CURRENT UNITS]]=0,0,INVESTORS_LIST[[#This Row],[SIP_TOTAL CURRENT UNITS]]/INVESTORS_LIST[[#This Row],[TOTAL CURRENT UNITS]])</f>
        <v>0</v>
      </c>
      <c r="AL245" s="49" cm="1">
        <f t="array" ref="AL2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5" s="49" cm="1">
        <f t="array" ref="AM2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5" s="105">
        <f t="shared" si="4"/>
        <v>14.224</v>
      </c>
      <c r="AP245" s="112">
        <f>IF(INVESTORS_LIST[[#This Row],[TOTAL CURRENT UNITS]]=0,0,INVESTORS_LIST[[#This Row],[TOTAL CURRENT UNITS]]*INVESTORS_LIST[[#This Row],[NAV]])</f>
        <v>0</v>
      </c>
      <c r="AQ245" s="49">
        <f>IF(INVESTORS_LIST[[#This Row],[LS_TOTAL CURRENT UNITS]]=0,0,INVESTORS_LIST[[#This Row],[LS_TOTAL CURRENT UNITS]]*INVESTORS_LIST[[#This Row],[NAV]])</f>
        <v>0</v>
      </c>
      <c r="AR245" s="48">
        <f>IF(INVESTORS_LIST[[#This Row],[SIP_TOTAL CURRENT UNITS]]=0,0,INVESTORS_LIST[[#This Row],[SIP_TOTAL CURRENT UNITS]]*INVESTORS_LIST[[#This Row],[NAV]])</f>
        <v>0</v>
      </c>
      <c r="AS245" s="50">
        <f>INVESTORS_LIST[[#This Row],[TOTAL CURRENT UNITS]]</f>
        <v>0</v>
      </c>
      <c r="AT245" s="48">
        <f>IF(INVESTORS_LIST[[#This Row],[TOTAL SELLABLE UNITS]]=0,0,INVESTORS_LIST[[#This Row],[TOTAL SELLABLE UNITS]]*INVESTORS_LIST[[#This Row],[NAV]])</f>
        <v>0</v>
      </c>
      <c r="AU245" s="48">
        <f>INVESTORS_LIST[[#This Row],[LS_TOTAL REALIZED GAIN]]+INVESTORS_LIST[[#This Row],[SIP_TOTAL REALIZED GAIN]]</f>
        <v>0</v>
      </c>
      <c r="AV245" s="48">
        <f>INVESTORS_LIST[[#This Row],[TOTAL MARKET VALUE]]-INVESTORS_LIST[[#This Row],[TOTAL COST VALUE OF CURRENT INVESTMENT]]</f>
        <v>0</v>
      </c>
      <c r="AW245" s="48">
        <f>IFERROR(INVESTORS_LIST[[#This Row],[TOTAL CURRENT UNITS]]/SUM(INVESTORS_LIST[TOTAL CURRENT UNITS]),0)</f>
        <v>0</v>
      </c>
    </row>
    <row r="246" spans="1:49" hidden="1">
      <c r="A246" s="262" t="s">
        <v>541</v>
      </c>
      <c r="B246" s="97" t="s">
        <v>542</v>
      </c>
      <c r="C246" t="s">
        <v>48</v>
      </c>
      <c r="D246" s="75" t="s">
        <v>80</v>
      </c>
      <c r="E246" s="47">
        <f>SUMIFS(LS[Unit],LS[Investor ID],INVESTORS_LIST[[#This Row],[INVESTOR CODE]],LS[B/S],"B")</f>
        <v>300000</v>
      </c>
      <c r="F246" s="47">
        <f>-SUMIFS(LS[Unit],LS[Investor ID],INVESTORS_LIST[[#This Row],[INVESTOR CODE]],LS[B/S],"S")</f>
        <v>300000</v>
      </c>
      <c r="G246" s="47">
        <f>IF(INVESTORS_LIST[[#This Row],[LS_TOTAL UNITS BUY]]=0,0,INVESTORS_LIST[[#This Row],[LS_TOTAL UNITS BUY]]-INVESTORS_LIST[[#This Row],[LS_TOTAL UNITS SOLD]])</f>
        <v>0</v>
      </c>
      <c r="H246" s="49">
        <f>IF(INVESTORS_LIST[[#This Row],[LS_TOTAL UNITS BUY]]=0,0,SUMIFS(LS[Amount],LS[Investor ID],INVESTORS_LIST[[#This Row],[INVESTOR CODE]],LS[B/S],"B"))</f>
        <v>3000000</v>
      </c>
      <c r="I246" s="48">
        <f>IF(INVESTORS_LIST[[#This Row],[LS_TOTAL UNITS SOLD]]=0,0,SUMIFS(LS[Cost of Units Sold],LS[Investor ID],INVESTORS_LIST[[#This Row],[INVESTOR CODE]],LS[B/S],"S"))</f>
        <v>3000000</v>
      </c>
      <c r="J246" s="48">
        <f>IF(INVESTORS_LIST[[#This Row],[LS_TOTAL CURRENT UNITS]]=0,0,INVESTORS_LIST[[#This Row],[LS_TOTAL CURRENT UNITS]]*INVESTORS_LIST[[#This Row],[LS_AVERAGE COST]])</f>
        <v>0</v>
      </c>
      <c r="K246" s="49">
        <f>IF(INVESTORS_LIST[[#This Row],[LS_TOTAL UNITS SOLD]]=0,0,SUMIFS(LS[Realized Gain],LS[Investor ID],INVESTORS_LIST[[#This Row],[INVESTOR CODE]],LS[B/S],"S"))</f>
        <v>0</v>
      </c>
      <c r="L246" s="47">
        <f>SUMIFS(SIP[Unit],SIP[Investor ID],INVESTORS_LIST[[#This Row],[INVESTOR CODE]],SIP[B/S],"B")</f>
        <v>0</v>
      </c>
      <c r="M246" s="47">
        <f>-SUMIFS(SIP[Unit],SIP[Investor ID],INVESTORS_LIST[[#This Row],[INVESTOR CODE]],SIP[B/S],"S")</f>
        <v>0</v>
      </c>
      <c r="N246" s="50">
        <f>IF(INVESTORS_LIST[[#This Row],[SIP_TOTAL UNITS BUY]]=0,0,INVESTORS_LIST[[#This Row],[SIP_TOTAL UNITS BUY]]-INVESTORS_LIST[[#This Row],[SIP_TOTAL UNITS SOLD]])</f>
        <v>0</v>
      </c>
      <c r="O246" s="49">
        <f>IF(INVESTORS_LIST[[#This Row],[SIP_TOTAL UNITS BUY]]=0,0,SUMIFS(SIP[Amount],SIP[Investor ID],INVESTORS_LIST[[#This Row],[INVESTOR CODE]],SIP[B/S],"B"))</f>
        <v>0</v>
      </c>
      <c r="P246" s="49">
        <f>IF(INVESTORS_LIST[[#This Row],[SIP_TOTAL UNITS SOLD]]=0,0,SUMIFS(SIP[Cost of Units Sold],SIP[Investor ID],INVESTORS_LIST[[#This Row],[INVESTOR CODE]],SIP[B/S],"S"))</f>
        <v>0</v>
      </c>
      <c r="Q246" s="48">
        <f>IF(INVESTORS_LIST[[#This Row],[SIP_TOTAL CURRENT UNITS]]=0,0,INVESTORS_LIST[[#This Row],[SIP_TOTAL CURRENT UNITS]]*INVESTORS_LIST[[#This Row],[SIP_AVERAGE COST]])</f>
        <v>0</v>
      </c>
      <c r="R246" s="48">
        <f>IF(INVESTORS_LIST[[#This Row],[SIP_TOTAL UNITS SOLD]]=0,0,SUMIFS(SIP[Realized Gain],SIP[Investor ID],INVESTORS_LIST[[#This Row],[INVESTOR CODE]],SIP[B/S],"S"))</f>
        <v>0</v>
      </c>
      <c r="S246" s="50">
        <f>INVESTORS_LIST[[#This Row],[LS_TOTAL UNITS BUY]]+INVESTORS_LIST[[#This Row],[SIP_TOTAL UNITS BUY]]</f>
        <v>300000</v>
      </c>
      <c r="T246" s="50">
        <f>INVESTORS_LIST[[#This Row],[LS_TOTAL UNITS SOLD]]+INVESTORS_LIST[[#This Row],[SIP_TOTAL UNITS SOLD]]</f>
        <v>300000</v>
      </c>
      <c r="U246" s="50"/>
      <c r="V246" s="50">
        <f>SUMIFS(LS[BO UNIT TRANSFER],LS[Investor ID],INVESTORS_LIST[[#This Row],[INVESTOR CODE]],LS[B/S],"B")</f>
        <v>0</v>
      </c>
      <c r="W246" s="50">
        <f>SUMIFS(SIP[BO UNIT TRANSFER],SIP[Investor ID],INVESTORS_LIST[[#This Row],[INVESTOR CODE]],SIP[B/S],"B")</f>
        <v>0</v>
      </c>
      <c r="X246" s="50">
        <f>SUMIFS(LS[BO UNIT TRANSFER],LS[Investor ID],INVESTORS_LIST[[#This Row],[INVESTOR CODE]],LS[B/S],"S")</f>
        <v>0</v>
      </c>
      <c r="Y246" s="50">
        <f>SUMIFS(SIP[BO UNIT TRANSFER],SIP[Investor ID],INVESTORS_LIST[[#This Row],[INVESTOR CODE]],SIP[B/S],"S")</f>
        <v>0</v>
      </c>
      <c r="Z246" s="106">
        <f>SUM(INVESTORS_LIST[[#This Row],[BO OPENING BALANCE]:[BO SIP UNITS REPURCHASE]])</f>
        <v>0</v>
      </c>
      <c r="AA246" s="107">
        <f>INVESTORS_LIST[[#This Row],[TOTAL UNITS BUY]]-INVESTORS_LIST[[#This Row],[TOTAL UNITS SOLD]]</f>
        <v>0</v>
      </c>
      <c r="AB246" s="107">
        <f>INVESTORS_LIST[[#This Row],[TOTAL CURRENT UNITS]]-INVESTORS_LIST[[#This Row],[BO UNITS HOLD]]</f>
        <v>0</v>
      </c>
      <c r="AC246" s="201" t="e">
        <f>INDEX([3]!Table_1[BO ID],MATCH(INVESTORS_LIST[[#This Row],[INVESTOR CODE]],[3]!Table_1[INVESTOR CODE],0))</f>
        <v>#REF!</v>
      </c>
      <c r="AD246" s="201" t="e">
        <f>INDEX([3]!Table_1[Brokerage Name2],MATCH(INVESTORS_LIST[[#This Row],[INVESTOR CODE]],[3]!Table_1[INVESTOR CODE],0))</f>
        <v>#REF!</v>
      </c>
      <c r="AE246" s="201" t="e">
        <f>MID(INVESTORS_LIST[[#This Row],[BO ID]],4,5)</f>
        <v>#REF!</v>
      </c>
      <c r="AF246" s="201" t="e">
        <f>MID(INVESTORS_LIST[[#This Row],[BO ID]],2,7)</f>
        <v>#REF!</v>
      </c>
      <c r="AG246" s="201" t="e">
        <f>MID(INVESTORS_LIST[[#This Row],[BO ID]],9,7)</f>
        <v>#REF!</v>
      </c>
      <c r="AH246" s="201" t="e">
        <f>RIGHT(INVESTORS_LIST[[#This Row],[BO ID]],1)</f>
        <v>#REF!</v>
      </c>
      <c r="AI246" s="50">
        <f>INVESTORS_LIST[[#This Row],[LS_TOTAL COST VALUE OF CURRENT UNITS]]+INVESTORS_LIST[[#This Row],[SIP_TOTAL COST VALUE OF CURRENT UNITS]]</f>
        <v>0</v>
      </c>
      <c r="AJ246" s="109">
        <f>IF(INVESTORS_LIST[[#This Row],[TOTAL CURRENT UNITS]]=0,0,INVESTORS_LIST[[#This Row],[LS_TOTAL CURRENT UNITS]]/INVESTORS_LIST[[#This Row],[TOTAL CURRENT UNITS]])</f>
        <v>0</v>
      </c>
      <c r="AK246" s="109">
        <f>IF(INVESTORS_LIST[[#This Row],[TOTAL CURRENT UNITS]]=0,0,INVESTORS_LIST[[#This Row],[SIP_TOTAL CURRENT UNITS]]/INVESTORS_LIST[[#This Row],[TOTAL CURRENT UNITS]])</f>
        <v>0</v>
      </c>
      <c r="AL246" s="49" cm="1">
        <f t="array" ref="AL2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6" s="49" cm="1">
        <f t="array" ref="AM2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6" s="105">
        <f t="shared" si="4"/>
        <v>14.224</v>
      </c>
      <c r="AP246" s="112">
        <f>IF(INVESTORS_LIST[[#This Row],[TOTAL CURRENT UNITS]]=0,0,INVESTORS_LIST[[#This Row],[TOTAL CURRENT UNITS]]*INVESTORS_LIST[[#This Row],[NAV]])</f>
        <v>0</v>
      </c>
      <c r="AQ246" s="49">
        <f>IF(INVESTORS_LIST[[#This Row],[LS_TOTAL CURRENT UNITS]]=0,0,INVESTORS_LIST[[#This Row],[LS_TOTAL CURRENT UNITS]]*INVESTORS_LIST[[#This Row],[NAV]])</f>
        <v>0</v>
      </c>
      <c r="AR246" s="48">
        <f>IF(INVESTORS_LIST[[#This Row],[SIP_TOTAL CURRENT UNITS]]=0,0,INVESTORS_LIST[[#This Row],[SIP_TOTAL CURRENT UNITS]]*INVESTORS_LIST[[#This Row],[NAV]])</f>
        <v>0</v>
      </c>
      <c r="AS246" s="50">
        <f>INVESTORS_LIST[[#This Row],[TOTAL CURRENT UNITS]]</f>
        <v>0</v>
      </c>
      <c r="AT246" s="48">
        <f>IF(INVESTORS_LIST[[#This Row],[TOTAL SELLABLE UNITS]]=0,0,INVESTORS_LIST[[#This Row],[TOTAL SELLABLE UNITS]]*INVESTORS_LIST[[#This Row],[NAV]])</f>
        <v>0</v>
      </c>
      <c r="AU246" s="48">
        <f>INVESTORS_LIST[[#This Row],[LS_TOTAL REALIZED GAIN]]+INVESTORS_LIST[[#This Row],[SIP_TOTAL REALIZED GAIN]]</f>
        <v>0</v>
      </c>
      <c r="AV246" s="48">
        <f>INVESTORS_LIST[[#This Row],[TOTAL MARKET VALUE]]-INVESTORS_LIST[[#This Row],[TOTAL COST VALUE OF CURRENT INVESTMENT]]</f>
        <v>0</v>
      </c>
      <c r="AW246" s="48">
        <f>IFERROR(INVESTORS_LIST[[#This Row],[TOTAL CURRENT UNITS]]/SUM(INVESTORS_LIST[TOTAL CURRENT UNITS]),0)</f>
        <v>0</v>
      </c>
    </row>
    <row r="247" spans="1:49">
      <c r="A247" s="262" t="s">
        <v>543</v>
      </c>
      <c r="B247" s="97" t="s">
        <v>544</v>
      </c>
      <c r="C247" t="s">
        <v>67</v>
      </c>
      <c r="D247" s="75" t="s">
        <v>45</v>
      </c>
      <c r="E247" s="47">
        <f>SUMIFS(LS[Unit],LS[Investor ID],INVESTORS_LIST[[#This Row],[INVESTOR CODE]],LS[B/S],"B")</f>
        <v>100000</v>
      </c>
      <c r="F247" s="47">
        <f>-SUMIFS(LS[Unit],LS[Investor ID],INVESTORS_LIST[[#This Row],[INVESTOR CODE]],LS[B/S],"S")</f>
        <v>0</v>
      </c>
      <c r="G247" s="47">
        <f>IF(INVESTORS_LIST[[#This Row],[LS_TOTAL UNITS BUY]]=0,0,INVESTORS_LIST[[#This Row],[LS_TOTAL UNITS BUY]]-INVESTORS_LIST[[#This Row],[LS_TOTAL UNITS SOLD]])</f>
        <v>100000</v>
      </c>
      <c r="H247" s="49">
        <f>IF(INVESTORS_LIST[[#This Row],[LS_TOTAL UNITS BUY]]=0,0,SUMIFS(LS[Amount],LS[Investor ID],INVESTORS_LIST[[#This Row],[INVESTOR CODE]],LS[B/S],"B"))</f>
        <v>1000000</v>
      </c>
      <c r="I247" s="48">
        <f>IF(INVESTORS_LIST[[#This Row],[LS_TOTAL UNITS SOLD]]=0,0,SUMIFS(LS[Cost of Units Sold],LS[Investor ID],INVESTORS_LIST[[#This Row],[INVESTOR CODE]],LS[B/S],"S"))</f>
        <v>0</v>
      </c>
      <c r="J247" s="48">
        <f>IF(INVESTORS_LIST[[#This Row],[LS_TOTAL CURRENT UNITS]]=0,0,INVESTORS_LIST[[#This Row],[LS_TOTAL CURRENT UNITS]]*INVESTORS_LIST[[#This Row],[LS_AVERAGE COST]])</f>
        <v>1000000</v>
      </c>
      <c r="K247" s="49">
        <f>IF(INVESTORS_LIST[[#This Row],[LS_TOTAL UNITS SOLD]]=0,0,SUMIFS(LS[Realized Gain],LS[Investor ID],INVESTORS_LIST[[#This Row],[INVESTOR CODE]],LS[B/S],"S"))</f>
        <v>0</v>
      </c>
      <c r="L247" s="47">
        <f>SUMIFS(SIP[Unit],SIP[Investor ID],INVESTORS_LIST[[#This Row],[INVESTOR CODE]],SIP[B/S],"B")</f>
        <v>60313</v>
      </c>
      <c r="M247" s="47">
        <f>-SUMIFS(SIP[Unit],SIP[Investor ID],INVESTORS_LIST[[#This Row],[INVESTOR CODE]],SIP[B/S],"S")</f>
        <v>0</v>
      </c>
      <c r="N247" s="50">
        <f>IF(INVESTORS_LIST[[#This Row],[SIP_TOTAL UNITS BUY]]=0,0,INVESTORS_LIST[[#This Row],[SIP_TOTAL UNITS BUY]]-INVESTORS_LIST[[#This Row],[SIP_TOTAL UNITS SOLD]])</f>
        <v>60313</v>
      </c>
      <c r="O247" s="49">
        <f>IF(INVESTORS_LIST[[#This Row],[SIP_TOTAL UNITS BUY]]=0,0,SUMIFS(SIP[Amount],SIP[Investor ID],INVESTORS_LIST[[#This Row],[INVESTOR CODE]],SIP[B/S],"B"))</f>
        <v>700000</v>
      </c>
      <c r="P247" s="49">
        <f>IF(INVESTORS_LIST[[#This Row],[SIP_TOTAL UNITS SOLD]]=0,0,SUMIFS(SIP[Cost of Units Sold],SIP[Investor ID],INVESTORS_LIST[[#This Row],[INVESTOR CODE]],SIP[B/S],"S"))</f>
        <v>0</v>
      </c>
      <c r="Q247" s="48">
        <f>IF(INVESTORS_LIST[[#This Row],[SIP_TOTAL CURRENT UNITS]]=0,0,INVESTORS_LIST[[#This Row],[SIP_TOTAL CURRENT UNITS]]*INVESTORS_LIST[[#This Row],[SIP_AVERAGE COST]])</f>
        <v>700000.00000000012</v>
      </c>
      <c r="R247" s="48">
        <f>IF(INVESTORS_LIST[[#This Row],[SIP_TOTAL UNITS SOLD]]=0,0,SUMIFS(SIP[Realized Gain],SIP[Investor ID],INVESTORS_LIST[[#This Row],[INVESTOR CODE]],SIP[B/S],"S"))</f>
        <v>0</v>
      </c>
      <c r="S247" s="50">
        <f>INVESTORS_LIST[[#This Row],[LS_TOTAL UNITS BUY]]+INVESTORS_LIST[[#This Row],[SIP_TOTAL UNITS BUY]]</f>
        <v>160313</v>
      </c>
      <c r="T247" s="50">
        <f>INVESTORS_LIST[[#This Row],[LS_TOTAL UNITS SOLD]]+INVESTORS_LIST[[#This Row],[SIP_TOTAL UNITS SOLD]]</f>
        <v>0</v>
      </c>
      <c r="U247" s="50"/>
      <c r="V247" s="50">
        <f>SUMIFS(LS[BO UNIT TRANSFER],LS[Investor ID],INVESTORS_LIST[[#This Row],[INVESTOR CODE]],LS[B/S],"B")</f>
        <v>0</v>
      </c>
      <c r="W247" s="50">
        <f>SUMIFS(SIP[BO UNIT TRANSFER],SIP[Investor ID],INVESTORS_LIST[[#This Row],[INVESTOR CODE]],SIP[B/S],"B")</f>
        <v>0</v>
      </c>
      <c r="X247" s="50">
        <f>SUMIFS(LS[BO UNIT TRANSFER],LS[Investor ID],INVESTORS_LIST[[#This Row],[INVESTOR CODE]],LS[B/S],"S")</f>
        <v>0</v>
      </c>
      <c r="Y247" s="50">
        <f>SUMIFS(SIP[BO UNIT TRANSFER],SIP[Investor ID],INVESTORS_LIST[[#This Row],[INVESTOR CODE]],SIP[B/S],"S")</f>
        <v>0</v>
      </c>
      <c r="Z247" s="106">
        <f>SUM(INVESTORS_LIST[[#This Row],[BO OPENING BALANCE]:[BO SIP UNITS REPURCHASE]])</f>
        <v>0</v>
      </c>
      <c r="AA247" s="107">
        <f>INVESTORS_LIST[[#This Row],[TOTAL UNITS BUY]]-INVESTORS_LIST[[#This Row],[TOTAL UNITS SOLD]]</f>
        <v>160313</v>
      </c>
      <c r="AB247" s="107">
        <f>INVESTORS_LIST[[#This Row],[TOTAL CURRENT UNITS]]-INVESTORS_LIST[[#This Row],[BO UNITS HOLD]]</f>
        <v>160313</v>
      </c>
      <c r="AC247" s="201" t="e">
        <f>INDEX([3]!Table_1[BO ID],MATCH(INVESTORS_LIST[[#This Row],[INVESTOR CODE]],[3]!Table_1[INVESTOR CODE],0))</f>
        <v>#REF!</v>
      </c>
      <c r="AD247" s="201" t="e">
        <f>INDEX([3]!Table_1[Brokerage Name2],MATCH(INVESTORS_LIST[[#This Row],[INVESTOR CODE]],[3]!Table_1[INVESTOR CODE],0))</f>
        <v>#REF!</v>
      </c>
      <c r="AE247" s="201" t="e">
        <f>MID(INVESTORS_LIST[[#This Row],[BO ID]],4,5)</f>
        <v>#REF!</v>
      </c>
      <c r="AF247" s="201" t="e">
        <f>MID(INVESTORS_LIST[[#This Row],[BO ID]],2,7)</f>
        <v>#REF!</v>
      </c>
      <c r="AG247" s="201" t="e">
        <f>MID(INVESTORS_LIST[[#This Row],[BO ID]],9,7)</f>
        <v>#REF!</v>
      </c>
      <c r="AH247" s="201" t="e">
        <f>RIGHT(INVESTORS_LIST[[#This Row],[BO ID]],1)</f>
        <v>#REF!</v>
      </c>
      <c r="AI247" s="50">
        <f>INVESTORS_LIST[[#This Row],[LS_TOTAL COST VALUE OF CURRENT UNITS]]+INVESTORS_LIST[[#This Row],[SIP_TOTAL COST VALUE OF CURRENT UNITS]]</f>
        <v>1700000</v>
      </c>
      <c r="AJ247" s="109">
        <f>IF(INVESTORS_LIST[[#This Row],[TOTAL CURRENT UNITS]]=0,0,INVESTORS_LIST[[#This Row],[LS_TOTAL CURRENT UNITS]]/INVESTORS_LIST[[#This Row],[TOTAL CURRENT UNITS]])</f>
        <v>0.62377973090142413</v>
      </c>
      <c r="AK247" s="109">
        <f>IF(INVESTORS_LIST[[#This Row],[TOTAL CURRENT UNITS]]=0,0,INVESTORS_LIST[[#This Row],[SIP_TOTAL CURRENT UNITS]]/INVESTORS_LIST[[#This Row],[TOTAL CURRENT UNITS]])</f>
        <v>0.37622026909857592</v>
      </c>
      <c r="AL247" s="49" cm="1">
        <f t="array" ref="AL247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247" s="49" cm="1">
        <f t="array" ref="AM247">IF(INVESTORS_LIST[[#This Row],[SIP_TOTAL UNITS BUY]]&gt;0,INDEX(SIP[NAV at Cost (Average)],MATCH(CONCATENATE(COUNTIFS(SIP[Investor ID],INVESTORS_LIST[[#This Row],[INVESTOR CODE]]),INVESTORS_LIST[[#This Row],[INVESTOR CODE]]),SIP[Unique Code],0),),0)</f>
        <v>11.606121400029846</v>
      </c>
      <c r="AN247" s="105">
        <f>IF(INVESTORS_LIST[[#This Row],[TOTAL CURRENT UNITS]]=0,0,(INVESTORS_LIST[[#This Row],[LS_WEIGHT]]*INVESTORS_LIST[[#This Row],[LS_AVERAGE COST]])+(INVESTORS_LIST[[#This Row],[SIP_WEIGHT]]*INVESTORS_LIST[[#This Row],[SIP_AVERAGE COST]]))</f>
        <v>10.604255425324212</v>
      </c>
      <c r="AO247" s="105">
        <f t="shared" si="4"/>
        <v>14.224</v>
      </c>
      <c r="AP247" s="112">
        <f>IF(INVESTORS_LIST[[#This Row],[TOTAL CURRENT UNITS]]=0,0,INVESTORS_LIST[[#This Row],[TOTAL CURRENT UNITS]]*INVESTORS_LIST[[#This Row],[NAV]])</f>
        <v>2280292.1120000002</v>
      </c>
      <c r="AQ247" s="49">
        <f>IF(INVESTORS_LIST[[#This Row],[LS_TOTAL CURRENT UNITS]]=0,0,INVESTORS_LIST[[#This Row],[LS_TOTAL CURRENT UNITS]]*INVESTORS_LIST[[#This Row],[NAV]])</f>
        <v>1422400</v>
      </c>
      <c r="AR247" s="48">
        <f>IF(INVESTORS_LIST[[#This Row],[SIP_TOTAL CURRENT UNITS]]=0,0,INVESTORS_LIST[[#This Row],[SIP_TOTAL CURRENT UNITS]]*INVESTORS_LIST[[#This Row],[NAV]])</f>
        <v>857892.11199999996</v>
      </c>
      <c r="AS247" s="50">
        <f>INVESTORS_LIST[[#This Row],[TOTAL CURRENT UNITS]]</f>
        <v>160313</v>
      </c>
      <c r="AT247" s="48">
        <f>IF(INVESTORS_LIST[[#This Row],[TOTAL SELLABLE UNITS]]=0,0,INVESTORS_LIST[[#This Row],[TOTAL SELLABLE UNITS]]*INVESTORS_LIST[[#This Row],[NAV]])</f>
        <v>2280292.1120000002</v>
      </c>
      <c r="AU247" s="48">
        <f>INVESTORS_LIST[[#This Row],[LS_TOTAL REALIZED GAIN]]+INVESTORS_LIST[[#This Row],[SIP_TOTAL REALIZED GAIN]]</f>
        <v>0</v>
      </c>
      <c r="AV247" s="48">
        <f>INVESTORS_LIST[[#This Row],[TOTAL MARKET VALUE]]-INVESTORS_LIST[[#This Row],[TOTAL COST VALUE OF CURRENT INVESTMENT]]</f>
        <v>580292.1120000002</v>
      </c>
      <c r="AW247" s="108">
        <f>IFERROR(INVESTORS_LIST[[#This Row],[TOTAL CURRENT UNITS]]/SUM(INVESTORS_LIST[TOTAL CURRENT UNITS]),0)</f>
        <v>3.8917917164480653E-3</v>
      </c>
    </row>
    <row r="248" spans="1:49">
      <c r="A248" s="262" t="s">
        <v>545</v>
      </c>
      <c r="B248" s="97" t="s">
        <v>546</v>
      </c>
      <c r="C248" t="s">
        <v>44</v>
      </c>
      <c r="D248" s="75" t="s">
        <v>45</v>
      </c>
      <c r="E248" s="47">
        <f>SUMIFS(LS[Unit],LS[Investor ID],INVESTORS_LIST[[#This Row],[INVESTOR CODE]],LS[B/S],"B")</f>
        <v>200000</v>
      </c>
      <c r="F248" s="47">
        <f>-SUMIFS(LS[Unit],LS[Investor ID],INVESTORS_LIST[[#This Row],[INVESTOR CODE]],LS[B/S],"S")</f>
        <v>0</v>
      </c>
      <c r="G248" s="47">
        <f>IF(INVESTORS_LIST[[#This Row],[LS_TOTAL UNITS BUY]]=0,0,INVESTORS_LIST[[#This Row],[LS_TOTAL UNITS BUY]]-INVESTORS_LIST[[#This Row],[LS_TOTAL UNITS SOLD]])</f>
        <v>200000</v>
      </c>
      <c r="H248" s="49">
        <f>IF(INVESTORS_LIST[[#This Row],[LS_TOTAL UNITS BUY]]=0,0,SUMIFS(LS[Amount],LS[Investor ID],INVESTORS_LIST[[#This Row],[INVESTOR CODE]],LS[B/S],"B"))</f>
        <v>2000000</v>
      </c>
      <c r="I248" s="48">
        <f>IF(INVESTORS_LIST[[#This Row],[LS_TOTAL UNITS SOLD]]=0,0,SUMIFS(LS[Cost of Units Sold],LS[Investor ID],INVESTORS_LIST[[#This Row],[INVESTOR CODE]],LS[B/S],"S"))</f>
        <v>0</v>
      </c>
      <c r="J248" s="48">
        <f>IF(INVESTORS_LIST[[#This Row],[LS_TOTAL CURRENT UNITS]]=0,0,INVESTORS_LIST[[#This Row],[LS_TOTAL CURRENT UNITS]]*INVESTORS_LIST[[#This Row],[LS_AVERAGE COST]])</f>
        <v>2000000</v>
      </c>
      <c r="K248" s="49">
        <f>IF(INVESTORS_LIST[[#This Row],[LS_TOTAL UNITS SOLD]]=0,0,SUMIFS(LS[Realized Gain],LS[Investor ID],INVESTORS_LIST[[#This Row],[INVESTOR CODE]],LS[B/S],"S"))</f>
        <v>0</v>
      </c>
      <c r="L248" s="47">
        <f>SUMIFS(SIP[Unit],SIP[Investor ID],INVESTORS_LIST[[#This Row],[INVESTOR CODE]],SIP[B/S],"B")</f>
        <v>48151</v>
      </c>
      <c r="M248" s="47">
        <f>-SUMIFS(SIP[Unit],SIP[Investor ID],INVESTORS_LIST[[#This Row],[INVESTOR CODE]],SIP[B/S],"S")</f>
        <v>0</v>
      </c>
      <c r="N248" s="50">
        <f>IF(INVESTORS_LIST[[#This Row],[SIP_TOTAL UNITS BUY]]=0,0,INVESTORS_LIST[[#This Row],[SIP_TOTAL UNITS BUY]]-INVESTORS_LIST[[#This Row],[SIP_TOTAL UNITS SOLD]])</f>
        <v>48151</v>
      </c>
      <c r="O248" s="49">
        <f>IF(INVESTORS_LIST[[#This Row],[SIP_TOTAL UNITS BUY]]=0,0,SUMIFS(SIP[Amount],SIP[Investor ID],INVESTORS_LIST[[#This Row],[INVESTOR CODE]],SIP[B/S],"B"))</f>
        <v>500000</v>
      </c>
      <c r="P248" s="49">
        <f>IF(INVESTORS_LIST[[#This Row],[SIP_TOTAL UNITS SOLD]]=0,0,SUMIFS(SIP[Cost of Units Sold],SIP[Investor ID],INVESTORS_LIST[[#This Row],[INVESTOR CODE]],SIP[B/S],"S"))</f>
        <v>0</v>
      </c>
      <c r="Q248" s="48">
        <f>IF(INVESTORS_LIST[[#This Row],[SIP_TOTAL CURRENT UNITS]]=0,0,INVESTORS_LIST[[#This Row],[SIP_TOTAL CURRENT UNITS]]*INVESTORS_LIST[[#This Row],[SIP_AVERAGE COST]])</f>
        <v>500000</v>
      </c>
      <c r="R248" s="48">
        <f>IF(INVESTORS_LIST[[#This Row],[SIP_TOTAL UNITS SOLD]]=0,0,SUMIFS(SIP[Realized Gain],SIP[Investor ID],INVESTORS_LIST[[#This Row],[INVESTOR CODE]],SIP[B/S],"S"))</f>
        <v>0</v>
      </c>
      <c r="S248" s="50">
        <f>INVESTORS_LIST[[#This Row],[LS_TOTAL UNITS BUY]]+INVESTORS_LIST[[#This Row],[SIP_TOTAL UNITS BUY]]</f>
        <v>248151</v>
      </c>
      <c r="T248" s="50">
        <f>INVESTORS_LIST[[#This Row],[LS_TOTAL UNITS SOLD]]+INVESTORS_LIST[[#This Row],[SIP_TOTAL UNITS SOLD]]</f>
        <v>0</v>
      </c>
      <c r="U248" s="50"/>
      <c r="V248" s="50">
        <f>SUMIFS(LS[BO UNIT TRANSFER],LS[Investor ID],INVESTORS_LIST[[#This Row],[INVESTOR CODE]],LS[B/S],"B")</f>
        <v>0</v>
      </c>
      <c r="W248" s="50">
        <f>SUMIFS(SIP[BO UNIT TRANSFER],SIP[Investor ID],INVESTORS_LIST[[#This Row],[INVESTOR CODE]],SIP[B/S],"B")</f>
        <v>0</v>
      </c>
      <c r="X248" s="50">
        <f>SUMIFS(LS[BO UNIT TRANSFER],LS[Investor ID],INVESTORS_LIST[[#This Row],[INVESTOR CODE]],LS[B/S],"S")</f>
        <v>0</v>
      </c>
      <c r="Y248" s="50">
        <f>SUMIFS(SIP[BO UNIT TRANSFER],SIP[Investor ID],INVESTORS_LIST[[#This Row],[INVESTOR CODE]],SIP[B/S],"S")</f>
        <v>0</v>
      </c>
      <c r="Z248" s="106">
        <f>SUM(INVESTORS_LIST[[#This Row],[BO OPENING BALANCE]:[BO SIP UNITS REPURCHASE]])</f>
        <v>0</v>
      </c>
      <c r="AA248" s="107">
        <f>INVESTORS_LIST[[#This Row],[TOTAL UNITS BUY]]-INVESTORS_LIST[[#This Row],[TOTAL UNITS SOLD]]</f>
        <v>248151</v>
      </c>
      <c r="AB248" s="107">
        <f>INVESTORS_LIST[[#This Row],[TOTAL CURRENT UNITS]]-INVESTORS_LIST[[#This Row],[BO UNITS HOLD]]</f>
        <v>248151</v>
      </c>
      <c r="AC248" s="201" t="e">
        <f>INDEX([3]!Table_1[BO ID],MATCH(INVESTORS_LIST[[#This Row],[INVESTOR CODE]],[3]!Table_1[INVESTOR CODE],0))</f>
        <v>#REF!</v>
      </c>
      <c r="AD248" s="201" t="e">
        <f>INDEX([3]!Table_1[Brokerage Name2],MATCH(INVESTORS_LIST[[#This Row],[INVESTOR CODE]],[3]!Table_1[INVESTOR CODE],0))</f>
        <v>#REF!</v>
      </c>
      <c r="AE248" s="201" t="e">
        <f>MID(INVESTORS_LIST[[#This Row],[BO ID]],4,5)</f>
        <v>#REF!</v>
      </c>
      <c r="AF248" s="201" t="e">
        <f>MID(INVESTORS_LIST[[#This Row],[BO ID]],2,7)</f>
        <v>#REF!</v>
      </c>
      <c r="AG248" s="201" t="e">
        <f>MID(INVESTORS_LIST[[#This Row],[BO ID]],9,7)</f>
        <v>#REF!</v>
      </c>
      <c r="AH248" s="201" t="e">
        <f>RIGHT(INVESTORS_LIST[[#This Row],[BO ID]],1)</f>
        <v>#REF!</v>
      </c>
      <c r="AI248" s="50">
        <f>INVESTORS_LIST[[#This Row],[LS_TOTAL COST VALUE OF CURRENT UNITS]]+INVESTORS_LIST[[#This Row],[SIP_TOTAL COST VALUE OF CURRENT UNITS]]</f>
        <v>2500000</v>
      </c>
      <c r="AJ248" s="109">
        <f>IF(INVESTORS_LIST[[#This Row],[TOTAL CURRENT UNITS]]=0,0,INVESTORS_LIST[[#This Row],[LS_TOTAL CURRENT UNITS]]/INVESTORS_LIST[[#This Row],[TOTAL CURRENT UNITS]])</f>
        <v>0.80596088671816757</v>
      </c>
      <c r="AK248" s="109">
        <f>IF(INVESTORS_LIST[[#This Row],[TOTAL CURRENT UNITS]]=0,0,INVESTORS_LIST[[#This Row],[SIP_TOTAL CURRENT UNITS]]/INVESTORS_LIST[[#This Row],[TOTAL CURRENT UNITS]])</f>
        <v>0.19403911328183243</v>
      </c>
      <c r="AL248" s="49" cm="1">
        <f t="array" ref="AL248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248" s="49" cm="1">
        <f t="array" ref="AM248">IF(INVESTORS_LIST[[#This Row],[SIP_TOTAL UNITS BUY]]&gt;0,INDEX(SIP[NAV at Cost (Average)],MATCH(CONCATENATE(COUNTIFS(SIP[Investor ID],INVESTORS_LIST[[#This Row],[INVESTOR CODE]]),INVESTORS_LIST[[#This Row],[INVESTOR CODE]]),SIP[Unique Code],0),),0)</f>
        <v>10.384000332288011</v>
      </c>
      <c r="AN248" s="105">
        <f>IF(INVESTORS_LIST[[#This Row],[TOTAL CURRENT UNITS]]=0,0,(INVESTORS_LIST[[#This Row],[LS_WEIGHT]]*INVESTORS_LIST[[#This Row],[LS_AVERAGE COST]])+(INVESTORS_LIST[[#This Row],[SIP_WEIGHT]]*INVESTORS_LIST[[#This Row],[SIP_AVERAGE COST]]))</f>
        <v>10.074511083977097</v>
      </c>
      <c r="AO248" s="105">
        <f t="shared" si="4"/>
        <v>14.224</v>
      </c>
      <c r="AP248" s="112">
        <f>IF(INVESTORS_LIST[[#This Row],[TOTAL CURRENT UNITS]]=0,0,INVESTORS_LIST[[#This Row],[TOTAL CURRENT UNITS]]*INVESTORS_LIST[[#This Row],[NAV]])</f>
        <v>3529699.824</v>
      </c>
      <c r="AQ248" s="49">
        <f>IF(INVESTORS_LIST[[#This Row],[LS_TOTAL CURRENT UNITS]]=0,0,INVESTORS_LIST[[#This Row],[LS_TOTAL CURRENT UNITS]]*INVESTORS_LIST[[#This Row],[NAV]])</f>
        <v>2844800</v>
      </c>
      <c r="AR248" s="48">
        <f>IF(INVESTORS_LIST[[#This Row],[SIP_TOTAL CURRENT UNITS]]=0,0,INVESTORS_LIST[[#This Row],[SIP_TOTAL CURRENT UNITS]]*INVESTORS_LIST[[#This Row],[NAV]])</f>
        <v>684899.82400000002</v>
      </c>
      <c r="AS248" s="50">
        <f>INVESTORS_LIST[[#This Row],[TOTAL CURRENT UNITS]]</f>
        <v>248151</v>
      </c>
      <c r="AT248" s="48">
        <f>IF(INVESTORS_LIST[[#This Row],[TOTAL SELLABLE UNITS]]=0,0,INVESTORS_LIST[[#This Row],[TOTAL SELLABLE UNITS]]*INVESTORS_LIST[[#This Row],[NAV]])</f>
        <v>3529699.824</v>
      </c>
      <c r="AU248" s="48">
        <f>INVESTORS_LIST[[#This Row],[LS_TOTAL REALIZED GAIN]]+INVESTORS_LIST[[#This Row],[SIP_TOTAL REALIZED GAIN]]</f>
        <v>0</v>
      </c>
      <c r="AV248" s="48">
        <f>INVESTORS_LIST[[#This Row],[TOTAL MARKET VALUE]]-INVESTORS_LIST[[#This Row],[TOTAL COST VALUE OF CURRENT INVESTMENT]]</f>
        <v>1029699.824</v>
      </c>
      <c r="AW248" s="108">
        <f>IFERROR(INVESTORS_LIST[[#This Row],[TOTAL CURRENT UNITS]]/SUM(INVESTORS_LIST[TOTAL CURRENT UNITS]),0)</f>
        <v>6.0241652656260183E-3</v>
      </c>
    </row>
    <row r="249" spans="1:49" hidden="1">
      <c r="A249" s="262" t="s">
        <v>547</v>
      </c>
      <c r="B249" s="97" t="s">
        <v>548</v>
      </c>
      <c r="C249" t="s">
        <v>67</v>
      </c>
      <c r="D249" s="75" t="s">
        <v>45</v>
      </c>
      <c r="E249" s="47">
        <f>SUMIFS(LS[Unit],LS[Investor ID],INVESTORS_LIST[[#This Row],[INVESTOR CODE]],LS[B/S],"B")</f>
        <v>0</v>
      </c>
      <c r="F249" s="47">
        <f>-SUMIFS(LS[Unit],LS[Investor ID],INVESTORS_LIST[[#This Row],[INVESTOR CODE]],LS[B/S],"S")</f>
        <v>0</v>
      </c>
      <c r="G249" s="47">
        <f>IF(INVESTORS_LIST[[#This Row],[LS_TOTAL UNITS BUY]]=0,0,INVESTORS_LIST[[#This Row],[LS_TOTAL UNITS BUY]]-INVESTORS_LIST[[#This Row],[LS_TOTAL UNITS SOLD]])</f>
        <v>0</v>
      </c>
      <c r="H249" s="49">
        <f>IF(INVESTORS_LIST[[#This Row],[LS_TOTAL UNITS BUY]]=0,0,SUMIFS(LS[Amount],LS[Investor ID],INVESTORS_LIST[[#This Row],[INVESTOR CODE]],LS[B/S],"B"))</f>
        <v>0</v>
      </c>
      <c r="I249" s="48">
        <f>IF(INVESTORS_LIST[[#This Row],[LS_TOTAL UNITS SOLD]]=0,0,SUMIFS(LS[Cost of Units Sold],LS[Investor ID],INVESTORS_LIST[[#This Row],[INVESTOR CODE]],LS[B/S],"S"))</f>
        <v>0</v>
      </c>
      <c r="J249" s="48">
        <f>IF(INVESTORS_LIST[[#This Row],[LS_TOTAL CURRENT UNITS]]=0,0,INVESTORS_LIST[[#This Row],[LS_TOTAL CURRENT UNITS]]*INVESTORS_LIST[[#This Row],[LS_AVERAGE COST]])</f>
        <v>0</v>
      </c>
      <c r="K249" s="49">
        <f>IF(INVESTORS_LIST[[#This Row],[LS_TOTAL UNITS SOLD]]=0,0,SUMIFS(LS[Realized Gain],LS[Investor ID],INVESTORS_LIST[[#This Row],[INVESTOR CODE]],LS[B/S],"S"))</f>
        <v>0</v>
      </c>
      <c r="L249" s="47">
        <f>SUMIFS(SIP[Unit],SIP[Investor ID],INVESTORS_LIST[[#This Row],[INVESTOR CODE]],SIP[B/S],"B")</f>
        <v>0</v>
      </c>
      <c r="M249" s="47">
        <f>-SUMIFS(SIP[Unit],SIP[Investor ID],INVESTORS_LIST[[#This Row],[INVESTOR CODE]],SIP[B/S],"S")</f>
        <v>0</v>
      </c>
      <c r="N249" s="50">
        <f>IF(INVESTORS_LIST[[#This Row],[SIP_TOTAL UNITS BUY]]=0,0,INVESTORS_LIST[[#This Row],[SIP_TOTAL UNITS BUY]]-INVESTORS_LIST[[#This Row],[SIP_TOTAL UNITS SOLD]])</f>
        <v>0</v>
      </c>
      <c r="O249" s="49">
        <f>IF(INVESTORS_LIST[[#This Row],[SIP_TOTAL UNITS BUY]]=0,0,SUMIFS(SIP[Amount],SIP[Investor ID],INVESTORS_LIST[[#This Row],[INVESTOR CODE]],SIP[B/S],"B"))</f>
        <v>0</v>
      </c>
      <c r="P249" s="49">
        <f>IF(INVESTORS_LIST[[#This Row],[SIP_TOTAL UNITS SOLD]]=0,0,SUMIFS(SIP[Cost of Units Sold],SIP[Investor ID],INVESTORS_LIST[[#This Row],[INVESTOR CODE]],SIP[B/S],"S"))</f>
        <v>0</v>
      </c>
      <c r="Q249" s="48">
        <f>IF(INVESTORS_LIST[[#This Row],[SIP_TOTAL CURRENT UNITS]]=0,0,INVESTORS_LIST[[#This Row],[SIP_TOTAL CURRENT UNITS]]*INVESTORS_LIST[[#This Row],[SIP_AVERAGE COST]])</f>
        <v>0</v>
      </c>
      <c r="R249" s="48">
        <f>IF(INVESTORS_LIST[[#This Row],[SIP_TOTAL UNITS SOLD]]=0,0,SUMIFS(SIP[Realized Gain],SIP[Investor ID],INVESTORS_LIST[[#This Row],[INVESTOR CODE]],SIP[B/S],"S"))</f>
        <v>0</v>
      </c>
      <c r="S249" s="50">
        <f>INVESTORS_LIST[[#This Row],[LS_TOTAL UNITS BUY]]+INVESTORS_LIST[[#This Row],[SIP_TOTAL UNITS BUY]]</f>
        <v>0</v>
      </c>
      <c r="T249" s="50">
        <f>INVESTORS_LIST[[#This Row],[LS_TOTAL UNITS SOLD]]+INVESTORS_LIST[[#This Row],[SIP_TOTAL UNITS SOLD]]</f>
        <v>0</v>
      </c>
      <c r="U249" s="50"/>
      <c r="V249" s="50">
        <f>SUMIFS(LS[BO UNIT TRANSFER],LS[Investor ID],INVESTORS_LIST[[#This Row],[INVESTOR CODE]],LS[B/S],"B")</f>
        <v>0</v>
      </c>
      <c r="W249" s="50">
        <f>SUMIFS(SIP[BO UNIT TRANSFER],SIP[Investor ID],INVESTORS_LIST[[#This Row],[INVESTOR CODE]],SIP[B/S],"B")</f>
        <v>0</v>
      </c>
      <c r="X249" s="50">
        <f>SUMIFS(LS[BO UNIT TRANSFER],LS[Investor ID],INVESTORS_LIST[[#This Row],[INVESTOR CODE]],LS[B/S],"S")</f>
        <v>0</v>
      </c>
      <c r="Y249" s="50">
        <f>SUMIFS(SIP[BO UNIT TRANSFER],SIP[Investor ID],INVESTORS_LIST[[#This Row],[INVESTOR CODE]],SIP[B/S],"S")</f>
        <v>0</v>
      </c>
      <c r="Z249" s="106">
        <f>SUM(INVESTORS_LIST[[#This Row],[BO OPENING BALANCE]:[BO SIP UNITS REPURCHASE]])</f>
        <v>0</v>
      </c>
      <c r="AA249" s="107">
        <f>INVESTORS_LIST[[#This Row],[TOTAL UNITS BUY]]-INVESTORS_LIST[[#This Row],[TOTAL UNITS SOLD]]</f>
        <v>0</v>
      </c>
      <c r="AB249" s="107">
        <f>INVESTORS_LIST[[#This Row],[TOTAL CURRENT UNITS]]-INVESTORS_LIST[[#This Row],[BO UNITS HOLD]]</f>
        <v>0</v>
      </c>
      <c r="AC249" s="201" t="e">
        <f>INDEX([3]!Table_1[BO ID],MATCH(INVESTORS_LIST[[#This Row],[INVESTOR CODE]],[3]!Table_1[INVESTOR CODE],0))</f>
        <v>#REF!</v>
      </c>
      <c r="AD249" s="201" t="e">
        <f>INDEX([3]!Table_1[Brokerage Name2],MATCH(INVESTORS_LIST[[#This Row],[INVESTOR CODE]],[3]!Table_1[INVESTOR CODE],0))</f>
        <v>#REF!</v>
      </c>
      <c r="AE249" s="201" t="e">
        <f>MID(INVESTORS_LIST[[#This Row],[BO ID]],4,5)</f>
        <v>#REF!</v>
      </c>
      <c r="AF249" s="201" t="e">
        <f>MID(INVESTORS_LIST[[#This Row],[BO ID]],2,7)</f>
        <v>#REF!</v>
      </c>
      <c r="AG249" s="201" t="e">
        <f>MID(INVESTORS_LIST[[#This Row],[BO ID]],9,7)</f>
        <v>#REF!</v>
      </c>
      <c r="AH249" s="201" t="e">
        <f>RIGHT(INVESTORS_LIST[[#This Row],[BO ID]],1)</f>
        <v>#REF!</v>
      </c>
      <c r="AI249" s="50">
        <f>INVESTORS_LIST[[#This Row],[LS_TOTAL COST VALUE OF CURRENT UNITS]]+INVESTORS_LIST[[#This Row],[SIP_TOTAL COST VALUE OF CURRENT UNITS]]</f>
        <v>0</v>
      </c>
      <c r="AJ249" s="109">
        <f>IF(INVESTORS_LIST[[#This Row],[TOTAL CURRENT UNITS]]=0,0,INVESTORS_LIST[[#This Row],[LS_TOTAL CURRENT UNITS]]/INVESTORS_LIST[[#This Row],[TOTAL CURRENT UNITS]])</f>
        <v>0</v>
      </c>
      <c r="AK249" s="109">
        <f>IF(INVESTORS_LIST[[#This Row],[TOTAL CURRENT UNITS]]=0,0,INVESTORS_LIST[[#This Row],[SIP_TOTAL CURRENT UNITS]]/INVESTORS_LIST[[#This Row],[TOTAL CURRENT UNITS]])</f>
        <v>0</v>
      </c>
      <c r="AL249" s="49" cm="1">
        <f t="array" ref="AL2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49" s="49" cm="1">
        <f t="array" ref="AM2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4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49" s="105">
        <f t="shared" si="4"/>
        <v>14.224</v>
      </c>
      <c r="AP249" s="112">
        <f>IF(INVESTORS_LIST[[#This Row],[TOTAL CURRENT UNITS]]=0,0,INVESTORS_LIST[[#This Row],[TOTAL CURRENT UNITS]]*INVESTORS_LIST[[#This Row],[NAV]])</f>
        <v>0</v>
      </c>
      <c r="AQ249" s="49">
        <f>IF(INVESTORS_LIST[[#This Row],[LS_TOTAL CURRENT UNITS]]=0,0,INVESTORS_LIST[[#This Row],[LS_TOTAL CURRENT UNITS]]*INVESTORS_LIST[[#This Row],[NAV]])</f>
        <v>0</v>
      </c>
      <c r="AR249" s="48">
        <f>IF(INVESTORS_LIST[[#This Row],[SIP_TOTAL CURRENT UNITS]]=0,0,INVESTORS_LIST[[#This Row],[SIP_TOTAL CURRENT UNITS]]*INVESTORS_LIST[[#This Row],[NAV]])</f>
        <v>0</v>
      </c>
      <c r="AS249" s="50">
        <f>INVESTORS_LIST[[#This Row],[TOTAL CURRENT UNITS]]</f>
        <v>0</v>
      </c>
      <c r="AT249" s="48">
        <f>IF(INVESTORS_LIST[[#This Row],[TOTAL SELLABLE UNITS]]=0,0,INVESTORS_LIST[[#This Row],[TOTAL SELLABLE UNITS]]*INVESTORS_LIST[[#This Row],[NAV]])</f>
        <v>0</v>
      </c>
      <c r="AU249" s="48">
        <f>INVESTORS_LIST[[#This Row],[LS_TOTAL REALIZED GAIN]]+INVESTORS_LIST[[#This Row],[SIP_TOTAL REALIZED GAIN]]</f>
        <v>0</v>
      </c>
      <c r="AV249" s="48">
        <f>INVESTORS_LIST[[#This Row],[TOTAL MARKET VALUE]]-INVESTORS_LIST[[#This Row],[TOTAL COST VALUE OF CURRENT INVESTMENT]]</f>
        <v>0</v>
      </c>
      <c r="AW249" s="48">
        <f>IFERROR(INVESTORS_LIST[[#This Row],[TOTAL CURRENT UNITS]]/SUM(INVESTORS_LIST[TOTAL CURRENT UNITS]),0)</f>
        <v>0</v>
      </c>
    </row>
    <row r="250" spans="1:49" hidden="1">
      <c r="A250" s="262" t="s">
        <v>549</v>
      </c>
      <c r="B250" s="97" t="s">
        <v>550</v>
      </c>
      <c r="C250" t="s">
        <v>44</v>
      </c>
      <c r="D250" s="75" t="s">
        <v>45</v>
      </c>
      <c r="E250" s="47">
        <f>SUMIFS(LS[Unit],LS[Investor ID],INVESTORS_LIST[[#This Row],[INVESTOR CODE]],LS[B/S],"B")</f>
        <v>0</v>
      </c>
      <c r="F250" s="47">
        <f>-SUMIFS(LS[Unit],LS[Investor ID],INVESTORS_LIST[[#This Row],[INVESTOR CODE]],LS[B/S],"S")</f>
        <v>0</v>
      </c>
      <c r="G250" s="47">
        <f>IF(INVESTORS_LIST[[#This Row],[LS_TOTAL UNITS BUY]]=0,0,INVESTORS_LIST[[#This Row],[LS_TOTAL UNITS BUY]]-INVESTORS_LIST[[#This Row],[LS_TOTAL UNITS SOLD]])</f>
        <v>0</v>
      </c>
      <c r="H250" s="49">
        <f>IF(INVESTORS_LIST[[#This Row],[LS_TOTAL UNITS BUY]]=0,0,SUMIFS(LS[Amount],LS[Investor ID],INVESTORS_LIST[[#This Row],[INVESTOR CODE]],LS[B/S],"B"))</f>
        <v>0</v>
      </c>
      <c r="I250" s="48">
        <f>IF(INVESTORS_LIST[[#This Row],[LS_TOTAL UNITS SOLD]]=0,0,SUMIFS(LS[Cost of Units Sold],LS[Investor ID],INVESTORS_LIST[[#This Row],[INVESTOR CODE]],LS[B/S],"S"))</f>
        <v>0</v>
      </c>
      <c r="J250" s="48">
        <f>IF(INVESTORS_LIST[[#This Row],[LS_TOTAL CURRENT UNITS]]=0,0,INVESTORS_LIST[[#This Row],[LS_TOTAL CURRENT UNITS]]*INVESTORS_LIST[[#This Row],[LS_AVERAGE COST]])</f>
        <v>0</v>
      </c>
      <c r="K250" s="49">
        <f>IF(INVESTORS_LIST[[#This Row],[LS_TOTAL UNITS SOLD]]=0,0,SUMIFS(LS[Realized Gain],LS[Investor ID],INVESTORS_LIST[[#This Row],[INVESTOR CODE]],LS[B/S],"S"))</f>
        <v>0</v>
      </c>
      <c r="L250" s="47">
        <f>SUMIFS(SIP[Unit],SIP[Investor ID],INVESTORS_LIST[[#This Row],[INVESTOR CODE]],SIP[B/S],"B")</f>
        <v>0</v>
      </c>
      <c r="M250" s="47">
        <f>-SUMIFS(SIP[Unit],SIP[Investor ID],INVESTORS_LIST[[#This Row],[INVESTOR CODE]],SIP[B/S],"S")</f>
        <v>0</v>
      </c>
      <c r="N250" s="50">
        <f>IF(INVESTORS_LIST[[#This Row],[SIP_TOTAL UNITS BUY]]=0,0,INVESTORS_LIST[[#This Row],[SIP_TOTAL UNITS BUY]]-INVESTORS_LIST[[#This Row],[SIP_TOTAL UNITS SOLD]])</f>
        <v>0</v>
      </c>
      <c r="O250" s="49">
        <f>IF(INVESTORS_LIST[[#This Row],[SIP_TOTAL UNITS BUY]]=0,0,SUMIFS(SIP[Amount],SIP[Investor ID],INVESTORS_LIST[[#This Row],[INVESTOR CODE]],SIP[B/S],"B"))</f>
        <v>0</v>
      </c>
      <c r="P250" s="49">
        <f>IF(INVESTORS_LIST[[#This Row],[SIP_TOTAL UNITS SOLD]]=0,0,SUMIFS(SIP[Cost of Units Sold],SIP[Investor ID],INVESTORS_LIST[[#This Row],[INVESTOR CODE]],SIP[B/S],"S"))</f>
        <v>0</v>
      </c>
      <c r="Q250" s="48">
        <f>IF(INVESTORS_LIST[[#This Row],[SIP_TOTAL CURRENT UNITS]]=0,0,INVESTORS_LIST[[#This Row],[SIP_TOTAL CURRENT UNITS]]*INVESTORS_LIST[[#This Row],[SIP_AVERAGE COST]])</f>
        <v>0</v>
      </c>
      <c r="R250" s="48">
        <f>IF(INVESTORS_LIST[[#This Row],[SIP_TOTAL UNITS SOLD]]=0,0,SUMIFS(SIP[Realized Gain],SIP[Investor ID],INVESTORS_LIST[[#This Row],[INVESTOR CODE]],SIP[B/S],"S"))</f>
        <v>0</v>
      </c>
      <c r="S250" s="50">
        <f>INVESTORS_LIST[[#This Row],[LS_TOTAL UNITS BUY]]+INVESTORS_LIST[[#This Row],[SIP_TOTAL UNITS BUY]]</f>
        <v>0</v>
      </c>
      <c r="T250" s="50">
        <f>INVESTORS_LIST[[#This Row],[LS_TOTAL UNITS SOLD]]+INVESTORS_LIST[[#This Row],[SIP_TOTAL UNITS SOLD]]</f>
        <v>0</v>
      </c>
      <c r="U250" s="50"/>
      <c r="V250" s="50">
        <f>SUMIFS(LS[BO UNIT TRANSFER],LS[Investor ID],INVESTORS_LIST[[#This Row],[INVESTOR CODE]],LS[B/S],"B")</f>
        <v>0</v>
      </c>
      <c r="W250" s="50">
        <f>SUMIFS(SIP[BO UNIT TRANSFER],SIP[Investor ID],INVESTORS_LIST[[#This Row],[INVESTOR CODE]],SIP[B/S],"B")</f>
        <v>0</v>
      </c>
      <c r="X250" s="50">
        <f>SUMIFS(LS[BO UNIT TRANSFER],LS[Investor ID],INVESTORS_LIST[[#This Row],[INVESTOR CODE]],LS[B/S],"S")</f>
        <v>0</v>
      </c>
      <c r="Y250" s="50">
        <f>SUMIFS(SIP[BO UNIT TRANSFER],SIP[Investor ID],INVESTORS_LIST[[#This Row],[INVESTOR CODE]],SIP[B/S],"S")</f>
        <v>0</v>
      </c>
      <c r="Z250" s="106">
        <f>SUM(INVESTORS_LIST[[#This Row],[BO OPENING BALANCE]:[BO SIP UNITS REPURCHASE]])</f>
        <v>0</v>
      </c>
      <c r="AA250" s="107">
        <f>INVESTORS_LIST[[#This Row],[TOTAL UNITS BUY]]-INVESTORS_LIST[[#This Row],[TOTAL UNITS SOLD]]</f>
        <v>0</v>
      </c>
      <c r="AB250" s="107">
        <f>INVESTORS_LIST[[#This Row],[TOTAL CURRENT UNITS]]-INVESTORS_LIST[[#This Row],[BO UNITS HOLD]]</f>
        <v>0</v>
      </c>
      <c r="AC250" s="201" t="e">
        <f>INDEX([3]!Table_1[BO ID],MATCH(INVESTORS_LIST[[#This Row],[INVESTOR CODE]],[3]!Table_1[INVESTOR CODE],0))</f>
        <v>#REF!</v>
      </c>
      <c r="AD250" s="201" t="e">
        <f>INDEX([3]!Table_1[Brokerage Name2],MATCH(INVESTORS_LIST[[#This Row],[INVESTOR CODE]],[3]!Table_1[INVESTOR CODE],0))</f>
        <v>#REF!</v>
      </c>
      <c r="AE250" s="201" t="e">
        <f>MID(INVESTORS_LIST[[#This Row],[BO ID]],4,5)</f>
        <v>#REF!</v>
      </c>
      <c r="AF250" s="201" t="e">
        <f>MID(INVESTORS_LIST[[#This Row],[BO ID]],2,7)</f>
        <v>#REF!</v>
      </c>
      <c r="AG250" s="201" t="e">
        <f>MID(INVESTORS_LIST[[#This Row],[BO ID]],9,7)</f>
        <v>#REF!</v>
      </c>
      <c r="AH250" s="201" t="e">
        <f>RIGHT(INVESTORS_LIST[[#This Row],[BO ID]],1)</f>
        <v>#REF!</v>
      </c>
      <c r="AI250" s="50">
        <f>INVESTORS_LIST[[#This Row],[LS_TOTAL COST VALUE OF CURRENT UNITS]]+INVESTORS_LIST[[#This Row],[SIP_TOTAL COST VALUE OF CURRENT UNITS]]</f>
        <v>0</v>
      </c>
      <c r="AJ250" s="109">
        <f>IF(INVESTORS_LIST[[#This Row],[TOTAL CURRENT UNITS]]=0,0,INVESTORS_LIST[[#This Row],[LS_TOTAL CURRENT UNITS]]/INVESTORS_LIST[[#This Row],[TOTAL CURRENT UNITS]])</f>
        <v>0</v>
      </c>
      <c r="AK250" s="109">
        <f>IF(INVESTORS_LIST[[#This Row],[TOTAL CURRENT UNITS]]=0,0,INVESTORS_LIST[[#This Row],[SIP_TOTAL CURRENT UNITS]]/INVESTORS_LIST[[#This Row],[TOTAL CURRENT UNITS]])</f>
        <v>0</v>
      </c>
      <c r="AL250" s="49" cm="1">
        <f t="array" ref="AL2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0" s="49" cm="1">
        <f t="array" ref="AM2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0" s="105">
        <f t="shared" si="4"/>
        <v>14.224</v>
      </c>
      <c r="AP250" s="112">
        <f>IF(INVESTORS_LIST[[#This Row],[TOTAL CURRENT UNITS]]=0,0,INVESTORS_LIST[[#This Row],[TOTAL CURRENT UNITS]]*INVESTORS_LIST[[#This Row],[NAV]])</f>
        <v>0</v>
      </c>
      <c r="AQ250" s="49">
        <f>IF(INVESTORS_LIST[[#This Row],[LS_TOTAL CURRENT UNITS]]=0,0,INVESTORS_LIST[[#This Row],[LS_TOTAL CURRENT UNITS]]*INVESTORS_LIST[[#This Row],[NAV]])</f>
        <v>0</v>
      </c>
      <c r="AR250" s="48">
        <f>IF(INVESTORS_LIST[[#This Row],[SIP_TOTAL CURRENT UNITS]]=0,0,INVESTORS_LIST[[#This Row],[SIP_TOTAL CURRENT UNITS]]*INVESTORS_LIST[[#This Row],[NAV]])</f>
        <v>0</v>
      </c>
      <c r="AS250" s="50">
        <f>INVESTORS_LIST[[#This Row],[TOTAL CURRENT UNITS]]</f>
        <v>0</v>
      </c>
      <c r="AT250" s="48">
        <f>IF(INVESTORS_LIST[[#This Row],[TOTAL SELLABLE UNITS]]=0,0,INVESTORS_LIST[[#This Row],[TOTAL SELLABLE UNITS]]*INVESTORS_LIST[[#This Row],[NAV]])</f>
        <v>0</v>
      </c>
      <c r="AU250" s="48">
        <f>INVESTORS_LIST[[#This Row],[LS_TOTAL REALIZED GAIN]]+INVESTORS_LIST[[#This Row],[SIP_TOTAL REALIZED GAIN]]</f>
        <v>0</v>
      </c>
      <c r="AV250" s="48">
        <f>INVESTORS_LIST[[#This Row],[TOTAL MARKET VALUE]]-INVESTORS_LIST[[#This Row],[TOTAL COST VALUE OF CURRENT INVESTMENT]]</f>
        <v>0</v>
      </c>
      <c r="AW250" s="48">
        <f>IFERROR(INVESTORS_LIST[[#This Row],[TOTAL CURRENT UNITS]]/SUM(INVESTORS_LIST[TOTAL CURRENT UNITS]),0)</f>
        <v>0</v>
      </c>
    </row>
    <row r="251" spans="1:49" hidden="1">
      <c r="A251" s="262" t="s">
        <v>551</v>
      </c>
      <c r="B251" s="97" t="s">
        <v>552</v>
      </c>
      <c r="C251" t="s">
        <v>48</v>
      </c>
      <c r="D251" s="75" t="s">
        <v>45</v>
      </c>
      <c r="E251" s="47">
        <f>SUMIFS(LS[Unit],LS[Investor ID],INVESTORS_LIST[[#This Row],[INVESTOR CODE]],LS[B/S],"B")</f>
        <v>0</v>
      </c>
      <c r="F251" s="47">
        <f>-SUMIFS(LS[Unit],LS[Investor ID],INVESTORS_LIST[[#This Row],[INVESTOR CODE]],LS[B/S],"S")</f>
        <v>0</v>
      </c>
      <c r="G251" s="47">
        <f>IF(INVESTORS_LIST[[#This Row],[LS_TOTAL UNITS BUY]]=0,0,INVESTORS_LIST[[#This Row],[LS_TOTAL UNITS BUY]]-INVESTORS_LIST[[#This Row],[LS_TOTAL UNITS SOLD]])</f>
        <v>0</v>
      </c>
      <c r="H251" s="49">
        <f>IF(INVESTORS_LIST[[#This Row],[LS_TOTAL UNITS BUY]]=0,0,SUMIFS(LS[Amount],LS[Investor ID],INVESTORS_LIST[[#This Row],[INVESTOR CODE]],LS[B/S],"B"))</f>
        <v>0</v>
      </c>
      <c r="I251" s="48">
        <f>IF(INVESTORS_LIST[[#This Row],[LS_TOTAL UNITS SOLD]]=0,0,SUMIFS(LS[Cost of Units Sold],LS[Investor ID],INVESTORS_LIST[[#This Row],[INVESTOR CODE]],LS[B/S],"S"))</f>
        <v>0</v>
      </c>
      <c r="J251" s="48">
        <f>IF(INVESTORS_LIST[[#This Row],[LS_TOTAL CURRENT UNITS]]=0,0,INVESTORS_LIST[[#This Row],[LS_TOTAL CURRENT UNITS]]*INVESTORS_LIST[[#This Row],[LS_AVERAGE COST]])</f>
        <v>0</v>
      </c>
      <c r="K251" s="49">
        <f>IF(INVESTORS_LIST[[#This Row],[LS_TOTAL UNITS SOLD]]=0,0,SUMIFS(LS[Realized Gain],LS[Investor ID],INVESTORS_LIST[[#This Row],[INVESTOR CODE]],LS[B/S],"S"))</f>
        <v>0</v>
      </c>
      <c r="L251" s="47">
        <f>SUMIFS(SIP[Unit],SIP[Investor ID],INVESTORS_LIST[[#This Row],[INVESTOR CODE]],SIP[B/S],"B")</f>
        <v>0</v>
      </c>
      <c r="M251" s="47">
        <f>-SUMIFS(SIP[Unit],SIP[Investor ID],INVESTORS_LIST[[#This Row],[INVESTOR CODE]],SIP[B/S],"S")</f>
        <v>0</v>
      </c>
      <c r="N251" s="50">
        <f>IF(INVESTORS_LIST[[#This Row],[SIP_TOTAL UNITS BUY]]=0,0,INVESTORS_LIST[[#This Row],[SIP_TOTAL UNITS BUY]]-INVESTORS_LIST[[#This Row],[SIP_TOTAL UNITS SOLD]])</f>
        <v>0</v>
      </c>
      <c r="O251" s="49">
        <f>IF(INVESTORS_LIST[[#This Row],[SIP_TOTAL UNITS BUY]]=0,0,SUMIFS(SIP[Amount],SIP[Investor ID],INVESTORS_LIST[[#This Row],[INVESTOR CODE]],SIP[B/S],"B"))</f>
        <v>0</v>
      </c>
      <c r="P251" s="49">
        <f>IF(INVESTORS_LIST[[#This Row],[SIP_TOTAL UNITS SOLD]]=0,0,SUMIFS(SIP[Cost of Units Sold],SIP[Investor ID],INVESTORS_LIST[[#This Row],[INVESTOR CODE]],SIP[B/S],"S"))</f>
        <v>0</v>
      </c>
      <c r="Q251" s="48">
        <f>IF(INVESTORS_LIST[[#This Row],[SIP_TOTAL CURRENT UNITS]]=0,0,INVESTORS_LIST[[#This Row],[SIP_TOTAL CURRENT UNITS]]*INVESTORS_LIST[[#This Row],[SIP_AVERAGE COST]])</f>
        <v>0</v>
      </c>
      <c r="R251" s="48">
        <f>IF(INVESTORS_LIST[[#This Row],[SIP_TOTAL UNITS SOLD]]=0,0,SUMIFS(SIP[Realized Gain],SIP[Investor ID],INVESTORS_LIST[[#This Row],[INVESTOR CODE]],SIP[B/S],"S"))</f>
        <v>0</v>
      </c>
      <c r="S251" s="50">
        <f>INVESTORS_LIST[[#This Row],[LS_TOTAL UNITS BUY]]+INVESTORS_LIST[[#This Row],[SIP_TOTAL UNITS BUY]]</f>
        <v>0</v>
      </c>
      <c r="T251" s="50">
        <f>INVESTORS_LIST[[#This Row],[LS_TOTAL UNITS SOLD]]+INVESTORS_LIST[[#This Row],[SIP_TOTAL UNITS SOLD]]</f>
        <v>0</v>
      </c>
      <c r="U251" s="50"/>
      <c r="V251" s="50">
        <f>SUMIFS(LS[BO UNIT TRANSFER],LS[Investor ID],INVESTORS_LIST[[#This Row],[INVESTOR CODE]],LS[B/S],"B")</f>
        <v>0</v>
      </c>
      <c r="W251" s="50">
        <f>SUMIFS(SIP[BO UNIT TRANSFER],SIP[Investor ID],INVESTORS_LIST[[#This Row],[INVESTOR CODE]],SIP[B/S],"B")</f>
        <v>0</v>
      </c>
      <c r="X251" s="50">
        <f>SUMIFS(LS[BO UNIT TRANSFER],LS[Investor ID],INVESTORS_LIST[[#This Row],[INVESTOR CODE]],LS[B/S],"S")</f>
        <v>0</v>
      </c>
      <c r="Y251" s="50">
        <f>SUMIFS(SIP[BO UNIT TRANSFER],SIP[Investor ID],INVESTORS_LIST[[#This Row],[INVESTOR CODE]],SIP[B/S],"S")</f>
        <v>0</v>
      </c>
      <c r="Z251" s="106">
        <f>SUM(INVESTORS_LIST[[#This Row],[BO OPENING BALANCE]:[BO SIP UNITS REPURCHASE]])</f>
        <v>0</v>
      </c>
      <c r="AA251" s="107">
        <f>INVESTORS_LIST[[#This Row],[TOTAL UNITS BUY]]-INVESTORS_LIST[[#This Row],[TOTAL UNITS SOLD]]</f>
        <v>0</v>
      </c>
      <c r="AB251" s="107">
        <f>INVESTORS_LIST[[#This Row],[TOTAL CURRENT UNITS]]-INVESTORS_LIST[[#This Row],[BO UNITS HOLD]]</f>
        <v>0</v>
      </c>
      <c r="AC251" s="201" t="e">
        <f>INDEX([3]!Table_1[BO ID],MATCH(INVESTORS_LIST[[#This Row],[INVESTOR CODE]],[3]!Table_1[INVESTOR CODE],0))</f>
        <v>#REF!</v>
      </c>
      <c r="AD251" s="201" t="e">
        <f>INDEX([3]!Table_1[Brokerage Name2],MATCH(INVESTORS_LIST[[#This Row],[INVESTOR CODE]],[3]!Table_1[INVESTOR CODE],0))</f>
        <v>#REF!</v>
      </c>
      <c r="AE251" s="201" t="e">
        <f>MID(INVESTORS_LIST[[#This Row],[BO ID]],4,5)</f>
        <v>#REF!</v>
      </c>
      <c r="AF251" s="201" t="e">
        <f>MID(INVESTORS_LIST[[#This Row],[BO ID]],2,7)</f>
        <v>#REF!</v>
      </c>
      <c r="AG251" s="201" t="e">
        <f>MID(INVESTORS_LIST[[#This Row],[BO ID]],9,7)</f>
        <v>#REF!</v>
      </c>
      <c r="AH251" s="201" t="e">
        <f>RIGHT(INVESTORS_LIST[[#This Row],[BO ID]],1)</f>
        <v>#REF!</v>
      </c>
      <c r="AI251" s="50">
        <f>INVESTORS_LIST[[#This Row],[LS_TOTAL COST VALUE OF CURRENT UNITS]]+INVESTORS_LIST[[#This Row],[SIP_TOTAL COST VALUE OF CURRENT UNITS]]</f>
        <v>0</v>
      </c>
      <c r="AJ251" s="109">
        <f>IF(INVESTORS_LIST[[#This Row],[TOTAL CURRENT UNITS]]=0,0,INVESTORS_LIST[[#This Row],[LS_TOTAL CURRENT UNITS]]/INVESTORS_LIST[[#This Row],[TOTAL CURRENT UNITS]])</f>
        <v>0</v>
      </c>
      <c r="AK251" s="109">
        <f>IF(INVESTORS_LIST[[#This Row],[TOTAL CURRENT UNITS]]=0,0,INVESTORS_LIST[[#This Row],[SIP_TOTAL CURRENT UNITS]]/INVESTORS_LIST[[#This Row],[TOTAL CURRENT UNITS]])</f>
        <v>0</v>
      </c>
      <c r="AL251" s="49" cm="1">
        <f t="array" ref="AL2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1" s="49" cm="1">
        <f t="array" ref="AM2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1" s="105">
        <f t="shared" si="4"/>
        <v>14.224</v>
      </c>
      <c r="AP251" s="112">
        <f>IF(INVESTORS_LIST[[#This Row],[TOTAL CURRENT UNITS]]=0,0,INVESTORS_LIST[[#This Row],[TOTAL CURRENT UNITS]]*INVESTORS_LIST[[#This Row],[NAV]])</f>
        <v>0</v>
      </c>
      <c r="AQ251" s="49">
        <f>IF(INVESTORS_LIST[[#This Row],[LS_TOTAL CURRENT UNITS]]=0,0,INVESTORS_LIST[[#This Row],[LS_TOTAL CURRENT UNITS]]*INVESTORS_LIST[[#This Row],[NAV]])</f>
        <v>0</v>
      </c>
      <c r="AR251" s="48">
        <f>IF(INVESTORS_LIST[[#This Row],[SIP_TOTAL CURRENT UNITS]]=0,0,INVESTORS_LIST[[#This Row],[SIP_TOTAL CURRENT UNITS]]*INVESTORS_LIST[[#This Row],[NAV]])</f>
        <v>0</v>
      </c>
      <c r="AS251" s="50">
        <f>INVESTORS_LIST[[#This Row],[TOTAL CURRENT UNITS]]</f>
        <v>0</v>
      </c>
      <c r="AT251" s="48">
        <f>IF(INVESTORS_LIST[[#This Row],[TOTAL SELLABLE UNITS]]=0,0,INVESTORS_LIST[[#This Row],[TOTAL SELLABLE UNITS]]*INVESTORS_LIST[[#This Row],[NAV]])</f>
        <v>0</v>
      </c>
      <c r="AU251" s="48">
        <f>INVESTORS_LIST[[#This Row],[LS_TOTAL REALIZED GAIN]]+INVESTORS_LIST[[#This Row],[SIP_TOTAL REALIZED GAIN]]</f>
        <v>0</v>
      </c>
      <c r="AV251" s="48">
        <f>INVESTORS_LIST[[#This Row],[TOTAL MARKET VALUE]]-INVESTORS_LIST[[#This Row],[TOTAL COST VALUE OF CURRENT INVESTMENT]]</f>
        <v>0</v>
      </c>
      <c r="AW251" s="48">
        <f>IFERROR(INVESTORS_LIST[[#This Row],[TOTAL CURRENT UNITS]]/SUM(INVESTORS_LIST[TOTAL CURRENT UNITS]),0)</f>
        <v>0</v>
      </c>
    </row>
    <row r="252" spans="1:49" hidden="1">
      <c r="A252" s="262" t="s">
        <v>553</v>
      </c>
      <c r="B252" s="97" t="s">
        <v>554</v>
      </c>
      <c r="C252" t="s">
        <v>44</v>
      </c>
      <c r="D252" s="75" t="s">
        <v>45</v>
      </c>
      <c r="E252" s="47">
        <f>SUMIFS(LS[Unit],LS[Investor ID],INVESTORS_LIST[[#This Row],[INVESTOR CODE]],LS[B/S],"B")</f>
        <v>70000</v>
      </c>
      <c r="F252" s="47">
        <f>-SUMIFS(LS[Unit],LS[Investor ID],INVESTORS_LIST[[#This Row],[INVESTOR CODE]],LS[B/S],"S")</f>
        <v>70000</v>
      </c>
      <c r="G252" s="47">
        <f>IF(INVESTORS_LIST[[#This Row],[LS_TOTAL UNITS BUY]]=0,0,INVESTORS_LIST[[#This Row],[LS_TOTAL UNITS BUY]]-INVESTORS_LIST[[#This Row],[LS_TOTAL UNITS SOLD]])</f>
        <v>0</v>
      </c>
      <c r="H252" s="49">
        <f>IF(INVESTORS_LIST[[#This Row],[LS_TOTAL UNITS BUY]]=0,0,SUMIFS(LS[Amount],LS[Investor ID],INVESTORS_LIST[[#This Row],[INVESTOR CODE]],LS[B/S],"B"))</f>
        <v>700000</v>
      </c>
      <c r="I252" s="48">
        <f>IF(INVESTORS_LIST[[#This Row],[LS_TOTAL UNITS SOLD]]=0,0,SUMIFS(LS[Cost of Units Sold],LS[Investor ID],INVESTORS_LIST[[#This Row],[INVESTOR CODE]],LS[B/S],"S"))</f>
        <v>700000</v>
      </c>
      <c r="J252" s="48">
        <f>IF(INVESTORS_LIST[[#This Row],[LS_TOTAL CURRENT UNITS]]=0,0,INVESTORS_LIST[[#This Row],[LS_TOTAL CURRENT UNITS]]*INVESTORS_LIST[[#This Row],[LS_AVERAGE COST]])</f>
        <v>0</v>
      </c>
      <c r="K252" s="49">
        <f>IF(INVESTORS_LIST[[#This Row],[LS_TOTAL UNITS SOLD]]=0,0,SUMIFS(LS[Realized Gain],LS[Investor ID],INVESTORS_LIST[[#This Row],[INVESTOR CODE]],LS[B/S],"S"))</f>
        <v>17757.060000000001</v>
      </c>
      <c r="L252" s="47">
        <f>SUMIFS(SIP[Unit],SIP[Investor ID],INVESTORS_LIST[[#This Row],[INVESTOR CODE]],SIP[B/S],"B")</f>
        <v>1872</v>
      </c>
      <c r="M252" s="47">
        <f>-SUMIFS(SIP[Unit],SIP[Investor ID],INVESTORS_LIST[[#This Row],[INVESTOR CODE]],SIP[B/S],"S")</f>
        <v>1872</v>
      </c>
      <c r="N252" s="50">
        <f>IF(INVESTORS_LIST[[#This Row],[SIP_TOTAL UNITS BUY]]=0,0,INVESTORS_LIST[[#This Row],[SIP_TOTAL UNITS BUY]]-INVESTORS_LIST[[#This Row],[SIP_TOTAL UNITS SOLD]])</f>
        <v>0</v>
      </c>
      <c r="O252" s="49">
        <f>IF(INVESTORS_LIST[[#This Row],[SIP_TOTAL UNITS BUY]]=0,0,SUMIFS(SIP[Amount],SIP[Investor ID],INVESTORS_LIST[[#This Row],[INVESTOR CODE]],SIP[B/S],"B"))</f>
        <v>20000</v>
      </c>
      <c r="P252" s="49">
        <f>IF(INVESTORS_LIST[[#This Row],[SIP_TOTAL UNITS SOLD]]=0,0,SUMIFS(SIP[Cost of Units Sold],SIP[Investor ID],INVESTORS_LIST[[#This Row],[INVESTOR CODE]],SIP[B/S],"S"))</f>
        <v>20000.000000000004</v>
      </c>
      <c r="Q252" s="48">
        <f>IF(INVESTORS_LIST[[#This Row],[SIP_TOTAL CURRENT UNITS]]=0,0,INVESTORS_LIST[[#This Row],[SIP_TOTAL CURRENT UNITS]]*INVESTORS_LIST[[#This Row],[SIP_AVERAGE COST]])</f>
        <v>0</v>
      </c>
      <c r="R252" s="48">
        <f>IF(INVESTORS_LIST[[#This Row],[SIP_TOTAL UNITS SOLD]]=0,0,SUMIFS(SIP[Realized Gain],SIP[Investor ID],INVESTORS_LIST[[#This Row],[INVESTOR CODE]],SIP[B/S],"S"))</f>
        <v>335.53999999999752</v>
      </c>
      <c r="S252" s="50">
        <f>INVESTORS_LIST[[#This Row],[LS_TOTAL UNITS BUY]]+INVESTORS_LIST[[#This Row],[SIP_TOTAL UNITS BUY]]</f>
        <v>71872</v>
      </c>
      <c r="T252" s="50">
        <f>INVESTORS_LIST[[#This Row],[LS_TOTAL UNITS SOLD]]+INVESTORS_LIST[[#This Row],[SIP_TOTAL UNITS SOLD]]</f>
        <v>71872</v>
      </c>
      <c r="U252" s="50"/>
      <c r="V252" s="50">
        <f>SUMIFS(LS[BO UNIT TRANSFER],LS[Investor ID],INVESTORS_LIST[[#This Row],[INVESTOR CODE]],LS[B/S],"B")</f>
        <v>0</v>
      </c>
      <c r="W252" s="50">
        <f>SUMIFS(SIP[BO UNIT TRANSFER],SIP[Investor ID],INVESTORS_LIST[[#This Row],[INVESTOR CODE]],SIP[B/S],"B")</f>
        <v>0</v>
      </c>
      <c r="X252" s="50">
        <f>SUMIFS(LS[BO UNIT TRANSFER],LS[Investor ID],INVESTORS_LIST[[#This Row],[INVESTOR CODE]],LS[B/S],"S")</f>
        <v>0</v>
      </c>
      <c r="Y252" s="50">
        <f>SUMIFS(SIP[BO UNIT TRANSFER],SIP[Investor ID],INVESTORS_LIST[[#This Row],[INVESTOR CODE]],SIP[B/S],"S")</f>
        <v>0</v>
      </c>
      <c r="Z252" s="106">
        <f>SUM(INVESTORS_LIST[[#This Row],[BO OPENING BALANCE]:[BO SIP UNITS REPURCHASE]])</f>
        <v>0</v>
      </c>
      <c r="AA252" s="107">
        <f>INVESTORS_LIST[[#This Row],[TOTAL UNITS BUY]]-INVESTORS_LIST[[#This Row],[TOTAL UNITS SOLD]]</f>
        <v>0</v>
      </c>
      <c r="AB252" s="107">
        <f>INVESTORS_LIST[[#This Row],[TOTAL CURRENT UNITS]]-INVESTORS_LIST[[#This Row],[BO UNITS HOLD]]</f>
        <v>0</v>
      </c>
      <c r="AC252" s="201" t="e">
        <f>INDEX([3]!Table_1[BO ID],MATCH(INVESTORS_LIST[[#This Row],[INVESTOR CODE]],[3]!Table_1[INVESTOR CODE],0))</f>
        <v>#REF!</v>
      </c>
      <c r="AD252" s="201" t="e">
        <f>INDEX([3]!Table_1[Brokerage Name2],MATCH(INVESTORS_LIST[[#This Row],[INVESTOR CODE]],[3]!Table_1[INVESTOR CODE],0))</f>
        <v>#REF!</v>
      </c>
      <c r="AE252" s="201" t="e">
        <f>MID(INVESTORS_LIST[[#This Row],[BO ID]],4,5)</f>
        <v>#REF!</v>
      </c>
      <c r="AF252" s="201" t="e">
        <f>MID(INVESTORS_LIST[[#This Row],[BO ID]],2,7)</f>
        <v>#REF!</v>
      </c>
      <c r="AG252" s="201" t="e">
        <f>MID(INVESTORS_LIST[[#This Row],[BO ID]],9,7)</f>
        <v>#REF!</v>
      </c>
      <c r="AH252" s="201" t="e">
        <f>RIGHT(INVESTORS_LIST[[#This Row],[BO ID]],1)</f>
        <v>#REF!</v>
      </c>
      <c r="AI252" s="50">
        <f>INVESTORS_LIST[[#This Row],[LS_TOTAL COST VALUE OF CURRENT UNITS]]+INVESTORS_LIST[[#This Row],[SIP_TOTAL COST VALUE OF CURRENT UNITS]]</f>
        <v>0</v>
      </c>
      <c r="AJ252" s="109">
        <f>IF(INVESTORS_LIST[[#This Row],[TOTAL CURRENT UNITS]]=0,0,INVESTORS_LIST[[#This Row],[LS_TOTAL CURRENT UNITS]]/INVESTORS_LIST[[#This Row],[TOTAL CURRENT UNITS]])</f>
        <v>0</v>
      </c>
      <c r="AK252" s="109">
        <f>IF(INVESTORS_LIST[[#This Row],[TOTAL CURRENT UNITS]]=0,0,INVESTORS_LIST[[#This Row],[SIP_TOTAL CURRENT UNITS]]/INVESTORS_LIST[[#This Row],[TOTAL CURRENT UNITS]])</f>
        <v>0</v>
      </c>
      <c r="AL252" s="49" cm="1">
        <f t="array" ref="AL2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2" s="49" cm="1">
        <f t="array" ref="AM2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2" s="105">
        <f t="shared" si="4"/>
        <v>14.224</v>
      </c>
      <c r="AP252" s="112">
        <f>IF(INVESTORS_LIST[[#This Row],[TOTAL CURRENT UNITS]]=0,0,INVESTORS_LIST[[#This Row],[TOTAL CURRENT UNITS]]*INVESTORS_LIST[[#This Row],[NAV]])</f>
        <v>0</v>
      </c>
      <c r="AQ252" s="49">
        <f>IF(INVESTORS_LIST[[#This Row],[LS_TOTAL CURRENT UNITS]]=0,0,INVESTORS_LIST[[#This Row],[LS_TOTAL CURRENT UNITS]]*INVESTORS_LIST[[#This Row],[NAV]])</f>
        <v>0</v>
      </c>
      <c r="AR252" s="48">
        <f>IF(INVESTORS_LIST[[#This Row],[SIP_TOTAL CURRENT UNITS]]=0,0,INVESTORS_LIST[[#This Row],[SIP_TOTAL CURRENT UNITS]]*INVESTORS_LIST[[#This Row],[NAV]])</f>
        <v>0</v>
      </c>
      <c r="AS252" s="50">
        <f>INVESTORS_LIST[[#This Row],[TOTAL CURRENT UNITS]]</f>
        <v>0</v>
      </c>
      <c r="AT252" s="48">
        <f>IF(INVESTORS_LIST[[#This Row],[TOTAL SELLABLE UNITS]]=0,0,INVESTORS_LIST[[#This Row],[TOTAL SELLABLE UNITS]]*INVESTORS_LIST[[#This Row],[NAV]])</f>
        <v>0</v>
      </c>
      <c r="AU252" s="48">
        <f>INVESTORS_LIST[[#This Row],[LS_TOTAL REALIZED GAIN]]+INVESTORS_LIST[[#This Row],[SIP_TOTAL REALIZED GAIN]]</f>
        <v>18092.599999999999</v>
      </c>
      <c r="AV252" s="48">
        <f>INVESTORS_LIST[[#This Row],[TOTAL MARKET VALUE]]-INVESTORS_LIST[[#This Row],[TOTAL COST VALUE OF CURRENT INVESTMENT]]</f>
        <v>0</v>
      </c>
      <c r="AW252" s="108">
        <f>IFERROR(INVESTORS_LIST[[#This Row],[TOTAL CURRENT UNITS]]/SUM(INVESTORS_LIST[TOTAL CURRENT UNITS]),0)</f>
        <v>0</v>
      </c>
    </row>
    <row r="253" spans="1:49" hidden="1">
      <c r="A253" s="262" t="s">
        <v>555</v>
      </c>
      <c r="B253" s="97" t="s">
        <v>556</v>
      </c>
      <c r="C253" t="s">
        <v>44</v>
      </c>
      <c r="D253" s="75" t="s">
        <v>45</v>
      </c>
      <c r="E253" s="47">
        <f>SUMIFS(LS[Unit],LS[Investor ID],INVESTORS_LIST[[#This Row],[INVESTOR CODE]],LS[B/S],"B")</f>
        <v>0</v>
      </c>
      <c r="F253" s="47">
        <f>-SUMIFS(LS[Unit],LS[Investor ID],INVESTORS_LIST[[#This Row],[INVESTOR CODE]],LS[B/S],"S")</f>
        <v>0</v>
      </c>
      <c r="G253" s="47">
        <f>IF(INVESTORS_LIST[[#This Row],[LS_TOTAL UNITS BUY]]=0,0,INVESTORS_LIST[[#This Row],[LS_TOTAL UNITS BUY]]-INVESTORS_LIST[[#This Row],[LS_TOTAL UNITS SOLD]])</f>
        <v>0</v>
      </c>
      <c r="H253" s="49">
        <f>IF(INVESTORS_LIST[[#This Row],[LS_TOTAL UNITS BUY]]=0,0,SUMIFS(LS[Amount],LS[Investor ID],INVESTORS_LIST[[#This Row],[INVESTOR CODE]],LS[B/S],"B"))</f>
        <v>0</v>
      </c>
      <c r="I253" s="48">
        <f>IF(INVESTORS_LIST[[#This Row],[LS_TOTAL UNITS SOLD]]=0,0,SUMIFS(LS[Cost of Units Sold],LS[Investor ID],INVESTORS_LIST[[#This Row],[INVESTOR CODE]],LS[B/S],"S"))</f>
        <v>0</v>
      </c>
      <c r="J253" s="48">
        <f>IF(INVESTORS_LIST[[#This Row],[LS_TOTAL CURRENT UNITS]]=0,0,INVESTORS_LIST[[#This Row],[LS_TOTAL CURRENT UNITS]]*INVESTORS_LIST[[#This Row],[LS_AVERAGE COST]])</f>
        <v>0</v>
      </c>
      <c r="K253" s="49">
        <f>IF(INVESTORS_LIST[[#This Row],[LS_TOTAL UNITS SOLD]]=0,0,SUMIFS(LS[Realized Gain],LS[Investor ID],INVESTORS_LIST[[#This Row],[INVESTOR CODE]],LS[B/S],"S"))</f>
        <v>0</v>
      </c>
      <c r="L253" s="47">
        <f>SUMIFS(SIP[Unit],SIP[Investor ID],INVESTORS_LIST[[#This Row],[INVESTOR CODE]],SIP[B/S],"B")</f>
        <v>0</v>
      </c>
      <c r="M253" s="47">
        <f>-SUMIFS(SIP[Unit],SIP[Investor ID],INVESTORS_LIST[[#This Row],[INVESTOR CODE]],SIP[B/S],"S")</f>
        <v>0</v>
      </c>
      <c r="N253" s="50">
        <f>IF(INVESTORS_LIST[[#This Row],[SIP_TOTAL UNITS BUY]]=0,0,INVESTORS_LIST[[#This Row],[SIP_TOTAL UNITS BUY]]-INVESTORS_LIST[[#This Row],[SIP_TOTAL UNITS SOLD]])</f>
        <v>0</v>
      </c>
      <c r="O253" s="49">
        <f>IF(INVESTORS_LIST[[#This Row],[SIP_TOTAL UNITS BUY]]=0,0,SUMIFS(SIP[Amount],SIP[Investor ID],INVESTORS_LIST[[#This Row],[INVESTOR CODE]],SIP[B/S],"B"))</f>
        <v>0</v>
      </c>
      <c r="P253" s="49">
        <f>IF(INVESTORS_LIST[[#This Row],[SIP_TOTAL UNITS SOLD]]=0,0,SUMIFS(SIP[Cost of Units Sold],SIP[Investor ID],INVESTORS_LIST[[#This Row],[INVESTOR CODE]],SIP[B/S],"S"))</f>
        <v>0</v>
      </c>
      <c r="Q253" s="48">
        <f>IF(INVESTORS_LIST[[#This Row],[SIP_TOTAL CURRENT UNITS]]=0,0,INVESTORS_LIST[[#This Row],[SIP_TOTAL CURRENT UNITS]]*INVESTORS_LIST[[#This Row],[SIP_AVERAGE COST]])</f>
        <v>0</v>
      </c>
      <c r="R253" s="48">
        <f>IF(INVESTORS_LIST[[#This Row],[SIP_TOTAL UNITS SOLD]]=0,0,SUMIFS(SIP[Realized Gain],SIP[Investor ID],INVESTORS_LIST[[#This Row],[INVESTOR CODE]],SIP[B/S],"S"))</f>
        <v>0</v>
      </c>
      <c r="S253" s="50">
        <f>INVESTORS_LIST[[#This Row],[LS_TOTAL UNITS BUY]]+INVESTORS_LIST[[#This Row],[SIP_TOTAL UNITS BUY]]</f>
        <v>0</v>
      </c>
      <c r="T253" s="50">
        <f>INVESTORS_LIST[[#This Row],[LS_TOTAL UNITS SOLD]]+INVESTORS_LIST[[#This Row],[SIP_TOTAL UNITS SOLD]]</f>
        <v>0</v>
      </c>
      <c r="U253" s="50"/>
      <c r="V253" s="50">
        <f>SUMIFS(LS[BO UNIT TRANSFER],LS[Investor ID],INVESTORS_LIST[[#This Row],[INVESTOR CODE]],LS[B/S],"B")</f>
        <v>0</v>
      </c>
      <c r="W253" s="50">
        <f>SUMIFS(SIP[BO UNIT TRANSFER],SIP[Investor ID],INVESTORS_LIST[[#This Row],[INVESTOR CODE]],SIP[B/S],"B")</f>
        <v>0</v>
      </c>
      <c r="X253" s="50">
        <f>SUMIFS(LS[BO UNIT TRANSFER],LS[Investor ID],INVESTORS_LIST[[#This Row],[INVESTOR CODE]],LS[B/S],"S")</f>
        <v>0</v>
      </c>
      <c r="Y253" s="50">
        <f>SUMIFS(SIP[BO UNIT TRANSFER],SIP[Investor ID],INVESTORS_LIST[[#This Row],[INVESTOR CODE]],SIP[B/S],"S")</f>
        <v>0</v>
      </c>
      <c r="Z253" s="106">
        <f>SUM(INVESTORS_LIST[[#This Row],[BO OPENING BALANCE]:[BO SIP UNITS REPURCHASE]])</f>
        <v>0</v>
      </c>
      <c r="AA253" s="107">
        <f>INVESTORS_LIST[[#This Row],[TOTAL UNITS BUY]]-INVESTORS_LIST[[#This Row],[TOTAL UNITS SOLD]]</f>
        <v>0</v>
      </c>
      <c r="AB253" s="107">
        <f>INVESTORS_LIST[[#This Row],[TOTAL CURRENT UNITS]]-INVESTORS_LIST[[#This Row],[BO UNITS HOLD]]</f>
        <v>0</v>
      </c>
      <c r="AC253" s="201" t="e">
        <f>INDEX([3]!Table_1[BO ID],MATCH(INVESTORS_LIST[[#This Row],[INVESTOR CODE]],[3]!Table_1[INVESTOR CODE],0))</f>
        <v>#REF!</v>
      </c>
      <c r="AD253" s="201" t="e">
        <f>INDEX([3]!Table_1[Brokerage Name2],MATCH(INVESTORS_LIST[[#This Row],[INVESTOR CODE]],[3]!Table_1[INVESTOR CODE],0))</f>
        <v>#REF!</v>
      </c>
      <c r="AE253" s="201" t="e">
        <f>MID(INVESTORS_LIST[[#This Row],[BO ID]],4,5)</f>
        <v>#REF!</v>
      </c>
      <c r="AF253" s="201" t="e">
        <f>MID(INVESTORS_LIST[[#This Row],[BO ID]],2,7)</f>
        <v>#REF!</v>
      </c>
      <c r="AG253" s="201" t="e">
        <f>MID(INVESTORS_LIST[[#This Row],[BO ID]],9,7)</f>
        <v>#REF!</v>
      </c>
      <c r="AH253" s="201" t="e">
        <f>RIGHT(INVESTORS_LIST[[#This Row],[BO ID]],1)</f>
        <v>#REF!</v>
      </c>
      <c r="AI253" s="50">
        <f>INVESTORS_LIST[[#This Row],[LS_TOTAL COST VALUE OF CURRENT UNITS]]+INVESTORS_LIST[[#This Row],[SIP_TOTAL COST VALUE OF CURRENT UNITS]]</f>
        <v>0</v>
      </c>
      <c r="AJ253" s="109">
        <f>IF(INVESTORS_LIST[[#This Row],[TOTAL CURRENT UNITS]]=0,0,INVESTORS_LIST[[#This Row],[LS_TOTAL CURRENT UNITS]]/INVESTORS_LIST[[#This Row],[TOTAL CURRENT UNITS]])</f>
        <v>0</v>
      </c>
      <c r="AK253" s="109">
        <f>IF(INVESTORS_LIST[[#This Row],[TOTAL CURRENT UNITS]]=0,0,INVESTORS_LIST[[#This Row],[SIP_TOTAL CURRENT UNITS]]/INVESTORS_LIST[[#This Row],[TOTAL CURRENT UNITS]])</f>
        <v>0</v>
      </c>
      <c r="AL253" s="49" cm="1">
        <f t="array" ref="AL2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3" s="49" cm="1">
        <f t="array" ref="AM2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3" s="105">
        <f t="shared" si="4"/>
        <v>14.224</v>
      </c>
      <c r="AP253" s="112">
        <f>IF(INVESTORS_LIST[[#This Row],[TOTAL CURRENT UNITS]]=0,0,INVESTORS_LIST[[#This Row],[TOTAL CURRENT UNITS]]*INVESTORS_LIST[[#This Row],[NAV]])</f>
        <v>0</v>
      </c>
      <c r="AQ253" s="49">
        <f>IF(INVESTORS_LIST[[#This Row],[LS_TOTAL CURRENT UNITS]]=0,0,INVESTORS_LIST[[#This Row],[LS_TOTAL CURRENT UNITS]]*INVESTORS_LIST[[#This Row],[NAV]])</f>
        <v>0</v>
      </c>
      <c r="AR253" s="48">
        <f>IF(INVESTORS_LIST[[#This Row],[SIP_TOTAL CURRENT UNITS]]=0,0,INVESTORS_LIST[[#This Row],[SIP_TOTAL CURRENT UNITS]]*INVESTORS_LIST[[#This Row],[NAV]])</f>
        <v>0</v>
      </c>
      <c r="AS253" s="50">
        <f>INVESTORS_LIST[[#This Row],[TOTAL CURRENT UNITS]]</f>
        <v>0</v>
      </c>
      <c r="AT253" s="48">
        <f>IF(INVESTORS_LIST[[#This Row],[TOTAL SELLABLE UNITS]]=0,0,INVESTORS_LIST[[#This Row],[TOTAL SELLABLE UNITS]]*INVESTORS_LIST[[#This Row],[NAV]])</f>
        <v>0</v>
      </c>
      <c r="AU253" s="48">
        <f>INVESTORS_LIST[[#This Row],[LS_TOTAL REALIZED GAIN]]+INVESTORS_LIST[[#This Row],[SIP_TOTAL REALIZED GAIN]]</f>
        <v>0</v>
      </c>
      <c r="AV253" s="48">
        <f>INVESTORS_LIST[[#This Row],[TOTAL MARKET VALUE]]-INVESTORS_LIST[[#This Row],[TOTAL COST VALUE OF CURRENT INVESTMENT]]</f>
        <v>0</v>
      </c>
      <c r="AW253" s="48">
        <f>IFERROR(INVESTORS_LIST[[#This Row],[TOTAL CURRENT UNITS]]/SUM(INVESTORS_LIST[TOTAL CURRENT UNITS]),0)</f>
        <v>0</v>
      </c>
    </row>
    <row r="254" spans="1:49" hidden="1">
      <c r="A254" s="262" t="s">
        <v>163</v>
      </c>
      <c r="B254" s="97" t="s">
        <v>557</v>
      </c>
      <c r="C254" t="s">
        <v>44</v>
      </c>
      <c r="D254" s="75" t="s">
        <v>45</v>
      </c>
      <c r="E254" s="47">
        <f>SUMIFS(LS[Unit],LS[Investor ID],INVESTORS_LIST[[#This Row],[INVESTOR CODE]],LS[B/S],"B")</f>
        <v>0</v>
      </c>
      <c r="F254" s="47">
        <f>-SUMIFS(LS[Unit],LS[Investor ID],INVESTORS_LIST[[#This Row],[INVESTOR CODE]],LS[B/S],"S")</f>
        <v>0</v>
      </c>
      <c r="G254" s="47">
        <f>IF(INVESTORS_LIST[[#This Row],[LS_TOTAL UNITS BUY]]=0,0,INVESTORS_LIST[[#This Row],[LS_TOTAL UNITS BUY]]-INVESTORS_LIST[[#This Row],[LS_TOTAL UNITS SOLD]])</f>
        <v>0</v>
      </c>
      <c r="H254" s="49">
        <f>IF(INVESTORS_LIST[[#This Row],[LS_TOTAL UNITS BUY]]=0,0,SUMIFS(LS[Amount],LS[Investor ID],INVESTORS_LIST[[#This Row],[INVESTOR CODE]],LS[B/S],"B"))</f>
        <v>0</v>
      </c>
      <c r="I254" s="48">
        <f>IF(INVESTORS_LIST[[#This Row],[LS_TOTAL UNITS SOLD]]=0,0,SUMIFS(LS[Cost of Units Sold],LS[Investor ID],INVESTORS_LIST[[#This Row],[INVESTOR CODE]],LS[B/S],"S"))</f>
        <v>0</v>
      </c>
      <c r="J254" s="48">
        <f>IF(INVESTORS_LIST[[#This Row],[LS_TOTAL CURRENT UNITS]]=0,0,INVESTORS_LIST[[#This Row],[LS_TOTAL CURRENT UNITS]]*INVESTORS_LIST[[#This Row],[LS_AVERAGE COST]])</f>
        <v>0</v>
      </c>
      <c r="K254" s="49">
        <f>IF(INVESTORS_LIST[[#This Row],[LS_TOTAL UNITS SOLD]]=0,0,SUMIFS(LS[Realized Gain],LS[Investor ID],INVESTORS_LIST[[#This Row],[INVESTOR CODE]],LS[B/S],"S"))</f>
        <v>0</v>
      </c>
      <c r="L254" s="47">
        <f>SUMIFS(SIP[Unit],SIP[Investor ID],INVESTORS_LIST[[#This Row],[INVESTOR CODE]],SIP[B/S],"B")</f>
        <v>0</v>
      </c>
      <c r="M254" s="47">
        <f>-SUMIFS(SIP[Unit],SIP[Investor ID],INVESTORS_LIST[[#This Row],[INVESTOR CODE]],SIP[B/S],"S")</f>
        <v>0</v>
      </c>
      <c r="N254" s="50">
        <f>IF(INVESTORS_LIST[[#This Row],[SIP_TOTAL UNITS BUY]]=0,0,INVESTORS_LIST[[#This Row],[SIP_TOTAL UNITS BUY]]-INVESTORS_LIST[[#This Row],[SIP_TOTAL UNITS SOLD]])</f>
        <v>0</v>
      </c>
      <c r="O254" s="49">
        <f>IF(INVESTORS_LIST[[#This Row],[SIP_TOTAL UNITS BUY]]=0,0,SUMIFS(SIP[Amount],SIP[Investor ID],INVESTORS_LIST[[#This Row],[INVESTOR CODE]],SIP[B/S],"B"))</f>
        <v>0</v>
      </c>
      <c r="P254" s="49">
        <f>IF(INVESTORS_LIST[[#This Row],[SIP_TOTAL UNITS SOLD]]=0,0,SUMIFS(SIP[Cost of Units Sold],SIP[Investor ID],INVESTORS_LIST[[#This Row],[INVESTOR CODE]],SIP[B/S],"S"))</f>
        <v>0</v>
      </c>
      <c r="Q254" s="48">
        <f>IF(INVESTORS_LIST[[#This Row],[SIP_TOTAL CURRENT UNITS]]=0,0,INVESTORS_LIST[[#This Row],[SIP_TOTAL CURRENT UNITS]]*INVESTORS_LIST[[#This Row],[SIP_AVERAGE COST]])</f>
        <v>0</v>
      </c>
      <c r="R254" s="48">
        <f>IF(INVESTORS_LIST[[#This Row],[SIP_TOTAL UNITS SOLD]]=0,0,SUMIFS(SIP[Realized Gain],SIP[Investor ID],INVESTORS_LIST[[#This Row],[INVESTOR CODE]],SIP[B/S],"S"))</f>
        <v>0</v>
      </c>
      <c r="S254" s="50">
        <f>INVESTORS_LIST[[#This Row],[LS_TOTAL UNITS BUY]]+INVESTORS_LIST[[#This Row],[SIP_TOTAL UNITS BUY]]</f>
        <v>0</v>
      </c>
      <c r="T254" s="50">
        <f>INVESTORS_LIST[[#This Row],[LS_TOTAL UNITS SOLD]]+INVESTORS_LIST[[#This Row],[SIP_TOTAL UNITS SOLD]]</f>
        <v>0</v>
      </c>
      <c r="U254" s="50"/>
      <c r="V254" s="50">
        <f>SUMIFS(LS[BO UNIT TRANSFER],LS[Investor ID],INVESTORS_LIST[[#This Row],[INVESTOR CODE]],LS[B/S],"B")</f>
        <v>0</v>
      </c>
      <c r="W254" s="50">
        <f>SUMIFS(SIP[BO UNIT TRANSFER],SIP[Investor ID],INVESTORS_LIST[[#This Row],[INVESTOR CODE]],SIP[B/S],"B")</f>
        <v>0</v>
      </c>
      <c r="X254" s="50">
        <f>SUMIFS(LS[BO UNIT TRANSFER],LS[Investor ID],INVESTORS_LIST[[#This Row],[INVESTOR CODE]],LS[B/S],"S")</f>
        <v>0</v>
      </c>
      <c r="Y254" s="50">
        <f>SUMIFS(SIP[BO UNIT TRANSFER],SIP[Investor ID],INVESTORS_LIST[[#This Row],[INVESTOR CODE]],SIP[B/S],"S")</f>
        <v>0</v>
      </c>
      <c r="Z254" s="106">
        <f>SUM(INVESTORS_LIST[[#This Row],[BO OPENING BALANCE]:[BO SIP UNITS REPURCHASE]])</f>
        <v>0</v>
      </c>
      <c r="AA254" s="107">
        <f>INVESTORS_LIST[[#This Row],[TOTAL UNITS BUY]]-INVESTORS_LIST[[#This Row],[TOTAL UNITS SOLD]]</f>
        <v>0</v>
      </c>
      <c r="AB254" s="107">
        <f>INVESTORS_LIST[[#This Row],[TOTAL CURRENT UNITS]]-INVESTORS_LIST[[#This Row],[BO UNITS HOLD]]</f>
        <v>0</v>
      </c>
      <c r="AC254" s="201" t="e">
        <f>INDEX([3]!Table_1[BO ID],MATCH(INVESTORS_LIST[[#This Row],[INVESTOR CODE]],[3]!Table_1[INVESTOR CODE],0))</f>
        <v>#REF!</v>
      </c>
      <c r="AD254" s="201" t="e">
        <f>INDEX([3]!Table_1[Brokerage Name2],MATCH(INVESTORS_LIST[[#This Row],[INVESTOR CODE]],[3]!Table_1[INVESTOR CODE],0))</f>
        <v>#REF!</v>
      </c>
      <c r="AE254" s="201" t="e">
        <f>MID(INVESTORS_LIST[[#This Row],[BO ID]],4,5)</f>
        <v>#REF!</v>
      </c>
      <c r="AF254" s="201" t="e">
        <f>MID(INVESTORS_LIST[[#This Row],[BO ID]],2,7)</f>
        <v>#REF!</v>
      </c>
      <c r="AG254" s="201" t="e">
        <f>MID(INVESTORS_LIST[[#This Row],[BO ID]],9,7)</f>
        <v>#REF!</v>
      </c>
      <c r="AH254" s="201" t="e">
        <f>RIGHT(INVESTORS_LIST[[#This Row],[BO ID]],1)</f>
        <v>#REF!</v>
      </c>
      <c r="AI254" s="50">
        <f>INVESTORS_LIST[[#This Row],[LS_TOTAL COST VALUE OF CURRENT UNITS]]+INVESTORS_LIST[[#This Row],[SIP_TOTAL COST VALUE OF CURRENT UNITS]]</f>
        <v>0</v>
      </c>
      <c r="AJ254" s="109">
        <f>IF(INVESTORS_LIST[[#This Row],[TOTAL CURRENT UNITS]]=0,0,INVESTORS_LIST[[#This Row],[LS_TOTAL CURRENT UNITS]]/INVESTORS_LIST[[#This Row],[TOTAL CURRENT UNITS]])</f>
        <v>0</v>
      </c>
      <c r="AK254" s="109">
        <f>IF(INVESTORS_LIST[[#This Row],[TOTAL CURRENT UNITS]]=0,0,INVESTORS_LIST[[#This Row],[SIP_TOTAL CURRENT UNITS]]/INVESTORS_LIST[[#This Row],[TOTAL CURRENT UNITS]])</f>
        <v>0</v>
      </c>
      <c r="AL254" s="49" cm="1">
        <f t="array" ref="AL2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4" s="49" cm="1">
        <f t="array" ref="AM2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4" s="105">
        <f t="shared" si="4"/>
        <v>14.224</v>
      </c>
      <c r="AP254" s="112">
        <f>IF(INVESTORS_LIST[[#This Row],[TOTAL CURRENT UNITS]]=0,0,INVESTORS_LIST[[#This Row],[TOTAL CURRENT UNITS]]*INVESTORS_LIST[[#This Row],[NAV]])</f>
        <v>0</v>
      </c>
      <c r="AQ254" s="49">
        <f>IF(INVESTORS_LIST[[#This Row],[LS_TOTAL CURRENT UNITS]]=0,0,INVESTORS_LIST[[#This Row],[LS_TOTAL CURRENT UNITS]]*INVESTORS_LIST[[#This Row],[NAV]])</f>
        <v>0</v>
      </c>
      <c r="AR254" s="48">
        <f>IF(INVESTORS_LIST[[#This Row],[SIP_TOTAL CURRENT UNITS]]=0,0,INVESTORS_LIST[[#This Row],[SIP_TOTAL CURRENT UNITS]]*INVESTORS_LIST[[#This Row],[NAV]])</f>
        <v>0</v>
      </c>
      <c r="AS254" s="50">
        <f>INVESTORS_LIST[[#This Row],[TOTAL CURRENT UNITS]]</f>
        <v>0</v>
      </c>
      <c r="AT254" s="48">
        <f>IF(INVESTORS_LIST[[#This Row],[TOTAL SELLABLE UNITS]]=0,0,INVESTORS_LIST[[#This Row],[TOTAL SELLABLE UNITS]]*INVESTORS_LIST[[#This Row],[NAV]])</f>
        <v>0</v>
      </c>
      <c r="AU254" s="48">
        <f>INVESTORS_LIST[[#This Row],[LS_TOTAL REALIZED GAIN]]+INVESTORS_LIST[[#This Row],[SIP_TOTAL REALIZED GAIN]]</f>
        <v>0</v>
      </c>
      <c r="AV254" s="48">
        <f>INVESTORS_LIST[[#This Row],[TOTAL MARKET VALUE]]-INVESTORS_LIST[[#This Row],[TOTAL COST VALUE OF CURRENT INVESTMENT]]</f>
        <v>0</v>
      </c>
      <c r="AW254" s="48">
        <f>IFERROR(INVESTORS_LIST[[#This Row],[TOTAL CURRENT UNITS]]/SUM(INVESTORS_LIST[TOTAL CURRENT UNITS]),0)</f>
        <v>0</v>
      </c>
    </row>
    <row r="255" spans="1:49" hidden="1">
      <c r="A255" s="262" t="s">
        <v>558</v>
      </c>
      <c r="B255" s="97" t="s">
        <v>559</v>
      </c>
      <c r="C255" t="s">
        <v>44</v>
      </c>
      <c r="D255" s="75" t="s">
        <v>45</v>
      </c>
      <c r="E255" s="47">
        <f>SUMIFS(LS[Unit],LS[Investor ID],INVESTORS_LIST[[#This Row],[INVESTOR CODE]],LS[B/S],"B")</f>
        <v>0</v>
      </c>
      <c r="F255" s="47">
        <f>-SUMIFS(LS[Unit],LS[Investor ID],INVESTORS_LIST[[#This Row],[INVESTOR CODE]],LS[B/S],"S")</f>
        <v>0</v>
      </c>
      <c r="G255" s="47">
        <f>IF(INVESTORS_LIST[[#This Row],[LS_TOTAL UNITS BUY]]=0,0,INVESTORS_LIST[[#This Row],[LS_TOTAL UNITS BUY]]-INVESTORS_LIST[[#This Row],[LS_TOTAL UNITS SOLD]])</f>
        <v>0</v>
      </c>
      <c r="H255" s="49">
        <f>IF(INVESTORS_LIST[[#This Row],[LS_TOTAL UNITS BUY]]=0,0,SUMIFS(LS[Amount],LS[Investor ID],INVESTORS_LIST[[#This Row],[INVESTOR CODE]],LS[B/S],"B"))</f>
        <v>0</v>
      </c>
      <c r="I255" s="48">
        <f>IF(INVESTORS_LIST[[#This Row],[LS_TOTAL UNITS SOLD]]=0,0,SUMIFS(LS[Cost of Units Sold],LS[Investor ID],INVESTORS_LIST[[#This Row],[INVESTOR CODE]],LS[B/S],"S"))</f>
        <v>0</v>
      </c>
      <c r="J255" s="48">
        <f>IF(INVESTORS_LIST[[#This Row],[LS_TOTAL CURRENT UNITS]]=0,0,INVESTORS_LIST[[#This Row],[LS_TOTAL CURRENT UNITS]]*INVESTORS_LIST[[#This Row],[LS_AVERAGE COST]])</f>
        <v>0</v>
      </c>
      <c r="K255" s="49">
        <f>IF(INVESTORS_LIST[[#This Row],[LS_TOTAL UNITS SOLD]]=0,0,SUMIFS(LS[Realized Gain],LS[Investor ID],INVESTORS_LIST[[#This Row],[INVESTOR CODE]],LS[B/S],"S"))</f>
        <v>0</v>
      </c>
      <c r="L255" s="47">
        <f>SUMIFS(SIP[Unit],SIP[Investor ID],INVESTORS_LIST[[#This Row],[INVESTOR CODE]],SIP[B/S],"B")</f>
        <v>0</v>
      </c>
      <c r="M255" s="47">
        <f>-SUMIFS(SIP[Unit],SIP[Investor ID],INVESTORS_LIST[[#This Row],[INVESTOR CODE]],SIP[B/S],"S")</f>
        <v>0</v>
      </c>
      <c r="N255" s="50">
        <f>IF(INVESTORS_LIST[[#This Row],[SIP_TOTAL UNITS BUY]]=0,0,INVESTORS_LIST[[#This Row],[SIP_TOTAL UNITS BUY]]-INVESTORS_LIST[[#This Row],[SIP_TOTAL UNITS SOLD]])</f>
        <v>0</v>
      </c>
      <c r="O255" s="49">
        <f>IF(INVESTORS_LIST[[#This Row],[SIP_TOTAL UNITS BUY]]=0,0,SUMIFS(SIP[Amount],SIP[Investor ID],INVESTORS_LIST[[#This Row],[INVESTOR CODE]],SIP[B/S],"B"))</f>
        <v>0</v>
      </c>
      <c r="P255" s="49">
        <f>IF(INVESTORS_LIST[[#This Row],[SIP_TOTAL UNITS SOLD]]=0,0,SUMIFS(SIP[Cost of Units Sold],SIP[Investor ID],INVESTORS_LIST[[#This Row],[INVESTOR CODE]],SIP[B/S],"S"))</f>
        <v>0</v>
      </c>
      <c r="Q255" s="48">
        <f>IF(INVESTORS_LIST[[#This Row],[SIP_TOTAL CURRENT UNITS]]=0,0,INVESTORS_LIST[[#This Row],[SIP_TOTAL CURRENT UNITS]]*INVESTORS_LIST[[#This Row],[SIP_AVERAGE COST]])</f>
        <v>0</v>
      </c>
      <c r="R255" s="48">
        <f>IF(INVESTORS_LIST[[#This Row],[SIP_TOTAL UNITS SOLD]]=0,0,SUMIFS(SIP[Realized Gain],SIP[Investor ID],INVESTORS_LIST[[#This Row],[INVESTOR CODE]],SIP[B/S],"S"))</f>
        <v>0</v>
      </c>
      <c r="S255" s="50">
        <f>INVESTORS_LIST[[#This Row],[LS_TOTAL UNITS BUY]]+INVESTORS_LIST[[#This Row],[SIP_TOTAL UNITS BUY]]</f>
        <v>0</v>
      </c>
      <c r="T255" s="50">
        <f>INVESTORS_LIST[[#This Row],[LS_TOTAL UNITS SOLD]]+INVESTORS_LIST[[#This Row],[SIP_TOTAL UNITS SOLD]]</f>
        <v>0</v>
      </c>
      <c r="U255" s="50"/>
      <c r="V255" s="50">
        <f>SUMIFS(LS[BO UNIT TRANSFER],LS[Investor ID],INVESTORS_LIST[[#This Row],[INVESTOR CODE]],LS[B/S],"B")</f>
        <v>0</v>
      </c>
      <c r="W255" s="50">
        <f>SUMIFS(SIP[BO UNIT TRANSFER],SIP[Investor ID],INVESTORS_LIST[[#This Row],[INVESTOR CODE]],SIP[B/S],"B")</f>
        <v>0</v>
      </c>
      <c r="X255" s="50">
        <f>SUMIFS(LS[BO UNIT TRANSFER],LS[Investor ID],INVESTORS_LIST[[#This Row],[INVESTOR CODE]],LS[B/S],"S")</f>
        <v>0</v>
      </c>
      <c r="Y255" s="50">
        <f>SUMIFS(SIP[BO UNIT TRANSFER],SIP[Investor ID],INVESTORS_LIST[[#This Row],[INVESTOR CODE]],SIP[B/S],"S")</f>
        <v>0</v>
      </c>
      <c r="Z255" s="106">
        <f>SUM(INVESTORS_LIST[[#This Row],[BO OPENING BALANCE]:[BO SIP UNITS REPURCHASE]])</f>
        <v>0</v>
      </c>
      <c r="AA255" s="107">
        <f>INVESTORS_LIST[[#This Row],[TOTAL UNITS BUY]]-INVESTORS_LIST[[#This Row],[TOTAL UNITS SOLD]]</f>
        <v>0</v>
      </c>
      <c r="AB255" s="107">
        <f>INVESTORS_LIST[[#This Row],[TOTAL CURRENT UNITS]]-INVESTORS_LIST[[#This Row],[BO UNITS HOLD]]</f>
        <v>0</v>
      </c>
      <c r="AC255" s="201" t="e">
        <f>INDEX([3]!Table_1[BO ID],MATCH(INVESTORS_LIST[[#This Row],[INVESTOR CODE]],[3]!Table_1[INVESTOR CODE],0))</f>
        <v>#REF!</v>
      </c>
      <c r="AD255" s="201" t="e">
        <f>INDEX([3]!Table_1[Brokerage Name2],MATCH(INVESTORS_LIST[[#This Row],[INVESTOR CODE]],[3]!Table_1[INVESTOR CODE],0))</f>
        <v>#REF!</v>
      </c>
      <c r="AE255" s="201" t="e">
        <f>MID(INVESTORS_LIST[[#This Row],[BO ID]],4,5)</f>
        <v>#REF!</v>
      </c>
      <c r="AF255" s="201" t="e">
        <f>MID(INVESTORS_LIST[[#This Row],[BO ID]],2,7)</f>
        <v>#REF!</v>
      </c>
      <c r="AG255" s="201" t="e">
        <f>MID(INVESTORS_LIST[[#This Row],[BO ID]],9,7)</f>
        <v>#REF!</v>
      </c>
      <c r="AH255" s="201" t="e">
        <f>RIGHT(INVESTORS_LIST[[#This Row],[BO ID]],1)</f>
        <v>#REF!</v>
      </c>
      <c r="AI255" s="50">
        <f>INVESTORS_LIST[[#This Row],[LS_TOTAL COST VALUE OF CURRENT UNITS]]+INVESTORS_LIST[[#This Row],[SIP_TOTAL COST VALUE OF CURRENT UNITS]]</f>
        <v>0</v>
      </c>
      <c r="AJ255" s="109">
        <f>IF(INVESTORS_LIST[[#This Row],[TOTAL CURRENT UNITS]]=0,0,INVESTORS_LIST[[#This Row],[LS_TOTAL CURRENT UNITS]]/INVESTORS_LIST[[#This Row],[TOTAL CURRENT UNITS]])</f>
        <v>0</v>
      </c>
      <c r="AK255" s="109">
        <f>IF(INVESTORS_LIST[[#This Row],[TOTAL CURRENT UNITS]]=0,0,INVESTORS_LIST[[#This Row],[SIP_TOTAL CURRENT UNITS]]/INVESTORS_LIST[[#This Row],[TOTAL CURRENT UNITS]])</f>
        <v>0</v>
      </c>
      <c r="AL255" s="49" cm="1">
        <f t="array" ref="AL2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5" s="49" cm="1">
        <f t="array" ref="AM2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5" s="105">
        <f t="shared" si="4"/>
        <v>14.224</v>
      </c>
      <c r="AP255" s="112">
        <f>IF(INVESTORS_LIST[[#This Row],[TOTAL CURRENT UNITS]]=0,0,INVESTORS_LIST[[#This Row],[TOTAL CURRENT UNITS]]*INVESTORS_LIST[[#This Row],[NAV]])</f>
        <v>0</v>
      </c>
      <c r="AQ255" s="49">
        <f>IF(INVESTORS_LIST[[#This Row],[LS_TOTAL CURRENT UNITS]]=0,0,INVESTORS_LIST[[#This Row],[LS_TOTAL CURRENT UNITS]]*INVESTORS_LIST[[#This Row],[NAV]])</f>
        <v>0</v>
      </c>
      <c r="AR255" s="48">
        <f>IF(INVESTORS_LIST[[#This Row],[SIP_TOTAL CURRENT UNITS]]=0,0,INVESTORS_LIST[[#This Row],[SIP_TOTAL CURRENT UNITS]]*INVESTORS_LIST[[#This Row],[NAV]])</f>
        <v>0</v>
      </c>
      <c r="AS255" s="50">
        <f>INVESTORS_LIST[[#This Row],[TOTAL CURRENT UNITS]]</f>
        <v>0</v>
      </c>
      <c r="AT255" s="48">
        <f>IF(INVESTORS_LIST[[#This Row],[TOTAL SELLABLE UNITS]]=0,0,INVESTORS_LIST[[#This Row],[TOTAL SELLABLE UNITS]]*INVESTORS_LIST[[#This Row],[NAV]])</f>
        <v>0</v>
      </c>
      <c r="AU255" s="48">
        <f>INVESTORS_LIST[[#This Row],[LS_TOTAL REALIZED GAIN]]+INVESTORS_LIST[[#This Row],[SIP_TOTAL REALIZED GAIN]]</f>
        <v>0</v>
      </c>
      <c r="AV255" s="48">
        <f>INVESTORS_LIST[[#This Row],[TOTAL MARKET VALUE]]-INVESTORS_LIST[[#This Row],[TOTAL COST VALUE OF CURRENT INVESTMENT]]</f>
        <v>0</v>
      </c>
      <c r="AW255" s="48">
        <f>IFERROR(INVESTORS_LIST[[#This Row],[TOTAL CURRENT UNITS]]/SUM(INVESTORS_LIST[TOTAL CURRENT UNITS]),0)</f>
        <v>0</v>
      </c>
    </row>
    <row r="256" spans="1:49">
      <c r="A256" s="262" t="s">
        <v>560</v>
      </c>
      <c r="B256" s="97" t="s">
        <v>561</v>
      </c>
      <c r="C256" t="s">
        <v>44</v>
      </c>
      <c r="D256" s="75" t="s">
        <v>45</v>
      </c>
      <c r="E256" s="47">
        <f>SUMIFS(LS[Unit],LS[Investor ID],INVESTORS_LIST[[#This Row],[INVESTOR CODE]],LS[B/S],"B")</f>
        <v>0</v>
      </c>
      <c r="F256" s="47">
        <f>-SUMIFS(LS[Unit],LS[Investor ID],INVESTORS_LIST[[#This Row],[INVESTOR CODE]],LS[B/S],"S")</f>
        <v>0</v>
      </c>
      <c r="G256" s="47">
        <f>IF(INVESTORS_LIST[[#This Row],[LS_TOTAL UNITS BUY]]=0,0,INVESTORS_LIST[[#This Row],[LS_TOTAL UNITS BUY]]-INVESTORS_LIST[[#This Row],[LS_TOTAL UNITS SOLD]])</f>
        <v>0</v>
      </c>
      <c r="H256" s="49">
        <f>IF(INVESTORS_LIST[[#This Row],[LS_TOTAL UNITS BUY]]=0,0,SUMIFS(LS[Amount],LS[Investor ID],INVESTORS_LIST[[#This Row],[INVESTOR CODE]],LS[B/S],"B"))</f>
        <v>0</v>
      </c>
      <c r="I256" s="48">
        <f>IF(INVESTORS_LIST[[#This Row],[LS_TOTAL UNITS SOLD]]=0,0,SUMIFS(LS[Cost of Units Sold],LS[Investor ID],INVESTORS_LIST[[#This Row],[INVESTOR CODE]],LS[B/S],"S"))</f>
        <v>0</v>
      </c>
      <c r="J256" s="48">
        <f>IF(INVESTORS_LIST[[#This Row],[LS_TOTAL CURRENT UNITS]]=0,0,INVESTORS_LIST[[#This Row],[LS_TOTAL CURRENT UNITS]]*INVESTORS_LIST[[#This Row],[LS_AVERAGE COST]])</f>
        <v>0</v>
      </c>
      <c r="K256" s="49">
        <f>IF(INVESTORS_LIST[[#This Row],[LS_TOTAL UNITS SOLD]]=0,0,SUMIFS(LS[Realized Gain],LS[Investor ID],INVESTORS_LIST[[#This Row],[INVESTOR CODE]],LS[B/S],"S"))</f>
        <v>0</v>
      </c>
      <c r="L256" s="47">
        <f>SUMIFS(SIP[Unit],SIP[Investor ID],INVESTORS_LIST[[#This Row],[INVESTOR CODE]],SIP[B/S],"B")</f>
        <v>8303</v>
      </c>
      <c r="M256" s="47">
        <f>-SUMIFS(SIP[Unit],SIP[Investor ID],INVESTORS_LIST[[#This Row],[INVESTOR CODE]],SIP[B/S],"S")</f>
        <v>0</v>
      </c>
      <c r="N256" s="50">
        <f>IF(INVESTORS_LIST[[#This Row],[SIP_TOTAL UNITS BUY]]=0,0,INVESTORS_LIST[[#This Row],[SIP_TOTAL UNITS BUY]]-INVESTORS_LIST[[#This Row],[SIP_TOTAL UNITS SOLD]])</f>
        <v>8303</v>
      </c>
      <c r="O256" s="49">
        <f>IF(INVESTORS_LIST[[#This Row],[SIP_TOTAL UNITS BUY]]=0,0,SUMIFS(SIP[Amount],SIP[Investor ID],INVESTORS_LIST[[#This Row],[INVESTOR CODE]],SIP[B/S],"B"))</f>
        <v>110000</v>
      </c>
      <c r="P256" s="49">
        <f>IF(INVESTORS_LIST[[#This Row],[SIP_TOTAL UNITS SOLD]]=0,0,SUMIFS(SIP[Cost of Units Sold],SIP[Investor ID],INVESTORS_LIST[[#This Row],[INVESTOR CODE]],SIP[B/S],"S"))</f>
        <v>0</v>
      </c>
      <c r="Q256" s="48">
        <f>IF(INVESTORS_LIST[[#This Row],[SIP_TOTAL CURRENT UNITS]]=0,0,INVESTORS_LIST[[#This Row],[SIP_TOTAL CURRENT UNITS]]*INVESTORS_LIST[[#This Row],[SIP_AVERAGE COST]])</f>
        <v>110000.00000000001</v>
      </c>
      <c r="R256" s="48">
        <f>IF(INVESTORS_LIST[[#This Row],[SIP_TOTAL UNITS SOLD]]=0,0,SUMIFS(SIP[Realized Gain],SIP[Investor ID],INVESTORS_LIST[[#This Row],[INVESTOR CODE]],SIP[B/S],"S"))</f>
        <v>0</v>
      </c>
      <c r="S256" s="50">
        <f>INVESTORS_LIST[[#This Row],[LS_TOTAL UNITS BUY]]+INVESTORS_LIST[[#This Row],[SIP_TOTAL UNITS BUY]]</f>
        <v>8303</v>
      </c>
      <c r="T256" s="50">
        <f>INVESTORS_LIST[[#This Row],[LS_TOTAL UNITS SOLD]]+INVESTORS_LIST[[#This Row],[SIP_TOTAL UNITS SOLD]]</f>
        <v>0</v>
      </c>
      <c r="U256" s="50">
        <v>10384</v>
      </c>
      <c r="V256" s="50">
        <f>SUMIFS(LS[BO UNIT TRANSFER],LS[Investor ID],INVESTORS_LIST[[#This Row],[INVESTOR CODE]],LS[B/S],"B")</f>
        <v>0</v>
      </c>
      <c r="W256" s="50">
        <f>SUMIFS(SIP[BO UNIT TRANSFER],SIP[Investor ID],INVESTORS_LIST[[#This Row],[INVESTOR CODE]],SIP[B/S],"B")</f>
        <v>0</v>
      </c>
      <c r="X256" s="50">
        <f>SUMIFS(LS[BO UNIT TRANSFER],LS[Investor ID],INVESTORS_LIST[[#This Row],[INVESTOR CODE]],LS[B/S],"S")</f>
        <v>0</v>
      </c>
      <c r="Y256" s="50">
        <f>SUMIFS(SIP[BO UNIT TRANSFER],SIP[Investor ID],INVESTORS_LIST[[#This Row],[INVESTOR CODE]],SIP[B/S],"S")</f>
        <v>0</v>
      </c>
      <c r="Z256" s="106">
        <f>SUM(INVESTORS_LIST[[#This Row],[BO OPENING BALANCE]:[BO SIP UNITS REPURCHASE]])</f>
        <v>10384</v>
      </c>
      <c r="AA256" s="107">
        <f>INVESTORS_LIST[[#This Row],[TOTAL UNITS BUY]]-INVESTORS_LIST[[#This Row],[TOTAL UNITS SOLD]]</f>
        <v>8303</v>
      </c>
      <c r="AB256" s="107">
        <f>INVESTORS_LIST[[#This Row],[TOTAL CURRENT UNITS]]-INVESTORS_LIST[[#This Row],[BO UNITS HOLD]]</f>
        <v>-2081</v>
      </c>
      <c r="AC256" s="201" t="e">
        <f>INDEX([3]!Table_1[BO ID],MATCH(INVESTORS_LIST[[#This Row],[INVESTOR CODE]],[3]!Table_1[INVESTOR CODE],0))</f>
        <v>#REF!</v>
      </c>
      <c r="AD256" s="201" t="e">
        <f>INDEX([3]!Table_1[Brokerage Name2],MATCH(INVESTORS_LIST[[#This Row],[INVESTOR CODE]],[3]!Table_1[INVESTOR CODE],0))</f>
        <v>#REF!</v>
      </c>
      <c r="AE256" s="201" t="e">
        <f>MID(INVESTORS_LIST[[#This Row],[BO ID]],4,5)</f>
        <v>#REF!</v>
      </c>
      <c r="AF256" s="201" t="e">
        <f>MID(INVESTORS_LIST[[#This Row],[BO ID]],2,7)</f>
        <v>#REF!</v>
      </c>
      <c r="AG256" s="201" t="e">
        <f>MID(INVESTORS_LIST[[#This Row],[BO ID]],9,7)</f>
        <v>#REF!</v>
      </c>
      <c r="AH256" s="201" t="e">
        <f>RIGHT(INVESTORS_LIST[[#This Row],[BO ID]],1)</f>
        <v>#REF!</v>
      </c>
      <c r="AI256" s="50">
        <f>INVESTORS_LIST[[#This Row],[LS_TOTAL COST VALUE OF CURRENT UNITS]]+INVESTORS_LIST[[#This Row],[SIP_TOTAL COST VALUE OF CURRENT UNITS]]</f>
        <v>110000.00000000001</v>
      </c>
      <c r="AJ256" s="109">
        <f>IF(INVESTORS_LIST[[#This Row],[TOTAL CURRENT UNITS]]=0,0,INVESTORS_LIST[[#This Row],[LS_TOTAL CURRENT UNITS]]/INVESTORS_LIST[[#This Row],[TOTAL CURRENT UNITS]])</f>
        <v>0</v>
      </c>
      <c r="AK256" s="109">
        <f>IF(INVESTORS_LIST[[#This Row],[TOTAL CURRENT UNITS]]=0,0,INVESTORS_LIST[[#This Row],[SIP_TOTAL CURRENT UNITS]]/INVESTORS_LIST[[#This Row],[TOTAL CURRENT UNITS]])</f>
        <v>1</v>
      </c>
      <c r="AL256" s="49" cm="1">
        <f t="array" ref="AL2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6" s="49" cm="1">
        <f t="array" ref="AM256">IF(INVESTORS_LIST[[#This Row],[SIP_TOTAL UNITS BUY]]&gt;0,INDEX(SIP[NAV at Cost (Average)],MATCH(CONCATENATE(COUNTIFS(SIP[Investor ID],INVESTORS_LIST[[#This Row],[INVESTOR CODE]]),INVESTORS_LIST[[#This Row],[INVESTOR CODE]]),SIP[Unique Code],0),),0)</f>
        <v>13.248223533662534</v>
      </c>
      <c r="AN256" s="105">
        <f>IF(INVESTORS_LIST[[#This Row],[TOTAL CURRENT UNITS]]=0,0,(INVESTORS_LIST[[#This Row],[LS_WEIGHT]]*INVESTORS_LIST[[#This Row],[LS_AVERAGE COST]])+(INVESTORS_LIST[[#This Row],[SIP_WEIGHT]]*INVESTORS_LIST[[#This Row],[SIP_AVERAGE COST]]))</f>
        <v>13.248223533662534</v>
      </c>
      <c r="AO256" s="105">
        <f t="shared" si="4"/>
        <v>14.224</v>
      </c>
      <c r="AP256" s="112">
        <f>IF(INVESTORS_LIST[[#This Row],[TOTAL CURRENT UNITS]]=0,0,INVESTORS_LIST[[#This Row],[TOTAL CURRENT UNITS]]*INVESTORS_LIST[[#This Row],[NAV]])</f>
        <v>118101.872</v>
      </c>
      <c r="AQ256" s="49">
        <f>IF(INVESTORS_LIST[[#This Row],[LS_TOTAL CURRENT UNITS]]=0,0,INVESTORS_LIST[[#This Row],[LS_TOTAL CURRENT UNITS]]*INVESTORS_LIST[[#This Row],[NAV]])</f>
        <v>0</v>
      </c>
      <c r="AR256" s="48">
        <f>IF(INVESTORS_LIST[[#This Row],[SIP_TOTAL CURRENT UNITS]]=0,0,INVESTORS_LIST[[#This Row],[SIP_TOTAL CURRENT UNITS]]*INVESTORS_LIST[[#This Row],[NAV]])</f>
        <v>118101.872</v>
      </c>
      <c r="AS256" s="50">
        <f>INVESTORS_LIST[[#This Row],[TOTAL CURRENT UNITS]]</f>
        <v>8303</v>
      </c>
      <c r="AT256" s="48">
        <f>IF(INVESTORS_LIST[[#This Row],[TOTAL SELLABLE UNITS]]=0,0,INVESTORS_LIST[[#This Row],[TOTAL SELLABLE UNITS]]*INVESTORS_LIST[[#This Row],[NAV]])</f>
        <v>118101.872</v>
      </c>
      <c r="AU256" s="48">
        <f>INVESTORS_LIST[[#This Row],[LS_TOTAL REALIZED GAIN]]+INVESTORS_LIST[[#This Row],[SIP_TOTAL REALIZED GAIN]]</f>
        <v>0</v>
      </c>
      <c r="AV256" s="48">
        <f>INVESTORS_LIST[[#This Row],[TOTAL MARKET VALUE]]-INVESTORS_LIST[[#This Row],[TOTAL COST VALUE OF CURRENT INVESTMENT]]</f>
        <v>8101.8719999999885</v>
      </c>
      <c r="AW256" s="48">
        <f>IFERROR(INVESTORS_LIST[[#This Row],[TOTAL CURRENT UNITS]]/SUM(INVESTORS_LIST[TOTAL CURRENT UNITS]),0)</f>
        <v>2.0156535416134867E-4</v>
      </c>
    </row>
    <row r="257" spans="1:49" hidden="1">
      <c r="A257" s="262" t="s">
        <v>562</v>
      </c>
      <c r="B257" s="97" t="s">
        <v>563</v>
      </c>
      <c r="C257" t="s">
        <v>44</v>
      </c>
      <c r="D257" s="75" t="s">
        <v>45</v>
      </c>
      <c r="E257" s="47">
        <f>SUMIFS(LS[Unit],LS[Investor ID],INVESTORS_LIST[[#This Row],[INVESTOR CODE]],LS[B/S],"B")</f>
        <v>0</v>
      </c>
      <c r="F257" s="47">
        <f>-SUMIFS(LS[Unit],LS[Investor ID],INVESTORS_LIST[[#This Row],[INVESTOR CODE]],LS[B/S],"S")</f>
        <v>0</v>
      </c>
      <c r="G257" s="47">
        <f>IF(INVESTORS_LIST[[#This Row],[LS_TOTAL UNITS BUY]]=0,0,INVESTORS_LIST[[#This Row],[LS_TOTAL UNITS BUY]]-INVESTORS_LIST[[#This Row],[LS_TOTAL UNITS SOLD]])</f>
        <v>0</v>
      </c>
      <c r="H257" s="49">
        <f>IF(INVESTORS_LIST[[#This Row],[LS_TOTAL UNITS BUY]]=0,0,SUMIFS(LS[Amount],LS[Investor ID],INVESTORS_LIST[[#This Row],[INVESTOR CODE]],LS[B/S],"B"))</f>
        <v>0</v>
      </c>
      <c r="I257" s="48">
        <f>IF(INVESTORS_LIST[[#This Row],[LS_TOTAL UNITS SOLD]]=0,0,SUMIFS(LS[Cost of Units Sold],LS[Investor ID],INVESTORS_LIST[[#This Row],[INVESTOR CODE]],LS[B/S],"S"))</f>
        <v>0</v>
      </c>
      <c r="J257" s="48">
        <f>IF(INVESTORS_LIST[[#This Row],[LS_TOTAL CURRENT UNITS]]=0,0,INVESTORS_LIST[[#This Row],[LS_TOTAL CURRENT UNITS]]*INVESTORS_LIST[[#This Row],[LS_AVERAGE COST]])</f>
        <v>0</v>
      </c>
      <c r="K257" s="49">
        <f>IF(INVESTORS_LIST[[#This Row],[LS_TOTAL UNITS SOLD]]=0,0,SUMIFS(LS[Realized Gain],LS[Investor ID],INVESTORS_LIST[[#This Row],[INVESTOR CODE]],LS[B/S],"S"))</f>
        <v>0</v>
      </c>
      <c r="L257" s="47">
        <f>SUMIFS(SIP[Unit],SIP[Investor ID],INVESTORS_LIST[[#This Row],[INVESTOR CODE]],SIP[B/S],"B")</f>
        <v>0</v>
      </c>
      <c r="M257" s="47">
        <f>-SUMIFS(SIP[Unit],SIP[Investor ID],INVESTORS_LIST[[#This Row],[INVESTOR CODE]],SIP[B/S],"S")</f>
        <v>0</v>
      </c>
      <c r="N257" s="50">
        <f>IF(INVESTORS_LIST[[#This Row],[SIP_TOTAL UNITS BUY]]=0,0,INVESTORS_LIST[[#This Row],[SIP_TOTAL UNITS BUY]]-INVESTORS_LIST[[#This Row],[SIP_TOTAL UNITS SOLD]])</f>
        <v>0</v>
      </c>
      <c r="O257" s="49">
        <f>IF(INVESTORS_LIST[[#This Row],[SIP_TOTAL UNITS BUY]]=0,0,SUMIFS(SIP[Amount],SIP[Investor ID],INVESTORS_LIST[[#This Row],[INVESTOR CODE]],SIP[B/S],"B"))</f>
        <v>0</v>
      </c>
      <c r="P257" s="49">
        <f>IF(INVESTORS_LIST[[#This Row],[SIP_TOTAL UNITS SOLD]]=0,0,SUMIFS(SIP[Cost of Units Sold],SIP[Investor ID],INVESTORS_LIST[[#This Row],[INVESTOR CODE]],SIP[B/S],"S"))</f>
        <v>0</v>
      </c>
      <c r="Q257" s="48">
        <f>IF(INVESTORS_LIST[[#This Row],[SIP_TOTAL CURRENT UNITS]]=0,0,INVESTORS_LIST[[#This Row],[SIP_TOTAL CURRENT UNITS]]*INVESTORS_LIST[[#This Row],[SIP_AVERAGE COST]])</f>
        <v>0</v>
      </c>
      <c r="R257" s="48">
        <f>IF(INVESTORS_LIST[[#This Row],[SIP_TOTAL UNITS SOLD]]=0,0,SUMIFS(SIP[Realized Gain],SIP[Investor ID],INVESTORS_LIST[[#This Row],[INVESTOR CODE]],SIP[B/S],"S"))</f>
        <v>0</v>
      </c>
      <c r="S257" s="50">
        <f>INVESTORS_LIST[[#This Row],[LS_TOTAL UNITS BUY]]+INVESTORS_LIST[[#This Row],[SIP_TOTAL UNITS BUY]]</f>
        <v>0</v>
      </c>
      <c r="T257" s="50">
        <f>INVESTORS_LIST[[#This Row],[LS_TOTAL UNITS SOLD]]+INVESTORS_LIST[[#This Row],[SIP_TOTAL UNITS SOLD]]</f>
        <v>0</v>
      </c>
      <c r="U257" s="50"/>
      <c r="V257" s="50">
        <f>SUMIFS(LS[BO UNIT TRANSFER],LS[Investor ID],INVESTORS_LIST[[#This Row],[INVESTOR CODE]],LS[B/S],"B")</f>
        <v>0</v>
      </c>
      <c r="W257" s="50">
        <f>SUMIFS(SIP[BO UNIT TRANSFER],SIP[Investor ID],INVESTORS_LIST[[#This Row],[INVESTOR CODE]],SIP[B/S],"B")</f>
        <v>0</v>
      </c>
      <c r="X257" s="50">
        <f>SUMIFS(LS[BO UNIT TRANSFER],LS[Investor ID],INVESTORS_LIST[[#This Row],[INVESTOR CODE]],LS[B/S],"S")</f>
        <v>0</v>
      </c>
      <c r="Y257" s="50">
        <f>SUMIFS(SIP[BO UNIT TRANSFER],SIP[Investor ID],INVESTORS_LIST[[#This Row],[INVESTOR CODE]],SIP[B/S],"S")</f>
        <v>0</v>
      </c>
      <c r="Z257" s="106">
        <f>SUM(INVESTORS_LIST[[#This Row],[BO OPENING BALANCE]:[BO SIP UNITS REPURCHASE]])</f>
        <v>0</v>
      </c>
      <c r="AA257" s="107">
        <f>INVESTORS_LIST[[#This Row],[TOTAL UNITS BUY]]-INVESTORS_LIST[[#This Row],[TOTAL UNITS SOLD]]</f>
        <v>0</v>
      </c>
      <c r="AB257" s="107">
        <f>INVESTORS_LIST[[#This Row],[TOTAL CURRENT UNITS]]-INVESTORS_LIST[[#This Row],[BO UNITS HOLD]]</f>
        <v>0</v>
      </c>
      <c r="AC257" s="201" t="e">
        <f>INDEX([3]!Table_1[BO ID],MATCH(INVESTORS_LIST[[#This Row],[INVESTOR CODE]],[3]!Table_1[INVESTOR CODE],0))</f>
        <v>#REF!</v>
      </c>
      <c r="AD257" s="201" t="e">
        <f>INDEX([3]!Table_1[Brokerage Name2],MATCH(INVESTORS_LIST[[#This Row],[INVESTOR CODE]],[3]!Table_1[INVESTOR CODE],0))</f>
        <v>#REF!</v>
      </c>
      <c r="AE257" s="201" t="e">
        <f>MID(INVESTORS_LIST[[#This Row],[BO ID]],4,5)</f>
        <v>#REF!</v>
      </c>
      <c r="AF257" s="201" t="e">
        <f>MID(INVESTORS_LIST[[#This Row],[BO ID]],2,7)</f>
        <v>#REF!</v>
      </c>
      <c r="AG257" s="201" t="e">
        <f>MID(INVESTORS_LIST[[#This Row],[BO ID]],9,7)</f>
        <v>#REF!</v>
      </c>
      <c r="AH257" s="201" t="e">
        <f>RIGHT(INVESTORS_LIST[[#This Row],[BO ID]],1)</f>
        <v>#REF!</v>
      </c>
      <c r="AI257" s="50">
        <f>INVESTORS_LIST[[#This Row],[LS_TOTAL COST VALUE OF CURRENT UNITS]]+INVESTORS_LIST[[#This Row],[SIP_TOTAL COST VALUE OF CURRENT UNITS]]</f>
        <v>0</v>
      </c>
      <c r="AJ257" s="109">
        <f>IF(INVESTORS_LIST[[#This Row],[TOTAL CURRENT UNITS]]=0,0,INVESTORS_LIST[[#This Row],[LS_TOTAL CURRENT UNITS]]/INVESTORS_LIST[[#This Row],[TOTAL CURRENT UNITS]])</f>
        <v>0</v>
      </c>
      <c r="AK257" s="109">
        <f>IF(INVESTORS_LIST[[#This Row],[TOTAL CURRENT UNITS]]=0,0,INVESTORS_LIST[[#This Row],[SIP_TOTAL CURRENT UNITS]]/INVESTORS_LIST[[#This Row],[TOTAL CURRENT UNITS]])</f>
        <v>0</v>
      </c>
      <c r="AL257" s="49" cm="1">
        <f t="array" ref="AL2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7" s="49" cm="1">
        <f t="array" ref="AM2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7" s="105">
        <f t="shared" si="4"/>
        <v>14.224</v>
      </c>
      <c r="AP257" s="112">
        <f>IF(INVESTORS_LIST[[#This Row],[TOTAL CURRENT UNITS]]=0,0,INVESTORS_LIST[[#This Row],[TOTAL CURRENT UNITS]]*INVESTORS_LIST[[#This Row],[NAV]])</f>
        <v>0</v>
      </c>
      <c r="AQ257" s="49">
        <f>IF(INVESTORS_LIST[[#This Row],[LS_TOTAL CURRENT UNITS]]=0,0,INVESTORS_LIST[[#This Row],[LS_TOTAL CURRENT UNITS]]*INVESTORS_LIST[[#This Row],[NAV]])</f>
        <v>0</v>
      </c>
      <c r="AR257" s="48">
        <f>IF(INVESTORS_LIST[[#This Row],[SIP_TOTAL CURRENT UNITS]]=0,0,INVESTORS_LIST[[#This Row],[SIP_TOTAL CURRENT UNITS]]*INVESTORS_LIST[[#This Row],[NAV]])</f>
        <v>0</v>
      </c>
      <c r="AS257" s="50">
        <f>INVESTORS_LIST[[#This Row],[TOTAL CURRENT UNITS]]</f>
        <v>0</v>
      </c>
      <c r="AT257" s="48">
        <f>IF(INVESTORS_LIST[[#This Row],[TOTAL SELLABLE UNITS]]=0,0,INVESTORS_LIST[[#This Row],[TOTAL SELLABLE UNITS]]*INVESTORS_LIST[[#This Row],[NAV]])</f>
        <v>0</v>
      </c>
      <c r="AU257" s="48">
        <f>INVESTORS_LIST[[#This Row],[LS_TOTAL REALIZED GAIN]]+INVESTORS_LIST[[#This Row],[SIP_TOTAL REALIZED GAIN]]</f>
        <v>0</v>
      </c>
      <c r="AV257" s="48">
        <f>INVESTORS_LIST[[#This Row],[TOTAL MARKET VALUE]]-INVESTORS_LIST[[#This Row],[TOTAL COST VALUE OF CURRENT INVESTMENT]]</f>
        <v>0</v>
      </c>
      <c r="AW257" s="48">
        <f>IFERROR(INVESTORS_LIST[[#This Row],[TOTAL CURRENT UNITS]]/SUM(INVESTORS_LIST[TOTAL CURRENT UNITS]),0)</f>
        <v>0</v>
      </c>
    </row>
    <row r="258" spans="1:49" hidden="1">
      <c r="A258" s="262" t="s">
        <v>564</v>
      </c>
      <c r="B258" s="97" t="s">
        <v>565</v>
      </c>
      <c r="C258" t="s">
        <v>44</v>
      </c>
      <c r="D258" s="75" t="s">
        <v>45</v>
      </c>
      <c r="E258" s="47">
        <f>SUMIFS(LS[Unit],LS[Investor ID],INVESTORS_LIST[[#This Row],[INVESTOR CODE]],LS[B/S],"B")</f>
        <v>467112</v>
      </c>
      <c r="F258" s="47">
        <f>-SUMIFS(LS[Unit],LS[Investor ID],INVESTORS_LIST[[#This Row],[INVESTOR CODE]],LS[B/S],"S")</f>
        <v>467112</v>
      </c>
      <c r="G258" s="47">
        <f>IF(INVESTORS_LIST[[#This Row],[LS_TOTAL UNITS BUY]]=0,0,INVESTORS_LIST[[#This Row],[LS_TOTAL UNITS BUY]]-INVESTORS_LIST[[#This Row],[LS_TOTAL UNITS SOLD]])</f>
        <v>0</v>
      </c>
      <c r="H258" s="49">
        <f>IF(INVESTORS_LIST[[#This Row],[LS_TOTAL UNITS BUY]]=0,0,SUMIFS(LS[Amount],LS[Investor ID],INVESTORS_LIST[[#This Row],[INVESTOR CODE]],LS[B/S],"B"))</f>
        <v>5585421</v>
      </c>
      <c r="I258" s="48">
        <f>IF(INVESTORS_LIST[[#This Row],[LS_TOTAL UNITS SOLD]]=0,0,SUMIFS(LS[Cost of Units Sold],LS[Investor ID],INVESTORS_LIST[[#This Row],[INVESTOR CODE]],LS[B/S],"S"))</f>
        <v>5585421</v>
      </c>
      <c r="J258" s="48">
        <f>IF(INVESTORS_LIST[[#This Row],[LS_TOTAL CURRENT UNITS]]=0,0,INVESTORS_LIST[[#This Row],[LS_TOTAL CURRENT UNITS]]*INVESTORS_LIST[[#This Row],[LS_AVERAGE COST]])</f>
        <v>0</v>
      </c>
      <c r="K258" s="49">
        <f>IF(INVESTORS_LIST[[#This Row],[LS_TOTAL UNITS SOLD]]=0,0,SUMIFS(LS[Realized Gain],LS[Investor ID],INVESTORS_LIST[[#This Row],[INVESTOR CODE]],LS[B/S],"S"))</f>
        <v>167791.66000000044</v>
      </c>
      <c r="L258" s="47">
        <f>SUMIFS(SIP[Unit],SIP[Investor ID],INVESTORS_LIST[[#This Row],[INVESTOR CODE]],SIP[B/S],"B")</f>
        <v>0</v>
      </c>
      <c r="M258" s="47">
        <f>-SUMIFS(SIP[Unit],SIP[Investor ID],INVESTORS_LIST[[#This Row],[INVESTOR CODE]],SIP[B/S],"S")</f>
        <v>0</v>
      </c>
      <c r="N258" s="50">
        <f>IF(INVESTORS_LIST[[#This Row],[SIP_TOTAL UNITS BUY]]=0,0,INVESTORS_LIST[[#This Row],[SIP_TOTAL UNITS BUY]]-INVESTORS_LIST[[#This Row],[SIP_TOTAL UNITS SOLD]])</f>
        <v>0</v>
      </c>
      <c r="O258" s="49">
        <f>IF(INVESTORS_LIST[[#This Row],[SIP_TOTAL UNITS BUY]]=0,0,SUMIFS(SIP[Amount],SIP[Investor ID],INVESTORS_LIST[[#This Row],[INVESTOR CODE]],SIP[B/S],"B"))</f>
        <v>0</v>
      </c>
      <c r="P258" s="49">
        <f>IF(INVESTORS_LIST[[#This Row],[SIP_TOTAL UNITS SOLD]]=0,0,SUMIFS(SIP[Cost of Units Sold],SIP[Investor ID],INVESTORS_LIST[[#This Row],[INVESTOR CODE]],SIP[B/S],"S"))</f>
        <v>0</v>
      </c>
      <c r="Q258" s="48">
        <f>IF(INVESTORS_LIST[[#This Row],[SIP_TOTAL CURRENT UNITS]]=0,0,INVESTORS_LIST[[#This Row],[SIP_TOTAL CURRENT UNITS]]*INVESTORS_LIST[[#This Row],[SIP_AVERAGE COST]])</f>
        <v>0</v>
      </c>
      <c r="R258" s="48">
        <f>IF(INVESTORS_LIST[[#This Row],[SIP_TOTAL UNITS SOLD]]=0,0,SUMIFS(SIP[Realized Gain],SIP[Investor ID],INVESTORS_LIST[[#This Row],[INVESTOR CODE]],SIP[B/S],"S"))</f>
        <v>0</v>
      </c>
      <c r="S258" s="50">
        <f>INVESTORS_LIST[[#This Row],[LS_TOTAL UNITS BUY]]+INVESTORS_LIST[[#This Row],[SIP_TOTAL UNITS BUY]]</f>
        <v>467112</v>
      </c>
      <c r="T258" s="50">
        <f>INVESTORS_LIST[[#This Row],[LS_TOTAL UNITS SOLD]]+INVESTORS_LIST[[#This Row],[SIP_TOTAL UNITS SOLD]]</f>
        <v>467112</v>
      </c>
      <c r="U258" s="50"/>
      <c r="V258" s="50">
        <f>SUMIFS(LS[BO UNIT TRANSFER],LS[Investor ID],INVESTORS_LIST[[#This Row],[INVESTOR CODE]],LS[B/S],"B")</f>
        <v>0</v>
      </c>
      <c r="W258" s="50">
        <f>SUMIFS(SIP[BO UNIT TRANSFER],SIP[Investor ID],INVESTORS_LIST[[#This Row],[INVESTOR CODE]],SIP[B/S],"B")</f>
        <v>0</v>
      </c>
      <c r="X258" s="50">
        <f>SUMIFS(LS[BO UNIT TRANSFER],LS[Investor ID],INVESTORS_LIST[[#This Row],[INVESTOR CODE]],LS[B/S],"S")</f>
        <v>0</v>
      </c>
      <c r="Y258" s="50">
        <f>SUMIFS(SIP[BO UNIT TRANSFER],SIP[Investor ID],INVESTORS_LIST[[#This Row],[INVESTOR CODE]],SIP[B/S],"S")</f>
        <v>0</v>
      </c>
      <c r="Z258" s="106">
        <f>SUM(INVESTORS_LIST[[#This Row],[BO OPENING BALANCE]:[BO SIP UNITS REPURCHASE]])</f>
        <v>0</v>
      </c>
      <c r="AA258" s="107">
        <f>INVESTORS_LIST[[#This Row],[TOTAL UNITS BUY]]-INVESTORS_LIST[[#This Row],[TOTAL UNITS SOLD]]</f>
        <v>0</v>
      </c>
      <c r="AB258" s="107">
        <f>INVESTORS_LIST[[#This Row],[TOTAL CURRENT UNITS]]-INVESTORS_LIST[[#This Row],[BO UNITS HOLD]]</f>
        <v>0</v>
      </c>
      <c r="AC258" s="201" t="e">
        <f>INDEX([3]!Table_1[BO ID],MATCH(INVESTORS_LIST[[#This Row],[INVESTOR CODE]],[3]!Table_1[INVESTOR CODE],0))</f>
        <v>#REF!</v>
      </c>
      <c r="AD258" s="201" t="e">
        <f>INDEX([3]!Table_1[Brokerage Name2],MATCH(INVESTORS_LIST[[#This Row],[INVESTOR CODE]],[3]!Table_1[INVESTOR CODE],0))</f>
        <v>#REF!</v>
      </c>
      <c r="AE258" s="201" t="e">
        <f>MID(INVESTORS_LIST[[#This Row],[BO ID]],4,5)</f>
        <v>#REF!</v>
      </c>
      <c r="AF258" s="201" t="e">
        <f>MID(INVESTORS_LIST[[#This Row],[BO ID]],2,7)</f>
        <v>#REF!</v>
      </c>
      <c r="AG258" s="201" t="e">
        <f>MID(INVESTORS_LIST[[#This Row],[BO ID]],9,7)</f>
        <v>#REF!</v>
      </c>
      <c r="AH258" s="201" t="e">
        <f>RIGHT(INVESTORS_LIST[[#This Row],[BO ID]],1)</f>
        <v>#REF!</v>
      </c>
      <c r="AI258" s="50">
        <f>INVESTORS_LIST[[#This Row],[LS_TOTAL COST VALUE OF CURRENT UNITS]]+INVESTORS_LIST[[#This Row],[SIP_TOTAL COST VALUE OF CURRENT UNITS]]</f>
        <v>0</v>
      </c>
      <c r="AJ258" s="109">
        <f>IF(INVESTORS_LIST[[#This Row],[TOTAL CURRENT UNITS]]=0,0,INVESTORS_LIST[[#This Row],[LS_TOTAL CURRENT UNITS]]/INVESTORS_LIST[[#This Row],[TOTAL CURRENT UNITS]])</f>
        <v>0</v>
      </c>
      <c r="AK258" s="109">
        <f>IF(INVESTORS_LIST[[#This Row],[TOTAL CURRENT UNITS]]=0,0,INVESTORS_LIST[[#This Row],[SIP_TOTAL CURRENT UNITS]]/INVESTORS_LIST[[#This Row],[TOTAL CURRENT UNITS]])</f>
        <v>0</v>
      </c>
      <c r="AL258" s="49" cm="1">
        <f t="array" ref="AL2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8" s="49" cm="1">
        <f t="array" ref="AM2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8" s="105">
        <f t="shared" si="4"/>
        <v>14.224</v>
      </c>
      <c r="AP258" s="112">
        <f>IF(INVESTORS_LIST[[#This Row],[TOTAL CURRENT UNITS]]=0,0,INVESTORS_LIST[[#This Row],[TOTAL CURRENT UNITS]]*INVESTORS_LIST[[#This Row],[NAV]])</f>
        <v>0</v>
      </c>
      <c r="AQ258" s="49">
        <f>IF(INVESTORS_LIST[[#This Row],[LS_TOTAL CURRENT UNITS]]=0,0,INVESTORS_LIST[[#This Row],[LS_TOTAL CURRENT UNITS]]*INVESTORS_LIST[[#This Row],[NAV]])</f>
        <v>0</v>
      </c>
      <c r="AR258" s="48">
        <f>IF(INVESTORS_LIST[[#This Row],[SIP_TOTAL CURRENT UNITS]]=0,0,INVESTORS_LIST[[#This Row],[SIP_TOTAL CURRENT UNITS]]*INVESTORS_LIST[[#This Row],[NAV]])</f>
        <v>0</v>
      </c>
      <c r="AS258" s="50">
        <f>INVESTORS_LIST[[#This Row],[TOTAL CURRENT UNITS]]</f>
        <v>0</v>
      </c>
      <c r="AT258" s="48">
        <f>IF(INVESTORS_LIST[[#This Row],[TOTAL SELLABLE UNITS]]=0,0,INVESTORS_LIST[[#This Row],[TOTAL SELLABLE UNITS]]*INVESTORS_LIST[[#This Row],[NAV]])</f>
        <v>0</v>
      </c>
      <c r="AU258" s="48">
        <f>INVESTORS_LIST[[#This Row],[LS_TOTAL REALIZED GAIN]]+INVESTORS_LIST[[#This Row],[SIP_TOTAL REALIZED GAIN]]</f>
        <v>167791.66000000044</v>
      </c>
      <c r="AV258" s="48">
        <f>INVESTORS_LIST[[#This Row],[TOTAL MARKET VALUE]]-INVESTORS_LIST[[#This Row],[TOTAL COST VALUE OF CURRENT INVESTMENT]]</f>
        <v>0</v>
      </c>
      <c r="AW258" s="48">
        <f>IFERROR(INVESTORS_LIST[[#This Row],[TOTAL CURRENT UNITS]]/SUM(INVESTORS_LIST[TOTAL CURRENT UNITS]),0)</f>
        <v>0</v>
      </c>
    </row>
    <row r="259" spans="1:49" hidden="1">
      <c r="A259" s="262" t="s">
        <v>566</v>
      </c>
      <c r="B259" s="97" t="s">
        <v>567</v>
      </c>
      <c r="C259" t="s">
        <v>44</v>
      </c>
      <c r="D259" s="75" t="s">
        <v>45</v>
      </c>
      <c r="E259" s="47">
        <f>SUMIFS(LS[Unit],LS[Investor ID],INVESTORS_LIST[[#This Row],[INVESTOR CODE]],LS[B/S],"B")</f>
        <v>0</v>
      </c>
      <c r="F259" s="47">
        <f>-SUMIFS(LS[Unit],LS[Investor ID],INVESTORS_LIST[[#This Row],[INVESTOR CODE]],LS[B/S],"S")</f>
        <v>0</v>
      </c>
      <c r="G259" s="47">
        <f>IF(INVESTORS_LIST[[#This Row],[LS_TOTAL UNITS BUY]]=0,0,INVESTORS_LIST[[#This Row],[LS_TOTAL UNITS BUY]]-INVESTORS_LIST[[#This Row],[LS_TOTAL UNITS SOLD]])</f>
        <v>0</v>
      </c>
      <c r="H259" s="49">
        <f>IF(INVESTORS_LIST[[#This Row],[LS_TOTAL UNITS BUY]]=0,0,SUMIFS(LS[Amount],LS[Investor ID],INVESTORS_LIST[[#This Row],[INVESTOR CODE]],LS[B/S],"B"))</f>
        <v>0</v>
      </c>
      <c r="I259" s="48">
        <f>IF(INVESTORS_LIST[[#This Row],[LS_TOTAL UNITS SOLD]]=0,0,SUMIFS(LS[Cost of Units Sold],LS[Investor ID],INVESTORS_LIST[[#This Row],[INVESTOR CODE]],LS[B/S],"S"))</f>
        <v>0</v>
      </c>
      <c r="J259" s="48">
        <f>IF(INVESTORS_LIST[[#This Row],[LS_TOTAL CURRENT UNITS]]=0,0,INVESTORS_LIST[[#This Row],[LS_TOTAL CURRENT UNITS]]*INVESTORS_LIST[[#This Row],[LS_AVERAGE COST]])</f>
        <v>0</v>
      </c>
      <c r="K259" s="49">
        <f>IF(INVESTORS_LIST[[#This Row],[LS_TOTAL UNITS SOLD]]=0,0,SUMIFS(LS[Realized Gain],LS[Investor ID],INVESTORS_LIST[[#This Row],[INVESTOR CODE]],LS[B/S],"S"))</f>
        <v>0</v>
      </c>
      <c r="L259" s="47">
        <f>SUMIFS(SIP[Unit],SIP[Investor ID],INVESTORS_LIST[[#This Row],[INVESTOR CODE]],SIP[B/S],"B")</f>
        <v>0</v>
      </c>
      <c r="M259" s="47">
        <f>-SUMIFS(SIP[Unit],SIP[Investor ID],INVESTORS_LIST[[#This Row],[INVESTOR CODE]],SIP[B/S],"S")</f>
        <v>0</v>
      </c>
      <c r="N259" s="50">
        <f>IF(INVESTORS_LIST[[#This Row],[SIP_TOTAL UNITS BUY]]=0,0,INVESTORS_LIST[[#This Row],[SIP_TOTAL UNITS BUY]]-INVESTORS_LIST[[#This Row],[SIP_TOTAL UNITS SOLD]])</f>
        <v>0</v>
      </c>
      <c r="O259" s="49">
        <f>IF(INVESTORS_LIST[[#This Row],[SIP_TOTAL UNITS BUY]]=0,0,SUMIFS(SIP[Amount],SIP[Investor ID],INVESTORS_LIST[[#This Row],[INVESTOR CODE]],SIP[B/S],"B"))</f>
        <v>0</v>
      </c>
      <c r="P259" s="49">
        <f>IF(INVESTORS_LIST[[#This Row],[SIP_TOTAL UNITS SOLD]]=0,0,SUMIFS(SIP[Cost of Units Sold],SIP[Investor ID],INVESTORS_LIST[[#This Row],[INVESTOR CODE]],SIP[B/S],"S"))</f>
        <v>0</v>
      </c>
      <c r="Q259" s="48">
        <f>IF(INVESTORS_LIST[[#This Row],[SIP_TOTAL CURRENT UNITS]]=0,0,INVESTORS_LIST[[#This Row],[SIP_TOTAL CURRENT UNITS]]*INVESTORS_LIST[[#This Row],[SIP_AVERAGE COST]])</f>
        <v>0</v>
      </c>
      <c r="R259" s="48">
        <f>IF(INVESTORS_LIST[[#This Row],[SIP_TOTAL UNITS SOLD]]=0,0,SUMIFS(SIP[Realized Gain],SIP[Investor ID],INVESTORS_LIST[[#This Row],[INVESTOR CODE]],SIP[B/S],"S"))</f>
        <v>0</v>
      </c>
      <c r="S259" s="50">
        <f>INVESTORS_LIST[[#This Row],[LS_TOTAL UNITS BUY]]+INVESTORS_LIST[[#This Row],[SIP_TOTAL UNITS BUY]]</f>
        <v>0</v>
      </c>
      <c r="T259" s="50">
        <f>INVESTORS_LIST[[#This Row],[LS_TOTAL UNITS SOLD]]+INVESTORS_LIST[[#This Row],[SIP_TOTAL UNITS SOLD]]</f>
        <v>0</v>
      </c>
      <c r="U259" s="50"/>
      <c r="V259" s="50">
        <f>SUMIFS(LS[BO UNIT TRANSFER],LS[Investor ID],INVESTORS_LIST[[#This Row],[INVESTOR CODE]],LS[B/S],"B")</f>
        <v>0</v>
      </c>
      <c r="W259" s="50">
        <f>SUMIFS(SIP[BO UNIT TRANSFER],SIP[Investor ID],INVESTORS_LIST[[#This Row],[INVESTOR CODE]],SIP[B/S],"B")</f>
        <v>0</v>
      </c>
      <c r="X259" s="50">
        <f>SUMIFS(LS[BO UNIT TRANSFER],LS[Investor ID],INVESTORS_LIST[[#This Row],[INVESTOR CODE]],LS[B/S],"S")</f>
        <v>0</v>
      </c>
      <c r="Y259" s="50">
        <f>SUMIFS(SIP[BO UNIT TRANSFER],SIP[Investor ID],INVESTORS_LIST[[#This Row],[INVESTOR CODE]],SIP[B/S],"S")</f>
        <v>0</v>
      </c>
      <c r="Z259" s="106">
        <f>SUM(INVESTORS_LIST[[#This Row],[BO OPENING BALANCE]:[BO SIP UNITS REPURCHASE]])</f>
        <v>0</v>
      </c>
      <c r="AA259" s="107">
        <f>INVESTORS_LIST[[#This Row],[TOTAL UNITS BUY]]-INVESTORS_LIST[[#This Row],[TOTAL UNITS SOLD]]</f>
        <v>0</v>
      </c>
      <c r="AB259" s="107">
        <f>INVESTORS_LIST[[#This Row],[TOTAL CURRENT UNITS]]-INVESTORS_LIST[[#This Row],[BO UNITS HOLD]]</f>
        <v>0</v>
      </c>
      <c r="AC259" s="201" t="e">
        <f>INDEX([3]!Table_1[BO ID],MATCH(INVESTORS_LIST[[#This Row],[INVESTOR CODE]],[3]!Table_1[INVESTOR CODE],0))</f>
        <v>#REF!</v>
      </c>
      <c r="AD259" s="201" t="e">
        <f>INDEX([3]!Table_1[Brokerage Name2],MATCH(INVESTORS_LIST[[#This Row],[INVESTOR CODE]],[3]!Table_1[INVESTOR CODE],0))</f>
        <v>#REF!</v>
      </c>
      <c r="AE259" s="201" t="e">
        <f>MID(INVESTORS_LIST[[#This Row],[BO ID]],4,5)</f>
        <v>#REF!</v>
      </c>
      <c r="AF259" s="201" t="e">
        <f>MID(INVESTORS_LIST[[#This Row],[BO ID]],2,7)</f>
        <v>#REF!</v>
      </c>
      <c r="AG259" s="201" t="e">
        <f>MID(INVESTORS_LIST[[#This Row],[BO ID]],9,7)</f>
        <v>#REF!</v>
      </c>
      <c r="AH259" s="201" t="e">
        <f>RIGHT(INVESTORS_LIST[[#This Row],[BO ID]],1)</f>
        <v>#REF!</v>
      </c>
      <c r="AI259" s="50">
        <f>INVESTORS_LIST[[#This Row],[LS_TOTAL COST VALUE OF CURRENT UNITS]]+INVESTORS_LIST[[#This Row],[SIP_TOTAL COST VALUE OF CURRENT UNITS]]</f>
        <v>0</v>
      </c>
      <c r="AJ259" s="109">
        <f>IF(INVESTORS_LIST[[#This Row],[TOTAL CURRENT UNITS]]=0,0,INVESTORS_LIST[[#This Row],[LS_TOTAL CURRENT UNITS]]/INVESTORS_LIST[[#This Row],[TOTAL CURRENT UNITS]])</f>
        <v>0</v>
      </c>
      <c r="AK259" s="109">
        <f>IF(INVESTORS_LIST[[#This Row],[TOTAL CURRENT UNITS]]=0,0,INVESTORS_LIST[[#This Row],[SIP_TOTAL CURRENT UNITS]]/INVESTORS_LIST[[#This Row],[TOTAL CURRENT UNITS]])</f>
        <v>0</v>
      </c>
      <c r="AL259" s="49" cm="1">
        <f t="array" ref="AL2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59" s="49" cm="1">
        <f t="array" ref="AM2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5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59" s="105">
        <f t="shared" ref="AO259:AO322" si="5">NAV_MKT</f>
        <v>14.224</v>
      </c>
      <c r="AP259" s="112">
        <f>IF(INVESTORS_LIST[[#This Row],[TOTAL CURRENT UNITS]]=0,0,INVESTORS_LIST[[#This Row],[TOTAL CURRENT UNITS]]*INVESTORS_LIST[[#This Row],[NAV]])</f>
        <v>0</v>
      </c>
      <c r="AQ259" s="49">
        <f>IF(INVESTORS_LIST[[#This Row],[LS_TOTAL CURRENT UNITS]]=0,0,INVESTORS_LIST[[#This Row],[LS_TOTAL CURRENT UNITS]]*INVESTORS_LIST[[#This Row],[NAV]])</f>
        <v>0</v>
      </c>
      <c r="AR259" s="48">
        <f>IF(INVESTORS_LIST[[#This Row],[SIP_TOTAL CURRENT UNITS]]=0,0,INVESTORS_LIST[[#This Row],[SIP_TOTAL CURRENT UNITS]]*INVESTORS_LIST[[#This Row],[NAV]])</f>
        <v>0</v>
      </c>
      <c r="AS259" s="50">
        <f>INVESTORS_LIST[[#This Row],[TOTAL CURRENT UNITS]]</f>
        <v>0</v>
      </c>
      <c r="AT259" s="48">
        <f>IF(INVESTORS_LIST[[#This Row],[TOTAL SELLABLE UNITS]]=0,0,INVESTORS_LIST[[#This Row],[TOTAL SELLABLE UNITS]]*INVESTORS_LIST[[#This Row],[NAV]])</f>
        <v>0</v>
      </c>
      <c r="AU259" s="48">
        <f>INVESTORS_LIST[[#This Row],[LS_TOTAL REALIZED GAIN]]+INVESTORS_LIST[[#This Row],[SIP_TOTAL REALIZED GAIN]]</f>
        <v>0</v>
      </c>
      <c r="AV259" s="48">
        <f>INVESTORS_LIST[[#This Row],[TOTAL MARKET VALUE]]-INVESTORS_LIST[[#This Row],[TOTAL COST VALUE OF CURRENT INVESTMENT]]</f>
        <v>0</v>
      </c>
      <c r="AW259" s="48">
        <f>IFERROR(INVESTORS_LIST[[#This Row],[TOTAL CURRENT UNITS]]/SUM(INVESTORS_LIST[TOTAL CURRENT UNITS]),0)</f>
        <v>0</v>
      </c>
    </row>
    <row r="260" spans="1:49">
      <c r="A260" s="262" t="s">
        <v>568</v>
      </c>
      <c r="B260" s="97" t="s">
        <v>569</v>
      </c>
      <c r="C260" t="s">
        <v>44</v>
      </c>
      <c r="D260" s="75" t="s">
        <v>45</v>
      </c>
      <c r="E260" s="47">
        <f>SUMIFS(LS[Unit],LS[Investor ID],INVESTORS_LIST[[#This Row],[INVESTOR CODE]],LS[B/S],"B")</f>
        <v>0</v>
      </c>
      <c r="F260" s="47">
        <f>-SUMIFS(LS[Unit],LS[Investor ID],INVESTORS_LIST[[#This Row],[INVESTOR CODE]],LS[B/S],"S")</f>
        <v>0</v>
      </c>
      <c r="G260" s="47">
        <f>IF(INVESTORS_LIST[[#This Row],[LS_TOTAL UNITS BUY]]=0,0,INVESTORS_LIST[[#This Row],[LS_TOTAL UNITS BUY]]-INVESTORS_LIST[[#This Row],[LS_TOTAL UNITS SOLD]])</f>
        <v>0</v>
      </c>
      <c r="H260" s="49">
        <f>IF(INVESTORS_LIST[[#This Row],[LS_TOTAL UNITS BUY]]=0,0,SUMIFS(LS[Amount],LS[Investor ID],INVESTORS_LIST[[#This Row],[INVESTOR CODE]],LS[B/S],"B"))</f>
        <v>0</v>
      </c>
      <c r="I260" s="48">
        <f>IF(INVESTORS_LIST[[#This Row],[LS_TOTAL UNITS SOLD]]=0,0,SUMIFS(LS[Cost of Units Sold],LS[Investor ID],INVESTORS_LIST[[#This Row],[INVESTOR CODE]],LS[B/S],"S"))</f>
        <v>0</v>
      </c>
      <c r="J260" s="48">
        <f>IF(INVESTORS_LIST[[#This Row],[LS_TOTAL CURRENT UNITS]]=0,0,INVESTORS_LIST[[#This Row],[LS_TOTAL CURRENT UNITS]]*INVESTORS_LIST[[#This Row],[LS_AVERAGE COST]])</f>
        <v>0</v>
      </c>
      <c r="K260" s="49">
        <f>IF(INVESTORS_LIST[[#This Row],[LS_TOTAL UNITS SOLD]]=0,0,SUMIFS(LS[Realized Gain],LS[Investor ID],INVESTORS_LIST[[#This Row],[INVESTOR CODE]],LS[B/S],"S"))</f>
        <v>0</v>
      </c>
      <c r="L260" s="47">
        <f>SUMIFS(SIP[Unit],SIP[Investor ID],INVESTORS_LIST[[#This Row],[INVESTOR CODE]],SIP[B/S],"B")</f>
        <v>10730</v>
      </c>
      <c r="M260" s="47">
        <f>-SUMIFS(SIP[Unit],SIP[Investor ID],INVESTORS_LIST[[#This Row],[INVESTOR CODE]],SIP[B/S],"S")</f>
        <v>9454</v>
      </c>
      <c r="N260" s="50">
        <f>IF(INVESTORS_LIST[[#This Row],[SIP_TOTAL UNITS BUY]]=0,0,INVESTORS_LIST[[#This Row],[SIP_TOTAL UNITS BUY]]-INVESTORS_LIST[[#This Row],[SIP_TOTAL UNITS SOLD]])</f>
        <v>1276</v>
      </c>
      <c r="O260" s="49">
        <f>IF(INVESTORS_LIST[[#This Row],[SIP_TOTAL UNITS BUY]]=0,0,SUMIFS(SIP[Amount],SIP[Investor ID],INVESTORS_LIST[[#This Row],[INVESTOR CODE]],SIP[B/S],"B"))</f>
        <v>120000</v>
      </c>
      <c r="P260" s="49">
        <f>IF(INVESTORS_LIST[[#This Row],[SIP_TOTAL UNITS SOLD]]=0,0,SUMIFS(SIP[Cost of Units Sold],SIP[Investor ID],INVESTORS_LIST[[#This Row],[INVESTOR CODE]],SIP[B/S],"S"))</f>
        <v>105603.49046589337</v>
      </c>
      <c r="Q260" s="48">
        <f>IF(INVESTORS_LIST[[#This Row],[SIP_TOTAL CURRENT UNITS]]=0,0,INVESTORS_LIST[[#This Row],[SIP_TOTAL CURRENT UNITS]]*INVESTORS_LIST[[#This Row],[SIP_AVERAGE COST]])</f>
        <v>14396.509534106644</v>
      </c>
      <c r="R260" s="48">
        <f>IF(INVESTORS_LIST[[#This Row],[SIP_TOTAL UNITS SOLD]]=0,0,SUMIFS(SIP[Realized Gain],SIP[Investor ID],INVESTORS_LIST[[#This Row],[INVESTOR CODE]],SIP[B/S],"S"))</f>
        <v>4543.3895341066309</v>
      </c>
      <c r="S260" s="50">
        <f>INVESTORS_LIST[[#This Row],[LS_TOTAL UNITS BUY]]+INVESTORS_LIST[[#This Row],[SIP_TOTAL UNITS BUY]]</f>
        <v>10730</v>
      </c>
      <c r="T260" s="50">
        <f>INVESTORS_LIST[[#This Row],[LS_TOTAL UNITS SOLD]]+INVESTORS_LIST[[#This Row],[SIP_TOTAL UNITS SOLD]]</f>
        <v>9454</v>
      </c>
      <c r="U260" s="50"/>
      <c r="V260" s="50">
        <f>SUMIFS(LS[BO UNIT TRANSFER],LS[Investor ID],INVESTORS_LIST[[#This Row],[INVESTOR CODE]],LS[B/S],"B")</f>
        <v>0</v>
      </c>
      <c r="W260" s="50">
        <f>SUMIFS(SIP[BO UNIT TRANSFER],SIP[Investor ID],INVESTORS_LIST[[#This Row],[INVESTOR CODE]],SIP[B/S],"B")</f>
        <v>0</v>
      </c>
      <c r="X260" s="50">
        <f>SUMIFS(LS[BO UNIT TRANSFER],LS[Investor ID],INVESTORS_LIST[[#This Row],[INVESTOR CODE]],LS[B/S],"S")</f>
        <v>0</v>
      </c>
      <c r="Y260" s="50">
        <f>SUMIFS(SIP[BO UNIT TRANSFER],SIP[Investor ID],INVESTORS_LIST[[#This Row],[INVESTOR CODE]],SIP[B/S],"S")</f>
        <v>0</v>
      </c>
      <c r="Z260" s="106">
        <f>SUM(INVESTORS_LIST[[#This Row],[BO OPENING BALANCE]:[BO SIP UNITS REPURCHASE]])</f>
        <v>0</v>
      </c>
      <c r="AA260" s="107">
        <f>INVESTORS_LIST[[#This Row],[TOTAL UNITS BUY]]-INVESTORS_LIST[[#This Row],[TOTAL UNITS SOLD]]</f>
        <v>1276</v>
      </c>
      <c r="AB260" s="107">
        <f>INVESTORS_LIST[[#This Row],[TOTAL CURRENT UNITS]]-INVESTORS_LIST[[#This Row],[BO UNITS HOLD]]</f>
        <v>1276</v>
      </c>
      <c r="AC260" s="201" t="e">
        <f>INDEX([3]!Table_1[BO ID],MATCH(INVESTORS_LIST[[#This Row],[INVESTOR CODE]],[3]!Table_1[INVESTOR CODE],0))</f>
        <v>#REF!</v>
      </c>
      <c r="AD260" s="201" t="e">
        <f>INDEX([3]!Table_1[Brokerage Name2],MATCH(INVESTORS_LIST[[#This Row],[INVESTOR CODE]],[3]!Table_1[INVESTOR CODE],0))</f>
        <v>#REF!</v>
      </c>
      <c r="AE260" s="201" t="e">
        <f>MID(INVESTORS_LIST[[#This Row],[BO ID]],4,5)</f>
        <v>#REF!</v>
      </c>
      <c r="AF260" s="201" t="e">
        <f>MID(INVESTORS_LIST[[#This Row],[BO ID]],2,7)</f>
        <v>#REF!</v>
      </c>
      <c r="AG260" s="201" t="e">
        <f>MID(INVESTORS_LIST[[#This Row],[BO ID]],9,7)</f>
        <v>#REF!</v>
      </c>
      <c r="AH260" s="201" t="e">
        <f>RIGHT(INVESTORS_LIST[[#This Row],[BO ID]],1)</f>
        <v>#REF!</v>
      </c>
      <c r="AI260" s="50">
        <f>INVESTORS_LIST[[#This Row],[LS_TOTAL COST VALUE OF CURRENT UNITS]]+INVESTORS_LIST[[#This Row],[SIP_TOTAL COST VALUE OF CURRENT UNITS]]</f>
        <v>14396.509534106644</v>
      </c>
      <c r="AJ260" s="109">
        <f>IF(INVESTORS_LIST[[#This Row],[TOTAL CURRENT UNITS]]=0,0,INVESTORS_LIST[[#This Row],[LS_TOTAL CURRENT UNITS]]/INVESTORS_LIST[[#This Row],[TOTAL CURRENT UNITS]])</f>
        <v>0</v>
      </c>
      <c r="AK260" s="109">
        <f>IF(INVESTORS_LIST[[#This Row],[TOTAL CURRENT UNITS]]=0,0,INVESTORS_LIST[[#This Row],[SIP_TOTAL CURRENT UNITS]]/INVESTORS_LIST[[#This Row],[TOTAL CURRENT UNITS]])</f>
        <v>1</v>
      </c>
      <c r="AL260" s="49" cm="1">
        <f t="array" ref="AL2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0" s="49" cm="1">
        <f t="array" ref="AM260">IF(INVESTORS_LIST[[#This Row],[SIP_TOTAL UNITS BUY]]&gt;0,INDEX(SIP[NAV at Cost (Average)],MATCH(CONCATENATE(COUNTIFS(SIP[Investor ID],INVESTORS_LIST[[#This Row],[INVESTOR CODE]]),INVESTORS_LIST[[#This Row],[INVESTOR CODE]]),SIP[Unique Code],0),),0)</f>
        <v>11.282530982842198</v>
      </c>
      <c r="AN260" s="105">
        <f>IF(INVESTORS_LIST[[#This Row],[TOTAL CURRENT UNITS]]=0,0,(INVESTORS_LIST[[#This Row],[LS_WEIGHT]]*INVESTORS_LIST[[#This Row],[LS_AVERAGE COST]])+(INVESTORS_LIST[[#This Row],[SIP_WEIGHT]]*INVESTORS_LIST[[#This Row],[SIP_AVERAGE COST]]))</f>
        <v>11.282530982842198</v>
      </c>
      <c r="AO260" s="105">
        <f t="shared" si="5"/>
        <v>14.224</v>
      </c>
      <c r="AP260" s="112">
        <f>IF(INVESTORS_LIST[[#This Row],[TOTAL CURRENT UNITS]]=0,0,INVESTORS_LIST[[#This Row],[TOTAL CURRENT UNITS]]*INVESTORS_LIST[[#This Row],[NAV]])</f>
        <v>18149.824000000001</v>
      </c>
      <c r="AQ260" s="49">
        <f>IF(INVESTORS_LIST[[#This Row],[LS_TOTAL CURRENT UNITS]]=0,0,INVESTORS_LIST[[#This Row],[LS_TOTAL CURRENT UNITS]]*INVESTORS_LIST[[#This Row],[NAV]])</f>
        <v>0</v>
      </c>
      <c r="AR260" s="48">
        <f>IF(INVESTORS_LIST[[#This Row],[SIP_TOTAL CURRENT UNITS]]=0,0,INVESTORS_LIST[[#This Row],[SIP_TOTAL CURRENT UNITS]]*INVESTORS_LIST[[#This Row],[NAV]])</f>
        <v>18149.824000000001</v>
      </c>
      <c r="AS260" s="50">
        <f>INVESTORS_LIST[[#This Row],[TOTAL CURRENT UNITS]]</f>
        <v>1276</v>
      </c>
      <c r="AT260" s="48">
        <f>IF(INVESTORS_LIST[[#This Row],[TOTAL SELLABLE UNITS]]=0,0,INVESTORS_LIST[[#This Row],[TOTAL SELLABLE UNITS]]*INVESTORS_LIST[[#This Row],[NAV]])</f>
        <v>18149.824000000001</v>
      </c>
      <c r="AU260" s="48">
        <f>INVESTORS_LIST[[#This Row],[LS_TOTAL REALIZED GAIN]]+INVESTORS_LIST[[#This Row],[SIP_TOTAL REALIZED GAIN]]</f>
        <v>4543.3895341066309</v>
      </c>
      <c r="AV260" s="48">
        <f>INVESTORS_LIST[[#This Row],[TOTAL MARKET VALUE]]-INVESTORS_LIST[[#This Row],[TOTAL COST VALUE OF CURRENT INVESTMENT]]</f>
        <v>3753.3144658933561</v>
      </c>
      <c r="AW260" s="108">
        <f>IFERROR(INVESTORS_LIST[[#This Row],[TOTAL CURRENT UNITS]]/SUM(INVESTORS_LIST[TOTAL CURRENT UNITS]),0)</f>
        <v>3.0976441275428263E-5</v>
      </c>
    </row>
    <row r="261" spans="1:49" hidden="1">
      <c r="A261" s="262" t="s">
        <v>570</v>
      </c>
      <c r="B261" s="97" t="s">
        <v>571</v>
      </c>
      <c r="C261" t="s">
        <v>67</v>
      </c>
      <c r="D261" s="75" t="s">
        <v>45</v>
      </c>
      <c r="E261" s="47">
        <f>SUMIFS(LS[Unit],LS[Investor ID],INVESTORS_LIST[[#This Row],[INVESTOR CODE]],LS[B/S],"B")</f>
        <v>0</v>
      </c>
      <c r="F261" s="47">
        <f>-SUMIFS(LS[Unit],LS[Investor ID],INVESTORS_LIST[[#This Row],[INVESTOR CODE]],LS[B/S],"S")</f>
        <v>0</v>
      </c>
      <c r="G261" s="47">
        <f>IF(INVESTORS_LIST[[#This Row],[LS_TOTAL UNITS BUY]]=0,0,INVESTORS_LIST[[#This Row],[LS_TOTAL UNITS BUY]]-INVESTORS_LIST[[#This Row],[LS_TOTAL UNITS SOLD]])</f>
        <v>0</v>
      </c>
      <c r="H261" s="49">
        <f>IF(INVESTORS_LIST[[#This Row],[LS_TOTAL UNITS BUY]]=0,0,SUMIFS(LS[Amount],LS[Investor ID],INVESTORS_LIST[[#This Row],[INVESTOR CODE]],LS[B/S],"B"))</f>
        <v>0</v>
      </c>
      <c r="I261" s="48">
        <f>IF(INVESTORS_LIST[[#This Row],[LS_TOTAL UNITS SOLD]]=0,0,SUMIFS(LS[Cost of Units Sold],LS[Investor ID],INVESTORS_LIST[[#This Row],[INVESTOR CODE]],LS[B/S],"S"))</f>
        <v>0</v>
      </c>
      <c r="J261" s="48">
        <f>IF(INVESTORS_LIST[[#This Row],[LS_TOTAL CURRENT UNITS]]=0,0,INVESTORS_LIST[[#This Row],[LS_TOTAL CURRENT UNITS]]*INVESTORS_LIST[[#This Row],[LS_AVERAGE COST]])</f>
        <v>0</v>
      </c>
      <c r="K261" s="49">
        <f>IF(INVESTORS_LIST[[#This Row],[LS_TOTAL UNITS SOLD]]=0,0,SUMIFS(LS[Realized Gain],LS[Investor ID],INVESTORS_LIST[[#This Row],[INVESTOR CODE]],LS[B/S],"S"))</f>
        <v>0</v>
      </c>
      <c r="L261" s="47">
        <f>SUMIFS(SIP[Unit],SIP[Investor ID],INVESTORS_LIST[[#This Row],[INVESTOR CODE]],SIP[B/S],"B")</f>
        <v>0</v>
      </c>
      <c r="M261" s="47">
        <f>-SUMIFS(SIP[Unit],SIP[Investor ID],INVESTORS_LIST[[#This Row],[INVESTOR CODE]],SIP[B/S],"S")</f>
        <v>0</v>
      </c>
      <c r="N261" s="50">
        <f>IF(INVESTORS_LIST[[#This Row],[SIP_TOTAL UNITS BUY]]=0,0,INVESTORS_LIST[[#This Row],[SIP_TOTAL UNITS BUY]]-INVESTORS_LIST[[#This Row],[SIP_TOTAL UNITS SOLD]])</f>
        <v>0</v>
      </c>
      <c r="O261" s="49">
        <f>IF(INVESTORS_LIST[[#This Row],[SIP_TOTAL UNITS BUY]]=0,0,SUMIFS(SIP[Amount],SIP[Investor ID],INVESTORS_LIST[[#This Row],[INVESTOR CODE]],SIP[B/S],"B"))</f>
        <v>0</v>
      </c>
      <c r="P261" s="49">
        <f>IF(INVESTORS_LIST[[#This Row],[SIP_TOTAL UNITS SOLD]]=0,0,SUMIFS(SIP[Cost of Units Sold],SIP[Investor ID],INVESTORS_LIST[[#This Row],[INVESTOR CODE]],SIP[B/S],"S"))</f>
        <v>0</v>
      </c>
      <c r="Q261" s="48">
        <f>IF(INVESTORS_LIST[[#This Row],[SIP_TOTAL CURRENT UNITS]]=0,0,INVESTORS_LIST[[#This Row],[SIP_TOTAL CURRENT UNITS]]*INVESTORS_LIST[[#This Row],[SIP_AVERAGE COST]])</f>
        <v>0</v>
      </c>
      <c r="R261" s="48">
        <f>IF(INVESTORS_LIST[[#This Row],[SIP_TOTAL UNITS SOLD]]=0,0,SUMIFS(SIP[Realized Gain],SIP[Investor ID],INVESTORS_LIST[[#This Row],[INVESTOR CODE]],SIP[B/S],"S"))</f>
        <v>0</v>
      </c>
      <c r="S261" s="50">
        <f>INVESTORS_LIST[[#This Row],[LS_TOTAL UNITS BUY]]+INVESTORS_LIST[[#This Row],[SIP_TOTAL UNITS BUY]]</f>
        <v>0</v>
      </c>
      <c r="T261" s="50">
        <f>INVESTORS_LIST[[#This Row],[LS_TOTAL UNITS SOLD]]+INVESTORS_LIST[[#This Row],[SIP_TOTAL UNITS SOLD]]</f>
        <v>0</v>
      </c>
      <c r="U261" s="50"/>
      <c r="V261" s="50">
        <f>SUMIFS(LS[BO UNIT TRANSFER],LS[Investor ID],INVESTORS_LIST[[#This Row],[INVESTOR CODE]],LS[B/S],"B")</f>
        <v>0</v>
      </c>
      <c r="W261" s="50">
        <f>SUMIFS(SIP[BO UNIT TRANSFER],SIP[Investor ID],INVESTORS_LIST[[#This Row],[INVESTOR CODE]],SIP[B/S],"B")</f>
        <v>0</v>
      </c>
      <c r="X261" s="50">
        <f>SUMIFS(LS[BO UNIT TRANSFER],LS[Investor ID],INVESTORS_LIST[[#This Row],[INVESTOR CODE]],LS[B/S],"S")</f>
        <v>0</v>
      </c>
      <c r="Y261" s="50">
        <f>SUMIFS(SIP[BO UNIT TRANSFER],SIP[Investor ID],INVESTORS_LIST[[#This Row],[INVESTOR CODE]],SIP[B/S],"S")</f>
        <v>0</v>
      </c>
      <c r="Z261" s="106">
        <f>SUM(INVESTORS_LIST[[#This Row],[BO OPENING BALANCE]:[BO SIP UNITS REPURCHASE]])</f>
        <v>0</v>
      </c>
      <c r="AA261" s="107">
        <f>INVESTORS_LIST[[#This Row],[TOTAL UNITS BUY]]-INVESTORS_LIST[[#This Row],[TOTAL UNITS SOLD]]</f>
        <v>0</v>
      </c>
      <c r="AB261" s="107">
        <f>INVESTORS_LIST[[#This Row],[TOTAL CURRENT UNITS]]-INVESTORS_LIST[[#This Row],[BO UNITS HOLD]]</f>
        <v>0</v>
      </c>
      <c r="AC261" s="201" t="e">
        <f>INDEX([3]!Table_1[BO ID],MATCH(INVESTORS_LIST[[#This Row],[INVESTOR CODE]],[3]!Table_1[INVESTOR CODE],0))</f>
        <v>#REF!</v>
      </c>
      <c r="AD261" s="201" t="e">
        <f>INDEX([3]!Table_1[Brokerage Name2],MATCH(INVESTORS_LIST[[#This Row],[INVESTOR CODE]],[3]!Table_1[INVESTOR CODE],0))</f>
        <v>#REF!</v>
      </c>
      <c r="AE261" s="201" t="e">
        <f>MID(INVESTORS_LIST[[#This Row],[BO ID]],4,5)</f>
        <v>#REF!</v>
      </c>
      <c r="AF261" s="201" t="e">
        <f>MID(INVESTORS_LIST[[#This Row],[BO ID]],2,7)</f>
        <v>#REF!</v>
      </c>
      <c r="AG261" s="201" t="e">
        <f>MID(INVESTORS_LIST[[#This Row],[BO ID]],9,7)</f>
        <v>#REF!</v>
      </c>
      <c r="AH261" s="201" t="e">
        <f>RIGHT(INVESTORS_LIST[[#This Row],[BO ID]],1)</f>
        <v>#REF!</v>
      </c>
      <c r="AI261" s="50">
        <f>INVESTORS_LIST[[#This Row],[LS_TOTAL COST VALUE OF CURRENT UNITS]]+INVESTORS_LIST[[#This Row],[SIP_TOTAL COST VALUE OF CURRENT UNITS]]</f>
        <v>0</v>
      </c>
      <c r="AJ261" s="109">
        <f>IF(INVESTORS_LIST[[#This Row],[TOTAL CURRENT UNITS]]=0,0,INVESTORS_LIST[[#This Row],[LS_TOTAL CURRENT UNITS]]/INVESTORS_LIST[[#This Row],[TOTAL CURRENT UNITS]])</f>
        <v>0</v>
      </c>
      <c r="AK261" s="109">
        <f>IF(INVESTORS_LIST[[#This Row],[TOTAL CURRENT UNITS]]=0,0,INVESTORS_LIST[[#This Row],[SIP_TOTAL CURRENT UNITS]]/INVESTORS_LIST[[#This Row],[TOTAL CURRENT UNITS]])</f>
        <v>0</v>
      </c>
      <c r="AL261" s="49" cm="1">
        <f t="array" ref="AL2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1" s="49" cm="1">
        <f t="array" ref="AM2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1" s="105">
        <f t="shared" si="5"/>
        <v>14.224</v>
      </c>
      <c r="AP261" s="112">
        <f>IF(INVESTORS_LIST[[#This Row],[TOTAL CURRENT UNITS]]=0,0,INVESTORS_LIST[[#This Row],[TOTAL CURRENT UNITS]]*INVESTORS_LIST[[#This Row],[NAV]])</f>
        <v>0</v>
      </c>
      <c r="AQ261" s="49">
        <f>IF(INVESTORS_LIST[[#This Row],[LS_TOTAL CURRENT UNITS]]=0,0,INVESTORS_LIST[[#This Row],[LS_TOTAL CURRENT UNITS]]*INVESTORS_LIST[[#This Row],[NAV]])</f>
        <v>0</v>
      </c>
      <c r="AR261" s="48">
        <f>IF(INVESTORS_LIST[[#This Row],[SIP_TOTAL CURRENT UNITS]]=0,0,INVESTORS_LIST[[#This Row],[SIP_TOTAL CURRENT UNITS]]*INVESTORS_LIST[[#This Row],[NAV]])</f>
        <v>0</v>
      </c>
      <c r="AS261" s="50">
        <f>INVESTORS_LIST[[#This Row],[TOTAL CURRENT UNITS]]</f>
        <v>0</v>
      </c>
      <c r="AT261" s="48">
        <f>IF(INVESTORS_LIST[[#This Row],[TOTAL SELLABLE UNITS]]=0,0,INVESTORS_LIST[[#This Row],[TOTAL SELLABLE UNITS]]*INVESTORS_LIST[[#This Row],[NAV]])</f>
        <v>0</v>
      </c>
      <c r="AU261" s="48">
        <f>INVESTORS_LIST[[#This Row],[LS_TOTAL REALIZED GAIN]]+INVESTORS_LIST[[#This Row],[SIP_TOTAL REALIZED GAIN]]</f>
        <v>0</v>
      </c>
      <c r="AV261" s="48">
        <f>INVESTORS_LIST[[#This Row],[TOTAL MARKET VALUE]]-INVESTORS_LIST[[#This Row],[TOTAL COST VALUE OF CURRENT INVESTMENT]]</f>
        <v>0</v>
      </c>
      <c r="AW261" s="48">
        <f>IFERROR(INVESTORS_LIST[[#This Row],[TOTAL CURRENT UNITS]]/SUM(INVESTORS_LIST[TOTAL CURRENT UNITS]),0)</f>
        <v>0</v>
      </c>
    </row>
    <row r="262" spans="1:49" hidden="1">
      <c r="A262" s="262" t="s">
        <v>572</v>
      </c>
      <c r="B262" s="97" t="s">
        <v>573</v>
      </c>
      <c r="C262" t="s">
        <v>67</v>
      </c>
      <c r="D262" s="75" t="s">
        <v>45</v>
      </c>
      <c r="E262" s="47">
        <f>SUMIFS(LS[Unit],LS[Investor ID],INVESTORS_LIST[[#This Row],[INVESTOR CODE]],LS[B/S],"B")</f>
        <v>0</v>
      </c>
      <c r="F262" s="47">
        <f>-SUMIFS(LS[Unit],LS[Investor ID],INVESTORS_LIST[[#This Row],[INVESTOR CODE]],LS[B/S],"S")</f>
        <v>0</v>
      </c>
      <c r="G262" s="47">
        <f>IF(INVESTORS_LIST[[#This Row],[LS_TOTAL UNITS BUY]]=0,0,INVESTORS_LIST[[#This Row],[LS_TOTAL UNITS BUY]]-INVESTORS_LIST[[#This Row],[LS_TOTAL UNITS SOLD]])</f>
        <v>0</v>
      </c>
      <c r="H262" s="49">
        <f>IF(INVESTORS_LIST[[#This Row],[LS_TOTAL UNITS BUY]]=0,0,SUMIFS(LS[Amount],LS[Investor ID],INVESTORS_LIST[[#This Row],[INVESTOR CODE]],LS[B/S],"B"))</f>
        <v>0</v>
      </c>
      <c r="I262" s="48">
        <f>IF(INVESTORS_LIST[[#This Row],[LS_TOTAL UNITS SOLD]]=0,0,SUMIFS(LS[Cost of Units Sold],LS[Investor ID],INVESTORS_LIST[[#This Row],[INVESTOR CODE]],LS[B/S],"S"))</f>
        <v>0</v>
      </c>
      <c r="J262" s="48">
        <f>IF(INVESTORS_LIST[[#This Row],[LS_TOTAL CURRENT UNITS]]=0,0,INVESTORS_LIST[[#This Row],[LS_TOTAL CURRENT UNITS]]*INVESTORS_LIST[[#This Row],[LS_AVERAGE COST]])</f>
        <v>0</v>
      </c>
      <c r="K262" s="49">
        <f>IF(INVESTORS_LIST[[#This Row],[LS_TOTAL UNITS SOLD]]=0,0,SUMIFS(LS[Realized Gain],LS[Investor ID],INVESTORS_LIST[[#This Row],[INVESTOR CODE]],LS[B/S],"S"))</f>
        <v>0</v>
      </c>
      <c r="L262" s="47">
        <f>SUMIFS(SIP[Unit],SIP[Investor ID],INVESTORS_LIST[[#This Row],[INVESTOR CODE]],SIP[B/S],"B")</f>
        <v>0</v>
      </c>
      <c r="M262" s="47">
        <f>-SUMIFS(SIP[Unit],SIP[Investor ID],INVESTORS_LIST[[#This Row],[INVESTOR CODE]],SIP[B/S],"S")</f>
        <v>0</v>
      </c>
      <c r="N262" s="50">
        <f>IF(INVESTORS_LIST[[#This Row],[SIP_TOTAL UNITS BUY]]=0,0,INVESTORS_LIST[[#This Row],[SIP_TOTAL UNITS BUY]]-INVESTORS_LIST[[#This Row],[SIP_TOTAL UNITS SOLD]])</f>
        <v>0</v>
      </c>
      <c r="O262" s="49">
        <f>IF(INVESTORS_LIST[[#This Row],[SIP_TOTAL UNITS BUY]]=0,0,SUMIFS(SIP[Amount],SIP[Investor ID],INVESTORS_LIST[[#This Row],[INVESTOR CODE]],SIP[B/S],"B"))</f>
        <v>0</v>
      </c>
      <c r="P262" s="49">
        <f>IF(INVESTORS_LIST[[#This Row],[SIP_TOTAL UNITS SOLD]]=0,0,SUMIFS(SIP[Cost of Units Sold],SIP[Investor ID],INVESTORS_LIST[[#This Row],[INVESTOR CODE]],SIP[B/S],"S"))</f>
        <v>0</v>
      </c>
      <c r="Q262" s="48">
        <f>IF(INVESTORS_LIST[[#This Row],[SIP_TOTAL CURRENT UNITS]]=0,0,INVESTORS_LIST[[#This Row],[SIP_TOTAL CURRENT UNITS]]*INVESTORS_LIST[[#This Row],[SIP_AVERAGE COST]])</f>
        <v>0</v>
      </c>
      <c r="R262" s="48">
        <f>IF(INVESTORS_LIST[[#This Row],[SIP_TOTAL UNITS SOLD]]=0,0,SUMIFS(SIP[Realized Gain],SIP[Investor ID],INVESTORS_LIST[[#This Row],[INVESTOR CODE]],SIP[B/S],"S"))</f>
        <v>0</v>
      </c>
      <c r="S262" s="50">
        <f>INVESTORS_LIST[[#This Row],[LS_TOTAL UNITS BUY]]+INVESTORS_LIST[[#This Row],[SIP_TOTAL UNITS BUY]]</f>
        <v>0</v>
      </c>
      <c r="T262" s="50">
        <f>INVESTORS_LIST[[#This Row],[LS_TOTAL UNITS SOLD]]+INVESTORS_LIST[[#This Row],[SIP_TOTAL UNITS SOLD]]</f>
        <v>0</v>
      </c>
      <c r="U262" s="50"/>
      <c r="V262" s="50">
        <f>SUMIFS(LS[BO UNIT TRANSFER],LS[Investor ID],INVESTORS_LIST[[#This Row],[INVESTOR CODE]],LS[B/S],"B")</f>
        <v>0</v>
      </c>
      <c r="W262" s="50">
        <f>SUMIFS(SIP[BO UNIT TRANSFER],SIP[Investor ID],INVESTORS_LIST[[#This Row],[INVESTOR CODE]],SIP[B/S],"B")</f>
        <v>0</v>
      </c>
      <c r="X262" s="50">
        <f>SUMIFS(LS[BO UNIT TRANSFER],LS[Investor ID],INVESTORS_LIST[[#This Row],[INVESTOR CODE]],LS[B/S],"S")</f>
        <v>0</v>
      </c>
      <c r="Y262" s="50">
        <f>SUMIFS(SIP[BO UNIT TRANSFER],SIP[Investor ID],INVESTORS_LIST[[#This Row],[INVESTOR CODE]],SIP[B/S],"S")</f>
        <v>0</v>
      </c>
      <c r="Z262" s="106">
        <f>SUM(INVESTORS_LIST[[#This Row],[BO OPENING BALANCE]:[BO SIP UNITS REPURCHASE]])</f>
        <v>0</v>
      </c>
      <c r="AA262" s="107">
        <f>INVESTORS_LIST[[#This Row],[TOTAL UNITS BUY]]-INVESTORS_LIST[[#This Row],[TOTAL UNITS SOLD]]</f>
        <v>0</v>
      </c>
      <c r="AB262" s="107">
        <f>INVESTORS_LIST[[#This Row],[TOTAL CURRENT UNITS]]-INVESTORS_LIST[[#This Row],[BO UNITS HOLD]]</f>
        <v>0</v>
      </c>
      <c r="AC262" s="201" t="e">
        <f>INDEX([3]!Table_1[BO ID],MATCH(INVESTORS_LIST[[#This Row],[INVESTOR CODE]],[3]!Table_1[INVESTOR CODE],0))</f>
        <v>#REF!</v>
      </c>
      <c r="AD262" s="201" t="e">
        <f>INDEX([3]!Table_1[Brokerage Name2],MATCH(INVESTORS_LIST[[#This Row],[INVESTOR CODE]],[3]!Table_1[INVESTOR CODE],0))</f>
        <v>#REF!</v>
      </c>
      <c r="AE262" s="201" t="e">
        <f>MID(INVESTORS_LIST[[#This Row],[BO ID]],4,5)</f>
        <v>#REF!</v>
      </c>
      <c r="AF262" s="201" t="e">
        <f>MID(INVESTORS_LIST[[#This Row],[BO ID]],2,7)</f>
        <v>#REF!</v>
      </c>
      <c r="AG262" s="201" t="e">
        <f>MID(INVESTORS_LIST[[#This Row],[BO ID]],9,7)</f>
        <v>#REF!</v>
      </c>
      <c r="AH262" s="201" t="e">
        <f>RIGHT(INVESTORS_LIST[[#This Row],[BO ID]],1)</f>
        <v>#REF!</v>
      </c>
      <c r="AI262" s="50">
        <f>INVESTORS_LIST[[#This Row],[LS_TOTAL COST VALUE OF CURRENT UNITS]]+INVESTORS_LIST[[#This Row],[SIP_TOTAL COST VALUE OF CURRENT UNITS]]</f>
        <v>0</v>
      </c>
      <c r="AJ262" s="109">
        <f>IF(INVESTORS_LIST[[#This Row],[TOTAL CURRENT UNITS]]=0,0,INVESTORS_LIST[[#This Row],[LS_TOTAL CURRENT UNITS]]/INVESTORS_LIST[[#This Row],[TOTAL CURRENT UNITS]])</f>
        <v>0</v>
      </c>
      <c r="AK262" s="109">
        <f>IF(INVESTORS_LIST[[#This Row],[TOTAL CURRENT UNITS]]=0,0,INVESTORS_LIST[[#This Row],[SIP_TOTAL CURRENT UNITS]]/INVESTORS_LIST[[#This Row],[TOTAL CURRENT UNITS]])</f>
        <v>0</v>
      </c>
      <c r="AL262" s="49" cm="1">
        <f t="array" ref="AL2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2" s="49" cm="1">
        <f t="array" ref="AM2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2" s="105">
        <f t="shared" si="5"/>
        <v>14.224</v>
      </c>
      <c r="AP262" s="112">
        <f>IF(INVESTORS_LIST[[#This Row],[TOTAL CURRENT UNITS]]=0,0,INVESTORS_LIST[[#This Row],[TOTAL CURRENT UNITS]]*INVESTORS_LIST[[#This Row],[NAV]])</f>
        <v>0</v>
      </c>
      <c r="AQ262" s="49">
        <f>IF(INVESTORS_LIST[[#This Row],[LS_TOTAL CURRENT UNITS]]=0,0,INVESTORS_LIST[[#This Row],[LS_TOTAL CURRENT UNITS]]*INVESTORS_LIST[[#This Row],[NAV]])</f>
        <v>0</v>
      </c>
      <c r="AR262" s="48">
        <f>IF(INVESTORS_LIST[[#This Row],[SIP_TOTAL CURRENT UNITS]]=0,0,INVESTORS_LIST[[#This Row],[SIP_TOTAL CURRENT UNITS]]*INVESTORS_LIST[[#This Row],[NAV]])</f>
        <v>0</v>
      </c>
      <c r="AS262" s="50">
        <f>INVESTORS_LIST[[#This Row],[TOTAL CURRENT UNITS]]</f>
        <v>0</v>
      </c>
      <c r="AT262" s="48">
        <f>IF(INVESTORS_LIST[[#This Row],[TOTAL SELLABLE UNITS]]=0,0,INVESTORS_LIST[[#This Row],[TOTAL SELLABLE UNITS]]*INVESTORS_LIST[[#This Row],[NAV]])</f>
        <v>0</v>
      </c>
      <c r="AU262" s="48">
        <f>INVESTORS_LIST[[#This Row],[LS_TOTAL REALIZED GAIN]]+INVESTORS_LIST[[#This Row],[SIP_TOTAL REALIZED GAIN]]</f>
        <v>0</v>
      </c>
      <c r="AV262" s="48">
        <f>INVESTORS_LIST[[#This Row],[TOTAL MARKET VALUE]]-INVESTORS_LIST[[#This Row],[TOTAL COST VALUE OF CURRENT INVESTMENT]]</f>
        <v>0</v>
      </c>
      <c r="AW262" s="48">
        <f>IFERROR(INVESTORS_LIST[[#This Row],[TOTAL CURRENT UNITS]]/SUM(INVESTORS_LIST[TOTAL CURRENT UNITS]),0)</f>
        <v>0</v>
      </c>
    </row>
    <row r="263" spans="1:49">
      <c r="A263" s="262" t="s">
        <v>574</v>
      </c>
      <c r="B263" s="97" t="s">
        <v>575</v>
      </c>
      <c r="C263" t="s">
        <v>67</v>
      </c>
      <c r="D263" s="75" t="s">
        <v>45</v>
      </c>
      <c r="E263" s="47">
        <f>SUMIFS(LS[Unit],LS[Investor ID],INVESTORS_LIST[[#This Row],[INVESTOR CODE]],LS[B/S],"B")</f>
        <v>1290980</v>
      </c>
      <c r="F263" s="47">
        <f>-SUMIFS(LS[Unit],LS[Investor ID],INVESTORS_LIST[[#This Row],[INVESTOR CODE]],LS[B/S],"S")</f>
        <v>534009</v>
      </c>
      <c r="G263" s="47">
        <f>IF(INVESTORS_LIST[[#This Row],[LS_TOTAL UNITS BUY]]=0,0,INVESTORS_LIST[[#This Row],[LS_TOTAL UNITS BUY]]-INVESTORS_LIST[[#This Row],[LS_TOTAL UNITS SOLD]])</f>
        <v>756971</v>
      </c>
      <c r="H263" s="49">
        <f>IF(INVESTORS_LIST[[#This Row],[LS_TOTAL UNITS BUY]]=0,0,SUMIFS(LS[Amount],LS[Investor ID],INVESTORS_LIST[[#This Row],[INVESTOR CODE]],LS[B/S],"B"))</f>
        <v>15191300</v>
      </c>
      <c r="I263" s="48">
        <f>IF(INVESTORS_LIST[[#This Row],[LS_TOTAL UNITS SOLD]]=0,0,SUMIFS(LS[Cost of Units Sold],LS[Investor ID],INVESTORS_LIST[[#This Row],[INVESTOR CODE]],LS[B/S],"S"))</f>
        <v>5791300.0000000009</v>
      </c>
      <c r="J263" s="48">
        <f>IF(INVESTORS_LIST[[#This Row],[LS_TOTAL CURRENT UNITS]]=0,0,INVESTORS_LIST[[#This Row],[LS_TOTAL CURRENT UNITS]]*INVESTORS_LIST[[#This Row],[LS_AVERAGE COST]])</f>
        <v>9400000</v>
      </c>
      <c r="K263" s="49">
        <f>IF(INVESTORS_LIST[[#This Row],[LS_TOTAL UNITS SOLD]]=0,0,SUMIFS(LS[Realized Gain],LS[Investor ID],INVESTORS_LIST[[#This Row],[INVESTOR CODE]],LS[B/S],"S"))</f>
        <v>822099.83999999973</v>
      </c>
      <c r="L263" s="47">
        <f>SUMIFS(SIP[Unit],SIP[Investor ID],INVESTORS_LIST[[#This Row],[INVESTOR CODE]],SIP[B/S],"B")</f>
        <v>0</v>
      </c>
      <c r="M263" s="47">
        <f>-SUMIFS(SIP[Unit],SIP[Investor ID],INVESTORS_LIST[[#This Row],[INVESTOR CODE]],SIP[B/S],"S")</f>
        <v>0</v>
      </c>
      <c r="N263" s="50">
        <f>IF(INVESTORS_LIST[[#This Row],[SIP_TOTAL UNITS BUY]]=0,0,INVESTORS_LIST[[#This Row],[SIP_TOTAL UNITS BUY]]-INVESTORS_LIST[[#This Row],[SIP_TOTAL UNITS SOLD]])</f>
        <v>0</v>
      </c>
      <c r="O263" s="49">
        <f>IF(INVESTORS_LIST[[#This Row],[SIP_TOTAL UNITS BUY]]=0,0,SUMIFS(SIP[Amount],SIP[Investor ID],INVESTORS_LIST[[#This Row],[INVESTOR CODE]],SIP[B/S],"B"))</f>
        <v>0</v>
      </c>
      <c r="P263" s="49">
        <f>IF(INVESTORS_LIST[[#This Row],[SIP_TOTAL UNITS SOLD]]=0,0,SUMIFS(SIP[Cost of Units Sold],SIP[Investor ID],INVESTORS_LIST[[#This Row],[INVESTOR CODE]],SIP[B/S],"S"))</f>
        <v>0</v>
      </c>
      <c r="Q263" s="48">
        <f>IF(INVESTORS_LIST[[#This Row],[SIP_TOTAL CURRENT UNITS]]=0,0,INVESTORS_LIST[[#This Row],[SIP_TOTAL CURRENT UNITS]]*INVESTORS_LIST[[#This Row],[SIP_AVERAGE COST]])</f>
        <v>0</v>
      </c>
      <c r="R263" s="48">
        <f>IF(INVESTORS_LIST[[#This Row],[SIP_TOTAL UNITS SOLD]]=0,0,SUMIFS(SIP[Realized Gain],SIP[Investor ID],INVESTORS_LIST[[#This Row],[INVESTOR CODE]],SIP[B/S],"S"))</f>
        <v>0</v>
      </c>
      <c r="S263" s="50">
        <f>INVESTORS_LIST[[#This Row],[LS_TOTAL UNITS BUY]]+INVESTORS_LIST[[#This Row],[SIP_TOTAL UNITS BUY]]</f>
        <v>1290980</v>
      </c>
      <c r="T263" s="50">
        <f>INVESTORS_LIST[[#This Row],[LS_TOTAL UNITS SOLD]]+INVESTORS_LIST[[#This Row],[SIP_TOTAL UNITS SOLD]]</f>
        <v>534009</v>
      </c>
      <c r="U263" s="50"/>
      <c r="V263" s="50">
        <f>SUMIFS(LS[BO UNIT TRANSFER],LS[Investor ID],INVESTORS_LIST[[#This Row],[INVESTOR CODE]],LS[B/S],"B")</f>
        <v>0</v>
      </c>
      <c r="W263" s="50">
        <f>SUMIFS(SIP[BO UNIT TRANSFER],SIP[Investor ID],INVESTORS_LIST[[#This Row],[INVESTOR CODE]],SIP[B/S],"B")</f>
        <v>0</v>
      </c>
      <c r="X263" s="50">
        <f>SUMIFS(LS[BO UNIT TRANSFER],LS[Investor ID],INVESTORS_LIST[[#This Row],[INVESTOR CODE]],LS[B/S],"S")</f>
        <v>0</v>
      </c>
      <c r="Y263" s="50">
        <f>SUMIFS(SIP[BO UNIT TRANSFER],SIP[Investor ID],INVESTORS_LIST[[#This Row],[INVESTOR CODE]],SIP[B/S],"S")</f>
        <v>0</v>
      </c>
      <c r="Z263" s="106">
        <f>SUM(INVESTORS_LIST[[#This Row],[BO OPENING BALANCE]:[BO SIP UNITS REPURCHASE]])</f>
        <v>0</v>
      </c>
      <c r="AA263" s="107">
        <f>INVESTORS_LIST[[#This Row],[TOTAL UNITS BUY]]-INVESTORS_LIST[[#This Row],[TOTAL UNITS SOLD]]</f>
        <v>756971</v>
      </c>
      <c r="AB263" s="107">
        <f>INVESTORS_LIST[[#This Row],[TOTAL CURRENT UNITS]]-INVESTORS_LIST[[#This Row],[BO UNITS HOLD]]</f>
        <v>756971</v>
      </c>
      <c r="AC263" s="201" t="e">
        <f>INDEX([3]!Table_1[BO ID],MATCH(INVESTORS_LIST[[#This Row],[INVESTOR CODE]],[3]!Table_1[INVESTOR CODE],0))</f>
        <v>#REF!</v>
      </c>
      <c r="AD263" s="201" t="e">
        <f>INDEX([3]!Table_1[Brokerage Name2],MATCH(INVESTORS_LIST[[#This Row],[INVESTOR CODE]],[3]!Table_1[INVESTOR CODE],0))</f>
        <v>#REF!</v>
      </c>
      <c r="AE263" s="201" t="e">
        <f>MID(INVESTORS_LIST[[#This Row],[BO ID]],4,5)</f>
        <v>#REF!</v>
      </c>
      <c r="AF263" s="201" t="e">
        <f>MID(INVESTORS_LIST[[#This Row],[BO ID]],2,7)</f>
        <v>#REF!</v>
      </c>
      <c r="AG263" s="201" t="e">
        <f>MID(INVESTORS_LIST[[#This Row],[BO ID]],9,7)</f>
        <v>#REF!</v>
      </c>
      <c r="AH263" s="201" t="e">
        <f>RIGHT(INVESTORS_LIST[[#This Row],[BO ID]],1)</f>
        <v>#REF!</v>
      </c>
      <c r="AI263" s="50">
        <f>INVESTORS_LIST[[#This Row],[LS_TOTAL COST VALUE OF CURRENT UNITS]]+INVESTORS_LIST[[#This Row],[SIP_TOTAL COST VALUE OF CURRENT UNITS]]</f>
        <v>9400000</v>
      </c>
      <c r="AJ263" s="109">
        <f>IF(INVESTORS_LIST[[#This Row],[TOTAL CURRENT UNITS]]=0,0,INVESTORS_LIST[[#This Row],[LS_TOTAL CURRENT UNITS]]/INVESTORS_LIST[[#This Row],[TOTAL CURRENT UNITS]])</f>
        <v>1</v>
      </c>
      <c r="AK263" s="109">
        <f>IF(INVESTORS_LIST[[#This Row],[TOTAL CURRENT UNITS]]=0,0,INVESTORS_LIST[[#This Row],[SIP_TOTAL CURRENT UNITS]]/INVESTORS_LIST[[#This Row],[TOTAL CURRENT UNITS]])</f>
        <v>0</v>
      </c>
      <c r="AL263" s="49" cm="1">
        <f t="array" ref="AL263">IF(INVESTORS_LIST[[#This Row],[LS_TOTAL UNITS BUY]]&gt;0,INDEX(LS[NAV at Cost (Average)],MATCH(CONCATENATE(COUNTIFS(LS[Investor ID],INVESTORS_LIST[[#This Row],[INVESTOR CODE]]),INVESTORS_LIST[[#This Row],[INVESTOR CODE]]),LS[Unique Code],0),),0)</f>
        <v>12.417912971566942</v>
      </c>
      <c r="AM263" s="49" cm="1">
        <f t="array" ref="AM2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3" s="105">
        <f>IF(INVESTORS_LIST[[#This Row],[TOTAL CURRENT UNITS]]=0,0,(INVESTORS_LIST[[#This Row],[LS_WEIGHT]]*INVESTORS_LIST[[#This Row],[LS_AVERAGE COST]])+(INVESTORS_LIST[[#This Row],[SIP_WEIGHT]]*INVESTORS_LIST[[#This Row],[SIP_AVERAGE COST]]))</f>
        <v>12.417912971566942</v>
      </c>
      <c r="AO263" s="105">
        <f t="shared" si="5"/>
        <v>14.224</v>
      </c>
      <c r="AP263" s="112">
        <f>IF(INVESTORS_LIST[[#This Row],[TOTAL CURRENT UNITS]]=0,0,INVESTORS_LIST[[#This Row],[TOTAL CURRENT UNITS]]*INVESTORS_LIST[[#This Row],[NAV]])</f>
        <v>10767155.504000001</v>
      </c>
      <c r="AQ263" s="49">
        <f>IF(INVESTORS_LIST[[#This Row],[LS_TOTAL CURRENT UNITS]]=0,0,INVESTORS_LIST[[#This Row],[LS_TOTAL CURRENT UNITS]]*INVESTORS_LIST[[#This Row],[NAV]])</f>
        <v>10767155.504000001</v>
      </c>
      <c r="AR263" s="48">
        <f>IF(INVESTORS_LIST[[#This Row],[SIP_TOTAL CURRENT UNITS]]=0,0,INVESTORS_LIST[[#This Row],[SIP_TOTAL CURRENT UNITS]]*INVESTORS_LIST[[#This Row],[NAV]])</f>
        <v>0</v>
      </c>
      <c r="AS263" s="50">
        <f>INVESTORS_LIST[[#This Row],[TOTAL CURRENT UNITS]]</f>
        <v>756971</v>
      </c>
      <c r="AT263" s="48">
        <f>IF(INVESTORS_LIST[[#This Row],[TOTAL SELLABLE UNITS]]=0,0,INVESTORS_LIST[[#This Row],[TOTAL SELLABLE UNITS]]*INVESTORS_LIST[[#This Row],[NAV]])</f>
        <v>10767155.504000001</v>
      </c>
      <c r="AU263" s="48">
        <f>INVESTORS_LIST[[#This Row],[LS_TOTAL REALIZED GAIN]]+INVESTORS_LIST[[#This Row],[SIP_TOTAL REALIZED GAIN]]</f>
        <v>822099.83999999973</v>
      </c>
      <c r="AV263" s="48">
        <f>INVESTORS_LIST[[#This Row],[TOTAL MARKET VALUE]]-INVESTORS_LIST[[#This Row],[TOTAL COST VALUE OF CURRENT INVESTMENT]]</f>
        <v>1367155.5040000007</v>
      </c>
      <c r="AW263" s="108">
        <f>IFERROR(INVESTORS_LIST[[#This Row],[TOTAL CURRENT UNITS]]/SUM(INVESTORS_LIST[TOTAL CURRENT UNITS]),0)</f>
        <v>1.8376385367321481E-2</v>
      </c>
    </row>
    <row r="264" spans="1:49" hidden="1">
      <c r="A264" s="262" t="s">
        <v>576</v>
      </c>
      <c r="B264" s="97" t="s">
        <v>577</v>
      </c>
      <c r="C264" t="s">
        <v>44</v>
      </c>
      <c r="D264" s="75" t="s">
        <v>45</v>
      </c>
      <c r="E264" s="47">
        <f>SUMIFS(LS[Unit],LS[Investor ID],INVESTORS_LIST[[#This Row],[INVESTOR CODE]],LS[B/S],"B")</f>
        <v>0</v>
      </c>
      <c r="F264" s="47">
        <f>-SUMIFS(LS[Unit],LS[Investor ID],INVESTORS_LIST[[#This Row],[INVESTOR CODE]],LS[B/S],"S")</f>
        <v>0</v>
      </c>
      <c r="G264" s="47">
        <f>IF(INVESTORS_LIST[[#This Row],[LS_TOTAL UNITS BUY]]=0,0,INVESTORS_LIST[[#This Row],[LS_TOTAL UNITS BUY]]-INVESTORS_LIST[[#This Row],[LS_TOTAL UNITS SOLD]])</f>
        <v>0</v>
      </c>
      <c r="H264" s="49">
        <f>IF(INVESTORS_LIST[[#This Row],[LS_TOTAL UNITS BUY]]=0,0,SUMIFS(LS[Amount],LS[Investor ID],INVESTORS_LIST[[#This Row],[INVESTOR CODE]],LS[B/S],"B"))</f>
        <v>0</v>
      </c>
      <c r="I264" s="48">
        <f>IF(INVESTORS_LIST[[#This Row],[LS_TOTAL UNITS SOLD]]=0,0,SUMIFS(LS[Cost of Units Sold],LS[Investor ID],INVESTORS_LIST[[#This Row],[INVESTOR CODE]],LS[B/S],"S"))</f>
        <v>0</v>
      </c>
      <c r="J264" s="48">
        <f>IF(INVESTORS_LIST[[#This Row],[LS_TOTAL CURRENT UNITS]]=0,0,INVESTORS_LIST[[#This Row],[LS_TOTAL CURRENT UNITS]]*INVESTORS_LIST[[#This Row],[LS_AVERAGE COST]])</f>
        <v>0</v>
      </c>
      <c r="K264" s="49">
        <f>IF(INVESTORS_LIST[[#This Row],[LS_TOTAL UNITS SOLD]]=0,0,SUMIFS(LS[Realized Gain],LS[Investor ID],INVESTORS_LIST[[#This Row],[INVESTOR CODE]],LS[B/S],"S"))</f>
        <v>0</v>
      </c>
      <c r="L264" s="47">
        <f>SUMIFS(SIP[Unit],SIP[Investor ID],INVESTORS_LIST[[#This Row],[INVESTOR CODE]],SIP[B/S],"B")</f>
        <v>0</v>
      </c>
      <c r="M264" s="47">
        <f>-SUMIFS(SIP[Unit],SIP[Investor ID],INVESTORS_LIST[[#This Row],[INVESTOR CODE]],SIP[B/S],"S")</f>
        <v>0</v>
      </c>
      <c r="N264" s="50">
        <f>IF(INVESTORS_LIST[[#This Row],[SIP_TOTAL UNITS BUY]]=0,0,INVESTORS_LIST[[#This Row],[SIP_TOTAL UNITS BUY]]-INVESTORS_LIST[[#This Row],[SIP_TOTAL UNITS SOLD]])</f>
        <v>0</v>
      </c>
      <c r="O264" s="49">
        <f>IF(INVESTORS_LIST[[#This Row],[SIP_TOTAL UNITS BUY]]=0,0,SUMIFS(SIP[Amount],SIP[Investor ID],INVESTORS_LIST[[#This Row],[INVESTOR CODE]],SIP[B/S],"B"))</f>
        <v>0</v>
      </c>
      <c r="P264" s="49">
        <f>IF(INVESTORS_LIST[[#This Row],[SIP_TOTAL UNITS SOLD]]=0,0,SUMIFS(SIP[Cost of Units Sold],SIP[Investor ID],INVESTORS_LIST[[#This Row],[INVESTOR CODE]],SIP[B/S],"S"))</f>
        <v>0</v>
      </c>
      <c r="Q264" s="48">
        <f>IF(INVESTORS_LIST[[#This Row],[SIP_TOTAL CURRENT UNITS]]=0,0,INVESTORS_LIST[[#This Row],[SIP_TOTAL CURRENT UNITS]]*INVESTORS_LIST[[#This Row],[SIP_AVERAGE COST]])</f>
        <v>0</v>
      </c>
      <c r="R264" s="48">
        <f>IF(INVESTORS_LIST[[#This Row],[SIP_TOTAL UNITS SOLD]]=0,0,SUMIFS(SIP[Realized Gain],SIP[Investor ID],INVESTORS_LIST[[#This Row],[INVESTOR CODE]],SIP[B/S],"S"))</f>
        <v>0</v>
      </c>
      <c r="S264" s="50">
        <f>INVESTORS_LIST[[#This Row],[LS_TOTAL UNITS BUY]]+INVESTORS_LIST[[#This Row],[SIP_TOTAL UNITS BUY]]</f>
        <v>0</v>
      </c>
      <c r="T264" s="50">
        <f>INVESTORS_LIST[[#This Row],[LS_TOTAL UNITS SOLD]]+INVESTORS_LIST[[#This Row],[SIP_TOTAL UNITS SOLD]]</f>
        <v>0</v>
      </c>
      <c r="U264" s="50"/>
      <c r="V264" s="50">
        <f>SUMIFS(LS[BO UNIT TRANSFER],LS[Investor ID],INVESTORS_LIST[[#This Row],[INVESTOR CODE]],LS[B/S],"B")</f>
        <v>0</v>
      </c>
      <c r="W264" s="50">
        <f>SUMIFS(SIP[BO UNIT TRANSFER],SIP[Investor ID],INVESTORS_LIST[[#This Row],[INVESTOR CODE]],SIP[B/S],"B")</f>
        <v>0</v>
      </c>
      <c r="X264" s="50">
        <f>SUMIFS(LS[BO UNIT TRANSFER],LS[Investor ID],INVESTORS_LIST[[#This Row],[INVESTOR CODE]],LS[B/S],"S")</f>
        <v>0</v>
      </c>
      <c r="Y264" s="50">
        <f>SUMIFS(SIP[BO UNIT TRANSFER],SIP[Investor ID],INVESTORS_LIST[[#This Row],[INVESTOR CODE]],SIP[B/S],"S")</f>
        <v>0</v>
      </c>
      <c r="Z264" s="106">
        <f>SUM(INVESTORS_LIST[[#This Row],[BO OPENING BALANCE]:[BO SIP UNITS REPURCHASE]])</f>
        <v>0</v>
      </c>
      <c r="AA264" s="107">
        <f>INVESTORS_LIST[[#This Row],[TOTAL UNITS BUY]]-INVESTORS_LIST[[#This Row],[TOTAL UNITS SOLD]]</f>
        <v>0</v>
      </c>
      <c r="AB264" s="107">
        <f>INVESTORS_LIST[[#This Row],[TOTAL CURRENT UNITS]]-INVESTORS_LIST[[#This Row],[BO UNITS HOLD]]</f>
        <v>0</v>
      </c>
      <c r="AC264" s="201" t="e">
        <f>INDEX([3]!Table_1[BO ID],MATCH(INVESTORS_LIST[[#This Row],[INVESTOR CODE]],[3]!Table_1[INVESTOR CODE],0))</f>
        <v>#REF!</v>
      </c>
      <c r="AD264" s="201" t="e">
        <f>INDEX([3]!Table_1[Brokerage Name2],MATCH(INVESTORS_LIST[[#This Row],[INVESTOR CODE]],[3]!Table_1[INVESTOR CODE],0))</f>
        <v>#REF!</v>
      </c>
      <c r="AE264" s="201" t="e">
        <f>MID(INVESTORS_LIST[[#This Row],[BO ID]],4,5)</f>
        <v>#REF!</v>
      </c>
      <c r="AF264" s="201" t="e">
        <f>MID(INVESTORS_LIST[[#This Row],[BO ID]],2,7)</f>
        <v>#REF!</v>
      </c>
      <c r="AG264" s="201" t="e">
        <f>MID(INVESTORS_LIST[[#This Row],[BO ID]],9,7)</f>
        <v>#REF!</v>
      </c>
      <c r="AH264" s="201" t="e">
        <f>RIGHT(INVESTORS_LIST[[#This Row],[BO ID]],1)</f>
        <v>#REF!</v>
      </c>
      <c r="AI264" s="50">
        <f>INVESTORS_LIST[[#This Row],[LS_TOTAL COST VALUE OF CURRENT UNITS]]+INVESTORS_LIST[[#This Row],[SIP_TOTAL COST VALUE OF CURRENT UNITS]]</f>
        <v>0</v>
      </c>
      <c r="AJ264" s="109">
        <f>IF(INVESTORS_LIST[[#This Row],[TOTAL CURRENT UNITS]]=0,0,INVESTORS_LIST[[#This Row],[LS_TOTAL CURRENT UNITS]]/INVESTORS_LIST[[#This Row],[TOTAL CURRENT UNITS]])</f>
        <v>0</v>
      </c>
      <c r="AK264" s="109">
        <f>IF(INVESTORS_LIST[[#This Row],[TOTAL CURRENT UNITS]]=0,0,INVESTORS_LIST[[#This Row],[SIP_TOTAL CURRENT UNITS]]/INVESTORS_LIST[[#This Row],[TOTAL CURRENT UNITS]])</f>
        <v>0</v>
      </c>
      <c r="AL264" s="49" cm="1">
        <f t="array" ref="AL2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4" s="49" cm="1">
        <f t="array" ref="AM2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4" s="105">
        <f t="shared" si="5"/>
        <v>14.224</v>
      </c>
      <c r="AP264" s="112">
        <f>IF(INVESTORS_LIST[[#This Row],[TOTAL CURRENT UNITS]]=0,0,INVESTORS_LIST[[#This Row],[TOTAL CURRENT UNITS]]*INVESTORS_LIST[[#This Row],[NAV]])</f>
        <v>0</v>
      </c>
      <c r="AQ264" s="49">
        <f>IF(INVESTORS_LIST[[#This Row],[LS_TOTAL CURRENT UNITS]]=0,0,INVESTORS_LIST[[#This Row],[LS_TOTAL CURRENT UNITS]]*INVESTORS_LIST[[#This Row],[NAV]])</f>
        <v>0</v>
      </c>
      <c r="AR264" s="48">
        <f>IF(INVESTORS_LIST[[#This Row],[SIP_TOTAL CURRENT UNITS]]=0,0,INVESTORS_LIST[[#This Row],[SIP_TOTAL CURRENT UNITS]]*INVESTORS_LIST[[#This Row],[NAV]])</f>
        <v>0</v>
      </c>
      <c r="AS264" s="50">
        <f>INVESTORS_LIST[[#This Row],[TOTAL CURRENT UNITS]]</f>
        <v>0</v>
      </c>
      <c r="AT264" s="48">
        <f>IF(INVESTORS_LIST[[#This Row],[TOTAL SELLABLE UNITS]]=0,0,INVESTORS_LIST[[#This Row],[TOTAL SELLABLE UNITS]]*INVESTORS_LIST[[#This Row],[NAV]])</f>
        <v>0</v>
      </c>
      <c r="AU264" s="48">
        <f>INVESTORS_LIST[[#This Row],[LS_TOTAL REALIZED GAIN]]+INVESTORS_LIST[[#This Row],[SIP_TOTAL REALIZED GAIN]]</f>
        <v>0</v>
      </c>
      <c r="AV264" s="48">
        <f>INVESTORS_LIST[[#This Row],[TOTAL MARKET VALUE]]-INVESTORS_LIST[[#This Row],[TOTAL COST VALUE OF CURRENT INVESTMENT]]</f>
        <v>0</v>
      </c>
      <c r="AW264" s="48">
        <f>IFERROR(INVESTORS_LIST[[#This Row],[TOTAL CURRENT UNITS]]/SUM(INVESTORS_LIST[TOTAL CURRENT UNITS]),0)</f>
        <v>0</v>
      </c>
    </row>
    <row r="265" spans="1:49" hidden="1">
      <c r="A265" s="262" t="s">
        <v>578</v>
      </c>
      <c r="B265" s="97" t="s">
        <v>579</v>
      </c>
      <c r="C265" t="s">
        <v>44</v>
      </c>
      <c r="D265" s="75" t="s">
        <v>45</v>
      </c>
      <c r="E265" s="47">
        <f>SUMIFS(LS[Unit],LS[Investor ID],INVESTORS_LIST[[#This Row],[INVESTOR CODE]],LS[B/S],"B")</f>
        <v>0</v>
      </c>
      <c r="F265" s="47">
        <f>-SUMIFS(LS[Unit],LS[Investor ID],INVESTORS_LIST[[#This Row],[INVESTOR CODE]],LS[B/S],"S")</f>
        <v>0</v>
      </c>
      <c r="G265" s="47">
        <f>IF(INVESTORS_LIST[[#This Row],[LS_TOTAL UNITS BUY]]=0,0,INVESTORS_LIST[[#This Row],[LS_TOTAL UNITS BUY]]-INVESTORS_LIST[[#This Row],[LS_TOTAL UNITS SOLD]])</f>
        <v>0</v>
      </c>
      <c r="H265" s="49">
        <f>IF(INVESTORS_LIST[[#This Row],[LS_TOTAL UNITS BUY]]=0,0,SUMIFS(LS[Amount],LS[Investor ID],INVESTORS_LIST[[#This Row],[INVESTOR CODE]],LS[B/S],"B"))</f>
        <v>0</v>
      </c>
      <c r="I265" s="48">
        <f>IF(INVESTORS_LIST[[#This Row],[LS_TOTAL UNITS SOLD]]=0,0,SUMIFS(LS[Cost of Units Sold],LS[Investor ID],INVESTORS_LIST[[#This Row],[INVESTOR CODE]],LS[B/S],"S"))</f>
        <v>0</v>
      </c>
      <c r="J265" s="48">
        <f>IF(INVESTORS_LIST[[#This Row],[LS_TOTAL CURRENT UNITS]]=0,0,INVESTORS_LIST[[#This Row],[LS_TOTAL CURRENT UNITS]]*INVESTORS_LIST[[#This Row],[LS_AVERAGE COST]])</f>
        <v>0</v>
      </c>
      <c r="K265" s="49">
        <f>IF(INVESTORS_LIST[[#This Row],[LS_TOTAL UNITS SOLD]]=0,0,SUMIFS(LS[Realized Gain],LS[Investor ID],INVESTORS_LIST[[#This Row],[INVESTOR CODE]],LS[B/S],"S"))</f>
        <v>0</v>
      </c>
      <c r="L265" s="47">
        <f>SUMIFS(SIP[Unit],SIP[Investor ID],INVESTORS_LIST[[#This Row],[INVESTOR CODE]],SIP[B/S],"B")</f>
        <v>0</v>
      </c>
      <c r="M265" s="47">
        <f>-SUMIFS(SIP[Unit],SIP[Investor ID],INVESTORS_LIST[[#This Row],[INVESTOR CODE]],SIP[B/S],"S")</f>
        <v>0</v>
      </c>
      <c r="N265" s="50">
        <f>IF(INVESTORS_LIST[[#This Row],[SIP_TOTAL UNITS BUY]]=0,0,INVESTORS_LIST[[#This Row],[SIP_TOTAL UNITS BUY]]-INVESTORS_LIST[[#This Row],[SIP_TOTAL UNITS SOLD]])</f>
        <v>0</v>
      </c>
      <c r="O265" s="49">
        <f>IF(INVESTORS_LIST[[#This Row],[SIP_TOTAL UNITS BUY]]=0,0,SUMIFS(SIP[Amount],SIP[Investor ID],INVESTORS_LIST[[#This Row],[INVESTOR CODE]],SIP[B/S],"B"))</f>
        <v>0</v>
      </c>
      <c r="P265" s="49">
        <f>IF(INVESTORS_LIST[[#This Row],[SIP_TOTAL UNITS SOLD]]=0,0,SUMIFS(SIP[Cost of Units Sold],SIP[Investor ID],INVESTORS_LIST[[#This Row],[INVESTOR CODE]],SIP[B/S],"S"))</f>
        <v>0</v>
      </c>
      <c r="Q265" s="48">
        <f>IF(INVESTORS_LIST[[#This Row],[SIP_TOTAL CURRENT UNITS]]=0,0,INVESTORS_LIST[[#This Row],[SIP_TOTAL CURRENT UNITS]]*INVESTORS_LIST[[#This Row],[SIP_AVERAGE COST]])</f>
        <v>0</v>
      </c>
      <c r="R265" s="48">
        <f>IF(INVESTORS_LIST[[#This Row],[SIP_TOTAL UNITS SOLD]]=0,0,SUMIFS(SIP[Realized Gain],SIP[Investor ID],INVESTORS_LIST[[#This Row],[INVESTOR CODE]],SIP[B/S],"S"))</f>
        <v>0</v>
      </c>
      <c r="S265" s="50">
        <f>INVESTORS_LIST[[#This Row],[LS_TOTAL UNITS BUY]]+INVESTORS_LIST[[#This Row],[SIP_TOTAL UNITS BUY]]</f>
        <v>0</v>
      </c>
      <c r="T265" s="50">
        <f>INVESTORS_LIST[[#This Row],[LS_TOTAL UNITS SOLD]]+INVESTORS_LIST[[#This Row],[SIP_TOTAL UNITS SOLD]]</f>
        <v>0</v>
      </c>
      <c r="U265" s="50"/>
      <c r="V265" s="50">
        <f>SUMIFS(LS[BO UNIT TRANSFER],LS[Investor ID],INVESTORS_LIST[[#This Row],[INVESTOR CODE]],LS[B/S],"B")</f>
        <v>0</v>
      </c>
      <c r="W265" s="50">
        <f>SUMIFS(SIP[BO UNIT TRANSFER],SIP[Investor ID],INVESTORS_LIST[[#This Row],[INVESTOR CODE]],SIP[B/S],"B")</f>
        <v>0</v>
      </c>
      <c r="X265" s="50">
        <f>SUMIFS(LS[BO UNIT TRANSFER],LS[Investor ID],INVESTORS_LIST[[#This Row],[INVESTOR CODE]],LS[B/S],"S")</f>
        <v>0</v>
      </c>
      <c r="Y265" s="50">
        <f>SUMIFS(SIP[BO UNIT TRANSFER],SIP[Investor ID],INVESTORS_LIST[[#This Row],[INVESTOR CODE]],SIP[B/S],"S")</f>
        <v>0</v>
      </c>
      <c r="Z265" s="106">
        <f>SUM(INVESTORS_LIST[[#This Row],[BO OPENING BALANCE]:[BO SIP UNITS REPURCHASE]])</f>
        <v>0</v>
      </c>
      <c r="AA265" s="107">
        <f>INVESTORS_LIST[[#This Row],[TOTAL UNITS BUY]]-INVESTORS_LIST[[#This Row],[TOTAL UNITS SOLD]]</f>
        <v>0</v>
      </c>
      <c r="AB265" s="107">
        <f>INVESTORS_LIST[[#This Row],[TOTAL CURRENT UNITS]]-INVESTORS_LIST[[#This Row],[BO UNITS HOLD]]</f>
        <v>0</v>
      </c>
      <c r="AC265" s="201" t="e">
        <f>INDEX([3]!Table_1[BO ID],MATCH(INVESTORS_LIST[[#This Row],[INVESTOR CODE]],[3]!Table_1[INVESTOR CODE],0))</f>
        <v>#REF!</v>
      </c>
      <c r="AD265" s="201" t="e">
        <f>INDEX([3]!Table_1[Brokerage Name2],MATCH(INVESTORS_LIST[[#This Row],[INVESTOR CODE]],[3]!Table_1[INVESTOR CODE],0))</f>
        <v>#REF!</v>
      </c>
      <c r="AE265" s="201" t="e">
        <f>MID(INVESTORS_LIST[[#This Row],[BO ID]],4,5)</f>
        <v>#REF!</v>
      </c>
      <c r="AF265" s="201" t="e">
        <f>MID(INVESTORS_LIST[[#This Row],[BO ID]],2,7)</f>
        <v>#REF!</v>
      </c>
      <c r="AG265" s="201" t="e">
        <f>MID(INVESTORS_LIST[[#This Row],[BO ID]],9,7)</f>
        <v>#REF!</v>
      </c>
      <c r="AH265" s="201" t="e">
        <f>RIGHT(INVESTORS_LIST[[#This Row],[BO ID]],1)</f>
        <v>#REF!</v>
      </c>
      <c r="AI265" s="50">
        <f>INVESTORS_LIST[[#This Row],[LS_TOTAL COST VALUE OF CURRENT UNITS]]+INVESTORS_LIST[[#This Row],[SIP_TOTAL COST VALUE OF CURRENT UNITS]]</f>
        <v>0</v>
      </c>
      <c r="AJ265" s="109">
        <f>IF(INVESTORS_LIST[[#This Row],[TOTAL CURRENT UNITS]]=0,0,INVESTORS_LIST[[#This Row],[LS_TOTAL CURRENT UNITS]]/INVESTORS_LIST[[#This Row],[TOTAL CURRENT UNITS]])</f>
        <v>0</v>
      </c>
      <c r="AK265" s="109">
        <f>IF(INVESTORS_LIST[[#This Row],[TOTAL CURRENT UNITS]]=0,0,INVESTORS_LIST[[#This Row],[SIP_TOTAL CURRENT UNITS]]/INVESTORS_LIST[[#This Row],[TOTAL CURRENT UNITS]])</f>
        <v>0</v>
      </c>
      <c r="AL265" s="49" cm="1">
        <f t="array" ref="AL2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5" s="49" cm="1">
        <f t="array" ref="AM2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5" s="105">
        <f t="shared" si="5"/>
        <v>14.224</v>
      </c>
      <c r="AP265" s="112">
        <f>IF(INVESTORS_LIST[[#This Row],[TOTAL CURRENT UNITS]]=0,0,INVESTORS_LIST[[#This Row],[TOTAL CURRENT UNITS]]*INVESTORS_LIST[[#This Row],[NAV]])</f>
        <v>0</v>
      </c>
      <c r="AQ265" s="49">
        <f>IF(INVESTORS_LIST[[#This Row],[LS_TOTAL CURRENT UNITS]]=0,0,INVESTORS_LIST[[#This Row],[LS_TOTAL CURRENT UNITS]]*INVESTORS_LIST[[#This Row],[NAV]])</f>
        <v>0</v>
      </c>
      <c r="AR265" s="48">
        <f>IF(INVESTORS_LIST[[#This Row],[SIP_TOTAL CURRENT UNITS]]=0,0,INVESTORS_LIST[[#This Row],[SIP_TOTAL CURRENT UNITS]]*INVESTORS_LIST[[#This Row],[NAV]])</f>
        <v>0</v>
      </c>
      <c r="AS265" s="50">
        <f>INVESTORS_LIST[[#This Row],[TOTAL CURRENT UNITS]]</f>
        <v>0</v>
      </c>
      <c r="AT265" s="48">
        <f>IF(INVESTORS_LIST[[#This Row],[TOTAL SELLABLE UNITS]]=0,0,INVESTORS_LIST[[#This Row],[TOTAL SELLABLE UNITS]]*INVESTORS_LIST[[#This Row],[NAV]])</f>
        <v>0</v>
      </c>
      <c r="AU265" s="48">
        <f>INVESTORS_LIST[[#This Row],[LS_TOTAL REALIZED GAIN]]+INVESTORS_LIST[[#This Row],[SIP_TOTAL REALIZED GAIN]]</f>
        <v>0</v>
      </c>
      <c r="AV265" s="48">
        <f>INVESTORS_LIST[[#This Row],[TOTAL MARKET VALUE]]-INVESTORS_LIST[[#This Row],[TOTAL COST VALUE OF CURRENT INVESTMENT]]</f>
        <v>0</v>
      </c>
      <c r="AW265" s="48">
        <f>IFERROR(INVESTORS_LIST[[#This Row],[TOTAL CURRENT UNITS]]/SUM(INVESTORS_LIST[TOTAL CURRENT UNITS]),0)</f>
        <v>0</v>
      </c>
    </row>
    <row r="266" spans="1:49" hidden="1">
      <c r="A266" s="262" t="s">
        <v>580</v>
      </c>
      <c r="B266" s="97" t="s">
        <v>581</v>
      </c>
      <c r="C266" t="s">
        <v>44</v>
      </c>
      <c r="D266" s="75" t="s">
        <v>45</v>
      </c>
      <c r="E266" s="47">
        <f>SUMIFS(LS[Unit],LS[Investor ID],INVESTORS_LIST[[#This Row],[INVESTOR CODE]],LS[B/S],"B")</f>
        <v>0</v>
      </c>
      <c r="F266" s="47">
        <f>-SUMIFS(LS[Unit],LS[Investor ID],INVESTORS_LIST[[#This Row],[INVESTOR CODE]],LS[B/S],"S")</f>
        <v>0</v>
      </c>
      <c r="G266" s="47">
        <f>IF(INVESTORS_LIST[[#This Row],[LS_TOTAL UNITS BUY]]=0,0,INVESTORS_LIST[[#This Row],[LS_TOTAL UNITS BUY]]-INVESTORS_LIST[[#This Row],[LS_TOTAL UNITS SOLD]])</f>
        <v>0</v>
      </c>
      <c r="H266" s="49">
        <f>IF(INVESTORS_LIST[[#This Row],[LS_TOTAL UNITS BUY]]=0,0,SUMIFS(LS[Amount],LS[Investor ID],INVESTORS_LIST[[#This Row],[INVESTOR CODE]],LS[B/S],"B"))</f>
        <v>0</v>
      </c>
      <c r="I266" s="48">
        <f>IF(INVESTORS_LIST[[#This Row],[LS_TOTAL UNITS SOLD]]=0,0,SUMIFS(LS[Cost of Units Sold],LS[Investor ID],INVESTORS_LIST[[#This Row],[INVESTOR CODE]],LS[B/S],"S"))</f>
        <v>0</v>
      </c>
      <c r="J266" s="48">
        <f>IF(INVESTORS_LIST[[#This Row],[LS_TOTAL CURRENT UNITS]]=0,0,INVESTORS_LIST[[#This Row],[LS_TOTAL CURRENT UNITS]]*INVESTORS_LIST[[#This Row],[LS_AVERAGE COST]])</f>
        <v>0</v>
      </c>
      <c r="K266" s="49">
        <f>IF(INVESTORS_LIST[[#This Row],[LS_TOTAL UNITS SOLD]]=0,0,SUMIFS(LS[Realized Gain],LS[Investor ID],INVESTORS_LIST[[#This Row],[INVESTOR CODE]],LS[B/S],"S"))</f>
        <v>0</v>
      </c>
      <c r="L266" s="47">
        <f>SUMIFS(SIP[Unit],SIP[Investor ID],INVESTORS_LIST[[#This Row],[INVESTOR CODE]],SIP[B/S],"B")</f>
        <v>0</v>
      </c>
      <c r="M266" s="47">
        <f>-SUMIFS(SIP[Unit],SIP[Investor ID],INVESTORS_LIST[[#This Row],[INVESTOR CODE]],SIP[B/S],"S")</f>
        <v>0</v>
      </c>
      <c r="N266" s="50">
        <f>IF(INVESTORS_LIST[[#This Row],[SIP_TOTAL UNITS BUY]]=0,0,INVESTORS_LIST[[#This Row],[SIP_TOTAL UNITS BUY]]-INVESTORS_LIST[[#This Row],[SIP_TOTAL UNITS SOLD]])</f>
        <v>0</v>
      </c>
      <c r="O266" s="49">
        <f>IF(INVESTORS_LIST[[#This Row],[SIP_TOTAL UNITS BUY]]=0,0,SUMIFS(SIP[Amount],SIP[Investor ID],INVESTORS_LIST[[#This Row],[INVESTOR CODE]],SIP[B/S],"B"))</f>
        <v>0</v>
      </c>
      <c r="P266" s="49">
        <f>IF(INVESTORS_LIST[[#This Row],[SIP_TOTAL UNITS SOLD]]=0,0,SUMIFS(SIP[Cost of Units Sold],SIP[Investor ID],INVESTORS_LIST[[#This Row],[INVESTOR CODE]],SIP[B/S],"S"))</f>
        <v>0</v>
      </c>
      <c r="Q266" s="48">
        <f>IF(INVESTORS_LIST[[#This Row],[SIP_TOTAL CURRENT UNITS]]=0,0,INVESTORS_LIST[[#This Row],[SIP_TOTAL CURRENT UNITS]]*INVESTORS_LIST[[#This Row],[SIP_AVERAGE COST]])</f>
        <v>0</v>
      </c>
      <c r="R266" s="48">
        <f>IF(INVESTORS_LIST[[#This Row],[SIP_TOTAL UNITS SOLD]]=0,0,SUMIFS(SIP[Realized Gain],SIP[Investor ID],INVESTORS_LIST[[#This Row],[INVESTOR CODE]],SIP[B/S],"S"))</f>
        <v>0</v>
      </c>
      <c r="S266" s="50">
        <f>INVESTORS_LIST[[#This Row],[LS_TOTAL UNITS BUY]]+INVESTORS_LIST[[#This Row],[SIP_TOTAL UNITS BUY]]</f>
        <v>0</v>
      </c>
      <c r="T266" s="50">
        <f>INVESTORS_LIST[[#This Row],[LS_TOTAL UNITS SOLD]]+INVESTORS_LIST[[#This Row],[SIP_TOTAL UNITS SOLD]]</f>
        <v>0</v>
      </c>
      <c r="U266" s="50"/>
      <c r="V266" s="50">
        <f>SUMIFS(LS[BO UNIT TRANSFER],LS[Investor ID],INVESTORS_LIST[[#This Row],[INVESTOR CODE]],LS[B/S],"B")</f>
        <v>0</v>
      </c>
      <c r="W266" s="50">
        <f>SUMIFS(SIP[BO UNIT TRANSFER],SIP[Investor ID],INVESTORS_LIST[[#This Row],[INVESTOR CODE]],SIP[B/S],"B")</f>
        <v>0</v>
      </c>
      <c r="X266" s="50">
        <f>SUMIFS(LS[BO UNIT TRANSFER],LS[Investor ID],INVESTORS_LIST[[#This Row],[INVESTOR CODE]],LS[B/S],"S")</f>
        <v>0</v>
      </c>
      <c r="Y266" s="50">
        <f>SUMIFS(SIP[BO UNIT TRANSFER],SIP[Investor ID],INVESTORS_LIST[[#This Row],[INVESTOR CODE]],SIP[B/S],"S")</f>
        <v>0</v>
      </c>
      <c r="Z266" s="106">
        <f>SUM(INVESTORS_LIST[[#This Row],[BO OPENING BALANCE]:[BO SIP UNITS REPURCHASE]])</f>
        <v>0</v>
      </c>
      <c r="AA266" s="107">
        <f>INVESTORS_LIST[[#This Row],[TOTAL UNITS BUY]]-INVESTORS_LIST[[#This Row],[TOTAL UNITS SOLD]]</f>
        <v>0</v>
      </c>
      <c r="AB266" s="107">
        <f>INVESTORS_LIST[[#This Row],[TOTAL CURRENT UNITS]]-INVESTORS_LIST[[#This Row],[BO UNITS HOLD]]</f>
        <v>0</v>
      </c>
      <c r="AC266" s="201" t="e">
        <f>INDEX([3]!Table_1[BO ID],MATCH(INVESTORS_LIST[[#This Row],[INVESTOR CODE]],[3]!Table_1[INVESTOR CODE],0))</f>
        <v>#REF!</v>
      </c>
      <c r="AD266" s="201" t="e">
        <f>INDEX([3]!Table_1[Brokerage Name2],MATCH(INVESTORS_LIST[[#This Row],[INVESTOR CODE]],[3]!Table_1[INVESTOR CODE],0))</f>
        <v>#REF!</v>
      </c>
      <c r="AE266" s="201" t="e">
        <f>MID(INVESTORS_LIST[[#This Row],[BO ID]],4,5)</f>
        <v>#REF!</v>
      </c>
      <c r="AF266" s="201" t="e">
        <f>MID(INVESTORS_LIST[[#This Row],[BO ID]],2,7)</f>
        <v>#REF!</v>
      </c>
      <c r="AG266" s="201" t="e">
        <f>MID(INVESTORS_LIST[[#This Row],[BO ID]],9,7)</f>
        <v>#REF!</v>
      </c>
      <c r="AH266" s="201" t="e">
        <f>RIGHT(INVESTORS_LIST[[#This Row],[BO ID]],1)</f>
        <v>#REF!</v>
      </c>
      <c r="AI266" s="50">
        <f>INVESTORS_LIST[[#This Row],[LS_TOTAL COST VALUE OF CURRENT UNITS]]+INVESTORS_LIST[[#This Row],[SIP_TOTAL COST VALUE OF CURRENT UNITS]]</f>
        <v>0</v>
      </c>
      <c r="AJ266" s="109">
        <f>IF(INVESTORS_LIST[[#This Row],[TOTAL CURRENT UNITS]]=0,0,INVESTORS_LIST[[#This Row],[LS_TOTAL CURRENT UNITS]]/INVESTORS_LIST[[#This Row],[TOTAL CURRENT UNITS]])</f>
        <v>0</v>
      </c>
      <c r="AK266" s="109">
        <f>IF(INVESTORS_LIST[[#This Row],[TOTAL CURRENT UNITS]]=0,0,INVESTORS_LIST[[#This Row],[SIP_TOTAL CURRENT UNITS]]/INVESTORS_LIST[[#This Row],[TOTAL CURRENT UNITS]])</f>
        <v>0</v>
      </c>
      <c r="AL266" s="49" cm="1">
        <f t="array" ref="AL2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6" s="49" cm="1">
        <f t="array" ref="AM2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6" s="105">
        <f t="shared" si="5"/>
        <v>14.224</v>
      </c>
      <c r="AP266" s="112">
        <f>IF(INVESTORS_LIST[[#This Row],[TOTAL CURRENT UNITS]]=0,0,INVESTORS_LIST[[#This Row],[TOTAL CURRENT UNITS]]*INVESTORS_LIST[[#This Row],[NAV]])</f>
        <v>0</v>
      </c>
      <c r="AQ266" s="49">
        <f>IF(INVESTORS_LIST[[#This Row],[LS_TOTAL CURRENT UNITS]]=0,0,INVESTORS_LIST[[#This Row],[LS_TOTAL CURRENT UNITS]]*INVESTORS_LIST[[#This Row],[NAV]])</f>
        <v>0</v>
      </c>
      <c r="AR266" s="48">
        <f>IF(INVESTORS_LIST[[#This Row],[SIP_TOTAL CURRENT UNITS]]=0,0,INVESTORS_LIST[[#This Row],[SIP_TOTAL CURRENT UNITS]]*INVESTORS_LIST[[#This Row],[NAV]])</f>
        <v>0</v>
      </c>
      <c r="AS266" s="50">
        <f>INVESTORS_LIST[[#This Row],[TOTAL CURRENT UNITS]]</f>
        <v>0</v>
      </c>
      <c r="AT266" s="48">
        <f>IF(INVESTORS_LIST[[#This Row],[TOTAL SELLABLE UNITS]]=0,0,INVESTORS_LIST[[#This Row],[TOTAL SELLABLE UNITS]]*INVESTORS_LIST[[#This Row],[NAV]])</f>
        <v>0</v>
      </c>
      <c r="AU266" s="48">
        <f>INVESTORS_LIST[[#This Row],[LS_TOTAL REALIZED GAIN]]+INVESTORS_LIST[[#This Row],[SIP_TOTAL REALIZED GAIN]]</f>
        <v>0</v>
      </c>
      <c r="AV266" s="48">
        <f>INVESTORS_LIST[[#This Row],[TOTAL MARKET VALUE]]-INVESTORS_LIST[[#This Row],[TOTAL COST VALUE OF CURRENT INVESTMENT]]</f>
        <v>0</v>
      </c>
      <c r="AW266" s="48">
        <f>IFERROR(INVESTORS_LIST[[#This Row],[TOTAL CURRENT UNITS]]/SUM(INVESTORS_LIST[TOTAL CURRENT UNITS]),0)</f>
        <v>0</v>
      </c>
    </row>
    <row r="267" spans="1:49" hidden="1">
      <c r="A267" s="262" t="s">
        <v>582</v>
      </c>
      <c r="B267" s="97" t="s">
        <v>583</v>
      </c>
      <c r="C267" t="s">
        <v>44</v>
      </c>
      <c r="D267" s="75" t="s">
        <v>45</v>
      </c>
      <c r="E267" s="47">
        <f>SUMIFS(LS[Unit],LS[Investor ID],INVESTORS_LIST[[#This Row],[INVESTOR CODE]],LS[B/S],"B")</f>
        <v>24428</v>
      </c>
      <c r="F267" s="47">
        <f>-SUMIFS(LS[Unit],LS[Investor ID],INVESTORS_LIST[[#This Row],[INVESTOR CODE]],LS[B/S],"S")</f>
        <v>24428</v>
      </c>
      <c r="G267" s="47">
        <f>IF(INVESTORS_LIST[[#This Row],[LS_TOTAL UNITS BUY]]=0,0,INVESTORS_LIST[[#This Row],[LS_TOTAL UNITS BUY]]-INVESTORS_LIST[[#This Row],[LS_TOTAL UNITS SOLD]])</f>
        <v>0</v>
      </c>
      <c r="H267" s="49">
        <f>IF(INVESTORS_LIST[[#This Row],[LS_TOTAL UNITS BUY]]=0,0,SUMIFS(LS[Amount],LS[Investor ID],INVESTORS_LIST[[#This Row],[INVESTOR CODE]],LS[B/S],"B"))</f>
        <v>250000</v>
      </c>
      <c r="I267" s="48">
        <f>IF(INVESTORS_LIST[[#This Row],[LS_TOTAL UNITS SOLD]]=0,0,SUMIFS(LS[Cost of Units Sold],LS[Investor ID],INVESTORS_LIST[[#This Row],[INVESTOR CODE]],LS[B/S],"S"))</f>
        <v>250000.00000000003</v>
      </c>
      <c r="J267" s="48">
        <f>IF(INVESTORS_LIST[[#This Row],[LS_TOTAL CURRENT UNITS]]=0,0,INVESTORS_LIST[[#This Row],[LS_TOTAL CURRENT UNITS]]*INVESTORS_LIST[[#This Row],[LS_AVERAGE COST]])</f>
        <v>0</v>
      </c>
      <c r="K267" s="49">
        <f>IF(INVESTORS_LIST[[#This Row],[LS_TOTAL UNITS SOLD]]=0,0,SUMIFS(LS[Realized Gain],LS[Investor ID],INVESTORS_LIST[[#This Row],[INVESTOR CODE]],LS[B/S],"S"))</f>
        <v>2836.9399999999864</v>
      </c>
      <c r="L267" s="47">
        <f>SUMIFS(SIP[Unit],SIP[Investor ID],INVESTORS_LIST[[#This Row],[INVESTOR CODE]],SIP[B/S],"B")</f>
        <v>0</v>
      </c>
      <c r="M267" s="47">
        <f>-SUMIFS(SIP[Unit],SIP[Investor ID],INVESTORS_LIST[[#This Row],[INVESTOR CODE]],SIP[B/S],"S")</f>
        <v>0</v>
      </c>
      <c r="N267" s="50">
        <f>IF(INVESTORS_LIST[[#This Row],[SIP_TOTAL UNITS BUY]]=0,0,INVESTORS_LIST[[#This Row],[SIP_TOTAL UNITS BUY]]-INVESTORS_LIST[[#This Row],[SIP_TOTAL UNITS SOLD]])</f>
        <v>0</v>
      </c>
      <c r="O267" s="49">
        <f>IF(INVESTORS_LIST[[#This Row],[SIP_TOTAL UNITS BUY]]=0,0,SUMIFS(SIP[Amount],SIP[Investor ID],INVESTORS_LIST[[#This Row],[INVESTOR CODE]],SIP[B/S],"B"))</f>
        <v>0</v>
      </c>
      <c r="P267" s="49">
        <f>IF(INVESTORS_LIST[[#This Row],[SIP_TOTAL UNITS SOLD]]=0,0,SUMIFS(SIP[Cost of Units Sold],SIP[Investor ID],INVESTORS_LIST[[#This Row],[INVESTOR CODE]],SIP[B/S],"S"))</f>
        <v>0</v>
      </c>
      <c r="Q267" s="48">
        <f>IF(INVESTORS_LIST[[#This Row],[SIP_TOTAL CURRENT UNITS]]=0,0,INVESTORS_LIST[[#This Row],[SIP_TOTAL CURRENT UNITS]]*INVESTORS_LIST[[#This Row],[SIP_AVERAGE COST]])</f>
        <v>0</v>
      </c>
      <c r="R267" s="48">
        <f>IF(INVESTORS_LIST[[#This Row],[SIP_TOTAL UNITS SOLD]]=0,0,SUMIFS(SIP[Realized Gain],SIP[Investor ID],INVESTORS_LIST[[#This Row],[INVESTOR CODE]],SIP[B/S],"S"))</f>
        <v>0</v>
      </c>
      <c r="S267" s="50">
        <f>INVESTORS_LIST[[#This Row],[LS_TOTAL UNITS BUY]]+INVESTORS_LIST[[#This Row],[SIP_TOTAL UNITS BUY]]</f>
        <v>24428</v>
      </c>
      <c r="T267" s="50">
        <f>INVESTORS_LIST[[#This Row],[LS_TOTAL UNITS SOLD]]+INVESTORS_LIST[[#This Row],[SIP_TOTAL UNITS SOLD]]</f>
        <v>24428</v>
      </c>
      <c r="U267" s="50"/>
      <c r="V267" s="50">
        <f>SUMIFS(LS[BO UNIT TRANSFER],LS[Investor ID],INVESTORS_LIST[[#This Row],[INVESTOR CODE]],LS[B/S],"B")</f>
        <v>0</v>
      </c>
      <c r="W267" s="50">
        <f>SUMIFS(SIP[BO UNIT TRANSFER],SIP[Investor ID],INVESTORS_LIST[[#This Row],[INVESTOR CODE]],SIP[B/S],"B")</f>
        <v>0</v>
      </c>
      <c r="X267" s="50">
        <f>SUMIFS(LS[BO UNIT TRANSFER],LS[Investor ID],INVESTORS_LIST[[#This Row],[INVESTOR CODE]],LS[B/S],"S")</f>
        <v>0</v>
      </c>
      <c r="Y267" s="50">
        <f>SUMIFS(SIP[BO UNIT TRANSFER],SIP[Investor ID],INVESTORS_LIST[[#This Row],[INVESTOR CODE]],SIP[B/S],"S")</f>
        <v>0</v>
      </c>
      <c r="Z267" s="106">
        <f>SUM(INVESTORS_LIST[[#This Row],[BO OPENING BALANCE]:[BO SIP UNITS REPURCHASE]])</f>
        <v>0</v>
      </c>
      <c r="AA267" s="107">
        <f>INVESTORS_LIST[[#This Row],[TOTAL UNITS BUY]]-INVESTORS_LIST[[#This Row],[TOTAL UNITS SOLD]]</f>
        <v>0</v>
      </c>
      <c r="AB267" s="107">
        <f>INVESTORS_LIST[[#This Row],[TOTAL CURRENT UNITS]]-INVESTORS_LIST[[#This Row],[BO UNITS HOLD]]</f>
        <v>0</v>
      </c>
      <c r="AC267" s="201" t="e">
        <f>INDEX([3]!Table_1[BO ID],MATCH(INVESTORS_LIST[[#This Row],[INVESTOR CODE]],[3]!Table_1[INVESTOR CODE],0))</f>
        <v>#REF!</v>
      </c>
      <c r="AD267" s="201" t="e">
        <f>INDEX([3]!Table_1[Brokerage Name2],MATCH(INVESTORS_LIST[[#This Row],[INVESTOR CODE]],[3]!Table_1[INVESTOR CODE],0))</f>
        <v>#REF!</v>
      </c>
      <c r="AE267" s="201" t="e">
        <f>MID(INVESTORS_LIST[[#This Row],[BO ID]],4,5)</f>
        <v>#REF!</v>
      </c>
      <c r="AF267" s="201" t="e">
        <f>MID(INVESTORS_LIST[[#This Row],[BO ID]],2,7)</f>
        <v>#REF!</v>
      </c>
      <c r="AG267" s="201" t="e">
        <f>MID(INVESTORS_LIST[[#This Row],[BO ID]],9,7)</f>
        <v>#REF!</v>
      </c>
      <c r="AH267" s="201" t="e">
        <f>RIGHT(INVESTORS_LIST[[#This Row],[BO ID]],1)</f>
        <v>#REF!</v>
      </c>
      <c r="AI267" s="50">
        <f>INVESTORS_LIST[[#This Row],[LS_TOTAL COST VALUE OF CURRENT UNITS]]+INVESTORS_LIST[[#This Row],[SIP_TOTAL COST VALUE OF CURRENT UNITS]]</f>
        <v>0</v>
      </c>
      <c r="AJ267" s="109">
        <f>IF(INVESTORS_LIST[[#This Row],[TOTAL CURRENT UNITS]]=0,0,INVESTORS_LIST[[#This Row],[LS_TOTAL CURRENT UNITS]]/INVESTORS_LIST[[#This Row],[TOTAL CURRENT UNITS]])</f>
        <v>0</v>
      </c>
      <c r="AK267" s="109">
        <f>IF(INVESTORS_LIST[[#This Row],[TOTAL CURRENT UNITS]]=0,0,INVESTORS_LIST[[#This Row],[SIP_TOTAL CURRENT UNITS]]/INVESTORS_LIST[[#This Row],[TOTAL CURRENT UNITS]])</f>
        <v>0</v>
      </c>
      <c r="AL267" s="49" cm="1">
        <f t="array" ref="AL2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7" s="49" cm="1">
        <f t="array" ref="AM2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7" s="105">
        <f t="shared" si="5"/>
        <v>14.224</v>
      </c>
      <c r="AP267" s="112">
        <f>IF(INVESTORS_LIST[[#This Row],[TOTAL CURRENT UNITS]]=0,0,INVESTORS_LIST[[#This Row],[TOTAL CURRENT UNITS]]*INVESTORS_LIST[[#This Row],[NAV]])</f>
        <v>0</v>
      </c>
      <c r="AQ267" s="49">
        <f>IF(INVESTORS_LIST[[#This Row],[LS_TOTAL CURRENT UNITS]]=0,0,INVESTORS_LIST[[#This Row],[LS_TOTAL CURRENT UNITS]]*INVESTORS_LIST[[#This Row],[NAV]])</f>
        <v>0</v>
      </c>
      <c r="AR267" s="48">
        <f>IF(INVESTORS_LIST[[#This Row],[SIP_TOTAL CURRENT UNITS]]=0,0,INVESTORS_LIST[[#This Row],[SIP_TOTAL CURRENT UNITS]]*INVESTORS_LIST[[#This Row],[NAV]])</f>
        <v>0</v>
      </c>
      <c r="AS267" s="50">
        <f>INVESTORS_LIST[[#This Row],[TOTAL CURRENT UNITS]]</f>
        <v>0</v>
      </c>
      <c r="AT267" s="48">
        <f>IF(INVESTORS_LIST[[#This Row],[TOTAL SELLABLE UNITS]]=0,0,INVESTORS_LIST[[#This Row],[TOTAL SELLABLE UNITS]]*INVESTORS_LIST[[#This Row],[NAV]])</f>
        <v>0</v>
      </c>
      <c r="AU267" s="48">
        <f>INVESTORS_LIST[[#This Row],[LS_TOTAL REALIZED GAIN]]+INVESTORS_LIST[[#This Row],[SIP_TOTAL REALIZED GAIN]]</f>
        <v>2836.9399999999864</v>
      </c>
      <c r="AV267" s="48">
        <f>INVESTORS_LIST[[#This Row],[TOTAL MARKET VALUE]]-INVESTORS_LIST[[#This Row],[TOTAL COST VALUE OF CURRENT INVESTMENT]]</f>
        <v>0</v>
      </c>
      <c r="AW267" s="48">
        <f>IFERROR(INVESTORS_LIST[[#This Row],[TOTAL CURRENT UNITS]]/SUM(INVESTORS_LIST[TOTAL CURRENT UNITS]),0)</f>
        <v>0</v>
      </c>
    </row>
    <row r="268" spans="1:49" hidden="1">
      <c r="A268" s="262" t="s">
        <v>584</v>
      </c>
      <c r="B268" s="97" t="s">
        <v>585</v>
      </c>
      <c r="C268" t="s">
        <v>67</v>
      </c>
      <c r="D268" s="75" t="s">
        <v>45</v>
      </c>
      <c r="E268" s="47">
        <f>SUMIFS(LS[Unit],LS[Investor ID],INVESTORS_LIST[[#This Row],[INVESTOR CODE]],LS[B/S],"B")</f>
        <v>159200</v>
      </c>
      <c r="F268" s="47">
        <f>-SUMIFS(LS[Unit],LS[Investor ID],INVESTORS_LIST[[#This Row],[INVESTOR CODE]],LS[B/S],"S")</f>
        <v>159200</v>
      </c>
      <c r="G268" s="47">
        <f>IF(INVESTORS_LIST[[#This Row],[LS_TOTAL UNITS BUY]]=0,0,INVESTORS_LIST[[#This Row],[LS_TOTAL UNITS BUY]]-INVESTORS_LIST[[#This Row],[LS_TOTAL UNITS SOLD]])</f>
        <v>0</v>
      </c>
      <c r="H268" s="49">
        <f>IF(INVESTORS_LIST[[#This Row],[LS_TOTAL UNITS BUY]]=0,0,SUMIFS(LS[Amount],LS[Investor ID],INVESTORS_LIST[[#This Row],[INVESTOR CODE]],LS[B/S],"B"))</f>
        <v>1927807</v>
      </c>
      <c r="I268" s="48">
        <f>IF(INVESTORS_LIST[[#This Row],[LS_TOTAL UNITS SOLD]]=0,0,SUMIFS(LS[Cost of Units Sold],LS[Investor ID],INVESTORS_LIST[[#This Row],[INVESTOR CODE]],LS[B/S],"S"))</f>
        <v>1927807</v>
      </c>
      <c r="J268" s="48">
        <f>IF(INVESTORS_LIST[[#This Row],[LS_TOTAL CURRENT UNITS]]=0,0,INVESTORS_LIST[[#This Row],[LS_TOTAL CURRENT UNITS]]*INVESTORS_LIST[[#This Row],[LS_AVERAGE COST]])</f>
        <v>0</v>
      </c>
      <c r="K268" s="49">
        <f>IF(INVESTORS_LIST[[#This Row],[LS_TOTAL UNITS SOLD]]=0,0,SUMIFS(LS[Realized Gain],LS[Investor ID],INVESTORS_LIST[[#This Row],[INVESTOR CODE]],LS[B/S],"S"))</f>
        <v>112517.50000000003</v>
      </c>
      <c r="L268" s="47">
        <f>SUMIFS(SIP[Unit],SIP[Investor ID],INVESTORS_LIST[[#This Row],[INVESTOR CODE]],SIP[B/S],"B")</f>
        <v>0</v>
      </c>
      <c r="M268" s="47">
        <f>-SUMIFS(SIP[Unit],SIP[Investor ID],INVESTORS_LIST[[#This Row],[INVESTOR CODE]],SIP[B/S],"S")</f>
        <v>0</v>
      </c>
      <c r="N268" s="50">
        <f>IF(INVESTORS_LIST[[#This Row],[SIP_TOTAL UNITS BUY]]=0,0,INVESTORS_LIST[[#This Row],[SIP_TOTAL UNITS BUY]]-INVESTORS_LIST[[#This Row],[SIP_TOTAL UNITS SOLD]])</f>
        <v>0</v>
      </c>
      <c r="O268" s="49">
        <f>IF(INVESTORS_LIST[[#This Row],[SIP_TOTAL UNITS BUY]]=0,0,SUMIFS(SIP[Amount],SIP[Investor ID],INVESTORS_LIST[[#This Row],[INVESTOR CODE]],SIP[B/S],"B"))</f>
        <v>0</v>
      </c>
      <c r="P268" s="49">
        <f>IF(INVESTORS_LIST[[#This Row],[SIP_TOTAL UNITS SOLD]]=0,0,SUMIFS(SIP[Cost of Units Sold],SIP[Investor ID],INVESTORS_LIST[[#This Row],[INVESTOR CODE]],SIP[B/S],"S"))</f>
        <v>0</v>
      </c>
      <c r="Q268" s="48">
        <f>IF(INVESTORS_LIST[[#This Row],[SIP_TOTAL CURRENT UNITS]]=0,0,INVESTORS_LIST[[#This Row],[SIP_TOTAL CURRENT UNITS]]*INVESTORS_LIST[[#This Row],[SIP_AVERAGE COST]])</f>
        <v>0</v>
      </c>
      <c r="R268" s="48">
        <f>IF(INVESTORS_LIST[[#This Row],[SIP_TOTAL UNITS SOLD]]=0,0,SUMIFS(SIP[Realized Gain],SIP[Investor ID],INVESTORS_LIST[[#This Row],[INVESTOR CODE]],SIP[B/S],"S"))</f>
        <v>0</v>
      </c>
      <c r="S268" s="50">
        <f>INVESTORS_LIST[[#This Row],[LS_TOTAL UNITS BUY]]+INVESTORS_LIST[[#This Row],[SIP_TOTAL UNITS BUY]]</f>
        <v>159200</v>
      </c>
      <c r="T268" s="50">
        <f>INVESTORS_LIST[[#This Row],[LS_TOTAL UNITS SOLD]]+INVESTORS_LIST[[#This Row],[SIP_TOTAL UNITS SOLD]]</f>
        <v>159200</v>
      </c>
      <c r="U268" s="50"/>
      <c r="V268" s="50">
        <f>SUMIFS(LS[BO UNIT TRANSFER],LS[Investor ID],INVESTORS_LIST[[#This Row],[INVESTOR CODE]],LS[B/S],"B")</f>
        <v>0</v>
      </c>
      <c r="W268" s="50">
        <f>SUMIFS(SIP[BO UNIT TRANSFER],SIP[Investor ID],INVESTORS_LIST[[#This Row],[INVESTOR CODE]],SIP[B/S],"B")</f>
        <v>0</v>
      </c>
      <c r="X268" s="50">
        <f>SUMIFS(LS[BO UNIT TRANSFER],LS[Investor ID],INVESTORS_LIST[[#This Row],[INVESTOR CODE]],LS[B/S],"S")</f>
        <v>0</v>
      </c>
      <c r="Y268" s="50">
        <f>SUMIFS(SIP[BO UNIT TRANSFER],SIP[Investor ID],INVESTORS_LIST[[#This Row],[INVESTOR CODE]],SIP[B/S],"S")</f>
        <v>0</v>
      </c>
      <c r="Z268" s="106">
        <f>SUM(INVESTORS_LIST[[#This Row],[BO OPENING BALANCE]:[BO SIP UNITS REPURCHASE]])</f>
        <v>0</v>
      </c>
      <c r="AA268" s="107">
        <f>INVESTORS_LIST[[#This Row],[TOTAL UNITS BUY]]-INVESTORS_LIST[[#This Row],[TOTAL UNITS SOLD]]</f>
        <v>0</v>
      </c>
      <c r="AB268" s="107">
        <f>INVESTORS_LIST[[#This Row],[TOTAL CURRENT UNITS]]-INVESTORS_LIST[[#This Row],[BO UNITS HOLD]]</f>
        <v>0</v>
      </c>
      <c r="AC268" s="201" t="e">
        <f>INDEX([3]!Table_1[BO ID],MATCH(INVESTORS_LIST[[#This Row],[INVESTOR CODE]],[3]!Table_1[INVESTOR CODE],0))</f>
        <v>#REF!</v>
      </c>
      <c r="AD268" s="201" t="e">
        <f>INDEX([3]!Table_1[Brokerage Name2],MATCH(INVESTORS_LIST[[#This Row],[INVESTOR CODE]],[3]!Table_1[INVESTOR CODE],0))</f>
        <v>#REF!</v>
      </c>
      <c r="AE268" s="201" t="e">
        <f>MID(INVESTORS_LIST[[#This Row],[BO ID]],4,5)</f>
        <v>#REF!</v>
      </c>
      <c r="AF268" s="201" t="e">
        <f>MID(INVESTORS_LIST[[#This Row],[BO ID]],2,7)</f>
        <v>#REF!</v>
      </c>
      <c r="AG268" s="201" t="e">
        <f>MID(INVESTORS_LIST[[#This Row],[BO ID]],9,7)</f>
        <v>#REF!</v>
      </c>
      <c r="AH268" s="201" t="e">
        <f>RIGHT(INVESTORS_LIST[[#This Row],[BO ID]],1)</f>
        <v>#REF!</v>
      </c>
      <c r="AI268" s="50">
        <f>INVESTORS_LIST[[#This Row],[LS_TOTAL COST VALUE OF CURRENT UNITS]]+INVESTORS_LIST[[#This Row],[SIP_TOTAL COST VALUE OF CURRENT UNITS]]</f>
        <v>0</v>
      </c>
      <c r="AJ268" s="109">
        <f>IF(INVESTORS_LIST[[#This Row],[TOTAL CURRENT UNITS]]=0,0,INVESTORS_LIST[[#This Row],[LS_TOTAL CURRENT UNITS]]/INVESTORS_LIST[[#This Row],[TOTAL CURRENT UNITS]])</f>
        <v>0</v>
      </c>
      <c r="AK268" s="109">
        <f>IF(INVESTORS_LIST[[#This Row],[TOTAL CURRENT UNITS]]=0,0,INVESTORS_LIST[[#This Row],[SIP_TOTAL CURRENT UNITS]]/INVESTORS_LIST[[#This Row],[TOTAL CURRENT UNITS]])</f>
        <v>0</v>
      </c>
      <c r="AL268" s="49" cm="1">
        <f t="array" ref="AL2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8" s="49" cm="1">
        <f t="array" ref="AM2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8" s="105">
        <f t="shared" si="5"/>
        <v>14.224</v>
      </c>
      <c r="AP268" s="112">
        <f>IF(INVESTORS_LIST[[#This Row],[TOTAL CURRENT UNITS]]=0,0,INVESTORS_LIST[[#This Row],[TOTAL CURRENT UNITS]]*INVESTORS_LIST[[#This Row],[NAV]])</f>
        <v>0</v>
      </c>
      <c r="AQ268" s="49">
        <f>IF(INVESTORS_LIST[[#This Row],[LS_TOTAL CURRENT UNITS]]=0,0,INVESTORS_LIST[[#This Row],[LS_TOTAL CURRENT UNITS]]*INVESTORS_LIST[[#This Row],[NAV]])</f>
        <v>0</v>
      </c>
      <c r="AR268" s="48">
        <f>IF(INVESTORS_LIST[[#This Row],[SIP_TOTAL CURRENT UNITS]]=0,0,INVESTORS_LIST[[#This Row],[SIP_TOTAL CURRENT UNITS]]*INVESTORS_LIST[[#This Row],[NAV]])</f>
        <v>0</v>
      </c>
      <c r="AS268" s="50">
        <f>INVESTORS_LIST[[#This Row],[TOTAL CURRENT UNITS]]</f>
        <v>0</v>
      </c>
      <c r="AT268" s="48">
        <f>IF(INVESTORS_LIST[[#This Row],[TOTAL SELLABLE UNITS]]=0,0,INVESTORS_LIST[[#This Row],[TOTAL SELLABLE UNITS]]*INVESTORS_LIST[[#This Row],[NAV]])</f>
        <v>0</v>
      </c>
      <c r="AU268" s="48">
        <f>INVESTORS_LIST[[#This Row],[LS_TOTAL REALIZED GAIN]]+INVESTORS_LIST[[#This Row],[SIP_TOTAL REALIZED GAIN]]</f>
        <v>112517.50000000003</v>
      </c>
      <c r="AV268" s="48">
        <f>INVESTORS_LIST[[#This Row],[TOTAL MARKET VALUE]]-INVESTORS_LIST[[#This Row],[TOTAL COST VALUE OF CURRENT INVESTMENT]]</f>
        <v>0</v>
      </c>
      <c r="AW268" s="108">
        <f>IFERROR(INVESTORS_LIST[[#This Row],[TOTAL CURRENT UNITS]]/SUM(INVESTORS_LIST[TOTAL CURRENT UNITS]),0)</f>
        <v>0</v>
      </c>
    </row>
    <row r="269" spans="1:49" hidden="1">
      <c r="A269" s="262" t="s">
        <v>586</v>
      </c>
      <c r="B269" s="97" t="s">
        <v>587</v>
      </c>
      <c r="C269" t="s">
        <v>67</v>
      </c>
      <c r="D269" s="75" t="s">
        <v>45</v>
      </c>
      <c r="E269" s="47">
        <f>SUMIFS(LS[Unit],LS[Investor ID],INVESTORS_LIST[[#This Row],[INVESTOR CODE]],LS[B/S],"B")</f>
        <v>29314</v>
      </c>
      <c r="F269" s="47">
        <f>-SUMIFS(LS[Unit],LS[Investor ID],INVESTORS_LIST[[#This Row],[INVESTOR CODE]],LS[B/S],"S")</f>
        <v>29314</v>
      </c>
      <c r="G269" s="47">
        <f>IF(INVESTORS_LIST[[#This Row],[LS_TOTAL UNITS BUY]]=0,0,INVESTORS_LIST[[#This Row],[LS_TOTAL UNITS BUY]]-INVESTORS_LIST[[#This Row],[LS_TOTAL UNITS SOLD]])</f>
        <v>0</v>
      </c>
      <c r="H269" s="49">
        <f>IF(INVESTORS_LIST[[#This Row],[LS_TOTAL UNITS BUY]]=0,0,SUMIFS(LS[Amount],LS[Investor ID],INVESTORS_LIST[[#This Row],[INVESTOR CODE]],LS[B/S],"B"))</f>
        <v>300000</v>
      </c>
      <c r="I269" s="48">
        <f>IF(INVESTORS_LIST[[#This Row],[LS_TOTAL UNITS SOLD]]=0,0,SUMIFS(LS[Cost of Units Sold],LS[Investor ID],INVESTORS_LIST[[#This Row],[INVESTOR CODE]],LS[B/S],"S"))</f>
        <v>300000</v>
      </c>
      <c r="J269" s="48">
        <f>IF(INVESTORS_LIST[[#This Row],[LS_TOTAL CURRENT UNITS]]=0,0,INVESTORS_LIST[[#This Row],[LS_TOTAL CURRENT UNITS]]*INVESTORS_LIST[[#This Row],[LS_AVERAGE COST]])</f>
        <v>0</v>
      </c>
      <c r="K269" s="49">
        <f>IF(INVESTORS_LIST[[#This Row],[LS_TOTAL UNITS SOLD]]=0,0,SUMIFS(LS[Realized Gain],LS[Investor ID],INVESTORS_LIST[[#This Row],[INVESTOR CODE]],LS[B/S],"S"))</f>
        <v>9409.2700000000459</v>
      </c>
      <c r="L269" s="47">
        <f>SUMIFS(SIP[Unit],SIP[Investor ID],INVESTORS_LIST[[#This Row],[INVESTOR CODE]],SIP[B/S],"B")</f>
        <v>0</v>
      </c>
      <c r="M269" s="47">
        <f>-SUMIFS(SIP[Unit],SIP[Investor ID],INVESTORS_LIST[[#This Row],[INVESTOR CODE]],SIP[B/S],"S")</f>
        <v>0</v>
      </c>
      <c r="N269" s="50">
        <f>IF(INVESTORS_LIST[[#This Row],[SIP_TOTAL UNITS BUY]]=0,0,INVESTORS_LIST[[#This Row],[SIP_TOTAL UNITS BUY]]-INVESTORS_LIST[[#This Row],[SIP_TOTAL UNITS SOLD]])</f>
        <v>0</v>
      </c>
      <c r="O269" s="49">
        <f>IF(INVESTORS_LIST[[#This Row],[SIP_TOTAL UNITS BUY]]=0,0,SUMIFS(SIP[Amount],SIP[Investor ID],INVESTORS_LIST[[#This Row],[INVESTOR CODE]],SIP[B/S],"B"))</f>
        <v>0</v>
      </c>
      <c r="P269" s="49">
        <f>IF(INVESTORS_LIST[[#This Row],[SIP_TOTAL UNITS SOLD]]=0,0,SUMIFS(SIP[Cost of Units Sold],SIP[Investor ID],INVESTORS_LIST[[#This Row],[INVESTOR CODE]],SIP[B/S],"S"))</f>
        <v>0</v>
      </c>
      <c r="Q269" s="48">
        <f>IF(INVESTORS_LIST[[#This Row],[SIP_TOTAL CURRENT UNITS]]=0,0,INVESTORS_LIST[[#This Row],[SIP_TOTAL CURRENT UNITS]]*INVESTORS_LIST[[#This Row],[SIP_AVERAGE COST]])</f>
        <v>0</v>
      </c>
      <c r="R269" s="48">
        <f>IF(INVESTORS_LIST[[#This Row],[SIP_TOTAL UNITS SOLD]]=0,0,SUMIFS(SIP[Realized Gain],SIP[Investor ID],INVESTORS_LIST[[#This Row],[INVESTOR CODE]],SIP[B/S],"S"))</f>
        <v>0</v>
      </c>
      <c r="S269" s="50">
        <f>INVESTORS_LIST[[#This Row],[LS_TOTAL UNITS BUY]]+INVESTORS_LIST[[#This Row],[SIP_TOTAL UNITS BUY]]</f>
        <v>29314</v>
      </c>
      <c r="T269" s="50">
        <f>INVESTORS_LIST[[#This Row],[LS_TOTAL UNITS SOLD]]+INVESTORS_LIST[[#This Row],[SIP_TOTAL UNITS SOLD]]</f>
        <v>29314</v>
      </c>
      <c r="U269" s="50"/>
      <c r="V269" s="50">
        <f>SUMIFS(LS[BO UNIT TRANSFER],LS[Investor ID],INVESTORS_LIST[[#This Row],[INVESTOR CODE]],LS[B/S],"B")</f>
        <v>0</v>
      </c>
      <c r="W269" s="50">
        <f>SUMIFS(SIP[BO UNIT TRANSFER],SIP[Investor ID],INVESTORS_LIST[[#This Row],[INVESTOR CODE]],SIP[B/S],"B")</f>
        <v>0</v>
      </c>
      <c r="X269" s="50">
        <f>SUMIFS(LS[BO UNIT TRANSFER],LS[Investor ID],INVESTORS_LIST[[#This Row],[INVESTOR CODE]],LS[B/S],"S")</f>
        <v>0</v>
      </c>
      <c r="Y269" s="50">
        <f>SUMIFS(SIP[BO UNIT TRANSFER],SIP[Investor ID],INVESTORS_LIST[[#This Row],[INVESTOR CODE]],SIP[B/S],"S")</f>
        <v>0</v>
      </c>
      <c r="Z269" s="106">
        <f>SUM(INVESTORS_LIST[[#This Row],[BO OPENING BALANCE]:[BO SIP UNITS REPURCHASE]])</f>
        <v>0</v>
      </c>
      <c r="AA269" s="107">
        <f>INVESTORS_LIST[[#This Row],[TOTAL UNITS BUY]]-INVESTORS_LIST[[#This Row],[TOTAL UNITS SOLD]]</f>
        <v>0</v>
      </c>
      <c r="AB269" s="107">
        <f>INVESTORS_LIST[[#This Row],[TOTAL CURRENT UNITS]]-INVESTORS_LIST[[#This Row],[BO UNITS HOLD]]</f>
        <v>0</v>
      </c>
      <c r="AC269" s="201" t="e">
        <f>INDEX([3]!Table_1[BO ID],MATCH(INVESTORS_LIST[[#This Row],[INVESTOR CODE]],[3]!Table_1[INVESTOR CODE],0))</f>
        <v>#REF!</v>
      </c>
      <c r="AD269" s="201" t="e">
        <f>INDEX([3]!Table_1[Brokerage Name2],MATCH(INVESTORS_LIST[[#This Row],[INVESTOR CODE]],[3]!Table_1[INVESTOR CODE],0))</f>
        <v>#REF!</v>
      </c>
      <c r="AE269" s="201" t="e">
        <f>MID(INVESTORS_LIST[[#This Row],[BO ID]],4,5)</f>
        <v>#REF!</v>
      </c>
      <c r="AF269" s="201" t="e">
        <f>MID(INVESTORS_LIST[[#This Row],[BO ID]],2,7)</f>
        <v>#REF!</v>
      </c>
      <c r="AG269" s="201" t="e">
        <f>MID(INVESTORS_LIST[[#This Row],[BO ID]],9,7)</f>
        <v>#REF!</v>
      </c>
      <c r="AH269" s="201" t="e">
        <f>RIGHT(INVESTORS_LIST[[#This Row],[BO ID]],1)</f>
        <v>#REF!</v>
      </c>
      <c r="AI269" s="50">
        <f>INVESTORS_LIST[[#This Row],[LS_TOTAL COST VALUE OF CURRENT UNITS]]+INVESTORS_LIST[[#This Row],[SIP_TOTAL COST VALUE OF CURRENT UNITS]]</f>
        <v>0</v>
      </c>
      <c r="AJ269" s="109">
        <f>IF(INVESTORS_LIST[[#This Row],[TOTAL CURRENT UNITS]]=0,0,INVESTORS_LIST[[#This Row],[LS_TOTAL CURRENT UNITS]]/INVESTORS_LIST[[#This Row],[TOTAL CURRENT UNITS]])</f>
        <v>0</v>
      </c>
      <c r="AK269" s="109">
        <f>IF(INVESTORS_LIST[[#This Row],[TOTAL CURRENT UNITS]]=0,0,INVESTORS_LIST[[#This Row],[SIP_TOTAL CURRENT UNITS]]/INVESTORS_LIST[[#This Row],[TOTAL CURRENT UNITS]])</f>
        <v>0</v>
      </c>
      <c r="AL269" s="49" cm="1">
        <f t="array" ref="AL2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69" s="49" cm="1">
        <f t="array" ref="AM2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6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69" s="105">
        <f t="shared" si="5"/>
        <v>14.224</v>
      </c>
      <c r="AP269" s="112">
        <f>IF(INVESTORS_LIST[[#This Row],[TOTAL CURRENT UNITS]]=0,0,INVESTORS_LIST[[#This Row],[TOTAL CURRENT UNITS]]*INVESTORS_LIST[[#This Row],[NAV]])</f>
        <v>0</v>
      </c>
      <c r="AQ269" s="49">
        <f>IF(INVESTORS_LIST[[#This Row],[LS_TOTAL CURRENT UNITS]]=0,0,INVESTORS_LIST[[#This Row],[LS_TOTAL CURRENT UNITS]]*INVESTORS_LIST[[#This Row],[NAV]])</f>
        <v>0</v>
      </c>
      <c r="AR269" s="48">
        <f>IF(INVESTORS_LIST[[#This Row],[SIP_TOTAL CURRENT UNITS]]=0,0,INVESTORS_LIST[[#This Row],[SIP_TOTAL CURRENT UNITS]]*INVESTORS_LIST[[#This Row],[NAV]])</f>
        <v>0</v>
      </c>
      <c r="AS269" s="50">
        <f>INVESTORS_LIST[[#This Row],[TOTAL CURRENT UNITS]]</f>
        <v>0</v>
      </c>
      <c r="AT269" s="48">
        <f>IF(INVESTORS_LIST[[#This Row],[TOTAL SELLABLE UNITS]]=0,0,INVESTORS_LIST[[#This Row],[TOTAL SELLABLE UNITS]]*INVESTORS_LIST[[#This Row],[NAV]])</f>
        <v>0</v>
      </c>
      <c r="AU269" s="48">
        <f>INVESTORS_LIST[[#This Row],[LS_TOTAL REALIZED GAIN]]+INVESTORS_LIST[[#This Row],[SIP_TOTAL REALIZED GAIN]]</f>
        <v>9409.2700000000459</v>
      </c>
      <c r="AV269" s="48">
        <f>INVESTORS_LIST[[#This Row],[TOTAL MARKET VALUE]]-INVESTORS_LIST[[#This Row],[TOTAL COST VALUE OF CURRENT INVESTMENT]]</f>
        <v>0</v>
      </c>
      <c r="AW269" s="108">
        <f>IFERROR(INVESTORS_LIST[[#This Row],[TOTAL CURRENT UNITS]]/SUM(INVESTORS_LIST[TOTAL CURRENT UNITS]),0)</f>
        <v>0</v>
      </c>
    </row>
    <row r="270" spans="1:49" hidden="1">
      <c r="A270" s="262" t="s">
        <v>588</v>
      </c>
      <c r="B270" s="97" t="s">
        <v>589</v>
      </c>
      <c r="C270" t="s">
        <v>67</v>
      </c>
      <c r="D270" s="75" t="s">
        <v>45</v>
      </c>
      <c r="E270" s="47">
        <f>SUMIFS(LS[Unit],LS[Investor ID],INVESTORS_LIST[[#This Row],[INVESTOR CODE]],LS[B/S],"B")</f>
        <v>48857</v>
      </c>
      <c r="F270" s="47">
        <f>-SUMIFS(LS[Unit],LS[Investor ID],INVESTORS_LIST[[#This Row],[INVESTOR CODE]],LS[B/S],"S")</f>
        <v>48857</v>
      </c>
      <c r="G270" s="47">
        <f>IF(INVESTORS_LIST[[#This Row],[LS_TOTAL UNITS BUY]]=0,0,INVESTORS_LIST[[#This Row],[LS_TOTAL UNITS BUY]]-INVESTORS_LIST[[#This Row],[LS_TOTAL UNITS SOLD]])</f>
        <v>0</v>
      </c>
      <c r="H270" s="49">
        <f>IF(INVESTORS_LIST[[#This Row],[LS_TOTAL UNITS BUY]]=0,0,SUMIFS(LS[Amount],LS[Investor ID],INVESTORS_LIST[[#This Row],[INVESTOR CODE]],LS[B/S],"B"))</f>
        <v>500000</v>
      </c>
      <c r="I270" s="48">
        <f>IF(INVESTORS_LIST[[#This Row],[LS_TOTAL UNITS SOLD]]=0,0,SUMIFS(LS[Cost of Units Sold],LS[Investor ID],INVESTORS_LIST[[#This Row],[INVESTOR CODE]],LS[B/S],"S"))</f>
        <v>500000</v>
      </c>
      <c r="J270" s="48">
        <f>IF(INVESTORS_LIST[[#This Row],[LS_TOTAL CURRENT UNITS]]=0,0,INVESTORS_LIST[[#This Row],[LS_TOTAL CURRENT UNITS]]*INVESTORS_LIST[[#This Row],[LS_AVERAGE COST]])</f>
        <v>0</v>
      </c>
      <c r="K270" s="49">
        <f>IF(INVESTORS_LIST[[#This Row],[LS_TOTAL UNITS SOLD]]=0,0,SUMIFS(LS[Realized Gain],LS[Investor ID],INVESTORS_LIST[[#This Row],[INVESTOR CODE]],LS[B/S],"S"))</f>
        <v>0</v>
      </c>
      <c r="L270" s="47">
        <f>SUMIFS(SIP[Unit],SIP[Investor ID],INVESTORS_LIST[[#This Row],[INVESTOR CODE]],SIP[B/S],"B")</f>
        <v>0</v>
      </c>
      <c r="M270" s="47">
        <f>-SUMIFS(SIP[Unit],SIP[Investor ID],INVESTORS_LIST[[#This Row],[INVESTOR CODE]],SIP[B/S],"S")</f>
        <v>0</v>
      </c>
      <c r="N270" s="50">
        <f>IF(INVESTORS_LIST[[#This Row],[SIP_TOTAL UNITS BUY]]=0,0,INVESTORS_LIST[[#This Row],[SIP_TOTAL UNITS BUY]]-INVESTORS_LIST[[#This Row],[SIP_TOTAL UNITS SOLD]])</f>
        <v>0</v>
      </c>
      <c r="O270" s="49">
        <f>IF(INVESTORS_LIST[[#This Row],[SIP_TOTAL UNITS BUY]]=0,0,SUMIFS(SIP[Amount],SIP[Investor ID],INVESTORS_LIST[[#This Row],[INVESTOR CODE]],SIP[B/S],"B"))</f>
        <v>0</v>
      </c>
      <c r="P270" s="49">
        <f>IF(INVESTORS_LIST[[#This Row],[SIP_TOTAL UNITS SOLD]]=0,0,SUMIFS(SIP[Cost of Units Sold],SIP[Investor ID],INVESTORS_LIST[[#This Row],[INVESTOR CODE]],SIP[B/S],"S"))</f>
        <v>0</v>
      </c>
      <c r="Q270" s="48">
        <f>IF(INVESTORS_LIST[[#This Row],[SIP_TOTAL CURRENT UNITS]]=0,0,INVESTORS_LIST[[#This Row],[SIP_TOTAL CURRENT UNITS]]*INVESTORS_LIST[[#This Row],[SIP_AVERAGE COST]])</f>
        <v>0</v>
      </c>
      <c r="R270" s="48">
        <f>IF(INVESTORS_LIST[[#This Row],[SIP_TOTAL UNITS SOLD]]=0,0,SUMIFS(SIP[Realized Gain],SIP[Investor ID],INVESTORS_LIST[[#This Row],[INVESTOR CODE]],SIP[B/S],"S"))</f>
        <v>0</v>
      </c>
      <c r="S270" s="50">
        <f>INVESTORS_LIST[[#This Row],[LS_TOTAL UNITS BUY]]+INVESTORS_LIST[[#This Row],[SIP_TOTAL UNITS BUY]]</f>
        <v>48857</v>
      </c>
      <c r="T270" s="50">
        <f>INVESTORS_LIST[[#This Row],[LS_TOTAL UNITS SOLD]]+INVESTORS_LIST[[#This Row],[SIP_TOTAL UNITS SOLD]]</f>
        <v>48857</v>
      </c>
      <c r="U270" s="50"/>
      <c r="V270" s="50">
        <f>SUMIFS(LS[BO UNIT TRANSFER],LS[Investor ID],INVESTORS_LIST[[#This Row],[INVESTOR CODE]],LS[B/S],"B")</f>
        <v>0</v>
      </c>
      <c r="W270" s="50">
        <f>SUMIFS(SIP[BO UNIT TRANSFER],SIP[Investor ID],INVESTORS_LIST[[#This Row],[INVESTOR CODE]],SIP[B/S],"B")</f>
        <v>0</v>
      </c>
      <c r="X270" s="50">
        <f>SUMIFS(LS[BO UNIT TRANSFER],LS[Investor ID],INVESTORS_LIST[[#This Row],[INVESTOR CODE]],LS[B/S],"S")</f>
        <v>0</v>
      </c>
      <c r="Y270" s="50">
        <f>SUMIFS(SIP[BO UNIT TRANSFER],SIP[Investor ID],INVESTORS_LIST[[#This Row],[INVESTOR CODE]],SIP[B/S],"S")</f>
        <v>0</v>
      </c>
      <c r="Z270" s="106">
        <f>SUM(INVESTORS_LIST[[#This Row],[BO OPENING BALANCE]:[BO SIP UNITS REPURCHASE]])</f>
        <v>0</v>
      </c>
      <c r="AA270" s="107">
        <f>INVESTORS_LIST[[#This Row],[TOTAL UNITS BUY]]-INVESTORS_LIST[[#This Row],[TOTAL UNITS SOLD]]</f>
        <v>0</v>
      </c>
      <c r="AB270" s="107">
        <f>INVESTORS_LIST[[#This Row],[TOTAL CURRENT UNITS]]-INVESTORS_LIST[[#This Row],[BO UNITS HOLD]]</f>
        <v>0</v>
      </c>
      <c r="AC270" s="201" t="e">
        <f>INDEX([3]!Table_1[BO ID],MATCH(INVESTORS_LIST[[#This Row],[INVESTOR CODE]],[3]!Table_1[INVESTOR CODE],0))</f>
        <v>#REF!</v>
      </c>
      <c r="AD270" s="201" t="e">
        <f>INDEX([3]!Table_1[Brokerage Name2],MATCH(INVESTORS_LIST[[#This Row],[INVESTOR CODE]],[3]!Table_1[INVESTOR CODE],0))</f>
        <v>#REF!</v>
      </c>
      <c r="AE270" s="201" t="e">
        <f>MID(INVESTORS_LIST[[#This Row],[BO ID]],4,5)</f>
        <v>#REF!</v>
      </c>
      <c r="AF270" s="201" t="e">
        <f>MID(INVESTORS_LIST[[#This Row],[BO ID]],2,7)</f>
        <v>#REF!</v>
      </c>
      <c r="AG270" s="201" t="e">
        <f>MID(INVESTORS_LIST[[#This Row],[BO ID]],9,7)</f>
        <v>#REF!</v>
      </c>
      <c r="AH270" s="201" t="e">
        <f>RIGHT(INVESTORS_LIST[[#This Row],[BO ID]],1)</f>
        <v>#REF!</v>
      </c>
      <c r="AI270" s="50">
        <f>INVESTORS_LIST[[#This Row],[LS_TOTAL COST VALUE OF CURRENT UNITS]]+INVESTORS_LIST[[#This Row],[SIP_TOTAL COST VALUE OF CURRENT UNITS]]</f>
        <v>0</v>
      </c>
      <c r="AJ270" s="109">
        <f>IF(INVESTORS_LIST[[#This Row],[TOTAL CURRENT UNITS]]=0,0,INVESTORS_LIST[[#This Row],[LS_TOTAL CURRENT UNITS]]/INVESTORS_LIST[[#This Row],[TOTAL CURRENT UNITS]])</f>
        <v>0</v>
      </c>
      <c r="AK270" s="109">
        <f>IF(INVESTORS_LIST[[#This Row],[TOTAL CURRENT UNITS]]=0,0,INVESTORS_LIST[[#This Row],[SIP_TOTAL CURRENT UNITS]]/INVESTORS_LIST[[#This Row],[TOTAL CURRENT UNITS]])</f>
        <v>0</v>
      </c>
      <c r="AL270" s="49" cm="1">
        <f t="array" ref="AL2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0" s="49" cm="1">
        <f t="array" ref="AM2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0" s="105">
        <f t="shared" si="5"/>
        <v>14.224</v>
      </c>
      <c r="AP270" s="112">
        <f>IF(INVESTORS_LIST[[#This Row],[TOTAL CURRENT UNITS]]=0,0,INVESTORS_LIST[[#This Row],[TOTAL CURRENT UNITS]]*INVESTORS_LIST[[#This Row],[NAV]])</f>
        <v>0</v>
      </c>
      <c r="AQ270" s="49">
        <f>IF(INVESTORS_LIST[[#This Row],[LS_TOTAL CURRENT UNITS]]=0,0,INVESTORS_LIST[[#This Row],[LS_TOTAL CURRENT UNITS]]*INVESTORS_LIST[[#This Row],[NAV]])</f>
        <v>0</v>
      </c>
      <c r="AR270" s="48">
        <f>IF(INVESTORS_LIST[[#This Row],[SIP_TOTAL CURRENT UNITS]]=0,0,INVESTORS_LIST[[#This Row],[SIP_TOTAL CURRENT UNITS]]*INVESTORS_LIST[[#This Row],[NAV]])</f>
        <v>0</v>
      </c>
      <c r="AS270" s="50">
        <f>INVESTORS_LIST[[#This Row],[TOTAL CURRENT UNITS]]</f>
        <v>0</v>
      </c>
      <c r="AT270" s="48">
        <f>IF(INVESTORS_LIST[[#This Row],[TOTAL SELLABLE UNITS]]=0,0,INVESTORS_LIST[[#This Row],[TOTAL SELLABLE UNITS]]*INVESTORS_LIST[[#This Row],[NAV]])</f>
        <v>0</v>
      </c>
      <c r="AU270" s="48">
        <f>INVESTORS_LIST[[#This Row],[LS_TOTAL REALIZED GAIN]]+INVESTORS_LIST[[#This Row],[SIP_TOTAL REALIZED GAIN]]</f>
        <v>0</v>
      </c>
      <c r="AV270" s="48">
        <f>INVESTORS_LIST[[#This Row],[TOTAL MARKET VALUE]]-INVESTORS_LIST[[#This Row],[TOTAL COST VALUE OF CURRENT INVESTMENT]]</f>
        <v>0</v>
      </c>
      <c r="AW270" s="48">
        <f>IFERROR(INVESTORS_LIST[[#This Row],[TOTAL CURRENT UNITS]]/SUM(INVESTORS_LIST[TOTAL CURRENT UNITS]),0)</f>
        <v>0</v>
      </c>
    </row>
    <row r="271" spans="1:49" hidden="1">
      <c r="A271" s="262" t="s">
        <v>590</v>
      </c>
      <c r="B271" s="97" t="s">
        <v>591</v>
      </c>
      <c r="C271" t="s">
        <v>44</v>
      </c>
      <c r="D271" s="75" t="s">
        <v>45</v>
      </c>
      <c r="E271" s="47">
        <f>SUMIFS(LS[Unit],LS[Investor ID],INVESTORS_LIST[[#This Row],[INVESTOR CODE]],LS[B/S],"B")</f>
        <v>0</v>
      </c>
      <c r="F271" s="47">
        <f>-SUMIFS(LS[Unit],LS[Investor ID],INVESTORS_LIST[[#This Row],[INVESTOR CODE]],LS[B/S],"S")</f>
        <v>0</v>
      </c>
      <c r="G271" s="47">
        <f>IF(INVESTORS_LIST[[#This Row],[LS_TOTAL UNITS BUY]]=0,0,INVESTORS_LIST[[#This Row],[LS_TOTAL UNITS BUY]]-INVESTORS_LIST[[#This Row],[LS_TOTAL UNITS SOLD]])</f>
        <v>0</v>
      </c>
      <c r="H271" s="49">
        <f>IF(INVESTORS_LIST[[#This Row],[LS_TOTAL UNITS BUY]]=0,0,SUMIFS(LS[Amount],LS[Investor ID],INVESTORS_LIST[[#This Row],[INVESTOR CODE]],LS[B/S],"B"))</f>
        <v>0</v>
      </c>
      <c r="I271" s="48">
        <f>IF(INVESTORS_LIST[[#This Row],[LS_TOTAL UNITS SOLD]]=0,0,SUMIFS(LS[Cost of Units Sold],LS[Investor ID],INVESTORS_LIST[[#This Row],[INVESTOR CODE]],LS[B/S],"S"))</f>
        <v>0</v>
      </c>
      <c r="J271" s="48">
        <f>IF(INVESTORS_LIST[[#This Row],[LS_TOTAL CURRENT UNITS]]=0,0,INVESTORS_LIST[[#This Row],[LS_TOTAL CURRENT UNITS]]*INVESTORS_LIST[[#This Row],[LS_AVERAGE COST]])</f>
        <v>0</v>
      </c>
      <c r="K271" s="49">
        <f>IF(INVESTORS_LIST[[#This Row],[LS_TOTAL UNITS SOLD]]=0,0,SUMIFS(LS[Realized Gain],LS[Investor ID],INVESTORS_LIST[[#This Row],[INVESTOR CODE]],LS[B/S],"S"))</f>
        <v>0</v>
      </c>
      <c r="L271" s="47">
        <f>SUMIFS(SIP[Unit],SIP[Investor ID],INVESTORS_LIST[[#This Row],[INVESTOR CODE]],SIP[B/S],"B")</f>
        <v>0</v>
      </c>
      <c r="M271" s="47">
        <f>-SUMIFS(SIP[Unit],SIP[Investor ID],INVESTORS_LIST[[#This Row],[INVESTOR CODE]],SIP[B/S],"S")</f>
        <v>0</v>
      </c>
      <c r="N271" s="50">
        <f>IF(INVESTORS_LIST[[#This Row],[SIP_TOTAL UNITS BUY]]=0,0,INVESTORS_LIST[[#This Row],[SIP_TOTAL UNITS BUY]]-INVESTORS_LIST[[#This Row],[SIP_TOTAL UNITS SOLD]])</f>
        <v>0</v>
      </c>
      <c r="O271" s="49">
        <f>IF(INVESTORS_LIST[[#This Row],[SIP_TOTAL UNITS BUY]]=0,0,SUMIFS(SIP[Amount],SIP[Investor ID],INVESTORS_LIST[[#This Row],[INVESTOR CODE]],SIP[B/S],"B"))</f>
        <v>0</v>
      </c>
      <c r="P271" s="49">
        <f>IF(INVESTORS_LIST[[#This Row],[SIP_TOTAL UNITS SOLD]]=0,0,SUMIFS(SIP[Cost of Units Sold],SIP[Investor ID],INVESTORS_LIST[[#This Row],[INVESTOR CODE]],SIP[B/S],"S"))</f>
        <v>0</v>
      </c>
      <c r="Q271" s="48">
        <f>IF(INVESTORS_LIST[[#This Row],[SIP_TOTAL CURRENT UNITS]]=0,0,INVESTORS_LIST[[#This Row],[SIP_TOTAL CURRENT UNITS]]*INVESTORS_LIST[[#This Row],[SIP_AVERAGE COST]])</f>
        <v>0</v>
      </c>
      <c r="R271" s="48">
        <f>IF(INVESTORS_LIST[[#This Row],[SIP_TOTAL UNITS SOLD]]=0,0,SUMIFS(SIP[Realized Gain],SIP[Investor ID],INVESTORS_LIST[[#This Row],[INVESTOR CODE]],SIP[B/S],"S"))</f>
        <v>0</v>
      </c>
      <c r="S271" s="50">
        <f>INVESTORS_LIST[[#This Row],[LS_TOTAL UNITS BUY]]+INVESTORS_LIST[[#This Row],[SIP_TOTAL UNITS BUY]]</f>
        <v>0</v>
      </c>
      <c r="T271" s="50">
        <f>INVESTORS_LIST[[#This Row],[LS_TOTAL UNITS SOLD]]+INVESTORS_LIST[[#This Row],[SIP_TOTAL UNITS SOLD]]</f>
        <v>0</v>
      </c>
      <c r="U271" s="50"/>
      <c r="V271" s="50">
        <f>SUMIFS(LS[BO UNIT TRANSFER],LS[Investor ID],INVESTORS_LIST[[#This Row],[INVESTOR CODE]],LS[B/S],"B")</f>
        <v>0</v>
      </c>
      <c r="W271" s="50">
        <f>SUMIFS(SIP[BO UNIT TRANSFER],SIP[Investor ID],INVESTORS_LIST[[#This Row],[INVESTOR CODE]],SIP[B/S],"B")</f>
        <v>0</v>
      </c>
      <c r="X271" s="50">
        <f>SUMIFS(LS[BO UNIT TRANSFER],LS[Investor ID],INVESTORS_LIST[[#This Row],[INVESTOR CODE]],LS[B/S],"S")</f>
        <v>0</v>
      </c>
      <c r="Y271" s="50">
        <f>SUMIFS(SIP[BO UNIT TRANSFER],SIP[Investor ID],INVESTORS_LIST[[#This Row],[INVESTOR CODE]],SIP[B/S],"S")</f>
        <v>0</v>
      </c>
      <c r="Z271" s="106">
        <f>SUM(INVESTORS_LIST[[#This Row],[BO OPENING BALANCE]:[BO SIP UNITS REPURCHASE]])</f>
        <v>0</v>
      </c>
      <c r="AA271" s="107">
        <f>INVESTORS_LIST[[#This Row],[TOTAL UNITS BUY]]-INVESTORS_LIST[[#This Row],[TOTAL UNITS SOLD]]</f>
        <v>0</v>
      </c>
      <c r="AB271" s="107">
        <f>INVESTORS_LIST[[#This Row],[TOTAL CURRENT UNITS]]-INVESTORS_LIST[[#This Row],[BO UNITS HOLD]]</f>
        <v>0</v>
      </c>
      <c r="AC271" s="201" t="e">
        <f>INDEX([3]!Table_1[BO ID],MATCH(INVESTORS_LIST[[#This Row],[INVESTOR CODE]],[3]!Table_1[INVESTOR CODE],0))</f>
        <v>#REF!</v>
      </c>
      <c r="AD271" s="201" t="e">
        <f>INDEX([3]!Table_1[Brokerage Name2],MATCH(INVESTORS_LIST[[#This Row],[INVESTOR CODE]],[3]!Table_1[INVESTOR CODE],0))</f>
        <v>#REF!</v>
      </c>
      <c r="AE271" s="201" t="e">
        <f>MID(INVESTORS_LIST[[#This Row],[BO ID]],4,5)</f>
        <v>#REF!</v>
      </c>
      <c r="AF271" s="201" t="e">
        <f>MID(INVESTORS_LIST[[#This Row],[BO ID]],2,7)</f>
        <v>#REF!</v>
      </c>
      <c r="AG271" s="201" t="e">
        <f>MID(INVESTORS_LIST[[#This Row],[BO ID]],9,7)</f>
        <v>#REF!</v>
      </c>
      <c r="AH271" s="201" t="e">
        <f>RIGHT(INVESTORS_LIST[[#This Row],[BO ID]],1)</f>
        <v>#REF!</v>
      </c>
      <c r="AI271" s="50">
        <f>INVESTORS_LIST[[#This Row],[LS_TOTAL COST VALUE OF CURRENT UNITS]]+INVESTORS_LIST[[#This Row],[SIP_TOTAL COST VALUE OF CURRENT UNITS]]</f>
        <v>0</v>
      </c>
      <c r="AJ271" s="109">
        <f>IF(INVESTORS_LIST[[#This Row],[TOTAL CURRENT UNITS]]=0,0,INVESTORS_LIST[[#This Row],[LS_TOTAL CURRENT UNITS]]/INVESTORS_LIST[[#This Row],[TOTAL CURRENT UNITS]])</f>
        <v>0</v>
      </c>
      <c r="AK271" s="109">
        <f>IF(INVESTORS_LIST[[#This Row],[TOTAL CURRENT UNITS]]=0,0,INVESTORS_LIST[[#This Row],[SIP_TOTAL CURRENT UNITS]]/INVESTORS_LIST[[#This Row],[TOTAL CURRENT UNITS]])</f>
        <v>0</v>
      </c>
      <c r="AL271" s="49" cm="1">
        <f t="array" ref="AL2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1" s="49" cm="1">
        <f t="array" ref="AM2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1" s="105">
        <f t="shared" si="5"/>
        <v>14.224</v>
      </c>
      <c r="AP271" s="112">
        <f>IF(INVESTORS_LIST[[#This Row],[TOTAL CURRENT UNITS]]=0,0,INVESTORS_LIST[[#This Row],[TOTAL CURRENT UNITS]]*INVESTORS_LIST[[#This Row],[NAV]])</f>
        <v>0</v>
      </c>
      <c r="AQ271" s="49">
        <f>IF(INVESTORS_LIST[[#This Row],[LS_TOTAL CURRENT UNITS]]=0,0,INVESTORS_LIST[[#This Row],[LS_TOTAL CURRENT UNITS]]*INVESTORS_LIST[[#This Row],[NAV]])</f>
        <v>0</v>
      </c>
      <c r="AR271" s="48">
        <f>IF(INVESTORS_LIST[[#This Row],[SIP_TOTAL CURRENT UNITS]]=0,0,INVESTORS_LIST[[#This Row],[SIP_TOTAL CURRENT UNITS]]*INVESTORS_LIST[[#This Row],[NAV]])</f>
        <v>0</v>
      </c>
      <c r="AS271" s="50">
        <f>INVESTORS_LIST[[#This Row],[TOTAL CURRENT UNITS]]</f>
        <v>0</v>
      </c>
      <c r="AT271" s="48">
        <f>IF(INVESTORS_LIST[[#This Row],[TOTAL SELLABLE UNITS]]=0,0,INVESTORS_LIST[[#This Row],[TOTAL SELLABLE UNITS]]*INVESTORS_LIST[[#This Row],[NAV]])</f>
        <v>0</v>
      </c>
      <c r="AU271" s="48">
        <f>INVESTORS_LIST[[#This Row],[LS_TOTAL REALIZED GAIN]]+INVESTORS_LIST[[#This Row],[SIP_TOTAL REALIZED GAIN]]</f>
        <v>0</v>
      </c>
      <c r="AV271" s="48">
        <f>INVESTORS_LIST[[#This Row],[TOTAL MARKET VALUE]]-INVESTORS_LIST[[#This Row],[TOTAL COST VALUE OF CURRENT INVESTMENT]]</f>
        <v>0</v>
      </c>
      <c r="AW271" s="48">
        <f>IFERROR(INVESTORS_LIST[[#This Row],[TOTAL CURRENT UNITS]]/SUM(INVESTORS_LIST[TOTAL CURRENT UNITS]),0)</f>
        <v>0</v>
      </c>
    </row>
    <row r="272" spans="1:49" hidden="1">
      <c r="A272" s="262" t="s">
        <v>592</v>
      </c>
      <c r="B272" s="97" t="s">
        <v>593</v>
      </c>
      <c r="C272" t="s">
        <v>44</v>
      </c>
      <c r="D272" s="75" t="s">
        <v>45</v>
      </c>
      <c r="E272" s="47">
        <f>SUMIFS(LS[Unit],LS[Investor ID],INVESTORS_LIST[[#This Row],[INVESTOR CODE]],LS[B/S],"B")</f>
        <v>0</v>
      </c>
      <c r="F272" s="47">
        <f>-SUMIFS(LS[Unit],LS[Investor ID],INVESTORS_LIST[[#This Row],[INVESTOR CODE]],LS[B/S],"S")</f>
        <v>0</v>
      </c>
      <c r="G272" s="47">
        <f>IF(INVESTORS_LIST[[#This Row],[LS_TOTAL UNITS BUY]]=0,0,INVESTORS_LIST[[#This Row],[LS_TOTAL UNITS BUY]]-INVESTORS_LIST[[#This Row],[LS_TOTAL UNITS SOLD]])</f>
        <v>0</v>
      </c>
      <c r="H272" s="49">
        <f>IF(INVESTORS_LIST[[#This Row],[LS_TOTAL UNITS BUY]]=0,0,SUMIFS(LS[Amount],LS[Investor ID],INVESTORS_LIST[[#This Row],[INVESTOR CODE]],LS[B/S],"B"))</f>
        <v>0</v>
      </c>
      <c r="I272" s="48">
        <f>IF(INVESTORS_LIST[[#This Row],[LS_TOTAL UNITS SOLD]]=0,0,SUMIFS(LS[Cost of Units Sold],LS[Investor ID],INVESTORS_LIST[[#This Row],[INVESTOR CODE]],LS[B/S],"S"))</f>
        <v>0</v>
      </c>
      <c r="J272" s="48">
        <f>IF(INVESTORS_LIST[[#This Row],[LS_TOTAL CURRENT UNITS]]=0,0,INVESTORS_LIST[[#This Row],[LS_TOTAL CURRENT UNITS]]*INVESTORS_LIST[[#This Row],[LS_AVERAGE COST]])</f>
        <v>0</v>
      </c>
      <c r="K272" s="49">
        <f>IF(INVESTORS_LIST[[#This Row],[LS_TOTAL UNITS SOLD]]=0,0,SUMIFS(LS[Realized Gain],LS[Investor ID],INVESTORS_LIST[[#This Row],[INVESTOR CODE]],LS[B/S],"S"))</f>
        <v>0</v>
      </c>
      <c r="L272" s="47">
        <f>SUMIFS(SIP[Unit],SIP[Investor ID],INVESTORS_LIST[[#This Row],[INVESTOR CODE]],SIP[B/S],"B")</f>
        <v>0</v>
      </c>
      <c r="M272" s="47">
        <f>-SUMIFS(SIP[Unit],SIP[Investor ID],INVESTORS_LIST[[#This Row],[INVESTOR CODE]],SIP[B/S],"S")</f>
        <v>0</v>
      </c>
      <c r="N272" s="50">
        <f>IF(INVESTORS_LIST[[#This Row],[SIP_TOTAL UNITS BUY]]=0,0,INVESTORS_LIST[[#This Row],[SIP_TOTAL UNITS BUY]]-INVESTORS_LIST[[#This Row],[SIP_TOTAL UNITS SOLD]])</f>
        <v>0</v>
      </c>
      <c r="O272" s="49">
        <f>IF(INVESTORS_LIST[[#This Row],[SIP_TOTAL UNITS BUY]]=0,0,SUMIFS(SIP[Amount],SIP[Investor ID],INVESTORS_LIST[[#This Row],[INVESTOR CODE]],SIP[B/S],"B"))</f>
        <v>0</v>
      </c>
      <c r="P272" s="49">
        <f>IF(INVESTORS_LIST[[#This Row],[SIP_TOTAL UNITS SOLD]]=0,0,SUMIFS(SIP[Cost of Units Sold],SIP[Investor ID],INVESTORS_LIST[[#This Row],[INVESTOR CODE]],SIP[B/S],"S"))</f>
        <v>0</v>
      </c>
      <c r="Q272" s="48">
        <f>IF(INVESTORS_LIST[[#This Row],[SIP_TOTAL CURRENT UNITS]]=0,0,INVESTORS_LIST[[#This Row],[SIP_TOTAL CURRENT UNITS]]*INVESTORS_LIST[[#This Row],[SIP_AVERAGE COST]])</f>
        <v>0</v>
      </c>
      <c r="R272" s="48">
        <f>IF(INVESTORS_LIST[[#This Row],[SIP_TOTAL UNITS SOLD]]=0,0,SUMIFS(SIP[Realized Gain],SIP[Investor ID],INVESTORS_LIST[[#This Row],[INVESTOR CODE]],SIP[B/S],"S"))</f>
        <v>0</v>
      </c>
      <c r="S272" s="50">
        <f>INVESTORS_LIST[[#This Row],[LS_TOTAL UNITS BUY]]+INVESTORS_LIST[[#This Row],[SIP_TOTAL UNITS BUY]]</f>
        <v>0</v>
      </c>
      <c r="T272" s="50">
        <f>INVESTORS_LIST[[#This Row],[LS_TOTAL UNITS SOLD]]+INVESTORS_LIST[[#This Row],[SIP_TOTAL UNITS SOLD]]</f>
        <v>0</v>
      </c>
      <c r="U272" s="50"/>
      <c r="V272" s="50">
        <f>SUMIFS(LS[BO UNIT TRANSFER],LS[Investor ID],INVESTORS_LIST[[#This Row],[INVESTOR CODE]],LS[B/S],"B")</f>
        <v>0</v>
      </c>
      <c r="W272" s="50">
        <f>SUMIFS(SIP[BO UNIT TRANSFER],SIP[Investor ID],INVESTORS_LIST[[#This Row],[INVESTOR CODE]],SIP[B/S],"B")</f>
        <v>0</v>
      </c>
      <c r="X272" s="50">
        <f>SUMIFS(LS[BO UNIT TRANSFER],LS[Investor ID],INVESTORS_LIST[[#This Row],[INVESTOR CODE]],LS[B/S],"S")</f>
        <v>0</v>
      </c>
      <c r="Y272" s="50">
        <f>SUMIFS(SIP[BO UNIT TRANSFER],SIP[Investor ID],INVESTORS_LIST[[#This Row],[INVESTOR CODE]],SIP[B/S],"S")</f>
        <v>0</v>
      </c>
      <c r="Z272" s="106">
        <f>SUM(INVESTORS_LIST[[#This Row],[BO OPENING BALANCE]:[BO SIP UNITS REPURCHASE]])</f>
        <v>0</v>
      </c>
      <c r="AA272" s="107">
        <f>INVESTORS_LIST[[#This Row],[TOTAL UNITS BUY]]-INVESTORS_LIST[[#This Row],[TOTAL UNITS SOLD]]</f>
        <v>0</v>
      </c>
      <c r="AB272" s="107">
        <f>INVESTORS_LIST[[#This Row],[TOTAL CURRENT UNITS]]-INVESTORS_LIST[[#This Row],[BO UNITS HOLD]]</f>
        <v>0</v>
      </c>
      <c r="AC272" s="201" t="e">
        <f>INDEX([3]!Table_1[BO ID],MATCH(INVESTORS_LIST[[#This Row],[INVESTOR CODE]],[3]!Table_1[INVESTOR CODE],0))</f>
        <v>#REF!</v>
      </c>
      <c r="AD272" s="201" t="e">
        <f>INDEX([3]!Table_1[Brokerage Name2],MATCH(INVESTORS_LIST[[#This Row],[INVESTOR CODE]],[3]!Table_1[INVESTOR CODE],0))</f>
        <v>#REF!</v>
      </c>
      <c r="AE272" s="201" t="e">
        <f>MID(INVESTORS_LIST[[#This Row],[BO ID]],4,5)</f>
        <v>#REF!</v>
      </c>
      <c r="AF272" s="201" t="e">
        <f>MID(INVESTORS_LIST[[#This Row],[BO ID]],2,7)</f>
        <v>#REF!</v>
      </c>
      <c r="AG272" s="201" t="e">
        <f>MID(INVESTORS_LIST[[#This Row],[BO ID]],9,7)</f>
        <v>#REF!</v>
      </c>
      <c r="AH272" s="201" t="e">
        <f>RIGHT(INVESTORS_LIST[[#This Row],[BO ID]],1)</f>
        <v>#REF!</v>
      </c>
      <c r="AI272" s="50">
        <f>INVESTORS_LIST[[#This Row],[LS_TOTAL COST VALUE OF CURRENT UNITS]]+INVESTORS_LIST[[#This Row],[SIP_TOTAL COST VALUE OF CURRENT UNITS]]</f>
        <v>0</v>
      </c>
      <c r="AJ272" s="109">
        <f>IF(INVESTORS_LIST[[#This Row],[TOTAL CURRENT UNITS]]=0,0,INVESTORS_LIST[[#This Row],[LS_TOTAL CURRENT UNITS]]/INVESTORS_LIST[[#This Row],[TOTAL CURRENT UNITS]])</f>
        <v>0</v>
      </c>
      <c r="AK272" s="109">
        <f>IF(INVESTORS_LIST[[#This Row],[TOTAL CURRENT UNITS]]=0,0,INVESTORS_LIST[[#This Row],[SIP_TOTAL CURRENT UNITS]]/INVESTORS_LIST[[#This Row],[TOTAL CURRENT UNITS]])</f>
        <v>0</v>
      </c>
      <c r="AL272" s="49" cm="1">
        <f t="array" ref="AL2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2" s="49" cm="1">
        <f t="array" ref="AM2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2" s="105">
        <f t="shared" si="5"/>
        <v>14.224</v>
      </c>
      <c r="AP272" s="112">
        <f>IF(INVESTORS_LIST[[#This Row],[TOTAL CURRENT UNITS]]=0,0,INVESTORS_LIST[[#This Row],[TOTAL CURRENT UNITS]]*INVESTORS_LIST[[#This Row],[NAV]])</f>
        <v>0</v>
      </c>
      <c r="AQ272" s="49">
        <f>IF(INVESTORS_LIST[[#This Row],[LS_TOTAL CURRENT UNITS]]=0,0,INVESTORS_LIST[[#This Row],[LS_TOTAL CURRENT UNITS]]*INVESTORS_LIST[[#This Row],[NAV]])</f>
        <v>0</v>
      </c>
      <c r="AR272" s="48">
        <f>IF(INVESTORS_LIST[[#This Row],[SIP_TOTAL CURRENT UNITS]]=0,0,INVESTORS_LIST[[#This Row],[SIP_TOTAL CURRENT UNITS]]*INVESTORS_LIST[[#This Row],[NAV]])</f>
        <v>0</v>
      </c>
      <c r="AS272" s="50">
        <f>INVESTORS_LIST[[#This Row],[TOTAL CURRENT UNITS]]</f>
        <v>0</v>
      </c>
      <c r="AT272" s="48">
        <f>IF(INVESTORS_LIST[[#This Row],[TOTAL SELLABLE UNITS]]=0,0,INVESTORS_LIST[[#This Row],[TOTAL SELLABLE UNITS]]*INVESTORS_LIST[[#This Row],[NAV]])</f>
        <v>0</v>
      </c>
      <c r="AU272" s="48">
        <f>INVESTORS_LIST[[#This Row],[LS_TOTAL REALIZED GAIN]]+INVESTORS_LIST[[#This Row],[SIP_TOTAL REALIZED GAIN]]</f>
        <v>0</v>
      </c>
      <c r="AV272" s="48">
        <f>INVESTORS_LIST[[#This Row],[TOTAL MARKET VALUE]]-INVESTORS_LIST[[#This Row],[TOTAL COST VALUE OF CURRENT INVESTMENT]]</f>
        <v>0</v>
      </c>
      <c r="AW272" s="48">
        <f>IFERROR(INVESTORS_LIST[[#This Row],[TOTAL CURRENT UNITS]]/SUM(INVESTORS_LIST[TOTAL CURRENT UNITS]),0)</f>
        <v>0</v>
      </c>
    </row>
    <row r="273" spans="1:49" hidden="1">
      <c r="A273" s="262" t="s">
        <v>594</v>
      </c>
      <c r="B273" s="97" t="s">
        <v>595</v>
      </c>
      <c r="C273" t="s">
        <v>52</v>
      </c>
      <c r="D273" s="75" t="s">
        <v>45</v>
      </c>
      <c r="E273" s="47">
        <f>SUMIFS(LS[Unit],LS[Investor ID],INVESTORS_LIST[[#This Row],[INVESTOR CODE]],LS[B/S],"B")</f>
        <v>0</v>
      </c>
      <c r="F273" s="47">
        <f>-SUMIFS(LS[Unit],LS[Investor ID],INVESTORS_LIST[[#This Row],[INVESTOR CODE]],LS[B/S],"S")</f>
        <v>0</v>
      </c>
      <c r="G273" s="47">
        <f>IF(INVESTORS_LIST[[#This Row],[LS_TOTAL UNITS BUY]]=0,0,INVESTORS_LIST[[#This Row],[LS_TOTAL UNITS BUY]]-INVESTORS_LIST[[#This Row],[LS_TOTAL UNITS SOLD]])</f>
        <v>0</v>
      </c>
      <c r="H273" s="49">
        <f>IF(INVESTORS_LIST[[#This Row],[LS_TOTAL UNITS BUY]]=0,0,SUMIFS(LS[Amount],LS[Investor ID],INVESTORS_LIST[[#This Row],[INVESTOR CODE]],LS[B/S],"B"))</f>
        <v>0</v>
      </c>
      <c r="I273" s="48">
        <f>IF(INVESTORS_LIST[[#This Row],[LS_TOTAL UNITS SOLD]]=0,0,SUMIFS(LS[Cost of Units Sold],LS[Investor ID],INVESTORS_LIST[[#This Row],[INVESTOR CODE]],LS[B/S],"S"))</f>
        <v>0</v>
      </c>
      <c r="J273" s="48">
        <f>IF(INVESTORS_LIST[[#This Row],[LS_TOTAL CURRENT UNITS]]=0,0,INVESTORS_LIST[[#This Row],[LS_TOTAL CURRENT UNITS]]*INVESTORS_LIST[[#This Row],[LS_AVERAGE COST]])</f>
        <v>0</v>
      </c>
      <c r="K273" s="49">
        <f>IF(INVESTORS_LIST[[#This Row],[LS_TOTAL UNITS SOLD]]=0,0,SUMIFS(LS[Realized Gain],LS[Investor ID],INVESTORS_LIST[[#This Row],[INVESTOR CODE]],LS[B/S],"S"))</f>
        <v>0</v>
      </c>
      <c r="L273" s="47">
        <f>SUMIFS(SIP[Unit],SIP[Investor ID],INVESTORS_LIST[[#This Row],[INVESTOR CODE]],SIP[B/S],"B")</f>
        <v>0</v>
      </c>
      <c r="M273" s="47">
        <f>-SUMIFS(SIP[Unit],SIP[Investor ID],INVESTORS_LIST[[#This Row],[INVESTOR CODE]],SIP[B/S],"S")</f>
        <v>0</v>
      </c>
      <c r="N273" s="50">
        <f>IF(INVESTORS_LIST[[#This Row],[SIP_TOTAL UNITS BUY]]=0,0,INVESTORS_LIST[[#This Row],[SIP_TOTAL UNITS BUY]]-INVESTORS_LIST[[#This Row],[SIP_TOTAL UNITS SOLD]])</f>
        <v>0</v>
      </c>
      <c r="O273" s="49">
        <f>IF(INVESTORS_LIST[[#This Row],[SIP_TOTAL UNITS BUY]]=0,0,SUMIFS(SIP[Amount],SIP[Investor ID],INVESTORS_LIST[[#This Row],[INVESTOR CODE]],SIP[B/S],"B"))</f>
        <v>0</v>
      </c>
      <c r="P273" s="49">
        <f>IF(INVESTORS_LIST[[#This Row],[SIP_TOTAL UNITS SOLD]]=0,0,SUMIFS(SIP[Cost of Units Sold],SIP[Investor ID],INVESTORS_LIST[[#This Row],[INVESTOR CODE]],SIP[B/S],"S"))</f>
        <v>0</v>
      </c>
      <c r="Q273" s="48">
        <f>IF(INVESTORS_LIST[[#This Row],[SIP_TOTAL CURRENT UNITS]]=0,0,INVESTORS_LIST[[#This Row],[SIP_TOTAL CURRENT UNITS]]*INVESTORS_LIST[[#This Row],[SIP_AVERAGE COST]])</f>
        <v>0</v>
      </c>
      <c r="R273" s="48">
        <f>IF(INVESTORS_LIST[[#This Row],[SIP_TOTAL UNITS SOLD]]=0,0,SUMIFS(SIP[Realized Gain],SIP[Investor ID],INVESTORS_LIST[[#This Row],[INVESTOR CODE]],SIP[B/S],"S"))</f>
        <v>0</v>
      </c>
      <c r="S273" s="50">
        <f>INVESTORS_LIST[[#This Row],[LS_TOTAL UNITS BUY]]+INVESTORS_LIST[[#This Row],[SIP_TOTAL UNITS BUY]]</f>
        <v>0</v>
      </c>
      <c r="T273" s="50">
        <f>INVESTORS_LIST[[#This Row],[LS_TOTAL UNITS SOLD]]+INVESTORS_LIST[[#This Row],[SIP_TOTAL UNITS SOLD]]</f>
        <v>0</v>
      </c>
      <c r="U273" s="50"/>
      <c r="V273" s="50">
        <f>SUMIFS(LS[BO UNIT TRANSFER],LS[Investor ID],INVESTORS_LIST[[#This Row],[INVESTOR CODE]],LS[B/S],"B")</f>
        <v>0</v>
      </c>
      <c r="W273" s="50">
        <f>SUMIFS(SIP[BO UNIT TRANSFER],SIP[Investor ID],INVESTORS_LIST[[#This Row],[INVESTOR CODE]],SIP[B/S],"B")</f>
        <v>0</v>
      </c>
      <c r="X273" s="50">
        <f>SUMIFS(LS[BO UNIT TRANSFER],LS[Investor ID],INVESTORS_LIST[[#This Row],[INVESTOR CODE]],LS[B/S],"S")</f>
        <v>0</v>
      </c>
      <c r="Y273" s="50">
        <f>SUMIFS(SIP[BO UNIT TRANSFER],SIP[Investor ID],INVESTORS_LIST[[#This Row],[INVESTOR CODE]],SIP[B/S],"S")</f>
        <v>0</v>
      </c>
      <c r="Z273" s="106">
        <f>SUM(INVESTORS_LIST[[#This Row],[BO OPENING BALANCE]:[BO SIP UNITS REPURCHASE]])</f>
        <v>0</v>
      </c>
      <c r="AA273" s="107">
        <f>INVESTORS_LIST[[#This Row],[TOTAL UNITS BUY]]-INVESTORS_LIST[[#This Row],[TOTAL UNITS SOLD]]</f>
        <v>0</v>
      </c>
      <c r="AB273" s="107">
        <f>INVESTORS_LIST[[#This Row],[TOTAL CURRENT UNITS]]-INVESTORS_LIST[[#This Row],[BO UNITS HOLD]]</f>
        <v>0</v>
      </c>
      <c r="AC273" s="201" t="e">
        <f>INDEX([3]!Table_1[BO ID],MATCH(INVESTORS_LIST[[#This Row],[INVESTOR CODE]],[3]!Table_1[INVESTOR CODE],0))</f>
        <v>#REF!</v>
      </c>
      <c r="AD273" s="201" t="e">
        <f>INDEX([3]!Table_1[Brokerage Name2],MATCH(INVESTORS_LIST[[#This Row],[INVESTOR CODE]],[3]!Table_1[INVESTOR CODE],0))</f>
        <v>#REF!</v>
      </c>
      <c r="AE273" s="201" t="e">
        <f>MID(INVESTORS_LIST[[#This Row],[BO ID]],4,5)</f>
        <v>#REF!</v>
      </c>
      <c r="AF273" s="201" t="e">
        <f>MID(INVESTORS_LIST[[#This Row],[BO ID]],2,7)</f>
        <v>#REF!</v>
      </c>
      <c r="AG273" s="201" t="e">
        <f>MID(INVESTORS_LIST[[#This Row],[BO ID]],9,7)</f>
        <v>#REF!</v>
      </c>
      <c r="AH273" s="201" t="e">
        <f>RIGHT(INVESTORS_LIST[[#This Row],[BO ID]],1)</f>
        <v>#REF!</v>
      </c>
      <c r="AI273" s="50">
        <f>INVESTORS_LIST[[#This Row],[LS_TOTAL COST VALUE OF CURRENT UNITS]]+INVESTORS_LIST[[#This Row],[SIP_TOTAL COST VALUE OF CURRENT UNITS]]</f>
        <v>0</v>
      </c>
      <c r="AJ273" s="109">
        <f>IF(INVESTORS_LIST[[#This Row],[TOTAL CURRENT UNITS]]=0,0,INVESTORS_LIST[[#This Row],[LS_TOTAL CURRENT UNITS]]/INVESTORS_LIST[[#This Row],[TOTAL CURRENT UNITS]])</f>
        <v>0</v>
      </c>
      <c r="AK273" s="109">
        <f>IF(INVESTORS_LIST[[#This Row],[TOTAL CURRENT UNITS]]=0,0,INVESTORS_LIST[[#This Row],[SIP_TOTAL CURRENT UNITS]]/INVESTORS_LIST[[#This Row],[TOTAL CURRENT UNITS]])</f>
        <v>0</v>
      </c>
      <c r="AL273" s="49" cm="1">
        <f t="array" ref="AL2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3" s="49" cm="1">
        <f t="array" ref="AM2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3" s="105">
        <f t="shared" si="5"/>
        <v>14.224</v>
      </c>
      <c r="AP273" s="112">
        <f>IF(INVESTORS_LIST[[#This Row],[TOTAL CURRENT UNITS]]=0,0,INVESTORS_LIST[[#This Row],[TOTAL CURRENT UNITS]]*INVESTORS_LIST[[#This Row],[NAV]])</f>
        <v>0</v>
      </c>
      <c r="AQ273" s="49">
        <f>IF(INVESTORS_LIST[[#This Row],[LS_TOTAL CURRENT UNITS]]=0,0,INVESTORS_LIST[[#This Row],[LS_TOTAL CURRENT UNITS]]*INVESTORS_LIST[[#This Row],[NAV]])</f>
        <v>0</v>
      </c>
      <c r="AR273" s="48">
        <f>IF(INVESTORS_LIST[[#This Row],[SIP_TOTAL CURRENT UNITS]]=0,0,INVESTORS_LIST[[#This Row],[SIP_TOTAL CURRENT UNITS]]*INVESTORS_LIST[[#This Row],[NAV]])</f>
        <v>0</v>
      </c>
      <c r="AS273" s="50">
        <f>INVESTORS_LIST[[#This Row],[TOTAL CURRENT UNITS]]</f>
        <v>0</v>
      </c>
      <c r="AT273" s="48">
        <f>IF(INVESTORS_LIST[[#This Row],[TOTAL SELLABLE UNITS]]=0,0,INVESTORS_LIST[[#This Row],[TOTAL SELLABLE UNITS]]*INVESTORS_LIST[[#This Row],[NAV]])</f>
        <v>0</v>
      </c>
      <c r="AU273" s="48">
        <f>INVESTORS_LIST[[#This Row],[LS_TOTAL REALIZED GAIN]]+INVESTORS_LIST[[#This Row],[SIP_TOTAL REALIZED GAIN]]</f>
        <v>0</v>
      </c>
      <c r="AV273" s="48">
        <f>INVESTORS_LIST[[#This Row],[TOTAL MARKET VALUE]]-INVESTORS_LIST[[#This Row],[TOTAL COST VALUE OF CURRENT INVESTMENT]]</f>
        <v>0</v>
      </c>
      <c r="AW273" s="48">
        <f>IFERROR(INVESTORS_LIST[[#This Row],[TOTAL CURRENT UNITS]]/SUM(INVESTORS_LIST[TOTAL CURRENT UNITS]),0)</f>
        <v>0</v>
      </c>
    </row>
    <row r="274" spans="1:49" hidden="1">
      <c r="A274" s="262" t="s">
        <v>596</v>
      </c>
      <c r="B274" s="97" t="s">
        <v>597</v>
      </c>
      <c r="C274" t="s">
        <v>44</v>
      </c>
      <c r="D274" s="75" t="s">
        <v>45</v>
      </c>
      <c r="E274" s="47">
        <f>SUMIFS(LS[Unit],LS[Investor ID],INVESTORS_LIST[[#This Row],[INVESTOR CODE]],LS[B/S],"B")</f>
        <v>0</v>
      </c>
      <c r="F274" s="47">
        <f>-SUMIFS(LS[Unit],LS[Investor ID],INVESTORS_LIST[[#This Row],[INVESTOR CODE]],LS[B/S],"S")</f>
        <v>0</v>
      </c>
      <c r="G274" s="47">
        <f>IF(INVESTORS_LIST[[#This Row],[LS_TOTAL UNITS BUY]]=0,0,INVESTORS_LIST[[#This Row],[LS_TOTAL UNITS BUY]]-INVESTORS_LIST[[#This Row],[LS_TOTAL UNITS SOLD]])</f>
        <v>0</v>
      </c>
      <c r="H274" s="49">
        <f>IF(INVESTORS_LIST[[#This Row],[LS_TOTAL UNITS BUY]]=0,0,SUMIFS(LS[Amount],LS[Investor ID],INVESTORS_LIST[[#This Row],[INVESTOR CODE]],LS[B/S],"B"))</f>
        <v>0</v>
      </c>
      <c r="I274" s="48">
        <f>IF(INVESTORS_LIST[[#This Row],[LS_TOTAL UNITS SOLD]]=0,0,SUMIFS(LS[Cost of Units Sold],LS[Investor ID],INVESTORS_LIST[[#This Row],[INVESTOR CODE]],LS[B/S],"S"))</f>
        <v>0</v>
      </c>
      <c r="J274" s="48">
        <f>IF(INVESTORS_LIST[[#This Row],[LS_TOTAL CURRENT UNITS]]=0,0,INVESTORS_LIST[[#This Row],[LS_TOTAL CURRENT UNITS]]*INVESTORS_LIST[[#This Row],[LS_AVERAGE COST]])</f>
        <v>0</v>
      </c>
      <c r="K274" s="49">
        <f>IF(INVESTORS_LIST[[#This Row],[LS_TOTAL UNITS SOLD]]=0,0,SUMIFS(LS[Realized Gain],LS[Investor ID],INVESTORS_LIST[[#This Row],[INVESTOR CODE]],LS[B/S],"S"))</f>
        <v>0</v>
      </c>
      <c r="L274" s="47">
        <f>SUMIFS(SIP[Unit],SIP[Investor ID],INVESTORS_LIST[[#This Row],[INVESTOR CODE]],SIP[B/S],"B")</f>
        <v>0</v>
      </c>
      <c r="M274" s="47">
        <f>-SUMIFS(SIP[Unit],SIP[Investor ID],INVESTORS_LIST[[#This Row],[INVESTOR CODE]],SIP[B/S],"S")</f>
        <v>0</v>
      </c>
      <c r="N274" s="50">
        <f>IF(INVESTORS_LIST[[#This Row],[SIP_TOTAL UNITS BUY]]=0,0,INVESTORS_LIST[[#This Row],[SIP_TOTAL UNITS BUY]]-INVESTORS_LIST[[#This Row],[SIP_TOTAL UNITS SOLD]])</f>
        <v>0</v>
      </c>
      <c r="O274" s="49">
        <f>IF(INVESTORS_LIST[[#This Row],[SIP_TOTAL UNITS BUY]]=0,0,SUMIFS(SIP[Amount],SIP[Investor ID],INVESTORS_LIST[[#This Row],[INVESTOR CODE]],SIP[B/S],"B"))</f>
        <v>0</v>
      </c>
      <c r="P274" s="49">
        <f>IF(INVESTORS_LIST[[#This Row],[SIP_TOTAL UNITS SOLD]]=0,0,SUMIFS(SIP[Cost of Units Sold],SIP[Investor ID],INVESTORS_LIST[[#This Row],[INVESTOR CODE]],SIP[B/S],"S"))</f>
        <v>0</v>
      </c>
      <c r="Q274" s="48">
        <f>IF(INVESTORS_LIST[[#This Row],[SIP_TOTAL CURRENT UNITS]]=0,0,INVESTORS_LIST[[#This Row],[SIP_TOTAL CURRENT UNITS]]*INVESTORS_LIST[[#This Row],[SIP_AVERAGE COST]])</f>
        <v>0</v>
      </c>
      <c r="R274" s="48">
        <f>IF(INVESTORS_LIST[[#This Row],[SIP_TOTAL UNITS SOLD]]=0,0,SUMIFS(SIP[Realized Gain],SIP[Investor ID],INVESTORS_LIST[[#This Row],[INVESTOR CODE]],SIP[B/S],"S"))</f>
        <v>0</v>
      </c>
      <c r="S274" s="50">
        <f>INVESTORS_LIST[[#This Row],[LS_TOTAL UNITS BUY]]+INVESTORS_LIST[[#This Row],[SIP_TOTAL UNITS BUY]]</f>
        <v>0</v>
      </c>
      <c r="T274" s="50">
        <f>INVESTORS_LIST[[#This Row],[LS_TOTAL UNITS SOLD]]+INVESTORS_LIST[[#This Row],[SIP_TOTAL UNITS SOLD]]</f>
        <v>0</v>
      </c>
      <c r="U274" s="50"/>
      <c r="V274" s="50">
        <f>SUMIFS(LS[BO UNIT TRANSFER],LS[Investor ID],INVESTORS_LIST[[#This Row],[INVESTOR CODE]],LS[B/S],"B")</f>
        <v>0</v>
      </c>
      <c r="W274" s="50">
        <f>SUMIFS(SIP[BO UNIT TRANSFER],SIP[Investor ID],INVESTORS_LIST[[#This Row],[INVESTOR CODE]],SIP[B/S],"B")</f>
        <v>0</v>
      </c>
      <c r="X274" s="50">
        <f>SUMIFS(LS[BO UNIT TRANSFER],LS[Investor ID],INVESTORS_LIST[[#This Row],[INVESTOR CODE]],LS[B/S],"S")</f>
        <v>0</v>
      </c>
      <c r="Y274" s="50">
        <f>SUMIFS(SIP[BO UNIT TRANSFER],SIP[Investor ID],INVESTORS_LIST[[#This Row],[INVESTOR CODE]],SIP[B/S],"S")</f>
        <v>0</v>
      </c>
      <c r="Z274" s="106">
        <f>SUM(INVESTORS_LIST[[#This Row],[BO OPENING BALANCE]:[BO SIP UNITS REPURCHASE]])</f>
        <v>0</v>
      </c>
      <c r="AA274" s="107">
        <f>INVESTORS_LIST[[#This Row],[TOTAL UNITS BUY]]-INVESTORS_LIST[[#This Row],[TOTAL UNITS SOLD]]</f>
        <v>0</v>
      </c>
      <c r="AB274" s="107">
        <f>INVESTORS_LIST[[#This Row],[TOTAL CURRENT UNITS]]-INVESTORS_LIST[[#This Row],[BO UNITS HOLD]]</f>
        <v>0</v>
      </c>
      <c r="AC274" s="201" t="e">
        <f>INDEX([3]!Table_1[BO ID],MATCH(INVESTORS_LIST[[#This Row],[INVESTOR CODE]],[3]!Table_1[INVESTOR CODE],0))</f>
        <v>#REF!</v>
      </c>
      <c r="AD274" s="201" t="e">
        <f>INDEX([3]!Table_1[Brokerage Name2],MATCH(INVESTORS_LIST[[#This Row],[INVESTOR CODE]],[3]!Table_1[INVESTOR CODE],0))</f>
        <v>#REF!</v>
      </c>
      <c r="AE274" s="201" t="e">
        <f>MID(INVESTORS_LIST[[#This Row],[BO ID]],4,5)</f>
        <v>#REF!</v>
      </c>
      <c r="AF274" s="201" t="e">
        <f>MID(INVESTORS_LIST[[#This Row],[BO ID]],2,7)</f>
        <v>#REF!</v>
      </c>
      <c r="AG274" s="201" t="e">
        <f>MID(INVESTORS_LIST[[#This Row],[BO ID]],9,7)</f>
        <v>#REF!</v>
      </c>
      <c r="AH274" s="201" t="e">
        <f>RIGHT(INVESTORS_LIST[[#This Row],[BO ID]],1)</f>
        <v>#REF!</v>
      </c>
      <c r="AI274" s="50">
        <f>INVESTORS_LIST[[#This Row],[LS_TOTAL COST VALUE OF CURRENT UNITS]]+INVESTORS_LIST[[#This Row],[SIP_TOTAL COST VALUE OF CURRENT UNITS]]</f>
        <v>0</v>
      </c>
      <c r="AJ274" s="109">
        <f>IF(INVESTORS_LIST[[#This Row],[TOTAL CURRENT UNITS]]=0,0,INVESTORS_LIST[[#This Row],[LS_TOTAL CURRENT UNITS]]/INVESTORS_LIST[[#This Row],[TOTAL CURRENT UNITS]])</f>
        <v>0</v>
      </c>
      <c r="AK274" s="109">
        <f>IF(INVESTORS_LIST[[#This Row],[TOTAL CURRENT UNITS]]=0,0,INVESTORS_LIST[[#This Row],[SIP_TOTAL CURRENT UNITS]]/INVESTORS_LIST[[#This Row],[TOTAL CURRENT UNITS]])</f>
        <v>0</v>
      </c>
      <c r="AL274" s="49" cm="1">
        <f t="array" ref="AL2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4" s="49" cm="1">
        <f t="array" ref="AM2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4" s="105">
        <f t="shared" si="5"/>
        <v>14.224</v>
      </c>
      <c r="AP274" s="112">
        <f>IF(INVESTORS_LIST[[#This Row],[TOTAL CURRENT UNITS]]=0,0,INVESTORS_LIST[[#This Row],[TOTAL CURRENT UNITS]]*INVESTORS_LIST[[#This Row],[NAV]])</f>
        <v>0</v>
      </c>
      <c r="AQ274" s="49">
        <f>IF(INVESTORS_LIST[[#This Row],[LS_TOTAL CURRENT UNITS]]=0,0,INVESTORS_LIST[[#This Row],[LS_TOTAL CURRENT UNITS]]*INVESTORS_LIST[[#This Row],[NAV]])</f>
        <v>0</v>
      </c>
      <c r="AR274" s="48">
        <f>IF(INVESTORS_LIST[[#This Row],[SIP_TOTAL CURRENT UNITS]]=0,0,INVESTORS_LIST[[#This Row],[SIP_TOTAL CURRENT UNITS]]*INVESTORS_LIST[[#This Row],[NAV]])</f>
        <v>0</v>
      </c>
      <c r="AS274" s="50">
        <f>INVESTORS_LIST[[#This Row],[TOTAL CURRENT UNITS]]</f>
        <v>0</v>
      </c>
      <c r="AT274" s="48">
        <f>IF(INVESTORS_LIST[[#This Row],[TOTAL SELLABLE UNITS]]=0,0,INVESTORS_LIST[[#This Row],[TOTAL SELLABLE UNITS]]*INVESTORS_LIST[[#This Row],[NAV]])</f>
        <v>0</v>
      </c>
      <c r="AU274" s="48">
        <f>INVESTORS_LIST[[#This Row],[LS_TOTAL REALIZED GAIN]]+INVESTORS_LIST[[#This Row],[SIP_TOTAL REALIZED GAIN]]</f>
        <v>0</v>
      </c>
      <c r="AV274" s="48">
        <f>INVESTORS_LIST[[#This Row],[TOTAL MARKET VALUE]]-INVESTORS_LIST[[#This Row],[TOTAL COST VALUE OF CURRENT INVESTMENT]]</f>
        <v>0</v>
      </c>
      <c r="AW274" s="48">
        <f>IFERROR(INVESTORS_LIST[[#This Row],[TOTAL CURRENT UNITS]]/SUM(INVESTORS_LIST[TOTAL CURRENT UNITS]),0)</f>
        <v>0</v>
      </c>
    </row>
    <row r="275" spans="1:49" hidden="1">
      <c r="A275" s="262" t="s">
        <v>598</v>
      </c>
      <c r="B275" s="97" t="s">
        <v>599</v>
      </c>
      <c r="C275" t="s">
        <v>44</v>
      </c>
      <c r="D275" s="75" t="s">
        <v>45</v>
      </c>
      <c r="E275" s="47">
        <f>SUMIFS(LS[Unit],LS[Investor ID],INVESTORS_LIST[[#This Row],[INVESTOR CODE]],LS[B/S],"B")</f>
        <v>0</v>
      </c>
      <c r="F275" s="47">
        <f>-SUMIFS(LS[Unit],LS[Investor ID],INVESTORS_LIST[[#This Row],[INVESTOR CODE]],LS[B/S],"S")</f>
        <v>0</v>
      </c>
      <c r="G275" s="47">
        <f>IF(INVESTORS_LIST[[#This Row],[LS_TOTAL UNITS BUY]]=0,0,INVESTORS_LIST[[#This Row],[LS_TOTAL UNITS BUY]]-INVESTORS_LIST[[#This Row],[LS_TOTAL UNITS SOLD]])</f>
        <v>0</v>
      </c>
      <c r="H275" s="49">
        <f>IF(INVESTORS_LIST[[#This Row],[LS_TOTAL UNITS BUY]]=0,0,SUMIFS(LS[Amount],LS[Investor ID],INVESTORS_LIST[[#This Row],[INVESTOR CODE]],LS[B/S],"B"))</f>
        <v>0</v>
      </c>
      <c r="I275" s="48">
        <f>IF(INVESTORS_LIST[[#This Row],[LS_TOTAL UNITS SOLD]]=0,0,SUMIFS(LS[Cost of Units Sold],LS[Investor ID],INVESTORS_LIST[[#This Row],[INVESTOR CODE]],LS[B/S],"S"))</f>
        <v>0</v>
      </c>
      <c r="J275" s="48">
        <f>IF(INVESTORS_LIST[[#This Row],[LS_TOTAL CURRENT UNITS]]=0,0,INVESTORS_LIST[[#This Row],[LS_TOTAL CURRENT UNITS]]*INVESTORS_LIST[[#This Row],[LS_AVERAGE COST]])</f>
        <v>0</v>
      </c>
      <c r="K275" s="49">
        <f>IF(INVESTORS_LIST[[#This Row],[LS_TOTAL UNITS SOLD]]=0,0,SUMIFS(LS[Realized Gain],LS[Investor ID],INVESTORS_LIST[[#This Row],[INVESTOR CODE]],LS[B/S],"S"))</f>
        <v>0</v>
      </c>
      <c r="L275" s="47">
        <f>SUMIFS(SIP[Unit],SIP[Investor ID],INVESTORS_LIST[[#This Row],[INVESTOR CODE]],SIP[B/S],"B")</f>
        <v>0</v>
      </c>
      <c r="M275" s="47">
        <f>-SUMIFS(SIP[Unit],SIP[Investor ID],INVESTORS_LIST[[#This Row],[INVESTOR CODE]],SIP[B/S],"S")</f>
        <v>0</v>
      </c>
      <c r="N275" s="50">
        <f>IF(INVESTORS_LIST[[#This Row],[SIP_TOTAL UNITS BUY]]=0,0,INVESTORS_LIST[[#This Row],[SIP_TOTAL UNITS BUY]]-INVESTORS_LIST[[#This Row],[SIP_TOTAL UNITS SOLD]])</f>
        <v>0</v>
      </c>
      <c r="O275" s="49">
        <f>IF(INVESTORS_LIST[[#This Row],[SIP_TOTAL UNITS BUY]]=0,0,SUMIFS(SIP[Amount],SIP[Investor ID],INVESTORS_LIST[[#This Row],[INVESTOR CODE]],SIP[B/S],"B"))</f>
        <v>0</v>
      </c>
      <c r="P275" s="49">
        <f>IF(INVESTORS_LIST[[#This Row],[SIP_TOTAL UNITS SOLD]]=0,0,SUMIFS(SIP[Cost of Units Sold],SIP[Investor ID],INVESTORS_LIST[[#This Row],[INVESTOR CODE]],SIP[B/S],"S"))</f>
        <v>0</v>
      </c>
      <c r="Q275" s="48">
        <f>IF(INVESTORS_LIST[[#This Row],[SIP_TOTAL CURRENT UNITS]]=0,0,INVESTORS_LIST[[#This Row],[SIP_TOTAL CURRENT UNITS]]*INVESTORS_LIST[[#This Row],[SIP_AVERAGE COST]])</f>
        <v>0</v>
      </c>
      <c r="R275" s="48">
        <f>IF(INVESTORS_LIST[[#This Row],[SIP_TOTAL UNITS SOLD]]=0,0,SUMIFS(SIP[Realized Gain],SIP[Investor ID],INVESTORS_LIST[[#This Row],[INVESTOR CODE]],SIP[B/S],"S"))</f>
        <v>0</v>
      </c>
      <c r="S275" s="50">
        <f>INVESTORS_LIST[[#This Row],[LS_TOTAL UNITS BUY]]+INVESTORS_LIST[[#This Row],[SIP_TOTAL UNITS BUY]]</f>
        <v>0</v>
      </c>
      <c r="T275" s="50">
        <f>INVESTORS_LIST[[#This Row],[LS_TOTAL UNITS SOLD]]+INVESTORS_LIST[[#This Row],[SIP_TOTAL UNITS SOLD]]</f>
        <v>0</v>
      </c>
      <c r="U275" s="50"/>
      <c r="V275" s="50">
        <f>SUMIFS(LS[BO UNIT TRANSFER],LS[Investor ID],INVESTORS_LIST[[#This Row],[INVESTOR CODE]],LS[B/S],"B")</f>
        <v>0</v>
      </c>
      <c r="W275" s="50">
        <f>SUMIFS(SIP[BO UNIT TRANSFER],SIP[Investor ID],INVESTORS_LIST[[#This Row],[INVESTOR CODE]],SIP[B/S],"B")</f>
        <v>0</v>
      </c>
      <c r="X275" s="50">
        <f>SUMIFS(LS[BO UNIT TRANSFER],LS[Investor ID],INVESTORS_LIST[[#This Row],[INVESTOR CODE]],LS[B/S],"S")</f>
        <v>0</v>
      </c>
      <c r="Y275" s="50">
        <f>SUMIFS(SIP[BO UNIT TRANSFER],SIP[Investor ID],INVESTORS_LIST[[#This Row],[INVESTOR CODE]],SIP[B/S],"S")</f>
        <v>0</v>
      </c>
      <c r="Z275" s="106">
        <f>SUM(INVESTORS_LIST[[#This Row],[BO OPENING BALANCE]:[BO SIP UNITS REPURCHASE]])</f>
        <v>0</v>
      </c>
      <c r="AA275" s="107">
        <f>INVESTORS_LIST[[#This Row],[TOTAL UNITS BUY]]-INVESTORS_LIST[[#This Row],[TOTAL UNITS SOLD]]</f>
        <v>0</v>
      </c>
      <c r="AB275" s="107">
        <f>INVESTORS_LIST[[#This Row],[TOTAL CURRENT UNITS]]-INVESTORS_LIST[[#This Row],[BO UNITS HOLD]]</f>
        <v>0</v>
      </c>
      <c r="AC275" s="201" t="e">
        <f>INDEX([3]!Table_1[BO ID],MATCH(INVESTORS_LIST[[#This Row],[INVESTOR CODE]],[3]!Table_1[INVESTOR CODE],0))</f>
        <v>#REF!</v>
      </c>
      <c r="AD275" s="201" t="e">
        <f>INDEX([3]!Table_1[Brokerage Name2],MATCH(INVESTORS_LIST[[#This Row],[INVESTOR CODE]],[3]!Table_1[INVESTOR CODE],0))</f>
        <v>#REF!</v>
      </c>
      <c r="AE275" s="201" t="e">
        <f>MID(INVESTORS_LIST[[#This Row],[BO ID]],4,5)</f>
        <v>#REF!</v>
      </c>
      <c r="AF275" s="201" t="e">
        <f>MID(INVESTORS_LIST[[#This Row],[BO ID]],2,7)</f>
        <v>#REF!</v>
      </c>
      <c r="AG275" s="201" t="e">
        <f>MID(INVESTORS_LIST[[#This Row],[BO ID]],9,7)</f>
        <v>#REF!</v>
      </c>
      <c r="AH275" s="201" t="e">
        <f>RIGHT(INVESTORS_LIST[[#This Row],[BO ID]],1)</f>
        <v>#REF!</v>
      </c>
      <c r="AI275" s="50">
        <f>INVESTORS_LIST[[#This Row],[LS_TOTAL COST VALUE OF CURRENT UNITS]]+INVESTORS_LIST[[#This Row],[SIP_TOTAL COST VALUE OF CURRENT UNITS]]</f>
        <v>0</v>
      </c>
      <c r="AJ275" s="109">
        <f>IF(INVESTORS_LIST[[#This Row],[TOTAL CURRENT UNITS]]=0,0,INVESTORS_LIST[[#This Row],[LS_TOTAL CURRENT UNITS]]/INVESTORS_LIST[[#This Row],[TOTAL CURRENT UNITS]])</f>
        <v>0</v>
      </c>
      <c r="AK275" s="109">
        <f>IF(INVESTORS_LIST[[#This Row],[TOTAL CURRENT UNITS]]=0,0,INVESTORS_LIST[[#This Row],[SIP_TOTAL CURRENT UNITS]]/INVESTORS_LIST[[#This Row],[TOTAL CURRENT UNITS]])</f>
        <v>0</v>
      </c>
      <c r="AL275" s="49" cm="1">
        <f t="array" ref="AL2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5" s="49" cm="1">
        <f t="array" ref="AM2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5" s="105">
        <f t="shared" si="5"/>
        <v>14.224</v>
      </c>
      <c r="AP275" s="112">
        <f>IF(INVESTORS_LIST[[#This Row],[TOTAL CURRENT UNITS]]=0,0,INVESTORS_LIST[[#This Row],[TOTAL CURRENT UNITS]]*INVESTORS_LIST[[#This Row],[NAV]])</f>
        <v>0</v>
      </c>
      <c r="AQ275" s="49">
        <f>IF(INVESTORS_LIST[[#This Row],[LS_TOTAL CURRENT UNITS]]=0,0,INVESTORS_LIST[[#This Row],[LS_TOTAL CURRENT UNITS]]*INVESTORS_LIST[[#This Row],[NAV]])</f>
        <v>0</v>
      </c>
      <c r="AR275" s="48">
        <f>IF(INVESTORS_LIST[[#This Row],[SIP_TOTAL CURRENT UNITS]]=0,0,INVESTORS_LIST[[#This Row],[SIP_TOTAL CURRENT UNITS]]*INVESTORS_LIST[[#This Row],[NAV]])</f>
        <v>0</v>
      </c>
      <c r="AS275" s="50">
        <f>INVESTORS_LIST[[#This Row],[TOTAL CURRENT UNITS]]</f>
        <v>0</v>
      </c>
      <c r="AT275" s="48">
        <f>IF(INVESTORS_LIST[[#This Row],[TOTAL SELLABLE UNITS]]=0,0,INVESTORS_LIST[[#This Row],[TOTAL SELLABLE UNITS]]*INVESTORS_LIST[[#This Row],[NAV]])</f>
        <v>0</v>
      </c>
      <c r="AU275" s="48">
        <f>INVESTORS_LIST[[#This Row],[LS_TOTAL REALIZED GAIN]]+INVESTORS_LIST[[#This Row],[SIP_TOTAL REALIZED GAIN]]</f>
        <v>0</v>
      </c>
      <c r="AV275" s="48">
        <f>INVESTORS_LIST[[#This Row],[TOTAL MARKET VALUE]]-INVESTORS_LIST[[#This Row],[TOTAL COST VALUE OF CURRENT INVESTMENT]]</f>
        <v>0</v>
      </c>
      <c r="AW275" s="48">
        <f>IFERROR(INVESTORS_LIST[[#This Row],[TOTAL CURRENT UNITS]]/SUM(INVESTORS_LIST[TOTAL CURRENT UNITS]),0)</f>
        <v>0</v>
      </c>
    </row>
    <row r="276" spans="1:49" hidden="1">
      <c r="A276" s="262" t="s">
        <v>221</v>
      </c>
      <c r="B276" s="97" t="s">
        <v>600</v>
      </c>
      <c r="C276" t="s">
        <v>44</v>
      </c>
      <c r="D276" s="75" t="s">
        <v>45</v>
      </c>
      <c r="E276" s="47">
        <f>SUMIFS(LS[Unit],LS[Investor ID],INVESTORS_LIST[[#This Row],[INVESTOR CODE]],LS[B/S],"B")</f>
        <v>0</v>
      </c>
      <c r="F276" s="47">
        <f>-SUMIFS(LS[Unit],LS[Investor ID],INVESTORS_LIST[[#This Row],[INVESTOR CODE]],LS[B/S],"S")</f>
        <v>0</v>
      </c>
      <c r="G276" s="47">
        <f>IF(INVESTORS_LIST[[#This Row],[LS_TOTAL UNITS BUY]]=0,0,INVESTORS_LIST[[#This Row],[LS_TOTAL UNITS BUY]]-INVESTORS_LIST[[#This Row],[LS_TOTAL UNITS SOLD]])</f>
        <v>0</v>
      </c>
      <c r="H276" s="49">
        <f>IF(INVESTORS_LIST[[#This Row],[LS_TOTAL UNITS BUY]]=0,0,SUMIFS(LS[Amount],LS[Investor ID],INVESTORS_LIST[[#This Row],[INVESTOR CODE]],LS[B/S],"B"))</f>
        <v>0</v>
      </c>
      <c r="I276" s="48">
        <f>IF(INVESTORS_LIST[[#This Row],[LS_TOTAL UNITS SOLD]]=0,0,SUMIFS(LS[Cost of Units Sold],LS[Investor ID],INVESTORS_LIST[[#This Row],[INVESTOR CODE]],LS[B/S],"S"))</f>
        <v>0</v>
      </c>
      <c r="J276" s="48">
        <f>IF(INVESTORS_LIST[[#This Row],[LS_TOTAL CURRENT UNITS]]=0,0,INVESTORS_LIST[[#This Row],[LS_TOTAL CURRENT UNITS]]*INVESTORS_LIST[[#This Row],[LS_AVERAGE COST]])</f>
        <v>0</v>
      </c>
      <c r="K276" s="49">
        <f>IF(INVESTORS_LIST[[#This Row],[LS_TOTAL UNITS SOLD]]=0,0,SUMIFS(LS[Realized Gain],LS[Investor ID],INVESTORS_LIST[[#This Row],[INVESTOR CODE]],LS[B/S],"S"))</f>
        <v>0</v>
      </c>
      <c r="L276" s="47">
        <f>SUMIFS(SIP[Unit],SIP[Investor ID],INVESTORS_LIST[[#This Row],[INVESTOR CODE]],SIP[B/S],"B")</f>
        <v>0</v>
      </c>
      <c r="M276" s="47">
        <f>-SUMIFS(SIP[Unit],SIP[Investor ID],INVESTORS_LIST[[#This Row],[INVESTOR CODE]],SIP[B/S],"S")</f>
        <v>0</v>
      </c>
      <c r="N276" s="50">
        <f>IF(INVESTORS_LIST[[#This Row],[SIP_TOTAL UNITS BUY]]=0,0,INVESTORS_LIST[[#This Row],[SIP_TOTAL UNITS BUY]]-INVESTORS_LIST[[#This Row],[SIP_TOTAL UNITS SOLD]])</f>
        <v>0</v>
      </c>
      <c r="O276" s="49">
        <f>IF(INVESTORS_LIST[[#This Row],[SIP_TOTAL UNITS BUY]]=0,0,SUMIFS(SIP[Amount],SIP[Investor ID],INVESTORS_LIST[[#This Row],[INVESTOR CODE]],SIP[B/S],"B"))</f>
        <v>0</v>
      </c>
      <c r="P276" s="49">
        <f>IF(INVESTORS_LIST[[#This Row],[SIP_TOTAL UNITS SOLD]]=0,0,SUMIFS(SIP[Cost of Units Sold],SIP[Investor ID],INVESTORS_LIST[[#This Row],[INVESTOR CODE]],SIP[B/S],"S"))</f>
        <v>0</v>
      </c>
      <c r="Q276" s="48">
        <f>IF(INVESTORS_LIST[[#This Row],[SIP_TOTAL CURRENT UNITS]]=0,0,INVESTORS_LIST[[#This Row],[SIP_TOTAL CURRENT UNITS]]*INVESTORS_LIST[[#This Row],[SIP_AVERAGE COST]])</f>
        <v>0</v>
      </c>
      <c r="R276" s="48">
        <f>IF(INVESTORS_LIST[[#This Row],[SIP_TOTAL UNITS SOLD]]=0,0,SUMIFS(SIP[Realized Gain],SIP[Investor ID],INVESTORS_LIST[[#This Row],[INVESTOR CODE]],SIP[B/S],"S"))</f>
        <v>0</v>
      </c>
      <c r="S276" s="50">
        <f>INVESTORS_LIST[[#This Row],[LS_TOTAL UNITS BUY]]+INVESTORS_LIST[[#This Row],[SIP_TOTAL UNITS BUY]]</f>
        <v>0</v>
      </c>
      <c r="T276" s="50">
        <f>INVESTORS_LIST[[#This Row],[LS_TOTAL UNITS SOLD]]+INVESTORS_LIST[[#This Row],[SIP_TOTAL UNITS SOLD]]</f>
        <v>0</v>
      </c>
      <c r="U276" s="50">
        <v>43419</v>
      </c>
      <c r="V276" s="50">
        <f>SUMIFS(LS[BO UNIT TRANSFER],LS[Investor ID],INVESTORS_LIST[[#This Row],[INVESTOR CODE]],LS[B/S],"B")</f>
        <v>0</v>
      </c>
      <c r="W276" s="50">
        <f>SUMIFS(SIP[BO UNIT TRANSFER],SIP[Investor ID],INVESTORS_LIST[[#This Row],[INVESTOR CODE]],SIP[B/S],"B")</f>
        <v>0</v>
      </c>
      <c r="X276" s="50">
        <f>SUMIFS(LS[BO UNIT TRANSFER],LS[Investor ID],INVESTORS_LIST[[#This Row],[INVESTOR CODE]],LS[B/S],"S")</f>
        <v>0</v>
      </c>
      <c r="Y276" s="50">
        <f>SUMIFS(SIP[BO UNIT TRANSFER],SIP[Investor ID],INVESTORS_LIST[[#This Row],[INVESTOR CODE]],SIP[B/S],"S")</f>
        <v>0</v>
      </c>
      <c r="Z276" s="106">
        <f>SUM(INVESTORS_LIST[[#This Row],[BO OPENING BALANCE]:[BO SIP UNITS REPURCHASE]])</f>
        <v>43419</v>
      </c>
      <c r="AA276" s="107">
        <f>INVESTORS_LIST[[#This Row],[TOTAL UNITS BUY]]-INVESTORS_LIST[[#This Row],[TOTAL UNITS SOLD]]</f>
        <v>0</v>
      </c>
      <c r="AB276" s="107">
        <f>INVESTORS_LIST[[#This Row],[TOTAL CURRENT UNITS]]-INVESTORS_LIST[[#This Row],[BO UNITS HOLD]]</f>
        <v>-43419</v>
      </c>
      <c r="AC276" s="201" t="e">
        <f>INDEX([3]!Table_1[BO ID],MATCH(INVESTORS_LIST[[#This Row],[INVESTOR CODE]],[3]!Table_1[INVESTOR CODE],0))</f>
        <v>#REF!</v>
      </c>
      <c r="AD276" s="201" t="e">
        <f>INDEX([3]!Table_1[Brokerage Name2],MATCH(INVESTORS_LIST[[#This Row],[INVESTOR CODE]],[3]!Table_1[INVESTOR CODE],0))</f>
        <v>#REF!</v>
      </c>
      <c r="AE276" s="201" t="e">
        <f>MID(INVESTORS_LIST[[#This Row],[BO ID]],4,5)</f>
        <v>#REF!</v>
      </c>
      <c r="AF276" s="201" t="e">
        <f>MID(INVESTORS_LIST[[#This Row],[BO ID]],2,7)</f>
        <v>#REF!</v>
      </c>
      <c r="AG276" s="201" t="e">
        <f>MID(INVESTORS_LIST[[#This Row],[BO ID]],9,7)</f>
        <v>#REF!</v>
      </c>
      <c r="AH276" s="201" t="e">
        <f>RIGHT(INVESTORS_LIST[[#This Row],[BO ID]],1)</f>
        <v>#REF!</v>
      </c>
      <c r="AI276" s="50">
        <f>INVESTORS_LIST[[#This Row],[LS_TOTAL COST VALUE OF CURRENT UNITS]]+INVESTORS_LIST[[#This Row],[SIP_TOTAL COST VALUE OF CURRENT UNITS]]</f>
        <v>0</v>
      </c>
      <c r="AJ276" s="109">
        <f>IF(INVESTORS_LIST[[#This Row],[TOTAL CURRENT UNITS]]=0,0,INVESTORS_LIST[[#This Row],[LS_TOTAL CURRENT UNITS]]/INVESTORS_LIST[[#This Row],[TOTAL CURRENT UNITS]])</f>
        <v>0</v>
      </c>
      <c r="AK276" s="109">
        <f>IF(INVESTORS_LIST[[#This Row],[TOTAL CURRENT UNITS]]=0,0,INVESTORS_LIST[[#This Row],[SIP_TOTAL CURRENT UNITS]]/INVESTORS_LIST[[#This Row],[TOTAL CURRENT UNITS]])</f>
        <v>0</v>
      </c>
      <c r="AL276" s="49" cm="1">
        <f t="array" ref="AL2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6" s="49" cm="1">
        <f t="array" ref="AM2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6" s="105">
        <f t="shared" si="5"/>
        <v>14.224</v>
      </c>
      <c r="AP276" s="112">
        <f>IF(INVESTORS_LIST[[#This Row],[TOTAL CURRENT UNITS]]=0,0,INVESTORS_LIST[[#This Row],[TOTAL CURRENT UNITS]]*INVESTORS_LIST[[#This Row],[NAV]])</f>
        <v>0</v>
      </c>
      <c r="AQ276" s="49">
        <f>IF(INVESTORS_LIST[[#This Row],[LS_TOTAL CURRENT UNITS]]=0,0,INVESTORS_LIST[[#This Row],[LS_TOTAL CURRENT UNITS]]*INVESTORS_LIST[[#This Row],[NAV]])</f>
        <v>0</v>
      </c>
      <c r="AR276" s="48">
        <f>IF(INVESTORS_LIST[[#This Row],[SIP_TOTAL CURRENT UNITS]]=0,0,INVESTORS_LIST[[#This Row],[SIP_TOTAL CURRENT UNITS]]*INVESTORS_LIST[[#This Row],[NAV]])</f>
        <v>0</v>
      </c>
      <c r="AS276" s="50">
        <f>INVESTORS_LIST[[#This Row],[TOTAL CURRENT UNITS]]</f>
        <v>0</v>
      </c>
      <c r="AT276" s="48">
        <f>IF(INVESTORS_LIST[[#This Row],[TOTAL SELLABLE UNITS]]=0,0,INVESTORS_LIST[[#This Row],[TOTAL SELLABLE UNITS]]*INVESTORS_LIST[[#This Row],[NAV]])</f>
        <v>0</v>
      </c>
      <c r="AU276" s="48">
        <f>INVESTORS_LIST[[#This Row],[LS_TOTAL REALIZED GAIN]]+INVESTORS_LIST[[#This Row],[SIP_TOTAL REALIZED GAIN]]</f>
        <v>0</v>
      </c>
      <c r="AV276" s="48">
        <f>INVESTORS_LIST[[#This Row],[TOTAL MARKET VALUE]]-INVESTORS_LIST[[#This Row],[TOTAL COST VALUE OF CURRENT INVESTMENT]]</f>
        <v>0</v>
      </c>
      <c r="AW276" s="48">
        <f>IFERROR(INVESTORS_LIST[[#This Row],[TOTAL CURRENT UNITS]]/SUM(INVESTORS_LIST[TOTAL CURRENT UNITS]),0)</f>
        <v>0</v>
      </c>
    </row>
    <row r="277" spans="1:49" hidden="1">
      <c r="A277" s="262" t="s">
        <v>601</v>
      </c>
      <c r="B277" s="97" t="s">
        <v>602</v>
      </c>
      <c r="C277" t="s">
        <v>44</v>
      </c>
      <c r="D277" s="75" t="s">
        <v>45</v>
      </c>
      <c r="E277" s="47">
        <f>SUMIFS(LS[Unit],LS[Investor ID],INVESTORS_LIST[[#This Row],[INVESTOR CODE]],LS[B/S],"B")</f>
        <v>0</v>
      </c>
      <c r="F277" s="47">
        <f>-SUMIFS(LS[Unit],LS[Investor ID],INVESTORS_LIST[[#This Row],[INVESTOR CODE]],LS[B/S],"S")</f>
        <v>0</v>
      </c>
      <c r="G277" s="47">
        <f>IF(INVESTORS_LIST[[#This Row],[LS_TOTAL UNITS BUY]]=0,0,INVESTORS_LIST[[#This Row],[LS_TOTAL UNITS BUY]]-INVESTORS_LIST[[#This Row],[LS_TOTAL UNITS SOLD]])</f>
        <v>0</v>
      </c>
      <c r="H277" s="49">
        <f>IF(INVESTORS_LIST[[#This Row],[LS_TOTAL UNITS BUY]]=0,0,SUMIFS(LS[Amount],LS[Investor ID],INVESTORS_LIST[[#This Row],[INVESTOR CODE]],LS[B/S],"B"))</f>
        <v>0</v>
      </c>
      <c r="I277" s="48">
        <f>IF(INVESTORS_LIST[[#This Row],[LS_TOTAL UNITS SOLD]]=0,0,SUMIFS(LS[Cost of Units Sold],LS[Investor ID],INVESTORS_LIST[[#This Row],[INVESTOR CODE]],LS[B/S],"S"))</f>
        <v>0</v>
      </c>
      <c r="J277" s="48">
        <f>IF(INVESTORS_LIST[[#This Row],[LS_TOTAL CURRENT UNITS]]=0,0,INVESTORS_LIST[[#This Row],[LS_TOTAL CURRENT UNITS]]*INVESTORS_LIST[[#This Row],[LS_AVERAGE COST]])</f>
        <v>0</v>
      </c>
      <c r="K277" s="49">
        <f>IF(INVESTORS_LIST[[#This Row],[LS_TOTAL UNITS SOLD]]=0,0,SUMIFS(LS[Realized Gain],LS[Investor ID],INVESTORS_LIST[[#This Row],[INVESTOR CODE]],LS[B/S],"S"))</f>
        <v>0</v>
      </c>
      <c r="L277" s="47">
        <f>SUMIFS(SIP[Unit],SIP[Investor ID],INVESTORS_LIST[[#This Row],[INVESTOR CODE]],SIP[B/S],"B")</f>
        <v>0</v>
      </c>
      <c r="M277" s="47">
        <f>-SUMIFS(SIP[Unit],SIP[Investor ID],INVESTORS_LIST[[#This Row],[INVESTOR CODE]],SIP[B/S],"S")</f>
        <v>0</v>
      </c>
      <c r="N277" s="50">
        <f>IF(INVESTORS_LIST[[#This Row],[SIP_TOTAL UNITS BUY]]=0,0,INVESTORS_LIST[[#This Row],[SIP_TOTAL UNITS BUY]]-INVESTORS_LIST[[#This Row],[SIP_TOTAL UNITS SOLD]])</f>
        <v>0</v>
      </c>
      <c r="O277" s="49">
        <f>IF(INVESTORS_LIST[[#This Row],[SIP_TOTAL UNITS BUY]]=0,0,SUMIFS(SIP[Amount],SIP[Investor ID],INVESTORS_LIST[[#This Row],[INVESTOR CODE]],SIP[B/S],"B"))</f>
        <v>0</v>
      </c>
      <c r="P277" s="49">
        <f>IF(INVESTORS_LIST[[#This Row],[SIP_TOTAL UNITS SOLD]]=0,0,SUMIFS(SIP[Cost of Units Sold],SIP[Investor ID],INVESTORS_LIST[[#This Row],[INVESTOR CODE]],SIP[B/S],"S"))</f>
        <v>0</v>
      </c>
      <c r="Q277" s="48">
        <f>IF(INVESTORS_LIST[[#This Row],[SIP_TOTAL CURRENT UNITS]]=0,0,INVESTORS_LIST[[#This Row],[SIP_TOTAL CURRENT UNITS]]*INVESTORS_LIST[[#This Row],[SIP_AVERAGE COST]])</f>
        <v>0</v>
      </c>
      <c r="R277" s="48">
        <f>IF(INVESTORS_LIST[[#This Row],[SIP_TOTAL UNITS SOLD]]=0,0,SUMIFS(SIP[Realized Gain],SIP[Investor ID],INVESTORS_LIST[[#This Row],[INVESTOR CODE]],SIP[B/S],"S"))</f>
        <v>0</v>
      </c>
      <c r="S277" s="50">
        <f>INVESTORS_LIST[[#This Row],[LS_TOTAL UNITS BUY]]+INVESTORS_LIST[[#This Row],[SIP_TOTAL UNITS BUY]]</f>
        <v>0</v>
      </c>
      <c r="T277" s="50">
        <f>INVESTORS_LIST[[#This Row],[LS_TOTAL UNITS SOLD]]+INVESTORS_LIST[[#This Row],[SIP_TOTAL UNITS SOLD]]</f>
        <v>0</v>
      </c>
      <c r="U277" s="50"/>
      <c r="V277" s="50">
        <f>SUMIFS(LS[BO UNIT TRANSFER],LS[Investor ID],INVESTORS_LIST[[#This Row],[INVESTOR CODE]],LS[B/S],"B")</f>
        <v>0</v>
      </c>
      <c r="W277" s="50">
        <f>SUMIFS(SIP[BO UNIT TRANSFER],SIP[Investor ID],INVESTORS_LIST[[#This Row],[INVESTOR CODE]],SIP[B/S],"B")</f>
        <v>0</v>
      </c>
      <c r="X277" s="50">
        <f>SUMIFS(LS[BO UNIT TRANSFER],LS[Investor ID],INVESTORS_LIST[[#This Row],[INVESTOR CODE]],LS[B/S],"S")</f>
        <v>0</v>
      </c>
      <c r="Y277" s="50">
        <f>SUMIFS(SIP[BO UNIT TRANSFER],SIP[Investor ID],INVESTORS_LIST[[#This Row],[INVESTOR CODE]],SIP[B/S],"S")</f>
        <v>0</v>
      </c>
      <c r="Z277" s="106">
        <f>SUM(INVESTORS_LIST[[#This Row],[BO OPENING BALANCE]:[BO SIP UNITS REPURCHASE]])</f>
        <v>0</v>
      </c>
      <c r="AA277" s="107">
        <f>INVESTORS_LIST[[#This Row],[TOTAL UNITS BUY]]-INVESTORS_LIST[[#This Row],[TOTAL UNITS SOLD]]</f>
        <v>0</v>
      </c>
      <c r="AB277" s="107">
        <f>INVESTORS_LIST[[#This Row],[TOTAL CURRENT UNITS]]-INVESTORS_LIST[[#This Row],[BO UNITS HOLD]]</f>
        <v>0</v>
      </c>
      <c r="AC277" s="201" t="e">
        <f>INDEX([3]!Table_1[BO ID],MATCH(INVESTORS_LIST[[#This Row],[INVESTOR CODE]],[3]!Table_1[INVESTOR CODE],0))</f>
        <v>#REF!</v>
      </c>
      <c r="AD277" s="201" t="e">
        <f>INDEX([3]!Table_1[Brokerage Name2],MATCH(INVESTORS_LIST[[#This Row],[INVESTOR CODE]],[3]!Table_1[INVESTOR CODE],0))</f>
        <v>#REF!</v>
      </c>
      <c r="AE277" s="201" t="e">
        <f>MID(INVESTORS_LIST[[#This Row],[BO ID]],4,5)</f>
        <v>#REF!</v>
      </c>
      <c r="AF277" s="201" t="e">
        <f>MID(INVESTORS_LIST[[#This Row],[BO ID]],2,7)</f>
        <v>#REF!</v>
      </c>
      <c r="AG277" s="201" t="e">
        <f>MID(INVESTORS_LIST[[#This Row],[BO ID]],9,7)</f>
        <v>#REF!</v>
      </c>
      <c r="AH277" s="201" t="e">
        <f>RIGHT(INVESTORS_LIST[[#This Row],[BO ID]],1)</f>
        <v>#REF!</v>
      </c>
      <c r="AI277" s="50">
        <f>INVESTORS_LIST[[#This Row],[LS_TOTAL COST VALUE OF CURRENT UNITS]]+INVESTORS_LIST[[#This Row],[SIP_TOTAL COST VALUE OF CURRENT UNITS]]</f>
        <v>0</v>
      </c>
      <c r="AJ277" s="109">
        <f>IF(INVESTORS_LIST[[#This Row],[TOTAL CURRENT UNITS]]=0,0,INVESTORS_LIST[[#This Row],[LS_TOTAL CURRENT UNITS]]/INVESTORS_LIST[[#This Row],[TOTAL CURRENT UNITS]])</f>
        <v>0</v>
      </c>
      <c r="AK277" s="109">
        <f>IF(INVESTORS_LIST[[#This Row],[TOTAL CURRENT UNITS]]=0,0,INVESTORS_LIST[[#This Row],[SIP_TOTAL CURRENT UNITS]]/INVESTORS_LIST[[#This Row],[TOTAL CURRENT UNITS]])</f>
        <v>0</v>
      </c>
      <c r="AL277" s="49" cm="1">
        <f t="array" ref="AL2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7" s="49" cm="1">
        <f t="array" ref="AM2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7" s="105">
        <f t="shared" si="5"/>
        <v>14.224</v>
      </c>
      <c r="AP277" s="112">
        <f>IF(INVESTORS_LIST[[#This Row],[TOTAL CURRENT UNITS]]=0,0,INVESTORS_LIST[[#This Row],[TOTAL CURRENT UNITS]]*INVESTORS_LIST[[#This Row],[NAV]])</f>
        <v>0</v>
      </c>
      <c r="AQ277" s="49">
        <f>IF(INVESTORS_LIST[[#This Row],[LS_TOTAL CURRENT UNITS]]=0,0,INVESTORS_LIST[[#This Row],[LS_TOTAL CURRENT UNITS]]*INVESTORS_LIST[[#This Row],[NAV]])</f>
        <v>0</v>
      </c>
      <c r="AR277" s="48">
        <f>IF(INVESTORS_LIST[[#This Row],[SIP_TOTAL CURRENT UNITS]]=0,0,INVESTORS_LIST[[#This Row],[SIP_TOTAL CURRENT UNITS]]*INVESTORS_LIST[[#This Row],[NAV]])</f>
        <v>0</v>
      </c>
      <c r="AS277" s="50">
        <f>INVESTORS_LIST[[#This Row],[TOTAL CURRENT UNITS]]</f>
        <v>0</v>
      </c>
      <c r="AT277" s="48">
        <f>IF(INVESTORS_LIST[[#This Row],[TOTAL SELLABLE UNITS]]=0,0,INVESTORS_LIST[[#This Row],[TOTAL SELLABLE UNITS]]*INVESTORS_LIST[[#This Row],[NAV]])</f>
        <v>0</v>
      </c>
      <c r="AU277" s="48">
        <f>INVESTORS_LIST[[#This Row],[LS_TOTAL REALIZED GAIN]]+INVESTORS_LIST[[#This Row],[SIP_TOTAL REALIZED GAIN]]</f>
        <v>0</v>
      </c>
      <c r="AV277" s="48">
        <f>INVESTORS_LIST[[#This Row],[TOTAL MARKET VALUE]]-INVESTORS_LIST[[#This Row],[TOTAL COST VALUE OF CURRENT INVESTMENT]]</f>
        <v>0</v>
      </c>
      <c r="AW277" s="48">
        <f>IFERROR(INVESTORS_LIST[[#This Row],[TOTAL CURRENT UNITS]]/SUM(INVESTORS_LIST[TOTAL CURRENT UNITS]),0)</f>
        <v>0</v>
      </c>
    </row>
    <row r="278" spans="1:49" hidden="1">
      <c r="A278" s="262" t="s">
        <v>603</v>
      </c>
      <c r="B278" s="97" t="s">
        <v>604</v>
      </c>
      <c r="C278" t="s">
        <v>44</v>
      </c>
      <c r="D278" s="75" t="s">
        <v>45</v>
      </c>
      <c r="E278" s="47">
        <f>SUMIFS(LS[Unit],LS[Investor ID],INVESTORS_LIST[[#This Row],[INVESTOR CODE]],LS[B/S],"B")</f>
        <v>0</v>
      </c>
      <c r="F278" s="47">
        <f>-SUMIFS(LS[Unit],LS[Investor ID],INVESTORS_LIST[[#This Row],[INVESTOR CODE]],LS[B/S],"S")</f>
        <v>0</v>
      </c>
      <c r="G278" s="47">
        <f>IF(INVESTORS_LIST[[#This Row],[LS_TOTAL UNITS BUY]]=0,0,INVESTORS_LIST[[#This Row],[LS_TOTAL UNITS BUY]]-INVESTORS_LIST[[#This Row],[LS_TOTAL UNITS SOLD]])</f>
        <v>0</v>
      </c>
      <c r="H278" s="49">
        <f>IF(INVESTORS_LIST[[#This Row],[LS_TOTAL UNITS BUY]]=0,0,SUMIFS(LS[Amount],LS[Investor ID],INVESTORS_LIST[[#This Row],[INVESTOR CODE]],LS[B/S],"B"))</f>
        <v>0</v>
      </c>
      <c r="I278" s="48">
        <f>IF(INVESTORS_LIST[[#This Row],[LS_TOTAL UNITS SOLD]]=0,0,SUMIFS(LS[Cost of Units Sold],LS[Investor ID],INVESTORS_LIST[[#This Row],[INVESTOR CODE]],LS[B/S],"S"))</f>
        <v>0</v>
      </c>
      <c r="J278" s="48">
        <f>IF(INVESTORS_LIST[[#This Row],[LS_TOTAL CURRENT UNITS]]=0,0,INVESTORS_LIST[[#This Row],[LS_TOTAL CURRENT UNITS]]*INVESTORS_LIST[[#This Row],[LS_AVERAGE COST]])</f>
        <v>0</v>
      </c>
      <c r="K278" s="49">
        <f>IF(INVESTORS_LIST[[#This Row],[LS_TOTAL UNITS SOLD]]=0,0,SUMIFS(LS[Realized Gain],LS[Investor ID],INVESTORS_LIST[[#This Row],[INVESTOR CODE]],LS[B/S],"S"))</f>
        <v>0</v>
      </c>
      <c r="L278" s="47">
        <f>SUMIFS(SIP[Unit],SIP[Investor ID],INVESTORS_LIST[[#This Row],[INVESTOR CODE]],SIP[B/S],"B")</f>
        <v>0</v>
      </c>
      <c r="M278" s="47">
        <f>-SUMIFS(SIP[Unit],SIP[Investor ID],INVESTORS_LIST[[#This Row],[INVESTOR CODE]],SIP[B/S],"S")</f>
        <v>0</v>
      </c>
      <c r="N278" s="50">
        <f>IF(INVESTORS_LIST[[#This Row],[SIP_TOTAL UNITS BUY]]=0,0,INVESTORS_LIST[[#This Row],[SIP_TOTAL UNITS BUY]]-INVESTORS_LIST[[#This Row],[SIP_TOTAL UNITS SOLD]])</f>
        <v>0</v>
      </c>
      <c r="O278" s="49">
        <f>IF(INVESTORS_LIST[[#This Row],[SIP_TOTAL UNITS BUY]]=0,0,SUMIFS(SIP[Amount],SIP[Investor ID],INVESTORS_LIST[[#This Row],[INVESTOR CODE]],SIP[B/S],"B"))</f>
        <v>0</v>
      </c>
      <c r="P278" s="49">
        <f>IF(INVESTORS_LIST[[#This Row],[SIP_TOTAL UNITS SOLD]]=0,0,SUMIFS(SIP[Cost of Units Sold],SIP[Investor ID],INVESTORS_LIST[[#This Row],[INVESTOR CODE]],SIP[B/S],"S"))</f>
        <v>0</v>
      </c>
      <c r="Q278" s="48">
        <f>IF(INVESTORS_LIST[[#This Row],[SIP_TOTAL CURRENT UNITS]]=0,0,INVESTORS_LIST[[#This Row],[SIP_TOTAL CURRENT UNITS]]*INVESTORS_LIST[[#This Row],[SIP_AVERAGE COST]])</f>
        <v>0</v>
      </c>
      <c r="R278" s="48">
        <f>IF(INVESTORS_LIST[[#This Row],[SIP_TOTAL UNITS SOLD]]=0,0,SUMIFS(SIP[Realized Gain],SIP[Investor ID],INVESTORS_LIST[[#This Row],[INVESTOR CODE]],SIP[B/S],"S"))</f>
        <v>0</v>
      </c>
      <c r="S278" s="50">
        <f>INVESTORS_LIST[[#This Row],[LS_TOTAL UNITS BUY]]+INVESTORS_LIST[[#This Row],[SIP_TOTAL UNITS BUY]]</f>
        <v>0</v>
      </c>
      <c r="T278" s="50">
        <f>INVESTORS_LIST[[#This Row],[LS_TOTAL UNITS SOLD]]+INVESTORS_LIST[[#This Row],[SIP_TOTAL UNITS SOLD]]</f>
        <v>0</v>
      </c>
      <c r="U278" s="50"/>
      <c r="V278" s="50">
        <f>SUMIFS(LS[BO UNIT TRANSFER],LS[Investor ID],INVESTORS_LIST[[#This Row],[INVESTOR CODE]],LS[B/S],"B")</f>
        <v>0</v>
      </c>
      <c r="W278" s="50">
        <f>SUMIFS(SIP[BO UNIT TRANSFER],SIP[Investor ID],INVESTORS_LIST[[#This Row],[INVESTOR CODE]],SIP[B/S],"B")</f>
        <v>0</v>
      </c>
      <c r="X278" s="50">
        <f>SUMIFS(LS[BO UNIT TRANSFER],LS[Investor ID],INVESTORS_LIST[[#This Row],[INVESTOR CODE]],LS[B/S],"S")</f>
        <v>0</v>
      </c>
      <c r="Y278" s="50">
        <f>SUMIFS(SIP[BO UNIT TRANSFER],SIP[Investor ID],INVESTORS_LIST[[#This Row],[INVESTOR CODE]],SIP[B/S],"S")</f>
        <v>0</v>
      </c>
      <c r="Z278" s="106">
        <f>SUM(INVESTORS_LIST[[#This Row],[BO OPENING BALANCE]:[BO SIP UNITS REPURCHASE]])</f>
        <v>0</v>
      </c>
      <c r="AA278" s="107">
        <f>INVESTORS_LIST[[#This Row],[TOTAL UNITS BUY]]-INVESTORS_LIST[[#This Row],[TOTAL UNITS SOLD]]</f>
        <v>0</v>
      </c>
      <c r="AB278" s="107">
        <f>INVESTORS_LIST[[#This Row],[TOTAL CURRENT UNITS]]-INVESTORS_LIST[[#This Row],[BO UNITS HOLD]]</f>
        <v>0</v>
      </c>
      <c r="AC278" s="201" t="e">
        <f>INDEX([3]!Table_1[BO ID],MATCH(INVESTORS_LIST[[#This Row],[INVESTOR CODE]],[3]!Table_1[INVESTOR CODE],0))</f>
        <v>#REF!</v>
      </c>
      <c r="AD278" s="201" t="e">
        <f>INDEX([3]!Table_1[Brokerage Name2],MATCH(INVESTORS_LIST[[#This Row],[INVESTOR CODE]],[3]!Table_1[INVESTOR CODE],0))</f>
        <v>#REF!</v>
      </c>
      <c r="AE278" s="201" t="e">
        <f>MID(INVESTORS_LIST[[#This Row],[BO ID]],4,5)</f>
        <v>#REF!</v>
      </c>
      <c r="AF278" s="201" t="e">
        <f>MID(INVESTORS_LIST[[#This Row],[BO ID]],2,7)</f>
        <v>#REF!</v>
      </c>
      <c r="AG278" s="201" t="e">
        <f>MID(INVESTORS_LIST[[#This Row],[BO ID]],9,7)</f>
        <v>#REF!</v>
      </c>
      <c r="AH278" s="201" t="e">
        <f>RIGHT(INVESTORS_LIST[[#This Row],[BO ID]],1)</f>
        <v>#REF!</v>
      </c>
      <c r="AI278" s="50">
        <f>INVESTORS_LIST[[#This Row],[LS_TOTAL COST VALUE OF CURRENT UNITS]]+INVESTORS_LIST[[#This Row],[SIP_TOTAL COST VALUE OF CURRENT UNITS]]</f>
        <v>0</v>
      </c>
      <c r="AJ278" s="109">
        <f>IF(INVESTORS_LIST[[#This Row],[TOTAL CURRENT UNITS]]=0,0,INVESTORS_LIST[[#This Row],[LS_TOTAL CURRENT UNITS]]/INVESTORS_LIST[[#This Row],[TOTAL CURRENT UNITS]])</f>
        <v>0</v>
      </c>
      <c r="AK278" s="109">
        <f>IF(INVESTORS_LIST[[#This Row],[TOTAL CURRENT UNITS]]=0,0,INVESTORS_LIST[[#This Row],[SIP_TOTAL CURRENT UNITS]]/INVESTORS_LIST[[#This Row],[TOTAL CURRENT UNITS]])</f>
        <v>0</v>
      </c>
      <c r="AL278" s="49" cm="1">
        <f t="array" ref="AL2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8" s="49" cm="1">
        <f t="array" ref="AM2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8" s="105">
        <f t="shared" si="5"/>
        <v>14.224</v>
      </c>
      <c r="AP278" s="112">
        <f>IF(INVESTORS_LIST[[#This Row],[TOTAL CURRENT UNITS]]=0,0,INVESTORS_LIST[[#This Row],[TOTAL CURRENT UNITS]]*INVESTORS_LIST[[#This Row],[NAV]])</f>
        <v>0</v>
      </c>
      <c r="AQ278" s="49">
        <f>IF(INVESTORS_LIST[[#This Row],[LS_TOTAL CURRENT UNITS]]=0,0,INVESTORS_LIST[[#This Row],[LS_TOTAL CURRENT UNITS]]*INVESTORS_LIST[[#This Row],[NAV]])</f>
        <v>0</v>
      </c>
      <c r="AR278" s="48">
        <f>IF(INVESTORS_LIST[[#This Row],[SIP_TOTAL CURRENT UNITS]]=0,0,INVESTORS_LIST[[#This Row],[SIP_TOTAL CURRENT UNITS]]*INVESTORS_LIST[[#This Row],[NAV]])</f>
        <v>0</v>
      </c>
      <c r="AS278" s="50">
        <f>INVESTORS_LIST[[#This Row],[TOTAL CURRENT UNITS]]</f>
        <v>0</v>
      </c>
      <c r="AT278" s="48">
        <f>IF(INVESTORS_LIST[[#This Row],[TOTAL SELLABLE UNITS]]=0,0,INVESTORS_LIST[[#This Row],[TOTAL SELLABLE UNITS]]*INVESTORS_LIST[[#This Row],[NAV]])</f>
        <v>0</v>
      </c>
      <c r="AU278" s="48">
        <f>INVESTORS_LIST[[#This Row],[LS_TOTAL REALIZED GAIN]]+INVESTORS_LIST[[#This Row],[SIP_TOTAL REALIZED GAIN]]</f>
        <v>0</v>
      </c>
      <c r="AV278" s="48">
        <f>INVESTORS_LIST[[#This Row],[TOTAL MARKET VALUE]]-INVESTORS_LIST[[#This Row],[TOTAL COST VALUE OF CURRENT INVESTMENT]]</f>
        <v>0</v>
      </c>
      <c r="AW278" s="48">
        <f>IFERROR(INVESTORS_LIST[[#This Row],[TOTAL CURRENT UNITS]]/SUM(INVESTORS_LIST[TOTAL CURRENT UNITS]),0)</f>
        <v>0</v>
      </c>
    </row>
    <row r="279" spans="1:49" hidden="1">
      <c r="A279" s="262" t="s">
        <v>605</v>
      </c>
      <c r="B279" s="97" t="s">
        <v>606</v>
      </c>
      <c r="C279" t="s">
        <v>44</v>
      </c>
      <c r="D279" s="75" t="s">
        <v>45</v>
      </c>
      <c r="E279" s="47">
        <f>SUMIFS(LS[Unit],LS[Investor ID],INVESTORS_LIST[[#This Row],[INVESTOR CODE]],LS[B/S],"B")</f>
        <v>124010</v>
      </c>
      <c r="F279" s="47">
        <f>-SUMIFS(LS[Unit],LS[Investor ID],INVESTORS_LIST[[#This Row],[INVESTOR CODE]],LS[B/S],"S")</f>
        <v>124010</v>
      </c>
      <c r="G279" s="47">
        <f>IF(INVESTORS_LIST[[#This Row],[LS_TOTAL UNITS BUY]]=0,0,INVESTORS_LIST[[#This Row],[LS_TOTAL UNITS BUY]]-INVESTORS_LIST[[#This Row],[LS_TOTAL UNITS SOLD]])</f>
        <v>0</v>
      </c>
      <c r="H279" s="49">
        <f>IF(INVESTORS_LIST[[#This Row],[LS_TOTAL UNITS BUY]]=0,0,SUMIFS(LS[Amount],LS[Investor ID],INVESTORS_LIST[[#This Row],[INVESTOR CODE]],LS[B/S],"B"))</f>
        <v>1300000</v>
      </c>
      <c r="I279" s="48">
        <f>IF(INVESTORS_LIST[[#This Row],[LS_TOTAL UNITS SOLD]]=0,0,SUMIFS(LS[Cost of Units Sold],LS[Investor ID],INVESTORS_LIST[[#This Row],[INVESTOR CODE]],LS[B/S],"S"))</f>
        <v>1300000</v>
      </c>
      <c r="J279" s="48">
        <f>IF(INVESTORS_LIST[[#This Row],[LS_TOTAL CURRENT UNITS]]=0,0,INVESTORS_LIST[[#This Row],[LS_TOTAL CURRENT UNITS]]*INVESTORS_LIST[[#This Row],[LS_AVERAGE COST]])</f>
        <v>0</v>
      </c>
      <c r="K279" s="49">
        <f>IF(INVESTORS_LIST[[#This Row],[LS_TOTAL UNITS SOLD]]=0,0,SUMIFS(LS[Realized Gain],LS[Investor ID],INVESTORS_LIST[[#This Row],[INVESTOR CODE]],LS[B/S],"S"))</f>
        <v>41165.540000000037</v>
      </c>
      <c r="L279" s="47">
        <f>SUMIFS(SIP[Unit],SIP[Investor ID],INVESTORS_LIST[[#This Row],[INVESTOR CODE]],SIP[B/S],"B")</f>
        <v>0</v>
      </c>
      <c r="M279" s="47">
        <f>-SUMIFS(SIP[Unit],SIP[Investor ID],INVESTORS_LIST[[#This Row],[INVESTOR CODE]],SIP[B/S],"S")</f>
        <v>0</v>
      </c>
      <c r="N279" s="50">
        <f>IF(INVESTORS_LIST[[#This Row],[SIP_TOTAL UNITS BUY]]=0,0,INVESTORS_LIST[[#This Row],[SIP_TOTAL UNITS BUY]]-INVESTORS_LIST[[#This Row],[SIP_TOTAL UNITS SOLD]])</f>
        <v>0</v>
      </c>
      <c r="O279" s="49">
        <f>IF(INVESTORS_LIST[[#This Row],[SIP_TOTAL UNITS BUY]]=0,0,SUMIFS(SIP[Amount],SIP[Investor ID],INVESTORS_LIST[[#This Row],[INVESTOR CODE]],SIP[B/S],"B"))</f>
        <v>0</v>
      </c>
      <c r="P279" s="49">
        <f>IF(INVESTORS_LIST[[#This Row],[SIP_TOTAL UNITS SOLD]]=0,0,SUMIFS(SIP[Cost of Units Sold],SIP[Investor ID],INVESTORS_LIST[[#This Row],[INVESTOR CODE]],SIP[B/S],"S"))</f>
        <v>0</v>
      </c>
      <c r="Q279" s="48">
        <f>IF(INVESTORS_LIST[[#This Row],[SIP_TOTAL CURRENT UNITS]]=0,0,INVESTORS_LIST[[#This Row],[SIP_TOTAL CURRENT UNITS]]*INVESTORS_LIST[[#This Row],[SIP_AVERAGE COST]])</f>
        <v>0</v>
      </c>
      <c r="R279" s="48">
        <f>IF(INVESTORS_LIST[[#This Row],[SIP_TOTAL UNITS SOLD]]=0,0,SUMIFS(SIP[Realized Gain],SIP[Investor ID],INVESTORS_LIST[[#This Row],[INVESTOR CODE]],SIP[B/S],"S"))</f>
        <v>0</v>
      </c>
      <c r="S279" s="50">
        <f>INVESTORS_LIST[[#This Row],[LS_TOTAL UNITS BUY]]+INVESTORS_LIST[[#This Row],[SIP_TOTAL UNITS BUY]]</f>
        <v>124010</v>
      </c>
      <c r="T279" s="50">
        <f>INVESTORS_LIST[[#This Row],[LS_TOTAL UNITS SOLD]]+INVESTORS_LIST[[#This Row],[SIP_TOTAL UNITS SOLD]]</f>
        <v>124010</v>
      </c>
      <c r="U279" s="50"/>
      <c r="V279" s="50">
        <f>SUMIFS(LS[BO UNIT TRANSFER],LS[Investor ID],INVESTORS_LIST[[#This Row],[INVESTOR CODE]],LS[B/S],"B")</f>
        <v>0</v>
      </c>
      <c r="W279" s="50">
        <f>SUMIFS(SIP[BO UNIT TRANSFER],SIP[Investor ID],INVESTORS_LIST[[#This Row],[INVESTOR CODE]],SIP[B/S],"B")</f>
        <v>0</v>
      </c>
      <c r="X279" s="50">
        <f>SUMIFS(LS[BO UNIT TRANSFER],LS[Investor ID],INVESTORS_LIST[[#This Row],[INVESTOR CODE]],LS[B/S],"S")</f>
        <v>0</v>
      </c>
      <c r="Y279" s="50">
        <f>SUMIFS(SIP[BO UNIT TRANSFER],SIP[Investor ID],INVESTORS_LIST[[#This Row],[INVESTOR CODE]],SIP[B/S],"S")</f>
        <v>0</v>
      </c>
      <c r="Z279" s="106">
        <f>SUM(INVESTORS_LIST[[#This Row],[BO OPENING BALANCE]:[BO SIP UNITS REPURCHASE]])</f>
        <v>0</v>
      </c>
      <c r="AA279" s="107">
        <f>INVESTORS_LIST[[#This Row],[TOTAL UNITS BUY]]-INVESTORS_LIST[[#This Row],[TOTAL UNITS SOLD]]</f>
        <v>0</v>
      </c>
      <c r="AB279" s="107">
        <f>INVESTORS_LIST[[#This Row],[TOTAL CURRENT UNITS]]-INVESTORS_LIST[[#This Row],[BO UNITS HOLD]]</f>
        <v>0</v>
      </c>
      <c r="AC279" s="201" t="e">
        <f>INDEX([3]!Table_1[BO ID],MATCH(INVESTORS_LIST[[#This Row],[INVESTOR CODE]],[3]!Table_1[INVESTOR CODE],0))</f>
        <v>#REF!</v>
      </c>
      <c r="AD279" s="201" t="e">
        <f>INDEX([3]!Table_1[Brokerage Name2],MATCH(INVESTORS_LIST[[#This Row],[INVESTOR CODE]],[3]!Table_1[INVESTOR CODE],0))</f>
        <v>#REF!</v>
      </c>
      <c r="AE279" s="201" t="e">
        <f>MID(INVESTORS_LIST[[#This Row],[BO ID]],4,5)</f>
        <v>#REF!</v>
      </c>
      <c r="AF279" s="201" t="e">
        <f>MID(INVESTORS_LIST[[#This Row],[BO ID]],2,7)</f>
        <v>#REF!</v>
      </c>
      <c r="AG279" s="201" t="e">
        <f>MID(INVESTORS_LIST[[#This Row],[BO ID]],9,7)</f>
        <v>#REF!</v>
      </c>
      <c r="AH279" s="201" t="e">
        <f>RIGHT(INVESTORS_LIST[[#This Row],[BO ID]],1)</f>
        <v>#REF!</v>
      </c>
      <c r="AI279" s="50">
        <f>INVESTORS_LIST[[#This Row],[LS_TOTAL COST VALUE OF CURRENT UNITS]]+INVESTORS_LIST[[#This Row],[SIP_TOTAL COST VALUE OF CURRENT UNITS]]</f>
        <v>0</v>
      </c>
      <c r="AJ279" s="109">
        <f>IF(INVESTORS_LIST[[#This Row],[TOTAL CURRENT UNITS]]=0,0,INVESTORS_LIST[[#This Row],[LS_TOTAL CURRENT UNITS]]/INVESTORS_LIST[[#This Row],[TOTAL CURRENT UNITS]])</f>
        <v>0</v>
      </c>
      <c r="AK279" s="109">
        <f>IF(INVESTORS_LIST[[#This Row],[TOTAL CURRENT UNITS]]=0,0,INVESTORS_LIST[[#This Row],[SIP_TOTAL CURRENT UNITS]]/INVESTORS_LIST[[#This Row],[TOTAL CURRENT UNITS]])</f>
        <v>0</v>
      </c>
      <c r="AL279" s="49" cm="1">
        <f t="array" ref="AL2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79" s="49" cm="1">
        <f t="array" ref="AM2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79" s="105">
        <f t="shared" si="5"/>
        <v>14.224</v>
      </c>
      <c r="AP279" s="112">
        <f>IF(INVESTORS_LIST[[#This Row],[TOTAL CURRENT UNITS]]=0,0,INVESTORS_LIST[[#This Row],[TOTAL CURRENT UNITS]]*INVESTORS_LIST[[#This Row],[NAV]])</f>
        <v>0</v>
      </c>
      <c r="AQ279" s="49">
        <f>IF(INVESTORS_LIST[[#This Row],[LS_TOTAL CURRENT UNITS]]=0,0,INVESTORS_LIST[[#This Row],[LS_TOTAL CURRENT UNITS]]*INVESTORS_LIST[[#This Row],[NAV]])</f>
        <v>0</v>
      </c>
      <c r="AR279" s="48">
        <f>IF(INVESTORS_LIST[[#This Row],[SIP_TOTAL CURRENT UNITS]]=0,0,INVESTORS_LIST[[#This Row],[SIP_TOTAL CURRENT UNITS]]*INVESTORS_LIST[[#This Row],[NAV]])</f>
        <v>0</v>
      </c>
      <c r="AS279" s="50">
        <f>INVESTORS_LIST[[#This Row],[TOTAL CURRENT UNITS]]</f>
        <v>0</v>
      </c>
      <c r="AT279" s="48">
        <f>IF(INVESTORS_LIST[[#This Row],[TOTAL SELLABLE UNITS]]=0,0,INVESTORS_LIST[[#This Row],[TOTAL SELLABLE UNITS]]*INVESTORS_LIST[[#This Row],[NAV]])</f>
        <v>0</v>
      </c>
      <c r="AU279" s="48">
        <f>INVESTORS_LIST[[#This Row],[LS_TOTAL REALIZED GAIN]]+INVESTORS_LIST[[#This Row],[SIP_TOTAL REALIZED GAIN]]</f>
        <v>41165.540000000037</v>
      </c>
      <c r="AV279" s="48">
        <f>INVESTORS_LIST[[#This Row],[TOTAL MARKET VALUE]]-INVESTORS_LIST[[#This Row],[TOTAL COST VALUE OF CURRENT INVESTMENT]]</f>
        <v>0</v>
      </c>
      <c r="AW279" s="108">
        <f>IFERROR(INVESTORS_LIST[[#This Row],[TOTAL CURRENT UNITS]]/SUM(INVESTORS_LIST[TOTAL CURRENT UNITS]),0)</f>
        <v>0</v>
      </c>
    </row>
    <row r="280" spans="1:49" hidden="1">
      <c r="A280" s="262" t="s">
        <v>607</v>
      </c>
      <c r="B280" s="97" t="s">
        <v>608</v>
      </c>
      <c r="C280" t="s">
        <v>44</v>
      </c>
      <c r="D280" s="75" t="s">
        <v>45</v>
      </c>
      <c r="E280" s="47">
        <f>SUMIFS(LS[Unit],LS[Investor ID],INVESTORS_LIST[[#This Row],[INVESTOR CODE]],LS[B/S],"B")</f>
        <v>0</v>
      </c>
      <c r="F280" s="47">
        <f>-SUMIFS(LS[Unit],LS[Investor ID],INVESTORS_LIST[[#This Row],[INVESTOR CODE]],LS[B/S],"S")</f>
        <v>0</v>
      </c>
      <c r="G280" s="47">
        <f>IF(INVESTORS_LIST[[#This Row],[LS_TOTAL UNITS BUY]]=0,0,INVESTORS_LIST[[#This Row],[LS_TOTAL UNITS BUY]]-INVESTORS_LIST[[#This Row],[LS_TOTAL UNITS SOLD]])</f>
        <v>0</v>
      </c>
      <c r="H280" s="49">
        <f>IF(INVESTORS_LIST[[#This Row],[LS_TOTAL UNITS BUY]]=0,0,SUMIFS(LS[Amount],LS[Investor ID],INVESTORS_LIST[[#This Row],[INVESTOR CODE]],LS[B/S],"B"))</f>
        <v>0</v>
      </c>
      <c r="I280" s="48">
        <f>IF(INVESTORS_LIST[[#This Row],[LS_TOTAL UNITS SOLD]]=0,0,SUMIFS(LS[Cost of Units Sold],LS[Investor ID],INVESTORS_LIST[[#This Row],[INVESTOR CODE]],LS[B/S],"S"))</f>
        <v>0</v>
      </c>
      <c r="J280" s="48">
        <f>IF(INVESTORS_LIST[[#This Row],[LS_TOTAL CURRENT UNITS]]=0,0,INVESTORS_LIST[[#This Row],[LS_TOTAL CURRENT UNITS]]*INVESTORS_LIST[[#This Row],[LS_AVERAGE COST]])</f>
        <v>0</v>
      </c>
      <c r="K280" s="49">
        <f>IF(INVESTORS_LIST[[#This Row],[LS_TOTAL UNITS SOLD]]=0,0,SUMIFS(LS[Realized Gain],LS[Investor ID],INVESTORS_LIST[[#This Row],[INVESTOR CODE]],LS[B/S],"S"))</f>
        <v>0</v>
      </c>
      <c r="L280" s="47">
        <f>SUMIFS(SIP[Unit],SIP[Investor ID],INVESTORS_LIST[[#This Row],[INVESTOR CODE]],SIP[B/S],"B")</f>
        <v>0</v>
      </c>
      <c r="M280" s="47">
        <f>-SUMIFS(SIP[Unit],SIP[Investor ID],INVESTORS_LIST[[#This Row],[INVESTOR CODE]],SIP[B/S],"S")</f>
        <v>0</v>
      </c>
      <c r="N280" s="50">
        <f>IF(INVESTORS_LIST[[#This Row],[SIP_TOTAL UNITS BUY]]=0,0,INVESTORS_LIST[[#This Row],[SIP_TOTAL UNITS BUY]]-INVESTORS_LIST[[#This Row],[SIP_TOTAL UNITS SOLD]])</f>
        <v>0</v>
      </c>
      <c r="O280" s="49">
        <f>IF(INVESTORS_LIST[[#This Row],[SIP_TOTAL UNITS BUY]]=0,0,SUMIFS(SIP[Amount],SIP[Investor ID],INVESTORS_LIST[[#This Row],[INVESTOR CODE]],SIP[B/S],"B"))</f>
        <v>0</v>
      </c>
      <c r="P280" s="49">
        <f>IF(INVESTORS_LIST[[#This Row],[SIP_TOTAL UNITS SOLD]]=0,0,SUMIFS(SIP[Cost of Units Sold],SIP[Investor ID],INVESTORS_LIST[[#This Row],[INVESTOR CODE]],SIP[B/S],"S"))</f>
        <v>0</v>
      </c>
      <c r="Q280" s="48">
        <f>IF(INVESTORS_LIST[[#This Row],[SIP_TOTAL CURRENT UNITS]]=0,0,INVESTORS_LIST[[#This Row],[SIP_TOTAL CURRENT UNITS]]*INVESTORS_LIST[[#This Row],[SIP_AVERAGE COST]])</f>
        <v>0</v>
      </c>
      <c r="R280" s="48">
        <f>IF(INVESTORS_LIST[[#This Row],[SIP_TOTAL UNITS SOLD]]=0,0,SUMIFS(SIP[Realized Gain],SIP[Investor ID],INVESTORS_LIST[[#This Row],[INVESTOR CODE]],SIP[B/S],"S"))</f>
        <v>0</v>
      </c>
      <c r="S280" s="50">
        <f>INVESTORS_LIST[[#This Row],[LS_TOTAL UNITS BUY]]+INVESTORS_LIST[[#This Row],[SIP_TOTAL UNITS BUY]]</f>
        <v>0</v>
      </c>
      <c r="T280" s="50">
        <f>INVESTORS_LIST[[#This Row],[LS_TOTAL UNITS SOLD]]+INVESTORS_LIST[[#This Row],[SIP_TOTAL UNITS SOLD]]</f>
        <v>0</v>
      </c>
      <c r="U280" s="50"/>
      <c r="V280" s="50">
        <f>SUMIFS(LS[BO UNIT TRANSFER],LS[Investor ID],INVESTORS_LIST[[#This Row],[INVESTOR CODE]],LS[B/S],"B")</f>
        <v>0</v>
      </c>
      <c r="W280" s="50">
        <f>SUMIFS(SIP[BO UNIT TRANSFER],SIP[Investor ID],INVESTORS_LIST[[#This Row],[INVESTOR CODE]],SIP[B/S],"B")</f>
        <v>0</v>
      </c>
      <c r="X280" s="50">
        <f>SUMIFS(LS[BO UNIT TRANSFER],LS[Investor ID],INVESTORS_LIST[[#This Row],[INVESTOR CODE]],LS[B/S],"S")</f>
        <v>0</v>
      </c>
      <c r="Y280" s="50">
        <f>SUMIFS(SIP[BO UNIT TRANSFER],SIP[Investor ID],INVESTORS_LIST[[#This Row],[INVESTOR CODE]],SIP[B/S],"S")</f>
        <v>0</v>
      </c>
      <c r="Z280" s="106">
        <f>SUM(INVESTORS_LIST[[#This Row],[BO OPENING BALANCE]:[BO SIP UNITS REPURCHASE]])</f>
        <v>0</v>
      </c>
      <c r="AA280" s="107">
        <f>INVESTORS_LIST[[#This Row],[TOTAL UNITS BUY]]-INVESTORS_LIST[[#This Row],[TOTAL UNITS SOLD]]</f>
        <v>0</v>
      </c>
      <c r="AB280" s="107">
        <f>INVESTORS_LIST[[#This Row],[TOTAL CURRENT UNITS]]-INVESTORS_LIST[[#This Row],[BO UNITS HOLD]]</f>
        <v>0</v>
      </c>
      <c r="AC280" s="201" t="e">
        <f>INDEX([3]!Table_1[BO ID],MATCH(INVESTORS_LIST[[#This Row],[INVESTOR CODE]],[3]!Table_1[INVESTOR CODE],0))</f>
        <v>#REF!</v>
      </c>
      <c r="AD280" s="201" t="e">
        <f>INDEX([3]!Table_1[Brokerage Name2],MATCH(INVESTORS_LIST[[#This Row],[INVESTOR CODE]],[3]!Table_1[INVESTOR CODE],0))</f>
        <v>#REF!</v>
      </c>
      <c r="AE280" s="201" t="e">
        <f>MID(INVESTORS_LIST[[#This Row],[BO ID]],4,5)</f>
        <v>#REF!</v>
      </c>
      <c r="AF280" s="201" t="e">
        <f>MID(INVESTORS_LIST[[#This Row],[BO ID]],2,7)</f>
        <v>#REF!</v>
      </c>
      <c r="AG280" s="201" t="e">
        <f>MID(INVESTORS_LIST[[#This Row],[BO ID]],9,7)</f>
        <v>#REF!</v>
      </c>
      <c r="AH280" s="201" t="e">
        <f>RIGHT(INVESTORS_LIST[[#This Row],[BO ID]],1)</f>
        <v>#REF!</v>
      </c>
      <c r="AI280" s="50">
        <f>INVESTORS_LIST[[#This Row],[LS_TOTAL COST VALUE OF CURRENT UNITS]]+INVESTORS_LIST[[#This Row],[SIP_TOTAL COST VALUE OF CURRENT UNITS]]</f>
        <v>0</v>
      </c>
      <c r="AJ280" s="109">
        <f>IF(INVESTORS_LIST[[#This Row],[TOTAL CURRENT UNITS]]=0,0,INVESTORS_LIST[[#This Row],[LS_TOTAL CURRENT UNITS]]/INVESTORS_LIST[[#This Row],[TOTAL CURRENT UNITS]])</f>
        <v>0</v>
      </c>
      <c r="AK280" s="109">
        <f>IF(INVESTORS_LIST[[#This Row],[TOTAL CURRENT UNITS]]=0,0,INVESTORS_LIST[[#This Row],[SIP_TOTAL CURRENT UNITS]]/INVESTORS_LIST[[#This Row],[TOTAL CURRENT UNITS]])</f>
        <v>0</v>
      </c>
      <c r="AL280" s="49" cm="1">
        <f t="array" ref="AL2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0" s="49" cm="1">
        <f t="array" ref="AM2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0" s="105">
        <f t="shared" si="5"/>
        <v>14.224</v>
      </c>
      <c r="AP280" s="112">
        <f>IF(INVESTORS_LIST[[#This Row],[TOTAL CURRENT UNITS]]=0,0,INVESTORS_LIST[[#This Row],[TOTAL CURRENT UNITS]]*INVESTORS_LIST[[#This Row],[NAV]])</f>
        <v>0</v>
      </c>
      <c r="AQ280" s="49">
        <f>IF(INVESTORS_LIST[[#This Row],[LS_TOTAL CURRENT UNITS]]=0,0,INVESTORS_LIST[[#This Row],[LS_TOTAL CURRENT UNITS]]*INVESTORS_LIST[[#This Row],[NAV]])</f>
        <v>0</v>
      </c>
      <c r="AR280" s="48">
        <f>IF(INVESTORS_LIST[[#This Row],[SIP_TOTAL CURRENT UNITS]]=0,0,INVESTORS_LIST[[#This Row],[SIP_TOTAL CURRENT UNITS]]*INVESTORS_LIST[[#This Row],[NAV]])</f>
        <v>0</v>
      </c>
      <c r="AS280" s="50">
        <f>INVESTORS_LIST[[#This Row],[TOTAL CURRENT UNITS]]</f>
        <v>0</v>
      </c>
      <c r="AT280" s="48">
        <f>IF(INVESTORS_LIST[[#This Row],[TOTAL SELLABLE UNITS]]=0,0,INVESTORS_LIST[[#This Row],[TOTAL SELLABLE UNITS]]*INVESTORS_LIST[[#This Row],[NAV]])</f>
        <v>0</v>
      </c>
      <c r="AU280" s="48">
        <f>INVESTORS_LIST[[#This Row],[LS_TOTAL REALIZED GAIN]]+INVESTORS_LIST[[#This Row],[SIP_TOTAL REALIZED GAIN]]</f>
        <v>0</v>
      </c>
      <c r="AV280" s="48">
        <f>INVESTORS_LIST[[#This Row],[TOTAL MARKET VALUE]]-INVESTORS_LIST[[#This Row],[TOTAL COST VALUE OF CURRENT INVESTMENT]]</f>
        <v>0</v>
      </c>
      <c r="AW280" s="48">
        <f>IFERROR(INVESTORS_LIST[[#This Row],[TOTAL CURRENT UNITS]]/SUM(INVESTORS_LIST[TOTAL CURRENT UNITS]),0)</f>
        <v>0</v>
      </c>
    </row>
    <row r="281" spans="1:49" hidden="1">
      <c r="A281" s="262" t="s">
        <v>609</v>
      </c>
      <c r="B281" s="97" t="s">
        <v>610</v>
      </c>
      <c r="C281" t="s">
        <v>44</v>
      </c>
      <c r="D281" s="75" t="s">
        <v>45</v>
      </c>
      <c r="E281" s="47">
        <f>SUMIFS(LS[Unit],LS[Investor ID],INVESTORS_LIST[[#This Row],[INVESTOR CODE]],LS[B/S],"B")</f>
        <v>0</v>
      </c>
      <c r="F281" s="47">
        <f>-SUMIFS(LS[Unit],LS[Investor ID],INVESTORS_LIST[[#This Row],[INVESTOR CODE]],LS[B/S],"S")</f>
        <v>0</v>
      </c>
      <c r="G281" s="47">
        <f>IF(INVESTORS_LIST[[#This Row],[LS_TOTAL UNITS BUY]]=0,0,INVESTORS_LIST[[#This Row],[LS_TOTAL UNITS BUY]]-INVESTORS_LIST[[#This Row],[LS_TOTAL UNITS SOLD]])</f>
        <v>0</v>
      </c>
      <c r="H281" s="49">
        <f>IF(INVESTORS_LIST[[#This Row],[LS_TOTAL UNITS BUY]]=0,0,SUMIFS(LS[Amount],LS[Investor ID],INVESTORS_LIST[[#This Row],[INVESTOR CODE]],LS[B/S],"B"))</f>
        <v>0</v>
      </c>
      <c r="I281" s="48">
        <f>IF(INVESTORS_LIST[[#This Row],[LS_TOTAL UNITS SOLD]]=0,0,SUMIFS(LS[Cost of Units Sold],LS[Investor ID],INVESTORS_LIST[[#This Row],[INVESTOR CODE]],LS[B/S],"S"))</f>
        <v>0</v>
      </c>
      <c r="J281" s="48">
        <f>IF(INVESTORS_LIST[[#This Row],[LS_TOTAL CURRENT UNITS]]=0,0,INVESTORS_LIST[[#This Row],[LS_TOTAL CURRENT UNITS]]*INVESTORS_LIST[[#This Row],[LS_AVERAGE COST]])</f>
        <v>0</v>
      </c>
      <c r="K281" s="49">
        <f>IF(INVESTORS_LIST[[#This Row],[LS_TOTAL UNITS SOLD]]=0,0,SUMIFS(LS[Realized Gain],LS[Investor ID],INVESTORS_LIST[[#This Row],[INVESTOR CODE]],LS[B/S],"S"))</f>
        <v>0</v>
      </c>
      <c r="L281" s="47">
        <f>SUMIFS(SIP[Unit],SIP[Investor ID],INVESTORS_LIST[[#This Row],[INVESTOR CODE]],SIP[B/S],"B")</f>
        <v>0</v>
      </c>
      <c r="M281" s="47">
        <f>-SUMIFS(SIP[Unit],SIP[Investor ID],INVESTORS_LIST[[#This Row],[INVESTOR CODE]],SIP[B/S],"S")</f>
        <v>0</v>
      </c>
      <c r="N281" s="50">
        <f>IF(INVESTORS_LIST[[#This Row],[SIP_TOTAL UNITS BUY]]=0,0,INVESTORS_LIST[[#This Row],[SIP_TOTAL UNITS BUY]]-INVESTORS_LIST[[#This Row],[SIP_TOTAL UNITS SOLD]])</f>
        <v>0</v>
      </c>
      <c r="O281" s="49">
        <f>IF(INVESTORS_LIST[[#This Row],[SIP_TOTAL UNITS BUY]]=0,0,SUMIFS(SIP[Amount],SIP[Investor ID],INVESTORS_LIST[[#This Row],[INVESTOR CODE]],SIP[B/S],"B"))</f>
        <v>0</v>
      </c>
      <c r="P281" s="49">
        <f>IF(INVESTORS_LIST[[#This Row],[SIP_TOTAL UNITS SOLD]]=0,0,SUMIFS(SIP[Cost of Units Sold],SIP[Investor ID],INVESTORS_LIST[[#This Row],[INVESTOR CODE]],SIP[B/S],"S"))</f>
        <v>0</v>
      </c>
      <c r="Q281" s="48">
        <f>IF(INVESTORS_LIST[[#This Row],[SIP_TOTAL CURRENT UNITS]]=0,0,INVESTORS_LIST[[#This Row],[SIP_TOTAL CURRENT UNITS]]*INVESTORS_LIST[[#This Row],[SIP_AVERAGE COST]])</f>
        <v>0</v>
      </c>
      <c r="R281" s="48">
        <f>IF(INVESTORS_LIST[[#This Row],[SIP_TOTAL UNITS SOLD]]=0,0,SUMIFS(SIP[Realized Gain],SIP[Investor ID],INVESTORS_LIST[[#This Row],[INVESTOR CODE]],SIP[B/S],"S"))</f>
        <v>0</v>
      </c>
      <c r="S281" s="50">
        <f>INVESTORS_LIST[[#This Row],[LS_TOTAL UNITS BUY]]+INVESTORS_LIST[[#This Row],[SIP_TOTAL UNITS BUY]]</f>
        <v>0</v>
      </c>
      <c r="T281" s="50">
        <f>INVESTORS_LIST[[#This Row],[LS_TOTAL UNITS SOLD]]+INVESTORS_LIST[[#This Row],[SIP_TOTAL UNITS SOLD]]</f>
        <v>0</v>
      </c>
      <c r="U281" s="50"/>
      <c r="V281" s="50">
        <f>SUMIFS(LS[BO UNIT TRANSFER],LS[Investor ID],INVESTORS_LIST[[#This Row],[INVESTOR CODE]],LS[B/S],"B")</f>
        <v>0</v>
      </c>
      <c r="W281" s="50">
        <f>SUMIFS(SIP[BO UNIT TRANSFER],SIP[Investor ID],INVESTORS_LIST[[#This Row],[INVESTOR CODE]],SIP[B/S],"B")</f>
        <v>0</v>
      </c>
      <c r="X281" s="50">
        <f>SUMIFS(LS[BO UNIT TRANSFER],LS[Investor ID],INVESTORS_LIST[[#This Row],[INVESTOR CODE]],LS[B/S],"S")</f>
        <v>0</v>
      </c>
      <c r="Y281" s="50">
        <f>SUMIFS(SIP[BO UNIT TRANSFER],SIP[Investor ID],INVESTORS_LIST[[#This Row],[INVESTOR CODE]],SIP[B/S],"S")</f>
        <v>0</v>
      </c>
      <c r="Z281" s="106">
        <f>SUM(INVESTORS_LIST[[#This Row],[BO OPENING BALANCE]:[BO SIP UNITS REPURCHASE]])</f>
        <v>0</v>
      </c>
      <c r="AA281" s="107">
        <f>INVESTORS_LIST[[#This Row],[TOTAL UNITS BUY]]-INVESTORS_LIST[[#This Row],[TOTAL UNITS SOLD]]</f>
        <v>0</v>
      </c>
      <c r="AB281" s="107">
        <f>INVESTORS_LIST[[#This Row],[TOTAL CURRENT UNITS]]-INVESTORS_LIST[[#This Row],[BO UNITS HOLD]]</f>
        <v>0</v>
      </c>
      <c r="AC281" s="201" t="e">
        <f>INDEX([3]!Table_1[BO ID],MATCH(INVESTORS_LIST[[#This Row],[INVESTOR CODE]],[3]!Table_1[INVESTOR CODE],0))</f>
        <v>#REF!</v>
      </c>
      <c r="AD281" s="201" t="e">
        <f>INDEX([3]!Table_1[Brokerage Name2],MATCH(INVESTORS_LIST[[#This Row],[INVESTOR CODE]],[3]!Table_1[INVESTOR CODE],0))</f>
        <v>#REF!</v>
      </c>
      <c r="AE281" s="201" t="e">
        <f>MID(INVESTORS_LIST[[#This Row],[BO ID]],4,5)</f>
        <v>#REF!</v>
      </c>
      <c r="AF281" s="201" t="e">
        <f>MID(INVESTORS_LIST[[#This Row],[BO ID]],2,7)</f>
        <v>#REF!</v>
      </c>
      <c r="AG281" s="201" t="e">
        <f>MID(INVESTORS_LIST[[#This Row],[BO ID]],9,7)</f>
        <v>#REF!</v>
      </c>
      <c r="AH281" s="201" t="e">
        <f>RIGHT(INVESTORS_LIST[[#This Row],[BO ID]],1)</f>
        <v>#REF!</v>
      </c>
      <c r="AI281" s="50">
        <f>INVESTORS_LIST[[#This Row],[LS_TOTAL COST VALUE OF CURRENT UNITS]]+INVESTORS_LIST[[#This Row],[SIP_TOTAL COST VALUE OF CURRENT UNITS]]</f>
        <v>0</v>
      </c>
      <c r="AJ281" s="109">
        <f>IF(INVESTORS_LIST[[#This Row],[TOTAL CURRENT UNITS]]=0,0,INVESTORS_LIST[[#This Row],[LS_TOTAL CURRENT UNITS]]/INVESTORS_LIST[[#This Row],[TOTAL CURRENT UNITS]])</f>
        <v>0</v>
      </c>
      <c r="AK281" s="109">
        <f>IF(INVESTORS_LIST[[#This Row],[TOTAL CURRENT UNITS]]=0,0,INVESTORS_LIST[[#This Row],[SIP_TOTAL CURRENT UNITS]]/INVESTORS_LIST[[#This Row],[TOTAL CURRENT UNITS]])</f>
        <v>0</v>
      </c>
      <c r="AL281" s="49" cm="1">
        <f t="array" ref="AL2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1" s="49" cm="1">
        <f t="array" ref="AM2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1" s="105">
        <f t="shared" si="5"/>
        <v>14.224</v>
      </c>
      <c r="AP281" s="112">
        <f>IF(INVESTORS_LIST[[#This Row],[TOTAL CURRENT UNITS]]=0,0,INVESTORS_LIST[[#This Row],[TOTAL CURRENT UNITS]]*INVESTORS_LIST[[#This Row],[NAV]])</f>
        <v>0</v>
      </c>
      <c r="AQ281" s="49">
        <f>IF(INVESTORS_LIST[[#This Row],[LS_TOTAL CURRENT UNITS]]=0,0,INVESTORS_LIST[[#This Row],[LS_TOTAL CURRENT UNITS]]*INVESTORS_LIST[[#This Row],[NAV]])</f>
        <v>0</v>
      </c>
      <c r="AR281" s="48">
        <f>IF(INVESTORS_LIST[[#This Row],[SIP_TOTAL CURRENT UNITS]]=0,0,INVESTORS_LIST[[#This Row],[SIP_TOTAL CURRENT UNITS]]*INVESTORS_LIST[[#This Row],[NAV]])</f>
        <v>0</v>
      </c>
      <c r="AS281" s="50">
        <f>INVESTORS_LIST[[#This Row],[TOTAL CURRENT UNITS]]</f>
        <v>0</v>
      </c>
      <c r="AT281" s="48">
        <f>IF(INVESTORS_LIST[[#This Row],[TOTAL SELLABLE UNITS]]=0,0,INVESTORS_LIST[[#This Row],[TOTAL SELLABLE UNITS]]*INVESTORS_LIST[[#This Row],[NAV]])</f>
        <v>0</v>
      </c>
      <c r="AU281" s="48">
        <f>INVESTORS_LIST[[#This Row],[LS_TOTAL REALIZED GAIN]]+INVESTORS_LIST[[#This Row],[SIP_TOTAL REALIZED GAIN]]</f>
        <v>0</v>
      </c>
      <c r="AV281" s="48">
        <f>INVESTORS_LIST[[#This Row],[TOTAL MARKET VALUE]]-INVESTORS_LIST[[#This Row],[TOTAL COST VALUE OF CURRENT INVESTMENT]]</f>
        <v>0</v>
      </c>
      <c r="AW281" s="48">
        <f>IFERROR(INVESTORS_LIST[[#This Row],[TOTAL CURRENT UNITS]]/SUM(INVESTORS_LIST[TOTAL CURRENT UNITS]),0)</f>
        <v>0</v>
      </c>
    </row>
    <row r="282" spans="1:49" hidden="1">
      <c r="A282" s="262" t="s">
        <v>611</v>
      </c>
      <c r="B282" s="97" t="s">
        <v>612</v>
      </c>
      <c r="C282" t="s">
        <v>67</v>
      </c>
      <c r="D282" s="75" t="s">
        <v>45</v>
      </c>
      <c r="E282" s="47">
        <f>SUMIFS(LS[Unit],LS[Investor ID],INVESTORS_LIST[[#This Row],[INVESTOR CODE]],LS[B/S],"B")</f>
        <v>0</v>
      </c>
      <c r="F282" s="47">
        <f>-SUMIFS(LS[Unit],LS[Investor ID],INVESTORS_LIST[[#This Row],[INVESTOR CODE]],LS[B/S],"S")</f>
        <v>0</v>
      </c>
      <c r="G282" s="47">
        <f>IF(INVESTORS_LIST[[#This Row],[LS_TOTAL UNITS BUY]]=0,0,INVESTORS_LIST[[#This Row],[LS_TOTAL UNITS BUY]]-INVESTORS_LIST[[#This Row],[LS_TOTAL UNITS SOLD]])</f>
        <v>0</v>
      </c>
      <c r="H282" s="49">
        <f>IF(INVESTORS_LIST[[#This Row],[LS_TOTAL UNITS BUY]]=0,0,SUMIFS(LS[Amount],LS[Investor ID],INVESTORS_LIST[[#This Row],[INVESTOR CODE]],LS[B/S],"B"))</f>
        <v>0</v>
      </c>
      <c r="I282" s="48">
        <f>IF(INVESTORS_LIST[[#This Row],[LS_TOTAL UNITS SOLD]]=0,0,SUMIFS(LS[Cost of Units Sold],LS[Investor ID],INVESTORS_LIST[[#This Row],[INVESTOR CODE]],LS[B/S],"S"))</f>
        <v>0</v>
      </c>
      <c r="J282" s="48">
        <f>IF(INVESTORS_LIST[[#This Row],[LS_TOTAL CURRENT UNITS]]=0,0,INVESTORS_LIST[[#This Row],[LS_TOTAL CURRENT UNITS]]*INVESTORS_LIST[[#This Row],[LS_AVERAGE COST]])</f>
        <v>0</v>
      </c>
      <c r="K282" s="49">
        <f>IF(INVESTORS_LIST[[#This Row],[LS_TOTAL UNITS SOLD]]=0,0,SUMIFS(LS[Realized Gain],LS[Investor ID],INVESTORS_LIST[[#This Row],[INVESTOR CODE]],LS[B/S],"S"))</f>
        <v>0</v>
      </c>
      <c r="L282" s="47">
        <f>SUMIFS(SIP[Unit],SIP[Investor ID],INVESTORS_LIST[[#This Row],[INVESTOR CODE]],SIP[B/S],"B")</f>
        <v>0</v>
      </c>
      <c r="M282" s="47">
        <f>-SUMIFS(SIP[Unit],SIP[Investor ID],INVESTORS_LIST[[#This Row],[INVESTOR CODE]],SIP[B/S],"S")</f>
        <v>0</v>
      </c>
      <c r="N282" s="50">
        <f>IF(INVESTORS_LIST[[#This Row],[SIP_TOTAL UNITS BUY]]=0,0,INVESTORS_LIST[[#This Row],[SIP_TOTAL UNITS BUY]]-INVESTORS_LIST[[#This Row],[SIP_TOTAL UNITS SOLD]])</f>
        <v>0</v>
      </c>
      <c r="O282" s="49">
        <f>IF(INVESTORS_LIST[[#This Row],[SIP_TOTAL UNITS BUY]]=0,0,SUMIFS(SIP[Amount],SIP[Investor ID],INVESTORS_LIST[[#This Row],[INVESTOR CODE]],SIP[B/S],"B"))</f>
        <v>0</v>
      </c>
      <c r="P282" s="49">
        <f>IF(INVESTORS_LIST[[#This Row],[SIP_TOTAL UNITS SOLD]]=0,0,SUMIFS(SIP[Cost of Units Sold],SIP[Investor ID],INVESTORS_LIST[[#This Row],[INVESTOR CODE]],SIP[B/S],"S"))</f>
        <v>0</v>
      </c>
      <c r="Q282" s="48">
        <f>IF(INVESTORS_LIST[[#This Row],[SIP_TOTAL CURRENT UNITS]]=0,0,INVESTORS_LIST[[#This Row],[SIP_TOTAL CURRENT UNITS]]*INVESTORS_LIST[[#This Row],[SIP_AVERAGE COST]])</f>
        <v>0</v>
      </c>
      <c r="R282" s="48">
        <f>IF(INVESTORS_LIST[[#This Row],[SIP_TOTAL UNITS SOLD]]=0,0,SUMIFS(SIP[Realized Gain],SIP[Investor ID],INVESTORS_LIST[[#This Row],[INVESTOR CODE]],SIP[B/S],"S"))</f>
        <v>0</v>
      </c>
      <c r="S282" s="50">
        <f>INVESTORS_LIST[[#This Row],[LS_TOTAL UNITS BUY]]+INVESTORS_LIST[[#This Row],[SIP_TOTAL UNITS BUY]]</f>
        <v>0</v>
      </c>
      <c r="T282" s="50">
        <f>INVESTORS_LIST[[#This Row],[LS_TOTAL UNITS SOLD]]+INVESTORS_LIST[[#This Row],[SIP_TOTAL UNITS SOLD]]</f>
        <v>0</v>
      </c>
      <c r="U282" s="50"/>
      <c r="V282" s="50">
        <f>SUMIFS(LS[BO UNIT TRANSFER],LS[Investor ID],INVESTORS_LIST[[#This Row],[INVESTOR CODE]],LS[B/S],"B")</f>
        <v>0</v>
      </c>
      <c r="W282" s="50">
        <f>SUMIFS(SIP[BO UNIT TRANSFER],SIP[Investor ID],INVESTORS_LIST[[#This Row],[INVESTOR CODE]],SIP[B/S],"B")</f>
        <v>0</v>
      </c>
      <c r="X282" s="50">
        <f>SUMIFS(LS[BO UNIT TRANSFER],LS[Investor ID],INVESTORS_LIST[[#This Row],[INVESTOR CODE]],LS[B/S],"S")</f>
        <v>0</v>
      </c>
      <c r="Y282" s="50">
        <f>SUMIFS(SIP[BO UNIT TRANSFER],SIP[Investor ID],INVESTORS_LIST[[#This Row],[INVESTOR CODE]],SIP[B/S],"S")</f>
        <v>0</v>
      </c>
      <c r="Z282" s="106">
        <f>SUM(INVESTORS_LIST[[#This Row],[BO OPENING BALANCE]:[BO SIP UNITS REPURCHASE]])</f>
        <v>0</v>
      </c>
      <c r="AA282" s="107">
        <f>INVESTORS_LIST[[#This Row],[TOTAL UNITS BUY]]-INVESTORS_LIST[[#This Row],[TOTAL UNITS SOLD]]</f>
        <v>0</v>
      </c>
      <c r="AB282" s="107">
        <f>INVESTORS_LIST[[#This Row],[TOTAL CURRENT UNITS]]-INVESTORS_LIST[[#This Row],[BO UNITS HOLD]]</f>
        <v>0</v>
      </c>
      <c r="AC282" s="201" t="e">
        <f>INDEX([3]!Table_1[BO ID],MATCH(INVESTORS_LIST[[#This Row],[INVESTOR CODE]],[3]!Table_1[INVESTOR CODE],0))</f>
        <v>#REF!</v>
      </c>
      <c r="AD282" s="201" t="e">
        <f>INDEX([3]!Table_1[Brokerage Name2],MATCH(INVESTORS_LIST[[#This Row],[INVESTOR CODE]],[3]!Table_1[INVESTOR CODE],0))</f>
        <v>#REF!</v>
      </c>
      <c r="AE282" s="201" t="e">
        <f>MID(INVESTORS_LIST[[#This Row],[BO ID]],4,5)</f>
        <v>#REF!</v>
      </c>
      <c r="AF282" s="201" t="e">
        <f>MID(INVESTORS_LIST[[#This Row],[BO ID]],2,7)</f>
        <v>#REF!</v>
      </c>
      <c r="AG282" s="201" t="e">
        <f>MID(INVESTORS_LIST[[#This Row],[BO ID]],9,7)</f>
        <v>#REF!</v>
      </c>
      <c r="AH282" s="201" t="e">
        <f>RIGHT(INVESTORS_LIST[[#This Row],[BO ID]],1)</f>
        <v>#REF!</v>
      </c>
      <c r="AI282" s="50">
        <f>INVESTORS_LIST[[#This Row],[LS_TOTAL COST VALUE OF CURRENT UNITS]]+INVESTORS_LIST[[#This Row],[SIP_TOTAL COST VALUE OF CURRENT UNITS]]</f>
        <v>0</v>
      </c>
      <c r="AJ282" s="109">
        <f>IF(INVESTORS_LIST[[#This Row],[TOTAL CURRENT UNITS]]=0,0,INVESTORS_LIST[[#This Row],[LS_TOTAL CURRENT UNITS]]/INVESTORS_LIST[[#This Row],[TOTAL CURRENT UNITS]])</f>
        <v>0</v>
      </c>
      <c r="AK282" s="109">
        <f>IF(INVESTORS_LIST[[#This Row],[TOTAL CURRENT UNITS]]=0,0,INVESTORS_LIST[[#This Row],[SIP_TOTAL CURRENT UNITS]]/INVESTORS_LIST[[#This Row],[TOTAL CURRENT UNITS]])</f>
        <v>0</v>
      </c>
      <c r="AL282" s="49" cm="1">
        <f t="array" ref="AL2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2" s="49" cm="1">
        <f t="array" ref="AM2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2" s="105">
        <f t="shared" si="5"/>
        <v>14.224</v>
      </c>
      <c r="AP282" s="112">
        <f>IF(INVESTORS_LIST[[#This Row],[TOTAL CURRENT UNITS]]=0,0,INVESTORS_LIST[[#This Row],[TOTAL CURRENT UNITS]]*INVESTORS_LIST[[#This Row],[NAV]])</f>
        <v>0</v>
      </c>
      <c r="AQ282" s="49">
        <f>IF(INVESTORS_LIST[[#This Row],[LS_TOTAL CURRENT UNITS]]=0,0,INVESTORS_LIST[[#This Row],[LS_TOTAL CURRENT UNITS]]*INVESTORS_LIST[[#This Row],[NAV]])</f>
        <v>0</v>
      </c>
      <c r="AR282" s="48">
        <f>IF(INVESTORS_LIST[[#This Row],[SIP_TOTAL CURRENT UNITS]]=0,0,INVESTORS_LIST[[#This Row],[SIP_TOTAL CURRENT UNITS]]*INVESTORS_LIST[[#This Row],[NAV]])</f>
        <v>0</v>
      </c>
      <c r="AS282" s="50">
        <f>INVESTORS_LIST[[#This Row],[TOTAL CURRENT UNITS]]</f>
        <v>0</v>
      </c>
      <c r="AT282" s="48">
        <f>IF(INVESTORS_LIST[[#This Row],[TOTAL SELLABLE UNITS]]=0,0,INVESTORS_LIST[[#This Row],[TOTAL SELLABLE UNITS]]*INVESTORS_LIST[[#This Row],[NAV]])</f>
        <v>0</v>
      </c>
      <c r="AU282" s="48">
        <f>INVESTORS_LIST[[#This Row],[LS_TOTAL REALIZED GAIN]]+INVESTORS_LIST[[#This Row],[SIP_TOTAL REALIZED GAIN]]</f>
        <v>0</v>
      </c>
      <c r="AV282" s="48">
        <f>INVESTORS_LIST[[#This Row],[TOTAL MARKET VALUE]]-INVESTORS_LIST[[#This Row],[TOTAL COST VALUE OF CURRENT INVESTMENT]]</f>
        <v>0</v>
      </c>
      <c r="AW282" s="48">
        <f>IFERROR(INVESTORS_LIST[[#This Row],[TOTAL CURRENT UNITS]]/SUM(INVESTORS_LIST[TOTAL CURRENT UNITS]),0)</f>
        <v>0</v>
      </c>
    </row>
    <row r="283" spans="1:49" hidden="1">
      <c r="A283" s="262" t="s">
        <v>613</v>
      </c>
      <c r="B283" s="97" t="s">
        <v>614</v>
      </c>
      <c r="C283" t="s">
        <v>44</v>
      </c>
      <c r="D283" s="75" t="s">
        <v>45</v>
      </c>
      <c r="E283" s="47">
        <f>SUMIFS(LS[Unit],LS[Investor ID],INVESTORS_LIST[[#This Row],[INVESTOR CODE]],LS[B/S],"B")</f>
        <v>0</v>
      </c>
      <c r="F283" s="47">
        <f>-SUMIFS(LS[Unit],LS[Investor ID],INVESTORS_LIST[[#This Row],[INVESTOR CODE]],LS[B/S],"S")</f>
        <v>0</v>
      </c>
      <c r="G283" s="47">
        <f>IF(INVESTORS_LIST[[#This Row],[LS_TOTAL UNITS BUY]]=0,0,INVESTORS_LIST[[#This Row],[LS_TOTAL UNITS BUY]]-INVESTORS_LIST[[#This Row],[LS_TOTAL UNITS SOLD]])</f>
        <v>0</v>
      </c>
      <c r="H283" s="49">
        <f>IF(INVESTORS_LIST[[#This Row],[LS_TOTAL UNITS BUY]]=0,0,SUMIFS(LS[Amount],LS[Investor ID],INVESTORS_LIST[[#This Row],[INVESTOR CODE]],LS[B/S],"B"))</f>
        <v>0</v>
      </c>
      <c r="I283" s="48">
        <f>IF(INVESTORS_LIST[[#This Row],[LS_TOTAL UNITS SOLD]]=0,0,SUMIFS(LS[Cost of Units Sold],LS[Investor ID],INVESTORS_LIST[[#This Row],[INVESTOR CODE]],LS[B/S],"S"))</f>
        <v>0</v>
      </c>
      <c r="J283" s="48">
        <f>IF(INVESTORS_LIST[[#This Row],[LS_TOTAL CURRENT UNITS]]=0,0,INVESTORS_LIST[[#This Row],[LS_TOTAL CURRENT UNITS]]*INVESTORS_LIST[[#This Row],[LS_AVERAGE COST]])</f>
        <v>0</v>
      </c>
      <c r="K283" s="49">
        <f>IF(INVESTORS_LIST[[#This Row],[LS_TOTAL UNITS SOLD]]=0,0,SUMIFS(LS[Realized Gain],LS[Investor ID],INVESTORS_LIST[[#This Row],[INVESTOR CODE]],LS[B/S],"S"))</f>
        <v>0</v>
      </c>
      <c r="L283" s="47">
        <f>SUMIFS(SIP[Unit],SIP[Investor ID],INVESTORS_LIST[[#This Row],[INVESTOR CODE]],SIP[B/S],"B")</f>
        <v>0</v>
      </c>
      <c r="M283" s="47">
        <f>-SUMIFS(SIP[Unit],SIP[Investor ID],INVESTORS_LIST[[#This Row],[INVESTOR CODE]],SIP[B/S],"S")</f>
        <v>0</v>
      </c>
      <c r="N283" s="50">
        <f>IF(INVESTORS_LIST[[#This Row],[SIP_TOTAL UNITS BUY]]=0,0,INVESTORS_LIST[[#This Row],[SIP_TOTAL UNITS BUY]]-INVESTORS_LIST[[#This Row],[SIP_TOTAL UNITS SOLD]])</f>
        <v>0</v>
      </c>
      <c r="O283" s="49">
        <f>IF(INVESTORS_LIST[[#This Row],[SIP_TOTAL UNITS BUY]]=0,0,SUMIFS(SIP[Amount],SIP[Investor ID],INVESTORS_LIST[[#This Row],[INVESTOR CODE]],SIP[B/S],"B"))</f>
        <v>0</v>
      </c>
      <c r="P283" s="49">
        <f>IF(INVESTORS_LIST[[#This Row],[SIP_TOTAL UNITS SOLD]]=0,0,SUMIFS(SIP[Cost of Units Sold],SIP[Investor ID],INVESTORS_LIST[[#This Row],[INVESTOR CODE]],SIP[B/S],"S"))</f>
        <v>0</v>
      </c>
      <c r="Q283" s="48">
        <f>IF(INVESTORS_LIST[[#This Row],[SIP_TOTAL CURRENT UNITS]]=0,0,INVESTORS_LIST[[#This Row],[SIP_TOTAL CURRENT UNITS]]*INVESTORS_LIST[[#This Row],[SIP_AVERAGE COST]])</f>
        <v>0</v>
      </c>
      <c r="R283" s="48">
        <f>IF(INVESTORS_LIST[[#This Row],[SIP_TOTAL UNITS SOLD]]=0,0,SUMIFS(SIP[Realized Gain],SIP[Investor ID],INVESTORS_LIST[[#This Row],[INVESTOR CODE]],SIP[B/S],"S"))</f>
        <v>0</v>
      </c>
      <c r="S283" s="50">
        <f>INVESTORS_LIST[[#This Row],[LS_TOTAL UNITS BUY]]+INVESTORS_LIST[[#This Row],[SIP_TOTAL UNITS BUY]]</f>
        <v>0</v>
      </c>
      <c r="T283" s="50">
        <f>INVESTORS_LIST[[#This Row],[LS_TOTAL UNITS SOLD]]+INVESTORS_LIST[[#This Row],[SIP_TOTAL UNITS SOLD]]</f>
        <v>0</v>
      </c>
      <c r="U283" s="50"/>
      <c r="V283" s="50">
        <f>SUMIFS(LS[BO UNIT TRANSFER],LS[Investor ID],INVESTORS_LIST[[#This Row],[INVESTOR CODE]],LS[B/S],"B")</f>
        <v>0</v>
      </c>
      <c r="W283" s="50">
        <f>SUMIFS(SIP[BO UNIT TRANSFER],SIP[Investor ID],INVESTORS_LIST[[#This Row],[INVESTOR CODE]],SIP[B/S],"B")</f>
        <v>0</v>
      </c>
      <c r="X283" s="50">
        <f>SUMIFS(LS[BO UNIT TRANSFER],LS[Investor ID],INVESTORS_LIST[[#This Row],[INVESTOR CODE]],LS[B/S],"S")</f>
        <v>0</v>
      </c>
      <c r="Y283" s="50">
        <f>SUMIFS(SIP[BO UNIT TRANSFER],SIP[Investor ID],INVESTORS_LIST[[#This Row],[INVESTOR CODE]],SIP[B/S],"S")</f>
        <v>0</v>
      </c>
      <c r="Z283" s="106">
        <f>SUM(INVESTORS_LIST[[#This Row],[BO OPENING BALANCE]:[BO SIP UNITS REPURCHASE]])</f>
        <v>0</v>
      </c>
      <c r="AA283" s="107">
        <f>INVESTORS_LIST[[#This Row],[TOTAL UNITS BUY]]-INVESTORS_LIST[[#This Row],[TOTAL UNITS SOLD]]</f>
        <v>0</v>
      </c>
      <c r="AB283" s="107">
        <f>INVESTORS_LIST[[#This Row],[TOTAL CURRENT UNITS]]-INVESTORS_LIST[[#This Row],[BO UNITS HOLD]]</f>
        <v>0</v>
      </c>
      <c r="AC283" s="201" t="e">
        <f>INDEX([3]!Table_1[BO ID],MATCH(INVESTORS_LIST[[#This Row],[INVESTOR CODE]],[3]!Table_1[INVESTOR CODE],0))</f>
        <v>#REF!</v>
      </c>
      <c r="AD283" s="201" t="e">
        <f>INDEX([3]!Table_1[Brokerage Name2],MATCH(INVESTORS_LIST[[#This Row],[INVESTOR CODE]],[3]!Table_1[INVESTOR CODE],0))</f>
        <v>#REF!</v>
      </c>
      <c r="AE283" s="201" t="e">
        <f>MID(INVESTORS_LIST[[#This Row],[BO ID]],4,5)</f>
        <v>#REF!</v>
      </c>
      <c r="AF283" s="201" t="e">
        <f>MID(INVESTORS_LIST[[#This Row],[BO ID]],2,7)</f>
        <v>#REF!</v>
      </c>
      <c r="AG283" s="201" t="e">
        <f>MID(INVESTORS_LIST[[#This Row],[BO ID]],9,7)</f>
        <v>#REF!</v>
      </c>
      <c r="AH283" s="201" t="e">
        <f>RIGHT(INVESTORS_LIST[[#This Row],[BO ID]],1)</f>
        <v>#REF!</v>
      </c>
      <c r="AI283" s="50">
        <f>INVESTORS_LIST[[#This Row],[LS_TOTAL COST VALUE OF CURRENT UNITS]]+INVESTORS_LIST[[#This Row],[SIP_TOTAL COST VALUE OF CURRENT UNITS]]</f>
        <v>0</v>
      </c>
      <c r="AJ283" s="109">
        <f>IF(INVESTORS_LIST[[#This Row],[TOTAL CURRENT UNITS]]=0,0,INVESTORS_LIST[[#This Row],[LS_TOTAL CURRENT UNITS]]/INVESTORS_LIST[[#This Row],[TOTAL CURRENT UNITS]])</f>
        <v>0</v>
      </c>
      <c r="AK283" s="109">
        <f>IF(INVESTORS_LIST[[#This Row],[TOTAL CURRENT UNITS]]=0,0,INVESTORS_LIST[[#This Row],[SIP_TOTAL CURRENT UNITS]]/INVESTORS_LIST[[#This Row],[TOTAL CURRENT UNITS]])</f>
        <v>0</v>
      </c>
      <c r="AL283" s="49" cm="1">
        <f t="array" ref="AL2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3" s="49" cm="1">
        <f t="array" ref="AM2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3" s="105">
        <f t="shared" si="5"/>
        <v>14.224</v>
      </c>
      <c r="AP283" s="112">
        <f>IF(INVESTORS_LIST[[#This Row],[TOTAL CURRENT UNITS]]=0,0,INVESTORS_LIST[[#This Row],[TOTAL CURRENT UNITS]]*INVESTORS_LIST[[#This Row],[NAV]])</f>
        <v>0</v>
      </c>
      <c r="AQ283" s="49">
        <f>IF(INVESTORS_LIST[[#This Row],[LS_TOTAL CURRENT UNITS]]=0,0,INVESTORS_LIST[[#This Row],[LS_TOTAL CURRENT UNITS]]*INVESTORS_LIST[[#This Row],[NAV]])</f>
        <v>0</v>
      </c>
      <c r="AR283" s="48">
        <f>IF(INVESTORS_LIST[[#This Row],[SIP_TOTAL CURRENT UNITS]]=0,0,INVESTORS_LIST[[#This Row],[SIP_TOTAL CURRENT UNITS]]*INVESTORS_LIST[[#This Row],[NAV]])</f>
        <v>0</v>
      </c>
      <c r="AS283" s="50">
        <f>INVESTORS_LIST[[#This Row],[TOTAL CURRENT UNITS]]</f>
        <v>0</v>
      </c>
      <c r="AT283" s="48">
        <f>IF(INVESTORS_LIST[[#This Row],[TOTAL SELLABLE UNITS]]=0,0,INVESTORS_LIST[[#This Row],[TOTAL SELLABLE UNITS]]*INVESTORS_LIST[[#This Row],[NAV]])</f>
        <v>0</v>
      </c>
      <c r="AU283" s="48">
        <f>INVESTORS_LIST[[#This Row],[LS_TOTAL REALIZED GAIN]]+INVESTORS_LIST[[#This Row],[SIP_TOTAL REALIZED GAIN]]</f>
        <v>0</v>
      </c>
      <c r="AV283" s="48">
        <f>INVESTORS_LIST[[#This Row],[TOTAL MARKET VALUE]]-INVESTORS_LIST[[#This Row],[TOTAL COST VALUE OF CURRENT INVESTMENT]]</f>
        <v>0</v>
      </c>
      <c r="AW283" s="48">
        <f>IFERROR(INVESTORS_LIST[[#This Row],[TOTAL CURRENT UNITS]]/SUM(INVESTORS_LIST[TOTAL CURRENT UNITS]),0)</f>
        <v>0</v>
      </c>
    </row>
    <row r="284" spans="1:49" hidden="1">
      <c r="A284" s="262" t="s">
        <v>615</v>
      </c>
      <c r="B284" s="97" t="s">
        <v>616</v>
      </c>
      <c r="C284" t="s">
        <v>44</v>
      </c>
      <c r="D284" s="75" t="s">
        <v>45</v>
      </c>
      <c r="E284" s="47">
        <f>SUMIFS(LS[Unit],LS[Investor ID],INVESTORS_LIST[[#This Row],[INVESTOR CODE]],LS[B/S],"B")</f>
        <v>70000</v>
      </c>
      <c r="F284" s="47">
        <f>-SUMIFS(LS[Unit],LS[Investor ID],INVESTORS_LIST[[#This Row],[INVESTOR CODE]],LS[B/S],"S")</f>
        <v>70000</v>
      </c>
      <c r="G284" s="47">
        <f>IF(INVESTORS_LIST[[#This Row],[LS_TOTAL UNITS BUY]]=0,0,INVESTORS_LIST[[#This Row],[LS_TOTAL UNITS BUY]]-INVESTORS_LIST[[#This Row],[LS_TOTAL UNITS SOLD]])</f>
        <v>0</v>
      </c>
      <c r="H284" s="49">
        <f>IF(INVESTORS_LIST[[#This Row],[LS_TOTAL UNITS BUY]]=0,0,SUMIFS(LS[Amount],LS[Investor ID],INVESTORS_LIST[[#This Row],[INVESTOR CODE]],LS[B/S],"B"))</f>
        <v>882770</v>
      </c>
      <c r="I284" s="48">
        <f>IF(INVESTORS_LIST[[#This Row],[LS_TOTAL UNITS SOLD]]=0,0,SUMIFS(LS[Cost of Units Sold],LS[Investor ID],INVESTORS_LIST[[#This Row],[INVESTOR CODE]],LS[B/S],"S"))</f>
        <v>882770</v>
      </c>
      <c r="J284" s="48">
        <f>IF(INVESTORS_LIST[[#This Row],[LS_TOTAL CURRENT UNITS]]=0,0,INVESTORS_LIST[[#This Row],[LS_TOTAL CURRENT UNITS]]*INVESTORS_LIST[[#This Row],[LS_AVERAGE COST]])</f>
        <v>0</v>
      </c>
      <c r="K284" s="49">
        <f>IF(INVESTORS_LIST[[#This Row],[LS_TOTAL UNITS SOLD]]=0,0,SUMIFS(LS[Realized Gain],LS[Investor ID],INVESTORS_LIST[[#This Row],[INVESTOR CODE]],LS[B/S],"S"))</f>
        <v>73079.999999999913</v>
      </c>
      <c r="L284" s="47">
        <f>SUMIFS(SIP[Unit],SIP[Investor ID],INVESTORS_LIST[[#This Row],[INVESTOR CODE]],SIP[B/S],"B")</f>
        <v>0</v>
      </c>
      <c r="M284" s="47">
        <f>-SUMIFS(SIP[Unit],SIP[Investor ID],INVESTORS_LIST[[#This Row],[INVESTOR CODE]],SIP[B/S],"S")</f>
        <v>0</v>
      </c>
      <c r="N284" s="50">
        <f>IF(INVESTORS_LIST[[#This Row],[SIP_TOTAL UNITS BUY]]=0,0,INVESTORS_LIST[[#This Row],[SIP_TOTAL UNITS BUY]]-INVESTORS_LIST[[#This Row],[SIP_TOTAL UNITS SOLD]])</f>
        <v>0</v>
      </c>
      <c r="O284" s="49">
        <f>IF(INVESTORS_LIST[[#This Row],[SIP_TOTAL UNITS BUY]]=0,0,SUMIFS(SIP[Amount],SIP[Investor ID],INVESTORS_LIST[[#This Row],[INVESTOR CODE]],SIP[B/S],"B"))</f>
        <v>0</v>
      </c>
      <c r="P284" s="49">
        <f>IF(INVESTORS_LIST[[#This Row],[SIP_TOTAL UNITS SOLD]]=0,0,SUMIFS(SIP[Cost of Units Sold],SIP[Investor ID],INVESTORS_LIST[[#This Row],[INVESTOR CODE]],SIP[B/S],"S"))</f>
        <v>0</v>
      </c>
      <c r="Q284" s="48">
        <f>IF(INVESTORS_LIST[[#This Row],[SIP_TOTAL CURRENT UNITS]]=0,0,INVESTORS_LIST[[#This Row],[SIP_TOTAL CURRENT UNITS]]*INVESTORS_LIST[[#This Row],[SIP_AVERAGE COST]])</f>
        <v>0</v>
      </c>
      <c r="R284" s="48">
        <f>IF(INVESTORS_LIST[[#This Row],[SIP_TOTAL UNITS SOLD]]=0,0,SUMIFS(SIP[Realized Gain],SIP[Investor ID],INVESTORS_LIST[[#This Row],[INVESTOR CODE]],SIP[B/S],"S"))</f>
        <v>0</v>
      </c>
      <c r="S284" s="50">
        <f>INVESTORS_LIST[[#This Row],[LS_TOTAL UNITS BUY]]+INVESTORS_LIST[[#This Row],[SIP_TOTAL UNITS BUY]]</f>
        <v>70000</v>
      </c>
      <c r="T284" s="50">
        <f>INVESTORS_LIST[[#This Row],[LS_TOTAL UNITS SOLD]]+INVESTORS_LIST[[#This Row],[SIP_TOTAL UNITS SOLD]]</f>
        <v>70000</v>
      </c>
      <c r="U284" s="50"/>
      <c r="V284" s="50">
        <f>SUMIFS(LS[BO UNIT TRANSFER],LS[Investor ID],INVESTORS_LIST[[#This Row],[INVESTOR CODE]],LS[B/S],"B")</f>
        <v>0</v>
      </c>
      <c r="W284" s="50">
        <f>SUMIFS(SIP[BO UNIT TRANSFER],SIP[Investor ID],INVESTORS_LIST[[#This Row],[INVESTOR CODE]],SIP[B/S],"B")</f>
        <v>0</v>
      </c>
      <c r="X284" s="50">
        <f>SUMIFS(LS[BO UNIT TRANSFER],LS[Investor ID],INVESTORS_LIST[[#This Row],[INVESTOR CODE]],LS[B/S],"S")</f>
        <v>0</v>
      </c>
      <c r="Y284" s="50">
        <f>SUMIFS(SIP[BO UNIT TRANSFER],SIP[Investor ID],INVESTORS_LIST[[#This Row],[INVESTOR CODE]],SIP[B/S],"S")</f>
        <v>0</v>
      </c>
      <c r="Z284" s="106">
        <f>SUM(INVESTORS_LIST[[#This Row],[BO OPENING BALANCE]:[BO SIP UNITS REPURCHASE]])</f>
        <v>0</v>
      </c>
      <c r="AA284" s="107">
        <f>INVESTORS_LIST[[#This Row],[TOTAL UNITS BUY]]-INVESTORS_LIST[[#This Row],[TOTAL UNITS SOLD]]</f>
        <v>0</v>
      </c>
      <c r="AB284" s="107">
        <f>INVESTORS_LIST[[#This Row],[TOTAL CURRENT UNITS]]-INVESTORS_LIST[[#This Row],[BO UNITS HOLD]]</f>
        <v>0</v>
      </c>
      <c r="AC284" s="201" t="e">
        <f>INDEX([3]!Table_1[BO ID],MATCH(INVESTORS_LIST[[#This Row],[INVESTOR CODE]],[3]!Table_1[INVESTOR CODE],0))</f>
        <v>#REF!</v>
      </c>
      <c r="AD284" s="201" t="e">
        <f>INDEX([3]!Table_1[Brokerage Name2],MATCH(INVESTORS_LIST[[#This Row],[INVESTOR CODE]],[3]!Table_1[INVESTOR CODE],0))</f>
        <v>#REF!</v>
      </c>
      <c r="AE284" s="201" t="e">
        <f>MID(INVESTORS_LIST[[#This Row],[BO ID]],4,5)</f>
        <v>#REF!</v>
      </c>
      <c r="AF284" s="201" t="e">
        <f>MID(INVESTORS_LIST[[#This Row],[BO ID]],2,7)</f>
        <v>#REF!</v>
      </c>
      <c r="AG284" s="201" t="e">
        <f>MID(INVESTORS_LIST[[#This Row],[BO ID]],9,7)</f>
        <v>#REF!</v>
      </c>
      <c r="AH284" s="201" t="e">
        <f>RIGHT(INVESTORS_LIST[[#This Row],[BO ID]],1)</f>
        <v>#REF!</v>
      </c>
      <c r="AI284" s="50">
        <f>INVESTORS_LIST[[#This Row],[LS_TOTAL COST VALUE OF CURRENT UNITS]]+INVESTORS_LIST[[#This Row],[SIP_TOTAL COST VALUE OF CURRENT UNITS]]</f>
        <v>0</v>
      </c>
      <c r="AJ284" s="109">
        <f>IF(INVESTORS_LIST[[#This Row],[TOTAL CURRENT UNITS]]=0,0,INVESTORS_LIST[[#This Row],[LS_TOTAL CURRENT UNITS]]/INVESTORS_LIST[[#This Row],[TOTAL CURRENT UNITS]])</f>
        <v>0</v>
      </c>
      <c r="AK284" s="109">
        <f>IF(INVESTORS_LIST[[#This Row],[TOTAL CURRENT UNITS]]=0,0,INVESTORS_LIST[[#This Row],[SIP_TOTAL CURRENT UNITS]]/INVESTORS_LIST[[#This Row],[TOTAL CURRENT UNITS]])</f>
        <v>0</v>
      </c>
      <c r="AL284" s="49" cm="1">
        <f t="array" ref="AL2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4" s="49" cm="1">
        <f t="array" ref="AM2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4" s="105">
        <f t="shared" si="5"/>
        <v>14.224</v>
      </c>
      <c r="AP284" s="112">
        <f>IF(INVESTORS_LIST[[#This Row],[TOTAL CURRENT UNITS]]=0,0,INVESTORS_LIST[[#This Row],[TOTAL CURRENT UNITS]]*INVESTORS_LIST[[#This Row],[NAV]])</f>
        <v>0</v>
      </c>
      <c r="AQ284" s="49">
        <f>IF(INVESTORS_LIST[[#This Row],[LS_TOTAL CURRENT UNITS]]=0,0,INVESTORS_LIST[[#This Row],[LS_TOTAL CURRENT UNITS]]*INVESTORS_LIST[[#This Row],[NAV]])</f>
        <v>0</v>
      </c>
      <c r="AR284" s="48">
        <f>IF(INVESTORS_LIST[[#This Row],[SIP_TOTAL CURRENT UNITS]]=0,0,INVESTORS_LIST[[#This Row],[SIP_TOTAL CURRENT UNITS]]*INVESTORS_LIST[[#This Row],[NAV]])</f>
        <v>0</v>
      </c>
      <c r="AS284" s="50">
        <f>INVESTORS_LIST[[#This Row],[TOTAL CURRENT UNITS]]</f>
        <v>0</v>
      </c>
      <c r="AT284" s="48">
        <f>IF(INVESTORS_LIST[[#This Row],[TOTAL SELLABLE UNITS]]=0,0,INVESTORS_LIST[[#This Row],[TOTAL SELLABLE UNITS]]*INVESTORS_LIST[[#This Row],[NAV]])</f>
        <v>0</v>
      </c>
      <c r="AU284" s="48">
        <f>INVESTORS_LIST[[#This Row],[LS_TOTAL REALIZED GAIN]]+INVESTORS_LIST[[#This Row],[SIP_TOTAL REALIZED GAIN]]</f>
        <v>73079.999999999913</v>
      </c>
      <c r="AV284" s="48">
        <f>INVESTORS_LIST[[#This Row],[TOTAL MARKET VALUE]]-INVESTORS_LIST[[#This Row],[TOTAL COST VALUE OF CURRENT INVESTMENT]]</f>
        <v>0</v>
      </c>
      <c r="AW284" s="48">
        <f>IFERROR(INVESTORS_LIST[[#This Row],[TOTAL CURRENT UNITS]]/SUM(INVESTORS_LIST[TOTAL CURRENT UNITS]),0)</f>
        <v>0</v>
      </c>
    </row>
    <row r="285" spans="1:49" hidden="1">
      <c r="A285" s="262" t="s">
        <v>617</v>
      </c>
      <c r="B285" s="97" t="s">
        <v>618</v>
      </c>
      <c r="C285" t="s">
        <v>538</v>
      </c>
      <c r="D285" s="75" t="s">
        <v>45</v>
      </c>
      <c r="E285" s="47">
        <f>SUMIFS(LS[Unit],LS[Investor ID],INVESTORS_LIST[[#This Row],[INVESTOR CODE]],LS[B/S],"B")</f>
        <v>0</v>
      </c>
      <c r="F285" s="47">
        <f>-SUMIFS(LS[Unit],LS[Investor ID],INVESTORS_LIST[[#This Row],[INVESTOR CODE]],LS[B/S],"S")</f>
        <v>0</v>
      </c>
      <c r="G285" s="47">
        <f>IF(INVESTORS_LIST[[#This Row],[LS_TOTAL UNITS BUY]]=0,0,INVESTORS_LIST[[#This Row],[LS_TOTAL UNITS BUY]]-INVESTORS_LIST[[#This Row],[LS_TOTAL UNITS SOLD]])</f>
        <v>0</v>
      </c>
      <c r="H285" s="49">
        <f>IF(INVESTORS_LIST[[#This Row],[LS_TOTAL UNITS BUY]]=0,0,SUMIFS(LS[Amount],LS[Investor ID],INVESTORS_LIST[[#This Row],[INVESTOR CODE]],LS[B/S],"B"))</f>
        <v>0</v>
      </c>
      <c r="I285" s="48">
        <f>IF(INVESTORS_LIST[[#This Row],[LS_TOTAL UNITS SOLD]]=0,0,SUMIFS(LS[Cost of Units Sold],LS[Investor ID],INVESTORS_LIST[[#This Row],[INVESTOR CODE]],LS[B/S],"S"))</f>
        <v>0</v>
      </c>
      <c r="J285" s="48">
        <f>IF(INVESTORS_LIST[[#This Row],[LS_TOTAL CURRENT UNITS]]=0,0,INVESTORS_LIST[[#This Row],[LS_TOTAL CURRENT UNITS]]*INVESTORS_LIST[[#This Row],[LS_AVERAGE COST]])</f>
        <v>0</v>
      </c>
      <c r="K285" s="49">
        <f>IF(INVESTORS_LIST[[#This Row],[LS_TOTAL UNITS SOLD]]=0,0,SUMIFS(LS[Realized Gain],LS[Investor ID],INVESTORS_LIST[[#This Row],[INVESTOR CODE]],LS[B/S],"S"))</f>
        <v>0</v>
      </c>
      <c r="L285" s="47">
        <f>SUMIFS(SIP[Unit],SIP[Investor ID],INVESTORS_LIST[[#This Row],[INVESTOR CODE]],SIP[B/S],"B")</f>
        <v>0</v>
      </c>
      <c r="M285" s="47">
        <f>-SUMIFS(SIP[Unit],SIP[Investor ID],INVESTORS_LIST[[#This Row],[INVESTOR CODE]],SIP[B/S],"S")</f>
        <v>0</v>
      </c>
      <c r="N285" s="50">
        <f>IF(INVESTORS_LIST[[#This Row],[SIP_TOTAL UNITS BUY]]=0,0,INVESTORS_LIST[[#This Row],[SIP_TOTAL UNITS BUY]]-INVESTORS_LIST[[#This Row],[SIP_TOTAL UNITS SOLD]])</f>
        <v>0</v>
      </c>
      <c r="O285" s="49">
        <f>IF(INVESTORS_LIST[[#This Row],[SIP_TOTAL UNITS BUY]]=0,0,SUMIFS(SIP[Amount],SIP[Investor ID],INVESTORS_LIST[[#This Row],[INVESTOR CODE]],SIP[B/S],"B"))</f>
        <v>0</v>
      </c>
      <c r="P285" s="49">
        <f>IF(INVESTORS_LIST[[#This Row],[SIP_TOTAL UNITS SOLD]]=0,0,SUMIFS(SIP[Cost of Units Sold],SIP[Investor ID],INVESTORS_LIST[[#This Row],[INVESTOR CODE]],SIP[B/S],"S"))</f>
        <v>0</v>
      </c>
      <c r="Q285" s="48">
        <f>IF(INVESTORS_LIST[[#This Row],[SIP_TOTAL CURRENT UNITS]]=0,0,INVESTORS_LIST[[#This Row],[SIP_TOTAL CURRENT UNITS]]*INVESTORS_LIST[[#This Row],[SIP_AVERAGE COST]])</f>
        <v>0</v>
      </c>
      <c r="R285" s="48">
        <f>IF(INVESTORS_LIST[[#This Row],[SIP_TOTAL UNITS SOLD]]=0,0,SUMIFS(SIP[Realized Gain],SIP[Investor ID],INVESTORS_LIST[[#This Row],[INVESTOR CODE]],SIP[B/S],"S"))</f>
        <v>0</v>
      </c>
      <c r="S285" s="50">
        <f>INVESTORS_LIST[[#This Row],[LS_TOTAL UNITS BUY]]+INVESTORS_LIST[[#This Row],[SIP_TOTAL UNITS BUY]]</f>
        <v>0</v>
      </c>
      <c r="T285" s="50">
        <f>INVESTORS_LIST[[#This Row],[LS_TOTAL UNITS SOLD]]+INVESTORS_LIST[[#This Row],[SIP_TOTAL UNITS SOLD]]</f>
        <v>0</v>
      </c>
      <c r="U285" s="50"/>
      <c r="V285" s="50">
        <f>SUMIFS(LS[BO UNIT TRANSFER],LS[Investor ID],INVESTORS_LIST[[#This Row],[INVESTOR CODE]],LS[B/S],"B")</f>
        <v>0</v>
      </c>
      <c r="W285" s="50">
        <f>SUMIFS(SIP[BO UNIT TRANSFER],SIP[Investor ID],INVESTORS_LIST[[#This Row],[INVESTOR CODE]],SIP[B/S],"B")</f>
        <v>0</v>
      </c>
      <c r="X285" s="50">
        <f>SUMIFS(LS[BO UNIT TRANSFER],LS[Investor ID],INVESTORS_LIST[[#This Row],[INVESTOR CODE]],LS[B/S],"S")</f>
        <v>0</v>
      </c>
      <c r="Y285" s="50">
        <f>SUMIFS(SIP[BO UNIT TRANSFER],SIP[Investor ID],INVESTORS_LIST[[#This Row],[INVESTOR CODE]],SIP[B/S],"S")</f>
        <v>0</v>
      </c>
      <c r="Z285" s="106">
        <f>SUM(INVESTORS_LIST[[#This Row],[BO OPENING BALANCE]:[BO SIP UNITS REPURCHASE]])</f>
        <v>0</v>
      </c>
      <c r="AA285" s="107">
        <f>INVESTORS_LIST[[#This Row],[TOTAL UNITS BUY]]-INVESTORS_LIST[[#This Row],[TOTAL UNITS SOLD]]</f>
        <v>0</v>
      </c>
      <c r="AB285" s="107">
        <f>INVESTORS_LIST[[#This Row],[TOTAL CURRENT UNITS]]-INVESTORS_LIST[[#This Row],[BO UNITS HOLD]]</f>
        <v>0</v>
      </c>
      <c r="AC285" s="201" t="e">
        <f>INDEX([3]!Table_1[BO ID],MATCH(INVESTORS_LIST[[#This Row],[INVESTOR CODE]],[3]!Table_1[INVESTOR CODE],0))</f>
        <v>#REF!</v>
      </c>
      <c r="AD285" s="201" t="e">
        <f>INDEX([3]!Table_1[Brokerage Name2],MATCH(INVESTORS_LIST[[#This Row],[INVESTOR CODE]],[3]!Table_1[INVESTOR CODE],0))</f>
        <v>#REF!</v>
      </c>
      <c r="AE285" s="201" t="e">
        <f>MID(INVESTORS_LIST[[#This Row],[BO ID]],4,5)</f>
        <v>#REF!</v>
      </c>
      <c r="AF285" s="201" t="e">
        <f>MID(INVESTORS_LIST[[#This Row],[BO ID]],2,7)</f>
        <v>#REF!</v>
      </c>
      <c r="AG285" s="201" t="e">
        <f>MID(INVESTORS_LIST[[#This Row],[BO ID]],9,7)</f>
        <v>#REF!</v>
      </c>
      <c r="AH285" s="201" t="e">
        <f>RIGHT(INVESTORS_LIST[[#This Row],[BO ID]],1)</f>
        <v>#REF!</v>
      </c>
      <c r="AI285" s="50">
        <f>INVESTORS_LIST[[#This Row],[LS_TOTAL COST VALUE OF CURRENT UNITS]]+INVESTORS_LIST[[#This Row],[SIP_TOTAL COST VALUE OF CURRENT UNITS]]</f>
        <v>0</v>
      </c>
      <c r="AJ285" s="109">
        <f>IF(INVESTORS_LIST[[#This Row],[TOTAL CURRENT UNITS]]=0,0,INVESTORS_LIST[[#This Row],[LS_TOTAL CURRENT UNITS]]/INVESTORS_LIST[[#This Row],[TOTAL CURRENT UNITS]])</f>
        <v>0</v>
      </c>
      <c r="AK285" s="109">
        <f>IF(INVESTORS_LIST[[#This Row],[TOTAL CURRENT UNITS]]=0,0,INVESTORS_LIST[[#This Row],[SIP_TOTAL CURRENT UNITS]]/INVESTORS_LIST[[#This Row],[TOTAL CURRENT UNITS]])</f>
        <v>0</v>
      </c>
      <c r="AL285" s="49" cm="1">
        <f t="array" ref="AL2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5" s="49" cm="1">
        <f t="array" ref="AM2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5" s="105">
        <f t="shared" si="5"/>
        <v>14.224</v>
      </c>
      <c r="AP285" s="112">
        <f>IF(INVESTORS_LIST[[#This Row],[TOTAL CURRENT UNITS]]=0,0,INVESTORS_LIST[[#This Row],[TOTAL CURRENT UNITS]]*INVESTORS_LIST[[#This Row],[NAV]])</f>
        <v>0</v>
      </c>
      <c r="AQ285" s="49">
        <f>IF(INVESTORS_LIST[[#This Row],[LS_TOTAL CURRENT UNITS]]=0,0,INVESTORS_LIST[[#This Row],[LS_TOTAL CURRENT UNITS]]*INVESTORS_LIST[[#This Row],[NAV]])</f>
        <v>0</v>
      </c>
      <c r="AR285" s="48">
        <f>IF(INVESTORS_LIST[[#This Row],[SIP_TOTAL CURRENT UNITS]]=0,0,INVESTORS_LIST[[#This Row],[SIP_TOTAL CURRENT UNITS]]*INVESTORS_LIST[[#This Row],[NAV]])</f>
        <v>0</v>
      </c>
      <c r="AS285" s="50">
        <f>INVESTORS_LIST[[#This Row],[TOTAL CURRENT UNITS]]</f>
        <v>0</v>
      </c>
      <c r="AT285" s="48">
        <f>IF(INVESTORS_LIST[[#This Row],[TOTAL SELLABLE UNITS]]=0,0,INVESTORS_LIST[[#This Row],[TOTAL SELLABLE UNITS]]*INVESTORS_LIST[[#This Row],[NAV]])</f>
        <v>0</v>
      </c>
      <c r="AU285" s="48">
        <f>INVESTORS_LIST[[#This Row],[LS_TOTAL REALIZED GAIN]]+INVESTORS_LIST[[#This Row],[SIP_TOTAL REALIZED GAIN]]</f>
        <v>0</v>
      </c>
      <c r="AV285" s="48">
        <f>INVESTORS_LIST[[#This Row],[TOTAL MARKET VALUE]]-INVESTORS_LIST[[#This Row],[TOTAL COST VALUE OF CURRENT INVESTMENT]]</f>
        <v>0</v>
      </c>
      <c r="AW285" s="48">
        <f>IFERROR(INVESTORS_LIST[[#This Row],[TOTAL CURRENT UNITS]]/SUM(INVESTORS_LIST[TOTAL CURRENT UNITS]),0)</f>
        <v>0</v>
      </c>
    </row>
    <row r="286" spans="1:49" hidden="1">
      <c r="A286" s="262" t="s">
        <v>619</v>
      </c>
      <c r="B286" s="97" t="s">
        <v>620</v>
      </c>
      <c r="C286" t="s">
        <v>44</v>
      </c>
      <c r="D286" s="75" t="s">
        <v>45</v>
      </c>
      <c r="E286" s="47">
        <f>SUMIFS(LS[Unit],LS[Investor ID],INVESTORS_LIST[[#This Row],[INVESTOR CODE]],LS[B/S],"B")</f>
        <v>0</v>
      </c>
      <c r="F286" s="47">
        <f>-SUMIFS(LS[Unit],LS[Investor ID],INVESTORS_LIST[[#This Row],[INVESTOR CODE]],LS[B/S],"S")</f>
        <v>0</v>
      </c>
      <c r="G286" s="47">
        <f>IF(INVESTORS_LIST[[#This Row],[LS_TOTAL UNITS BUY]]=0,0,INVESTORS_LIST[[#This Row],[LS_TOTAL UNITS BUY]]-INVESTORS_LIST[[#This Row],[LS_TOTAL UNITS SOLD]])</f>
        <v>0</v>
      </c>
      <c r="H286" s="49">
        <f>IF(INVESTORS_LIST[[#This Row],[LS_TOTAL UNITS BUY]]=0,0,SUMIFS(LS[Amount],LS[Investor ID],INVESTORS_LIST[[#This Row],[INVESTOR CODE]],LS[B/S],"B"))</f>
        <v>0</v>
      </c>
      <c r="I286" s="48">
        <f>IF(INVESTORS_LIST[[#This Row],[LS_TOTAL UNITS SOLD]]=0,0,SUMIFS(LS[Cost of Units Sold],LS[Investor ID],INVESTORS_LIST[[#This Row],[INVESTOR CODE]],LS[B/S],"S"))</f>
        <v>0</v>
      </c>
      <c r="J286" s="48">
        <f>IF(INVESTORS_LIST[[#This Row],[LS_TOTAL CURRENT UNITS]]=0,0,INVESTORS_LIST[[#This Row],[LS_TOTAL CURRENT UNITS]]*INVESTORS_LIST[[#This Row],[LS_AVERAGE COST]])</f>
        <v>0</v>
      </c>
      <c r="K286" s="49">
        <f>IF(INVESTORS_LIST[[#This Row],[LS_TOTAL UNITS SOLD]]=0,0,SUMIFS(LS[Realized Gain],LS[Investor ID],INVESTORS_LIST[[#This Row],[INVESTOR CODE]],LS[B/S],"S"))</f>
        <v>0</v>
      </c>
      <c r="L286" s="47">
        <f>SUMIFS(SIP[Unit],SIP[Investor ID],INVESTORS_LIST[[#This Row],[INVESTOR CODE]],SIP[B/S],"B")</f>
        <v>0</v>
      </c>
      <c r="M286" s="47">
        <f>-SUMIFS(SIP[Unit],SIP[Investor ID],INVESTORS_LIST[[#This Row],[INVESTOR CODE]],SIP[B/S],"S")</f>
        <v>0</v>
      </c>
      <c r="N286" s="50">
        <f>IF(INVESTORS_LIST[[#This Row],[SIP_TOTAL UNITS BUY]]=0,0,INVESTORS_LIST[[#This Row],[SIP_TOTAL UNITS BUY]]-INVESTORS_LIST[[#This Row],[SIP_TOTAL UNITS SOLD]])</f>
        <v>0</v>
      </c>
      <c r="O286" s="49">
        <f>IF(INVESTORS_LIST[[#This Row],[SIP_TOTAL UNITS BUY]]=0,0,SUMIFS(SIP[Amount],SIP[Investor ID],INVESTORS_LIST[[#This Row],[INVESTOR CODE]],SIP[B/S],"B"))</f>
        <v>0</v>
      </c>
      <c r="P286" s="49">
        <f>IF(INVESTORS_LIST[[#This Row],[SIP_TOTAL UNITS SOLD]]=0,0,SUMIFS(SIP[Cost of Units Sold],SIP[Investor ID],INVESTORS_LIST[[#This Row],[INVESTOR CODE]],SIP[B/S],"S"))</f>
        <v>0</v>
      </c>
      <c r="Q286" s="48">
        <f>IF(INVESTORS_LIST[[#This Row],[SIP_TOTAL CURRENT UNITS]]=0,0,INVESTORS_LIST[[#This Row],[SIP_TOTAL CURRENT UNITS]]*INVESTORS_LIST[[#This Row],[SIP_AVERAGE COST]])</f>
        <v>0</v>
      </c>
      <c r="R286" s="48">
        <f>IF(INVESTORS_LIST[[#This Row],[SIP_TOTAL UNITS SOLD]]=0,0,SUMIFS(SIP[Realized Gain],SIP[Investor ID],INVESTORS_LIST[[#This Row],[INVESTOR CODE]],SIP[B/S],"S"))</f>
        <v>0</v>
      </c>
      <c r="S286" s="50">
        <f>INVESTORS_LIST[[#This Row],[LS_TOTAL UNITS BUY]]+INVESTORS_LIST[[#This Row],[SIP_TOTAL UNITS BUY]]</f>
        <v>0</v>
      </c>
      <c r="T286" s="50">
        <f>INVESTORS_LIST[[#This Row],[LS_TOTAL UNITS SOLD]]+INVESTORS_LIST[[#This Row],[SIP_TOTAL UNITS SOLD]]</f>
        <v>0</v>
      </c>
      <c r="U286" s="50"/>
      <c r="V286" s="50">
        <f>SUMIFS(LS[BO UNIT TRANSFER],LS[Investor ID],INVESTORS_LIST[[#This Row],[INVESTOR CODE]],LS[B/S],"B")</f>
        <v>0</v>
      </c>
      <c r="W286" s="50">
        <f>SUMIFS(SIP[BO UNIT TRANSFER],SIP[Investor ID],INVESTORS_LIST[[#This Row],[INVESTOR CODE]],SIP[B/S],"B")</f>
        <v>0</v>
      </c>
      <c r="X286" s="50">
        <f>SUMIFS(LS[BO UNIT TRANSFER],LS[Investor ID],INVESTORS_LIST[[#This Row],[INVESTOR CODE]],LS[B/S],"S")</f>
        <v>0</v>
      </c>
      <c r="Y286" s="50">
        <f>SUMIFS(SIP[BO UNIT TRANSFER],SIP[Investor ID],INVESTORS_LIST[[#This Row],[INVESTOR CODE]],SIP[B/S],"S")</f>
        <v>0</v>
      </c>
      <c r="Z286" s="106">
        <f>SUM(INVESTORS_LIST[[#This Row],[BO OPENING BALANCE]:[BO SIP UNITS REPURCHASE]])</f>
        <v>0</v>
      </c>
      <c r="AA286" s="107">
        <f>INVESTORS_LIST[[#This Row],[TOTAL UNITS BUY]]-INVESTORS_LIST[[#This Row],[TOTAL UNITS SOLD]]</f>
        <v>0</v>
      </c>
      <c r="AB286" s="107">
        <f>INVESTORS_LIST[[#This Row],[TOTAL CURRENT UNITS]]-INVESTORS_LIST[[#This Row],[BO UNITS HOLD]]</f>
        <v>0</v>
      </c>
      <c r="AC286" s="201" t="e">
        <f>INDEX([3]!Table_1[BO ID],MATCH(INVESTORS_LIST[[#This Row],[INVESTOR CODE]],[3]!Table_1[INVESTOR CODE],0))</f>
        <v>#REF!</v>
      </c>
      <c r="AD286" s="201" t="e">
        <f>INDEX([3]!Table_1[Brokerage Name2],MATCH(INVESTORS_LIST[[#This Row],[INVESTOR CODE]],[3]!Table_1[INVESTOR CODE],0))</f>
        <v>#REF!</v>
      </c>
      <c r="AE286" s="201" t="e">
        <f>MID(INVESTORS_LIST[[#This Row],[BO ID]],4,5)</f>
        <v>#REF!</v>
      </c>
      <c r="AF286" s="201" t="e">
        <f>MID(INVESTORS_LIST[[#This Row],[BO ID]],2,7)</f>
        <v>#REF!</v>
      </c>
      <c r="AG286" s="201" t="e">
        <f>MID(INVESTORS_LIST[[#This Row],[BO ID]],9,7)</f>
        <v>#REF!</v>
      </c>
      <c r="AH286" s="201" t="e">
        <f>RIGHT(INVESTORS_LIST[[#This Row],[BO ID]],1)</f>
        <v>#REF!</v>
      </c>
      <c r="AI286" s="50">
        <f>INVESTORS_LIST[[#This Row],[LS_TOTAL COST VALUE OF CURRENT UNITS]]+INVESTORS_LIST[[#This Row],[SIP_TOTAL COST VALUE OF CURRENT UNITS]]</f>
        <v>0</v>
      </c>
      <c r="AJ286" s="109">
        <f>IF(INVESTORS_LIST[[#This Row],[TOTAL CURRENT UNITS]]=0,0,INVESTORS_LIST[[#This Row],[LS_TOTAL CURRENT UNITS]]/INVESTORS_LIST[[#This Row],[TOTAL CURRENT UNITS]])</f>
        <v>0</v>
      </c>
      <c r="AK286" s="109">
        <f>IF(INVESTORS_LIST[[#This Row],[TOTAL CURRENT UNITS]]=0,0,INVESTORS_LIST[[#This Row],[SIP_TOTAL CURRENT UNITS]]/INVESTORS_LIST[[#This Row],[TOTAL CURRENT UNITS]])</f>
        <v>0</v>
      </c>
      <c r="AL286" s="49" cm="1">
        <f t="array" ref="AL2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6" s="49" cm="1">
        <f t="array" ref="AM2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6" s="105">
        <f t="shared" si="5"/>
        <v>14.224</v>
      </c>
      <c r="AP286" s="112">
        <f>IF(INVESTORS_LIST[[#This Row],[TOTAL CURRENT UNITS]]=0,0,INVESTORS_LIST[[#This Row],[TOTAL CURRENT UNITS]]*INVESTORS_LIST[[#This Row],[NAV]])</f>
        <v>0</v>
      </c>
      <c r="AQ286" s="49">
        <f>IF(INVESTORS_LIST[[#This Row],[LS_TOTAL CURRENT UNITS]]=0,0,INVESTORS_LIST[[#This Row],[LS_TOTAL CURRENT UNITS]]*INVESTORS_LIST[[#This Row],[NAV]])</f>
        <v>0</v>
      </c>
      <c r="AR286" s="48">
        <f>IF(INVESTORS_LIST[[#This Row],[SIP_TOTAL CURRENT UNITS]]=0,0,INVESTORS_LIST[[#This Row],[SIP_TOTAL CURRENT UNITS]]*INVESTORS_LIST[[#This Row],[NAV]])</f>
        <v>0</v>
      </c>
      <c r="AS286" s="50">
        <f>INVESTORS_LIST[[#This Row],[TOTAL CURRENT UNITS]]</f>
        <v>0</v>
      </c>
      <c r="AT286" s="48">
        <f>IF(INVESTORS_LIST[[#This Row],[TOTAL SELLABLE UNITS]]=0,0,INVESTORS_LIST[[#This Row],[TOTAL SELLABLE UNITS]]*INVESTORS_LIST[[#This Row],[NAV]])</f>
        <v>0</v>
      </c>
      <c r="AU286" s="48">
        <f>INVESTORS_LIST[[#This Row],[LS_TOTAL REALIZED GAIN]]+INVESTORS_LIST[[#This Row],[SIP_TOTAL REALIZED GAIN]]</f>
        <v>0</v>
      </c>
      <c r="AV286" s="48">
        <f>INVESTORS_LIST[[#This Row],[TOTAL MARKET VALUE]]-INVESTORS_LIST[[#This Row],[TOTAL COST VALUE OF CURRENT INVESTMENT]]</f>
        <v>0</v>
      </c>
      <c r="AW286" s="48">
        <f>IFERROR(INVESTORS_LIST[[#This Row],[TOTAL CURRENT UNITS]]/SUM(INVESTORS_LIST[TOTAL CURRENT UNITS]),0)</f>
        <v>0</v>
      </c>
    </row>
    <row r="287" spans="1:49">
      <c r="A287" s="262" t="s">
        <v>621</v>
      </c>
      <c r="B287" s="97" t="s">
        <v>622</v>
      </c>
      <c r="C287" t="s">
        <v>44</v>
      </c>
      <c r="D287" s="75" t="s">
        <v>45</v>
      </c>
      <c r="E287" s="47">
        <f>SUMIFS(LS[Unit],LS[Investor ID],INVESTORS_LIST[[#This Row],[INVESTOR CODE]],LS[B/S],"B")</f>
        <v>22146</v>
      </c>
      <c r="F287" s="47">
        <f>-SUMIFS(LS[Unit],LS[Investor ID],INVESTORS_LIST[[#This Row],[INVESTOR CODE]],LS[B/S],"S")</f>
        <v>0</v>
      </c>
      <c r="G287" s="47">
        <f>IF(INVESTORS_LIST[[#This Row],[LS_TOTAL UNITS BUY]]=0,0,INVESTORS_LIST[[#This Row],[LS_TOTAL UNITS BUY]]-INVESTORS_LIST[[#This Row],[LS_TOTAL UNITS SOLD]])</f>
        <v>22146</v>
      </c>
      <c r="H287" s="49">
        <f>IF(INVESTORS_LIST[[#This Row],[LS_TOTAL UNITS BUY]]=0,0,SUMIFS(LS[Amount],LS[Investor ID],INVESTORS_LIST[[#This Row],[INVESTOR CODE]],LS[B/S],"B"))</f>
        <v>244799.32</v>
      </c>
      <c r="I287" s="48">
        <f>IF(INVESTORS_LIST[[#This Row],[LS_TOTAL UNITS SOLD]]=0,0,SUMIFS(LS[Cost of Units Sold],LS[Investor ID],INVESTORS_LIST[[#This Row],[INVESTOR CODE]],LS[B/S],"S"))</f>
        <v>0</v>
      </c>
      <c r="J287" s="48">
        <f>IF(INVESTORS_LIST[[#This Row],[LS_TOTAL CURRENT UNITS]]=0,0,INVESTORS_LIST[[#This Row],[LS_TOTAL CURRENT UNITS]]*INVESTORS_LIST[[#This Row],[LS_AVERAGE COST]])</f>
        <v>244799.32000000004</v>
      </c>
      <c r="K287" s="49">
        <f>IF(INVESTORS_LIST[[#This Row],[LS_TOTAL UNITS SOLD]]=0,0,SUMIFS(LS[Realized Gain],LS[Investor ID],INVESTORS_LIST[[#This Row],[INVESTOR CODE]],LS[B/S],"S"))</f>
        <v>0</v>
      </c>
      <c r="L287" s="47">
        <f>SUMIFS(SIP[Unit],SIP[Investor ID],INVESTORS_LIST[[#This Row],[INVESTOR CODE]],SIP[B/S],"B")</f>
        <v>52008</v>
      </c>
      <c r="M287" s="47">
        <f>-SUMIFS(SIP[Unit],SIP[Investor ID],INVESTORS_LIST[[#This Row],[INVESTOR CODE]],SIP[B/S],"S")</f>
        <v>0</v>
      </c>
      <c r="N287" s="50">
        <f>IF(INVESTORS_LIST[[#This Row],[SIP_TOTAL UNITS BUY]]=0,0,INVESTORS_LIST[[#This Row],[SIP_TOTAL UNITS BUY]]-INVESTORS_LIST[[#This Row],[SIP_TOTAL UNITS SOLD]])</f>
        <v>52008</v>
      </c>
      <c r="O287" s="49">
        <f>IF(INVESTORS_LIST[[#This Row],[SIP_TOTAL UNITS BUY]]=0,0,SUMIFS(SIP[Amount],SIP[Investor ID],INVESTORS_LIST[[#This Row],[INVESTOR CODE]],SIP[B/S],"B"))</f>
        <v>620000</v>
      </c>
      <c r="P287" s="49">
        <f>IF(INVESTORS_LIST[[#This Row],[SIP_TOTAL UNITS SOLD]]=0,0,SUMIFS(SIP[Cost of Units Sold],SIP[Investor ID],INVESTORS_LIST[[#This Row],[INVESTOR CODE]],SIP[B/S],"S"))</f>
        <v>0</v>
      </c>
      <c r="Q287" s="48">
        <f>IF(INVESTORS_LIST[[#This Row],[SIP_TOTAL CURRENT UNITS]]=0,0,INVESTORS_LIST[[#This Row],[SIP_TOTAL CURRENT UNITS]]*INVESTORS_LIST[[#This Row],[SIP_AVERAGE COST]])</f>
        <v>620000.00000000012</v>
      </c>
      <c r="R287" s="48">
        <f>IF(INVESTORS_LIST[[#This Row],[SIP_TOTAL UNITS SOLD]]=0,0,SUMIFS(SIP[Realized Gain],SIP[Investor ID],INVESTORS_LIST[[#This Row],[INVESTOR CODE]],SIP[B/S],"S"))</f>
        <v>0</v>
      </c>
      <c r="S287" s="50">
        <f>INVESTORS_LIST[[#This Row],[LS_TOTAL UNITS BUY]]+INVESTORS_LIST[[#This Row],[SIP_TOTAL UNITS BUY]]</f>
        <v>74154</v>
      </c>
      <c r="T287" s="50">
        <f>INVESTORS_LIST[[#This Row],[LS_TOTAL UNITS SOLD]]+INVESTORS_LIST[[#This Row],[SIP_TOTAL UNITS SOLD]]</f>
        <v>0</v>
      </c>
      <c r="U287" s="50"/>
      <c r="V287" s="50">
        <f>SUMIFS(LS[BO UNIT TRANSFER],LS[Investor ID],INVESTORS_LIST[[#This Row],[INVESTOR CODE]],LS[B/S],"B")</f>
        <v>0</v>
      </c>
      <c r="W287" s="50">
        <f>SUMIFS(SIP[BO UNIT TRANSFER],SIP[Investor ID],INVESTORS_LIST[[#This Row],[INVESTOR CODE]],SIP[B/S],"B")</f>
        <v>0</v>
      </c>
      <c r="X287" s="50">
        <f>SUMIFS(LS[BO UNIT TRANSFER],LS[Investor ID],INVESTORS_LIST[[#This Row],[INVESTOR CODE]],LS[B/S],"S")</f>
        <v>0</v>
      </c>
      <c r="Y287" s="50">
        <f>SUMIFS(SIP[BO UNIT TRANSFER],SIP[Investor ID],INVESTORS_LIST[[#This Row],[INVESTOR CODE]],SIP[B/S],"S")</f>
        <v>0</v>
      </c>
      <c r="Z287" s="106">
        <f>SUM(INVESTORS_LIST[[#This Row],[BO OPENING BALANCE]:[BO SIP UNITS REPURCHASE]])</f>
        <v>0</v>
      </c>
      <c r="AA287" s="107">
        <f>INVESTORS_LIST[[#This Row],[TOTAL UNITS BUY]]-INVESTORS_LIST[[#This Row],[TOTAL UNITS SOLD]]</f>
        <v>74154</v>
      </c>
      <c r="AB287" s="107">
        <f>INVESTORS_LIST[[#This Row],[TOTAL CURRENT UNITS]]-INVESTORS_LIST[[#This Row],[BO UNITS HOLD]]</f>
        <v>74154</v>
      </c>
      <c r="AC287" s="201" t="e">
        <f>INDEX([3]!Table_1[BO ID],MATCH(INVESTORS_LIST[[#This Row],[INVESTOR CODE]],[3]!Table_1[INVESTOR CODE],0))</f>
        <v>#REF!</v>
      </c>
      <c r="AD287" s="201" t="e">
        <f>INDEX([3]!Table_1[Brokerage Name2],MATCH(INVESTORS_LIST[[#This Row],[INVESTOR CODE]],[3]!Table_1[INVESTOR CODE],0))</f>
        <v>#REF!</v>
      </c>
      <c r="AE287" s="201" t="e">
        <f>MID(INVESTORS_LIST[[#This Row],[BO ID]],4,5)</f>
        <v>#REF!</v>
      </c>
      <c r="AF287" s="201" t="e">
        <f>MID(INVESTORS_LIST[[#This Row],[BO ID]],2,7)</f>
        <v>#REF!</v>
      </c>
      <c r="AG287" s="201" t="e">
        <f>MID(INVESTORS_LIST[[#This Row],[BO ID]],9,7)</f>
        <v>#REF!</v>
      </c>
      <c r="AH287" s="201" t="e">
        <f>RIGHT(INVESTORS_LIST[[#This Row],[BO ID]],1)</f>
        <v>#REF!</v>
      </c>
      <c r="AI287" s="50">
        <f>INVESTORS_LIST[[#This Row],[LS_TOTAL COST VALUE OF CURRENT UNITS]]+INVESTORS_LIST[[#This Row],[SIP_TOTAL COST VALUE OF CURRENT UNITS]]</f>
        <v>864799.32000000018</v>
      </c>
      <c r="AJ287" s="109">
        <f>IF(INVESTORS_LIST[[#This Row],[TOTAL CURRENT UNITS]]=0,0,INVESTORS_LIST[[#This Row],[LS_TOTAL CURRENT UNITS]]/INVESTORS_LIST[[#This Row],[TOTAL CURRENT UNITS]])</f>
        <v>0.29864875799012863</v>
      </c>
      <c r="AK287" s="109">
        <f>IF(INVESTORS_LIST[[#This Row],[TOTAL CURRENT UNITS]]=0,0,INVESTORS_LIST[[#This Row],[SIP_TOTAL CURRENT UNITS]]/INVESTORS_LIST[[#This Row],[TOTAL CURRENT UNITS]])</f>
        <v>0.70135124200987131</v>
      </c>
      <c r="AL287" s="49" cm="1">
        <f t="array" ref="AL287">IF(INVESTORS_LIST[[#This Row],[LS_TOTAL UNITS BUY]]&gt;0,INDEX(LS[NAV at Cost (Average)],MATCH(CONCATENATE(COUNTIFS(LS[Investor ID],INVESTORS_LIST[[#This Row],[INVESTOR CODE]]),INVESTORS_LIST[[#This Row],[INVESTOR CODE]]),LS[Unique Code],0),),0)</f>
        <v>11.053884222884495</v>
      </c>
      <c r="AM287" s="49" cm="1">
        <f t="array" ref="AM287">IF(INVESTORS_LIST[[#This Row],[SIP_TOTAL UNITS BUY]]&gt;0,INDEX(SIP[NAV at Cost (Average)],MATCH(CONCATENATE(COUNTIFS(SIP[Investor ID],INVESTORS_LIST[[#This Row],[INVESTOR CODE]]),INVESTORS_LIST[[#This Row],[INVESTOR CODE]]),SIP[Unique Code],0),),0)</f>
        <v>11.921242885709892</v>
      </c>
      <c r="AN287" s="105">
        <f>IF(INVESTORS_LIST[[#This Row],[TOTAL CURRENT UNITS]]=0,0,(INVESTORS_LIST[[#This Row],[LS_WEIGHT]]*INVESTORS_LIST[[#This Row],[LS_AVERAGE COST]])+(INVESTORS_LIST[[#This Row],[SIP_WEIGHT]]*INVESTORS_LIST[[#This Row],[SIP_AVERAGE COST]]))</f>
        <v>11.662207298325107</v>
      </c>
      <c r="AO287" s="105">
        <f t="shared" si="5"/>
        <v>14.224</v>
      </c>
      <c r="AP287" s="112">
        <f>IF(INVESTORS_LIST[[#This Row],[TOTAL CURRENT UNITS]]=0,0,INVESTORS_LIST[[#This Row],[TOTAL CURRENT UNITS]]*INVESTORS_LIST[[#This Row],[NAV]])</f>
        <v>1054766.496</v>
      </c>
      <c r="AQ287" s="49">
        <f>IF(INVESTORS_LIST[[#This Row],[LS_TOTAL CURRENT UNITS]]=0,0,INVESTORS_LIST[[#This Row],[LS_TOTAL CURRENT UNITS]]*INVESTORS_LIST[[#This Row],[NAV]])</f>
        <v>315004.70400000003</v>
      </c>
      <c r="AR287" s="48">
        <f>IF(INVESTORS_LIST[[#This Row],[SIP_TOTAL CURRENT UNITS]]=0,0,INVESTORS_LIST[[#This Row],[SIP_TOTAL CURRENT UNITS]]*INVESTORS_LIST[[#This Row],[NAV]])</f>
        <v>739761.79200000002</v>
      </c>
      <c r="AS287" s="50">
        <f>INVESTORS_LIST[[#This Row],[TOTAL CURRENT UNITS]]</f>
        <v>74154</v>
      </c>
      <c r="AT287" s="48">
        <f>IF(INVESTORS_LIST[[#This Row],[TOTAL SELLABLE UNITS]]=0,0,INVESTORS_LIST[[#This Row],[TOTAL SELLABLE UNITS]]*INVESTORS_LIST[[#This Row],[NAV]])</f>
        <v>1054766.496</v>
      </c>
      <c r="AU287" s="48">
        <f>INVESTORS_LIST[[#This Row],[LS_TOTAL REALIZED GAIN]]+INVESTORS_LIST[[#This Row],[SIP_TOTAL REALIZED GAIN]]</f>
        <v>0</v>
      </c>
      <c r="AV287" s="48">
        <f>INVESTORS_LIST[[#This Row],[TOTAL MARKET VALUE]]-INVESTORS_LIST[[#This Row],[TOTAL COST VALUE OF CURRENT INVESTMENT]]</f>
        <v>189967.17599999986</v>
      </c>
      <c r="AW287" s="108">
        <f>IFERROR(INVESTORS_LIST[[#This Row],[TOTAL CURRENT UNITS]]/SUM(INVESTORS_LIST[TOTAL CURRENT UNITS]),0)</f>
        <v>1.8001779203276704E-3</v>
      </c>
    </row>
    <row r="288" spans="1:49" hidden="1">
      <c r="A288" s="262" t="s">
        <v>623</v>
      </c>
      <c r="B288" s="97" t="s">
        <v>624</v>
      </c>
      <c r="C288" t="s">
        <v>44</v>
      </c>
      <c r="D288" s="75" t="s">
        <v>45</v>
      </c>
      <c r="E288" s="47">
        <f>SUMIFS(LS[Unit],LS[Investor ID],INVESTORS_LIST[[#This Row],[INVESTOR CODE]],LS[B/S],"B")</f>
        <v>0</v>
      </c>
      <c r="F288" s="47">
        <f>-SUMIFS(LS[Unit],LS[Investor ID],INVESTORS_LIST[[#This Row],[INVESTOR CODE]],LS[B/S],"S")</f>
        <v>0</v>
      </c>
      <c r="G288" s="47">
        <f>IF(INVESTORS_LIST[[#This Row],[LS_TOTAL UNITS BUY]]=0,0,INVESTORS_LIST[[#This Row],[LS_TOTAL UNITS BUY]]-INVESTORS_LIST[[#This Row],[LS_TOTAL UNITS SOLD]])</f>
        <v>0</v>
      </c>
      <c r="H288" s="49">
        <f>IF(INVESTORS_LIST[[#This Row],[LS_TOTAL UNITS BUY]]=0,0,SUMIFS(LS[Amount],LS[Investor ID],INVESTORS_LIST[[#This Row],[INVESTOR CODE]],LS[B/S],"B"))</f>
        <v>0</v>
      </c>
      <c r="I288" s="48">
        <f>IF(INVESTORS_LIST[[#This Row],[LS_TOTAL UNITS SOLD]]=0,0,SUMIFS(LS[Cost of Units Sold],LS[Investor ID],INVESTORS_LIST[[#This Row],[INVESTOR CODE]],LS[B/S],"S"))</f>
        <v>0</v>
      </c>
      <c r="J288" s="48">
        <f>IF(INVESTORS_LIST[[#This Row],[LS_TOTAL CURRENT UNITS]]=0,0,INVESTORS_LIST[[#This Row],[LS_TOTAL CURRENT UNITS]]*INVESTORS_LIST[[#This Row],[LS_AVERAGE COST]])</f>
        <v>0</v>
      </c>
      <c r="K288" s="49">
        <f>IF(INVESTORS_LIST[[#This Row],[LS_TOTAL UNITS SOLD]]=0,0,SUMIFS(LS[Realized Gain],LS[Investor ID],INVESTORS_LIST[[#This Row],[INVESTOR CODE]],LS[B/S],"S"))</f>
        <v>0</v>
      </c>
      <c r="L288" s="47">
        <f>SUMIFS(SIP[Unit],SIP[Investor ID],INVESTORS_LIST[[#This Row],[INVESTOR CODE]],SIP[B/S],"B")</f>
        <v>0</v>
      </c>
      <c r="M288" s="47">
        <f>-SUMIFS(SIP[Unit],SIP[Investor ID],INVESTORS_LIST[[#This Row],[INVESTOR CODE]],SIP[B/S],"S")</f>
        <v>0</v>
      </c>
      <c r="N288" s="50">
        <f>IF(INVESTORS_LIST[[#This Row],[SIP_TOTAL UNITS BUY]]=0,0,INVESTORS_LIST[[#This Row],[SIP_TOTAL UNITS BUY]]-INVESTORS_LIST[[#This Row],[SIP_TOTAL UNITS SOLD]])</f>
        <v>0</v>
      </c>
      <c r="O288" s="49">
        <f>IF(INVESTORS_LIST[[#This Row],[SIP_TOTAL UNITS BUY]]=0,0,SUMIFS(SIP[Amount],SIP[Investor ID],INVESTORS_LIST[[#This Row],[INVESTOR CODE]],SIP[B/S],"B"))</f>
        <v>0</v>
      </c>
      <c r="P288" s="49">
        <f>IF(INVESTORS_LIST[[#This Row],[SIP_TOTAL UNITS SOLD]]=0,0,SUMIFS(SIP[Cost of Units Sold],SIP[Investor ID],INVESTORS_LIST[[#This Row],[INVESTOR CODE]],SIP[B/S],"S"))</f>
        <v>0</v>
      </c>
      <c r="Q288" s="48">
        <f>IF(INVESTORS_LIST[[#This Row],[SIP_TOTAL CURRENT UNITS]]=0,0,INVESTORS_LIST[[#This Row],[SIP_TOTAL CURRENT UNITS]]*INVESTORS_LIST[[#This Row],[SIP_AVERAGE COST]])</f>
        <v>0</v>
      </c>
      <c r="R288" s="48">
        <f>IF(INVESTORS_LIST[[#This Row],[SIP_TOTAL UNITS SOLD]]=0,0,SUMIFS(SIP[Realized Gain],SIP[Investor ID],INVESTORS_LIST[[#This Row],[INVESTOR CODE]],SIP[B/S],"S"))</f>
        <v>0</v>
      </c>
      <c r="S288" s="50">
        <f>INVESTORS_LIST[[#This Row],[LS_TOTAL UNITS BUY]]+INVESTORS_LIST[[#This Row],[SIP_TOTAL UNITS BUY]]</f>
        <v>0</v>
      </c>
      <c r="T288" s="50">
        <f>INVESTORS_LIST[[#This Row],[LS_TOTAL UNITS SOLD]]+INVESTORS_LIST[[#This Row],[SIP_TOTAL UNITS SOLD]]</f>
        <v>0</v>
      </c>
      <c r="U288" s="50"/>
      <c r="V288" s="50">
        <f>SUMIFS(LS[BO UNIT TRANSFER],LS[Investor ID],INVESTORS_LIST[[#This Row],[INVESTOR CODE]],LS[B/S],"B")</f>
        <v>0</v>
      </c>
      <c r="W288" s="50">
        <f>SUMIFS(SIP[BO UNIT TRANSFER],SIP[Investor ID],INVESTORS_LIST[[#This Row],[INVESTOR CODE]],SIP[B/S],"B")</f>
        <v>0</v>
      </c>
      <c r="X288" s="50">
        <f>SUMIFS(LS[BO UNIT TRANSFER],LS[Investor ID],INVESTORS_LIST[[#This Row],[INVESTOR CODE]],LS[B/S],"S")</f>
        <v>0</v>
      </c>
      <c r="Y288" s="50">
        <f>SUMIFS(SIP[BO UNIT TRANSFER],SIP[Investor ID],INVESTORS_LIST[[#This Row],[INVESTOR CODE]],SIP[B/S],"S")</f>
        <v>0</v>
      </c>
      <c r="Z288" s="106">
        <f>SUM(INVESTORS_LIST[[#This Row],[BO OPENING BALANCE]:[BO SIP UNITS REPURCHASE]])</f>
        <v>0</v>
      </c>
      <c r="AA288" s="107">
        <f>INVESTORS_LIST[[#This Row],[TOTAL UNITS BUY]]-INVESTORS_LIST[[#This Row],[TOTAL UNITS SOLD]]</f>
        <v>0</v>
      </c>
      <c r="AB288" s="107">
        <f>INVESTORS_LIST[[#This Row],[TOTAL CURRENT UNITS]]-INVESTORS_LIST[[#This Row],[BO UNITS HOLD]]</f>
        <v>0</v>
      </c>
      <c r="AC288" s="201" t="e">
        <f>INDEX([3]!Table_1[BO ID],MATCH(INVESTORS_LIST[[#This Row],[INVESTOR CODE]],[3]!Table_1[INVESTOR CODE],0))</f>
        <v>#REF!</v>
      </c>
      <c r="AD288" s="201" t="e">
        <f>INDEX([3]!Table_1[Brokerage Name2],MATCH(INVESTORS_LIST[[#This Row],[INVESTOR CODE]],[3]!Table_1[INVESTOR CODE],0))</f>
        <v>#REF!</v>
      </c>
      <c r="AE288" s="201" t="e">
        <f>MID(INVESTORS_LIST[[#This Row],[BO ID]],4,5)</f>
        <v>#REF!</v>
      </c>
      <c r="AF288" s="201" t="e">
        <f>MID(INVESTORS_LIST[[#This Row],[BO ID]],2,7)</f>
        <v>#REF!</v>
      </c>
      <c r="AG288" s="201" t="e">
        <f>MID(INVESTORS_LIST[[#This Row],[BO ID]],9,7)</f>
        <v>#REF!</v>
      </c>
      <c r="AH288" s="201" t="e">
        <f>RIGHT(INVESTORS_LIST[[#This Row],[BO ID]],1)</f>
        <v>#REF!</v>
      </c>
      <c r="AI288" s="50">
        <f>INVESTORS_LIST[[#This Row],[LS_TOTAL COST VALUE OF CURRENT UNITS]]+INVESTORS_LIST[[#This Row],[SIP_TOTAL COST VALUE OF CURRENT UNITS]]</f>
        <v>0</v>
      </c>
      <c r="AJ288" s="109">
        <f>IF(INVESTORS_LIST[[#This Row],[TOTAL CURRENT UNITS]]=0,0,INVESTORS_LIST[[#This Row],[LS_TOTAL CURRENT UNITS]]/INVESTORS_LIST[[#This Row],[TOTAL CURRENT UNITS]])</f>
        <v>0</v>
      </c>
      <c r="AK288" s="109">
        <f>IF(INVESTORS_LIST[[#This Row],[TOTAL CURRENT UNITS]]=0,0,INVESTORS_LIST[[#This Row],[SIP_TOTAL CURRENT UNITS]]/INVESTORS_LIST[[#This Row],[TOTAL CURRENT UNITS]])</f>
        <v>0</v>
      </c>
      <c r="AL288" s="49" cm="1">
        <f t="array" ref="AL2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88" s="49" cm="1">
        <f t="array" ref="AM2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8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88" s="105">
        <f t="shared" si="5"/>
        <v>14.224</v>
      </c>
      <c r="AP288" s="112">
        <f>IF(INVESTORS_LIST[[#This Row],[TOTAL CURRENT UNITS]]=0,0,INVESTORS_LIST[[#This Row],[TOTAL CURRENT UNITS]]*INVESTORS_LIST[[#This Row],[NAV]])</f>
        <v>0</v>
      </c>
      <c r="AQ288" s="49">
        <f>IF(INVESTORS_LIST[[#This Row],[LS_TOTAL CURRENT UNITS]]=0,0,INVESTORS_LIST[[#This Row],[LS_TOTAL CURRENT UNITS]]*INVESTORS_LIST[[#This Row],[NAV]])</f>
        <v>0</v>
      </c>
      <c r="AR288" s="48">
        <f>IF(INVESTORS_LIST[[#This Row],[SIP_TOTAL CURRENT UNITS]]=0,0,INVESTORS_LIST[[#This Row],[SIP_TOTAL CURRENT UNITS]]*INVESTORS_LIST[[#This Row],[NAV]])</f>
        <v>0</v>
      </c>
      <c r="AS288" s="50">
        <f>INVESTORS_LIST[[#This Row],[TOTAL CURRENT UNITS]]</f>
        <v>0</v>
      </c>
      <c r="AT288" s="48">
        <f>IF(INVESTORS_LIST[[#This Row],[TOTAL SELLABLE UNITS]]=0,0,INVESTORS_LIST[[#This Row],[TOTAL SELLABLE UNITS]]*INVESTORS_LIST[[#This Row],[NAV]])</f>
        <v>0</v>
      </c>
      <c r="AU288" s="48">
        <f>INVESTORS_LIST[[#This Row],[LS_TOTAL REALIZED GAIN]]+INVESTORS_LIST[[#This Row],[SIP_TOTAL REALIZED GAIN]]</f>
        <v>0</v>
      </c>
      <c r="AV288" s="48">
        <f>INVESTORS_LIST[[#This Row],[TOTAL MARKET VALUE]]-INVESTORS_LIST[[#This Row],[TOTAL COST VALUE OF CURRENT INVESTMENT]]</f>
        <v>0</v>
      </c>
      <c r="AW288" s="48">
        <f>IFERROR(INVESTORS_LIST[[#This Row],[TOTAL CURRENT UNITS]]/SUM(INVESTORS_LIST[TOTAL CURRENT UNITS]),0)</f>
        <v>0</v>
      </c>
    </row>
    <row r="289" spans="1:49">
      <c r="A289" s="262" t="s">
        <v>625</v>
      </c>
      <c r="B289" s="97" t="s">
        <v>626</v>
      </c>
      <c r="C289" t="s">
        <v>44</v>
      </c>
      <c r="D289" s="75" t="s">
        <v>45</v>
      </c>
      <c r="E289" s="47">
        <f>SUMIFS(LS[Unit],LS[Investor ID],INVESTORS_LIST[[#This Row],[INVESTOR CODE]],LS[B/S],"B")</f>
        <v>6588</v>
      </c>
      <c r="F289" s="47">
        <f>-SUMIFS(LS[Unit],LS[Investor ID],INVESTORS_LIST[[#This Row],[INVESTOR CODE]],LS[B/S],"S")</f>
        <v>0</v>
      </c>
      <c r="G289" s="47">
        <f>IF(INVESTORS_LIST[[#This Row],[LS_TOTAL UNITS BUY]]=0,0,INVESTORS_LIST[[#This Row],[LS_TOTAL UNITS BUY]]-INVESTORS_LIST[[#This Row],[LS_TOTAL UNITS SOLD]])</f>
        <v>6588</v>
      </c>
      <c r="H289" s="49">
        <f>IF(INVESTORS_LIST[[#This Row],[LS_TOTAL UNITS BUY]]=0,0,SUMIFS(LS[Amount],LS[Investor ID],INVESTORS_LIST[[#This Row],[INVESTOR CODE]],LS[B/S],"B"))</f>
        <v>75000</v>
      </c>
      <c r="I289" s="48">
        <f>IF(INVESTORS_LIST[[#This Row],[LS_TOTAL UNITS SOLD]]=0,0,SUMIFS(LS[Cost of Units Sold],LS[Investor ID],INVESTORS_LIST[[#This Row],[INVESTOR CODE]],LS[B/S],"S"))</f>
        <v>0</v>
      </c>
      <c r="J289" s="48">
        <f>IF(INVESTORS_LIST[[#This Row],[LS_TOTAL CURRENT UNITS]]=0,0,INVESTORS_LIST[[#This Row],[LS_TOTAL CURRENT UNITS]]*INVESTORS_LIST[[#This Row],[LS_AVERAGE COST]])</f>
        <v>75000</v>
      </c>
      <c r="K289" s="49">
        <f>IF(INVESTORS_LIST[[#This Row],[LS_TOTAL UNITS SOLD]]=0,0,SUMIFS(LS[Realized Gain],LS[Investor ID],INVESTORS_LIST[[#This Row],[INVESTOR CODE]],LS[B/S],"S"))</f>
        <v>0</v>
      </c>
      <c r="L289" s="47">
        <f>SUMIFS(SIP[Unit],SIP[Investor ID],INVESTORS_LIST[[#This Row],[INVESTOR CODE]],SIP[B/S],"B")</f>
        <v>7527</v>
      </c>
      <c r="M289" s="47">
        <f>-SUMIFS(SIP[Unit],SIP[Investor ID],INVESTORS_LIST[[#This Row],[INVESTOR CODE]],SIP[B/S],"S")</f>
        <v>0</v>
      </c>
      <c r="N289" s="50">
        <f>IF(INVESTORS_LIST[[#This Row],[SIP_TOTAL UNITS BUY]]=0,0,INVESTORS_LIST[[#This Row],[SIP_TOTAL UNITS BUY]]-INVESTORS_LIST[[#This Row],[SIP_TOTAL UNITS SOLD]])</f>
        <v>7527</v>
      </c>
      <c r="O289" s="49">
        <f>IF(INVESTORS_LIST[[#This Row],[SIP_TOTAL UNITS BUY]]=0,0,SUMIFS(SIP[Amount],SIP[Investor ID],INVESTORS_LIST[[#This Row],[INVESTOR CODE]],SIP[B/S],"B"))</f>
        <v>95000</v>
      </c>
      <c r="P289" s="49">
        <f>IF(INVESTORS_LIST[[#This Row],[SIP_TOTAL UNITS SOLD]]=0,0,SUMIFS(SIP[Cost of Units Sold],SIP[Investor ID],INVESTORS_LIST[[#This Row],[INVESTOR CODE]],SIP[B/S],"S"))</f>
        <v>0</v>
      </c>
      <c r="Q289" s="48">
        <f>IF(INVESTORS_LIST[[#This Row],[SIP_TOTAL CURRENT UNITS]]=0,0,INVESTORS_LIST[[#This Row],[SIP_TOTAL CURRENT UNITS]]*INVESTORS_LIST[[#This Row],[SIP_AVERAGE COST]])</f>
        <v>94999.999999999985</v>
      </c>
      <c r="R289" s="48">
        <f>IF(INVESTORS_LIST[[#This Row],[SIP_TOTAL UNITS SOLD]]=0,0,SUMIFS(SIP[Realized Gain],SIP[Investor ID],INVESTORS_LIST[[#This Row],[INVESTOR CODE]],SIP[B/S],"S"))</f>
        <v>0</v>
      </c>
      <c r="S289" s="50">
        <f>INVESTORS_LIST[[#This Row],[LS_TOTAL UNITS BUY]]+INVESTORS_LIST[[#This Row],[SIP_TOTAL UNITS BUY]]</f>
        <v>14115</v>
      </c>
      <c r="T289" s="50">
        <f>INVESTORS_LIST[[#This Row],[LS_TOTAL UNITS SOLD]]+INVESTORS_LIST[[#This Row],[SIP_TOTAL UNITS SOLD]]</f>
        <v>0</v>
      </c>
      <c r="U289" s="50"/>
      <c r="V289" s="50">
        <f>SUMIFS(LS[BO UNIT TRANSFER],LS[Investor ID],INVESTORS_LIST[[#This Row],[INVESTOR CODE]],LS[B/S],"B")</f>
        <v>0</v>
      </c>
      <c r="W289" s="50">
        <f>SUMIFS(SIP[BO UNIT TRANSFER],SIP[Investor ID],INVESTORS_LIST[[#This Row],[INVESTOR CODE]],SIP[B/S],"B")</f>
        <v>0</v>
      </c>
      <c r="X289" s="50">
        <f>SUMIFS(LS[BO UNIT TRANSFER],LS[Investor ID],INVESTORS_LIST[[#This Row],[INVESTOR CODE]],LS[B/S],"S")</f>
        <v>0</v>
      </c>
      <c r="Y289" s="50">
        <f>SUMIFS(SIP[BO UNIT TRANSFER],SIP[Investor ID],INVESTORS_LIST[[#This Row],[INVESTOR CODE]],SIP[B/S],"S")</f>
        <v>0</v>
      </c>
      <c r="Z289" s="106">
        <f>SUM(INVESTORS_LIST[[#This Row],[BO OPENING BALANCE]:[BO SIP UNITS REPURCHASE]])</f>
        <v>0</v>
      </c>
      <c r="AA289" s="107">
        <f>INVESTORS_LIST[[#This Row],[TOTAL UNITS BUY]]-INVESTORS_LIST[[#This Row],[TOTAL UNITS SOLD]]</f>
        <v>14115</v>
      </c>
      <c r="AB289" s="107">
        <f>INVESTORS_LIST[[#This Row],[TOTAL CURRENT UNITS]]-INVESTORS_LIST[[#This Row],[BO UNITS HOLD]]</f>
        <v>14115</v>
      </c>
      <c r="AC289" s="201" t="e">
        <f>INDEX([3]!Table_1[BO ID],MATCH(INVESTORS_LIST[[#This Row],[INVESTOR CODE]],[3]!Table_1[INVESTOR CODE],0))</f>
        <v>#REF!</v>
      </c>
      <c r="AD289" s="201" t="e">
        <f>INDEX([3]!Table_1[Brokerage Name2],MATCH(INVESTORS_LIST[[#This Row],[INVESTOR CODE]],[3]!Table_1[INVESTOR CODE],0))</f>
        <v>#REF!</v>
      </c>
      <c r="AE289" s="201" t="e">
        <f>MID(INVESTORS_LIST[[#This Row],[BO ID]],4,5)</f>
        <v>#REF!</v>
      </c>
      <c r="AF289" s="201" t="e">
        <f>MID(INVESTORS_LIST[[#This Row],[BO ID]],2,7)</f>
        <v>#REF!</v>
      </c>
      <c r="AG289" s="201" t="e">
        <f>MID(INVESTORS_LIST[[#This Row],[BO ID]],9,7)</f>
        <v>#REF!</v>
      </c>
      <c r="AH289" s="201" t="e">
        <f>RIGHT(INVESTORS_LIST[[#This Row],[BO ID]],1)</f>
        <v>#REF!</v>
      </c>
      <c r="AI289" s="50">
        <f>INVESTORS_LIST[[#This Row],[LS_TOTAL COST VALUE OF CURRENT UNITS]]+INVESTORS_LIST[[#This Row],[SIP_TOTAL COST VALUE OF CURRENT UNITS]]</f>
        <v>170000</v>
      </c>
      <c r="AJ289" s="109">
        <f>IF(INVESTORS_LIST[[#This Row],[TOTAL CURRENT UNITS]]=0,0,INVESTORS_LIST[[#This Row],[LS_TOTAL CURRENT UNITS]]/INVESTORS_LIST[[#This Row],[TOTAL CURRENT UNITS]])</f>
        <v>0.46673751328374069</v>
      </c>
      <c r="AK289" s="109">
        <f>IF(INVESTORS_LIST[[#This Row],[TOTAL CURRENT UNITS]]=0,0,INVESTORS_LIST[[#This Row],[SIP_TOTAL CURRENT UNITS]]/INVESTORS_LIST[[#This Row],[TOTAL CURRENT UNITS]])</f>
        <v>0.53326248671625931</v>
      </c>
      <c r="AL289" s="49" cm="1">
        <f t="array" ref="AL289">IF(INVESTORS_LIST[[#This Row],[LS_TOTAL UNITS BUY]]&gt;0,INDEX(LS[NAV at Cost (Average)],MATCH(CONCATENATE(COUNTIFS(LS[Investor ID],INVESTORS_LIST[[#This Row],[INVESTOR CODE]]),INVESTORS_LIST[[#This Row],[INVESTOR CODE]]),LS[Unique Code],0),),0)</f>
        <v>11.384335154826958</v>
      </c>
      <c r="AM289" s="49" cm="1">
        <f t="array" ref="AM289">IF(INVESTORS_LIST[[#This Row],[SIP_TOTAL UNITS BUY]]&gt;0,INDEX(SIP[NAV at Cost (Average)],MATCH(CONCATENATE(COUNTIFS(SIP[Investor ID],INVESTORS_LIST[[#This Row],[INVESTOR CODE]]),INVESTORS_LIST[[#This Row],[INVESTOR CODE]]),SIP[Unique Code],0),),0)</f>
        <v>12.621230237810547</v>
      </c>
      <c r="AN289" s="105">
        <f>IF(INVESTORS_LIST[[#This Row],[TOTAL CURRENT UNITS]]=0,0,(INVESTORS_LIST[[#This Row],[LS_WEIGHT]]*INVESTORS_LIST[[#This Row],[LS_AVERAGE COST]])+(INVESTORS_LIST[[#This Row],[SIP_WEIGHT]]*INVESTORS_LIST[[#This Row],[SIP_AVERAGE COST]]))</f>
        <v>12.0439249025859</v>
      </c>
      <c r="AO289" s="105">
        <f t="shared" si="5"/>
        <v>14.224</v>
      </c>
      <c r="AP289" s="112">
        <f>IF(INVESTORS_LIST[[#This Row],[TOTAL CURRENT UNITS]]=0,0,INVESTORS_LIST[[#This Row],[TOTAL CURRENT UNITS]]*INVESTORS_LIST[[#This Row],[NAV]])</f>
        <v>200771.76</v>
      </c>
      <c r="AQ289" s="49">
        <f>IF(INVESTORS_LIST[[#This Row],[LS_TOTAL CURRENT UNITS]]=0,0,INVESTORS_LIST[[#This Row],[LS_TOTAL CURRENT UNITS]]*INVESTORS_LIST[[#This Row],[NAV]])</f>
        <v>93707.712</v>
      </c>
      <c r="AR289" s="48">
        <f>IF(INVESTORS_LIST[[#This Row],[SIP_TOTAL CURRENT UNITS]]=0,0,INVESTORS_LIST[[#This Row],[SIP_TOTAL CURRENT UNITS]]*INVESTORS_LIST[[#This Row],[NAV]])</f>
        <v>107064.048</v>
      </c>
      <c r="AS289" s="50">
        <f>INVESTORS_LIST[[#This Row],[TOTAL CURRENT UNITS]]</f>
        <v>14115</v>
      </c>
      <c r="AT289" s="48">
        <f>IF(INVESTORS_LIST[[#This Row],[TOTAL SELLABLE UNITS]]=0,0,INVESTORS_LIST[[#This Row],[TOTAL SELLABLE UNITS]]*INVESTORS_LIST[[#This Row],[NAV]])</f>
        <v>200771.76</v>
      </c>
      <c r="AU289" s="48">
        <f>INVESTORS_LIST[[#This Row],[LS_TOTAL REALIZED GAIN]]+INVESTORS_LIST[[#This Row],[SIP_TOTAL REALIZED GAIN]]</f>
        <v>0</v>
      </c>
      <c r="AV289" s="48">
        <f>INVESTORS_LIST[[#This Row],[TOTAL MARKET VALUE]]-INVESTORS_LIST[[#This Row],[TOTAL COST VALUE OF CURRENT INVESTMENT]]</f>
        <v>30771.760000000009</v>
      </c>
      <c r="AW289" s="48">
        <f>IFERROR(INVESTORS_LIST[[#This Row],[TOTAL CURRENT UNITS]]/SUM(INVESTORS_LIST[TOTAL CURRENT UNITS]),0)</f>
        <v>3.4265867445350311E-4</v>
      </c>
    </row>
    <row r="290" spans="1:49">
      <c r="A290" s="262" t="s">
        <v>627</v>
      </c>
      <c r="B290" s="97" t="s">
        <v>628</v>
      </c>
      <c r="C290" t="s">
        <v>44</v>
      </c>
      <c r="D290" s="75" t="s">
        <v>45</v>
      </c>
      <c r="E290" s="47">
        <f>SUMIFS(LS[Unit],LS[Investor ID],INVESTORS_LIST[[#This Row],[INVESTOR CODE]],LS[B/S],"B")</f>
        <v>35453</v>
      </c>
      <c r="F290" s="47">
        <f>-SUMIFS(LS[Unit],LS[Investor ID],INVESTORS_LIST[[#This Row],[INVESTOR CODE]],LS[B/S],"S")</f>
        <v>0</v>
      </c>
      <c r="G290" s="47">
        <f>IF(INVESTORS_LIST[[#This Row],[LS_TOTAL UNITS BUY]]=0,0,INVESTORS_LIST[[#This Row],[LS_TOTAL UNITS BUY]]-INVESTORS_LIST[[#This Row],[LS_TOTAL UNITS SOLD]])</f>
        <v>35453</v>
      </c>
      <c r="H290" s="49">
        <f>IF(INVESTORS_LIST[[#This Row],[LS_TOTAL UNITS BUY]]=0,0,SUMIFS(LS[Amount],LS[Investor ID],INVESTORS_LIST[[#This Row],[INVESTOR CODE]],LS[B/S],"B"))</f>
        <v>400000</v>
      </c>
      <c r="I290" s="48">
        <f>IF(INVESTORS_LIST[[#This Row],[LS_TOTAL UNITS SOLD]]=0,0,SUMIFS(LS[Cost of Units Sold],LS[Investor ID],INVESTORS_LIST[[#This Row],[INVESTOR CODE]],LS[B/S],"S"))</f>
        <v>0</v>
      </c>
      <c r="J290" s="48">
        <f>IF(INVESTORS_LIST[[#This Row],[LS_TOTAL CURRENT UNITS]]=0,0,INVESTORS_LIST[[#This Row],[LS_TOTAL CURRENT UNITS]]*INVESTORS_LIST[[#This Row],[LS_AVERAGE COST]])</f>
        <v>400000</v>
      </c>
      <c r="K290" s="49">
        <f>IF(INVESTORS_LIST[[#This Row],[LS_TOTAL UNITS SOLD]]=0,0,SUMIFS(LS[Realized Gain],LS[Investor ID],INVESTORS_LIST[[#This Row],[INVESTOR CODE]],LS[B/S],"S"))</f>
        <v>0</v>
      </c>
      <c r="L290" s="47">
        <f>SUMIFS(SIP[Unit],SIP[Investor ID],INVESTORS_LIST[[#This Row],[INVESTOR CODE]],SIP[B/S],"B")</f>
        <v>0</v>
      </c>
      <c r="M290" s="47">
        <f>-SUMIFS(SIP[Unit],SIP[Investor ID],INVESTORS_LIST[[#This Row],[INVESTOR CODE]],SIP[B/S],"S")</f>
        <v>0</v>
      </c>
      <c r="N290" s="50">
        <f>IF(INVESTORS_LIST[[#This Row],[SIP_TOTAL UNITS BUY]]=0,0,INVESTORS_LIST[[#This Row],[SIP_TOTAL UNITS BUY]]-INVESTORS_LIST[[#This Row],[SIP_TOTAL UNITS SOLD]])</f>
        <v>0</v>
      </c>
      <c r="O290" s="49">
        <f>IF(INVESTORS_LIST[[#This Row],[SIP_TOTAL UNITS BUY]]=0,0,SUMIFS(SIP[Amount],SIP[Investor ID],INVESTORS_LIST[[#This Row],[INVESTOR CODE]],SIP[B/S],"B"))</f>
        <v>0</v>
      </c>
      <c r="P290" s="49">
        <f>IF(INVESTORS_LIST[[#This Row],[SIP_TOTAL UNITS SOLD]]=0,0,SUMIFS(SIP[Cost of Units Sold],SIP[Investor ID],INVESTORS_LIST[[#This Row],[INVESTOR CODE]],SIP[B/S],"S"))</f>
        <v>0</v>
      </c>
      <c r="Q290" s="48">
        <f>IF(INVESTORS_LIST[[#This Row],[SIP_TOTAL CURRENT UNITS]]=0,0,INVESTORS_LIST[[#This Row],[SIP_TOTAL CURRENT UNITS]]*INVESTORS_LIST[[#This Row],[SIP_AVERAGE COST]])</f>
        <v>0</v>
      </c>
      <c r="R290" s="48">
        <f>IF(INVESTORS_LIST[[#This Row],[SIP_TOTAL UNITS SOLD]]=0,0,SUMIFS(SIP[Realized Gain],SIP[Investor ID],INVESTORS_LIST[[#This Row],[INVESTOR CODE]],SIP[B/S],"S"))</f>
        <v>0</v>
      </c>
      <c r="S290" s="50">
        <f>INVESTORS_LIST[[#This Row],[LS_TOTAL UNITS BUY]]+INVESTORS_LIST[[#This Row],[SIP_TOTAL UNITS BUY]]</f>
        <v>35453</v>
      </c>
      <c r="T290" s="50">
        <f>INVESTORS_LIST[[#This Row],[LS_TOTAL UNITS SOLD]]+INVESTORS_LIST[[#This Row],[SIP_TOTAL UNITS SOLD]]</f>
        <v>0</v>
      </c>
      <c r="U290" s="50">
        <v>35453</v>
      </c>
      <c r="V290" s="50">
        <f>SUMIFS(LS[BO UNIT TRANSFER],LS[Investor ID],INVESTORS_LIST[[#This Row],[INVESTOR CODE]],LS[B/S],"B")</f>
        <v>0</v>
      </c>
      <c r="W290" s="50">
        <f>SUMIFS(SIP[BO UNIT TRANSFER],SIP[Investor ID],INVESTORS_LIST[[#This Row],[INVESTOR CODE]],SIP[B/S],"B")</f>
        <v>0</v>
      </c>
      <c r="X290" s="50">
        <f>SUMIFS(LS[BO UNIT TRANSFER],LS[Investor ID],INVESTORS_LIST[[#This Row],[INVESTOR CODE]],LS[B/S],"S")</f>
        <v>0</v>
      </c>
      <c r="Y290" s="50">
        <f>SUMIFS(SIP[BO UNIT TRANSFER],SIP[Investor ID],INVESTORS_LIST[[#This Row],[INVESTOR CODE]],SIP[B/S],"S")</f>
        <v>0</v>
      </c>
      <c r="Z290" s="106">
        <f>SUM(INVESTORS_LIST[[#This Row],[BO OPENING BALANCE]:[BO SIP UNITS REPURCHASE]])</f>
        <v>35453</v>
      </c>
      <c r="AA290" s="107">
        <f>INVESTORS_LIST[[#This Row],[TOTAL UNITS BUY]]-INVESTORS_LIST[[#This Row],[TOTAL UNITS SOLD]]</f>
        <v>35453</v>
      </c>
      <c r="AB290" s="107">
        <f>INVESTORS_LIST[[#This Row],[TOTAL CURRENT UNITS]]-INVESTORS_LIST[[#This Row],[BO UNITS HOLD]]</f>
        <v>0</v>
      </c>
      <c r="AC290" s="201" t="e">
        <f>INDEX([3]!Table_1[BO ID],MATCH(INVESTORS_LIST[[#This Row],[INVESTOR CODE]],[3]!Table_1[INVESTOR CODE],0))</f>
        <v>#REF!</v>
      </c>
      <c r="AD290" s="201" t="e">
        <f>INDEX([3]!Table_1[Brokerage Name2],MATCH(INVESTORS_LIST[[#This Row],[INVESTOR CODE]],[3]!Table_1[INVESTOR CODE],0))</f>
        <v>#REF!</v>
      </c>
      <c r="AE290" s="201" t="e">
        <f>MID(INVESTORS_LIST[[#This Row],[BO ID]],4,5)</f>
        <v>#REF!</v>
      </c>
      <c r="AF290" s="201" t="e">
        <f>MID(INVESTORS_LIST[[#This Row],[BO ID]],2,7)</f>
        <v>#REF!</v>
      </c>
      <c r="AG290" s="201" t="e">
        <f>MID(INVESTORS_LIST[[#This Row],[BO ID]],9,7)</f>
        <v>#REF!</v>
      </c>
      <c r="AH290" s="201" t="e">
        <f>RIGHT(INVESTORS_LIST[[#This Row],[BO ID]],1)</f>
        <v>#REF!</v>
      </c>
      <c r="AI290" s="50">
        <f>INVESTORS_LIST[[#This Row],[LS_TOTAL COST VALUE OF CURRENT UNITS]]+INVESTORS_LIST[[#This Row],[SIP_TOTAL COST VALUE OF CURRENT UNITS]]</f>
        <v>400000</v>
      </c>
      <c r="AJ290" s="109">
        <f>IF(INVESTORS_LIST[[#This Row],[TOTAL CURRENT UNITS]]=0,0,INVESTORS_LIST[[#This Row],[LS_TOTAL CURRENT UNITS]]/INVESTORS_LIST[[#This Row],[TOTAL CURRENT UNITS]])</f>
        <v>1</v>
      </c>
      <c r="AK290" s="109">
        <f>IF(INVESTORS_LIST[[#This Row],[TOTAL CURRENT UNITS]]=0,0,INVESTORS_LIST[[#This Row],[SIP_TOTAL CURRENT UNITS]]/INVESTORS_LIST[[#This Row],[TOTAL CURRENT UNITS]])</f>
        <v>0</v>
      </c>
      <c r="AL290" s="49" cm="1">
        <f t="array" ref="AL290">IF(INVESTORS_LIST[[#This Row],[LS_TOTAL UNITS BUY]]&gt;0,INDEX(LS[NAV at Cost (Average)],MATCH(CONCATENATE(COUNTIFS(LS[Investor ID],INVESTORS_LIST[[#This Row],[INVESTOR CODE]]),INVESTORS_LIST[[#This Row],[INVESTOR CODE]]),LS[Unique Code],0),),0)</f>
        <v>11.282543085211406</v>
      </c>
      <c r="AM290" s="49" cm="1">
        <f t="array" ref="AM2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0" s="105">
        <f>IF(INVESTORS_LIST[[#This Row],[TOTAL CURRENT UNITS]]=0,0,(INVESTORS_LIST[[#This Row],[LS_WEIGHT]]*INVESTORS_LIST[[#This Row],[LS_AVERAGE COST]])+(INVESTORS_LIST[[#This Row],[SIP_WEIGHT]]*INVESTORS_LIST[[#This Row],[SIP_AVERAGE COST]]))</f>
        <v>11.282543085211406</v>
      </c>
      <c r="AO290" s="105">
        <f t="shared" si="5"/>
        <v>14.224</v>
      </c>
      <c r="AP290" s="112">
        <f>IF(INVESTORS_LIST[[#This Row],[TOTAL CURRENT UNITS]]=0,0,INVESTORS_LIST[[#This Row],[TOTAL CURRENT UNITS]]*INVESTORS_LIST[[#This Row],[NAV]])</f>
        <v>504283.47200000001</v>
      </c>
      <c r="AQ290" s="49">
        <f>IF(INVESTORS_LIST[[#This Row],[LS_TOTAL CURRENT UNITS]]=0,0,INVESTORS_LIST[[#This Row],[LS_TOTAL CURRENT UNITS]]*INVESTORS_LIST[[#This Row],[NAV]])</f>
        <v>504283.47200000001</v>
      </c>
      <c r="AR290" s="48">
        <f>IF(INVESTORS_LIST[[#This Row],[SIP_TOTAL CURRENT UNITS]]=0,0,INVESTORS_LIST[[#This Row],[SIP_TOTAL CURRENT UNITS]]*INVESTORS_LIST[[#This Row],[NAV]])</f>
        <v>0</v>
      </c>
      <c r="AS290" s="50">
        <f>INVESTORS_LIST[[#This Row],[TOTAL CURRENT UNITS]]</f>
        <v>35453</v>
      </c>
      <c r="AT290" s="48">
        <f>IF(INVESTORS_LIST[[#This Row],[TOTAL SELLABLE UNITS]]=0,0,INVESTORS_LIST[[#This Row],[TOTAL SELLABLE UNITS]]*INVESTORS_LIST[[#This Row],[NAV]])</f>
        <v>504283.47200000001</v>
      </c>
      <c r="AU290" s="48">
        <f>INVESTORS_LIST[[#This Row],[LS_TOTAL REALIZED GAIN]]+INVESTORS_LIST[[#This Row],[SIP_TOTAL REALIZED GAIN]]</f>
        <v>0</v>
      </c>
      <c r="AV290" s="48">
        <f>INVESTORS_LIST[[#This Row],[TOTAL MARKET VALUE]]-INVESTORS_LIST[[#This Row],[TOTAL COST VALUE OF CURRENT INVESTMENT]]</f>
        <v>104283.47200000001</v>
      </c>
      <c r="AW290" s="108">
        <f>IFERROR(INVESTORS_LIST[[#This Row],[TOTAL CURRENT UNITS]]/SUM(INVESTORS_LIST[TOTAL CURRENT UNITS]),0)</f>
        <v>8.6066439854056288E-4</v>
      </c>
    </row>
    <row r="291" spans="1:49" hidden="1">
      <c r="A291" s="262" t="s">
        <v>629</v>
      </c>
      <c r="B291" s="97" t="s">
        <v>630</v>
      </c>
      <c r="C291" t="s">
        <v>44</v>
      </c>
      <c r="D291" s="75" t="s">
        <v>45</v>
      </c>
      <c r="E291" s="47">
        <f>SUMIFS(LS[Unit],LS[Investor ID],INVESTORS_LIST[[#This Row],[INVESTOR CODE]],LS[B/S],"B")</f>
        <v>0</v>
      </c>
      <c r="F291" s="47">
        <f>-SUMIFS(LS[Unit],LS[Investor ID],INVESTORS_LIST[[#This Row],[INVESTOR CODE]],LS[B/S],"S")</f>
        <v>0</v>
      </c>
      <c r="G291" s="47">
        <f>IF(INVESTORS_LIST[[#This Row],[LS_TOTAL UNITS BUY]]=0,0,INVESTORS_LIST[[#This Row],[LS_TOTAL UNITS BUY]]-INVESTORS_LIST[[#This Row],[LS_TOTAL UNITS SOLD]])</f>
        <v>0</v>
      </c>
      <c r="H291" s="49">
        <f>IF(INVESTORS_LIST[[#This Row],[LS_TOTAL UNITS BUY]]=0,0,SUMIFS(LS[Amount],LS[Investor ID],INVESTORS_LIST[[#This Row],[INVESTOR CODE]],LS[B/S],"B"))</f>
        <v>0</v>
      </c>
      <c r="I291" s="48">
        <f>IF(INVESTORS_LIST[[#This Row],[LS_TOTAL UNITS SOLD]]=0,0,SUMIFS(LS[Cost of Units Sold],LS[Investor ID],INVESTORS_LIST[[#This Row],[INVESTOR CODE]],LS[B/S],"S"))</f>
        <v>0</v>
      </c>
      <c r="J291" s="48">
        <f>IF(INVESTORS_LIST[[#This Row],[LS_TOTAL CURRENT UNITS]]=0,0,INVESTORS_LIST[[#This Row],[LS_TOTAL CURRENT UNITS]]*INVESTORS_LIST[[#This Row],[LS_AVERAGE COST]])</f>
        <v>0</v>
      </c>
      <c r="K291" s="49">
        <f>IF(INVESTORS_LIST[[#This Row],[LS_TOTAL UNITS SOLD]]=0,0,SUMIFS(LS[Realized Gain],LS[Investor ID],INVESTORS_LIST[[#This Row],[INVESTOR CODE]],LS[B/S],"S"))</f>
        <v>0</v>
      </c>
      <c r="L291" s="47">
        <f>SUMIFS(SIP[Unit],SIP[Investor ID],INVESTORS_LIST[[#This Row],[INVESTOR CODE]],SIP[B/S],"B")</f>
        <v>0</v>
      </c>
      <c r="M291" s="47">
        <f>-SUMIFS(SIP[Unit],SIP[Investor ID],INVESTORS_LIST[[#This Row],[INVESTOR CODE]],SIP[B/S],"S")</f>
        <v>0</v>
      </c>
      <c r="N291" s="50">
        <f>IF(INVESTORS_LIST[[#This Row],[SIP_TOTAL UNITS BUY]]=0,0,INVESTORS_LIST[[#This Row],[SIP_TOTAL UNITS BUY]]-INVESTORS_LIST[[#This Row],[SIP_TOTAL UNITS SOLD]])</f>
        <v>0</v>
      </c>
      <c r="O291" s="49">
        <f>IF(INVESTORS_LIST[[#This Row],[SIP_TOTAL UNITS BUY]]=0,0,SUMIFS(SIP[Amount],SIP[Investor ID],INVESTORS_LIST[[#This Row],[INVESTOR CODE]],SIP[B/S],"B"))</f>
        <v>0</v>
      </c>
      <c r="P291" s="49">
        <f>IF(INVESTORS_LIST[[#This Row],[SIP_TOTAL UNITS SOLD]]=0,0,SUMIFS(SIP[Cost of Units Sold],SIP[Investor ID],INVESTORS_LIST[[#This Row],[INVESTOR CODE]],SIP[B/S],"S"))</f>
        <v>0</v>
      </c>
      <c r="Q291" s="48">
        <f>IF(INVESTORS_LIST[[#This Row],[SIP_TOTAL CURRENT UNITS]]=0,0,INVESTORS_LIST[[#This Row],[SIP_TOTAL CURRENT UNITS]]*INVESTORS_LIST[[#This Row],[SIP_AVERAGE COST]])</f>
        <v>0</v>
      </c>
      <c r="R291" s="48">
        <f>IF(INVESTORS_LIST[[#This Row],[SIP_TOTAL UNITS SOLD]]=0,0,SUMIFS(SIP[Realized Gain],SIP[Investor ID],INVESTORS_LIST[[#This Row],[INVESTOR CODE]],SIP[B/S],"S"))</f>
        <v>0</v>
      </c>
      <c r="S291" s="50">
        <f>INVESTORS_LIST[[#This Row],[LS_TOTAL UNITS BUY]]+INVESTORS_LIST[[#This Row],[SIP_TOTAL UNITS BUY]]</f>
        <v>0</v>
      </c>
      <c r="T291" s="50">
        <f>INVESTORS_LIST[[#This Row],[LS_TOTAL UNITS SOLD]]+INVESTORS_LIST[[#This Row],[SIP_TOTAL UNITS SOLD]]</f>
        <v>0</v>
      </c>
      <c r="U291" s="50"/>
      <c r="V291" s="50">
        <f>SUMIFS(LS[BO UNIT TRANSFER],LS[Investor ID],INVESTORS_LIST[[#This Row],[INVESTOR CODE]],LS[B/S],"B")</f>
        <v>0</v>
      </c>
      <c r="W291" s="50">
        <f>SUMIFS(SIP[BO UNIT TRANSFER],SIP[Investor ID],INVESTORS_LIST[[#This Row],[INVESTOR CODE]],SIP[B/S],"B")</f>
        <v>0</v>
      </c>
      <c r="X291" s="50">
        <f>SUMIFS(LS[BO UNIT TRANSFER],LS[Investor ID],INVESTORS_LIST[[#This Row],[INVESTOR CODE]],LS[B/S],"S")</f>
        <v>0</v>
      </c>
      <c r="Y291" s="50">
        <f>SUMIFS(SIP[BO UNIT TRANSFER],SIP[Investor ID],INVESTORS_LIST[[#This Row],[INVESTOR CODE]],SIP[B/S],"S")</f>
        <v>0</v>
      </c>
      <c r="Z291" s="106">
        <f>SUM(INVESTORS_LIST[[#This Row],[BO OPENING BALANCE]:[BO SIP UNITS REPURCHASE]])</f>
        <v>0</v>
      </c>
      <c r="AA291" s="107">
        <f>INVESTORS_LIST[[#This Row],[TOTAL UNITS BUY]]-INVESTORS_LIST[[#This Row],[TOTAL UNITS SOLD]]</f>
        <v>0</v>
      </c>
      <c r="AB291" s="107">
        <f>INVESTORS_LIST[[#This Row],[TOTAL CURRENT UNITS]]-INVESTORS_LIST[[#This Row],[BO UNITS HOLD]]</f>
        <v>0</v>
      </c>
      <c r="AC291" s="201" t="e">
        <f>INDEX([3]!Table_1[BO ID],MATCH(INVESTORS_LIST[[#This Row],[INVESTOR CODE]],[3]!Table_1[INVESTOR CODE],0))</f>
        <v>#REF!</v>
      </c>
      <c r="AD291" s="201" t="e">
        <f>INDEX([3]!Table_1[Brokerage Name2],MATCH(INVESTORS_LIST[[#This Row],[INVESTOR CODE]],[3]!Table_1[INVESTOR CODE],0))</f>
        <v>#REF!</v>
      </c>
      <c r="AE291" s="201" t="e">
        <f>MID(INVESTORS_LIST[[#This Row],[BO ID]],4,5)</f>
        <v>#REF!</v>
      </c>
      <c r="AF291" s="201" t="e">
        <f>MID(INVESTORS_LIST[[#This Row],[BO ID]],2,7)</f>
        <v>#REF!</v>
      </c>
      <c r="AG291" s="201" t="e">
        <f>MID(INVESTORS_LIST[[#This Row],[BO ID]],9,7)</f>
        <v>#REF!</v>
      </c>
      <c r="AH291" s="201" t="e">
        <f>RIGHT(INVESTORS_LIST[[#This Row],[BO ID]],1)</f>
        <v>#REF!</v>
      </c>
      <c r="AI291" s="50">
        <f>INVESTORS_LIST[[#This Row],[LS_TOTAL COST VALUE OF CURRENT UNITS]]+INVESTORS_LIST[[#This Row],[SIP_TOTAL COST VALUE OF CURRENT UNITS]]</f>
        <v>0</v>
      </c>
      <c r="AJ291" s="109">
        <f>IF(INVESTORS_LIST[[#This Row],[TOTAL CURRENT UNITS]]=0,0,INVESTORS_LIST[[#This Row],[LS_TOTAL CURRENT UNITS]]/INVESTORS_LIST[[#This Row],[TOTAL CURRENT UNITS]])</f>
        <v>0</v>
      </c>
      <c r="AK291" s="109">
        <f>IF(INVESTORS_LIST[[#This Row],[TOTAL CURRENT UNITS]]=0,0,INVESTORS_LIST[[#This Row],[SIP_TOTAL CURRENT UNITS]]/INVESTORS_LIST[[#This Row],[TOTAL CURRENT UNITS]])</f>
        <v>0</v>
      </c>
      <c r="AL291" s="49" cm="1">
        <f t="array" ref="AL2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1" s="49" cm="1">
        <f t="array" ref="AM2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1" s="105">
        <f t="shared" si="5"/>
        <v>14.224</v>
      </c>
      <c r="AP291" s="112">
        <f>IF(INVESTORS_LIST[[#This Row],[TOTAL CURRENT UNITS]]=0,0,INVESTORS_LIST[[#This Row],[TOTAL CURRENT UNITS]]*INVESTORS_LIST[[#This Row],[NAV]])</f>
        <v>0</v>
      </c>
      <c r="AQ291" s="49">
        <f>IF(INVESTORS_LIST[[#This Row],[LS_TOTAL CURRENT UNITS]]=0,0,INVESTORS_LIST[[#This Row],[LS_TOTAL CURRENT UNITS]]*INVESTORS_LIST[[#This Row],[NAV]])</f>
        <v>0</v>
      </c>
      <c r="AR291" s="48">
        <f>IF(INVESTORS_LIST[[#This Row],[SIP_TOTAL CURRENT UNITS]]=0,0,INVESTORS_LIST[[#This Row],[SIP_TOTAL CURRENT UNITS]]*INVESTORS_LIST[[#This Row],[NAV]])</f>
        <v>0</v>
      </c>
      <c r="AS291" s="50">
        <f>INVESTORS_LIST[[#This Row],[TOTAL CURRENT UNITS]]</f>
        <v>0</v>
      </c>
      <c r="AT291" s="48">
        <f>IF(INVESTORS_LIST[[#This Row],[TOTAL SELLABLE UNITS]]=0,0,INVESTORS_LIST[[#This Row],[TOTAL SELLABLE UNITS]]*INVESTORS_LIST[[#This Row],[NAV]])</f>
        <v>0</v>
      </c>
      <c r="AU291" s="48">
        <f>INVESTORS_LIST[[#This Row],[LS_TOTAL REALIZED GAIN]]+INVESTORS_LIST[[#This Row],[SIP_TOTAL REALIZED GAIN]]</f>
        <v>0</v>
      </c>
      <c r="AV291" s="48">
        <f>INVESTORS_LIST[[#This Row],[TOTAL MARKET VALUE]]-INVESTORS_LIST[[#This Row],[TOTAL COST VALUE OF CURRENT INVESTMENT]]</f>
        <v>0</v>
      </c>
      <c r="AW291" s="48">
        <f>IFERROR(INVESTORS_LIST[[#This Row],[TOTAL CURRENT UNITS]]/SUM(INVESTORS_LIST[TOTAL CURRENT UNITS]),0)</f>
        <v>0</v>
      </c>
    </row>
    <row r="292" spans="1:49" hidden="1">
      <c r="A292" s="262" t="s">
        <v>631</v>
      </c>
      <c r="B292" s="97" t="s">
        <v>632</v>
      </c>
      <c r="C292" t="s">
        <v>44</v>
      </c>
      <c r="D292" s="75" t="s">
        <v>45</v>
      </c>
      <c r="E292" s="47">
        <f>SUMIFS(LS[Unit],LS[Investor ID],INVESTORS_LIST[[#This Row],[INVESTOR CODE]],LS[B/S],"B")</f>
        <v>78888</v>
      </c>
      <c r="F292" s="47">
        <f>-SUMIFS(LS[Unit],LS[Investor ID],INVESTORS_LIST[[#This Row],[INVESTOR CODE]],LS[B/S],"S")</f>
        <v>78888</v>
      </c>
      <c r="G292" s="47">
        <f>IF(INVESTORS_LIST[[#This Row],[LS_TOTAL UNITS BUY]]=0,0,INVESTORS_LIST[[#This Row],[LS_TOTAL UNITS BUY]]-INVESTORS_LIST[[#This Row],[LS_TOTAL UNITS SOLD]])</f>
        <v>0</v>
      </c>
      <c r="H292" s="49">
        <f>IF(INVESTORS_LIST[[#This Row],[LS_TOTAL UNITS BUY]]=0,0,SUMIFS(LS[Amount],LS[Investor ID],INVESTORS_LIST[[#This Row],[INVESTOR CODE]],LS[B/S],"B"))</f>
        <v>800000</v>
      </c>
      <c r="I292" s="48">
        <f>IF(INVESTORS_LIST[[#This Row],[LS_TOTAL UNITS SOLD]]=0,0,SUMIFS(LS[Cost of Units Sold],LS[Investor ID],INVESTORS_LIST[[#This Row],[INVESTOR CODE]],LS[B/S],"S"))</f>
        <v>800000</v>
      </c>
      <c r="J292" s="48">
        <f>IF(INVESTORS_LIST[[#This Row],[LS_TOTAL CURRENT UNITS]]=0,0,INVESTORS_LIST[[#This Row],[LS_TOTAL CURRENT UNITS]]*INVESTORS_LIST[[#This Row],[LS_AVERAGE COST]])</f>
        <v>0</v>
      </c>
      <c r="K292" s="49">
        <f>IF(INVESTORS_LIST[[#This Row],[LS_TOTAL UNITS SOLD]]=0,0,SUMIFS(LS[Realized Gain],LS[Investor ID],INVESTORS_LIST[[#This Row],[INVESTOR CODE]],LS[B/S],"S"))</f>
        <v>110197.99999999994</v>
      </c>
      <c r="L292" s="47">
        <f>SUMIFS(SIP[Unit],SIP[Investor ID],INVESTORS_LIST[[#This Row],[INVESTOR CODE]],SIP[B/S],"B")</f>
        <v>0</v>
      </c>
      <c r="M292" s="47">
        <f>-SUMIFS(SIP[Unit],SIP[Investor ID],INVESTORS_LIST[[#This Row],[INVESTOR CODE]],SIP[B/S],"S")</f>
        <v>0</v>
      </c>
      <c r="N292" s="50">
        <f>IF(INVESTORS_LIST[[#This Row],[SIP_TOTAL UNITS BUY]]=0,0,INVESTORS_LIST[[#This Row],[SIP_TOTAL UNITS BUY]]-INVESTORS_LIST[[#This Row],[SIP_TOTAL UNITS SOLD]])</f>
        <v>0</v>
      </c>
      <c r="O292" s="49">
        <f>IF(INVESTORS_LIST[[#This Row],[SIP_TOTAL UNITS BUY]]=0,0,SUMIFS(SIP[Amount],SIP[Investor ID],INVESTORS_LIST[[#This Row],[INVESTOR CODE]],SIP[B/S],"B"))</f>
        <v>0</v>
      </c>
      <c r="P292" s="49">
        <f>IF(INVESTORS_LIST[[#This Row],[SIP_TOTAL UNITS SOLD]]=0,0,SUMIFS(SIP[Cost of Units Sold],SIP[Investor ID],INVESTORS_LIST[[#This Row],[INVESTOR CODE]],SIP[B/S],"S"))</f>
        <v>0</v>
      </c>
      <c r="Q292" s="48">
        <f>IF(INVESTORS_LIST[[#This Row],[SIP_TOTAL CURRENT UNITS]]=0,0,INVESTORS_LIST[[#This Row],[SIP_TOTAL CURRENT UNITS]]*INVESTORS_LIST[[#This Row],[SIP_AVERAGE COST]])</f>
        <v>0</v>
      </c>
      <c r="R292" s="48">
        <f>IF(INVESTORS_LIST[[#This Row],[SIP_TOTAL UNITS SOLD]]=0,0,SUMIFS(SIP[Realized Gain],SIP[Investor ID],INVESTORS_LIST[[#This Row],[INVESTOR CODE]],SIP[B/S],"S"))</f>
        <v>0</v>
      </c>
      <c r="S292" s="50">
        <f>INVESTORS_LIST[[#This Row],[LS_TOTAL UNITS BUY]]+INVESTORS_LIST[[#This Row],[SIP_TOTAL UNITS BUY]]</f>
        <v>78888</v>
      </c>
      <c r="T292" s="50">
        <f>INVESTORS_LIST[[#This Row],[LS_TOTAL UNITS SOLD]]+INVESTORS_LIST[[#This Row],[SIP_TOTAL UNITS SOLD]]</f>
        <v>78888</v>
      </c>
      <c r="U292" s="50">
        <v>78888</v>
      </c>
      <c r="V292" s="50">
        <f>SUMIFS(LS[BO UNIT TRANSFER],LS[Investor ID],INVESTORS_LIST[[#This Row],[INVESTOR CODE]],LS[B/S],"B")</f>
        <v>0</v>
      </c>
      <c r="W292" s="50">
        <f>SUMIFS(SIP[BO UNIT TRANSFER],SIP[Investor ID],INVESTORS_LIST[[#This Row],[INVESTOR CODE]],SIP[B/S],"B")</f>
        <v>0</v>
      </c>
      <c r="X292" s="50">
        <f>SUMIFS(LS[BO UNIT TRANSFER],LS[Investor ID],INVESTORS_LIST[[#This Row],[INVESTOR CODE]],LS[B/S],"S")</f>
        <v>0</v>
      </c>
      <c r="Y292" s="50">
        <f>SUMIFS(SIP[BO UNIT TRANSFER],SIP[Investor ID],INVESTORS_LIST[[#This Row],[INVESTOR CODE]],SIP[B/S],"S")</f>
        <v>0</v>
      </c>
      <c r="Z292" s="106">
        <f>SUM(INVESTORS_LIST[[#This Row],[BO OPENING BALANCE]:[BO SIP UNITS REPURCHASE]])</f>
        <v>78888</v>
      </c>
      <c r="AA292" s="107">
        <f>INVESTORS_LIST[[#This Row],[TOTAL UNITS BUY]]-INVESTORS_LIST[[#This Row],[TOTAL UNITS SOLD]]</f>
        <v>0</v>
      </c>
      <c r="AB292" s="107">
        <f>INVESTORS_LIST[[#This Row],[TOTAL CURRENT UNITS]]-INVESTORS_LIST[[#This Row],[BO UNITS HOLD]]</f>
        <v>-78888</v>
      </c>
      <c r="AC292" s="201" t="e">
        <f>INDEX([3]!Table_1[BO ID],MATCH(INVESTORS_LIST[[#This Row],[INVESTOR CODE]],[3]!Table_1[INVESTOR CODE],0))</f>
        <v>#REF!</v>
      </c>
      <c r="AD292" s="201" t="e">
        <f>INDEX([3]!Table_1[Brokerage Name2],MATCH(INVESTORS_LIST[[#This Row],[INVESTOR CODE]],[3]!Table_1[INVESTOR CODE],0))</f>
        <v>#REF!</v>
      </c>
      <c r="AE292" s="201" t="e">
        <f>MID(INVESTORS_LIST[[#This Row],[BO ID]],4,5)</f>
        <v>#REF!</v>
      </c>
      <c r="AF292" s="201" t="e">
        <f>MID(INVESTORS_LIST[[#This Row],[BO ID]],2,7)</f>
        <v>#REF!</v>
      </c>
      <c r="AG292" s="201" t="e">
        <f>MID(INVESTORS_LIST[[#This Row],[BO ID]],9,7)</f>
        <v>#REF!</v>
      </c>
      <c r="AH292" s="201" t="e">
        <f>RIGHT(INVESTORS_LIST[[#This Row],[BO ID]],1)</f>
        <v>#REF!</v>
      </c>
      <c r="AI292" s="50">
        <f>INVESTORS_LIST[[#This Row],[LS_TOTAL COST VALUE OF CURRENT UNITS]]+INVESTORS_LIST[[#This Row],[SIP_TOTAL COST VALUE OF CURRENT UNITS]]</f>
        <v>0</v>
      </c>
      <c r="AJ292" s="109">
        <f>IF(INVESTORS_LIST[[#This Row],[TOTAL CURRENT UNITS]]=0,0,INVESTORS_LIST[[#This Row],[LS_TOTAL CURRENT UNITS]]/INVESTORS_LIST[[#This Row],[TOTAL CURRENT UNITS]])</f>
        <v>0</v>
      </c>
      <c r="AK292" s="109">
        <f>IF(INVESTORS_LIST[[#This Row],[TOTAL CURRENT UNITS]]=0,0,INVESTORS_LIST[[#This Row],[SIP_TOTAL CURRENT UNITS]]/INVESTORS_LIST[[#This Row],[TOTAL CURRENT UNITS]])</f>
        <v>0</v>
      </c>
      <c r="AL292" s="49" cm="1">
        <f t="array" ref="AL2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2" s="49" cm="1">
        <f t="array" ref="AM2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2" s="105">
        <f t="shared" si="5"/>
        <v>14.224</v>
      </c>
      <c r="AP292" s="112">
        <f>IF(INVESTORS_LIST[[#This Row],[TOTAL CURRENT UNITS]]=0,0,INVESTORS_LIST[[#This Row],[TOTAL CURRENT UNITS]]*INVESTORS_LIST[[#This Row],[NAV]])</f>
        <v>0</v>
      </c>
      <c r="AQ292" s="49">
        <f>IF(INVESTORS_LIST[[#This Row],[LS_TOTAL CURRENT UNITS]]=0,0,INVESTORS_LIST[[#This Row],[LS_TOTAL CURRENT UNITS]]*INVESTORS_LIST[[#This Row],[NAV]])</f>
        <v>0</v>
      </c>
      <c r="AR292" s="48">
        <f>IF(INVESTORS_LIST[[#This Row],[SIP_TOTAL CURRENT UNITS]]=0,0,INVESTORS_LIST[[#This Row],[SIP_TOTAL CURRENT UNITS]]*INVESTORS_LIST[[#This Row],[NAV]])</f>
        <v>0</v>
      </c>
      <c r="AS292" s="50">
        <f>INVESTORS_LIST[[#This Row],[TOTAL CURRENT UNITS]]</f>
        <v>0</v>
      </c>
      <c r="AT292" s="48">
        <f>IF(INVESTORS_LIST[[#This Row],[TOTAL SELLABLE UNITS]]=0,0,INVESTORS_LIST[[#This Row],[TOTAL SELLABLE UNITS]]*INVESTORS_LIST[[#This Row],[NAV]])</f>
        <v>0</v>
      </c>
      <c r="AU292" s="48">
        <f>INVESTORS_LIST[[#This Row],[LS_TOTAL REALIZED GAIN]]+INVESTORS_LIST[[#This Row],[SIP_TOTAL REALIZED GAIN]]</f>
        <v>110197.99999999994</v>
      </c>
      <c r="AV292" s="48">
        <f>INVESTORS_LIST[[#This Row],[TOTAL MARKET VALUE]]-INVESTORS_LIST[[#This Row],[TOTAL COST VALUE OF CURRENT INVESTMENT]]</f>
        <v>0</v>
      </c>
      <c r="AW292" s="108">
        <f>IFERROR(INVESTORS_LIST[[#This Row],[TOTAL CURRENT UNITS]]/SUM(INVESTORS_LIST[TOTAL CURRENT UNITS]),0)</f>
        <v>0</v>
      </c>
    </row>
    <row r="293" spans="1:49" hidden="1">
      <c r="A293" s="262" t="s">
        <v>633</v>
      </c>
      <c r="B293" s="97" t="s">
        <v>634</v>
      </c>
      <c r="C293" t="s">
        <v>538</v>
      </c>
      <c r="D293" s="75" t="s">
        <v>45</v>
      </c>
      <c r="E293" s="47">
        <f>SUMIFS(LS[Unit],LS[Investor ID],INVESTORS_LIST[[#This Row],[INVESTOR CODE]],LS[B/S],"B")</f>
        <v>0</v>
      </c>
      <c r="F293" s="47">
        <f>-SUMIFS(LS[Unit],LS[Investor ID],INVESTORS_LIST[[#This Row],[INVESTOR CODE]],LS[B/S],"S")</f>
        <v>0</v>
      </c>
      <c r="G293" s="47">
        <f>IF(INVESTORS_LIST[[#This Row],[LS_TOTAL UNITS BUY]]=0,0,INVESTORS_LIST[[#This Row],[LS_TOTAL UNITS BUY]]-INVESTORS_LIST[[#This Row],[LS_TOTAL UNITS SOLD]])</f>
        <v>0</v>
      </c>
      <c r="H293" s="49">
        <f>IF(INVESTORS_LIST[[#This Row],[LS_TOTAL UNITS BUY]]=0,0,SUMIFS(LS[Amount],LS[Investor ID],INVESTORS_LIST[[#This Row],[INVESTOR CODE]],LS[B/S],"B"))</f>
        <v>0</v>
      </c>
      <c r="I293" s="48">
        <f>IF(INVESTORS_LIST[[#This Row],[LS_TOTAL UNITS SOLD]]=0,0,SUMIFS(LS[Cost of Units Sold],LS[Investor ID],INVESTORS_LIST[[#This Row],[INVESTOR CODE]],LS[B/S],"S"))</f>
        <v>0</v>
      </c>
      <c r="J293" s="48">
        <f>IF(INVESTORS_LIST[[#This Row],[LS_TOTAL CURRENT UNITS]]=0,0,INVESTORS_LIST[[#This Row],[LS_TOTAL CURRENT UNITS]]*INVESTORS_LIST[[#This Row],[LS_AVERAGE COST]])</f>
        <v>0</v>
      </c>
      <c r="K293" s="49">
        <f>IF(INVESTORS_LIST[[#This Row],[LS_TOTAL UNITS SOLD]]=0,0,SUMIFS(LS[Realized Gain],LS[Investor ID],INVESTORS_LIST[[#This Row],[INVESTOR CODE]],LS[B/S],"S"))</f>
        <v>0</v>
      </c>
      <c r="L293" s="47">
        <f>SUMIFS(SIP[Unit],SIP[Investor ID],INVESTORS_LIST[[#This Row],[INVESTOR CODE]],SIP[B/S],"B")</f>
        <v>0</v>
      </c>
      <c r="M293" s="47">
        <f>-SUMIFS(SIP[Unit],SIP[Investor ID],INVESTORS_LIST[[#This Row],[INVESTOR CODE]],SIP[B/S],"S")</f>
        <v>0</v>
      </c>
      <c r="N293" s="50">
        <f>IF(INVESTORS_LIST[[#This Row],[SIP_TOTAL UNITS BUY]]=0,0,INVESTORS_LIST[[#This Row],[SIP_TOTAL UNITS BUY]]-INVESTORS_LIST[[#This Row],[SIP_TOTAL UNITS SOLD]])</f>
        <v>0</v>
      </c>
      <c r="O293" s="49">
        <f>IF(INVESTORS_LIST[[#This Row],[SIP_TOTAL UNITS BUY]]=0,0,SUMIFS(SIP[Amount],SIP[Investor ID],INVESTORS_LIST[[#This Row],[INVESTOR CODE]],SIP[B/S],"B"))</f>
        <v>0</v>
      </c>
      <c r="P293" s="49">
        <f>IF(INVESTORS_LIST[[#This Row],[SIP_TOTAL UNITS SOLD]]=0,0,SUMIFS(SIP[Cost of Units Sold],SIP[Investor ID],INVESTORS_LIST[[#This Row],[INVESTOR CODE]],SIP[B/S],"S"))</f>
        <v>0</v>
      </c>
      <c r="Q293" s="48">
        <f>IF(INVESTORS_LIST[[#This Row],[SIP_TOTAL CURRENT UNITS]]=0,0,INVESTORS_LIST[[#This Row],[SIP_TOTAL CURRENT UNITS]]*INVESTORS_LIST[[#This Row],[SIP_AVERAGE COST]])</f>
        <v>0</v>
      </c>
      <c r="R293" s="48">
        <f>IF(INVESTORS_LIST[[#This Row],[SIP_TOTAL UNITS SOLD]]=0,0,SUMIFS(SIP[Realized Gain],SIP[Investor ID],INVESTORS_LIST[[#This Row],[INVESTOR CODE]],SIP[B/S],"S"))</f>
        <v>0</v>
      </c>
      <c r="S293" s="50">
        <f>INVESTORS_LIST[[#This Row],[LS_TOTAL UNITS BUY]]+INVESTORS_LIST[[#This Row],[SIP_TOTAL UNITS BUY]]</f>
        <v>0</v>
      </c>
      <c r="T293" s="50">
        <f>INVESTORS_LIST[[#This Row],[LS_TOTAL UNITS SOLD]]+INVESTORS_LIST[[#This Row],[SIP_TOTAL UNITS SOLD]]</f>
        <v>0</v>
      </c>
      <c r="U293" s="50"/>
      <c r="V293" s="50">
        <f>SUMIFS(LS[BO UNIT TRANSFER],LS[Investor ID],INVESTORS_LIST[[#This Row],[INVESTOR CODE]],LS[B/S],"B")</f>
        <v>0</v>
      </c>
      <c r="W293" s="50">
        <f>SUMIFS(SIP[BO UNIT TRANSFER],SIP[Investor ID],INVESTORS_LIST[[#This Row],[INVESTOR CODE]],SIP[B/S],"B")</f>
        <v>0</v>
      </c>
      <c r="X293" s="50">
        <f>SUMIFS(LS[BO UNIT TRANSFER],LS[Investor ID],INVESTORS_LIST[[#This Row],[INVESTOR CODE]],LS[B/S],"S")</f>
        <v>0</v>
      </c>
      <c r="Y293" s="50">
        <f>SUMIFS(SIP[BO UNIT TRANSFER],SIP[Investor ID],INVESTORS_LIST[[#This Row],[INVESTOR CODE]],SIP[B/S],"S")</f>
        <v>0</v>
      </c>
      <c r="Z293" s="106">
        <f>SUM(INVESTORS_LIST[[#This Row],[BO OPENING BALANCE]:[BO SIP UNITS REPURCHASE]])</f>
        <v>0</v>
      </c>
      <c r="AA293" s="107">
        <f>INVESTORS_LIST[[#This Row],[TOTAL UNITS BUY]]-INVESTORS_LIST[[#This Row],[TOTAL UNITS SOLD]]</f>
        <v>0</v>
      </c>
      <c r="AB293" s="107">
        <f>INVESTORS_LIST[[#This Row],[TOTAL CURRENT UNITS]]-INVESTORS_LIST[[#This Row],[BO UNITS HOLD]]</f>
        <v>0</v>
      </c>
      <c r="AC293" s="201" t="e">
        <f>INDEX([3]!Table_1[BO ID],MATCH(INVESTORS_LIST[[#This Row],[INVESTOR CODE]],[3]!Table_1[INVESTOR CODE],0))</f>
        <v>#REF!</v>
      </c>
      <c r="AD293" s="201" t="e">
        <f>INDEX([3]!Table_1[Brokerage Name2],MATCH(INVESTORS_LIST[[#This Row],[INVESTOR CODE]],[3]!Table_1[INVESTOR CODE],0))</f>
        <v>#REF!</v>
      </c>
      <c r="AE293" s="201" t="e">
        <f>MID(INVESTORS_LIST[[#This Row],[BO ID]],4,5)</f>
        <v>#REF!</v>
      </c>
      <c r="AF293" s="201" t="e">
        <f>MID(INVESTORS_LIST[[#This Row],[BO ID]],2,7)</f>
        <v>#REF!</v>
      </c>
      <c r="AG293" s="201" t="e">
        <f>MID(INVESTORS_LIST[[#This Row],[BO ID]],9,7)</f>
        <v>#REF!</v>
      </c>
      <c r="AH293" s="201" t="e">
        <f>RIGHT(INVESTORS_LIST[[#This Row],[BO ID]],1)</f>
        <v>#REF!</v>
      </c>
      <c r="AI293" s="50">
        <f>INVESTORS_LIST[[#This Row],[LS_TOTAL COST VALUE OF CURRENT UNITS]]+INVESTORS_LIST[[#This Row],[SIP_TOTAL COST VALUE OF CURRENT UNITS]]</f>
        <v>0</v>
      </c>
      <c r="AJ293" s="109">
        <f>IF(INVESTORS_LIST[[#This Row],[TOTAL CURRENT UNITS]]=0,0,INVESTORS_LIST[[#This Row],[LS_TOTAL CURRENT UNITS]]/INVESTORS_LIST[[#This Row],[TOTAL CURRENT UNITS]])</f>
        <v>0</v>
      </c>
      <c r="AK293" s="109">
        <f>IF(INVESTORS_LIST[[#This Row],[TOTAL CURRENT UNITS]]=0,0,INVESTORS_LIST[[#This Row],[SIP_TOTAL CURRENT UNITS]]/INVESTORS_LIST[[#This Row],[TOTAL CURRENT UNITS]])</f>
        <v>0</v>
      </c>
      <c r="AL293" s="49" cm="1">
        <f t="array" ref="AL2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3" s="49" cm="1">
        <f t="array" ref="AM2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3" s="105">
        <f t="shared" si="5"/>
        <v>14.224</v>
      </c>
      <c r="AP293" s="112">
        <f>IF(INVESTORS_LIST[[#This Row],[TOTAL CURRENT UNITS]]=0,0,INVESTORS_LIST[[#This Row],[TOTAL CURRENT UNITS]]*INVESTORS_LIST[[#This Row],[NAV]])</f>
        <v>0</v>
      </c>
      <c r="AQ293" s="49">
        <f>IF(INVESTORS_LIST[[#This Row],[LS_TOTAL CURRENT UNITS]]=0,0,INVESTORS_LIST[[#This Row],[LS_TOTAL CURRENT UNITS]]*INVESTORS_LIST[[#This Row],[NAV]])</f>
        <v>0</v>
      </c>
      <c r="AR293" s="48">
        <f>IF(INVESTORS_LIST[[#This Row],[SIP_TOTAL CURRENT UNITS]]=0,0,INVESTORS_LIST[[#This Row],[SIP_TOTAL CURRENT UNITS]]*INVESTORS_LIST[[#This Row],[NAV]])</f>
        <v>0</v>
      </c>
      <c r="AS293" s="50">
        <f>INVESTORS_LIST[[#This Row],[TOTAL CURRENT UNITS]]</f>
        <v>0</v>
      </c>
      <c r="AT293" s="48">
        <f>IF(INVESTORS_LIST[[#This Row],[TOTAL SELLABLE UNITS]]=0,0,INVESTORS_LIST[[#This Row],[TOTAL SELLABLE UNITS]]*INVESTORS_LIST[[#This Row],[NAV]])</f>
        <v>0</v>
      </c>
      <c r="AU293" s="48">
        <f>INVESTORS_LIST[[#This Row],[LS_TOTAL REALIZED GAIN]]+INVESTORS_LIST[[#This Row],[SIP_TOTAL REALIZED GAIN]]</f>
        <v>0</v>
      </c>
      <c r="AV293" s="48">
        <f>INVESTORS_LIST[[#This Row],[TOTAL MARKET VALUE]]-INVESTORS_LIST[[#This Row],[TOTAL COST VALUE OF CURRENT INVESTMENT]]</f>
        <v>0</v>
      </c>
      <c r="AW293" s="48">
        <f>IFERROR(INVESTORS_LIST[[#This Row],[TOTAL CURRENT UNITS]]/SUM(INVESTORS_LIST[TOTAL CURRENT UNITS]),0)</f>
        <v>0</v>
      </c>
    </row>
    <row r="294" spans="1:49" hidden="1">
      <c r="A294" s="262" t="s">
        <v>635</v>
      </c>
      <c r="B294" s="97" t="s">
        <v>636</v>
      </c>
      <c r="C294" t="s">
        <v>67</v>
      </c>
      <c r="D294" s="75" t="s">
        <v>45</v>
      </c>
      <c r="E294" s="47">
        <f>SUMIFS(LS[Unit],LS[Investor ID],INVESTORS_LIST[[#This Row],[INVESTOR CODE]],LS[B/S],"B")</f>
        <v>77058</v>
      </c>
      <c r="F294" s="47">
        <f>-SUMIFS(LS[Unit],LS[Investor ID],INVESTORS_LIST[[#This Row],[INVESTOR CODE]],LS[B/S],"S")</f>
        <v>77058</v>
      </c>
      <c r="G294" s="47">
        <f>IF(INVESTORS_LIST[[#This Row],[LS_TOTAL UNITS BUY]]=0,0,INVESTORS_LIST[[#This Row],[LS_TOTAL UNITS BUY]]-INVESTORS_LIST[[#This Row],[LS_TOTAL UNITS SOLD]])</f>
        <v>0</v>
      </c>
      <c r="H294" s="49">
        <f>IF(INVESTORS_LIST[[#This Row],[LS_TOTAL UNITS BUY]]=0,0,SUMIFS(LS[Amount],LS[Investor ID],INVESTORS_LIST[[#This Row],[INVESTOR CODE]],LS[B/S],"B"))</f>
        <v>810000</v>
      </c>
      <c r="I294" s="48">
        <f>IF(INVESTORS_LIST[[#This Row],[LS_TOTAL UNITS SOLD]]=0,0,SUMIFS(LS[Cost of Units Sold],LS[Investor ID],INVESTORS_LIST[[#This Row],[INVESTOR CODE]],LS[B/S],"S"))</f>
        <v>810000</v>
      </c>
      <c r="J294" s="48">
        <f>IF(INVESTORS_LIST[[#This Row],[LS_TOTAL CURRENT UNITS]]=0,0,INVESTORS_LIST[[#This Row],[LS_TOTAL CURRENT UNITS]]*INVESTORS_LIST[[#This Row],[LS_AVERAGE COST]])</f>
        <v>0</v>
      </c>
      <c r="K294" s="49">
        <f>IF(INVESTORS_LIST[[#This Row],[LS_TOTAL UNITS SOLD]]=0,0,SUMIFS(LS[Realized Gain],LS[Investor ID],INVESTORS_LIST[[#This Row],[INVESTOR CODE]],LS[B/S],"S"))</f>
        <v>59830.700000000041</v>
      </c>
      <c r="L294" s="47">
        <f>SUMIFS(SIP[Unit],SIP[Investor ID],INVESTORS_LIST[[#This Row],[INVESTOR CODE]],SIP[B/S],"B")</f>
        <v>0</v>
      </c>
      <c r="M294" s="47">
        <f>-SUMIFS(SIP[Unit],SIP[Investor ID],INVESTORS_LIST[[#This Row],[INVESTOR CODE]],SIP[B/S],"S")</f>
        <v>0</v>
      </c>
      <c r="N294" s="50">
        <f>IF(INVESTORS_LIST[[#This Row],[SIP_TOTAL UNITS BUY]]=0,0,INVESTORS_LIST[[#This Row],[SIP_TOTAL UNITS BUY]]-INVESTORS_LIST[[#This Row],[SIP_TOTAL UNITS SOLD]])</f>
        <v>0</v>
      </c>
      <c r="O294" s="49">
        <f>IF(INVESTORS_LIST[[#This Row],[SIP_TOTAL UNITS BUY]]=0,0,SUMIFS(SIP[Amount],SIP[Investor ID],INVESTORS_LIST[[#This Row],[INVESTOR CODE]],SIP[B/S],"B"))</f>
        <v>0</v>
      </c>
      <c r="P294" s="49">
        <f>IF(INVESTORS_LIST[[#This Row],[SIP_TOTAL UNITS SOLD]]=0,0,SUMIFS(SIP[Cost of Units Sold],SIP[Investor ID],INVESTORS_LIST[[#This Row],[INVESTOR CODE]],SIP[B/S],"S"))</f>
        <v>0</v>
      </c>
      <c r="Q294" s="48">
        <f>IF(INVESTORS_LIST[[#This Row],[SIP_TOTAL CURRENT UNITS]]=0,0,INVESTORS_LIST[[#This Row],[SIP_TOTAL CURRENT UNITS]]*INVESTORS_LIST[[#This Row],[SIP_AVERAGE COST]])</f>
        <v>0</v>
      </c>
      <c r="R294" s="48">
        <f>IF(INVESTORS_LIST[[#This Row],[SIP_TOTAL UNITS SOLD]]=0,0,SUMIFS(SIP[Realized Gain],SIP[Investor ID],INVESTORS_LIST[[#This Row],[INVESTOR CODE]],SIP[B/S],"S"))</f>
        <v>0</v>
      </c>
      <c r="S294" s="50">
        <f>INVESTORS_LIST[[#This Row],[LS_TOTAL UNITS BUY]]+INVESTORS_LIST[[#This Row],[SIP_TOTAL UNITS BUY]]</f>
        <v>77058</v>
      </c>
      <c r="T294" s="50">
        <f>INVESTORS_LIST[[#This Row],[LS_TOTAL UNITS SOLD]]+INVESTORS_LIST[[#This Row],[SIP_TOTAL UNITS SOLD]]</f>
        <v>77058</v>
      </c>
      <c r="U294" s="50"/>
      <c r="V294" s="50">
        <f>SUMIFS(LS[BO UNIT TRANSFER],LS[Investor ID],INVESTORS_LIST[[#This Row],[INVESTOR CODE]],LS[B/S],"B")</f>
        <v>0</v>
      </c>
      <c r="W294" s="50">
        <f>SUMIFS(SIP[BO UNIT TRANSFER],SIP[Investor ID],INVESTORS_LIST[[#This Row],[INVESTOR CODE]],SIP[B/S],"B")</f>
        <v>0</v>
      </c>
      <c r="X294" s="50">
        <f>SUMIFS(LS[BO UNIT TRANSFER],LS[Investor ID],INVESTORS_LIST[[#This Row],[INVESTOR CODE]],LS[B/S],"S")</f>
        <v>0</v>
      </c>
      <c r="Y294" s="50">
        <f>SUMIFS(SIP[BO UNIT TRANSFER],SIP[Investor ID],INVESTORS_LIST[[#This Row],[INVESTOR CODE]],SIP[B/S],"S")</f>
        <v>0</v>
      </c>
      <c r="Z294" s="106">
        <f>SUM(INVESTORS_LIST[[#This Row],[BO OPENING BALANCE]:[BO SIP UNITS REPURCHASE]])</f>
        <v>0</v>
      </c>
      <c r="AA294" s="107">
        <f>INVESTORS_LIST[[#This Row],[TOTAL UNITS BUY]]-INVESTORS_LIST[[#This Row],[TOTAL UNITS SOLD]]</f>
        <v>0</v>
      </c>
      <c r="AB294" s="107">
        <f>INVESTORS_LIST[[#This Row],[TOTAL CURRENT UNITS]]-INVESTORS_LIST[[#This Row],[BO UNITS HOLD]]</f>
        <v>0</v>
      </c>
      <c r="AC294" s="201" t="e">
        <f>INDEX([3]!Table_1[BO ID],MATCH(INVESTORS_LIST[[#This Row],[INVESTOR CODE]],[3]!Table_1[INVESTOR CODE],0))</f>
        <v>#REF!</v>
      </c>
      <c r="AD294" s="201" t="e">
        <f>INDEX([3]!Table_1[Brokerage Name2],MATCH(INVESTORS_LIST[[#This Row],[INVESTOR CODE]],[3]!Table_1[INVESTOR CODE],0))</f>
        <v>#REF!</v>
      </c>
      <c r="AE294" s="201" t="e">
        <f>MID(INVESTORS_LIST[[#This Row],[BO ID]],4,5)</f>
        <v>#REF!</v>
      </c>
      <c r="AF294" s="201" t="e">
        <f>MID(INVESTORS_LIST[[#This Row],[BO ID]],2,7)</f>
        <v>#REF!</v>
      </c>
      <c r="AG294" s="201" t="e">
        <f>MID(INVESTORS_LIST[[#This Row],[BO ID]],9,7)</f>
        <v>#REF!</v>
      </c>
      <c r="AH294" s="201" t="e">
        <f>RIGHT(INVESTORS_LIST[[#This Row],[BO ID]],1)</f>
        <v>#REF!</v>
      </c>
      <c r="AI294" s="50">
        <f>INVESTORS_LIST[[#This Row],[LS_TOTAL COST VALUE OF CURRENT UNITS]]+INVESTORS_LIST[[#This Row],[SIP_TOTAL COST VALUE OF CURRENT UNITS]]</f>
        <v>0</v>
      </c>
      <c r="AJ294" s="109">
        <f>IF(INVESTORS_LIST[[#This Row],[TOTAL CURRENT UNITS]]=0,0,INVESTORS_LIST[[#This Row],[LS_TOTAL CURRENT UNITS]]/INVESTORS_LIST[[#This Row],[TOTAL CURRENT UNITS]])</f>
        <v>0</v>
      </c>
      <c r="AK294" s="109">
        <f>IF(INVESTORS_LIST[[#This Row],[TOTAL CURRENT UNITS]]=0,0,INVESTORS_LIST[[#This Row],[SIP_TOTAL CURRENT UNITS]]/INVESTORS_LIST[[#This Row],[TOTAL CURRENT UNITS]])</f>
        <v>0</v>
      </c>
      <c r="AL294" s="49" cm="1">
        <f t="array" ref="AL2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4" s="49" cm="1">
        <f t="array" ref="AM2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4" s="105">
        <f t="shared" si="5"/>
        <v>14.224</v>
      </c>
      <c r="AP294" s="112">
        <f>IF(INVESTORS_LIST[[#This Row],[TOTAL CURRENT UNITS]]=0,0,INVESTORS_LIST[[#This Row],[TOTAL CURRENT UNITS]]*INVESTORS_LIST[[#This Row],[NAV]])</f>
        <v>0</v>
      </c>
      <c r="AQ294" s="49">
        <f>IF(INVESTORS_LIST[[#This Row],[LS_TOTAL CURRENT UNITS]]=0,0,INVESTORS_LIST[[#This Row],[LS_TOTAL CURRENT UNITS]]*INVESTORS_LIST[[#This Row],[NAV]])</f>
        <v>0</v>
      </c>
      <c r="AR294" s="48">
        <f>IF(INVESTORS_LIST[[#This Row],[SIP_TOTAL CURRENT UNITS]]=0,0,INVESTORS_LIST[[#This Row],[SIP_TOTAL CURRENT UNITS]]*INVESTORS_LIST[[#This Row],[NAV]])</f>
        <v>0</v>
      </c>
      <c r="AS294" s="50">
        <f>INVESTORS_LIST[[#This Row],[TOTAL CURRENT UNITS]]</f>
        <v>0</v>
      </c>
      <c r="AT294" s="48">
        <f>IF(INVESTORS_LIST[[#This Row],[TOTAL SELLABLE UNITS]]=0,0,INVESTORS_LIST[[#This Row],[TOTAL SELLABLE UNITS]]*INVESTORS_LIST[[#This Row],[NAV]])</f>
        <v>0</v>
      </c>
      <c r="AU294" s="48">
        <f>INVESTORS_LIST[[#This Row],[LS_TOTAL REALIZED GAIN]]+INVESTORS_LIST[[#This Row],[SIP_TOTAL REALIZED GAIN]]</f>
        <v>59830.700000000041</v>
      </c>
      <c r="AV294" s="48">
        <f>INVESTORS_LIST[[#This Row],[TOTAL MARKET VALUE]]-INVESTORS_LIST[[#This Row],[TOTAL COST VALUE OF CURRENT INVESTMENT]]</f>
        <v>0</v>
      </c>
      <c r="AW294" s="108">
        <f>IFERROR(INVESTORS_LIST[[#This Row],[TOTAL CURRENT UNITS]]/SUM(INVESTORS_LIST[TOTAL CURRENT UNITS]),0)</f>
        <v>0</v>
      </c>
    </row>
    <row r="295" spans="1:49" hidden="1">
      <c r="A295" s="262" t="s">
        <v>637</v>
      </c>
      <c r="B295" s="97" t="s">
        <v>638</v>
      </c>
      <c r="C295" t="s">
        <v>538</v>
      </c>
      <c r="D295" s="75" t="s">
        <v>45</v>
      </c>
      <c r="E295" s="47">
        <f>SUMIFS(LS[Unit],LS[Investor ID],INVESTORS_LIST[[#This Row],[INVESTOR CODE]],LS[B/S],"B")</f>
        <v>0</v>
      </c>
      <c r="F295" s="47">
        <f>-SUMIFS(LS[Unit],LS[Investor ID],INVESTORS_LIST[[#This Row],[INVESTOR CODE]],LS[B/S],"S")</f>
        <v>0</v>
      </c>
      <c r="G295" s="47">
        <f>IF(INVESTORS_LIST[[#This Row],[LS_TOTAL UNITS BUY]]=0,0,INVESTORS_LIST[[#This Row],[LS_TOTAL UNITS BUY]]-INVESTORS_LIST[[#This Row],[LS_TOTAL UNITS SOLD]])</f>
        <v>0</v>
      </c>
      <c r="H295" s="49">
        <f>IF(INVESTORS_LIST[[#This Row],[LS_TOTAL UNITS BUY]]=0,0,SUMIFS(LS[Amount],LS[Investor ID],INVESTORS_LIST[[#This Row],[INVESTOR CODE]],LS[B/S],"B"))</f>
        <v>0</v>
      </c>
      <c r="I295" s="48">
        <f>IF(INVESTORS_LIST[[#This Row],[LS_TOTAL UNITS SOLD]]=0,0,SUMIFS(LS[Cost of Units Sold],LS[Investor ID],INVESTORS_LIST[[#This Row],[INVESTOR CODE]],LS[B/S],"S"))</f>
        <v>0</v>
      </c>
      <c r="J295" s="48">
        <f>IF(INVESTORS_LIST[[#This Row],[LS_TOTAL CURRENT UNITS]]=0,0,INVESTORS_LIST[[#This Row],[LS_TOTAL CURRENT UNITS]]*INVESTORS_LIST[[#This Row],[LS_AVERAGE COST]])</f>
        <v>0</v>
      </c>
      <c r="K295" s="49">
        <f>IF(INVESTORS_LIST[[#This Row],[LS_TOTAL UNITS SOLD]]=0,0,SUMIFS(LS[Realized Gain],LS[Investor ID],INVESTORS_LIST[[#This Row],[INVESTOR CODE]],LS[B/S],"S"))</f>
        <v>0</v>
      </c>
      <c r="L295" s="47">
        <f>SUMIFS(SIP[Unit],SIP[Investor ID],INVESTORS_LIST[[#This Row],[INVESTOR CODE]],SIP[B/S],"B")</f>
        <v>0</v>
      </c>
      <c r="M295" s="47">
        <f>-SUMIFS(SIP[Unit],SIP[Investor ID],INVESTORS_LIST[[#This Row],[INVESTOR CODE]],SIP[B/S],"S")</f>
        <v>0</v>
      </c>
      <c r="N295" s="50">
        <f>IF(INVESTORS_LIST[[#This Row],[SIP_TOTAL UNITS BUY]]=0,0,INVESTORS_LIST[[#This Row],[SIP_TOTAL UNITS BUY]]-INVESTORS_LIST[[#This Row],[SIP_TOTAL UNITS SOLD]])</f>
        <v>0</v>
      </c>
      <c r="O295" s="49">
        <f>IF(INVESTORS_LIST[[#This Row],[SIP_TOTAL UNITS BUY]]=0,0,SUMIFS(SIP[Amount],SIP[Investor ID],INVESTORS_LIST[[#This Row],[INVESTOR CODE]],SIP[B/S],"B"))</f>
        <v>0</v>
      </c>
      <c r="P295" s="49">
        <f>IF(INVESTORS_LIST[[#This Row],[SIP_TOTAL UNITS SOLD]]=0,0,SUMIFS(SIP[Cost of Units Sold],SIP[Investor ID],INVESTORS_LIST[[#This Row],[INVESTOR CODE]],SIP[B/S],"S"))</f>
        <v>0</v>
      </c>
      <c r="Q295" s="48">
        <f>IF(INVESTORS_LIST[[#This Row],[SIP_TOTAL CURRENT UNITS]]=0,0,INVESTORS_LIST[[#This Row],[SIP_TOTAL CURRENT UNITS]]*INVESTORS_LIST[[#This Row],[SIP_AVERAGE COST]])</f>
        <v>0</v>
      </c>
      <c r="R295" s="48">
        <f>IF(INVESTORS_LIST[[#This Row],[SIP_TOTAL UNITS SOLD]]=0,0,SUMIFS(SIP[Realized Gain],SIP[Investor ID],INVESTORS_LIST[[#This Row],[INVESTOR CODE]],SIP[B/S],"S"))</f>
        <v>0</v>
      </c>
      <c r="S295" s="50">
        <f>INVESTORS_LIST[[#This Row],[LS_TOTAL UNITS BUY]]+INVESTORS_LIST[[#This Row],[SIP_TOTAL UNITS BUY]]</f>
        <v>0</v>
      </c>
      <c r="T295" s="50">
        <f>INVESTORS_LIST[[#This Row],[LS_TOTAL UNITS SOLD]]+INVESTORS_LIST[[#This Row],[SIP_TOTAL UNITS SOLD]]</f>
        <v>0</v>
      </c>
      <c r="U295" s="50"/>
      <c r="V295" s="50">
        <f>SUMIFS(LS[BO UNIT TRANSFER],LS[Investor ID],INVESTORS_LIST[[#This Row],[INVESTOR CODE]],LS[B/S],"B")</f>
        <v>0</v>
      </c>
      <c r="W295" s="50">
        <f>SUMIFS(SIP[BO UNIT TRANSFER],SIP[Investor ID],INVESTORS_LIST[[#This Row],[INVESTOR CODE]],SIP[B/S],"B")</f>
        <v>0</v>
      </c>
      <c r="X295" s="50">
        <f>SUMIFS(LS[BO UNIT TRANSFER],LS[Investor ID],INVESTORS_LIST[[#This Row],[INVESTOR CODE]],LS[B/S],"S")</f>
        <v>0</v>
      </c>
      <c r="Y295" s="50">
        <f>SUMIFS(SIP[BO UNIT TRANSFER],SIP[Investor ID],INVESTORS_LIST[[#This Row],[INVESTOR CODE]],SIP[B/S],"S")</f>
        <v>0</v>
      </c>
      <c r="Z295" s="106">
        <f>SUM(INVESTORS_LIST[[#This Row],[BO OPENING BALANCE]:[BO SIP UNITS REPURCHASE]])</f>
        <v>0</v>
      </c>
      <c r="AA295" s="107">
        <f>INVESTORS_LIST[[#This Row],[TOTAL UNITS BUY]]-INVESTORS_LIST[[#This Row],[TOTAL UNITS SOLD]]</f>
        <v>0</v>
      </c>
      <c r="AB295" s="107">
        <f>INVESTORS_LIST[[#This Row],[TOTAL CURRENT UNITS]]-INVESTORS_LIST[[#This Row],[BO UNITS HOLD]]</f>
        <v>0</v>
      </c>
      <c r="AC295" s="201" t="e">
        <f>INDEX([3]!Table_1[BO ID],MATCH(INVESTORS_LIST[[#This Row],[INVESTOR CODE]],[3]!Table_1[INVESTOR CODE],0))</f>
        <v>#REF!</v>
      </c>
      <c r="AD295" s="201" t="e">
        <f>INDEX([3]!Table_1[Brokerage Name2],MATCH(INVESTORS_LIST[[#This Row],[INVESTOR CODE]],[3]!Table_1[INVESTOR CODE],0))</f>
        <v>#REF!</v>
      </c>
      <c r="AE295" s="201" t="e">
        <f>MID(INVESTORS_LIST[[#This Row],[BO ID]],4,5)</f>
        <v>#REF!</v>
      </c>
      <c r="AF295" s="201" t="e">
        <f>MID(INVESTORS_LIST[[#This Row],[BO ID]],2,7)</f>
        <v>#REF!</v>
      </c>
      <c r="AG295" s="201" t="e">
        <f>MID(INVESTORS_LIST[[#This Row],[BO ID]],9,7)</f>
        <v>#REF!</v>
      </c>
      <c r="AH295" s="201" t="e">
        <f>RIGHT(INVESTORS_LIST[[#This Row],[BO ID]],1)</f>
        <v>#REF!</v>
      </c>
      <c r="AI295" s="50">
        <f>INVESTORS_LIST[[#This Row],[LS_TOTAL COST VALUE OF CURRENT UNITS]]+INVESTORS_LIST[[#This Row],[SIP_TOTAL COST VALUE OF CURRENT UNITS]]</f>
        <v>0</v>
      </c>
      <c r="AJ295" s="109">
        <f>IF(INVESTORS_LIST[[#This Row],[TOTAL CURRENT UNITS]]=0,0,INVESTORS_LIST[[#This Row],[LS_TOTAL CURRENT UNITS]]/INVESTORS_LIST[[#This Row],[TOTAL CURRENT UNITS]])</f>
        <v>0</v>
      </c>
      <c r="AK295" s="109">
        <f>IF(INVESTORS_LIST[[#This Row],[TOTAL CURRENT UNITS]]=0,0,INVESTORS_LIST[[#This Row],[SIP_TOTAL CURRENT UNITS]]/INVESTORS_LIST[[#This Row],[TOTAL CURRENT UNITS]])</f>
        <v>0</v>
      </c>
      <c r="AL295" s="49" cm="1">
        <f t="array" ref="AL2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5" s="49" cm="1">
        <f t="array" ref="AM2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5" s="105">
        <f t="shared" si="5"/>
        <v>14.224</v>
      </c>
      <c r="AP295" s="112">
        <f>IF(INVESTORS_LIST[[#This Row],[TOTAL CURRENT UNITS]]=0,0,INVESTORS_LIST[[#This Row],[TOTAL CURRENT UNITS]]*INVESTORS_LIST[[#This Row],[NAV]])</f>
        <v>0</v>
      </c>
      <c r="AQ295" s="49">
        <f>IF(INVESTORS_LIST[[#This Row],[LS_TOTAL CURRENT UNITS]]=0,0,INVESTORS_LIST[[#This Row],[LS_TOTAL CURRENT UNITS]]*INVESTORS_LIST[[#This Row],[NAV]])</f>
        <v>0</v>
      </c>
      <c r="AR295" s="48">
        <f>IF(INVESTORS_LIST[[#This Row],[SIP_TOTAL CURRENT UNITS]]=0,0,INVESTORS_LIST[[#This Row],[SIP_TOTAL CURRENT UNITS]]*INVESTORS_LIST[[#This Row],[NAV]])</f>
        <v>0</v>
      </c>
      <c r="AS295" s="50">
        <f>INVESTORS_LIST[[#This Row],[TOTAL CURRENT UNITS]]</f>
        <v>0</v>
      </c>
      <c r="AT295" s="48">
        <f>IF(INVESTORS_LIST[[#This Row],[TOTAL SELLABLE UNITS]]=0,0,INVESTORS_LIST[[#This Row],[TOTAL SELLABLE UNITS]]*INVESTORS_LIST[[#This Row],[NAV]])</f>
        <v>0</v>
      </c>
      <c r="AU295" s="48">
        <f>INVESTORS_LIST[[#This Row],[LS_TOTAL REALIZED GAIN]]+INVESTORS_LIST[[#This Row],[SIP_TOTAL REALIZED GAIN]]</f>
        <v>0</v>
      </c>
      <c r="AV295" s="48">
        <f>INVESTORS_LIST[[#This Row],[TOTAL MARKET VALUE]]-INVESTORS_LIST[[#This Row],[TOTAL COST VALUE OF CURRENT INVESTMENT]]</f>
        <v>0</v>
      </c>
      <c r="AW295" s="48">
        <f>IFERROR(INVESTORS_LIST[[#This Row],[TOTAL CURRENT UNITS]]/SUM(INVESTORS_LIST[TOTAL CURRENT UNITS]),0)</f>
        <v>0</v>
      </c>
    </row>
    <row r="296" spans="1:49" hidden="1">
      <c r="A296" s="262" t="s">
        <v>639</v>
      </c>
      <c r="B296" s="97" t="s">
        <v>640</v>
      </c>
      <c r="C296" t="s">
        <v>44</v>
      </c>
      <c r="D296" s="75" t="s">
        <v>45</v>
      </c>
      <c r="E296" s="47">
        <f>SUMIFS(LS[Unit],LS[Investor ID],INVESTORS_LIST[[#This Row],[INVESTOR CODE]],LS[B/S],"B")</f>
        <v>0</v>
      </c>
      <c r="F296" s="47">
        <f>-SUMIFS(LS[Unit],LS[Investor ID],INVESTORS_LIST[[#This Row],[INVESTOR CODE]],LS[B/S],"S")</f>
        <v>0</v>
      </c>
      <c r="G296" s="47">
        <f>IF(INVESTORS_LIST[[#This Row],[LS_TOTAL UNITS BUY]]=0,0,INVESTORS_LIST[[#This Row],[LS_TOTAL UNITS BUY]]-INVESTORS_LIST[[#This Row],[LS_TOTAL UNITS SOLD]])</f>
        <v>0</v>
      </c>
      <c r="H296" s="49">
        <f>IF(INVESTORS_LIST[[#This Row],[LS_TOTAL UNITS BUY]]=0,0,SUMIFS(LS[Amount],LS[Investor ID],INVESTORS_LIST[[#This Row],[INVESTOR CODE]],LS[B/S],"B"))</f>
        <v>0</v>
      </c>
      <c r="I296" s="48">
        <f>IF(INVESTORS_LIST[[#This Row],[LS_TOTAL UNITS SOLD]]=0,0,SUMIFS(LS[Cost of Units Sold],LS[Investor ID],INVESTORS_LIST[[#This Row],[INVESTOR CODE]],LS[B/S],"S"))</f>
        <v>0</v>
      </c>
      <c r="J296" s="48">
        <f>IF(INVESTORS_LIST[[#This Row],[LS_TOTAL CURRENT UNITS]]=0,0,INVESTORS_LIST[[#This Row],[LS_TOTAL CURRENT UNITS]]*INVESTORS_LIST[[#This Row],[LS_AVERAGE COST]])</f>
        <v>0</v>
      </c>
      <c r="K296" s="49">
        <f>IF(INVESTORS_LIST[[#This Row],[LS_TOTAL UNITS SOLD]]=0,0,SUMIFS(LS[Realized Gain],LS[Investor ID],INVESTORS_LIST[[#This Row],[INVESTOR CODE]],LS[B/S],"S"))</f>
        <v>0</v>
      </c>
      <c r="L296" s="47">
        <f>SUMIFS(SIP[Unit],SIP[Investor ID],INVESTORS_LIST[[#This Row],[INVESTOR CODE]],SIP[B/S],"B")</f>
        <v>0</v>
      </c>
      <c r="M296" s="47">
        <f>-SUMIFS(SIP[Unit],SIP[Investor ID],INVESTORS_LIST[[#This Row],[INVESTOR CODE]],SIP[B/S],"S")</f>
        <v>0</v>
      </c>
      <c r="N296" s="50">
        <f>IF(INVESTORS_LIST[[#This Row],[SIP_TOTAL UNITS BUY]]=0,0,INVESTORS_LIST[[#This Row],[SIP_TOTAL UNITS BUY]]-INVESTORS_LIST[[#This Row],[SIP_TOTAL UNITS SOLD]])</f>
        <v>0</v>
      </c>
      <c r="O296" s="49">
        <f>IF(INVESTORS_LIST[[#This Row],[SIP_TOTAL UNITS BUY]]=0,0,SUMIFS(SIP[Amount],SIP[Investor ID],INVESTORS_LIST[[#This Row],[INVESTOR CODE]],SIP[B/S],"B"))</f>
        <v>0</v>
      </c>
      <c r="P296" s="49">
        <f>IF(INVESTORS_LIST[[#This Row],[SIP_TOTAL UNITS SOLD]]=0,0,SUMIFS(SIP[Cost of Units Sold],SIP[Investor ID],INVESTORS_LIST[[#This Row],[INVESTOR CODE]],SIP[B/S],"S"))</f>
        <v>0</v>
      </c>
      <c r="Q296" s="48">
        <f>IF(INVESTORS_LIST[[#This Row],[SIP_TOTAL CURRENT UNITS]]=0,0,INVESTORS_LIST[[#This Row],[SIP_TOTAL CURRENT UNITS]]*INVESTORS_LIST[[#This Row],[SIP_AVERAGE COST]])</f>
        <v>0</v>
      </c>
      <c r="R296" s="48">
        <f>IF(INVESTORS_LIST[[#This Row],[SIP_TOTAL UNITS SOLD]]=0,0,SUMIFS(SIP[Realized Gain],SIP[Investor ID],INVESTORS_LIST[[#This Row],[INVESTOR CODE]],SIP[B/S],"S"))</f>
        <v>0</v>
      </c>
      <c r="S296" s="50">
        <f>INVESTORS_LIST[[#This Row],[LS_TOTAL UNITS BUY]]+INVESTORS_LIST[[#This Row],[SIP_TOTAL UNITS BUY]]</f>
        <v>0</v>
      </c>
      <c r="T296" s="50">
        <f>INVESTORS_LIST[[#This Row],[LS_TOTAL UNITS SOLD]]+INVESTORS_LIST[[#This Row],[SIP_TOTAL UNITS SOLD]]</f>
        <v>0</v>
      </c>
      <c r="U296" s="50"/>
      <c r="V296" s="50">
        <f>SUMIFS(LS[BO UNIT TRANSFER],LS[Investor ID],INVESTORS_LIST[[#This Row],[INVESTOR CODE]],LS[B/S],"B")</f>
        <v>0</v>
      </c>
      <c r="W296" s="50">
        <f>SUMIFS(SIP[BO UNIT TRANSFER],SIP[Investor ID],INVESTORS_LIST[[#This Row],[INVESTOR CODE]],SIP[B/S],"B")</f>
        <v>0</v>
      </c>
      <c r="X296" s="50">
        <f>SUMIFS(LS[BO UNIT TRANSFER],LS[Investor ID],INVESTORS_LIST[[#This Row],[INVESTOR CODE]],LS[B/S],"S")</f>
        <v>0</v>
      </c>
      <c r="Y296" s="50">
        <f>SUMIFS(SIP[BO UNIT TRANSFER],SIP[Investor ID],INVESTORS_LIST[[#This Row],[INVESTOR CODE]],SIP[B/S],"S")</f>
        <v>0</v>
      </c>
      <c r="Z296" s="106">
        <f>SUM(INVESTORS_LIST[[#This Row],[BO OPENING BALANCE]:[BO SIP UNITS REPURCHASE]])</f>
        <v>0</v>
      </c>
      <c r="AA296" s="107">
        <f>INVESTORS_LIST[[#This Row],[TOTAL UNITS BUY]]-INVESTORS_LIST[[#This Row],[TOTAL UNITS SOLD]]</f>
        <v>0</v>
      </c>
      <c r="AB296" s="107">
        <f>INVESTORS_LIST[[#This Row],[TOTAL CURRENT UNITS]]-INVESTORS_LIST[[#This Row],[BO UNITS HOLD]]</f>
        <v>0</v>
      </c>
      <c r="AC296" s="201" t="e">
        <f>INDEX([3]!Table_1[BO ID],MATCH(INVESTORS_LIST[[#This Row],[INVESTOR CODE]],[3]!Table_1[INVESTOR CODE],0))</f>
        <v>#REF!</v>
      </c>
      <c r="AD296" s="201" t="e">
        <f>INDEX([3]!Table_1[Brokerage Name2],MATCH(INVESTORS_LIST[[#This Row],[INVESTOR CODE]],[3]!Table_1[INVESTOR CODE],0))</f>
        <v>#REF!</v>
      </c>
      <c r="AE296" s="201" t="e">
        <f>MID(INVESTORS_LIST[[#This Row],[BO ID]],4,5)</f>
        <v>#REF!</v>
      </c>
      <c r="AF296" s="201" t="e">
        <f>MID(INVESTORS_LIST[[#This Row],[BO ID]],2,7)</f>
        <v>#REF!</v>
      </c>
      <c r="AG296" s="201" t="e">
        <f>MID(INVESTORS_LIST[[#This Row],[BO ID]],9,7)</f>
        <v>#REF!</v>
      </c>
      <c r="AH296" s="201" t="e">
        <f>RIGHT(INVESTORS_LIST[[#This Row],[BO ID]],1)</f>
        <v>#REF!</v>
      </c>
      <c r="AI296" s="50">
        <f>INVESTORS_LIST[[#This Row],[LS_TOTAL COST VALUE OF CURRENT UNITS]]+INVESTORS_LIST[[#This Row],[SIP_TOTAL COST VALUE OF CURRENT UNITS]]</f>
        <v>0</v>
      </c>
      <c r="AJ296" s="109">
        <f>IF(INVESTORS_LIST[[#This Row],[TOTAL CURRENT UNITS]]=0,0,INVESTORS_LIST[[#This Row],[LS_TOTAL CURRENT UNITS]]/INVESTORS_LIST[[#This Row],[TOTAL CURRENT UNITS]])</f>
        <v>0</v>
      </c>
      <c r="AK296" s="109">
        <f>IF(INVESTORS_LIST[[#This Row],[TOTAL CURRENT UNITS]]=0,0,INVESTORS_LIST[[#This Row],[SIP_TOTAL CURRENT UNITS]]/INVESTORS_LIST[[#This Row],[TOTAL CURRENT UNITS]])</f>
        <v>0</v>
      </c>
      <c r="AL296" s="49" cm="1">
        <f t="array" ref="AL2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6" s="49" cm="1">
        <f t="array" ref="AM2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6" s="105">
        <f t="shared" si="5"/>
        <v>14.224</v>
      </c>
      <c r="AP296" s="112">
        <f>IF(INVESTORS_LIST[[#This Row],[TOTAL CURRENT UNITS]]=0,0,INVESTORS_LIST[[#This Row],[TOTAL CURRENT UNITS]]*INVESTORS_LIST[[#This Row],[NAV]])</f>
        <v>0</v>
      </c>
      <c r="AQ296" s="49">
        <f>IF(INVESTORS_LIST[[#This Row],[LS_TOTAL CURRENT UNITS]]=0,0,INVESTORS_LIST[[#This Row],[LS_TOTAL CURRENT UNITS]]*INVESTORS_LIST[[#This Row],[NAV]])</f>
        <v>0</v>
      </c>
      <c r="AR296" s="48">
        <f>IF(INVESTORS_LIST[[#This Row],[SIP_TOTAL CURRENT UNITS]]=0,0,INVESTORS_LIST[[#This Row],[SIP_TOTAL CURRENT UNITS]]*INVESTORS_LIST[[#This Row],[NAV]])</f>
        <v>0</v>
      </c>
      <c r="AS296" s="50">
        <f>INVESTORS_LIST[[#This Row],[TOTAL CURRENT UNITS]]</f>
        <v>0</v>
      </c>
      <c r="AT296" s="48">
        <f>IF(INVESTORS_LIST[[#This Row],[TOTAL SELLABLE UNITS]]=0,0,INVESTORS_LIST[[#This Row],[TOTAL SELLABLE UNITS]]*INVESTORS_LIST[[#This Row],[NAV]])</f>
        <v>0</v>
      </c>
      <c r="AU296" s="48">
        <f>INVESTORS_LIST[[#This Row],[LS_TOTAL REALIZED GAIN]]+INVESTORS_LIST[[#This Row],[SIP_TOTAL REALIZED GAIN]]</f>
        <v>0</v>
      </c>
      <c r="AV296" s="48">
        <f>INVESTORS_LIST[[#This Row],[TOTAL MARKET VALUE]]-INVESTORS_LIST[[#This Row],[TOTAL COST VALUE OF CURRENT INVESTMENT]]</f>
        <v>0</v>
      </c>
      <c r="AW296" s="48">
        <f>IFERROR(INVESTORS_LIST[[#This Row],[TOTAL CURRENT UNITS]]/SUM(INVESTORS_LIST[TOTAL CURRENT UNITS]),0)</f>
        <v>0</v>
      </c>
    </row>
    <row r="297" spans="1:49" hidden="1">
      <c r="A297" s="262" t="s">
        <v>641</v>
      </c>
      <c r="B297" s="97" t="s">
        <v>642</v>
      </c>
      <c r="C297" t="s">
        <v>44</v>
      </c>
      <c r="D297" s="75" t="s">
        <v>45</v>
      </c>
      <c r="E297" s="47">
        <f>SUMIFS(LS[Unit],LS[Investor ID],INVESTORS_LIST[[#This Row],[INVESTOR CODE]],LS[B/S],"B")</f>
        <v>0</v>
      </c>
      <c r="F297" s="47">
        <f>-SUMIFS(LS[Unit],LS[Investor ID],INVESTORS_LIST[[#This Row],[INVESTOR CODE]],LS[B/S],"S")</f>
        <v>0</v>
      </c>
      <c r="G297" s="47">
        <f>IF(INVESTORS_LIST[[#This Row],[LS_TOTAL UNITS BUY]]=0,0,INVESTORS_LIST[[#This Row],[LS_TOTAL UNITS BUY]]-INVESTORS_LIST[[#This Row],[LS_TOTAL UNITS SOLD]])</f>
        <v>0</v>
      </c>
      <c r="H297" s="49">
        <f>IF(INVESTORS_LIST[[#This Row],[LS_TOTAL UNITS BUY]]=0,0,SUMIFS(LS[Amount],LS[Investor ID],INVESTORS_LIST[[#This Row],[INVESTOR CODE]],LS[B/S],"B"))</f>
        <v>0</v>
      </c>
      <c r="I297" s="48">
        <f>IF(INVESTORS_LIST[[#This Row],[LS_TOTAL UNITS SOLD]]=0,0,SUMIFS(LS[Cost of Units Sold],LS[Investor ID],INVESTORS_LIST[[#This Row],[INVESTOR CODE]],LS[B/S],"S"))</f>
        <v>0</v>
      </c>
      <c r="J297" s="48">
        <f>IF(INVESTORS_LIST[[#This Row],[LS_TOTAL CURRENT UNITS]]=0,0,INVESTORS_LIST[[#This Row],[LS_TOTAL CURRENT UNITS]]*INVESTORS_LIST[[#This Row],[LS_AVERAGE COST]])</f>
        <v>0</v>
      </c>
      <c r="K297" s="49">
        <f>IF(INVESTORS_LIST[[#This Row],[LS_TOTAL UNITS SOLD]]=0,0,SUMIFS(LS[Realized Gain],LS[Investor ID],INVESTORS_LIST[[#This Row],[INVESTOR CODE]],LS[B/S],"S"))</f>
        <v>0</v>
      </c>
      <c r="L297" s="47">
        <f>SUMIFS(SIP[Unit],SIP[Investor ID],INVESTORS_LIST[[#This Row],[INVESTOR CODE]],SIP[B/S],"B")</f>
        <v>0</v>
      </c>
      <c r="M297" s="47">
        <f>-SUMIFS(SIP[Unit],SIP[Investor ID],INVESTORS_LIST[[#This Row],[INVESTOR CODE]],SIP[B/S],"S")</f>
        <v>0</v>
      </c>
      <c r="N297" s="50">
        <f>IF(INVESTORS_LIST[[#This Row],[SIP_TOTAL UNITS BUY]]=0,0,INVESTORS_LIST[[#This Row],[SIP_TOTAL UNITS BUY]]-INVESTORS_LIST[[#This Row],[SIP_TOTAL UNITS SOLD]])</f>
        <v>0</v>
      </c>
      <c r="O297" s="49">
        <f>IF(INVESTORS_LIST[[#This Row],[SIP_TOTAL UNITS BUY]]=0,0,SUMIFS(SIP[Amount],SIP[Investor ID],INVESTORS_LIST[[#This Row],[INVESTOR CODE]],SIP[B/S],"B"))</f>
        <v>0</v>
      </c>
      <c r="P297" s="49">
        <f>IF(INVESTORS_LIST[[#This Row],[SIP_TOTAL UNITS SOLD]]=0,0,SUMIFS(SIP[Cost of Units Sold],SIP[Investor ID],INVESTORS_LIST[[#This Row],[INVESTOR CODE]],SIP[B/S],"S"))</f>
        <v>0</v>
      </c>
      <c r="Q297" s="48">
        <f>IF(INVESTORS_LIST[[#This Row],[SIP_TOTAL CURRENT UNITS]]=0,0,INVESTORS_LIST[[#This Row],[SIP_TOTAL CURRENT UNITS]]*INVESTORS_LIST[[#This Row],[SIP_AVERAGE COST]])</f>
        <v>0</v>
      </c>
      <c r="R297" s="48">
        <f>IF(INVESTORS_LIST[[#This Row],[SIP_TOTAL UNITS SOLD]]=0,0,SUMIFS(SIP[Realized Gain],SIP[Investor ID],INVESTORS_LIST[[#This Row],[INVESTOR CODE]],SIP[B/S],"S"))</f>
        <v>0</v>
      </c>
      <c r="S297" s="50">
        <f>INVESTORS_LIST[[#This Row],[LS_TOTAL UNITS BUY]]+INVESTORS_LIST[[#This Row],[SIP_TOTAL UNITS BUY]]</f>
        <v>0</v>
      </c>
      <c r="T297" s="50">
        <f>INVESTORS_LIST[[#This Row],[LS_TOTAL UNITS SOLD]]+INVESTORS_LIST[[#This Row],[SIP_TOTAL UNITS SOLD]]</f>
        <v>0</v>
      </c>
      <c r="U297" s="50"/>
      <c r="V297" s="50">
        <f>SUMIFS(LS[BO UNIT TRANSFER],LS[Investor ID],INVESTORS_LIST[[#This Row],[INVESTOR CODE]],LS[B/S],"B")</f>
        <v>0</v>
      </c>
      <c r="W297" s="50">
        <f>SUMIFS(SIP[BO UNIT TRANSFER],SIP[Investor ID],INVESTORS_LIST[[#This Row],[INVESTOR CODE]],SIP[B/S],"B")</f>
        <v>0</v>
      </c>
      <c r="X297" s="50">
        <f>SUMIFS(LS[BO UNIT TRANSFER],LS[Investor ID],INVESTORS_LIST[[#This Row],[INVESTOR CODE]],LS[B/S],"S")</f>
        <v>0</v>
      </c>
      <c r="Y297" s="50">
        <f>SUMIFS(SIP[BO UNIT TRANSFER],SIP[Investor ID],INVESTORS_LIST[[#This Row],[INVESTOR CODE]],SIP[B/S],"S")</f>
        <v>0</v>
      </c>
      <c r="Z297" s="106">
        <f>SUM(INVESTORS_LIST[[#This Row],[BO OPENING BALANCE]:[BO SIP UNITS REPURCHASE]])</f>
        <v>0</v>
      </c>
      <c r="AA297" s="107">
        <f>INVESTORS_LIST[[#This Row],[TOTAL UNITS BUY]]-INVESTORS_LIST[[#This Row],[TOTAL UNITS SOLD]]</f>
        <v>0</v>
      </c>
      <c r="AB297" s="107">
        <f>INVESTORS_LIST[[#This Row],[TOTAL CURRENT UNITS]]-INVESTORS_LIST[[#This Row],[BO UNITS HOLD]]</f>
        <v>0</v>
      </c>
      <c r="AC297" s="201" t="e">
        <f>INDEX([3]!Table_1[BO ID],MATCH(INVESTORS_LIST[[#This Row],[INVESTOR CODE]],[3]!Table_1[INVESTOR CODE],0))</f>
        <v>#REF!</v>
      </c>
      <c r="AD297" s="201" t="e">
        <f>INDEX([3]!Table_1[Brokerage Name2],MATCH(INVESTORS_LIST[[#This Row],[INVESTOR CODE]],[3]!Table_1[INVESTOR CODE],0))</f>
        <v>#REF!</v>
      </c>
      <c r="AE297" s="201" t="e">
        <f>MID(INVESTORS_LIST[[#This Row],[BO ID]],4,5)</f>
        <v>#REF!</v>
      </c>
      <c r="AF297" s="201" t="e">
        <f>MID(INVESTORS_LIST[[#This Row],[BO ID]],2,7)</f>
        <v>#REF!</v>
      </c>
      <c r="AG297" s="201" t="e">
        <f>MID(INVESTORS_LIST[[#This Row],[BO ID]],9,7)</f>
        <v>#REF!</v>
      </c>
      <c r="AH297" s="201" t="e">
        <f>RIGHT(INVESTORS_LIST[[#This Row],[BO ID]],1)</f>
        <v>#REF!</v>
      </c>
      <c r="AI297" s="50">
        <f>INVESTORS_LIST[[#This Row],[LS_TOTAL COST VALUE OF CURRENT UNITS]]+INVESTORS_LIST[[#This Row],[SIP_TOTAL COST VALUE OF CURRENT UNITS]]</f>
        <v>0</v>
      </c>
      <c r="AJ297" s="109">
        <f>IF(INVESTORS_LIST[[#This Row],[TOTAL CURRENT UNITS]]=0,0,INVESTORS_LIST[[#This Row],[LS_TOTAL CURRENT UNITS]]/INVESTORS_LIST[[#This Row],[TOTAL CURRENT UNITS]])</f>
        <v>0</v>
      </c>
      <c r="AK297" s="109">
        <f>IF(INVESTORS_LIST[[#This Row],[TOTAL CURRENT UNITS]]=0,0,INVESTORS_LIST[[#This Row],[SIP_TOTAL CURRENT UNITS]]/INVESTORS_LIST[[#This Row],[TOTAL CURRENT UNITS]])</f>
        <v>0</v>
      </c>
      <c r="AL297" s="49" cm="1">
        <f t="array" ref="AL2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7" s="49" cm="1">
        <f t="array" ref="AM2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7" s="105">
        <f t="shared" si="5"/>
        <v>14.224</v>
      </c>
      <c r="AP297" s="112">
        <f>IF(INVESTORS_LIST[[#This Row],[TOTAL CURRENT UNITS]]=0,0,INVESTORS_LIST[[#This Row],[TOTAL CURRENT UNITS]]*INVESTORS_LIST[[#This Row],[NAV]])</f>
        <v>0</v>
      </c>
      <c r="AQ297" s="49">
        <f>IF(INVESTORS_LIST[[#This Row],[LS_TOTAL CURRENT UNITS]]=0,0,INVESTORS_LIST[[#This Row],[LS_TOTAL CURRENT UNITS]]*INVESTORS_LIST[[#This Row],[NAV]])</f>
        <v>0</v>
      </c>
      <c r="AR297" s="48">
        <f>IF(INVESTORS_LIST[[#This Row],[SIP_TOTAL CURRENT UNITS]]=0,0,INVESTORS_LIST[[#This Row],[SIP_TOTAL CURRENT UNITS]]*INVESTORS_LIST[[#This Row],[NAV]])</f>
        <v>0</v>
      </c>
      <c r="AS297" s="50">
        <f>INVESTORS_LIST[[#This Row],[TOTAL CURRENT UNITS]]</f>
        <v>0</v>
      </c>
      <c r="AT297" s="48">
        <f>IF(INVESTORS_LIST[[#This Row],[TOTAL SELLABLE UNITS]]=0,0,INVESTORS_LIST[[#This Row],[TOTAL SELLABLE UNITS]]*INVESTORS_LIST[[#This Row],[NAV]])</f>
        <v>0</v>
      </c>
      <c r="AU297" s="48">
        <f>INVESTORS_LIST[[#This Row],[LS_TOTAL REALIZED GAIN]]+INVESTORS_LIST[[#This Row],[SIP_TOTAL REALIZED GAIN]]</f>
        <v>0</v>
      </c>
      <c r="AV297" s="48">
        <f>INVESTORS_LIST[[#This Row],[TOTAL MARKET VALUE]]-INVESTORS_LIST[[#This Row],[TOTAL COST VALUE OF CURRENT INVESTMENT]]</f>
        <v>0</v>
      </c>
      <c r="AW297" s="48">
        <f>IFERROR(INVESTORS_LIST[[#This Row],[TOTAL CURRENT UNITS]]/SUM(INVESTORS_LIST[TOTAL CURRENT UNITS]),0)</f>
        <v>0</v>
      </c>
    </row>
    <row r="298" spans="1:49" hidden="1">
      <c r="A298" s="262" t="s">
        <v>643</v>
      </c>
      <c r="B298" s="97" t="s">
        <v>644</v>
      </c>
      <c r="C298" t="s">
        <v>44</v>
      </c>
      <c r="D298" s="75" t="s">
        <v>45</v>
      </c>
      <c r="E298" s="47">
        <f>SUMIFS(LS[Unit],LS[Investor ID],INVESTORS_LIST[[#This Row],[INVESTOR CODE]],LS[B/S],"B")</f>
        <v>0</v>
      </c>
      <c r="F298" s="47">
        <f>-SUMIFS(LS[Unit],LS[Investor ID],INVESTORS_LIST[[#This Row],[INVESTOR CODE]],LS[B/S],"S")</f>
        <v>0</v>
      </c>
      <c r="G298" s="47">
        <f>IF(INVESTORS_LIST[[#This Row],[LS_TOTAL UNITS BUY]]=0,0,INVESTORS_LIST[[#This Row],[LS_TOTAL UNITS BUY]]-INVESTORS_LIST[[#This Row],[LS_TOTAL UNITS SOLD]])</f>
        <v>0</v>
      </c>
      <c r="H298" s="49">
        <f>IF(INVESTORS_LIST[[#This Row],[LS_TOTAL UNITS BUY]]=0,0,SUMIFS(LS[Amount],LS[Investor ID],INVESTORS_LIST[[#This Row],[INVESTOR CODE]],LS[B/S],"B"))</f>
        <v>0</v>
      </c>
      <c r="I298" s="48">
        <f>IF(INVESTORS_LIST[[#This Row],[LS_TOTAL UNITS SOLD]]=0,0,SUMIFS(LS[Cost of Units Sold],LS[Investor ID],INVESTORS_LIST[[#This Row],[INVESTOR CODE]],LS[B/S],"S"))</f>
        <v>0</v>
      </c>
      <c r="J298" s="48">
        <f>IF(INVESTORS_LIST[[#This Row],[LS_TOTAL CURRENT UNITS]]=0,0,INVESTORS_LIST[[#This Row],[LS_TOTAL CURRENT UNITS]]*INVESTORS_LIST[[#This Row],[LS_AVERAGE COST]])</f>
        <v>0</v>
      </c>
      <c r="K298" s="49">
        <f>IF(INVESTORS_LIST[[#This Row],[LS_TOTAL UNITS SOLD]]=0,0,SUMIFS(LS[Realized Gain],LS[Investor ID],INVESTORS_LIST[[#This Row],[INVESTOR CODE]],LS[B/S],"S"))</f>
        <v>0</v>
      </c>
      <c r="L298" s="47">
        <f>SUMIFS(SIP[Unit],SIP[Investor ID],INVESTORS_LIST[[#This Row],[INVESTOR CODE]],SIP[B/S],"B")</f>
        <v>0</v>
      </c>
      <c r="M298" s="47">
        <f>-SUMIFS(SIP[Unit],SIP[Investor ID],INVESTORS_LIST[[#This Row],[INVESTOR CODE]],SIP[B/S],"S")</f>
        <v>0</v>
      </c>
      <c r="N298" s="50">
        <f>IF(INVESTORS_LIST[[#This Row],[SIP_TOTAL UNITS BUY]]=0,0,INVESTORS_LIST[[#This Row],[SIP_TOTAL UNITS BUY]]-INVESTORS_LIST[[#This Row],[SIP_TOTAL UNITS SOLD]])</f>
        <v>0</v>
      </c>
      <c r="O298" s="49">
        <f>IF(INVESTORS_LIST[[#This Row],[SIP_TOTAL UNITS BUY]]=0,0,SUMIFS(SIP[Amount],SIP[Investor ID],INVESTORS_LIST[[#This Row],[INVESTOR CODE]],SIP[B/S],"B"))</f>
        <v>0</v>
      </c>
      <c r="P298" s="49">
        <f>IF(INVESTORS_LIST[[#This Row],[SIP_TOTAL UNITS SOLD]]=0,0,SUMIFS(SIP[Cost of Units Sold],SIP[Investor ID],INVESTORS_LIST[[#This Row],[INVESTOR CODE]],SIP[B/S],"S"))</f>
        <v>0</v>
      </c>
      <c r="Q298" s="48">
        <f>IF(INVESTORS_LIST[[#This Row],[SIP_TOTAL CURRENT UNITS]]=0,0,INVESTORS_LIST[[#This Row],[SIP_TOTAL CURRENT UNITS]]*INVESTORS_LIST[[#This Row],[SIP_AVERAGE COST]])</f>
        <v>0</v>
      </c>
      <c r="R298" s="48">
        <f>IF(INVESTORS_LIST[[#This Row],[SIP_TOTAL UNITS SOLD]]=0,0,SUMIFS(SIP[Realized Gain],SIP[Investor ID],INVESTORS_LIST[[#This Row],[INVESTOR CODE]],SIP[B/S],"S"))</f>
        <v>0</v>
      </c>
      <c r="S298" s="50">
        <f>INVESTORS_LIST[[#This Row],[LS_TOTAL UNITS BUY]]+INVESTORS_LIST[[#This Row],[SIP_TOTAL UNITS BUY]]</f>
        <v>0</v>
      </c>
      <c r="T298" s="50">
        <f>INVESTORS_LIST[[#This Row],[LS_TOTAL UNITS SOLD]]+INVESTORS_LIST[[#This Row],[SIP_TOTAL UNITS SOLD]]</f>
        <v>0</v>
      </c>
      <c r="U298" s="50"/>
      <c r="V298" s="50">
        <f>SUMIFS(LS[BO UNIT TRANSFER],LS[Investor ID],INVESTORS_LIST[[#This Row],[INVESTOR CODE]],LS[B/S],"B")</f>
        <v>0</v>
      </c>
      <c r="W298" s="50">
        <f>SUMIFS(SIP[BO UNIT TRANSFER],SIP[Investor ID],INVESTORS_LIST[[#This Row],[INVESTOR CODE]],SIP[B/S],"B")</f>
        <v>0</v>
      </c>
      <c r="X298" s="50">
        <f>SUMIFS(LS[BO UNIT TRANSFER],LS[Investor ID],INVESTORS_LIST[[#This Row],[INVESTOR CODE]],LS[B/S],"S")</f>
        <v>0</v>
      </c>
      <c r="Y298" s="50">
        <f>SUMIFS(SIP[BO UNIT TRANSFER],SIP[Investor ID],INVESTORS_LIST[[#This Row],[INVESTOR CODE]],SIP[B/S],"S")</f>
        <v>0</v>
      </c>
      <c r="Z298" s="106">
        <f>SUM(INVESTORS_LIST[[#This Row],[BO OPENING BALANCE]:[BO SIP UNITS REPURCHASE]])</f>
        <v>0</v>
      </c>
      <c r="AA298" s="107">
        <f>INVESTORS_LIST[[#This Row],[TOTAL UNITS BUY]]-INVESTORS_LIST[[#This Row],[TOTAL UNITS SOLD]]</f>
        <v>0</v>
      </c>
      <c r="AB298" s="107">
        <f>INVESTORS_LIST[[#This Row],[TOTAL CURRENT UNITS]]-INVESTORS_LIST[[#This Row],[BO UNITS HOLD]]</f>
        <v>0</v>
      </c>
      <c r="AC298" s="201" t="e">
        <f>INDEX([3]!Table_1[BO ID],MATCH(INVESTORS_LIST[[#This Row],[INVESTOR CODE]],[3]!Table_1[INVESTOR CODE],0))</f>
        <v>#REF!</v>
      </c>
      <c r="AD298" s="201" t="e">
        <f>INDEX([3]!Table_1[Brokerage Name2],MATCH(INVESTORS_LIST[[#This Row],[INVESTOR CODE]],[3]!Table_1[INVESTOR CODE],0))</f>
        <v>#REF!</v>
      </c>
      <c r="AE298" s="201" t="e">
        <f>MID(INVESTORS_LIST[[#This Row],[BO ID]],4,5)</f>
        <v>#REF!</v>
      </c>
      <c r="AF298" s="201" t="e">
        <f>MID(INVESTORS_LIST[[#This Row],[BO ID]],2,7)</f>
        <v>#REF!</v>
      </c>
      <c r="AG298" s="201" t="e">
        <f>MID(INVESTORS_LIST[[#This Row],[BO ID]],9,7)</f>
        <v>#REF!</v>
      </c>
      <c r="AH298" s="201" t="e">
        <f>RIGHT(INVESTORS_LIST[[#This Row],[BO ID]],1)</f>
        <v>#REF!</v>
      </c>
      <c r="AI298" s="50">
        <f>INVESTORS_LIST[[#This Row],[LS_TOTAL COST VALUE OF CURRENT UNITS]]+INVESTORS_LIST[[#This Row],[SIP_TOTAL COST VALUE OF CURRENT UNITS]]</f>
        <v>0</v>
      </c>
      <c r="AJ298" s="109">
        <f>IF(INVESTORS_LIST[[#This Row],[TOTAL CURRENT UNITS]]=0,0,INVESTORS_LIST[[#This Row],[LS_TOTAL CURRENT UNITS]]/INVESTORS_LIST[[#This Row],[TOTAL CURRENT UNITS]])</f>
        <v>0</v>
      </c>
      <c r="AK298" s="109">
        <f>IF(INVESTORS_LIST[[#This Row],[TOTAL CURRENT UNITS]]=0,0,INVESTORS_LIST[[#This Row],[SIP_TOTAL CURRENT UNITS]]/INVESTORS_LIST[[#This Row],[TOTAL CURRENT UNITS]])</f>
        <v>0</v>
      </c>
      <c r="AL298" s="49" cm="1">
        <f t="array" ref="AL2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8" s="49" cm="1">
        <f t="array" ref="AM2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8" s="105">
        <f t="shared" si="5"/>
        <v>14.224</v>
      </c>
      <c r="AP298" s="112">
        <f>IF(INVESTORS_LIST[[#This Row],[TOTAL CURRENT UNITS]]=0,0,INVESTORS_LIST[[#This Row],[TOTAL CURRENT UNITS]]*INVESTORS_LIST[[#This Row],[NAV]])</f>
        <v>0</v>
      </c>
      <c r="AQ298" s="49">
        <f>IF(INVESTORS_LIST[[#This Row],[LS_TOTAL CURRENT UNITS]]=0,0,INVESTORS_LIST[[#This Row],[LS_TOTAL CURRENT UNITS]]*INVESTORS_LIST[[#This Row],[NAV]])</f>
        <v>0</v>
      </c>
      <c r="AR298" s="48">
        <f>IF(INVESTORS_LIST[[#This Row],[SIP_TOTAL CURRENT UNITS]]=0,0,INVESTORS_LIST[[#This Row],[SIP_TOTAL CURRENT UNITS]]*INVESTORS_LIST[[#This Row],[NAV]])</f>
        <v>0</v>
      </c>
      <c r="AS298" s="50">
        <f>INVESTORS_LIST[[#This Row],[TOTAL CURRENT UNITS]]</f>
        <v>0</v>
      </c>
      <c r="AT298" s="48">
        <f>IF(INVESTORS_LIST[[#This Row],[TOTAL SELLABLE UNITS]]=0,0,INVESTORS_LIST[[#This Row],[TOTAL SELLABLE UNITS]]*INVESTORS_LIST[[#This Row],[NAV]])</f>
        <v>0</v>
      </c>
      <c r="AU298" s="48">
        <f>INVESTORS_LIST[[#This Row],[LS_TOTAL REALIZED GAIN]]+INVESTORS_LIST[[#This Row],[SIP_TOTAL REALIZED GAIN]]</f>
        <v>0</v>
      </c>
      <c r="AV298" s="48">
        <f>INVESTORS_LIST[[#This Row],[TOTAL MARKET VALUE]]-INVESTORS_LIST[[#This Row],[TOTAL COST VALUE OF CURRENT INVESTMENT]]</f>
        <v>0</v>
      </c>
      <c r="AW298" s="48">
        <f>IFERROR(INVESTORS_LIST[[#This Row],[TOTAL CURRENT UNITS]]/SUM(INVESTORS_LIST[TOTAL CURRENT UNITS]),0)</f>
        <v>0</v>
      </c>
    </row>
    <row r="299" spans="1:49" hidden="1">
      <c r="A299" s="262" t="s">
        <v>645</v>
      </c>
      <c r="B299" s="97" t="s">
        <v>646</v>
      </c>
      <c r="C299" t="s">
        <v>44</v>
      </c>
      <c r="D299" s="75" t="s">
        <v>45</v>
      </c>
      <c r="E299" s="47">
        <f>SUMIFS(LS[Unit],LS[Investor ID],INVESTORS_LIST[[#This Row],[INVESTOR CODE]],LS[B/S],"B")</f>
        <v>0</v>
      </c>
      <c r="F299" s="47">
        <f>-SUMIFS(LS[Unit],LS[Investor ID],INVESTORS_LIST[[#This Row],[INVESTOR CODE]],LS[B/S],"S")</f>
        <v>0</v>
      </c>
      <c r="G299" s="47">
        <f>IF(INVESTORS_LIST[[#This Row],[LS_TOTAL UNITS BUY]]=0,0,INVESTORS_LIST[[#This Row],[LS_TOTAL UNITS BUY]]-INVESTORS_LIST[[#This Row],[LS_TOTAL UNITS SOLD]])</f>
        <v>0</v>
      </c>
      <c r="H299" s="49">
        <f>IF(INVESTORS_LIST[[#This Row],[LS_TOTAL UNITS BUY]]=0,0,SUMIFS(LS[Amount],LS[Investor ID],INVESTORS_LIST[[#This Row],[INVESTOR CODE]],LS[B/S],"B"))</f>
        <v>0</v>
      </c>
      <c r="I299" s="48">
        <f>IF(INVESTORS_LIST[[#This Row],[LS_TOTAL UNITS SOLD]]=0,0,SUMIFS(LS[Cost of Units Sold],LS[Investor ID],INVESTORS_LIST[[#This Row],[INVESTOR CODE]],LS[B/S],"S"))</f>
        <v>0</v>
      </c>
      <c r="J299" s="48">
        <f>IF(INVESTORS_LIST[[#This Row],[LS_TOTAL CURRENT UNITS]]=0,0,INVESTORS_LIST[[#This Row],[LS_TOTAL CURRENT UNITS]]*INVESTORS_LIST[[#This Row],[LS_AVERAGE COST]])</f>
        <v>0</v>
      </c>
      <c r="K299" s="49">
        <f>IF(INVESTORS_LIST[[#This Row],[LS_TOTAL UNITS SOLD]]=0,0,SUMIFS(LS[Realized Gain],LS[Investor ID],INVESTORS_LIST[[#This Row],[INVESTOR CODE]],LS[B/S],"S"))</f>
        <v>0</v>
      </c>
      <c r="L299" s="47">
        <f>SUMIFS(SIP[Unit],SIP[Investor ID],INVESTORS_LIST[[#This Row],[INVESTOR CODE]],SIP[B/S],"B")</f>
        <v>0</v>
      </c>
      <c r="M299" s="47">
        <f>-SUMIFS(SIP[Unit],SIP[Investor ID],INVESTORS_LIST[[#This Row],[INVESTOR CODE]],SIP[B/S],"S")</f>
        <v>0</v>
      </c>
      <c r="N299" s="50">
        <f>IF(INVESTORS_LIST[[#This Row],[SIP_TOTAL UNITS BUY]]=0,0,INVESTORS_LIST[[#This Row],[SIP_TOTAL UNITS BUY]]-INVESTORS_LIST[[#This Row],[SIP_TOTAL UNITS SOLD]])</f>
        <v>0</v>
      </c>
      <c r="O299" s="49">
        <f>IF(INVESTORS_LIST[[#This Row],[SIP_TOTAL UNITS BUY]]=0,0,SUMIFS(SIP[Amount],SIP[Investor ID],INVESTORS_LIST[[#This Row],[INVESTOR CODE]],SIP[B/S],"B"))</f>
        <v>0</v>
      </c>
      <c r="P299" s="49">
        <f>IF(INVESTORS_LIST[[#This Row],[SIP_TOTAL UNITS SOLD]]=0,0,SUMIFS(SIP[Cost of Units Sold],SIP[Investor ID],INVESTORS_LIST[[#This Row],[INVESTOR CODE]],SIP[B/S],"S"))</f>
        <v>0</v>
      </c>
      <c r="Q299" s="48">
        <f>IF(INVESTORS_LIST[[#This Row],[SIP_TOTAL CURRENT UNITS]]=0,0,INVESTORS_LIST[[#This Row],[SIP_TOTAL CURRENT UNITS]]*INVESTORS_LIST[[#This Row],[SIP_AVERAGE COST]])</f>
        <v>0</v>
      </c>
      <c r="R299" s="48">
        <f>IF(INVESTORS_LIST[[#This Row],[SIP_TOTAL UNITS SOLD]]=0,0,SUMIFS(SIP[Realized Gain],SIP[Investor ID],INVESTORS_LIST[[#This Row],[INVESTOR CODE]],SIP[B/S],"S"))</f>
        <v>0</v>
      </c>
      <c r="S299" s="50">
        <f>INVESTORS_LIST[[#This Row],[LS_TOTAL UNITS BUY]]+INVESTORS_LIST[[#This Row],[SIP_TOTAL UNITS BUY]]</f>
        <v>0</v>
      </c>
      <c r="T299" s="50">
        <f>INVESTORS_LIST[[#This Row],[LS_TOTAL UNITS SOLD]]+INVESTORS_LIST[[#This Row],[SIP_TOTAL UNITS SOLD]]</f>
        <v>0</v>
      </c>
      <c r="U299" s="50"/>
      <c r="V299" s="50">
        <f>SUMIFS(LS[BO UNIT TRANSFER],LS[Investor ID],INVESTORS_LIST[[#This Row],[INVESTOR CODE]],LS[B/S],"B")</f>
        <v>0</v>
      </c>
      <c r="W299" s="50">
        <f>SUMIFS(SIP[BO UNIT TRANSFER],SIP[Investor ID],INVESTORS_LIST[[#This Row],[INVESTOR CODE]],SIP[B/S],"B")</f>
        <v>0</v>
      </c>
      <c r="X299" s="50">
        <f>SUMIFS(LS[BO UNIT TRANSFER],LS[Investor ID],INVESTORS_LIST[[#This Row],[INVESTOR CODE]],LS[B/S],"S")</f>
        <v>0</v>
      </c>
      <c r="Y299" s="50">
        <f>SUMIFS(SIP[BO UNIT TRANSFER],SIP[Investor ID],INVESTORS_LIST[[#This Row],[INVESTOR CODE]],SIP[B/S],"S")</f>
        <v>0</v>
      </c>
      <c r="Z299" s="106">
        <f>SUM(INVESTORS_LIST[[#This Row],[BO OPENING BALANCE]:[BO SIP UNITS REPURCHASE]])</f>
        <v>0</v>
      </c>
      <c r="AA299" s="107">
        <f>INVESTORS_LIST[[#This Row],[TOTAL UNITS BUY]]-INVESTORS_LIST[[#This Row],[TOTAL UNITS SOLD]]</f>
        <v>0</v>
      </c>
      <c r="AB299" s="107">
        <f>INVESTORS_LIST[[#This Row],[TOTAL CURRENT UNITS]]-INVESTORS_LIST[[#This Row],[BO UNITS HOLD]]</f>
        <v>0</v>
      </c>
      <c r="AC299" s="201" t="e">
        <f>INDEX([3]!Table_1[BO ID],MATCH(INVESTORS_LIST[[#This Row],[INVESTOR CODE]],[3]!Table_1[INVESTOR CODE],0))</f>
        <v>#REF!</v>
      </c>
      <c r="AD299" s="201" t="e">
        <f>INDEX([3]!Table_1[Brokerage Name2],MATCH(INVESTORS_LIST[[#This Row],[INVESTOR CODE]],[3]!Table_1[INVESTOR CODE],0))</f>
        <v>#REF!</v>
      </c>
      <c r="AE299" s="201" t="e">
        <f>MID(INVESTORS_LIST[[#This Row],[BO ID]],4,5)</f>
        <v>#REF!</v>
      </c>
      <c r="AF299" s="201" t="e">
        <f>MID(INVESTORS_LIST[[#This Row],[BO ID]],2,7)</f>
        <v>#REF!</v>
      </c>
      <c r="AG299" s="201" t="e">
        <f>MID(INVESTORS_LIST[[#This Row],[BO ID]],9,7)</f>
        <v>#REF!</v>
      </c>
      <c r="AH299" s="201" t="e">
        <f>RIGHT(INVESTORS_LIST[[#This Row],[BO ID]],1)</f>
        <v>#REF!</v>
      </c>
      <c r="AI299" s="50">
        <f>INVESTORS_LIST[[#This Row],[LS_TOTAL COST VALUE OF CURRENT UNITS]]+INVESTORS_LIST[[#This Row],[SIP_TOTAL COST VALUE OF CURRENT UNITS]]</f>
        <v>0</v>
      </c>
      <c r="AJ299" s="109">
        <f>IF(INVESTORS_LIST[[#This Row],[TOTAL CURRENT UNITS]]=0,0,INVESTORS_LIST[[#This Row],[LS_TOTAL CURRENT UNITS]]/INVESTORS_LIST[[#This Row],[TOTAL CURRENT UNITS]])</f>
        <v>0</v>
      </c>
      <c r="AK299" s="109">
        <f>IF(INVESTORS_LIST[[#This Row],[TOTAL CURRENT UNITS]]=0,0,INVESTORS_LIST[[#This Row],[SIP_TOTAL CURRENT UNITS]]/INVESTORS_LIST[[#This Row],[TOTAL CURRENT UNITS]])</f>
        <v>0</v>
      </c>
      <c r="AL299" s="49" cm="1">
        <f t="array" ref="AL2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299" s="49" cm="1">
        <f t="array" ref="AM2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2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299" s="105">
        <f t="shared" si="5"/>
        <v>14.224</v>
      </c>
      <c r="AP299" s="112">
        <f>IF(INVESTORS_LIST[[#This Row],[TOTAL CURRENT UNITS]]=0,0,INVESTORS_LIST[[#This Row],[TOTAL CURRENT UNITS]]*INVESTORS_LIST[[#This Row],[NAV]])</f>
        <v>0</v>
      </c>
      <c r="AQ299" s="49">
        <f>IF(INVESTORS_LIST[[#This Row],[LS_TOTAL CURRENT UNITS]]=0,0,INVESTORS_LIST[[#This Row],[LS_TOTAL CURRENT UNITS]]*INVESTORS_LIST[[#This Row],[NAV]])</f>
        <v>0</v>
      </c>
      <c r="AR299" s="48">
        <f>IF(INVESTORS_LIST[[#This Row],[SIP_TOTAL CURRENT UNITS]]=0,0,INVESTORS_LIST[[#This Row],[SIP_TOTAL CURRENT UNITS]]*INVESTORS_LIST[[#This Row],[NAV]])</f>
        <v>0</v>
      </c>
      <c r="AS299" s="50">
        <f>INVESTORS_LIST[[#This Row],[TOTAL CURRENT UNITS]]</f>
        <v>0</v>
      </c>
      <c r="AT299" s="48">
        <f>IF(INVESTORS_LIST[[#This Row],[TOTAL SELLABLE UNITS]]=0,0,INVESTORS_LIST[[#This Row],[TOTAL SELLABLE UNITS]]*INVESTORS_LIST[[#This Row],[NAV]])</f>
        <v>0</v>
      </c>
      <c r="AU299" s="48">
        <f>INVESTORS_LIST[[#This Row],[LS_TOTAL REALIZED GAIN]]+INVESTORS_LIST[[#This Row],[SIP_TOTAL REALIZED GAIN]]</f>
        <v>0</v>
      </c>
      <c r="AV299" s="48">
        <f>INVESTORS_LIST[[#This Row],[TOTAL MARKET VALUE]]-INVESTORS_LIST[[#This Row],[TOTAL COST VALUE OF CURRENT INVESTMENT]]</f>
        <v>0</v>
      </c>
      <c r="AW299" s="48">
        <f>IFERROR(INVESTORS_LIST[[#This Row],[TOTAL CURRENT UNITS]]/SUM(INVESTORS_LIST[TOTAL CURRENT UNITS]),0)</f>
        <v>0</v>
      </c>
    </row>
    <row r="300" spans="1:49" hidden="1">
      <c r="A300" s="262" t="s">
        <v>647</v>
      </c>
      <c r="B300" s="97" t="s">
        <v>648</v>
      </c>
      <c r="C300" t="s">
        <v>538</v>
      </c>
      <c r="D300" s="75" t="s">
        <v>45</v>
      </c>
      <c r="E300" s="47">
        <f>SUMIFS(LS[Unit],LS[Investor ID],INVESTORS_LIST[[#This Row],[INVESTOR CODE]],LS[B/S],"B")</f>
        <v>0</v>
      </c>
      <c r="F300" s="47">
        <f>-SUMIFS(LS[Unit],LS[Investor ID],INVESTORS_LIST[[#This Row],[INVESTOR CODE]],LS[B/S],"S")</f>
        <v>0</v>
      </c>
      <c r="G300" s="47">
        <f>IF(INVESTORS_LIST[[#This Row],[LS_TOTAL UNITS BUY]]=0,0,INVESTORS_LIST[[#This Row],[LS_TOTAL UNITS BUY]]-INVESTORS_LIST[[#This Row],[LS_TOTAL UNITS SOLD]])</f>
        <v>0</v>
      </c>
      <c r="H300" s="49">
        <f>IF(INVESTORS_LIST[[#This Row],[LS_TOTAL UNITS BUY]]=0,0,SUMIFS(LS[Amount],LS[Investor ID],INVESTORS_LIST[[#This Row],[INVESTOR CODE]],LS[B/S],"B"))</f>
        <v>0</v>
      </c>
      <c r="I300" s="48">
        <f>IF(INVESTORS_LIST[[#This Row],[LS_TOTAL UNITS SOLD]]=0,0,SUMIFS(LS[Cost of Units Sold],LS[Investor ID],INVESTORS_LIST[[#This Row],[INVESTOR CODE]],LS[B/S],"S"))</f>
        <v>0</v>
      </c>
      <c r="J300" s="48">
        <f>IF(INVESTORS_LIST[[#This Row],[LS_TOTAL CURRENT UNITS]]=0,0,INVESTORS_LIST[[#This Row],[LS_TOTAL CURRENT UNITS]]*INVESTORS_LIST[[#This Row],[LS_AVERAGE COST]])</f>
        <v>0</v>
      </c>
      <c r="K300" s="49">
        <f>IF(INVESTORS_LIST[[#This Row],[LS_TOTAL UNITS SOLD]]=0,0,SUMIFS(LS[Realized Gain],LS[Investor ID],INVESTORS_LIST[[#This Row],[INVESTOR CODE]],LS[B/S],"S"))</f>
        <v>0</v>
      </c>
      <c r="L300" s="47">
        <f>SUMIFS(SIP[Unit],SIP[Investor ID],INVESTORS_LIST[[#This Row],[INVESTOR CODE]],SIP[B/S],"B")</f>
        <v>0</v>
      </c>
      <c r="M300" s="47">
        <f>-SUMIFS(SIP[Unit],SIP[Investor ID],INVESTORS_LIST[[#This Row],[INVESTOR CODE]],SIP[B/S],"S")</f>
        <v>0</v>
      </c>
      <c r="N300" s="50">
        <f>IF(INVESTORS_LIST[[#This Row],[SIP_TOTAL UNITS BUY]]=0,0,INVESTORS_LIST[[#This Row],[SIP_TOTAL UNITS BUY]]-INVESTORS_LIST[[#This Row],[SIP_TOTAL UNITS SOLD]])</f>
        <v>0</v>
      </c>
      <c r="O300" s="49">
        <f>IF(INVESTORS_LIST[[#This Row],[SIP_TOTAL UNITS BUY]]=0,0,SUMIFS(SIP[Amount],SIP[Investor ID],INVESTORS_LIST[[#This Row],[INVESTOR CODE]],SIP[B/S],"B"))</f>
        <v>0</v>
      </c>
      <c r="P300" s="49">
        <f>IF(INVESTORS_LIST[[#This Row],[SIP_TOTAL UNITS SOLD]]=0,0,SUMIFS(SIP[Cost of Units Sold],SIP[Investor ID],INVESTORS_LIST[[#This Row],[INVESTOR CODE]],SIP[B/S],"S"))</f>
        <v>0</v>
      </c>
      <c r="Q300" s="48">
        <f>IF(INVESTORS_LIST[[#This Row],[SIP_TOTAL CURRENT UNITS]]=0,0,INVESTORS_LIST[[#This Row],[SIP_TOTAL CURRENT UNITS]]*INVESTORS_LIST[[#This Row],[SIP_AVERAGE COST]])</f>
        <v>0</v>
      </c>
      <c r="R300" s="48">
        <f>IF(INVESTORS_LIST[[#This Row],[SIP_TOTAL UNITS SOLD]]=0,0,SUMIFS(SIP[Realized Gain],SIP[Investor ID],INVESTORS_LIST[[#This Row],[INVESTOR CODE]],SIP[B/S],"S"))</f>
        <v>0</v>
      </c>
      <c r="S300" s="50">
        <f>INVESTORS_LIST[[#This Row],[LS_TOTAL UNITS BUY]]+INVESTORS_LIST[[#This Row],[SIP_TOTAL UNITS BUY]]</f>
        <v>0</v>
      </c>
      <c r="T300" s="50">
        <f>INVESTORS_LIST[[#This Row],[LS_TOTAL UNITS SOLD]]+INVESTORS_LIST[[#This Row],[SIP_TOTAL UNITS SOLD]]</f>
        <v>0</v>
      </c>
      <c r="U300" s="50"/>
      <c r="V300" s="50">
        <f>SUMIFS(LS[BO UNIT TRANSFER],LS[Investor ID],INVESTORS_LIST[[#This Row],[INVESTOR CODE]],LS[B/S],"B")</f>
        <v>0</v>
      </c>
      <c r="W300" s="50">
        <f>SUMIFS(SIP[BO UNIT TRANSFER],SIP[Investor ID],INVESTORS_LIST[[#This Row],[INVESTOR CODE]],SIP[B/S],"B")</f>
        <v>0</v>
      </c>
      <c r="X300" s="50">
        <f>SUMIFS(LS[BO UNIT TRANSFER],LS[Investor ID],INVESTORS_LIST[[#This Row],[INVESTOR CODE]],LS[B/S],"S")</f>
        <v>0</v>
      </c>
      <c r="Y300" s="50">
        <f>SUMIFS(SIP[BO UNIT TRANSFER],SIP[Investor ID],INVESTORS_LIST[[#This Row],[INVESTOR CODE]],SIP[B/S],"S")</f>
        <v>0</v>
      </c>
      <c r="Z300" s="106">
        <f>SUM(INVESTORS_LIST[[#This Row],[BO OPENING BALANCE]:[BO SIP UNITS REPURCHASE]])</f>
        <v>0</v>
      </c>
      <c r="AA300" s="107">
        <f>INVESTORS_LIST[[#This Row],[TOTAL UNITS BUY]]-INVESTORS_LIST[[#This Row],[TOTAL UNITS SOLD]]</f>
        <v>0</v>
      </c>
      <c r="AB300" s="107">
        <f>INVESTORS_LIST[[#This Row],[TOTAL CURRENT UNITS]]-INVESTORS_LIST[[#This Row],[BO UNITS HOLD]]</f>
        <v>0</v>
      </c>
      <c r="AC300" s="201" t="e">
        <f>INDEX([3]!Table_1[BO ID],MATCH(INVESTORS_LIST[[#This Row],[INVESTOR CODE]],[3]!Table_1[INVESTOR CODE],0))</f>
        <v>#REF!</v>
      </c>
      <c r="AD300" s="201" t="e">
        <f>INDEX([3]!Table_1[Brokerage Name2],MATCH(INVESTORS_LIST[[#This Row],[INVESTOR CODE]],[3]!Table_1[INVESTOR CODE],0))</f>
        <v>#REF!</v>
      </c>
      <c r="AE300" s="201" t="e">
        <f>MID(INVESTORS_LIST[[#This Row],[BO ID]],4,5)</f>
        <v>#REF!</v>
      </c>
      <c r="AF300" s="201" t="e">
        <f>MID(INVESTORS_LIST[[#This Row],[BO ID]],2,7)</f>
        <v>#REF!</v>
      </c>
      <c r="AG300" s="201" t="e">
        <f>MID(INVESTORS_LIST[[#This Row],[BO ID]],9,7)</f>
        <v>#REF!</v>
      </c>
      <c r="AH300" s="201" t="e">
        <f>RIGHT(INVESTORS_LIST[[#This Row],[BO ID]],1)</f>
        <v>#REF!</v>
      </c>
      <c r="AI300" s="50">
        <f>INVESTORS_LIST[[#This Row],[LS_TOTAL COST VALUE OF CURRENT UNITS]]+INVESTORS_LIST[[#This Row],[SIP_TOTAL COST VALUE OF CURRENT UNITS]]</f>
        <v>0</v>
      </c>
      <c r="AJ300" s="109">
        <f>IF(INVESTORS_LIST[[#This Row],[TOTAL CURRENT UNITS]]=0,0,INVESTORS_LIST[[#This Row],[LS_TOTAL CURRENT UNITS]]/INVESTORS_LIST[[#This Row],[TOTAL CURRENT UNITS]])</f>
        <v>0</v>
      </c>
      <c r="AK300" s="109">
        <f>IF(INVESTORS_LIST[[#This Row],[TOTAL CURRENT UNITS]]=0,0,INVESTORS_LIST[[#This Row],[SIP_TOTAL CURRENT UNITS]]/INVESTORS_LIST[[#This Row],[TOTAL CURRENT UNITS]])</f>
        <v>0</v>
      </c>
      <c r="AL300" s="49" cm="1">
        <f t="array" ref="AL3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0" s="49" cm="1">
        <f t="array" ref="AM3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0" s="105">
        <f t="shared" si="5"/>
        <v>14.224</v>
      </c>
      <c r="AP300" s="112">
        <f>IF(INVESTORS_LIST[[#This Row],[TOTAL CURRENT UNITS]]=0,0,INVESTORS_LIST[[#This Row],[TOTAL CURRENT UNITS]]*INVESTORS_LIST[[#This Row],[NAV]])</f>
        <v>0</v>
      </c>
      <c r="AQ300" s="49">
        <f>IF(INVESTORS_LIST[[#This Row],[LS_TOTAL CURRENT UNITS]]=0,0,INVESTORS_LIST[[#This Row],[LS_TOTAL CURRENT UNITS]]*INVESTORS_LIST[[#This Row],[NAV]])</f>
        <v>0</v>
      </c>
      <c r="AR300" s="48">
        <f>IF(INVESTORS_LIST[[#This Row],[SIP_TOTAL CURRENT UNITS]]=0,0,INVESTORS_LIST[[#This Row],[SIP_TOTAL CURRENT UNITS]]*INVESTORS_LIST[[#This Row],[NAV]])</f>
        <v>0</v>
      </c>
      <c r="AS300" s="50">
        <f>INVESTORS_LIST[[#This Row],[TOTAL CURRENT UNITS]]</f>
        <v>0</v>
      </c>
      <c r="AT300" s="48">
        <f>IF(INVESTORS_LIST[[#This Row],[TOTAL SELLABLE UNITS]]=0,0,INVESTORS_LIST[[#This Row],[TOTAL SELLABLE UNITS]]*INVESTORS_LIST[[#This Row],[NAV]])</f>
        <v>0</v>
      </c>
      <c r="AU300" s="48">
        <f>INVESTORS_LIST[[#This Row],[LS_TOTAL REALIZED GAIN]]+INVESTORS_LIST[[#This Row],[SIP_TOTAL REALIZED GAIN]]</f>
        <v>0</v>
      </c>
      <c r="AV300" s="48">
        <f>INVESTORS_LIST[[#This Row],[TOTAL MARKET VALUE]]-INVESTORS_LIST[[#This Row],[TOTAL COST VALUE OF CURRENT INVESTMENT]]</f>
        <v>0</v>
      </c>
      <c r="AW300" s="48">
        <f>IFERROR(INVESTORS_LIST[[#This Row],[TOTAL CURRENT UNITS]]/SUM(INVESTORS_LIST[TOTAL CURRENT UNITS]),0)</f>
        <v>0</v>
      </c>
    </row>
    <row r="301" spans="1:49" hidden="1">
      <c r="A301" s="262" t="s">
        <v>649</v>
      </c>
      <c r="B301" s="97" t="s">
        <v>650</v>
      </c>
      <c r="C301" t="s">
        <v>67</v>
      </c>
      <c r="D301" s="75" t="s">
        <v>45</v>
      </c>
      <c r="E301" s="47">
        <f>SUMIFS(LS[Unit],LS[Investor ID],INVESTORS_LIST[[#This Row],[INVESTOR CODE]],LS[B/S],"B")</f>
        <v>0</v>
      </c>
      <c r="F301" s="47">
        <f>-SUMIFS(LS[Unit],LS[Investor ID],INVESTORS_LIST[[#This Row],[INVESTOR CODE]],LS[B/S],"S")</f>
        <v>0</v>
      </c>
      <c r="G301" s="47">
        <f>IF(INVESTORS_LIST[[#This Row],[LS_TOTAL UNITS BUY]]=0,0,INVESTORS_LIST[[#This Row],[LS_TOTAL UNITS BUY]]-INVESTORS_LIST[[#This Row],[LS_TOTAL UNITS SOLD]])</f>
        <v>0</v>
      </c>
      <c r="H301" s="49">
        <f>IF(INVESTORS_LIST[[#This Row],[LS_TOTAL UNITS BUY]]=0,0,SUMIFS(LS[Amount],LS[Investor ID],INVESTORS_LIST[[#This Row],[INVESTOR CODE]],LS[B/S],"B"))</f>
        <v>0</v>
      </c>
      <c r="I301" s="48">
        <f>IF(INVESTORS_LIST[[#This Row],[LS_TOTAL UNITS SOLD]]=0,0,SUMIFS(LS[Cost of Units Sold],LS[Investor ID],INVESTORS_LIST[[#This Row],[INVESTOR CODE]],LS[B/S],"S"))</f>
        <v>0</v>
      </c>
      <c r="J301" s="48">
        <f>IF(INVESTORS_LIST[[#This Row],[LS_TOTAL CURRENT UNITS]]=0,0,INVESTORS_LIST[[#This Row],[LS_TOTAL CURRENT UNITS]]*INVESTORS_LIST[[#This Row],[LS_AVERAGE COST]])</f>
        <v>0</v>
      </c>
      <c r="K301" s="49">
        <f>IF(INVESTORS_LIST[[#This Row],[LS_TOTAL UNITS SOLD]]=0,0,SUMIFS(LS[Realized Gain],LS[Investor ID],INVESTORS_LIST[[#This Row],[INVESTOR CODE]],LS[B/S],"S"))</f>
        <v>0</v>
      </c>
      <c r="L301" s="47">
        <f>SUMIFS(SIP[Unit],SIP[Investor ID],INVESTORS_LIST[[#This Row],[INVESTOR CODE]],SIP[B/S],"B")</f>
        <v>0</v>
      </c>
      <c r="M301" s="47">
        <f>-SUMIFS(SIP[Unit],SIP[Investor ID],INVESTORS_LIST[[#This Row],[INVESTOR CODE]],SIP[B/S],"S")</f>
        <v>0</v>
      </c>
      <c r="N301" s="50">
        <f>IF(INVESTORS_LIST[[#This Row],[SIP_TOTAL UNITS BUY]]=0,0,INVESTORS_LIST[[#This Row],[SIP_TOTAL UNITS BUY]]-INVESTORS_LIST[[#This Row],[SIP_TOTAL UNITS SOLD]])</f>
        <v>0</v>
      </c>
      <c r="O301" s="49">
        <f>IF(INVESTORS_LIST[[#This Row],[SIP_TOTAL UNITS BUY]]=0,0,SUMIFS(SIP[Amount],SIP[Investor ID],INVESTORS_LIST[[#This Row],[INVESTOR CODE]],SIP[B/S],"B"))</f>
        <v>0</v>
      </c>
      <c r="P301" s="49">
        <f>IF(INVESTORS_LIST[[#This Row],[SIP_TOTAL UNITS SOLD]]=0,0,SUMIFS(SIP[Cost of Units Sold],SIP[Investor ID],INVESTORS_LIST[[#This Row],[INVESTOR CODE]],SIP[B/S],"S"))</f>
        <v>0</v>
      </c>
      <c r="Q301" s="48">
        <f>IF(INVESTORS_LIST[[#This Row],[SIP_TOTAL CURRENT UNITS]]=0,0,INVESTORS_LIST[[#This Row],[SIP_TOTAL CURRENT UNITS]]*INVESTORS_LIST[[#This Row],[SIP_AVERAGE COST]])</f>
        <v>0</v>
      </c>
      <c r="R301" s="48">
        <f>IF(INVESTORS_LIST[[#This Row],[SIP_TOTAL UNITS SOLD]]=0,0,SUMIFS(SIP[Realized Gain],SIP[Investor ID],INVESTORS_LIST[[#This Row],[INVESTOR CODE]],SIP[B/S],"S"))</f>
        <v>0</v>
      </c>
      <c r="S301" s="50">
        <f>INVESTORS_LIST[[#This Row],[LS_TOTAL UNITS BUY]]+INVESTORS_LIST[[#This Row],[SIP_TOTAL UNITS BUY]]</f>
        <v>0</v>
      </c>
      <c r="T301" s="50">
        <f>INVESTORS_LIST[[#This Row],[LS_TOTAL UNITS SOLD]]+INVESTORS_LIST[[#This Row],[SIP_TOTAL UNITS SOLD]]</f>
        <v>0</v>
      </c>
      <c r="U301" s="50"/>
      <c r="V301" s="50">
        <f>SUMIFS(LS[BO UNIT TRANSFER],LS[Investor ID],INVESTORS_LIST[[#This Row],[INVESTOR CODE]],LS[B/S],"B")</f>
        <v>0</v>
      </c>
      <c r="W301" s="50">
        <f>SUMIFS(SIP[BO UNIT TRANSFER],SIP[Investor ID],INVESTORS_LIST[[#This Row],[INVESTOR CODE]],SIP[B/S],"B")</f>
        <v>0</v>
      </c>
      <c r="X301" s="50">
        <f>SUMIFS(LS[BO UNIT TRANSFER],LS[Investor ID],INVESTORS_LIST[[#This Row],[INVESTOR CODE]],LS[B/S],"S")</f>
        <v>0</v>
      </c>
      <c r="Y301" s="50">
        <f>SUMIFS(SIP[BO UNIT TRANSFER],SIP[Investor ID],INVESTORS_LIST[[#This Row],[INVESTOR CODE]],SIP[B/S],"S")</f>
        <v>0</v>
      </c>
      <c r="Z301" s="106">
        <f>SUM(INVESTORS_LIST[[#This Row],[BO OPENING BALANCE]:[BO SIP UNITS REPURCHASE]])</f>
        <v>0</v>
      </c>
      <c r="AA301" s="107">
        <f>INVESTORS_LIST[[#This Row],[TOTAL UNITS BUY]]-INVESTORS_LIST[[#This Row],[TOTAL UNITS SOLD]]</f>
        <v>0</v>
      </c>
      <c r="AB301" s="107">
        <f>INVESTORS_LIST[[#This Row],[TOTAL CURRENT UNITS]]-INVESTORS_LIST[[#This Row],[BO UNITS HOLD]]</f>
        <v>0</v>
      </c>
      <c r="AC301" s="201" t="e">
        <f>INDEX([3]!Table_1[BO ID],MATCH(INVESTORS_LIST[[#This Row],[INVESTOR CODE]],[3]!Table_1[INVESTOR CODE],0))</f>
        <v>#REF!</v>
      </c>
      <c r="AD301" s="201" t="e">
        <f>INDEX([3]!Table_1[Brokerage Name2],MATCH(INVESTORS_LIST[[#This Row],[INVESTOR CODE]],[3]!Table_1[INVESTOR CODE],0))</f>
        <v>#REF!</v>
      </c>
      <c r="AE301" s="201" t="e">
        <f>MID(INVESTORS_LIST[[#This Row],[BO ID]],4,5)</f>
        <v>#REF!</v>
      </c>
      <c r="AF301" s="201" t="e">
        <f>MID(INVESTORS_LIST[[#This Row],[BO ID]],2,7)</f>
        <v>#REF!</v>
      </c>
      <c r="AG301" s="201" t="e">
        <f>MID(INVESTORS_LIST[[#This Row],[BO ID]],9,7)</f>
        <v>#REF!</v>
      </c>
      <c r="AH301" s="201" t="e">
        <f>RIGHT(INVESTORS_LIST[[#This Row],[BO ID]],1)</f>
        <v>#REF!</v>
      </c>
      <c r="AI301" s="50">
        <f>INVESTORS_LIST[[#This Row],[LS_TOTAL COST VALUE OF CURRENT UNITS]]+INVESTORS_LIST[[#This Row],[SIP_TOTAL COST VALUE OF CURRENT UNITS]]</f>
        <v>0</v>
      </c>
      <c r="AJ301" s="109">
        <f>IF(INVESTORS_LIST[[#This Row],[TOTAL CURRENT UNITS]]=0,0,INVESTORS_LIST[[#This Row],[LS_TOTAL CURRENT UNITS]]/INVESTORS_LIST[[#This Row],[TOTAL CURRENT UNITS]])</f>
        <v>0</v>
      </c>
      <c r="AK301" s="109">
        <f>IF(INVESTORS_LIST[[#This Row],[TOTAL CURRENT UNITS]]=0,0,INVESTORS_LIST[[#This Row],[SIP_TOTAL CURRENT UNITS]]/INVESTORS_LIST[[#This Row],[TOTAL CURRENT UNITS]])</f>
        <v>0</v>
      </c>
      <c r="AL301" s="49" cm="1">
        <f t="array" ref="AL3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1" s="49" cm="1">
        <f t="array" ref="AM3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1" s="105">
        <f t="shared" si="5"/>
        <v>14.224</v>
      </c>
      <c r="AP301" s="112">
        <f>IF(INVESTORS_LIST[[#This Row],[TOTAL CURRENT UNITS]]=0,0,INVESTORS_LIST[[#This Row],[TOTAL CURRENT UNITS]]*INVESTORS_LIST[[#This Row],[NAV]])</f>
        <v>0</v>
      </c>
      <c r="AQ301" s="49">
        <f>IF(INVESTORS_LIST[[#This Row],[LS_TOTAL CURRENT UNITS]]=0,0,INVESTORS_LIST[[#This Row],[LS_TOTAL CURRENT UNITS]]*INVESTORS_LIST[[#This Row],[NAV]])</f>
        <v>0</v>
      </c>
      <c r="AR301" s="48">
        <f>IF(INVESTORS_LIST[[#This Row],[SIP_TOTAL CURRENT UNITS]]=0,0,INVESTORS_LIST[[#This Row],[SIP_TOTAL CURRENT UNITS]]*INVESTORS_LIST[[#This Row],[NAV]])</f>
        <v>0</v>
      </c>
      <c r="AS301" s="50">
        <f>INVESTORS_LIST[[#This Row],[TOTAL CURRENT UNITS]]</f>
        <v>0</v>
      </c>
      <c r="AT301" s="48">
        <f>IF(INVESTORS_LIST[[#This Row],[TOTAL SELLABLE UNITS]]=0,0,INVESTORS_LIST[[#This Row],[TOTAL SELLABLE UNITS]]*INVESTORS_LIST[[#This Row],[NAV]])</f>
        <v>0</v>
      </c>
      <c r="AU301" s="48">
        <f>INVESTORS_LIST[[#This Row],[LS_TOTAL REALIZED GAIN]]+INVESTORS_LIST[[#This Row],[SIP_TOTAL REALIZED GAIN]]</f>
        <v>0</v>
      </c>
      <c r="AV301" s="48">
        <f>INVESTORS_LIST[[#This Row],[TOTAL MARKET VALUE]]-INVESTORS_LIST[[#This Row],[TOTAL COST VALUE OF CURRENT INVESTMENT]]</f>
        <v>0</v>
      </c>
      <c r="AW301" s="48">
        <f>IFERROR(INVESTORS_LIST[[#This Row],[TOTAL CURRENT UNITS]]/SUM(INVESTORS_LIST[TOTAL CURRENT UNITS]),0)</f>
        <v>0</v>
      </c>
    </row>
    <row r="302" spans="1:49">
      <c r="A302" s="262" t="s">
        <v>651</v>
      </c>
      <c r="B302" s="97" t="s">
        <v>652</v>
      </c>
      <c r="C302" t="s">
        <v>44</v>
      </c>
      <c r="D302" s="75" t="s">
        <v>45</v>
      </c>
      <c r="E302" s="47">
        <f>SUMIFS(LS[Unit],LS[Investor ID],INVESTORS_LIST[[#This Row],[INVESTOR CODE]],LS[B/S],"B")</f>
        <v>107376</v>
      </c>
      <c r="F302" s="47">
        <f>-SUMIFS(LS[Unit],LS[Investor ID],INVESTORS_LIST[[#This Row],[INVESTOR CODE]],LS[B/S],"S")</f>
        <v>107349</v>
      </c>
      <c r="G302" s="47">
        <f>IF(INVESTORS_LIST[[#This Row],[LS_TOTAL UNITS BUY]]=0,0,INVESTORS_LIST[[#This Row],[LS_TOTAL UNITS BUY]]-INVESTORS_LIST[[#This Row],[LS_TOTAL UNITS SOLD]])</f>
        <v>27</v>
      </c>
      <c r="H302" s="49">
        <f>IF(INVESTORS_LIST[[#This Row],[LS_TOTAL UNITS BUY]]=0,0,SUMIFS(LS[Amount],LS[Investor ID],INVESTORS_LIST[[#This Row],[INVESTOR CODE]],LS[B/S],"B"))</f>
        <v>1200000</v>
      </c>
      <c r="I302" s="48">
        <f>IF(INVESTORS_LIST[[#This Row],[LS_TOTAL UNITS SOLD]]=0,0,SUMIFS(LS[Cost of Units Sold],LS[Investor ID],INVESTORS_LIST[[#This Row],[INVESTOR CODE]],LS[B/S],"S"))</f>
        <v>1199666.2495309077</v>
      </c>
      <c r="J302" s="48">
        <f>IF(INVESTORS_LIST[[#This Row],[LS_TOTAL CURRENT UNITS]]=0,0,INVESTORS_LIST[[#This Row],[LS_TOTAL CURRENT UNITS]]*INVESTORS_LIST[[#This Row],[LS_AVERAGE COST]])</f>
        <v>333.75046909231691</v>
      </c>
      <c r="K302" s="49">
        <f>IF(INVESTORS_LIST[[#This Row],[LS_TOTAL UNITS SOLD]]=0,0,SUMIFS(LS[Realized Gain],LS[Investor ID],INVESTORS_LIST[[#This Row],[INVESTOR CODE]],LS[B/S],"S"))</f>
        <v>82011.840469092218</v>
      </c>
      <c r="L302" s="47">
        <f>SUMIFS(SIP[Unit],SIP[Investor ID],INVESTORS_LIST[[#This Row],[INVESTOR CODE]],SIP[B/S],"B")</f>
        <v>0</v>
      </c>
      <c r="M302" s="47">
        <f>-SUMIFS(SIP[Unit],SIP[Investor ID],INVESTORS_LIST[[#This Row],[INVESTOR CODE]],SIP[B/S],"S")</f>
        <v>0</v>
      </c>
      <c r="N302" s="50">
        <f>IF(INVESTORS_LIST[[#This Row],[SIP_TOTAL UNITS BUY]]=0,0,INVESTORS_LIST[[#This Row],[SIP_TOTAL UNITS BUY]]-INVESTORS_LIST[[#This Row],[SIP_TOTAL UNITS SOLD]])</f>
        <v>0</v>
      </c>
      <c r="O302" s="49">
        <f>IF(INVESTORS_LIST[[#This Row],[SIP_TOTAL UNITS BUY]]=0,0,SUMIFS(SIP[Amount],SIP[Investor ID],INVESTORS_LIST[[#This Row],[INVESTOR CODE]],SIP[B/S],"B"))</f>
        <v>0</v>
      </c>
      <c r="P302" s="49">
        <f>IF(INVESTORS_LIST[[#This Row],[SIP_TOTAL UNITS SOLD]]=0,0,SUMIFS(SIP[Cost of Units Sold],SIP[Investor ID],INVESTORS_LIST[[#This Row],[INVESTOR CODE]],SIP[B/S],"S"))</f>
        <v>0</v>
      </c>
      <c r="Q302" s="48">
        <f>IF(INVESTORS_LIST[[#This Row],[SIP_TOTAL CURRENT UNITS]]=0,0,INVESTORS_LIST[[#This Row],[SIP_TOTAL CURRENT UNITS]]*INVESTORS_LIST[[#This Row],[SIP_AVERAGE COST]])</f>
        <v>0</v>
      </c>
      <c r="R302" s="48">
        <f>IF(INVESTORS_LIST[[#This Row],[SIP_TOTAL UNITS SOLD]]=0,0,SUMIFS(SIP[Realized Gain],SIP[Investor ID],INVESTORS_LIST[[#This Row],[INVESTOR CODE]],SIP[B/S],"S"))</f>
        <v>0</v>
      </c>
      <c r="S302" s="50">
        <f>INVESTORS_LIST[[#This Row],[LS_TOTAL UNITS BUY]]+INVESTORS_LIST[[#This Row],[SIP_TOTAL UNITS BUY]]</f>
        <v>107376</v>
      </c>
      <c r="T302" s="50">
        <f>INVESTORS_LIST[[#This Row],[LS_TOTAL UNITS SOLD]]+INVESTORS_LIST[[#This Row],[SIP_TOTAL UNITS SOLD]]</f>
        <v>107349</v>
      </c>
      <c r="U302" s="50"/>
      <c r="V302" s="50">
        <f>SUMIFS(LS[BO UNIT TRANSFER],LS[Investor ID],INVESTORS_LIST[[#This Row],[INVESTOR CODE]],LS[B/S],"B")</f>
        <v>0</v>
      </c>
      <c r="W302" s="50">
        <f>SUMIFS(SIP[BO UNIT TRANSFER],SIP[Investor ID],INVESTORS_LIST[[#This Row],[INVESTOR CODE]],SIP[B/S],"B")</f>
        <v>0</v>
      </c>
      <c r="X302" s="50">
        <f>SUMIFS(LS[BO UNIT TRANSFER],LS[Investor ID],INVESTORS_LIST[[#This Row],[INVESTOR CODE]],LS[B/S],"S")</f>
        <v>0</v>
      </c>
      <c r="Y302" s="50">
        <f>SUMIFS(SIP[BO UNIT TRANSFER],SIP[Investor ID],INVESTORS_LIST[[#This Row],[INVESTOR CODE]],SIP[B/S],"S")</f>
        <v>0</v>
      </c>
      <c r="Z302" s="106">
        <f>SUM(INVESTORS_LIST[[#This Row],[BO OPENING BALANCE]:[BO SIP UNITS REPURCHASE]])</f>
        <v>0</v>
      </c>
      <c r="AA302" s="107">
        <f>INVESTORS_LIST[[#This Row],[TOTAL UNITS BUY]]-INVESTORS_LIST[[#This Row],[TOTAL UNITS SOLD]]</f>
        <v>27</v>
      </c>
      <c r="AB302" s="107">
        <f>INVESTORS_LIST[[#This Row],[TOTAL CURRENT UNITS]]-INVESTORS_LIST[[#This Row],[BO UNITS HOLD]]</f>
        <v>27</v>
      </c>
      <c r="AC302" s="201" t="e">
        <f>INDEX([3]!Table_1[BO ID],MATCH(INVESTORS_LIST[[#This Row],[INVESTOR CODE]],[3]!Table_1[INVESTOR CODE],0))</f>
        <v>#REF!</v>
      </c>
      <c r="AD302" s="201" t="e">
        <f>INDEX([3]!Table_1[Brokerage Name2],MATCH(INVESTORS_LIST[[#This Row],[INVESTOR CODE]],[3]!Table_1[INVESTOR CODE],0))</f>
        <v>#REF!</v>
      </c>
      <c r="AE302" s="201" t="e">
        <f>MID(INVESTORS_LIST[[#This Row],[BO ID]],4,5)</f>
        <v>#REF!</v>
      </c>
      <c r="AF302" s="201" t="e">
        <f>MID(INVESTORS_LIST[[#This Row],[BO ID]],2,7)</f>
        <v>#REF!</v>
      </c>
      <c r="AG302" s="201" t="e">
        <f>MID(INVESTORS_LIST[[#This Row],[BO ID]],9,7)</f>
        <v>#REF!</v>
      </c>
      <c r="AH302" s="201" t="e">
        <f>RIGHT(INVESTORS_LIST[[#This Row],[BO ID]],1)</f>
        <v>#REF!</v>
      </c>
      <c r="AI302" s="50">
        <f>INVESTORS_LIST[[#This Row],[LS_TOTAL COST VALUE OF CURRENT UNITS]]+INVESTORS_LIST[[#This Row],[SIP_TOTAL COST VALUE OF CURRENT UNITS]]</f>
        <v>333.75046909231691</v>
      </c>
      <c r="AJ302" s="109">
        <f>IF(INVESTORS_LIST[[#This Row],[TOTAL CURRENT UNITS]]=0,0,INVESTORS_LIST[[#This Row],[LS_TOTAL CURRENT UNITS]]/INVESTORS_LIST[[#This Row],[TOTAL CURRENT UNITS]])</f>
        <v>1</v>
      </c>
      <c r="AK302" s="109">
        <f>IF(INVESTORS_LIST[[#This Row],[TOTAL CURRENT UNITS]]=0,0,INVESTORS_LIST[[#This Row],[SIP_TOTAL CURRENT UNITS]]/INVESTORS_LIST[[#This Row],[TOTAL CURRENT UNITS]])</f>
        <v>0</v>
      </c>
      <c r="AL302" s="49" cm="1">
        <f t="array" ref="AL302">IF(INVESTORS_LIST[[#This Row],[LS_TOTAL UNITS BUY]]&gt;0,INDEX(LS[NAV at Cost (Average)],MATCH(CONCATENATE(COUNTIFS(LS[Investor ID],INVESTORS_LIST[[#This Row],[INVESTOR CODE]]),INVESTORS_LIST[[#This Row],[INVESTOR CODE]]),LS[Unique Code],0),),0)</f>
        <v>12.361128484900625</v>
      </c>
      <c r="AM302" s="49" cm="1">
        <f t="array" ref="AM3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2" s="105">
        <f>IF(INVESTORS_LIST[[#This Row],[TOTAL CURRENT UNITS]]=0,0,(INVESTORS_LIST[[#This Row],[LS_WEIGHT]]*INVESTORS_LIST[[#This Row],[LS_AVERAGE COST]])+(INVESTORS_LIST[[#This Row],[SIP_WEIGHT]]*INVESTORS_LIST[[#This Row],[SIP_AVERAGE COST]]))</f>
        <v>12.361128484900625</v>
      </c>
      <c r="AO302" s="105">
        <f t="shared" si="5"/>
        <v>14.224</v>
      </c>
      <c r="AP302" s="112">
        <f>IF(INVESTORS_LIST[[#This Row],[TOTAL CURRENT UNITS]]=0,0,INVESTORS_LIST[[#This Row],[TOTAL CURRENT UNITS]]*INVESTORS_LIST[[#This Row],[NAV]])</f>
        <v>384.048</v>
      </c>
      <c r="AQ302" s="49">
        <f>IF(INVESTORS_LIST[[#This Row],[LS_TOTAL CURRENT UNITS]]=0,0,INVESTORS_LIST[[#This Row],[LS_TOTAL CURRENT UNITS]]*INVESTORS_LIST[[#This Row],[NAV]])</f>
        <v>384.048</v>
      </c>
      <c r="AR302" s="48">
        <f>IF(INVESTORS_LIST[[#This Row],[SIP_TOTAL CURRENT UNITS]]=0,0,INVESTORS_LIST[[#This Row],[SIP_TOTAL CURRENT UNITS]]*INVESTORS_LIST[[#This Row],[NAV]])</f>
        <v>0</v>
      </c>
      <c r="AS302" s="50">
        <f>INVESTORS_LIST[[#This Row],[TOTAL CURRENT UNITS]]</f>
        <v>27</v>
      </c>
      <c r="AT302" s="48">
        <f>IF(INVESTORS_LIST[[#This Row],[TOTAL SELLABLE UNITS]]=0,0,INVESTORS_LIST[[#This Row],[TOTAL SELLABLE UNITS]]*INVESTORS_LIST[[#This Row],[NAV]])</f>
        <v>384.048</v>
      </c>
      <c r="AU302" s="48">
        <f>INVESTORS_LIST[[#This Row],[LS_TOTAL REALIZED GAIN]]+INVESTORS_LIST[[#This Row],[SIP_TOTAL REALIZED GAIN]]</f>
        <v>82011.840469092218</v>
      </c>
      <c r="AV302" s="48">
        <f>INVESTORS_LIST[[#This Row],[TOTAL MARKET VALUE]]-INVESTORS_LIST[[#This Row],[TOTAL COST VALUE OF CURRENT INVESTMENT]]</f>
        <v>50.297530907683097</v>
      </c>
      <c r="AW302" s="48">
        <f>IFERROR(INVESTORS_LIST[[#This Row],[TOTAL CURRENT UNITS]]/SUM(INVESTORS_LIST[TOTAL CURRENT UNITS]),0)</f>
        <v>6.5545761319479872E-7</v>
      </c>
    </row>
    <row r="303" spans="1:49" hidden="1">
      <c r="A303" s="262" t="s">
        <v>653</v>
      </c>
      <c r="B303" s="97" t="s">
        <v>654</v>
      </c>
      <c r="C303" t="s">
        <v>44</v>
      </c>
      <c r="D303" s="75" t="s">
        <v>45</v>
      </c>
      <c r="E303" s="47">
        <f>SUMIFS(LS[Unit],LS[Investor ID],INVESTORS_LIST[[#This Row],[INVESTOR CODE]],LS[B/S],"B")</f>
        <v>0</v>
      </c>
      <c r="F303" s="47">
        <f>-SUMIFS(LS[Unit],LS[Investor ID],INVESTORS_LIST[[#This Row],[INVESTOR CODE]],LS[B/S],"S")</f>
        <v>0</v>
      </c>
      <c r="G303" s="47">
        <f>IF(INVESTORS_LIST[[#This Row],[LS_TOTAL UNITS BUY]]=0,0,INVESTORS_LIST[[#This Row],[LS_TOTAL UNITS BUY]]-INVESTORS_LIST[[#This Row],[LS_TOTAL UNITS SOLD]])</f>
        <v>0</v>
      </c>
      <c r="H303" s="49">
        <f>IF(INVESTORS_LIST[[#This Row],[LS_TOTAL UNITS BUY]]=0,0,SUMIFS(LS[Amount],LS[Investor ID],INVESTORS_LIST[[#This Row],[INVESTOR CODE]],LS[B/S],"B"))</f>
        <v>0</v>
      </c>
      <c r="I303" s="48">
        <f>IF(INVESTORS_LIST[[#This Row],[LS_TOTAL UNITS SOLD]]=0,0,SUMIFS(LS[Cost of Units Sold],LS[Investor ID],INVESTORS_LIST[[#This Row],[INVESTOR CODE]],LS[B/S],"S"))</f>
        <v>0</v>
      </c>
      <c r="J303" s="48">
        <f>IF(INVESTORS_LIST[[#This Row],[LS_TOTAL CURRENT UNITS]]=0,0,INVESTORS_LIST[[#This Row],[LS_TOTAL CURRENT UNITS]]*INVESTORS_LIST[[#This Row],[LS_AVERAGE COST]])</f>
        <v>0</v>
      </c>
      <c r="K303" s="49">
        <f>IF(INVESTORS_LIST[[#This Row],[LS_TOTAL UNITS SOLD]]=0,0,SUMIFS(LS[Realized Gain],LS[Investor ID],INVESTORS_LIST[[#This Row],[INVESTOR CODE]],LS[B/S],"S"))</f>
        <v>0</v>
      </c>
      <c r="L303" s="47">
        <f>SUMIFS(SIP[Unit],SIP[Investor ID],INVESTORS_LIST[[#This Row],[INVESTOR CODE]],SIP[B/S],"B")</f>
        <v>0</v>
      </c>
      <c r="M303" s="47">
        <f>-SUMIFS(SIP[Unit],SIP[Investor ID],INVESTORS_LIST[[#This Row],[INVESTOR CODE]],SIP[B/S],"S")</f>
        <v>0</v>
      </c>
      <c r="N303" s="50">
        <f>IF(INVESTORS_LIST[[#This Row],[SIP_TOTAL UNITS BUY]]=0,0,INVESTORS_LIST[[#This Row],[SIP_TOTAL UNITS BUY]]-INVESTORS_LIST[[#This Row],[SIP_TOTAL UNITS SOLD]])</f>
        <v>0</v>
      </c>
      <c r="O303" s="49">
        <f>IF(INVESTORS_LIST[[#This Row],[SIP_TOTAL UNITS BUY]]=0,0,SUMIFS(SIP[Amount],SIP[Investor ID],INVESTORS_LIST[[#This Row],[INVESTOR CODE]],SIP[B/S],"B"))</f>
        <v>0</v>
      </c>
      <c r="P303" s="49">
        <f>IF(INVESTORS_LIST[[#This Row],[SIP_TOTAL UNITS SOLD]]=0,0,SUMIFS(SIP[Cost of Units Sold],SIP[Investor ID],INVESTORS_LIST[[#This Row],[INVESTOR CODE]],SIP[B/S],"S"))</f>
        <v>0</v>
      </c>
      <c r="Q303" s="48">
        <f>IF(INVESTORS_LIST[[#This Row],[SIP_TOTAL CURRENT UNITS]]=0,0,INVESTORS_LIST[[#This Row],[SIP_TOTAL CURRENT UNITS]]*INVESTORS_LIST[[#This Row],[SIP_AVERAGE COST]])</f>
        <v>0</v>
      </c>
      <c r="R303" s="48">
        <f>IF(INVESTORS_LIST[[#This Row],[SIP_TOTAL UNITS SOLD]]=0,0,SUMIFS(SIP[Realized Gain],SIP[Investor ID],INVESTORS_LIST[[#This Row],[INVESTOR CODE]],SIP[B/S],"S"))</f>
        <v>0</v>
      </c>
      <c r="S303" s="50">
        <f>INVESTORS_LIST[[#This Row],[LS_TOTAL UNITS BUY]]+INVESTORS_LIST[[#This Row],[SIP_TOTAL UNITS BUY]]</f>
        <v>0</v>
      </c>
      <c r="T303" s="50">
        <f>INVESTORS_LIST[[#This Row],[LS_TOTAL UNITS SOLD]]+INVESTORS_LIST[[#This Row],[SIP_TOTAL UNITS SOLD]]</f>
        <v>0</v>
      </c>
      <c r="U303" s="50"/>
      <c r="V303" s="50">
        <f>SUMIFS(LS[BO UNIT TRANSFER],LS[Investor ID],INVESTORS_LIST[[#This Row],[INVESTOR CODE]],LS[B/S],"B")</f>
        <v>0</v>
      </c>
      <c r="W303" s="50">
        <f>SUMIFS(SIP[BO UNIT TRANSFER],SIP[Investor ID],INVESTORS_LIST[[#This Row],[INVESTOR CODE]],SIP[B/S],"B")</f>
        <v>0</v>
      </c>
      <c r="X303" s="50">
        <f>SUMIFS(LS[BO UNIT TRANSFER],LS[Investor ID],INVESTORS_LIST[[#This Row],[INVESTOR CODE]],LS[B/S],"S")</f>
        <v>0</v>
      </c>
      <c r="Y303" s="50">
        <f>SUMIFS(SIP[BO UNIT TRANSFER],SIP[Investor ID],INVESTORS_LIST[[#This Row],[INVESTOR CODE]],SIP[B/S],"S")</f>
        <v>0</v>
      </c>
      <c r="Z303" s="106">
        <f>SUM(INVESTORS_LIST[[#This Row],[BO OPENING BALANCE]:[BO SIP UNITS REPURCHASE]])</f>
        <v>0</v>
      </c>
      <c r="AA303" s="107">
        <f>INVESTORS_LIST[[#This Row],[TOTAL UNITS BUY]]-INVESTORS_LIST[[#This Row],[TOTAL UNITS SOLD]]</f>
        <v>0</v>
      </c>
      <c r="AB303" s="107">
        <f>INVESTORS_LIST[[#This Row],[TOTAL CURRENT UNITS]]-INVESTORS_LIST[[#This Row],[BO UNITS HOLD]]</f>
        <v>0</v>
      </c>
      <c r="AC303" s="201" t="e">
        <f>INDEX([3]!Table_1[BO ID],MATCH(INVESTORS_LIST[[#This Row],[INVESTOR CODE]],[3]!Table_1[INVESTOR CODE],0))</f>
        <v>#REF!</v>
      </c>
      <c r="AD303" s="201" t="e">
        <f>INDEX([3]!Table_1[Brokerage Name2],MATCH(INVESTORS_LIST[[#This Row],[INVESTOR CODE]],[3]!Table_1[INVESTOR CODE],0))</f>
        <v>#REF!</v>
      </c>
      <c r="AE303" s="201" t="e">
        <f>MID(INVESTORS_LIST[[#This Row],[BO ID]],4,5)</f>
        <v>#REF!</v>
      </c>
      <c r="AF303" s="201" t="e">
        <f>MID(INVESTORS_LIST[[#This Row],[BO ID]],2,7)</f>
        <v>#REF!</v>
      </c>
      <c r="AG303" s="201" t="e">
        <f>MID(INVESTORS_LIST[[#This Row],[BO ID]],9,7)</f>
        <v>#REF!</v>
      </c>
      <c r="AH303" s="201" t="e">
        <f>RIGHT(INVESTORS_LIST[[#This Row],[BO ID]],1)</f>
        <v>#REF!</v>
      </c>
      <c r="AI303" s="50">
        <f>INVESTORS_LIST[[#This Row],[LS_TOTAL COST VALUE OF CURRENT UNITS]]+INVESTORS_LIST[[#This Row],[SIP_TOTAL COST VALUE OF CURRENT UNITS]]</f>
        <v>0</v>
      </c>
      <c r="AJ303" s="109">
        <f>IF(INVESTORS_LIST[[#This Row],[TOTAL CURRENT UNITS]]=0,0,INVESTORS_LIST[[#This Row],[LS_TOTAL CURRENT UNITS]]/INVESTORS_LIST[[#This Row],[TOTAL CURRENT UNITS]])</f>
        <v>0</v>
      </c>
      <c r="AK303" s="109">
        <f>IF(INVESTORS_LIST[[#This Row],[TOTAL CURRENT UNITS]]=0,0,INVESTORS_LIST[[#This Row],[SIP_TOTAL CURRENT UNITS]]/INVESTORS_LIST[[#This Row],[TOTAL CURRENT UNITS]])</f>
        <v>0</v>
      </c>
      <c r="AL303" s="49" cm="1">
        <f t="array" ref="AL3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3" s="49" cm="1">
        <f t="array" ref="AM3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3" s="105">
        <f t="shared" si="5"/>
        <v>14.224</v>
      </c>
      <c r="AP303" s="112">
        <f>IF(INVESTORS_LIST[[#This Row],[TOTAL CURRENT UNITS]]=0,0,INVESTORS_LIST[[#This Row],[TOTAL CURRENT UNITS]]*INVESTORS_LIST[[#This Row],[NAV]])</f>
        <v>0</v>
      </c>
      <c r="AQ303" s="49">
        <f>IF(INVESTORS_LIST[[#This Row],[LS_TOTAL CURRENT UNITS]]=0,0,INVESTORS_LIST[[#This Row],[LS_TOTAL CURRENT UNITS]]*INVESTORS_LIST[[#This Row],[NAV]])</f>
        <v>0</v>
      </c>
      <c r="AR303" s="48">
        <f>IF(INVESTORS_LIST[[#This Row],[SIP_TOTAL CURRENT UNITS]]=0,0,INVESTORS_LIST[[#This Row],[SIP_TOTAL CURRENT UNITS]]*INVESTORS_LIST[[#This Row],[NAV]])</f>
        <v>0</v>
      </c>
      <c r="AS303" s="50">
        <f>INVESTORS_LIST[[#This Row],[TOTAL CURRENT UNITS]]</f>
        <v>0</v>
      </c>
      <c r="AT303" s="48">
        <f>IF(INVESTORS_LIST[[#This Row],[TOTAL SELLABLE UNITS]]=0,0,INVESTORS_LIST[[#This Row],[TOTAL SELLABLE UNITS]]*INVESTORS_LIST[[#This Row],[NAV]])</f>
        <v>0</v>
      </c>
      <c r="AU303" s="48">
        <f>INVESTORS_LIST[[#This Row],[LS_TOTAL REALIZED GAIN]]+INVESTORS_LIST[[#This Row],[SIP_TOTAL REALIZED GAIN]]</f>
        <v>0</v>
      </c>
      <c r="AV303" s="48">
        <f>INVESTORS_LIST[[#This Row],[TOTAL MARKET VALUE]]-INVESTORS_LIST[[#This Row],[TOTAL COST VALUE OF CURRENT INVESTMENT]]</f>
        <v>0</v>
      </c>
      <c r="AW303" s="48">
        <f>IFERROR(INVESTORS_LIST[[#This Row],[TOTAL CURRENT UNITS]]/SUM(INVESTORS_LIST[TOTAL CURRENT UNITS]),0)</f>
        <v>0</v>
      </c>
    </row>
    <row r="304" spans="1:49" hidden="1">
      <c r="A304" s="262" t="s">
        <v>655</v>
      </c>
      <c r="B304" s="97" t="s">
        <v>656</v>
      </c>
      <c r="C304" t="s">
        <v>44</v>
      </c>
      <c r="D304" s="75" t="s">
        <v>45</v>
      </c>
      <c r="E304" s="47">
        <f>SUMIFS(LS[Unit],LS[Investor ID],INVESTORS_LIST[[#This Row],[INVESTOR CODE]],LS[B/S],"B")</f>
        <v>0</v>
      </c>
      <c r="F304" s="47">
        <f>-SUMIFS(LS[Unit],LS[Investor ID],INVESTORS_LIST[[#This Row],[INVESTOR CODE]],LS[B/S],"S")</f>
        <v>0</v>
      </c>
      <c r="G304" s="47">
        <f>IF(INVESTORS_LIST[[#This Row],[LS_TOTAL UNITS BUY]]=0,0,INVESTORS_LIST[[#This Row],[LS_TOTAL UNITS BUY]]-INVESTORS_LIST[[#This Row],[LS_TOTAL UNITS SOLD]])</f>
        <v>0</v>
      </c>
      <c r="H304" s="49">
        <f>IF(INVESTORS_LIST[[#This Row],[LS_TOTAL UNITS BUY]]=0,0,SUMIFS(LS[Amount],LS[Investor ID],INVESTORS_LIST[[#This Row],[INVESTOR CODE]],LS[B/S],"B"))</f>
        <v>0</v>
      </c>
      <c r="I304" s="48">
        <f>IF(INVESTORS_LIST[[#This Row],[LS_TOTAL UNITS SOLD]]=0,0,SUMIFS(LS[Cost of Units Sold],LS[Investor ID],INVESTORS_LIST[[#This Row],[INVESTOR CODE]],LS[B/S],"S"))</f>
        <v>0</v>
      </c>
      <c r="J304" s="48">
        <f>IF(INVESTORS_LIST[[#This Row],[LS_TOTAL CURRENT UNITS]]=0,0,INVESTORS_LIST[[#This Row],[LS_TOTAL CURRENT UNITS]]*INVESTORS_LIST[[#This Row],[LS_AVERAGE COST]])</f>
        <v>0</v>
      </c>
      <c r="K304" s="49">
        <f>IF(INVESTORS_LIST[[#This Row],[LS_TOTAL UNITS SOLD]]=0,0,SUMIFS(LS[Realized Gain],LS[Investor ID],INVESTORS_LIST[[#This Row],[INVESTOR CODE]],LS[B/S],"S"))</f>
        <v>0</v>
      </c>
      <c r="L304" s="47">
        <f>SUMIFS(SIP[Unit],SIP[Investor ID],INVESTORS_LIST[[#This Row],[INVESTOR CODE]],SIP[B/S],"B")</f>
        <v>0</v>
      </c>
      <c r="M304" s="47">
        <f>-SUMIFS(SIP[Unit],SIP[Investor ID],INVESTORS_LIST[[#This Row],[INVESTOR CODE]],SIP[B/S],"S")</f>
        <v>0</v>
      </c>
      <c r="N304" s="50">
        <f>IF(INVESTORS_LIST[[#This Row],[SIP_TOTAL UNITS BUY]]=0,0,INVESTORS_LIST[[#This Row],[SIP_TOTAL UNITS BUY]]-INVESTORS_LIST[[#This Row],[SIP_TOTAL UNITS SOLD]])</f>
        <v>0</v>
      </c>
      <c r="O304" s="49">
        <f>IF(INVESTORS_LIST[[#This Row],[SIP_TOTAL UNITS BUY]]=0,0,SUMIFS(SIP[Amount],SIP[Investor ID],INVESTORS_LIST[[#This Row],[INVESTOR CODE]],SIP[B/S],"B"))</f>
        <v>0</v>
      </c>
      <c r="P304" s="49">
        <f>IF(INVESTORS_LIST[[#This Row],[SIP_TOTAL UNITS SOLD]]=0,0,SUMIFS(SIP[Cost of Units Sold],SIP[Investor ID],INVESTORS_LIST[[#This Row],[INVESTOR CODE]],SIP[B/S],"S"))</f>
        <v>0</v>
      </c>
      <c r="Q304" s="48">
        <f>IF(INVESTORS_LIST[[#This Row],[SIP_TOTAL CURRENT UNITS]]=0,0,INVESTORS_LIST[[#This Row],[SIP_TOTAL CURRENT UNITS]]*INVESTORS_LIST[[#This Row],[SIP_AVERAGE COST]])</f>
        <v>0</v>
      </c>
      <c r="R304" s="48">
        <f>IF(INVESTORS_LIST[[#This Row],[SIP_TOTAL UNITS SOLD]]=0,0,SUMIFS(SIP[Realized Gain],SIP[Investor ID],INVESTORS_LIST[[#This Row],[INVESTOR CODE]],SIP[B/S],"S"))</f>
        <v>0</v>
      </c>
      <c r="S304" s="50">
        <f>INVESTORS_LIST[[#This Row],[LS_TOTAL UNITS BUY]]+INVESTORS_LIST[[#This Row],[SIP_TOTAL UNITS BUY]]</f>
        <v>0</v>
      </c>
      <c r="T304" s="50">
        <f>INVESTORS_LIST[[#This Row],[LS_TOTAL UNITS SOLD]]+INVESTORS_LIST[[#This Row],[SIP_TOTAL UNITS SOLD]]</f>
        <v>0</v>
      </c>
      <c r="U304" s="50"/>
      <c r="V304" s="50">
        <f>SUMIFS(LS[BO UNIT TRANSFER],LS[Investor ID],INVESTORS_LIST[[#This Row],[INVESTOR CODE]],LS[B/S],"B")</f>
        <v>0</v>
      </c>
      <c r="W304" s="50">
        <f>SUMIFS(SIP[BO UNIT TRANSFER],SIP[Investor ID],INVESTORS_LIST[[#This Row],[INVESTOR CODE]],SIP[B/S],"B")</f>
        <v>0</v>
      </c>
      <c r="X304" s="50">
        <f>SUMIFS(LS[BO UNIT TRANSFER],LS[Investor ID],INVESTORS_LIST[[#This Row],[INVESTOR CODE]],LS[B/S],"S")</f>
        <v>0</v>
      </c>
      <c r="Y304" s="50">
        <f>SUMIFS(SIP[BO UNIT TRANSFER],SIP[Investor ID],INVESTORS_LIST[[#This Row],[INVESTOR CODE]],SIP[B/S],"S")</f>
        <v>0</v>
      </c>
      <c r="Z304" s="106">
        <f>SUM(INVESTORS_LIST[[#This Row],[BO OPENING BALANCE]:[BO SIP UNITS REPURCHASE]])</f>
        <v>0</v>
      </c>
      <c r="AA304" s="107">
        <f>INVESTORS_LIST[[#This Row],[TOTAL UNITS BUY]]-INVESTORS_LIST[[#This Row],[TOTAL UNITS SOLD]]</f>
        <v>0</v>
      </c>
      <c r="AB304" s="107">
        <f>INVESTORS_LIST[[#This Row],[TOTAL CURRENT UNITS]]-INVESTORS_LIST[[#This Row],[BO UNITS HOLD]]</f>
        <v>0</v>
      </c>
      <c r="AC304" s="201" t="e">
        <f>INDEX([3]!Table_1[BO ID],MATCH(INVESTORS_LIST[[#This Row],[INVESTOR CODE]],[3]!Table_1[INVESTOR CODE],0))</f>
        <v>#REF!</v>
      </c>
      <c r="AD304" s="201" t="e">
        <f>INDEX([3]!Table_1[Brokerage Name2],MATCH(INVESTORS_LIST[[#This Row],[INVESTOR CODE]],[3]!Table_1[INVESTOR CODE],0))</f>
        <v>#REF!</v>
      </c>
      <c r="AE304" s="201" t="e">
        <f>MID(INVESTORS_LIST[[#This Row],[BO ID]],4,5)</f>
        <v>#REF!</v>
      </c>
      <c r="AF304" s="201" t="e">
        <f>MID(INVESTORS_LIST[[#This Row],[BO ID]],2,7)</f>
        <v>#REF!</v>
      </c>
      <c r="AG304" s="201" t="e">
        <f>MID(INVESTORS_LIST[[#This Row],[BO ID]],9,7)</f>
        <v>#REF!</v>
      </c>
      <c r="AH304" s="201" t="e">
        <f>RIGHT(INVESTORS_LIST[[#This Row],[BO ID]],1)</f>
        <v>#REF!</v>
      </c>
      <c r="AI304" s="50">
        <f>INVESTORS_LIST[[#This Row],[LS_TOTAL COST VALUE OF CURRENT UNITS]]+INVESTORS_LIST[[#This Row],[SIP_TOTAL COST VALUE OF CURRENT UNITS]]</f>
        <v>0</v>
      </c>
      <c r="AJ304" s="109">
        <f>IF(INVESTORS_LIST[[#This Row],[TOTAL CURRENT UNITS]]=0,0,INVESTORS_LIST[[#This Row],[LS_TOTAL CURRENT UNITS]]/INVESTORS_LIST[[#This Row],[TOTAL CURRENT UNITS]])</f>
        <v>0</v>
      </c>
      <c r="AK304" s="109">
        <f>IF(INVESTORS_LIST[[#This Row],[TOTAL CURRENT UNITS]]=0,0,INVESTORS_LIST[[#This Row],[SIP_TOTAL CURRENT UNITS]]/INVESTORS_LIST[[#This Row],[TOTAL CURRENT UNITS]])</f>
        <v>0</v>
      </c>
      <c r="AL304" s="49" cm="1">
        <f t="array" ref="AL3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4" s="49" cm="1">
        <f t="array" ref="AM3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4" s="105">
        <f t="shared" si="5"/>
        <v>14.224</v>
      </c>
      <c r="AP304" s="112">
        <f>IF(INVESTORS_LIST[[#This Row],[TOTAL CURRENT UNITS]]=0,0,INVESTORS_LIST[[#This Row],[TOTAL CURRENT UNITS]]*INVESTORS_LIST[[#This Row],[NAV]])</f>
        <v>0</v>
      </c>
      <c r="AQ304" s="49">
        <f>IF(INVESTORS_LIST[[#This Row],[LS_TOTAL CURRENT UNITS]]=0,0,INVESTORS_LIST[[#This Row],[LS_TOTAL CURRENT UNITS]]*INVESTORS_LIST[[#This Row],[NAV]])</f>
        <v>0</v>
      </c>
      <c r="AR304" s="48">
        <f>IF(INVESTORS_LIST[[#This Row],[SIP_TOTAL CURRENT UNITS]]=0,0,INVESTORS_LIST[[#This Row],[SIP_TOTAL CURRENT UNITS]]*INVESTORS_LIST[[#This Row],[NAV]])</f>
        <v>0</v>
      </c>
      <c r="AS304" s="50">
        <f>INVESTORS_LIST[[#This Row],[TOTAL CURRENT UNITS]]</f>
        <v>0</v>
      </c>
      <c r="AT304" s="48">
        <f>IF(INVESTORS_LIST[[#This Row],[TOTAL SELLABLE UNITS]]=0,0,INVESTORS_LIST[[#This Row],[TOTAL SELLABLE UNITS]]*INVESTORS_LIST[[#This Row],[NAV]])</f>
        <v>0</v>
      </c>
      <c r="AU304" s="48">
        <f>INVESTORS_LIST[[#This Row],[LS_TOTAL REALIZED GAIN]]+INVESTORS_LIST[[#This Row],[SIP_TOTAL REALIZED GAIN]]</f>
        <v>0</v>
      </c>
      <c r="AV304" s="48">
        <f>INVESTORS_LIST[[#This Row],[TOTAL MARKET VALUE]]-INVESTORS_LIST[[#This Row],[TOTAL COST VALUE OF CURRENT INVESTMENT]]</f>
        <v>0</v>
      </c>
      <c r="AW304" s="48">
        <f>IFERROR(INVESTORS_LIST[[#This Row],[TOTAL CURRENT UNITS]]/SUM(INVESTORS_LIST[TOTAL CURRENT UNITS]),0)</f>
        <v>0</v>
      </c>
    </row>
    <row r="305" spans="1:49" hidden="1">
      <c r="A305" s="262" t="s">
        <v>657</v>
      </c>
      <c r="B305" s="97" t="s">
        <v>658</v>
      </c>
      <c r="C305" t="s">
        <v>67</v>
      </c>
      <c r="D305" s="75" t="s">
        <v>45</v>
      </c>
      <c r="E305" s="47">
        <f>SUMIFS(LS[Unit],LS[Investor ID],INVESTORS_LIST[[#This Row],[INVESTOR CODE]],LS[B/S],"B")</f>
        <v>0</v>
      </c>
      <c r="F305" s="47">
        <f>-SUMIFS(LS[Unit],LS[Investor ID],INVESTORS_LIST[[#This Row],[INVESTOR CODE]],LS[B/S],"S")</f>
        <v>0</v>
      </c>
      <c r="G305" s="47">
        <f>IF(INVESTORS_LIST[[#This Row],[LS_TOTAL UNITS BUY]]=0,0,INVESTORS_LIST[[#This Row],[LS_TOTAL UNITS BUY]]-INVESTORS_LIST[[#This Row],[LS_TOTAL UNITS SOLD]])</f>
        <v>0</v>
      </c>
      <c r="H305" s="49">
        <f>IF(INVESTORS_LIST[[#This Row],[LS_TOTAL UNITS BUY]]=0,0,SUMIFS(LS[Amount],LS[Investor ID],INVESTORS_LIST[[#This Row],[INVESTOR CODE]],LS[B/S],"B"))</f>
        <v>0</v>
      </c>
      <c r="I305" s="48">
        <f>IF(INVESTORS_LIST[[#This Row],[LS_TOTAL UNITS SOLD]]=0,0,SUMIFS(LS[Cost of Units Sold],LS[Investor ID],INVESTORS_LIST[[#This Row],[INVESTOR CODE]],LS[B/S],"S"))</f>
        <v>0</v>
      </c>
      <c r="J305" s="48">
        <f>IF(INVESTORS_LIST[[#This Row],[LS_TOTAL CURRENT UNITS]]=0,0,INVESTORS_LIST[[#This Row],[LS_TOTAL CURRENT UNITS]]*INVESTORS_LIST[[#This Row],[LS_AVERAGE COST]])</f>
        <v>0</v>
      </c>
      <c r="K305" s="49">
        <f>IF(INVESTORS_LIST[[#This Row],[LS_TOTAL UNITS SOLD]]=0,0,SUMIFS(LS[Realized Gain],LS[Investor ID],INVESTORS_LIST[[#This Row],[INVESTOR CODE]],LS[B/S],"S"))</f>
        <v>0</v>
      </c>
      <c r="L305" s="47">
        <f>SUMIFS(SIP[Unit],SIP[Investor ID],INVESTORS_LIST[[#This Row],[INVESTOR CODE]],SIP[B/S],"B")</f>
        <v>0</v>
      </c>
      <c r="M305" s="47">
        <f>-SUMIFS(SIP[Unit],SIP[Investor ID],INVESTORS_LIST[[#This Row],[INVESTOR CODE]],SIP[B/S],"S")</f>
        <v>0</v>
      </c>
      <c r="N305" s="50">
        <f>IF(INVESTORS_LIST[[#This Row],[SIP_TOTAL UNITS BUY]]=0,0,INVESTORS_LIST[[#This Row],[SIP_TOTAL UNITS BUY]]-INVESTORS_LIST[[#This Row],[SIP_TOTAL UNITS SOLD]])</f>
        <v>0</v>
      </c>
      <c r="O305" s="49">
        <f>IF(INVESTORS_LIST[[#This Row],[SIP_TOTAL UNITS BUY]]=0,0,SUMIFS(SIP[Amount],SIP[Investor ID],INVESTORS_LIST[[#This Row],[INVESTOR CODE]],SIP[B/S],"B"))</f>
        <v>0</v>
      </c>
      <c r="P305" s="49">
        <f>IF(INVESTORS_LIST[[#This Row],[SIP_TOTAL UNITS SOLD]]=0,0,SUMIFS(SIP[Cost of Units Sold],SIP[Investor ID],INVESTORS_LIST[[#This Row],[INVESTOR CODE]],SIP[B/S],"S"))</f>
        <v>0</v>
      </c>
      <c r="Q305" s="48">
        <f>IF(INVESTORS_LIST[[#This Row],[SIP_TOTAL CURRENT UNITS]]=0,0,INVESTORS_LIST[[#This Row],[SIP_TOTAL CURRENT UNITS]]*INVESTORS_LIST[[#This Row],[SIP_AVERAGE COST]])</f>
        <v>0</v>
      </c>
      <c r="R305" s="48">
        <f>IF(INVESTORS_LIST[[#This Row],[SIP_TOTAL UNITS SOLD]]=0,0,SUMIFS(SIP[Realized Gain],SIP[Investor ID],INVESTORS_LIST[[#This Row],[INVESTOR CODE]],SIP[B/S],"S"))</f>
        <v>0</v>
      </c>
      <c r="S305" s="50">
        <f>INVESTORS_LIST[[#This Row],[LS_TOTAL UNITS BUY]]+INVESTORS_LIST[[#This Row],[SIP_TOTAL UNITS BUY]]</f>
        <v>0</v>
      </c>
      <c r="T305" s="50">
        <f>INVESTORS_LIST[[#This Row],[LS_TOTAL UNITS SOLD]]+INVESTORS_LIST[[#This Row],[SIP_TOTAL UNITS SOLD]]</f>
        <v>0</v>
      </c>
      <c r="U305" s="50"/>
      <c r="V305" s="50">
        <f>SUMIFS(LS[BO UNIT TRANSFER],LS[Investor ID],INVESTORS_LIST[[#This Row],[INVESTOR CODE]],LS[B/S],"B")</f>
        <v>0</v>
      </c>
      <c r="W305" s="50">
        <f>SUMIFS(SIP[BO UNIT TRANSFER],SIP[Investor ID],INVESTORS_LIST[[#This Row],[INVESTOR CODE]],SIP[B/S],"B")</f>
        <v>0</v>
      </c>
      <c r="X305" s="50">
        <f>SUMIFS(LS[BO UNIT TRANSFER],LS[Investor ID],INVESTORS_LIST[[#This Row],[INVESTOR CODE]],LS[B/S],"S")</f>
        <v>0</v>
      </c>
      <c r="Y305" s="50">
        <f>SUMIFS(SIP[BO UNIT TRANSFER],SIP[Investor ID],INVESTORS_LIST[[#This Row],[INVESTOR CODE]],SIP[B/S],"S")</f>
        <v>0</v>
      </c>
      <c r="Z305" s="106">
        <f>SUM(INVESTORS_LIST[[#This Row],[BO OPENING BALANCE]:[BO SIP UNITS REPURCHASE]])</f>
        <v>0</v>
      </c>
      <c r="AA305" s="107">
        <f>INVESTORS_LIST[[#This Row],[TOTAL UNITS BUY]]-INVESTORS_LIST[[#This Row],[TOTAL UNITS SOLD]]</f>
        <v>0</v>
      </c>
      <c r="AB305" s="107">
        <f>INVESTORS_LIST[[#This Row],[TOTAL CURRENT UNITS]]-INVESTORS_LIST[[#This Row],[BO UNITS HOLD]]</f>
        <v>0</v>
      </c>
      <c r="AC305" s="201" t="e">
        <f>INDEX([3]!Table_1[BO ID],MATCH(INVESTORS_LIST[[#This Row],[INVESTOR CODE]],[3]!Table_1[INVESTOR CODE],0))</f>
        <v>#REF!</v>
      </c>
      <c r="AD305" s="201" t="e">
        <f>INDEX([3]!Table_1[Brokerage Name2],MATCH(INVESTORS_LIST[[#This Row],[INVESTOR CODE]],[3]!Table_1[INVESTOR CODE],0))</f>
        <v>#REF!</v>
      </c>
      <c r="AE305" s="201" t="e">
        <f>MID(INVESTORS_LIST[[#This Row],[BO ID]],4,5)</f>
        <v>#REF!</v>
      </c>
      <c r="AF305" s="201" t="e">
        <f>MID(INVESTORS_LIST[[#This Row],[BO ID]],2,7)</f>
        <v>#REF!</v>
      </c>
      <c r="AG305" s="201" t="e">
        <f>MID(INVESTORS_LIST[[#This Row],[BO ID]],9,7)</f>
        <v>#REF!</v>
      </c>
      <c r="AH305" s="201" t="e">
        <f>RIGHT(INVESTORS_LIST[[#This Row],[BO ID]],1)</f>
        <v>#REF!</v>
      </c>
      <c r="AI305" s="50">
        <f>INVESTORS_LIST[[#This Row],[LS_TOTAL COST VALUE OF CURRENT UNITS]]+INVESTORS_LIST[[#This Row],[SIP_TOTAL COST VALUE OF CURRENT UNITS]]</f>
        <v>0</v>
      </c>
      <c r="AJ305" s="109">
        <f>IF(INVESTORS_LIST[[#This Row],[TOTAL CURRENT UNITS]]=0,0,INVESTORS_LIST[[#This Row],[LS_TOTAL CURRENT UNITS]]/INVESTORS_LIST[[#This Row],[TOTAL CURRENT UNITS]])</f>
        <v>0</v>
      </c>
      <c r="AK305" s="109">
        <f>IF(INVESTORS_LIST[[#This Row],[TOTAL CURRENT UNITS]]=0,0,INVESTORS_LIST[[#This Row],[SIP_TOTAL CURRENT UNITS]]/INVESTORS_LIST[[#This Row],[TOTAL CURRENT UNITS]])</f>
        <v>0</v>
      </c>
      <c r="AL305" s="49" cm="1">
        <f t="array" ref="AL3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5" s="49" cm="1">
        <f t="array" ref="AM3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5" s="105">
        <f t="shared" si="5"/>
        <v>14.224</v>
      </c>
      <c r="AP305" s="112">
        <f>IF(INVESTORS_LIST[[#This Row],[TOTAL CURRENT UNITS]]=0,0,INVESTORS_LIST[[#This Row],[TOTAL CURRENT UNITS]]*INVESTORS_LIST[[#This Row],[NAV]])</f>
        <v>0</v>
      </c>
      <c r="AQ305" s="49">
        <f>IF(INVESTORS_LIST[[#This Row],[LS_TOTAL CURRENT UNITS]]=0,0,INVESTORS_LIST[[#This Row],[LS_TOTAL CURRENT UNITS]]*INVESTORS_LIST[[#This Row],[NAV]])</f>
        <v>0</v>
      </c>
      <c r="AR305" s="48">
        <f>IF(INVESTORS_LIST[[#This Row],[SIP_TOTAL CURRENT UNITS]]=0,0,INVESTORS_LIST[[#This Row],[SIP_TOTAL CURRENT UNITS]]*INVESTORS_LIST[[#This Row],[NAV]])</f>
        <v>0</v>
      </c>
      <c r="AS305" s="50">
        <f>INVESTORS_LIST[[#This Row],[TOTAL CURRENT UNITS]]</f>
        <v>0</v>
      </c>
      <c r="AT305" s="48">
        <f>IF(INVESTORS_LIST[[#This Row],[TOTAL SELLABLE UNITS]]=0,0,INVESTORS_LIST[[#This Row],[TOTAL SELLABLE UNITS]]*INVESTORS_LIST[[#This Row],[NAV]])</f>
        <v>0</v>
      </c>
      <c r="AU305" s="48">
        <f>INVESTORS_LIST[[#This Row],[LS_TOTAL REALIZED GAIN]]+INVESTORS_LIST[[#This Row],[SIP_TOTAL REALIZED GAIN]]</f>
        <v>0</v>
      </c>
      <c r="AV305" s="48">
        <f>INVESTORS_LIST[[#This Row],[TOTAL MARKET VALUE]]-INVESTORS_LIST[[#This Row],[TOTAL COST VALUE OF CURRENT INVESTMENT]]</f>
        <v>0</v>
      </c>
      <c r="AW305" s="48">
        <f>IFERROR(INVESTORS_LIST[[#This Row],[TOTAL CURRENT UNITS]]/SUM(INVESTORS_LIST[TOTAL CURRENT UNITS]),0)</f>
        <v>0</v>
      </c>
    </row>
    <row r="306" spans="1:49" hidden="1">
      <c r="A306" s="262" t="s">
        <v>659</v>
      </c>
      <c r="B306" s="97" t="s">
        <v>660</v>
      </c>
      <c r="C306" t="s">
        <v>67</v>
      </c>
      <c r="D306" s="75" t="s">
        <v>45</v>
      </c>
      <c r="E306" s="47">
        <f>SUMIFS(LS[Unit],LS[Investor ID],INVESTORS_LIST[[#This Row],[INVESTOR CODE]],LS[B/S],"B")</f>
        <v>0</v>
      </c>
      <c r="F306" s="47">
        <f>-SUMIFS(LS[Unit],LS[Investor ID],INVESTORS_LIST[[#This Row],[INVESTOR CODE]],LS[B/S],"S")</f>
        <v>0</v>
      </c>
      <c r="G306" s="47">
        <f>IF(INVESTORS_LIST[[#This Row],[LS_TOTAL UNITS BUY]]=0,0,INVESTORS_LIST[[#This Row],[LS_TOTAL UNITS BUY]]-INVESTORS_LIST[[#This Row],[LS_TOTAL UNITS SOLD]])</f>
        <v>0</v>
      </c>
      <c r="H306" s="49">
        <f>IF(INVESTORS_LIST[[#This Row],[LS_TOTAL UNITS BUY]]=0,0,SUMIFS(LS[Amount],LS[Investor ID],INVESTORS_LIST[[#This Row],[INVESTOR CODE]],LS[B/S],"B"))</f>
        <v>0</v>
      </c>
      <c r="I306" s="48">
        <f>IF(INVESTORS_LIST[[#This Row],[LS_TOTAL UNITS SOLD]]=0,0,SUMIFS(LS[Cost of Units Sold],LS[Investor ID],INVESTORS_LIST[[#This Row],[INVESTOR CODE]],LS[B/S],"S"))</f>
        <v>0</v>
      </c>
      <c r="J306" s="48">
        <f>IF(INVESTORS_LIST[[#This Row],[LS_TOTAL CURRENT UNITS]]=0,0,INVESTORS_LIST[[#This Row],[LS_TOTAL CURRENT UNITS]]*INVESTORS_LIST[[#This Row],[LS_AVERAGE COST]])</f>
        <v>0</v>
      </c>
      <c r="K306" s="49">
        <f>IF(INVESTORS_LIST[[#This Row],[LS_TOTAL UNITS SOLD]]=0,0,SUMIFS(LS[Realized Gain],LS[Investor ID],INVESTORS_LIST[[#This Row],[INVESTOR CODE]],LS[B/S],"S"))</f>
        <v>0</v>
      </c>
      <c r="L306" s="47">
        <f>SUMIFS(SIP[Unit],SIP[Investor ID],INVESTORS_LIST[[#This Row],[INVESTOR CODE]],SIP[B/S],"B")</f>
        <v>0</v>
      </c>
      <c r="M306" s="47">
        <f>-SUMIFS(SIP[Unit],SIP[Investor ID],INVESTORS_LIST[[#This Row],[INVESTOR CODE]],SIP[B/S],"S")</f>
        <v>0</v>
      </c>
      <c r="N306" s="50">
        <f>IF(INVESTORS_LIST[[#This Row],[SIP_TOTAL UNITS BUY]]=0,0,INVESTORS_LIST[[#This Row],[SIP_TOTAL UNITS BUY]]-INVESTORS_LIST[[#This Row],[SIP_TOTAL UNITS SOLD]])</f>
        <v>0</v>
      </c>
      <c r="O306" s="49">
        <f>IF(INVESTORS_LIST[[#This Row],[SIP_TOTAL UNITS BUY]]=0,0,SUMIFS(SIP[Amount],SIP[Investor ID],INVESTORS_LIST[[#This Row],[INVESTOR CODE]],SIP[B/S],"B"))</f>
        <v>0</v>
      </c>
      <c r="P306" s="49">
        <f>IF(INVESTORS_LIST[[#This Row],[SIP_TOTAL UNITS SOLD]]=0,0,SUMIFS(SIP[Cost of Units Sold],SIP[Investor ID],INVESTORS_LIST[[#This Row],[INVESTOR CODE]],SIP[B/S],"S"))</f>
        <v>0</v>
      </c>
      <c r="Q306" s="48">
        <f>IF(INVESTORS_LIST[[#This Row],[SIP_TOTAL CURRENT UNITS]]=0,0,INVESTORS_LIST[[#This Row],[SIP_TOTAL CURRENT UNITS]]*INVESTORS_LIST[[#This Row],[SIP_AVERAGE COST]])</f>
        <v>0</v>
      </c>
      <c r="R306" s="48">
        <f>IF(INVESTORS_LIST[[#This Row],[SIP_TOTAL UNITS SOLD]]=0,0,SUMIFS(SIP[Realized Gain],SIP[Investor ID],INVESTORS_LIST[[#This Row],[INVESTOR CODE]],SIP[B/S],"S"))</f>
        <v>0</v>
      </c>
      <c r="S306" s="50">
        <f>INVESTORS_LIST[[#This Row],[LS_TOTAL UNITS BUY]]+INVESTORS_LIST[[#This Row],[SIP_TOTAL UNITS BUY]]</f>
        <v>0</v>
      </c>
      <c r="T306" s="50">
        <f>INVESTORS_LIST[[#This Row],[LS_TOTAL UNITS SOLD]]+INVESTORS_LIST[[#This Row],[SIP_TOTAL UNITS SOLD]]</f>
        <v>0</v>
      </c>
      <c r="U306" s="50"/>
      <c r="V306" s="50">
        <f>SUMIFS(LS[BO UNIT TRANSFER],LS[Investor ID],INVESTORS_LIST[[#This Row],[INVESTOR CODE]],LS[B/S],"B")</f>
        <v>0</v>
      </c>
      <c r="W306" s="50">
        <f>SUMIFS(SIP[BO UNIT TRANSFER],SIP[Investor ID],INVESTORS_LIST[[#This Row],[INVESTOR CODE]],SIP[B/S],"B")</f>
        <v>0</v>
      </c>
      <c r="X306" s="50">
        <f>SUMIFS(LS[BO UNIT TRANSFER],LS[Investor ID],INVESTORS_LIST[[#This Row],[INVESTOR CODE]],LS[B/S],"S")</f>
        <v>0</v>
      </c>
      <c r="Y306" s="50">
        <f>SUMIFS(SIP[BO UNIT TRANSFER],SIP[Investor ID],INVESTORS_LIST[[#This Row],[INVESTOR CODE]],SIP[B/S],"S")</f>
        <v>0</v>
      </c>
      <c r="Z306" s="106">
        <f>SUM(INVESTORS_LIST[[#This Row],[BO OPENING BALANCE]:[BO SIP UNITS REPURCHASE]])</f>
        <v>0</v>
      </c>
      <c r="AA306" s="107">
        <f>INVESTORS_LIST[[#This Row],[TOTAL UNITS BUY]]-INVESTORS_LIST[[#This Row],[TOTAL UNITS SOLD]]</f>
        <v>0</v>
      </c>
      <c r="AB306" s="107">
        <f>INVESTORS_LIST[[#This Row],[TOTAL CURRENT UNITS]]-INVESTORS_LIST[[#This Row],[BO UNITS HOLD]]</f>
        <v>0</v>
      </c>
      <c r="AC306" s="201" t="e">
        <f>INDEX([3]!Table_1[BO ID],MATCH(INVESTORS_LIST[[#This Row],[INVESTOR CODE]],[3]!Table_1[INVESTOR CODE],0))</f>
        <v>#REF!</v>
      </c>
      <c r="AD306" s="201" t="e">
        <f>INDEX([3]!Table_1[Brokerage Name2],MATCH(INVESTORS_LIST[[#This Row],[INVESTOR CODE]],[3]!Table_1[INVESTOR CODE],0))</f>
        <v>#REF!</v>
      </c>
      <c r="AE306" s="201" t="e">
        <f>MID(INVESTORS_LIST[[#This Row],[BO ID]],4,5)</f>
        <v>#REF!</v>
      </c>
      <c r="AF306" s="201" t="e">
        <f>MID(INVESTORS_LIST[[#This Row],[BO ID]],2,7)</f>
        <v>#REF!</v>
      </c>
      <c r="AG306" s="201" t="e">
        <f>MID(INVESTORS_LIST[[#This Row],[BO ID]],9,7)</f>
        <v>#REF!</v>
      </c>
      <c r="AH306" s="201" t="e">
        <f>RIGHT(INVESTORS_LIST[[#This Row],[BO ID]],1)</f>
        <v>#REF!</v>
      </c>
      <c r="AI306" s="50">
        <f>INVESTORS_LIST[[#This Row],[LS_TOTAL COST VALUE OF CURRENT UNITS]]+INVESTORS_LIST[[#This Row],[SIP_TOTAL COST VALUE OF CURRENT UNITS]]</f>
        <v>0</v>
      </c>
      <c r="AJ306" s="109">
        <f>IF(INVESTORS_LIST[[#This Row],[TOTAL CURRENT UNITS]]=0,0,INVESTORS_LIST[[#This Row],[LS_TOTAL CURRENT UNITS]]/INVESTORS_LIST[[#This Row],[TOTAL CURRENT UNITS]])</f>
        <v>0</v>
      </c>
      <c r="AK306" s="109">
        <f>IF(INVESTORS_LIST[[#This Row],[TOTAL CURRENT UNITS]]=0,0,INVESTORS_LIST[[#This Row],[SIP_TOTAL CURRENT UNITS]]/INVESTORS_LIST[[#This Row],[TOTAL CURRENT UNITS]])</f>
        <v>0</v>
      </c>
      <c r="AL306" s="49" cm="1">
        <f t="array" ref="AL3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6" s="49" cm="1">
        <f t="array" ref="AM3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6" s="105">
        <f t="shared" si="5"/>
        <v>14.224</v>
      </c>
      <c r="AP306" s="112">
        <f>IF(INVESTORS_LIST[[#This Row],[TOTAL CURRENT UNITS]]=0,0,INVESTORS_LIST[[#This Row],[TOTAL CURRENT UNITS]]*INVESTORS_LIST[[#This Row],[NAV]])</f>
        <v>0</v>
      </c>
      <c r="AQ306" s="49">
        <f>IF(INVESTORS_LIST[[#This Row],[LS_TOTAL CURRENT UNITS]]=0,0,INVESTORS_LIST[[#This Row],[LS_TOTAL CURRENT UNITS]]*INVESTORS_LIST[[#This Row],[NAV]])</f>
        <v>0</v>
      </c>
      <c r="AR306" s="48">
        <f>IF(INVESTORS_LIST[[#This Row],[SIP_TOTAL CURRENT UNITS]]=0,0,INVESTORS_LIST[[#This Row],[SIP_TOTAL CURRENT UNITS]]*INVESTORS_LIST[[#This Row],[NAV]])</f>
        <v>0</v>
      </c>
      <c r="AS306" s="50">
        <f>INVESTORS_LIST[[#This Row],[TOTAL CURRENT UNITS]]</f>
        <v>0</v>
      </c>
      <c r="AT306" s="48">
        <f>IF(INVESTORS_LIST[[#This Row],[TOTAL SELLABLE UNITS]]=0,0,INVESTORS_LIST[[#This Row],[TOTAL SELLABLE UNITS]]*INVESTORS_LIST[[#This Row],[NAV]])</f>
        <v>0</v>
      </c>
      <c r="AU306" s="48">
        <f>INVESTORS_LIST[[#This Row],[LS_TOTAL REALIZED GAIN]]+INVESTORS_LIST[[#This Row],[SIP_TOTAL REALIZED GAIN]]</f>
        <v>0</v>
      </c>
      <c r="AV306" s="48">
        <f>INVESTORS_LIST[[#This Row],[TOTAL MARKET VALUE]]-INVESTORS_LIST[[#This Row],[TOTAL COST VALUE OF CURRENT INVESTMENT]]</f>
        <v>0</v>
      </c>
      <c r="AW306" s="48">
        <f>IFERROR(INVESTORS_LIST[[#This Row],[TOTAL CURRENT UNITS]]/SUM(INVESTORS_LIST[TOTAL CURRENT UNITS]),0)</f>
        <v>0</v>
      </c>
    </row>
    <row r="307" spans="1:49" hidden="1">
      <c r="A307" s="262" t="s">
        <v>661</v>
      </c>
      <c r="B307" s="97" t="s">
        <v>662</v>
      </c>
      <c r="C307" t="s">
        <v>44</v>
      </c>
      <c r="D307" s="75" t="s">
        <v>45</v>
      </c>
      <c r="E307" s="47">
        <f>SUMIFS(LS[Unit],LS[Investor ID],INVESTORS_LIST[[#This Row],[INVESTOR CODE]],LS[B/S],"B")</f>
        <v>0</v>
      </c>
      <c r="F307" s="47">
        <f>-SUMIFS(LS[Unit],LS[Investor ID],INVESTORS_LIST[[#This Row],[INVESTOR CODE]],LS[B/S],"S")</f>
        <v>0</v>
      </c>
      <c r="G307" s="47">
        <f>IF(INVESTORS_LIST[[#This Row],[LS_TOTAL UNITS BUY]]=0,0,INVESTORS_LIST[[#This Row],[LS_TOTAL UNITS BUY]]-INVESTORS_LIST[[#This Row],[LS_TOTAL UNITS SOLD]])</f>
        <v>0</v>
      </c>
      <c r="H307" s="49">
        <f>IF(INVESTORS_LIST[[#This Row],[LS_TOTAL UNITS BUY]]=0,0,SUMIFS(LS[Amount],LS[Investor ID],INVESTORS_LIST[[#This Row],[INVESTOR CODE]],LS[B/S],"B"))</f>
        <v>0</v>
      </c>
      <c r="I307" s="48">
        <f>IF(INVESTORS_LIST[[#This Row],[LS_TOTAL UNITS SOLD]]=0,0,SUMIFS(LS[Cost of Units Sold],LS[Investor ID],INVESTORS_LIST[[#This Row],[INVESTOR CODE]],LS[B/S],"S"))</f>
        <v>0</v>
      </c>
      <c r="J307" s="48">
        <f>IF(INVESTORS_LIST[[#This Row],[LS_TOTAL CURRENT UNITS]]=0,0,INVESTORS_LIST[[#This Row],[LS_TOTAL CURRENT UNITS]]*INVESTORS_LIST[[#This Row],[LS_AVERAGE COST]])</f>
        <v>0</v>
      </c>
      <c r="K307" s="49">
        <f>IF(INVESTORS_LIST[[#This Row],[LS_TOTAL UNITS SOLD]]=0,0,SUMIFS(LS[Realized Gain],LS[Investor ID],INVESTORS_LIST[[#This Row],[INVESTOR CODE]],LS[B/S],"S"))</f>
        <v>0</v>
      </c>
      <c r="L307" s="47">
        <f>SUMIFS(SIP[Unit],SIP[Investor ID],INVESTORS_LIST[[#This Row],[INVESTOR CODE]],SIP[B/S],"B")</f>
        <v>0</v>
      </c>
      <c r="M307" s="47">
        <f>-SUMIFS(SIP[Unit],SIP[Investor ID],INVESTORS_LIST[[#This Row],[INVESTOR CODE]],SIP[B/S],"S")</f>
        <v>0</v>
      </c>
      <c r="N307" s="50">
        <f>IF(INVESTORS_LIST[[#This Row],[SIP_TOTAL UNITS BUY]]=0,0,INVESTORS_LIST[[#This Row],[SIP_TOTAL UNITS BUY]]-INVESTORS_LIST[[#This Row],[SIP_TOTAL UNITS SOLD]])</f>
        <v>0</v>
      </c>
      <c r="O307" s="49">
        <f>IF(INVESTORS_LIST[[#This Row],[SIP_TOTAL UNITS BUY]]=0,0,SUMIFS(SIP[Amount],SIP[Investor ID],INVESTORS_LIST[[#This Row],[INVESTOR CODE]],SIP[B/S],"B"))</f>
        <v>0</v>
      </c>
      <c r="P307" s="49">
        <f>IF(INVESTORS_LIST[[#This Row],[SIP_TOTAL UNITS SOLD]]=0,0,SUMIFS(SIP[Cost of Units Sold],SIP[Investor ID],INVESTORS_LIST[[#This Row],[INVESTOR CODE]],SIP[B/S],"S"))</f>
        <v>0</v>
      </c>
      <c r="Q307" s="48">
        <f>IF(INVESTORS_LIST[[#This Row],[SIP_TOTAL CURRENT UNITS]]=0,0,INVESTORS_LIST[[#This Row],[SIP_TOTAL CURRENT UNITS]]*INVESTORS_LIST[[#This Row],[SIP_AVERAGE COST]])</f>
        <v>0</v>
      </c>
      <c r="R307" s="48">
        <f>IF(INVESTORS_LIST[[#This Row],[SIP_TOTAL UNITS SOLD]]=0,0,SUMIFS(SIP[Realized Gain],SIP[Investor ID],INVESTORS_LIST[[#This Row],[INVESTOR CODE]],SIP[B/S],"S"))</f>
        <v>0</v>
      </c>
      <c r="S307" s="50">
        <f>INVESTORS_LIST[[#This Row],[LS_TOTAL UNITS BUY]]+INVESTORS_LIST[[#This Row],[SIP_TOTAL UNITS BUY]]</f>
        <v>0</v>
      </c>
      <c r="T307" s="50">
        <f>INVESTORS_LIST[[#This Row],[LS_TOTAL UNITS SOLD]]+INVESTORS_LIST[[#This Row],[SIP_TOTAL UNITS SOLD]]</f>
        <v>0</v>
      </c>
      <c r="U307" s="50"/>
      <c r="V307" s="50">
        <f>SUMIFS(LS[BO UNIT TRANSFER],LS[Investor ID],INVESTORS_LIST[[#This Row],[INVESTOR CODE]],LS[B/S],"B")</f>
        <v>0</v>
      </c>
      <c r="W307" s="50">
        <f>SUMIFS(SIP[BO UNIT TRANSFER],SIP[Investor ID],INVESTORS_LIST[[#This Row],[INVESTOR CODE]],SIP[B/S],"B")</f>
        <v>0</v>
      </c>
      <c r="X307" s="50">
        <f>SUMIFS(LS[BO UNIT TRANSFER],LS[Investor ID],INVESTORS_LIST[[#This Row],[INVESTOR CODE]],LS[B/S],"S")</f>
        <v>0</v>
      </c>
      <c r="Y307" s="50">
        <f>SUMIFS(SIP[BO UNIT TRANSFER],SIP[Investor ID],INVESTORS_LIST[[#This Row],[INVESTOR CODE]],SIP[B/S],"S")</f>
        <v>0</v>
      </c>
      <c r="Z307" s="106">
        <f>SUM(INVESTORS_LIST[[#This Row],[BO OPENING BALANCE]:[BO SIP UNITS REPURCHASE]])</f>
        <v>0</v>
      </c>
      <c r="AA307" s="107">
        <f>INVESTORS_LIST[[#This Row],[TOTAL UNITS BUY]]-INVESTORS_LIST[[#This Row],[TOTAL UNITS SOLD]]</f>
        <v>0</v>
      </c>
      <c r="AB307" s="107">
        <f>INVESTORS_LIST[[#This Row],[TOTAL CURRENT UNITS]]-INVESTORS_LIST[[#This Row],[BO UNITS HOLD]]</f>
        <v>0</v>
      </c>
      <c r="AC307" s="201" t="e">
        <f>INDEX([3]!Table_1[BO ID],MATCH(INVESTORS_LIST[[#This Row],[INVESTOR CODE]],[3]!Table_1[INVESTOR CODE],0))</f>
        <v>#REF!</v>
      </c>
      <c r="AD307" s="201" t="e">
        <f>INDEX([3]!Table_1[Brokerage Name2],MATCH(INVESTORS_LIST[[#This Row],[INVESTOR CODE]],[3]!Table_1[INVESTOR CODE],0))</f>
        <v>#REF!</v>
      </c>
      <c r="AE307" s="201" t="e">
        <f>MID(INVESTORS_LIST[[#This Row],[BO ID]],4,5)</f>
        <v>#REF!</v>
      </c>
      <c r="AF307" s="201" t="e">
        <f>MID(INVESTORS_LIST[[#This Row],[BO ID]],2,7)</f>
        <v>#REF!</v>
      </c>
      <c r="AG307" s="201" t="e">
        <f>MID(INVESTORS_LIST[[#This Row],[BO ID]],9,7)</f>
        <v>#REF!</v>
      </c>
      <c r="AH307" s="201" t="e">
        <f>RIGHT(INVESTORS_LIST[[#This Row],[BO ID]],1)</f>
        <v>#REF!</v>
      </c>
      <c r="AI307" s="50">
        <f>INVESTORS_LIST[[#This Row],[LS_TOTAL COST VALUE OF CURRENT UNITS]]+INVESTORS_LIST[[#This Row],[SIP_TOTAL COST VALUE OF CURRENT UNITS]]</f>
        <v>0</v>
      </c>
      <c r="AJ307" s="109">
        <f>IF(INVESTORS_LIST[[#This Row],[TOTAL CURRENT UNITS]]=0,0,INVESTORS_LIST[[#This Row],[LS_TOTAL CURRENT UNITS]]/INVESTORS_LIST[[#This Row],[TOTAL CURRENT UNITS]])</f>
        <v>0</v>
      </c>
      <c r="AK307" s="109">
        <f>IF(INVESTORS_LIST[[#This Row],[TOTAL CURRENT UNITS]]=0,0,INVESTORS_LIST[[#This Row],[SIP_TOTAL CURRENT UNITS]]/INVESTORS_LIST[[#This Row],[TOTAL CURRENT UNITS]])</f>
        <v>0</v>
      </c>
      <c r="AL307" s="49" cm="1">
        <f t="array" ref="AL3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7" s="49" cm="1">
        <f t="array" ref="AM3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7" s="105">
        <f t="shared" si="5"/>
        <v>14.224</v>
      </c>
      <c r="AP307" s="112">
        <f>IF(INVESTORS_LIST[[#This Row],[TOTAL CURRENT UNITS]]=0,0,INVESTORS_LIST[[#This Row],[TOTAL CURRENT UNITS]]*INVESTORS_LIST[[#This Row],[NAV]])</f>
        <v>0</v>
      </c>
      <c r="AQ307" s="49">
        <f>IF(INVESTORS_LIST[[#This Row],[LS_TOTAL CURRENT UNITS]]=0,0,INVESTORS_LIST[[#This Row],[LS_TOTAL CURRENT UNITS]]*INVESTORS_LIST[[#This Row],[NAV]])</f>
        <v>0</v>
      </c>
      <c r="AR307" s="48">
        <f>IF(INVESTORS_LIST[[#This Row],[SIP_TOTAL CURRENT UNITS]]=0,0,INVESTORS_LIST[[#This Row],[SIP_TOTAL CURRENT UNITS]]*INVESTORS_LIST[[#This Row],[NAV]])</f>
        <v>0</v>
      </c>
      <c r="AS307" s="50">
        <f>INVESTORS_LIST[[#This Row],[TOTAL CURRENT UNITS]]</f>
        <v>0</v>
      </c>
      <c r="AT307" s="48">
        <f>IF(INVESTORS_LIST[[#This Row],[TOTAL SELLABLE UNITS]]=0,0,INVESTORS_LIST[[#This Row],[TOTAL SELLABLE UNITS]]*INVESTORS_LIST[[#This Row],[NAV]])</f>
        <v>0</v>
      </c>
      <c r="AU307" s="48">
        <f>INVESTORS_LIST[[#This Row],[LS_TOTAL REALIZED GAIN]]+INVESTORS_LIST[[#This Row],[SIP_TOTAL REALIZED GAIN]]</f>
        <v>0</v>
      </c>
      <c r="AV307" s="48">
        <f>INVESTORS_LIST[[#This Row],[TOTAL MARKET VALUE]]-INVESTORS_LIST[[#This Row],[TOTAL COST VALUE OF CURRENT INVESTMENT]]</f>
        <v>0</v>
      </c>
      <c r="AW307" s="48">
        <f>IFERROR(INVESTORS_LIST[[#This Row],[TOTAL CURRENT UNITS]]/SUM(INVESTORS_LIST[TOTAL CURRENT UNITS]),0)</f>
        <v>0</v>
      </c>
    </row>
    <row r="308" spans="1:49" hidden="1">
      <c r="A308" s="262" t="s">
        <v>663</v>
      </c>
      <c r="B308" s="97" t="s">
        <v>664</v>
      </c>
      <c r="C308" t="s">
        <v>44</v>
      </c>
      <c r="D308" s="75" t="s">
        <v>45</v>
      </c>
      <c r="E308" s="47">
        <f>SUMIFS(LS[Unit],LS[Investor ID],INVESTORS_LIST[[#This Row],[INVESTOR CODE]],LS[B/S],"B")</f>
        <v>0</v>
      </c>
      <c r="F308" s="47">
        <f>-SUMIFS(LS[Unit],LS[Investor ID],INVESTORS_LIST[[#This Row],[INVESTOR CODE]],LS[B/S],"S")</f>
        <v>0</v>
      </c>
      <c r="G308" s="47">
        <f>IF(INVESTORS_LIST[[#This Row],[LS_TOTAL UNITS BUY]]=0,0,INVESTORS_LIST[[#This Row],[LS_TOTAL UNITS BUY]]-INVESTORS_LIST[[#This Row],[LS_TOTAL UNITS SOLD]])</f>
        <v>0</v>
      </c>
      <c r="H308" s="49">
        <f>IF(INVESTORS_LIST[[#This Row],[LS_TOTAL UNITS BUY]]=0,0,SUMIFS(LS[Amount],LS[Investor ID],INVESTORS_LIST[[#This Row],[INVESTOR CODE]],LS[B/S],"B"))</f>
        <v>0</v>
      </c>
      <c r="I308" s="48">
        <f>IF(INVESTORS_LIST[[#This Row],[LS_TOTAL UNITS SOLD]]=0,0,SUMIFS(LS[Cost of Units Sold],LS[Investor ID],INVESTORS_LIST[[#This Row],[INVESTOR CODE]],LS[B/S],"S"))</f>
        <v>0</v>
      </c>
      <c r="J308" s="48">
        <f>IF(INVESTORS_LIST[[#This Row],[LS_TOTAL CURRENT UNITS]]=0,0,INVESTORS_LIST[[#This Row],[LS_TOTAL CURRENT UNITS]]*INVESTORS_LIST[[#This Row],[LS_AVERAGE COST]])</f>
        <v>0</v>
      </c>
      <c r="K308" s="49">
        <f>IF(INVESTORS_LIST[[#This Row],[LS_TOTAL UNITS SOLD]]=0,0,SUMIFS(LS[Realized Gain],LS[Investor ID],INVESTORS_LIST[[#This Row],[INVESTOR CODE]],LS[B/S],"S"))</f>
        <v>0</v>
      </c>
      <c r="L308" s="47">
        <f>SUMIFS(SIP[Unit],SIP[Investor ID],INVESTORS_LIST[[#This Row],[INVESTOR CODE]],SIP[B/S],"B")</f>
        <v>0</v>
      </c>
      <c r="M308" s="47">
        <f>-SUMIFS(SIP[Unit],SIP[Investor ID],INVESTORS_LIST[[#This Row],[INVESTOR CODE]],SIP[B/S],"S")</f>
        <v>0</v>
      </c>
      <c r="N308" s="50">
        <f>IF(INVESTORS_LIST[[#This Row],[SIP_TOTAL UNITS BUY]]=0,0,INVESTORS_LIST[[#This Row],[SIP_TOTAL UNITS BUY]]-INVESTORS_LIST[[#This Row],[SIP_TOTAL UNITS SOLD]])</f>
        <v>0</v>
      </c>
      <c r="O308" s="49">
        <f>IF(INVESTORS_LIST[[#This Row],[SIP_TOTAL UNITS BUY]]=0,0,SUMIFS(SIP[Amount],SIP[Investor ID],INVESTORS_LIST[[#This Row],[INVESTOR CODE]],SIP[B/S],"B"))</f>
        <v>0</v>
      </c>
      <c r="P308" s="49">
        <f>IF(INVESTORS_LIST[[#This Row],[SIP_TOTAL UNITS SOLD]]=0,0,SUMIFS(SIP[Cost of Units Sold],SIP[Investor ID],INVESTORS_LIST[[#This Row],[INVESTOR CODE]],SIP[B/S],"S"))</f>
        <v>0</v>
      </c>
      <c r="Q308" s="48">
        <f>IF(INVESTORS_LIST[[#This Row],[SIP_TOTAL CURRENT UNITS]]=0,0,INVESTORS_LIST[[#This Row],[SIP_TOTAL CURRENT UNITS]]*INVESTORS_LIST[[#This Row],[SIP_AVERAGE COST]])</f>
        <v>0</v>
      </c>
      <c r="R308" s="48">
        <f>IF(INVESTORS_LIST[[#This Row],[SIP_TOTAL UNITS SOLD]]=0,0,SUMIFS(SIP[Realized Gain],SIP[Investor ID],INVESTORS_LIST[[#This Row],[INVESTOR CODE]],SIP[B/S],"S"))</f>
        <v>0</v>
      </c>
      <c r="S308" s="50">
        <f>INVESTORS_LIST[[#This Row],[LS_TOTAL UNITS BUY]]+INVESTORS_LIST[[#This Row],[SIP_TOTAL UNITS BUY]]</f>
        <v>0</v>
      </c>
      <c r="T308" s="50">
        <f>INVESTORS_LIST[[#This Row],[LS_TOTAL UNITS SOLD]]+INVESTORS_LIST[[#This Row],[SIP_TOTAL UNITS SOLD]]</f>
        <v>0</v>
      </c>
      <c r="U308" s="50"/>
      <c r="V308" s="50">
        <f>SUMIFS(LS[BO UNIT TRANSFER],LS[Investor ID],INVESTORS_LIST[[#This Row],[INVESTOR CODE]],LS[B/S],"B")</f>
        <v>0</v>
      </c>
      <c r="W308" s="50">
        <f>SUMIFS(SIP[BO UNIT TRANSFER],SIP[Investor ID],INVESTORS_LIST[[#This Row],[INVESTOR CODE]],SIP[B/S],"B")</f>
        <v>0</v>
      </c>
      <c r="X308" s="50">
        <f>SUMIFS(LS[BO UNIT TRANSFER],LS[Investor ID],INVESTORS_LIST[[#This Row],[INVESTOR CODE]],LS[B/S],"S")</f>
        <v>0</v>
      </c>
      <c r="Y308" s="50">
        <f>SUMIFS(SIP[BO UNIT TRANSFER],SIP[Investor ID],INVESTORS_LIST[[#This Row],[INVESTOR CODE]],SIP[B/S],"S")</f>
        <v>0</v>
      </c>
      <c r="Z308" s="106">
        <f>SUM(INVESTORS_LIST[[#This Row],[BO OPENING BALANCE]:[BO SIP UNITS REPURCHASE]])</f>
        <v>0</v>
      </c>
      <c r="AA308" s="107">
        <f>INVESTORS_LIST[[#This Row],[TOTAL UNITS BUY]]-INVESTORS_LIST[[#This Row],[TOTAL UNITS SOLD]]</f>
        <v>0</v>
      </c>
      <c r="AB308" s="107">
        <f>INVESTORS_LIST[[#This Row],[TOTAL CURRENT UNITS]]-INVESTORS_LIST[[#This Row],[BO UNITS HOLD]]</f>
        <v>0</v>
      </c>
      <c r="AC308" s="201" t="e">
        <f>INDEX([3]!Table_1[BO ID],MATCH(INVESTORS_LIST[[#This Row],[INVESTOR CODE]],[3]!Table_1[INVESTOR CODE],0))</f>
        <v>#REF!</v>
      </c>
      <c r="AD308" s="201" t="e">
        <f>INDEX([3]!Table_1[Brokerage Name2],MATCH(INVESTORS_LIST[[#This Row],[INVESTOR CODE]],[3]!Table_1[INVESTOR CODE],0))</f>
        <v>#REF!</v>
      </c>
      <c r="AE308" s="201" t="e">
        <f>MID(INVESTORS_LIST[[#This Row],[BO ID]],4,5)</f>
        <v>#REF!</v>
      </c>
      <c r="AF308" s="201" t="e">
        <f>MID(INVESTORS_LIST[[#This Row],[BO ID]],2,7)</f>
        <v>#REF!</v>
      </c>
      <c r="AG308" s="201" t="e">
        <f>MID(INVESTORS_LIST[[#This Row],[BO ID]],9,7)</f>
        <v>#REF!</v>
      </c>
      <c r="AH308" s="201" t="e">
        <f>RIGHT(INVESTORS_LIST[[#This Row],[BO ID]],1)</f>
        <v>#REF!</v>
      </c>
      <c r="AI308" s="50">
        <f>INVESTORS_LIST[[#This Row],[LS_TOTAL COST VALUE OF CURRENT UNITS]]+INVESTORS_LIST[[#This Row],[SIP_TOTAL COST VALUE OF CURRENT UNITS]]</f>
        <v>0</v>
      </c>
      <c r="AJ308" s="109">
        <f>IF(INVESTORS_LIST[[#This Row],[TOTAL CURRENT UNITS]]=0,0,INVESTORS_LIST[[#This Row],[LS_TOTAL CURRENT UNITS]]/INVESTORS_LIST[[#This Row],[TOTAL CURRENT UNITS]])</f>
        <v>0</v>
      </c>
      <c r="AK308" s="109">
        <f>IF(INVESTORS_LIST[[#This Row],[TOTAL CURRENT UNITS]]=0,0,INVESTORS_LIST[[#This Row],[SIP_TOTAL CURRENT UNITS]]/INVESTORS_LIST[[#This Row],[TOTAL CURRENT UNITS]])</f>
        <v>0</v>
      </c>
      <c r="AL308" s="49" cm="1">
        <f t="array" ref="AL3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8" s="49" cm="1">
        <f t="array" ref="AM3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8" s="105">
        <f t="shared" si="5"/>
        <v>14.224</v>
      </c>
      <c r="AP308" s="112">
        <f>IF(INVESTORS_LIST[[#This Row],[TOTAL CURRENT UNITS]]=0,0,INVESTORS_LIST[[#This Row],[TOTAL CURRENT UNITS]]*INVESTORS_LIST[[#This Row],[NAV]])</f>
        <v>0</v>
      </c>
      <c r="AQ308" s="49">
        <f>IF(INVESTORS_LIST[[#This Row],[LS_TOTAL CURRENT UNITS]]=0,0,INVESTORS_LIST[[#This Row],[LS_TOTAL CURRENT UNITS]]*INVESTORS_LIST[[#This Row],[NAV]])</f>
        <v>0</v>
      </c>
      <c r="AR308" s="48">
        <f>IF(INVESTORS_LIST[[#This Row],[SIP_TOTAL CURRENT UNITS]]=0,0,INVESTORS_LIST[[#This Row],[SIP_TOTAL CURRENT UNITS]]*INVESTORS_LIST[[#This Row],[NAV]])</f>
        <v>0</v>
      </c>
      <c r="AS308" s="50">
        <f>INVESTORS_LIST[[#This Row],[TOTAL CURRENT UNITS]]</f>
        <v>0</v>
      </c>
      <c r="AT308" s="48">
        <f>IF(INVESTORS_LIST[[#This Row],[TOTAL SELLABLE UNITS]]=0,0,INVESTORS_LIST[[#This Row],[TOTAL SELLABLE UNITS]]*INVESTORS_LIST[[#This Row],[NAV]])</f>
        <v>0</v>
      </c>
      <c r="AU308" s="48">
        <f>INVESTORS_LIST[[#This Row],[LS_TOTAL REALIZED GAIN]]+INVESTORS_LIST[[#This Row],[SIP_TOTAL REALIZED GAIN]]</f>
        <v>0</v>
      </c>
      <c r="AV308" s="48">
        <f>INVESTORS_LIST[[#This Row],[TOTAL MARKET VALUE]]-INVESTORS_LIST[[#This Row],[TOTAL COST VALUE OF CURRENT INVESTMENT]]</f>
        <v>0</v>
      </c>
      <c r="AW308" s="48">
        <f>IFERROR(INVESTORS_LIST[[#This Row],[TOTAL CURRENT UNITS]]/SUM(INVESTORS_LIST[TOTAL CURRENT UNITS]),0)</f>
        <v>0</v>
      </c>
    </row>
    <row r="309" spans="1:49" hidden="1">
      <c r="A309" s="262" t="s">
        <v>665</v>
      </c>
      <c r="B309" s="97" t="s">
        <v>666</v>
      </c>
      <c r="C309" t="s">
        <v>538</v>
      </c>
      <c r="D309" s="75" t="s">
        <v>45</v>
      </c>
      <c r="E309" s="47">
        <f>SUMIFS(LS[Unit],LS[Investor ID],INVESTORS_LIST[[#This Row],[INVESTOR CODE]],LS[B/S],"B")</f>
        <v>0</v>
      </c>
      <c r="F309" s="47">
        <f>-SUMIFS(LS[Unit],LS[Investor ID],INVESTORS_LIST[[#This Row],[INVESTOR CODE]],LS[B/S],"S")</f>
        <v>0</v>
      </c>
      <c r="G309" s="47">
        <f>IF(INVESTORS_LIST[[#This Row],[LS_TOTAL UNITS BUY]]=0,0,INVESTORS_LIST[[#This Row],[LS_TOTAL UNITS BUY]]-INVESTORS_LIST[[#This Row],[LS_TOTAL UNITS SOLD]])</f>
        <v>0</v>
      </c>
      <c r="H309" s="49">
        <f>IF(INVESTORS_LIST[[#This Row],[LS_TOTAL UNITS BUY]]=0,0,SUMIFS(LS[Amount],LS[Investor ID],INVESTORS_LIST[[#This Row],[INVESTOR CODE]],LS[B/S],"B"))</f>
        <v>0</v>
      </c>
      <c r="I309" s="48">
        <f>IF(INVESTORS_LIST[[#This Row],[LS_TOTAL UNITS SOLD]]=0,0,SUMIFS(LS[Cost of Units Sold],LS[Investor ID],INVESTORS_LIST[[#This Row],[INVESTOR CODE]],LS[B/S],"S"))</f>
        <v>0</v>
      </c>
      <c r="J309" s="48">
        <f>IF(INVESTORS_LIST[[#This Row],[LS_TOTAL CURRENT UNITS]]=0,0,INVESTORS_LIST[[#This Row],[LS_TOTAL CURRENT UNITS]]*INVESTORS_LIST[[#This Row],[LS_AVERAGE COST]])</f>
        <v>0</v>
      </c>
      <c r="K309" s="49">
        <f>IF(INVESTORS_LIST[[#This Row],[LS_TOTAL UNITS SOLD]]=0,0,SUMIFS(LS[Realized Gain],LS[Investor ID],INVESTORS_LIST[[#This Row],[INVESTOR CODE]],LS[B/S],"S"))</f>
        <v>0</v>
      </c>
      <c r="L309" s="47">
        <f>SUMIFS(SIP[Unit],SIP[Investor ID],INVESTORS_LIST[[#This Row],[INVESTOR CODE]],SIP[B/S],"B")</f>
        <v>0</v>
      </c>
      <c r="M309" s="47">
        <f>-SUMIFS(SIP[Unit],SIP[Investor ID],INVESTORS_LIST[[#This Row],[INVESTOR CODE]],SIP[B/S],"S")</f>
        <v>0</v>
      </c>
      <c r="N309" s="50">
        <f>IF(INVESTORS_LIST[[#This Row],[SIP_TOTAL UNITS BUY]]=0,0,INVESTORS_LIST[[#This Row],[SIP_TOTAL UNITS BUY]]-INVESTORS_LIST[[#This Row],[SIP_TOTAL UNITS SOLD]])</f>
        <v>0</v>
      </c>
      <c r="O309" s="49">
        <f>IF(INVESTORS_LIST[[#This Row],[SIP_TOTAL UNITS BUY]]=0,0,SUMIFS(SIP[Amount],SIP[Investor ID],INVESTORS_LIST[[#This Row],[INVESTOR CODE]],SIP[B/S],"B"))</f>
        <v>0</v>
      </c>
      <c r="P309" s="49">
        <f>IF(INVESTORS_LIST[[#This Row],[SIP_TOTAL UNITS SOLD]]=0,0,SUMIFS(SIP[Cost of Units Sold],SIP[Investor ID],INVESTORS_LIST[[#This Row],[INVESTOR CODE]],SIP[B/S],"S"))</f>
        <v>0</v>
      </c>
      <c r="Q309" s="48">
        <f>IF(INVESTORS_LIST[[#This Row],[SIP_TOTAL CURRENT UNITS]]=0,0,INVESTORS_LIST[[#This Row],[SIP_TOTAL CURRENT UNITS]]*INVESTORS_LIST[[#This Row],[SIP_AVERAGE COST]])</f>
        <v>0</v>
      </c>
      <c r="R309" s="48">
        <f>IF(INVESTORS_LIST[[#This Row],[SIP_TOTAL UNITS SOLD]]=0,0,SUMIFS(SIP[Realized Gain],SIP[Investor ID],INVESTORS_LIST[[#This Row],[INVESTOR CODE]],SIP[B/S],"S"))</f>
        <v>0</v>
      </c>
      <c r="S309" s="50">
        <f>INVESTORS_LIST[[#This Row],[LS_TOTAL UNITS BUY]]+INVESTORS_LIST[[#This Row],[SIP_TOTAL UNITS BUY]]</f>
        <v>0</v>
      </c>
      <c r="T309" s="50">
        <f>INVESTORS_LIST[[#This Row],[LS_TOTAL UNITS SOLD]]+INVESTORS_LIST[[#This Row],[SIP_TOTAL UNITS SOLD]]</f>
        <v>0</v>
      </c>
      <c r="U309" s="50"/>
      <c r="V309" s="50">
        <f>SUMIFS(LS[BO UNIT TRANSFER],LS[Investor ID],INVESTORS_LIST[[#This Row],[INVESTOR CODE]],LS[B/S],"B")</f>
        <v>0</v>
      </c>
      <c r="W309" s="50">
        <f>SUMIFS(SIP[BO UNIT TRANSFER],SIP[Investor ID],INVESTORS_LIST[[#This Row],[INVESTOR CODE]],SIP[B/S],"B")</f>
        <v>0</v>
      </c>
      <c r="X309" s="50">
        <f>SUMIFS(LS[BO UNIT TRANSFER],LS[Investor ID],INVESTORS_LIST[[#This Row],[INVESTOR CODE]],LS[B/S],"S")</f>
        <v>0</v>
      </c>
      <c r="Y309" s="50">
        <f>SUMIFS(SIP[BO UNIT TRANSFER],SIP[Investor ID],INVESTORS_LIST[[#This Row],[INVESTOR CODE]],SIP[B/S],"S")</f>
        <v>0</v>
      </c>
      <c r="Z309" s="106">
        <f>SUM(INVESTORS_LIST[[#This Row],[BO OPENING BALANCE]:[BO SIP UNITS REPURCHASE]])</f>
        <v>0</v>
      </c>
      <c r="AA309" s="107">
        <f>INVESTORS_LIST[[#This Row],[TOTAL UNITS BUY]]-INVESTORS_LIST[[#This Row],[TOTAL UNITS SOLD]]</f>
        <v>0</v>
      </c>
      <c r="AB309" s="107">
        <f>INVESTORS_LIST[[#This Row],[TOTAL CURRENT UNITS]]-INVESTORS_LIST[[#This Row],[BO UNITS HOLD]]</f>
        <v>0</v>
      </c>
      <c r="AC309" s="201" t="e">
        <f>INDEX([3]!Table_1[BO ID],MATCH(INVESTORS_LIST[[#This Row],[INVESTOR CODE]],[3]!Table_1[INVESTOR CODE],0))</f>
        <v>#REF!</v>
      </c>
      <c r="AD309" s="201" t="e">
        <f>INDEX([3]!Table_1[Brokerage Name2],MATCH(INVESTORS_LIST[[#This Row],[INVESTOR CODE]],[3]!Table_1[INVESTOR CODE],0))</f>
        <v>#REF!</v>
      </c>
      <c r="AE309" s="201" t="e">
        <f>MID(INVESTORS_LIST[[#This Row],[BO ID]],4,5)</f>
        <v>#REF!</v>
      </c>
      <c r="AF309" s="201" t="e">
        <f>MID(INVESTORS_LIST[[#This Row],[BO ID]],2,7)</f>
        <v>#REF!</v>
      </c>
      <c r="AG309" s="201" t="e">
        <f>MID(INVESTORS_LIST[[#This Row],[BO ID]],9,7)</f>
        <v>#REF!</v>
      </c>
      <c r="AH309" s="201" t="e">
        <f>RIGHT(INVESTORS_LIST[[#This Row],[BO ID]],1)</f>
        <v>#REF!</v>
      </c>
      <c r="AI309" s="50">
        <f>INVESTORS_LIST[[#This Row],[LS_TOTAL COST VALUE OF CURRENT UNITS]]+INVESTORS_LIST[[#This Row],[SIP_TOTAL COST VALUE OF CURRENT UNITS]]</f>
        <v>0</v>
      </c>
      <c r="AJ309" s="109">
        <f>IF(INVESTORS_LIST[[#This Row],[TOTAL CURRENT UNITS]]=0,0,INVESTORS_LIST[[#This Row],[LS_TOTAL CURRENT UNITS]]/INVESTORS_LIST[[#This Row],[TOTAL CURRENT UNITS]])</f>
        <v>0</v>
      </c>
      <c r="AK309" s="109">
        <f>IF(INVESTORS_LIST[[#This Row],[TOTAL CURRENT UNITS]]=0,0,INVESTORS_LIST[[#This Row],[SIP_TOTAL CURRENT UNITS]]/INVESTORS_LIST[[#This Row],[TOTAL CURRENT UNITS]])</f>
        <v>0</v>
      </c>
      <c r="AL309" s="49" cm="1">
        <f t="array" ref="AL3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09" s="49" cm="1">
        <f t="array" ref="AM3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0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09" s="105">
        <f t="shared" si="5"/>
        <v>14.224</v>
      </c>
      <c r="AP309" s="112">
        <f>IF(INVESTORS_LIST[[#This Row],[TOTAL CURRENT UNITS]]=0,0,INVESTORS_LIST[[#This Row],[TOTAL CURRENT UNITS]]*INVESTORS_LIST[[#This Row],[NAV]])</f>
        <v>0</v>
      </c>
      <c r="AQ309" s="49">
        <f>IF(INVESTORS_LIST[[#This Row],[LS_TOTAL CURRENT UNITS]]=0,0,INVESTORS_LIST[[#This Row],[LS_TOTAL CURRENT UNITS]]*INVESTORS_LIST[[#This Row],[NAV]])</f>
        <v>0</v>
      </c>
      <c r="AR309" s="48">
        <f>IF(INVESTORS_LIST[[#This Row],[SIP_TOTAL CURRENT UNITS]]=0,0,INVESTORS_LIST[[#This Row],[SIP_TOTAL CURRENT UNITS]]*INVESTORS_LIST[[#This Row],[NAV]])</f>
        <v>0</v>
      </c>
      <c r="AS309" s="50">
        <f>INVESTORS_LIST[[#This Row],[TOTAL CURRENT UNITS]]</f>
        <v>0</v>
      </c>
      <c r="AT309" s="48">
        <f>IF(INVESTORS_LIST[[#This Row],[TOTAL SELLABLE UNITS]]=0,0,INVESTORS_LIST[[#This Row],[TOTAL SELLABLE UNITS]]*INVESTORS_LIST[[#This Row],[NAV]])</f>
        <v>0</v>
      </c>
      <c r="AU309" s="48">
        <f>INVESTORS_LIST[[#This Row],[LS_TOTAL REALIZED GAIN]]+INVESTORS_LIST[[#This Row],[SIP_TOTAL REALIZED GAIN]]</f>
        <v>0</v>
      </c>
      <c r="AV309" s="48">
        <f>INVESTORS_LIST[[#This Row],[TOTAL MARKET VALUE]]-INVESTORS_LIST[[#This Row],[TOTAL COST VALUE OF CURRENT INVESTMENT]]</f>
        <v>0</v>
      </c>
      <c r="AW309" s="48">
        <f>IFERROR(INVESTORS_LIST[[#This Row],[TOTAL CURRENT UNITS]]/SUM(INVESTORS_LIST[TOTAL CURRENT UNITS]),0)</f>
        <v>0</v>
      </c>
    </row>
    <row r="310" spans="1:49" hidden="1">
      <c r="A310" s="262" t="s">
        <v>667</v>
      </c>
      <c r="B310" s="97" t="s">
        <v>668</v>
      </c>
      <c r="C310" t="s">
        <v>44</v>
      </c>
      <c r="D310" s="75" t="s">
        <v>45</v>
      </c>
      <c r="E310" s="47">
        <f>SUMIFS(LS[Unit],LS[Investor ID],INVESTORS_LIST[[#This Row],[INVESTOR CODE]],LS[B/S],"B")</f>
        <v>0</v>
      </c>
      <c r="F310" s="47">
        <f>-SUMIFS(LS[Unit],LS[Investor ID],INVESTORS_LIST[[#This Row],[INVESTOR CODE]],LS[B/S],"S")</f>
        <v>0</v>
      </c>
      <c r="G310" s="47">
        <f>IF(INVESTORS_LIST[[#This Row],[LS_TOTAL UNITS BUY]]=0,0,INVESTORS_LIST[[#This Row],[LS_TOTAL UNITS BUY]]-INVESTORS_LIST[[#This Row],[LS_TOTAL UNITS SOLD]])</f>
        <v>0</v>
      </c>
      <c r="H310" s="49">
        <f>IF(INVESTORS_LIST[[#This Row],[LS_TOTAL UNITS BUY]]=0,0,SUMIFS(LS[Amount],LS[Investor ID],INVESTORS_LIST[[#This Row],[INVESTOR CODE]],LS[B/S],"B"))</f>
        <v>0</v>
      </c>
      <c r="I310" s="48">
        <f>IF(INVESTORS_LIST[[#This Row],[LS_TOTAL UNITS SOLD]]=0,0,SUMIFS(LS[Cost of Units Sold],LS[Investor ID],INVESTORS_LIST[[#This Row],[INVESTOR CODE]],LS[B/S],"S"))</f>
        <v>0</v>
      </c>
      <c r="J310" s="48">
        <f>IF(INVESTORS_LIST[[#This Row],[LS_TOTAL CURRENT UNITS]]=0,0,INVESTORS_LIST[[#This Row],[LS_TOTAL CURRENT UNITS]]*INVESTORS_LIST[[#This Row],[LS_AVERAGE COST]])</f>
        <v>0</v>
      </c>
      <c r="K310" s="49">
        <f>IF(INVESTORS_LIST[[#This Row],[LS_TOTAL UNITS SOLD]]=0,0,SUMIFS(LS[Realized Gain],LS[Investor ID],INVESTORS_LIST[[#This Row],[INVESTOR CODE]],LS[B/S],"S"))</f>
        <v>0</v>
      </c>
      <c r="L310" s="47">
        <f>SUMIFS(SIP[Unit],SIP[Investor ID],INVESTORS_LIST[[#This Row],[INVESTOR CODE]],SIP[B/S],"B")</f>
        <v>0</v>
      </c>
      <c r="M310" s="47">
        <f>-SUMIFS(SIP[Unit],SIP[Investor ID],INVESTORS_LIST[[#This Row],[INVESTOR CODE]],SIP[B/S],"S")</f>
        <v>0</v>
      </c>
      <c r="N310" s="50">
        <f>IF(INVESTORS_LIST[[#This Row],[SIP_TOTAL UNITS BUY]]=0,0,INVESTORS_LIST[[#This Row],[SIP_TOTAL UNITS BUY]]-INVESTORS_LIST[[#This Row],[SIP_TOTAL UNITS SOLD]])</f>
        <v>0</v>
      </c>
      <c r="O310" s="49">
        <f>IF(INVESTORS_LIST[[#This Row],[SIP_TOTAL UNITS BUY]]=0,0,SUMIFS(SIP[Amount],SIP[Investor ID],INVESTORS_LIST[[#This Row],[INVESTOR CODE]],SIP[B/S],"B"))</f>
        <v>0</v>
      </c>
      <c r="P310" s="49">
        <f>IF(INVESTORS_LIST[[#This Row],[SIP_TOTAL UNITS SOLD]]=0,0,SUMIFS(SIP[Cost of Units Sold],SIP[Investor ID],INVESTORS_LIST[[#This Row],[INVESTOR CODE]],SIP[B/S],"S"))</f>
        <v>0</v>
      </c>
      <c r="Q310" s="48">
        <f>IF(INVESTORS_LIST[[#This Row],[SIP_TOTAL CURRENT UNITS]]=0,0,INVESTORS_LIST[[#This Row],[SIP_TOTAL CURRENT UNITS]]*INVESTORS_LIST[[#This Row],[SIP_AVERAGE COST]])</f>
        <v>0</v>
      </c>
      <c r="R310" s="48">
        <f>IF(INVESTORS_LIST[[#This Row],[SIP_TOTAL UNITS SOLD]]=0,0,SUMIFS(SIP[Realized Gain],SIP[Investor ID],INVESTORS_LIST[[#This Row],[INVESTOR CODE]],SIP[B/S],"S"))</f>
        <v>0</v>
      </c>
      <c r="S310" s="50">
        <f>INVESTORS_LIST[[#This Row],[LS_TOTAL UNITS BUY]]+INVESTORS_LIST[[#This Row],[SIP_TOTAL UNITS BUY]]</f>
        <v>0</v>
      </c>
      <c r="T310" s="50">
        <f>INVESTORS_LIST[[#This Row],[LS_TOTAL UNITS SOLD]]+INVESTORS_LIST[[#This Row],[SIP_TOTAL UNITS SOLD]]</f>
        <v>0</v>
      </c>
      <c r="U310" s="50"/>
      <c r="V310" s="50">
        <f>SUMIFS(LS[BO UNIT TRANSFER],LS[Investor ID],INVESTORS_LIST[[#This Row],[INVESTOR CODE]],LS[B/S],"B")</f>
        <v>0</v>
      </c>
      <c r="W310" s="50">
        <f>SUMIFS(SIP[BO UNIT TRANSFER],SIP[Investor ID],INVESTORS_LIST[[#This Row],[INVESTOR CODE]],SIP[B/S],"B")</f>
        <v>0</v>
      </c>
      <c r="X310" s="50">
        <f>SUMIFS(LS[BO UNIT TRANSFER],LS[Investor ID],INVESTORS_LIST[[#This Row],[INVESTOR CODE]],LS[B/S],"S")</f>
        <v>0</v>
      </c>
      <c r="Y310" s="50">
        <f>SUMIFS(SIP[BO UNIT TRANSFER],SIP[Investor ID],INVESTORS_LIST[[#This Row],[INVESTOR CODE]],SIP[B/S],"S")</f>
        <v>0</v>
      </c>
      <c r="Z310" s="106">
        <f>SUM(INVESTORS_LIST[[#This Row],[BO OPENING BALANCE]:[BO SIP UNITS REPURCHASE]])</f>
        <v>0</v>
      </c>
      <c r="AA310" s="107">
        <f>INVESTORS_LIST[[#This Row],[TOTAL UNITS BUY]]-INVESTORS_LIST[[#This Row],[TOTAL UNITS SOLD]]</f>
        <v>0</v>
      </c>
      <c r="AB310" s="107">
        <f>INVESTORS_LIST[[#This Row],[TOTAL CURRENT UNITS]]-INVESTORS_LIST[[#This Row],[BO UNITS HOLD]]</f>
        <v>0</v>
      </c>
      <c r="AC310" s="201" t="e">
        <f>INDEX([3]!Table_1[BO ID],MATCH(INVESTORS_LIST[[#This Row],[INVESTOR CODE]],[3]!Table_1[INVESTOR CODE],0))</f>
        <v>#REF!</v>
      </c>
      <c r="AD310" s="201" t="e">
        <f>INDEX([3]!Table_1[Brokerage Name2],MATCH(INVESTORS_LIST[[#This Row],[INVESTOR CODE]],[3]!Table_1[INVESTOR CODE],0))</f>
        <v>#REF!</v>
      </c>
      <c r="AE310" s="201" t="e">
        <f>MID(INVESTORS_LIST[[#This Row],[BO ID]],4,5)</f>
        <v>#REF!</v>
      </c>
      <c r="AF310" s="201" t="e">
        <f>MID(INVESTORS_LIST[[#This Row],[BO ID]],2,7)</f>
        <v>#REF!</v>
      </c>
      <c r="AG310" s="201" t="e">
        <f>MID(INVESTORS_LIST[[#This Row],[BO ID]],9,7)</f>
        <v>#REF!</v>
      </c>
      <c r="AH310" s="201" t="e">
        <f>RIGHT(INVESTORS_LIST[[#This Row],[BO ID]],1)</f>
        <v>#REF!</v>
      </c>
      <c r="AI310" s="50">
        <f>INVESTORS_LIST[[#This Row],[LS_TOTAL COST VALUE OF CURRENT UNITS]]+INVESTORS_LIST[[#This Row],[SIP_TOTAL COST VALUE OF CURRENT UNITS]]</f>
        <v>0</v>
      </c>
      <c r="AJ310" s="109">
        <f>IF(INVESTORS_LIST[[#This Row],[TOTAL CURRENT UNITS]]=0,0,INVESTORS_LIST[[#This Row],[LS_TOTAL CURRENT UNITS]]/INVESTORS_LIST[[#This Row],[TOTAL CURRENT UNITS]])</f>
        <v>0</v>
      </c>
      <c r="AK310" s="109">
        <f>IF(INVESTORS_LIST[[#This Row],[TOTAL CURRENT UNITS]]=0,0,INVESTORS_LIST[[#This Row],[SIP_TOTAL CURRENT UNITS]]/INVESTORS_LIST[[#This Row],[TOTAL CURRENT UNITS]])</f>
        <v>0</v>
      </c>
      <c r="AL310" s="49" cm="1">
        <f t="array" ref="AL3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0" s="49" cm="1">
        <f t="array" ref="AM3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0" s="105">
        <f t="shared" si="5"/>
        <v>14.224</v>
      </c>
      <c r="AP310" s="112">
        <f>IF(INVESTORS_LIST[[#This Row],[TOTAL CURRENT UNITS]]=0,0,INVESTORS_LIST[[#This Row],[TOTAL CURRENT UNITS]]*INVESTORS_LIST[[#This Row],[NAV]])</f>
        <v>0</v>
      </c>
      <c r="AQ310" s="49">
        <f>IF(INVESTORS_LIST[[#This Row],[LS_TOTAL CURRENT UNITS]]=0,0,INVESTORS_LIST[[#This Row],[LS_TOTAL CURRENT UNITS]]*INVESTORS_LIST[[#This Row],[NAV]])</f>
        <v>0</v>
      </c>
      <c r="AR310" s="48">
        <f>IF(INVESTORS_LIST[[#This Row],[SIP_TOTAL CURRENT UNITS]]=0,0,INVESTORS_LIST[[#This Row],[SIP_TOTAL CURRENT UNITS]]*INVESTORS_LIST[[#This Row],[NAV]])</f>
        <v>0</v>
      </c>
      <c r="AS310" s="50">
        <f>INVESTORS_LIST[[#This Row],[TOTAL CURRENT UNITS]]</f>
        <v>0</v>
      </c>
      <c r="AT310" s="48">
        <f>IF(INVESTORS_LIST[[#This Row],[TOTAL SELLABLE UNITS]]=0,0,INVESTORS_LIST[[#This Row],[TOTAL SELLABLE UNITS]]*INVESTORS_LIST[[#This Row],[NAV]])</f>
        <v>0</v>
      </c>
      <c r="AU310" s="48">
        <f>INVESTORS_LIST[[#This Row],[LS_TOTAL REALIZED GAIN]]+INVESTORS_LIST[[#This Row],[SIP_TOTAL REALIZED GAIN]]</f>
        <v>0</v>
      </c>
      <c r="AV310" s="48">
        <f>INVESTORS_LIST[[#This Row],[TOTAL MARKET VALUE]]-INVESTORS_LIST[[#This Row],[TOTAL COST VALUE OF CURRENT INVESTMENT]]</f>
        <v>0</v>
      </c>
      <c r="AW310" s="48">
        <f>IFERROR(INVESTORS_LIST[[#This Row],[TOTAL CURRENT UNITS]]/SUM(INVESTORS_LIST[TOTAL CURRENT UNITS]),0)</f>
        <v>0</v>
      </c>
    </row>
    <row r="311" spans="1:49" hidden="1">
      <c r="A311" s="262" t="s">
        <v>669</v>
      </c>
      <c r="B311" s="97" t="s">
        <v>670</v>
      </c>
      <c r="C311" t="s">
        <v>67</v>
      </c>
      <c r="D311" s="75" t="s">
        <v>45</v>
      </c>
      <c r="E311" s="47">
        <f>SUMIFS(LS[Unit],LS[Investor ID],INVESTORS_LIST[[#This Row],[INVESTOR CODE]],LS[B/S],"B")</f>
        <v>0</v>
      </c>
      <c r="F311" s="47">
        <f>-SUMIFS(LS[Unit],LS[Investor ID],INVESTORS_LIST[[#This Row],[INVESTOR CODE]],LS[B/S],"S")</f>
        <v>0</v>
      </c>
      <c r="G311" s="47">
        <f>IF(INVESTORS_LIST[[#This Row],[LS_TOTAL UNITS BUY]]=0,0,INVESTORS_LIST[[#This Row],[LS_TOTAL UNITS BUY]]-INVESTORS_LIST[[#This Row],[LS_TOTAL UNITS SOLD]])</f>
        <v>0</v>
      </c>
      <c r="H311" s="49">
        <f>IF(INVESTORS_LIST[[#This Row],[LS_TOTAL UNITS BUY]]=0,0,SUMIFS(LS[Amount],LS[Investor ID],INVESTORS_LIST[[#This Row],[INVESTOR CODE]],LS[B/S],"B"))</f>
        <v>0</v>
      </c>
      <c r="I311" s="48">
        <f>IF(INVESTORS_LIST[[#This Row],[LS_TOTAL UNITS SOLD]]=0,0,SUMIFS(LS[Cost of Units Sold],LS[Investor ID],INVESTORS_LIST[[#This Row],[INVESTOR CODE]],LS[B/S],"S"))</f>
        <v>0</v>
      </c>
      <c r="J311" s="48">
        <f>IF(INVESTORS_LIST[[#This Row],[LS_TOTAL CURRENT UNITS]]=0,0,INVESTORS_LIST[[#This Row],[LS_TOTAL CURRENT UNITS]]*INVESTORS_LIST[[#This Row],[LS_AVERAGE COST]])</f>
        <v>0</v>
      </c>
      <c r="K311" s="49">
        <f>IF(INVESTORS_LIST[[#This Row],[LS_TOTAL UNITS SOLD]]=0,0,SUMIFS(LS[Realized Gain],LS[Investor ID],INVESTORS_LIST[[#This Row],[INVESTOR CODE]],LS[B/S],"S"))</f>
        <v>0</v>
      </c>
      <c r="L311" s="47">
        <f>SUMIFS(SIP[Unit],SIP[Investor ID],INVESTORS_LIST[[#This Row],[INVESTOR CODE]],SIP[B/S],"B")</f>
        <v>0</v>
      </c>
      <c r="M311" s="47">
        <f>-SUMIFS(SIP[Unit],SIP[Investor ID],INVESTORS_LIST[[#This Row],[INVESTOR CODE]],SIP[B/S],"S")</f>
        <v>0</v>
      </c>
      <c r="N311" s="50">
        <f>IF(INVESTORS_LIST[[#This Row],[SIP_TOTAL UNITS BUY]]=0,0,INVESTORS_LIST[[#This Row],[SIP_TOTAL UNITS BUY]]-INVESTORS_LIST[[#This Row],[SIP_TOTAL UNITS SOLD]])</f>
        <v>0</v>
      </c>
      <c r="O311" s="49">
        <f>IF(INVESTORS_LIST[[#This Row],[SIP_TOTAL UNITS BUY]]=0,0,SUMIFS(SIP[Amount],SIP[Investor ID],INVESTORS_LIST[[#This Row],[INVESTOR CODE]],SIP[B/S],"B"))</f>
        <v>0</v>
      </c>
      <c r="P311" s="49">
        <f>IF(INVESTORS_LIST[[#This Row],[SIP_TOTAL UNITS SOLD]]=0,0,SUMIFS(SIP[Cost of Units Sold],SIP[Investor ID],INVESTORS_LIST[[#This Row],[INVESTOR CODE]],SIP[B/S],"S"))</f>
        <v>0</v>
      </c>
      <c r="Q311" s="48">
        <f>IF(INVESTORS_LIST[[#This Row],[SIP_TOTAL CURRENT UNITS]]=0,0,INVESTORS_LIST[[#This Row],[SIP_TOTAL CURRENT UNITS]]*INVESTORS_LIST[[#This Row],[SIP_AVERAGE COST]])</f>
        <v>0</v>
      </c>
      <c r="R311" s="48">
        <f>IF(INVESTORS_LIST[[#This Row],[SIP_TOTAL UNITS SOLD]]=0,0,SUMIFS(SIP[Realized Gain],SIP[Investor ID],INVESTORS_LIST[[#This Row],[INVESTOR CODE]],SIP[B/S],"S"))</f>
        <v>0</v>
      </c>
      <c r="S311" s="50">
        <f>INVESTORS_LIST[[#This Row],[LS_TOTAL UNITS BUY]]+INVESTORS_LIST[[#This Row],[SIP_TOTAL UNITS BUY]]</f>
        <v>0</v>
      </c>
      <c r="T311" s="50">
        <f>INVESTORS_LIST[[#This Row],[LS_TOTAL UNITS SOLD]]+INVESTORS_LIST[[#This Row],[SIP_TOTAL UNITS SOLD]]</f>
        <v>0</v>
      </c>
      <c r="U311" s="50"/>
      <c r="V311" s="50">
        <f>SUMIFS(LS[BO UNIT TRANSFER],LS[Investor ID],INVESTORS_LIST[[#This Row],[INVESTOR CODE]],LS[B/S],"B")</f>
        <v>0</v>
      </c>
      <c r="W311" s="50">
        <f>SUMIFS(SIP[BO UNIT TRANSFER],SIP[Investor ID],INVESTORS_LIST[[#This Row],[INVESTOR CODE]],SIP[B/S],"B")</f>
        <v>0</v>
      </c>
      <c r="X311" s="50">
        <f>SUMIFS(LS[BO UNIT TRANSFER],LS[Investor ID],INVESTORS_LIST[[#This Row],[INVESTOR CODE]],LS[B/S],"S")</f>
        <v>0</v>
      </c>
      <c r="Y311" s="50">
        <f>SUMIFS(SIP[BO UNIT TRANSFER],SIP[Investor ID],INVESTORS_LIST[[#This Row],[INVESTOR CODE]],SIP[B/S],"S")</f>
        <v>0</v>
      </c>
      <c r="Z311" s="106">
        <f>SUM(INVESTORS_LIST[[#This Row],[BO OPENING BALANCE]:[BO SIP UNITS REPURCHASE]])</f>
        <v>0</v>
      </c>
      <c r="AA311" s="107">
        <f>INVESTORS_LIST[[#This Row],[TOTAL UNITS BUY]]-INVESTORS_LIST[[#This Row],[TOTAL UNITS SOLD]]</f>
        <v>0</v>
      </c>
      <c r="AB311" s="107">
        <f>INVESTORS_LIST[[#This Row],[TOTAL CURRENT UNITS]]-INVESTORS_LIST[[#This Row],[BO UNITS HOLD]]</f>
        <v>0</v>
      </c>
      <c r="AC311" s="201" t="e">
        <f>INDEX([3]!Table_1[BO ID],MATCH(INVESTORS_LIST[[#This Row],[INVESTOR CODE]],[3]!Table_1[INVESTOR CODE],0))</f>
        <v>#REF!</v>
      </c>
      <c r="AD311" s="201" t="e">
        <f>INDEX([3]!Table_1[Brokerage Name2],MATCH(INVESTORS_LIST[[#This Row],[INVESTOR CODE]],[3]!Table_1[INVESTOR CODE],0))</f>
        <v>#REF!</v>
      </c>
      <c r="AE311" s="201" t="e">
        <f>MID(INVESTORS_LIST[[#This Row],[BO ID]],4,5)</f>
        <v>#REF!</v>
      </c>
      <c r="AF311" s="201" t="e">
        <f>MID(INVESTORS_LIST[[#This Row],[BO ID]],2,7)</f>
        <v>#REF!</v>
      </c>
      <c r="AG311" s="201" t="e">
        <f>MID(INVESTORS_LIST[[#This Row],[BO ID]],9,7)</f>
        <v>#REF!</v>
      </c>
      <c r="AH311" s="201" t="e">
        <f>RIGHT(INVESTORS_LIST[[#This Row],[BO ID]],1)</f>
        <v>#REF!</v>
      </c>
      <c r="AI311" s="50">
        <f>INVESTORS_LIST[[#This Row],[LS_TOTAL COST VALUE OF CURRENT UNITS]]+INVESTORS_LIST[[#This Row],[SIP_TOTAL COST VALUE OF CURRENT UNITS]]</f>
        <v>0</v>
      </c>
      <c r="AJ311" s="109">
        <f>IF(INVESTORS_LIST[[#This Row],[TOTAL CURRENT UNITS]]=0,0,INVESTORS_LIST[[#This Row],[LS_TOTAL CURRENT UNITS]]/INVESTORS_LIST[[#This Row],[TOTAL CURRENT UNITS]])</f>
        <v>0</v>
      </c>
      <c r="AK311" s="109">
        <f>IF(INVESTORS_LIST[[#This Row],[TOTAL CURRENT UNITS]]=0,0,INVESTORS_LIST[[#This Row],[SIP_TOTAL CURRENT UNITS]]/INVESTORS_LIST[[#This Row],[TOTAL CURRENT UNITS]])</f>
        <v>0</v>
      </c>
      <c r="AL311" s="49" cm="1">
        <f t="array" ref="AL3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1" s="49" cm="1">
        <f t="array" ref="AM3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1" s="105">
        <f t="shared" si="5"/>
        <v>14.224</v>
      </c>
      <c r="AP311" s="112">
        <f>IF(INVESTORS_LIST[[#This Row],[TOTAL CURRENT UNITS]]=0,0,INVESTORS_LIST[[#This Row],[TOTAL CURRENT UNITS]]*INVESTORS_LIST[[#This Row],[NAV]])</f>
        <v>0</v>
      </c>
      <c r="AQ311" s="49">
        <f>IF(INVESTORS_LIST[[#This Row],[LS_TOTAL CURRENT UNITS]]=0,0,INVESTORS_LIST[[#This Row],[LS_TOTAL CURRENT UNITS]]*INVESTORS_LIST[[#This Row],[NAV]])</f>
        <v>0</v>
      </c>
      <c r="AR311" s="48">
        <f>IF(INVESTORS_LIST[[#This Row],[SIP_TOTAL CURRENT UNITS]]=0,0,INVESTORS_LIST[[#This Row],[SIP_TOTAL CURRENT UNITS]]*INVESTORS_LIST[[#This Row],[NAV]])</f>
        <v>0</v>
      </c>
      <c r="AS311" s="50">
        <f>INVESTORS_LIST[[#This Row],[TOTAL CURRENT UNITS]]</f>
        <v>0</v>
      </c>
      <c r="AT311" s="48">
        <f>IF(INVESTORS_LIST[[#This Row],[TOTAL SELLABLE UNITS]]=0,0,INVESTORS_LIST[[#This Row],[TOTAL SELLABLE UNITS]]*INVESTORS_LIST[[#This Row],[NAV]])</f>
        <v>0</v>
      </c>
      <c r="AU311" s="48">
        <f>INVESTORS_LIST[[#This Row],[LS_TOTAL REALIZED GAIN]]+INVESTORS_LIST[[#This Row],[SIP_TOTAL REALIZED GAIN]]</f>
        <v>0</v>
      </c>
      <c r="AV311" s="48">
        <f>INVESTORS_LIST[[#This Row],[TOTAL MARKET VALUE]]-INVESTORS_LIST[[#This Row],[TOTAL COST VALUE OF CURRENT INVESTMENT]]</f>
        <v>0</v>
      </c>
      <c r="AW311" s="48">
        <f>IFERROR(INVESTORS_LIST[[#This Row],[TOTAL CURRENT UNITS]]/SUM(INVESTORS_LIST[TOTAL CURRENT UNITS]),0)</f>
        <v>0</v>
      </c>
    </row>
    <row r="312" spans="1:49" hidden="1">
      <c r="A312" s="262" t="s">
        <v>671</v>
      </c>
      <c r="B312" s="97" t="s">
        <v>672</v>
      </c>
      <c r="C312" t="s">
        <v>67</v>
      </c>
      <c r="D312" s="75" t="s">
        <v>45</v>
      </c>
      <c r="E312" s="47">
        <f>SUMIFS(LS[Unit],LS[Investor ID],INVESTORS_LIST[[#This Row],[INVESTOR CODE]],LS[B/S],"B")</f>
        <v>0</v>
      </c>
      <c r="F312" s="47">
        <f>-SUMIFS(LS[Unit],LS[Investor ID],INVESTORS_LIST[[#This Row],[INVESTOR CODE]],LS[B/S],"S")</f>
        <v>0</v>
      </c>
      <c r="G312" s="47">
        <f>IF(INVESTORS_LIST[[#This Row],[LS_TOTAL UNITS BUY]]=0,0,INVESTORS_LIST[[#This Row],[LS_TOTAL UNITS BUY]]-INVESTORS_LIST[[#This Row],[LS_TOTAL UNITS SOLD]])</f>
        <v>0</v>
      </c>
      <c r="H312" s="49">
        <f>IF(INVESTORS_LIST[[#This Row],[LS_TOTAL UNITS BUY]]=0,0,SUMIFS(LS[Amount],LS[Investor ID],INVESTORS_LIST[[#This Row],[INVESTOR CODE]],LS[B/S],"B"))</f>
        <v>0</v>
      </c>
      <c r="I312" s="48">
        <f>IF(INVESTORS_LIST[[#This Row],[LS_TOTAL UNITS SOLD]]=0,0,SUMIFS(LS[Cost of Units Sold],LS[Investor ID],INVESTORS_LIST[[#This Row],[INVESTOR CODE]],LS[B/S],"S"))</f>
        <v>0</v>
      </c>
      <c r="J312" s="48">
        <f>IF(INVESTORS_LIST[[#This Row],[LS_TOTAL CURRENT UNITS]]=0,0,INVESTORS_LIST[[#This Row],[LS_TOTAL CURRENT UNITS]]*INVESTORS_LIST[[#This Row],[LS_AVERAGE COST]])</f>
        <v>0</v>
      </c>
      <c r="K312" s="49">
        <f>IF(INVESTORS_LIST[[#This Row],[LS_TOTAL UNITS SOLD]]=0,0,SUMIFS(LS[Realized Gain],LS[Investor ID],INVESTORS_LIST[[#This Row],[INVESTOR CODE]],LS[B/S],"S"))</f>
        <v>0</v>
      </c>
      <c r="L312" s="47">
        <f>SUMIFS(SIP[Unit],SIP[Investor ID],INVESTORS_LIST[[#This Row],[INVESTOR CODE]],SIP[B/S],"B")</f>
        <v>0</v>
      </c>
      <c r="M312" s="47">
        <f>-SUMIFS(SIP[Unit],SIP[Investor ID],INVESTORS_LIST[[#This Row],[INVESTOR CODE]],SIP[B/S],"S")</f>
        <v>0</v>
      </c>
      <c r="N312" s="50">
        <f>IF(INVESTORS_LIST[[#This Row],[SIP_TOTAL UNITS BUY]]=0,0,INVESTORS_LIST[[#This Row],[SIP_TOTAL UNITS BUY]]-INVESTORS_LIST[[#This Row],[SIP_TOTAL UNITS SOLD]])</f>
        <v>0</v>
      </c>
      <c r="O312" s="49">
        <f>IF(INVESTORS_LIST[[#This Row],[SIP_TOTAL UNITS BUY]]=0,0,SUMIFS(SIP[Amount],SIP[Investor ID],INVESTORS_LIST[[#This Row],[INVESTOR CODE]],SIP[B/S],"B"))</f>
        <v>0</v>
      </c>
      <c r="P312" s="49">
        <f>IF(INVESTORS_LIST[[#This Row],[SIP_TOTAL UNITS SOLD]]=0,0,SUMIFS(SIP[Cost of Units Sold],SIP[Investor ID],INVESTORS_LIST[[#This Row],[INVESTOR CODE]],SIP[B/S],"S"))</f>
        <v>0</v>
      </c>
      <c r="Q312" s="48">
        <f>IF(INVESTORS_LIST[[#This Row],[SIP_TOTAL CURRENT UNITS]]=0,0,INVESTORS_LIST[[#This Row],[SIP_TOTAL CURRENT UNITS]]*INVESTORS_LIST[[#This Row],[SIP_AVERAGE COST]])</f>
        <v>0</v>
      </c>
      <c r="R312" s="48">
        <f>IF(INVESTORS_LIST[[#This Row],[SIP_TOTAL UNITS SOLD]]=0,0,SUMIFS(SIP[Realized Gain],SIP[Investor ID],INVESTORS_LIST[[#This Row],[INVESTOR CODE]],SIP[B/S],"S"))</f>
        <v>0</v>
      </c>
      <c r="S312" s="50">
        <f>INVESTORS_LIST[[#This Row],[LS_TOTAL UNITS BUY]]+INVESTORS_LIST[[#This Row],[SIP_TOTAL UNITS BUY]]</f>
        <v>0</v>
      </c>
      <c r="T312" s="50">
        <f>INVESTORS_LIST[[#This Row],[LS_TOTAL UNITS SOLD]]+INVESTORS_LIST[[#This Row],[SIP_TOTAL UNITS SOLD]]</f>
        <v>0</v>
      </c>
      <c r="U312" s="50"/>
      <c r="V312" s="50">
        <f>SUMIFS(LS[BO UNIT TRANSFER],LS[Investor ID],INVESTORS_LIST[[#This Row],[INVESTOR CODE]],LS[B/S],"B")</f>
        <v>0</v>
      </c>
      <c r="W312" s="50">
        <f>SUMIFS(SIP[BO UNIT TRANSFER],SIP[Investor ID],INVESTORS_LIST[[#This Row],[INVESTOR CODE]],SIP[B/S],"B")</f>
        <v>0</v>
      </c>
      <c r="X312" s="50">
        <f>SUMIFS(LS[BO UNIT TRANSFER],LS[Investor ID],INVESTORS_LIST[[#This Row],[INVESTOR CODE]],LS[B/S],"S")</f>
        <v>0</v>
      </c>
      <c r="Y312" s="50">
        <f>SUMIFS(SIP[BO UNIT TRANSFER],SIP[Investor ID],INVESTORS_LIST[[#This Row],[INVESTOR CODE]],SIP[B/S],"S")</f>
        <v>0</v>
      </c>
      <c r="Z312" s="106">
        <f>SUM(INVESTORS_LIST[[#This Row],[BO OPENING BALANCE]:[BO SIP UNITS REPURCHASE]])</f>
        <v>0</v>
      </c>
      <c r="AA312" s="107">
        <f>INVESTORS_LIST[[#This Row],[TOTAL UNITS BUY]]-INVESTORS_LIST[[#This Row],[TOTAL UNITS SOLD]]</f>
        <v>0</v>
      </c>
      <c r="AB312" s="107">
        <f>INVESTORS_LIST[[#This Row],[TOTAL CURRENT UNITS]]-INVESTORS_LIST[[#This Row],[BO UNITS HOLD]]</f>
        <v>0</v>
      </c>
      <c r="AC312" s="201" t="e">
        <f>INDEX([3]!Table_1[BO ID],MATCH(INVESTORS_LIST[[#This Row],[INVESTOR CODE]],[3]!Table_1[INVESTOR CODE],0))</f>
        <v>#REF!</v>
      </c>
      <c r="AD312" s="201" t="e">
        <f>INDEX([3]!Table_1[Brokerage Name2],MATCH(INVESTORS_LIST[[#This Row],[INVESTOR CODE]],[3]!Table_1[INVESTOR CODE],0))</f>
        <v>#REF!</v>
      </c>
      <c r="AE312" s="201" t="e">
        <f>MID(INVESTORS_LIST[[#This Row],[BO ID]],4,5)</f>
        <v>#REF!</v>
      </c>
      <c r="AF312" s="201" t="e">
        <f>MID(INVESTORS_LIST[[#This Row],[BO ID]],2,7)</f>
        <v>#REF!</v>
      </c>
      <c r="AG312" s="201" t="e">
        <f>MID(INVESTORS_LIST[[#This Row],[BO ID]],9,7)</f>
        <v>#REF!</v>
      </c>
      <c r="AH312" s="201" t="e">
        <f>RIGHT(INVESTORS_LIST[[#This Row],[BO ID]],1)</f>
        <v>#REF!</v>
      </c>
      <c r="AI312" s="50">
        <f>INVESTORS_LIST[[#This Row],[LS_TOTAL COST VALUE OF CURRENT UNITS]]+INVESTORS_LIST[[#This Row],[SIP_TOTAL COST VALUE OF CURRENT UNITS]]</f>
        <v>0</v>
      </c>
      <c r="AJ312" s="109">
        <f>IF(INVESTORS_LIST[[#This Row],[TOTAL CURRENT UNITS]]=0,0,INVESTORS_LIST[[#This Row],[LS_TOTAL CURRENT UNITS]]/INVESTORS_LIST[[#This Row],[TOTAL CURRENT UNITS]])</f>
        <v>0</v>
      </c>
      <c r="AK312" s="109">
        <f>IF(INVESTORS_LIST[[#This Row],[TOTAL CURRENT UNITS]]=0,0,INVESTORS_LIST[[#This Row],[SIP_TOTAL CURRENT UNITS]]/INVESTORS_LIST[[#This Row],[TOTAL CURRENT UNITS]])</f>
        <v>0</v>
      </c>
      <c r="AL312" s="49" cm="1">
        <f t="array" ref="AL3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2" s="49" cm="1">
        <f t="array" ref="AM3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2" s="105">
        <f t="shared" si="5"/>
        <v>14.224</v>
      </c>
      <c r="AP312" s="112">
        <f>IF(INVESTORS_LIST[[#This Row],[TOTAL CURRENT UNITS]]=0,0,INVESTORS_LIST[[#This Row],[TOTAL CURRENT UNITS]]*INVESTORS_LIST[[#This Row],[NAV]])</f>
        <v>0</v>
      </c>
      <c r="AQ312" s="49">
        <f>IF(INVESTORS_LIST[[#This Row],[LS_TOTAL CURRENT UNITS]]=0,0,INVESTORS_LIST[[#This Row],[LS_TOTAL CURRENT UNITS]]*INVESTORS_LIST[[#This Row],[NAV]])</f>
        <v>0</v>
      </c>
      <c r="AR312" s="48">
        <f>IF(INVESTORS_LIST[[#This Row],[SIP_TOTAL CURRENT UNITS]]=0,0,INVESTORS_LIST[[#This Row],[SIP_TOTAL CURRENT UNITS]]*INVESTORS_LIST[[#This Row],[NAV]])</f>
        <v>0</v>
      </c>
      <c r="AS312" s="50">
        <f>INVESTORS_LIST[[#This Row],[TOTAL CURRENT UNITS]]</f>
        <v>0</v>
      </c>
      <c r="AT312" s="48">
        <f>IF(INVESTORS_LIST[[#This Row],[TOTAL SELLABLE UNITS]]=0,0,INVESTORS_LIST[[#This Row],[TOTAL SELLABLE UNITS]]*INVESTORS_LIST[[#This Row],[NAV]])</f>
        <v>0</v>
      </c>
      <c r="AU312" s="48">
        <f>INVESTORS_LIST[[#This Row],[LS_TOTAL REALIZED GAIN]]+INVESTORS_LIST[[#This Row],[SIP_TOTAL REALIZED GAIN]]</f>
        <v>0</v>
      </c>
      <c r="AV312" s="48">
        <f>INVESTORS_LIST[[#This Row],[TOTAL MARKET VALUE]]-INVESTORS_LIST[[#This Row],[TOTAL COST VALUE OF CURRENT INVESTMENT]]</f>
        <v>0</v>
      </c>
      <c r="AW312" s="48">
        <f>IFERROR(INVESTORS_LIST[[#This Row],[TOTAL CURRENT UNITS]]/SUM(INVESTORS_LIST[TOTAL CURRENT UNITS]),0)</f>
        <v>0</v>
      </c>
    </row>
    <row r="313" spans="1:49" hidden="1">
      <c r="A313" s="262" t="s">
        <v>673</v>
      </c>
      <c r="B313" s="97" t="s">
        <v>674</v>
      </c>
      <c r="C313" t="s">
        <v>538</v>
      </c>
      <c r="D313" s="75" t="s">
        <v>45</v>
      </c>
      <c r="E313" s="47">
        <f>SUMIFS(LS[Unit],LS[Investor ID],INVESTORS_LIST[[#This Row],[INVESTOR CODE]],LS[B/S],"B")</f>
        <v>0</v>
      </c>
      <c r="F313" s="47">
        <f>-SUMIFS(LS[Unit],LS[Investor ID],INVESTORS_LIST[[#This Row],[INVESTOR CODE]],LS[B/S],"S")</f>
        <v>0</v>
      </c>
      <c r="G313" s="47">
        <f>IF(INVESTORS_LIST[[#This Row],[LS_TOTAL UNITS BUY]]=0,0,INVESTORS_LIST[[#This Row],[LS_TOTAL UNITS BUY]]-INVESTORS_LIST[[#This Row],[LS_TOTAL UNITS SOLD]])</f>
        <v>0</v>
      </c>
      <c r="H313" s="49">
        <f>IF(INVESTORS_LIST[[#This Row],[LS_TOTAL UNITS BUY]]=0,0,SUMIFS(LS[Amount],LS[Investor ID],INVESTORS_LIST[[#This Row],[INVESTOR CODE]],LS[B/S],"B"))</f>
        <v>0</v>
      </c>
      <c r="I313" s="48">
        <f>IF(INVESTORS_LIST[[#This Row],[LS_TOTAL UNITS SOLD]]=0,0,SUMIFS(LS[Cost of Units Sold],LS[Investor ID],INVESTORS_LIST[[#This Row],[INVESTOR CODE]],LS[B/S],"S"))</f>
        <v>0</v>
      </c>
      <c r="J313" s="48">
        <f>IF(INVESTORS_LIST[[#This Row],[LS_TOTAL CURRENT UNITS]]=0,0,INVESTORS_LIST[[#This Row],[LS_TOTAL CURRENT UNITS]]*INVESTORS_LIST[[#This Row],[LS_AVERAGE COST]])</f>
        <v>0</v>
      </c>
      <c r="K313" s="49">
        <f>IF(INVESTORS_LIST[[#This Row],[LS_TOTAL UNITS SOLD]]=0,0,SUMIFS(LS[Realized Gain],LS[Investor ID],INVESTORS_LIST[[#This Row],[INVESTOR CODE]],LS[B/S],"S"))</f>
        <v>0</v>
      </c>
      <c r="L313" s="47">
        <f>SUMIFS(SIP[Unit],SIP[Investor ID],INVESTORS_LIST[[#This Row],[INVESTOR CODE]],SIP[B/S],"B")</f>
        <v>0</v>
      </c>
      <c r="M313" s="47">
        <f>-SUMIFS(SIP[Unit],SIP[Investor ID],INVESTORS_LIST[[#This Row],[INVESTOR CODE]],SIP[B/S],"S")</f>
        <v>0</v>
      </c>
      <c r="N313" s="50">
        <f>IF(INVESTORS_LIST[[#This Row],[SIP_TOTAL UNITS BUY]]=0,0,INVESTORS_LIST[[#This Row],[SIP_TOTAL UNITS BUY]]-INVESTORS_LIST[[#This Row],[SIP_TOTAL UNITS SOLD]])</f>
        <v>0</v>
      </c>
      <c r="O313" s="49">
        <f>IF(INVESTORS_LIST[[#This Row],[SIP_TOTAL UNITS BUY]]=0,0,SUMIFS(SIP[Amount],SIP[Investor ID],INVESTORS_LIST[[#This Row],[INVESTOR CODE]],SIP[B/S],"B"))</f>
        <v>0</v>
      </c>
      <c r="P313" s="49">
        <f>IF(INVESTORS_LIST[[#This Row],[SIP_TOTAL UNITS SOLD]]=0,0,SUMIFS(SIP[Cost of Units Sold],SIP[Investor ID],INVESTORS_LIST[[#This Row],[INVESTOR CODE]],SIP[B/S],"S"))</f>
        <v>0</v>
      </c>
      <c r="Q313" s="48">
        <f>IF(INVESTORS_LIST[[#This Row],[SIP_TOTAL CURRENT UNITS]]=0,0,INVESTORS_LIST[[#This Row],[SIP_TOTAL CURRENT UNITS]]*INVESTORS_LIST[[#This Row],[SIP_AVERAGE COST]])</f>
        <v>0</v>
      </c>
      <c r="R313" s="48">
        <f>IF(INVESTORS_LIST[[#This Row],[SIP_TOTAL UNITS SOLD]]=0,0,SUMIFS(SIP[Realized Gain],SIP[Investor ID],INVESTORS_LIST[[#This Row],[INVESTOR CODE]],SIP[B/S],"S"))</f>
        <v>0</v>
      </c>
      <c r="S313" s="50">
        <f>INVESTORS_LIST[[#This Row],[LS_TOTAL UNITS BUY]]+INVESTORS_LIST[[#This Row],[SIP_TOTAL UNITS BUY]]</f>
        <v>0</v>
      </c>
      <c r="T313" s="50">
        <f>INVESTORS_LIST[[#This Row],[LS_TOTAL UNITS SOLD]]+INVESTORS_LIST[[#This Row],[SIP_TOTAL UNITS SOLD]]</f>
        <v>0</v>
      </c>
      <c r="U313" s="50"/>
      <c r="V313" s="50">
        <f>SUMIFS(LS[BO UNIT TRANSFER],LS[Investor ID],INVESTORS_LIST[[#This Row],[INVESTOR CODE]],LS[B/S],"B")</f>
        <v>0</v>
      </c>
      <c r="W313" s="50">
        <f>SUMIFS(SIP[BO UNIT TRANSFER],SIP[Investor ID],INVESTORS_LIST[[#This Row],[INVESTOR CODE]],SIP[B/S],"B")</f>
        <v>0</v>
      </c>
      <c r="X313" s="50">
        <f>SUMIFS(LS[BO UNIT TRANSFER],LS[Investor ID],INVESTORS_LIST[[#This Row],[INVESTOR CODE]],LS[B/S],"S")</f>
        <v>0</v>
      </c>
      <c r="Y313" s="50">
        <f>SUMIFS(SIP[BO UNIT TRANSFER],SIP[Investor ID],INVESTORS_LIST[[#This Row],[INVESTOR CODE]],SIP[B/S],"S")</f>
        <v>0</v>
      </c>
      <c r="Z313" s="106">
        <f>SUM(INVESTORS_LIST[[#This Row],[BO OPENING BALANCE]:[BO SIP UNITS REPURCHASE]])</f>
        <v>0</v>
      </c>
      <c r="AA313" s="107">
        <f>INVESTORS_LIST[[#This Row],[TOTAL UNITS BUY]]-INVESTORS_LIST[[#This Row],[TOTAL UNITS SOLD]]</f>
        <v>0</v>
      </c>
      <c r="AB313" s="107">
        <f>INVESTORS_LIST[[#This Row],[TOTAL CURRENT UNITS]]-INVESTORS_LIST[[#This Row],[BO UNITS HOLD]]</f>
        <v>0</v>
      </c>
      <c r="AC313" s="201" t="e">
        <f>INDEX([3]!Table_1[BO ID],MATCH(INVESTORS_LIST[[#This Row],[INVESTOR CODE]],[3]!Table_1[INVESTOR CODE],0))</f>
        <v>#REF!</v>
      </c>
      <c r="AD313" s="201" t="e">
        <f>INDEX([3]!Table_1[Brokerage Name2],MATCH(INVESTORS_LIST[[#This Row],[INVESTOR CODE]],[3]!Table_1[INVESTOR CODE],0))</f>
        <v>#REF!</v>
      </c>
      <c r="AE313" s="201" t="e">
        <f>MID(INVESTORS_LIST[[#This Row],[BO ID]],4,5)</f>
        <v>#REF!</v>
      </c>
      <c r="AF313" s="201" t="e">
        <f>MID(INVESTORS_LIST[[#This Row],[BO ID]],2,7)</f>
        <v>#REF!</v>
      </c>
      <c r="AG313" s="201" t="e">
        <f>MID(INVESTORS_LIST[[#This Row],[BO ID]],9,7)</f>
        <v>#REF!</v>
      </c>
      <c r="AH313" s="201" t="e">
        <f>RIGHT(INVESTORS_LIST[[#This Row],[BO ID]],1)</f>
        <v>#REF!</v>
      </c>
      <c r="AI313" s="50">
        <f>INVESTORS_LIST[[#This Row],[LS_TOTAL COST VALUE OF CURRENT UNITS]]+INVESTORS_LIST[[#This Row],[SIP_TOTAL COST VALUE OF CURRENT UNITS]]</f>
        <v>0</v>
      </c>
      <c r="AJ313" s="109">
        <f>IF(INVESTORS_LIST[[#This Row],[TOTAL CURRENT UNITS]]=0,0,INVESTORS_LIST[[#This Row],[LS_TOTAL CURRENT UNITS]]/INVESTORS_LIST[[#This Row],[TOTAL CURRENT UNITS]])</f>
        <v>0</v>
      </c>
      <c r="AK313" s="109">
        <f>IF(INVESTORS_LIST[[#This Row],[TOTAL CURRENT UNITS]]=0,0,INVESTORS_LIST[[#This Row],[SIP_TOTAL CURRENT UNITS]]/INVESTORS_LIST[[#This Row],[TOTAL CURRENT UNITS]])</f>
        <v>0</v>
      </c>
      <c r="AL313" s="49" cm="1">
        <f t="array" ref="AL3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3" s="49" cm="1">
        <f t="array" ref="AM3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3" s="105">
        <f t="shared" si="5"/>
        <v>14.224</v>
      </c>
      <c r="AP313" s="112">
        <f>IF(INVESTORS_LIST[[#This Row],[TOTAL CURRENT UNITS]]=0,0,INVESTORS_LIST[[#This Row],[TOTAL CURRENT UNITS]]*INVESTORS_LIST[[#This Row],[NAV]])</f>
        <v>0</v>
      </c>
      <c r="AQ313" s="49">
        <f>IF(INVESTORS_LIST[[#This Row],[LS_TOTAL CURRENT UNITS]]=0,0,INVESTORS_LIST[[#This Row],[LS_TOTAL CURRENT UNITS]]*INVESTORS_LIST[[#This Row],[NAV]])</f>
        <v>0</v>
      </c>
      <c r="AR313" s="48">
        <f>IF(INVESTORS_LIST[[#This Row],[SIP_TOTAL CURRENT UNITS]]=0,0,INVESTORS_LIST[[#This Row],[SIP_TOTAL CURRENT UNITS]]*INVESTORS_LIST[[#This Row],[NAV]])</f>
        <v>0</v>
      </c>
      <c r="AS313" s="50">
        <f>INVESTORS_LIST[[#This Row],[TOTAL CURRENT UNITS]]</f>
        <v>0</v>
      </c>
      <c r="AT313" s="48">
        <f>IF(INVESTORS_LIST[[#This Row],[TOTAL SELLABLE UNITS]]=0,0,INVESTORS_LIST[[#This Row],[TOTAL SELLABLE UNITS]]*INVESTORS_LIST[[#This Row],[NAV]])</f>
        <v>0</v>
      </c>
      <c r="AU313" s="48">
        <f>INVESTORS_LIST[[#This Row],[LS_TOTAL REALIZED GAIN]]+INVESTORS_LIST[[#This Row],[SIP_TOTAL REALIZED GAIN]]</f>
        <v>0</v>
      </c>
      <c r="AV313" s="48">
        <f>INVESTORS_LIST[[#This Row],[TOTAL MARKET VALUE]]-INVESTORS_LIST[[#This Row],[TOTAL COST VALUE OF CURRENT INVESTMENT]]</f>
        <v>0</v>
      </c>
      <c r="AW313" s="48">
        <f>IFERROR(INVESTORS_LIST[[#This Row],[TOTAL CURRENT UNITS]]/SUM(INVESTORS_LIST[TOTAL CURRENT UNITS]),0)</f>
        <v>0</v>
      </c>
    </row>
    <row r="314" spans="1:49" hidden="1">
      <c r="A314" s="262" t="s">
        <v>675</v>
      </c>
      <c r="B314" s="97" t="s">
        <v>676</v>
      </c>
      <c r="C314" t="s">
        <v>538</v>
      </c>
      <c r="D314" s="75" t="s">
        <v>45</v>
      </c>
      <c r="E314" s="47">
        <f>SUMIFS(LS[Unit],LS[Investor ID],INVESTORS_LIST[[#This Row],[INVESTOR CODE]],LS[B/S],"B")</f>
        <v>0</v>
      </c>
      <c r="F314" s="47">
        <f>-SUMIFS(LS[Unit],LS[Investor ID],INVESTORS_LIST[[#This Row],[INVESTOR CODE]],LS[B/S],"S")</f>
        <v>0</v>
      </c>
      <c r="G314" s="47">
        <f>IF(INVESTORS_LIST[[#This Row],[LS_TOTAL UNITS BUY]]=0,0,INVESTORS_LIST[[#This Row],[LS_TOTAL UNITS BUY]]-INVESTORS_LIST[[#This Row],[LS_TOTAL UNITS SOLD]])</f>
        <v>0</v>
      </c>
      <c r="H314" s="49">
        <f>IF(INVESTORS_LIST[[#This Row],[LS_TOTAL UNITS BUY]]=0,0,SUMIFS(LS[Amount],LS[Investor ID],INVESTORS_LIST[[#This Row],[INVESTOR CODE]],LS[B/S],"B"))</f>
        <v>0</v>
      </c>
      <c r="I314" s="48">
        <f>IF(INVESTORS_LIST[[#This Row],[LS_TOTAL UNITS SOLD]]=0,0,SUMIFS(LS[Cost of Units Sold],LS[Investor ID],INVESTORS_LIST[[#This Row],[INVESTOR CODE]],LS[B/S],"S"))</f>
        <v>0</v>
      </c>
      <c r="J314" s="48">
        <f>IF(INVESTORS_LIST[[#This Row],[LS_TOTAL CURRENT UNITS]]=0,0,INVESTORS_LIST[[#This Row],[LS_TOTAL CURRENT UNITS]]*INVESTORS_LIST[[#This Row],[LS_AVERAGE COST]])</f>
        <v>0</v>
      </c>
      <c r="K314" s="49">
        <f>IF(INVESTORS_LIST[[#This Row],[LS_TOTAL UNITS SOLD]]=0,0,SUMIFS(LS[Realized Gain],LS[Investor ID],INVESTORS_LIST[[#This Row],[INVESTOR CODE]],LS[B/S],"S"))</f>
        <v>0</v>
      </c>
      <c r="L314" s="47">
        <f>SUMIFS(SIP[Unit],SIP[Investor ID],INVESTORS_LIST[[#This Row],[INVESTOR CODE]],SIP[B/S],"B")</f>
        <v>0</v>
      </c>
      <c r="M314" s="47">
        <f>-SUMIFS(SIP[Unit],SIP[Investor ID],INVESTORS_LIST[[#This Row],[INVESTOR CODE]],SIP[B/S],"S")</f>
        <v>0</v>
      </c>
      <c r="N314" s="50">
        <f>IF(INVESTORS_LIST[[#This Row],[SIP_TOTAL UNITS BUY]]=0,0,INVESTORS_LIST[[#This Row],[SIP_TOTAL UNITS BUY]]-INVESTORS_LIST[[#This Row],[SIP_TOTAL UNITS SOLD]])</f>
        <v>0</v>
      </c>
      <c r="O314" s="49">
        <f>IF(INVESTORS_LIST[[#This Row],[SIP_TOTAL UNITS BUY]]=0,0,SUMIFS(SIP[Amount],SIP[Investor ID],INVESTORS_LIST[[#This Row],[INVESTOR CODE]],SIP[B/S],"B"))</f>
        <v>0</v>
      </c>
      <c r="P314" s="49">
        <f>IF(INVESTORS_LIST[[#This Row],[SIP_TOTAL UNITS SOLD]]=0,0,SUMIFS(SIP[Cost of Units Sold],SIP[Investor ID],INVESTORS_LIST[[#This Row],[INVESTOR CODE]],SIP[B/S],"S"))</f>
        <v>0</v>
      </c>
      <c r="Q314" s="48">
        <f>IF(INVESTORS_LIST[[#This Row],[SIP_TOTAL CURRENT UNITS]]=0,0,INVESTORS_LIST[[#This Row],[SIP_TOTAL CURRENT UNITS]]*INVESTORS_LIST[[#This Row],[SIP_AVERAGE COST]])</f>
        <v>0</v>
      </c>
      <c r="R314" s="48">
        <f>IF(INVESTORS_LIST[[#This Row],[SIP_TOTAL UNITS SOLD]]=0,0,SUMIFS(SIP[Realized Gain],SIP[Investor ID],INVESTORS_LIST[[#This Row],[INVESTOR CODE]],SIP[B/S],"S"))</f>
        <v>0</v>
      </c>
      <c r="S314" s="50">
        <f>INVESTORS_LIST[[#This Row],[LS_TOTAL UNITS BUY]]+INVESTORS_LIST[[#This Row],[SIP_TOTAL UNITS BUY]]</f>
        <v>0</v>
      </c>
      <c r="T314" s="50">
        <f>INVESTORS_LIST[[#This Row],[LS_TOTAL UNITS SOLD]]+INVESTORS_LIST[[#This Row],[SIP_TOTAL UNITS SOLD]]</f>
        <v>0</v>
      </c>
      <c r="U314" s="50"/>
      <c r="V314" s="50">
        <f>SUMIFS(LS[BO UNIT TRANSFER],LS[Investor ID],INVESTORS_LIST[[#This Row],[INVESTOR CODE]],LS[B/S],"B")</f>
        <v>0</v>
      </c>
      <c r="W314" s="50">
        <f>SUMIFS(SIP[BO UNIT TRANSFER],SIP[Investor ID],INVESTORS_LIST[[#This Row],[INVESTOR CODE]],SIP[B/S],"B")</f>
        <v>0</v>
      </c>
      <c r="X314" s="50">
        <f>SUMIFS(LS[BO UNIT TRANSFER],LS[Investor ID],INVESTORS_LIST[[#This Row],[INVESTOR CODE]],LS[B/S],"S")</f>
        <v>0</v>
      </c>
      <c r="Y314" s="50">
        <f>SUMIFS(SIP[BO UNIT TRANSFER],SIP[Investor ID],INVESTORS_LIST[[#This Row],[INVESTOR CODE]],SIP[B/S],"S")</f>
        <v>0</v>
      </c>
      <c r="Z314" s="106">
        <f>SUM(INVESTORS_LIST[[#This Row],[BO OPENING BALANCE]:[BO SIP UNITS REPURCHASE]])</f>
        <v>0</v>
      </c>
      <c r="AA314" s="107">
        <f>INVESTORS_LIST[[#This Row],[TOTAL UNITS BUY]]-INVESTORS_LIST[[#This Row],[TOTAL UNITS SOLD]]</f>
        <v>0</v>
      </c>
      <c r="AB314" s="107">
        <f>INVESTORS_LIST[[#This Row],[TOTAL CURRENT UNITS]]-INVESTORS_LIST[[#This Row],[BO UNITS HOLD]]</f>
        <v>0</v>
      </c>
      <c r="AC314" s="201" t="e">
        <f>INDEX([3]!Table_1[BO ID],MATCH(INVESTORS_LIST[[#This Row],[INVESTOR CODE]],[3]!Table_1[INVESTOR CODE],0))</f>
        <v>#REF!</v>
      </c>
      <c r="AD314" s="201" t="e">
        <f>INDEX([3]!Table_1[Brokerage Name2],MATCH(INVESTORS_LIST[[#This Row],[INVESTOR CODE]],[3]!Table_1[INVESTOR CODE],0))</f>
        <v>#REF!</v>
      </c>
      <c r="AE314" s="201" t="e">
        <f>MID(INVESTORS_LIST[[#This Row],[BO ID]],4,5)</f>
        <v>#REF!</v>
      </c>
      <c r="AF314" s="201" t="e">
        <f>MID(INVESTORS_LIST[[#This Row],[BO ID]],2,7)</f>
        <v>#REF!</v>
      </c>
      <c r="AG314" s="201" t="e">
        <f>MID(INVESTORS_LIST[[#This Row],[BO ID]],9,7)</f>
        <v>#REF!</v>
      </c>
      <c r="AH314" s="201" t="e">
        <f>RIGHT(INVESTORS_LIST[[#This Row],[BO ID]],1)</f>
        <v>#REF!</v>
      </c>
      <c r="AI314" s="50">
        <f>INVESTORS_LIST[[#This Row],[LS_TOTAL COST VALUE OF CURRENT UNITS]]+INVESTORS_LIST[[#This Row],[SIP_TOTAL COST VALUE OF CURRENT UNITS]]</f>
        <v>0</v>
      </c>
      <c r="AJ314" s="109">
        <f>IF(INVESTORS_LIST[[#This Row],[TOTAL CURRENT UNITS]]=0,0,INVESTORS_LIST[[#This Row],[LS_TOTAL CURRENT UNITS]]/INVESTORS_LIST[[#This Row],[TOTAL CURRENT UNITS]])</f>
        <v>0</v>
      </c>
      <c r="AK314" s="109">
        <f>IF(INVESTORS_LIST[[#This Row],[TOTAL CURRENT UNITS]]=0,0,INVESTORS_LIST[[#This Row],[SIP_TOTAL CURRENT UNITS]]/INVESTORS_LIST[[#This Row],[TOTAL CURRENT UNITS]])</f>
        <v>0</v>
      </c>
      <c r="AL314" s="49" cm="1">
        <f t="array" ref="AL3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4" s="49" cm="1">
        <f t="array" ref="AM3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4" s="105">
        <f t="shared" si="5"/>
        <v>14.224</v>
      </c>
      <c r="AP314" s="112">
        <f>IF(INVESTORS_LIST[[#This Row],[TOTAL CURRENT UNITS]]=0,0,INVESTORS_LIST[[#This Row],[TOTAL CURRENT UNITS]]*INVESTORS_LIST[[#This Row],[NAV]])</f>
        <v>0</v>
      </c>
      <c r="AQ314" s="49">
        <f>IF(INVESTORS_LIST[[#This Row],[LS_TOTAL CURRENT UNITS]]=0,0,INVESTORS_LIST[[#This Row],[LS_TOTAL CURRENT UNITS]]*INVESTORS_LIST[[#This Row],[NAV]])</f>
        <v>0</v>
      </c>
      <c r="AR314" s="48">
        <f>IF(INVESTORS_LIST[[#This Row],[SIP_TOTAL CURRENT UNITS]]=0,0,INVESTORS_LIST[[#This Row],[SIP_TOTAL CURRENT UNITS]]*INVESTORS_LIST[[#This Row],[NAV]])</f>
        <v>0</v>
      </c>
      <c r="AS314" s="50">
        <f>INVESTORS_LIST[[#This Row],[TOTAL CURRENT UNITS]]</f>
        <v>0</v>
      </c>
      <c r="AT314" s="48">
        <f>IF(INVESTORS_LIST[[#This Row],[TOTAL SELLABLE UNITS]]=0,0,INVESTORS_LIST[[#This Row],[TOTAL SELLABLE UNITS]]*INVESTORS_LIST[[#This Row],[NAV]])</f>
        <v>0</v>
      </c>
      <c r="AU314" s="48">
        <f>INVESTORS_LIST[[#This Row],[LS_TOTAL REALIZED GAIN]]+INVESTORS_LIST[[#This Row],[SIP_TOTAL REALIZED GAIN]]</f>
        <v>0</v>
      </c>
      <c r="AV314" s="48">
        <f>INVESTORS_LIST[[#This Row],[TOTAL MARKET VALUE]]-INVESTORS_LIST[[#This Row],[TOTAL COST VALUE OF CURRENT INVESTMENT]]</f>
        <v>0</v>
      </c>
      <c r="AW314" s="48">
        <f>IFERROR(INVESTORS_LIST[[#This Row],[TOTAL CURRENT UNITS]]/SUM(INVESTORS_LIST[TOTAL CURRENT UNITS]),0)</f>
        <v>0</v>
      </c>
    </row>
    <row r="315" spans="1:49" hidden="1">
      <c r="A315" s="262" t="s">
        <v>677</v>
      </c>
      <c r="B315" s="97" t="s">
        <v>678</v>
      </c>
      <c r="C315" t="s">
        <v>67</v>
      </c>
      <c r="D315" s="75" t="s">
        <v>45</v>
      </c>
      <c r="E315" s="47">
        <f>SUMIFS(LS[Unit],LS[Investor ID],INVESTORS_LIST[[#This Row],[INVESTOR CODE]],LS[B/S],"B")</f>
        <v>0</v>
      </c>
      <c r="F315" s="47">
        <f>-SUMIFS(LS[Unit],LS[Investor ID],INVESTORS_LIST[[#This Row],[INVESTOR CODE]],LS[B/S],"S")</f>
        <v>0</v>
      </c>
      <c r="G315" s="47">
        <f>IF(INVESTORS_LIST[[#This Row],[LS_TOTAL UNITS BUY]]=0,0,INVESTORS_LIST[[#This Row],[LS_TOTAL UNITS BUY]]-INVESTORS_LIST[[#This Row],[LS_TOTAL UNITS SOLD]])</f>
        <v>0</v>
      </c>
      <c r="H315" s="49">
        <f>IF(INVESTORS_LIST[[#This Row],[LS_TOTAL UNITS BUY]]=0,0,SUMIFS(LS[Amount],LS[Investor ID],INVESTORS_LIST[[#This Row],[INVESTOR CODE]],LS[B/S],"B"))</f>
        <v>0</v>
      </c>
      <c r="I315" s="48">
        <f>IF(INVESTORS_LIST[[#This Row],[LS_TOTAL UNITS SOLD]]=0,0,SUMIFS(LS[Cost of Units Sold],LS[Investor ID],INVESTORS_LIST[[#This Row],[INVESTOR CODE]],LS[B/S],"S"))</f>
        <v>0</v>
      </c>
      <c r="J315" s="48">
        <f>IF(INVESTORS_LIST[[#This Row],[LS_TOTAL CURRENT UNITS]]=0,0,INVESTORS_LIST[[#This Row],[LS_TOTAL CURRENT UNITS]]*INVESTORS_LIST[[#This Row],[LS_AVERAGE COST]])</f>
        <v>0</v>
      </c>
      <c r="K315" s="49">
        <f>IF(INVESTORS_LIST[[#This Row],[LS_TOTAL UNITS SOLD]]=0,0,SUMIFS(LS[Realized Gain],LS[Investor ID],INVESTORS_LIST[[#This Row],[INVESTOR CODE]],LS[B/S],"S"))</f>
        <v>0</v>
      </c>
      <c r="L315" s="47">
        <f>SUMIFS(SIP[Unit],SIP[Investor ID],INVESTORS_LIST[[#This Row],[INVESTOR CODE]],SIP[B/S],"B")</f>
        <v>0</v>
      </c>
      <c r="M315" s="47">
        <f>-SUMIFS(SIP[Unit],SIP[Investor ID],INVESTORS_LIST[[#This Row],[INVESTOR CODE]],SIP[B/S],"S")</f>
        <v>0</v>
      </c>
      <c r="N315" s="50">
        <f>IF(INVESTORS_LIST[[#This Row],[SIP_TOTAL UNITS BUY]]=0,0,INVESTORS_LIST[[#This Row],[SIP_TOTAL UNITS BUY]]-INVESTORS_LIST[[#This Row],[SIP_TOTAL UNITS SOLD]])</f>
        <v>0</v>
      </c>
      <c r="O315" s="49">
        <f>IF(INVESTORS_LIST[[#This Row],[SIP_TOTAL UNITS BUY]]=0,0,SUMIFS(SIP[Amount],SIP[Investor ID],INVESTORS_LIST[[#This Row],[INVESTOR CODE]],SIP[B/S],"B"))</f>
        <v>0</v>
      </c>
      <c r="P315" s="49">
        <f>IF(INVESTORS_LIST[[#This Row],[SIP_TOTAL UNITS SOLD]]=0,0,SUMIFS(SIP[Cost of Units Sold],SIP[Investor ID],INVESTORS_LIST[[#This Row],[INVESTOR CODE]],SIP[B/S],"S"))</f>
        <v>0</v>
      </c>
      <c r="Q315" s="48">
        <f>IF(INVESTORS_LIST[[#This Row],[SIP_TOTAL CURRENT UNITS]]=0,0,INVESTORS_LIST[[#This Row],[SIP_TOTAL CURRENT UNITS]]*INVESTORS_LIST[[#This Row],[SIP_AVERAGE COST]])</f>
        <v>0</v>
      </c>
      <c r="R315" s="48">
        <f>IF(INVESTORS_LIST[[#This Row],[SIP_TOTAL UNITS SOLD]]=0,0,SUMIFS(SIP[Realized Gain],SIP[Investor ID],INVESTORS_LIST[[#This Row],[INVESTOR CODE]],SIP[B/S],"S"))</f>
        <v>0</v>
      </c>
      <c r="S315" s="50">
        <f>INVESTORS_LIST[[#This Row],[LS_TOTAL UNITS BUY]]+INVESTORS_LIST[[#This Row],[SIP_TOTAL UNITS BUY]]</f>
        <v>0</v>
      </c>
      <c r="T315" s="50">
        <f>INVESTORS_LIST[[#This Row],[LS_TOTAL UNITS SOLD]]+INVESTORS_LIST[[#This Row],[SIP_TOTAL UNITS SOLD]]</f>
        <v>0</v>
      </c>
      <c r="U315" s="50"/>
      <c r="V315" s="50">
        <f>SUMIFS(LS[BO UNIT TRANSFER],LS[Investor ID],INVESTORS_LIST[[#This Row],[INVESTOR CODE]],LS[B/S],"B")</f>
        <v>0</v>
      </c>
      <c r="W315" s="50">
        <f>SUMIFS(SIP[BO UNIT TRANSFER],SIP[Investor ID],INVESTORS_LIST[[#This Row],[INVESTOR CODE]],SIP[B/S],"B")</f>
        <v>0</v>
      </c>
      <c r="X315" s="50">
        <f>SUMIFS(LS[BO UNIT TRANSFER],LS[Investor ID],INVESTORS_LIST[[#This Row],[INVESTOR CODE]],LS[B/S],"S")</f>
        <v>0</v>
      </c>
      <c r="Y315" s="50">
        <f>SUMIFS(SIP[BO UNIT TRANSFER],SIP[Investor ID],INVESTORS_LIST[[#This Row],[INVESTOR CODE]],SIP[B/S],"S")</f>
        <v>0</v>
      </c>
      <c r="Z315" s="106">
        <f>SUM(INVESTORS_LIST[[#This Row],[BO OPENING BALANCE]:[BO SIP UNITS REPURCHASE]])</f>
        <v>0</v>
      </c>
      <c r="AA315" s="107">
        <f>INVESTORS_LIST[[#This Row],[TOTAL UNITS BUY]]-INVESTORS_LIST[[#This Row],[TOTAL UNITS SOLD]]</f>
        <v>0</v>
      </c>
      <c r="AB315" s="107">
        <f>INVESTORS_LIST[[#This Row],[TOTAL CURRENT UNITS]]-INVESTORS_LIST[[#This Row],[BO UNITS HOLD]]</f>
        <v>0</v>
      </c>
      <c r="AC315" s="201" t="e">
        <f>INDEX([3]!Table_1[BO ID],MATCH(INVESTORS_LIST[[#This Row],[INVESTOR CODE]],[3]!Table_1[INVESTOR CODE],0))</f>
        <v>#REF!</v>
      </c>
      <c r="AD315" s="201" t="e">
        <f>INDEX([3]!Table_1[Brokerage Name2],MATCH(INVESTORS_LIST[[#This Row],[INVESTOR CODE]],[3]!Table_1[INVESTOR CODE],0))</f>
        <v>#REF!</v>
      </c>
      <c r="AE315" s="201" t="e">
        <f>MID(INVESTORS_LIST[[#This Row],[BO ID]],4,5)</f>
        <v>#REF!</v>
      </c>
      <c r="AF315" s="201" t="e">
        <f>MID(INVESTORS_LIST[[#This Row],[BO ID]],2,7)</f>
        <v>#REF!</v>
      </c>
      <c r="AG315" s="201" t="e">
        <f>MID(INVESTORS_LIST[[#This Row],[BO ID]],9,7)</f>
        <v>#REF!</v>
      </c>
      <c r="AH315" s="201" t="e">
        <f>RIGHT(INVESTORS_LIST[[#This Row],[BO ID]],1)</f>
        <v>#REF!</v>
      </c>
      <c r="AI315" s="50">
        <f>INVESTORS_LIST[[#This Row],[LS_TOTAL COST VALUE OF CURRENT UNITS]]+INVESTORS_LIST[[#This Row],[SIP_TOTAL COST VALUE OF CURRENT UNITS]]</f>
        <v>0</v>
      </c>
      <c r="AJ315" s="109">
        <f>IF(INVESTORS_LIST[[#This Row],[TOTAL CURRENT UNITS]]=0,0,INVESTORS_LIST[[#This Row],[LS_TOTAL CURRENT UNITS]]/INVESTORS_LIST[[#This Row],[TOTAL CURRENT UNITS]])</f>
        <v>0</v>
      </c>
      <c r="AK315" s="109">
        <f>IF(INVESTORS_LIST[[#This Row],[TOTAL CURRENT UNITS]]=0,0,INVESTORS_LIST[[#This Row],[SIP_TOTAL CURRENT UNITS]]/INVESTORS_LIST[[#This Row],[TOTAL CURRENT UNITS]])</f>
        <v>0</v>
      </c>
      <c r="AL315" s="49" cm="1">
        <f t="array" ref="AL3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5" s="49" cm="1">
        <f t="array" ref="AM3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5" s="105">
        <f t="shared" si="5"/>
        <v>14.224</v>
      </c>
      <c r="AP315" s="112">
        <f>IF(INVESTORS_LIST[[#This Row],[TOTAL CURRENT UNITS]]=0,0,INVESTORS_LIST[[#This Row],[TOTAL CURRENT UNITS]]*INVESTORS_LIST[[#This Row],[NAV]])</f>
        <v>0</v>
      </c>
      <c r="AQ315" s="49">
        <f>IF(INVESTORS_LIST[[#This Row],[LS_TOTAL CURRENT UNITS]]=0,0,INVESTORS_LIST[[#This Row],[LS_TOTAL CURRENT UNITS]]*INVESTORS_LIST[[#This Row],[NAV]])</f>
        <v>0</v>
      </c>
      <c r="AR315" s="48">
        <f>IF(INVESTORS_LIST[[#This Row],[SIP_TOTAL CURRENT UNITS]]=0,0,INVESTORS_LIST[[#This Row],[SIP_TOTAL CURRENT UNITS]]*INVESTORS_LIST[[#This Row],[NAV]])</f>
        <v>0</v>
      </c>
      <c r="AS315" s="50">
        <f>INVESTORS_LIST[[#This Row],[TOTAL CURRENT UNITS]]</f>
        <v>0</v>
      </c>
      <c r="AT315" s="48">
        <f>IF(INVESTORS_LIST[[#This Row],[TOTAL SELLABLE UNITS]]=0,0,INVESTORS_LIST[[#This Row],[TOTAL SELLABLE UNITS]]*INVESTORS_LIST[[#This Row],[NAV]])</f>
        <v>0</v>
      </c>
      <c r="AU315" s="48">
        <f>INVESTORS_LIST[[#This Row],[LS_TOTAL REALIZED GAIN]]+INVESTORS_LIST[[#This Row],[SIP_TOTAL REALIZED GAIN]]</f>
        <v>0</v>
      </c>
      <c r="AV315" s="48">
        <f>INVESTORS_LIST[[#This Row],[TOTAL MARKET VALUE]]-INVESTORS_LIST[[#This Row],[TOTAL COST VALUE OF CURRENT INVESTMENT]]</f>
        <v>0</v>
      </c>
      <c r="AW315" s="48">
        <f>IFERROR(INVESTORS_LIST[[#This Row],[TOTAL CURRENT UNITS]]/SUM(INVESTORS_LIST[TOTAL CURRENT UNITS]),0)</f>
        <v>0</v>
      </c>
    </row>
    <row r="316" spans="1:49" hidden="1">
      <c r="A316" s="262" t="s">
        <v>679</v>
      </c>
      <c r="B316" s="97" t="s">
        <v>680</v>
      </c>
      <c r="C316" t="s">
        <v>67</v>
      </c>
      <c r="D316" s="75" t="s">
        <v>45</v>
      </c>
      <c r="E316" s="47">
        <f>SUMIFS(LS[Unit],LS[Investor ID],INVESTORS_LIST[[#This Row],[INVESTOR CODE]],LS[B/S],"B")</f>
        <v>0</v>
      </c>
      <c r="F316" s="47">
        <f>-SUMIFS(LS[Unit],LS[Investor ID],INVESTORS_LIST[[#This Row],[INVESTOR CODE]],LS[B/S],"S")</f>
        <v>0</v>
      </c>
      <c r="G316" s="47">
        <f>IF(INVESTORS_LIST[[#This Row],[LS_TOTAL UNITS BUY]]=0,0,INVESTORS_LIST[[#This Row],[LS_TOTAL UNITS BUY]]-INVESTORS_LIST[[#This Row],[LS_TOTAL UNITS SOLD]])</f>
        <v>0</v>
      </c>
      <c r="H316" s="49">
        <f>IF(INVESTORS_LIST[[#This Row],[LS_TOTAL UNITS BUY]]=0,0,SUMIFS(LS[Amount],LS[Investor ID],INVESTORS_LIST[[#This Row],[INVESTOR CODE]],LS[B/S],"B"))</f>
        <v>0</v>
      </c>
      <c r="I316" s="48">
        <f>IF(INVESTORS_LIST[[#This Row],[LS_TOTAL UNITS SOLD]]=0,0,SUMIFS(LS[Cost of Units Sold],LS[Investor ID],INVESTORS_LIST[[#This Row],[INVESTOR CODE]],LS[B/S],"S"))</f>
        <v>0</v>
      </c>
      <c r="J316" s="48">
        <f>IF(INVESTORS_LIST[[#This Row],[LS_TOTAL CURRENT UNITS]]=0,0,INVESTORS_LIST[[#This Row],[LS_TOTAL CURRENT UNITS]]*INVESTORS_LIST[[#This Row],[LS_AVERAGE COST]])</f>
        <v>0</v>
      </c>
      <c r="K316" s="49">
        <f>IF(INVESTORS_LIST[[#This Row],[LS_TOTAL UNITS SOLD]]=0,0,SUMIFS(LS[Realized Gain],LS[Investor ID],INVESTORS_LIST[[#This Row],[INVESTOR CODE]],LS[B/S],"S"))</f>
        <v>0</v>
      </c>
      <c r="L316" s="47">
        <f>SUMIFS(SIP[Unit],SIP[Investor ID],INVESTORS_LIST[[#This Row],[INVESTOR CODE]],SIP[B/S],"B")</f>
        <v>0</v>
      </c>
      <c r="M316" s="47">
        <f>-SUMIFS(SIP[Unit],SIP[Investor ID],INVESTORS_LIST[[#This Row],[INVESTOR CODE]],SIP[B/S],"S")</f>
        <v>0</v>
      </c>
      <c r="N316" s="50">
        <f>IF(INVESTORS_LIST[[#This Row],[SIP_TOTAL UNITS BUY]]=0,0,INVESTORS_LIST[[#This Row],[SIP_TOTAL UNITS BUY]]-INVESTORS_LIST[[#This Row],[SIP_TOTAL UNITS SOLD]])</f>
        <v>0</v>
      </c>
      <c r="O316" s="49">
        <f>IF(INVESTORS_LIST[[#This Row],[SIP_TOTAL UNITS BUY]]=0,0,SUMIFS(SIP[Amount],SIP[Investor ID],INVESTORS_LIST[[#This Row],[INVESTOR CODE]],SIP[B/S],"B"))</f>
        <v>0</v>
      </c>
      <c r="P316" s="49">
        <f>IF(INVESTORS_LIST[[#This Row],[SIP_TOTAL UNITS SOLD]]=0,0,SUMIFS(SIP[Cost of Units Sold],SIP[Investor ID],INVESTORS_LIST[[#This Row],[INVESTOR CODE]],SIP[B/S],"S"))</f>
        <v>0</v>
      </c>
      <c r="Q316" s="48">
        <f>IF(INVESTORS_LIST[[#This Row],[SIP_TOTAL CURRENT UNITS]]=0,0,INVESTORS_LIST[[#This Row],[SIP_TOTAL CURRENT UNITS]]*INVESTORS_LIST[[#This Row],[SIP_AVERAGE COST]])</f>
        <v>0</v>
      </c>
      <c r="R316" s="48">
        <f>IF(INVESTORS_LIST[[#This Row],[SIP_TOTAL UNITS SOLD]]=0,0,SUMIFS(SIP[Realized Gain],SIP[Investor ID],INVESTORS_LIST[[#This Row],[INVESTOR CODE]],SIP[B/S],"S"))</f>
        <v>0</v>
      </c>
      <c r="S316" s="50">
        <f>INVESTORS_LIST[[#This Row],[LS_TOTAL UNITS BUY]]+INVESTORS_LIST[[#This Row],[SIP_TOTAL UNITS BUY]]</f>
        <v>0</v>
      </c>
      <c r="T316" s="50">
        <f>INVESTORS_LIST[[#This Row],[LS_TOTAL UNITS SOLD]]+INVESTORS_LIST[[#This Row],[SIP_TOTAL UNITS SOLD]]</f>
        <v>0</v>
      </c>
      <c r="U316" s="50"/>
      <c r="V316" s="50">
        <f>SUMIFS(LS[BO UNIT TRANSFER],LS[Investor ID],INVESTORS_LIST[[#This Row],[INVESTOR CODE]],LS[B/S],"B")</f>
        <v>0</v>
      </c>
      <c r="W316" s="50">
        <f>SUMIFS(SIP[BO UNIT TRANSFER],SIP[Investor ID],INVESTORS_LIST[[#This Row],[INVESTOR CODE]],SIP[B/S],"B")</f>
        <v>0</v>
      </c>
      <c r="X316" s="50">
        <f>SUMIFS(LS[BO UNIT TRANSFER],LS[Investor ID],INVESTORS_LIST[[#This Row],[INVESTOR CODE]],LS[B/S],"S")</f>
        <v>0</v>
      </c>
      <c r="Y316" s="50">
        <f>SUMIFS(SIP[BO UNIT TRANSFER],SIP[Investor ID],INVESTORS_LIST[[#This Row],[INVESTOR CODE]],SIP[B/S],"S")</f>
        <v>0</v>
      </c>
      <c r="Z316" s="106">
        <f>SUM(INVESTORS_LIST[[#This Row],[BO OPENING BALANCE]:[BO SIP UNITS REPURCHASE]])</f>
        <v>0</v>
      </c>
      <c r="AA316" s="107">
        <f>INVESTORS_LIST[[#This Row],[TOTAL UNITS BUY]]-INVESTORS_LIST[[#This Row],[TOTAL UNITS SOLD]]</f>
        <v>0</v>
      </c>
      <c r="AB316" s="107">
        <f>INVESTORS_LIST[[#This Row],[TOTAL CURRENT UNITS]]-INVESTORS_LIST[[#This Row],[BO UNITS HOLD]]</f>
        <v>0</v>
      </c>
      <c r="AC316" s="201" t="e">
        <f>INDEX([3]!Table_1[BO ID],MATCH(INVESTORS_LIST[[#This Row],[INVESTOR CODE]],[3]!Table_1[INVESTOR CODE],0))</f>
        <v>#REF!</v>
      </c>
      <c r="AD316" s="201" t="e">
        <f>INDEX([3]!Table_1[Brokerage Name2],MATCH(INVESTORS_LIST[[#This Row],[INVESTOR CODE]],[3]!Table_1[INVESTOR CODE],0))</f>
        <v>#REF!</v>
      </c>
      <c r="AE316" s="201" t="e">
        <f>MID(INVESTORS_LIST[[#This Row],[BO ID]],4,5)</f>
        <v>#REF!</v>
      </c>
      <c r="AF316" s="201" t="e">
        <f>MID(INVESTORS_LIST[[#This Row],[BO ID]],2,7)</f>
        <v>#REF!</v>
      </c>
      <c r="AG316" s="201" t="e">
        <f>MID(INVESTORS_LIST[[#This Row],[BO ID]],9,7)</f>
        <v>#REF!</v>
      </c>
      <c r="AH316" s="201" t="e">
        <f>RIGHT(INVESTORS_LIST[[#This Row],[BO ID]],1)</f>
        <v>#REF!</v>
      </c>
      <c r="AI316" s="50">
        <f>INVESTORS_LIST[[#This Row],[LS_TOTAL COST VALUE OF CURRENT UNITS]]+INVESTORS_LIST[[#This Row],[SIP_TOTAL COST VALUE OF CURRENT UNITS]]</f>
        <v>0</v>
      </c>
      <c r="AJ316" s="109">
        <f>IF(INVESTORS_LIST[[#This Row],[TOTAL CURRENT UNITS]]=0,0,INVESTORS_LIST[[#This Row],[LS_TOTAL CURRENT UNITS]]/INVESTORS_LIST[[#This Row],[TOTAL CURRENT UNITS]])</f>
        <v>0</v>
      </c>
      <c r="AK316" s="109">
        <f>IF(INVESTORS_LIST[[#This Row],[TOTAL CURRENT UNITS]]=0,0,INVESTORS_LIST[[#This Row],[SIP_TOTAL CURRENT UNITS]]/INVESTORS_LIST[[#This Row],[TOTAL CURRENT UNITS]])</f>
        <v>0</v>
      </c>
      <c r="AL316" s="49" cm="1">
        <f t="array" ref="AL3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6" s="49" cm="1">
        <f t="array" ref="AM3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6" s="105">
        <f t="shared" si="5"/>
        <v>14.224</v>
      </c>
      <c r="AP316" s="112">
        <f>IF(INVESTORS_LIST[[#This Row],[TOTAL CURRENT UNITS]]=0,0,INVESTORS_LIST[[#This Row],[TOTAL CURRENT UNITS]]*INVESTORS_LIST[[#This Row],[NAV]])</f>
        <v>0</v>
      </c>
      <c r="AQ316" s="49">
        <f>IF(INVESTORS_LIST[[#This Row],[LS_TOTAL CURRENT UNITS]]=0,0,INVESTORS_LIST[[#This Row],[LS_TOTAL CURRENT UNITS]]*INVESTORS_LIST[[#This Row],[NAV]])</f>
        <v>0</v>
      </c>
      <c r="AR316" s="48">
        <f>IF(INVESTORS_LIST[[#This Row],[SIP_TOTAL CURRENT UNITS]]=0,0,INVESTORS_LIST[[#This Row],[SIP_TOTAL CURRENT UNITS]]*INVESTORS_LIST[[#This Row],[NAV]])</f>
        <v>0</v>
      </c>
      <c r="AS316" s="50">
        <f>INVESTORS_LIST[[#This Row],[TOTAL CURRENT UNITS]]</f>
        <v>0</v>
      </c>
      <c r="AT316" s="48">
        <f>IF(INVESTORS_LIST[[#This Row],[TOTAL SELLABLE UNITS]]=0,0,INVESTORS_LIST[[#This Row],[TOTAL SELLABLE UNITS]]*INVESTORS_LIST[[#This Row],[NAV]])</f>
        <v>0</v>
      </c>
      <c r="AU316" s="48">
        <f>INVESTORS_LIST[[#This Row],[LS_TOTAL REALIZED GAIN]]+INVESTORS_LIST[[#This Row],[SIP_TOTAL REALIZED GAIN]]</f>
        <v>0</v>
      </c>
      <c r="AV316" s="48">
        <f>INVESTORS_LIST[[#This Row],[TOTAL MARKET VALUE]]-INVESTORS_LIST[[#This Row],[TOTAL COST VALUE OF CURRENT INVESTMENT]]</f>
        <v>0</v>
      </c>
      <c r="AW316" s="48">
        <f>IFERROR(INVESTORS_LIST[[#This Row],[TOTAL CURRENT UNITS]]/SUM(INVESTORS_LIST[TOTAL CURRENT UNITS]),0)</f>
        <v>0</v>
      </c>
    </row>
    <row r="317" spans="1:49" hidden="1">
      <c r="A317" s="262" t="s">
        <v>681</v>
      </c>
      <c r="B317" s="97" t="s">
        <v>682</v>
      </c>
      <c r="C317" t="s">
        <v>44</v>
      </c>
      <c r="D317" s="75" t="s">
        <v>45</v>
      </c>
      <c r="E317" s="47">
        <f>SUMIFS(LS[Unit],LS[Investor ID],INVESTORS_LIST[[#This Row],[INVESTOR CODE]],LS[B/S],"B")</f>
        <v>0</v>
      </c>
      <c r="F317" s="47">
        <f>-SUMIFS(LS[Unit],LS[Investor ID],INVESTORS_LIST[[#This Row],[INVESTOR CODE]],LS[B/S],"S")</f>
        <v>0</v>
      </c>
      <c r="G317" s="47">
        <f>IF(INVESTORS_LIST[[#This Row],[LS_TOTAL UNITS BUY]]=0,0,INVESTORS_LIST[[#This Row],[LS_TOTAL UNITS BUY]]-INVESTORS_LIST[[#This Row],[LS_TOTAL UNITS SOLD]])</f>
        <v>0</v>
      </c>
      <c r="H317" s="49">
        <f>IF(INVESTORS_LIST[[#This Row],[LS_TOTAL UNITS BUY]]=0,0,SUMIFS(LS[Amount],LS[Investor ID],INVESTORS_LIST[[#This Row],[INVESTOR CODE]],LS[B/S],"B"))</f>
        <v>0</v>
      </c>
      <c r="I317" s="48">
        <f>IF(INVESTORS_LIST[[#This Row],[LS_TOTAL UNITS SOLD]]=0,0,SUMIFS(LS[Cost of Units Sold],LS[Investor ID],INVESTORS_LIST[[#This Row],[INVESTOR CODE]],LS[B/S],"S"))</f>
        <v>0</v>
      </c>
      <c r="J317" s="48">
        <f>IF(INVESTORS_LIST[[#This Row],[LS_TOTAL CURRENT UNITS]]=0,0,INVESTORS_LIST[[#This Row],[LS_TOTAL CURRENT UNITS]]*INVESTORS_LIST[[#This Row],[LS_AVERAGE COST]])</f>
        <v>0</v>
      </c>
      <c r="K317" s="49">
        <f>IF(INVESTORS_LIST[[#This Row],[LS_TOTAL UNITS SOLD]]=0,0,SUMIFS(LS[Realized Gain],LS[Investor ID],INVESTORS_LIST[[#This Row],[INVESTOR CODE]],LS[B/S],"S"))</f>
        <v>0</v>
      </c>
      <c r="L317" s="47">
        <f>SUMIFS(SIP[Unit],SIP[Investor ID],INVESTORS_LIST[[#This Row],[INVESTOR CODE]],SIP[B/S],"B")</f>
        <v>0</v>
      </c>
      <c r="M317" s="47">
        <f>-SUMIFS(SIP[Unit],SIP[Investor ID],INVESTORS_LIST[[#This Row],[INVESTOR CODE]],SIP[B/S],"S")</f>
        <v>0</v>
      </c>
      <c r="N317" s="50">
        <f>IF(INVESTORS_LIST[[#This Row],[SIP_TOTAL UNITS BUY]]=0,0,INVESTORS_LIST[[#This Row],[SIP_TOTAL UNITS BUY]]-INVESTORS_LIST[[#This Row],[SIP_TOTAL UNITS SOLD]])</f>
        <v>0</v>
      </c>
      <c r="O317" s="49">
        <f>IF(INVESTORS_LIST[[#This Row],[SIP_TOTAL UNITS BUY]]=0,0,SUMIFS(SIP[Amount],SIP[Investor ID],INVESTORS_LIST[[#This Row],[INVESTOR CODE]],SIP[B/S],"B"))</f>
        <v>0</v>
      </c>
      <c r="P317" s="49">
        <f>IF(INVESTORS_LIST[[#This Row],[SIP_TOTAL UNITS SOLD]]=0,0,SUMIFS(SIP[Cost of Units Sold],SIP[Investor ID],INVESTORS_LIST[[#This Row],[INVESTOR CODE]],SIP[B/S],"S"))</f>
        <v>0</v>
      </c>
      <c r="Q317" s="48">
        <f>IF(INVESTORS_LIST[[#This Row],[SIP_TOTAL CURRENT UNITS]]=0,0,INVESTORS_LIST[[#This Row],[SIP_TOTAL CURRENT UNITS]]*INVESTORS_LIST[[#This Row],[SIP_AVERAGE COST]])</f>
        <v>0</v>
      </c>
      <c r="R317" s="48">
        <f>IF(INVESTORS_LIST[[#This Row],[SIP_TOTAL UNITS SOLD]]=0,0,SUMIFS(SIP[Realized Gain],SIP[Investor ID],INVESTORS_LIST[[#This Row],[INVESTOR CODE]],SIP[B/S],"S"))</f>
        <v>0</v>
      </c>
      <c r="S317" s="50">
        <f>INVESTORS_LIST[[#This Row],[LS_TOTAL UNITS BUY]]+INVESTORS_LIST[[#This Row],[SIP_TOTAL UNITS BUY]]</f>
        <v>0</v>
      </c>
      <c r="T317" s="50">
        <f>INVESTORS_LIST[[#This Row],[LS_TOTAL UNITS SOLD]]+INVESTORS_LIST[[#This Row],[SIP_TOTAL UNITS SOLD]]</f>
        <v>0</v>
      </c>
      <c r="U317" s="50"/>
      <c r="V317" s="50">
        <f>SUMIFS(LS[BO UNIT TRANSFER],LS[Investor ID],INVESTORS_LIST[[#This Row],[INVESTOR CODE]],LS[B/S],"B")</f>
        <v>0</v>
      </c>
      <c r="W317" s="50">
        <f>SUMIFS(SIP[BO UNIT TRANSFER],SIP[Investor ID],INVESTORS_LIST[[#This Row],[INVESTOR CODE]],SIP[B/S],"B")</f>
        <v>0</v>
      </c>
      <c r="X317" s="50">
        <f>SUMIFS(LS[BO UNIT TRANSFER],LS[Investor ID],INVESTORS_LIST[[#This Row],[INVESTOR CODE]],LS[B/S],"S")</f>
        <v>0</v>
      </c>
      <c r="Y317" s="50">
        <f>SUMIFS(SIP[BO UNIT TRANSFER],SIP[Investor ID],INVESTORS_LIST[[#This Row],[INVESTOR CODE]],SIP[B/S],"S")</f>
        <v>0</v>
      </c>
      <c r="Z317" s="106">
        <f>SUM(INVESTORS_LIST[[#This Row],[BO OPENING BALANCE]:[BO SIP UNITS REPURCHASE]])</f>
        <v>0</v>
      </c>
      <c r="AA317" s="107">
        <f>INVESTORS_LIST[[#This Row],[TOTAL UNITS BUY]]-INVESTORS_LIST[[#This Row],[TOTAL UNITS SOLD]]</f>
        <v>0</v>
      </c>
      <c r="AB317" s="107">
        <f>INVESTORS_LIST[[#This Row],[TOTAL CURRENT UNITS]]-INVESTORS_LIST[[#This Row],[BO UNITS HOLD]]</f>
        <v>0</v>
      </c>
      <c r="AC317" s="201" t="e">
        <f>INDEX([3]!Table_1[BO ID],MATCH(INVESTORS_LIST[[#This Row],[INVESTOR CODE]],[3]!Table_1[INVESTOR CODE],0))</f>
        <v>#REF!</v>
      </c>
      <c r="AD317" s="201" t="e">
        <f>INDEX([3]!Table_1[Brokerage Name2],MATCH(INVESTORS_LIST[[#This Row],[INVESTOR CODE]],[3]!Table_1[INVESTOR CODE],0))</f>
        <v>#REF!</v>
      </c>
      <c r="AE317" s="201" t="e">
        <f>MID(INVESTORS_LIST[[#This Row],[BO ID]],4,5)</f>
        <v>#REF!</v>
      </c>
      <c r="AF317" s="201" t="e">
        <f>MID(INVESTORS_LIST[[#This Row],[BO ID]],2,7)</f>
        <v>#REF!</v>
      </c>
      <c r="AG317" s="201" t="e">
        <f>MID(INVESTORS_LIST[[#This Row],[BO ID]],9,7)</f>
        <v>#REF!</v>
      </c>
      <c r="AH317" s="201" t="e">
        <f>RIGHT(INVESTORS_LIST[[#This Row],[BO ID]],1)</f>
        <v>#REF!</v>
      </c>
      <c r="AI317" s="50">
        <f>INVESTORS_LIST[[#This Row],[LS_TOTAL COST VALUE OF CURRENT UNITS]]+INVESTORS_LIST[[#This Row],[SIP_TOTAL COST VALUE OF CURRENT UNITS]]</f>
        <v>0</v>
      </c>
      <c r="AJ317" s="109">
        <f>IF(INVESTORS_LIST[[#This Row],[TOTAL CURRENT UNITS]]=0,0,INVESTORS_LIST[[#This Row],[LS_TOTAL CURRENT UNITS]]/INVESTORS_LIST[[#This Row],[TOTAL CURRENT UNITS]])</f>
        <v>0</v>
      </c>
      <c r="AK317" s="109">
        <f>IF(INVESTORS_LIST[[#This Row],[TOTAL CURRENT UNITS]]=0,0,INVESTORS_LIST[[#This Row],[SIP_TOTAL CURRENT UNITS]]/INVESTORS_LIST[[#This Row],[TOTAL CURRENT UNITS]])</f>
        <v>0</v>
      </c>
      <c r="AL317" s="49" cm="1">
        <f t="array" ref="AL3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7" s="49" cm="1">
        <f t="array" ref="AM3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7" s="105">
        <f t="shared" si="5"/>
        <v>14.224</v>
      </c>
      <c r="AP317" s="112">
        <f>IF(INVESTORS_LIST[[#This Row],[TOTAL CURRENT UNITS]]=0,0,INVESTORS_LIST[[#This Row],[TOTAL CURRENT UNITS]]*INVESTORS_LIST[[#This Row],[NAV]])</f>
        <v>0</v>
      </c>
      <c r="AQ317" s="49">
        <f>IF(INVESTORS_LIST[[#This Row],[LS_TOTAL CURRENT UNITS]]=0,0,INVESTORS_LIST[[#This Row],[LS_TOTAL CURRENT UNITS]]*INVESTORS_LIST[[#This Row],[NAV]])</f>
        <v>0</v>
      </c>
      <c r="AR317" s="48">
        <f>IF(INVESTORS_LIST[[#This Row],[SIP_TOTAL CURRENT UNITS]]=0,0,INVESTORS_LIST[[#This Row],[SIP_TOTAL CURRENT UNITS]]*INVESTORS_LIST[[#This Row],[NAV]])</f>
        <v>0</v>
      </c>
      <c r="AS317" s="50">
        <f>INVESTORS_LIST[[#This Row],[TOTAL CURRENT UNITS]]</f>
        <v>0</v>
      </c>
      <c r="AT317" s="48">
        <f>IF(INVESTORS_LIST[[#This Row],[TOTAL SELLABLE UNITS]]=0,0,INVESTORS_LIST[[#This Row],[TOTAL SELLABLE UNITS]]*INVESTORS_LIST[[#This Row],[NAV]])</f>
        <v>0</v>
      </c>
      <c r="AU317" s="48">
        <f>INVESTORS_LIST[[#This Row],[LS_TOTAL REALIZED GAIN]]+INVESTORS_LIST[[#This Row],[SIP_TOTAL REALIZED GAIN]]</f>
        <v>0</v>
      </c>
      <c r="AV317" s="48">
        <f>INVESTORS_LIST[[#This Row],[TOTAL MARKET VALUE]]-INVESTORS_LIST[[#This Row],[TOTAL COST VALUE OF CURRENT INVESTMENT]]</f>
        <v>0</v>
      </c>
      <c r="AW317" s="48">
        <f>IFERROR(INVESTORS_LIST[[#This Row],[TOTAL CURRENT UNITS]]/SUM(INVESTORS_LIST[TOTAL CURRENT UNITS]),0)</f>
        <v>0</v>
      </c>
    </row>
    <row r="318" spans="1:49" hidden="1">
      <c r="A318" s="262" t="s">
        <v>683</v>
      </c>
      <c r="B318" s="97" t="s">
        <v>684</v>
      </c>
      <c r="C318" t="s">
        <v>67</v>
      </c>
      <c r="D318" s="75" t="s">
        <v>45</v>
      </c>
      <c r="E318" s="47">
        <f>SUMIFS(LS[Unit],LS[Investor ID],INVESTORS_LIST[[#This Row],[INVESTOR CODE]],LS[B/S],"B")</f>
        <v>0</v>
      </c>
      <c r="F318" s="47">
        <f>-SUMIFS(LS[Unit],LS[Investor ID],INVESTORS_LIST[[#This Row],[INVESTOR CODE]],LS[B/S],"S")</f>
        <v>0</v>
      </c>
      <c r="G318" s="47">
        <f>IF(INVESTORS_LIST[[#This Row],[LS_TOTAL UNITS BUY]]=0,0,INVESTORS_LIST[[#This Row],[LS_TOTAL UNITS BUY]]-INVESTORS_LIST[[#This Row],[LS_TOTAL UNITS SOLD]])</f>
        <v>0</v>
      </c>
      <c r="H318" s="49">
        <f>IF(INVESTORS_LIST[[#This Row],[LS_TOTAL UNITS BUY]]=0,0,SUMIFS(LS[Amount],LS[Investor ID],INVESTORS_LIST[[#This Row],[INVESTOR CODE]],LS[B/S],"B"))</f>
        <v>0</v>
      </c>
      <c r="I318" s="48">
        <f>IF(INVESTORS_LIST[[#This Row],[LS_TOTAL UNITS SOLD]]=0,0,SUMIFS(LS[Cost of Units Sold],LS[Investor ID],INVESTORS_LIST[[#This Row],[INVESTOR CODE]],LS[B/S],"S"))</f>
        <v>0</v>
      </c>
      <c r="J318" s="48">
        <f>IF(INVESTORS_LIST[[#This Row],[LS_TOTAL CURRENT UNITS]]=0,0,INVESTORS_LIST[[#This Row],[LS_TOTAL CURRENT UNITS]]*INVESTORS_LIST[[#This Row],[LS_AVERAGE COST]])</f>
        <v>0</v>
      </c>
      <c r="K318" s="49">
        <f>IF(INVESTORS_LIST[[#This Row],[LS_TOTAL UNITS SOLD]]=0,0,SUMIFS(LS[Realized Gain],LS[Investor ID],INVESTORS_LIST[[#This Row],[INVESTOR CODE]],LS[B/S],"S"))</f>
        <v>0</v>
      </c>
      <c r="L318" s="47">
        <f>SUMIFS(SIP[Unit],SIP[Investor ID],INVESTORS_LIST[[#This Row],[INVESTOR CODE]],SIP[B/S],"B")</f>
        <v>0</v>
      </c>
      <c r="M318" s="47">
        <f>-SUMIFS(SIP[Unit],SIP[Investor ID],INVESTORS_LIST[[#This Row],[INVESTOR CODE]],SIP[B/S],"S")</f>
        <v>0</v>
      </c>
      <c r="N318" s="50">
        <f>IF(INVESTORS_LIST[[#This Row],[SIP_TOTAL UNITS BUY]]=0,0,INVESTORS_LIST[[#This Row],[SIP_TOTAL UNITS BUY]]-INVESTORS_LIST[[#This Row],[SIP_TOTAL UNITS SOLD]])</f>
        <v>0</v>
      </c>
      <c r="O318" s="49">
        <f>IF(INVESTORS_LIST[[#This Row],[SIP_TOTAL UNITS BUY]]=0,0,SUMIFS(SIP[Amount],SIP[Investor ID],INVESTORS_LIST[[#This Row],[INVESTOR CODE]],SIP[B/S],"B"))</f>
        <v>0</v>
      </c>
      <c r="P318" s="49">
        <f>IF(INVESTORS_LIST[[#This Row],[SIP_TOTAL UNITS SOLD]]=0,0,SUMIFS(SIP[Cost of Units Sold],SIP[Investor ID],INVESTORS_LIST[[#This Row],[INVESTOR CODE]],SIP[B/S],"S"))</f>
        <v>0</v>
      </c>
      <c r="Q318" s="48">
        <f>IF(INVESTORS_LIST[[#This Row],[SIP_TOTAL CURRENT UNITS]]=0,0,INVESTORS_LIST[[#This Row],[SIP_TOTAL CURRENT UNITS]]*INVESTORS_LIST[[#This Row],[SIP_AVERAGE COST]])</f>
        <v>0</v>
      </c>
      <c r="R318" s="48">
        <f>IF(INVESTORS_LIST[[#This Row],[SIP_TOTAL UNITS SOLD]]=0,0,SUMIFS(SIP[Realized Gain],SIP[Investor ID],INVESTORS_LIST[[#This Row],[INVESTOR CODE]],SIP[B/S],"S"))</f>
        <v>0</v>
      </c>
      <c r="S318" s="50">
        <f>INVESTORS_LIST[[#This Row],[LS_TOTAL UNITS BUY]]+INVESTORS_LIST[[#This Row],[SIP_TOTAL UNITS BUY]]</f>
        <v>0</v>
      </c>
      <c r="T318" s="50">
        <f>INVESTORS_LIST[[#This Row],[LS_TOTAL UNITS SOLD]]+INVESTORS_LIST[[#This Row],[SIP_TOTAL UNITS SOLD]]</f>
        <v>0</v>
      </c>
      <c r="U318" s="50"/>
      <c r="V318" s="50">
        <f>SUMIFS(LS[BO UNIT TRANSFER],LS[Investor ID],INVESTORS_LIST[[#This Row],[INVESTOR CODE]],LS[B/S],"B")</f>
        <v>0</v>
      </c>
      <c r="W318" s="50">
        <f>SUMIFS(SIP[BO UNIT TRANSFER],SIP[Investor ID],INVESTORS_LIST[[#This Row],[INVESTOR CODE]],SIP[B/S],"B")</f>
        <v>0</v>
      </c>
      <c r="X318" s="50">
        <f>SUMIFS(LS[BO UNIT TRANSFER],LS[Investor ID],INVESTORS_LIST[[#This Row],[INVESTOR CODE]],LS[B/S],"S")</f>
        <v>0</v>
      </c>
      <c r="Y318" s="50">
        <f>SUMIFS(SIP[BO UNIT TRANSFER],SIP[Investor ID],INVESTORS_LIST[[#This Row],[INVESTOR CODE]],SIP[B/S],"S")</f>
        <v>0</v>
      </c>
      <c r="Z318" s="106">
        <f>SUM(INVESTORS_LIST[[#This Row],[BO OPENING BALANCE]:[BO SIP UNITS REPURCHASE]])</f>
        <v>0</v>
      </c>
      <c r="AA318" s="107">
        <f>INVESTORS_LIST[[#This Row],[TOTAL UNITS BUY]]-INVESTORS_LIST[[#This Row],[TOTAL UNITS SOLD]]</f>
        <v>0</v>
      </c>
      <c r="AB318" s="107">
        <f>INVESTORS_LIST[[#This Row],[TOTAL CURRENT UNITS]]-INVESTORS_LIST[[#This Row],[BO UNITS HOLD]]</f>
        <v>0</v>
      </c>
      <c r="AC318" s="201" t="e">
        <f>INDEX([3]!Table_1[BO ID],MATCH(INVESTORS_LIST[[#This Row],[INVESTOR CODE]],[3]!Table_1[INVESTOR CODE],0))</f>
        <v>#REF!</v>
      </c>
      <c r="AD318" s="201" t="e">
        <f>INDEX([3]!Table_1[Brokerage Name2],MATCH(INVESTORS_LIST[[#This Row],[INVESTOR CODE]],[3]!Table_1[INVESTOR CODE],0))</f>
        <v>#REF!</v>
      </c>
      <c r="AE318" s="201" t="e">
        <f>MID(INVESTORS_LIST[[#This Row],[BO ID]],4,5)</f>
        <v>#REF!</v>
      </c>
      <c r="AF318" s="201" t="e">
        <f>MID(INVESTORS_LIST[[#This Row],[BO ID]],2,7)</f>
        <v>#REF!</v>
      </c>
      <c r="AG318" s="201" t="e">
        <f>MID(INVESTORS_LIST[[#This Row],[BO ID]],9,7)</f>
        <v>#REF!</v>
      </c>
      <c r="AH318" s="201" t="e">
        <f>RIGHT(INVESTORS_LIST[[#This Row],[BO ID]],1)</f>
        <v>#REF!</v>
      </c>
      <c r="AI318" s="50">
        <f>INVESTORS_LIST[[#This Row],[LS_TOTAL COST VALUE OF CURRENT UNITS]]+INVESTORS_LIST[[#This Row],[SIP_TOTAL COST VALUE OF CURRENT UNITS]]</f>
        <v>0</v>
      </c>
      <c r="AJ318" s="109">
        <f>IF(INVESTORS_LIST[[#This Row],[TOTAL CURRENT UNITS]]=0,0,INVESTORS_LIST[[#This Row],[LS_TOTAL CURRENT UNITS]]/INVESTORS_LIST[[#This Row],[TOTAL CURRENT UNITS]])</f>
        <v>0</v>
      </c>
      <c r="AK318" s="109">
        <f>IF(INVESTORS_LIST[[#This Row],[TOTAL CURRENT UNITS]]=0,0,INVESTORS_LIST[[#This Row],[SIP_TOTAL CURRENT UNITS]]/INVESTORS_LIST[[#This Row],[TOTAL CURRENT UNITS]])</f>
        <v>0</v>
      </c>
      <c r="AL318" s="49" cm="1">
        <f t="array" ref="AL3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8" s="49" cm="1">
        <f t="array" ref="AM3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8" s="105">
        <f t="shared" si="5"/>
        <v>14.224</v>
      </c>
      <c r="AP318" s="112">
        <f>IF(INVESTORS_LIST[[#This Row],[TOTAL CURRENT UNITS]]=0,0,INVESTORS_LIST[[#This Row],[TOTAL CURRENT UNITS]]*INVESTORS_LIST[[#This Row],[NAV]])</f>
        <v>0</v>
      </c>
      <c r="AQ318" s="49">
        <f>IF(INVESTORS_LIST[[#This Row],[LS_TOTAL CURRENT UNITS]]=0,0,INVESTORS_LIST[[#This Row],[LS_TOTAL CURRENT UNITS]]*INVESTORS_LIST[[#This Row],[NAV]])</f>
        <v>0</v>
      </c>
      <c r="AR318" s="48">
        <f>IF(INVESTORS_LIST[[#This Row],[SIP_TOTAL CURRENT UNITS]]=0,0,INVESTORS_LIST[[#This Row],[SIP_TOTAL CURRENT UNITS]]*INVESTORS_LIST[[#This Row],[NAV]])</f>
        <v>0</v>
      </c>
      <c r="AS318" s="50">
        <f>INVESTORS_LIST[[#This Row],[TOTAL CURRENT UNITS]]</f>
        <v>0</v>
      </c>
      <c r="AT318" s="48">
        <f>IF(INVESTORS_LIST[[#This Row],[TOTAL SELLABLE UNITS]]=0,0,INVESTORS_LIST[[#This Row],[TOTAL SELLABLE UNITS]]*INVESTORS_LIST[[#This Row],[NAV]])</f>
        <v>0</v>
      </c>
      <c r="AU318" s="48">
        <f>INVESTORS_LIST[[#This Row],[LS_TOTAL REALIZED GAIN]]+INVESTORS_LIST[[#This Row],[SIP_TOTAL REALIZED GAIN]]</f>
        <v>0</v>
      </c>
      <c r="AV318" s="48">
        <f>INVESTORS_LIST[[#This Row],[TOTAL MARKET VALUE]]-INVESTORS_LIST[[#This Row],[TOTAL COST VALUE OF CURRENT INVESTMENT]]</f>
        <v>0</v>
      </c>
      <c r="AW318" s="48">
        <f>IFERROR(INVESTORS_LIST[[#This Row],[TOTAL CURRENT UNITS]]/SUM(INVESTORS_LIST[TOTAL CURRENT UNITS]),0)</f>
        <v>0</v>
      </c>
    </row>
    <row r="319" spans="1:49" hidden="1">
      <c r="A319" s="262" t="s">
        <v>685</v>
      </c>
      <c r="B319" s="97" t="s">
        <v>686</v>
      </c>
      <c r="C319" t="s">
        <v>44</v>
      </c>
      <c r="D319" s="75" t="s">
        <v>45</v>
      </c>
      <c r="E319" s="47">
        <f>SUMIFS(LS[Unit],LS[Investor ID],INVESTORS_LIST[[#This Row],[INVESTOR CODE]],LS[B/S],"B")</f>
        <v>0</v>
      </c>
      <c r="F319" s="47">
        <f>-SUMIFS(LS[Unit],LS[Investor ID],INVESTORS_LIST[[#This Row],[INVESTOR CODE]],LS[B/S],"S")</f>
        <v>0</v>
      </c>
      <c r="G319" s="47">
        <f>IF(INVESTORS_LIST[[#This Row],[LS_TOTAL UNITS BUY]]=0,0,INVESTORS_LIST[[#This Row],[LS_TOTAL UNITS BUY]]-INVESTORS_LIST[[#This Row],[LS_TOTAL UNITS SOLD]])</f>
        <v>0</v>
      </c>
      <c r="H319" s="49">
        <f>IF(INVESTORS_LIST[[#This Row],[LS_TOTAL UNITS BUY]]=0,0,SUMIFS(LS[Amount],LS[Investor ID],INVESTORS_LIST[[#This Row],[INVESTOR CODE]],LS[B/S],"B"))</f>
        <v>0</v>
      </c>
      <c r="I319" s="48">
        <f>IF(INVESTORS_LIST[[#This Row],[LS_TOTAL UNITS SOLD]]=0,0,SUMIFS(LS[Cost of Units Sold],LS[Investor ID],INVESTORS_LIST[[#This Row],[INVESTOR CODE]],LS[B/S],"S"))</f>
        <v>0</v>
      </c>
      <c r="J319" s="48">
        <f>IF(INVESTORS_LIST[[#This Row],[LS_TOTAL CURRENT UNITS]]=0,0,INVESTORS_LIST[[#This Row],[LS_TOTAL CURRENT UNITS]]*INVESTORS_LIST[[#This Row],[LS_AVERAGE COST]])</f>
        <v>0</v>
      </c>
      <c r="K319" s="49">
        <f>IF(INVESTORS_LIST[[#This Row],[LS_TOTAL UNITS SOLD]]=0,0,SUMIFS(LS[Realized Gain],LS[Investor ID],INVESTORS_LIST[[#This Row],[INVESTOR CODE]],LS[B/S],"S"))</f>
        <v>0</v>
      </c>
      <c r="L319" s="47">
        <f>SUMIFS(SIP[Unit],SIP[Investor ID],INVESTORS_LIST[[#This Row],[INVESTOR CODE]],SIP[B/S],"B")</f>
        <v>0</v>
      </c>
      <c r="M319" s="47">
        <f>-SUMIFS(SIP[Unit],SIP[Investor ID],INVESTORS_LIST[[#This Row],[INVESTOR CODE]],SIP[B/S],"S")</f>
        <v>0</v>
      </c>
      <c r="N319" s="50">
        <f>IF(INVESTORS_LIST[[#This Row],[SIP_TOTAL UNITS BUY]]=0,0,INVESTORS_LIST[[#This Row],[SIP_TOTAL UNITS BUY]]-INVESTORS_LIST[[#This Row],[SIP_TOTAL UNITS SOLD]])</f>
        <v>0</v>
      </c>
      <c r="O319" s="49">
        <f>IF(INVESTORS_LIST[[#This Row],[SIP_TOTAL UNITS BUY]]=0,0,SUMIFS(SIP[Amount],SIP[Investor ID],INVESTORS_LIST[[#This Row],[INVESTOR CODE]],SIP[B/S],"B"))</f>
        <v>0</v>
      </c>
      <c r="P319" s="49">
        <f>IF(INVESTORS_LIST[[#This Row],[SIP_TOTAL UNITS SOLD]]=0,0,SUMIFS(SIP[Cost of Units Sold],SIP[Investor ID],INVESTORS_LIST[[#This Row],[INVESTOR CODE]],SIP[B/S],"S"))</f>
        <v>0</v>
      </c>
      <c r="Q319" s="48">
        <f>IF(INVESTORS_LIST[[#This Row],[SIP_TOTAL CURRENT UNITS]]=0,0,INVESTORS_LIST[[#This Row],[SIP_TOTAL CURRENT UNITS]]*INVESTORS_LIST[[#This Row],[SIP_AVERAGE COST]])</f>
        <v>0</v>
      </c>
      <c r="R319" s="48">
        <f>IF(INVESTORS_LIST[[#This Row],[SIP_TOTAL UNITS SOLD]]=0,0,SUMIFS(SIP[Realized Gain],SIP[Investor ID],INVESTORS_LIST[[#This Row],[INVESTOR CODE]],SIP[B/S],"S"))</f>
        <v>0</v>
      </c>
      <c r="S319" s="50">
        <f>INVESTORS_LIST[[#This Row],[LS_TOTAL UNITS BUY]]+INVESTORS_LIST[[#This Row],[SIP_TOTAL UNITS BUY]]</f>
        <v>0</v>
      </c>
      <c r="T319" s="50">
        <f>INVESTORS_LIST[[#This Row],[LS_TOTAL UNITS SOLD]]+INVESTORS_LIST[[#This Row],[SIP_TOTAL UNITS SOLD]]</f>
        <v>0</v>
      </c>
      <c r="U319" s="50"/>
      <c r="V319" s="50">
        <f>SUMIFS(LS[BO UNIT TRANSFER],LS[Investor ID],INVESTORS_LIST[[#This Row],[INVESTOR CODE]],LS[B/S],"B")</f>
        <v>0</v>
      </c>
      <c r="W319" s="50">
        <f>SUMIFS(SIP[BO UNIT TRANSFER],SIP[Investor ID],INVESTORS_LIST[[#This Row],[INVESTOR CODE]],SIP[B/S],"B")</f>
        <v>0</v>
      </c>
      <c r="X319" s="50">
        <f>SUMIFS(LS[BO UNIT TRANSFER],LS[Investor ID],INVESTORS_LIST[[#This Row],[INVESTOR CODE]],LS[B/S],"S")</f>
        <v>0</v>
      </c>
      <c r="Y319" s="50">
        <f>SUMIFS(SIP[BO UNIT TRANSFER],SIP[Investor ID],INVESTORS_LIST[[#This Row],[INVESTOR CODE]],SIP[B/S],"S")</f>
        <v>0</v>
      </c>
      <c r="Z319" s="106">
        <f>SUM(INVESTORS_LIST[[#This Row],[BO OPENING BALANCE]:[BO SIP UNITS REPURCHASE]])</f>
        <v>0</v>
      </c>
      <c r="AA319" s="107">
        <f>INVESTORS_LIST[[#This Row],[TOTAL UNITS BUY]]-INVESTORS_LIST[[#This Row],[TOTAL UNITS SOLD]]</f>
        <v>0</v>
      </c>
      <c r="AB319" s="107">
        <f>INVESTORS_LIST[[#This Row],[TOTAL CURRENT UNITS]]-INVESTORS_LIST[[#This Row],[BO UNITS HOLD]]</f>
        <v>0</v>
      </c>
      <c r="AC319" s="201" t="e">
        <f>INDEX([3]!Table_1[BO ID],MATCH(INVESTORS_LIST[[#This Row],[INVESTOR CODE]],[3]!Table_1[INVESTOR CODE],0))</f>
        <v>#REF!</v>
      </c>
      <c r="AD319" s="201" t="e">
        <f>INDEX([3]!Table_1[Brokerage Name2],MATCH(INVESTORS_LIST[[#This Row],[INVESTOR CODE]],[3]!Table_1[INVESTOR CODE],0))</f>
        <v>#REF!</v>
      </c>
      <c r="AE319" s="201" t="e">
        <f>MID(INVESTORS_LIST[[#This Row],[BO ID]],4,5)</f>
        <v>#REF!</v>
      </c>
      <c r="AF319" s="201" t="e">
        <f>MID(INVESTORS_LIST[[#This Row],[BO ID]],2,7)</f>
        <v>#REF!</v>
      </c>
      <c r="AG319" s="201" t="e">
        <f>MID(INVESTORS_LIST[[#This Row],[BO ID]],9,7)</f>
        <v>#REF!</v>
      </c>
      <c r="AH319" s="201" t="e">
        <f>RIGHT(INVESTORS_LIST[[#This Row],[BO ID]],1)</f>
        <v>#REF!</v>
      </c>
      <c r="AI319" s="50">
        <f>INVESTORS_LIST[[#This Row],[LS_TOTAL COST VALUE OF CURRENT UNITS]]+INVESTORS_LIST[[#This Row],[SIP_TOTAL COST VALUE OF CURRENT UNITS]]</f>
        <v>0</v>
      </c>
      <c r="AJ319" s="109">
        <f>IF(INVESTORS_LIST[[#This Row],[TOTAL CURRENT UNITS]]=0,0,INVESTORS_LIST[[#This Row],[LS_TOTAL CURRENT UNITS]]/INVESTORS_LIST[[#This Row],[TOTAL CURRENT UNITS]])</f>
        <v>0</v>
      </c>
      <c r="AK319" s="109">
        <f>IF(INVESTORS_LIST[[#This Row],[TOTAL CURRENT UNITS]]=0,0,INVESTORS_LIST[[#This Row],[SIP_TOTAL CURRENT UNITS]]/INVESTORS_LIST[[#This Row],[TOTAL CURRENT UNITS]])</f>
        <v>0</v>
      </c>
      <c r="AL319" s="49" cm="1">
        <f t="array" ref="AL3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19" s="49" cm="1">
        <f t="array" ref="AM3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19" s="105">
        <f t="shared" si="5"/>
        <v>14.224</v>
      </c>
      <c r="AP319" s="112">
        <f>IF(INVESTORS_LIST[[#This Row],[TOTAL CURRENT UNITS]]=0,0,INVESTORS_LIST[[#This Row],[TOTAL CURRENT UNITS]]*INVESTORS_LIST[[#This Row],[NAV]])</f>
        <v>0</v>
      </c>
      <c r="AQ319" s="49">
        <f>IF(INVESTORS_LIST[[#This Row],[LS_TOTAL CURRENT UNITS]]=0,0,INVESTORS_LIST[[#This Row],[LS_TOTAL CURRENT UNITS]]*INVESTORS_LIST[[#This Row],[NAV]])</f>
        <v>0</v>
      </c>
      <c r="AR319" s="48">
        <f>IF(INVESTORS_LIST[[#This Row],[SIP_TOTAL CURRENT UNITS]]=0,0,INVESTORS_LIST[[#This Row],[SIP_TOTAL CURRENT UNITS]]*INVESTORS_LIST[[#This Row],[NAV]])</f>
        <v>0</v>
      </c>
      <c r="AS319" s="50">
        <f>INVESTORS_LIST[[#This Row],[TOTAL CURRENT UNITS]]</f>
        <v>0</v>
      </c>
      <c r="AT319" s="48">
        <f>IF(INVESTORS_LIST[[#This Row],[TOTAL SELLABLE UNITS]]=0,0,INVESTORS_LIST[[#This Row],[TOTAL SELLABLE UNITS]]*INVESTORS_LIST[[#This Row],[NAV]])</f>
        <v>0</v>
      </c>
      <c r="AU319" s="48">
        <f>INVESTORS_LIST[[#This Row],[LS_TOTAL REALIZED GAIN]]+INVESTORS_LIST[[#This Row],[SIP_TOTAL REALIZED GAIN]]</f>
        <v>0</v>
      </c>
      <c r="AV319" s="48">
        <f>INVESTORS_LIST[[#This Row],[TOTAL MARKET VALUE]]-INVESTORS_LIST[[#This Row],[TOTAL COST VALUE OF CURRENT INVESTMENT]]</f>
        <v>0</v>
      </c>
      <c r="AW319" s="48">
        <f>IFERROR(INVESTORS_LIST[[#This Row],[TOTAL CURRENT UNITS]]/SUM(INVESTORS_LIST[TOTAL CURRENT UNITS]),0)</f>
        <v>0</v>
      </c>
    </row>
    <row r="320" spans="1:49" hidden="1">
      <c r="A320" s="262" t="s">
        <v>687</v>
      </c>
      <c r="B320" s="97" t="s">
        <v>688</v>
      </c>
      <c r="C320" t="s">
        <v>44</v>
      </c>
      <c r="D320" s="75" t="s">
        <v>45</v>
      </c>
      <c r="E320" s="47">
        <f>SUMIFS(LS[Unit],LS[Investor ID],INVESTORS_LIST[[#This Row],[INVESTOR CODE]],LS[B/S],"B")</f>
        <v>20000</v>
      </c>
      <c r="F320" s="47">
        <f>-SUMIFS(LS[Unit],LS[Investor ID],INVESTORS_LIST[[#This Row],[INVESTOR CODE]],LS[B/S],"S")</f>
        <v>20000</v>
      </c>
      <c r="G320" s="47">
        <f>IF(INVESTORS_LIST[[#This Row],[LS_TOTAL UNITS BUY]]=0,0,INVESTORS_LIST[[#This Row],[LS_TOTAL UNITS BUY]]-INVESTORS_LIST[[#This Row],[LS_TOTAL UNITS SOLD]])</f>
        <v>0</v>
      </c>
      <c r="H320" s="49">
        <f>IF(INVESTORS_LIST[[#This Row],[LS_TOTAL UNITS BUY]]=0,0,SUMIFS(LS[Amount],LS[Investor ID],INVESTORS_LIST[[#This Row],[INVESTOR CODE]],LS[B/S],"B"))</f>
        <v>200000</v>
      </c>
      <c r="I320" s="48">
        <f>IF(INVESTORS_LIST[[#This Row],[LS_TOTAL UNITS SOLD]]=0,0,SUMIFS(LS[Cost of Units Sold],LS[Investor ID],INVESTORS_LIST[[#This Row],[INVESTOR CODE]],LS[B/S],"S"))</f>
        <v>200000</v>
      </c>
      <c r="J320" s="48">
        <f>IF(INVESTORS_LIST[[#This Row],[LS_TOTAL CURRENT UNITS]]=0,0,INVESTORS_LIST[[#This Row],[LS_TOTAL CURRENT UNITS]]*INVESTORS_LIST[[#This Row],[LS_AVERAGE COST]])</f>
        <v>0</v>
      </c>
      <c r="K320" s="49">
        <f>IF(INVESTORS_LIST[[#This Row],[LS_TOTAL UNITS SOLD]]=0,0,SUMIFS(LS[Realized Gain],LS[Investor ID],INVESTORS_LIST[[#This Row],[INVESTOR CODE]],LS[B/S],"S"))</f>
        <v>8159.9999999999891</v>
      </c>
      <c r="L320" s="47">
        <f>SUMIFS(SIP[Unit],SIP[Investor ID],INVESTORS_LIST[[#This Row],[INVESTOR CODE]],SIP[B/S],"B")</f>
        <v>0</v>
      </c>
      <c r="M320" s="47">
        <f>-SUMIFS(SIP[Unit],SIP[Investor ID],INVESTORS_LIST[[#This Row],[INVESTOR CODE]],SIP[B/S],"S")</f>
        <v>0</v>
      </c>
      <c r="N320" s="50">
        <f>IF(INVESTORS_LIST[[#This Row],[SIP_TOTAL UNITS BUY]]=0,0,INVESTORS_LIST[[#This Row],[SIP_TOTAL UNITS BUY]]-INVESTORS_LIST[[#This Row],[SIP_TOTAL UNITS SOLD]])</f>
        <v>0</v>
      </c>
      <c r="O320" s="49">
        <f>IF(INVESTORS_LIST[[#This Row],[SIP_TOTAL UNITS BUY]]=0,0,SUMIFS(SIP[Amount],SIP[Investor ID],INVESTORS_LIST[[#This Row],[INVESTOR CODE]],SIP[B/S],"B"))</f>
        <v>0</v>
      </c>
      <c r="P320" s="49">
        <f>IF(INVESTORS_LIST[[#This Row],[SIP_TOTAL UNITS SOLD]]=0,0,SUMIFS(SIP[Cost of Units Sold],SIP[Investor ID],INVESTORS_LIST[[#This Row],[INVESTOR CODE]],SIP[B/S],"S"))</f>
        <v>0</v>
      </c>
      <c r="Q320" s="48">
        <f>IF(INVESTORS_LIST[[#This Row],[SIP_TOTAL CURRENT UNITS]]=0,0,INVESTORS_LIST[[#This Row],[SIP_TOTAL CURRENT UNITS]]*INVESTORS_LIST[[#This Row],[SIP_AVERAGE COST]])</f>
        <v>0</v>
      </c>
      <c r="R320" s="48">
        <f>IF(INVESTORS_LIST[[#This Row],[SIP_TOTAL UNITS SOLD]]=0,0,SUMIFS(SIP[Realized Gain],SIP[Investor ID],INVESTORS_LIST[[#This Row],[INVESTOR CODE]],SIP[B/S],"S"))</f>
        <v>0</v>
      </c>
      <c r="S320" s="50">
        <f>INVESTORS_LIST[[#This Row],[LS_TOTAL UNITS BUY]]+INVESTORS_LIST[[#This Row],[SIP_TOTAL UNITS BUY]]</f>
        <v>20000</v>
      </c>
      <c r="T320" s="50">
        <f>INVESTORS_LIST[[#This Row],[LS_TOTAL UNITS SOLD]]+INVESTORS_LIST[[#This Row],[SIP_TOTAL UNITS SOLD]]</f>
        <v>20000</v>
      </c>
      <c r="U320" s="50"/>
      <c r="V320" s="50">
        <f>SUMIFS(LS[BO UNIT TRANSFER],LS[Investor ID],INVESTORS_LIST[[#This Row],[INVESTOR CODE]],LS[B/S],"B")</f>
        <v>0</v>
      </c>
      <c r="W320" s="50">
        <f>SUMIFS(SIP[BO UNIT TRANSFER],SIP[Investor ID],INVESTORS_LIST[[#This Row],[INVESTOR CODE]],SIP[B/S],"B")</f>
        <v>0</v>
      </c>
      <c r="X320" s="50">
        <f>SUMIFS(LS[BO UNIT TRANSFER],LS[Investor ID],INVESTORS_LIST[[#This Row],[INVESTOR CODE]],LS[B/S],"S")</f>
        <v>0</v>
      </c>
      <c r="Y320" s="50">
        <f>SUMIFS(SIP[BO UNIT TRANSFER],SIP[Investor ID],INVESTORS_LIST[[#This Row],[INVESTOR CODE]],SIP[B/S],"S")</f>
        <v>0</v>
      </c>
      <c r="Z320" s="106">
        <f>SUM(INVESTORS_LIST[[#This Row],[BO OPENING BALANCE]:[BO SIP UNITS REPURCHASE]])</f>
        <v>0</v>
      </c>
      <c r="AA320" s="107">
        <f>INVESTORS_LIST[[#This Row],[TOTAL UNITS BUY]]-INVESTORS_LIST[[#This Row],[TOTAL UNITS SOLD]]</f>
        <v>0</v>
      </c>
      <c r="AB320" s="107">
        <f>INVESTORS_LIST[[#This Row],[TOTAL CURRENT UNITS]]-INVESTORS_LIST[[#This Row],[BO UNITS HOLD]]</f>
        <v>0</v>
      </c>
      <c r="AC320" s="201" t="e">
        <f>INDEX([3]!Table_1[BO ID],MATCH(INVESTORS_LIST[[#This Row],[INVESTOR CODE]],[3]!Table_1[INVESTOR CODE],0))</f>
        <v>#REF!</v>
      </c>
      <c r="AD320" s="201" t="e">
        <f>INDEX([3]!Table_1[Brokerage Name2],MATCH(INVESTORS_LIST[[#This Row],[INVESTOR CODE]],[3]!Table_1[INVESTOR CODE],0))</f>
        <v>#REF!</v>
      </c>
      <c r="AE320" s="201" t="e">
        <f>MID(INVESTORS_LIST[[#This Row],[BO ID]],4,5)</f>
        <v>#REF!</v>
      </c>
      <c r="AF320" s="201" t="e">
        <f>MID(INVESTORS_LIST[[#This Row],[BO ID]],2,7)</f>
        <v>#REF!</v>
      </c>
      <c r="AG320" s="201" t="e">
        <f>MID(INVESTORS_LIST[[#This Row],[BO ID]],9,7)</f>
        <v>#REF!</v>
      </c>
      <c r="AH320" s="201" t="e">
        <f>RIGHT(INVESTORS_LIST[[#This Row],[BO ID]],1)</f>
        <v>#REF!</v>
      </c>
      <c r="AI320" s="50">
        <f>INVESTORS_LIST[[#This Row],[LS_TOTAL COST VALUE OF CURRENT UNITS]]+INVESTORS_LIST[[#This Row],[SIP_TOTAL COST VALUE OF CURRENT UNITS]]</f>
        <v>0</v>
      </c>
      <c r="AJ320" s="109">
        <f>IF(INVESTORS_LIST[[#This Row],[TOTAL CURRENT UNITS]]=0,0,INVESTORS_LIST[[#This Row],[LS_TOTAL CURRENT UNITS]]/INVESTORS_LIST[[#This Row],[TOTAL CURRENT UNITS]])</f>
        <v>0</v>
      </c>
      <c r="AK320" s="109">
        <f>IF(INVESTORS_LIST[[#This Row],[TOTAL CURRENT UNITS]]=0,0,INVESTORS_LIST[[#This Row],[SIP_TOTAL CURRENT UNITS]]/INVESTORS_LIST[[#This Row],[TOTAL CURRENT UNITS]])</f>
        <v>0</v>
      </c>
      <c r="AL320" s="49" cm="1">
        <f t="array" ref="AL3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0" s="49" cm="1">
        <f t="array" ref="AM3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0" s="105">
        <f t="shared" si="5"/>
        <v>14.224</v>
      </c>
      <c r="AP320" s="112">
        <f>IF(INVESTORS_LIST[[#This Row],[TOTAL CURRENT UNITS]]=0,0,INVESTORS_LIST[[#This Row],[TOTAL CURRENT UNITS]]*INVESTORS_LIST[[#This Row],[NAV]])</f>
        <v>0</v>
      </c>
      <c r="AQ320" s="49">
        <f>IF(INVESTORS_LIST[[#This Row],[LS_TOTAL CURRENT UNITS]]=0,0,INVESTORS_LIST[[#This Row],[LS_TOTAL CURRENT UNITS]]*INVESTORS_LIST[[#This Row],[NAV]])</f>
        <v>0</v>
      </c>
      <c r="AR320" s="48">
        <f>IF(INVESTORS_LIST[[#This Row],[SIP_TOTAL CURRENT UNITS]]=0,0,INVESTORS_LIST[[#This Row],[SIP_TOTAL CURRENT UNITS]]*INVESTORS_LIST[[#This Row],[NAV]])</f>
        <v>0</v>
      </c>
      <c r="AS320" s="50">
        <f>INVESTORS_LIST[[#This Row],[TOTAL CURRENT UNITS]]</f>
        <v>0</v>
      </c>
      <c r="AT320" s="48">
        <f>IF(INVESTORS_LIST[[#This Row],[TOTAL SELLABLE UNITS]]=0,0,INVESTORS_LIST[[#This Row],[TOTAL SELLABLE UNITS]]*INVESTORS_LIST[[#This Row],[NAV]])</f>
        <v>0</v>
      </c>
      <c r="AU320" s="48">
        <f>INVESTORS_LIST[[#This Row],[LS_TOTAL REALIZED GAIN]]+INVESTORS_LIST[[#This Row],[SIP_TOTAL REALIZED GAIN]]</f>
        <v>8159.9999999999891</v>
      </c>
      <c r="AV320" s="48">
        <f>INVESTORS_LIST[[#This Row],[TOTAL MARKET VALUE]]-INVESTORS_LIST[[#This Row],[TOTAL COST VALUE OF CURRENT INVESTMENT]]</f>
        <v>0</v>
      </c>
      <c r="AW320" s="48">
        <f>IFERROR(INVESTORS_LIST[[#This Row],[TOTAL CURRENT UNITS]]/SUM(INVESTORS_LIST[TOTAL CURRENT UNITS]),0)</f>
        <v>0</v>
      </c>
    </row>
    <row r="321" spans="1:49" hidden="1">
      <c r="A321" s="262" t="s">
        <v>689</v>
      </c>
      <c r="B321" s="97" t="s">
        <v>690</v>
      </c>
      <c r="C321" t="s">
        <v>44</v>
      </c>
      <c r="D321" s="75" t="s">
        <v>45</v>
      </c>
      <c r="E321" s="47">
        <f>SUMIFS(LS[Unit],LS[Investor ID],INVESTORS_LIST[[#This Row],[INVESTOR CODE]],LS[B/S],"B")</f>
        <v>0</v>
      </c>
      <c r="F321" s="47">
        <f>-SUMIFS(LS[Unit],LS[Investor ID],INVESTORS_LIST[[#This Row],[INVESTOR CODE]],LS[B/S],"S")</f>
        <v>0</v>
      </c>
      <c r="G321" s="47">
        <f>IF(INVESTORS_LIST[[#This Row],[LS_TOTAL UNITS BUY]]=0,0,INVESTORS_LIST[[#This Row],[LS_TOTAL UNITS BUY]]-INVESTORS_LIST[[#This Row],[LS_TOTAL UNITS SOLD]])</f>
        <v>0</v>
      </c>
      <c r="H321" s="49">
        <f>IF(INVESTORS_LIST[[#This Row],[LS_TOTAL UNITS BUY]]=0,0,SUMIFS(LS[Amount],LS[Investor ID],INVESTORS_LIST[[#This Row],[INVESTOR CODE]],LS[B/S],"B"))</f>
        <v>0</v>
      </c>
      <c r="I321" s="48">
        <f>IF(INVESTORS_LIST[[#This Row],[LS_TOTAL UNITS SOLD]]=0,0,SUMIFS(LS[Cost of Units Sold],LS[Investor ID],INVESTORS_LIST[[#This Row],[INVESTOR CODE]],LS[B/S],"S"))</f>
        <v>0</v>
      </c>
      <c r="J321" s="48">
        <f>IF(INVESTORS_LIST[[#This Row],[LS_TOTAL CURRENT UNITS]]=0,0,INVESTORS_LIST[[#This Row],[LS_TOTAL CURRENT UNITS]]*INVESTORS_LIST[[#This Row],[LS_AVERAGE COST]])</f>
        <v>0</v>
      </c>
      <c r="K321" s="49">
        <f>IF(INVESTORS_LIST[[#This Row],[LS_TOTAL UNITS SOLD]]=0,0,SUMIFS(LS[Realized Gain],LS[Investor ID],INVESTORS_LIST[[#This Row],[INVESTOR CODE]],LS[B/S],"S"))</f>
        <v>0</v>
      </c>
      <c r="L321" s="47">
        <f>SUMIFS(SIP[Unit],SIP[Investor ID],INVESTORS_LIST[[#This Row],[INVESTOR CODE]],SIP[B/S],"B")</f>
        <v>0</v>
      </c>
      <c r="M321" s="47">
        <f>-SUMIFS(SIP[Unit],SIP[Investor ID],INVESTORS_LIST[[#This Row],[INVESTOR CODE]],SIP[B/S],"S")</f>
        <v>0</v>
      </c>
      <c r="N321" s="50">
        <f>IF(INVESTORS_LIST[[#This Row],[SIP_TOTAL UNITS BUY]]=0,0,INVESTORS_LIST[[#This Row],[SIP_TOTAL UNITS BUY]]-INVESTORS_LIST[[#This Row],[SIP_TOTAL UNITS SOLD]])</f>
        <v>0</v>
      </c>
      <c r="O321" s="49">
        <f>IF(INVESTORS_LIST[[#This Row],[SIP_TOTAL UNITS BUY]]=0,0,SUMIFS(SIP[Amount],SIP[Investor ID],INVESTORS_LIST[[#This Row],[INVESTOR CODE]],SIP[B/S],"B"))</f>
        <v>0</v>
      </c>
      <c r="P321" s="49">
        <f>IF(INVESTORS_LIST[[#This Row],[SIP_TOTAL UNITS SOLD]]=0,0,SUMIFS(SIP[Cost of Units Sold],SIP[Investor ID],INVESTORS_LIST[[#This Row],[INVESTOR CODE]],SIP[B/S],"S"))</f>
        <v>0</v>
      </c>
      <c r="Q321" s="48">
        <f>IF(INVESTORS_LIST[[#This Row],[SIP_TOTAL CURRENT UNITS]]=0,0,INVESTORS_LIST[[#This Row],[SIP_TOTAL CURRENT UNITS]]*INVESTORS_LIST[[#This Row],[SIP_AVERAGE COST]])</f>
        <v>0</v>
      </c>
      <c r="R321" s="48">
        <f>IF(INVESTORS_LIST[[#This Row],[SIP_TOTAL UNITS SOLD]]=0,0,SUMIFS(SIP[Realized Gain],SIP[Investor ID],INVESTORS_LIST[[#This Row],[INVESTOR CODE]],SIP[B/S],"S"))</f>
        <v>0</v>
      </c>
      <c r="S321" s="50">
        <f>INVESTORS_LIST[[#This Row],[LS_TOTAL UNITS BUY]]+INVESTORS_LIST[[#This Row],[SIP_TOTAL UNITS BUY]]</f>
        <v>0</v>
      </c>
      <c r="T321" s="50">
        <f>INVESTORS_LIST[[#This Row],[LS_TOTAL UNITS SOLD]]+INVESTORS_LIST[[#This Row],[SIP_TOTAL UNITS SOLD]]</f>
        <v>0</v>
      </c>
      <c r="U321" s="50"/>
      <c r="V321" s="50">
        <f>SUMIFS(LS[BO UNIT TRANSFER],LS[Investor ID],INVESTORS_LIST[[#This Row],[INVESTOR CODE]],LS[B/S],"B")</f>
        <v>0</v>
      </c>
      <c r="W321" s="50">
        <f>SUMIFS(SIP[BO UNIT TRANSFER],SIP[Investor ID],INVESTORS_LIST[[#This Row],[INVESTOR CODE]],SIP[B/S],"B")</f>
        <v>0</v>
      </c>
      <c r="X321" s="50">
        <f>SUMIFS(LS[BO UNIT TRANSFER],LS[Investor ID],INVESTORS_LIST[[#This Row],[INVESTOR CODE]],LS[B/S],"S")</f>
        <v>0</v>
      </c>
      <c r="Y321" s="50">
        <f>SUMIFS(SIP[BO UNIT TRANSFER],SIP[Investor ID],INVESTORS_LIST[[#This Row],[INVESTOR CODE]],SIP[B/S],"S")</f>
        <v>0</v>
      </c>
      <c r="Z321" s="106">
        <f>SUM(INVESTORS_LIST[[#This Row],[BO OPENING BALANCE]:[BO SIP UNITS REPURCHASE]])</f>
        <v>0</v>
      </c>
      <c r="AA321" s="107">
        <f>INVESTORS_LIST[[#This Row],[TOTAL UNITS BUY]]-INVESTORS_LIST[[#This Row],[TOTAL UNITS SOLD]]</f>
        <v>0</v>
      </c>
      <c r="AB321" s="107">
        <f>INVESTORS_LIST[[#This Row],[TOTAL CURRENT UNITS]]-INVESTORS_LIST[[#This Row],[BO UNITS HOLD]]</f>
        <v>0</v>
      </c>
      <c r="AC321" s="201" t="e">
        <f>INDEX([3]!Table_1[BO ID],MATCH(INVESTORS_LIST[[#This Row],[INVESTOR CODE]],[3]!Table_1[INVESTOR CODE],0))</f>
        <v>#REF!</v>
      </c>
      <c r="AD321" s="201" t="e">
        <f>INDEX([3]!Table_1[Brokerage Name2],MATCH(INVESTORS_LIST[[#This Row],[INVESTOR CODE]],[3]!Table_1[INVESTOR CODE],0))</f>
        <v>#REF!</v>
      </c>
      <c r="AE321" s="201" t="e">
        <f>MID(INVESTORS_LIST[[#This Row],[BO ID]],4,5)</f>
        <v>#REF!</v>
      </c>
      <c r="AF321" s="201" t="e">
        <f>MID(INVESTORS_LIST[[#This Row],[BO ID]],2,7)</f>
        <v>#REF!</v>
      </c>
      <c r="AG321" s="201" t="e">
        <f>MID(INVESTORS_LIST[[#This Row],[BO ID]],9,7)</f>
        <v>#REF!</v>
      </c>
      <c r="AH321" s="201" t="e">
        <f>RIGHT(INVESTORS_LIST[[#This Row],[BO ID]],1)</f>
        <v>#REF!</v>
      </c>
      <c r="AI321" s="50">
        <f>INVESTORS_LIST[[#This Row],[LS_TOTAL COST VALUE OF CURRENT UNITS]]+INVESTORS_LIST[[#This Row],[SIP_TOTAL COST VALUE OF CURRENT UNITS]]</f>
        <v>0</v>
      </c>
      <c r="AJ321" s="109">
        <f>IF(INVESTORS_LIST[[#This Row],[TOTAL CURRENT UNITS]]=0,0,INVESTORS_LIST[[#This Row],[LS_TOTAL CURRENT UNITS]]/INVESTORS_LIST[[#This Row],[TOTAL CURRENT UNITS]])</f>
        <v>0</v>
      </c>
      <c r="AK321" s="109">
        <f>IF(INVESTORS_LIST[[#This Row],[TOTAL CURRENT UNITS]]=0,0,INVESTORS_LIST[[#This Row],[SIP_TOTAL CURRENT UNITS]]/INVESTORS_LIST[[#This Row],[TOTAL CURRENT UNITS]])</f>
        <v>0</v>
      </c>
      <c r="AL321" s="49" cm="1">
        <f t="array" ref="AL3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1" s="49" cm="1">
        <f t="array" ref="AM3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1" s="105">
        <f t="shared" si="5"/>
        <v>14.224</v>
      </c>
      <c r="AP321" s="112">
        <f>IF(INVESTORS_LIST[[#This Row],[TOTAL CURRENT UNITS]]=0,0,INVESTORS_LIST[[#This Row],[TOTAL CURRENT UNITS]]*INVESTORS_LIST[[#This Row],[NAV]])</f>
        <v>0</v>
      </c>
      <c r="AQ321" s="49">
        <f>IF(INVESTORS_LIST[[#This Row],[LS_TOTAL CURRENT UNITS]]=0,0,INVESTORS_LIST[[#This Row],[LS_TOTAL CURRENT UNITS]]*INVESTORS_LIST[[#This Row],[NAV]])</f>
        <v>0</v>
      </c>
      <c r="AR321" s="48">
        <f>IF(INVESTORS_LIST[[#This Row],[SIP_TOTAL CURRENT UNITS]]=0,0,INVESTORS_LIST[[#This Row],[SIP_TOTAL CURRENT UNITS]]*INVESTORS_LIST[[#This Row],[NAV]])</f>
        <v>0</v>
      </c>
      <c r="AS321" s="50">
        <f>INVESTORS_LIST[[#This Row],[TOTAL CURRENT UNITS]]</f>
        <v>0</v>
      </c>
      <c r="AT321" s="48">
        <f>IF(INVESTORS_LIST[[#This Row],[TOTAL SELLABLE UNITS]]=0,0,INVESTORS_LIST[[#This Row],[TOTAL SELLABLE UNITS]]*INVESTORS_LIST[[#This Row],[NAV]])</f>
        <v>0</v>
      </c>
      <c r="AU321" s="48">
        <f>INVESTORS_LIST[[#This Row],[LS_TOTAL REALIZED GAIN]]+INVESTORS_LIST[[#This Row],[SIP_TOTAL REALIZED GAIN]]</f>
        <v>0</v>
      </c>
      <c r="AV321" s="48">
        <f>INVESTORS_LIST[[#This Row],[TOTAL MARKET VALUE]]-INVESTORS_LIST[[#This Row],[TOTAL COST VALUE OF CURRENT INVESTMENT]]</f>
        <v>0</v>
      </c>
      <c r="AW321" s="48">
        <f>IFERROR(INVESTORS_LIST[[#This Row],[TOTAL CURRENT UNITS]]/SUM(INVESTORS_LIST[TOTAL CURRENT UNITS]),0)</f>
        <v>0</v>
      </c>
    </row>
    <row r="322" spans="1:49" hidden="1">
      <c r="A322" s="262" t="s">
        <v>691</v>
      </c>
      <c r="B322" s="97" t="s">
        <v>692</v>
      </c>
      <c r="C322" t="s">
        <v>44</v>
      </c>
      <c r="D322" s="75" t="s">
        <v>45</v>
      </c>
      <c r="E322" s="47">
        <f>SUMIFS(LS[Unit],LS[Investor ID],INVESTORS_LIST[[#This Row],[INVESTOR CODE]],LS[B/S],"B")</f>
        <v>14680</v>
      </c>
      <c r="F322" s="47">
        <f>-SUMIFS(LS[Unit],LS[Investor ID],INVESTORS_LIST[[#This Row],[INVESTOR CODE]],LS[B/S],"S")</f>
        <v>14680</v>
      </c>
      <c r="G322" s="47">
        <f>IF(INVESTORS_LIST[[#This Row],[LS_TOTAL UNITS BUY]]=0,0,INVESTORS_LIST[[#This Row],[LS_TOTAL UNITS BUY]]-INVESTORS_LIST[[#This Row],[LS_TOTAL UNITS SOLD]])</f>
        <v>0</v>
      </c>
      <c r="H322" s="49">
        <f>IF(INVESTORS_LIST[[#This Row],[LS_TOTAL UNITS BUY]]=0,0,SUMIFS(LS[Amount],LS[Investor ID],INVESTORS_LIST[[#This Row],[INVESTOR CODE]],LS[B/S],"B"))</f>
        <v>150000</v>
      </c>
      <c r="I322" s="48">
        <f>IF(INVESTORS_LIST[[#This Row],[LS_TOTAL UNITS SOLD]]=0,0,SUMIFS(LS[Cost of Units Sold],LS[Investor ID],INVESTORS_LIST[[#This Row],[INVESTOR CODE]],LS[B/S],"S"))</f>
        <v>150000</v>
      </c>
      <c r="J322" s="48">
        <f>IF(INVESTORS_LIST[[#This Row],[LS_TOTAL CURRENT UNITS]]=0,0,INVESTORS_LIST[[#This Row],[LS_TOTAL CURRENT UNITS]]*INVESTORS_LIST[[#This Row],[LS_AVERAGE COST]])</f>
        <v>0</v>
      </c>
      <c r="K322" s="49">
        <f>IF(INVESTORS_LIST[[#This Row],[LS_TOTAL UNITS SOLD]]=0,0,SUMIFS(LS[Realized Gain],LS[Investor ID],INVESTORS_LIST[[#This Row],[INVESTOR CODE]],LS[B/S],"S"))</f>
        <v>23620.359999999979</v>
      </c>
      <c r="L322" s="47">
        <f>SUMIFS(SIP[Unit],SIP[Investor ID],INVESTORS_LIST[[#This Row],[INVESTOR CODE]],SIP[B/S],"B")</f>
        <v>32212</v>
      </c>
      <c r="M322" s="47">
        <f>-SUMIFS(SIP[Unit],SIP[Investor ID],INVESTORS_LIST[[#This Row],[INVESTOR CODE]],SIP[B/S],"S")</f>
        <v>32212</v>
      </c>
      <c r="N322" s="50">
        <f>IF(INVESTORS_LIST[[#This Row],[SIP_TOTAL UNITS BUY]]=0,0,INVESTORS_LIST[[#This Row],[SIP_TOTAL UNITS BUY]]-INVESTORS_LIST[[#This Row],[SIP_TOTAL UNITS SOLD]])</f>
        <v>0</v>
      </c>
      <c r="O322" s="49">
        <f>IF(INVESTORS_LIST[[#This Row],[SIP_TOTAL UNITS BUY]]=0,0,SUMIFS(SIP[Amount],SIP[Investor ID],INVESTORS_LIST[[#This Row],[INVESTOR CODE]],SIP[B/S],"B"))</f>
        <v>400000</v>
      </c>
      <c r="P322" s="49">
        <f>IF(INVESTORS_LIST[[#This Row],[SIP_TOTAL UNITS SOLD]]=0,0,SUMIFS(SIP[Cost of Units Sold],SIP[Investor ID],INVESTORS_LIST[[#This Row],[INVESTOR CODE]],SIP[B/S],"S"))</f>
        <v>400000</v>
      </c>
      <c r="Q322" s="48">
        <f>IF(INVESTORS_LIST[[#This Row],[SIP_TOTAL CURRENT UNITS]]=0,0,INVESTORS_LIST[[#This Row],[SIP_TOTAL CURRENT UNITS]]*INVESTORS_LIST[[#This Row],[SIP_AVERAGE COST]])</f>
        <v>0</v>
      </c>
      <c r="R322" s="48">
        <f>IF(INVESTORS_LIST[[#This Row],[SIP_TOTAL UNITS SOLD]]=0,0,SUMIFS(SIP[Realized Gain],SIP[Investor ID],INVESTORS_LIST[[#This Row],[INVESTOR CODE]],SIP[B/S],"S"))</f>
        <v>14655.619999999988</v>
      </c>
      <c r="S322" s="50">
        <f>INVESTORS_LIST[[#This Row],[LS_TOTAL UNITS BUY]]+INVESTORS_LIST[[#This Row],[SIP_TOTAL UNITS BUY]]</f>
        <v>46892</v>
      </c>
      <c r="T322" s="50">
        <f>INVESTORS_LIST[[#This Row],[LS_TOTAL UNITS SOLD]]+INVESTORS_LIST[[#This Row],[SIP_TOTAL UNITS SOLD]]</f>
        <v>46892</v>
      </c>
      <c r="U322" s="50"/>
      <c r="V322" s="50">
        <f>SUMIFS(LS[BO UNIT TRANSFER],LS[Investor ID],INVESTORS_LIST[[#This Row],[INVESTOR CODE]],LS[B/S],"B")</f>
        <v>0</v>
      </c>
      <c r="W322" s="50">
        <f>SUMIFS(SIP[BO UNIT TRANSFER],SIP[Investor ID],INVESTORS_LIST[[#This Row],[INVESTOR CODE]],SIP[B/S],"B")</f>
        <v>0</v>
      </c>
      <c r="X322" s="50">
        <f>SUMIFS(LS[BO UNIT TRANSFER],LS[Investor ID],INVESTORS_LIST[[#This Row],[INVESTOR CODE]],LS[B/S],"S")</f>
        <v>0</v>
      </c>
      <c r="Y322" s="50">
        <f>SUMIFS(SIP[BO UNIT TRANSFER],SIP[Investor ID],INVESTORS_LIST[[#This Row],[INVESTOR CODE]],SIP[B/S],"S")</f>
        <v>0</v>
      </c>
      <c r="Z322" s="106">
        <f>SUM(INVESTORS_LIST[[#This Row],[BO OPENING BALANCE]:[BO SIP UNITS REPURCHASE]])</f>
        <v>0</v>
      </c>
      <c r="AA322" s="107">
        <f>INVESTORS_LIST[[#This Row],[TOTAL UNITS BUY]]-INVESTORS_LIST[[#This Row],[TOTAL UNITS SOLD]]</f>
        <v>0</v>
      </c>
      <c r="AB322" s="107">
        <f>INVESTORS_LIST[[#This Row],[TOTAL CURRENT UNITS]]-INVESTORS_LIST[[#This Row],[BO UNITS HOLD]]</f>
        <v>0</v>
      </c>
      <c r="AC322" s="201" t="e">
        <f>INDEX([3]!Table_1[BO ID],MATCH(INVESTORS_LIST[[#This Row],[INVESTOR CODE]],[3]!Table_1[INVESTOR CODE],0))</f>
        <v>#REF!</v>
      </c>
      <c r="AD322" s="201" t="e">
        <f>INDEX([3]!Table_1[Brokerage Name2],MATCH(INVESTORS_LIST[[#This Row],[INVESTOR CODE]],[3]!Table_1[INVESTOR CODE],0))</f>
        <v>#REF!</v>
      </c>
      <c r="AE322" s="201" t="e">
        <f>MID(INVESTORS_LIST[[#This Row],[BO ID]],4,5)</f>
        <v>#REF!</v>
      </c>
      <c r="AF322" s="201" t="e">
        <f>MID(INVESTORS_LIST[[#This Row],[BO ID]],2,7)</f>
        <v>#REF!</v>
      </c>
      <c r="AG322" s="201" t="e">
        <f>MID(INVESTORS_LIST[[#This Row],[BO ID]],9,7)</f>
        <v>#REF!</v>
      </c>
      <c r="AH322" s="201" t="e">
        <f>RIGHT(INVESTORS_LIST[[#This Row],[BO ID]],1)</f>
        <v>#REF!</v>
      </c>
      <c r="AI322" s="50">
        <f>INVESTORS_LIST[[#This Row],[LS_TOTAL COST VALUE OF CURRENT UNITS]]+INVESTORS_LIST[[#This Row],[SIP_TOTAL COST VALUE OF CURRENT UNITS]]</f>
        <v>0</v>
      </c>
      <c r="AJ322" s="109">
        <f>IF(INVESTORS_LIST[[#This Row],[TOTAL CURRENT UNITS]]=0,0,INVESTORS_LIST[[#This Row],[LS_TOTAL CURRENT UNITS]]/INVESTORS_LIST[[#This Row],[TOTAL CURRENT UNITS]])</f>
        <v>0</v>
      </c>
      <c r="AK322" s="109">
        <f>IF(INVESTORS_LIST[[#This Row],[TOTAL CURRENT UNITS]]=0,0,INVESTORS_LIST[[#This Row],[SIP_TOTAL CURRENT UNITS]]/INVESTORS_LIST[[#This Row],[TOTAL CURRENT UNITS]])</f>
        <v>0</v>
      </c>
      <c r="AL322" s="49" cm="1">
        <f t="array" ref="AL3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2" s="49" cm="1">
        <f t="array" ref="AM3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2" s="105">
        <f t="shared" si="5"/>
        <v>14.224</v>
      </c>
      <c r="AP322" s="112">
        <f>IF(INVESTORS_LIST[[#This Row],[TOTAL CURRENT UNITS]]=0,0,INVESTORS_LIST[[#This Row],[TOTAL CURRENT UNITS]]*INVESTORS_LIST[[#This Row],[NAV]])</f>
        <v>0</v>
      </c>
      <c r="AQ322" s="49">
        <f>IF(INVESTORS_LIST[[#This Row],[LS_TOTAL CURRENT UNITS]]=0,0,INVESTORS_LIST[[#This Row],[LS_TOTAL CURRENT UNITS]]*INVESTORS_LIST[[#This Row],[NAV]])</f>
        <v>0</v>
      </c>
      <c r="AR322" s="48">
        <f>IF(INVESTORS_LIST[[#This Row],[SIP_TOTAL CURRENT UNITS]]=0,0,INVESTORS_LIST[[#This Row],[SIP_TOTAL CURRENT UNITS]]*INVESTORS_LIST[[#This Row],[NAV]])</f>
        <v>0</v>
      </c>
      <c r="AS322" s="50">
        <f>INVESTORS_LIST[[#This Row],[TOTAL CURRENT UNITS]]</f>
        <v>0</v>
      </c>
      <c r="AT322" s="48">
        <f>IF(INVESTORS_LIST[[#This Row],[TOTAL SELLABLE UNITS]]=0,0,INVESTORS_LIST[[#This Row],[TOTAL SELLABLE UNITS]]*INVESTORS_LIST[[#This Row],[NAV]])</f>
        <v>0</v>
      </c>
      <c r="AU322" s="48">
        <f>INVESTORS_LIST[[#This Row],[LS_TOTAL REALIZED GAIN]]+INVESTORS_LIST[[#This Row],[SIP_TOTAL REALIZED GAIN]]</f>
        <v>38275.979999999967</v>
      </c>
      <c r="AV322" s="48">
        <f>INVESTORS_LIST[[#This Row],[TOTAL MARKET VALUE]]-INVESTORS_LIST[[#This Row],[TOTAL COST VALUE OF CURRENT INVESTMENT]]</f>
        <v>0</v>
      </c>
      <c r="AW322" s="108">
        <f>IFERROR(INVESTORS_LIST[[#This Row],[TOTAL CURRENT UNITS]]/SUM(INVESTORS_LIST[TOTAL CURRENT UNITS]),0)</f>
        <v>0</v>
      </c>
    </row>
    <row r="323" spans="1:49" hidden="1">
      <c r="A323" s="262" t="s">
        <v>693</v>
      </c>
      <c r="B323" s="97" t="s">
        <v>694</v>
      </c>
      <c r="C323" t="s">
        <v>44</v>
      </c>
      <c r="D323" s="75" t="s">
        <v>45</v>
      </c>
      <c r="E323" s="47">
        <f>SUMIFS(LS[Unit],LS[Investor ID],INVESTORS_LIST[[#This Row],[INVESTOR CODE]],LS[B/S],"B")</f>
        <v>0</v>
      </c>
      <c r="F323" s="47">
        <f>-SUMIFS(LS[Unit],LS[Investor ID],INVESTORS_LIST[[#This Row],[INVESTOR CODE]],LS[B/S],"S")</f>
        <v>0</v>
      </c>
      <c r="G323" s="47">
        <f>IF(INVESTORS_LIST[[#This Row],[LS_TOTAL UNITS BUY]]=0,0,INVESTORS_LIST[[#This Row],[LS_TOTAL UNITS BUY]]-INVESTORS_LIST[[#This Row],[LS_TOTAL UNITS SOLD]])</f>
        <v>0</v>
      </c>
      <c r="H323" s="49">
        <f>IF(INVESTORS_LIST[[#This Row],[LS_TOTAL UNITS BUY]]=0,0,SUMIFS(LS[Amount],LS[Investor ID],INVESTORS_LIST[[#This Row],[INVESTOR CODE]],LS[B/S],"B"))</f>
        <v>0</v>
      </c>
      <c r="I323" s="48">
        <f>IF(INVESTORS_LIST[[#This Row],[LS_TOTAL UNITS SOLD]]=0,0,SUMIFS(LS[Cost of Units Sold],LS[Investor ID],INVESTORS_LIST[[#This Row],[INVESTOR CODE]],LS[B/S],"S"))</f>
        <v>0</v>
      </c>
      <c r="J323" s="48">
        <f>IF(INVESTORS_LIST[[#This Row],[LS_TOTAL CURRENT UNITS]]=0,0,INVESTORS_LIST[[#This Row],[LS_TOTAL CURRENT UNITS]]*INVESTORS_LIST[[#This Row],[LS_AVERAGE COST]])</f>
        <v>0</v>
      </c>
      <c r="K323" s="49">
        <f>IF(INVESTORS_LIST[[#This Row],[LS_TOTAL UNITS SOLD]]=0,0,SUMIFS(LS[Realized Gain],LS[Investor ID],INVESTORS_LIST[[#This Row],[INVESTOR CODE]],LS[B/S],"S"))</f>
        <v>0</v>
      </c>
      <c r="L323" s="47">
        <f>SUMIFS(SIP[Unit],SIP[Investor ID],INVESTORS_LIST[[#This Row],[INVESTOR CODE]],SIP[B/S],"B")</f>
        <v>0</v>
      </c>
      <c r="M323" s="47">
        <f>-SUMIFS(SIP[Unit],SIP[Investor ID],INVESTORS_LIST[[#This Row],[INVESTOR CODE]],SIP[B/S],"S")</f>
        <v>0</v>
      </c>
      <c r="N323" s="50">
        <f>IF(INVESTORS_LIST[[#This Row],[SIP_TOTAL UNITS BUY]]=0,0,INVESTORS_LIST[[#This Row],[SIP_TOTAL UNITS BUY]]-INVESTORS_LIST[[#This Row],[SIP_TOTAL UNITS SOLD]])</f>
        <v>0</v>
      </c>
      <c r="O323" s="49">
        <f>IF(INVESTORS_LIST[[#This Row],[SIP_TOTAL UNITS BUY]]=0,0,SUMIFS(SIP[Amount],SIP[Investor ID],INVESTORS_LIST[[#This Row],[INVESTOR CODE]],SIP[B/S],"B"))</f>
        <v>0</v>
      </c>
      <c r="P323" s="49">
        <f>IF(INVESTORS_LIST[[#This Row],[SIP_TOTAL UNITS SOLD]]=0,0,SUMIFS(SIP[Cost of Units Sold],SIP[Investor ID],INVESTORS_LIST[[#This Row],[INVESTOR CODE]],SIP[B/S],"S"))</f>
        <v>0</v>
      </c>
      <c r="Q323" s="48">
        <f>IF(INVESTORS_LIST[[#This Row],[SIP_TOTAL CURRENT UNITS]]=0,0,INVESTORS_LIST[[#This Row],[SIP_TOTAL CURRENT UNITS]]*INVESTORS_LIST[[#This Row],[SIP_AVERAGE COST]])</f>
        <v>0</v>
      </c>
      <c r="R323" s="48">
        <f>IF(INVESTORS_LIST[[#This Row],[SIP_TOTAL UNITS SOLD]]=0,0,SUMIFS(SIP[Realized Gain],SIP[Investor ID],INVESTORS_LIST[[#This Row],[INVESTOR CODE]],SIP[B/S],"S"))</f>
        <v>0</v>
      </c>
      <c r="S323" s="50">
        <f>INVESTORS_LIST[[#This Row],[LS_TOTAL UNITS BUY]]+INVESTORS_LIST[[#This Row],[SIP_TOTAL UNITS BUY]]</f>
        <v>0</v>
      </c>
      <c r="T323" s="50">
        <f>INVESTORS_LIST[[#This Row],[LS_TOTAL UNITS SOLD]]+INVESTORS_LIST[[#This Row],[SIP_TOTAL UNITS SOLD]]</f>
        <v>0</v>
      </c>
      <c r="U323" s="50"/>
      <c r="V323" s="50">
        <f>SUMIFS(LS[BO UNIT TRANSFER],LS[Investor ID],INVESTORS_LIST[[#This Row],[INVESTOR CODE]],LS[B/S],"B")</f>
        <v>0</v>
      </c>
      <c r="W323" s="50">
        <f>SUMIFS(SIP[BO UNIT TRANSFER],SIP[Investor ID],INVESTORS_LIST[[#This Row],[INVESTOR CODE]],SIP[B/S],"B")</f>
        <v>0</v>
      </c>
      <c r="X323" s="50">
        <f>SUMIFS(LS[BO UNIT TRANSFER],LS[Investor ID],INVESTORS_LIST[[#This Row],[INVESTOR CODE]],LS[B/S],"S")</f>
        <v>0</v>
      </c>
      <c r="Y323" s="50">
        <f>SUMIFS(SIP[BO UNIT TRANSFER],SIP[Investor ID],INVESTORS_LIST[[#This Row],[INVESTOR CODE]],SIP[B/S],"S")</f>
        <v>0</v>
      </c>
      <c r="Z323" s="106">
        <f>SUM(INVESTORS_LIST[[#This Row],[BO OPENING BALANCE]:[BO SIP UNITS REPURCHASE]])</f>
        <v>0</v>
      </c>
      <c r="AA323" s="107">
        <f>INVESTORS_LIST[[#This Row],[TOTAL UNITS BUY]]-INVESTORS_LIST[[#This Row],[TOTAL UNITS SOLD]]</f>
        <v>0</v>
      </c>
      <c r="AB323" s="107">
        <f>INVESTORS_LIST[[#This Row],[TOTAL CURRENT UNITS]]-INVESTORS_LIST[[#This Row],[BO UNITS HOLD]]</f>
        <v>0</v>
      </c>
      <c r="AC323" s="201" t="e">
        <f>INDEX([3]!Table_1[BO ID],MATCH(INVESTORS_LIST[[#This Row],[INVESTOR CODE]],[3]!Table_1[INVESTOR CODE],0))</f>
        <v>#REF!</v>
      </c>
      <c r="AD323" s="201" t="e">
        <f>INDEX([3]!Table_1[Brokerage Name2],MATCH(INVESTORS_LIST[[#This Row],[INVESTOR CODE]],[3]!Table_1[INVESTOR CODE],0))</f>
        <v>#REF!</v>
      </c>
      <c r="AE323" s="201" t="e">
        <f>MID(INVESTORS_LIST[[#This Row],[BO ID]],4,5)</f>
        <v>#REF!</v>
      </c>
      <c r="AF323" s="201" t="e">
        <f>MID(INVESTORS_LIST[[#This Row],[BO ID]],2,7)</f>
        <v>#REF!</v>
      </c>
      <c r="AG323" s="201" t="e">
        <f>MID(INVESTORS_LIST[[#This Row],[BO ID]],9,7)</f>
        <v>#REF!</v>
      </c>
      <c r="AH323" s="201" t="e">
        <f>RIGHT(INVESTORS_LIST[[#This Row],[BO ID]],1)</f>
        <v>#REF!</v>
      </c>
      <c r="AI323" s="50">
        <f>INVESTORS_LIST[[#This Row],[LS_TOTAL COST VALUE OF CURRENT UNITS]]+INVESTORS_LIST[[#This Row],[SIP_TOTAL COST VALUE OF CURRENT UNITS]]</f>
        <v>0</v>
      </c>
      <c r="AJ323" s="109">
        <f>IF(INVESTORS_LIST[[#This Row],[TOTAL CURRENT UNITS]]=0,0,INVESTORS_LIST[[#This Row],[LS_TOTAL CURRENT UNITS]]/INVESTORS_LIST[[#This Row],[TOTAL CURRENT UNITS]])</f>
        <v>0</v>
      </c>
      <c r="AK323" s="109">
        <f>IF(INVESTORS_LIST[[#This Row],[TOTAL CURRENT UNITS]]=0,0,INVESTORS_LIST[[#This Row],[SIP_TOTAL CURRENT UNITS]]/INVESTORS_LIST[[#This Row],[TOTAL CURRENT UNITS]])</f>
        <v>0</v>
      </c>
      <c r="AL323" s="49" cm="1">
        <f t="array" ref="AL3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3" s="49" cm="1">
        <f t="array" ref="AM3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3" s="105">
        <f t="shared" ref="AO323:AO386" si="6">NAV_MKT</f>
        <v>14.224</v>
      </c>
      <c r="AP323" s="112">
        <f>IF(INVESTORS_LIST[[#This Row],[TOTAL CURRENT UNITS]]=0,0,INVESTORS_LIST[[#This Row],[TOTAL CURRENT UNITS]]*INVESTORS_LIST[[#This Row],[NAV]])</f>
        <v>0</v>
      </c>
      <c r="AQ323" s="49">
        <f>IF(INVESTORS_LIST[[#This Row],[LS_TOTAL CURRENT UNITS]]=0,0,INVESTORS_LIST[[#This Row],[LS_TOTAL CURRENT UNITS]]*INVESTORS_LIST[[#This Row],[NAV]])</f>
        <v>0</v>
      </c>
      <c r="AR323" s="48">
        <f>IF(INVESTORS_LIST[[#This Row],[SIP_TOTAL CURRENT UNITS]]=0,0,INVESTORS_LIST[[#This Row],[SIP_TOTAL CURRENT UNITS]]*INVESTORS_LIST[[#This Row],[NAV]])</f>
        <v>0</v>
      </c>
      <c r="AS323" s="50">
        <f>INVESTORS_LIST[[#This Row],[TOTAL CURRENT UNITS]]</f>
        <v>0</v>
      </c>
      <c r="AT323" s="48">
        <f>IF(INVESTORS_LIST[[#This Row],[TOTAL SELLABLE UNITS]]=0,0,INVESTORS_LIST[[#This Row],[TOTAL SELLABLE UNITS]]*INVESTORS_LIST[[#This Row],[NAV]])</f>
        <v>0</v>
      </c>
      <c r="AU323" s="48">
        <f>INVESTORS_LIST[[#This Row],[LS_TOTAL REALIZED GAIN]]+INVESTORS_LIST[[#This Row],[SIP_TOTAL REALIZED GAIN]]</f>
        <v>0</v>
      </c>
      <c r="AV323" s="48">
        <f>INVESTORS_LIST[[#This Row],[TOTAL MARKET VALUE]]-INVESTORS_LIST[[#This Row],[TOTAL COST VALUE OF CURRENT INVESTMENT]]</f>
        <v>0</v>
      </c>
      <c r="AW323" s="48">
        <f>IFERROR(INVESTORS_LIST[[#This Row],[TOTAL CURRENT UNITS]]/SUM(INVESTORS_LIST[TOTAL CURRENT UNITS]),0)</f>
        <v>0</v>
      </c>
    </row>
    <row r="324" spans="1:49">
      <c r="A324" s="262" t="s">
        <v>695</v>
      </c>
      <c r="B324" s="97" t="s">
        <v>696</v>
      </c>
      <c r="C324" t="s">
        <v>44</v>
      </c>
      <c r="D324" s="75" t="s">
        <v>45</v>
      </c>
      <c r="E324" s="47">
        <f>SUMIFS(LS[Unit],LS[Investor ID],INVESTORS_LIST[[#This Row],[INVESTOR CODE]],LS[B/S],"B")</f>
        <v>40261</v>
      </c>
      <c r="F324" s="47">
        <f>-SUMIFS(LS[Unit],LS[Investor ID],INVESTORS_LIST[[#This Row],[INVESTOR CODE]],LS[B/S],"S")</f>
        <v>0</v>
      </c>
      <c r="G324" s="47">
        <f>IF(INVESTORS_LIST[[#This Row],[LS_TOTAL UNITS BUY]]=0,0,INVESTORS_LIST[[#This Row],[LS_TOTAL UNITS BUY]]-INVESTORS_LIST[[#This Row],[LS_TOTAL UNITS SOLD]])</f>
        <v>40261</v>
      </c>
      <c r="H324" s="49">
        <f>IF(INVESTORS_LIST[[#This Row],[LS_TOTAL UNITS BUY]]=0,0,SUMIFS(LS[Amount],LS[Investor ID],INVESTORS_LIST[[#This Row],[INVESTOR CODE]],LS[B/S],"B"))</f>
        <v>500000</v>
      </c>
      <c r="I324" s="48">
        <f>IF(INVESTORS_LIST[[#This Row],[LS_TOTAL UNITS SOLD]]=0,0,SUMIFS(LS[Cost of Units Sold],LS[Investor ID],INVESTORS_LIST[[#This Row],[INVESTOR CODE]],LS[B/S],"S"))</f>
        <v>0</v>
      </c>
      <c r="J324" s="48">
        <f>IF(INVESTORS_LIST[[#This Row],[LS_TOTAL CURRENT UNITS]]=0,0,INVESTORS_LIST[[#This Row],[LS_TOTAL CURRENT UNITS]]*INVESTORS_LIST[[#This Row],[LS_AVERAGE COST]])</f>
        <v>500000</v>
      </c>
      <c r="K324" s="49">
        <f>IF(INVESTORS_LIST[[#This Row],[LS_TOTAL UNITS SOLD]]=0,0,SUMIFS(LS[Realized Gain],LS[Investor ID],INVESTORS_LIST[[#This Row],[INVESTOR CODE]],LS[B/S],"S"))</f>
        <v>0</v>
      </c>
      <c r="L324" s="47">
        <f>SUMIFS(SIP[Unit],SIP[Investor ID],INVESTORS_LIST[[#This Row],[INVESTOR CODE]],SIP[B/S],"B")</f>
        <v>0</v>
      </c>
      <c r="M324" s="47">
        <f>-SUMIFS(SIP[Unit],SIP[Investor ID],INVESTORS_LIST[[#This Row],[INVESTOR CODE]],SIP[B/S],"S")</f>
        <v>0</v>
      </c>
      <c r="N324" s="50">
        <f>IF(INVESTORS_LIST[[#This Row],[SIP_TOTAL UNITS BUY]]=0,0,INVESTORS_LIST[[#This Row],[SIP_TOTAL UNITS BUY]]-INVESTORS_LIST[[#This Row],[SIP_TOTAL UNITS SOLD]])</f>
        <v>0</v>
      </c>
      <c r="O324" s="49">
        <f>IF(INVESTORS_LIST[[#This Row],[SIP_TOTAL UNITS BUY]]=0,0,SUMIFS(SIP[Amount],SIP[Investor ID],INVESTORS_LIST[[#This Row],[INVESTOR CODE]],SIP[B/S],"B"))</f>
        <v>0</v>
      </c>
      <c r="P324" s="49">
        <f>IF(INVESTORS_LIST[[#This Row],[SIP_TOTAL UNITS SOLD]]=0,0,SUMIFS(SIP[Cost of Units Sold],SIP[Investor ID],INVESTORS_LIST[[#This Row],[INVESTOR CODE]],SIP[B/S],"S"))</f>
        <v>0</v>
      </c>
      <c r="Q324" s="48">
        <f>IF(INVESTORS_LIST[[#This Row],[SIP_TOTAL CURRENT UNITS]]=0,0,INVESTORS_LIST[[#This Row],[SIP_TOTAL CURRENT UNITS]]*INVESTORS_LIST[[#This Row],[SIP_AVERAGE COST]])</f>
        <v>0</v>
      </c>
      <c r="R324" s="48">
        <f>IF(INVESTORS_LIST[[#This Row],[SIP_TOTAL UNITS SOLD]]=0,0,SUMIFS(SIP[Realized Gain],SIP[Investor ID],INVESTORS_LIST[[#This Row],[INVESTOR CODE]],SIP[B/S],"S"))</f>
        <v>0</v>
      </c>
      <c r="S324" s="50">
        <f>INVESTORS_LIST[[#This Row],[LS_TOTAL UNITS BUY]]+INVESTORS_LIST[[#This Row],[SIP_TOTAL UNITS BUY]]</f>
        <v>40261</v>
      </c>
      <c r="T324" s="50">
        <f>INVESTORS_LIST[[#This Row],[LS_TOTAL UNITS SOLD]]+INVESTORS_LIST[[#This Row],[SIP_TOTAL UNITS SOLD]]</f>
        <v>0</v>
      </c>
      <c r="U324" s="50">
        <v>40261</v>
      </c>
      <c r="V324" s="50">
        <f>SUMIFS(LS[BO UNIT TRANSFER],LS[Investor ID],INVESTORS_LIST[[#This Row],[INVESTOR CODE]],LS[B/S],"B")</f>
        <v>0</v>
      </c>
      <c r="W324" s="50">
        <f>SUMIFS(SIP[BO UNIT TRANSFER],SIP[Investor ID],INVESTORS_LIST[[#This Row],[INVESTOR CODE]],SIP[B/S],"B")</f>
        <v>0</v>
      </c>
      <c r="X324" s="50">
        <f>SUMIFS(LS[BO UNIT TRANSFER],LS[Investor ID],INVESTORS_LIST[[#This Row],[INVESTOR CODE]],LS[B/S],"S")</f>
        <v>0</v>
      </c>
      <c r="Y324" s="50">
        <f>SUMIFS(SIP[BO UNIT TRANSFER],SIP[Investor ID],INVESTORS_LIST[[#This Row],[INVESTOR CODE]],SIP[B/S],"S")</f>
        <v>0</v>
      </c>
      <c r="Z324" s="106">
        <f>SUM(INVESTORS_LIST[[#This Row],[BO OPENING BALANCE]:[BO SIP UNITS REPURCHASE]])</f>
        <v>40261</v>
      </c>
      <c r="AA324" s="107">
        <f>INVESTORS_LIST[[#This Row],[TOTAL UNITS BUY]]-INVESTORS_LIST[[#This Row],[TOTAL UNITS SOLD]]</f>
        <v>40261</v>
      </c>
      <c r="AB324" s="107">
        <f>INVESTORS_LIST[[#This Row],[TOTAL CURRENT UNITS]]-INVESTORS_LIST[[#This Row],[BO UNITS HOLD]]</f>
        <v>0</v>
      </c>
      <c r="AC324" s="201" t="e">
        <f>INDEX([3]!Table_1[BO ID],MATCH(INVESTORS_LIST[[#This Row],[INVESTOR CODE]],[3]!Table_1[INVESTOR CODE],0))</f>
        <v>#REF!</v>
      </c>
      <c r="AD324" s="201" t="e">
        <f>INDEX([3]!Table_1[Brokerage Name2],MATCH(INVESTORS_LIST[[#This Row],[INVESTOR CODE]],[3]!Table_1[INVESTOR CODE],0))</f>
        <v>#REF!</v>
      </c>
      <c r="AE324" s="201" t="e">
        <f>MID(INVESTORS_LIST[[#This Row],[BO ID]],4,5)</f>
        <v>#REF!</v>
      </c>
      <c r="AF324" s="201" t="e">
        <f>MID(INVESTORS_LIST[[#This Row],[BO ID]],2,7)</f>
        <v>#REF!</v>
      </c>
      <c r="AG324" s="201" t="e">
        <f>MID(INVESTORS_LIST[[#This Row],[BO ID]],9,7)</f>
        <v>#REF!</v>
      </c>
      <c r="AH324" s="203" t="e">
        <f>RIGHT(INVESTORS_LIST[[#This Row],[BO ID]],1)</f>
        <v>#REF!</v>
      </c>
      <c r="AI324" s="50">
        <f>INVESTORS_LIST[[#This Row],[LS_TOTAL COST VALUE OF CURRENT UNITS]]+INVESTORS_LIST[[#This Row],[SIP_TOTAL COST VALUE OF CURRENT UNITS]]</f>
        <v>500000</v>
      </c>
      <c r="AJ324" s="109">
        <f>IF(INVESTORS_LIST[[#This Row],[TOTAL CURRENT UNITS]]=0,0,INVESTORS_LIST[[#This Row],[LS_TOTAL CURRENT UNITS]]/INVESTORS_LIST[[#This Row],[TOTAL CURRENT UNITS]])</f>
        <v>1</v>
      </c>
      <c r="AK324" s="109">
        <f>IF(INVESTORS_LIST[[#This Row],[TOTAL CURRENT UNITS]]=0,0,INVESTORS_LIST[[#This Row],[SIP_TOTAL CURRENT UNITS]]/INVESTORS_LIST[[#This Row],[TOTAL CURRENT UNITS]])</f>
        <v>0</v>
      </c>
      <c r="AL324" s="49" cm="1">
        <f t="array" ref="AL324">IF(INVESTORS_LIST[[#This Row],[LS_TOTAL UNITS BUY]]&gt;0,INDEX(LS[NAV at Cost (Average)],MATCH(CONCATENATE(COUNTIFS(LS[Investor ID],INVESTORS_LIST[[#This Row],[INVESTOR CODE]]),INVESTORS_LIST[[#This Row],[INVESTOR CODE]]),LS[Unique Code],0),),0)</f>
        <v>12.418966245249745</v>
      </c>
      <c r="AM324" s="49" cm="1">
        <f t="array" ref="AM3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4" s="105">
        <f>IF(INVESTORS_LIST[[#This Row],[TOTAL CURRENT UNITS]]=0,0,(INVESTORS_LIST[[#This Row],[LS_WEIGHT]]*INVESTORS_LIST[[#This Row],[LS_AVERAGE COST]])+(INVESTORS_LIST[[#This Row],[SIP_WEIGHT]]*INVESTORS_LIST[[#This Row],[SIP_AVERAGE COST]]))</f>
        <v>12.418966245249745</v>
      </c>
      <c r="AO324" s="105">
        <f t="shared" si="6"/>
        <v>14.224</v>
      </c>
      <c r="AP324" s="112">
        <f>IF(INVESTORS_LIST[[#This Row],[TOTAL CURRENT UNITS]]=0,0,INVESTORS_LIST[[#This Row],[TOTAL CURRENT UNITS]]*INVESTORS_LIST[[#This Row],[NAV]])</f>
        <v>572672.46400000004</v>
      </c>
      <c r="AQ324" s="49">
        <f>IF(INVESTORS_LIST[[#This Row],[LS_TOTAL CURRENT UNITS]]=0,0,INVESTORS_LIST[[#This Row],[LS_TOTAL CURRENT UNITS]]*INVESTORS_LIST[[#This Row],[NAV]])</f>
        <v>572672.46400000004</v>
      </c>
      <c r="AR324" s="48">
        <f>IF(INVESTORS_LIST[[#This Row],[SIP_TOTAL CURRENT UNITS]]=0,0,INVESTORS_LIST[[#This Row],[SIP_TOTAL CURRENT UNITS]]*INVESTORS_LIST[[#This Row],[NAV]])</f>
        <v>0</v>
      </c>
      <c r="AS324" s="50">
        <f>INVESTORS_LIST[[#This Row],[TOTAL CURRENT UNITS]]</f>
        <v>40261</v>
      </c>
      <c r="AT324" s="48">
        <f>IF(INVESTORS_LIST[[#This Row],[TOTAL SELLABLE UNITS]]=0,0,INVESTORS_LIST[[#This Row],[TOTAL SELLABLE UNITS]]*INVESTORS_LIST[[#This Row],[NAV]])</f>
        <v>572672.46400000004</v>
      </c>
      <c r="AU324" s="48">
        <f>INVESTORS_LIST[[#This Row],[LS_TOTAL REALIZED GAIN]]+INVESTORS_LIST[[#This Row],[SIP_TOTAL REALIZED GAIN]]</f>
        <v>0</v>
      </c>
      <c r="AV324" s="48">
        <f>INVESTORS_LIST[[#This Row],[TOTAL MARKET VALUE]]-INVESTORS_LIST[[#This Row],[TOTAL COST VALUE OF CURRENT INVESTMENT]]</f>
        <v>72672.464000000036</v>
      </c>
      <c r="AW324" s="48">
        <f>IFERROR(INVESTORS_LIST[[#This Row],[TOTAL CURRENT UNITS]]/SUM(INVESTORS_LIST[TOTAL CURRENT UNITS]),0)</f>
        <v>9.7738440610502936E-4</v>
      </c>
    </row>
    <row r="325" spans="1:49" hidden="1">
      <c r="A325" s="262" t="s">
        <v>697</v>
      </c>
      <c r="B325" s="97" t="s">
        <v>698</v>
      </c>
      <c r="C325" t="s">
        <v>44</v>
      </c>
      <c r="D325" s="75" t="s">
        <v>45</v>
      </c>
      <c r="E325" s="47">
        <f>SUMIFS(LS[Unit],LS[Investor ID],INVESTORS_LIST[[#This Row],[INVESTOR CODE]],LS[B/S],"B")</f>
        <v>0</v>
      </c>
      <c r="F325" s="47">
        <f>-SUMIFS(LS[Unit],LS[Investor ID],INVESTORS_LIST[[#This Row],[INVESTOR CODE]],LS[B/S],"S")</f>
        <v>0</v>
      </c>
      <c r="G325" s="47">
        <f>IF(INVESTORS_LIST[[#This Row],[LS_TOTAL UNITS BUY]]=0,0,INVESTORS_LIST[[#This Row],[LS_TOTAL UNITS BUY]]-INVESTORS_LIST[[#This Row],[LS_TOTAL UNITS SOLD]])</f>
        <v>0</v>
      </c>
      <c r="H325" s="49">
        <f>IF(INVESTORS_LIST[[#This Row],[LS_TOTAL UNITS BUY]]=0,0,SUMIFS(LS[Amount],LS[Investor ID],INVESTORS_LIST[[#This Row],[INVESTOR CODE]],LS[B/S],"B"))</f>
        <v>0</v>
      </c>
      <c r="I325" s="48">
        <f>IF(INVESTORS_LIST[[#This Row],[LS_TOTAL UNITS SOLD]]=0,0,SUMIFS(LS[Cost of Units Sold],LS[Investor ID],INVESTORS_LIST[[#This Row],[INVESTOR CODE]],LS[B/S],"S"))</f>
        <v>0</v>
      </c>
      <c r="J325" s="48">
        <f>IF(INVESTORS_LIST[[#This Row],[LS_TOTAL CURRENT UNITS]]=0,0,INVESTORS_LIST[[#This Row],[LS_TOTAL CURRENT UNITS]]*INVESTORS_LIST[[#This Row],[LS_AVERAGE COST]])</f>
        <v>0</v>
      </c>
      <c r="K325" s="49">
        <f>IF(INVESTORS_LIST[[#This Row],[LS_TOTAL UNITS SOLD]]=0,0,SUMIFS(LS[Realized Gain],LS[Investor ID],INVESTORS_LIST[[#This Row],[INVESTOR CODE]],LS[B/S],"S"))</f>
        <v>0</v>
      </c>
      <c r="L325" s="47">
        <f>SUMIFS(SIP[Unit],SIP[Investor ID],INVESTORS_LIST[[#This Row],[INVESTOR CODE]],SIP[B/S],"B")</f>
        <v>0</v>
      </c>
      <c r="M325" s="47">
        <f>-SUMIFS(SIP[Unit],SIP[Investor ID],INVESTORS_LIST[[#This Row],[INVESTOR CODE]],SIP[B/S],"S")</f>
        <v>0</v>
      </c>
      <c r="N325" s="50">
        <f>IF(INVESTORS_LIST[[#This Row],[SIP_TOTAL UNITS BUY]]=0,0,INVESTORS_LIST[[#This Row],[SIP_TOTAL UNITS BUY]]-INVESTORS_LIST[[#This Row],[SIP_TOTAL UNITS SOLD]])</f>
        <v>0</v>
      </c>
      <c r="O325" s="49">
        <f>IF(INVESTORS_LIST[[#This Row],[SIP_TOTAL UNITS BUY]]=0,0,SUMIFS(SIP[Amount],SIP[Investor ID],INVESTORS_LIST[[#This Row],[INVESTOR CODE]],SIP[B/S],"B"))</f>
        <v>0</v>
      </c>
      <c r="P325" s="49">
        <f>IF(INVESTORS_LIST[[#This Row],[SIP_TOTAL UNITS SOLD]]=0,0,SUMIFS(SIP[Cost of Units Sold],SIP[Investor ID],INVESTORS_LIST[[#This Row],[INVESTOR CODE]],SIP[B/S],"S"))</f>
        <v>0</v>
      </c>
      <c r="Q325" s="48">
        <f>IF(INVESTORS_LIST[[#This Row],[SIP_TOTAL CURRENT UNITS]]=0,0,INVESTORS_LIST[[#This Row],[SIP_TOTAL CURRENT UNITS]]*INVESTORS_LIST[[#This Row],[SIP_AVERAGE COST]])</f>
        <v>0</v>
      </c>
      <c r="R325" s="48">
        <f>IF(INVESTORS_LIST[[#This Row],[SIP_TOTAL UNITS SOLD]]=0,0,SUMIFS(SIP[Realized Gain],SIP[Investor ID],INVESTORS_LIST[[#This Row],[INVESTOR CODE]],SIP[B/S],"S"))</f>
        <v>0</v>
      </c>
      <c r="S325" s="50">
        <f>INVESTORS_LIST[[#This Row],[LS_TOTAL UNITS BUY]]+INVESTORS_LIST[[#This Row],[SIP_TOTAL UNITS BUY]]</f>
        <v>0</v>
      </c>
      <c r="T325" s="50">
        <f>INVESTORS_LIST[[#This Row],[LS_TOTAL UNITS SOLD]]+INVESTORS_LIST[[#This Row],[SIP_TOTAL UNITS SOLD]]</f>
        <v>0</v>
      </c>
      <c r="U325" s="50"/>
      <c r="V325" s="50">
        <f>SUMIFS(LS[BO UNIT TRANSFER],LS[Investor ID],INVESTORS_LIST[[#This Row],[INVESTOR CODE]],LS[B/S],"B")</f>
        <v>0</v>
      </c>
      <c r="W325" s="50">
        <f>SUMIFS(SIP[BO UNIT TRANSFER],SIP[Investor ID],INVESTORS_LIST[[#This Row],[INVESTOR CODE]],SIP[B/S],"B")</f>
        <v>0</v>
      </c>
      <c r="X325" s="50">
        <f>SUMIFS(LS[BO UNIT TRANSFER],LS[Investor ID],INVESTORS_LIST[[#This Row],[INVESTOR CODE]],LS[B/S],"S")</f>
        <v>0</v>
      </c>
      <c r="Y325" s="50">
        <f>SUMIFS(SIP[BO UNIT TRANSFER],SIP[Investor ID],INVESTORS_LIST[[#This Row],[INVESTOR CODE]],SIP[B/S],"S")</f>
        <v>0</v>
      </c>
      <c r="Z325" s="106">
        <f>SUM(INVESTORS_LIST[[#This Row],[BO OPENING BALANCE]:[BO SIP UNITS REPURCHASE]])</f>
        <v>0</v>
      </c>
      <c r="AA325" s="107">
        <f>INVESTORS_LIST[[#This Row],[TOTAL UNITS BUY]]-INVESTORS_LIST[[#This Row],[TOTAL UNITS SOLD]]</f>
        <v>0</v>
      </c>
      <c r="AB325" s="107">
        <f>INVESTORS_LIST[[#This Row],[TOTAL CURRENT UNITS]]-INVESTORS_LIST[[#This Row],[BO UNITS HOLD]]</f>
        <v>0</v>
      </c>
      <c r="AC325" s="201" t="e">
        <f>INDEX([3]!Table_1[BO ID],MATCH(INVESTORS_LIST[[#This Row],[INVESTOR CODE]],[3]!Table_1[INVESTOR CODE],0))</f>
        <v>#REF!</v>
      </c>
      <c r="AD325" s="201" t="e">
        <f>INDEX([3]!Table_1[Brokerage Name2],MATCH(INVESTORS_LIST[[#This Row],[INVESTOR CODE]],[3]!Table_1[INVESTOR CODE],0))</f>
        <v>#REF!</v>
      </c>
      <c r="AE325" s="201" t="e">
        <f>MID(INVESTORS_LIST[[#This Row],[BO ID]],4,5)</f>
        <v>#REF!</v>
      </c>
      <c r="AF325" s="201" t="e">
        <f>MID(INVESTORS_LIST[[#This Row],[BO ID]],2,7)</f>
        <v>#REF!</v>
      </c>
      <c r="AG325" s="201" t="e">
        <f>MID(INVESTORS_LIST[[#This Row],[BO ID]],9,7)</f>
        <v>#REF!</v>
      </c>
      <c r="AH325" s="201" t="e">
        <f>RIGHT(INVESTORS_LIST[[#This Row],[BO ID]],1)</f>
        <v>#REF!</v>
      </c>
      <c r="AI325" s="50">
        <f>INVESTORS_LIST[[#This Row],[LS_TOTAL COST VALUE OF CURRENT UNITS]]+INVESTORS_LIST[[#This Row],[SIP_TOTAL COST VALUE OF CURRENT UNITS]]</f>
        <v>0</v>
      </c>
      <c r="AJ325" s="109">
        <f>IF(INVESTORS_LIST[[#This Row],[TOTAL CURRENT UNITS]]=0,0,INVESTORS_LIST[[#This Row],[LS_TOTAL CURRENT UNITS]]/INVESTORS_LIST[[#This Row],[TOTAL CURRENT UNITS]])</f>
        <v>0</v>
      </c>
      <c r="AK325" s="109">
        <f>IF(INVESTORS_LIST[[#This Row],[TOTAL CURRENT UNITS]]=0,0,INVESTORS_LIST[[#This Row],[SIP_TOTAL CURRENT UNITS]]/INVESTORS_LIST[[#This Row],[TOTAL CURRENT UNITS]])</f>
        <v>0</v>
      </c>
      <c r="AL325" s="49" cm="1">
        <f t="array" ref="AL3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5" s="49" cm="1">
        <f t="array" ref="AM3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5" s="105">
        <f t="shared" si="6"/>
        <v>14.224</v>
      </c>
      <c r="AP325" s="112">
        <f>IF(INVESTORS_LIST[[#This Row],[TOTAL CURRENT UNITS]]=0,0,INVESTORS_LIST[[#This Row],[TOTAL CURRENT UNITS]]*INVESTORS_LIST[[#This Row],[NAV]])</f>
        <v>0</v>
      </c>
      <c r="AQ325" s="49">
        <f>IF(INVESTORS_LIST[[#This Row],[LS_TOTAL CURRENT UNITS]]=0,0,INVESTORS_LIST[[#This Row],[LS_TOTAL CURRENT UNITS]]*INVESTORS_LIST[[#This Row],[NAV]])</f>
        <v>0</v>
      </c>
      <c r="AR325" s="48">
        <f>IF(INVESTORS_LIST[[#This Row],[SIP_TOTAL CURRENT UNITS]]=0,0,INVESTORS_LIST[[#This Row],[SIP_TOTAL CURRENT UNITS]]*INVESTORS_LIST[[#This Row],[NAV]])</f>
        <v>0</v>
      </c>
      <c r="AS325" s="50">
        <f>INVESTORS_LIST[[#This Row],[TOTAL CURRENT UNITS]]</f>
        <v>0</v>
      </c>
      <c r="AT325" s="48">
        <f>IF(INVESTORS_LIST[[#This Row],[TOTAL SELLABLE UNITS]]=0,0,INVESTORS_LIST[[#This Row],[TOTAL SELLABLE UNITS]]*INVESTORS_LIST[[#This Row],[NAV]])</f>
        <v>0</v>
      </c>
      <c r="AU325" s="48">
        <f>INVESTORS_LIST[[#This Row],[LS_TOTAL REALIZED GAIN]]+INVESTORS_LIST[[#This Row],[SIP_TOTAL REALIZED GAIN]]</f>
        <v>0</v>
      </c>
      <c r="AV325" s="48">
        <f>INVESTORS_LIST[[#This Row],[TOTAL MARKET VALUE]]-INVESTORS_LIST[[#This Row],[TOTAL COST VALUE OF CURRENT INVESTMENT]]</f>
        <v>0</v>
      </c>
      <c r="AW325" s="48">
        <f>IFERROR(INVESTORS_LIST[[#This Row],[TOTAL CURRENT UNITS]]/SUM(INVESTORS_LIST[TOTAL CURRENT UNITS]),0)</f>
        <v>0</v>
      </c>
    </row>
    <row r="326" spans="1:49" hidden="1">
      <c r="A326" s="262" t="s">
        <v>699</v>
      </c>
      <c r="B326" s="97" t="s">
        <v>700</v>
      </c>
      <c r="C326" t="s">
        <v>44</v>
      </c>
      <c r="D326" s="75" t="s">
        <v>45</v>
      </c>
      <c r="E326" s="47">
        <f>SUMIFS(LS[Unit],LS[Investor ID],INVESTORS_LIST[[#This Row],[INVESTOR CODE]],LS[B/S],"B")</f>
        <v>0</v>
      </c>
      <c r="F326" s="47">
        <f>-SUMIFS(LS[Unit],LS[Investor ID],INVESTORS_LIST[[#This Row],[INVESTOR CODE]],LS[B/S],"S")</f>
        <v>0</v>
      </c>
      <c r="G326" s="47">
        <f>IF(INVESTORS_LIST[[#This Row],[LS_TOTAL UNITS BUY]]=0,0,INVESTORS_LIST[[#This Row],[LS_TOTAL UNITS BUY]]-INVESTORS_LIST[[#This Row],[LS_TOTAL UNITS SOLD]])</f>
        <v>0</v>
      </c>
      <c r="H326" s="49">
        <f>IF(INVESTORS_LIST[[#This Row],[LS_TOTAL UNITS BUY]]=0,0,SUMIFS(LS[Amount],LS[Investor ID],INVESTORS_LIST[[#This Row],[INVESTOR CODE]],LS[B/S],"B"))</f>
        <v>0</v>
      </c>
      <c r="I326" s="48">
        <f>IF(INVESTORS_LIST[[#This Row],[LS_TOTAL UNITS SOLD]]=0,0,SUMIFS(LS[Cost of Units Sold],LS[Investor ID],INVESTORS_LIST[[#This Row],[INVESTOR CODE]],LS[B/S],"S"))</f>
        <v>0</v>
      </c>
      <c r="J326" s="48">
        <f>IF(INVESTORS_LIST[[#This Row],[LS_TOTAL CURRENT UNITS]]=0,0,INVESTORS_LIST[[#This Row],[LS_TOTAL CURRENT UNITS]]*INVESTORS_LIST[[#This Row],[LS_AVERAGE COST]])</f>
        <v>0</v>
      </c>
      <c r="K326" s="49">
        <f>IF(INVESTORS_LIST[[#This Row],[LS_TOTAL UNITS SOLD]]=0,0,SUMIFS(LS[Realized Gain],LS[Investor ID],INVESTORS_LIST[[#This Row],[INVESTOR CODE]],LS[B/S],"S"))</f>
        <v>0</v>
      </c>
      <c r="L326" s="47">
        <f>SUMIFS(SIP[Unit],SIP[Investor ID],INVESTORS_LIST[[#This Row],[INVESTOR CODE]],SIP[B/S],"B")</f>
        <v>0</v>
      </c>
      <c r="M326" s="47">
        <f>-SUMIFS(SIP[Unit],SIP[Investor ID],INVESTORS_LIST[[#This Row],[INVESTOR CODE]],SIP[B/S],"S")</f>
        <v>0</v>
      </c>
      <c r="N326" s="50">
        <f>IF(INVESTORS_LIST[[#This Row],[SIP_TOTAL UNITS BUY]]=0,0,INVESTORS_LIST[[#This Row],[SIP_TOTAL UNITS BUY]]-INVESTORS_LIST[[#This Row],[SIP_TOTAL UNITS SOLD]])</f>
        <v>0</v>
      </c>
      <c r="O326" s="49">
        <f>IF(INVESTORS_LIST[[#This Row],[SIP_TOTAL UNITS BUY]]=0,0,SUMIFS(SIP[Amount],SIP[Investor ID],INVESTORS_LIST[[#This Row],[INVESTOR CODE]],SIP[B/S],"B"))</f>
        <v>0</v>
      </c>
      <c r="P326" s="49">
        <f>IF(INVESTORS_LIST[[#This Row],[SIP_TOTAL UNITS SOLD]]=0,0,SUMIFS(SIP[Cost of Units Sold],SIP[Investor ID],INVESTORS_LIST[[#This Row],[INVESTOR CODE]],SIP[B/S],"S"))</f>
        <v>0</v>
      </c>
      <c r="Q326" s="48">
        <f>IF(INVESTORS_LIST[[#This Row],[SIP_TOTAL CURRENT UNITS]]=0,0,INVESTORS_LIST[[#This Row],[SIP_TOTAL CURRENT UNITS]]*INVESTORS_LIST[[#This Row],[SIP_AVERAGE COST]])</f>
        <v>0</v>
      </c>
      <c r="R326" s="48">
        <f>IF(INVESTORS_LIST[[#This Row],[SIP_TOTAL UNITS SOLD]]=0,0,SUMIFS(SIP[Realized Gain],SIP[Investor ID],INVESTORS_LIST[[#This Row],[INVESTOR CODE]],SIP[B/S],"S"))</f>
        <v>0</v>
      </c>
      <c r="S326" s="50">
        <f>INVESTORS_LIST[[#This Row],[LS_TOTAL UNITS BUY]]+INVESTORS_LIST[[#This Row],[SIP_TOTAL UNITS BUY]]</f>
        <v>0</v>
      </c>
      <c r="T326" s="50">
        <f>INVESTORS_LIST[[#This Row],[LS_TOTAL UNITS SOLD]]+INVESTORS_LIST[[#This Row],[SIP_TOTAL UNITS SOLD]]</f>
        <v>0</v>
      </c>
      <c r="U326" s="50"/>
      <c r="V326" s="50">
        <f>SUMIFS(LS[BO UNIT TRANSFER],LS[Investor ID],INVESTORS_LIST[[#This Row],[INVESTOR CODE]],LS[B/S],"B")</f>
        <v>0</v>
      </c>
      <c r="W326" s="50">
        <f>SUMIFS(SIP[BO UNIT TRANSFER],SIP[Investor ID],INVESTORS_LIST[[#This Row],[INVESTOR CODE]],SIP[B/S],"B")</f>
        <v>0</v>
      </c>
      <c r="X326" s="50">
        <f>SUMIFS(LS[BO UNIT TRANSFER],LS[Investor ID],INVESTORS_LIST[[#This Row],[INVESTOR CODE]],LS[B/S],"S")</f>
        <v>0</v>
      </c>
      <c r="Y326" s="50">
        <f>SUMIFS(SIP[BO UNIT TRANSFER],SIP[Investor ID],INVESTORS_LIST[[#This Row],[INVESTOR CODE]],SIP[B/S],"S")</f>
        <v>0</v>
      </c>
      <c r="Z326" s="106">
        <f>SUM(INVESTORS_LIST[[#This Row],[BO OPENING BALANCE]:[BO SIP UNITS REPURCHASE]])</f>
        <v>0</v>
      </c>
      <c r="AA326" s="107">
        <f>INVESTORS_LIST[[#This Row],[TOTAL UNITS BUY]]-INVESTORS_LIST[[#This Row],[TOTAL UNITS SOLD]]</f>
        <v>0</v>
      </c>
      <c r="AB326" s="107">
        <f>INVESTORS_LIST[[#This Row],[TOTAL CURRENT UNITS]]-INVESTORS_LIST[[#This Row],[BO UNITS HOLD]]</f>
        <v>0</v>
      </c>
      <c r="AC326" s="201" t="e">
        <f>INDEX([3]!Table_1[BO ID],MATCH(INVESTORS_LIST[[#This Row],[INVESTOR CODE]],[3]!Table_1[INVESTOR CODE],0))</f>
        <v>#REF!</v>
      </c>
      <c r="AD326" s="201" t="e">
        <f>INDEX([3]!Table_1[Brokerage Name2],MATCH(INVESTORS_LIST[[#This Row],[INVESTOR CODE]],[3]!Table_1[INVESTOR CODE],0))</f>
        <v>#REF!</v>
      </c>
      <c r="AE326" s="201" t="e">
        <f>MID(INVESTORS_LIST[[#This Row],[BO ID]],4,5)</f>
        <v>#REF!</v>
      </c>
      <c r="AF326" s="201" t="e">
        <f>MID(INVESTORS_LIST[[#This Row],[BO ID]],2,7)</f>
        <v>#REF!</v>
      </c>
      <c r="AG326" s="201" t="e">
        <f>MID(INVESTORS_LIST[[#This Row],[BO ID]],9,7)</f>
        <v>#REF!</v>
      </c>
      <c r="AH326" s="201" t="e">
        <f>RIGHT(INVESTORS_LIST[[#This Row],[BO ID]],1)</f>
        <v>#REF!</v>
      </c>
      <c r="AI326" s="50">
        <f>INVESTORS_LIST[[#This Row],[LS_TOTAL COST VALUE OF CURRENT UNITS]]+INVESTORS_LIST[[#This Row],[SIP_TOTAL COST VALUE OF CURRENT UNITS]]</f>
        <v>0</v>
      </c>
      <c r="AJ326" s="109">
        <f>IF(INVESTORS_LIST[[#This Row],[TOTAL CURRENT UNITS]]=0,0,INVESTORS_LIST[[#This Row],[LS_TOTAL CURRENT UNITS]]/INVESTORS_LIST[[#This Row],[TOTAL CURRENT UNITS]])</f>
        <v>0</v>
      </c>
      <c r="AK326" s="109">
        <f>IF(INVESTORS_LIST[[#This Row],[TOTAL CURRENT UNITS]]=0,0,INVESTORS_LIST[[#This Row],[SIP_TOTAL CURRENT UNITS]]/INVESTORS_LIST[[#This Row],[TOTAL CURRENT UNITS]])</f>
        <v>0</v>
      </c>
      <c r="AL326" s="49" cm="1">
        <f t="array" ref="AL3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6" s="49" cm="1">
        <f t="array" ref="AM3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6" s="105">
        <f t="shared" si="6"/>
        <v>14.224</v>
      </c>
      <c r="AP326" s="112">
        <f>IF(INVESTORS_LIST[[#This Row],[TOTAL CURRENT UNITS]]=0,0,INVESTORS_LIST[[#This Row],[TOTAL CURRENT UNITS]]*INVESTORS_LIST[[#This Row],[NAV]])</f>
        <v>0</v>
      </c>
      <c r="AQ326" s="49">
        <f>IF(INVESTORS_LIST[[#This Row],[LS_TOTAL CURRENT UNITS]]=0,0,INVESTORS_LIST[[#This Row],[LS_TOTAL CURRENT UNITS]]*INVESTORS_LIST[[#This Row],[NAV]])</f>
        <v>0</v>
      </c>
      <c r="AR326" s="48">
        <f>IF(INVESTORS_LIST[[#This Row],[SIP_TOTAL CURRENT UNITS]]=0,0,INVESTORS_LIST[[#This Row],[SIP_TOTAL CURRENT UNITS]]*INVESTORS_LIST[[#This Row],[NAV]])</f>
        <v>0</v>
      </c>
      <c r="AS326" s="50">
        <f>INVESTORS_LIST[[#This Row],[TOTAL CURRENT UNITS]]</f>
        <v>0</v>
      </c>
      <c r="AT326" s="48">
        <f>IF(INVESTORS_LIST[[#This Row],[TOTAL SELLABLE UNITS]]=0,0,INVESTORS_LIST[[#This Row],[TOTAL SELLABLE UNITS]]*INVESTORS_LIST[[#This Row],[NAV]])</f>
        <v>0</v>
      </c>
      <c r="AU326" s="48">
        <f>INVESTORS_LIST[[#This Row],[LS_TOTAL REALIZED GAIN]]+INVESTORS_LIST[[#This Row],[SIP_TOTAL REALIZED GAIN]]</f>
        <v>0</v>
      </c>
      <c r="AV326" s="48">
        <f>INVESTORS_LIST[[#This Row],[TOTAL MARKET VALUE]]-INVESTORS_LIST[[#This Row],[TOTAL COST VALUE OF CURRENT INVESTMENT]]</f>
        <v>0</v>
      </c>
      <c r="AW326" s="48">
        <f>IFERROR(INVESTORS_LIST[[#This Row],[TOTAL CURRENT UNITS]]/SUM(INVESTORS_LIST[TOTAL CURRENT UNITS]),0)</f>
        <v>0</v>
      </c>
    </row>
    <row r="327" spans="1:49" hidden="1">
      <c r="A327" s="262" t="s">
        <v>701</v>
      </c>
      <c r="B327" s="97" t="s">
        <v>702</v>
      </c>
      <c r="C327" t="s">
        <v>48</v>
      </c>
      <c r="D327" s="75" t="s">
        <v>49</v>
      </c>
      <c r="E327" s="47">
        <f>SUMIFS(LS[Unit],LS[Investor ID],INVESTORS_LIST[[#This Row],[INVESTOR CODE]],LS[B/S],"B")</f>
        <v>50000</v>
      </c>
      <c r="F327" s="47">
        <f>-SUMIFS(LS[Unit],LS[Investor ID],INVESTORS_LIST[[#This Row],[INVESTOR CODE]],LS[B/S],"S")</f>
        <v>50000</v>
      </c>
      <c r="G327" s="47">
        <f>IF(INVESTORS_LIST[[#This Row],[LS_TOTAL UNITS BUY]]=0,0,INVESTORS_LIST[[#This Row],[LS_TOTAL UNITS BUY]]-INVESTORS_LIST[[#This Row],[LS_TOTAL UNITS SOLD]])</f>
        <v>0</v>
      </c>
      <c r="H327" s="49">
        <f>IF(INVESTORS_LIST[[#This Row],[LS_TOTAL UNITS BUY]]=0,0,SUMIFS(LS[Amount],LS[Investor ID],INVESTORS_LIST[[#This Row],[INVESTOR CODE]],LS[B/S],"B"))</f>
        <v>500000</v>
      </c>
      <c r="I327" s="48">
        <f>IF(INVESTORS_LIST[[#This Row],[LS_TOTAL UNITS SOLD]]=0,0,SUMIFS(LS[Cost of Units Sold],LS[Investor ID],INVESTORS_LIST[[#This Row],[INVESTOR CODE]],LS[B/S],"S"))</f>
        <v>500000</v>
      </c>
      <c r="J327" s="48">
        <f>IF(INVESTORS_LIST[[#This Row],[LS_TOTAL CURRENT UNITS]]=0,0,INVESTORS_LIST[[#This Row],[LS_TOTAL CURRENT UNITS]]*INVESTORS_LIST[[#This Row],[LS_AVERAGE COST]])</f>
        <v>0</v>
      </c>
      <c r="K327" s="49">
        <f>IF(INVESTORS_LIST[[#This Row],[LS_TOTAL UNITS SOLD]]=0,0,SUMIFS(LS[Realized Gain],LS[Investor ID],INVESTORS_LIST[[#This Row],[INVESTOR CODE]],LS[B/S],"S"))</f>
        <v>0</v>
      </c>
      <c r="L327" s="47">
        <f>SUMIFS(SIP[Unit],SIP[Investor ID],INVESTORS_LIST[[#This Row],[INVESTOR CODE]],SIP[B/S],"B")</f>
        <v>0</v>
      </c>
      <c r="M327" s="47">
        <f>-SUMIFS(SIP[Unit],SIP[Investor ID],INVESTORS_LIST[[#This Row],[INVESTOR CODE]],SIP[B/S],"S")</f>
        <v>0</v>
      </c>
      <c r="N327" s="50">
        <f>IF(INVESTORS_LIST[[#This Row],[SIP_TOTAL UNITS BUY]]=0,0,INVESTORS_LIST[[#This Row],[SIP_TOTAL UNITS BUY]]-INVESTORS_LIST[[#This Row],[SIP_TOTAL UNITS SOLD]])</f>
        <v>0</v>
      </c>
      <c r="O327" s="49">
        <f>IF(INVESTORS_LIST[[#This Row],[SIP_TOTAL UNITS BUY]]=0,0,SUMIFS(SIP[Amount],SIP[Investor ID],INVESTORS_LIST[[#This Row],[INVESTOR CODE]],SIP[B/S],"B"))</f>
        <v>0</v>
      </c>
      <c r="P327" s="49">
        <f>IF(INVESTORS_LIST[[#This Row],[SIP_TOTAL UNITS SOLD]]=0,0,SUMIFS(SIP[Cost of Units Sold],SIP[Investor ID],INVESTORS_LIST[[#This Row],[INVESTOR CODE]],SIP[B/S],"S"))</f>
        <v>0</v>
      </c>
      <c r="Q327" s="48">
        <f>IF(INVESTORS_LIST[[#This Row],[SIP_TOTAL CURRENT UNITS]]=0,0,INVESTORS_LIST[[#This Row],[SIP_TOTAL CURRENT UNITS]]*INVESTORS_LIST[[#This Row],[SIP_AVERAGE COST]])</f>
        <v>0</v>
      </c>
      <c r="R327" s="48">
        <f>IF(INVESTORS_LIST[[#This Row],[SIP_TOTAL UNITS SOLD]]=0,0,SUMIFS(SIP[Realized Gain],SIP[Investor ID],INVESTORS_LIST[[#This Row],[INVESTOR CODE]],SIP[B/S],"S"))</f>
        <v>0</v>
      </c>
      <c r="S327" s="50">
        <f>INVESTORS_LIST[[#This Row],[LS_TOTAL UNITS BUY]]+INVESTORS_LIST[[#This Row],[SIP_TOTAL UNITS BUY]]</f>
        <v>50000</v>
      </c>
      <c r="T327" s="50">
        <f>INVESTORS_LIST[[#This Row],[LS_TOTAL UNITS SOLD]]+INVESTORS_LIST[[#This Row],[SIP_TOTAL UNITS SOLD]]</f>
        <v>50000</v>
      </c>
      <c r="U327" s="50"/>
      <c r="V327" s="50">
        <f>SUMIFS(LS[BO UNIT TRANSFER],LS[Investor ID],INVESTORS_LIST[[#This Row],[INVESTOR CODE]],LS[B/S],"B")</f>
        <v>0</v>
      </c>
      <c r="W327" s="50">
        <f>SUMIFS(SIP[BO UNIT TRANSFER],SIP[Investor ID],INVESTORS_LIST[[#This Row],[INVESTOR CODE]],SIP[B/S],"B")</f>
        <v>0</v>
      </c>
      <c r="X327" s="50">
        <f>SUMIFS(LS[BO UNIT TRANSFER],LS[Investor ID],INVESTORS_LIST[[#This Row],[INVESTOR CODE]],LS[B/S],"S")</f>
        <v>0</v>
      </c>
      <c r="Y327" s="50">
        <f>SUMIFS(SIP[BO UNIT TRANSFER],SIP[Investor ID],INVESTORS_LIST[[#This Row],[INVESTOR CODE]],SIP[B/S],"S")</f>
        <v>0</v>
      </c>
      <c r="Z327" s="106">
        <f>SUM(INVESTORS_LIST[[#This Row],[BO OPENING BALANCE]:[BO SIP UNITS REPURCHASE]])</f>
        <v>0</v>
      </c>
      <c r="AA327" s="107">
        <f>INVESTORS_LIST[[#This Row],[TOTAL UNITS BUY]]-INVESTORS_LIST[[#This Row],[TOTAL UNITS SOLD]]</f>
        <v>0</v>
      </c>
      <c r="AB327" s="107">
        <f>INVESTORS_LIST[[#This Row],[TOTAL CURRENT UNITS]]-INVESTORS_LIST[[#This Row],[BO UNITS HOLD]]</f>
        <v>0</v>
      </c>
      <c r="AC327" s="201" t="e">
        <f>INDEX([3]!Table_1[BO ID],MATCH(INVESTORS_LIST[[#This Row],[INVESTOR CODE]],[3]!Table_1[INVESTOR CODE],0))</f>
        <v>#REF!</v>
      </c>
      <c r="AD327" s="201" t="e">
        <f>INDEX([3]!Table_1[Brokerage Name2],MATCH(INVESTORS_LIST[[#This Row],[INVESTOR CODE]],[3]!Table_1[INVESTOR CODE],0))</f>
        <v>#REF!</v>
      </c>
      <c r="AE327" s="201" t="e">
        <f>MID(INVESTORS_LIST[[#This Row],[BO ID]],4,5)</f>
        <v>#REF!</v>
      </c>
      <c r="AF327" s="201" t="e">
        <f>MID(INVESTORS_LIST[[#This Row],[BO ID]],2,7)</f>
        <v>#REF!</v>
      </c>
      <c r="AG327" s="201" t="e">
        <f>MID(INVESTORS_LIST[[#This Row],[BO ID]],9,7)</f>
        <v>#REF!</v>
      </c>
      <c r="AH327" s="201" t="e">
        <f>RIGHT(INVESTORS_LIST[[#This Row],[BO ID]],1)</f>
        <v>#REF!</v>
      </c>
      <c r="AI327" s="50">
        <f>INVESTORS_LIST[[#This Row],[LS_TOTAL COST VALUE OF CURRENT UNITS]]+INVESTORS_LIST[[#This Row],[SIP_TOTAL COST VALUE OF CURRENT UNITS]]</f>
        <v>0</v>
      </c>
      <c r="AJ327" s="109">
        <f>IF(INVESTORS_LIST[[#This Row],[TOTAL CURRENT UNITS]]=0,0,INVESTORS_LIST[[#This Row],[LS_TOTAL CURRENT UNITS]]/INVESTORS_LIST[[#This Row],[TOTAL CURRENT UNITS]])</f>
        <v>0</v>
      </c>
      <c r="AK327" s="109">
        <f>IF(INVESTORS_LIST[[#This Row],[TOTAL CURRENT UNITS]]=0,0,INVESTORS_LIST[[#This Row],[SIP_TOTAL CURRENT UNITS]]/INVESTORS_LIST[[#This Row],[TOTAL CURRENT UNITS]])</f>
        <v>0</v>
      </c>
      <c r="AL327" s="49" cm="1">
        <f t="array" ref="AL3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7" s="49" cm="1">
        <f t="array" ref="AM3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7" s="105">
        <f t="shared" si="6"/>
        <v>14.224</v>
      </c>
      <c r="AP327" s="112">
        <f>IF(INVESTORS_LIST[[#This Row],[TOTAL CURRENT UNITS]]=0,0,INVESTORS_LIST[[#This Row],[TOTAL CURRENT UNITS]]*INVESTORS_LIST[[#This Row],[NAV]])</f>
        <v>0</v>
      </c>
      <c r="AQ327" s="49">
        <f>IF(INVESTORS_LIST[[#This Row],[LS_TOTAL CURRENT UNITS]]=0,0,INVESTORS_LIST[[#This Row],[LS_TOTAL CURRENT UNITS]]*INVESTORS_LIST[[#This Row],[NAV]])</f>
        <v>0</v>
      </c>
      <c r="AR327" s="48">
        <f>IF(INVESTORS_LIST[[#This Row],[SIP_TOTAL CURRENT UNITS]]=0,0,INVESTORS_LIST[[#This Row],[SIP_TOTAL CURRENT UNITS]]*INVESTORS_LIST[[#This Row],[NAV]])</f>
        <v>0</v>
      </c>
      <c r="AS327" s="50">
        <f>INVESTORS_LIST[[#This Row],[TOTAL CURRENT UNITS]]</f>
        <v>0</v>
      </c>
      <c r="AT327" s="48">
        <f>IF(INVESTORS_LIST[[#This Row],[TOTAL SELLABLE UNITS]]=0,0,INVESTORS_LIST[[#This Row],[TOTAL SELLABLE UNITS]]*INVESTORS_LIST[[#This Row],[NAV]])</f>
        <v>0</v>
      </c>
      <c r="AU327" s="48">
        <f>INVESTORS_LIST[[#This Row],[LS_TOTAL REALIZED GAIN]]+INVESTORS_LIST[[#This Row],[SIP_TOTAL REALIZED GAIN]]</f>
        <v>0</v>
      </c>
      <c r="AV327" s="48">
        <f>INVESTORS_LIST[[#This Row],[TOTAL MARKET VALUE]]-INVESTORS_LIST[[#This Row],[TOTAL COST VALUE OF CURRENT INVESTMENT]]</f>
        <v>0</v>
      </c>
      <c r="AW327" s="48">
        <f>IFERROR(INVESTORS_LIST[[#This Row],[TOTAL CURRENT UNITS]]/SUM(INVESTORS_LIST[TOTAL CURRENT UNITS]),0)</f>
        <v>0</v>
      </c>
    </row>
    <row r="328" spans="1:49" hidden="1">
      <c r="A328" s="262" t="s">
        <v>703</v>
      </c>
      <c r="B328" s="97" t="s">
        <v>704</v>
      </c>
      <c r="C328" t="s">
        <v>44</v>
      </c>
      <c r="D328" s="75" t="s">
        <v>45</v>
      </c>
      <c r="E328" s="47">
        <f>SUMIFS(LS[Unit],LS[Investor ID],INVESTORS_LIST[[#This Row],[INVESTOR CODE]],LS[B/S],"B")</f>
        <v>0</v>
      </c>
      <c r="F328" s="47">
        <f>-SUMIFS(LS[Unit],LS[Investor ID],INVESTORS_LIST[[#This Row],[INVESTOR CODE]],LS[B/S],"S")</f>
        <v>0</v>
      </c>
      <c r="G328" s="47">
        <f>IF(INVESTORS_LIST[[#This Row],[LS_TOTAL UNITS BUY]]=0,0,INVESTORS_LIST[[#This Row],[LS_TOTAL UNITS BUY]]-INVESTORS_LIST[[#This Row],[LS_TOTAL UNITS SOLD]])</f>
        <v>0</v>
      </c>
      <c r="H328" s="49">
        <f>IF(INVESTORS_LIST[[#This Row],[LS_TOTAL UNITS BUY]]=0,0,SUMIFS(LS[Amount],LS[Investor ID],INVESTORS_LIST[[#This Row],[INVESTOR CODE]],LS[B/S],"B"))</f>
        <v>0</v>
      </c>
      <c r="I328" s="48">
        <f>IF(INVESTORS_LIST[[#This Row],[LS_TOTAL UNITS SOLD]]=0,0,SUMIFS(LS[Cost of Units Sold],LS[Investor ID],INVESTORS_LIST[[#This Row],[INVESTOR CODE]],LS[B/S],"S"))</f>
        <v>0</v>
      </c>
      <c r="J328" s="48">
        <f>IF(INVESTORS_LIST[[#This Row],[LS_TOTAL CURRENT UNITS]]=0,0,INVESTORS_LIST[[#This Row],[LS_TOTAL CURRENT UNITS]]*INVESTORS_LIST[[#This Row],[LS_AVERAGE COST]])</f>
        <v>0</v>
      </c>
      <c r="K328" s="49">
        <f>IF(INVESTORS_LIST[[#This Row],[LS_TOTAL UNITS SOLD]]=0,0,SUMIFS(LS[Realized Gain],LS[Investor ID],INVESTORS_LIST[[#This Row],[INVESTOR CODE]],LS[B/S],"S"))</f>
        <v>0</v>
      </c>
      <c r="L328" s="47">
        <f>SUMIFS(SIP[Unit],SIP[Investor ID],INVESTORS_LIST[[#This Row],[INVESTOR CODE]],SIP[B/S],"B")</f>
        <v>0</v>
      </c>
      <c r="M328" s="47">
        <f>-SUMIFS(SIP[Unit],SIP[Investor ID],INVESTORS_LIST[[#This Row],[INVESTOR CODE]],SIP[B/S],"S")</f>
        <v>0</v>
      </c>
      <c r="N328" s="50">
        <f>IF(INVESTORS_LIST[[#This Row],[SIP_TOTAL UNITS BUY]]=0,0,INVESTORS_LIST[[#This Row],[SIP_TOTAL UNITS BUY]]-INVESTORS_LIST[[#This Row],[SIP_TOTAL UNITS SOLD]])</f>
        <v>0</v>
      </c>
      <c r="O328" s="49">
        <f>IF(INVESTORS_LIST[[#This Row],[SIP_TOTAL UNITS BUY]]=0,0,SUMIFS(SIP[Amount],SIP[Investor ID],INVESTORS_LIST[[#This Row],[INVESTOR CODE]],SIP[B/S],"B"))</f>
        <v>0</v>
      </c>
      <c r="P328" s="49">
        <f>IF(INVESTORS_LIST[[#This Row],[SIP_TOTAL UNITS SOLD]]=0,0,SUMIFS(SIP[Cost of Units Sold],SIP[Investor ID],INVESTORS_LIST[[#This Row],[INVESTOR CODE]],SIP[B/S],"S"))</f>
        <v>0</v>
      </c>
      <c r="Q328" s="48">
        <f>IF(INVESTORS_LIST[[#This Row],[SIP_TOTAL CURRENT UNITS]]=0,0,INVESTORS_LIST[[#This Row],[SIP_TOTAL CURRENT UNITS]]*INVESTORS_LIST[[#This Row],[SIP_AVERAGE COST]])</f>
        <v>0</v>
      </c>
      <c r="R328" s="48">
        <f>IF(INVESTORS_LIST[[#This Row],[SIP_TOTAL UNITS SOLD]]=0,0,SUMIFS(SIP[Realized Gain],SIP[Investor ID],INVESTORS_LIST[[#This Row],[INVESTOR CODE]],SIP[B/S],"S"))</f>
        <v>0</v>
      </c>
      <c r="S328" s="50">
        <f>INVESTORS_LIST[[#This Row],[LS_TOTAL UNITS BUY]]+INVESTORS_LIST[[#This Row],[SIP_TOTAL UNITS BUY]]</f>
        <v>0</v>
      </c>
      <c r="T328" s="50">
        <f>INVESTORS_LIST[[#This Row],[LS_TOTAL UNITS SOLD]]+INVESTORS_LIST[[#This Row],[SIP_TOTAL UNITS SOLD]]</f>
        <v>0</v>
      </c>
      <c r="U328" s="50"/>
      <c r="V328" s="50">
        <f>SUMIFS(LS[BO UNIT TRANSFER],LS[Investor ID],INVESTORS_LIST[[#This Row],[INVESTOR CODE]],LS[B/S],"B")</f>
        <v>0</v>
      </c>
      <c r="W328" s="50">
        <f>SUMIFS(SIP[BO UNIT TRANSFER],SIP[Investor ID],INVESTORS_LIST[[#This Row],[INVESTOR CODE]],SIP[B/S],"B")</f>
        <v>0</v>
      </c>
      <c r="X328" s="50">
        <f>SUMIFS(LS[BO UNIT TRANSFER],LS[Investor ID],INVESTORS_LIST[[#This Row],[INVESTOR CODE]],LS[B/S],"S")</f>
        <v>0</v>
      </c>
      <c r="Y328" s="50">
        <f>SUMIFS(SIP[BO UNIT TRANSFER],SIP[Investor ID],INVESTORS_LIST[[#This Row],[INVESTOR CODE]],SIP[B/S],"S")</f>
        <v>0</v>
      </c>
      <c r="Z328" s="106">
        <f>SUM(INVESTORS_LIST[[#This Row],[BO OPENING BALANCE]:[BO SIP UNITS REPURCHASE]])</f>
        <v>0</v>
      </c>
      <c r="AA328" s="107">
        <f>INVESTORS_LIST[[#This Row],[TOTAL UNITS BUY]]-INVESTORS_LIST[[#This Row],[TOTAL UNITS SOLD]]</f>
        <v>0</v>
      </c>
      <c r="AB328" s="107">
        <f>INVESTORS_LIST[[#This Row],[TOTAL CURRENT UNITS]]-INVESTORS_LIST[[#This Row],[BO UNITS HOLD]]</f>
        <v>0</v>
      </c>
      <c r="AC328" s="201" t="e">
        <f>INDEX([3]!Table_1[BO ID],MATCH(INVESTORS_LIST[[#This Row],[INVESTOR CODE]],[3]!Table_1[INVESTOR CODE],0))</f>
        <v>#REF!</v>
      </c>
      <c r="AD328" s="201" t="e">
        <f>INDEX([3]!Table_1[Brokerage Name2],MATCH(INVESTORS_LIST[[#This Row],[INVESTOR CODE]],[3]!Table_1[INVESTOR CODE],0))</f>
        <v>#REF!</v>
      </c>
      <c r="AE328" s="201" t="e">
        <f>MID(INVESTORS_LIST[[#This Row],[BO ID]],4,5)</f>
        <v>#REF!</v>
      </c>
      <c r="AF328" s="201" t="e">
        <f>MID(INVESTORS_LIST[[#This Row],[BO ID]],2,7)</f>
        <v>#REF!</v>
      </c>
      <c r="AG328" s="201" t="e">
        <f>MID(INVESTORS_LIST[[#This Row],[BO ID]],9,7)</f>
        <v>#REF!</v>
      </c>
      <c r="AH328" s="201" t="e">
        <f>RIGHT(INVESTORS_LIST[[#This Row],[BO ID]],1)</f>
        <v>#REF!</v>
      </c>
      <c r="AI328" s="50">
        <f>INVESTORS_LIST[[#This Row],[LS_TOTAL COST VALUE OF CURRENT UNITS]]+INVESTORS_LIST[[#This Row],[SIP_TOTAL COST VALUE OF CURRENT UNITS]]</f>
        <v>0</v>
      </c>
      <c r="AJ328" s="109">
        <f>IF(INVESTORS_LIST[[#This Row],[TOTAL CURRENT UNITS]]=0,0,INVESTORS_LIST[[#This Row],[LS_TOTAL CURRENT UNITS]]/INVESTORS_LIST[[#This Row],[TOTAL CURRENT UNITS]])</f>
        <v>0</v>
      </c>
      <c r="AK328" s="109">
        <f>IF(INVESTORS_LIST[[#This Row],[TOTAL CURRENT UNITS]]=0,0,INVESTORS_LIST[[#This Row],[SIP_TOTAL CURRENT UNITS]]/INVESTORS_LIST[[#This Row],[TOTAL CURRENT UNITS]])</f>
        <v>0</v>
      </c>
      <c r="AL328" s="49" cm="1">
        <f t="array" ref="AL3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8" s="49" cm="1">
        <f t="array" ref="AM3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8" s="105">
        <f t="shared" si="6"/>
        <v>14.224</v>
      </c>
      <c r="AP328" s="112">
        <f>IF(INVESTORS_LIST[[#This Row],[TOTAL CURRENT UNITS]]=0,0,INVESTORS_LIST[[#This Row],[TOTAL CURRENT UNITS]]*INVESTORS_LIST[[#This Row],[NAV]])</f>
        <v>0</v>
      </c>
      <c r="AQ328" s="49">
        <f>IF(INVESTORS_LIST[[#This Row],[LS_TOTAL CURRENT UNITS]]=0,0,INVESTORS_LIST[[#This Row],[LS_TOTAL CURRENT UNITS]]*INVESTORS_LIST[[#This Row],[NAV]])</f>
        <v>0</v>
      </c>
      <c r="AR328" s="48">
        <f>IF(INVESTORS_LIST[[#This Row],[SIP_TOTAL CURRENT UNITS]]=0,0,INVESTORS_LIST[[#This Row],[SIP_TOTAL CURRENT UNITS]]*INVESTORS_LIST[[#This Row],[NAV]])</f>
        <v>0</v>
      </c>
      <c r="AS328" s="50">
        <f>INVESTORS_LIST[[#This Row],[TOTAL CURRENT UNITS]]</f>
        <v>0</v>
      </c>
      <c r="AT328" s="48">
        <f>IF(INVESTORS_LIST[[#This Row],[TOTAL SELLABLE UNITS]]=0,0,INVESTORS_LIST[[#This Row],[TOTAL SELLABLE UNITS]]*INVESTORS_LIST[[#This Row],[NAV]])</f>
        <v>0</v>
      </c>
      <c r="AU328" s="48">
        <f>INVESTORS_LIST[[#This Row],[LS_TOTAL REALIZED GAIN]]+INVESTORS_LIST[[#This Row],[SIP_TOTAL REALIZED GAIN]]</f>
        <v>0</v>
      </c>
      <c r="AV328" s="48">
        <f>INVESTORS_LIST[[#This Row],[TOTAL MARKET VALUE]]-INVESTORS_LIST[[#This Row],[TOTAL COST VALUE OF CURRENT INVESTMENT]]</f>
        <v>0</v>
      </c>
      <c r="AW328" s="48">
        <f>IFERROR(INVESTORS_LIST[[#This Row],[TOTAL CURRENT UNITS]]/SUM(INVESTORS_LIST[TOTAL CURRENT UNITS]),0)</f>
        <v>0</v>
      </c>
    </row>
    <row r="329" spans="1:49" hidden="1">
      <c r="A329" s="262" t="s">
        <v>705</v>
      </c>
      <c r="B329" s="97" t="s">
        <v>706</v>
      </c>
      <c r="C329" t="s">
        <v>44</v>
      </c>
      <c r="D329" s="75" t="s">
        <v>45</v>
      </c>
      <c r="E329" s="47">
        <f>SUMIFS(LS[Unit],LS[Investor ID],INVESTORS_LIST[[#This Row],[INVESTOR CODE]],LS[B/S],"B")</f>
        <v>0</v>
      </c>
      <c r="F329" s="47">
        <f>-SUMIFS(LS[Unit],LS[Investor ID],INVESTORS_LIST[[#This Row],[INVESTOR CODE]],LS[B/S],"S")</f>
        <v>0</v>
      </c>
      <c r="G329" s="47">
        <f>IF(INVESTORS_LIST[[#This Row],[LS_TOTAL UNITS BUY]]=0,0,INVESTORS_LIST[[#This Row],[LS_TOTAL UNITS BUY]]-INVESTORS_LIST[[#This Row],[LS_TOTAL UNITS SOLD]])</f>
        <v>0</v>
      </c>
      <c r="H329" s="49">
        <f>IF(INVESTORS_LIST[[#This Row],[LS_TOTAL UNITS BUY]]=0,0,SUMIFS(LS[Amount],LS[Investor ID],INVESTORS_LIST[[#This Row],[INVESTOR CODE]],LS[B/S],"B"))</f>
        <v>0</v>
      </c>
      <c r="I329" s="48">
        <f>IF(INVESTORS_LIST[[#This Row],[LS_TOTAL UNITS SOLD]]=0,0,SUMIFS(LS[Cost of Units Sold],LS[Investor ID],INVESTORS_LIST[[#This Row],[INVESTOR CODE]],LS[B/S],"S"))</f>
        <v>0</v>
      </c>
      <c r="J329" s="48">
        <f>IF(INVESTORS_LIST[[#This Row],[LS_TOTAL CURRENT UNITS]]=0,0,INVESTORS_LIST[[#This Row],[LS_TOTAL CURRENT UNITS]]*INVESTORS_LIST[[#This Row],[LS_AVERAGE COST]])</f>
        <v>0</v>
      </c>
      <c r="K329" s="49">
        <f>IF(INVESTORS_LIST[[#This Row],[LS_TOTAL UNITS SOLD]]=0,0,SUMIFS(LS[Realized Gain],LS[Investor ID],INVESTORS_LIST[[#This Row],[INVESTOR CODE]],LS[B/S],"S"))</f>
        <v>0</v>
      </c>
      <c r="L329" s="47">
        <f>SUMIFS(SIP[Unit],SIP[Investor ID],INVESTORS_LIST[[#This Row],[INVESTOR CODE]],SIP[B/S],"B")</f>
        <v>0</v>
      </c>
      <c r="M329" s="47">
        <f>-SUMIFS(SIP[Unit],SIP[Investor ID],INVESTORS_LIST[[#This Row],[INVESTOR CODE]],SIP[B/S],"S")</f>
        <v>0</v>
      </c>
      <c r="N329" s="50">
        <f>IF(INVESTORS_LIST[[#This Row],[SIP_TOTAL UNITS BUY]]=0,0,INVESTORS_LIST[[#This Row],[SIP_TOTAL UNITS BUY]]-INVESTORS_LIST[[#This Row],[SIP_TOTAL UNITS SOLD]])</f>
        <v>0</v>
      </c>
      <c r="O329" s="49">
        <f>IF(INVESTORS_LIST[[#This Row],[SIP_TOTAL UNITS BUY]]=0,0,SUMIFS(SIP[Amount],SIP[Investor ID],INVESTORS_LIST[[#This Row],[INVESTOR CODE]],SIP[B/S],"B"))</f>
        <v>0</v>
      </c>
      <c r="P329" s="49">
        <f>IF(INVESTORS_LIST[[#This Row],[SIP_TOTAL UNITS SOLD]]=0,0,SUMIFS(SIP[Cost of Units Sold],SIP[Investor ID],INVESTORS_LIST[[#This Row],[INVESTOR CODE]],SIP[B/S],"S"))</f>
        <v>0</v>
      </c>
      <c r="Q329" s="48">
        <f>IF(INVESTORS_LIST[[#This Row],[SIP_TOTAL CURRENT UNITS]]=0,0,INVESTORS_LIST[[#This Row],[SIP_TOTAL CURRENT UNITS]]*INVESTORS_LIST[[#This Row],[SIP_AVERAGE COST]])</f>
        <v>0</v>
      </c>
      <c r="R329" s="48">
        <f>IF(INVESTORS_LIST[[#This Row],[SIP_TOTAL UNITS SOLD]]=0,0,SUMIFS(SIP[Realized Gain],SIP[Investor ID],INVESTORS_LIST[[#This Row],[INVESTOR CODE]],SIP[B/S],"S"))</f>
        <v>0</v>
      </c>
      <c r="S329" s="50">
        <f>INVESTORS_LIST[[#This Row],[LS_TOTAL UNITS BUY]]+INVESTORS_LIST[[#This Row],[SIP_TOTAL UNITS BUY]]</f>
        <v>0</v>
      </c>
      <c r="T329" s="50">
        <f>INVESTORS_LIST[[#This Row],[LS_TOTAL UNITS SOLD]]+INVESTORS_LIST[[#This Row],[SIP_TOTAL UNITS SOLD]]</f>
        <v>0</v>
      </c>
      <c r="U329" s="50"/>
      <c r="V329" s="50">
        <f>SUMIFS(LS[BO UNIT TRANSFER],LS[Investor ID],INVESTORS_LIST[[#This Row],[INVESTOR CODE]],LS[B/S],"B")</f>
        <v>0</v>
      </c>
      <c r="W329" s="50">
        <f>SUMIFS(SIP[BO UNIT TRANSFER],SIP[Investor ID],INVESTORS_LIST[[#This Row],[INVESTOR CODE]],SIP[B/S],"B")</f>
        <v>0</v>
      </c>
      <c r="X329" s="50">
        <f>SUMIFS(LS[BO UNIT TRANSFER],LS[Investor ID],INVESTORS_LIST[[#This Row],[INVESTOR CODE]],LS[B/S],"S")</f>
        <v>0</v>
      </c>
      <c r="Y329" s="50">
        <f>SUMIFS(SIP[BO UNIT TRANSFER],SIP[Investor ID],INVESTORS_LIST[[#This Row],[INVESTOR CODE]],SIP[B/S],"S")</f>
        <v>0</v>
      </c>
      <c r="Z329" s="106">
        <f>SUM(INVESTORS_LIST[[#This Row],[BO OPENING BALANCE]:[BO SIP UNITS REPURCHASE]])</f>
        <v>0</v>
      </c>
      <c r="AA329" s="107">
        <f>INVESTORS_LIST[[#This Row],[TOTAL UNITS BUY]]-INVESTORS_LIST[[#This Row],[TOTAL UNITS SOLD]]</f>
        <v>0</v>
      </c>
      <c r="AB329" s="107">
        <f>INVESTORS_LIST[[#This Row],[TOTAL CURRENT UNITS]]-INVESTORS_LIST[[#This Row],[BO UNITS HOLD]]</f>
        <v>0</v>
      </c>
      <c r="AC329" s="201" t="e">
        <f>INDEX([3]!Table_1[BO ID],MATCH(INVESTORS_LIST[[#This Row],[INVESTOR CODE]],[3]!Table_1[INVESTOR CODE],0))</f>
        <v>#REF!</v>
      </c>
      <c r="AD329" s="201" t="e">
        <f>INDEX([3]!Table_1[Brokerage Name2],MATCH(INVESTORS_LIST[[#This Row],[INVESTOR CODE]],[3]!Table_1[INVESTOR CODE],0))</f>
        <v>#REF!</v>
      </c>
      <c r="AE329" s="201" t="e">
        <f>MID(INVESTORS_LIST[[#This Row],[BO ID]],4,5)</f>
        <v>#REF!</v>
      </c>
      <c r="AF329" s="201" t="e">
        <f>MID(INVESTORS_LIST[[#This Row],[BO ID]],2,7)</f>
        <v>#REF!</v>
      </c>
      <c r="AG329" s="201" t="e">
        <f>MID(INVESTORS_LIST[[#This Row],[BO ID]],9,7)</f>
        <v>#REF!</v>
      </c>
      <c r="AH329" s="201" t="e">
        <f>RIGHT(INVESTORS_LIST[[#This Row],[BO ID]],1)</f>
        <v>#REF!</v>
      </c>
      <c r="AI329" s="50">
        <f>INVESTORS_LIST[[#This Row],[LS_TOTAL COST VALUE OF CURRENT UNITS]]+INVESTORS_LIST[[#This Row],[SIP_TOTAL COST VALUE OF CURRENT UNITS]]</f>
        <v>0</v>
      </c>
      <c r="AJ329" s="109">
        <f>IF(INVESTORS_LIST[[#This Row],[TOTAL CURRENT UNITS]]=0,0,INVESTORS_LIST[[#This Row],[LS_TOTAL CURRENT UNITS]]/INVESTORS_LIST[[#This Row],[TOTAL CURRENT UNITS]])</f>
        <v>0</v>
      </c>
      <c r="AK329" s="109">
        <f>IF(INVESTORS_LIST[[#This Row],[TOTAL CURRENT UNITS]]=0,0,INVESTORS_LIST[[#This Row],[SIP_TOTAL CURRENT UNITS]]/INVESTORS_LIST[[#This Row],[TOTAL CURRENT UNITS]])</f>
        <v>0</v>
      </c>
      <c r="AL329" s="49" cm="1">
        <f t="array" ref="AL3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29" s="49" cm="1">
        <f t="array" ref="AM3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2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29" s="105">
        <f t="shared" si="6"/>
        <v>14.224</v>
      </c>
      <c r="AP329" s="112">
        <f>IF(INVESTORS_LIST[[#This Row],[TOTAL CURRENT UNITS]]=0,0,INVESTORS_LIST[[#This Row],[TOTAL CURRENT UNITS]]*INVESTORS_LIST[[#This Row],[NAV]])</f>
        <v>0</v>
      </c>
      <c r="AQ329" s="49">
        <f>IF(INVESTORS_LIST[[#This Row],[LS_TOTAL CURRENT UNITS]]=0,0,INVESTORS_LIST[[#This Row],[LS_TOTAL CURRENT UNITS]]*INVESTORS_LIST[[#This Row],[NAV]])</f>
        <v>0</v>
      </c>
      <c r="AR329" s="48">
        <f>IF(INVESTORS_LIST[[#This Row],[SIP_TOTAL CURRENT UNITS]]=0,0,INVESTORS_LIST[[#This Row],[SIP_TOTAL CURRENT UNITS]]*INVESTORS_LIST[[#This Row],[NAV]])</f>
        <v>0</v>
      </c>
      <c r="AS329" s="50">
        <f>INVESTORS_LIST[[#This Row],[TOTAL CURRENT UNITS]]</f>
        <v>0</v>
      </c>
      <c r="AT329" s="48">
        <f>IF(INVESTORS_LIST[[#This Row],[TOTAL SELLABLE UNITS]]=0,0,INVESTORS_LIST[[#This Row],[TOTAL SELLABLE UNITS]]*INVESTORS_LIST[[#This Row],[NAV]])</f>
        <v>0</v>
      </c>
      <c r="AU329" s="48">
        <f>INVESTORS_LIST[[#This Row],[LS_TOTAL REALIZED GAIN]]+INVESTORS_LIST[[#This Row],[SIP_TOTAL REALIZED GAIN]]</f>
        <v>0</v>
      </c>
      <c r="AV329" s="48">
        <f>INVESTORS_LIST[[#This Row],[TOTAL MARKET VALUE]]-INVESTORS_LIST[[#This Row],[TOTAL COST VALUE OF CURRENT INVESTMENT]]</f>
        <v>0</v>
      </c>
      <c r="AW329" s="48">
        <f>IFERROR(INVESTORS_LIST[[#This Row],[TOTAL CURRENT UNITS]]/SUM(INVESTORS_LIST[TOTAL CURRENT UNITS]),0)</f>
        <v>0</v>
      </c>
    </row>
    <row r="330" spans="1:49" hidden="1">
      <c r="A330" s="262" t="s">
        <v>707</v>
      </c>
      <c r="B330" s="97" t="s">
        <v>708</v>
      </c>
      <c r="C330" t="s">
        <v>67</v>
      </c>
      <c r="D330" s="75" t="s">
        <v>45</v>
      </c>
      <c r="E330" s="47">
        <f>SUMIFS(LS[Unit],LS[Investor ID],INVESTORS_LIST[[#This Row],[INVESTOR CODE]],LS[B/S],"B")</f>
        <v>0</v>
      </c>
      <c r="F330" s="47">
        <f>-SUMIFS(LS[Unit],LS[Investor ID],INVESTORS_LIST[[#This Row],[INVESTOR CODE]],LS[B/S],"S")</f>
        <v>0</v>
      </c>
      <c r="G330" s="47">
        <f>IF(INVESTORS_LIST[[#This Row],[LS_TOTAL UNITS BUY]]=0,0,INVESTORS_LIST[[#This Row],[LS_TOTAL UNITS BUY]]-INVESTORS_LIST[[#This Row],[LS_TOTAL UNITS SOLD]])</f>
        <v>0</v>
      </c>
      <c r="H330" s="49">
        <f>IF(INVESTORS_LIST[[#This Row],[LS_TOTAL UNITS BUY]]=0,0,SUMIFS(LS[Amount],LS[Investor ID],INVESTORS_LIST[[#This Row],[INVESTOR CODE]],LS[B/S],"B"))</f>
        <v>0</v>
      </c>
      <c r="I330" s="48">
        <f>IF(INVESTORS_LIST[[#This Row],[LS_TOTAL UNITS SOLD]]=0,0,SUMIFS(LS[Cost of Units Sold],LS[Investor ID],INVESTORS_LIST[[#This Row],[INVESTOR CODE]],LS[B/S],"S"))</f>
        <v>0</v>
      </c>
      <c r="J330" s="48">
        <f>IF(INVESTORS_LIST[[#This Row],[LS_TOTAL CURRENT UNITS]]=0,0,INVESTORS_LIST[[#This Row],[LS_TOTAL CURRENT UNITS]]*INVESTORS_LIST[[#This Row],[LS_AVERAGE COST]])</f>
        <v>0</v>
      </c>
      <c r="K330" s="49">
        <f>IF(INVESTORS_LIST[[#This Row],[LS_TOTAL UNITS SOLD]]=0,0,SUMIFS(LS[Realized Gain],LS[Investor ID],INVESTORS_LIST[[#This Row],[INVESTOR CODE]],LS[B/S],"S"))</f>
        <v>0</v>
      </c>
      <c r="L330" s="47">
        <f>SUMIFS(SIP[Unit],SIP[Investor ID],INVESTORS_LIST[[#This Row],[INVESTOR CODE]],SIP[B/S],"B")</f>
        <v>0</v>
      </c>
      <c r="M330" s="47">
        <f>-SUMIFS(SIP[Unit],SIP[Investor ID],INVESTORS_LIST[[#This Row],[INVESTOR CODE]],SIP[B/S],"S")</f>
        <v>0</v>
      </c>
      <c r="N330" s="50">
        <f>IF(INVESTORS_LIST[[#This Row],[SIP_TOTAL UNITS BUY]]=0,0,INVESTORS_LIST[[#This Row],[SIP_TOTAL UNITS BUY]]-INVESTORS_LIST[[#This Row],[SIP_TOTAL UNITS SOLD]])</f>
        <v>0</v>
      </c>
      <c r="O330" s="49">
        <f>IF(INVESTORS_LIST[[#This Row],[SIP_TOTAL UNITS BUY]]=0,0,SUMIFS(SIP[Amount],SIP[Investor ID],INVESTORS_LIST[[#This Row],[INVESTOR CODE]],SIP[B/S],"B"))</f>
        <v>0</v>
      </c>
      <c r="P330" s="49">
        <f>IF(INVESTORS_LIST[[#This Row],[SIP_TOTAL UNITS SOLD]]=0,0,SUMIFS(SIP[Cost of Units Sold],SIP[Investor ID],INVESTORS_LIST[[#This Row],[INVESTOR CODE]],SIP[B/S],"S"))</f>
        <v>0</v>
      </c>
      <c r="Q330" s="48">
        <f>IF(INVESTORS_LIST[[#This Row],[SIP_TOTAL CURRENT UNITS]]=0,0,INVESTORS_LIST[[#This Row],[SIP_TOTAL CURRENT UNITS]]*INVESTORS_LIST[[#This Row],[SIP_AVERAGE COST]])</f>
        <v>0</v>
      </c>
      <c r="R330" s="48">
        <f>IF(INVESTORS_LIST[[#This Row],[SIP_TOTAL UNITS SOLD]]=0,0,SUMIFS(SIP[Realized Gain],SIP[Investor ID],INVESTORS_LIST[[#This Row],[INVESTOR CODE]],SIP[B/S],"S"))</f>
        <v>0</v>
      </c>
      <c r="S330" s="50">
        <f>INVESTORS_LIST[[#This Row],[LS_TOTAL UNITS BUY]]+INVESTORS_LIST[[#This Row],[SIP_TOTAL UNITS BUY]]</f>
        <v>0</v>
      </c>
      <c r="T330" s="50">
        <f>INVESTORS_LIST[[#This Row],[LS_TOTAL UNITS SOLD]]+INVESTORS_LIST[[#This Row],[SIP_TOTAL UNITS SOLD]]</f>
        <v>0</v>
      </c>
      <c r="U330" s="50"/>
      <c r="V330" s="50">
        <f>SUMIFS(LS[BO UNIT TRANSFER],LS[Investor ID],INVESTORS_LIST[[#This Row],[INVESTOR CODE]],LS[B/S],"B")</f>
        <v>0</v>
      </c>
      <c r="W330" s="50">
        <f>SUMIFS(SIP[BO UNIT TRANSFER],SIP[Investor ID],INVESTORS_LIST[[#This Row],[INVESTOR CODE]],SIP[B/S],"B")</f>
        <v>0</v>
      </c>
      <c r="X330" s="50">
        <f>SUMIFS(LS[BO UNIT TRANSFER],LS[Investor ID],INVESTORS_LIST[[#This Row],[INVESTOR CODE]],LS[B/S],"S")</f>
        <v>0</v>
      </c>
      <c r="Y330" s="50">
        <f>SUMIFS(SIP[BO UNIT TRANSFER],SIP[Investor ID],INVESTORS_LIST[[#This Row],[INVESTOR CODE]],SIP[B/S],"S")</f>
        <v>0</v>
      </c>
      <c r="Z330" s="106">
        <f>SUM(INVESTORS_LIST[[#This Row],[BO OPENING BALANCE]:[BO SIP UNITS REPURCHASE]])</f>
        <v>0</v>
      </c>
      <c r="AA330" s="107">
        <f>INVESTORS_LIST[[#This Row],[TOTAL UNITS BUY]]-INVESTORS_LIST[[#This Row],[TOTAL UNITS SOLD]]</f>
        <v>0</v>
      </c>
      <c r="AB330" s="107">
        <f>INVESTORS_LIST[[#This Row],[TOTAL CURRENT UNITS]]-INVESTORS_LIST[[#This Row],[BO UNITS HOLD]]</f>
        <v>0</v>
      </c>
      <c r="AC330" s="201" t="e">
        <f>INDEX([3]!Table_1[BO ID],MATCH(INVESTORS_LIST[[#This Row],[INVESTOR CODE]],[3]!Table_1[INVESTOR CODE],0))</f>
        <v>#REF!</v>
      </c>
      <c r="AD330" s="201" t="e">
        <f>INDEX([3]!Table_1[Brokerage Name2],MATCH(INVESTORS_LIST[[#This Row],[INVESTOR CODE]],[3]!Table_1[INVESTOR CODE],0))</f>
        <v>#REF!</v>
      </c>
      <c r="AE330" s="201" t="e">
        <f>MID(INVESTORS_LIST[[#This Row],[BO ID]],4,5)</f>
        <v>#REF!</v>
      </c>
      <c r="AF330" s="201" t="e">
        <f>MID(INVESTORS_LIST[[#This Row],[BO ID]],2,7)</f>
        <v>#REF!</v>
      </c>
      <c r="AG330" s="201" t="e">
        <f>MID(INVESTORS_LIST[[#This Row],[BO ID]],9,7)</f>
        <v>#REF!</v>
      </c>
      <c r="AH330" s="201" t="e">
        <f>RIGHT(INVESTORS_LIST[[#This Row],[BO ID]],1)</f>
        <v>#REF!</v>
      </c>
      <c r="AI330" s="50">
        <f>INVESTORS_LIST[[#This Row],[LS_TOTAL COST VALUE OF CURRENT UNITS]]+INVESTORS_LIST[[#This Row],[SIP_TOTAL COST VALUE OF CURRENT UNITS]]</f>
        <v>0</v>
      </c>
      <c r="AJ330" s="109">
        <f>IF(INVESTORS_LIST[[#This Row],[TOTAL CURRENT UNITS]]=0,0,INVESTORS_LIST[[#This Row],[LS_TOTAL CURRENT UNITS]]/INVESTORS_LIST[[#This Row],[TOTAL CURRENT UNITS]])</f>
        <v>0</v>
      </c>
      <c r="AK330" s="109">
        <f>IF(INVESTORS_LIST[[#This Row],[TOTAL CURRENT UNITS]]=0,0,INVESTORS_LIST[[#This Row],[SIP_TOTAL CURRENT UNITS]]/INVESTORS_LIST[[#This Row],[TOTAL CURRENT UNITS]])</f>
        <v>0</v>
      </c>
      <c r="AL330" s="49" cm="1">
        <f t="array" ref="AL3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0" s="49" cm="1">
        <f t="array" ref="AM3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0" s="105">
        <f t="shared" si="6"/>
        <v>14.224</v>
      </c>
      <c r="AP330" s="112">
        <f>IF(INVESTORS_LIST[[#This Row],[TOTAL CURRENT UNITS]]=0,0,INVESTORS_LIST[[#This Row],[TOTAL CURRENT UNITS]]*INVESTORS_LIST[[#This Row],[NAV]])</f>
        <v>0</v>
      </c>
      <c r="AQ330" s="49">
        <f>IF(INVESTORS_LIST[[#This Row],[LS_TOTAL CURRENT UNITS]]=0,0,INVESTORS_LIST[[#This Row],[LS_TOTAL CURRENT UNITS]]*INVESTORS_LIST[[#This Row],[NAV]])</f>
        <v>0</v>
      </c>
      <c r="AR330" s="48">
        <f>IF(INVESTORS_LIST[[#This Row],[SIP_TOTAL CURRENT UNITS]]=0,0,INVESTORS_LIST[[#This Row],[SIP_TOTAL CURRENT UNITS]]*INVESTORS_LIST[[#This Row],[NAV]])</f>
        <v>0</v>
      </c>
      <c r="AS330" s="50">
        <f>INVESTORS_LIST[[#This Row],[TOTAL CURRENT UNITS]]</f>
        <v>0</v>
      </c>
      <c r="AT330" s="48">
        <f>IF(INVESTORS_LIST[[#This Row],[TOTAL SELLABLE UNITS]]=0,0,INVESTORS_LIST[[#This Row],[TOTAL SELLABLE UNITS]]*INVESTORS_LIST[[#This Row],[NAV]])</f>
        <v>0</v>
      </c>
      <c r="AU330" s="48">
        <f>INVESTORS_LIST[[#This Row],[LS_TOTAL REALIZED GAIN]]+INVESTORS_LIST[[#This Row],[SIP_TOTAL REALIZED GAIN]]</f>
        <v>0</v>
      </c>
      <c r="AV330" s="48">
        <f>INVESTORS_LIST[[#This Row],[TOTAL MARKET VALUE]]-INVESTORS_LIST[[#This Row],[TOTAL COST VALUE OF CURRENT INVESTMENT]]</f>
        <v>0</v>
      </c>
      <c r="AW330" s="48">
        <f>IFERROR(INVESTORS_LIST[[#This Row],[TOTAL CURRENT UNITS]]/SUM(INVESTORS_LIST[TOTAL CURRENT UNITS]),0)</f>
        <v>0</v>
      </c>
    </row>
    <row r="331" spans="1:49" hidden="1">
      <c r="A331" s="262" t="s">
        <v>709</v>
      </c>
      <c r="B331" s="97" t="s">
        <v>710</v>
      </c>
      <c r="C331" t="s">
        <v>44</v>
      </c>
      <c r="D331" s="75" t="s">
        <v>45</v>
      </c>
      <c r="E331" s="47">
        <f>SUMIFS(LS[Unit],LS[Investor ID],INVESTORS_LIST[[#This Row],[INVESTOR CODE]],LS[B/S],"B")</f>
        <v>0</v>
      </c>
      <c r="F331" s="47">
        <f>-SUMIFS(LS[Unit],LS[Investor ID],INVESTORS_LIST[[#This Row],[INVESTOR CODE]],LS[B/S],"S")</f>
        <v>0</v>
      </c>
      <c r="G331" s="47">
        <f>IF(INVESTORS_LIST[[#This Row],[LS_TOTAL UNITS BUY]]=0,0,INVESTORS_LIST[[#This Row],[LS_TOTAL UNITS BUY]]-INVESTORS_LIST[[#This Row],[LS_TOTAL UNITS SOLD]])</f>
        <v>0</v>
      </c>
      <c r="H331" s="49">
        <f>IF(INVESTORS_LIST[[#This Row],[LS_TOTAL UNITS BUY]]=0,0,SUMIFS(LS[Amount],LS[Investor ID],INVESTORS_LIST[[#This Row],[INVESTOR CODE]],LS[B/S],"B"))</f>
        <v>0</v>
      </c>
      <c r="I331" s="48">
        <f>IF(INVESTORS_LIST[[#This Row],[LS_TOTAL UNITS SOLD]]=0,0,SUMIFS(LS[Cost of Units Sold],LS[Investor ID],INVESTORS_LIST[[#This Row],[INVESTOR CODE]],LS[B/S],"S"))</f>
        <v>0</v>
      </c>
      <c r="J331" s="48">
        <f>IF(INVESTORS_LIST[[#This Row],[LS_TOTAL CURRENT UNITS]]=0,0,INVESTORS_LIST[[#This Row],[LS_TOTAL CURRENT UNITS]]*INVESTORS_LIST[[#This Row],[LS_AVERAGE COST]])</f>
        <v>0</v>
      </c>
      <c r="K331" s="49">
        <f>IF(INVESTORS_LIST[[#This Row],[LS_TOTAL UNITS SOLD]]=0,0,SUMIFS(LS[Realized Gain],LS[Investor ID],INVESTORS_LIST[[#This Row],[INVESTOR CODE]],LS[B/S],"S"))</f>
        <v>0</v>
      </c>
      <c r="L331" s="47">
        <f>SUMIFS(SIP[Unit],SIP[Investor ID],INVESTORS_LIST[[#This Row],[INVESTOR CODE]],SIP[B/S],"B")</f>
        <v>0</v>
      </c>
      <c r="M331" s="47">
        <f>-SUMIFS(SIP[Unit],SIP[Investor ID],INVESTORS_LIST[[#This Row],[INVESTOR CODE]],SIP[B/S],"S")</f>
        <v>0</v>
      </c>
      <c r="N331" s="50">
        <f>IF(INVESTORS_LIST[[#This Row],[SIP_TOTAL UNITS BUY]]=0,0,INVESTORS_LIST[[#This Row],[SIP_TOTAL UNITS BUY]]-INVESTORS_LIST[[#This Row],[SIP_TOTAL UNITS SOLD]])</f>
        <v>0</v>
      </c>
      <c r="O331" s="49">
        <f>IF(INVESTORS_LIST[[#This Row],[SIP_TOTAL UNITS BUY]]=0,0,SUMIFS(SIP[Amount],SIP[Investor ID],INVESTORS_LIST[[#This Row],[INVESTOR CODE]],SIP[B/S],"B"))</f>
        <v>0</v>
      </c>
      <c r="P331" s="49">
        <f>IF(INVESTORS_LIST[[#This Row],[SIP_TOTAL UNITS SOLD]]=0,0,SUMIFS(SIP[Cost of Units Sold],SIP[Investor ID],INVESTORS_LIST[[#This Row],[INVESTOR CODE]],SIP[B/S],"S"))</f>
        <v>0</v>
      </c>
      <c r="Q331" s="48">
        <f>IF(INVESTORS_LIST[[#This Row],[SIP_TOTAL CURRENT UNITS]]=0,0,INVESTORS_LIST[[#This Row],[SIP_TOTAL CURRENT UNITS]]*INVESTORS_LIST[[#This Row],[SIP_AVERAGE COST]])</f>
        <v>0</v>
      </c>
      <c r="R331" s="48">
        <f>IF(INVESTORS_LIST[[#This Row],[SIP_TOTAL UNITS SOLD]]=0,0,SUMIFS(SIP[Realized Gain],SIP[Investor ID],INVESTORS_LIST[[#This Row],[INVESTOR CODE]],SIP[B/S],"S"))</f>
        <v>0</v>
      </c>
      <c r="S331" s="50">
        <f>INVESTORS_LIST[[#This Row],[LS_TOTAL UNITS BUY]]+INVESTORS_LIST[[#This Row],[SIP_TOTAL UNITS BUY]]</f>
        <v>0</v>
      </c>
      <c r="T331" s="50">
        <f>INVESTORS_LIST[[#This Row],[LS_TOTAL UNITS SOLD]]+INVESTORS_LIST[[#This Row],[SIP_TOTAL UNITS SOLD]]</f>
        <v>0</v>
      </c>
      <c r="U331" s="50"/>
      <c r="V331" s="50">
        <f>SUMIFS(LS[BO UNIT TRANSFER],LS[Investor ID],INVESTORS_LIST[[#This Row],[INVESTOR CODE]],LS[B/S],"B")</f>
        <v>0</v>
      </c>
      <c r="W331" s="50">
        <f>SUMIFS(SIP[BO UNIT TRANSFER],SIP[Investor ID],INVESTORS_LIST[[#This Row],[INVESTOR CODE]],SIP[B/S],"B")</f>
        <v>0</v>
      </c>
      <c r="X331" s="50">
        <f>SUMIFS(LS[BO UNIT TRANSFER],LS[Investor ID],INVESTORS_LIST[[#This Row],[INVESTOR CODE]],LS[B/S],"S")</f>
        <v>0</v>
      </c>
      <c r="Y331" s="50">
        <f>SUMIFS(SIP[BO UNIT TRANSFER],SIP[Investor ID],INVESTORS_LIST[[#This Row],[INVESTOR CODE]],SIP[B/S],"S")</f>
        <v>0</v>
      </c>
      <c r="Z331" s="106">
        <f>SUM(INVESTORS_LIST[[#This Row],[BO OPENING BALANCE]:[BO SIP UNITS REPURCHASE]])</f>
        <v>0</v>
      </c>
      <c r="AA331" s="107">
        <f>INVESTORS_LIST[[#This Row],[TOTAL UNITS BUY]]-INVESTORS_LIST[[#This Row],[TOTAL UNITS SOLD]]</f>
        <v>0</v>
      </c>
      <c r="AB331" s="107">
        <f>INVESTORS_LIST[[#This Row],[TOTAL CURRENT UNITS]]-INVESTORS_LIST[[#This Row],[BO UNITS HOLD]]</f>
        <v>0</v>
      </c>
      <c r="AC331" s="201" t="e">
        <f>INDEX([3]!Table_1[BO ID],MATCH(INVESTORS_LIST[[#This Row],[INVESTOR CODE]],[3]!Table_1[INVESTOR CODE],0))</f>
        <v>#REF!</v>
      </c>
      <c r="AD331" s="201" t="e">
        <f>INDEX([3]!Table_1[Brokerage Name2],MATCH(INVESTORS_LIST[[#This Row],[INVESTOR CODE]],[3]!Table_1[INVESTOR CODE],0))</f>
        <v>#REF!</v>
      </c>
      <c r="AE331" s="201" t="e">
        <f>MID(INVESTORS_LIST[[#This Row],[BO ID]],4,5)</f>
        <v>#REF!</v>
      </c>
      <c r="AF331" s="201" t="e">
        <f>MID(INVESTORS_LIST[[#This Row],[BO ID]],2,7)</f>
        <v>#REF!</v>
      </c>
      <c r="AG331" s="201" t="e">
        <f>MID(INVESTORS_LIST[[#This Row],[BO ID]],9,7)</f>
        <v>#REF!</v>
      </c>
      <c r="AH331" s="201" t="e">
        <f>RIGHT(INVESTORS_LIST[[#This Row],[BO ID]],1)</f>
        <v>#REF!</v>
      </c>
      <c r="AI331" s="50">
        <f>INVESTORS_LIST[[#This Row],[LS_TOTAL COST VALUE OF CURRENT UNITS]]+INVESTORS_LIST[[#This Row],[SIP_TOTAL COST VALUE OF CURRENT UNITS]]</f>
        <v>0</v>
      </c>
      <c r="AJ331" s="109">
        <f>IF(INVESTORS_LIST[[#This Row],[TOTAL CURRENT UNITS]]=0,0,INVESTORS_LIST[[#This Row],[LS_TOTAL CURRENT UNITS]]/INVESTORS_LIST[[#This Row],[TOTAL CURRENT UNITS]])</f>
        <v>0</v>
      </c>
      <c r="AK331" s="109">
        <f>IF(INVESTORS_LIST[[#This Row],[TOTAL CURRENT UNITS]]=0,0,INVESTORS_LIST[[#This Row],[SIP_TOTAL CURRENT UNITS]]/INVESTORS_LIST[[#This Row],[TOTAL CURRENT UNITS]])</f>
        <v>0</v>
      </c>
      <c r="AL331" s="49" cm="1">
        <f t="array" ref="AL3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1" s="49" cm="1">
        <f t="array" ref="AM3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1" s="105">
        <f t="shared" si="6"/>
        <v>14.224</v>
      </c>
      <c r="AP331" s="112">
        <f>IF(INVESTORS_LIST[[#This Row],[TOTAL CURRENT UNITS]]=0,0,INVESTORS_LIST[[#This Row],[TOTAL CURRENT UNITS]]*INVESTORS_LIST[[#This Row],[NAV]])</f>
        <v>0</v>
      </c>
      <c r="AQ331" s="49">
        <f>IF(INVESTORS_LIST[[#This Row],[LS_TOTAL CURRENT UNITS]]=0,0,INVESTORS_LIST[[#This Row],[LS_TOTAL CURRENT UNITS]]*INVESTORS_LIST[[#This Row],[NAV]])</f>
        <v>0</v>
      </c>
      <c r="AR331" s="48">
        <f>IF(INVESTORS_LIST[[#This Row],[SIP_TOTAL CURRENT UNITS]]=0,0,INVESTORS_LIST[[#This Row],[SIP_TOTAL CURRENT UNITS]]*INVESTORS_LIST[[#This Row],[NAV]])</f>
        <v>0</v>
      </c>
      <c r="AS331" s="50">
        <f>INVESTORS_LIST[[#This Row],[TOTAL CURRENT UNITS]]</f>
        <v>0</v>
      </c>
      <c r="AT331" s="48">
        <f>IF(INVESTORS_LIST[[#This Row],[TOTAL SELLABLE UNITS]]=0,0,INVESTORS_LIST[[#This Row],[TOTAL SELLABLE UNITS]]*INVESTORS_LIST[[#This Row],[NAV]])</f>
        <v>0</v>
      </c>
      <c r="AU331" s="48">
        <f>INVESTORS_LIST[[#This Row],[LS_TOTAL REALIZED GAIN]]+INVESTORS_LIST[[#This Row],[SIP_TOTAL REALIZED GAIN]]</f>
        <v>0</v>
      </c>
      <c r="AV331" s="48">
        <f>INVESTORS_LIST[[#This Row],[TOTAL MARKET VALUE]]-INVESTORS_LIST[[#This Row],[TOTAL COST VALUE OF CURRENT INVESTMENT]]</f>
        <v>0</v>
      </c>
      <c r="AW331" s="48">
        <f>IFERROR(INVESTORS_LIST[[#This Row],[TOTAL CURRENT UNITS]]/SUM(INVESTORS_LIST[TOTAL CURRENT UNITS]),0)</f>
        <v>0</v>
      </c>
    </row>
    <row r="332" spans="1:49" hidden="1">
      <c r="A332" s="262" t="s">
        <v>711</v>
      </c>
      <c r="B332" s="97" t="s">
        <v>712</v>
      </c>
      <c r="C332" t="s">
        <v>44</v>
      </c>
      <c r="D332" s="75" t="s">
        <v>45</v>
      </c>
      <c r="E332" s="47">
        <f>SUMIFS(LS[Unit],LS[Investor ID],INVESTORS_LIST[[#This Row],[INVESTOR CODE]],LS[B/S],"B")</f>
        <v>0</v>
      </c>
      <c r="F332" s="47">
        <f>-SUMIFS(LS[Unit],LS[Investor ID],INVESTORS_LIST[[#This Row],[INVESTOR CODE]],LS[B/S],"S")</f>
        <v>0</v>
      </c>
      <c r="G332" s="47">
        <f>IF(INVESTORS_LIST[[#This Row],[LS_TOTAL UNITS BUY]]=0,0,INVESTORS_LIST[[#This Row],[LS_TOTAL UNITS BUY]]-INVESTORS_LIST[[#This Row],[LS_TOTAL UNITS SOLD]])</f>
        <v>0</v>
      </c>
      <c r="H332" s="49">
        <f>IF(INVESTORS_LIST[[#This Row],[LS_TOTAL UNITS BUY]]=0,0,SUMIFS(LS[Amount],LS[Investor ID],INVESTORS_LIST[[#This Row],[INVESTOR CODE]],LS[B/S],"B"))</f>
        <v>0</v>
      </c>
      <c r="I332" s="48">
        <f>IF(INVESTORS_LIST[[#This Row],[LS_TOTAL UNITS SOLD]]=0,0,SUMIFS(LS[Cost of Units Sold],LS[Investor ID],INVESTORS_LIST[[#This Row],[INVESTOR CODE]],LS[B/S],"S"))</f>
        <v>0</v>
      </c>
      <c r="J332" s="48">
        <f>IF(INVESTORS_LIST[[#This Row],[LS_TOTAL CURRENT UNITS]]=0,0,INVESTORS_LIST[[#This Row],[LS_TOTAL CURRENT UNITS]]*INVESTORS_LIST[[#This Row],[LS_AVERAGE COST]])</f>
        <v>0</v>
      </c>
      <c r="K332" s="49">
        <f>IF(INVESTORS_LIST[[#This Row],[LS_TOTAL UNITS SOLD]]=0,0,SUMIFS(LS[Realized Gain],LS[Investor ID],INVESTORS_LIST[[#This Row],[INVESTOR CODE]],LS[B/S],"S"))</f>
        <v>0</v>
      </c>
      <c r="L332" s="47">
        <f>SUMIFS(SIP[Unit],SIP[Investor ID],INVESTORS_LIST[[#This Row],[INVESTOR CODE]],SIP[B/S],"B")</f>
        <v>0</v>
      </c>
      <c r="M332" s="47">
        <f>-SUMIFS(SIP[Unit],SIP[Investor ID],INVESTORS_LIST[[#This Row],[INVESTOR CODE]],SIP[B/S],"S")</f>
        <v>0</v>
      </c>
      <c r="N332" s="50">
        <f>IF(INVESTORS_LIST[[#This Row],[SIP_TOTAL UNITS BUY]]=0,0,INVESTORS_LIST[[#This Row],[SIP_TOTAL UNITS BUY]]-INVESTORS_LIST[[#This Row],[SIP_TOTAL UNITS SOLD]])</f>
        <v>0</v>
      </c>
      <c r="O332" s="49">
        <f>IF(INVESTORS_LIST[[#This Row],[SIP_TOTAL UNITS BUY]]=0,0,SUMIFS(SIP[Amount],SIP[Investor ID],INVESTORS_LIST[[#This Row],[INVESTOR CODE]],SIP[B/S],"B"))</f>
        <v>0</v>
      </c>
      <c r="P332" s="49">
        <f>IF(INVESTORS_LIST[[#This Row],[SIP_TOTAL UNITS SOLD]]=0,0,SUMIFS(SIP[Cost of Units Sold],SIP[Investor ID],INVESTORS_LIST[[#This Row],[INVESTOR CODE]],SIP[B/S],"S"))</f>
        <v>0</v>
      </c>
      <c r="Q332" s="48">
        <f>IF(INVESTORS_LIST[[#This Row],[SIP_TOTAL CURRENT UNITS]]=0,0,INVESTORS_LIST[[#This Row],[SIP_TOTAL CURRENT UNITS]]*INVESTORS_LIST[[#This Row],[SIP_AVERAGE COST]])</f>
        <v>0</v>
      </c>
      <c r="R332" s="48">
        <f>IF(INVESTORS_LIST[[#This Row],[SIP_TOTAL UNITS SOLD]]=0,0,SUMIFS(SIP[Realized Gain],SIP[Investor ID],INVESTORS_LIST[[#This Row],[INVESTOR CODE]],SIP[B/S],"S"))</f>
        <v>0</v>
      </c>
      <c r="S332" s="50">
        <f>INVESTORS_LIST[[#This Row],[LS_TOTAL UNITS BUY]]+INVESTORS_LIST[[#This Row],[SIP_TOTAL UNITS BUY]]</f>
        <v>0</v>
      </c>
      <c r="T332" s="50">
        <f>INVESTORS_LIST[[#This Row],[LS_TOTAL UNITS SOLD]]+INVESTORS_LIST[[#This Row],[SIP_TOTAL UNITS SOLD]]</f>
        <v>0</v>
      </c>
      <c r="U332" s="50"/>
      <c r="V332" s="50">
        <f>SUMIFS(LS[BO UNIT TRANSFER],LS[Investor ID],INVESTORS_LIST[[#This Row],[INVESTOR CODE]],LS[B/S],"B")</f>
        <v>0</v>
      </c>
      <c r="W332" s="50">
        <f>SUMIFS(SIP[BO UNIT TRANSFER],SIP[Investor ID],INVESTORS_LIST[[#This Row],[INVESTOR CODE]],SIP[B/S],"B")</f>
        <v>0</v>
      </c>
      <c r="X332" s="50">
        <f>SUMIFS(LS[BO UNIT TRANSFER],LS[Investor ID],INVESTORS_LIST[[#This Row],[INVESTOR CODE]],LS[B/S],"S")</f>
        <v>0</v>
      </c>
      <c r="Y332" s="50">
        <f>SUMIFS(SIP[BO UNIT TRANSFER],SIP[Investor ID],INVESTORS_LIST[[#This Row],[INVESTOR CODE]],SIP[B/S],"S")</f>
        <v>0</v>
      </c>
      <c r="Z332" s="106">
        <f>SUM(INVESTORS_LIST[[#This Row],[BO OPENING BALANCE]:[BO SIP UNITS REPURCHASE]])</f>
        <v>0</v>
      </c>
      <c r="AA332" s="107">
        <f>INVESTORS_LIST[[#This Row],[TOTAL UNITS BUY]]-INVESTORS_LIST[[#This Row],[TOTAL UNITS SOLD]]</f>
        <v>0</v>
      </c>
      <c r="AB332" s="107">
        <f>INVESTORS_LIST[[#This Row],[TOTAL CURRENT UNITS]]-INVESTORS_LIST[[#This Row],[BO UNITS HOLD]]</f>
        <v>0</v>
      </c>
      <c r="AC332" s="201" t="e">
        <f>INDEX([3]!Table_1[BO ID],MATCH(INVESTORS_LIST[[#This Row],[INVESTOR CODE]],[3]!Table_1[INVESTOR CODE],0))</f>
        <v>#REF!</v>
      </c>
      <c r="AD332" s="201" t="e">
        <f>INDEX([3]!Table_1[Brokerage Name2],MATCH(INVESTORS_LIST[[#This Row],[INVESTOR CODE]],[3]!Table_1[INVESTOR CODE],0))</f>
        <v>#REF!</v>
      </c>
      <c r="AE332" s="201" t="e">
        <f>MID(INVESTORS_LIST[[#This Row],[BO ID]],4,5)</f>
        <v>#REF!</v>
      </c>
      <c r="AF332" s="201" t="e">
        <f>MID(INVESTORS_LIST[[#This Row],[BO ID]],2,7)</f>
        <v>#REF!</v>
      </c>
      <c r="AG332" s="201" t="e">
        <f>MID(INVESTORS_LIST[[#This Row],[BO ID]],9,7)</f>
        <v>#REF!</v>
      </c>
      <c r="AH332" s="201" t="e">
        <f>RIGHT(INVESTORS_LIST[[#This Row],[BO ID]],1)</f>
        <v>#REF!</v>
      </c>
      <c r="AI332" s="50">
        <f>INVESTORS_LIST[[#This Row],[LS_TOTAL COST VALUE OF CURRENT UNITS]]+INVESTORS_LIST[[#This Row],[SIP_TOTAL COST VALUE OF CURRENT UNITS]]</f>
        <v>0</v>
      </c>
      <c r="AJ332" s="109">
        <f>IF(INVESTORS_LIST[[#This Row],[TOTAL CURRENT UNITS]]=0,0,INVESTORS_LIST[[#This Row],[LS_TOTAL CURRENT UNITS]]/INVESTORS_LIST[[#This Row],[TOTAL CURRENT UNITS]])</f>
        <v>0</v>
      </c>
      <c r="AK332" s="109">
        <f>IF(INVESTORS_LIST[[#This Row],[TOTAL CURRENT UNITS]]=0,0,INVESTORS_LIST[[#This Row],[SIP_TOTAL CURRENT UNITS]]/INVESTORS_LIST[[#This Row],[TOTAL CURRENT UNITS]])</f>
        <v>0</v>
      </c>
      <c r="AL332" s="49" cm="1">
        <f t="array" ref="AL3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2" s="49" cm="1">
        <f t="array" ref="AM3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2" s="105">
        <f t="shared" si="6"/>
        <v>14.224</v>
      </c>
      <c r="AP332" s="112">
        <f>IF(INVESTORS_LIST[[#This Row],[TOTAL CURRENT UNITS]]=0,0,INVESTORS_LIST[[#This Row],[TOTAL CURRENT UNITS]]*INVESTORS_LIST[[#This Row],[NAV]])</f>
        <v>0</v>
      </c>
      <c r="AQ332" s="49">
        <f>IF(INVESTORS_LIST[[#This Row],[LS_TOTAL CURRENT UNITS]]=0,0,INVESTORS_LIST[[#This Row],[LS_TOTAL CURRENT UNITS]]*INVESTORS_LIST[[#This Row],[NAV]])</f>
        <v>0</v>
      </c>
      <c r="AR332" s="48">
        <f>IF(INVESTORS_LIST[[#This Row],[SIP_TOTAL CURRENT UNITS]]=0,0,INVESTORS_LIST[[#This Row],[SIP_TOTAL CURRENT UNITS]]*INVESTORS_LIST[[#This Row],[NAV]])</f>
        <v>0</v>
      </c>
      <c r="AS332" s="50">
        <f>INVESTORS_LIST[[#This Row],[TOTAL CURRENT UNITS]]</f>
        <v>0</v>
      </c>
      <c r="AT332" s="48">
        <f>IF(INVESTORS_LIST[[#This Row],[TOTAL SELLABLE UNITS]]=0,0,INVESTORS_LIST[[#This Row],[TOTAL SELLABLE UNITS]]*INVESTORS_LIST[[#This Row],[NAV]])</f>
        <v>0</v>
      </c>
      <c r="AU332" s="48">
        <f>INVESTORS_LIST[[#This Row],[LS_TOTAL REALIZED GAIN]]+INVESTORS_LIST[[#This Row],[SIP_TOTAL REALIZED GAIN]]</f>
        <v>0</v>
      </c>
      <c r="AV332" s="48">
        <f>INVESTORS_LIST[[#This Row],[TOTAL MARKET VALUE]]-INVESTORS_LIST[[#This Row],[TOTAL COST VALUE OF CURRENT INVESTMENT]]</f>
        <v>0</v>
      </c>
      <c r="AW332" s="48">
        <f>IFERROR(INVESTORS_LIST[[#This Row],[TOTAL CURRENT UNITS]]/SUM(INVESTORS_LIST[TOTAL CURRENT UNITS]),0)</f>
        <v>0</v>
      </c>
    </row>
    <row r="333" spans="1:49" hidden="1">
      <c r="A333" s="262" t="s">
        <v>713</v>
      </c>
      <c r="B333" s="97" t="s">
        <v>714</v>
      </c>
      <c r="C333" t="s">
        <v>44</v>
      </c>
      <c r="D333" s="75" t="s">
        <v>45</v>
      </c>
      <c r="E333" s="47">
        <f>SUMIFS(LS[Unit],LS[Investor ID],INVESTORS_LIST[[#This Row],[INVESTOR CODE]],LS[B/S],"B")</f>
        <v>0</v>
      </c>
      <c r="F333" s="47">
        <f>-SUMIFS(LS[Unit],LS[Investor ID],INVESTORS_LIST[[#This Row],[INVESTOR CODE]],LS[B/S],"S")</f>
        <v>0</v>
      </c>
      <c r="G333" s="47">
        <f>IF(INVESTORS_LIST[[#This Row],[LS_TOTAL UNITS BUY]]=0,0,INVESTORS_LIST[[#This Row],[LS_TOTAL UNITS BUY]]-INVESTORS_LIST[[#This Row],[LS_TOTAL UNITS SOLD]])</f>
        <v>0</v>
      </c>
      <c r="H333" s="49">
        <f>IF(INVESTORS_LIST[[#This Row],[LS_TOTAL UNITS BUY]]=0,0,SUMIFS(LS[Amount],LS[Investor ID],INVESTORS_LIST[[#This Row],[INVESTOR CODE]],LS[B/S],"B"))</f>
        <v>0</v>
      </c>
      <c r="I333" s="48">
        <f>IF(INVESTORS_LIST[[#This Row],[LS_TOTAL UNITS SOLD]]=0,0,SUMIFS(LS[Cost of Units Sold],LS[Investor ID],INVESTORS_LIST[[#This Row],[INVESTOR CODE]],LS[B/S],"S"))</f>
        <v>0</v>
      </c>
      <c r="J333" s="48">
        <f>IF(INVESTORS_LIST[[#This Row],[LS_TOTAL CURRENT UNITS]]=0,0,INVESTORS_LIST[[#This Row],[LS_TOTAL CURRENT UNITS]]*INVESTORS_LIST[[#This Row],[LS_AVERAGE COST]])</f>
        <v>0</v>
      </c>
      <c r="K333" s="49">
        <f>IF(INVESTORS_LIST[[#This Row],[LS_TOTAL UNITS SOLD]]=0,0,SUMIFS(LS[Realized Gain],LS[Investor ID],INVESTORS_LIST[[#This Row],[INVESTOR CODE]],LS[B/S],"S"))</f>
        <v>0</v>
      </c>
      <c r="L333" s="47">
        <f>SUMIFS(SIP[Unit],SIP[Investor ID],INVESTORS_LIST[[#This Row],[INVESTOR CODE]],SIP[B/S],"B")</f>
        <v>0</v>
      </c>
      <c r="M333" s="47">
        <f>-SUMIFS(SIP[Unit],SIP[Investor ID],INVESTORS_LIST[[#This Row],[INVESTOR CODE]],SIP[B/S],"S")</f>
        <v>0</v>
      </c>
      <c r="N333" s="50">
        <f>IF(INVESTORS_LIST[[#This Row],[SIP_TOTAL UNITS BUY]]=0,0,INVESTORS_LIST[[#This Row],[SIP_TOTAL UNITS BUY]]-INVESTORS_LIST[[#This Row],[SIP_TOTAL UNITS SOLD]])</f>
        <v>0</v>
      </c>
      <c r="O333" s="49">
        <f>IF(INVESTORS_LIST[[#This Row],[SIP_TOTAL UNITS BUY]]=0,0,SUMIFS(SIP[Amount],SIP[Investor ID],INVESTORS_LIST[[#This Row],[INVESTOR CODE]],SIP[B/S],"B"))</f>
        <v>0</v>
      </c>
      <c r="P333" s="49">
        <f>IF(INVESTORS_LIST[[#This Row],[SIP_TOTAL UNITS SOLD]]=0,0,SUMIFS(SIP[Cost of Units Sold],SIP[Investor ID],INVESTORS_LIST[[#This Row],[INVESTOR CODE]],SIP[B/S],"S"))</f>
        <v>0</v>
      </c>
      <c r="Q333" s="48">
        <f>IF(INVESTORS_LIST[[#This Row],[SIP_TOTAL CURRENT UNITS]]=0,0,INVESTORS_LIST[[#This Row],[SIP_TOTAL CURRENT UNITS]]*INVESTORS_LIST[[#This Row],[SIP_AVERAGE COST]])</f>
        <v>0</v>
      </c>
      <c r="R333" s="48">
        <f>IF(INVESTORS_LIST[[#This Row],[SIP_TOTAL UNITS SOLD]]=0,0,SUMIFS(SIP[Realized Gain],SIP[Investor ID],INVESTORS_LIST[[#This Row],[INVESTOR CODE]],SIP[B/S],"S"))</f>
        <v>0</v>
      </c>
      <c r="S333" s="50">
        <f>INVESTORS_LIST[[#This Row],[LS_TOTAL UNITS BUY]]+INVESTORS_LIST[[#This Row],[SIP_TOTAL UNITS BUY]]</f>
        <v>0</v>
      </c>
      <c r="T333" s="50">
        <f>INVESTORS_LIST[[#This Row],[LS_TOTAL UNITS SOLD]]+INVESTORS_LIST[[#This Row],[SIP_TOTAL UNITS SOLD]]</f>
        <v>0</v>
      </c>
      <c r="U333" s="50"/>
      <c r="V333" s="50">
        <f>SUMIFS(LS[BO UNIT TRANSFER],LS[Investor ID],INVESTORS_LIST[[#This Row],[INVESTOR CODE]],LS[B/S],"B")</f>
        <v>0</v>
      </c>
      <c r="W333" s="50">
        <f>SUMIFS(SIP[BO UNIT TRANSFER],SIP[Investor ID],INVESTORS_LIST[[#This Row],[INVESTOR CODE]],SIP[B/S],"B")</f>
        <v>0</v>
      </c>
      <c r="X333" s="50">
        <f>SUMIFS(LS[BO UNIT TRANSFER],LS[Investor ID],INVESTORS_LIST[[#This Row],[INVESTOR CODE]],LS[B/S],"S")</f>
        <v>0</v>
      </c>
      <c r="Y333" s="50">
        <f>SUMIFS(SIP[BO UNIT TRANSFER],SIP[Investor ID],INVESTORS_LIST[[#This Row],[INVESTOR CODE]],SIP[B/S],"S")</f>
        <v>0</v>
      </c>
      <c r="Z333" s="106">
        <f>SUM(INVESTORS_LIST[[#This Row],[BO OPENING BALANCE]:[BO SIP UNITS REPURCHASE]])</f>
        <v>0</v>
      </c>
      <c r="AA333" s="107">
        <f>INVESTORS_LIST[[#This Row],[TOTAL UNITS BUY]]-INVESTORS_LIST[[#This Row],[TOTAL UNITS SOLD]]</f>
        <v>0</v>
      </c>
      <c r="AB333" s="107">
        <f>INVESTORS_LIST[[#This Row],[TOTAL CURRENT UNITS]]-INVESTORS_LIST[[#This Row],[BO UNITS HOLD]]</f>
        <v>0</v>
      </c>
      <c r="AC333" s="201" t="e">
        <f>INDEX([3]!Table_1[BO ID],MATCH(INVESTORS_LIST[[#This Row],[INVESTOR CODE]],[3]!Table_1[INVESTOR CODE],0))</f>
        <v>#REF!</v>
      </c>
      <c r="AD333" s="201" t="e">
        <f>INDEX([3]!Table_1[Brokerage Name2],MATCH(INVESTORS_LIST[[#This Row],[INVESTOR CODE]],[3]!Table_1[INVESTOR CODE],0))</f>
        <v>#REF!</v>
      </c>
      <c r="AE333" s="201" t="e">
        <f>MID(INVESTORS_LIST[[#This Row],[BO ID]],4,5)</f>
        <v>#REF!</v>
      </c>
      <c r="AF333" s="201" t="e">
        <f>MID(INVESTORS_LIST[[#This Row],[BO ID]],2,7)</f>
        <v>#REF!</v>
      </c>
      <c r="AG333" s="201" t="e">
        <f>MID(INVESTORS_LIST[[#This Row],[BO ID]],9,7)</f>
        <v>#REF!</v>
      </c>
      <c r="AH333" s="201" t="e">
        <f>RIGHT(INVESTORS_LIST[[#This Row],[BO ID]],1)</f>
        <v>#REF!</v>
      </c>
      <c r="AI333" s="50">
        <f>INVESTORS_LIST[[#This Row],[LS_TOTAL COST VALUE OF CURRENT UNITS]]+INVESTORS_LIST[[#This Row],[SIP_TOTAL COST VALUE OF CURRENT UNITS]]</f>
        <v>0</v>
      </c>
      <c r="AJ333" s="109">
        <f>IF(INVESTORS_LIST[[#This Row],[TOTAL CURRENT UNITS]]=0,0,INVESTORS_LIST[[#This Row],[LS_TOTAL CURRENT UNITS]]/INVESTORS_LIST[[#This Row],[TOTAL CURRENT UNITS]])</f>
        <v>0</v>
      </c>
      <c r="AK333" s="109">
        <f>IF(INVESTORS_LIST[[#This Row],[TOTAL CURRENT UNITS]]=0,0,INVESTORS_LIST[[#This Row],[SIP_TOTAL CURRENT UNITS]]/INVESTORS_LIST[[#This Row],[TOTAL CURRENT UNITS]])</f>
        <v>0</v>
      </c>
      <c r="AL333" s="49" cm="1">
        <f t="array" ref="AL3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3" s="49" cm="1">
        <f t="array" ref="AM3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3" s="105">
        <f t="shared" si="6"/>
        <v>14.224</v>
      </c>
      <c r="AP333" s="112">
        <f>IF(INVESTORS_LIST[[#This Row],[TOTAL CURRENT UNITS]]=0,0,INVESTORS_LIST[[#This Row],[TOTAL CURRENT UNITS]]*INVESTORS_LIST[[#This Row],[NAV]])</f>
        <v>0</v>
      </c>
      <c r="AQ333" s="49">
        <f>IF(INVESTORS_LIST[[#This Row],[LS_TOTAL CURRENT UNITS]]=0,0,INVESTORS_LIST[[#This Row],[LS_TOTAL CURRENT UNITS]]*INVESTORS_LIST[[#This Row],[NAV]])</f>
        <v>0</v>
      </c>
      <c r="AR333" s="48">
        <f>IF(INVESTORS_LIST[[#This Row],[SIP_TOTAL CURRENT UNITS]]=0,0,INVESTORS_LIST[[#This Row],[SIP_TOTAL CURRENT UNITS]]*INVESTORS_LIST[[#This Row],[NAV]])</f>
        <v>0</v>
      </c>
      <c r="AS333" s="50">
        <f>INVESTORS_LIST[[#This Row],[TOTAL CURRENT UNITS]]</f>
        <v>0</v>
      </c>
      <c r="AT333" s="48">
        <f>IF(INVESTORS_LIST[[#This Row],[TOTAL SELLABLE UNITS]]=0,0,INVESTORS_LIST[[#This Row],[TOTAL SELLABLE UNITS]]*INVESTORS_LIST[[#This Row],[NAV]])</f>
        <v>0</v>
      </c>
      <c r="AU333" s="48">
        <f>INVESTORS_LIST[[#This Row],[LS_TOTAL REALIZED GAIN]]+INVESTORS_LIST[[#This Row],[SIP_TOTAL REALIZED GAIN]]</f>
        <v>0</v>
      </c>
      <c r="AV333" s="48">
        <f>INVESTORS_LIST[[#This Row],[TOTAL MARKET VALUE]]-INVESTORS_LIST[[#This Row],[TOTAL COST VALUE OF CURRENT INVESTMENT]]</f>
        <v>0</v>
      </c>
      <c r="AW333" s="48">
        <f>IFERROR(INVESTORS_LIST[[#This Row],[TOTAL CURRENT UNITS]]/SUM(INVESTORS_LIST[TOTAL CURRENT UNITS]),0)</f>
        <v>0</v>
      </c>
    </row>
    <row r="334" spans="1:49" hidden="1">
      <c r="A334" s="262" t="s">
        <v>715</v>
      </c>
      <c r="B334" s="97" t="s">
        <v>716</v>
      </c>
      <c r="C334" t="s">
        <v>67</v>
      </c>
      <c r="D334" s="75" t="s">
        <v>45</v>
      </c>
      <c r="E334" s="47">
        <f>SUMIFS(LS[Unit],LS[Investor ID],INVESTORS_LIST[[#This Row],[INVESTOR CODE]],LS[B/S],"B")</f>
        <v>0</v>
      </c>
      <c r="F334" s="47">
        <f>-SUMIFS(LS[Unit],LS[Investor ID],INVESTORS_LIST[[#This Row],[INVESTOR CODE]],LS[B/S],"S")</f>
        <v>0</v>
      </c>
      <c r="G334" s="47">
        <f>IF(INVESTORS_LIST[[#This Row],[LS_TOTAL UNITS BUY]]=0,0,INVESTORS_LIST[[#This Row],[LS_TOTAL UNITS BUY]]-INVESTORS_LIST[[#This Row],[LS_TOTAL UNITS SOLD]])</f>
        <v>0</v>
      </c>
      <c r="H334" s="49">
        <f>IF(INVESTORS_LIST[[#This Row],[LS_TOTAL UNITS BUY]]=0,0,SUMIFS(LS[Amount],LS[Investor ID],INVESTORS_LIST[[#This Row],[INVESTOR CODE]],LS[B/S],"B"))</f>
        <v>0</v>
      </c>
      <c r="I334" s="48">
        <f>IF(INVESTORS_LIST[[#This Row],[LS_TOTAL UNITS SOLD]]=0,0,SUMIFS(LS[Cost of Units Sold],LS[Investor ID],INVESTORS_LIST[[#This Row],[INVESTOR CODE]],LS[B/S],"S"))</f>
        <v>0</v>
      </c>
      <c r="J334" s="48">
        <f>IF(INVESTORS_LIST[[#This Row],[LS_TOTAL CURRENT UNITS]]=0,0,INVESTORS_LIST[[#This Row],[LS_TOTAL CURRENT UNITS]]*INVESTORS_LIST[[#This Row],[LS_AVERAGE COST]])</f>
        <v>0</v>
      </c>
      <c r="K334" s="49">
        <f>IF(INVESTORS_LIST[[#This Row],[LS_TOTAL UNITS SOLD]]=0,0,SUMIFS(LS[Realized Gain],LS[Investor ID],INVESTORS_LIST[[#This Row],[INVESTOR CODE]],LS[B/S],"S"))</f>
        <v>0</v>
      </c>
      <c r="L334" s="47">
        <f>SUMIFS(SIP[Unit],SIP[Investor ID],INVESTORS_LIST[[#This Row],[INVESTOR CODE]],SIP[B/S],"B")</f>
        <v>0</v>
      </c>
      <c r="M334" s="47">
        <f>-SUMIFS(SIP[Unit],SIP[Investor ID],INVESTORS_LIST[[#This Row],[INVESTOR CODE]],SIP[B/S],"S")</f>
        <v>0</v>
      </c>
      <c r="N334" s="50">
        <f>IF(INVESTORS_LIST[[#This Row],[SIP_TOTAL UNITS BUY]]=0,0,INVESTORS_LIST[[#This Row],[SIP_TOTAL UNITS BUY]]-INVESTORS_LIST[[#This Row],[SIP_TOTAL UNITS SOLD]])</f>
        <v>0</v>
      </c>
      <c r="O334" s="49">
        <f>IF(INVESTORS_LIST[[#This Row],[SIP_TOTAL UNITS BUY]]=0,0,SUMIFS(SIP[Amount],SIP[Investor ID],INVESTORS_LIST[[#This Row],[INVESTOR CODE]],SIP[B/S],"B"))</f>
        <v>0</v>
      </c>
      <c r="P334" s="49">
        <f>IF(INVESTORS_LIST[[#This Row],[SIP_TOTAL UNITS SOLD]]=0,0,SUMIFS(SIP[Cost of Units Sold],SIP[Investor ID],INVESTORS_LIST[[#This Row],[INVESTOR CODE]],SIP[B/S],"S"))</f>
        <v>0</v>
      </c>
      <c r="Q334" s="48">
        <f>IF(INVESTORS_LIST[[#This Row],[SIP_TOTAL CURRENT UNITS]]=0,0,INVESTORS_LIST[[#This Row],[SIP_TOTAL CURRENT UNITS]]*INVESTORS_LIST[[#This Row],[SIP_AVERAGE COST]])</f>
        <v>0</v>
      </c>
      <c r="R334" s="48">
        <f>IF(INVESTORS_LIST[[#This Row],[SIP_TOTAL UNITS SOLD]]=0,0,SUMIFS(SIP[Realized Gain],SIP[Investor ID],INVESTORS_LIST[[#This Row],[INVESTOR CODE]],SIP[B/S],"S"))</f>
        <v>0</v>
      </c>
      <c r="S334" s="50">
        <f>INVESTORS_LIST[[#This Row],[LS_TOTAL UNITS BUY]]+INVESTORS_LIST[[#This Row],[SIP_TOTAL UNITS BUY]]</f>
        <v>0</v>
      </c>
      <c r="T334" s="50">
        <f>INVESTORS_LIST[[#This Row],[LS_TOTAL UNITS SOLD]]+INVESTORS_LIST[[#This Row],[SIP_TOTAL UNITS SOLD]]</f>
        <v>0</v>
      </c>
      <c r="U334" s="50"/>
      <c r="V334" s="50">
        <f>SUMIFS(LS[BO UNIT TRANSFER],LS[Investor ID],INVESTORS_LIST[[#This Row],[INVESTOR CODE]],LS[B/S],"B")</f>
        <v>0</v>
      </c>
      <c r="W334" s="50">
        <f>SUMIFS(SIP[BO UNIT TRANSFER],SIP[Investor ID],INVESTORS_LIST[[#This Row],[INVESTOR CODE]],SIP[B/S],"B")</f>
        <v>0</v>
      </c>
      <c r="X334" s="50">
        <f>SUMIFS(LS[BO UNIT TRANSFER],LS[Investor ID],INVESTORS_LIST[[#This Row],[INVESTOR CODE]],LS[B/S],"S")</f>
        <v>0</v>
      </c>
      <c r="Y334" s="50">
        <f>SUMIFS(SIP[BO UNIT TRANSFER],SIP[Investor ID],INVESTORS_LIST[[#This Row],[INVESTOR CODE]],SIP[B/S],"S")</f>
        <v>0</v>
      </c>
      <c r="Z334" s="106">
        <f>SUM(INVESTORS_LIST[[#This Row],[BO OPENING BALANCE]:[BO SIP UNITS REPURCHASE]])</f>
        <v>0</v>
      </c>
      <c r="AA334" s="107">
        <f>INVESTORS_LIST[[#This Row],[TOTAL UNITS BUY]]-INVESTORS_LIST[[#This Row],[TOTAL UNITS SOLD]]</f>
        <v>0</v>
      </c>
      <c r="AB334" s="107">
        <f>INVESTORS_LIST[[#This Row],[TOTAL CURRENT UNITS]]-INVESTORS_LIST[[#This Row],[BO UNITS HOLD]]</f>
        <v>0</v>
      </c>
      <c r="AC334" s="201" t="e">
        <f>INDEX([3]!Table_1[BO ID],MATCH(INVESTORS_LIST[[#This Row],[INVESTOR CODE]],[3]!Table_1[INVESTOR CODE],0))</f>
        <v>#REF!</v>
      </c>
      <c r="AD334" s="201" t="e">
        <f>INDEX([3]!Table_1[Brokerage Name2],MATCH(INVESTORS_LIST[[#This Row],[INVESTOR CODE]],[3]!Table_1[INVESTOR CODE],0))</f>
        <v>#REF!</v>
      </c>
      <c r="AE334" s="201" t="e">
        <f>MID(INVESTORS_LIST[[#This Row],[BO ID]],4,5)</f>
        <v>#REF!</v>
      </c>
      <c r="AF334" s="201" t="e">
        <f>MID(INVESTORS_LIST[[#This Row],[BO ID]],2,7)</f>
        <v>#REF!</v>
      </c>
      <c r="AG334" s="201" t="e">
        <f>MID(INVESTORS_LIST[[#This Row],[BO ID]],9,7)</f>
        <v>#REF!</v>
      </c>
      <c r="AH334" s="201" t="e">
        <f>RIGHT(INVESTORS_LIST[[#This Row],[BO ID]],1)</f>
        <v>#REF!</v>
      </c>
      <c r="AI334" s="50">
        <f>INVESTORS_LIST[[#This Row],[LS_TOTAL COST VALUE OF CURRENT UNITS]]+INVESTORS_LIST[[#This Row],[SIP_TOTAL COST VALUE OF CURRENT UNITS]]</f>
        <v>0</v>
      </c>
      <c r="AJ334" s="109">
        <f>IF(INVESTORS_LIST[[#This Row],[TOTAL CURRENT UNITS]]=0,0,INVESTORS_LIST[[#This Row],[LS_TOTAL CURRENT UNITS]]/INVESTORS_LIST[[#This Row],[TOTAL CURRENT UNITS]])</f>
        <v>0</v>
      </c>
      <c r="AK334" s="109">
        <f>IF(INVESTORS_LIST[[#This Row],[TOTAL CURRENT UNITS]]=0,0,INVESTORS_LIST[[#This Row],[SIP_TOTAL CURRENT UNITS]]/INVESTORS_LIST[[#This Row],[TOTAL CURRENT UNITS]])</f>
        <v>0</v>
      </c>
      <c r="AL334" s="49" cm="1">
        <f t="array" ref="AL3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4" s="49" cm="1">
        <f t="array" ref="AM3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4" s="105">
        <f t="shared" si="6"/>
        <v>14.224</v>
      </c>
      <c r="AP334" s="112">
        <f>IF(INVESTORS_LIST[[#This Row],[TOTAL CURRENT UNITS]]=0,0,INVESTORS_LIST[[#This Row],[TOTAL CURRENT UNITS]]*INVESTORS_LIST[[#This Row],[NAV]])</f>
        <v>0</v>
      </c>
      <c r="AQ334" s="49">
        <f>IF(INVESTORS_LIST[[#This Row],[LS_TOTAL CURRENT UNITS]]=0,0,INVESTORS_LIST[[#This Row],[LS_TOTAL CURRENT UNITS]]*INVESTORS_LIST[[#This Row],[NAV]])</f>
        <v>0</v>
      </c>
      <c r="AR334" s="48">
        <f>IF(INVESTORS_LIST[[#This Row],[SIP_TOTAL CURRENT UNITS]]=0,0,INVESTORS_LIST[[#This Row],[SIP_TOTAL CURRENT UNITS]]*INVESTORS_LIST[[#This Row],[NAV]])</f>
        <v>0</v>
      </c>
      <c r="AS334" s="50">
        <f>INVESTORS_LIST[[#This Row],[TOTAL CURRENT UNITS]]</f>
        <v>0</v>
      </c>
      <c r="AT334" s="48">
        <f>IF(INVESTORS_LIST[[#This Row],[TOTAL SELLABLE UNITS]]=0,0,INVESTORS_LIST[[#This Row],[TOTAL SELLABLE UNITS]]*INVESTORS_LIST[[#This Row],[NAV]])</f>
        <v>0</v>
      </c>
      <c r="AU334" s="48">
        <f>INVESTORS_LIST[[#This Row],[LS_TOTAL REALIZED GAIN]]+INVESTORS_LIST[[#This Row],[SIP_TOTAL REALIZED GAIN]]</f>
        <v>0</v>
      </c>
      <c r="AV334" s="48">
        <f>INVESTORS_LIST[[#This Row],[TOTAL MARKET VALUE]]-INVESTORS_LIST[[#This Row],[TOTAL COST VALUE OF CURRENT INVESTMENT]]</f>
        <v>0</v>
      </c>
      <c r="AW334" s="48">
        <f>IFERROR(INVESTORS_LIST[[#This Row],[TOTAL CURRENT UNITS]]/SUM(INVESTORS_LIST[TOTAL CURRENT UNITS]),0)</f>
        <v>0</v>
      </c>
    </row>
    <row r="335" spans="1:49" hidden="1">
      <c r="A335" s="262" t="s">
        <v>717</v>
      </c>
      <c r="B335" s="97" t="s">
        <v>718</v>
      </c>
      <c r="C335" t="s">
        <v>44</v>
      </c>
      <c r="D335" s="75" t="s">
        <v>45</v>
      </c>
      <c r="E335" s="47">
        <f>SUMIFS(LS[Unit],LS[Investor ID],INVESTORS_LIST[[#This Row],[INVESTOR CODE]],LS[B/S],"B")</f>
        <v>0</v>
      </c>
      <c r="F335" s="47">
        <f>-SUMIFS(LS[Unit],LS[Investor ID],INVESTORS_LIST[[#This Row],[INVESTOR CODE]],LS[B/S],"S")</f>
        <v>0</v>
      </c>
      <c r="G335" s="47">
        <f>IF(INVESTORS_LIST[[#This Row],[LS_TOTAL UNITS BUY]]=0,0,INVESTORS_LIST[[#This Row],[LS_TOTAL UNITS BUY]]-INVESTORS_LIST[[#This Row],[LS_TOTAL UNITS SOLD]])</f>
        <v>0</v>
      </c>
      <c r="H335" s="49">
        <f>IF(INVESTORS_LIST[[#This Row],[LS_TOTAL UNITS BUY]]=0,0,SUMIFS(LS[Amount],LS[Investor ID],INVESTORS_LIST[[#This Row],[INVESTOR CODE]],LS[B/S],"B"))</f>
        <v>0</v>
      </c>
      <c r="I335" s="48">
        <f>IF(INVESTORS_LIST[[#This Row],[LS_TOTAL UNITS SOLD]]=0,0,SUMIFS(LS[Cost of Units Sold],LS[Investor ID],INVESTORS_LIST[[#This Row],[INVESTOR CODE]],LS[B/S],"S"))</f>
        <v>0</v>
      </c>
      <c r="J335" s="48">
        <f>IF(INVESTORS_LIST[[#This Row],[LS_TOTAL CURRENT UNITS]]=0,0,INVESTORS_LIST[[#This Row],[LS_TOTAL CURRENT UNITS]]*INVESTORS_LIST[[#This Row],[LS_AVERAGE COST]])</f>
        <v>0</v>
      </c>
      <c r="K335" s="49">
        <f>IF(INVESTORS_LIST[[#This Row],[LS_TOTAL UNITS SOLD]]=0,0,SUMIFS(LS[Realized Gain],LS[Investor ID],INVESTORS_LIST[[#This Row],[INVESTOR CODE]],LS[B/S],"S"))</f>
        <v>0</v>
      </c>
      <c r="L335" s="47">
        <f>SUMIFS(SIP[Unit],SIP[Investor ID],INVESTORS_LIST[[#This Row],[INVESTOR CODE]],SIP[B/S],"B")</f>
        <v>0</v>
      </c>
      <c r="M335" s="47">
        <f>-SUMIFS(SIP[Unit],SIP[Investor ID],INVESTORS_LIST[[#This Row],[INVESTOR CODE]],SIP[B/S],"S")</f>
        <v>0</v>
      </c>
      <c r="N335" s="50">
        <f>IF(INVESTORS_LIST[[#This Row],[SIP_TOTAL UNITS BUY]]=0,0,INVESTORS_LIST[[#This Row],[SIP_TOTAL UNITS BUY]]-INVESTORS_LIST[[#This Row],[SIP_TOTAL UNITS SOLD]])</f>
        <v>0</v>
      </c>
      <c r="O335" s="49">
        <f>IF(INVESTORS_LIST[[#This Row],[SIP_TOTAL UNITS BUY]]=0,0,SUMIFS(SIP[Amount],SIP[Investor ID],INVESTORS_LIST[[#This Row],[INVESTOR CODE]],SIP[B/S],"B"))</f>
        <v>0</v>
      </c>
      <c r="P335" s="49">
        <f>IF(INVESTORS_LIST[[#This Row],[SIP_TOTAL UNITS SOLD]]=0,0,SUMIFS(SIP[Cost of Units Sold],SIP[Investor ID],INVESTORS_LIST[[#This Row],[INVESTOR CODE]],SIP[B/S],"S"))</f>
        <v>0</v>
      </c>
      <c r="Q335" s="48">
        <f>IF(INVESTORS_LIST[[#This Row],[SIP_TOTAL CURRENT UNITS]]=0,0,INVESTORS_LIST[[#This Row],[SIP_TOTAL CURRENT UNITS]]*INVESTORS_LIST[[#This Row],[SIP_AVERAGE COST]])</f>
        <v>0</v>
      </c>
      <c r="R335" s="48">
        <f>IF(INVESTORS_LIST[[#This Row],[SIP_TOTAL UNITS SOLD]]=0,0,SUMIFS(SIP[Realized Gain],SIP[Investor ID],INVESTORS_LIST[[#This Row],[INVESTOR CODE]],SIP[B/S],"S"))</f>
        <v>0</v>
      </c>
      <c r="S335" s="50">
        <f>INVESTORS_LIST[[#This Row],[LS_TOTAL UNITS BUY]]+INVESTORS_LIST[[#This Row],[SIP_TOTAL UNITS BUY]]</f>
        <v>0</v>
      </c>
      <c r="T335" s="50">
        <f>INVESTORS_LIST[[#This Row],[LS_TOTAL UNITS SOLD]]+INVESTORS_LIST[[#This Row],[SIP_TOTAL UNITS SOLD]]</f>
        <v>0</v>
      </c>
      <c r="U335" s="50"/>
      <c r="V335" s="50">
        <f>SUMIFS(LS[BO UNIT TRANSFER],LS[Investor ID],INVESTORS_LIST[[#This Row],[INVESTOR CODE]],LS[B/S],"B")</f>
        <v>0</v>
      </c>
      <c r="W335" s="50">
        <f>SUMIFS(SIP[BO UNIT TRANSFER],SIP[Investor ID],INVESTORS_LIST[[#This Row],[INVESTOR CODE]],SIP[B/S],"B")</f>
        <v>0</v>
      </c>
      <c r="X335" s="50">
        <f>SUMIFS(LS[BO UNIT TRANSFER],LS[Investor ID],INVESTORS_LIST[[#This Row],[INVESTOR CODE]],LS[B/S],"S")</f>
        <v>0</v>
      </c>
      <c r="Y335" s="50">
        <f>SUMIFS(SIP[BO UNIT TRANSFER],SIP[Investor ID],INVESTORS_LIST[[#This Row],[INVESTOR CODE]],SIP[B/S],"S")</f>
        <v>0</v>
      </c>
      <c r="Z335" s="106">
        <f>SUM(INVESTORS_LIST[[#This Row],[BO OPENING BALANCE]:[BO SIP UNITS REPURCHASE]])</f>
        <v>0</v>
      </c>
      <c r="AA335" s="107">
        <f>INVESTORS_LIST[[#This Row],[TOTAL UNITS BUY]]-INVESTORS_LIST[[#This Row],[TOTAL UNITS SOLD]]</f>
        <v>0</v>
      </c>
      <c r="AB335" s="107">
        <f>INVESTORS_LIST[[#This Row],[TOTAL CURRENT UNITS]]-INVESTORS_LIST[[#This Row],[BO UNITS HOLD]]</f>
        <v>0</v>
      </c>
      <c r="AC335" s="201" t="e">
        <f>INDEX([3]!Table_1[BO ID],MATCH(INVESTORS_LIST[[#This Row],[INVESTOR CODE]],[3]!Table_1[INVESTOR CODE],0))</f>
        <v>#REF!</v>
      </c>
      <c r="AD335" s="201" t="e">
        <f>INDEX([3]!Table_1[Brokerage Name2],MATCH(INVESTORS_LIST[[#This Row],[INVESTOR CODE]],[3]!Table_1[INVESTOR CODE],0))</f>
        <v>#REF!</v>
      </c>
      <c r="AE335" s="201" t="e">
        <f>MID(INVESTORS_LIST[[#This Row],[BO ID]],4,5)</f>
        <v>#REF!</v>
      </c>
      <c r="AF335" s="201" t="e">
        <f>MID(INVESTORS_LIST[[#This Row],[BO ID]],2,7)</f>
        <v>#REF!</v>
      </c>
      <c r="AG335" s="201" t="e">
        <f>MID(INVESTORS_LIST[[#This Row],[BO ID]],9,7)</f>
        <v>#REF!</v>
      </c>
      <c r="AH335" s="201" t="e">
        <f>RIGHT(INVESTORS_LIST[[#This Row],[BO ID]],1)</f>
        <v>#REF!</v>
      </c>
      <c r="AI335" s="50">
        <f>INVESTORS_LIST[[#This Row],[LS_TOTAL COST VALUE OF CURRENT UNITS]]+INVESTORS_LIST[[#This Row],[SIP_TOTAL COST VALUE OF CURRENT UNITS]]</f>
        <v>0</v>
      </c>
      <c r="AJ335" s="109">
        <f>IF(INVESTORS_LIST[[#This Row],[TOTAL CURRENT UNITS]]=0,0,INVESTORS_LIST[[#This Row],[LS_TOTAL CURRENT UNITS]]/INVESTORS_LIST[[#This Row],[TOTAL CURRENT UNITS]])</f>
        <v>0</v>
      </c>
      <c r="AK335" s="109">
        <f>IF(INVESTORS_LIST[[#This Row],[TOTAL CURRENT UNITS]]=0,0,INVESTORS_LIST[[#This Row],[SIP_TOTAL CURRENT UNITS]]/INVESTORS_LIST[[#This Row],[TOTAL CURRENT UNITS]])</f>
        <v>0</v>
      </c>
      <c r="AL335" s="49" cm="1">
        <f t="array" ref="AL3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5" s="49" cm="1">
        <f t="array" ref="AM3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5" s="105">
        <f t="shared" si="6"/>
        <v>14.224</v>
      </c>
      <c r="AP335" s="112">
        <f>IF(INVESTORS_LIST[[#This Row],[TOTAL CURRENT UNITS]]=0,0,INVESTORS_LIST[[#This Row],[TOTAL CURRENT UNITS]]*INVESTORS_LIST[[#This Row],[NAV]])</f>
        <v>0</v>
      </c>
      <c r="AQ335" s="49">
        <f>IF(INVESTORS_LIST[[#This Row],[LS_TOTAL CURRENT UNITS]]=0,0,INVESTORS_LIST[[#This Row],[LS_TOTAL CURRENT UNITS]]*INVESTORS_LIST[[#This Row],[NAV]])</f>
        <v>0</v>
      </c>
      <c r="AR335" s="48">
        <f>IF(INVESTORS_LIST[[#This Row],[SIP_TOTAL CURRENT UNITS]]=0,0,INVESTORS_LIST[[#This Row],[SIP_TOTAL CURRENT UNITS]]*INVESTORS_LIST[[#This Row],[NAV]])</f>
        <v>0</v>
      </c>
      <c r="AS335" s="50">
        <f>INVESTORS_LIST[[#This Row],[TOTAL CURRENT UNITS]]</f>
        <v>0</v>
      </c>
      <c r="AT335" s="48">
        <f>IF(INVESTORS_LIST[[#This Row],[TOTAL SELLABLE UNITS]]=0,0,INVESTORS_LIST[[#This Row],[TOTAL SELLABLE UNITS]]*INVESTORS_LIST[[#This Row],[NAV]])</f>
        <v>0</v>
      </c>
      <c r="AU335" s="48">
        <f>INVESTORS_LIST[[#This Row],[LS_TOTAL REALIZED GAIN]]+INVESTORS_LIST[[#This Row],[SIP_TOTAL REALIZED GAIN]]</f>
        <v>0</v>
      </c>
      <c r="AV335" s="48">
        <f>INVESTORS_LIST[[#This Row],[TOTAL MARKET VALUE]]-INVESTORS_LIST[[#This Row],[TOTAL COST VALUE OF CURRENT INVESTMENT]]</f>
        <v>0</v>
      </c>
      <c r="AW335" s="48">
        <f>IFERROR(INVESTORS_LIST[[#This Row],[TOTAL CURRENT UNITS]]/SUM(INVESTORS_LIST[TOTAL CURRENT UNITS]),0)</f>
        <v>0</v>
      </c>
    </row>
    <row r="336" spans="1:49" hidden="1">
      <c r="A336" s="262" t="s">
        <v>719</v>
      </c>
      <c r="B336" s="97" t="s">
        <v>720</v>
      </c>
      <c r="C336" t="s">
        <v>44</v>
      </c>
      <c r="D336" s="75" t="s">
        <v>45</v>
      </c>
      <c r="E336" s="47">
        <f>SUMIFS(LS[Unit],LS[Investor ID],INVESTORS_LIST[[#This Row],[INVESTOR CODE]],LS[B/S],"B")</f>
        <v>0</v>
      </c>
      <c r="F336" s="47">
        <f>-SUMIFS(LS[Unit],LS[Investor ID],INVESTORS_LIST[[#This Row],[INVESTOR CODE]],LS[B/S],"S")</f>
        <v>0</v>
      </c>
      <c r="G336" s="47">
        <f>IF(INVESTORS_LIST[[#This Row],[LS_TOTAL UNITS BUY]]=0,0,INVESTORS_LIST[[#This Row],[LS_TOTAL UNITS BUY]]-INVESTORS_LIST[[#This Row],[LS_TOTAL UNITS SOLD]])</f>
        <v>0</v>
      </c>
      <c r="H336" s="49">
        <f>IF(INVESTORS_LIST[[#This Row],[LS_TOTAL UNITS BUY]]=0,0,SUMIFS(LS[Amount],LS[Investor ID],INVESTORS_LIST[[#This Row],[INVESTOR CODE]],LS[B/S],"B"))</f>
        <v>0</v>
      </c>
      <c r="I336" s="48">
        <f>IF(INVESTORS_LIST[[#This Row],[LS_TOTAL UNITS SOLD]]=0,0,SUMIFS(LS[Cost of Units Sold],LS[Investor ID],INVESTORS_LIST[[#This Row],[INVESTOR CODE]],LS[B/S],"S"))</f>
        <v>0</v>
      </c>
      <c r="J336" s="48">
        <f>IF(INVESTORS_LIST[[#This Row],[LS_TOTAL CURRENT UNITS]]=0,0,INVESTORS_LIST[[#This Row],[LS_TOTAL CURRENT UNITS]]*INVESTORS_LIST[[#This Row],[LS_AVERAGE COST]])</f>
        <v>0</v>
      </c>
      <c r="K336" s="49">
        <f>IF(INVESTORS_LIST[[#This Row],[LS_TOTAL UNITS SOLD]]=0,0,SUMIFS(LS[Realized Gain],LS[Investor ID],INVESTORS_LIST[[#This Row],[INVESTOR CODE]],LS[B/S],"S"))</f>
        <v>0</v>
      </c>
      <c r="L336" s="47">
        <f>SUMIFS(SIP[Unit],SIP[Investor ID],INVESTORS_LIST[[#This Row],[INVESTOR CODE]],SIP[B/S],"B")</f>
        <v>0</v>
      </c>
      <c r="M336" s="47">
        <f>-SUMIFS(SIP[Unit],SIP[Investor ID],INVESTORS_LIST[[#This Row],[INVESTOR CODE]],SIP[B/S],"S")</f>
        <v>0</v>
      </c>
      <c r="N336" s="50">
        <f>IF(INVESTORS_LIST[[#This Row],[SIP_TOTAL UNITS BUY]]=0,0,INVESTORS_LIST[[#This Row],[SIP_TOTAL UNITS BUY]]-INVESTORS_LIST[[#This Row],[SIP_TOTAL UNITS SOLD]])</f>
        <v>0</v>
      </c>
      <c r="O336" s="49">
        <f>IF(INVESTORS_LIST[[#This Row],[SIP_TOTAL UNITS BUY]]=0,0,SUMIFS(SIP[Amount],SIP[Investor ID],INVESTORS_LIST[[#This Row],[INVESTOR CODE]],SIP[B/S],"B"))</f>
        <v>0</v>
      </c>
      <c r="P336" s="49">
        <f>IF(INVESTORS_LIST[[#This Row],[SIP_TOTAL UNITS SOLD]]=0,0,SUMIFS(SIP[Cost of Units Sold],SIP[Investor ID],INVESTORS_LIST[[#This Row],[INVESTOR CODE]],SIP[B/S],"S"))</f>
        <v>0</v>
      </c>
      <c r="Q336" s="48">
        <f>IF(INVESTORS_LIST[[#This Row],[SIP_TOTAL CURRENT UNITS]]=0,0,INVESTORS_LIST[[#This Row],[SIP_TOTAL CURRENT UNITS]]*INVESTORS_LIST[[#This Row],[SIP_AVERAGE COST]])</f>
        <v>0</v>
      </c>
      <c r="R336" s="48">
        <f>IF(INVESTORS_LIST[[#This Row],[SIP_TOTAL UNITS SOLD]]=0,0,SUMIFS(SIP[Realized Gain],SIP[Investor ID],INVESTORS_LIST[[#This Row],[INVESTOR CODE]],SIP[B/S],"S"))</f>
        <v>0</v>
      </c>
      <c r="S336" s="50">
        <f>INVESTORS_LIST[[#This Row],[LS_TOTAL UNITS BUY]]+INVESTORS_LIST[[#This Row],[SIP_TOTAL UNITS BUY]]</f>
        <v>0</v>
      </c>
      <c r="T336" s="50">
        <f>INVESTORS_LIST[[#This Row],[LS_TOTAL UNITS SOLD]]+INVESTORS_LIST[[#This Row],[SIP_TOTAL UNITS SOLD]]</f>
        <v>0</v>
      </c>
      <c r="U336" s="50"/>
      <c r="V336" s="50">
        <f>SUMIFS(LS[BO UNIT TRANSFER],LS[Investor ID],INVESTORS_LIST[[#This Row],[INVESTOR CODE]],LS[B/S],"B")</f>
        <v>0</v>
      </c>
      <c r="W336" s="50">
        <f>SUMIFS(SIP[BO UNIT TRANSFER],SIP[Investor ID],INVESTORS_LIST[[#This Row],[INVESTOR CODE]],SIP[B/S],"B")</f>
        <v>0</v>
      </c>
      <c r="X336" s="50">
        <f>SUMIFS(LS[BO UNIT TRANSFER],LS[Investor ID],INVESTORS_LIST[[#This Row],[INVESTOR CODE]],LS[B/S],"S")</f>
        <v>0</v>
      </c>
      <c r="Y336" s="50">
        <f>SUMIFS(SIP[BO UNIT TRANSFER],SIP[Investor ID],INVESTORS_LIST[[#This Row],[INVESTOR CODE]],SIP[B/S],"S")</f>
        <v>0</v>
      </c>
      <c r="Z336" s="106">
        <f>SUM(INVESTORS_LIST[[#This Row],[BO OPENING BALANCE]:[BO SIP UNITS REPURCHASE]])</f>
        <v>0</v>
      </c>
      <c r="AA336" s="107">
        <f>INVESTORS_LIST[[#This Row],[TOTAL UNITS BUY]]-INVESTORS_LIST[[#This Row],[TOTAL UNITS SOLD]]</f>
        <v>0</v>
      </c>
      <c r="AB336" s="107">
        <f>INVESTORS_LIST[[#This Row],[TOTAL CURRENT UNITS]]-INVESTORS_LIST[[#This Row],[BO UNITS HOLD]]</f>
        <v>0</v>
      </c>
      <c r="AC336" s="201" t="e">
        <f>INDEX([3]!Table_1[BO ID],MATCH(INVESTORS_LIST[[#This Row],[INVESTOR CODE]],[3]!Table_1[INVESTOR CODE],0))</f>
        <v>#REF!</v>
      </c>
      <c r="AD336" s="201" t="e">
        <f>INDEX([3]!Table_1[Brokerage Name2],MATCH(INVESTORS_LIST[[#This Row],[INVESTOR CODE]],[3]!Table_1[INVESTOR CODE],0))</f>
        <v>#REF!</v>
      </c>
      <c r="AE336" s="201" t="e">
        <f>MID(INVESTORS_LIST[[#This Row],[BO ID]],4,5)</f>
        <v>#REF!</v>
      </c>
      <c r="AF336" s="201" t="e">
        <f>MID(INVESTORS_LIST[[#This Row],[BO ID]],2,7)</f>
        <v>#REF!</v>
      </c>
      <c r="AG336" s="201" t="e">
        <f>MID(INVESTORS_LIST[[#This Row],[BO ID]],9,7)</f>
        <v>#REF!</v>
      </c>
      <c r="AH336" s="201" t="e">
        <f>RIGHT(INVESTORS_LIST[[#This Row],[BO ID]],1)</f>
        <v>#REF!</v>
      </c>
      <c r="AI336" s="50">
        <f>INVESTORS_LIST[[#This Row],[LS_TOTAL COST VALUE OF CURRENT UNITS]]+INVESTORS_LIST[[#This Row],[SIP_TOTAL COST VALUE OF CURRENT UNITS]]</f>
        <v>0</v>
      </c>
      <c r="AJ336" s="109">
        <f>IF(INVESTORS_LIST[[#This Row],[TOTAL CURRENT UNITS]]=0,0,INVESTORS_LIST[[#This Row],[LS_TOTAL CURRENT UNITS]]/INVESTORS_LIST[[#This Row],[TOTAL CURRENT UNITS]])</f>
        <v>0</v>
      </c>
      <c r="AK336" s="109">
        <f>IF(INVESTORS_LIST[[#This Row],[TOTAL CURRENT UNITS]]=0,0,INVESTORS_LIST[[#This Row],[SIP_TOTAL CURRENT UNITS]]/INVESTORS_LIST[[#This Row],[TOTAL CURRENT UNITS]])</f>
        <v>0</v>
      </c>
      <c r="AL336" s="49" cm="1">
        <f t="array" ref="AL3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6" s="49" cm="1">
        <f t="array" ref="AM3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6" s="105">
        <f t="shared" si="6"/>
        <v>14.224</v>
      </c>
      <c r="AP336" s="112">
        <f>IF(INVESTORS_LIST[[#This Row],[TOTAL CURRENT UNITS]]=0,0,INVESTORS_LIST[[#This Row],[TOTAL CURRENT UNITS]]*INVESTORS_LIST[[#This Row],[NAV]])</f>
        <v>0</v>
      </c>
      <c r="AQ336" s="49">
        <f>IF(INVESTORS_LIST[[#This Row],[LS_TOTAL CURRENT UNITS]]=0,0,INVESTORS_LIST[[#This Row],[LS_TOTAL CURRENT UNITS]]*INVESTORS_LIST[[#This Row],[NAV]])</f>
        <v>0</v>
      </c>
      <c r="AR336" s="48">
        <f>IF(INVESTORS_LIST[[#This Row],[SIP_TOTAL CURRENT UNITS]]=0,0,INVESTORS_LIST[[#This Row],[SIP_TOTAL CURRENT UNITS]]*INVESTORS_LIST[[#This Row],[NAV]])</f>
        <v>0</v>
      </c>
      <c r="AS336" s="50">
        <f>INVESTORS_LIST[[#This Row],[TOTAL CURRENT UNITS]]</f>
        <v>0</v>
      </c>
      <c r="AT336" s="48">
        <f>IF(INVESTORS_LIST[[#This Row],[TOTAL SELLABLE UNITS]]=0,0,INVESTORS_LIST[[#This Row],[TOTAL SELLABLE UNITS]]*INVESTORS_LIST[[#This Row],[NAV]])</f>
        <v>0</v>
      </c>
      <c r="AU336" s="48">
        <f>INVESTORS_LIST[[#This Row],[LS_TOTAL REALIZED GAIN]]+INVESTORS_LIST[[#This Row],[SIP_TOTAL REALIZED GAIN]]</f>
        <v>0</v>
      </c>
      <c r="AV336" s="48">
        <f>INVESTORS_LIST[[#This Row],[TOTAL MARKET VALUE]]-INVESTORS_LIST[[#This Row],[TOTAL COST VALUE OF CURRENT INVESTMENT]]</f>
        <v>0</v>
      </c>
      <c r="AW336" s="48">
        <f>IFERROR(INVESTORS_LIST[[#This Row],[TOTAL CURRENT UNITS]]/SUM(INVESTORS_LIST[TOTAL CURRENT UNITS]),0)</f>
        <v>0</v>
      </c>
    </row>
    <row r="337" spans="1:49" hidden="1">
      <c r="A337" s="262" t="s">
        <v>721</v>
      </c>
      <c r="B337" s="97" t="s">
        <v>722</v>
      </c>
      <c r="C337" t="s">
        <v>44</v>
      </c>
      <c r="D337" s="75" t="s">
        <v>45</v>
      </c>
      <c r="E337" s="47">
        <f>SUMIFS(LS[Unit],LS[Investor ID],INVESTORS_LIST[[#This Row],[INVESTOR CODE]],LS[B/S],"B")</f>
        <v>0</v>
      </c>
      <c r="F337" s="47">
        <f>-SUMIFS(LS[Unit],LS[Investor ID],INVESTORS_LIST[[#This Row],[INVESTOR CODE]],LS[B/S],"S")</f>
        <v>0</v>
      </c>
      <c r="G337" s="47">
        <f>IF(INVESTORS_LIST[[#This Row],[LS_TOTAL UNITS BUY]]=0,0,INVESTORS_LIST[[#This Row],[LS_TOTAL UNITS BUY]]-INVESTORS_LIST[[#This Row],[LS_TOTAL UNITS SOLD]])</f>
        <v>0</v>
      </c>
      <c r="H337" s="49">
        <f>IF(INVESTORS_LIST[[#This Row],[LS_TOTAL UNITS BUY]]=0,0,SUMIFS(LS[Amount],LS[Investor ID],INVESTORS_LIST[[#This Row],[INVESTOR CODE]],LS[B/S],"B"))</f>
        <v>0</v>
      </c>
      <c r="I337" s="48">
        <f>IF(INVESTORS_LIST[[#This Row],[LS_TOTAL UNITS SOLD]]=0,0,SUMIFS(LS[Cost of Units Sold],LS[Investor ID],INVESTORS_LIST[[#This Row],[INVESTOR CODE]],LS[B/S],"S"))</f>
        <v>0</v>
      </c>
      <c r="J337" s="48">
        <f>IF(INVESTORS_LIST[[#This Row],[LS_TOTAL CURRENT UNITS]]=0,0,INVESTORS_LIST[[#This Row],[LS_TOTAL CURRENT UNITS]]*INVESTORS_LIST[[#This Row],[LS_AVERAGE COST]])</f>
        <v>0</v>
      </c>
      <c r="K337" s="49">
        <f>IF(INVESTORS_LIST[[#This Row],[LS_TOTAL UNITS SOLD]]=0,0,SUMIFS(LS[Realized Gain],LS[Investor ID],INVESTORS_LIST[[#This Row],[INVESTOR CODE]],LS[B/S],"S"))</f>
        <v>0</v>
      </c>
      <c r="L337" s="47">
        <f>SUMIFS(SIP[Unit],SIP[Investor ID],INVESTORS_LIST[[#This Row],[INVESTOR CODE]],SIP[B/S],"B")</f>
        <v>0</v>
      </c>
      <c r="M337" s="47">
        <f>-SUMIFS(SIP[Unit],SIP[Investor ID],INVESTORS_LIST[[#This Row],[INVESTOR CODE]],SIP[B/S],"S")</f>
        <v>0</v>
      </c>
      <c r="N337" s="50">
        <f>IF(INVESTORS_LIST[[#This Row],[SIP_TOTAL UNITS BUY]]=0,0,INVESTORS_LIST[[#This Row],[SIP_TOTAL UNITS BUY]]-INVESTORS_LIST[[#This Row],[SIP_TOTAL UNITS SOLD]])</f>
        <v>0</v>
      </c>
      <c r="O337" s="49">
        <f>IF(INVESTORS_LIST[[#This Row],[SIP_TOTAL UNITS BUY]]=0,0,SUMIFS(SIP[Amount],SIP[Investor ID],INVESTORS_LIST[[#This Row],[INVESTOR CODE]],SIP[B/S],"B"))</f>
        <v>0</v>
      </c>
      <c r="P337" s="49">
        <f>IF(INVESTORS_LIST[[#This Row],[SIP_TOTAL UNITS SOLD]]=0,0,SUMIFS(SIP[Cost of Units Sold],SIP[Investor ID],INVESTORS_LIST[[#This Row],[INVESTOR CODE]],SIP[B/S],"S"))</f>
        <v>0</v>
      </c>
      <c r="Q337" s="48">
        <f>IF(INVESTORS_LIST[[#This Row],[SIP_TOTAL CURRENT UNITS]]=0,0,INVESTORS_LIST[[#This Row],[SIP_TOTAL CURRENT UNITS]]*INVESTORS_LIST[[#This Row],[SIP_AVERAGE COST]])</f>
        <v>0</v>
      </c>
      <c r="R337" s="48">
        <f>IF(INVESTORS_LIST[[#This Row],[SIP_TOTAL UNITS SOLD]]=0,0,SUMIFS(SIP[Realized Gain],SIP[Investor ID],INVESTORS_LIST[[#This Row],[INVESTOR CODE]],SIP[B/S],"S"))</f>
        <v>0</v>
      </c>
      <c r="S337" s="50">
        <f>INVESTORS_LIST[[#This Row],[LS_TOTAL UNITS BUY]]+INVESTORS_LIST[[#This Row],[SIP_TOTAL UNITS BUY]]</f>
        <v>0</v>
      </c>
      <c r="T337" s="50">
        <f>INVESTORS_LIST[[#This Row],[LS_TOTAL UNITS SOLD]]+INVESTORS_LIST[[#This Row],[SIP_TOTAL UNITS SOLD]]</f>
        <v>0</v>
      </c>
      <c r="U337" s="50"/>
      <c r="V337" s="50">
        <f>SUMIFS(LS[BO UNIT TRANSFER],LS[Investor ID],INVESTORS_LIST[[#This Row],[INVESTOR CODE]],LS[B/S],"B")</f>
        <v>0</v>
      </c>
      <c r="W337" s="50">
        <f>SUMIFS(SIP[BO UNIT TRANSFER],SIP[Investor ID],INVESTORS_LIST[[#This Row],[INVESTOR CODE]],SIP[B/S],"B")</f>
        <v>0</v>
      </c>
      <c r="X337" s="50">
        <f>SUMIFS(LS[BO UNIT TRANSFER],LS[Investor ID],INVESTORS_LIST[[#This Row],[INVESTOR CODE]],LS[B/S],"S")</f>
        <v>0</v>
      </c>
      <c r="Y337" s="50">
        <f>SUMIFS(SIP[BO UNIT TRANSFER],SIP[Investor ID],INVESTORS_LIST[[#This Row],[INVESTOR CODE]],SIP[B/S],"S")</f>
        <v>0</v>
      </c>
      <c r="Z337" s="106">
        <f>SUM(INVESTORS_LIST[[#This Row],[BO OPENING BALANCE]:[BO SIP UNITS REPURCHASE]])</f>
        <v>0</v>
      </c>
      <c r="AA337" s="107">
        <f>INVESTORS_LIST[[#This Row],[TOTAL UNITS BUY]]-INVESTORS_LIST[[#This Row],[TOTAL UNITS SOLD]]</f>
        <v>0</v>
      </c>
      <c r="AB337" s="107">
        <f>INVESTORS_LIST[[#This Row],[TOTAL CURRENT UNITS]]-INVESTORS_LIST[[#This Row],[BO UNITS HOLD]]</f>
        <v>0</v>
      </c>
      <c r="AC337" s="201" t="e">
        <f>INDEX([3]!Table_1[BO ID],MATCH(INVESTORS_LIST[[#This Row],[INVESTOR CODE]],[3]!Table_1[INVESTOR CODE],0))</f>
        <v>#REF!</v>
      </c>
      <c r="AD337" s="201" t="e">
        <f>INDEX([3]!Table_1[Brokerage Name2],MATCH(INVESTORS_LIST[[#This Row],[INVESTOR CODE]],[3]!Table_1[INVESTOR CODE],0))</f>
        <v>#REF!</v>
      </c>
      <c r="AE337" s="201" t="e">
        <f>MID(INVESTORS_LIST[[#This Row],[BO ID]],4,5)</f>
        <v>#REF!</v>
      </c>
      <c r="AF337" s="201" t="e">
        <f>MID(INVESTORS_LIST[[#This Row],[BO ID]],2,7)</f>
        <v>#REF!</v>
      </c>
      <c r="AG337" s="201" t="e">
        <f>MID(INVESTORS_LIST[[#This Row],[BO ID]],9,7)</f>
        <v>#REF!</v>
      </c>
      <c r="AH337" s="201" t="e">
        <f>RIGHT(INVESTORS_LIST[[#This Row],[BO ID]],1)</f>
        <v>#REF!</v>
      </c>
      <c r="AI337" s="50">
        <f>INVESTORS_LIST[[#This Row],[LS_TOTAL COST VALUE OF CURRENT UNITS]]+INVESTORS_LIST[[#This Row],[SIP_TOTAL COST VALUE OF CURRENT UNITS]]</f>
        <v>0</v>
      </c>
      <c r="AJ337" s="109">
        <f>IF(INVESTORS_LIST[[#This Row],[TOTAL CURRENT UNITS]]=0,0,INVESTORS_LIST[[#This Row],[LS_TOTAL CURRENT UNITS]]/INVESTORS_LIST[[#This Row],[TOTAL CURRENT UNITS]])</f>
        <v>0</v>
      </c>
      <c r="AK337" s="109">
        <f>IF(INVESTORS_LIST[[#This Row],[TOTAL CURRENT UNITS]]=0,0,INVESTORS_LIST[[#This Row],[SIP_TOTAL CURRENT UNITS]]/INVESTORS_LIST[[#This Row],[TOTAL CURRENT UNITS]])</f>
        <v>0</v>
      </c>
      <c r="AL337" s="49" cm="1">
        <f t="array" ref="AL3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7" s="49" cm="1">
        <f t="array" ref="AM3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7" s="105">
        <f t="shared" si="6"/>
        <v>14.224</v>
      </c>
      <c r="AP337" s="112">
        <f>IF(INVESTORS_LIST[[#This Row],[TOTAL CURRENT UNITS]]=0,0,INVESTORS_LIST[[#This Row],[TOTAL CURRENT UNITS]]*INVESTORS_LIST[[#This Row],[NAV]])</f>
        <v>0</v>
      </c>
      <c r="AQ337" s="49">
        <f>IF(INVESTORS_LIST[[#This Row],[LS_TOTAL CURRENT UNITS]]=0,0,INVESTORS_LIST[[#This Row],[LS_TOTAL CURRENT UNITS]]*INVESTORS_LIST[[#This Row],[NAV]])</f>
        <v>0</v>
      </c>
      <c r="AR337" s="48">
        <f>IF(INVESTORS_LIST[[#This Row],[SIP_TOTAL CURRENT UNITS]]=0,0,INVESTORS_LIST[[#This Row],[SIP_TOTAL CURRENT UNITS]]*INVESTORS_LIST[[#This Row],[NAV]])</f>
        <v>0</v>
      </c>
      <c r="AS337" s="50">
        <f>INVESTORS_LIST[[#This Row],[TOTAL CURRENT UNITS]]</f>
        <v>0</v>
      </c>
      <c r="AT337" s="48">
        <f>IF(INVESTORS_LIST[[#This Row],[TOTAL SELLABLE UNITS]]=0,0,INVESTORS_LIST[[#This Row],[TOTAL SELLABLE UNITS]]*INVESTORS_LIST[[#This Row],[NAV]])</f>
        <v>0</v>
      </c>
      <c r="AU337" s="48">
        <f>INVESTORS_LIST[[#This Row],[LS_TOTAL REALIZED GAIN]]+INVESTORS_LIST[[#This Row],[SIP_TOTAL REALIZED GAIN]]</f>
        <v>0</v>
      </c>
      <c r="AV337" s="48">
        <f>INVESTORS_LIST[[#This Row],[TOTAL MARKET VALUE]]-INVESTORS_LIST[[#This Row],[TOTAL COST VALUE OF CURRENT INVESTMENT]]</f>
        <v>0</v>
      </c>
      <c r="AW337" s="48">
        <f>IFERROR(INVESTORS_LIST[[#This Row],[TOTAL CURRENT UNITS]]/SUM(INVESTORS_LIST[TOTAL CURRENT UNITS]),0)</f>
        <v>0</v>
      </c>
    </row>
    <row r="338" spans="1:49" hidden="1">
      <c r="A338" s="262" t="s">
        <v>723</v>
      </c>
      <c r="B338" s="97" t="s">
        <v>724</v>
      </c>
      <c r="C338" t="s">
        <v>44</v>
      </c>
      <c r="D338" s="75" t="s">
        <v>45</v>
      </c>
      <c r="E338" s="47">
        <f>SUMIFS(LS[Unit],LS[Investor ID],INVESTORS_LIST[[#This Row],[INVESTOR CODE]],LS[B/S],"B")</f>
        <v>0</v>
      </c>
      <c r="F338" s="47">
        <f>-SUMIFS(LS[Unit],LS[Investor ID],INVESTORS_LIST[[#This Row],[INVESTOR CODE]],LS[B/S],"S")</f>
        <v>0</v>
      </c>
      <c r="G338" s="47">
        <f>IF(INVESTORS_LIST[[#This Row],[LS_TOTAL UNITS BUY]]=0,0,INVESTORS_LIST[[#This Row],[LS_TOTAL UNITS BUY]]-INVESTORS_LIST[[#This Row],[LS_TOTAL UNITS SOLD]])</f>
        <v>0</v>
      </c>
      <c r="H338" s="49">
        <f>IF(INVESTORS_LIST[[#This Row],[LS_TOTAL UNITS BUY]]=0,0,SUMIFS(LS[Amount],LS[Investor ID],INVESTORS_LIST[[#This Row],[INVESTOR CODE]],LS[B/S],"B"))</f>
        <v>0</v>
      </c>
      <c r="I338" s="48">
        <f>IF(INVESTORS_LIST[[#This Row],[LS_TOTAL UNITS SOLD]]=0,0,SUMIFS(LS[Cost of Units Sold],LS[Investor ID],INVESTORS_LIST[[#This Row],[INVESTOR CODE]],LS[B/S],"S"))</f>
        <v>0</v>
      </c>
      <c r="J338" s="48">
        <f>IF(INVESTORS_LIST[[#This Row],[LS_TOTAL CURRENT UNITS]]=0,0,INVESTORS_LIST[[#This Row],[LS_TOTAL CURRENT UNITS]]*INVESTORS_LIST[[#This Row],[LS_AVERAGE COST]])</f>
        <v>0</v>
      </c>
      <c r="K338" s="49">
        <f>IF(INVESTORS_LIST[[#This Row],[LS_TOTAL UNITS SOLD]]=0,0,SUMIFS(LS[Realized Gain],LS[Investor ID],INVESTORS_LIST[[#This Row],[INVESTOR CODE]],LS[B/S],"S"))</f>
        <v>0</v>
      </c>
      <c r="L338" s="47">
        <f>SUMIFS(SIP[Unit],SIP[Investor ID],INVESTORS_LIST[[#This Row],[INVESTOR CODE]],SIP[B/S],"B")</f>
        <v>0</v>
      </c>
      <c r="M338" s="47">
        <f>-SUMIFS(SIP[Unit],SIP[Investor ID],INVESTORS_LIST[[#This Row],[INVESTOR CODE]],SIP[B/S],"S")</f>
        <v>0</v>
      </c>
      <c r="N338" s="50">
        <f>IF(INVESTORS_LIST[[#This Row],[SIP_TOTAL UNITS BUY]]=0,0,INVESTORS_LIST[[#This Row],[SIP_TOTAL UNITS BUY]]-INVESTORS_LIST[[#This Row],[SIP_TOTAL UNITS SOLD]])</f>
        <v>0</v>
      </c>
      <c r="O338" s="49">
        <f>IF(INVESTORS_LIST[[#This Row],[SIP_TOTAL UNITS BUY]]=0,0,SUMIFS(SIP[Amount],SIP[Investor ID],INVESTORS_LIST[[#This Row],[INVESTOR CODE]],SIP[B/S],"B"))</f>
        <v>0</v>
      </c>
      <c r="P338" s="49">
        <f>IF(INVESTORS_LIST[[#This Row],[SIP_TOTAL UNITS SOLD]]=0,0,SUMIFS(SIP[Cost of Units Sold],SIP[Investor ID],INVESTORS_LIST[[#This Row],[INVESTOR CODE]],SIP[B/S],"S"))</f>
        <v>0</v>
      </c>
      <c r="Q338" s="48">
        <f>IF(INVESTORS_LIST[[#This Row],[SIP_TOTAL CURRENT UNITS]]=0,0,INVESTORS_LIST[[#This Row],[SIP_TOTAL CURRENT UNITS]]*INVESTORS_LIST[[#This Row],[SIP_AVERAGE COST]])</f>
        <v>0</v>
      </c>
      <c r="R338" s="48">
        <f>IF(INVESTORS_LIST[[#This Row],[SIP_TOTAL UNITS SOLD]]=0,0,SUMIFS(SIP[Realized Gain],SIP[Investor ID],INVESTORS_LIST[[#This Row],[INVESTOR CODE]],SIP[B/S],"S"))</f>
        <v>0</v>
      </c>
      <c r="S338" s="50">
        <f>INVESTORS_LIST[[#This Row],[LS_TOTAL UNITS BUY]]+INVESTORS_LIST[[#This Row],[SIP_TOTAL UNITS BUY]]</f>
        <v>0</v>
      </c>
      <c r="T338" s="50">
        <f>INVESTORS_LIST[[#This Row],[LS_TOTAL UNITS SOLD]]+INVESTORS_LIST[[#This Row],[SIP_TOTAL UNITS SOLD]]</f>
        <v>0</v>
      </c>
      <c r="U338" s="50"/>
      <c r="V338" s="50">
        <f>SUMIFS(LS[BO UNIT TRANSFER],LS[Investor ID],INVESTORS_LIST[[#This Row],[INVESTOR CODE]],LS[B/S],"B")</f>
        <v>0</v>
      </c>
      <c r="W338" s="50">
        <f>SUMIFS(SIP[BO UNIT TRANSFER],SIP[Investor ID],INVESTORS_LIST[[#This Row],[INVESTOR CODE]],SIP[B/S],"B")</f>
        <v>0</v>
      </c>
      <c r="X338" s="50">
        <f>SUMIFS(LS[BO UNIT TRANSFER],LS[Investor ID],INVESTORS_LIST[[#This Row],[INVESTOR CODE]],LS[B/S],"S")</f>
        <v>0</v>
      </c>
      <c r="Y338" s="50">
        <f>SUMIFS(SIP[BO UNIT TRANSFER],SIP[Investor ID],INVESTORS_LIST[[#This Row],[INVESTOR CODE]],SIP[B/S],"S")</f>
        <v>0</v>
      </c>
      <c r="Z338" s="106">
        <f>SUM(INVESTORS_LIST[[#This Row],[BO OPENING BALANCE]:[BO SIP UNITS REPURCHASE]])</f>
        <v>0</v>
      </c>
      <c r="AA338" s="107">
        <f>INVESTORS_LIST[[#This Row],[TOTAL UNITS BUY]]-INVESTORS_LIST[[#This Row],[TOTAL UNITS SOLD]]</f>
        <v>0</v>
      </c>
      <c r="AB338" s="107">
        <f>INVESTORS_LIST[[#This Row],[TOTAL CURRENT UNITS]]-INVESTORS_LIST[[#This Row],[BO UNITS HOLD]]</f>
        <v>0</v>
      </c>
      <c r="AC338" s="201" t="e">
        <f>INDEX([3]!Table_1[BO ID],MATCH(INVESTORS_LIST[[#This Row],[INVESTOR CODE]],[3]!Table_1[INVESTOR CODE],0))</f>
        <v>#REF!</v>
      </c>
      <c r="AD338" s="201" t="e">
        <f>INDEX([3]!Table_1[Brokerage Name2],MATCH(INVESTORS_LIST[[#This Row],[INVESTOR CODE]],[3]!Table_1[INVESTOR CODE],0))</f>
        <v>#REF!</v>
      </c>
      <c r="AE338" s="201" t="e">
        <f>MID(INVESTORS_LIST[[#This Row],[BO ID]],4,5)</f>
        <v>#REF!</v>
      </c>
      <c r="AF338" s="201" t="e">
        <f>MID(INVESTORS_LIST[[#This Row],[BO ID]],2,7)</f>
        <v>#REF!</v>
      </c>
      <c r="AG338" s="201" t="e">
        <f>MID(INVESTORS_LIST[[#This Row],[BO ID]],9,7)</f>
        <v>#REF!</v>
      </c>
      <c r="AH338" s="201" t="e">
        <f>RIGHT(INVESTORS_LIST[[#This Row],[BO ID]],1)</f>
        <v>#REF!</v>
      </c>
      <c r="AI338" s="50">
        <f>INVESTORS_LIST[[#This Row],[LS_TOTAL COST VALUE OF CURRENT UNITS]]+INVESTORS_LIST[[#This Row],[SIP_TOTAL COST VALUE OF CURRENT UNITS]]</f>
        <v>0</v>
      </c>
      <c r="AJ338" s="109">
        <f>IF(INVESTORS_LIST[[#This Row],[TOTAL CURRENT UNITS]]=0,0,INVESTORS_LIST[[#This Row],[LS_TOTAL CURRENT UNITS]]/INVESTORS_LIST[[#This Row],[TOTAL CURRENT UNITS]])</f>
        <v>0</v>
      </c>
      <c r="AK338" s="109">
        <f>IF(INVESTORS_LIST[[#This Row],[TOTAL CURRENT UNITS]]=0,0,INVESTORS_LIST[[#This Row],[SIP_TOTAL CURRENT UNITS]]/INVESTORS_LIST[[#This Row],[TOTAL CURRENT UNITS]])</f>
        <v>0</v>
      </c>
      <c r="AL338" s="49" cm="1">
        <f t="array" ref="AL3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8" s="49" cm="1">
        <f t="array" ref="AM3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8" s="105">
        <f t="shared" si="6"/>
        <v>14.224</v>
      </c>
      <c r="AP338" s="112">
        <f>IF(INVESTORS_LIST[[#This Row],[TOTAL CURRENT UNITS]]=0,0,INVESTORS_LIST[[#This Row],[TOTAL CURRENT UNITS]]*INVESTORS_LIST[[#This Row],[NAV]])</f>
        <v>0</v>
      </c>
      <c r="AQ338" s="49">
        <f>IF(INVESTORS_LIST[[#This Row],[LS_TOTAL CURRENT UNITS]]=0,0,INVESTORS_LIST[[#This Row],[LS_TOTAL CURRENT UNITS]]*INVESTORS_LIST[[#This Row],[NAV]])</f>
        <v>0</v>
      </c>
      <c r="AR338" s="48">
        <f>IF(INVESTORS_LIST[[#This Row],[SIP_TOTAL CURRENT UNITS]]=0,0,INVESTORS_LIST[[#This Row],[SIP_TOTAL CURRENT UNITS]]*INVESTORS_LIST[[#This Row],[NAV]])</f>
        <v>0</v>
      </c>
      <c r="AS338" s="50">
        <f>INVESTORS_LIST[[#This Row],[TOTAL CURRENT UNITS]]</f>
        <v>0</v>
      </c>
      <c r="AT338" s="48">
        <f>IF(INVESTORS_LIST[[#This Row],[TOTAL SELLABLE UNITS]]=0,0,INVESTORS_LIST[[#This Row],[TOTAL SELLABLE UNITS]]*INVESTORS_LIST[[#This Row],[NAV]])</f>
        <v>0</v>
      </c>
      <c r="AU338" s="48">
        <f>INVESTORS_LIST[[#This Row],[LS_TOTAL REALIZED GAIN]]+INVESTORS_LIST[[#This Row],[SIP_TOTAL REALIZED GAIN]]</f>
        <v>0</v>
      </c>
      <c r="AV338" s="48">
        <f>INVESTORS_LIST[[#This Row],[TOTAL MARKET VALUE]]-INVESTORS_LIST[[#This Row],[TOTAL COST VALUE OF CURRENT INVESTMENT]]</f>
        <v>0</v>
      </c>
      <c r="AW338" s="48">
        <f>IFERROR(INVESTORS_LIST[[#This Row],[TOTAL CURRENT UNITS]]/SUM(INVESTORS_LIST[TOTAL CURRENT UNITS]),0)</f>
        <v>0</v>
      </c>
    </row>
    <row r="339" spans="1:49" hidden="1">
      <c r="A339" s="262" t="s">
        <v>725</v>
      </c>
      <c r="B339" s="97" t="s">
        <v>726</v>
      </c>
      <c r="C339" t="s">
        <v>67</v>
      </c>
      <c r="D339" s="75" t="s">
        <v>45</v>
      </c>
      <c r="E339" s="47">
        <f>SUMIFS(LS[Unit],LS[Investor ID],INVESTORS_LIST[[#This Row],[INVESTOR CODE]],LS[B/S],"B")</f>
        <v>0</v>
      </c>
      <c r="F339" s="47">
        <f>-SUMIFS(LS[Unit],LS[Investor ID],INVESTORS_LIST[[#This Row],[INVESTOR CODE]],LS[B/S],"S")</f>
        <v>0</v>
      </c>
      <c r="G339" s="47">
        <f>IF(INVESTORS_LIST[[#This Row],[LS_TOTAL UNITS BUY]]=0,0,INVESTORS_LIST[[#This Row],[LS_TOTAL UNITS BUY]]-INVESTORS_LIST[[#This Row],[LS_TOTAL UNITS SOLD]])</f>
        <v>0</v>
      </c>
      <c r="H339" s="49">
        <f>IF(INVESTORS_LIST[[#This Row],[LS_TOTAL UNITS BUY]]=0,0,SUMIFS(LS[Amount],LS[Investor ID],INVESTORS_LIST[[#This Row],[INVESTOR CODE]],LS[B/S],"B"))</f>
        <v>0</v>
      </c>
      <c r="I339" s="48">
        <f>IF(INVESTORS_LIST[[#This Row],[LS_TOTAL UNITS SOLD]]=0,0,SUMIFS(LS[Cost of Units Sold],LS[Investor ID],INVESTORS_LIST[[#This Row],[INVESTOR CODE]],LS[B/S],"S"))</f>
        <v>0</v>
      </c>
      <c r="J339" s="48">
        <f>IF(INVESTORS_LIST[[#This Row],[LS_TOTAL CURRENT UNITS]]=0,0,INVESTORS_LIST[[#This Row],[LS_TOTAL CURRENT UNITS]]*INVESTORS_LIST[[#This Row],[LS_AVERAGE COST]])</f>
        <v>0</v>
      </c>
      <c r="K339" s="49">
        <f>IF(INVESTORS_LIST[[#This Row],[LS_TOTAL UNITS SOLD]]=0,0,SUMIFS(LS[Realized Gain],LS[Investor ID],INVESTORS_LIST[[#This Row],[INVESTOR CODE]],LS[B/S],"S"))</f>
        <v>0</v>
      </c>
      <c r="L339" s="47">
        <f>SUMIFS(SIP[Unit],SIP[Investor ID],INVESTORS_LIST[[#This Row],[INVESTOR CODE]],SIP[B/S],"B")</f>
        <v>0</v>
      </c>
      <c r="M339" s="47">
        <f>-SUMIFS(SIP[Unit],SIP[Investor ID],INVESTORS_LIST[[#This Row],[INVESTOR CODE]],SIP[B/S],"S")</f>
        <v>0</v>
      </c>
      <c r="N339" s="50">
        <f>IF(INVESTORS_LIST[[#This Row],[SIP_TOTAL UNITS BUY]]=0,0,INVESTORS_LIST[[#This Row],[SIP_TOTAL UNITS BUY]]-INVESTORS_LIST[[#This Row],[SIP_TOTAL UNITS SOLD]])</f>
        <v>0</v>
      </c>
      <c r="O339" s="49">
        <f>IF(INVESTORS_LIST[[#This Row],[SIP_TOTAL UNITS BUY]]=0,0,SUMIFS(SIP[Amount],SIP[Investor ID],INVESTORS_LIST[[#This Row],[INVESTOR CODE]],SIP[B/S],"B"))</f>
        <v>0</v>
      </c>
      <c r="P339" s="49">
        <f>IF(INVESTORS_LIST[[#This Row],[SIP_TOTAL UNITS SOLD]]=0,0,SUMIFS(SIP[Cost of Units Sold],SIP[Investor ID],INVESTORS_LIST[[#This Row],[INVESTOR CODE]],SIP[B/S],"S"))</f>
        <v>0</v>
      </c>
      <c r="Q339" s="48">
        <f>IF(INVESTORS_LIST[[#This Row],[SIP_TOTAL CURRENT UNITS]]=0,0,INVESTORS_LIST[[#This Row],[SIP_TOTAL CURRENT UNITS]]*INVESTORS_LIST[[#This Row],[SIP_AVERAGE COST]])</f>
        <v>0</v>
      </c>
      <c r="R339" s="48">
        <f>IF(INVESTORS_LIST[[#This Row],[SIP_TOTAL UNITS SOLD]]=0,0,SUMIFS(SIP[Realized Gain],SIP[Investor ID],INVESTORS_LIST[[#This Row],[INVESTOR CODE]],SIP[B/S],"S"))</f>
        <v>0</v>
      </c>
      <c r="S339" s="50">
        <f>INVESTORS_LIST[[#This Row],[LS_TOTAL UNITS BUY]]+INVESTORS_LIST[[#This Row],[SIP_TOTAL UNITS BUY]]</f>
        <v>0</v>
      </c>
      <c r="T339" s="50">
        <f>INVESTORS_LIST[[#This Row],[LS_TOTAL UNITS SOLD]]+INVESTORS_LIST[[#This Row],[SIP_TOTAL UNITS SOLD]]</f>
        <v>0</v>
      </c>
      <c r="U339" s="50"/>
      <c r="V339" s="50">
        <f>SUMIFS(LS[BO UNIT TRANSFER],LS[Investor ID],INVESTORS_LIST[[#This Row],[INVESTOR CODE]],LS[B/S],"B")</f>
        <v>0</v>
      </c>
      <c r="W339" s="50">
        <f>SUMIFS(SIP[BO UNIT TRANSFER],SIP[Investor ID],INVESTORS_LIST[[#This Row],[INVESTOR CODE]],SIP[B/S],"B")</f>
        <v>0</v>
      </c>
      <c r="X339" s="50">
        <f>SUMIFS(LS[BO UNIT TRANSFER],LS[Investor ID],INVESTORS_LIST[[#This Row],[INVESTOR CODE]],LS[B/S],"S")</f>
        <v>0</v>
      </c>
      <c r="Y339" s="50">
        <f>SUMIFS(SIP[BO UNIT TRANSFER],SIP[Investor ID],INVESTORS_LIST[[#This Row],[INVESTOR CODE]],SIP[B/S],"S")</f>
        <v>0</v>
      </c>
      <c r="Z339" s="106">
        <f>SUM(INVESTORS_LIST[[#This Row],[BO OPENING BALANCE]:[BO SIP UNITS REPURCHASE]])</f>
        <v>0</v>
      </c>
      <c r="AA339" s="107">
        <f>INVESTORS_LIST[[#This Row],[TOTAL UNITS BUY]]-INVESTORS_LIST[[#This Row],[TOTAL UNITS SOLD]]</f>
        <v>0</v>
      </c>
      <c r="AB339" s="107">
        <f>INVESTORS_LIST[[#This Row],[TOTAL CURRENT UNITS]]-INVESTORS_LIST[[#This Row],[BO UNITS HOLD]]</f>
        <v>0</v>
      </c>
      <c r="AC339" s="201" t="e">
        <f>INDEX([3]!Table_1[BO ID],MATCH(INVESTORS_LIST[[#This Row],[INVESTOR CODE]],[3]!Table_1[INVESTOR CODE],0))</f>
        <v>#REF!</v>
      </c>
      <c r="AD339" s="201" t="e">
        <f>INDEX([3]!Table_1[Brokerage Name2],MATCH(INVESTORS_LIST[[#This Row],[INVESTOR CODE]],[3]!Table_1[INVESTOR CODE],0))</f>
        <v>#REF!</v>
      </c>
      <c r="AE339" s="201" t="e">
        <f>MID(INVESTORS_LIST[[#This Row],[BO ID]],4,5)</f>
        <v>#REF!</v>
      </c>
      <c r="AF339" s="201" t="e">
        <f>MID(INVESTORS_LIST[[#This Row],[BO ID]],2,7)</f>
        <v>#REF!</v>
      </c>
      <c r="AG339" s="201" t="e">
        <f>MID(INVESTORS_LIST[[#This Row],[BO ID]],9,7)</f>
        <v>#REF!</v>
      </c>
      <c r="AH339" s="201" t="e">
        <f>RIGHT(INVESTORS_LIST[[#This Row],[BO ID]],1)</f>
        <v>#REF!</v>
      </c>
      <c r="AI339" s="50">
        <f>INVESTORS_LIST[[#This Row],[LS_TOTAL COST VALUE OF CURRENT UNITS]]+INVESTORS_LIST[[#This Row],[SIP_TOTAL COST VALUE OF CURRENT UNITS]]</f>
        <v>0</v>
      </c>
      <c r="AJ339" s="109">
        <f>IF(INVESTORS_LIST[[#This Row],[TOTAL CURRENT UNITS]]=0,0,INVESTORS_LIST[[#This Row],[LS_TOTAL CURRENT UNITS]]/INVESTORS_LIST[[#This Row],[TOTAL CURRENT UNITS]])</f>
        <v>0</v>
      </c>
      <c r="AK339" s="109">
        <f>IF(INVESTORS_LIST[[#This Row],[TOTAL CURRENT UNITS]]=0,0,INVESTORS_LIST[[#This Row],[SIP_TOTAL CURRENT UNITS]]/INVESTORS_LIST[[#This Row],[TOTAL CURRENT UNITS]])</f>
        <v>0</v>
      </c>
      <c r="AL339" s="49" cm="1">
        <f t="array" ref="AL3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39" s="49" cm="1">
        <f t="array" ref="AM3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3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39" s="105">
        <f t="shared" si="6"/>
        <v>14.224</v>
      </c>
      <c r="AP339" s="112">
        <f>IF(INVESTORS_LIST[[#This Row],[TOTAL CURRENT UNITS]]=0,0,INVESTORS_LIST[[#This Row],[TOTAL CURRENT UNITS]]*INVESTORS_LIST[[#This Row],[NAV]])</f>
        <v>0</v>
      </c>
      <c r="AQ339" s="49">
        <f>IF(INVESTORS_LIST[[#This Row],[LS_TOTAL CURRENT UNITS]]=0,0,INVESTORS_LIST[[#This Row],[LS_TOTAL CURRENT UNITS]]*INVESTORS_LIST[[#This Row],[NAV]])</f>
        <v>0</v>
      </c>
      <c r="AR339" s="48">
        <f>IF(INVESTORS_LIST[[#This Row],[SIP_TOTAL CURRENT UNITS]]=0,0,INVESTORS_LIST[[#This Row],[SIP_TOTAL CURRENT UNITS]]*INVESTORS_LIST[[#This Row],[NAV]])</f>
        <v>0</v>
      </c>
      <c r="AS339" s="50">
        <f>INVESTORS_LIST[[#This Row],[TOTAL CURRENT UNITS]]</f>
        <v>0</v>
      </c>
      <c r="AT339" s="48">
        <f>IF(INVESTORS_LIST[[#This Row],[TOTAL SELLABLE UNITS]]=0,0,INVESTORS_LIST[[#This Row],[TOTAL SELLABLE UNITS]]*INVESTORS_LIST[[#This Row],[NAV]])</f>
        <v>0</v>
      </c>
      <c r="AU339" s="48">
        <f>INVESTORS_LIST[[#This Row],[LS_TOTAL REALIZED GAIN]]+INVESTORS_LIST[[#This Row],[SIP_TOTAL REALIZED GAIN]]</f>
        <v>0</v>
      </c>
      <c r="AV339" s="48">
        <f>INVESTORS_LIST[[#This Row],[TOTAL MARKET VALUE]]-INVESTORS_LIST[[#This Row],[TOTAL COST VALUE OF CURRENT INVESTMENT]]</f>
        <v>0</v>
      </c>
      <c r="AW339" s="48">
        <f>IFERROR(INVESTORS_LIST[[#This Row],[TOTAL CURRENT UNITS]]/SUM(INVESTORS_LIST[TOTAL CURRENT UNITS]),0)</f>
        <v>0</v>
      </c>
    </row>
    <row r="340" spans="1:49">
      <c r="A340" s="262" t="s">
        <v>727</v>
      </c>
      <c r="B340" s="97" t="s">
        <v>728</v>
      </c>
      <c r="C340" t="s">
        <v>44</v>
      </c>
      <c r="D340" s="75" t="s">
        <v>45</v>
      </c>
      <c r="E340" s="47">
        <f>SUMIFS(LS[Unit],LS[Investor ID],INVESTORS_LIST[[#This Row],[INVESTOR CODE]],LS[B/S],"B")</f>
        <v>112933</v>
      </c>
      <c r="F340" s="47">
        <f>-SUMIFS(LS[Unit],LS[Investor ID],INVESTORS_LIST[[#This Row],[INVESTOR CODE]],LS[B/S],"S")</f>
        <v>0</v>
      </c>
      <c r="G340" s="47">
        <f>IF(INVESTORS_LIST[[#This Row],[LS_TOTAL UNITS BUY]]=0,0,INVESTORS_LIST[[#This Row],[LS_TOTAL UNITS BUY]]-INVESTORS_LIST[[#This Row],[LS_TOTAL UNITS SOLD]])</f>
        <v>112933</v>
      </c>
      <c r="H340" s="49">
        <f>IF(INVESTORS_LIST[[#This Row],[LS_TOTAL UNITS BUY]]=0,0,SUMIFS(LS[Amount],LS[Investor ID],INVESTORS_LIST[[#This Row],[INVESTOR CODE]],LS[B/S],"B"))</f>
        <v>1200000</v>
      </c>
      <c r="I340" s="48">
        <f>IF(INVESTORS_LIST[[#This Row],[LS_TOTAL UNITS SOLD]]=0,0,SUMIFS(LS[Cost of Units Sold],LS[Investor ID],INVESTORS_LIST[[#This Row],[INVESTOR CODE]],LS[B/S],"S"))</f>
        <v>0</v>
      </c>
      <c r="J340" s="48">
        <f>IF(INVESTORS_LIST[[#This Row],[LS_TOTAL CURRENT UNITS]]=0,0,INVESTORS_LIST[[#This Row],[LS_TOTAL CURRENT UNITS]]*INVESTORS_LIST[[#This Row],[LS_AVERAGE COST]])</f>
        <v>1199999.9999999998</v>
      </c>
      <c r="K340" s="49">
        <f>IF(INVESTORS_LIST[[#This Row],[LS_TOTAL UNITS SOLD]]=0,0,SUMIFS(LS[Realized Gain],LS[Investor ID],INVESTORS_LIST[[#This Row],[INVESTOR CODE]],LS[B/S],"S"))</f>
        <v>0</v>
      </c>
      <c r="L340" s="47">
        <f>SUMIFS(SIP[Unit],SIP[Investor ID],INVESTORS_LIST[[#This Row],[INVESTOR CODE]],SIP[B/S],"B")</f>
        <v>0</v>
      </c>
      <c r="M340" s="47">
        <f>-SUMIFS(SIP[Unit],SIP[Investor ID],INVESTORS_LIST[[#This Row],[INVESTOR CODE]],SIP[B/S],"S")</f>
        <v>0</v>
      </c>
      <c r="N340" s="50">
        <f>IF(INVESTORS_LIST[[#This Row],[SIP_TOTAL UNITS BUY]]=0,0,INVESTORS_LIST[[#This Row],[SIP_TOTAL UNITS BUY]]-INVESTORS_LIST[[#This Row],[SIP_TOTAL UNITS SOLD]])</f>
        <v>0</v>
      </c>
      <c r="O340" s="49">
        <f>IF(INVESTORS_LIST[[#This Row],[SIP_TOTAL UNITS BUY]]=0,0,SUMIFS(SIP[Amount],SIP[Investor ID],INVESTORS_LIST[[#This Row],[INVESTOR CODE]],SIP[B/S],"B"))</f>
        <v>0</v>
      </c>
      <c r="P340" s="49">
        <f>IF(INVESTORS_LIST[[#This Row],[SIP_TOTAL UNITS SOLD]]=0,0,SUMIFS(SIP[Cost of Units Sold],SIP[Investor ID],INVESTORS_LIST[[#This Row],[INVESTOR CODE]],SIP[B/S],"S"))</f>
        <v>0</v>
      </c>
      <c r="Q340" s="48">
        <f>IF(INVESTORS_LIST[[#This Row],[SIP_TOTAL CURRENT UNITS]]=0,0,INVESTORS_LIST[[#This Row],[SIP_TOTAL CURRENT UNITS]]*INVESTORS_LIST[[#This Row],[SIP_AVERAGE COST]])</f>
        <v>0</v>
      </c>
      <c r="R340" s="48">
        <f>IF(INVESTORS_LIST[[#This Row],[SIP_TOTAL UNITS SOLD]]=0,0,SUMIFS(SIP[Realized Gain],SIP[Investor ID],INVESTORS_LIST[[#This Row],[INVESTOR CODE]],SIP[B/S],"S"))</f>
        <v>0</v>
      </c>
      <c r="S340" s="50">
        <f>INVESTORS_LIST[[#This Row],[LS_TOTAL UNITS BUY]]+INVESTORS_LIST[[#This Row],[SIP_TOTAL UNITS BUY]]</f>
        <v>112933</v>
      </c>
      <c r="T340" s="50">
        <f>INVESTORS_LIST[[#This Row],[LS_TOTAL UNITS SOLD]]+INVESTORS_LIST[[#This Row],[SIP_TOTAL UNITS SOLD]]</f>
        <v>0</v>
      </c>
      <c r="U340" s="50"/>
      <c r="V340" s="50">
        <f>SUMIFS(LS[BO UNIT TRANSFER],LS[Investor ID],INVESTORS_LIST[[#This Row],[INVESTOR CODE]],LS[B/S],"B")</f>
        <v>0</v>
      </c>
      <c r="W340" s="50">
        <f>SUMIFS(SIP[BO UNIT TRANSFER],SIP[Investor ID],INVESTORS_LIST[[#This Row],[INVESTOR CODE]],SIP[B/S],"B")</f>
        <v>0</v>
      </c>
      <c r="X340" s="50">
        <f>SUMIFS(LS[BO UNIT TRANSFER],LS[Investor ID],INVESTORS_LIST[[#This Row],[INVESTOR CODE]],LS[B/S],"S")</f>
        <v>0</v>
      </c>
      <c r="Y340" s="50">
        <f>SUMIFS(SIP[BO UNIT TRANSFER],SIP[Investor ID],INVESTORS_LIST[[#This Row],[INVESTOR CODE]],SIP[B/S],"S")</f>
        <v>0</v>
      </c>
      <c r="Z340" s="106">
        <f>SUM(INVESTORS_LIST[[#This Row],[BO OPENING BALANCE]:[BO SIP UNITS REPURCHASE]])</f>
        <v>0</v>
      </c>
      <c r="AA340" s="107">
        <f>INVESTORS_LIST[[#This Row],[TOTAL UNITS BUY]]-INVESTORS_LIST[[#This Row],[TOTAL UNITS SOLD]]</f>
        <v>112933</v>
      </c>
      <c r="AB340" s="107">
        <f>INVESTORS_LIST[[#This Row],[TOTAL CURRENT UNITS]]-INVESTORS_LIST[[#This Row],[BO UNITS HOLD]]</f>
        <v>112933</v>
      </c>
      <c r="AC340" s="201" t="e">
        <f>INDEX([3]!Table_1[BO ID],MATCH(INVESTORS_LIST[[#This Row],[INVESTOR CODE]],[3]!Table_1[INVESTOR CODE],0))</f>
        <v>#REF!</v>
      </c>
      <c r="AD340" s="201" t="e">
        <f>INDEX([3]!Table_1[Brokerage Name2],MATCH(INVESTORS_LIST[[#This Row],[INVESTOR CODE]],[3]!Table_1[INVESTOR CODE],0))</f>
        <v>#REF!</v>
      </c>
      <c r="AE340" s="201" t="e">
        <f>MID(INVESTORS_LIST[[#This Row],[BO ID]],4,5)</f>
        <v>#REF!</v>
      </c>
      <c r="AF340" s="201" t="e">
        <f>MID(INVESTORS_LIST[[#This Row],[BO ID]],2,7)</f>
        <v>#REF!</v>
      </c>
      <c r="AG340" s="201" t="e">
        <f>MID(INVESTORS_LIST[[#This Row],[BO ID]],9,7)</f>
        <v>#REF!</v>
      </c>
      <c r="AH340" s="201" t="e">
        <f>RIGHT(INVESTORS_LIST[[#This Row],[BO ID]],1)</f>
        <v>#REF!</v>
      </c>
      <c r="AI340" s="50">
        <f>INVESTORS_LIST[[#This Row],[LS_TOTAL COST VALUE OF CURRENT UNITS]]+INVESTORS_LIST[[#This Row],[SIP_TOTAL COST VALUE OF CURRENT UNITS]]</f>
        <v>1199999.9999999998</v>
      </c>
      <c r="AJ340" s="109">
        <f>IF(INVESTORS_LIST[[#This Row],[TOTAL CURRENT UNITS]]=0,0,INVESTORS_LIST[[#This Row],[LS_TOTAL CURRENT UNITS]]/INVESTORS_LIST[[#This Row],[TOTAL CURRENT UNITS]])</f>
        <v>1</v>
      </c>
      <c r="AK340" s="109">
        <f>IF(INVESTORS_LIST[[#This Row],[TOTAL CURRENT UNITS]]=0,0,INVESTORS_LIST[[#This Row],[SIP_TOTAL CURRENT UNITS]]/INVESTORS_LIST[[#This Row],[TOTAL CURRENT UNITS]])</f>
        <v>0</v>
      </c>
      <c r="AL340" s="49" cm="1">
        <f t="array" ref="AL340">IF(INVESTORS_LIST[[#This Row],[LS_TOTAL UNITS BUY]]&gt;0,INDEX(LS[NAV at Cost (Average)],MATCH(CONCATENATE(COUNTIFS(LS[Investor ID],INVESTORS_LIST[[#This Row],[INVESTOR CODE]]),INVESTORS_LIST[[#This Row],[INVESTOR CODE]]),LS[Unique Code],0),),0)</f>
        <v>10.625769261420487</v>
      </c>
      <c r="AM340" s="49" cm="1">
        <f t="array" ref="AM3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0" s="105">
        <f>IF(INVESTORS_LIST[[#This Row],[TOTAL CURRENT UNITS]]=0,0,(INVESTORS_LIST[[#This Row],[LS_WEIGHT]]*INVESTORS_LIST[[#This Row],[LS_AVERAGE COST]])+(INVESTORS_LIST[[#This Row],[SIP_WEIGHT]]*INVESTORS_LIST[[#This Row],[SIP_AVERAGE COST]]))</f>
        <v>10.625769261420487</v>
      </c>
      <c r="AO340" s="105">
        <f t="shared" si="6"/>
        <v>14.224</v>
      </c>
      <c r="AP340" s="112">
        <f>IF(INVESTORS_LIST[[#This Row],[TOTAL CURRENT UNITS]]=0,0,INVESTORS_LIST[[#This Row],[TOTAL CURRENT UNITS]]*INVESTORS_LIST[[#This Row],[NAV]])</f>
        <v>1606358.9920000001</v>
      </c>
      <c r="AQ340" s="49">
        <f>IF(INVESTORS_LIST[[#This Row],[LS_TOTAL CURRENT UNITS]]=0,0,INVESTORS_LIST[[#This Row],[LS_TOTAL CURRENT UNITS]]*INVESTORS_LIST[[#This Row],[NAV]])</f>
        <v>1606358.9920000001</v>
      </c>
      <c r="AR340" s="48">
        <f>IF(INVESTORS_LIST[[#This Row],[SIP_TOTAL CURRENT UNITS]]=0,0,INVESTORS_LIST[[#This Row],[SIP_TOTAL CURRENT UNITS]]*INVESTORS_LIST[[#This Row],[NAV]])</f>
        <v>0</v>
      </c>
      <c r="AS340" s="50">
        <f>INVESTORS_LIST[[#This Row],[TOTAL CURRENT UNITS]]</f>
        <v>112933</v>
      </c>
      <c r="AT340" s="48">
        <f>IF(INVESTORS_LIST[[#This Row],[TOTAL SELLABLE UNITS]]=0,0,INVESTORS_LIST[[#This Row],[TOTAL SELLABLE UNITS]]*INVESTORS_LIST[[#This Row],[NAV]])</f>
        <v>1606358.9920000001</v>
      </c>
      <c r="AU340" s="48">
        <f>INVESTORS_LIST[[#This Row],[LS_TOTAL REALIZED GAIN]]+INVESTORS_LIST[[#This Row],[SIP_TOTAL REALIZED GAIN]]</f>
        <v>0</v>
      </c>
      <c r="AV340" s="48">
        <f>INVESTORS_LIST[[#This Row],[TOTAL MARKET VALUE]]-INVESTORS_LIST[[#This Row],[TOTAL COST VALUE OF CURRENT INVESTMENT]]</f>
        <v>406358.99200000032</v>
      </c>
      <c r="AW340" s="108">
        <f>IFERROR(INVESTORS_LIST[[#This Row],[TOTAL CURRENT UNITS]]/SUM(INVESTORS_LIST[TOTAL CURRENT UNITS]),0)</f>
        <v>2.7415849863306743E-3</v>
      </c>
    </row>
    <row r="341" spans="1:49" hidden="1">
      <c r="A341" s="262" t="s">
        <v>729</v>
      </c>
      <c r="B341" s="97" t="s">
        <v>730</v>
      </c>
      <c r="C341" t="s">
        <v>44</v>
      </c>
      <c r="D341" s="75" t="s">
        <v>45</v>
      </c>
      <c r="E341" s="47">
        <f>SUMIFS(LS[Unit],LS[Investor ID],INVESTORS_LIST[[#This Row],[INVESTOR CODE]],LS[B/S],"B")</f>
        <v>0</v>
      </c>
      <c r="F341" s="47">
        <f>-SUMIFS(LS[Unit],LS[Investor ID],INVESTORS_LIST[[#This Row],[INVESTOR CODE]],LS[B/S],"S")</f>
        <v>0</v>
      </c>
      <c r="G341" s="47">
        <f>IF(INVESTORS_LIST[[#This Row],[LS_TOTAL UNITS BUY]]=0,0,INVESTORS_LIST[[#This Row],[LS_TOTAL UNITS BUY]]-INVESTORS_LIST[[#This Row],[LS_TOTAL UNITS SOLD]])</f>
        <v>0</v>
      </c>
      <c r="H341" s="49">
        <f>IF(INVESTORS_LIST[[#This Row],[LS_TOTAL UNITS BUY]]=0,0,SUMIFS(LS[Amount],LS[Investor ID],INVESTORS_LIST[[#This Row],[INVESTOR CODE]],LS[B/S],"B"))</f>
        <v>0</v>
      </c>
      <c r="I341" s="48">
        <f>IF(INVESTORS_LIST[[#This Row],[LS_TOTAL UNITS SOLD]]=0,0,SUMIFS(LS[Cost of Units Sold],LS[Investor ID],INVESTORS_LIST[[#This Row],[INVESTOR CODE]],LS[B/S],"S"))</f>
        <v>0</v>
      </c>
      <c r="J341" s="48">
        <f>IF(INVESTORS_LIST[[#This Row],[LS_TOTAL CURRENT UNITS]]=0,0,INVESTORS_LIST[[#This Row],[LS_TOTAL CURRENT UNITS]]*INVESTORS_LIST[[#This Row],[LS_AVERAGE COST]])</f>
        <v>0</v>
      </c>
      <c r="K341" s="49">
        <f>IF(INVESTORS_LIST[[#This Row],[LS_TOTAL UNITS SOLD]]=0,0,SUMIFS(LS[Realized Gain],LS[Investor ID],INVESTORS_LIST[[#This Row],[INVESTOR CODE]],LS[B/S],"S"))</f>
        <v>0</v>
      </c>
      <c r="L341" s="47">
        <f>SUMIFS(SIP[Unit],SIP[Investor ID],INVESTORS_LIST[[#This Row],[INVESTOR CODE]],SIP[B/S],"B")</f>
        <v>0</v>
      </c>
      <c r="M341" s="47">
        <f>-SUMIFS(SIP[Unit],SIP[Investor ID],INVESTORS_LIST[[#This Row],[INVESTOR CODE]],SIP[B/S],"S")</f>
        <v>0</v>
      </c>
      <c r="N341" s="50">
        <f>IF(INVESTORS_LIST[[#This Row],[SIP_TOTAL UNITS BUY]]=0,0,INVESTORS_LIST[[#This Row],[SIP_TOTAL UNITS BUY]]-INVESTORS_LIST[[#This Row],[SIP_TOTAL UNITS SOLD]])</f>
        <v>0</v>
      </c>
      <c r="O341" s="49">
        <f>IF(INVESTORS_LIST[[#This Row],[SIP_TOTAL UNITS BUY]]=0,0,SUMIFS(SIP[Amount],SIP[Investor ID],INVESTORS_LIST[[#This Row],[INVESTOR CODE]],SIP[B/S],"B"))</f>
        <v>0</v>
      </c>
      <c r="P341" s="49">
        <f>IF(INVESTORS_LIST[[#This Row],[SIP_TOTAL UNITS SOLD]]=0,0,SUMIFS(SIP[Cost of Units Sold],SIP[Investor ID],INVESTORS_LIST[[#This Row],[INVESTOR CODE]],SIP[B/S],"S"))</f>
        <v>0</v>
      </c>
      <c r="Q341" s="48">
        <f>IF(INVESTORS_LIST[[#This Row],[SIP_TOTAL CURRENT UNITS]]=0,0,INVESTORS_LIST[[#This Row],[SIP_TOTAL CURRENT UNITS]]*INVESTORS_LIST[[#This Row],[SIP_AVERAGE COST]])</f>
        <v>0</v>
      </c>
      <c r="R341" s="48">
        <f>IF(INVESTORS_LIST[[#This Row],[SIP_TOTAL UNITS SOLD]]=0,0,SUMIFS(SIP[Realized Gain],SIP[Investor ID],INVESTORS_LIST[[#This Row],[INVESTOR CODE]],SIP[B/S],"S"))</f>
        <v>0</v>
      </c>
      <c r="S341" s="50">
        <f>INVESTORS_LIST[[#This Row],[LS_TOTAL UNITS BUY]]+INVESTORS_LIST[[#This Row],[SIP_TOTAL UNITS BUY]]</f>
        <v>0</v>
      </c>
      <c r="T341" s="50">
        <f>INVESTORS_LIST[[#This Row],[LS_TOTAL UNITS SOLD]]+INVESTORS_LIST[[#This Row],[SIP_TOTAL UNITS SOLD]]</f>
        <v>0</v>
      </c>
      <c r="U341" s="50"/>
      <c r="V341" s="50">
        <f>SUMIFS(LS[BO UNIT TRANSFER],LS[Investor ID],INVESTORS_LIST[[#This Row],[INVESTOR CODE]],LS[B/S],"B")</f>
        <v>0</v>
      </c>
      <c r="W341" s="50">
        <f>SUMIFS(SIP[BO UNIT TRANSFER],SIP[Investor ID],INVESTORS_LIST[[#This Row],[INVESTOR CODE]],SIP[B/S],"B")</f>
        <v>0</v>
      </c>
      <c r="X341" s="50">
        <f>SUMIFS(LS[BO UNIT TRANSFER],LS[Investor ID],INVESTORS_LIST[[#This Row],[INVESTOR CODE]],LS[B/S],"S")</f>
        <v>0</v>
      </c>
      <c r="Y341" s="50">
        <f>SUMIFS(SIP[BO UNIT TRANSFER],SIP[Investor ID],INVESTORS_LIST[[#This Row],[INVESTOR CODE]],SIP[B/S],"S")</f>
        <v>0</v>
      </c>
      <c r="Z341" s="106">
        <f>SUM(INVESTORS_LIST[[#This Row],[BO OPENING BALANCE]:[BO SIP UNITS REPURCHASE]])</f>
        <v>0</v>
      </c>
      <c r="AA341" s="107">
        <f>INVESTORS_LIST[[#This Row],[TOTAL UNITS BUY]]-INVESTORS_LIST[[#This Row],[TOTAL UNITS SOLD]]</f>
        <v>0</v>
      </c>
      <c r="AB341" s="107">
        <f>INVESTORS_LIST[[#This Row],[TOTAL CURRENT UNITS]]-INVESTORS_LIST[[#This Row],[BO UNITS HOLD]]</f>
        <v>0</v>
      </c>
      <c r="AC341" s="201" t="e">
        <f>INDEX([3]!Table_1[BO ID],MATCH(INVESTORS_LIST[[#This Row],[INVESTOR CODE]],[3]!Table_1[INVESTOR CODE],0))</f>
        <v>#REF!</v>
      </c>
      <c r="AD341" s="201" t="e">
        <f>INDEX([3]!Table_1[Brokerage Name2],MATCH(INVESTORS_LIST[[#This Row],[INVESTOR CODE]],[3]!Table_1[INVESTOR CODE],0))</f>
        <v>#REF!</v>
      </c>
      <c r="AE341" s="201" t="e">
        <f>MID(INVESTORS_LIST[[#This Row],[BO ID]],4,5)</f>
        <v>#REF!</v>
      </c>
      <c r="AF341" s="201" t="e">
        <f>MID(INVESTORS_LIST[[#This Row],[BO ID]],2,7)</f>
        <v>#REF!</v>
      </c>
      <c r="AG341" s="201" t="e">
        <f>MID(INVESTORS_LIST[[#This Row],[BO ID]],9,7)</f>
        <v>#REF!</v>
      </c>
      <c r="AH341" s="201" t="e">
        <f>RIGHT(INVESTORS_LIST[[#This Row],[BO ID]],1)</f>
        <v>#REF!</v>
      </c>
      <c r="AI341" s="50">
        <f>INVESTORS_LIST[[#This Row],[LS_TOTAL COST VALUE OF CURRENT UNITS]]+INVESTORS_LIST[[#This Row],[SIP_TOTAL COST VALUE OF CURRENT UNITS]]</f>
        <v>0</v>
      </c>
      <c r="AJ341" s="109">
        <f>IF(INVESTORS_LIST[[#This Row],[TOTAL CURRENT UNITS]]=0,0,INVESTORS_LIST[[#This Row],[LS_TOTAL CURRENT UNITS]]/INVESTORS_LIST[[#This Row],[TOTAL CURRENT UNITS]])</f>
        <v>0</v>
      </c>
      <c r="AK341" s="109">
        <f>IF(INVESTORS_LIST[[#This Row],[TOTAL CURRENT UNITS]]=0,0,INVESTORS_LIST[[#This Row],[SIP_TOTAL CURRENT UNITS]]/INVESTORS_LIST[[#This Row],[TOTAL CURRENT UNITS]])</f>
        <v>0</v>
      </c>
      <c r="AL341" s="49" cm="1">
        <f t="array" ref="AL3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1" s="49" cm="1">
        <f t="array" ref="AM3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1" s="105">
        <f t="shared" si="6"/>
        <v>14.224</v>
      </c>
      <c r="AP341" s="112">
        <f>IF(INVESTORS_LIST[[#This Row],[TOTAL CURRENT UNITS]]=0,0,INVESTORS_LIST[[#This Row],[TOTAL CURRENT UNITS]]*INVESTORS_LIST[[#This Row],[NAV]])</f>
        <v>0</v>
      </c>
      <c r="AQ341" s="49">
        <f>IF(INVESTORS_LIST[[#This Row],[LS_TOTAL CURRENT UNITS]]=0,0,INVESTORS_LIST[[#This Row],[LS_TOTAL CURRENT UNITS]]*INVESTORS_LIST[[#This Row],[NAV]])</f>
        <v>0</v>
      </c>
      <c r="AR341" s="48">
        <f>IF(INVESTORS_LIST[[#This Row],[SIP_TOTAL CURRENT UNITS]]=0,0,INVESTORS_LIST[[#This Row],[SIP_TOTAL CURRENT UNITS]]*INVESTORS_LIST[[#This Row],[NAV]])</f>
        <v>0</v>
      </c>
      <c r="AS341" s="50">
        <f>INVESTORS_LIST[[#This Row],[TOTAL CURRENT UNITS]]</f>
        <v>0</v>
      </c>
      <c r="AT341" s="48">
        <f>IF(INVESTORS_LIST[[#This Row],[TOTAL SELLABLE UNITS]]=0,0,INVESTORS_LIST[[#This Row],[TOTAL SELLABLE UNITS]]*INVESTORS_LIST[[#This Row],[NAV]])</f>
        <v>0</v>
      </c>
      <c r="AU341" s="48">
        <f>INVESTORS_LIST[[#This Row],[LS_TOTAL REALIZED GAIN]]+INVESTORS_LIST[[#This Row],[SIP_TOTAL REALIZED GAIN]]</f>
        <v>0</v>
      </c>
      <c r="AV341" s="48">
        <f>INVESTORS_LIST[[#This Row],[TOTAL MARKET VALUE]]-INVESTORS_LIST[[#This Row],[TOTAL COST VALUE OF CURRENT INVESTMENT]]</f>
        <v>0</v>
      </c>
      <c r="AW341" s="48">
        <f>IFERROR(INVESTORS_LIST[[#This Row],[TOTAL CURRENT UNITS]]/SUM(INVESTORS_LIST[TOTAL CURRENT UNITS]),0)</f>
        <v>0</v>
      </c>
    </row>
    <row r="342" spans="1:49" hidden="1">
      <c r="A342" s="262" t="s">
        <v>731</v>
      </c>
      <c r="B342" s="97" t="s">
        <v>732</v>
      </c>
      <c r="C342" t="s">
        <v>44</v>
      </c>
      <c r="D342" s="75" t="s">
        <v>45</v>
      </c>
      <c r="E342" s="47">
        <f>SUMIFS(LS[Unit],LS[Investor ID],INVESTORS_LIST[[#This Row],[INVESTOR CODE]],LS[B/S],"B")</f>
        <v>0</v>
      </c>
      <c r="F342" s="47">
        <f>-SUMIFS(LS[Unit],LS[Investor ID],INVESTORS_LIST[[#This Row],[INVESTOR CODE]],LS[B/S],"S")</f>
        <v>0</v>
      </c>
      <c r="G342" s="47">
        <f>IF(INVESTORS_LIST[[#This Row],[LS_TOTAL UNITS BUY]]=0,0,INVESTORS_LIST[[#This Row],[LS_TOTAL UNITS BUY]]-INVESTORS_LIST[[#This Row],[LS_TOTAL UNITS SOLD]])</f>
        <v>0</v>
      </c>
      <c r="H342" s="49">
        <f>IF(INVESTORS_LIST[[#This Row],[LS_TOTAL UNITS BUY]]=0,0,SUMIFS(LS[Amount],LS[Investor ID],INVESTORS_LIST[[#This Row],[INVESTOR CODE]],LS[B/S],"B"))</f>
        <v>0</v>
      </c>
      <c r="I342" s="48">
        <f>IF(INVESTORS_LIST[[#This Row],[LS_TOTAL UNITS SOLD]]=0,0,SUMIFS(LS[Cost of Units Sold],LS[Investor ID],INVESTORS_LIST[[#This Row],[INVESTOR CODE]],LS[B/S],"S"))</f>
        <v>0</v>
      </c>
      <c r="J342" s="48">
        <f>IF(INVESTORS_LIST[[#This Row],[LS_TOTAL CURRENT UNITS]]=0,0,INVESTORS_LIST[[#This Row],[LS_TOTAL CURRENT UNITS]]*INVESTORS_LIST[[#This Row],[LS_AVERAGE COST]])</f>
        <v>0</v>
      </c>
      <c r="K342" s="49">
        <f>IF(INVESTORS_LIST[[#This Row],[LS_TOTAL UNITS SOLD]]=0,0,SUMIFS(LS[Realized Gain],LS[Investor ID],INVESTORS_LIST[[#This Row],[INVESTOR CODE]],LS[B/S],"S"))</f>
        <v>0</v>
      </c>
      <c r="L342" s="47">
        <f>SUMIFS(SIP[Unit],SIP[Investor ID],INVESTORS_LIST[[#This Row],[INVESTOR CODE]],SIP[B/S],"B")</f>
        <v>0</v>
      </c>
      <c r="M342" s="47">
        <f>-SUMIFS(SIP[Unit],SIP[Investor ID],INVESTORS_LIST[[#This Row],[INVESTOR CODE]],SIP[B/S],"S")</f>
        <v>0</v>
      </c>
      <c r="N342" s="50">
        <f>IF(INVESTORS_LIST[[#This Row],[SIP_TOTAL UNITS BUY]]=0,0,INVESTORS_LIST[[#This Row],[SIP_TOTAL UNITS BUY]]-INVESTORS_LIST[[#This Row],[SIP_TOTAL UNITS SOLD]])</f>
        <v>0</v>
      </c>
      <c r="O342" s="49">
        <f>IF(INVESTORS_LIST[[#This Row],[SIP_TOTAL UNITS BUY]]=0,0,SUMIFS(SIP[Amount],SIP[Investor ID],INVESTORS_LIST[[#This Row],[INVESTOR CODE]],SIP[B/S],"B"))</f>
        <v>0</v>
      </c>
      <c r="P342" s="49">
        <f>IF(INVESTORS_LIST[[#This Row],[SIP_TOTAL UNITS SOLD]]=0,0,SUMIFS(SIP[Cost of Units Sold],SIP[Investor ID],INVESTORS_LIST[[#This Row],[INVESTOR CODE]],SIP[B/S],"S"))</f>
        <v>0</v>
      </c>
      <c r="Q342" s="48">
        <f>IF(INVESTORS_LIST[[#This Row],[SIP_TOTAL CURRENT UNITS]]=0,0,INVESTORS_LIST[[#This Row],[SIP_TOTAL CURRENT UNITS]]*INVESTORS_LIST[[#This Row],[SIP_AVERAGE COST]])</f>
        <v>0</v>
      </c>
      <c r="R342" s="48">
        <f>IF(INVESTORS_LIST[[#This Row],[SIP_TOTAL UNITS SOLD]]=0,0,SUMIFS(SIP[Realized Gain],SIP[Investor ID],INVESTORS_LIST[[#This Row],[INVESTOR CODE]],SIP[B/S],"S"))</f>
        <v>0</v>
      </c>
      <c r="S342" s="50">
        <f>INVESTORS_LIST[[#This Row],[LS_TOTAL UNITS BUY]]+INVESTORS_LIST[[#This Row],[SIP_TOTAL UNITS BUY]]</f>
        <v>0</v>
      </c>
      <c r="T342" s="50">
        <f>INVESTORS_LIST[[#This Row],[LS_TOTAL UNITS SOLD]]+INVESTORS_LIST[[#This Row],[SIP_TOTAL UNITS SOLD]]</f>
        <v>0</v>
      </c>
      <c r="U342" s="50"/>
      <c r="V342" s="50">
        <f>SUMIFS(LS[BO UNIT TRANSFER],LS[Investor ID],INVESTORS_LIST[[#This Row],[INVESTOR CODE]],LS[B/S],"B")</f>
        <v>0</v>
      </c>
      <c r="W342" s="50">
        <f>SUMIFS(SIP[BO UNIT TRANSFER],SIP[Investor ID],INVESTORS_LIST[[#This Row],[INVESTOR CODE]],SIP[B/S],"B")</f>
        <v>0</v>
      </c>
      <c r="X342" s="50">
        <f>SUMIFS(LS[BO UNIT TRANSFER],LS[Investor ID],INVESTORS_LIST[[#This Row],[INVESTOR CODE]],LS[B/S],"S")</f>
        <v>0</v>
      </c>
      <c r="Y342" s="50">
        <f>SUMIFS(SIP[BO UNIT TRANSFER],SIP[Investor ID],INVESTORS_LIST[[#This Row],[INVESTOR CODE]],SIP[B/S],"S")</f>
        <v>0</v>
      </c>
      <c r="Z342" s="106">
        <f>SUM(INVESTORS_LIST[[#This Row],[BO OPENING BALANCE]:[BO SIP UNITS REPURCHASE]])</f>
        <v>0</v>
      </c>
      <c r="AA342" s="107">
        <f>INVESTORS_LIST[[#This Row],[TOTAL UNITS BUY]]-INVESTORS_LIST[[#This Row],[TOTAL UNITS SOLD]]</f>
        <v>0</v>
      </c>
      <c r="AB342" s="107">
        <f>INVESTORS_LIST[[#This Row],[TOTAL CURRENT UNITS]]-INVESTORS_LIST[[#This Row],[BO UNITS HOLD]]</f>
        <v>0</v>
      </c>
      <c r="AC342" s="201" t="e">
        <f>INDEX([3]!Table_1[BO ID],MATCH(INVESTORS_LIST[[#This Row],[INVESTOR CODE]],[3]!Table_1[INVESTOR CODE],0))</f>
        <v>#REF!</v>
      </c>
      <c r="AD342" s="201" t="e">
        <f>INDEX([3]!Table_1[Brokerage Name2],MATCH(INVESTORS_LIST[[#This Row],[INVESTOR CODE]],[3]!Table_1[INVESTOR CODE],0))</f>
        <v>#REF!</v>
      </c>
      <c r="AE342" s="201" t="e">
        <f>MID(INVESTORS_LIST[[#This Row],[BO ID]],4,5)</f>
        <v>#REF!</v>
      </c>
      <c r="AF342" s="201" t="e">
        <f>MID(INVESTORS_LIST[[#This Row],[BO ID]],2,7)</f>
        <v>#REF!</v>
      </c>
      <c r="AG342" s="201" t="e">
        <f>MID(INVESTORS_LIST[[#This Row],[BO ID]],9,7)</f>
        <v>#REF!</v>
      </c>
      <c r="AH342" s="201" t="e">
        <f>RIGHT(INVESTORS_LIST[[#This Row],[BO ID]],1)</f>
        <v>#REF!</v>
      </c>
      <c r="AI342" s="50">
        <f>INVESTORS_LIST[[#This Row],[LS_TOTAL COST VALUE OF CURRENT UNITS]]+INVESTORS_LIST[[#This Row],[SIP_TOTAL COST VALUE OF CURRENT UNITS]]</f>
        <v>0</v>
      </c>
      <c r="AJ342" s="109">
        <f>IF(INVESTORS_LIST[[#This Row],[TOTAL CURRENT UNITS]]=0,0,INVESTORS_LIST[[#This Row],[LS_TOTAL CURRENT UNITS]]/INVESTORS_LIST[[#This Row],[TOTAL CURRENT UNITS]])</f>
        <v>0</v>
      </c>
      <c r="AK342" s="109">
        <f>IF(INVESTORS_LIST[[#This Row],[TOTAL CURRENT UNITS]]=0,0,INVESTORS_LIST[[#This Row],[SIP_TOTAL CURRENT UNITS]]/INVESTORS_LIST[[#This Row],[TOTAL CURRENT UNITS]])</f>
        <v>0</v>
      </c>
      <c r="AL342" s="49" cm="1">
        <f t="array" ref="AL3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2" s="49" cm="1">
        <f t="array" ref="AM3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2" s="105">
        <f t="shared" si="6"/>
        <v>14.224</v>
      </c>
      <c r="AP342" s="112">
        <f>IF(INVESTORS_LIST[[#This Row],[TOTAL CURRENT UNITS]]=0,0,INVESTORS_LIST[[#This Row],[TOTAL CURRENT UNITS]]*INVESTORS_LIST[[#This Row],[NAV]])</f>
        <v>0</v>
      </c>
      <c r="AQ342" s="49">
        <f>IF(INVESTORS_LIST[[#This Row],[LS_TOTAL CURRENT UNITS]]=0,0,INVESTORS_LIST[[#This Row],[LS_TOTAL CURRENT UNITS]]*INVESTORS_LIST[[#This Row],[NAV]])</f>
        <v>0</v>
      </c>
      <c r="AR342" s="48">
        <f>IF(INVESTORS_LIST[[#This Row],[SIP_TOTAL CURRENT UNITS]]=0,0,INVESTORS_LIST[[#This Row],[SIP_TOTAL CURRENT UNITS]]*INVESTORS_LIST[[#This Row],[NAV]])</f>
        <v>0</v>
      </c>
      <c r="AS342" s="50">
        <f>INVESTORS_LIST[[#This Row],[TOTAL CURRENT UNITS]]</f>
        <v>0</v>
      </c>
      <c r="AT342" s="48">
        <f>IF(INVESTORS_LIST[[#This Row],[TOTAL SELLABLE UNITS]]=0,0,INVESTORS_LIST[[#This Row],[TOTAL SELLABLE UNITS]]*INVESTORS_LIST[[#This Row],[NAV]])</f>
        <v>0</v>
      </c>
      <c r="AU342" s="48">
        <f>INVESTORS_LIST[[#This Row],[LS_TOTAL REALIZED GAIN]]+INVESTORS_LIST[[#This Row],[SIP_TOTAL REALIZED GAIN]]</f>
        <v>0</v>
      </c>
      <c r="AV342" s="48">
        <f>INVESTORS_LIST[[#This Row],[TOTAL MARKET VALUE]]-INVESTORS_LIST[[#This Row],[TOTAL COST VALUE OF CURRENT INVESTMENT]]</f>
        <v>0</v>
      </c>
      <c r="AW342" s="48">
        <f>IFERROR(INVESTORS_LIST[[#This Row],[TOTAL CURRENT UNITS]]/SUM(INVESTORS_LIST[TOTAL CURRENT UNITS]),0)</f>
        <v>0</v>
      </c>
    </row>
    <row r="343" spans="1:49" hidden="1">
      <c r="A343" s="262" t="s">
        <v>733</v>
      </c>
      <c r="B343" s="97" t="s">
        <v>734</v>
      </c>
      <c r="C343" t="s">
        <v>44</v>
      </c>
      <c r="D343" s="75" t="s">
        <v>45</v>
      </c>
      <c r="E343" s="47">
        <f>SUMIFS(LS[Unit],LS[Investor ID],INVESTORS_LIST[[#This Row],[INVESTOR CODE]],LS[B/S],"B")</f>
        <v>0</v>
      </c>
      <c r="F343" s="47">
        <f>-SUMIFS(LS[Unit],LS[Investor ID],INVESTORS_LIST[[#This Row],[INVESTOR CODE]],LS[B/S],"S")</f>
        <v>0</v>
      </c>
      <c r="G343" s="47">
        <f>IF(INVESTORS_LIST[[#This Row],[LS_TOTAL UNITS BUY]]=0,0,INVESTORS_LIST[[#This Row],[LS_TOTAL UNITS BUY]]-INVESTORS_LIST[[#This Row],[LS_TOTAL UNITS SOLD]])</f>
        <v>0</v>
      </c>
      <c r="H343" s="49">
        <f>IF(INVESTORS_LIST[[#This Row],[LS_TOTAL UNITS BUY]]=0,0,SUMIFS(LS[Amount],LS[Investor ID],INVESTORS_LIST[[#This Row],[INVESTOR CODE]],LS[B/S],"B"))</f>
        <v>0</v>
      </c>
      <c r="I343" s="48">
        <f>IF(INVESTORS_LIST[[#This Row],[LS_TOTAL UNITS SOLD]]=0,0,SUMIFS(LS[Cost of Units Sold],LS[Investor ID],INVESTORS_LIST[[#This Row],[INVESTOR CODE]],LS[B/S],"S"))</f>
        <v>0</v>
      </c>
      <c r="J343" s="48">
        <f>IF(INVESTORS_LIST[[#This Row],[LS_TOTAL CURRENT UNITS]]=0,0,INVESTORS_LIST[[#This Row],[LS_TOTAL CURRENT UNITS]]*INVESTORS_LIST[[#This Row],[LS_AVERAGE COST]])</f>
        <v>0</v>
      </c>
      <c r="K343" s="49">
        <f>IF(INVESTORS_LIST[[#This Row],[LS_TOTAL UNITS SOLD]]=0,0,SUMIFS(LS[Realized Gain],LS[Investor ID],INVESTORS_LIST[[#This Row],[INVESTOR CODE]],LS[B/S],"S"))</f>
        <v>0</v>
      </c>
      <c r="L343" s="47">
        <f>SUMIFS(SIP[Unit],SIP[Investor ID],INVESTORS_LIST[[#This Row],[INVESTOR CODE]],SIP[B/S],"B")</f>
        <v>0</v>
      </c>
      <c r="M343" s="47">
        <f>-SUMIFS(SIP[Unit],SIP[Investor ID],INVESTORS_LIST[[#This Row],[INVESTOR CODE]],SIP[B/S],"S")</f>
        <v>0</v>
      </c>
      <c r="N343" s="50">
        <f>IF(INVESTORS_LIST[[#This Row],[SIP_TOTAL UNITS BUY]]=0,0,INVESTORS_LIST[[#This Row],[SIP_TOTAL UNITS BUY]]-INVESTORS_LIST[[#This Row],[SIP_TOTAL UNITS SOLD]])</f>
        <v>0</v>
      </c>
      <c r="O343" s="49">
        <f>IF(INVESTORS_LIST[[#This Row],[SIP_TOTAL UNITS BUY]]=0,0,SUMIFS(SIP[Amount],SIP[Investor ID],INVESTORS_LIST[[#This Row],[INVESTOR CODE]],SIP[B/S],"B"))</f>
        <v>0</v>
      </c>
      <c r="P343" s="49">
        <f>IF(INVESTORS_LIST[[#This Row],[SIP_TOTAL UNITS SOLD]]=0,0,SUMIFS(SIP[Cost of Units Sold],SIP[Investor ID],INVESTORS_LIST[[#This Row],[INVESTOR CODE]],SIP[B/S],"S"))</f>
        <v>0</v>
      </c>
      <c r="Q343" s="48">
        <f>IF(INVESTORS_LIST[[#This Row],[SIP_TOTAL CURRENT UNITS]]=0,0,INVESTORS_LIST[[#This Row],[SIP_TOTAL CURRENT UNITS]]*INVESTORS_LIST[[#This Row],[SIP_AVERAGE COST]])</f>
        <v>0</v>
      </c>
      <c r="R343" s="48">
        <f>IF(INVESTORS_LIST[[#This Row],[SIP_TOTAL UNITS SOLD]]=0,0,SUMIFS(SIP[Realized Gain],SIP[Investor ID],INVESTORS_LIST[[#This Row],[INVESTOR CODE]],SIP[B/S],"S"))</f>
        <v>0</v>
      </c>
      <c r="S343" s="50">
        <f>INVESTORS_LIST[[#This Row],[LS_TOTAL UNITS BUY]]+INVESTORS_LIST[[#This Row],[SIP_TOTAL UNITS BUY]]</f>
        <v>0</v>
      </c>
      <c r="T343" s="50">
        <f>INVESTORS_LIST[[#This Row],[LS_TOTAL UNITS SOLD]]+INVESTORS_LIST[[#This Row],[SIP_TOTAL UNITS SOLD]]</f>
        <v>0</v>
      </c>
      <c r="U343" s="50"/>
      <c r="V343" s="50">
        <f>SUMIFS(LS[BO UNIT TRANSFER],LS[Investor ID],INVESTORS_LIST[[#This Row],[INVESTOR CODE]],LS[B/S],"B")</f>
        <v>0</v>
      </c>
      <c r="W343" s="50">
        <f>SUMIFS(SIP[BO UNIT TRANSFER],SIP[Investor ID],INVESTORS_LIST[[#This Row],[INVESTOR CODE]],SIP[B/S],"B")</f>
        <v>0</v>
      </c>
      <c r="X343" s="50">
        <f>SUMIFS(LS[BO UNIT TRANSFER],LS[Investor ID],INVESTORS_LIST[[#This Row],[INVESTOR CODE]],LS[B/S],"S")</f>
        <v>0</v>
      </c>
      <c r="Y343" s="50">
        <f>SUMIFS(SIP[BO UNIT TRANSFER],SIP[Investor ID],INVESTORS_LIST[[#This Row],[INVESTOR CODE]],SIP[B/S],"S")</f>
        <v>0</v>
      </c>
      <c r="Z343" s="106">
        <f>SUM(INVESTORS_LIST[[#This Row],[BO OPENING BALANCE]:[BO SIP UNITS REPURCHASE]])</f>
        <v>0</v>
      </c>
      <c r="AA343" s="107">
        <f>INVESTORS_LIST[[#This Row],[TOTAL UNITS BUY]]-INVESTORS_LIST[[#This Row],[TOTAL UNITS SOLD]]</f>
        <v>0</v>
      </c>
      <c r="AB343" s="107">
        <f>INVESTORS_LIST[[#This Row],[TOTAL CURRENT UNITS]]-INVESTORS_LIST[[#This Row],[BO UNITS HOLD]]</f>
        <v>0</v>
      </c>
      <c r="AC343" s="201" t="e">
        <f>INDEX([3]!Table_1[BO ID],MATCH(INVESTORS_LIST[[#This Row],[INVESTOR CODE]],[3]!Table_1[INVESTOR CODE],0))</f>
        <v>#REF!</v>
      </c>
      <c r="AD343" s="201" t="e">
        <f>INDEX([3]!Table_1[Brokerage Name2],MATCH(INVESTORS_LIST[[#This Row],[INVESTOR CODE]],[3]!Table_1[INVESTOR CODE],0))</f>
        <v>#REF!</v>
      </c>
      <c r="AE343" s="201" t="e">
        <f>MID(INVESTORS_LIST[[#This Row],[BO ID]],4,5)</f>
        <v>#REF!</v>
      </c>
      <c r="AF343" s="201" t="e">
        <f>MID(INVESTORS_LIST[[#This Row],[BO ID]],2,7)</f>
        <v>#REF!</v>
      </c>
      <c r="AG343" s="201" t="e">
        <f>MID(INVESTORS_LIST[[#This Row],[BO ID]],9,7)</f>
        <v>#REF!</v>
      </c>
      <c r="AH343" s="201" t="e">
        <f>RIGHT(INVESTORS_LIST[[#This Row],[BO ID]],1)</f>
        <v>#REF!</v>
      </c>
      <c r="AI343" s="50">
        <f>INVESTORS_LIST[[#This Row],[LS_TOTAL COST VALUE OF CURRENT UNITS]]+INVESTORS_LIST[[#This Row],[SIP_TOTAL COST VALUE OF CURRENT UNITS]]</f>
        <v>0</v>
      </c>
      <c r="AJ343" s="109">
        <f>IF(INVESTORS_LIST[[#This Row],[TOTAL CURRENT UNITS]]=0,0,INVESTORS_LIST[[#This Row],[LS_TOTAL CURRENT UNITS]]/INVESTORS_LIST[[#This Row],[TOTAL CURRENT UNITS]])</f>
        <v>0</v>
      </c>
      <c r="AK343" s="109">
        <f>IF(INVESTORS_LIST[[#This Row],[TOTAL CURRENT UNITS]]=0,0,INVESTORS_LIST[[#This Row],[SIP_TOTAL CURRENT UNITS]]/INVESTORS_LIST[[#This Row],[TOTAL CURRENT UNITS]])</f>
        <v>0</v>
      </c>
      <c r="AL343" s="49" cm="1">
        <f t="array" ref="AL3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3" s="49" cm="1">
        <f t="array" ref="AM3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3" s="105">
        <f t="shared" si="6"/>
        <v>14.224</v>
      </c>
      <c r="AP343" s="112">
        <f>IF(INVESTORS_LIST[[#This Row],[TOTAL CURRENT UNITS]]=0,0,INVESTORS_LIST[[#This Row],[TOTAL CURRENT UNITS]]*INVESTORS_LIST[[#This Row],[NAV]])</f>
        <v>0</v>
      </c>
      <c r="AQ343" s="49">
        <f>IF(INVESTORS_LIST[[#This Row],[LS_TOTAL CURRENT UNITS]]=0,0,INVESTORS_LIST[[#This Row],[LS_TOTAL CURRENT UNITS]]*INVESTORS_LIST[[#This Row],[NAV]])</f>
        <v>0</v>
      </c>
      <c r="AR343" s="48">
        <f>IF(INVESTORS_LIST[[#This Row],[SIP_TOTAL CURRENT UNITS]]=0,0,INVESTORS_LIST[[#This Row],[SIP_TOTAL CURRENT UNITS]]*INVESTORS_LIST[[#This Row],[NAV]])</f>
        <v>0</v>
      </c>
      <c r="AS343" s="50">
        <f>INVESTORS_LIST[[#This Row],[TOTAL CURRENT UNITS]]</f>
        <v>0</v>
      </c>
      <c r="AT343" s="48">
        <f>IF(INVESTORS_LIST[[#This Row],[TOTAL SELLABLE UNITS]]=0,0,INVESTORS_LIST[[#This Row],[TOTAL SELLABLE UNITS]]*INVESTORS_LIST[[#This Row],[NAV]])</f>
        <v>0</v>
      </c>
      <c r="AU343" s="48">
        <f>INVESTORS_LIST[[#This Row],[LS_TOTAL REALIZED GAIN]]+INVESTORS_LIST[[#This Row],[SIP_TOTAL REALIZED GAIN]]</f>
        <v>0</v>
      </c>
      <c r="AV343" s="48">
        <f>INVESTORS_LIST[[#This Row],[TOTAL MARKET VALUE]]-INVESTORS_LIST[[#This Row],[TOTAL COST VALUE OF CURRENT INVESTMENT]]</f>
        <v>0</v>
      </c>
      <c r="AW343" s="48">
        <f>IFERROR(INVESTORS_LIST[[#This Row],[TOTAL CURRENT UNITS]]/SUM(INVESTORS_LIST[TOTAL CURRENT UNITS]),0)</f>
        <v>0</v>
      </c>
    </row>
    <row r="344" spans="1:49" hidden="1">
      <c r="A344" s="262" t="s">
        <v>735</v>
      </c>
      <c r="B344" s="97" t="s">
        <v>736</v>
      </c>
      <c r="C344" t="s">
        <v>48</v>
      </c>
      <c r="D344" s="75" t="s">
        <v>49</v>
      </c>
      <c r="E344" s="47">
        <f>SUMIFS(LS[Unit],LS[Investor ID],INVESTORS_LIST[[#This Row],[INVESTOR CODE]],LS[B/S],"B")</f>
        <v>441077</v>
      </c>
      <c r="F344" s="47">
        <f>-SUMIFS(LS[Unit],LS[Investor ID],INVESTORS_LIST[[#This Row],[INVESTOR CODE]],LS[B/S],"S")</f>
        <v>441077</v>
      </c>
      <c r="G344" s="47">
        <f>IF(INVESTORS_LIST[[#This Row],[LS_TOTAL UNITS BUY]]=0,0,INVESTORS_LIST[[#This Row],[LS_TOTAL UNITS BUY]]-INVESTORS_LIST[[#This Row],[LS_TOTAL UNITS SOLD]])</f>
        <v>0</v>
      </c>
      <c r="H344" s="49">
        <f>IF(INVESTORS_LIST[[#This Row],[LS_TOTAL UNITS BUY]]=0,0,SUMIFS(LS[Amount],LS[Investor ID],INVESTORS_LIST[[#This Row],[INVESTOR CODE]],LS[B/S],"B"))</f>
        <v>4500000</v>
      </c>
      <c r="I344" s="48">
        <f>IF(INVESTORS_LIST[[#This Row],[LS_TOTAL UNITS SOLD]]=0,0,SUMIFS(LS[Cost of Units Sold],LS[Investor ID],INVESTORS_LIST[[#This Row],[INVESTOR CODE]],LS[B/S],"S"))</f>
        <v>4500000</v>
      </c>
      <c r="J344" s="48">
        <f>IF(INVESTORS_LIST[[#This Row],[LS_TOTAL CURRENT UNITS]]=0,0,INVESTORS_LIST[[#This Row],[LS_TOTAL CURRENT UNITS]]*INVESTORS_LIST[[#This Row],[LS_AVERAGE COST]])</f>
        <v>0</v>
      </c>
      <c r="K344" s="49">
        <f>IF(INVESTORS_LIST[[#This Row],[LS_TOTAL UNITS SOLD]]=0,0,SUMIFS(LS[Realized Gain],LS[Investor ID],INVESTORS_LIST[[#This Row],[INVESTOR CODE]],LS[B/S],"S"))</f>
        <v>1079182.9699999995</v>
      </c>
      <c r="L344" s="47">
        <f>SUMIFS(SIP[Unit],SIP[Investor ID],INVESTORS_LIST[[#This Row],[INVESTOR CODE]],SIP[B/S],"B")</f>
        <v>0</v>
      </c>
      <c r="M344" s="47">
        <f>-SUMIFS(SIP[Unit],SIP[Investor ID],INVESTORS_LIST[[#This Row],[INVESTOR CODE]],SIP[B/S],"S")</f>
        <v>0</v>
      </c>
      <c r="N344" s="50">
        <f>IF(INVESTORS_LIST[[#This Row],[SIP_TOTAL UNITS BUY]]=0,0,INVESTORS_LIST[[#This Row],[SIP_TOTAL UNITS BUY]]-INVESTORS_LIST[[#This Row],[SIP_TOTAL UNITS SOLD]])</f>
        <v>0</v>
      </c>
      <c r="O344" s="49">
        <f>IF(INVESTORS_LIST[[#This Row],[SIP_TOTAL UNITS BUY]]=0,0,SUMIFS(SIP[Amount],SIP[Investor ID],INVESTORS_LIST[[#This Row],[INVESTOR CODE]],SIP[B/S],"B"))</f>
        <v>0</v>
      </c>
      <c r="P344" s="49">
        <f>IF(INVESTORS_LIST[[#This Row],[SIP_TOTAL UNITS SOLD]]=0,0,SUMIFS(SIP[Cost of Units Sold],SIP[Investor ID],INVESTORS_LIST[[#This Row],[INVESTOR CODE]],SIP[B/S],"S"))</f>
        <v>0</v>
      </c>
      <c r="Q344" s="48">
        <f>IF(INVESTORS_LIST[[#This Row],[SIP_TOTAL CURRENT UNITS]]=0,0,INVESTORS_LIST[[#This Row],[SIP_TOTAL CURRENT UNITS]]*INVESTORS_LIST[[#This Row],[SIP_AVERAGE COST]])</f>
        <v>0</v>
      </c>
      <c r="R344" s="48">
        <f>IF(INVESTORS_LIST[[#This Row],[SIP_TOTAL UNITS SOLD]]=0,0,SUMIFS(SIP[Realized Gain],SIP[Investor ID],INVESTORS_LIST[[#This Row],[INVESTOR CODE]],SIP[B/S],"S"))</f>
        <v>0</v>
      </c>
      <c r="S344" s="50">
        <f>INVESTORS_LIST[[#This Row],[LS_TOTAL UNITS BUY]]+INVESTORS_LIST[[#This Row],[SIP_TOTAL UNITS BUY]]</f>
        <v>441077</v>
      </c>
      <c r="T344" s="50">
        <f>INVESTORS_LIST[[#This Row],[LS_TOTAL UNITS SOLD]]+INVESTORS_LIST[[#This Row],[SIP_TOTAL UNITS SOLD]]</f>
        <v>441077</v>
      </c>
      <c r="U344" s="50"/>
      <c r="V344" s="50">
        <f>SUMIFS(LS[BO UNIT TRANSFER],LS[Investor ID],INVESTORS_LIST[[#This Row],[INVESTOR CODE]],LS[B/S],"B")</f>
        <v>0</v>
      </c>
      <c r="W344" s="50">
        <f>SUMIFS(SIP[BO UNIT TRANSFER],SIP[Investor ID],INVESTORS_LIST[[#This Row],[INVESTOR CODE]],SIP[B/S],"B")</f>
        <v>0</v>
      </c>
      <c r="X344" s="50">
        <f>SUMIFS(LS[BO UNIT TRANSFER],LS[Investor ID],INVESTORS_LIST[[#This Row],[INVESTOR CODE]],LS[B/S],"S")</f>
        <v>0</v>
      </c>
      <c r="Y344" s="50">
        <f>SUMIFS(SIP[BO UNIT TRANSFER],SIP[Investor ID],INVESTORS_LIST[[#This Row],[INVESTOR CODE]],SIP[B/S],"S")</f>
        <v>0</v>
      </c>
      <c r="Z344" s="106">
        <f>SUM(INVESTORS_LIST[[#This Row],[BO OPENING BALANCE]:[BO SIP UNITS REPURCHASE]])</f>
        <v>0</v>
      </c>
      <c r="AA344" s="107">
        <f>INVESTORS_LIST[[#This Row],[TOTAL UNITS BUY]]-INVESTORS_LIST[[#This Row],[TOTAL UNITS SOLD]]</f>
        <v>0</v>
      </c>
      <c r="AB344" s="107">
        <f>INVESTORS_LIST[[#This Row],[TOTAL CURRENT UNITS]]-INVESTORS_LIST[[#This Row],[BO UNITS HOLD]]</f>
        <v>0</v>
      </c>
      <c r="AC344" s="201" t="e">
        <f>INDEX([3]!Table_1[BO ID],MATCH(INVESTORS_LIST[[#This Row],[INVESTOR CODE]],[3]!Table_1[INVESTOR CODE],0))</f>
        <v>#REF!</v>
      </c>
      <c r="AD344" s="201" t="e">
        <f>INDEX([3]!Table_1[Brokerage Name2],MATCH(INVESTORS_LIST[[#This Row],[INVESTOR CODE]],[3]!Table_1[INVESTOR CODE],0))</f>
        <v>#REF!</v>
      </c>
      <c r="AE344" s="201" t="e">
        <f>MID(INVESTORS_LIST[[#This Row],[BO ID]],4,5)</f>
        <v>#REF!</v>
      </c>
      <c r="AF344" s="201" t="e">
        <f>MID(INVESTORS_LIST[[#This Row],[BO ID]],2,7)</f>
        <v>#REF!</v>
      </c>
      <c r="AG344" s="201" t="e">
        <f>MID(INVESTORS_LIST[[#This Row],[BO ID]],9,7)</f>
        <v>#REF!</v>
      </c>
      <c r="AH344" s="201" t="e">
        <f>RIGHT(INVESTORS_LIST[[#This Row],[BO ID]],1)</f>
        <v>#REF!</v>
      </c>
      <c r="AI344" s="50">
        <f>INVESTORS_LIST[[#This Row],[LS_TOTAL COST VALUE OF CURRENT UNITS]]+INVESTORS_LIST[[#This Row],[SIP_TOTAL COST VALUE OF CURRENT UNITS]]</f>
        <v>0</v>
      </c>
      <c r="AJ344" s="109">
        <f>IF(INVESTORS_LIST[[#This Row],[TOTAL CURRENT UNITS]]=0,0,INVESTORS_LIST[[#This Row],[LS_TOTAL CURRENT UNITS]]/INVESTORS_LIST[[#This Row],[TOTAL CURRENT UNITS]])</f>
        <v>0</v>
      </c>
      <c r="AK344" s="109">
        <f>IF(INVESTORS_LIST[[#This Row],[TOTAL CURRENT UNITS]]=0,0,INVESTORS_LIST[[#This Row],[SIP_TOTAL CURRENT UNITS]]/INVESTORS_LIST[[#This Row],[TOTAL CURRENT UNITS]])</f>
        <v>0</v>
      </c>
      <c r="AL344" s="49" cm="1">
        <f t="array" ref="AL3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4" s="49" cm="1">
        <f t="array" ref="AM3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4" s="105">
        <f t="shared" si="6"/>
        <v>14.224</v>
      </c>
      <c r="AP344" s="112">
        <f>IF(INVESTORS_LIST[[#This Row],[TOTAL CURRENT UNITS]]=0,0,INVESTORS_LIST[[#This Row],[TOTAL CURRENT UNITS]]*INVESTORS_LIST[[#This Row],[NAV]])</f>
        <v>0</v>
      </c>
      <c r="AQ344" s="49">
        <f>IF(INVESTORS_LIST[[#This Row],[LS_TOTAL CURRENT UNITS]]=0,0,INVESTORS_LIST[[#This Row],[LS_TOTAL CURRENT UNITS]]*INVESTORS_LIST[[#This Row],[NAV]])</f>
        <v>0</v>
      </c>
      <c r="AR344" s="48">
        <f>IF(INVESTORS_LIST[[#This Row],[SIP_TOTAL CURRENT UNITS]]=0,0,INVESTORS_LIST[[#This Row],[SIP_TOTAL CURRENT UNITS]]*INVESTORS_LIST[[#This Row],[NAV]])</f>
        <v>0</v>
      </c>
      <c r="AS344" s="50">
        <f>INVESTORS_LIST[[#This Row],[TOTAL CURRENT UNITS]]</f>
        <v>0</v>
      </c>
      <c r="AT344" s="48">
        <f>IF(INVESTORS_LIST[[#This Row],[TOTAL SELLABLE UNITS]]=0,0,INVESTORS_LIST[[#This Row],[TOTAL SELLABLE UNITS]]*INVESTORS_LIST[[#This Row],[NAV]])</f>
        <v>0</v>
      </c>
      <c r="AU344" s="48">
        <f>INVESTORS_LIST[[#This Row],[LS_TOTAL REALIZED GAIN]]+INVESTORS_LIST[[#This Row],[SIP_TOTAL REALIZED GAIN]]</f>
        <v>1079182.9699999995</v>
      </c>
      <c r="AV344" s="48">
        <f>INVESTORS_LIST[[#This Row],[TOTAL MARKET VALUE]]-INVESTORS_LIST[[#This Row],[TOTAL COST VALUE OF CURRENT INVESTMENT]]</f>
        <v>0</v>
      </c>
      <c r="AW344" s="108">
        <f>IFERROR(INVESTORS_LIST[[#This Row],[TOTAL CURRENT UNITS]]/SUM(INVESTORS_LIST[TOTAL CURRENT UNITS]),0)</f>
        <v>0</v>
      </c>
    </row>
    <row r="345" spans="1:49" hidden="1">
      <c r="A345" s="262" t="s">
        <v>737</v>
      </c>
      <c r="B345" s="97" t="s">
        <v>738</v>
      </c>
      <c r="C345" t="s">
        <v>44</v>
      </c>
      <c r="D345" s="75" t="s">
        <v>45</v>
      </c>
      <c r="E345" s="47">
        <f>SUMIFS(LS[Unit],LS[Investor ID],INVESTORS_LIST[[#This Row],[INVESTOR CODE]],LS[B/S],"B")</f>
        <v>0</v>
      </c>
      <c r="F345" s="47">
        <f>-SUMIFS(LS[Unit],LS[Investor ID],INVESTORS_LIST[[#This Row],[INVESTOR CODE]],LS[B/S],"S")</f>
        <v>0</v>
      </c>
      <c r="G345" s="47">
        <f>IF(INVESTORS_LIST[[#This Row],[LS_TOTAL UNITS BUY]]=0,0,INVESTORS_LIST[[#This Row],[LS_TOTAL UNITS BUY]]-INVESTORS_LIST[[#This Row],[LS_TOTAL UNITS SOLD]])</f>
        <v>0</v>
      </c>
      <c r="H345" s="49">
        <f>IF(INVESTORS_LIST[[#This Row],[LS_TOTAL UNITS BUY]]=0,0,SUMIFS(LS[Amount],LS[Investor ID],INVESTORS_LIST[[#This Row],[INVESTOR CODE]],LS[B/S],"B"))</f>
        <v>0</v>
      </c>
      <c r="I345" s="48">
        <f>IF(INVESTORS_LIST[[#This Row],[LS_TOTAL UNITS SOLD]]=0,0,SUMIFS(LS[Cost of Units Sold],LS[Investor ID],INVESTORS_LIST[[#This Row],[INVESTOR CODE]],LS[B/S],"S"))</f>
        <v>0</v>
      </c>
      <c r="J345" s="48">
        <f>IF(INVESTORS_LIST[[#This Row],[LS_TOTAL CURRENT UNITS]]=0,0,INVESTORS_LIST[[#This Row],[LS_TOTAL CURRENT UNITS]]*INVESTORS_LIST[[#This Row],[LS_AVERAGE COST]])</f>
        <v>0</v>
      </c>
      <c r="K345" s="49">
        <f>IF(INVESTORS_LIST[[#This Row],[LS_TOTAL UNITS SOLD]]=0,0,SUMIFS(LS[Realized Gain],LS[Investor ID],INVESTORS_LIST[[#This Row],[INVESTOR CODE]],LS[B/S],"S"))</f>
        <v>0</v>
      </c>
      <c r="L345" s="47">
        <f>SUMIFS(SIP[Unit],SIP[Investor ID],INVESTORS_LIST[[#This Row],[INVESTOR CODE]],SIP[B/S],"B")</f>
        <v>0</v>
      </c>
      <c r="M345" s="47">
        <f>-SUMIFS(SIP[Unit],SIP[Investor ID],INVESTORS_LIST[[#This Row],[INVESTOR CODE]],SIP[B/S],"S")</f>
        <v>0</v>
      </c>
      <c r="N345" s="50">
        <f>IF(INVESTORS_LIST[[#This Row],[SIP_TOTAL UNITS BUY]]=0,0,INVESTORS_LIST[[#This Row],[SIP_TOTAL UNITS BUY]]-INVESTORS_LIST[[#This Row],[SIP_TOTAL UNITS SOLD]])</f>
        <v>0</v>
      </c>
      <c r="O345" s="49">
        <f>IF(INVESTORS_LIST[[#This Row],[SIP_TOTAL UNITS BUY]]=0,0,SUMIFS(SIP[Amount],SIP[Investor ID],INVESTORS_LIST[[#This Row],[INVESTOR CODE]],SIP[B/S],"B"))</f>
        <v>0</v>
      </c>
      <c r="P345" s="49">
        <f>IF(INVESTORS_LIST[[#This Row],[SIP_TOTAL UNITS SOLD]]=0,0,SUMIFS(SIP[Cost of Units Sold],SIP[Investor ID],INVESTORS_LIST[[#This Row],[INVESTOR CODE]],SIP[B/S],"S"))</f>
        <v>0</v>
      </c>
      <c r="Q345" s="48">
        <f>IF(INVESTORS_LIST[[#This Row],[SIP_TOTAL CURRENT UNITS]]=0,0,INVESTORS_LIST[[#This Row],[SIP_TOTAL CURRENT UNITS]]*INVESTORS_LIST[[#This Row],[SIP_AVERAGE COST]])</f>
        <v>0</v>
      </c>
      <c r="R345" s="48">
        <f>IF(INVESTORS_LIST[[#This Row],[SIP_TOTAL UNITS SOLD]]=0,0,SUMIFS(SIP[Realized Gain],SIP[Investor ID],INVESTORS_LIST[[#This Row],[INVESTOR CODE]],SIP[B/S],"S"))</f>
        <v>0</v>
      </c>
      <c r="S345" s="50">
        <f>INVESTORS_LIST[[#This Row],[LS_TOTAL UNITS BUY]]+INVESTORS_LIST[[#This Row],[SIP_TOTAL UNITS BUY]]</f>
        <v>0</v>
      </c>
      <c r="T345" s="50">
        <f>INVESTORS_LIST[[#This Row],[LS_TOTAL UNITS SOLD]]+INVESTORS_LIST[[#This Row],[SIP_TOTAL UNITS SOLD]]</f>
        <v>0</v>
      </c>
      <c r="U345" s="50"/>
      <c r="V345" s="50">
        <f>SUMIFS(LS[BO UNIT TRANSFER],LS[Investor ID],INVESTORS_LIST[[#This Row],[INVESTOR CODE]],LS[B/S],"B")</f>
        <v>0</v>
      </c>
      <c r="W345" s="50">
        <f>SUMIFS(SIP[BO UNIT TRANSFER],SIP[Investor ID],INVESTORS_LIST[[#This Row],[INVESTOR CODE]],SIP[B/S],"B")</f>
        <v>0</v>
      </c>
      <c r="X345" s="50">
        <f>SUMIFS(LS[BO UNIT TRANSFER],LS[Investor ID],INVESTORS_LIST[[#This Row],[INVESTOR CODE]],LS[B/S],"S")</f>
        <v>0</v>
      </c>
      <c r="Y345" s="50">
        <f>SUMIFS(SIP[BO UNIT TRANSFER],SIP[Investor ID],INVESTORS_LIST[[#This Row],[INVESTOR CODE]],SIP[B/S],"S")</f>
        <v>0</v>
      </c>
      <c r="Z345" s="106">
        <f>SUM(INVESTORS_LIST[[#This Row],[BO OPENING BALANCE]:[BO SIP UNITS REPURCHASE]])</f>
        <v>0</v>
      </c>
      <c r="AA345" s="107">
        <f>INVESTORS_LIST[[#This Row],[TOTAL UNITS BUY]]-INVESTORS_LIST[[#This Row],[TOTAL UNITS SOLD]]</f>
        <v>0</v>
      </c>
      <c r="AB345" s="107">
        <f>INVESTORS_LIST[[#This Row],[TOTAL CURRENT UNITS]]-INVESTORS_LIST[[#This Row],[BO UNITS HOLD]]</f>
        <v>0</v>
      </c>
      <c r="AC345" s="201" t="e">
        <f>INDEX([3]!Table_1[BO ID],MATCH(INVESTORS_LIST[[#This Row],[INVESTOR CODE]],[3]!Table_1[INVESTOR CODE],0))</f>
        <v>#REF!</v>
      </c>
      <c r="AD345" s="201" t="e">
        <f>INDEX([3]!Table_1[Brokerage Name2],MATCH(INVESTORS_LIST[[#This Row],[INVESTOR CODE]],[3]!Table_1[INVESTOR CODE],0))</f>
        <v>#REF!</v>
      </c>
      <c r="AE345" s="201" t="e">
        <f>MID(INVESTORS_LIST[[#This Row],[BO ID]],4,5)</f>
        <v>#REF!</v>
      </c>
      <c r="AF345" s="201" t="e">
        <f>MID(INVESTORS_LIST[[#This Row],[BO ID]],2,7)</f>
        <v>#REF!</v>
      </c>
      <c r="AG345" s="201" t="e">
        <f>MID(INVESTORS_LIST[[#This Row],[BO ID]],9,7)</f>
        <v>#REF!</v>
      </c>
      <c r="AH345" s="201" t="e">
        <f>RIGHT(INVESTORS_LIST[[#This Row],[BO ID]],1)</f>
        <v>#REF!</v>
      </c>
      <c r="AI345" s="50">
        <f>INVESTORS_LIST[[#This Row],[LS_TOTAL COST VALUE OF CURRENT UNITS]]+INVESTORS_LIST[[#This Row],[SIP_TOTAL COST VALUE OF CURRENT UNITS]]</f>
        <v>0</v>
      </c>
      <c r="AJ345" s="109">
        <f>IF(INVESTORS_LIST[[#This Row],[TOTAL CURRENT UNITS]]=0,0,INVESTORS_LIST[[#This Row],[LS_TOTAL CURRENT UNITS]]/INVESTORS_LIST[[#This Row],[TOTAL CURRENT UNITS]])</f>
        <v>0</v>
      </c>
      <c r="AK345" s="109">
        <f>IF(INVESTORS_LIST[[#This Row],[TOTAL CURRENT UNITS]]=0,0,INVESTORS_LIST[[#This Row],[SIP_TOTAL CURRENT UNITS]]/INVESTORS_LIST[[#This Row],[TOTAL CURRENT UNITS]])</f>
        <v>0</v>
      </c>
      <c r="AL345" s="49" cm="1">
        <f t="array" ref="AL3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5" s="49" cm="1">
        <f t="array" ref="AM3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5" s="105">
        <f t="shared" si="6"/>
        <v>14.224</v>
      </c>
      <c r="AP345" s="112">
        <f>IF(INVESTORS_LIST[[#This Row],[TOTAL CURRENT UNITS]]=0,0,INVESTORS_LIST[[#This Row],[TOTAL CURRENT UNITS]]*INVESTORS_LIST[[#This Row],[NAV]])</f>
        <v>0</v>
      </c>
      <c r="AQ345" s="49">
        <f>IF(INVESTORS_LIST[[#This Row],[LS_TOTAL CURRENT UNITS]]=0,0,INVESTORS_LIST[[#This Row],[LS_TOTAL CURRENT UNITS]]*INVESTORS_LIST[[#This Row],[NAV]])</f>
        <v>0</v>
      </c>
      <c r="AR345" s="48">
        <f>IF(INVESTORS_LIST[[#This Row],[SIP_TOTAL CURRENT UNITS]]=0,0,INVESTORS_LIST[[#This Row],[SIP_TOTAL CURRENT UNITS]]*INVESTORS_LIST[[#This Row],[NAV]])</f>
        <v>0</v>
      </c>
      <c r="AS345" s="50">
        <f>INVESTORS_LIST[[#This Row],[TOTAL CURRENT UNITS]]</f>
        <v>0</v>
      </c>
      <c r="AT345" s="48">
        <f>IF(INVESTORS_LIST[[#This Row],[TOTAL SELLABLE UNITS]]=0,0,INVESTORS_LIST[[#This Row],[TOTAL SELLABLE UNITS]]*INVESTORS_LIST[[#This Row],[NAV]])</f>
        <v>0</v>
      </c>
      <c r="AU345" s="48">
        <f>INVESTORS_LIST[[#This Row],[LS_TOTAL REALIZED GAIN]]+INVESTORS_LIST[[#This Row],[SIP_TOTAL REALIZED GAIN]]</f>
        <v>0</v>
      </c>
      <c r="AV345" s="48">
        <f>INVESTORS_LIST[[#This Row],[TOTAL MARKET VALUE]]-INVESTORS_LIST[[#This Row],[TOTAL COST VALUE OF CURRENT INVESTMENT]]</f>
        <v>0</v>
      </c>
      <c r="AW345" s="48">
        <f>IFERROR(INVESTORS_LIST[[#This Row],[TOTAL CURRENT UNITS]]/SUM(INVESTORS_LIST[TOTAL CURRENT UNITS]),0)</f>
        <v>0</v>
      </c>
    </row>
    <row r="346" spans="1:49" hidden="1">
      <c r="A346" s="262" t="s">
        <v>739</v>
      </c>
      <c r="B346" s="97" t="s">
        <v>740</v>
      </c>
      <c r="C346" t="s">
        <v>48</v>
      </c>
      <c r="D346" s="75" t="s">
        <v>49</v>
      </c>
      <c r="E346" s="47">
        <f>SUMIFS(LS[Unit],LS[Investor ID],INVESTORS_LIST[[#This Row],[INVESTOR CODE]],LS[B/S],"B")</f>
        <v>0</v>
      </c>
      <c r="F346" s="47">
        <f>-SUMIFS(LS[Unit],LS[Investor ID],INVESTORS_LIST[[#This Row],[INVESTOR CODE]],LS[B/S],"S")</f>
        <v>0</v>
      </c>
      <c r="G346" s="47">
        <f>IF(INVESTORS_LIST[[#This Row],[LS_TOTAL UNITS BUY]]=0,0,INVESTORS_LIST[[#This Row],[LS_TOTAL UNITS BUY]]-INVESTORS_LIST[[#This Row],[LS_TOTAL UNITS SOLD]])</f>
        <v>0</v>
      </c>
      <c r="H346" s="49">
        <f>IF(INVESTORS_LIST[[#This Row],[LS_TOTAL UNITS BUY]]=0,0,SUMIFS(LS[Amount],LS[Investor ID],INVESTORS_LIST[[#This Row],[INVESTOR CODE]],LS[B/S],"B"))</f>
        <v>0</v>
      </c>
      <c r="I346" s="48">
        <f>IF(INVESTORS_LIST[[#This Row],[LS_TOTAL UNITS SOLD]]=0,0,SUMIFS(LS[Cost of Units Sold],LS[Investor ID],INVESTORS_LIST[[#This Row],[INVESTOR CODE]],LS[B/S],"S"))</f>
        <v>0</v>
      </c>
      <c r="J346" s="48">
        <f>IF(INVESTORS_LIST[[#This Row],[LS_TOTAL CURRENT UNITS]]=0,0,INVESTORS_LIST[[#This Row],[LS_TOTAL CURRENT UNITS]]*INVESTORS_LIST[[#This Row],[LS_AVERAGE COST]])</f>
        <v>0</v>
      </c>
      <c r="K346" s="49">
        <f>IF(INVESTORS_LIST[[#This Row],[LS_TOTAL UNITS SOLD]]=0,0,SUMIFS(LS[Realized Gain],LS[Investor ID],INVESTORS_LIST[[#This Row],[INVESTOR CODE]],LS[B/S],"S"))</f>
        <v>0</v>
      </c>
      <c r="L346" s="47">
        <f>SUMIFS(SIP[Unit],SIP[Investor ID],INVESTORS_LIST[[#This Row],[INVESTOR CODE]],SIP[B/S],"B")</f>
        <v>0</v>
      </c>
      <c r="M346" s="47">
        <f>-SUMIFS(SIP[Unit],SIP[Investor ID],INVESTORS_LIST[[#This Row],[INVESTOR CODE]],SIP[B/S],"S")</f>
        <v>0</v>
      </c>
      <c r="N346" s="50">
        <f>IF(INVESTORS_LIST[[#This Row],[SIP_TOTAL UNITS BUY]]=0,0,INVESTORS_LIST[[#This Row],[SIP_TOTAL UNITS BUY]]-INVESTORS_LIST[[#This Row],[SIP_TOTAL UNITS SOLD]])</f>
        <v>0</v>
      </c>
      <c r="O346" s="49">
        <f>IF(INVESTORS_LIST[[#This Row],[SIP_TOTAL UNITS BUY]]=0,0,SUMIFS(SIP[Amount],SIP[Investor ID],INVESTORS_LIST[[#This Row],[INVESTOR CODE]],SIP[B/S],"B"))</f>
        <v>0</v>
      </c>
      <c r="P346" s="49">
        <f>IF(INVESTORS_LIST[[#This Row],[SIP_TOTAL UNITS SOLD]]=0,0,SUMIFS(SIP[Cost of Units Sold],SIP[Investor ID],INVESTORS_LIST[[#This Row],[INVESTOR CODE]],SIP[B/S],"S"))</f>
        <v>0</v>
      </c>
      <c r="Q346" s="48">
        <f>IF(INVESTORS_LIST[[#This Row],[SIP_TOTAL CURRENT UNITS]]=0,0,INVESTORS_LIST[[#This Row],[SIP_TOTAL CURRENT UNITS]]*INVESTORS_LIST[[#This Row],[SIP_AVERAGE COST]])</f>
        <v>0</v>
      </c>
      <c r="R346" s="48">
        <f>IF(INVESTORS_LIST[[#This Row],[SIP_TOTAL UNITS SOLD]]=0,0,SUMIFS(SIP[Realized Gain],SIP[Investor ID],INVESTORS_LIST[[#This Row],[INVESTOR CODE]],SIP[B/S],"S"))</f>
        <v>0</v>
      </c>
      <c r="S346" s="50">
        <f>INVESTORS_LIST[[#This Row],[LS_TOTAL UNITS BUY]]+INVESTORS_LIST[[#This Row],[SIP_TOTAL UNITS BUY]]</f>
        <v>0</v>
      </c>
      <c r="T346" s="50">
        <f>INVESTORS_LIST[[#This Row],[LS_TOTAL UNITS SOLD]]+INVESTORS_LIST[[#This Row],[SIP_TOTAL UNITS SOLD]]</f>
        <v>0</v>
      </c>
      <c r="U346" s="50"/>
      <c r="V346" s="50">
        <f>SUMIFS(LS[BO UNIT TRANSFER],LS[Investor ID],INVESTORS_LIST[[#This Row],[INVESTOR CODE]],LS[B/S],"B")</f>
        <v>0</v>
      </c>
      <c r="W346" s="50">
        <f>SUMIFS(SIP[BO UNIT TRANSFER],SIP[Investor ID],INVESTORS_LIST[[#This Row],[INVESTOR CODE]],SIP[B/S],"B")</f>
        <v>0</v>
      </c>
      <c r="X346" s="50">
        <f>SUMIFS(LS[BO UNIT TRANSFER],LS[Investor ID],INVESTORS_LIST[[#This Row],[INVESTOR CODE]],LS[B/S],"S")</f>
        <v>0</v>
      </c>
      <c r="Y346" s="50">
        <f>SUMIFS(SIP[BO UNIT TRANSFER],SIP[Investor ID],INVESTORS_LIST[[#This Row],[INVESTOR CODE]],SIP[B/S],"S")</f>
        <v>0</v>
      </c>
      <c r="Z346" s="106">
        <f>SUM(INVESTORS_LIST[[#This Row],[BO OPENING BALANCE]:[BO SIP UNITS REPURCHASE]])</f>
        <v>0</v>
      </c>
      <c r="AA346" s="107">
        <f>INVESTORS_LIST[[#This Row],[TOTAL UNITS BUY]]-INVESTORS_LIST[[#This Row],[TOTAL UNITS SOLD]]</f>
        <v>0</v>
      </c>
      <c r="AB346" s="107">
        <f>INVESTORS_LIST[[#This Row],[TOTAL CURRENT UNITS]]-INVESTORS_LIST[[#This Row],[BO UNITS HOLD]]</f>
        <v>0</v>
      </c>
      <c r="AC346" s="201" t="e">
        <f>INDEX([3]!Table_1[BO ID],MATCH(INVESTORS_LIST[[#This Row],[INVESTOR CODE]],[3]!Table_1[INVESTOR CODE],0))</f>
        <v>#REF!</v>
      </c>
      <c r="AD346" s="201" t="e">
        <f>INDEX([3]!Table_1[Brokerage Name2],MATCH(INVESTORS_LIST[[#This Row],[INVESTOR CODE]],[3]!Table_1[INVESTOR CODE],0))</f>
        <v>#REF!</v>
      </c>
      <c r="AE346" s="201" t="e">
        <f>MID(INVESTORS_LIST[[#This Row],[BO ID]],4,5)</f>
        <v>#REF!</v>
      </c>
      <c r="AF346" s="201" t="e">
        <f>MID(INVESTORS_LIST[[#This Row],[BO ID]],2,7)</f>
        <v>#REF!</v>
      </c>
      <c r="AG346" s="201" t="e">
        <f>MID(INVESTORS_LIST[[#This Row],[BO ID]],9,7)</f>
        <v>#REF!</v>
      </c>
      <c r="AH346" s="201" t="e">
        <f>RIGHT(INVESTORS_LIST[[#This Row],[BO ID]],1)</f>
        <v>#REF!</v>
      </c>
      <c r="AI346" s="50">
        <f>INVESTORS_LIST[[#This Row],[LS_TOTAL COST VALUE OF CURRENT UNITS]]+INVESTORS_LIST[[#This Row],[SIP_TOTAL COST VALUE OF CURRENT UNITS]]</f>
        <v>0</v>
      </c>
      <c r="AJ346" s="109">
        <f>IF(INVESTORS_LIST[[#This Row],[TOTAL CURRENT UNITS]]=0,0,INVESTORS_LIST[[#This Row],[LS_TOTAL CURRENT UNITS]]/INVESTORS_LIST[[#This Row],[TOTAL CURRENT UNITS]])</f>
        <v>0</v>
      </c>
      <c r="AK346" s="109">
        <f>IF(INVESTORS_LIST[[#This Row],[TOTAL CURRENT UNITS]]=0,0,INVESTORS_LIST[[#This Row],[SIP_TOTAL CURRENT UNITS]]/INVESTORS_LIST[[#This Row],[TOTAL CURRENT UNITS]])</f>
        <v>0</v>
      </c>
      <c r="AL346" s="49" cm="1">
        <f t="array" ref="AL3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6" s="49" cm="1">
        <f t="array" ref="AM3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6" s="105">
        <f t="shared" si="6"/>
        <v>14.224</v>
      </c>
      <c r="AP346" s="112">
        <f>IF(INVESTORS_LIST[[#This Row],[TOTAL CURRENT UNITS]]=0,0,INVESTORS_LIST[[#This Row],[TOTAL CURRENT UNITS]]*INVESTORS_LIST[[#This Row],[NAV]])</f>
        <v>0</v>
      </c>
      <c r="AQ346" s="49">
        <f>IF(INVESTORS_LIST[[#This Row],[LS_TOTAL CURRENT UNITS]]=0,0,INVESTORS_LIST[[#This Row],[LS_TOTAL CURRENT UNITS]]*INVESTORS_LIST[[#This Row],[NAV]])</f>
        <v>0</v>
      </c>
      <c r="AR346" s="48">
        <f>IF(INVESTORS_LIST[[#This Row],[SIP_TOTAL CURRENT UNITS]]=0,0,INVESTORS_LIST[[#This Row],[SIP_TOTAL CURRENT UNITS]]*INVESTORS_LIST[[#This Row],[NAV]])</f>
        <v>0</v>
      </c>
      <c r="AS346" s="50">
        <f>INVESTORS_LIST[[#This Row],[TOTAL CURRENT UNITS]]</f>
        <v>0</v>
      </c>
      <c r="AT346" s="48">
        <f>IF(INVESTORS_LIST[[#This Row],[TOTAL SELLABLE UNITS]]=0,0,INVESTORS_LIST[[#This Row],[TOTAL SELLABLE UNITS]]*INVESTORS_LIST[[#This Row],[NAV]])</f>
        <v>0</v>
      </c>
      <c r="AU346" s="48">
        <f>INVESTORS_LIST[[#This Row],[LS_TOTAL REALIZED GAIN]]+INVESTORS_LIST[[#This Row],[SIP_TOTAL REALIZED GAIN]]</f>
        <v>0</v>
      </c>
      <c r="AV346" s="48">
        <f>INVESTORS_LIST[[#This Row],[TOTAL MARKET VALUE]]-INVESTORS_LIST[[#This Row],[TOTAL COST VALUE OF CURRENT INVESTMENT]]</f>
        <v>0</v>
      </c>
      <c r="AW346" s="48">
        <f>IFERROR(INVESTORS_LIST[[#This Row],[TOTAL CURRENT UNITS]]/SUM(INVESTORS_LIST[TOTAL CURRENT UNITS]),0)</f>
        <v>0</v>
      </c>
    </row>
    <row r="347" spans="1:49">
      <c r="A347" s="262" t="s">
        <v>741</v>
      </c>
      <c r="B347" s="97" t="s">
        <v>742</v>
      </c>
      <c r="C347" t="s">
        <v>48</v>
      </c>
      <c r="D347" s="75" t="s">
        <v>80</v>
      </c>
      <c r="E347" s="47">
        <f>SUMIFS(LS[Unit],LS[Investor ID],INVESTORS_LIST[[#This Row],[INVESTOR CODE]],LS[B/S],"B")</f>
        <v>155594</v>
      </c>
      <c r="F347" s="47">
        <f>-SUMIFS(LS[Unit],LS[Investor ID],INVESTORS_LIST[[#This Row],[INVESTOR CODE]],LS[B/S],"S")</f>
        <v>0</v>
      </c>
      <c r="G347" s="47">
        <f>IF(INVESTORS_LIST[[#This Row],[LS_TOTAL UNITS BUY]]=0,0,INVESTORS_LIST[[#This Row],[LS_TOTAL UNITS BUY]]-INVESTORS_LIST[[#This Row],[LS_TOTAL UNITS SOLD]])</f>
        <v>155594</v>
      </c>
      <c r="H347" s="49">
        <f>IF(INVESTORS_LIST[[#This Row],[LS_TOTAL UNITS BUY]]=0,0,SUMIFS(LS[Amount],LS[Investor ID],INVESTORS_LIST[[#This Row],[INVESTOR CODE]],LS[B/S],"B"))</f>
        <v>2000000</v>
      </c>
      <c r="I347" s="48">
        <f>IF(INVESTORS_LIST[[#This Row],[LS_TOTAL UNITS SOLD]]=0,0,SUMIFS(LS[Cost of Units Sold],LS[Investor ID],INVESTORS_LIST[[#This Row],[INVESTOR CODE]],LS[B/S],"S"))</f>
        <v>0</v>
      </c>
      <c r="J347" s="48">
        <f>IF(INVESTORS_LIST[[#This Row],[LS_TOTAL CURRENT UNITS]]=0,0,INVESTORS_LIST[[#This Row],[LS_TOTAL CURRENT UNITS]]*INVESTORS_LIST[[#This Row],[LS_AVERAGE COST]])</f>
        <v>2000000</v>
      </c>
      <c r="K347" s="49">
        <f>IF(INVESTORS_LIST[[#This Row],[LS_TOTAL UNITS SOLD]]=0,0,SUMIFS(LS[Realized Gain],LS[Investor ID],INVESTORS_LIST[[#This Row],[INVESTOR CODE]],LS[B/S],"S"))</f>
        <v>0</v>
      </c>
      <c r="L347" s="47">
        <f>SUMIFS(SIP[Unit],SIP[Investor ID],INVESTORS_LIST[[#This Row],[INVESTOR CODE]],SIP[B/S],"B")</f>
        <v>0</v>
      </c>
      <c r="M347" s="47">
        <f>-SUMIFS(SIP[Unit],SIP[Investor ID],INVESTORS_LIST[[#This Row],[INVESTOR CODE]],SIP[B/S],"S")</f>
        <v>0</v>
      </c>
      <c r="N347" s="50">
        <f>IF(INVESTORS_LIST[[#This Row],[SIP_TOTAL UNITS BUY]]=0,0,INVESTORS_LIST[[#This Row],[SIP_TOTAL UNITS BUY]]-INVESTORS_LIST[[#This Row],[SIP_TOTAL UNITS SOLD]])</f>
        <v>0</v>
      </c>
      <c r="O347" s="49">
        <f>IF(INVESTORS_LIST[[#This Row],[SIP_TOTAL UNITS BUY]]=0,0,SUMIFS(SIP[Amount],SIP[Investor ID],INVESTORS_LIST[[#This Row],[INVESTOR CODE]],SIP[B/S],"B"))</f>
        <v>0</v>
      </c>
      <c r="P347" s="49">
        <f>IF(INVESTORS_LIST[[#This Row],[SIP_TOTAL UNITS SOLD]]=0,0,SUMIFS(SIP[Cost of Units Sold],SIP[Investor ID],INVESTORS_LIST[[#This Row],[INVESTOR CODE]],SIP[B/S],"S"))</f>
        <v>0</v>
      </c>
      <c r="Q347" s="48">
        <f>IF(INVESTORS_LIST[[#This Row],[SIP_TOTAL CURRENT UNITS]]=0,0,INVESTORS_LIST[[#This Row],[SIP_TOTAL CURRENT UNITS]]*INVESTORS_LIST[[#This Row],[SIP_AVERAGE COST]])</f>
        <v>0</v>
      </c>
      <c r="R347" s="48">
        <f>IF(INVESTORS_LIST[[#This Row],[SIP_TOTAL UNITS SOLD]]=0,0,SUMIFS(SIP[Realized Gain],SIP[Investor ID],INVESTORS_LIST[[#This Row],[INVESTOR CODE]],SIP[B/S],"S"))</f>
        <v>0</v>
      </c>
      <c r="S347" s="50">
        <f>INVESTORS_LIST[[#This Row],[LS_TOTAL UNITS BUY]]+INVESTORS_LIST[[#This Row],[SIP_TOTAL UNITS BUY]]</f>
        <v>155594</v>
      </c>
      <c r="T347" s="50">
        <f>INVESTORS_LIST[[#This Row],[LS_TOTAL UNITS SOLD]]+INVESTORS_LIST[[#This Row],[SIP_TOTAL UNITS SOLD]]</f>
        <v>0</v>
      </c>
      <c r="U347" s="50">
        <v>155594</v>
      </c>
      <c r="V347" s="50">
        <f>SUMIFS(LS[BO UNIT TRANSFER],LS[Investor ID],INVESTORS_LIST[[#This Row],[INVESTOR CODE]],LS[B/S],"B")</f>
        <v>0</v>
      </c>
      <c r="W347" s="50">
        <f>SUMIFS(SIP[BO UNIT TRANSFER],SIP[Investor ID],INVESTORS_LIST[[#This Row],[INVESTOR CODE]],SIP[B/S],"B")</f>
        <v>0</v>
      </c>
      <c r="X347" s="50">
        <f>SUMIFS(LS[BO UNIT TRANSFER],LS[Investor ID],INVESTORS_LIST[[#This Row],[INVESTOR CODE]],LS[B/S],"S")</f>
        <v>0</v>
      </c>
      <c r="Y347" s="50">
        <f>SUMIFS(SIP[BO UNIT TRANSFER],SIP[Investor ID],INVESTORS_LIST[[#This Row],[INVESTOR CODE]],SIP[B/S],"S")</f>
        <v>0</v>
      </c>
      <c r="Z347" s="106">
        <f>SUM(INVESTORS_LIST[[#This Row],[BO OPENING BALANCE]:[BO SIP UNITS REPURCHASE]])</f>
        <v>155594</v>
      </c>
      <c r="AA347" s="107">
        <f>INVESTORS_LIST[[#This Row],[TOTAL UNITS BUY]]-INVESTORS_LIST[[#This Row],[TOTAL UNITS SOLD]]</f>
        <v>155594</v>
      </c>
      <c r="AB347" s="107">
        <f>INVESTORS_LIST[[#This Row],[TOTAL CURRENT UNITS]]-INVESTORS_LIST[[#This Row],[BO UNITS HOLD]]</f>
        <v>0</v>
      </c>
      <c r="AC347" s="201" t="e">
        <f>INDEX([3]!Table_1[BO ID],MATCH(INVESTORS_LIST[[#This Row],[INVESTOR CODE]],[3]!Table_1[INVESTOR CODE],0))</f>
        <v>#REF!</v>
      </c>
      <c r="AD347" s="201" t="e">
        <f>INDEX([3]!Table_1[Brokerage Name2],MATCH(INVESTORS_LIST[[#This Row],[INVESTOR CODE]],[3]!Table_1[INVESTOR CODE],0))</f>
        <v>#REF!</v>
      </c>
      <c r="AE347" s="201" t="e">
        <f>MID(INVESTORS_LIST[[#This Row],[BO ID]],4,5)</f>
        <v>#REF!</v>
      </c>
      <c r="AF347" s="201" t="e">
        <f>MID(INVESTORS_LIST[[#This Row],[BO ID]],2,7)</f>
        <v>#REF!</v>
      </c>
      <c r="AG347" s="201" t="e">
        <f>MID(INVESTORS_LIST[[#This Row],[BO ID]],9,7)</f>
        <v>#REF!</v>
      </c>
      <c r="AH347" s="201" t="e">
        <f>RIGHT(INVESTORS_LIST[[#This Row],[BO ID]],1)</f>
        <v>#REF!</v>
      </c>
      <c r="AI347" s="50">
        <f>INVESTORS_LIST[[#This Row],[LS_TOTAL COST VALUE OF CURRENT UNITS]]+INVESTORS_LIST[[#This Row],[SIP_TOTAL COST VALUE OF CURRENT UNITS]]</f>
        <v>2000000</v>
      </c>
      <c r="AJ347" s="109">
        <f>IF(INVESTORS_LIST[[#This Row],[TOTAL CURRENT UNITS]]=0,0,INVESTORS_LIST[[#This Row],[LS_TOTAL CURRENT UNITS]]/INVESTORS_LIST[[#This Row],[TOTAL CURRENT UNITS]])</f>
        <v>1</v>
      </c>
      <c r="AK347" s="109">
        <f>IF(INVESTORS_LIST[[#This Row],[TOTAL CURRENT UNITS]]=0,0,INVESTORS_LIST[[#This Row],[SIP_TOTAL CURRENT UNITS]]/INVESTORS_LIST[[#This Row],[TOTAL CURRENT UNITS]])</f>
        <v>0</v>
      </c>
      <c r="AL347" s="49" cm="1">
        <f t="array" ref="AL347">IF(INVESTORS_LIST[[#This Row],[LS_TOTAL UNITS BUY]]&gt;0,INDEX(LS[NAV at Cost (Average)],MATCH(CONCATENATE(COUNTIFS(LS[Investor ID],INVESTORS_LIST[[#This Row],[INVESTOR CODE]]),INVESTORS_LIST[[#This Row],[INVESTOR CODE]]),LS[Unique Code],0),),0)</f>
        <v>12.853966091237451</v>
      </c>
      <c r="AM347" s="49" cm="1">
        <f t="array" ref="AM3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7" s="105">
        <f>IF(INVESTORS_LIST[[#This Row],[TOTAL CURRENT UNITS]]=0,0,(INVESTORS_LIST[[#This Row],[LS_WEIGHT]]*INVESTORS_LIST[[#This Row],[LS_AVERAGE COST]])+(INVESTORS_LIST[[#This Row],[SIP_WEIGHT]]*INVESTORS_LIST[[#This Row],[SIP_AVERAGE COST]]))</f>
        <v>12.853966091237451</v>
      </c>
      <c r="AO347" s="105">
        <f t="shared" si="6"/>
        <v>14.224</v>
      </c>
      <c r="AP347" s="112">
        <f>IF(INVESTORS_LIST[[#This Row],[TOTAL CURRENT UNITS]]=0,0,INVESTORS_LIST[[#This Row],[TOTAL CURRENT UNITS]]*INVESTORS_LIST[[#This Row],[NAV]])</f>
        <v>2213169.0559999999</v>
      </c>
      <c r="AQ347" s="49">
        <f>IF(INVESTORS_LIST[[#This Row],[LS_TOTAL CURRENT UNITS]]=0,0,INVESTORS_LIST[[#This Row],[LS_TOTAL CURRENT UNITS]]*INVESTORS_LIST[[#This Row],[NAV]])</f>
        <v>2213169.0559999999</v>
      </c>
      <c r="AR347" s="48">
        <f>IF(INVESTORS_LIST[[#This Row],[SIP_TOTAL CURRENT UNITS]]=0,0,INVESTORS_LIST[[#This Row],[SIP_TOTAL CURRENT UNITS]]*INVESTORS_LIST[[#This Row],[NAV]])</f>
        <v>0</v>
      </c>
      <c r="AS347" s="50">
        <f>INVESTORS_LIST[[#This Row],[TOTAL CURRENT UNITS]]</f>
        <v>155594</v>
      </c>
      <c r="AT347" s="48">
        <f>IF(INVESTORS_LIST[[#This Row],[TOTAL SELLABLE UNITS]]=0,0,INVESTORS_LIST[[#This Row],[TOTAL SELLABLE UNITS]]*INVESTORS_LIST[[#This Row],[NAV]])</f>
        <v>2213169.0559999999</v>
      </c>
      <c r="AU347" s="48">
        <f>INVESTORS_LIST[[#This Row],[LS_TOTAL REALIZED GAIN]]+INVESTORS_LIST[[#This Row],[SIP_TOTAL REALIZED GAIN]]</f>
        <v>0</v>
      </c>
      <c r="AV347" s="48">
        <f>INVESTORS_LIST[[#This Row],[TOTAL MARKET VALUE]]-INVESTORS_LIST[[#This Row],[TOTAL COST VALUE OF CURRENT INVESTMENT]]</f>
        <v>213169.05599999987</v>
      </c>
      <c r="AW347" s="48">
        <f>IFERROR(INVESTORS_LIST[[#This Row],[TOTAL CURRENT UNITS]]/SUM(INVESTORS_LIST[TOTAL CURRENT UNITS]),0)</f>
        <v>3.7772322913863523E-3</v>
      </c>
    </row>
    <row r="348" spans="1:49" hidden="1">
      <c r="A348" s="262" t="s">
        <v>743</v>
      </c>
      <c r="B348" s="97" t="s">
        <v>744</v>
      </c>
      <c r="C348" t="s">
        <v>44</v>
      </c>
      <c r="D348" s="75" t="s">
        <v>45</v>
      </c>
      <c r="E348" s="47">
        <f>SUMIFS(LS[Unit],LS[Investor ID],INVESTORS_LIST[[#This Row],[INVESTOR CODE]],LS[B/S],"B")</f>
        <v>0</v>
      </c>
      <c r="F348" s="47">
        <f>-SUMIFS(LS[Unit],LS[Investor ID],INVESTORS_LIST[[#This Row],[INVESTOR CODE]],LS[B/S],"S")</f>
        <v>0</v>
      </c>
      <c r="G348" s="47">
        <f>IF(INVESTORS_LIST[[#This Row],[LS_TOTAL UNITS BUY]]=0,0,INVESTORS_LIST[[#This Row],[LS_TOTAL UNITS BUY]]-INVESTORS_LIST[[#This Row],[LS_TOTAL UNITS SOLD]])</f>
        <v>0</v>
      </c>
      <c r="H348" s="49">
        <f>IF(INVESTORS_LIST[[#This Row],[LS_TOTAL UNITS BUY]]=0,0,SUMIFS(LS[Amount],LS[Investor ID],INVESTORS_LIST[[#This Row],[INVESTOR CODE]],LS[B/S],"B"))</f>
        <v>0</v>
      </c>
      <c r="I348" s="48">
        <f>IF(INVESTORS_LIST[[#This Row],[LS_TOTAL UNITS SOLD]]=0,0,SUMIFS(LS[Cost of Units Sold],LS[Investor ID],INVESTORS_LIST[[#This Row],[INVESTOR CODE]],LS[B/S],"S"))</f>
        <v>0</v>
      </c>
      <c r="J348" s="48">
        <f>IF(INVESTORS_LIST[[#This Row],[LS_TOTAL CURRENT UNITS]]=0,0,INVESTORS_LIST[[#This Row],[LS_TOTAL CURRENT UNITS]]*INVESTORS_LIST[[#This Row],[LS_AVERAGE COST]])</f>
        <v>0</v>
      </c>
      <c r="K348" s="49">
        <f>IF(INVESTORS_LIST[[#This Row],[LS_TOTAL UNITS SOLD]]=0,0,SUMIFS(LS[Realized Gain],LS[Investor ID],INVESTORS_LIST[[#This Row],[INVESTOR CODE]],LS[B/S],"S"))</f>
        <v>0</v>
      </c>
      <c r="L348" s="47">
        <f>SUMIFS(SIP[Unit],SIP[Investor ID],INVESTORS_LIST[[#This Row],[INVESTOR CODE]],SIP[B/S],"B")</f>
        <v>0</v>
      </c>
      <c r="M348" s="47">
        <f>-SUMIFS(SIP[Unit],SIP[Investor ID],INVESTORS_LIST[[#This Row],[INVESTOR CODE]],SIP[B/S],"S")</f>
        <v>0</v>
      </c>
      <c r="N348" s="50">
        <f>IF(INVESTORS_LIST[[#This Row],[SIP_TOTAL UNITS BUY]]=0,0,INVESTORS_LIST[[#This Row],[SIP_TOTAL UNITS BUY]]-INVESTORS_LIST[[#This Row],[SIP_TOTAL UNITS SOLD]])</f>
        <v>0</v>
      </c>
      <c r="O348" s="49">
        <f>IF(INVESTORS_LIST[[#This Row],[SIP_TOTAL UNITS BUY]]=0,0,SUMIFS(SIP[Amount],SIP[Investor ID],INVESTORS_LIST[[#This Row],[INVESTOR CODE]],SIP[B/S],"B"))</f>
        <v>0</v>
      </c>
      <c r="P348" s="49">
        <f>IF(INVESTORS_LIST[[#This Row],[SIP_TOTAL UNITS SOLD]]=0,0,SUMIFS(SIP[Cost of Units Sold],SIP[Investor ID],INVESTORS_LIST[[#This Row],[INVESTOR CODE]],SIP[B/S],"S"))</f>
        <v>0</v>
      </c>
      <c r="Q348" s="48">
        <f>IF(INVESTORS_LIST[[#This Row],[SIP_TOTAL CURRENT UNITS]]=0,0,INVESTORS_LIST[[#This Row],[SIP_TOTAL CURRENT UNITS]]*INVESTORS_LIST[[#This Row],[SIP_AVERAGE COST]])</f>
        <v>0</v>
      </c>
      <c r="R348" s="48">
        <f>IF(INVESTORS_LIST[[#This Row],[SIP_TOTAL UNITS SOLD]]=0,0,SUMIFS(SIP[Realized Gain],SIP[Investor ID],INVESTORS_LIST[[#This Row],[INVESTOR CODE]],SIP[B/S],"S"))</f>
        <v>0</v>
      </c>
      <c r="S348" s="50">
        <f>INVESTORS_LIST[[#This Row],[LS_TOTAL UNITS BUY]]+INVESTORS_LIST[[#This Row],[SIP_TOTAL UNITS BUY]]</f>
        <v>0</v>
      </c>
      <c r="T348" s="50">
        <f>INVESTORS_LIST[[#This Row],[LS_TOTAL UNITS SOLD]]+INVESTORS_LIST[[#This Row],[SIP_TOTAL UNITS SOLD]]</f>
        <v>0</v>
      </c>
      <c r="U348" s="50"/>
      <c r="V348" s="50">
        <f>SUMIFS(LS[BO UNIT TRANSFER],LS[Investor ID],INVESTORS_LIST[[#This Row],[INVESTOR CODE]],LS[B/S],"B")</f>
        <v>0</v>
      </c>
      <c r="W348" s="50">
        <f>SUMIFS(SIP[BO UNIT TRANSFER],SIP[Investor ID],INVESTORS_LIST[[#This Row],[INVESTOR CODE]],SIP[B/S],"B")</f>
        <v>0</v>
      </c>
      <c r="X348" s="50">
        <f>SUMIFS(LS[BO UNIT TRANSFER],LS[Investor ID],INVESTORS_LIST[[#This Row],[INVESTOR CODE]],LS[B/S],"S")</f>
        <v>0</v>
      </c>
      <c r="Y348" s="50">
        <f>SUMIFS(SIP[BO UNIT TRANSFER],SIP[Investor ID],INVESTORS_LIST[[#This Row],[INVESTOR CODE]],SIP[B/S],"S")</f>
        <v>0</v>
      </c>
      <c r="Z348" s="106">
        <f>SUM(INVESTORS_LIST[[#This Row],[BO OPENING BALANCE]:[BO SIP UNITS REPURCHASE]])</f>
        <v>0</v>
      </c>
      <c r="AA348" s="107">
        <f>INVESTORS_LIST[[#This Row],[TOTAL UNITS BUY]]-INVESTORS_LIST[[#This Row],[TOTAL UNITS SOLD]]</f>
        <v>0</v>
      </c>
      <c r="AB348" s="107">
        <f>INVESTORS_LIST[[#This Row],[TOTAL CURRENT UNITS]]-INVESTORS_LIST[[#This Row],[BO UNITS HOLD]]</f>
        <v>0</v>
      </c>
      <c r="AC348" s="201" t="e">
        <f>INDEX([3]!Table_1[BO ID],MATCH(INVESTORS_LIST[[#This Row],[INVESTOR CODE]],[3]!Table_1[INVESTOR CODE],0))</f>
        <v>#REF!</v>
      </c>
      <c r="AD348" s="201" t="e">
        <f>INDEX([3]!Table_1[Brokerage Name2],MATCH(INVESTORS_LIST[[#This Row],[INVESTOR CODE]],[3]!Table_1[INVESTOR CODE],0))</f>
        <v>#REF!</v>
      </c>
      <c r="AE348" s="201" t="e">
        <f>MID(INVESTORS_LIST[[#This Row],[BO ID]],4,5)</f>
        <v>#REF!</v>
      </c>
      <c r="AF348" s="201" t="e">
        <f>MID(INVESTORS_LIST[[#This Row],[BO ID]],2,7)</f>
        <v>#REF!</v>
      </c>
      <c r="AG348" s="201" t="e">
        <f>MID(INVESTORS_LIST[[#This Row],[BO ID]],9,7)</f>
        <v>#REF!</v>
      </c>
      <c r="AH348" s="201" t="e">
        <f>RIGHT(INVESTORS_LIST[[#This Row],[BO ID]],1)</f>
        <v>#REF!</v>
      </c>
      <c r="AI348" s="50">
        <f>INVESTORS_LIST[[#This Row],[LS_TOTAL COST VALUE OF CURRENT UNITS]]+INVESTORS_LIST[[#This Row],[SIP_TOTAL COST VALUE OF CURRENT UNITS]]</f>
        <v>0</v>
      </c>
      <c r="AJ348" s="109">
        <f>IF(INVESTORS_LIST[[#This Row],[TOTAL CURRENT UNITS]]=0,0,INVESTORS_LIST[[#This Row],[LS_TOTAL CURRENT UNITS]]/INVESTORS_LIST[[#This Row],[TOTAL CURRENT UNITS]])</f>
        <v>0</v>
      </c>
      <c r="AK348" s="109">
        <f>IF(INVESTORS_LIST[[#This Row],[TOTAL CURRENT UNITS]]=0,0,INVESTORS_LIST[[#This Row],[SIP_TOTAL CURRENT UNITS]]/INVESTORS_LIST[[#This Row],[TOTAL CURRENT UNITS]])</f>
        <v>0</v>
      </c>
      <c r="AL348" s="49" cm="1">
        <f t="array" ref="AL3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8" s="49" cm="1">
        <f t="array" ref="AM3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8" s="105">
        <f t="shared" si="6"/>
        <v>14.224</v>
      </c>
      <c r="AP348" s="112">
        <f>IF(INVESTORS_LIST[[#This Row],[TOTAL CURRENT UNITS]]=0,0,INVESTORS_LIST[[#This Row],[TOTAL CURRENT UNITS]]*INVESTORS_LIST[[#This Row],[NAV]])</f>
        <v>0</v>
      </c>
      <c r="AQ348" s="49">
        <f>IF(INVESTORS_LIST[[#This Row],[LS_TOTAL CURRENT UNITS]]=0,0,INVESTORS_LIST[[#This Row],[LS_TOTAL CURRENT UNITS]]*INVESTORS_LIST[[#This Row],[NAV]])</f>
        <v>0</v>
      </c>
      <c r="AR348" s="48">
        <f>IF(INVESTORS_LIST[[#This Row],[SIP_TOTAL CURRENT UNITS]]=0,0,INVESTORS_LIST[[#This Row],[SIP_TOTAL CURRENT UNITS]]*INVESTORS_LIST[[#This Row],[NAV]])</f>
        <v>0</v>
      </c>
      <c r="AS348" s="50">
        <f>INVESTORS_LIST[[#This Row],[TOTAL CURRENT UNITS]]</f>
        <v>0</v>
      </c>
      <c r="AT348" s="48">
        <f>IF(INVESTORS_LIST[[#This Row],[TOTAL SELLABLE UNITS]]=0,0,INVESTORS_LIST[[#This Row],[TOTAL SELLABLE UNITS]]*INVESTORS_LIST[[#This Row],[NAV]])</f>
        <v>0</v>
      </c>
      <c r="AU348" s="48">
        <f>INVESTORS_LIST[[#This Row],[LS_TOTAL REALIZED GAIN]]+INVESTORS_LIST[[#This Row],[SIP_TOTAL REALIZED GAIN]]</f>
        <v>0</v>
      </c>
      <c r="AV348" s="48">
        <f>INVESTORS_LIST[[#This Row],[TOTAL MARKET VALUE]]-INVESTORS_LIST[[#This Row],[TOTAL COST VALUE OF CURRENT INVESTMENT]]</f>
        <v>0</v>
      </c>
      <c r="AW348" s="48">
        <f>IFERROR(INVESTORS_LIST[[#This Row],[TOTAL CURRENT UNITS]]/SUM(INVESTORS_LIST[TOTAL CURRENT UNITS]),0)</f>
        <v>0</v>
      </c>
    </row>
    <row r="349" spans="1:49" hidden="1">
      <c r="A349" s="262" t="s">
        <v>745</v>
      </c>
      <c r="B349" s="97" t="s">
        <v>746</v>
      </c>
      <c r="C349" t="s">
        <v>44</v>
      </c>
      <c r="D349" s="75" t="s">
        <v>45</v>
      </c>
      <c r="E349" s="47">
        <f>SUMIFS(LS[Unit],LS[Investor ID],INVESTORS_LIST[[#This Row],[INVESTOR CODE]],LS[B/S],"B")</f>
        <v>0</v>
      </c>
      <c r="F349" s="47">
        <f>-SUMIFS(LS[Unit],LS[Investor ID],INVESTORS_LIST[[#This Row],[INVESTOR CODE]],LS[B/S],"S")</f>
        <v>0</v>
      </c>
      <c r="G349" s="47">
        <f>IF(INVESTORS_LIST[[#This Row],[LS_TOTAL UNITS BUY]]=0,0,INVESTORS_LIST[[#This Row],[LS_TOTAL UNITS BUY]]-INVESTORS_LIST[[#This Row],[LS_TOTAL UNITS SOLD]])</f>
        <v>0</v>
      </c>
      <c r="H349" s="49">
        <f>IF(INVESTORS_LIST[[#This Row],[LS_TOTAL UNITS BUY]]=0,0,SUMIFS(LS[Amount],LS[Investor ID],INVESTORS_LIST[[#This Row],[INVESTOR CODE]],LS[B/S],"B"))</f>
        <v>0</v>
      </c>
      <c r="I349" s="48">
        <f>IF(INVESTORS_LIST[[#This Row],[LS_TOTAL UNITS SOLD]]=0,0,SUMIFS(LS[Cost of Units Sold],LS[Investor ID],INVESTORS_LIST[[#This Row],[INVESTOR CODE]],LS[B/S],"S"))</f>
        <v>0</v>
      </c>
      <c r="J349" s="48">
        <f>IF(INVESTORS_LIST[[#This Row],[LS_TOTAL CURRENT UNITS]]=0,0,INVESTORS_LIST[[#This Row],[LS_TOTAL CURRENT UNITS]]*INVESTORS_LIST[[#This Row],[LS_AVERAGE COST]])</f>
        <v>0</v>
      </c>
      <c r="K349" s="49">
        <f>IF(INVESTORS_LIST[[#This Row],[LS_TOTAL UNITS SOLD]]=0,0,SUMIFS(LS[Realized Gain],LS[Investor ID],INVESTORS_LIST[[#This Row],[INVESTOR CODE]],LS[B/S],"S"))</f>
        <v>0</v>
      </c>
      <c r="L349" s="47">
        <f>SUMIFS(SIP[Unit],SIP[Investor ID],INVESTORS_LIST[[#This Row],[INVESTOR CODE]],SIP[B/S],"B")</f>
        <v>0</v>
      </c>
      <c r="M349" s="47">
        <f>-SUMIFS(SIP[Unit],SIP[Investor ID],INVESTORS_LIST[[#This Row],[INVESTOR CODE]],SIP[B/S],"S")</f>
        <v>0</v>
      </c>
      <c r="N349" s="50">
        <f>IF(INVESTORS_LIST[[#This Row],[SIP_TOTAL UNITS BUY]]=0,0,INVESTORS_LIST[[#This Row],[SIP_TOTAL UNITS BUY]]-INVESTORS_LIST[[#This Row],[SIP_TOTAL UNITS SOLD]])</f>
        <v>0</v>
      </c>
      <c r="O349" s="49">
        <f>IF(INVESTORS_LIST[[#This Row],[SIP_TOTAL UNITS BUY]]=0,0,SUMIFS(SIP[Amount],SIP[Investor ID],INVESTORS_LIST[[#This Row],[INVESTOR CODE]],SIP[B/S],"B"))</f>
        <v>0</v>
      </c>
      <c r="P349" s="49">
        <f>IF(INVESTORS_LIST[[#This Row],[SIP_TOTAL UNITS SOLD]]=0,0,SUMIFS(SIP[Cost of Units Sold],SIP[Investor ID],INVESTORS_LIST[[#This Row],[INVESTOR CODE]],SIP[B/S],"S"))</f>
        <v>0</v>
      </c>
      <c r="Q349" s="48">
        <f>IF(INVESTORS_LIST[[#This Row],[SIP_TOTAL CURRENT UNITS]]=0,0,INVESTORS_LIST[[#This Row],[SIP_TOTAL CURRENT UNITS]]*INVESTORS_LIST[[#This Row],[SIP_AVERAGE COST]])</f>
        <v>0</v>
      </c>
      <c r="R349" s="48">
        <f>IF(INVESTORS_LIST[[#This Row],[SIP_TOTAL UNITS SOLD]]=0,0,SUMIFS(SIP[Realized Gain],SIP[Investor ID],INVESTORS_LIST[[#This Row],[INVESTOR CODE]],SIP[B/S],"S"))</f>
        <v>0</v>
      </c>
      <c r="S349" s="50">
        <f>INVESTORS_LIST[[#This Row],[LS_TOTAL UNITS BUY]]+INVESTORS_LIST[[#This Row],[SIP_TOTAL UNITS BUY]]</f>
        <v>0</v>
      </c>
      <c r="T349" s="50">
        <f>INVESTORS_LIST[[#This Row],[LS_TOTAL UNITS SOLD]]+INVESTORS_LIST[[#This Row],[SIP_TOTAL UNITS SOLD]]</f>
        <v>0</v>
      </c>
      <c r="U349" s="50"/>
      <c r="V349" s="50">
        <f>SUMIFS(LS[BO UNIT TRANSFER],LS[Investor ID],INVESTORS_LIST[[#This Row],[INVESTOR CODE]],LS[B/S],"B")</f>
        <v>0</v>
      </c>
      <c r="W349" s="50">
        <f>SUMIFS(SIP[BO UNIT TRANSFER],SIP[Investor ID],INVESTORS_LIST[[#This Row],[INVESTOR CODE]],SIP[B/S],"B")</f>
        <v>0</v>
      </c>
      <c r="X349" s="50">
        <f>SUMIFS(LS[BO UNIT TRANSFER],LS[Investor ID],INVESTORS_LIST[[#This Row],[INVESTOR CODE]],LS[B/S],"S")</f>
        <v>0</v>
      </c>
      <c r="Y349" s="50">
        <f>SUMIFS(SIP[BO UNIT TRANSFER],SIP[Investor ID],INVESTORS_LIST[[#This Row],[INVESTOR CODE]],SIP[B/S],"S")</f>
        <v>0</v>
      </c>
      <c r="Z349" s="106">
        <f>SUM(INVESTORS_LIST[[#This Row],[BO OPENING BALANCE]:[BO SIP UNITS REPURCHASE]])</f>
        <v>0</v>
      </c>
      <c r="AA349" s="107">
        <f>INVESTORS_LIST[[#This Row],[TOTAL UNITS BUY]]-INVESTORS_LIST[[#This Row],[TOTAL UNITS SOLD]]</f>
        <v>0</v>
      </c>
      <c r="AB349" s="107">
        <f>INVESTORS_LIST[[#This Row],[TOTAL CURRENT UNITS]]-INVESTORS_LIST[[#This Row],[BO UNITS HOLD]]</f>
        <v>0</v>
      </c>
      <c r="AC349" s="201" t="e">
        <f>INDEX([3]!Table_1[BO ID],MATCH(INVESTORS_LIST[[#This Row],[INVESTOR CODE]],[3]!Table_1[INVESTOR CODE],0))</f>
        <v>#REF!</v>
      </c>
      <c r="AD349" s="201" t="e">
        <f>INDEX([3]!Table_1[Brokerage Name2],MATCH(INVESTORS_LIST[[#This Row],[INVESTOR CODE]],[3]!Table_1[INVESTOR CODE],0))</f>
        <v>#REF!</v>
      </c>
      <c r="AE349" s="201" t="e">
        <f>MID(INVESTORS_LIST[[#This Row],[BO ID]],4,5)</f>
        <v>#REF!</v>
      </c>
      <c r="AF349" s="201" t="e">
        <f>MID(INVESTORS_LIST[[#This Row],[BO ID]],2,7)</f>
        <v>#REF!</v>
      </c>
      <c r="AG349" s="201" t="e">
        <f>MID(INVESTORS_LIST[[#This Row],[BO ID]],9,7)</f>
        <v>#REF!</v>
      </c>
      <c r="AH349" s="201" t="e">
        <f>RIGHT(INVESTORS_LIST[[#This Row],[BO ID]],1)</f>
        <v>#REF!</v>
      </c>
      <c r="AI349" s="50">
        <f>INVESTORS_LIST[[#This Row],[LS_TOTAL COST VALUE OF CURRENT UNITS]]+INVESTORS_LIST[[#This Row],[SIP_TOTAL COST VALUE OF CURRENT UNITS]]</f>
        <v>0</v>
      </c>
      <c r="AJ349" s="109">
        <f>IF(INVESTORS_LIST[[#This Row],[TOTAL CURRENT UNITS]]=0,0,INVESTORS_LIST[[#This Row],[LS_TOTAL CURRENT UNITS]]/INVESTORS_LIST[[#This Row],[TOTAL CURRENT UNITS]])</f>
        <v>0</v>
      </c>
      <c r="AK349" s="109">
        <f>IF(INVESTORS_LIST[[#This Row],[TOTAL CURRENT UNITS]]=0,0,INVESTORS_LIST[[#This Row],[SIP_TOTAL CURRENT UNITS]]/INVESTORS_LIST[[#This Row],[TOTAL CURRENT UNITS]])</f>
        <v>0</v>
      </c>
      <c r="AL349" s="49" cm="1">
        <f t="array" ref="AL3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49" s="49" cm="1">
        <f t="array" ref="AM3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4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49" s="105">
        <f t="shared" si="6"/>
        <v>14.224</v>
      </c>
      <c r="AP349" s="112">
        <f>IF(INVESTORS_LIST[[#This Row],[TOTAL CURRENT UNITS]]=0,0,INVESTORS_LIST[[#This Row],[TOTAL CURRENT UNITS]]*INVESTORS_LIST[[#This Row],[NAV]])</f>
        <v>0</v>
      </c>
      <c r="AQ349" s="49">
        <f>IF(INVESTORS_LIST[[#This Row],[LS_TOTAL CURRENT UNITS]]=0,0,INVESTORS_LIST[[#This Row],[LS_TOTAL CURRENT UNITS]]*INVESTORS_LIST[[#This Row],[NAV]])</f>
        <v>0</v>
      </c>
      <c r="AR349" s="48">
        <f>IF(INVESTORS_LIST[[#This Row],[SIP_TOTAL CURRENT UNITS]]=0,0,INVESTORS_LIST[[#This Row],[SIP_TOTAL CURRENT UNITS]]*INVESTORS_LIST[[#This Row],[NAV]])</f>
        <v>0</v>
      </c>
      <c r="AS349" s="50">
        <f>INVESTORS_LIST[[#This Row],[TOTAL CURRENT UNITS]]</f>
        <v>0</v>
      </c>
      <c r="AT349" s="48">
        <f>IF(INVESTORS_LIST[[#This Row],[TOTAL SELLABLE UNITS]]=0,0,INVESTORS_LIST[[#This Row],[TOTAL SELLABLE UNITS]]*INVESTORS_LIST[[#This Row],[NAV]])</f>
        <v>0</v>
      </c>
      <c r="AU349" s="48">
        <f>INVESTORS_LIST[[#This Row],[LS_TOTAL REALIZED GAIN]]+INVESTORS_LIST[[#This Row],[SIP_TOTAL REALIZED GAIN]]</f>
        <v>0</v>
      </c>
      <c r="AV349" s="48">
        <f>INVESTORS_LIST[[#This Row],[TOTAL MARKET VALUE]]-INVESTORS_LIST[[#This Row],[TOTAL COST VALUE OF CURRENT INVESTMENT]]</f>
        <v>0</v>
      </c>
      <c r="AW349" s="48">
        <f>IFERROR(INVESTORS_LIST[[#This Row],[TOTAL CURRENT UNITS]]/SUM(INVESTORS_LIST[TOTAL CURRENT UNITS]),0)</f>
        <v>0</v>
      </c>
    </row>
    <row r="350" spans="1:49" hidden="1">
      <c r="A350" s="262" t="s">
        <v>747</v>
      </c>
      <c r="B350" s="97" t="s">
        <v>748</v>
      </c>
      <c r="C350" t="s">
        <v>44</v>
      </c>
      <c r="D350" s="75" t="s">
        <v>45</v>
      </c>
      <c r="E350" s="47">
        <f>SUMIFS(LS[Unit],LS[Investor ID],INVESTORS_LIST[[#This Row],[INVESTOR CODE]],LS[B/S],"B")</f>
        <v>0</v>
      </c>
      <c r="F350" s="47">
        <f>-SUMIFS(LS[Unit],LS[Investor ID],INVESTORS_LIST[[#This Row],[INVESTOR CODE]],LS[B/S],"S")</f>
        <v>0</v>
      </c>
      <c r="G350" s="47">
        <f>IF(INVESTORS_LIST[[#This Row],[LS_TOTAL UNITS BUY]]=0,0,INVESTORS_LIST[[#This Row],[LS_TOTAL UNITS BUY]]-INVESTORS_LIST[[#This Row],[LS_TOTAL UNITS SOLD]])</f>
        <v>0</v>
      </c>
      <c r="H350" s="49">
        <f>IF(INVESTORS_LIST[[#This Row],[LS_TOTAL UNITS BUY]]=0,0,SUMIFS(LS[Amount],LS[Investor ID],INVESTORS_LIST[[#This Row],[INVESTOR CODE]],LS[B/S],"B"))</f>
        <v>0</v>
      </c>
      <c r="I350" s="48">
        <f>IF(INVESTORS_LIST[[#This Row],[LS_TOTAL UNITS SOLD]]=0,0,SUMIFS(LS[Cost of Units Sold],LS[Investor ID],INVESTORS_LIST[[#This Row],[INVESTOR CODE]],LS[B/S],"S"))</f>
        <v>0</v>
      </c>
      <c r="J350" s="48">
        <f>IF(INVESTORS_LIST[[#This Row],[LS_TOTAL CURRENT UNITS]]=0,0,INVESTORS_LIST[[#This Row],[LS_TOTAL CURRENT UNITS]]*INVESTORS_LIST[[#This Row],[LS_AVERAGE COST]])</f>
        <v>0</v>
      </c>
      <c r="K350" s="49">
        <f>IF(INVESTORS_LIST[[#This Row],[LS_TOTAL UNITS SOLD]]=0,0,SUMIFS(LS[Realized Gain],LS[Investor ID],INVESTORS_LIST[[#This Row],[INVESTOR CODE]],LS[B/S],"S"))</f>
        <v>0</v>
      </c>
      <c r="L350" s="47">
        <f>SUMIFS(SIP[Unit],SIP[Investor ID],INVESTORS_LIST[[#This Row],[INVESTOR CODE]],SIP[B/S],"B")</f>
        <v>0</v>
      </c>
      <c r="M350" s="47">
        <f>-SUMIFS(SIP[Unit],SIP[Investor ID],INVESTORS_LIST[[#This Row],[INVESTOR CODE]],SIP[B/S],"S")</f>
        <v>0</v>
      </c>
      <c r="N350" s="50">
        <f>IF(INVESTORS_LIST[[#This Row],[SIP_TOTAL UNITS BUY]]=0,0,INVESTORS_LIST[[#This Row],[SIP_TOTAL UNITS BUY]]-INVESTORS_LIST[[#This Row],[SIP_TOTAL UNITS SOLD]])</f>
        <v>0</v>
      </c>
      <c r="O350" s="49">
        <f>IF(INVESTORS_LIST[[#This Row],[SIP_TOTAL UNITS BUY]]=0,0,SUMIFS(SIP[Amount],SIP[Investor ID],INVESTORS_LIST[[#This Row],[INVESTOR CODE]],SIP[B/S],"B"))</f>
        <v>0</v>
      </c>
      <c r="P350" s="49">
        <f>IF(INVESTORS_LIST[[#This Row],[SIP_TOTAL UNITS SOLD]]=0,0,SUMIFS(SIP[Cost of Units Sold],SIP[Investor ID],INVESTORS_LIST[[#This Row],[INVESTOR CODE]],SIP[B/S],"S"))</f>
        <v>0</v>
      </c>
      <c r="Q350" s="48">
        <f>IF(INVESTORS_LIST[[#This Row],[SIP_TOTAL CURRENT UNITS]]=0,0,INVESTORS_LIST[[#This Row],[SIP_TOTAL CURRENT UNITS]]*INVESTORS_LIST[[#This Row],[SIP_AVERAGE COST]])</f>
        <v>0</v>
      </c>
      <c r="R350" s="48">
        <f>IF(INVESTORS_LIST[[#This Row],[SIP_TOTAL UNITS SOLD]]=0,0,SUMIFS(SIP[Realized Gain],SIP[Investor ID],INVESTORS_LIST[[#This Row],[INVESTOR CODE]],SIP[B/S],"S"))</f>
        <v>0</v>
      </c>
      <c r="S350" s="50">
        <f>INVESTORS_LIST[[#This Row],[LS_TOTAL UNITS BUY]]+INVESTORS_LIST[[#This Row],[SIP_TOTAL UNITS BUY]]</f>
        <v>0</v>
      </c>
      <c r="T350" s="50">
        <f>INVESTORS_LIST[[#This Row],[LS_TOTAL UNITS SOLD]]+INVESTORS_LIST[[#This Row],[SIP_TOTAL UNITS SOLD]]</f>
        <v>0</v>
      </c>
      <c r="U350" s="50"/>
      <c r="V350" s="50">
        <f>SUMIFS(LS[BO UNIT TRANSFER],LS[Investor ID],INVESTORS_LIST[[#This Row],[INVESTOR CODE]],LS[B/S],"B")</f>
        <v>0</v>
      </c>
      <c r="W350" s="50">
        <f>SUMIFS(SIP[BO UNIT TRANSFER],SIP[Investor ID],INVESTORS_LIST[[#This Row],[INVESTOR CODE]],SIP[B/S],"B")</f>
        <v>0</v>
      </c>
      <c r="X350" s="50">
        <f>SUMIFS(LS[BO UNIT TRANSFER],LS[Investor ID],INVESTORS_LIST[[#This Row],[INVESTOR CODE]],LS[B/S],"S")</f>
        <v>0</v>
      </c>
      <c r="Y350" s="50">
        <f>SUMIFS(SIP[BO UNIT TRANSFER],SIP[Investor ID],INVESTORS_LIST[[#This Row],[INVESTOR CODE]],SIP[B/S],"S")</f>
        <v>0</v>
      </c>
      <c r="Z350" s="106">
        <f>SUM(INVESTORS_LIST[[#This Row],[BO OPENING BALANCE]:[BO SIP UNITS REPURCHASE]])</f>
        <v>0</v>
      </c>
      <c r="AA350" s="107">
        <f>INVESTORS_LIST[[#This Row],[TOTAL UNITS BUY]]-INVESTORS_LIST[[#This Row],[TOTAL UNITS SOLD]]</f>
        <v>0</v>
      </c>
      <c r="AB350" s="107">
        <f>INVESTORS_LIST[[#This Row],[TOTAL CURRENT UNITS]]-INVESTORS_LIST[[#This Row],[BO UNITS HOLD]]</f>
        <v>0</v>
      </c>
      <c r="AC350" s="201" t="e">
        <f>INDEX([3]!Table_1[BO ID],MATCH(INVESTORS_LIST[[#This Row],[INVESTOR CODE]],[3]!Table_1[INVESTOR CODE],0))</f>
        <v>#REF!</v>
      </c>
      <c r="AD350" s="201" t="e">
        <f>INDEX([3]!Table_1[Brokerage Name2],MATCH(INVESTORS_LIST[[#This Row],[INVESTOR CODE]],[3]!Table_1[INVESTOR CODE],0))</f>
        <v>#REF!</v>
      </c>
      <c r="AE350" s="201" t="e">
        <f>MID(INVESTORS_LIST[[#This Row],[BO ID]],4,5)</f>
        <v>#REF!</v>
      </c>
      <c r="AF350" s="201" t="e">
        <f>MID(INVESTORS_LIST[[#This Row],[BO ID]],2,7)</f>
        <v>#REF!</v>
      </c>
      <c r="AG350" s="201" t="e">
        <f>MID(INVESTORS_LIST[[#This Row],[BO ID]],9,7)</f>
        <v>#REF!</v>
      </c>
      <c r="AH350" s="201" t="e">
        <f>RIGHT(INVESTORS_LIST[[#This Row],[BO ID]],1)</f>
        <v>#REF!</v>
      </c>
      <c r="AI350" s="50">
        <f>INVESTORS_LIST[[#This Row],[LS_TOTAL COST VALUE OF CURRENT UNITS]]+INVESTORS_LIST[[#This Row],[SIP_TOTAL COST VALUE OF CURRENT UNITS]]</f>
        <v>0</v>
      </c>
      <c r="AJ350" s="109">
        <f>IF(INVESTORS_LIST[[#This Row],[TOTAL CURRENT UNITS]]=0,0,INVESTORS_LIST[[#This Row],[LS_TOTAL CURRENT UNITS]]/INVESTORS_LIST[[#This Row],[TOTAL CURRENT UNITS]])</f>
        <v>0</v>
      </c>
      <c r="AK350" s="109">
        <f>IF(INVESTORS_LIST[[#This Row],[TOTAL CURRENT UNITS]]=0,0,INVESTORS_LIST[[#This Row],[SIP_TOTAL CURRENT UNITS]]/INVESTORS_LIST[[#This Row],[TOTAL CURRENT UNITS]])</f>
        <v>0</v>
      </c>
      <c r="AL350" s="49" cm="1">
        <f t="array" ref="AL3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0" s="49" cm="1">
        <f t="array" ref="AM3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0" s="105">
        <f t="shared" si="6"/>
        <v>14.224</v>
      </c>
      <c r="AP350" s="112">
        <f>IF(INVESTORS_LIST[[#This Row],[TOTAL CURRENT UNITS]]=0,0,INVESTORS_LIST[[#This Row],[TOTAL CURRENT UNITS]]*INVESTORS_LIST[[#This Row],[NAV]])</f>
        <v>0</v>
      </c>
      <c r="AQ350" s="49">
        <f>IF(INVESTORS_LIST[[#This Row],[LS_TOTAL CURRENT UNITS]]=0,0,INVESTORS_LIST[[#This Row],[LS_TOTAL CURRENT UNITS]]*INVESTORS_LIST[[#This Row],[NAV]])</f>
        <v>0</v>
      </c>
      <c r="AR350" s="48">
        <f>IF(INVESTORS_LIST[[#This Row],[SIP_TOTAL CURRENT UNITS]]=0,0,INVESTORS_LIST[[#This Row],[SIP_TOTAL CURRENT UNITS]]*INVESTORS_LIST[[#This Row],[NAV]])</f>
        <v>0</v>
      </c>
      <c r="AS350" s="50">
        <f>INVESTORS_LIST[[#This Row],[TOTAL CURRENT UNITS]]</f>
        <v>0</v>
      </c>
      <c r="AT350" s="48">
        <f>IF(INVESTORS_LIST[[#This Row],[TOTAL SELLABLE UNITS]]=0,0,INVESTORS_LIST[[#This Row],[TOTAL SELLABLE UNITS]]*INVESTORS_LIST[[#This Row],[NAV]])</f>
        <v>0</v>
      </c>
      <c r="AU350" s="48">
        <f>INVESTORS_LIST[[#This Row],[LS_TOTAL REALIZED GAIN]]+INVESTORS_LIST[[#This Row],[SIP_TOTAL REALIZED GAIN]]</f>
        <v>0</v>
      </c>
      <c r="AV350" s="48">
        <f>INVESTORS_LIST[[#This Row],[TOTAL MARKET VALUE]]-INVESTORS_LIST[[#This Row],[TOTAL COST VALUE OF CURRENT INVESTMENT]]</f>
        <v>0</v>
      </c>
      <c r="AW350" s="48">
        <f>IFERROR(INVESTORS_LIST[[#This Row],[TOTAL CURRENT UNITS]]/SUM(INVESTORS_LIST[TOTAL CURRENT UNITS]),0)</f>
        <v>0</v>
      </c>
    </row>
    <row r="351" spans="1:49" hidden="1">
      <c r="A351" s="262" t="s">
        <v>749</v>
      </c>
      <c r="B351" s="97" t="s">
        <v>750</v>
      </c>
      <c r="C351" t="s">
        <v>44</v>
      </c>
      <c r="D351" s="75" t="s">
        <v>45</v>
      </c>
      <c r="E351" s="47">
        <f>SUMIFS(LS[Unit],LS[Investor ID],INVESTORS_LIST[[#This Row],[INVESTOR CODE]],LS[B/S],"B")</f>
        <v>0</v>
      </c>
      <c r="F351" s="47">
        <f>-SUMIFS(LS[Unit],LS[Investor ID],INVESTORS_LIST[[#This Row],[INVESTOR CODE]],LS[B/S],"S")</f>
        <v>0</v>
      </c>
      <c r="G351" s="47">
        <f>IF(INVESTORS_LIST[[#This Row],[LS_TOTAL UNITS BUY]]=0,0,INVESTORS_LIST[[#This Row],[LS_TOTAL UNITS BUY]]-INVESTORS_LIST[[#This Row],[LS_TOTAL UNITS SOLD]])</f>
        <v>0</v>
      </c>
      <c r="H351" s="49">
        <f>IF(INVESTORS_LIST[[#This Row],[LS_TOTAL UNITS BUY]]=0,0,SUMIFS(LS[Amount],LS[Investor ID],INVESTORS_LIST[[#This Row],[INVESTOR CODE]],LS[B/S],"B"))</f>
        <v>0</v>
      </c>
      <c r="I351" s="48">
        <f>IF(INVESTORS_LIST[[#This Row],[LS_TOTAL UNITS SOLD]]=0,0,SUMIFS(LS[Cost of Units Sold],LS[Investor ID],INVESTORS_LIST[[#This Row],[INVESTOR CODE]],LS[B/S],"S"))</f>
        <v>0</v>
      </c>
      <c r="J351" s="48">
        <f>IF(INVESTORS_LIST[[#This Row],[LS_TOTAL CURRENT UNITS]]=0,0,INVESTORS_LIST[[#This Row],[LS_TOTAL CURRENT UNITS]]*INVESTORS_LIST[[#This Row],[LS_AVERAGE COST]])</f>
        <v>0</v>
      </c>
      <c r="K351" s="49">
        <f>IF(INVESTORS_LIST[[#This Row],[LS_TOTAL UNITS SOLD]]=0,0,SUMIFS(LS[Realized Gain],LS[Investor ID],INVESTORS_LIST[[#This Row],[INVESTOR CODE]],LS[B/S],"S"))</f>
        <v>0</v>
      </c>
      <c r="L351" s="47">
        <f>SUMIFS(SIP[Unit],SIP[Investor ID],INVESTORS_LIST[[#This Row],[INVESTOR CODE]],SIP[B/S],"B")</f>
        <v>0</v>
      </c>
      <c r="M351" s="47">
        <f>-SUMIFS(SIP[Unit],SIP[Investor ID],INVESTORS_LIST[[#This Row],[INVESTOR CODE]],SIP[B/S],"S")</f>
        <v>0</v>
      </c>
      <c r="N351" s="50">
        <f>IF(INVESTORS_LIST[[#This Row],[SIP_TOTAL UNITS BUY]]=0,0,INVESTORS_LIST[[#This Row],[SIP_TOTAL UNITS BUY]]-INVESTORS_LIST[[#This Row],[SIP_TOTAL UNITS SOLD]])</f>
        <v>0</v>
      </c>
      <c r="O351" s="49">
        <f>IF(INVESTORS_LIST[[#This Row],[SIP_TOTAL UNITS BUY]]=0,0,SUMIFS(SIP[Amount],SIP[Investor ID],INVESTORS_LIST[[#This Row],[INVESTOR CODE]],SIP[B/S],"B"))</f>
        <v>0</v>
      </c>
      <c r="P351" s="49">
        <f>IF(INVESTORS_LIST[[#This Row],[SIP_TOTAL UNITS SOLD]]=0,0,SUMIFS(SIP[Cost of Units Sold],SIP[Investor ID],INVESTORS_LIST[[#This Row],[INVESTOR CODE]],SIP[B/S],"S"))</f>
        <v>0</v>
      </c>
      <c r="Q351" s="48">
        <f>IF(INVESTORS_LIST[[#This Row],[SIP_TOTAL CURRENT UNITS]]=0,0,INVESTORS_LIST[[#This Row],[SIP_TOTAL CURRENT UNITS]]*INVESTORS_LIST[[#This Row],[SIP_AVERAGE COST]])</f>
        <v>0</v>
      </c>
      <c r="R351" s="48">
        <f>IF(INVESTORS_LIST[[#This Row],[SIP_TOTAL UNITS SOLD]]=0,0,SUMIFS(SIP[Realized Gain],SIP[Investor ID],INVESTORS_LIST[[#This Row],[INVESTOR CODE]],SIP[B/S],"S"))</f>
        <v>0</v>
      </c>
      <c r="S351" s="50">
        <f>INVESTORS_LIST[[#This Row],[LS_TOTAL UNITS BUY]]+INVESTORS_LIST[[#This Row],[SIP_TOTAL UNITS BUY]]</f>
        <v>0</v>
      </c>
      <c r="T351" s="50">
        <f>INVESTORS_LIST[[#This Row],[LS_TOTAL UNITS SOLD]]+INVESTORS_LIST[[#This Row],[SIP_TOTAL UNITS SOLD]]</f>
        <v>0</v>
      </c>
      <c r="U351" s="50"/>
      <c r="V351" s="50">
        <f>SUMIFS(LS[BO UNIT TRANSFER],LS[Investor ID],INVESTORS_LIST[[#This Row],[INVESTOR CODE]],LS[B/S],"B")</f>
        <v>0</v>
      </c>
      <c r="W351" s="50">
        <f>SUMIFS(SIP[BO UNIT TRANSFER],SIP[Investor ID],INVESTORS_LIST[[#This Row],[INVESTOR CODE]],SIP[B/S],"B")</f>
        <v>0</v>
      </c>
      <c r="X351" s="50">
        <f>SUMIFS(LS[BO UNIT TRANSFER],LS[Investor ID],INVESTORS_LIST[[#This Row],[INVESTOR CODE]],LS[B/S],"S")</f>
        <v>0</v>
      </c>
      <c r="Y351" s="50">
        <f>SUMIFS(SIP[BO UNIT TRANSFER],SIP[Investor ID],INVESTORS_LIST[[#This Row],[INVESTOR CODE]],SIP[B/S],"S")</f>
        <v>0</v>
      </c>
      <c r="Z351" s="106">
        <f>SUM(INVESTORS_LIST[[#This Row],[BO OPENING BALANCE]:[BO SIP UNITS REPURCHASE]])</f>
        <v>0</v>
      </c>
      <c r="AA351" s="107">
        <f>INVESTORS_LIST[[#This Row],[TOTAL UNITS BUY]]-INVESTORS_LIST[[#This Row],[TOTAL UNITS SOLD]]</f>
        <v>0</v>
      </c>
      <c r="AB351" s="107">
        <f>INVESTORS_LIST[[#This Row],[TOTAL CURRENT UNITS]]-INVESTORS_LIST[[#This Row],[BO UNITS HOLD]]</f>
        <v>0</v>
      </c>
      <c r="AC351" s="201" t="e">
        <f>INDEX([3]!Table_1[BO ID],MATCH(INVESTORS_LIST[[#This Row],[INVESTOR CODE]],[3]!Table_1[INVESTOR CODE],0))</f>
        <v>#REF!</v>
      </c>
      <c r="AD351" s="201" t="e">
        <f>INDEX([3]!Table_1[Brokerage Name2],MATCH(INVESTORS_LIST[[#This Row],[INVESTOR CODE]],[3]!Table_1[INVESTOR CODE],0))</f>
        <v>#REF!</v>
      </c>
      <c r="AE351" s="201" t="e">
        <f>MID(INVESTORS_LIST[[#This Row],[BO ID]],4,5)</f>
        <v>#REF!</v>
      </c>
      <c r="AF351" s="201" t="e">
        <f>MID(INVESTORS_LIST[[#This Row],[BO ID]],2,7)</f>
        <v>#REF!</v>
      </c>
      <c r="AG351" s="201" t="e">
        <f>MID(INVESTORS_LIST[[#This Row],[BO ID]],9,7)</f>
        <v>#REF!</v>
      </c>
      <c r="AH351" s="201" t="e">
        <f>RIGHT(INVESTORS_LIST[[#This Row],[BO ID]],1)</f>
        <v>#REF!</v>
      </c>
      <c r="AI351" s="50">
        <f>INVESTORS_LIST[[#This Row],[LS_TOTAL COST VALUE OF CURRENT UNITS]]+INVESTORS_LIST[[#This Row],[SIP_TOTAL COST VALUE OF CURRENT UNITS]]</f>
        <v>0</v>
      </c>
      <c r="AJ351" s="109">
        <f>IF(INVESTORS_LIST[[#This Row],[TOTAL CURRENT UNITS]]=0,0,INVESTORS_LIST[[#This Row],[LS_TOTAL CURRENT UNITS]]/INVESTORS_LIST[[#This Row],[TOTAL CURRENT UNITS]])</f>
        <v>0</v>
      </c>
      <c r="AK351" s="109">
        <f>IF(INVESTORS_LIST[[#This Row],[TOTAL CURRENT UNITS]]=0,0,INVESTORS_LIST[[#This Row],[SIP_TOTAL CURRENT UNITS]]/INVESTORS_LIST[[#This Row],[TOTAL CURRENT UNITS]])</f>
        <v>0</v>
      </c>
      <c r="AL351" s="49" cm="1">
        <f t="array" ref="AL3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1" s="49" cm="1">
        <f t="array" ref="AM3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1" s="105">
        <f t="shared" si="6"/>
        <v>14.224</v>
      </c>
      <c r="AP351" s="112">
        <f>IF(INVESTORS_LIST[[#This Row],[TOTAL CURRENT UNITS]]=0,0,INVESTORS_LIST[[#This Row],[TOTAL CURRENT UNITS]]*INVESTORS_LIST[[#This Row],[NAV]])</f>
        <v>0</v>
      </c>
      <c r="AQ351" s="49">
        <f>IF(INVESTORS_LIST[[#This Row],[LS_TOTAL CURRENT UNITS]]=0,0,INVESTORS_LIST[[#This Row],[LS_TOTAL CURRENT UNITS]]*INVESTORS_LIST[[#This Row],[NAV]])</f>
        <v>0</v>
      </c>
      <c r="AR351" s="48">
        <f>IF(INVESTORS_LIST[[#This Row],[SIP_TOTAL CURRENT UNITS]]=0,0,INVESTORS_LIST[[#This Row],[SIP_TOTAL CURRENT UNITS]]*INVESTORS_LIST[[#This Row],[NAV]])</f>
        <v>0</v>
      </c>
      <c r="AS351" s="50">
        <f>INVESTORS_LIST[[#This Row],[TOTAL CURRENT UNITS]]</f>
        <v>0</v>
      </c>
      <c r="AT351" s="48">
        <f>IF(INVESTORS_LIST[[#This Row],[TOTAL SELLABLE UNITS]]=0,0,INVESTORS_LIST[[#This Row],[TOTAL SELLABLE UNITS]]*INVESTORS_LIST[[#This Row],[NAV]])</f>
        <v>0</v>
      </c>
      <c r="AU351" s="48">
        <f>INVESTORS_LIST[[#This Row],[LS_TOTAL REALIZED GAIN]]+INVESTORS_LIST[[#This Row],[SIP_TOTAL REALIZED GAIN]]</f>
        <v>0</v>
      </c>
      <c r="AV351" s="48">
        <f>INVESTORS_LIST[[#This Row],[TOTAL MARKET VALUE]]-INVESTORS_LIST[[#This Row],[TOTAL COST VALUE OF CURRENT INVESTMENT]]</f>
        <v>0</v>
      </c>
      <c r="AW351" s="48">
        <f>IFERROR(INVESTORS_LIST[[#This Row],[TOTAL CURRENT UNITS]]/SUM(INVESTORS_LIST[TOTAL CURRENT UNITS]),0)</f>
        <v>0</v>
      </c>
    </row>
    <row r="352" spans="1:49" hidden="1">
      <c r="A352" s="262" t="s">
        <v>751</v>
      </c>
      <c r="B352" s="97" t="s">
        <v>752</v>
      </c>
      <c r="C352" t="s">
        <v>67</v>
      </c>
      <c r="D352" s="75" t="s">
        <v>45</v>
      </c>
      <c r="E352" s="47">
        <f>SUMIFS(LS[Unit],LS[Investor ID],INVESTORS_LIST[[#This Row],[INVESTOR CODE]],LS[B/S],"B")</f>
        <v>0</v>
      </c>
      <c r="F352" s="47">
        <f>-SUMIFS(LS[Unit],LS[Investor ID],INVESTORS_LIST[[#This Row],[INVESTOR CODE]],LS[B/S],"S")</f>
        <v>0</v>
      </c>
      <c r="G352" s="47">
        <f>IF(INVESTORS_LIST[[#This Row],[LS_TOTAL UNITS BUY]]=0,0,INVESTORS_LIST[[#This Row],[LS_TOTAL UNITS BUY]]-INVESTORS_LIST[[#This Row],[LS_TOTAL UNITS SOLD]])</f>
        <v>0</v>
      </c>
      <c r="H352" s="49">
        <f>IF(INVESTORS_LIST[[#This Row],[LS_TOTAL UNITS BUY]]=0,0,SUMIFS(LS[Amount],LS[Investor ID],INVESTORS_LIST[[#This Row],[INVESTOR CODE]],LS[B/S],"B"))</f>
        <v>0</v>
      </c>
      <c r="I352" s="48">
        <f>IF(INVESTORS_LIST[[#This Row],[LS_TOTAL UNITS SOLD]]=0,0,SUMIFS(LS[Cost of Units Sold],LS[Investor ID],INVESTORS_LIST[[#This Row],[INVESTOR CODE]],LS[B/S],"S"))</f>
        <v>0</v>
      </c>
      <c r="J352" s="48">
        <f>IF(INVESTORS_LIST[[#This Row],[LS_TOTAL CURRENT UNITS]]=0,0,INVESTORS_LIST[[#This Row],[LS_TOTAL CURRENT UNITS]]*INVESTORS_LIST[[#This Row],[LS_AVERAGE COST]])</f>
        <v>0</v>
      </c>
      <c r="K352" s="49">
        <f>IF(INVESTORS_LIST[[#This Row],[LS_TOTAL UNITS SOLD]]=0,0,SUMIFS(LS[Realized Gain],LS[Investor ID],INVESTORS_LIST[[#This Row],[INVESTOR CODE]],LS[B/S],"S"))</f>
        <v>0</v>
      </c>
      <c r="L352" s="47">
        <f>SUMIFS(SIP[Unit],SIP[Investor ID],INVESTORS_LIST[[#This Row],[INVESTOR CODE]],SIP[B/S],"B")</f>
        <v>0</v>
      </c>
      <c r="M352" s="47">
        <f>-SUMIFS(SIP[Unit],SIP[Investor ID],INVESTORS_LIST[[#This Row],[INVESTOR CODE]],SIP[B/S],"S")</f>
        <v>0</v>
      </c>
      <c r="N352" s="50">
        <f>IF(INVESTORS_LIST[[#This Row],[SIP_TOTAL UNITS BUY]]=0,0,INVESTORS_LIST[[#This Row],[SIP_TOTAL UNITS BUY]]-INVESTORS_LIST[[#This Row],[SIP_TOTAL UNITS SOLD]])</f>
        <v>0</v>
      </c>
      <c r="O352" s="49">
        <f>IF(INVESTORS_LIST[[#This Row],[SIP_TOTAL UNITS BUY]]=0,0,SUMIFS(SIP[Amount],SIP[Investor ID],INVESTORS_LIST[[#This Row],[INVESTOR CODE]],SIP[B/S],"B"))</f>
        <v>0</v>
      </c>
      <c r="P352" s="49">
        <f>IF(INVESTORS_LIST[[#This Row],[SIP_TOTAL UNITS SOLD]]=0,0,SUMIFS(SIP[Cost of Units Sold],SIP[Investor ID],INVESTORS_LIST[[#This Row],[INVESTOR CODE]],SIP[B/S],"S"))</f>
        <v>0</v>
      </c>
      <c r="Q352" s="48">
        <f>IF(INVESTORS_LIST[[#This Row],[SIP_TOTAL CURRENT UNITS]]=0,0,INVESTORS_LIST[[#This Row],[SIP_TOTAL CURRENT UNITS]]*INVESTORS_LIST[[#This Row],[SIP_AVERAGE COST]])</f>
        <v>0</v>
      </c>
      <c r="R352" s="48">
        <f>IF(INVESTORS_LIST[[#This Row],[SIP_TOTAL UNITS SOLD]]=0,0,SUMIFS(SIP[Realized Gain],SIP[Investor ID],INVESTORS_LIST[[#This Row],[INVESTOR CODE]],SIP[B/S],"S"))</f>
        <v>0</v>
      </c>
      <c r="S352" s="50">
        <f>INVESTORS_LIST[[#This Row],[LS_TOTAL UNITS BUY]]+INVESTORS_LIST[[#This Row],[SIP_TOTAL UNITS BUY]]</f>
        <v>0</v>
      </c>
      <c r="T352" s="50">
        <f>INVESTORS_LIST[[#This Row],[LS_TOTAL UNITS SOLD]]+INVESTORS_LIST[[#This Row],[SIP_TOTAL UNITS SOLD]]</f>
        <v>0</v>
      </c>
      <c r="U352" s="50"/>
      <c r="V352" s="50">
        <f>SUMIFS(LS[BO UNIT TRANSFER],LS[Investor ID],INVESTORS_LIST[[#This Row],[INVESTOR CODE]],LS[B/S],"B")</f>
        <v>0</v>
      </c>
      <c r="W352" s="50">
        <f>SUMIFS(SIP[BO UNIT TRANSFER],SIP[Investor ID],INVESTORS_LIST[[#This Row],[INVESTOR CODE]],SIP[B/S],"B")</f>
        <v>0</v>
      </c>
      <c r="X352" s="50">
        <f>SUMIFS(LS[BO UNIT TRANSFER],LS[Investor ID],INVESTORS_LIST[[#This Row],[INVESTOR CODE]],LS[B/S],"S")</f>
        <v>0</v>
      </c>
      <c r="Y352" s="50">
        <f>SUMIFS(SIP[BO UNIT TRANSFER],SIP[Investor ID],INVESTORS_LIST[[#This Row],[INVESTOR CODE]],SIP[B/S],"S")</f>
        <v>0</v>
      </c>
      <c r="Z352" s="106">
        <f>SUM(INVESTORS_LIST[[#This Row],[BO OPENING BALANCE]:[BO SIP UNITS REPURCHASE]])</f>
        <v>0</v>
      </c>
      <c r="AA352" s="107">
        <f>INVESTORS_LIST[[#This Row],[TOTAL UNITS BUY]]-INVESTORS_LIST[[#This Row],[TOTAL UNITS SOLD]]</f>
        <v>0</v>
      </c>
      <c r="AB352" s="107">
        <f>INVESTORS_LIST[[#This Row],[TOTAL CURRENT UNITS]]-INVESTORS_LIST[[#This Row],[BO UNITS HOLD]]</f>
        <v>0</v>
      </c>
      <c r="AC352" s="201" t="e">
        <f>INDEX([3]!Table_1[BO ID],MATCH(INVESTORS_LIST[[#This Row],[INVESTOR CODE]],[3]!Table_1[INVESTOR CODE],0))</f>
        <v>#REF!</v>
      </c>
      <c r="AD352" s="201" t="e">
        <f>INDEX([3]!Table_1[Brokerage Name2],MATCH(INVESTORS_LIST[[#This Row],[INVESTOR CODE]],[3]!Table_1[INVESTOR CODE],0))</f>
        <v>#REF!</v>
      </c>
      <c r="AE352" s="201" t="e">
        <f>MID(INVESTORS_LIST[[#This Row],[BO ID]],4,5)</f>
        <v>#REF!</v>
      </c>
      <c r="AF352" s="201" t="e">
        <f>MID(INVESTORS_LIST[[#This Row],[BO ID]],2,7)</f>
        <v>#REF!</v>
      </c>
      <c r="AG352" s="201" t="e">
        <f>MID(INVESTORS_LIST[[#This Row],[BO ID]],9,7)</f>
        <v>#REF!</v>
      </c>
      <c r="AH352" s="201" t="e">
        <f>RIGHT(INVESTORS_LIST[[#This Row],[BO ID]],1)</f>
        <v>#REF!</v>
      </c>
      <c r="AI352" s="50">
        <f>INVESTORS_LIST[[#This Row],[LS_TOTAL COST VALUE OF CURRENT UNITS]]+INVESTORS_LIST[[#This Row],[SIP_TOTAL COST VALUE OF CURRENT UNITS]]</f>
        <v>0</v>
      </c>
      <c r="AJ352" s="109">
        <f>IF(INVESTORS_LIST[[#This Row],[TOTAL CURRENT UNITS]]=0,0,INVESTORS_LIST[[#This Row],[LS_TOTAL CURRENT UNITS]]/INVESTORS_LIST[[#This Row],[TOTAL CURRENT UNITS]])</f>
        <v>0</v>
      </c>
      <c r="AK352" s="109">
        <f>IF(INVESTORS_LIST[[#This Row],[TOTAL CURRENT UNITS]]=0,0,INVESTORS_LIST[[#This Row],[SIP_TOTAL CURRENT UNITS]]/INVESTORS_LIST[[#This Row],[TOTAL CURRENT UNITS]])</f>
        <v>0</v>
      </c>
      <c r="AL352" s="49" cm="1">
        <f t="array" ref="AL3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2" s="49" cm="1">
        <f t="array" ref="AM3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2" s="105">
        <f t="shared" si="6"/>
        <v>14.224</v>
      </c>
      <c r="AP352" s="112">
        <f>IF(INVESTORS_LIST[[#This Row],[TOTAL CURRENT UNITS]]=0,0,INVESTORS_LIST[[#This Row],[TOTAL CURRENT UNITS]]*INVESTORS_LIST[[#This Row],[NAV]])</f>
        <v>0</v>
      </c>
      <c r="AQ352" s="49">
        <f>IF(INVESTORS_LIST[[#This Row],[LS_TOTAL CURRENT UNITS]]=0,0,INVESTORS_LIST[[#This Row],[LS_TOTAL CURRENT UNITS]]*INVESTORS_LIST[[#This Row],[NAV]])</f>
        <v>0</v>
      </c>
      <c r="AR352" s="48">
        <f>IF(INVESTORS_LIST[[#This Row],[SIP_TOTAL CURRENT UNITS]]=0,0,INVESTORS_LIST[[#This Row],[SIP_TOTAL CURRENT UNITS]]*INVESTORS_LIST[[#This Row],[NAV]])</f>
        <v>0</v>
      </c>
      <c r="AS352" s="50">
        <f>INVESTORS_LIST[[#This Row],[TOTAL CURRENT UNITS]]</f>
        <v>0</v>
      </c>
      <c r="AT352" s="48">
        <f>IF(INVESTORS_LIST[[#This Row],[TOTAL SELLABLE UNITS]]=0,0,INVESTORS_LIST[[#This Row],[TOTAL SELLABLE UNITS]]*INVESTORS_LIST[[#This Row],[NAV]])</f>
        <v>0</v>
      </c>
      <c r="AU352" s="48">
        <f>INVESTORS_LIST[[#This Row],[LS_TOTAL REALIZED GAIN]]+INVESTORS_LIST[[#This Row],[SIP_TOTAL REALIZED GAIN]]</f>
        <v>0</v>
      </c>
      <c r="AV352" s="48">
        <f>INVESTORS_LIST[[#This Row],[TOTAL MARKET VALUE]]-INVESTORS_LIST[[#This Row],[TOTAL COST VALUE OF CURRENT INVESTMENT]]</f>
        <v>0</v>
      </c>
      <c r="AW352" s="48">
        <f>IFERROR(INVESTORS_LIST[[#This Row],[TOTAL CURRENT UNITS]]/SUM(INVESTORS_LIST[TOTAL CURRENT UNITS]),0)</f>
        <v>0</v>
      </c>
    </row>
    <row r="353" spans="1:49" hidden="1">
      <c r="A353" s="262" t="s">
        <v>753</v>
      </c>
      <c r="B353" s="97" t="s">
        <v>754</v>
      </c>
      <c r="C353" t="s">
        <v>48</v>
      </c>
      <c r="D353" s="75" t="s">
        <v>132</v>
      </c>
      <c r="E353" s="47">
        <f>SUMIFS(LS[Unit],LS[Investor ID],INVESTORS_LIST[[#This Row],[INVESTOR CODE]],LS[B/S],"B")</f>
        <v>0</v>
      </c>
      <c r="F353" s="47">
        <f>-SUMIFS(LS[Unit],LS[Investor ID],INVESTORS_LIST[[#This Row],[INVESTOR CODE]],LS[B/S],"S")</f>
        <v>0</v>
      </c>
      <c r="G353" s="47">
        <f>IF(INVESTORS_LIST[[#This Row],[LS_TOTAL UNITS BUY]]=0,0,INVESTORS_LIST[[#This Row],[LS_TOTAL UNITS BUY]]-INVESTORS_LIST[[#This Row],[LS_TOTAL UNITS SOLD]])</f>
        <v>0</v>
      </c>
      <c r="H353" s="49">
        <f>IF(INVESTORS_LIST[[#This Row],[LS_TOTAL UNITS BUY]]=0,0,SUMIFS(LS[Amount],LS[Investor ID],INVESTORS_LIST[[#This Row],[INVESTOR CODE]],LS[B/S],"B"))</f>
        <v>0</v>
      </c>
      <c r="I353" s="48">
        <f>IF(INVESTORS_LIST[[#This Row],[LS_TOTAL UNITS SOLD]]=0,0,SUMIFS(LS[Cost of Units Sold],LS[Investor ID],INVESTORS_LIST[[#This Row],[INVESTOR CODE]],LS[B/S],"S"))</f>
        <v>0</v>
      </c>
      <c r="J353" s="48">
        <f>IF(INVESTORS_LIST[[#This Row],[LS_TOTAL CURRENT UNITS]]=0,0,INVESTORS_LIST[[#This Row],[LS_TOTAL CURRENT UNITS]]*INVESTORS_LIST[[#This Row],[LS_AVERAGE COST]])</f>
        <v>0</v>
      </c>
      <c r="K353" s="49">
        <f>IF(INVESTORS_LIST[[#This Row],[LS_TOTAL UNITS SOLD]]=0,0,SUMIFS(LS[Realized Gain],LS[Investor ID],INVESTORS_LIST[[#This Row],[INVESTOR CODE]],LS[B/S],"S"))</f>
        <v>0</v>
      </c>
      <c r="L353" s="47">
        <f>SUMIFS(SIP[Unit],SIP[Investor ID],INVESTORS_LIST[[#This Row],[INVESTOR CODE]],SIP[B/S],"B")</f>
        <v>0</v>
      </c>
      <c r="M353" s="47">
        <f>-SUMIFS(SIP[Unit],SIP[Investor ID],INVESTORS_LIST[[#This Row],[INVESTOR CODE]],SIP[B/S],"S")</f>
        <v>0</v>
      </c>
      <c r="N353" s="50">
        <f>IF(INVESTORS_LIST[[#This Row],[SIP_TOTAL UNITS BUY]]=0,0,INVESTORS_LIST[[#This Row],[SIP_TOTAL UNITS BUY]]-INVESTORS_LIST[[#This Row],[SIP_TOTAL UNITS SOLD]])</f>
        <v>0</v>
      </c>
      <c r="O353" s="49">
        <f>IF(INVESTORS_LIST[[#This Row],[SIP_TOTAL UNITS BUY]]=0,0,SUMIFS(SIP[Amount],SIP[Investor ID],INVESTORS_LIST[[#This Row],[INVESTOR CODE]],SIP[B/S],"B"))</f>
        <v>0</v>
      </c>
      <c r="P353" s="49">
        <f>IF(INVESTORS_LIST[[#This Row],[SIP_TOTAL UNITS SOLD]]=0,0,SUMIFS(SIP[Cost of Units Sold],SIP[Investor ID],INVESTORS_LIST[[#This Row],[INVESTOR CODE]],SIP[B/S],"S"))</f>
        <v>0</v>
      </c>
      <c r="Q353" s="48">
        <f>IF(INVESTORS_LIST[[#This Row],[SIP_TOTAL CURRENT UNITS]]=0,0,INVESTORS_LIST[[#This Row],[SIP_TOTAL CURRENT UNITS]]*INVESTORS_LIST[[#This Row],[SIP_AVERAGE COST]])</f>
        <v>0</v>
      </c>
      <c r="R353" s="48">
        <f>IF(INVESTORS_LIST[[#This Row],[SIP_TOTAL UNITS SOLD]]=0,0,SUMIFS(SIP[Realized Gain],SIP[Investor ID],INVESTORS_LIST[[#This Row],[INVESTOR CODE]],SIP[B/S],"S"))</f>
        <v>0</v>
      </c>
      <c r="S353" s="50">
        <f>INVESTORS_LIST[[#This Row],[LS_TOTAL UNITS BUY]]+INVESTORS_LIST[[#This Row],[SIP_TOTAL UNITS BUY]]</f>
        <v>0</v>
      </c>
      <c r="T353" s="50">
        <f>INVESTORS_LIST[[#This Row],[LS_TOTAL UNITS SOLD]]+INVESTORS_LIST[[#This Row],[SIP_TOTAL UNITS SOLD]]</f>
        <v>0</v>
      </c>
      <c r="U353" s="50"/>
      <c r="V353" s="50">
        <f>SUMIFS(LS[BO UNIT TRANSFER],LS[Investor ID],INVESTORS_LIST[[#This Row],[INVESTOR CODE]],LS[B/S],"B")</f>
        <v>0</v>
      </c>
      <c r="W353" s="50">
        <f>SUMIFS(SIP[BO UNIT TRANSFER],SIP[Investor ID],INVESTORS_LIST[[#This Row],[INVESTOR CODE]],SIP[B/S],"B")</f>
        <v>0</v>
      </c>
      <c r="X353" s="50">
        <f>SUMIFS(LS[BO UNIT TRANSFER],LS[Investor ID],INVESTORS_LIST[[#This Row],[INVESTOR CODE]],LS[B/S],"S")</f>
        <v>0</v>
      </c>
      <c r="Y353" s="50">
        <f>SUMIFS(SIP[BO UNIT TRANSFER],SIP[Investor ID],INVESTORS_LIST[[#This Row],[INVESTOR CODE]],SIP[B/S],"S")</f>
        <v>0</v>
      </c>
      <c r="Z353" s="106">
        <f>SUM(INVESTORS_LIST[[#This Row],[BO OPENING BALANCE]:[BO SIP UNITS REPURCHASE]])</f>
        <v>0</v>
      </c>
      <c r="AA353" s="107">
        <f>INVESTORS_LIST[[#This Row],[TOTAL UNITS BUY]]-INVESTORS_LIST[[#This Row],[TOTAL UNITS SOLD]]</f>
        <v>0</v>
      </c>
      <c r="AB353" s="107">
        <f>INVESTORS_LIST[[#This Row],[TOTAL CURRENT UNITS]]-INVESTORS_LIST[[#This Row],[BO UNITS HOLD]]</f>
        <v>0</v>
      </c>
      <c r="AC353" s="201" t="e">
        <f>INDEX([3]!Table_1[BO ID],MATCH(INVESTORS_LIST[[#This Row],[INVESTOR CODE]],[3]!Table_1[INVESTOR CODE],0))</f>
        <v>#REF!</v>
      </c>
      <c r="AD353" s="201" t="e">
        <f>INDEX([3]!Table_1[Brokerage Name2],MATCH(INVESTORS_LIST[[#This Row],[INVESTOR CODE]],[3]!Table_1[INVESTOR CODE],0))</f>
        <v>#REF!</v>
      </c>
      <c r="AE353" s="201" t="e">
        <f>MID(INVESTORS_LIST[[#This Row],[BO ID]],4,5)</f>
        <v>#REF!</v>
      </c>
      <c r="AF353" s="201" t="e">
        <f>MID(INVESTORS_LIST[[#This Row],[BO ID]],2,7)</f>
        <v>#REF!</v>
      </c>
      <c r="AG353" s="201" t="e">
        <f>MID(INVESTORS_LIST[[#This Row],[BO ID]],9,7)</f>
        <v>#REF!</v>
      </c>
      <c r="AH353" s="201" t="e">
        <f>RIGHT(INVESTORS_LIST[[#This Row],[BO ID]],1)</f>
        <v>#REF!</v>
      </c>
      <c r="AI353" s="50">
        <f>INVESTORS_LIST[[#This Row],[LS_TOTAL COST VALUE OF CURRENT UNITS]]+INVESTORS_LIST[[#This Row],[SIP_TOTAL COST VALUE OF CURRENT UNITS]]</f>
        <v>0</v>
      </c>
      <c r="AJ353" s="109">
        <f>IF(INVESTORS_LIST[[#This Row],[TOTAL CURRENT UNITS]]=0,0,INVESTORS_LIST[[#This Row],[LS_TOTAL CURRENT UNITS]]/INVESTORS_LIST[[#This Row],[TOTAL CURRENT UNITS]])</f>
        <v>0</v>
      </c>
      <c r="AK353" s="109">
        <f>IF(INVESTORS_LIST[[#This Row],[TOTAL CURRENT UNITS]]=0,0,INVESTORS_LIST[[#This Row],[SIP_TOTAL CURRENT UNITS]]/INVESTORS_LIST[[#This Row],[TOTAL CURRENT UNITS]])</f>
        <v>0</v>
      </c>
      <c r="AL353" s="49" cm="1">
        <f t="array" ref="AL3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3" s="49" cm="1">
        <f t="array" ref="AM3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3" s="105">
        <f t="shared" si="6"/>
        <v>14.224</v>
      </c>
      <c r="AP353" s="112">
        <f>IF(INVESTORS_LIST[[#This Row],[TOTAL CURRENT UNITS]]=0,0,INVESTORS_LIST[[#This Row],[TOTAL CURRENT UNITS]]*INVESTORS_LIST[[#This Row],[NAV]])</f>
        <v>0</v>
      </c>
      <c r="AQ353" s="49">
        <f>IF(INVESTORS_LIST[[#This Row],[LS_TOTAL CURRENT UNITS]]=0,0,INVESTORS_LIST[[#This Row],[LS_TOTAL CURRENT UNITS]]*INVESTORS_LIST[[#This Row],[NAV]])</f>
        <v>0</v>
      </c>
      <c r="AR353" s="48">
        <f>IF(INVESTORS_LIST[[#This Row],[SIP_TOTAL CURRENT UNITS]]=0,0,INVESTORS_LIST[[#This Row],[SIP_TOTAL CURRENT UNITS]]*INVESTORS_LIST[[#This Row],[NAV]])</f>
        <v>0</v>
      </c>
      <c r="AS353" s="50">
        <f>INVESTORS_LIST[[#This Row],[TOTAL CURRENT UNITS]]</f>
        <v>0</v>
      </c>
      <c r="AT353" s="48">
        <f>IF(INVESTORS_LIST[[#This Row],[TOTAL SELLABLE UNITS]]=0,0,INVESTORS_LIST[[#This Row],[TOTAL SELLABLE UNITS]]*INVESTORS_LIST[[#This Row],[NAV]])</f>
        <v>0</v>
      </c>
      <c r="AU353" s="48">
        <f>INVESTORS_LIST[[#This Row],[LS_TOTAL REALIZED GAIN]]+INVESTORS_LIST[[#This Row],[SIP_TOTAL REALIZED GAIN]]</f>
        <v>0</v>
      </c>
      <c r="AV353" s="48">
        <f>INVESTORS_LIST[[#This Row],[TOTAL MARKET VALUE]]-INVESTORS_LIST[[#This Row],[TOTAL COST VALUE OF CURRENT INVESTMENT]]</f>
        <v>0</v>
      </c>
      <c r="AW353" s="48">
        <f>IFERROR(INVESTORS_LIST[[#This Row],[TOTAL CURRENT UNITS]]/SUM(INVESTORS_LIST[TOTAL CURRENT UNITS]),0)</f>
        <v>0</v>
      </c>
    </row>
    <row r="354" spans="1:49">
      <c r="A354" s="262" t="s">
        <v>755</v>
      </c>
      <c r="B354" s="97" t="s">
        <v>756</v>
      </c>
      <c r="C354" t="s">
        <v>48</v>
      </c>
      <c r="D354" s="75" t="s">
        <v>49</v>
      </c>
      <c r="E354" s="47">
        <f>SUMIFS(LS[Unit],LS[Investor ID],INVESTORS_LIST[[#This Row],[INVESTOR CODE]],LS[B/S],"B")</f>
        <v>2191000</v>
      </c>
      <c r="F354" s="47">
        <f>-SUMIFS(LS[Unit],LS[Investor ID],INVESTORS_LIST[[#This Row],[INVESTOR CODE]],LS[B/S],"S")</f>
        <v>0</v>
      </c>
      <c r="G354" s="47">
        <f>IF(INVESTORS_LIST[[#This Row],[LS_TOTAL UNITS BUY]]=0,0,INVESTORS_LIST[[#This Row],[LS_TOTAL UNITS BUY]]-INVESTORS_LIST[[#This Row],[LS_TOTAL UNITS SOLD]])</f>
        <v>2191000</v>
      </c>
      <c r="H354" s="49">
        <f>IF(INVESTORS_LIST[[#This Row],[LS_TOTAL UNITS BUY]]=0,0,SUMIFS(LS[Amount],LS[Investor ID],INVESTORS_LIST[[#This Row],[INVESTOR CODE]],LS[B/S],"B"))</f>
        <v>24999310</v>
      </c>
      <c r="I354" s="48">
        <f>IF(INVESTORS_LIST[[#This Row],[LS_TOTAL UNITS SOLD]]=0,0,SUMIFS(LS[Cost of Units Sold],LS[Investor ID],INVESTORS_LIST[[#This Row],[INVESTOR CODE]],LS[B/S],"S"))</f>
        <v>0</v>
      </c>
      <c r="J354" s="48">
        <f>IF(INVESTORS_LIST[[#This Row],[LS_TOTAL CURRENT UNITS]]=0,0,INVESTORS_LIST[[#This Row],[LS_TOTAL CURRENT UNITS]]*INVESTORS_LIST[[#This Row],[LS_AVERAGE COST]])</f>
        <v>24999310</v>
      </c>
      <c r="K354" s="49">
        <f>IF(INVESTORS_LIST[[#This Row],[LS_TOTAL UNITS SOLD]]=0,0,SUMIFS(LS[Realized Gain],LS[Investor ID],INVESTORS_LIST[[#This Row],[INVESTOR CODE]],LS[B/S],"S"))</f>
        <v>0</v>
      </c>
      <c r="L354" s="47">
        <f>SUMIFS(SIP[Unit],SIP[Investor ID],INVESTORS_LIST[[#This Row],[INVESTOR CODE]],SIP[B/S],"B")</f>
        <v>0</v>
      </c>
      <c r="M354" s="47">
        <f>-SUMIFS(SIP[Unit],SIP[Investor ID],INVESTORS_LIST[[#This Row],[INVESTOR CODE]],SIP[B/S],"S")</f>
        <v>0</v>
      </c>
      <c r="N354" s="50">
        <f>IF(INVESTORS_LIST[[#This Row],[SIP_TOTAL UNITS BUY]]=0,0,INVESTORS_LIST[[#This Row],[SIP_TOTAL UNITS BUY]]-INVESTORS_LIST[[#This Row],[SIP_TOTAL UNITS SOLD]])</f>
        <v>0</v>
      </c>
      <c r="O354" s="49">
        <f>IF(INVESTORS_LIST[[#This Row],[SIP_TOTAL UNITS BUY]]=0,0,SUMIFS(SIP[Amount],SIP[Investor ID],INVESTORS_LIST[[#This Row],[INVESTOR CODE]],SIP[B/S],"B"))</f>
        <v>0</v>
      </c>
      <c r="P354" s="49">
        <f>IF(INVESTORS_LIST[[#This Row],[SIP_TOTAL UNITS SOLD]]=0,0,SUMIFS(SIP[Cost of Units Sold],SIP[Investor ID],INVESTORS_LIST[[#This Row],[INVESTOR CODE]],SIP[B/S],"S"))</f>
        <v>0</v>
      </c>
      <c r="Q354" s="48">
        <f>IF(INVESTORS_LIST[[#This Row],[SIP_TOTAL CURRENT UNITS]]=0,0,INVESTORS_LIST[[#This Row],[SIP_TOTAL CURRENT UNITS]]*INVESTORS_LIST[[#This Row],[SIP_AVERAGE COST]])</f>
        <v>0</v>
      </c>
      <c r="R354" s="48">
        <f>IF(INVESTORS_LIST[[#This Row],[SIP_TOTAL UNITS SOLD]]=0,0,SUMIFS(SIP[Realized Gain],SIP[Investor ID],INVESTORS_LIST[[#This Row],[INVESTOR CODE]],SIP[B/S],"S"))</f>
        <v>0</v>
      </c>
      <c r="S354" s="50">
        <f>INVESTORS_LIST[[#This Row],[LS_TOTAL UNITS BUY]]+INVESTORS_LIST[[#This Row],[SIP_TOTAL UNITS BUY]]</f>
        <v>2191000</v>
      </c>
      <c r="T354" s="50">
        <f>INVESTORS_LIST[[#This Row],[LS_TOTAL UNITS SOLD]]+INVESTORS_LIST[[#This Row],[SIP_TOTAL UNITS SOLD]]</f>
        <v>0</v>
      </c>
      <c r="U354" s="50">
        <v>2191000</v>
      </c>
      <c r="V354" s="50">
        <f>SUMIFS(LS[BO UNIT TRANSFER],LS[Investor ID],INVESTORS_LIST[[#This Row],[INVESTOR CODE]],LS[B/S],"B")</f>
        <v>0</v>
      </c>
      <c r="W354" s="50">
        <f>SUMIFS(SIP[BO UNIT TRANSFER],SIP[Investor ID],INVESTORS_LIST[[#This Row],[INVESTOR CODE]],SIP[B/S],"B")</f>
        <v>0</v>
      </c>
      <c r="X354" s="50">
        <f>SUMIFS(LS[BO UNIT TRANSFER],LS[Investor ID],INVESTORS_LIST[[#This Row],[INVESTOR CODE]],LS[B/S],"S")</f>
        <v>0</v>
      </c>
      <c r="Y354" s="50">
        <f>SUMIFS(SIP[BO UNIT TRANSFER],SIP[Investor ID],INVESTORS_LIST[[#This Row],[INVESTOR CODE]],SIP[B/S],"S")</f>
        <v>0</v>
      </c>
      <c r="Z354" s="106">
        <f>SUM(INVESTORS_LIST[[#This Row],[BO OPENING BALANCE]:[BO SIP UNITS REPURCHASE]])</f>
        <v>2191000</v>
      </c>
      <c r="AA354" s="107">
        <f>INVESTORS_LIST[[#This Row],[TOTAL UNITS BUY]]-INVESTORS_LIST[[#This Row],[TOTAL UNITS SOLD]]</f>
        <v>2191000</v>
      </c>
      <c r="AB354" s="107">
        <f>INVESTORS_LIST[[#This Row],[TOTAL CURRENT UNITS]]-INVESTORS_LIST[[#This Row],[BO UNITS HOLD]]</f>
        <v>0</v>
      </c>
      <c r="AC354" s="201" t="e">
        <f>INDEX([3]!Table_1[BO ID],MATCH(INVESTORS_LIST[[#This Row],[INVESTOR CODE]],[3]!Table_1[INVESTOR CODE],0))</f>
        <v>#REF!</v>
      </c>
      <c r="AD354" s="201" t="e">
        <f>INDEX([3]!Table_1[Brokerage Name2],MATCH(INVESTORS_LIST[[#This Row],[INVESTOR CODE]],[3]!Table_1[INVESTOR CODE],0))</f>
        <v>#REF!</v>
      </c>
      <c r="AE354" s="201" t="e">
        <f>MID(INVESTORS_LIST[[#This Row],[BO ID]],4,5)</f>
        <v>#REF!</v>
      </c>
      <c r="AF354" s="201" t="e">
        <f>MID(INVESTORS_LIST[[#This Row],[BO ID]],2,7)</f>
        <v>#REF!</v>
      </c>
      <c r="AG354" s="201" t="e">
        <f>MID(INVESTORS_LIST[[#This Row],[BO ID]],9,7)</f>
        <v>#REF!</v>
      </c>
      <c r="AH354" s="201" t="e">
        <f>RIGHT(INVESTORS_LIST[[#This Row],[BO ID]],1)</f>
        <v>#REF!</v>
      </c>
      <c r="AI354" s="50">
        <f>INVESTORS_LIST[[#This Row],[LS_TOTAL COST VALUE OF CURRENT UNITS]]+INVESTORS_LIST[[#This Row],[SIP_TOTAL COST VALUE OF CURRENT UNITS]]</f>
        <v>24999310</v>
      </c>
      <c r="AJ354" s="109">
        <f>IF(INVESTORS_LIST[[#This Row],[TOTAL CURRENT UNITS]]=0,0,INVESTORS_LIST[[#This Row],[LS_TOTAL CURRENT UNITS]]/INVESTORS_LIST[[#This Row],[TOTAL CURRENT UNITS]])</f>
        <v>1</v>
      </c>
      <c r="AK354" s="109">
        <f>IF(INVESTORS_LIST[[#This Row],[TOTAL CURRENT UNITS]]=0,0,INVESTORS_LIST[[#This Row],[SIP_TOTAL CURRENT UNITS]]/INVESTORS_LIST[[#This Row],[TOTAL CURRENT UNITS]])</f>
        <v>0</v>
      </c>
      <c r="AL354" s="49" cm="1">
        <f t="array" ref="AL354">IF(INVESTORS_LIST[[#This Row],[LS_TOTAL UNITS BUY]]&gt;0,INDEX(LS[NAV at Cost (Average)],MATCH(CONCATENATE(COUNTIFS(LS[Investor ID],INVESTORS_LIST[[#This Row],[INVESTOR CODE]]),INVESTORS_LIST[[#This Row],[INVESTOR CODE]]),LS[Unique Code],0),),0)</f>
        <v>11.41</v>
      </c>
      <c r="AM354" s="49" cm="1">
        <f t="array" ref="AM3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4" s="105">
        <f>IF(INVESTORS_LIST[[#This Row],[TOTAL CURRENT UNITS]]=0,0,(INVESTORS_LIST[[#This Row],[LS_WEIGHT]]*INVESTORS_LIST[[#This Row],[LS_AVERAGE COST]])+(INVESTORS_LIST[[#This Row],[SIP_WEIGHT]]*INVESTORS_LIST[[#This Row],[SIP_AVERAGE COST]]))</f>
        <v>11.41</v>
      </c>
      <c r="AO354" s="105">
        <f t="shared" si="6"/>
        <v>14.224</v>
      </c>
      <c r="AP354" s="112">
        <f>IF(INVESTORS_LIST[[#This Row],[TOTAL CURRENT UNITS]]=0,0,INVESTORS_LIST[[#This Row],[TOTAL CURRENT UNITS]]*INVESTORS_LIST[[#This Row],[NAV]])</f>
        <v>31164784</v>
      </c>
      <c r="AQ354" s="49">
        <f>IF(INVESTORS_LIST[[#This Row],[LS_TOTAL CURRENT UNITS]]=0,0,INVESTORS_LIST[[#This Row],[LS_TOTAL CURRENT UNITS]]*INVESTORS_LIST[[#This Row],[NAV]])</f>
        <v>31164784</v>
      </c>
      <c r="AR354" s="48">
        <f>IF(INVESTORS_LIST[[#This Row],[SIP_TOTAL CURRENT UNITS]]=0,0,INVESTORS_LIST[[#This Row],[SIP_TOTAL CURRENT UNITS]]*INVESTORS_LIST[[#This Row],[NAV]])</f>
        <v>0</v>
      </c>
      <c r="AS354" s="50">
        <f>INVESTORS_LIST[[#This Row],[TOTAL CURRENT UNITS]]</f>
        <v>2191000</v>
      </c>
      <c r="AT354" s="48">
        <f>IF(INVESTORS_LIST[[#This Row],[TOTAL SELLABLE UNITS]]=0,0,INVESTORS_LIST[[#This Row],[TOTAL SELLABLE UNITS]]*INVESTORS_LIST[[#This Row],[NAV]])</f>
        <v>31164784</v>
      </c>
      <c r="AU354" s="48">
        <f>INVESTORS_LIST[[#This Row],[LS_TOTAL REALIZED GAIN]]+INVESTORS_LIST[[#This Row],[SIP_TOTAL REALIZED GAIN]]</f>
        <v>0</v>
      </c>
      <c r="AV354" s="48">
        <f>INVESTORS_LIST[[#This Row],[TOTAL MARKET VALUE]]-INVESTORS_LIST[[#This Row],[TOTAL COST VALUE OF CURRENT INVESTMENT]]</f>
        <v>6165474</v>
      </c>
      <c r="AW354" s="108">
        <f>IFERROR(INVESTORS_LIST[[#This Row],[TOTAL CURRENT UNITS]]/SUM(INVESTORS_LIST[TOTAL CURRENT UNITS]),0)</f>
        <v>5.3189171500363112E-2</v>
      </c>
    </row>
    <row r="355" spans="1:49" hidden="1">
      <c r="A355" s="262" t="s">
        <v>757</v>
      </c>
      <c r="B355" s="97" t="s">
        <v>758</v>
      </c>
      <c r="C355" t="s">
        <v>48</v>
      </c>
      <c r="D355" s="75" t="s">
        <v>49</v>
      </c>
      <c r="E355" s="47">
        <f>SUMIFS(LS[Unit],LS[Investor ID],INVESTORS_LIST[[#This Row],[INVESTOR CODE]],LS[B/S],"B")</f>
        <v>0</v>
      </c>
      <c r="F355" s="47">
        <f>-SUMIFS(LS[Unit],LS[Investor ID],INVESTORS_LIST[[#This Row],[INVESTOR CODE]],LS[B/S],"S")</f>
        <v>0</v>
      </c>
      <c r="G355" s="47">
        <f>IF(INVESTORS_LIST[[#This Row],[LS_TOTAL UNITS BUY]]=0,0,INVESTORS_LIST[[#This Row],[LS_TOTAL UNITS BUY]]-INVESTORS_LIST[[#This Row],[LS_TOTAL UNITS SOLD]])</f>
        <v>0</v>
      </c>
      <c r="H355" s="49">
        <f>IF(INVESTORS_LIST[[#This Row],[LS_TOTAL UNITS BUY]]=0,0,SUMIFS(LS[Amount],LS[Investor ID],INVESTORS_LIST[[#This Row],[INVESTOR CODE]],LS[B/S],"B"))</f>
        <v>0</v>
      </c>
      <c r="I355" s="48">
        <f>IF(INVESTORS_LIST[[#This Row],[LS_TOTAL UNITS SOLD]]=0,0,SUMIFS(LS[Cost of Units Sold],LS[Investor ID],INVESTORS_LIST[[#This Row],[INVESTOR CODE]],LS[B/S],"S"))</f>
        <v>0</v>
      </c>
      <c r="J355" s="48">
        <f>IF(INVESTORS_LIST[[#This Row],[LS_TOTAL CURRENT UNITS]]=0,0,INVESTORS_LIST[[#This Row],[LS_TOTAL CURRENT UNITS]]*INVESTORS_LIST[[#This Row],[LS_AVERAGE COST]])</f>
        <v>0</v>
      </c>
      <c r="K355" s="49">
        <f>IF(INVESTORS_LIST[[#This Row],[LS_TOTAL UNITS SOLD]]=0,0,SUMIFS(LS[Realized Gain],LS[Investor ID],INVESTORS_LIST[[#This Row],[INVESTOR CODE]],LS[B/S],"S"))</f>
        <v>0</v>
      </c>
      <c r="L355" s="47">
        <f>SUMIFS(SIP[Unit],SIP[Investor ID],INVESTORS_LIST[[#This Row],[INVESTOR CODE]],SIP[B/S],"B")</f>
        <v>0</v>
      </c>
      <c r="M355" s="47">
        <f>-SUMIFS(SIP[Unit],SIP[Investor ID],INVESTORS_LIST[[#This Row],[INVESTOR CODE]],SIP[B/S],"S")</f>
        <v>0</v>
      </c>
      <c r="N355" s="50">
        <f>IF(INVESTORS_LIST[[#This Row],[SIP_TOTAL UNITS BUY]]=0,0,INVESTORS_LIST[[#This Row],[SIP_TOTAL UNITS BUY]]-INVESTORS_LIST[[#This Row],[SIP_TOTAL UNITS SOLD]])</f>
        <v>0</v>
      </c>
      <c r="O355" s="49">
        <f>IF(INVESTORS_LIST[[#This Row],[SIP_TOTAL UNITS BUY]]=0,0,SUMIFS(SIP[Amount],SIP[Investor ID],INVESTORS_LIST[[#This Row],[INVESTOR CODE]],SIP[B/S],"B"))</f>
        <v>0</v>
      </c>
      <c r="P355" s="49">
        <f>IF(INVESTORS_LIST[[#This Row],[SIP_TOTAL UNITS SOLD]]=0,0,SUMIFS(SIP[Cost of Units Sold],SIP[Investor ID],INVESTORS_LIST[[#This Row],[INVESTOR CODE]],SIP[B/S],"S"))</f>
        <v>0</v>
      </c>
      <c r="Q355" s="48">
        <f>IF(INVESTORS_LIST[[#This Row],[SIP_TOTAL CURRENT UNITS]]=0,0,INVESTORS_LIST[[#This Row],[SIP_TOTAL CURRENT UNITS]]*INVESTORS_LIST[[#This Row],[SIP_AVERAGE COST]])</f>
        <v>0</v>
      </c>
      <c r="R355" s="48">
        <f>IF(INVESTORS_LIST[[#This Row],[SIP_TOTAL UNITS SOLD]]=0,0,SUMIFS(SIP[Realized Gain],SIP[Investor ID],INVESTORS_LIST[[#This Row],[INVESTOR CODE]],SIP[B/S],"S"))</f>
        <v>0</v>
      </c>
      <c r="S355" s="50">
        <f>INVESTORS_LIST[[#This Row],[LS_TOTAL UNITS BUY]]+INVESTORS_LIST[[#This Row],[SIP_TOTAL UNITS BUY]]</f>
        <v>0</v>
      </c>
      <c r="T355" s="50">
        <f>INVESTORS_LIST[[#This Row],[LS_TOTAL UNITS SOLD]]+INVESTORS_LIST[[#This Row],[SIP_TOTAL UNITS SOLD]]</f>
        <v>0</v>
      </c>
      <c r="U355" s="50"/>
      <c r="V355" s="50">
        <f>SUMIFS(LS[BO UNIT TRANSFER],LS[Investor ID],INVESTORS_LIST[[#This Row],[INVESTOR CODE]],LS[B/S],"B")</f>
        <v>0</v>
      </c>
      <c r="W355" s="50">
        <f>SUMIFS(SIP[BO UNIT TRANSFER],SIP[Investor ID],INVESTORS_LIST[[#This Row],[INVESTOR CODE]],SIP[B/S],"B")</f>
        <v>0</v>
      </c>
      <c r="X355" s="50">
        <f>SUMIFS(LS[BO UNIT TRANSFER],LS[Investor ID],INVESTORS_LIST[[#This Row],[INVESTOR CODE]],LS[B/S],"S")</f>
        <v>0</v>
      </c>
      <c r="Y355" s="50">
        <f>SUMIFS(SIP[BO UNIT TRANSFER],SIP[Investor ID],INVESTORS_LIST[[#This Row],[INVESTOR CODE]],SIP[B/S],"S")</f>
        <v>0</v>
      </c>
      <c r="Z355" s="106">
        <f>SUM(INVESTORS_LIST[[#This Row],[BO OPENING BALANCE]:[BO SIP UNITS REPURCHASE]])</f>
        <v>0</v>
      </c>
      <c r="AA355" s="107">
        <f>INVESTORS_LIST[[#This Row],[TOTAL UNITS BUY]]-INVESTORS_LIST[[#This Row],[TOTAL UNITS SOLD]]</f>
        <v>0</v>
      </c>
      <c r="AB355" s="107">
        <f>INVESTORS_LIST[[#This Row],[TOTAL CURRENT UNITS]]-INVESTORS_LIST[[#This Row],[BO UNITS HOLD]]</f>
        <v>0</v>
      </c>
      <c r="AC355" s="201" t="e">
        <f>INDEX([3]!Table_1[BO ID],MATCH(INVESTORS_LIST[[#This Row],[INVESTOR CODE]],[3]!Table_1[INVESTOR CODE],0))</f>
        <v>#REF!</v>
      </c>
      <c r="AD355" s="201" t="e">
        <f>INDEX([3]!Table_1[Brokerage Name2],MATCH(INVESTORS_LIST[[#This Row],[INVESTOR CODE]],[3]!Table_1[INVESTOR CODE],0))</f>
        <v>#REF!</v>
      </c>
      <c r="AE355" s="201" t="e">
        <f>MID(INVESTORS_LIST[[#This Row],[BO ID]],4,5)</f>
        <v>#REF!</v>
      </c>
      <c r="AF355" s="201" t="e">
        <f>MID(INVESTORS_LIST[[#This Row],[BO ID]],2,7)</f>
        <v>#REF!</v>
      </c>
      <c r="AG355" s="201" t="e">
        <f>MID(INVESTORS_LIST[[#This Row],[BO ID]],9,7)</f>
        <v>#REF!</v>
      </c>
      <c r="AH355" s="201" t="e">
        <f>RIGHT(INVESTORS_LIST[[#This Row],[BO ID]],1)</f>
        <v>#REF!</v>
      </c>
      <c r="AI355" s="50">
        <f>INVESTORS_LIST[[#This Row],[LS_TOTAL COST VALUE OF CURRENT UNITS]]+INVESTORS_LIST[[#This Row],[SIP_TOTAL COST VALUE OF CURRENT UNITS]]</f>
        <v>0</v>
      </c>
      <c r="AJ355" s="109">
        <f>IF(INVESTORS_LIST[[#This Row],[TOTAL CURRENT UNITS]]=0,0,INVESTORS_LIST[[#This Row],[LS_TOTAL CURRENT UNITS]]/INVESTORS_LIST[[#This Row],[TOTAL CURRENT UNITS]])</f>
        <v>0</v>
      </c>
      <c r="AK355" s="109">
        <f>IF(INVESTORS_LIST[[#This Row],[TOTAL CURRENT UNITS]]=0,0,INVESTORS_LIST[[#This Row],[SIP_TOTAL CURRENT UNITS]]/INVESTORS_LIST[[#This Row],[TOTAL CURRENT UNITS]])</f>
        <v>0</v>
      </c>
      <c r="AL355" s="49" cm="1">
        <f t="array" ref="AL3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5" s="49" cm="1">
        <f t="array" ref="AM3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5" s="105">
        <f t="shared" si="6"/>
        <v>14.224</v>
      </c>
      <c r="AP355" s="112">
        <f>IF(INVESTORS_LIST[[#This Row],[TOTAL CURRENT UNITS]]=0,0,INVESTORS_LIST[[#This Row],[TOTAL CURRENT UNITS]]*INVESTORS_LIST[[#This Row],[NAV]])</f>
        <v>0</v>
      </c>
      <c r="AQ355" s="49">
        <f>IF(INVESTORS_LIST[[#This Row],[LS_TOTAL CURRENT UNITS]]=0,0,INVESTORS_LIST[[#This Row],[LS_TOTAL CURRENT UNITS]]*INVESTORS_LIST[[#This Row],[NAV]])</f>
        <v>0</v>
      </c>
      <c r="AR355" s="48">
        <f>IF(INVESTORS_LIST[[#This Row],[SIP_TOTAL CURRENT UNITS]]=0,0,INVESTORS_LIST[[#This Row],[SIP_TOTAL CURRENT UNITS]]*INVESTORS_LIST[[#This Row],[NAV]])</f>
        <v>0</v>
      </c>
      <c r="AS355" s="50">
        <f>INVESTORS_LIST[[#This Row],[TOTAL CURRENT UNITS]]</f>
        <v>0</v>
      </c>
      <c r="AT355" s="48">
        <f>IF(INVESTORS_LIST[[#This Row],[TOTAL SELLABLE UNITS]]=0,0,INVESTORS_LIST[[#This Row],[TOTAL SELLABLE UNITS]]*INVESTORS_LIST[[#This Row],[NAV]])</f>
        <v>0</v>
      </c>
      <c r="AU355" s="48">
        <f>INVESTORS_LIST[[#This Row],[LS_TOTAL REALIZED GAIN]]+INVESTORS_LIST[[#This Row],[SIP_TOTAL REALIZED GAIN]]</f>
        <v>0</v>
      </c>
      <c r="AV355" s="48">
        <f>INVESTORS_LIST[[#This Row],[TOTAL MARKET VALUE]]-INVESTORS_LIST[[#This Row],[TOTAL COST VALUE OF CURRENT INVESTMENT]]</f>
        <v>0</v>
      </c>
      <c r="AW355" s="48">
        <f>IFERROR(INVESTORS_LIST[[#This Row],[TOTAL CURRENT UNITS]]/SUM(INVESTORS_LIST[TOTAL CURRENT UNITS]),0)</f>
        <v>0</v>
      </c>
    </row>
    <row r="356" spans="1:49" hidden="1">
      <c r="A356" s="262" t="s">
        <v>759</v>
      </c>
      <c r="B356" s="97" t="s">
        <v>760</v>
      </c>
      <c r="C356" t="s">
        <v>67</v>
      </c>
      <c r="D356" s="75" t="s">
        <v>45</v>
      </c>
      <c r="E356" s="47">
        <f>SUMIFS(LS[Unit],LS[Investor ID],INVESTORS_LIST[[#This Row],[INVESTOR CODE]],LS[B/S],"B")</f>
        <v>0</v>
      </c>
      <c r="F356" s="47">
        <f>-SUMIFS(LS[Unit],LS[Investor ID],INVESTORS_LIST[[#This Row],[INVESTOR CODE]],LS[B/S],"S")</f>
        <v>0</v>
      </c>
      <c r="G356" s="47">
        <f>IF(INVESTORS_LIST[[#This Row],[LS_TOTAL UNITS BUY]]=0,0,INVESTORS_LIST[[#This Row],[LS_TOTAL UNITS BUY]]-INVESTORS_LIST[[#This Row],[LS_TOTAL UNITS SOLD]])</f>
        <v>0</v>
      </c>
      <c r="H356" s="49">
        <f>IF(INVESTORS_LIST[[#This Row],[LS_TOTAL UNITS BUY]]=0,0,SUMIFS(LS[Amount],LS[Investor ID],INVESTORS_LIST[[#This Row],[INVESTOR CODE]],LS[B/S],"B"))</f>
        <v>0</v>
      </c>
      <c r="I356" s="48">
        <f>IF(INVESTORS_LIST[[#This Row],[LS_TOTAL UNITS SOLD]]=0,0,SUMIFS(LS[Cost of Units Sold],LS[Investor ID],INVESTORS_LIST[[#This Row],[INVESTOR CODE]],LS[B/S],"S"))</f>
        <v>0</v>
      </c>
      <c r="J356" s="48">
        <f>IF(INVESTORS_LIST[[#This Row],[LS_TOTAL CURRENT UNITS]]=0,0,INVESTORS_LIST[[#This Row],[LS_TOTAL CURRENT UNITS]]*INVESTORS_LIST[[#This Row],[LS_AVERAGE COST]])</f>
        <v>0</v>
      </c>
      <c r="K356" s="49">
        <f>IF(INVESTORS_LIST[[#This Row],[LS_TOTAL UNITS SOLD]]=0,0,SUMIFS(LS[Realized Gain],LS[Investor ID],INVESTORS_LIST[[#This Row],[INVESTOR CODE]],LS[B/S],"S"))</f>
        <v>0</v>
      </c>
      <c r="L356" s="47">
        <f>SUMIFS(SIP[Unit],SIP[Investor ID],INVESTORS_LIST[[#This Row],[INVESTOR CODE]],SIP[B/S],"B")</f>
        <v>0</v>
      </c>
      <c r="M356" s="47">
        <f>-SUMIFS(SIP[Unit],SIP[Investor ID],INVESTORS_LIST[[#This Row],[INVESTOR CODE]],SIP[B/S],"S")</f>
        <v>0</v>
      </c>
      <c r="N356" s="50">
        <f>IF(INVESTORS_LIST[[#This Row],[SIP_TOTAL UNITS BUY]]=0,0,INVESTORS_LIST[[#This Row],[SIP_TOTAL UNITS BUY]]-INVESTORS_LIST[[#This Row],[SIP_TOTAL UNITS SOLD]])</f>
        <v>0</v>
      </c>
      <c r="O356" s="49">
        <f>IF(INVESTORS_LIST[[#This Row],[SIP_TOTAL UNITS BUY]]=0,0,SUMIFS(SIP[Amount],SIP[Investor ID],INVESTORS_LIST[[#This Row],[INVESTOR CODE]],SIP[B/S],"B"))</f>
        <v>0</v>
      </c>
      <c r="P356" s="49">
        <f>IF(INVESTORS_LIST[[#This Row],[SIP_TOTAL UNITS SOLD]]=0,0,SUMIFS(SIP[Cost of Units Sold],SIP[Investor ID],INVESTORS_LIST[[#This Row],[INVESTOR CODE]],SIP[B/S],"S"))</f>
        <v>0</v>
      </c>
      <c r="Q356" s="48">
        <f>IF(INVESTORS_LIST[[#This Row],[SIP_TOTAL CURRENT UNITS]]=0,0,INVESTORS_LIST[[#This Row],[SIP_TOTAL CURRENT UNITS]]*INVESTORS_LIST[[#This Row],[SIP_AVERAGE COST]])</f>
        <v>0</v>
      </c>
      <c r="R356" s="48">
        <f>IF(INVESTORS_LIST[[#This Row],[SIP_TOTAL UNITS SOLD]]=0,0,SUMIFS(SIP[Realized Gain],SIP[Investor ID],INVESTORS_LIST[[#This Row],[INVESTOR CODE]],SIP[B/S],"S"))</f>
        <v>0</v>
      </c>
      <c r="S356" s="50">
        <f>INVESTORS_LIST[[#This Row],[LS_TOTAL UNITS BUY]]+INVESTORS_LIST[[#This Row],[SIP_TOTAL UNITS BUY]]</f>
        <v>0</v>
      </c>
      <c r="T356" s="50">
        <f>INVESTORS_LIST[[#This Row],[LS_TOTAL UNITS SOLD]]+INVESTORS_LIST[[#This Row],[SIP_TOTAL UNITS SOLD]]</f>
        <v>0</v>
      </c>
      <c r="U356" s="50"/>
      <c r="V356" s="50">
        <f>SUMIFS(LS[BO UNIT TRANSFER],LS[Investor ID],INVESTORS_LIST[[#This Row],[INVESTOR CODE]],LS[B/S],"B")</f>
        <v>0</v>
      </c>
      <c r="W356" s="50">
        <f>SUMIFS(SIP[BO UNIT TRANSFER],SIP[Investor ID],INVESTORS_LIST[[#This Row],[INVESTOR CODE]],SIP[B/S],"B")</f>
        <v>0</v>
      </c>
      <c r="X356" s="50">
        <f>SUMIFS(LS[BO UNIT TRANSFER],LS[Investor ID],INVESTORS_LIST[[#This Row],[INVESTOR CODE]],LS[B/S],"S")</f>
        <v>0</v>
      </c>
      <c r="Y356" s="50">
        <f>SUMIFS(SIP[BO UNIT TRANSFER],SIP[Investor ID],INVESTORS_LIST[[#This Row],[INVESTOR CODE]],SIP[B/S],"S")</f>
        <v>0</v>
      </c>
      <c r="Z356" s="106">
        <f>SUM(INVESTORS_LIST[[#This Row],[BO OPENING BALANCE]:[BO SIP UNITS REPURCHASE]])</f>
        <v>0</v>
      </c>
      <c r="AA356" s="107">
        <f>INVESTORS_LIST[[#This Row],[TOTAL UNITS BUY]]-INVESTORS_LIST[[#This Row],[TOTAL UNITS SOLD]]</f>
        <v>0</v>
      </c>
      <c r="AB356" s="107">
        <f>INVESTORS_LIST[[#This Row],[TOTAL CURRENT UNITS]]-INVESTORS_LIST[[#This Row],[BO UNITS HOLD]]</f>
        <v>0</v>
      </c>
      <c r="AC356" s="201" t="e">
        <f>INDEX([3]!Table_1[BO ID],MATCH(INVESTORS_LIST[[#This Row],[INVESTOR CODE]],[3]!Table_1[INVESTOR CODE],0))</f>
        <v>#REF!</v>
      </c>
      <c r="AD356" s="201" t="e">
        <f>INDEX([3]!Table_1[Brokerage Name2],MATCH(INVESTORS_LIST[[#This Row],[INVESTOR CODE]],[3]!Table_1[INVESTOR CODE],0))</f>
        <v>#REF!</v>
      </c>
      <c r="AE356" s="201" t="e">
        <f>MID(INVESTORS_LIST[[#This Row],[BO ID]],4,5)</f>
        <v>#REF!</v>
      </c>
      <c r="AF356" s="201" t="e">
        <f>MID(INVESTORS_LIST[[#This Row],[BO ID]],2,7)</f>
        <v>#REF!</v>
      </c>
      <c r="AG356" s="201" t="e">
        <f>MID(INVESTORS_LIST[[#This Row],[BO ID]],9,7)</f>
        <v>#REF!</v>
      </c>
      <c r="AH356" s="201" t="e">
        <f>RIGHT(INVESTORS_LIST[[#This Row],[BO ID]],1)</f>
        <v>#REF!</v>
      </c>
      <c r="AI356" s="50">
        <f>INVESTORS_LIST[[#This Row],[LS_TOTAL COST VALUE OF CURRENT UNITS]]+INVESTORS_LIST[[#This Row],[SIP_TOTAL COST VALUE OF CURRENT UNITS]]</f>
        <v>0</v>
      </c>
      <c r="AJ356" s="109">
        <f>IF(INVESTORS_LIST[[#This Row],[TOTAL CURRENT UNITS]]=0,0,INVESTORS_LIST[[#This Row],[LS_TOTAL CURRENT UNITS]]/INVESTORS_LIST[[#This Row],[TOTAL CURRENT UNITS]])</f>
        <v>0</v>
      </c>
      <c r="AK356" s="109">
        <f>IF(INVESTORS_LIST[[#This Row],[TOTAL CURRENT UNITS]]=0,0,INVESTORS_LIST[[#This Row],[SIP_TOTAL CURRENT UNITS]]/INVESTORS_LIST[[#This Row],[TOTAL CURRENT UNITS]])</f>
        <v>0</v>
      </c>
      <c r="AL356" s="49" cm="1">
        <f t="array" ref="AL3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6" s="49" cm="1">
        <f t="array" ref="AM3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6" s="105">
        <f t="shared" si="6"/>
        <v>14.224</v>
      </c>
      <c r="AP356" s="112">
        <f>IF(INVESTORS_LIST[[#This Row],[TOTAL CURRENT UNITS]]=0,0,INVESTORS_LIST[[#This Row],[TOTAL CURRENT UNITS]]*INVESTORS_LIST[[#This Row],[NAV]])</f>
        <v>0</v>
      </c>
      <c r="AQ356" s="49">
        <f>IF(INVESTORS_LIST[[#This Row],[LS_TOTAL CURRENT UNITS]]=0,0,INVESTORS_LIST[[#This Row],[LS_TOTAL CURRENT UNITS]]*INVESTORS_LIST[[#This Row],[NAV]])</f>
        <v>0</v>
      </c>
      <c r="AR356" s="48">
        <f>IF(INVESTORS_LIST[[#This Row],[SIP_TOTAL CURRENT UNITS]]=0,0,INVESTORS_LIST[[#This Row],[SIP_TOTAL CURRENT UNITS]]*INVESTORS_LIST[[#This Row],[NAV]])</f>
        <v>0</v>
      </c>
      <c r="AS356" s="50">
        <f>INVESTORS_LIST[[#This Row],[TOTAL CURRENT UNITS]]</f>
        <v>0</v>
      </c>
      <c r="AT356" s="48">
        <f>IF(INVESTORS_LIST[[#This Row],[TOTAL SELLABLE UNITS]]=0,0,INVESTORS_LIST[[#This Row],[TOTAL SELLABLE UNITS]]*INVESTORS_LIST[[#This Row],[NAV]])</f>
        <v>0</v>
      </c>
      <c r="AU356" s="48">
        <f>INVESTORS_LIST[[#This Row],[LS_TOTAL REALIZED GAIN]]+INVESTORS_LIST[[#This Row],[SIP_TOTAL REALIZED GAIN]]</f>
        <v>0</v>
      </c>
      <c r="AV356" s="48">
        <f>INVESTORS_LIST[[#This Row],[TOTAL MARKET VALUE]]-INVESTORS_LIST[[#This Row],[TOTAL COST VALUE OF CURRENT INVESTMENT]]</f>
        <v>0</v>
      </c>
      <c r="AW356" s="48">
        <f>IFERROR(INVESTORS_LIST[[#This Row],[TOTAL CURRENT UNITS]]/SUM(INVESTORS_LIST[TOTAL CURRENT UNITS]),0)</f>
        <v>0</v>
      </c>
    </row>
    <row r="357" spans="1:49" hidden="1">
      <c r="A357" s="262" t="s">
        <v>761</v>
      </c>
      <c r="B357" s="97" t="s">
        <v>762</v>
      </c>
      <c r="C357" t="s">
        <v>44</v>
      </c>
      <c r="D357" s="75" t="s">
        <v>45</v>
      </c>
      <c r="E357" s="47">
        <f>SUMIFS(LS[Unit],LS[Investor ID],INVESTORS_LIST[[#This Row],[INVESTOR CODE]],LS[B/S],"B")</f>
        <v>0</v>
      </c>
      <c r="F357" s="47">
        <f>-SUMIFS(LS[Unit],LS[Investor ID],INVESTORS_LIST[[#This Row],[INVESTOR CODE]],LS[B/S],"S")</f>
        <v>0</v>
      </c>
      <c r="G357" s="47">
        <f>IF(INVESTORS_LIST[[#This Row],[LS_TOTAL UNITS BUY]]=0,0,INVESTORS_LIST[[#This Row],[LS_TOTAL UNITS BUY]]-INVESTORS_LIST[[#This Row],[LS_TOTAL UNITS SOLD]])</f>
        <v>0</v>
      </c>
      <c r="H357" s="49">
        <f>IF(INVESTORS_LIST[[#This Row],[LS_TOTAL UNITS BUY]]=0,0,SUMIFS(LS[Amount],LS[Investor ID],INVESTORS_LIST[[#This Row],[INVESTOR CODE]],LS[B/S],"B"))</f>
        <v>0</v>
      </c>
      <c r="I357" s="48">
        <f>IF(INVESTORS_LIST[[#This Row],[LS_TOTAL UNITS SOLD]]=0,0,SUMIFS(LS[Cost of Units Sold],LS[Investor ID],INVESTORS_LIST[[#This Row],[INVESTOR CODE]],LS[B/S],"S"))</f>
        <v>0</v>
      </c>
      <c r="J357" s="48">
        <f>IF(INVESTORS_LIST[[#This Row],[LS_TOTAL CURRENT UNITS]]=0,0,INVESTORS_LIST[[#This Row],[LS_TOTAL CURRENT UNITS]]*INVESTORS_LIST[[#This Row],[LS_AVERAGE COST]])</f>
        <v>0</v>
      </c>
      <c r="K357" s="49">
        <f>IF(INVESTORS_LIST[[#This Row],[LS_TOTAL UNITS SOLD]]=0,0,SUMIFS(LS[Realized Gain],LS[Investor ID],INVESTORS_LIST[[#This Row],[INVESTOR CODE]],LS[B/S],"S"))</f>
        <v>0</v>
      </c>
      <c r="L357" s="47">
        <f>SUMIFS(SIP[Unit],SIP[Investor ID],INVESTORS_LIST[[#This Row],[INVESTOR CODE]],SIP[B/S],"B")</f>
        <v>0</v>
      </c>
      <c r="M357" s="47">
        <f>-SUMIFS(SIP[Unit],SIP[Investor ID],INVESTORS_LIST[[#This Row],[INVESTOR CODE]],SIP[B/S],"S")</f>
        <v>0</v>
      </c>
      <c r="N357" s="50">
        <f>IF(INVESTORS_LIST[[#This Row],[SIP_TOTAL UNITS BUY]]=0,0,INVESTORS_LIST[[#This Row],[SIP_TOTAL UNITS BUY]]-INVESTORS_LIST[[#This Row],[SIP_TOTAL UNITS SOLD]])</f>
        <v>0</v>
      </c>
      <c r="O357" s="49">
        <f>IF(INVESTORS_LIST[[#This Row],[SIP_TOTAL UNITS BUY]]=0,0,SUMIFS(SIP[Amount],SIP[Investor ID],INVESTORS_LIST[[#This Row],[INVESTOR CODE]],SIP[B/S],"B"))</f>
        <v>0</v>
      </c>
      <c r="P357" s="49">
        <f>IF(INVESTORS_LIST[[#This Row],[SIP_TOTAL UNITS SOLD]]=0,0,SUMIFS(SIP[Cost of Units Sold],SIP[Investor ID],INVESTORS_LIST[[#This Row],[INVESTOR CODE]],SIP[B/S],"S"))</f>
        <v>0</v>
      </c>
      <c r="Q357" s="48">
        <f>IF(INVESTORS_LIST[[#This Row],[SIP_TOTAL CURRENT UNITS]]=0,0,INVESTORS_LIST[[#This Row],[SIP_TOTAL CURRENT UNITS]]*INVESTORS_LIST[[#This Row],[SIP_AVERAGE COST]])</f>
        <v>0</v>
      </c>
      <c r="R357" s="48">
        <f>IF(INVESTORS_LIST[[#This Row],[SIP_TOTAL UNITS SOLD]]=0,0,SUMIFS(SIP[Realized Gain],SIP[Investor ID],INVESTORS_LIST[[#This Row],[INVESTOR CODE]],SIP[B/S],"S"))</f>
        <v>0</v>
      </c>
      <c r="S357" s="50">
        <f>INVESTORS_LIST[[#This Row],[LS_TOTAL UNITS BUY]]+INVESTORS_LIST[[#This Row],[SIP_TOTAL UNITS BUY]]</f>
        <v>0</v>
      </c>
      <c r="T357" s="50">
        <f>INVESTORS_LIST[[#This Row],[LS_TOTAL UNITS SOLD]]+INVESTORS_LIST[[#This Row],[SIP_TOTAL UNITS SOLD]]</f>
        <v>0</v>
      </c>
      <c r="U357" s="50"/>
      <c r="V357" s="50">
        <f>SUMIFS(LS[BO UNIT TRANSFER],LS[Investor ID],INVESTORS_LIST[[#This Row],[INVESTOR CODE]],LS[B/S],"B")</f>
        <v>0</v>
      </c>
      <c r="W357" s="50">
        <f>SUMIFS(SIP[BO UNIT TRANSFER],SIP[Investor ID],INVESTORS_LIST[[#This Row],[INVESTOR CODE]],SIP[B/S],"B")</f>
        <v>0</v>
      </c>
      <c r="X357" s="50">
        <f>SUMIFS(LS[BO UNIT TRANSFER],LS[Investor ID],INVESTORS_LIST[[#This Row],[INVESTOR CODE]],LS[B/S],"S")</f>
        <v>0</v>
      </c>
      <c r="Y357" s="50">
        <f>SUMIFS(SIP[BO UNIT TRANSFER],SIP[Investor ID],INVESTORS_LIST[[#This Row],[INVESTOR CODE]],SIP[B/S],"S")</f>
        <v>0</v>
      </c>
      <c r="Z357" s="106">
        <f>SUM(INVESTORS_LIST[[#This Row],[BO OPENING BALANCE]:[BO SIP UNITS REPURCHASE]])</f>
        <v>0</v>
      </c>
      <c r="AA357" s="107">
        <f>INVESTORS_LIST[[#This Row],[TOTAL UNITS BUY]]-INVESTORS_LIST[[#This Row],[TOTAL UNITS SOLD]]</f>
        <v>0</v>
      </c>
      <c r="AB357" s="107">
        <f>INVESTORS_LIST[[#This Row],[TOTAL CURRENT UNITS]]-INVESTORS_LIST[[#This Row],[BO UNITS HOLD]]</f>
        <v>0</v>
      </c>
      <c r="AC357" s="201" t="e">
        <f>INDEX([3]!Table_1[BO ID],MATCH(INVESTORS_LIST[[#This Row],[INVESTOR CODE]],[3]!Table_1[INVESTOR CODE],0))</f>
        <v>#REF!</v>
      </c>
      <c r="AD357" s="201" t="e">
        <f>INDEX([3]!Table_1[Brokerage Name2],MATCH(INVESTORS_LIST[[#This Row],[INVESTOR CODE]],[3]!Table_1[INVESTOR CODE],0))</f>
        <v>#REF!</v>
      </c>
      <c r="AE357" s="201" t="e">
        <f>MID(INVESTORS_LIST[[#This Row],[BO ID]],4,5)</f>
        <v>#REF!</v>
      </c>
      <c r="AF357" s="201" t="e">
        <f>MID(INVESTORS_LIST[[#This Row],[BO ID]],2,7)</f>
        <v>#REF!</v>
      </c>
      <c r="AG357" s="201" t="e">
        <f>MID(INVESTORS_LIST[[#This Row],[BO ID]],9,7)</f>
        <v>#REF!</v>
      </c>
      <c r="AH357" s="201" t="e">
        <f>RIGHT(INVESTORS_LIST[[#This Row],[BO ID]],1)</f>
        <v>#REF!</v>
      </c>
      <c r="AI357" s="50">
        <f>INVESTORS_LIST[[#This Row],[LS_TOTAL COST VALUE OF CURRENT UNITS]]+INVESTORS_LIST[[#This Row],[SIP_TOTAL COST VALUE OF CURRENT UNITS]]</f>
        <v>0</v>
      </c>
      <c r="AJ357" s="109">
        <f>IF(INVESTORS_LIST[[#This Row],[TOTAL CURRENT UNITS]]=0,0,INVESTORS_LIST[[#This Row],[LS_TOTAL CURRENT UNITS]]/INVESTORS_LIST[[#This Row],[TOTAL CURRENT UNITS]])</f>
        <v>0</v>
      </c>
      <c r="AK357" s="109">
        <f>IF(INVESTORS_LIST[[#This Row],[TOTAL CURRENT UNITS]]=0,0,INVESTORS_LIST[[#This Row],[SIP_TOTAL CURRENT UNITS]]/INVESTORS_LIST[[#This Row],[TOTAL CURRENT UNITS]])</f>
        <v>0</v>
      </c>
      <c r="AL357" s="49" cm="1">
        <f t="array" ref="AL3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7" s="49" cm="1">
        <f t="array" ref="AM3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7" s="105">
        <f t="shared" si="6"/>
        <v>14.224</v>
      </c>
      <c r="AP357" s="112">
        <f>IF(INVESTORS_LIST[[#This Row],[TOTAL CURRENT UNITS]]=0,0,INVESTORS_LIST[[#This Row],[TOTAL CURRENT UNITS]]*INVESTORS_LIST[[#This Row],[NAV]])</f>
        <v>0</v>
      </c>
      <c r="AQ357" s="49">
        <f>IF(INVESTORS_LIST[[#This Row],[LS_TOTAL CURRENT UNITS]]=0,0,INVESTORS_LIST[[#This Row],[LS_TOTAL CURRENT UNITS]]*INVESTORS_LIST[[#This Row],[NAV]])</f>
        <v>0</v>
      </c>
      <c r="AR357" s="48">
        <f>IF(INVESTORS_LIST[[#This Row],[SIP_TOTAL CURRENT UNITS]]=0,0,INVESTORS_LIST[[#This Row],[SIP_TOTAL CURRENT UNITS]]*INVESTORS_LIST[[#This Row],[NAV]])</f>
        <v>0</v>
      </c>
      <c r="AS357" s="50">
        <f>INVESTORS_LIST[[#This Row],[TOTAL CURRENT UNITS]]</f>
        <v>0</v>
      </c>
      <c r="AT357" s="48">
        <f>IF(INVESTORS_LIST[[#This Row],[TOTAL SELLABLE UNITS]]=0,0,INVESTORS_LIST[[#This Row],[TOTAL SELLABLE UNITS]]*INVESTORS_LIST[[#This Row],[NAV]])</f>
        <v>0</v>
      </c>
      <c r="AU357" s="48">
        <f>INVESTORS_LIST[[#This Row],[LS_TOTAL REALIZED GAIN]]+INVESTORS_LIST[[#This Row],[SIP_TOTAL REALIZED GAIN]]</f>
        <v>0</v>
      </c>
      <c r="AV357" s="48">
        <f>INVESTORS_LIST[[#This Row],[TOTAL MARKET VALUE]]-INVESTORS_LIST[[#This Row],[TOTAL COST VALUE OF CURRENT INVESTMENT]]</f>
        <v>0</v>
      </c>
      <c r="AW357" s="48">
        <f>IFERROR(INVESTORS_LIST[[#This Row],[TOTAL CURRENT UNITS]]/SUM(INVESTORS_LIST[TOTAL CURRENT UNITS]),0)</f>
        <v>0</v>
      </c>
    </row>
    <row r="358" spans="1:49" hidden="1">
      <c r="A358" s="262" t="s">
        <v>763</v>
      </c>
      <c r="B358" s="97" t="s">
        <v>764</v>
      </c>
      <c r="C358" t="s">
        <v>44</v>
      </c>
      <c r="D358" s="75" t="s">
        <v>45</v>
      </c>
      <c r="E358" s="47">
        <f>SUMIFS(LS[Unit],LS[Investor ID],INVESTORS_LIST[[#This Row],[INVESTOR CODE]],LS[B/S],"B")</f>
        <v>0</v>
      </c>
      <c r="F358" s="47">
        <f>-SUMIFS(LS[Unit],LS[Investor ID],INVESTORS_LIST[[#This Row],[INVESTOR CODE]],LS[B/S],"S")</f>
        <v>0</v>
      </c>
      <c r="G358" s="47">
        <f>IF(INVESTORS_LIST[[#This Row],[LS_TOTAL UNITS BUY]]=0,0,INVESTORS_LIST[[#This Row],[LS_TOTAL UNITS BUY]]-INVESTORS_LIST[[#This Row],[LS_TOTAL UNITS SOLD]])</f>
        <v>0</v>
      </c>
      <c r="H358" s="49">
        <f>IF(INVESTORS_LIST[[#This Row],[LS_TOTAL UNITS BUY]]=0,0,SUMIFS(LS[Amount],LS[Investor ID],INVESTORS_LIST[[#This Row],[INVESTOR CODE]],LS[B/S],"B"))</f>
        <v>0</v>
      </c>
      <c r="I358" s="48">
        <f>IF(INVESTORS_LIST[[#This Row],[LS_TOTAL UNITS SOLD]]=0,0,SUMIFS(LS[Cost of Units Sold],LS[Investor ID],INVESTORS_LIST[[#This Row],[INVESTOR CODE]],LS[B/S],"S"))</f>
        <v>0</v>
      </c>
      <c r="J358" s="48">
        <f>IF(INVESTORS_LIST[[#This Row],[LS_TOTAL CURRENT UNITS]]=0,0,INVESTORS_LIST[[#This Row],[LS_TOTAL CURRENT UNITS]]*INVESTORS_LIST[[#This Row],[LS_AVERAGE COST]])</f>
        <v>0</v>
      </c>
      <c r="K358" s="49">
        <f>IF(INVESTORS_LIST[[#This Row],[LS_TOTAL UNITS SOLD]]=0,0,SUMIFS(LS[Realized Gain],LS[Investor ID],INVESTORS_LIST[[#This Row],[INVESTOR CODE]],LS[B/S],"S"))</f>
        <v>0</v>
      </c>
      <c r="L358" s="47">
        <f>SUMIFS(SIP[Unit],SIP[Investor ID],INVESTORS_LIST[[#This Row],[INVESTOR CODE]],SIP[B/S],"B")</f>
        <v>0</v>
      </c>
      <c r="M358" s="47">
        <f>-SUMIFS(SIP[Unit],SIP[Investor ID],INVESTORS_LIST[[#This Row],[INVESTOR CODE]],SIP[B/S],"S")</f>
        <v>0</v>
      </c>
      <c r="N358" s="50">
        <f>IF(INVESTORS_LIST[[#This Row],[SIP_TOTAL UNITS BUY]]=0,0,INVESTORS_LIST[[#This Row],[SIP_TOTAL UNITS BUY]]-INVESTORS_LIST[[#This Row],[SIP_TOTAL UNITS SOLD]])</f>
        <v>0</v>
      </c>
      <c r="O358" s="49">
        <f>IF(INVESTORS_LIST[[#This Row],[SIP_TOTAL UNITS BUY]]=0,0,SUMIFS(SIP[Amount],SIP[Investor ID],INVESTORS_LIST[[#This Row],[INVESTOR CODE]],SIP[B/S],"B"))</f>
        <v>0</v>
      </c>
      <c r="P358" s="49">
        <f>IF(INVESTORS_LIST[[#This Row],[SIP_TOTAL UNITS SOLD]]=0,0,SUMIFS(SIP[Cost of Units Sold],SIP[Investor ID],INVESTORS_LIST[[#This Row],[INVESTOR CODE]],SIP[B/S],"S"))</f>
        <v>0</v>
      </c>
      <c r="Q358" s="48">
        <f>IF(INVESTORS_LIST[[#This Row],[SIP_TOTAL CURRENT UNITS]]=0,0,INVESTORS_LIST[[#This Row],[SIP_TOTAL CURRENT UNITS]]*INVESTORS_LIST[[#This Row],[SIP_AVERAGE COST]])</f>
        <v>0</v>
      </c>
      <c r="R358" s="48">
        <f>IF(INVESTORS_LIST[[#This Row],[SIP_TOTAL UNITS SOLD]]=0,0,SUMIFS(SIP[Realized Gain],SIP[Investor ID],INVESTORS_LIST[[#This Row],[INVESTOR CODE]],SIP[B/S],"S"))</f>
        <v>0</v>
      </c>
      <c r="S358" s="50">
        <f>INVESTORS_LIST[[#This Row],[LS_TOTAL UNITS BUY]]+INVESTORS_LIST[[#This Row],[SIP_TOTAL UNITS BUY]]</f>
        <v>0</v>
      </c>
      <c r="T358" s="50">
        <f>INVESTORS_LIST[[#This Row],[LS_TOTAL UNITS SOLD]]+INVESTORS_LIST[[#This Row],[SIP_TOTAL UNITS SOLD]]</f>
        <v>0</v>
      </c>
      <c r="U358" s="50"/>
      <c r="V358" s="50">
        <f>SUMIFS(LS[BO UNIT TRANSFER],LS[Investor ID],INVESTORS_LIST[[#This Row],[INVESTOR CODE]],LS[B/S],"B")</f>
        <v>0</v>
      </c>
      <c r="W358" s="50">
        <f>SUMIFS(SIP[BO UNIT TRANSFER],SIP[Investor ID],INVESTORS_LIST[[#This Row],[INVESTOR CODE]],SIP[B/S],"B")</f>
        <v>0</v>
      </c>
      <c r="X358" s="50">
        <f>SUMIFS(LS[BO UNIT TRANSFER],LS[Investor ID],INVESTORS_LIST[[#This Row],[INVESTOR CODE]],LS[B/S],"S")</f>
        <v>0</v>
      </c>
      <c r="Y358" s="50">
        <f>SUMIFS(SIP[BO UNIT TRANSFER],SIP[Investor ID],INVESTORS_LIST[[#This Row],[INVESTOR CODE]],SIP[B/S],"S")</f>
        <v>0</v>
      </c>
      <c r="Z358" s="106">
        <f>SUM(INVESTORS_LIST[[#This Row],[BO OPENING BALANCE]:[BO SIP UNITS REPURCHASE]])</f>
        <v>0</v>
      </c>
      <c r="AA358" s="107">
        <f>INVESTORS_LIST[[#This Row],[TOTAL UNITS BUY]]-INVESTORS_LIST[[#This Row],[TOTAL UNITS SOLD]]</f>
        <v>0</v>
      </c>
      <c r="AB358" s="107">
        <f>INVESTORS_LIST[[#This Row],[TOTAL CURRENT UNITS]]-INVESTORS_LIST[[#This Row],[BO UNITS HOLD]]</f>
        <v>0</v>
      </c>
      <c r="AC358" s="201" t="e">
        <f>INDEX([3]!Table_1[BO ID],MATCH(INVESTORS_LIST[[#This Row],[INVESTOR CODE]],[3]!Table_1[INVESTOR CODE],0))</f>
        <v>#REF!</v>
      </c>
      <c r="AD358" s="201" t="e">
        <f>INDEX([3]!Table_1[Brokerage Name2],MATCH(INVESTORS_LIST[[#This Row],[INVESTOR CODE]],[3]!Table_1[INVESTOR CODE],0))</f>
        <v>#REF!</v>
      </c>
      <c r="AE358" s="201" t="e">
        <f>MID(INVESTORS_LIST[[#This Row],[BO ID]],4,5)</f>
        <v>#REF!</v>
      </c>
      <c r="AF358" s="201" t="e">
        <f>MID(INVESTORS_LIST[[#This Row],[BO ID]],2,7)</f>
        <v>#REF!</v>
      </c>
      <c r="AG358" s="201" t="e">
        <f>MID(INVESTORS_LIST[[#This Row],[BO ID]],9,7)</f>
        <v>#REF!</v>
      </c>
      <c r="AH358" s="201" t="e">
        <f>RIGHT(INVESTORS_LIST[[#This Row],[BO ID]],1)</f>
        <v>#REF!</v>
      </c>
      <c r="AI358" s="50">
        <f>INVESTORS_LIST[[#This Row],[LS_TOTAL COST VALUE OF CURRENT UNITS]]+INVESTORS_LIST[[#This Row],[SIP_TOTAL COST VALUE OF CURRENT UNITS]]</f>
        <v>0</v>
      </c>
      <c r="AJ358" s="109">
        <f>IF(INVESTORS_LIST[[#This Row],[TOTAL CURRENT UNITS]]=0,0,INVESTORS_LIST[[#This Row],[LS_TOTAL CURRENT UNITS]]/INVESTORS_LIST[[#This Row],[TOTAL CURRENT UNITS]])</f>
        <v>0</v>
      </c>
      <c r="AK358" s="109">
        <f>IF(INVESTORS_LIST[[#This Row],[TOTAL CURRENT UNITS]]=0,0,INVESTORS_LIST[[#This Row],[SIP_TOTAL CURRENT UNITS]]/INVESTORS_LIST[[#This Row],[TOTAL CURRENT UNITS]])</f>
        <v>0</v>
      </c>
      <c r="AL358" s="49" cm="1">
        <f t="array" ref="AL3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8" s="49" cm="1">
        <f t="array" ref="AM3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8" s="105">
        <f t="shared" si="6"/>
        <v>14.224</v>
      </c>
      <c r="AP358" s="112">
        <f>IF(INVESTORS_LIST[[#This Row],[TOTAL CURRENT UNITS]]=0,0,INVESTORS_LIST[[#This Row],[TOTAL CURRENT UNITS]]*INVESTORS_LIST[[#This Row],[NAV]])</f>
        <v>0</v>
      </c>
      <c r="AQ358" s="49">
        <f>IF(INVESTORS_LIST[[#This Row],[LS_TOTAL CURRENT UNITS]]=0,0,INVESTORS_LIST[[#This Row],[LS_TOTAL CURRENT UNITS]]*INVESTORS_LIST[[#This Row],[NAV]])</f>
        <v>0</v>
      </c>
      <c r="AR358" s="48">
        <f>IF(INVESTORS_LIST[[#This Row],[SIP_TOTAL CURRENT UNITS]]=0,0,INVESTORS_LIST[[#This Row],[SIP_TOTAL CURRENT UNITS]]*INVESTORS_LIST[[#This Row],[NAV]])</f>
        <v>0</v>
      </c>
      <c r="AS358" s="50">
        <f>INVESTORS_LIST[[#This Row],[TOTAL CURRENT UNITS]]</f>
        <v>0</v>
      </c>
      <c r="AT358" s="48">
        <f>IF(INVESTORS_LIST[[#This Row],[TOTAL SELLABLE UNITS]]=0,0,INVESTORS_LIST[[#This Row],[TOTAL SELLABLE UNITS]]*INVESTORS_LIST[[#This Row],[NAV]])</f>
        <v>0</v>
      </c>
      <c r="AU358" s="48">
        <f>INVESTORS_LIST[[#This Row],[LS_TOTAL REALIZED GAIN]]+INVESTORS_LIST[[#This Row],[SIP_TOTAL REALIZED GAIN]]</f>
        <v>0</v>
      </c>
      <c r="AV358" s="48">
        <f>INVESTORS_LIST[[#This Row],[TOTAL MARKET VALUE]]-INVESTORS_LIST[[#This Row],[TOTAL COST VALUE OF CURRENT INVESTMENT]]</f>
        <v>0</v>
      </c>
      <c r="AW358" s="48">
        <f>IFERROR(INVESTORS_LIST[[#This Row],[TOTAL CURRENT UNITS]]/SUM(INVESTORS_LIST[TOTAL CURRENT UNITS]),0)</f>
        <v>0</v>
      </c>
    </row>
    <row r="359" spans="1:49" hidden="1">
      <c r="A359" s="262" t="s">
        <v>765</v>
      </c>
      <c r="B359" s="97" t="s">
        <v>766</v>
      </c>
      <c r="C359" t="s">
        <v>67</v>
      </c>
      <c r="D359" s="75" t="s">
        <v>45</v>
      </c>
      <c r="E359" s="47">
        <f>SUMIFS(LS[Unit],LS[Investor ID],INVESTORS_LIST[[#This Row],[INVESTOR CODE]],LS[B/S],"B")</f>
        <v>34255</v>
      </c>
      <c r="F359" s="47">
        <f>-SUMIFS(LS[Unit],LS[Investor ID],INVESTORS_LIST[[#This Row],[INVESTOR CODE]],LS[B/S],"S")</f>
        <v>34255</v>
      </c>
      <c r="G359" s="47">
        <f>IF(INVESTORS_LIST[[#This Row],[LS_TOTAL UNITS BUY]]=0,0,INVESTORS_LIST[[#This Row],[LS_TOTAL UNITS BUY]]-INVESTORS_LIST[[#This Row],[LS_TOTAL UNITS SOLD]])</f>
        <v>0</v>
      </c>
      <c r="H359" s="49">
        <f>IF(INVESTORS_LIST[[#This Row],[LS_TOTAL UNITS BUY]]=0,0,SUMIFS(LS[Amount],LS[Investor ID],INVESTORS_LIST[[#This Row],[INVESTOR CODE]],LS[B/S],"B"))</f>
        <v>350000</v>
      </c>
      <c r="I359" s="48">
        <f>IF(INVESTORS_LIST[[#This Row],[LS_TOTAL UNITS SOLD]]=0,0,SUMIFS(LS[Cost of Units Sold],LS[Investor ID],INVESTORS_LIST[[#This Row],[INVESTOR CODE]],LS[B/S],"S"))</f>
        <v>350000</v>
      </c>
      <c r="J359" s="48">
        <f>IF(INVESTORS_LIST[[#This Row],[LS_TOTAL CURRENT UNITS]]=0,0,INVESTORS_LIST[[#This Row],[LS_TOTAL CURRENT UNITS]]*INVESTORS_LIST[[#This Row],[LS_AVERAGE COST]])</f>
        <v>0</v>
      </c>
      <c r="K359" s="49">
        <f>IF(INVESTORS_LIST[[#This Row],[LS_TOTAL UNITS SOLD]]=0,0,SUMIFS(LS[Realized Gain],LS[Investor ID],INVESTORS_LIST[[#This Row],[INVESTOR CODE]],LS[B/S],"S"))</f>
        <v>5705.8700000000099</v>
      </c>
      <c r="L359" s="47">
        <f>SUMIFS(SIP[Unit],SIP[Investor ID],INVESTORS_LIST[[#This Row],[INVESTOR CODE]],SIP[B/S],"B")</f>
        <v>0</v>
      </c>
      <c r="M359" s="47">
        <f>-SUMIFS(SIP[Unit],SIP[Investor ID],INVESTORS_LIST[[#This Row],[INVESTOR CODE]],SIP[B/S],"S")</f>
        <v>0</v>
      </c>
      <c r="N359" s="50">
        <f>IF(INVESTORS_LIST[[#This Row],[SIP_TOTAL UNITS BUY]]=0,0,INVESTORS_LIST[[#This Row],[SIP_TOTAL UNITS BUY]]-INVESTORS_LIST[[#This Row],[SIP_TOTAL UNITS SOLD]])</f>
        <v>0</v>
      </c>
      <c r="O359" s="49">
        <f>IF(INVESTORS_LIST[[#This Row],[SIP_TOTAL UNITS BUY]]=0,0,SUMIFS(SIP[Amount],SIP[Investor ID],INVESTORS_LIST[[#This Row],[INVESTOR CODE]],SIP[B/S],"B"))</f>
        <v>0</v>
      </c>
      <c r="P359" s="49">
        <f>IF(INVESTORS_LIST[[#This Row],[SIP_TOTAL UNITS SOLD]]=0,0,SUMIFS(SIP[Cost of Units Sold],SIP[Investor ID],INVESTORS_LIST[[#This Row],[INVESTOR CODE]],SIP[B/S],"S"))</f>
        <v>0</v>
      </c>
      <c r="Q359" s="48">
        <f>IF(INVESTORS_LIST[[#This Row],[SIP_TOTAL CURRENT UNITS]]=0,0,INVESTORS_LIST[[#This Row],[SIP_TOTAL CURRENT UNITS]]*INVESTORS_LIST[[#This Row],[SIP_AVERAGE COST]])</f>
        <v>0</v>
      </c>
      <c r="R359" s="48">
        <f>IF(INVESTORS_LIST[[#This Row],[SIP_TOTAL UNITS SOLD]]=0,0,SUMIFS(SIP[Realized Gain],SIP[Investor ID],INVESTORS_LIST[[#This Row],[INVESTOR CODE]],SIP[B/S],"S"))</f>
        <v>0</v>
      </c>
      <c r="S359" s="50">
        <f>INVESTORS_LIST[[#This Row],[LS_TOTAL UNITS BUY]]+INVESTORS_LIST[[#This Row],[SIP_TOTAL UNITS BUY]]</f>
        <v>34255</v>
      </c>
      <c r="T359" s="50">
        <f>INVESTORS_LIST[[#This Row],[LS_TOTAL UNITS SOLD]]+INVESTORS_LIST[[#This Row],[SIP_TOTAL UNITS SOLD]]</f>
        <v>34255</v>
      </c>
      <c r="U359" s="50">
        <v>10000</v>
      </c>
      <c r="V359" s="50">
        <f>SUMIFS(LS[BO UNIT TRANSFER],LS[Investor ID],INVESTORS_LIST[[#This Row],[INVESTOR CODE]],LS[B/S],"B")</f>
        <v>0</v>
      </c>
      <c r="W359" s="50">
        <f>SUMIFS(SIP[BO UNIT TRANSFER],SIP[Investor ID],INVESTORS_LIST[[#This Row],[INVESTOR CODE]],SIP[B/S],"B")</f>
        <v>0</v>
      </c>
      <c r="X359" s="50">
        <f>SUMIFS(LS[BO UNIT TRANSFER],LS[Investor ID],INVESTORS_LIST[[#This Row],[INVESTOR CODE]],LS[B/S],"S")</f>
        <v>0</v>
      </c>
      <c r="Y359" s="50">
        <f>SUMIFS(SIP[BO UNIT TRANSFER],SIP[Investor ID],INVESTORS_LIST[[#This Row],[INVESTOR CODE]],SIP[B/S],"S")</f>
        <v>0</v>
      </c>
      <c r="Z359" s="106">
        <f>SUM(INVESTORS_LIST[[#This Row],[BO OPENING BALANCE]:[BO SIP UNITS REPURCHASE]])</f>
        <v>10000</v>
      </c>
      <c r="AA359" s="107">
        <f>INVESTORS_LIST[[#This Row],[TOTAL UNITS BUY]]-INVESTORS_LIST[[#This Row],[TOTAL UNITS SOLD]]</f>
        <v>0</v>
      </c>
      <c r="AB359" s="107">
        <f>INVESTORS_LIST[[#This Row],[TOTAL CURRENT UNITS]]-INVESTORS_LIST[[#This Row],[BO UNITS HOLD]]</f>
        <v>-10000</v>
      </c>
      <c r="AC359" s="201" t="e">
        <f>INDEX([3]!Table_1[BO ID],MATCH(INVESTORS_LIST[[#This Row],[INVESTOR CODE]],[3]!Table_1[INVESTOR CODE],0))</f>
        <v>#REF!</v>
      </c>
      <c r="AD359" s="201" t="e">
        <f>INDEX([3]!Table_1[Brokerage Name2],MATCH(INVESTORS_LIST[[#This Row],[INVESTOR CODE]],[3]!Table_1[INVESTOR CODE],0))</f>
        <v>#REF!</v>
      </c>
      <c r="AE359" s="201" t="e">
        <f>MID(INVESTORS_LIST[[#This Row],[BO ID]],4,5)</f>
        <v>#REF!</v>
      </c>
      <c r="AF359" s="201" t="e">
        <f>MID(INVESTORS_LIST[[#This Row],[BO ID]],2,7)</f>
        <v>#REF!</v>
      </c>
      <c r="AG359" s="201" t="e">
        <f>MID(INVESTORS_LIST[[#This Row],[BO ID]],9,7)</f>
        <v>#REF!</v>
      </c>
      <c r="AH359" s="201" t="e">
        <f>RIGHT(INVESTORS_LIST[[#This Row],[BO ID]],1)</f>
        <v>#REF!</v>
      </c>
      <c r="AI359" s="50">
        <f>INVESTORS_LIST[[#This Row],[LS_TOTAL COST VALUE OF CURRENT UNITS]]+INVESTORS_LIST[[#This Row],[SIP_TOTAL COST VALUE OF CURRENT UNITS]]</f>
        <v>0</v>
      </c>
      <c r="AJ359" s="109">
        <f>IF(INVESTORS_LIST[[#This Row],[TOTAL CURRENT UNITS]]=0,0,INVESTORS_LIST[[#This Row],[LS_TOTAL CURRENT UNITS]]/INVESTORS_LIST[[#This Row],[TOTAL CURRENT UNITS]])</f>
        <v>0</v>
      </c>
      <c r="AK359" s="109">
        <f>IF(INVESTORS_LIST[[#This Row],[TOTAL CURRENT UNITS]]=0,0,INVESTORS_LIST[[#This Row],[SIP_TOTAL CURRENT UNITS]]/INVESTORS_LIST[[#This Row],[TOTAL CURRENT UNITS]])</f>
        <v>0</v>
      </c>
      <c r="AL359" s="49" cm="1">
        <f t="array" ref="AL3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59" s="49" cm="1">
        <f t="array" ref="AM3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5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59" s="105">
        <f t="shared" si="6"/>
        <v>14.224</v>
      </c>
      <c r="AP359" s="112">
        <f>IF(INVESTORS_LIST[[#This Row],[TOTAL CURRENT UNITS]]=0,0,INVESTORS_LIST[[#This Row],[TOTAL CURRENT UNITS]]*INVESTORS_LIST[[#This Row],[NAV]])</f>
        <v>0</v>
      </c>
      <c r="AQ359" s="49">
        <f>IF(INVESTORS_LIST[[#This Row],[LS_TOTAL CURRENT UNITS]]=0,0,INVESTORS_LIST[[#This Row],[LS_TOTAL CURRENT UNITS]]*INVESTORS_LIST[[#This Row],[NAV]])</f>
        <v>0</v>
      </c>
      <c r="AR359" s="48">
        <f>IF(INVESTORS_LIST[[#This Row],[SIP_TOTAL CURRENT UNITS]]=0,0,INVESTORS_LIST[[#This Row],[SIP_TOTAL CURRENT UNITS]]*INVESTORS_LIST[[#This Row],[NAV]])</f>
        <v>0</v>
      </c>
      <c r="AS359" s="50">
        <f>INVESTORS_LIST[[#This Row],[TOTAL CURRENT UNITS]]</f>
        <v>0</v>
      </c>
      <c r="AT359" s="48">
        <f>IF(INVESTORS_LIST[[#This Row],[TOTAL SELLABLE UNITS]]=0,0,INVESTORS_LIST[[#This Row],[TOTAL SELLABLE UNITS]]*INVESTORS_LIST[[#This Row],[NAV]])</f>
        <v>0</v>
      </c>
      <c r="AU359" s="48">
        <f>INVESTORS_LIST[[#This Row],[LS_TOTAL REALIZED GAIN]]+INVESTORS_LIST[[#This Row],[SIP_TOTAL REALIZED GAIN]]</f>
        <v>5705.8700000000099</v>
      </c>
      <c r="AV359" s="48">
        <f>INVESTORS_LIST[[#This Row],[TOTAL MARKET VALUE]]-INVESTORS_LIST[[#This Row],[TOTAL COST VALUE OF CURRENT INVESTMENT]]</f>
        <v>0</v>
      </c>
      <c r="AW359" s="108">
        <f>IFERROR(INVESTORS_LIST[[#This Row],[TOTAL CURRENT UNITS]]/SUM(INVESTORS_LIST[TOTAL CURRENT UNITS]),0)</f>
        <v>0</v>
      </c>
    </row>
    <row r="360" spans="1:49" hidden="1">
      <c r="A360" s="262" t="s">
        <v>767</v>
      </c>
      <c r="B360" s="97" t="s">
        <v>768</v>
      </c>
      <c r="C360" t="s">
        <v>48</v>
      </c>
      <c r="D360" s="75" t="s">
        <v>49</v>
      </c>
      <c r="E360" s="47">
        <f>SUMIFS(LS[Unit],LS[Investor ID],INVESTORS_LIST[[#This Row],[INVESTOR CODE]],LS[B/S],"B")</f>
        <v>0</v>
      </c>
      <c r="F360" s="47">
        <f>-SUMIFS(LS[Unit],LS[Investor ID],INVESTORS_LIST[[#This Row],[INVESTOR CODE]],LS[B/S],"S")</f>
        <v>0</v>
      </c>
      <c r="G360" s="47">
        <f>IF(INVESTORS_LIST[[#This Row],[LS_TOTAL UNITS BUY]]=0,0,INVESTORS_LIST[[#This Row],[LS_TOTAL UNITS BUY]]-INVESTORS_LIST[[#This Row],[LS_TOTAL UNITS SOLD]])</f>
        <v>0</v>
      </c>
      <c r="H360" s="49">
        <f>IF(INVESTORS_LIST[[#This Row],[LS_TOTAL UNITS BUY]]=0,0,SUMIFS(LS[Amount],LS[Investor ID],INVESTORS_LIST[[#This Row],[INVESTOR CODE]],LS[B/S],"B"))</f>
        <v>0</v>
      </c>
      <c r="I360" s="48">
        <f>IF(INVESTORS_LIST[[#This Row],[LS_TOTAL UNITS SOLD]]=0,0,SUMIFS(LS[Cost of Units Sold],LS[Investor ID],INVESTORS_LIST[[#This Row],[INVESTOR CODE]],LS[B/S],"S"))</f>
        <v>0</v>
      </c>
      <c r="J360" s="48">
        <f>IF(INVESTORS_LIST[[#This Row],[LS_TOTAL CURRENT UNITS]]=0,0,INVESTORS_LIST[[#This Row],[LS_TOTAL CURRENT UNITS]]*INVESTORS_LIST[[#This Row],[LS_AVERAGE COST]])</f>
        <v>0</v>
      </c>
      <c r="K360" s="49">
        <f>IF(INVESTORS_LIST[[#This Row],[LS_TOTAL UNITS SOLD]]=0,0,SUMIFS(LS[Realized Gain],LS[Investor ID],INVESTORS_LIST[[#This Row],[INVESTOR CODE]],LS[B/S],"S"))</f>
        <v>0</v>
      </c>
      <c r="L360" s="47">
        <f>SUMIFS(SIP[Unit],SIP[Investor ID],INVESTORS_LIST[[#This Row],[INVESTOR CODE]],SIP[B/S],"B")</f>
        <v>0</v>
      </c>
      <c r="M360" s="47">
        <f>-SUMIFS(SIP[Unit],SIP[Investor ID],INVESTORS_LIST[[#This Row],[INVESTOR CODE]],SIP[B/S],"S")</f>
        <v>0</v>
      </c>
      <c r="N360" s="50">
        <f>IF(INVESTORS_LIST[[#This Row],[SIP_TOTAL UNITS BUY]]=0,0,INVESTORS_LIST[[#This Row],[SIP_TOTAL UNITS BUY]]-INVESTORS_LIST[[#This Row],[SIP_TOTAL UNITS SOLD]])</f>
        <v>0</v>
      </c>
      <c r="O360" s="49">
        <f>IF(INVESTORS_LIST[[#This Row],[SIP_TOTAL UNITS BUY]]=0,0,SUMIFS(SIP[Amount],SIP[Investor ID],INVESTORS_LIST[[#This Row],[INVESTOR CODE]],SIP[B/S],"B"))</f>
        <v>0</v>
      </c>
      <c r="P360" s="49">
        <f>IF(INVESTORS_LIST[[#This Row],[SIP_TOTAL UNITS SOLD]]=0,0,SUMIFS(SIP[Cost of Units Sold],SIP[Investor ID],INVESTORS_LIST[[#This Row],[INVESTOR CODE]],SIP[B/S],"S"))</f>
        <v>0</v>
      </c>
      <c r="Q360" s="48">
        <f>IF(INVESTORS_LIST[[#This Row],[SIP_TOTAL CURRENT UNITS]]=0,0,INVESTORS_LIST[[#This Row],[SIP_TOTAL CURRENT UNITS]]*INVESTORS_LIST[[#This Row],[SIP_AVERAGE COST]])</f>
        <v>0</v>
      </c>
      <c r="R360" s="48">
        <f>IF(INVESTORS_LIST[[#This Row],[SIP_TOTAL UNITS SOLD]]=0,0,SUMIFS(SIP[Realized Gain],SIP[Investor ID],INVESTORS_LIST[[#This Row],[INVESTOR CODE]],SIP[B/S],"S"))</f>
        <v>0</v>
      </c>
      <c r="S360" s="50">
        <f>INVESTORS_LIST[[#This Row],[LS_TOTAL UNITS BUY]]+INVESTORS_LIST[[#This Row],[SIP_TOTAL UNITS BUY]]</f>
        <v>0</v>
      </c>
      <c r="T360" s="50">
        <f>INVESTORS_LIST[[#This Row],[LS_TOTAL UNITS SOLD]]+INVESTORS_LIST[[#This Row],[SIP_TOTAL UNITS SOLD]]</f>
        <v>0</v>
      </c>
      <c r="U360" s="50"/>
      <c r="V360" s="50">
        <f>SUMIFS(LS[BO UNIT TRANSFER],LS[Investor ID],INVESTORS_LIST[[#This Row],[INVESTOR CODE]],LS[B/S],"B")</f>
        <v>0</v>
      </c>
      <c r="W360" s="50">
        <f>SUMIFS(SIP[BO UNIT TRANSFER],SIP[Investor ID],INVESTORS_LIST[[#This Row],[INVESTOR CODE]],SIP[B/S],"B")</f>
        <v>0</v>
      </c>
      <c r="X360" s="50">
        <f>SUMIFS(LS[BO UNIT TRANSFER],LS[Investor ID],INVESTORS_LIST[[#This Row],[INVESTOR CODE]],LS[B/S],"S")</f>
        <v>0</v>
      </c>
      <c r="Y360" s="50">
        <f>SUMIFS(SIP[BO UNIT TRANSFER],SIP[Investor ID],INVESTORS_LIST[[#This Row],[INVESTOR CODE]],SIP[B/S],"S")</f>
        <v>0</v>
      </c>
      <c r="Z360" s="106">
        <f>SUM(INVESTORS_LIST[[#This Row],[BO OPENING BALANCE]:[BO SIP UNITS REPURCHASE]])</f>
        <v>0</v>
      </c>
      <c r="AA360" s="107">
        <f>INVESTORS_LIST[[#This Row],[TOTAL UNITS BUY]]-INVESTORS_LIST[[#This Row],[TOTAL UNITS SOLD]]</f>
        <v>0</v>
      </c>
      <c r="AB360" s="107">
        <f>INVESTORS_LIST[[#This Row],[TOTAL CURRENT UNITS]]-INVESTORS_LIST[[#This Row],[BO UNITS HOLD]]</f>
        <v>0</v>
      </c>
      <c r="AC360" s="201" t="e">
        <f>INDEX([3]!Table_1[BO ID],MATCH(INVESTORS_LIST[[#This Row],[INVESTOR CODE]],[3]!Table_1[INVESTOR CODE],0))</f>
        <v>#REF!</v>
      </c>
      <c r="AD360" s="201" t="e">
        <f>INDEX([3]!Table_1[Brokerage Name2],MATCH(INVESTORS_LIST[[#This Row],[INVESTOR CODE]],[3]!Table_1[INVESTOR CODE],0))</f>
        <v>#REF!</v>
      </c>
      <c r="AE360" s="201" t="e">
        <f>MID(INVESTORS_LIST[[#This Row],[BO ID]],4,5)</f>
        <v>#REF!</v>
      </c>
      <c r="AF360" s="201" t="e">
        <f>MID(INVESTORS_LIST[[#This Row],[BO ID]],2,7)</f>
        <v>#REF!</v>
      </c>
      <c r="AG360" s="201" t="e">
        <f>MID(INVESTORS_LIST[[#This Row],[BO ID]],9,7)</f>
        <v>#REF!</v>
      </c>
      <c r="AH360" s="201" t="e">
        <f>RIGHT(INVESTORS_LIST[[#This Row],[BO ID]],1)</f>
        <v>#REF!</v>
      </c>
      <c r="AI360" s="50">
        <f>INVESTORS_LIST[[#This Row],[LS_TOTAL COST VALUE OF CURRENT UNITS]]+INVESTORS_LIST[[#This Row],[SIP_TOTAL COST VALUE OF CURRENT UNITS]]</f>
        <v>0</v>
      </c>
      <c r="AJ360" s="109">
        <f>IF(INVESTORS_LIST[[#This Row],[TOTAL CURRENT UNITS]]=0,0,INVESTORS_LIST[[#This Row],[LS_TOTAL CURRENT UNITS]]/INVESTORS_LIST[[#This Row],[TOTAL CURRENT UNITS]])</f>
        <v>0</v>
      </c>
      <c r="AK360" s="109">
        <f>IF(INVESTORS_LIST[[#This Row],[TOTAL CURRENT UNITS]]=0,0,INVESTORS_LIST[[#This Row],[SIP_TOTAL CURRENT UNITS]]/INVESTORS_LIST[[#This Row],[TOTAL CURRENT UNITS]])</f>
        <v>0</v>
      </c>
      <c r="AL360" s="49" cm="1">
        <f t="array" ref="AL3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0" s="49" cm="1">
        <f t="array" ref="AM3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0" s="105">
        <f t="shared" si="6"/>
        <v>14.224</v>
      </c>
      <c r="AP360" s="112">
        <f>IF(INVESTORS_LIST[[#This Row],[TOTAL CURRENT UNITS]]=0,0,INVESTORS_LIST[[#This Row],[TOTAL CURRENT UNITS]]*INVESTORS_LIST[[#This Row],[NAV]])</f>
        <v>0</v>
      </c>
      <c r="AQ360" s="49">
        <f>IF(INVESTORS_LIST[[#This Row],[LS_TOTAL CURRENT UNITS]]=0,0,INVESTORS_LIST[[#This Row],[LS_TOTAL CURRENT UNITS]]*INVESTORS_LIST[[#This Row],[NAV]])</f>
        <v>0</v>
      </c>
      <c r="AR360" s="48">
        <f>IF(INVESTORS_LIST[[#This Row],[SIP_TOTAL CURRENT UNITS]]=0,0,INVESTORS_LIST[[#This Row],[SIP_TOTAL CURRENT UNITS]]*INVESTORS_LIST[[#This Row],[NAV]])</f>
        <v>0</v>
      </c>
      <c r="AS360" s="50">
        <f>INVESTORS_LIST[[#This Row],[TOTAL CURRENT UNITS]]</f>
        <v>0</v>
      </c>
      <c r="AT360" s="48">
        <f>IF(INVESTORS_LIST[[#This Row],[TOTAL SELLABLE UNITS]]=0,0,INVESTORS_LIST[[#This Row],[TOTAL SELLABLE UNITS]]*INVESTORS_LIST[[#This Row],[NAV]])</f>
        <v>0</v>
      </c>
      <c r="AU360" s="48">
        <f>INVESTORS_LIST[[#This Row],[LS_TOTAL REALIZED GAIN]]+INVESTORS_LIST[[#This Row],[SIP_TOTAL REALIZED GAIN]]</f>
        <v>0</v>
      </c>
      <c r="AV360" s="48">
        <f>INVESTORS_LIST[[#This Row],[TOTAL MARKET VALUE]]-INVESTORS_LIST[[#This Row],[TOTAL COST VALUE OF CURRENT INVESTMENT]]</f>
        <v>0</v>
      </c>
      <c r="AW360" s="48">
        <f>IFERROR(INVESTORS_LIST[[#This Row],[TOTAL CURRENT UNITS]]/SUM(INVESTORS_LIST[TOTAL CURRENT UNITS]),0)</f>
        <v>0</v>
      </c>
    </row>
    <row r="361" spans="1:49" hidden="1">
      <c r="A361" s="262" t="s">
        <v>769</v>
      </c>
      <c r="B361" s="97" t="s">
        <v>770</v>
      </c>
      <c r="C361" t="s">
        <v>44</v>
      </c>
      <c r="D361" s="75" t="s">
        <v>45</v>
      </c>
      <c r="E361" s="47">
        <f>SUMIFS(LS[Unit],LS[Investor ID],INVESTORS_LIST[[#This Row],[INVESTOR CODE]],LS[B/S],"B")</f>
        <v>0</v>
      </c>
      <c r="F361" s="47">
        <f>-SUMIFS(LS[Unit],LS[Investor ID],INVESTORS_LIST[[#This Row],[INVESTOR CODE]],LS[B/S],"S")</f>
        <v>0</v>
      </c>
      <c r="G361" s="47">
        <f>IF(INVESTORS_LIST[[#This Row],[LS_TOTAL UNITS BUY]]=0,0,INVESTORS_LIST[[#This Row],[LS_TOTAL UNITS BUY]]-INVESTORS_LIST[[#This Row],[LS_TOTAL UNITS SOLD]])</f>
        <v>0</v>
      </c>
      <c r="H361" s="49">
        <f>IF(INVESTORS_LIST[[#This Row],[LS_TOTAL UNITS BUY]]=0,0,SUMIFS(LS[Amount],LS[Investor ID],INVESTORS_LIST[[#This Row],[INVESTOR CODE]],LS[B/S],"B"))</f>
        <v>0</v>
      </c>
      <c r="I361" s="48">
        <f>IF(INVESTORS_LIST[[#This Row],[LS_TOTAL UNITS SOLD]]=0,0,SUMIFS(LS[Cost of Units Sold],LS[Investor ID],INVESTORS_LIST[[#This Row],[INVESTOR CODE]],LS[B/S],"S"))</f>
        <v>0</v>
      </c>
      <c r="J361" s="48">
        <f>IF(INVESTORS_LIST[[#This Row],[LS_TOTAL CURRENT UNITS]]=0,0,INVESTORS_LIST[[#This Row],[LS_TOTAL CURRENT UNITS]]*INVESTORS_LIST[[#This Row],[LS_AVERAGE COST]])</f>
        <v>0</v>
      </c>
      <c r="K361" s="49">
        <f>IF(INVESTORS_LIST[[#This Row],[LS_TOTAL UNITS SOLD]]=0,0,SUMIFS(LS[Realized Gain],LS[Investor ID],INVESTORS_LIST[[#This Row],[INVESTOR CODE]],LS[B/S],"S"))</f>
        <v>0</v>
      </c>
      <c r="L361" s="47">
        <f>SUMIFS(SIP[Unit],SIP[Investor ID],INVESTORS_LIST[[#This Row],[INVESTOR CODE]],SIP[B/S],"B")</f>
        <v>0</v>
      </c>
      <c r="M361" s="47">
        <f>-SUMIFS(SIP[Unit],SIP[Investor ID],INVESTORS_LIST[[#This Row],[INVESTOR CODE]],SIP[B/S],"S")</f>
        <v>0</v>
      </c>
      <c r="N361" s="50">
        <f>IF(INVESTORS_LIST[[#This Row],[SIP_TOTAL UNITS BUY]]=0,0,INVESTORS_LIST[[#This Row],[SIP_TOTAL UNITS BUY]]-INVESTORS_LIST[[#This Row],[SIP_TOTAL UNITS SOLD]])</f>
        <v>0</v>
      </c>
      <c r="O361" s="49">
        <f>IF(INVESTORS_LIST[[#This Row],[SIP_TOTAL UNITS BUY]]=0,0,SUMIFS(SIP[Amount],SIP[Investor ID],INVESTORS_LIST[[#This Row],[INVESTOR CODE]],SIP[B/S],"B"))</f>
        <v>0</v>
      </c>
      <c r="P361" s="49">
        <f>IF(INVESTORS_LIST[[#This Row],[SIP_TOTAL UNITS SOLD]]=0,0,SUMIFS(SIP[Cost of Units Sold],SIP[Investor ID],INVESTORS_LIST[[#This Row],[INVESTOR CODE]],SIP[B/S],"S"))</f>
        <v>0</v>
      </c>
      <c r="Q361" s="48">
        <f>IF(INVESTORS_LIST[[#This Row],[SIP_TOTAL CURRENT UNITS]]=0,0,INVESTORS_LIST[[#This Row],[SIP_TOTAL CURRENT UNITS]]*INVESTORS_LIST[[#This Row],[SIP_AVERAGE COST]])</f>
        <v>0</v>
      </c>
      <c r="R361" s="48">
        <f>IF(INVESTORS_LIST[[#This Row],[SIP_TOTAL UNITS SOLD]]=0,0,SUMIFS(SIP[Realized Gain],SIP[Investor ID],INVESTORS_LIST[[#This Row],[INVESTOR CODE]],SIP[B/S],"S"))</f>
        <v>0</v>
      </c>
      <c r="S361" s="50">
        <f>INVESTORS_LIST[[#This Row],[LS_TOTAL UNITS BUY]]+INVESTORS_LIST[[#This Row],[SIP_TOTAL UNITS BUY]]</f>
        <v>0</v>
      </c>
      <c r="T361" s="50">
        <f>INVESTORS_LIST[[#This Row],[LS_TOTAL UNITS SOLD]]+INVESTORS_LIST[[#This Row],[SIP_TOTAL UNITS SOLD]]</f>
        <v>0</v>
      </c>
      <c r="U361" s="50"/>
      <c r="V361" s="50">
        <f>SUMIFS(LS[BO UNIT TRANSFER],LS[Investor ID],INVESTORS_LIST[[#This Row],[INVESTOR CODE]],LS[B/S],"B")</f>
        <v>0</v>
      </c>
      <c r="W361" s="50">
        <f>SUMIFS(SIP[BO UNIT TRANSFER],SIP[Investor ID],INVESTORS_LIST[[#This Row],[INVESTOR CODE]],SIP[B/S],"B")</f>
        <v>0</v>
      </c>
      <c r="X361" s="50">
        <f>SUMIFS(LS[BO UNIT TRANSFER],LS[Investor ID],INVESTORS_LIST[[#This Row],[INVESTOR CODE]],LS[B/S],"S")</f>
        <v>0</v>
      </c>
      <c r="Y361" s="50">
        <f>SUMIFS(SIP[BO UNIT TRANSFER],SIP[Investor ID],INVESTORS_LIST[[#This Row],[INVESTOR CODE]],SIP[B/S],"S")</f>
        <v>0</v>
      </c>
      <c r="Z361" s="106">
        <f>SUM(INVESTORS_LIST[[#This Row],[BO OPENING BALANCE]:[BO SIP UNITS REPURCHASE]])</f>
        <v>0</v>
      </c>
      <c r="AA361" s="107">
        <f>INVESTORS_LIST[[#This Row],[TOTAL UNITS BUY]]-INVESTORS_LIST[[#This Row],[TOTAL UNITS SOLD]]</f>
        <v>0</v>
      </c>
      <c r="AB361" s="107">
        <f>INVESTORS_LIST[[#This Row],[TOTAL CURRENT UNITS]]-INVESTORS_LIST[[#This Row],[BO UNITS HOLD]]</f>
        <v>0</v>
      </c>
      <c r="AC361" s="201" t="e">
        <f>INDEX([3]!Table_1[BO ID],MATCH(INVESTORS_LIST[[#This Row],[INVESTOR CODE]],[3]!Table_1[INVESTOR CODE],0))</f>
        <v>#REF!</v>
      </c>
      <c r="AD361" s="201" t="e">
        <f>INDEX([3]!Table_1[Brokerage Name2],MATCH(INVESTORS_LIST[[#This Row],[INVESTOR CODE]],[3]!Table_1[INVESTOR CODE],0))</f>
        <v>#REF!</v>
      </c>
      <c r="AE361" s="201" t="e">
        <f>MID(INVESTORS_LIST[[#This Row],[BO ID]],4,5)</f>
        <v>#REF!</v>
      </c>
      <c r="AF361" s="201" t="e">
        <f>MID(INVESTORS_LIST[[#This Row],[BO ID]],2,7)</f>
        <v>#REF!</v>
      </c>
      <c r="AG361" s="201" t="e">
        <f>MID(INVESTORS_LIST[[#This Row],[BO ID]],9,7)</f>
        <v>#REF!</v>
      </c>
      <c r="AH361" s="201" t="e">
        <f>RIGHT(INVESTORS_LIST[[#This Row],[BO ID]],1)</f>
        <v>#REF!</v>
      </c>
      <c r="AI361" s="50">
        <f>INVESTORS_LIST[[#This Row],[LS_TOTAL COST VALUE OF CURRENT UNITS]]+INVESTORS_LIST[[#This Row],[SIP_TOTAL COST VALUE OF CURRENT UNITS]]</f>
        <v>0</v>
      </c>
      <c r="AJ361" s="109">
        <f>IF(INVESTORS_LIST[[#This Row],[TOTAL CURRENT UNITS]]=0,0,INVESTORS_LIST[[#This Row],[LS_TOTAL CURRENT UNITS]]/INVESTORS_LIST[[#This Row],[TOTAL CURRENT UNITS]])</f>
        <v>0</v>
      </c>
      <c r="AK361" s="109">
        <f>IF(INVESTORS_LIST[[#This Row],[TOTAL CURRENT UNITS]]=0,0,INVESTORS_LIST[[#This Row],[SIP_TOTAL CURRENT UNITS]]/INVESTORS_LIST[[#This Row],[TOTAL CURRENT UNITS]])</f>
        <v>0</v>
      </c>
      <c r="AL361" s="49" cm="1">
        <f t="array" ref="AL3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1" s="49" cm="1">
        <f t="array" ref="AM3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1" s="105">
        <f t="shared" si="6"/>
        <v>14.224</v>
      </c>
      <c r="AP361" s="112">
        <f>IF(INVESTORS_LIST[[#This Row],[TOTAL CURRENT UNITS]]=0,0,INVESTORS_LIST[[#This Row],[TOTAL CURRENT UNITS]]*INVESTORS_LIST[[#This Row],[NAV]])</f>
        <v>0</v>
      </c>
      <c r="AQ361" s="49">
        <f>IF(INVESTORS_LIST[[#This Row],[LS_TOTAL CURRENT UNITS]]=0,0,INVESTORS_LIST[[#This Row],[LS_TOTAL CURRENT UNITS]]*INVESTORS_LIST[[#This Row],[NAV]])</f>
        <v>0</v>
      </c>
      <c r="AR361" s="48">
        <f>IF(INVESTORS_LIST[[#This Row],[SIP_TOTAL CURRENT UNITS]]=0,0,INVESTORS_LIST[[#This Row],[SIP_TOTAL CURRENT UNITS]]*INVESTORS_LIST[[#This Row],[NAV]])</f>
        <v>0</v>
      </c>
      <c r="AS361" s="50">
        <f>INVESTORS_LIST[[#This Row],[TOTAL CURRENT UNITS]]</f>
        <v>0</v>
      </c>
      <c r="AT361" s="48">
        <f>IF(INVESTORS_LIST[[#This Row],[TOTAL SELLABLE UNITS]]=0,0,INVESTORS_LIST[[#This Row],[TOTAL SELLABLE UNITS]]*INVESTORS_LIST[[#This Row],[NAV]])</f>
        <v>0</v>
      </c>
      <c r="AU361" s="48">
        <f>INVESTORS_LIST[[#This Row],[LS_TOTAL REALIZED GAIN]]+INVESTORS_LIST[[#This Row],[SIP_TOTAL REALIZED GAIN]]</f>
        <v>0</v>
      </c>
      <c r="AV361" s="48">
        <f>INVESTORS_LIST[[#This Row],[TOTAL MARKET VALUE]]-INVESTORS_LIST[[#This Row],[TOTAL COST VALUE OF CURRENT INVESTMENT]]</f>
        <v>0</v>
      </c>
      <c r="AW361" s="48">
        <f>IFERROR(INVESTORS_LIST[[#This Row],[TOTAL CURRENT UNITS]]/SUM(INVESTORS_LIST[TOTAL CURRENT UNITS]),0)</f>
        <v>0</v>
      </c>
    </row>
    <row r="362" spans="1:49" hidden="1">
      <c r="A362" s="262" t="s">
        <v>771</v>
      </c>
      <c r="B362" s="97" t="s">
        <v>772</v>
      </c>
      <c r="C362" t="s">
        <v>44</v>
      </c>
      <c r="D362" s="75" t="s">
        <v>45</v>
      </c>
      <c r="E362" s="47">
        <f>SUMIFS(LS[Unit],LS[Investor ID],INVESTORS_LIST[[#This Row],[INVESTOR CODE]],LS[B/S],"B")</f>
        <v>0</v>
      </c>
      <c r="F362" s="47">
        <f>-SUMIFS(LS[Unit],LS[Investor ID],INVESTORS_LIST[[#This Row],[INVESTOR CODE]],LS[B/S],"S")</f>
        <v>0</v>
      </c>
      <c r="G362" s="47">
        <f>IF(INVESTORS_LIST[[#This Row],[LS_TOTAL UNITS BUY]]=0,0,INVESTORS_LIST[[#This Row],[LS_TOTAL UNITS BUY]]-INVESTORS_LIST[[#This Row],[LS_TOTAL UNITS SOLD]])</f>
        <v>0</v>
      </c>
      <c r="H362" s="49">
        <f>IF(INVESTORS_LIST[[#This Row],[LS_TOTAL UNITS BUY]]=0,0,SUMIFS(LS[Amount],LS[Investor ID],INVESTORS_LIST[[#This Row],[INVESTOR CODE]],LS[B/S],"B"))</f>
        <v>0</v>
      </c>
      <c r="I362" s="48">
        <f>IF(INVESTORS_LIST[[#This Row],[LS_TOTAL UNITS SOLD]]=0,0,SUMIFS(LS[Cost of Units Sold],LS[Investor ID],INVESTORS_LIST[[#This Row],[INVESTOR CODE]],LS[B/S],"S"))</f>
        <v>0</v>
      </c>
      <c r="J362" s="48">
        <f>IF(INVESTORS_LIST[[#This Row],[LS_TOTAL CURRENT UNITS]]=0,0,INVESTORS_LIST[[#This Row],[LS_TOTAL CURRENT UNITS]]*INVESTORS_LIST[[#This Row],[LS_AVERAGE COST]])</f>
        <v>0</v>
      </c>
      <c r="K362" s="49">
        <f>IF(INVESTORS_LIST[[#This Row],[LS_TOTAL UNITS SOLD]]=0,0,SUMIFS(LS[Realized Gain],LS[Investor ID],INVESTORS_LIST[[#This Row],[INVESTOR CODE]],LS[B/S],"S"))</f>
        <v>0</v>
      </c>
      <c r="L362" s="47">
        <f>SUMIFS(SIP[Unit],SIP[Investor ID],INVESTORS_LIST[[#This Row],[INVESTOR CODE]],SIP[B/S],"B")</f>
        <v>0</v>
      </c>
      <c r="M362" s="47">
        <f>-SUMIFS(SIP[Unit],SIP[Investor ID],INVESTORS_LIST[[#This Row],[INVESTOR CODE]],SIP[B/S],"S")</f>
        <v>0</v>
      </c>
      <c r="N362" s="50">
        <f>IF(INVESTORS_LIST[[#This Row],[SIP_TOTAL UNITS BUY]]=0,0,INVESTORS_LIST[[#This Row],[SIP_TOTAL UNITS BUY]]-INVESTORS_LIST[[#This Row],[SIP_TOTAL UNITS SOLD]])</f>
        <v>0</v>
      </c>
      <c r="O362" s="49">
        <f>IF(INVESTORS_LIST[[#This Row],[SIP_TOTAL UNITS BUY]]=0,0,SUMIFS(SIP[Amount],SIP[Investor ID],INVESTORS_LIST[[#This Row],[INVESTOR CODE]],SIP[B/S],"B"))</f>
        <v>0</v>
      </c>
      <c r="P362" s="49">
        <f>IF(INVESTORS_LIST[[#This Row],[SIP_TOTAL UNITS SOLD]]=0,0,SUMIFS(SIP[Cost of Units Sold],SIP[Investor ID],INVESTORS_LIST[[#This Row],[INVESTOR CODE]],SIP[B/S],"S"))</f>
        <v>0</v>
      </c>
      <c r="Q362" s="48">
        <f>IF(INVESTORS_LIST[[#This Row],[SIP_TOTAL CURRENT UNITS]]=0,0,INVESTORS_LIST[[#This Row],[SIP_TOTAL CURRENT UNITS]]*INVESTORS_LIST[[#This Row],[SIP_AVERAGE COST]])</f>
        <v>0</v>
      </c>
      <c r="R362" s="48">
        <f>IF(INVESTORS_LIST[[#This Row],[SIP_TOTAL UNITS SOLD]]=0,0,SUMIFS(SIP[Realized Gain],SIP[Investor ID],INVESTORS_LIST[[#This Row],[INVESTOR CODE]],SIP[B/S],"S"))</f>
        <v>0</v>
      </c>
      <c r="S362" s="50">
        <f>INVESTORS_LIST[[#This Row],[LS_TOTAL UNITS BUY]]+INVESTORS_LIST[[#This Row],[SIP_TOTAL UNITS BUY]]</f>
        <v>0</v>
      </c>
      <c r="T362" s="50">
        <f>INVESTORS_LIST[[#This Row],[LS_TOTAL UNITS SOLD]]+INVESTORS_LIST[[#This Row],[SIP_TOTAL UNITS SOLD]]</f>
        <v>0</v>
      </c>
      <c r="U362" s="50"/>
      <c r="V362" s="50">
        <f>SUMIFS(LS[BO UNIT TRANSFER],LS[Investor ID],INVESTORS_LIST[[#This Row],[INVESTOR CODE]],LS[B/S],"B")</f>
        <v>0</v>
      </c>
      <c r="W362" s="50">
        <f>SUMIFS(SIP[BO UNIT TRANSFER],SIP[Investor ID],INVESTORS_LIST[[#This Row],[INVESTOR CODE]],SIP[B/S],"B")</f>
        <v>0</v>
      </c>
      <c r="X362" s="50">
        <f>SUMIFS(LS[BO UNIT TRANSFER],LS[Investor ID],INVESTORS_LIST[[#This Row],[INVESTOR CODE]],LS[B/S],"S")</f>
        <v>0</v>
      </c>
      <c r="Y362" s="50">
        <f>SUMIFS(SIP[BO UNIT TRANSFER],SIP[Investor ID],INVESTORS_LIST[[#This Row],[INVESTOR CODE]],SIP[B/S],"S")</f>
        <v>0</v>
      </c>
      <c r="Z362" s="106">
        <f>SUM(INVESTORS_LIST[[#This Row],[BO OPENING BALANCE]:[BO SIP UNITS REPURCHASE]])</f>
        <v>0</v>
      </c>
      <c r="AA362" s="107">
        <f>INVESTORS_LIST[[#This Row],[TOTAL UNITS BUY]]-INVESTORS_LIST[[#This Row],[TOTAL UNITS SOLD]]</f>
        <v>0</v>
      </c>
      <c r="AB362" s="107">
        <f>INVESTORS_LIST[[#This Row],[TOTAL CURRENT UNITS]]-INVESTORS_LIST[[#This Row],[BO UNITS HOLD]]</f>
        <v>0</v>
      </c>
      <c r="AC362" s="201" t="e">
        <f>INDEX([3]!Table_1[BO ID],MATCH(INVESTORS_LIST[[#This Row],[INVESTOR CODE]],[3]!Table_1[INVESTOR CODE],0))</f>
        <v>#REF!</v>
      </c>
      <c r="AD362" s="201" t="e">
        <f>INDEX([3]!Table_1[Brokerage Name2],MATCH(INVESTORS_LIST[[#This Row],[INVESTOR CODE]],[3]!Table_1[INVESTOR CODE],0))</f>
        <v>#REF!</v>
      </c>
      <c r="AE362" s="201" t="e">
        <f>MID(INVESTORS_LIST[[#This Row],[BO ID]],4,5)</f>
        <v>#REF!</v>
      </c>
      <c r="AF362" s="201" t="e">
        <f>MID(INVESTORS_LIST[[#This Row],[BO ID]],2,7)</f>
        <v>#REF!</v>
      </c>
      <c r="AG362" s="201" t="e">
        <f>MID(INVESTORS_LIST[[#This Row],[BO ID]],9,7)</f>
        <v>#REF!</v>
      </c>
      <c r="AH362" s="201" t="e">
        <f>RIGHT(INVESTORS_LIST[[#This Row],[BO ID]],1)</f>
        <v>#REF!</v>
      </c>
      <c r="AI362" s="50">
        <f>INVESTORS_LIST[[#This Row],[LS_TOTAL COST VALUE OF CURRENT UNITS]]+INVESTORS_LIST[[#This Row],[SIP_TOTAL COST VALUE OF CURRENT UNITS]]</f>
        <v>0</v>
      </c>
      <c r="AJ362" s="109">
        <f>IF(INVESTORS_LIST[[#This Row],[TOTAL CURRENT UNITS]]=0,0,INVESTORS_LIST[[#This Row],[LS_TOTAL CURRENT UNITS]]/INVESTORS_LIST[[#This Row],[TOTAL CURRENT UNITS]])</f>
        <v>0</v>
      </c>
      <c r="AK362" s="109">
        <f>IF(INVESTORS_LIST[[#This Row],[TOTAL CURRENT UNITS]]=0,0,INVESTORS_LIST[[#This Row],[SIP_TOTAL CURRENT UNITS]]/INVESTORS_LIST[[#This Row],[TOTAL CURRENT UNITS]])</f>
        <v>0</v>
      </c>
      <c r="AL362" s="49" cm="1">
        <f t="array" ref="AL3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2" s="49" cm="1">
        <f t="array" ref="AM3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2" s="105">
        <f t="shared" si="6"/>
        <v>14.224</v>
      </c>
      <c r="AP362" s="112">
        <f>IF(INVESTORS_LIST[[#This Row],[TOTAL CURRENT UNITS]]=0,0,INVESTORS_LIST[[#This Row],[TOTAL CURRENT UNITS]]*INVESTORS_LIST[[#This Row],[NAV]])</f>
        <v>0</v>
      </c>
      <c r="AQ362" s="49">
        <f>IF(INVESTORS_LIST[[#This Row],[LS_TOTAL CURRENT UNITS]]=0,0,INVESTORS_LIST[[#This Row],[LS_TOTAL CURRENT UNITS]]*INVESTORS_LIST[[#This Row],[NAV]])</f>
        <v>0</v>
      </c>
      <c r="AR362" s="48">
        <f>IF(INVESTORS_LIST[[#This Row],[SIP_TOTAL CURRENT UNITS]]=0,0,INVESTORS_LIST[[#This Row],[SIP_TOTAL CURRENT UNITS]]*INVESTORS_LIST[[#This Row],[NAV]])</f>
        <v>0</v>
      </c>
      <c r="AS362" s="50">
        <f>INVESTORS_LIST[[#This Row],[TOTAL CURRENT UNITS]]</f>
        <v>0</v>
      </c>
      <c r="AT362" s="48">
        <f>IF(INVESTORS_LIST[[#This Row],[TOTAL SELLABLE UNITS]]=0,0,INVESTORS_LIST[[#This Row],[TOTAL SELLABLE UNITS]]*INVESTORS_LIST[[#This Row],[NAV]])</f>
        <v>0</v>
      </c>
      <c r="AU362" s="48">
        <f>INVESTORS_LIST[[#This Row],[LS_TOTAL REALIZED GAIN]]+INVESTORS_LIST[[#This Row],[SIP_TOTAL REALIZED GAIN]]</f>
        <v>0</v>
      </c>
      <c r="AV362" s="48">
        <f>INVESTORS_LIST[[#This Row],[TOTAL MARKET VALUE]]-INVESTORS_LIST[[#This Row],[TOTAL COST VALUE OF CURRENT INVESTMENT]]</f>
        <v>0</v>
      </c>
      <c r="AW362" s="48">
        <f>IFERROR(INVESTORS_LIST[[#This Row],[TOTAL CURRENT UNITS]]/SUM(INVESTORS_LIST[TOTAL CURRENT UNITS]),0)</f>
        <v>0</v>
      </c>
    </row>
    <row r="363" spans="1:49" hidden="1">
      <c r="A363" s="262" t="s">
        <v>773</v>
      </c>
      <c r="B363" s="97" t="s">
        <v>774</v>
      </c>
      <c r="C363" t="s">
        <v>44</v>
      </c>
      <c r="D363" s="75" t="s">
        <v>45</v>
      </c>
      <c r="E363" s="47">
        <f>SUMIFS(LS[Unit],LS[Investor ID],INVESTORS_LIST[[#This Row],[INVESTOR CODE]],LS[B/S],"B")</f>
        <v>0</v>
      </c>
      <c r="F363" s="47">
        <f>-SUMIFS(LS[Unit],LS[Investor ID],INVESTORS_LIST[[#This Row],[INVESTOR CODE]],LS[B/S],"S")</f>
        <v>0</v>
      </c>
      <c r="G363" s="47">
        <f>IF(INVESTORS_LIST[[#This Row],[LS_TOTAL UNITS BUY]]=0,0,INVESTORS_LIST[[#This Row],[LS_TOTAL UNITS BUY]]-INVESTORS_LIST[[#This Row],[LS_TOTAL UNITS SOLD]])</f>
        <v>0</v>
      </c>
      <c r="H363" s="49">
        <f>IF(INVESTORS_LIST[[#This Row],[LS_TOTAL UNITS BUY]]=0,0,SUMIFS(LS[Amount],LS[Investor ID],INVESTORS_LIST[[#This Row],[INVESTOR CODE]],LS[B/S],"B"))</f>
        <v>0</v>
      </c>
      <c r="I363" s="48">
        <f>IF(INVESTORS_LIST[[#This Row],[LS_TOTAL UNITS SOLD]]=0,0,SUMIFS(LS[Cost of Units Sold],LS[Investor ID],INVESTORS_LIST[[#This Row],[INVESTOR CODE]],LS[B/S],"S"))</f>
        <v>0</v>
      </c>
      <c r="J363" s="48">
        <f>IF(INVESTORS_LIST[[#This Row],[LS_TOTAL CURRENT UNITS]]=0,0,INVESTORS_LIST[[#This Row],[LS_TOTAL CURRENT UNITS]]*INVESTORS_LIST[[#This Row],[LS_AVERAGE COST]])</f>
        <v>0</v>
      </c>
      <c r="K363" s="49">
        <f>IF(INVESTORS_LIST[[#This Row],[LS_TOTAL UNITS SOLD]]=0,0,SUMIFS(LS[Realized Gain],LS[Investor ID],INVESTORS_LIST[[#This Row],[INVESTOR CODE]],LS[B/S],"S"))</f>
        <v>0</v>
      </c>
      <c r="L363" s="47">
        <f>SUMIFS(SIP[Unit],SIP[Investor ID],INVESTORS_LIST[[#This Row],[INVESTOR CODE]],SIP[B/S],"B")</f>
        <v>0</v>
      </c>
      <c r="M363" s="47">
        <f>-SUMIFS(SIP[Unit],SIP[Investor ID],INVESTORS_LIST[[#This Row],[INVESTOR CODE]],SIP[B/S],"S")</f>
        <v>0</v>
      </c>
      <c r="N363" s="50">
        <f>IF(INVESTORS_LIST[[#This Row],[SIP_TOTAL UNITS BUY]]=0,0,INVESTORS_LIST[[#This Row],[SIP_TOTAL UNITS BUY]]-INVESTORS_LIST[[#This Row],[SIP_TOTAL UNITS SOLD]])</f>
        <v>0</v>
      </c>
      <c r="O363" s="49">
        <f>IF(INVESTORS_LIST[[#This Row],[SIP_TOTAL UNITS BUY]]=0,0,SUMIFS(SIP[Amount],SIP[Investor ID],INVESTORS_LIST[[#This Row],[INVESTOR CODE]],SIP[B/S],"B"))</f>
        <v>0</v>
      </c>
      <c r="P363" s="49">
        <f>IF(INVESTORS_LIST[[#This Row],[SIP_TOTAL UNITS SOLD]]=0,0,SUMIFS(SIP[Cost of Units Sold],SIP[Investor ID],INVESTORS_LIST[[#This Row],[INVESTOR CODE]],SIP[B/S],"S"))</f>
        <v>0</v>
      </c>
      <c r="Q363" s="48">
        <f>IF(INVESTORS_LIST[[#This Row],[SIP_TOTAL CURRENT UNITS]]=0,0,INVESTORS_LIST[[#This Row],[SIP_TOTAL CURRENT UNITS]]*INVESTORS_LIST[[#This Row],[SIP_AVERAGE COST]])</f>
        <v>0</v>
      </c>
      <c r="R363" s="48">
        <f>IF(INVESTORS_LIST[[#This Row],[SIP_TOTAL UNITS SOLD]]=0,0,SUMIFS(SIP[Realized Gain],SIP[Investor ID],INVESTORS_LIST[[#This Row],[INVESTOR CODE]],SIP[B/S],"S"))</f>
        <v>0</v>
      </c>
      <c r="S363" s="50">
        <f>INVESTORS_LIST[[#This Row],[LS_TOTAL UNITS BUY]]+INVESTORS_LIST[[#This Row],[SIP_TOTAL UNITS BUY]]</f>
        <v>0</v>
      </c>
      <c r="T363" s="50">
        <f>INVESTORS_LIST[[#This Row],[LS_TOTAL UNITS SOLD]]+INVESTORS_LIST[[#This Row],[SIP_TOTAL UNITS SOLD]]</f>
        <v>0</v>
      </c>
      <c r="U363" s="50"/>
      <c r="V363" s="50">
        <f>SUMIFS(LS[BO UNIT TRANSFER],LS[Investor ID],INVESTORS_LIST[[#This Row],[INVESTOR CODE]],LS[B/S],"B")</f>
        <v>0</v>
      </c>
      <c r="W363" s="50">
        <f>SUMIFS(SIP[BO UNIT TRANSFER],SIP[Investor ID],INVESTORS_LIST[[#This Row],[INVESTOR CODE]],SIP[B/S],"B")</f>
        <v>0</v>
      </c>
      <c r="X363" s="50">
        <f>SUMIFS(LS[BO UNIT TRANSFER],LS[Investor ID],INVESTORS_LIST[[#This Row],[INVESTOR CODE]],LS[B/S],"S")</f>
        <v>0</v>
      </c>
      <c r="Y363" s="50">
        <f>SUMIFS(SIP[BO UNIT TRANSFER],SIP[Investor ID],INVESTORS_LIST[[#This Row],[INVESTOR CODE]],SIP[B/S],"S")</f>
        <v>0</v>
      </c>
      <c r="Z363" s="106">
        <f>SUM(INVESTORS_LIST[[#This Row],[BO OPENING BALANCE]:[BO SIP UNITS REPURCHASE]])</f>
        <v>0</v>
      </c>
      <c r="AA363" s="107">
        <f>INVESTORS_LIST[[#This Row],[TOTAL UNITS BUY]]-INVESTORS_LIST[[#This Row],[TOTAL UNITS SOLD]]</f>
        <v>0</v>
      </c>
      <c r="AB363" s="107">
        <f>INVESTORS_LIST[[#This Row],[TOTAL CURRENT UNITS]]-INVESTORS_LIST[[#This Row],[BO UNITS HOLD]]</f>
        <v>0</v>
      </c>
      <c r="AC363" s="201" t="e">
        <f>INDEX([3]!Table_1[BO ID],MATCH(INVESTORS_LIST[[#This Row],[INVESTOR CODE]],[3]!Table_1[INVESTOR CODE],0))</f>
        <v>#REF!</v>
      </c>
      <c r="AD363" s="201" t="e">
        <f>INDEX([3]!Table_1[Brokerage Name2],MATCH(INVESTORS_LIST[[#This Row],[INVESTOR CODE]],[3]!Table_1[INVESTOR CODE],0))</f>
        <v>#REF!</v>
      </c>
      <c r="AE363" s="201" t="e">
        <f>MID(INVESTORS_LIST[[#This Row],[BO ID]],4,5)</f>
        <v>#REF!</v>
      </c>
      <c r="AF363" s="201" t="e">
        <f>MID(INVESTORS_LIST[[#This Row],[BO ID]],2,7)</f>
        <v>#REF!</v>
      </c>
      <c r="AG363" s="201" t="e">
        <f>MID(INVESTORS_LIST[[#This Row],[BO ID]],9,7)</f>
        <v>#REF!</v>
      </c>
      <c r="AH363" s="201" t="e">
        <f>RIGHT(INVESTORS_LIST[[#This Row],[BO ID]],1)</f>
        <v>#REF!</v>
      </c>
      <c r="AI363" s="50">
        <f>INVESTORS_LIST[[#This Row],[LS_TOTAL COST VALUE OF CURRENT UNITS]]+INVESTORS_LIST[[#This Row],[SIP_TOTAL COST VALUE OF CURRENT UNITS]]</f>
        <v>0</v>
      </c>
      <c r="AJ363" s="109">
        <f>IF(INVESTORS_LIST[[#This Row],[TOTAL CURRENT UNITS]]=0,0,INVESTORS_LIST[[#This Row],[LS_TOTAL CURRENT UNITS]]/INVESTORS_LIST[[#This Row],[TOTAL CURRENT UNITS]])</f>
        <v>0</v>
      </c>
      <c r="AK363" s="109">
        <f>IF(INVESTORS_LIST[[#This Row],[TOTAL CURRENT UNITS]]=0,0,INVESTORS_LIST[[#This Row],[SIP_TOTAL CURRENT UNITS]]/INVESTORS_LIST[[#This Row],[TOTAL CURRENT UNITS]])</f>
        <v>0</v>
      </c>
      <c r="AL363" s="49" cm="1">
        <f t="array" ref="AL3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3" s="49" cm="1">
        <f t="array" ref="AM3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3" s="105">
        <f t="shared" si="6"/>
        <v>14.224</v>
      </c>
      <c r="AP363" s="112">
        <f>IF(INVESTORS_LIST[[#This Row],[TOTAL CURRENT UNITS]]=0,0,INVESTORS_LIST[[#This Row],[TOTAL CURRENT UNITS]]*INVESTORS_LIST[[#This Row],[NAV]])</f>
        <v>0</v>
      </c>
      <c r="AQ363" s="49">
        <f>IF(INVESTORS_LIST[[#This Row],[LS_TOTAL CURRENT UNITS]]=0,0,INVESTORS_LIST[[#This Row],[LS_TOTAL CURRENT UNITS]]*INVESTORS_LIST[[#This Row],[NAV]])</f>
        <v>0</v>
      </c>
      <c r="AR363" s="48">
        <f>IF(INVESTORS_LIST[[#This Row],[SIP_TOTAL CURRENT UNITS]]=0,0,INVESTORS_LIST[[#This Row],[SIP_TOTAL CURRENT UNITS]]*INVESTORS_LIST[[#This Row],[NAV]])</f>
        <v>0</v>
      </c>
      <c r="AS363" s="50">
        <f>INVESTORS_LIST[[#This Row],[TOTAL CURRENT UNITS]]</f>
        <v>0</v>
      </c>
      <c r="AT363" s="48">
        <f>IF(INVESTORS_LIST[[#This Row],[TOTAL SELLABLE UNITS]]=0,0,INVESTORS_LIST[[#This Row],[TOTAL SELLABLE UNITS]]*INVESTORS_LIST[[#This Row],[NAV]])</f>
        <v>0</v>
      </c>
      <c r="AU363" s="48">
        <f>INVESTORS_LIST[[#This Row],[LS_TOTAL REALIZED GAIN]]+INVESTORS_LIST[[#This Row],[SIP_TOTAL REALIZED GAIN]]</f>
        <v>0</v>
      </c>
      <c r="AV363" s="48">
        <f>INVESTORS_LIST[[#This Row],[TOTAL MARKET VALUE]]-INVESTORS_LIST[[#This Row],[TOTAL COST VALUE OF CURRENT INVESTMENT]]</f>
        <v>0</v>
      </c>
      <c r="AW363" s="48">
        <f>IFERROR(INVESTORS_LIST[[#This Row],[TOTAL CURRENT UNITS]]/SUM(INVESTORS_LIST[TOTAL CURRENT UNITS]),0)</f>
        <v>0</v>
      </c>
    </row>
    <row r="364" spans="1:49" hidden="1">
      <c r="A364" s="262" t="s">
        <v>775</v>
      </c>
      <c r="B364" s="97" t="s">
        <v>776</v>
      </c>
      <c r="C364" t="s">
        <v>44</v>
      </c>
      <c r="D364" s="75" t="s">
        <v>45</v>
      </c>
      <c r="E364" s="47">
        <f>SUMIFS(LS[Unit],LS[Investor ID],INVESTORS_LIST[[#This Row],[INVESTOR CODE]],LS[B/S],"B")</f>
        <v>0</v>
      </c>
      <c r="F364" s="47">
        <f>-SUMIFS(LS[Unit],LS[Investor ID],INVESTORS_LIST[[#This Row],[INVESTOR CODE]],LS[B/S],"S")</f>
        <v>0</v>
      </c>
      <c r="G364" s="47">
        <f>IF(INVESTORS_LIST[[#This Row],[LS_TOTAL UNITS BUY]]=0,0,INVESTORS_LIST[[#This Row],[LS_TOTAL UNITS BUY]]-INVESTORS_LIST[[#This Row],[LS_TOTAL UNITS SOLD]])</f>
        <v>0</v>
      </c>
      <c r="H364" s="49">
        <f>IF(INVESTORS_LIST[[#This Row],[LS_TOTAL UNITS BUY]]=0,0,SUMIFS(LS[Amount],LS[Investor ID],INVESTORS_LIST[[#This Row],[INVESTOR CODE]],LS[B/S],"B"))</f>
        <v>0</v>
      </c>
      <c r="I364" s="48">
        <f>IF(INVESTORS_LIST[[#This Row],[LS_TOTAL UNITS SOLD]]=0,0,SUMIFS(LS[Cost of Units Sold],LS[Investor ID],INVESTORS_LIST[[#This Row],[INVESTOR CODE]],LS[B/S],"S"))</f>
        <v>0</v>
      </c>
      <c r="J364" s="48">
        <f>IF(INVESTORS_LIST[[#This Row],[LS_TOTAL CURRENT UNITS]]=0,0,INVESTORS_LIST[[#This Row],[LS_TOTAL CURRENT UNITS]]*INVESTORS_LIST[[#This Row],[LS_AVERAGE COST]])</f>
        <v>0</v>
      </c>
      <c r="K364" s="49">
        <f>IF(INVESTORS_LIST[[#This Row],[LS_TOTAL UNITS SOLD]]=0,0,SUMIFS(LS[Realized Gain],LS[Investor ID],INVESTORS_LIST[[#This Row],[INVESTOR CODE]],LS[B/S],"S"))</f>
        <v>0</v>
      </c>
      <c r="L364" s="47">
        <f>SUMIFS(SIP[Unit],SIP[Investor ID],INVESTORS_LIST[[#This Row],[INVESTOR CODE]],SIP[B/S],"B")</f>
        <v>0</v>
      </c>
      <c r="M364" s="47">
        <f>-SUMIFS(SIP[Unit],SIP[Investor ID],INVESTORS_LIST[[#This Row],[INVESTOR CODE]],SIP[B/S],"S")</f>
        <v>0</v>
      </c>
      <c r="N364" s="50">
        <f>IF(INVESTORS_LIST[[#This Row],[SIP_TOTAL UNITS BUY]]=0,0,INVESTORS_LIST[[#This Row],[SIP_TOTAL UNITS BUY]]-INVESTORS_LIST[[#This Row],[SIP_TOTAL UNITS SOLD]])</f>
        <v>0</v>
      </c>
      <c r="O364" s="49">
        <f>IF(INVESTORS_LIST[[#This Row],[SIP_TOTAL UNITS BUY]]=0,0,SUMIFS(SIP[Amount],SIP[Investor ID],INVESTORS_LIST[[#This Row],[INVESTOR CODE]],SIP[B/S],"B"))</f>
        <v>0</v>
      </c>
      <c r="P364" s="49">
        <f>IF(INVESTORS_LIST[[#This Row],[SIP_TOTAL UNITS SOLD]]=0,0,SUMIFS(SIP[Cost of Units Sold],SIP[Investor ID],INVESTORS_LIST[[#This Row],[INVESTOR CODE]],SIP[B/S],"S"))</f>
        <v>0</v>
      </c>
      <c r="Q364" s="48">
        <f>IF(INVESTORS_LIST[[#This Row],[SIP_TOTAL CURRENT UNITS]]=0,0,INVESTORS_LIST[[#This Row],[SIP_TOTAL CURRENT UNITS]]*INVESTORS_LIST[[#This Row],[SIP_AVERAGE COST]])</f>
        <v>0</v>
      </c>
      <c r="R364" s="48">
        <f>IF(INVESTORS_LIST[[#This Row],[SIP_TOTAL UNITS SOLD]]=0,0,SUMIFS(SIP[Realized Gain],SIP[Investor ID],INVESTORS_LIST[[#This Row],[INVESTOR CODE]],SIP[B/S],"S"))</f>
        <v>0</v>
      </c>
      <c r="S364" s="50">
        <f>INVESTORS_LIST[[#This Row],[LS_TOTAL UNITS BUY]]+INVESTORS_LIST[[#This Row],[SIP_TOTAL UNITS BUY]]</f>
        <v>0</v>
      </c>
      <c r="T364" s="50">
        <f>INVESTORS_LIST[[#This Row],[LS_TOTAL UNITS SOLD]]+INVESTORS_LIST[[#This Row],[SIP_TOTAL UNITS SOLD]]</f>
        <v>0</v>
      </c>
      <c r="U364" s="50"/>
      <c r="V364" s="50">
        <f>SUMIFS(LS[BO UNIT TRANSFER],LS[Investor ID],INVESTORS_LIST[[#This Row],[INVESTOR CODE]],LS[B/S],"B")</f>
        <v>0</v>
      </c>
      <c r="W364" s="50">
        <f>SUMIFS(SIP[BO UNIT TRANSFER],SIP[Investor ID],INVESTORS_LIST[[#This Row],[INVESTOR CODE]],SIP[B/S],"B")</f>
        <v>0</v>
      </c>
      <c r="X364" s="50">
        <f>SUMIFS(LS[BO UNIT TRANSFER],LS[Investor ID],INVESTORS_LIST[[#This Row],[INVESTOR CODE]],LS[B/S],"S")</f>
        <v>0</v>
      </c>
      <c r="Y364" s="50">
        <f>SUMIFS(SIP[BO UNIT TRANSFER],SIP[Investor ID],INVESTORS_LIST[[#This Row],[INVESTOR CODE]],SIP[B/S],"S")</f>
        <v>0</v>
      </c>
      <c r="Z364" s="106">
        <f>SUM(INVESTORS_LIST[[#This Row],[BO OPENING BALANCE]:[BO SIP UNITS REPURCHASE]])</f>
        <v>0</v>
      </c>
      <c r="AA364" s="107">
        <f>INVESTORS_LIST[[#This Row],[TOTAL UNITS BUY]]-INVESTORS_LIST[[#This Row],[TOTAL UNITS SOLD]]</f>
        <v>0</v>
      </c>
      <c r="AB364" s="107">
        <f>INVESTORS_LIST[[#This Row],[TOTAL CURRENT UNITS]]-INVESTORS_LIST[[#This Row],[BO UNITS HOLD]]</f>
        <v>0</v>
      </c>
      <c r="AC364" s="201" t="e">
        <f>INDEX([3]!Table_1[BO ID],MATCH(INVESTORS_LIST[[#This Row],[INVESTOR CODE]],[3]!Table_1[INVESTOR CODE],0))</f>
        <v>#REF!</v>
      </c>
      <c r="AD364" s="201" t="e">
        <f>INDEX([3]!Table_1[Brokerage Name2],MATCH(INVESTORS_LIST[[#This Row],[INVESTOR CODE]],[3]!Table_1[INVESTOR CODE],0))</f>
        <v>#REF!</v>
      </c>
      <c r="AE364" s="201" t="e">
        <f>MID(INVESTORS_LIST[[#This Row],[BO ID]],4,5)</f>
        <v>#REF!</v>
      </c>
      <c r="AF364" s="201" t="e">
        <f>MID(INVESTORS_LIST[[#This Row],[BO ID]],2,7)</f>
        <v>#REF!</v>
      </c>
      <c r="AG364" s="201" t="e">
        <f>MID(INVESTORS_LIST[[#This Row],[BO ID]],9,7)</f>
        <v>#REF!</v>
      </c>
      <c r="AH364" s="201" t="e">
        <f>RIGHT(INVESTORS_LIST[[#This Row],[BO ID]],1)</f>
        <v>#REF!</v>
      </c>
      <c r="AI364" s="50">
        <f>INVESTORS_LIST[[#This Row],[LS_TOTAL COST VALUE OF CURRENT UNITS]]+INVESTORS_LIST[[#This Row],[SIP_TOTAL COST VALUE OF CURRENT UNITS]]</f>
        <v>0</v>
      </c>
      <c r="AJ364" s="109">
        <f>IF(INVESTORS_LIST[[#This Row],[TOTAL CURRENT UNITS]]=0,0,INVESTORS_LIST[[#This Row],[LS_TOTAL CURRENT UNITS]]/INVESTORS_LIST[[#This Row],[TOTAL CURRENT UNITS]])</f>
        <v>0</v>
      </c>
      <c r="AK364" s="109">
        <f>IF(INVESTORS_LIST[[#This Row],[TOTAL CURRENT UNITS]]=0,0,INVESTORS_LIST[[#This Row],[SIP_TOTAL CURRENT UNITS]]/INVESTORS_LIST[[#This Row],[TOTAL CURRENT UNITS]])</f>
        <v>0</v>
      </c>
      <c r="AL364" s="49" cm="1">
        <f t="array" ref="AL3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4" s="49" cm="1">
        <f t="array" ref="AM3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4" s="105">
        <f t="shared" si="6"/>
        <v>14.224</v>
      </c>
      <c r="AP364" s="112">
        <f>IF(INVESTORS_LIST[[#This Row],[TOTAL CURRENT UNITS]]=0,0,INVESTORS_LIST[[#This Row],[TOTAL CURRENT UNITS]]*INVESTORS_LIST[[#This Row],[NAV]])</f>
        <v>0</v>
      </c>
      <c r="AQ364" s="49">
        <f>IF(INVESTORS_LIST[[#This Row],[LS_TOTAL CURRENT UNITS]]=0,0,INVESTORS_LIST[[#This Row],[LS_TOTAL CURRENT UNITS]]*INVESTORS_LIST[[#This Row],[NAV]])</f>
        <v>0</v>
      </c>
      <c r="AR364" s="48">
        <f>IF(INVESTORS_LIST[[#This Row],[SIP_TOTAL CURRENT UNITS]]=0,0,INVESTORS_LIST[[#This Row],[SIP_TOTAL CURRENT UNITS]]*INVESTORS_LIST[[#This Row],[NAV]])</f>
        <v>0</v>
      </c>
      <c r="AS364" s="50">
        <f>INVESTORS_LIST[[#This Row],[TOTAL CURRENT UNITS]]</f>
        <v>0</v>
      </c>
      <c r="AT364" s="48">
        <f>IF(INVESTORS_LIST[[#This Row],[TOTAL SELLABLE UNITS]]=0,0,INVESTORS_LIST[[#This Row],[TOTAL SELLABLE UNITS]]*INVESTORS_LIST[[#This Row],[NAV]])</f>
        <v>0</v>
      </c>
      <c r="AU364" s="48">
        <f>INVESTORS_LIST[[#This Row],[LS_TOTAL REALIZED GAIN]]+INVESTORS_LIST[[#This Row],[SIP_TOTAL REALIZED GAIN]]</f>
        <v>0</v>
      </c>
      <c r="AV364" s="48">
        <f>INVESTORS_LIST[[#This Row],[TOTAL MARKET VALUE]]-INVESTORS_LIST[[#This Row],[TOTAL COST VALUE OF CURRENT INVESTMENT]]</f>
        <v>0</v>
      </c>
      <c r="AW364" s="48">
        <f>IFERROR(INVESTORS_LIST[[#This Row],[TOTAL CURRENT UNITS]]/SUM(INVESTORS_LIST[TOTAL CURRENT UNITS]),0)</f>
        <v>0</v>
      </c>
    </row>
    <row r="365" spans="1:49" hidden="1">
      <c r="A365" s="262" t="s">
        <v>777</v>
      </c>
      <c r="B365" s="97" t="s">
        <v>778</v>
      </c>
      <c r="C365" t="s">
        <v>48</v>
      </c>
      <c r="D365" s="75" t="s">
        <v>132</v>
      </c>
      <c r="E365" s="47">
        <f>SUMIFS(LS[Unit],LS[Investor ID],INVESTORS_LIST[[#This Row],[INVESTOR CODE]],LS[B/S],"B")</f>
        <v>0</v>
      </c>
      <c r="F365" s="47">
        <f>-SUMIFS(LS[Unit],LS[Investor ID],INVESTORS_LIST[[#This Row],[INVESTOR CODE]],LS[B/S],"S")</f>
        <v>0</v>
      </c>
      <c r="G365" s="47">
        <f>IF(INVESTORS_LIST[[#This Row],[LS_TOTAL UNITS BUY]]=0,0,INVESTORS_LIST[[#This Row],[LS_TOTAL UNITS BUY]]-INVESTORS_LIST[[#This Row],[LS_TOTAL UNITS SOLD]])</f>
        <v>0</v>
      </c>
      <c r="H365" s="49">
        <f>IF(INVESTORS_LIST[[#This Row],[LS_TOTAL UNITS BUY]]=0,0,SUMIFS(LS[Amount],LS[Investor ID],INVESTORS_LIST[[#This Row],[INVESTOR CODE]],LS[B/S],"B"))</f>
        <v>0</v>
      </c>
      <c r="I365" s="48">
        <f>IF(INVESTORS_LIST[[#This Row],[LS_TOTAL UNITS SOLD]]=0,0,SUMIFS(LS[Cost of Units Sold],LS[Investor ID],INVESTORS_LIST[[#This Row],[INVESTOR CODE]],LS[B/S],"S"))</f>
        <v>0</v>
      </c>
      <c r="J365" s="48">
        <f>IF(INVESTORS_LIST[[#This Row],[LS_TOTAL CURRENT UNITS]]=0,0,INVESTORS_LIST[[#This Row],[LS_TOTAL CURRENT UNITS]]*INVESTORS_LIST[[#This Row],[LS_AVERAGE COST]])</f>
        <v>0</v>
      </c>
      <c r="K365" s="49">
        <f>IF(INVESTORS_LIST[[#This Row],[LS_TOTAL UNITS SOLD]]=0,0,SUMIFS(LS[Realized Gain],LS[Investor ID],INVESTORS_LIST[[#This Row],[INVESTOR CODE]],LS[B/S],"S"))</f>
        <v>0</v>
      </c>
      <c r="L365" s="47">
        <f>SUMIFS(SIP[Unit],SIP[Investor ID],INVESTORS_LIST[[#This Row],[INVESTOR CODE]],SIP[B/S],"B")</f>
        <v>0</v>
      </c>
      <c r="M365" s="47">
        <f>-SUMIFS(SIP[Unit],SIP[Investor ID],INVESTORS_LIST[[#This Row],[INVESTOR CODE]],SIP[B/S],"S")</f>
        <v>0</v>
      </c>
      <c r="N365" s="50">
        <f>IF(INVESTORS_LIST[[#This Row],[SIP_TOTAL UNITS BUY]]=0,0,INVESTORS_LIST[[#This Row],[SIP_TOTAL UNITS BUY]]-INVESTORS_LIST[[#This Row],[SIP_TOTAL UNITS SOLD]])</f>
        <v>0</v>
      </c>
      <c r="O365" s="49">
        <f>IF(INVESTORS_LIST[[#This Row],[SIP_TOTAL UNITS BUY]]=0,0,SUMIFS(SIP[Amount],SIP[Investor ID],INVESTORS_LIST[[#This Row],[INVESTOR CODE]],SIP[B/S],"B"))</f>
        <v>0</v>
      </c>
      <c r="P365" s="49">
        <f>IF(INVESTORS_LIST[[#This Row],[SIP_TOTAL UNITS SOLD]]=0,0,SUMIFS(SIP[Cost of Units Sold],SIP[Investor ID],INVESTORS_LIST[[#This Row],[INVESTOR CODE]],SIP[B/S],"S"))</f>
        <v>0</v>
      </c>
      <c r="Q365" s="48">
        <f>IF(INVESTORS_LIST[[#This Row],[SIP_TOTAL CURRENT UNITS]]=0,0,INVESTORS_LIST[[#This Row],[SIP_TOTAL CURRENT UNITS]]*INVESTORS_LIST[[#This Row],[SIP_AVERAGE COST]])</f>
        <v>0</v>
      </c>
      <c r="R365" s="48">
        <f>IF(INVESTORS_LIST[[#This Row],[SIP_TOTAL UNITS SOLD]]=0,0,SUMIFS(SIP[Realized Gain],SIP[Investor ID],INVESTORS_LIST[[#This Row],[INVESTOR CODE]],SIP[B/S],"S"))</f>
        <v>0</v>
      </c>
      <c r="S365" s="50">
        <f>INVESTORS_LIST[[#This Row],[LS_TOTAL UNITS BUY]]+INVESTORS_LIST[[#This Row],[SIP_TOTAL UNITS BUY]]</f>
        <v>0</v>
      </c>
      <c r="T365" s="50">
        <f>INVESTORS_LIST[[#This Row],[LS_TOTAL UNITS SOLD]]+INVESTORS_LIST[[#This Row],[SIP_TOTAL UNITS SOLD]]</f>
        <v>0</v>
      </c>
      <c r="U365" s="50"/>
      <c r="V365" s="50">
        <f>SUMIFS(LS[BO UNIT TRANSFER],LS[Investor ID],INVESTORS_LIST[[#This Row],[INVESTOR CODE]],LS[B/S],"B")</f>
        <v>0</v>
      </c>
      <c r="W365" s="50">
        <f>SUMIFS(SIP[BO UNIT TRANSFER],SIP[Investor ID],INVESTORS_LIST[[#This Row],[INVESTOR CODE]],SIP[B/S],"B")</f>
        <v>0</v>
      </c>
      <c r="X365" s="50">
        <f>SUMIFS(LS[BO UNIT TRANSFER],LS[Investor ID],INVESTORS_LIST[[#This Row],[INVESTOR CODE]],LS[B/S],"S")</f>
        <v>0</v>
      </c>
      <c r="Y365" s="50">
        <f>SUMIFS(SIP[BO UNIT TRANSFER],SIP[Investor ID],INVESTORS_LIST[[#This Row],[INVESTOR CODE]],SIP[B/S],"S")</f>
        <v>0</v>
      </c>
      <c r="Z365" s="106">
        <f>SUM(INVESTORS_LIST[[#This Row],[BO OPENING BALANCE]:[BO SIP UNITS REPURCHASE]])</f>
        <v>0</v>
      </c>
      <c r="AA365" s="107">
        <f>INVESTORS_LIST[[#This Row],[TOTAL UNITS BUY]]-INVESTORS_LIST[[#This Row],[TOTAL UNITS SOLD]]</f>
        <v>0</v>
      </c>
      <c r="AB365" s="107">
        <f>INVESTORS_LIST[[#This Row],[TOTAL CURRENT UNITS]]-INVESTORS_LIST[[#This Row],[BO UNITS HOLD]]</f>
        <v>0</v>
      </c>
      <c r="AC365" s="201" t="e">
        <f>INDEX([3]!Table_1[BO ID],MATCH(INVESTORS_LIST[[#This Row],[INVESTOR CODE]],[3]!Table_1[INVESTOR CODE],0))</f>
        <v>#REF!</v>
      </c>
      <c r="AD365" s="201" t="e">
        <f>INDEX([3]!Table_1[Brokerage Name2],MATCH(INVESTORS_LIST[[#This Row],[INVESTOR CODE]],[3]!Table_1[INVESTOR CODE],0))</f>
        <v>#REF!</v>
      </c>
      <c r="AE365" s="201" t="e">
        <f>MID(INVESTORS_LIST[[#This Row],[BO ID]],4,5)</f>
        <v>#REF!</v>
      </c>
      <c r="AF365" s="201" t="e">
        <f>MID(INVESTORS_LIST[[#This Row],[BO ID]],2,7)</f>
        <v>#REF!</v>
      </c>
      <c r="AG365" s="201" t="e">
        <f>MID(INVESTORS_LIST[[#This Row],[BO ID]],9,7)</f>
        <v>#REF!</v>
      </c>
      <c r="AH365" s="201" t="e">
        <f>RIGHT(INVESTORS_LIST[[#This Row],[BO ID]],1)</f>
        <v>#REF!</v>
      </c>
      <c r="AI365" s="50">
        <f>INVESTORS_LIST[[#This Row],[LS_TOTAL COST VALUE OF CURRENT UNITS]]+INVESTORS_LIST[[#This Row],[SIP_TOTAL COST VALUE OF CURRENT UNITS]]</f>
        <v>0</v>
      </c>
      <c r="AJ365" s="109">
        <f>IF(INVESTORS_LIST[[#This Row],[TOTAL CURRENT UNITS]]=0,0,INVESTORS_LIST[[#This Row],[LS_TOTAL CURRENT UNITS]]/INVESTORS_LIST[[#This Row],[TOTAL CURRENT UNITS]])</f>
        <v>0</v>
      </c>
      <c r="AK365" s="109">
        <f>IF(INVESTORS_LIST[[#This Row],[TOTAL CURRENT UNITS]]=0,0,INVESTORS_LIST[[#This Row],[SIP_TOTAL CURRENT UNITS]]/INVESTORS_LIST[[#This Row],[TOTAL CURRENT UNITS]])</f>
        <v>0</v>
      </c>
      <c r="AL365" s="49" cm="1">
        <f t="array" ref="AL3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5" s="49" cm="1">
        <f t="array" ref="AM3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5" s="105">
        <f t="shared" si="6"/>
        <v>14.224</v>
      </c>
      <c r="AP365" s="112">
        <f>IF(INVESTORS_LIST[[#This Row],[TOTAL CURRENT UNITS]]=0,0,INVESTORS_LIST[[#This Row],[TOTAL CURRENT UNITS]]*INVESTORS_LIST[[#This Row],[NAV]])</f>
        <v>0</v>
      </c>
      <c r="AQ365" s="49">
        <f>IF(INVESTORS_LIST[[#This Row],[LS_TOTAL CURRENT UNITS]]=0,0,INVESTORS_LIST[[#This Row],[LS_TOTAL CURRENT UNITS]]*INVESTORS_LIST[[#This Row],[NAV]])</f>
        <v>0</v>
      </c>
      <c r="AR365" s="48">
        <f>IF(INVESTORS_LIST[[#This Row],[SIP_TOTAL CURRENT UNITS]]=0,0,INVESTORS_LIST[[#This Row],[SIP_TOTAL CURRENT UNITS]]*INVESTORS_LIST[[#This Row],[NAV]])</f>
        <v>0</v>
      </c>
      <c r="AS365" s="50">
        <f>INVESTORS_LIST[[#This Row],[TOTAL CURRENT UNITS]]</f>
        <v>0</v>
      </c>
      <c r="AT365" s="48">
        <f>IF(INVESTORS_LIST[[#This Row],[TOTAL SELLABLE UNITS]]=0,0,INVESTORS_LIST[[#This Row],[TOTAL SELLABLE UNITS]]*INVESTORS_LIST[[#This Row],[NAV]])</f>
        <v>0</v>
      </c>
      <c r="AU365" s="48">
        <f>INVESTORS_LIST[[#This Row],[LS_TOTAL REALIZED GAIN]]+INVESTORS_LIST[[#This Row],[SIP_TOTAL REALIZED GAIN]]</f>
        <v>0</v>
      </c>
      <c r="AV365" s="48">
        <f>INVESTORS_LIST[[#This Row],[TOTAL MARKET VALUE]]-INVESTORS_LIST[[#This Row],[TOTAL COST VALUE OF CURRENT INVESTMENT]]</f>
        <v>0</v>
      </c>
      <c r="AW365" s="48">
        <f>IFERROR(INVESTORS_LIST[[#This Row],[TOTAL CURRENT UNITS]]/SUM(INVESTORS_LIST[TOTAL CURRENT UNITS]),0)</f>
        <v>0</v>
      </c>
    </row>
    <row r="366" spans="1:49" hidden="1">
      <c r="A366" s="262" t="s">
        <v>779</v>
      </c>
      <c r="B366" s="97" t="s">
        <v>780</v>
      </c>
      <c r="C366" t="s">
        <v>67</v>
      </c>
      <c r="D366" s="75" t="s">
        <v>45</v>
      </c>
      <c r="E366" s="47">
        <f>SUMIFS(LS[Unit],LS[Investor ID],INVESTORS_LIST[[#This Row],[INVESTOR CODE]],LS[B/S],"B")</f>
        <v>0</v>
      </c>
      <c r="F366" s="47">
        <f>-SUMIFS(LS[Unit],LS[Investor ID],INVESTORS_LIST[[#This Row],[INVESTOR CODE]],LS[B/S],"S")</f>
        <v>0</v>
      </c>
      <c r="G366" s="47">
        <f>IF(INVESTORS_LIST[[#This Row],[LS_TOTAL UNITS BUY]]=0,0,INVESTORS_LIST[[#This Row],[LS_TOTAL UNITS BUY]]-INVESTORS_LIST[[#This Row],[LS_TOTAL UNITS SOLD]])</f>
        <v>0</v>
      </c>
      <c r="H366" s="49">
        <f>IF(INVESTORS_LIST[[#This Row],[LS_TOTAL UNITS BUY]]=0,0,SUMIFS(LS[Amount],LS[Investor ID],INVESTORS_LIST[[#This Row],[INVESTOR CODE]],LS[B/S],"B"))</f>
        <v>0</v>
      </c>
      <c r="I366" s="48">
        <f>IF(INVESTORS_LIST[[#This Row],[LS_TOTAL UNITS SOLD]]=0,0,SUMIFS(LS[Cost of Units Sold],LS[Investor ID],INVESTORS_LIST[[#This Row],[INVESTOR CODE]],LS[B/S],"S"))</f>
        <v>0</v>
      </c>
      <c r="J366" s="48">
        <f>IF(INVESTORS_LIST[[#This Row],[LS_TOTAL CURRENT UNITS]]=0,0,INVESTORS_LIST[[#This Row],[LS_TOTAL CURRENT UNITS]]*INVESTORS_LIST[[#This Row],[LS_AVERAGE COST]])</f>
        <v>0</v>
      </c>
      <c r="K366" s="49">
        <f>IF(INVESTORS_LIST[[#This Row],[LS_TOTAL UNITS SOLD]]=0,0,SUMIFS(LS[Realized Gain],LS[Investor ID],INVESTORS_LIST[[#This Row],[INVESTOR CODE]],LS[B/S],"S"))</f>
        <v>0</v>
      </c>
      <c r="L366" s="47">
        <f>SUMIFS(SIP[Unit],SIP[Investor ID],INVESTORS_LIST[[#This Row],[INVESTOR CODE]],SIP[B/S],"B")</f>
        <v>0</v>
      </c>
      <c r="M366" s="47">
        <f>-SUMIFS(SIP[Unit],SIP[Investor ID],INVESTORS_LIST[[#This Row],[INVESTOR CODE]],SIP[B/S],"S")</f>
        <v>0</v>
      </c>
      <c r="N366" s="50">
        <f>IF(INVESTORS_LIST[[#This Row],[SIP_TOTAL UNITS BUY]]=0,0,INVESTORS_LIST[[#This Row],[SIP_TOTAL UNITS BUY]]-INVESTORS_LIST[[#This Row],[SIP_TOTAL UNITS SOLD]])</f>
        <v>0</v>
      </c>
      <c r="O366" s="49">
        <f>IF(INVESTORS_LIST[[#This Row],[SIP_TOTAL UNITS BUY]]=0,0,SUMIFS(SIP[Amount],SIP[Investor ID],INVESTORS_LIST[[#This Row],[INVESTOR CODE]],SIP[B/S],"B"))</f>
        <v>0</v>
      </c>
      <c r="P366" s="49">
        <f>IF(INVESTORS_LIST[[#This Row],[SIP_TOTAL UNITS SOLD]]=0,0,SUMIFS(SIP[Cost of Units Sold],SIP[Investor ID],INVESTORS_LIST[[#This Row],[INVESTOR CODE]],SIP[B/S],"S"))</f>
        <v>0</v>
      </c>
      <c r="Q366" s="48">
        <f>IF(INVESTORS_LIST[[#This Row],[SIP_TOTAL CURRENT UNITS]]=0,0,INVESTORS_LIST[[#This Row],[SIP_TOTAL CURRENT UNITS]]*INVESTORS_LIST[[#This Row],[SIP_AVERAGE COST]])</f>
        <v>0</v>
      </c>
      <c r="R366" s="48">
        <f>IF(INVESTORS_LIST[[#This Row],[SIP_TOTAL UNITS SOLD]]=0,0,SUMIFS(SIP[Realized Gain],SIP[Investor ID],INVESTORS_LIST[[#This Row],[INVESTOR CODE]],SIP[B/S],"S"))</f>
        <v>0</v>
      </c>
      <c r="S366" s="50">
        <f>INVESTORS_LIST[[#This Row],[LS_TOTAL UNITS BUY]]+INVESTORS_LIST[[#This Row],[SIP_TOTAL UNITS BUY]]</f>
        <v>0</v>
      </c>
      <c r="T366" s="50">
        <f>INVESTORS_LIST[[#This Row],[LS_TOTAL UNITS SOLD]]+INVESTORS_LIST[[#This Row],[SIP_TOTAL UNITS SOLD]]</f>
        <v>0</v>
      </c>
      <c r="U366" s="50"/>
      <c r="V366" s="50">
        <f>SUMIFS(LS[BO UNIT TRANSFER],LS[Investor ID],INVESTORS_LIST[[#This Row],[INVESTOR CODE]],LS[B/S],"B")</f>
        <v>0</v>
      </c>
      <c r="W366" s="50">
        <f>SUMIFS(SIP[BO UNIT TRANSFER],SIP[Investor ID],INVESTORS_LIST[[#This Row],[INVESTOR CODE]],SIP[B/S],"B")</f>
        <v>0</v>
      </c>
      <c r="X366" s="50">
        <f>SUMIFS(LS[BO UNIT TRANSFER],LS[Investor ID],INVESTORS_LIST[[#This Row],[INVESTOR CODE]],LS[B/S],"S")</f>
        <v>0</v>
      </c>
      <c r="Y366" s="50">
        <f>SUMIFS(SIP[BO UNIT TRANSFER],SIP[Investor ID],INVESTORS_LIST[[#This Row],[INVESTOR CODE]],SIP[B/S],"S")</f>
        <v>0</v>
      </c>
      <c r="Z366" s="106">
        <f>SUM(INVESTORS_LIST[[#This Row],[BO OPENING BALANCE]:[BO SIP UNITS REPURCHASE]])</f>
        <v>0</v>
      </c>
      <c r="AA366" s="107">
        <f>INVESTORS_LIST[[#This Row],[TOTAL UNITS BUY]]-INVESTORS_LIST[[#This Row],[TOTAL UNITS SOLD]]</f>
        <v>0</v>
      </c>
      <c r="AB366" s="107">
        <f>INVESTORS_LIST[[#This Row],[TOTAL CURRENT UNITS]]-INVESTORS_LIST[[#This Row],[BO UNITS HOLD]]</f>
        <v>0</v>
      </c>
      <c r="AC366" s="201" t="e">
        <f>INDEX([3]!Table_1[BO ID],MATCH(INVESTORS_LIST[[#This Row],[INVESTOR CODE]],[3]!Table_1[INVESTOR CODE],0))</f>
        <v>#REF!</v>
      </c>
      <c r="AD366" s="201" t="e">
        <f>INDEX([3]!Table_1[Brokerage Name2],MATCH(INVESTORS_LIST[[#This Row],[INVESTOR CODE]],[3]!Table_1[INVESTOR CODE],0))</f>
        <v>#REF!</v>
      </c>
      <c r="AE366" s="201" t="e">
        <f>MID(INVESTORS_LIST[[#This Row],[BO ID]],4,5)</f>
        <v>#REF!</v>
      </c>
      <c r="AF366" s="201" t="e">
        <f>MID(INVESTORS_LIST[[#This Row],[BO ID]],2,7)</f>
        <v>#REF!</v>
      </c>
      <c r="AG366" s="201" t="e">
        <f>MID(INVESTORS_LIST[[#This Row],[BO ID]],9,7)</f>
        <v>#REF!</v>
      </c>
      <c r="AH366" s="201" t="e">
        <f>RIGHT(INVESTORS_LIST[[#This Row],[BO ID]],1)</f>
        <v>#REF!</v>
      </c>
      <c r="AI366" s="50">
        <f>INVESTORS_LIST[[#This Row],[LS_TOTAL COST VALUE OF CURRENT UNITS]]+INVESTORS_LIST[[#This Row],[SIP_TOTAL COST VALUE OF CURRENT UNITS]]</f>
        <v>0</v>
      </c>
      <c r="AJ366" s="109">
        <f>IF(INVESTORS_LIST[[#This Row],[TOTAL CURRENT UNITS]]=0,0,INVESTORS_LIST[[#This Row],[LS_TOTAL CURRENT UNITS]]/INVESTORS_LIST[[#This Row],[TOTAL CURRENT UNITS]])</f>
        <v>0</v>
      </c>
      <c r="AK366" s="109">
        <f>IF(INVESTORS_LIST[[#This Row],[TOTAL CURRENT UNITS]]=0,0,INVESTORS_LIST[[#This Row],[SIP_TOTAL CURRENT UNITS]]/INVESTORS_LIST[[#This Row],[TOTAL CURRENT UNITS]])</f>
        <v>0</v>
      </c>
      <c r="AL366" s="49" cm="1">
        <f t="array" ref="AL3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6" s="49" cm="1">
        <f t="array" ref="AM3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6" s="105">
        <f t="shared" si="6"/>
        <v>14.224</v>
      </c>
      <c r="AP366" s="112">
        <f>IF(INVESTORS_LIST[[#This Row],[TOTAL CURRENT UNITS]]=0,0,INVESTORS_LIST[[#This Row],[TOTAL CURRENT UNITS]]*INVESTORS_LIST[[#This Row],[NAV]])</f>
        <v>0</v>
      </c>
      <c r="AQ366" s="49">
        <f>IF(INVESTORS_LIST[[#This Row],[LS_TOTAL CURRENT UNITS]]=0,0,INVESTORS_LIST[[#This Row],[LS_TOTAL CURRENT UNITS]]*INVESTORS_LIST[[#This Row],[NAV]])</f>
        <v>0</v>
      </c>
      <c r="AR366" s="48">
        <f>IF(INVESTORS_LIST[[#This Row],[SIP_TOTAL CURRENT UNITS]]=0,0,INVESTORS_LIST[[#This Row],[SIP_TOTAL CURRENT UNITS]]*INVESTORS_LIST[[#This Row],[NAV]])</f>
        <v>0</v>
      </c>
      <c r="AS366" s="50">
        <f>INVESTORS_LIST[[#This Row],[TOTAL CURRENT UNITS]]</f>
        <v>0</v>
      </c>
      <c r="AT366" s="48">
        <f>IF(INVESTORS_LIST[[#This Row],[TOTAL SELLABLE UNITS]]=0,0,INVESTORS_LIST[[#This Row],[TOTAL SELLABLE UNITS]]*INVESTORS_LIST[[#This Row],[NAV]])</f>
        <v>0</v>
      </c>
      <c r="AU366" s="48">
        <f>INVESTORS_LIST[[#This Row],[LS_TOTAL REALIZED GAIN]]+INVESTORS_LIST[[#This Row],[SIP_TOTAL REALIZED GAIN]]</f>
        <v>0</v>
      </c>
      <c r="AV366" s="48">
        <f>INVESTORS_LIST[[#This Row],[TOTAL MARKET VALUE]]-INVESTORS_LIST[[#This Row],[TOTAL COST VALUE OF CURRENT INVESTMENT]]</f>
        <v>0</v>
      </c>
      <c r="AW366" s="48">
        <f>IFERROR(INVESTORS_LIST[[#This Row],[TOTAL CURRENT UNITS]]/SUM(INVESTORS_LIST[TOTAL CURRENT UNITS]),0)</f>
        <v>0</v>
      </c>
    </row>
    <row r="367" spans="1:49" hidden="1">
      <c r="A367" s="262" t="s">
        <v>781</v>
      </c>
      <c r="B367" s="97" t="s">
        <v>782</v>
      </c>
      <c r="C367" t="s">
        <v>44</v>
      </c>
      <c r="D367" s="75" t="s">
        <v>45</v>
      </c>
      <c r="E367" s="47">
        <f>SUMIFS(LS[Unit],LS[Investor ID],INVESTORS_LIST[[#This Row],[INVESTOR CODE]],LS[B/S],"B")</f>
        <v>0</v>
      </c>
      <c r="F367" s="47">
        <f>-SUMIFS(LS[Unit],LS[Investor ID],INVESTORS_LIST[[#This Row],[INVESTOR CODE]],LS[B/S],"S")</f>
        <v>0</v>
      </c>
      <c r="G367" s="47">
        <f>IF(INVESTORS_LIST[[#This Row],[LS_TOTAL UNITS BUY]]=0,0,INVESTORS_LIST[[#This Row],[LS_TOTAL UNITS BUY]]-INVESTORS_LIST[[#This Row],[LS_TOTAL UNITS SOLD]])</f>
        <v>0</v>
      </c>
      <c r="H367" s="49">
        <f>IF(INVESTORS_LIST[[#This Row],[LS_TOTAL UNITS BUY]]=0,0,SUMIFS(LS[Amount],LS[Investor ID],INVESTORS_LIST[[#This Row],[INVESTOR CODE]],LS[B/S],"B"))</f>
        <v>0</v>
      </c>
      <c r="I367" s="48">
        <f>IF(INVESTORS_LIST[[#This Row],[LS_TOTAL UNITS SOLD]]=0,0,SUMIFS(LS[Cost of Units Sold],LS[Investor ID],INVESTORS_LIST[[#This Row],[INVESTOR CODE]],LS[B/S],"S"))</f>
        <v>0</v>
      </c>
      <c r="J367" s="48">
        <f>IF(INVESTORS_LIST[[#This Row],[LS_TOTAL CURRENT UNITS]]=0,0,INVESTORS_LIST[[#This Row],[LS_TOTAL CURRENT UNITS]]*INVESTORS_LIST[[#This Row],[LS_AVERAGE COST]])</f>
        <v>0</v>
      </c>
      <c r="K367" s="49">
        <f>IF(INVESTORS_LIST[[#This Row],[LS_TOTAL UNITS SOLD]]=0,0,SUMIFS(LS[Realized Gain],LS[Investor ID],INVESTORS_LIST[[#This Row],[INVESTOR CODE]],LS[B/S],"S"))</f>
        <v>0</v>
      </c>
      <c r="L367" s="47">
        <f>SUMIFS(SIP[Unit],SIP[Investor ID],INVESTORS_LIST[[#This Row],[INVESTOR CODE]],SIP[B/S],"B")</f>
        <v>0</v>
      </c>
      <c r="M367" s="47">
        <f>-SUMIFS(SIP[Unit],SIP[Investor ID],INVESTORS_LIST[[#This Row],[INVESTOR CODE]],SIP[B/S],"S")</f>
        <v>0</v>
      </c>
      <c r="N367" s="50">
        <f>IF(INVESTORS_LIST[[#This Row],[SIP_TOTAL UNITS BUY]]=0,0,INVESTORS_LIST[[#This Row],[SIP_TOTAL UNITS BUY]]-INVESTORS_LIST[[#This Row],[SIP_TOTAL UNITS SOLD]])</f>
        <v>0</v>
      </c>
      <c r="O367" s="49">
        <f>IF(INVESTORS_LIST[[#This Row],[SIP_TOTAL UNITS BUY]]=0,0,SUMIFS(SIP[Amount],SIP[Investor ID],INVESTORS_LIST[[#This Row],[INVESTOR CODE]],SIP[B/S],"B"))</f>
        <v>0</v>
      </c>
      <c r="P367" s="49">
        <f>IF(INVESTORS_LIST[[#This Row],[SIP_TOTAL UNITS SOLD]]=0,0,SUMIFS(SIP[Cost of Units Sold],SIP[Investor ID],INVESTORS_LIST[[#This Row],[INVESTOR CODE]],SIP[B/S],"S"))</f>
        <v>0</v>
      </c>
      <c r="Q367" s="48">
        <f>IF(INVESTORS_LIST[[#This Row],[SIP_TOTAL CURRENT UNITS]]=0,0,INVESTORS_LIST[[#This Row],[SIP_TOTAL CURRENT UNITS]]*INVESTORS_LIST[[#This Row],[SIP_AVERAGE COST]])</f>
        <v>0</v>
      </c>
      <c r="R367" s="48">
        <f>IF(INVESTORS_LIST[[#This Row],[SIP_TOTAL UNITS SOLD]]=0,0,SUMIFS(SIP[Realized Gain],SIP[Investor ID],INVESTORS_LIST[[#This Row],[INVESTOR CODE]],SIP[B/S],"S"))</f>
        <v>0</v>
      </c>
      <c r="S367" s="50">
        <f>INVESTORS_LIST[[#This Row],[LS_TOTAL UNITS BUY]]+INVESTORS_LIST[[#This Row],[SIP_TOTAL UNITS BUY]]</f>
        <v>0</v>
      </c>
      <c r="T367" s="50">
        <f>INVESTORS_LIST[[#This Row],[LS_TOTAL UNITS SOLD]]+INVESTORS_LIST[[#This Row],[SIP_TOTAL UNITS SOLD]]</f>
        <v>0</v>
      </c>
      <c r="U367" s="50"/>
      <c r="V367" s="50">
        <f>SUMIFS(LS[BO UNIT TRANSFER],LS[Investor ID],INVESTORS_LIST[[#This Row],[INVESTOR CODE]],LS[B/S],"B")</f>
        <v>0</v>
      </c>
      <c r="W367" s="50">
        <f>SUMIFS(SIP[BO UNIT TRANSFER],SIP[Investor ID],INVESTORS_LIST[[#This Row],[INVESTOR CODE]],SIP[B/S],"B")</f>
        <v>0</v>
      </c>
      <c r="X367" s="50">
        <f>SUMIFS(LS[BO UNIT TRANSFER],LS[Investor ID],INVESTORS_LIST[[#This Row],[INVESTOR CODE]],LS[B/S],"S")</f>
        <v>0</v>
      </c>
      <c r="Y367" s="50">
        <f>SUMIFS(SIP[BO UNIT TRANSFER],SIP[Investor ID],INVESTORS_LIST[[#This Row],[INVESTOR CODE]],SIP[B/S],"S")</f>
        <v>0</v>
      </c>
      <c r="Z367" s="106">
        <f>SUM(INVESTORS_LIST[[#This Row],[BO OPENING BALANCE]:[BO SIP UNITS REPURCHASE]])</f>
        <v>0</v>
      </c>
      <c r="AA367" s="107">
        <f>INVESTORS_LIST[[#This Row],[TOTAL UNITS BUY]]-INVESTORS_LIST[[#This Row],[TOTAL UNITS SOLD]]</f>
        <v>0</v>
      </c>
      <c r="AB367" s="107">
        <f>INVESTORS_LIST[[#This Row],[TOTAL CURRENT UNITS]]-INVESTORS_LIST[[#This Row],[BO UNITS HOLD]]</f>
        <v>0</v>
      </c>
      <c r="AC367" s="201" t="e">
        <f>INDEX([3]!Table_1[BO ID],MATCH(INVESTORS_LIST[[#This Row],[INVESTOR CODE]],[3]!Table_1[INVESTOR CODE],0))</f>
        <v>#REF!</v>
      </c>
      <c r="AD367" s="201" t="e">
        <f>INDEX([3]!Table_1[Brokerage Name2],MATCH(INVESTORS_LIST[[#This Row],[INVESTOR CODE]],[3]!Table_1[INVESTOR CODE],0))</f>
        <v>#REF!</v>
      </c>
      <c r="AE367" s="201" t="e">
        <f>MID(INVESTORS_LIST[[#This Row],[BO ID]],4,5)</f>
        <v>#REF!</v>
      </c>
      <c r="AF367" s="201" t="e">
        <f>MID(INVESTORS_LIST[[#This Row],[BO ID]],2,7)</f>
        <v>#REF!</v>
      </c>
      <c r="AG367" s="201" t="e">
        <f>MID(INVESTORS_LIST[[#This Row],[BO ID]],9,7)</f>
        <v>#REF!</v>
      </c>
      <c r="AH367" s="201" t="e">
        <f>RIGHT(INVESTORS_LIST[[#This Row],[BO ID]],1)</f>
        <v>#REF!</v>
      </c>
      <c r="AI367" s="50">
        <f>INVESTORS_LIST[[#This Row],[LS_TOTAL COST VALUE OF CURRENT UNITS]]+INVESTORS_LIST[[#This Row],[SIP_TOTAL COST VALUE OF CURRENT UNITS]]</f>
        <v>0</v>
      </c>
      <c r="AJ367" s="109">
        <f>IF(INVESTORS_LIST[[#This Row],[TOTAL CURRENT UNITS]]=0,0,INVESTORS_LIST[[#This Row],[LS_TOTAL CURRENT UNITS]]/INVESTORS_LIST[[#This Row],[TOTAL CURRENT UNITS]])</f>
        <v>0</v>
      </c>
      <c r="AK367" s="109">
        <f>IF(INVESTORS_LIST[[#This Row],[TOTAL CURRENT UNITS]]=0,0,INVESTORS_LIST[[#This Row],[SIP_TOTAL CURRENT UNITS]]/INVESTORS_LIST[[#This Row],[TOTAL CURRENT UNITS]])</f>
        <v>0</v>
      </c>
      <c r="AL367" s="49" cm="1">
        <f t="array" ref="AL3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7" s="49" cm="1">
        <f t="array" ref="AM3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7" s="105">
        <f t="shared" si="6"/>
        <v>14.224</v>
      </c>
      <c r="AP367" s="112">
        <f>IF(INVESTORS_LIST[[#This Row],[TOTAL CURRENT UNITS]]=0,0,INVESTORS_LIST[[#This Row],[TOTAL CURRENT UNITS]]*INVESTORS_LIST[[#This Row],[NAV]])</f>
        <v>0</v>
      </c>
      <c r="AQ367" s="49">
        <f>IF(INVESTORS_LIST[[#This Row],[LS_TOTAL CURRENT UNITS]]=0,0,INVESTORS_LIST[[#This Row],[LS_TOTAL CURRENT UNITS]]*INVESTORS_LIST[[#This Row],[NAV]])</f>
        <v>0</v>
      </c>
      <c r="AR367" s="48">
        <f>IF(INVESTORS_LIST[[#This Row],[SIP_TOTAL CURRENT UNITS]]=0,0,INVESTORS_LIST[[#This Row],[SIP_TOTAL CURRENT UNITS]]*INVESTORS_LIST[[#This Row],[NAV]])</f>
        <v>0</v>
      </c>
      <c r="AS367" s="50">
        <f>INVESTORS_LIST[[#This Row],[TOTAL CURRENT UNITS]]</f>
        <v>0</v>
      </c>
      <c r="AT367" s="48">
        <f>IF(INVESTORS_LIST[[#This Row],[TOTAL SELLABLE UNITS]]=0,0,INVESTORS_LIST[[#This Row],[TOTAL SELLABLE UNITS]]*INVESTORS_LIST[[#This Row],[NAV]])</f>
        <v>0</v>
      </c>
      <c r="AU367" s="48">
        <f>INVESTORS_LIST[[#This Row],[LS_TOTAL REALIZED GAIN]]+INVESTORS_LIST[[#This Row],[SIP_TOTAL REALIZED GAIN]]</f>
        <v>0</v>
      </c>
      <c r="AV367" s="48">
        <f>INVESTORS_LIST[[#This Row],[TOTAL MARKET VALUE]]-INVESTORS_LIST[[#This Row],[TOTAL COST VALUE OF CURRENT INVESTMENT]]</f>
        <v>0</v>
      </c>
      <c r="AW367" s="48">
        <f>IFERROR(INVESTORS_LIST[[#This Row],[TOTAL CURRENT UNITS]]/SUM(INVESTORS_LIST[TOTAL CURRENT UNITS]),0)</f>
        <v>0</v>
      </c>
    </row>
    <row r="368" spans="1:49" hidden="1">
      <c r="A368" s="262" t="s">
        <v>783</v>
      </c>
      <c r="B368" s="97" t="s">
        <v>784</v>
      </c>
      <c r="C368" t="s">
        <v>44</v>
      </c>
      <c r="D368" s="75" t="s">
        <v>45</v>
      </c>
      <c r="E368" s="47">
        <f>SUMIFS(LS[Unit],LS[Investor ID],INVESTORS_LIST[[#This Row],[INVESTOR CODE]],LS[B/S],"B")</f>
        <v>0</v>
      </c>
      <c r="F368" s="47">
        <f>-SUMIFS(LS[Unit],LS[Investor ID],INVESTORS_LIST[[#This Row],[INVESTOR CODE]],LS[B/S],"S")</f>
        <v>0</v>
      </c>
      <c r="G368" s="47">
        <f>IF(INVESTORS_LIST[[#This Row],[LS_TOTAL UNITS BUY]]=0,0,INVESTORS_LIST[[#This Row],[LS_TOTAL UNITS BUY]]-INVESTORS_LIST[[#This Row],[LS_TOTAL UNITS SOLD]])</f>
        <v>0</v>
      </c>
      <c r="H368" s="49">
        <f>IF(INVESTORS_LIST[[#This Row],[LS_TOTAL UNITS BUY]]=0,0,SUMIFS(LS[Amount],LS[Investor ID],INVESTORS_LIST[[#This Row],[INVESTOR CODE]],LS[B/S],"B"))</f>
        <v>0</v>
      </c>
      <c r="I368" s="48">
        <f>IF(INVESTORS_LIST[[#This Row],[LS_TOTAL UNITS SOLD]]=0,0,SUMIFS(LS[Cost of Units Sold],LS[Investor ID],INVESTORS_LIST[[#This Row],[INVESTOR CODE]],LS[B/S],"S"))</f>
        <v>0</v>
      </c>
      <c r="J368" s="48">
        <f>IF(INVESTORS_LIST[[#This Row],[LS_TOTAL CURRENT UNITS]]=0,0,INVESTORS_LIST[[#This Row],[LS_TOTAL CURRENT UNITS]]*INVESTORS_LIST[[#This Row],[LS_AVERAGE COST]])</f>
        <v>0</v>
      </c>
      <c r="K368" s="49">
        <f>IF(INVESTORS_LIST[[#This Row],[LS_TOTAL UNITS SOLD]]=0,0,SUMIFS(LS[Realized Gain],LS[Investor ID],INVESTORS_LIST[[#This Row],[INVESTOR CODE]],LS[B/S],"S"))</f>
        <v>0</v>
      </c>
      <c r="L368" s="47">
        <f>SUMIFS(SIP[Unit],SIP[Investor ID],INVESTORS_LIST[[#This Row],[INVESTOR CODE]],SIP[B/S],"B")</f>
        <v>0</v>
      </c>
      <c r="M368" s="47">
        <f>-SUMIFS(SIP[Unit],SIP[Investor ID],INVESTORS_LIST[[#This Row],[INVESTOR CODE]],SIP[B/S],"S")</f>
        <v>0</v>
      </c>
      <c r="N368" s="50">
        <f>IF(INVESTORS_LIST[[#This Row],[SIP_TOTAL UNITS BUY]]=0,0,INVESTORS_LIST[[#This Row],[SIP_TOTAL UNITS BUY]]-INVESTORS_LIST[[#This Row],[SIP_TOTAL UNITS SOLD]])</f>
        <v>0</v>
      </c>
      <c r="O368" s="49">
        <f>IF(INVESTORS_LIST[[#This Row],[SIP_TOTAL UNITS BUY]]=0,0,SUMIFS(SIP[Amount],SIP[Investor ID],INVESTORS_LIST[[#This Row],[INVESTOR CODE]],SIP[B/S],"B"))</f>
        <v>0</v>
      </c>
      <c r="P368" s="49">
        <f>IF(INVESTORS_LIST[[#This Row],[SIP_TOTAL UNITS SOLD]]=0,0,SUMIFS(SIP[Cost of Units Sold],SIP[Investor ID],INVESTORS_LIST[[#This Row],[INVESTOR CODE]],SIP[B/S],"S"))</f>
        <v>0</v>
      </c>
      <c r="Q368" s="48">
        <f>IF(INVESTORS_LIST[[#This Row],[SIP_TOTAL CURRENT UNITS]]=0,0,INVESTORS_LIST[[#This Row],[SIP_TOTAL CURRENT UNITS]]*INVESTORS_LIST[[#This Row],[SIP_AVERAGE COST]])</f>
        <v>0</v>
      </c>
      <c r="R368" s="48">
        <f>IF(INVESTORS_LIST[[#This Row],[SIP_TOTAL UNITS SOLD]]=0,0,SUMIFS(SIP[Realized Gain],SIP[Investor ID],INVESTORS_LIST[[#This Row],[INVESTOR CODE]],SIP[B/S],"S"))</f>
        <v>0</v>
      </c>
      <c r="S368" s="50">
        <f>INVESTORS_LIST[[#This Row],[LS_TOTAL UNITS BUY]]+INVESTORS_LIST[[#This Row],[SIP_TOTAL UNITS BUY]]</f>
        <v>0</v>
      </c>
      <c r="T368" s="50">
        <f>INVESTORS_LIST[[#This Row],[LS_TOTAL UNITS SOLD]]+INVESTORS_LIST[[#This Row],[SIP_TOTAL UNITS SOLD]]</f>
        <v>0</v>
      </c>
      <c r="U368" s="50"/>
      <c r="V368" s="50">
        <f>SUMIFS(LS[BO UNIT TRANSFER],LS[Investor ID],INVESTORS_LIST[[#This Row],[INVESTOR CODE]],LS[B/S],"B")</f>
        <v>0</v>
      </c>
      <c r="W368" s="50">
        <f>SUMIFS(SIP[BO UNIT TRANSFER],SIP[Investor ID],INVESTORS_LIST[[#This Row],[INVESTOR CODE]],SIP[B/S],"B")</f>
        <v>0</v>
      </c>
      <c r="X368" s="50">
        <f>SUMIFS(LS[BO UNIT TRANSFER],LS[Investor ID],INVESTORS_LIST[[#This Row],[INVESTOR CODE]],LS[B/S],"S")</f>
        <v>0</v>
      </c>
      <c r="Y368" s="50">
        <f>SUMIFS(SIP[BO UNIT TRANSFER],SIP[Investor ID],INVESTORS_LIST[[#This Row],[INVESTOR CODE]],SIP[B/S],"S")</f>
        <v>0</v>
      </c>
      <c r="Z368" s="106">
        <f>SUM(INVESTORS_LIST[[#This Row],[BO OPENING BALANCE]:[BO SIP UNITS REPURCHASE]])</f>
        <v>0</v>
      </c>
      <c r="AA368" s="107">
        <f>INVESTORS_LIST[[#This Row],[TOTAL UNITS BUY]]-INVESTORS_LIST[[#This Row],[TOTAL UNITS SOLD]]</f>
        <v>0</v>
      </c>
      <c r="AB368" s="107">
        <f>INVESTORS_LIST[[#This Row],[TOTAL CURRENT UNITS]]-INVESTORS_LIST[[#This Row],[BO UNITS HOLD]]</f>
        <v>0</v>
      </c>
      <c r="AC368" s="201" t="e">
        <f>INDEX([3]!Table_1[BO ID],MATCH(INVESTORS_LIST[[#This Row],[INVESTOR CODE]],[3]!Table_1[INVESTOR CODE],0))</f>
        <v>#REF!</v>
      </c>
      <c r="AD368" s="201" t="e">
        <f>INDEX([3]!Table_1[Brokerage Name2],MATCH(INVESTORS_LIST[[#This Row],[INVESTOR CODE]],[3]!Table_1[INVESTOR CODE],0))</f>
        <v>#REF!</v>
      </c>
      <c r="AE368" s="201" t="e">
        <f>MID(INVESTORS_LIST[[#This Row],[BO ID]],4,5)</f>
        <v>#REF!</v>
      </c>
      <c r="AF368" s="201" t="e">
        <f>MID(INVESTORS_LIST[[#This Row],[BO ID]],2,7)</f>
        <v>#REF!</v>
      </c>
      <c r="AG368" s="201" t="e">
        <f>MID(INVESTORS_LIST[[#This Row],[BO ID]],9,7)</f>
        <v>#REF!</v>
      </c>
      <c r="AH368" s="201" t="e">
        <f>RIGHT(INVESTORS_LIST[[#This Row],[BO ID]],1)</f>
        <v>#REF!</v>
      </c>
      <c r="AI368" s="50">
        <f>INVESTORS_LIST[[#This Row],[LS_TOTAL COST VALUE OF CURRENT UNITS]]+INVESTORS_LIST[[#This Row],[SIP_TOTAL COST VALUE OF CURRENT UNITS]]</f>
        <v>0</v>
      </c>
      <c r="AJ368" s="109">
        <f>IF(INVESTORS_LIST[[#This Row],[TOTAL CURRENT UNITS]]=0,0,INVESTORS_LIST[[#This Row],[LS_TOTAL CURRENT UNITS]]/INVESTORS_LIST[[#This Row],[TOTAL CURRENT UNITS]])</f>
        <v>0</v>
      </c>
      <c r="AK368" s="109">
        <f>IF(INVESTORS_LIST[[#This Row],[TOTAL CURRENT UNITS]]=0,0,INVESTORS_LIST[[#This Row],[SIP_TOTAL CURRENT UNITS]]/INVESTORS_LIST[[#This Row],[TOTAL CURRENT UNITS]])</f>
        <v>0</v>
      </c>
      <c r="AL368" s="49" cm="1">
        <f t="array" ref="AL3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8" s="49" cm="1">
        <f t="array" ref="AM3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6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68" s="105">
        <f t="shared" si="6"/>
        <v>14.224</v>
      </c>
      <c r="AP368" s="112">
        <f>IF(INVESTORS_LIST[[#This Row],[TOTAL CURRENT UNITS]]=0,0,INVESTORS_LIST[[#This Row],[TOTAL CURRENT UNITS]]*INVESTORS_LIST[[#This Row],[NAV]])</f>
        <v>0</v>
      </c>
      <c r="AQ368" s="49">
        <f>IF(INVESTORS_LIST[[#This Row],[LS_TOTAL CURRENT UNITS]]=0,0,INVESTORS_LIST[[#This Row],[LS_TOTAL CURRENT UNITS]]*INVESTORS_LIST[[#This Row],[NAV]])</f>
        <v>0</v>
      </c>
      <c r="AR368" s="48">
        <f>IF(INVESTORS_LIST[[#This Row],[SIP_TOTAL CURRENT UNITS]]=0,0,INVESTORS_LIST[[#This Row],[SIP_TOTAL CURRENT UNITS]]*INVESTORS_LIST[[#This Row],[NAV]])</f>
        <v>0</v>
      </c>
      <c r="AS368" s="50">
        <f>INVESTORS_LIST[[#This Row],[TOTAL CURRENT UNITS]]</f>
        <v>0</v>
      </c>
      <c r="AT368" s="48">
        <f>IF(INVESTORS_LIST[[#This Row],[TOTAL SELLABLE UNITS]]=0,0,INVESTORS_LIST[[#This Row],[TOTAL SELLABLE UNITS]]*INVESTORS_LIST[[#This Row],[NAV]])</f>
        <v>0</v>
      </c>
      <c r="AU368" s="48">
        <f>INVESTORS_LIST[[#This Row],[LS_TOTAL REALIZED GAIN]]+INVESTORS_LIST[[#This Row],[SIP_TOTAL REALIZED GAIN]]</f>
        <v>0</v>
      </c>
      <c r="AV368" s="48">
        <f>INVESTORS_LIST[[#This Row],[TOTAL MARKET VALUE]]-INVESTORS_LIST[[#This Row],[TOTAL COST VALUE OF CURRENT INVESTMENT]]</f>
        <v>0</v>
      </c>
      <c r="AW368" s="48">
        <f>IFERROR(INVESTORS_LIST[[#This Row],[TOTAL CURRENT UNITS]]/SUM(INVESTORS_LIST[TOTAL CURRENT UNITS]),0)</f>
        <v>0</v>
      </c>
    </row>
    <row r="369" spans="1:49">
      <c r="A369" s="262" t="s">
        <v>785</v>
      </c>
      <c r="B369" s="97" t="s">
        <v>786</v>
      </c>
      <c r="C369" t="s">
        <v>44</v>
      </c>
      <c r="D369" s="75" t="s">
        <v>45</v>
      </c>
      <c r="E369" s="47">
        <f>SUMIFS(LS[Unit],LS[Investor ID],INVESTORS_LIST[[#This Row],[INVESTOR CODE]],LS[B/S],"B")</f>
        <v>0</v>
      </c>
      <c r="F369" s="47">
        <f>-SUMIFS(LS[Unit],LS[Investor ID],INVESTORS_LIST[[#This Row],[INVESTOR CODE]],LS[B/S],"S")</f>
        <v>0</v>
      </c>
      <c r="G369" s="47">
        <f>IF(INVESTORS_LIST[[#This Row],[LS_TOTAL UNITS BUY]]=0,0,INVESTORS_LIST[[#This Row],[LS_TOTAL UNITS BUY]]-INVESTORS_LIST[[#This Row],[LS_TOTAL UNITS SOLD]])</f>
        <v>0</v>
      </c>
      <c r="H369" s="49">
        <f>IF(INVESTORS_LIST[[#This Row],[LS_TOTAL UNITS BUY]]=0,0,SUMIFS(LS[Amount],LS[Investor ID],INVESTORS_LIST[[#This Row],[INVESTOR CODE]],LS[B/S],"B"))</f>
        <v>0</v>
      </c>
      <c r="I369" s="48">
        <f>IF(INVESTORS_LIST[[#This Row],[LS_TOTAL UNITS SOLD]]=0,0,SUMIFS(LS[Cost of Units Sold],LS[Investor ID],INVESTORS_LIST[[#This Row],[INVESTOR CODE]],LS[B/S],"S"))</f>
        <v>0</v>
      </c>
      <c r="J369" s="48">
        <f>IF(INVESTORS_LIST[[#This Row],[LS_TOTAL CURRENT UNITS]]=0,0,INVESTORS_LIST[[#This Row],[LS_TOTAL CURRENT UNITS]]*INVESTORS_LIST[[#This Row],[LS_AVERAGE COST]])</f>
        <v>0</v>
      </c>
      <c r="K369" s="49">
        <f>IF(INVESTORS_LIST[[#This Row],[LS_TOTAL UNITS SOLD]]=0,0,SUMIFS(LS[Realized Gain],LS[Investor ID],INVESTORS_LIST[[#This Row],[INVESTOR CODE]],LS[B/S],"S"))</f>
        <v>0</v>
      </c>
      <c r="L369" s="47">
        <f>SUMIFS(SIP[Unit],SIP[Investor ID],INVESTORS_LIST[[#This Row],[INVESTOR CODE]],SIP[B/S],"B")</f>
        <v>21100</v>
      </c>
      <c r="M369" s="47">
        <f>-SUMIFS(SIP[Unit],SIP[Investor ID],INVESTORS_LIST[[#This Row],[INVESTOR CODE]],SIP[B/S],"S")</f>
        <v>0</v>
      </c>
      <c r="N369" s="50">
        <f>IF(INVESTORS_LIST[[#This Row],[SIP_TOTAL UNITS BUY]]=0,0,INVESTORS_LIST[[#This Row],[SIP_TOTAL UNITS BUY]]-INVESTORS_LIST[[#This Row],[SIP_TOTAL UNITS SOLD]])</f>
        <v>21100</v>
      </c>
      <c r="O369" s="49">
        <f>IF(INVESTORS_LIST[[#This Row],[SIP_TOTAL UNITS BUY]]=0,0,SUMIFS(SIP[Amount],SIP[Investor ID],INVESTORS_LIST[[#This Row],[INVESTOR CODE]],SIP[B/S],"B"))</f>
        <v>270000</v>
      </c>
      <c r="P369" s="49">
        <f>IF(INVESTORS_LIST[[#This Row],[SIP_TOTAL UNITS SOLD]]=0,0,SUMIFS(SIP[Cost of Units Sold],SIP[Investor ID],INVESTORS_LIST[[#This Row],[INVESTOR CODE]],SIP[B/S],"S"))</f>
        <v>0</v>
      </c>
      <c r="Q369" s="48">
        <f>IF(INVESTORS_LIST[[#This Row],[SIP_TOTAL CURRENT UNITS]]=0,0,INVESTORS_LIST[[#This Row],[SIP_TOTAL CURRENT UNITS]]*INVESTORS_LIST[[#This Row],[SIP_AVERAGE COST]])</f>
        <v>269999.99999999994</v>
      </c>
      <c r="R369" s="48">
        <f>IF(INVESTORS_LIST[[#This Row],[SIP_TOTAL UNITS SOLD]]=0,0,SUMIFS(SIP[Realized Gain],SIP[Investor ID],INVESTORS_LIST[[#This Row],[INVESTOR CODE]],SIP[B/S],"S"))</f>
        <v>0</v>
      </c>
      <c r="S369" s="50">
        <f>INVESTORS_LIST[[#This Row],[LS_TOTAL UNITS BUY]]+INVESTORS_LIST[[#This Row],[SIP_TOTAL UNITS BUY]]</f>
        <v>21100</v>
      </c>
      <c r="T369" s="50">
        <f>INVESTORS_LIST[[#This Row],[LS_TOTAL UNITS SOLD]]+INVESTORS_LIST[[#This Row],[SIP_TOTAL UNITS SOLD]]</f>
        <v>0</v>
      </c>
      <c r="U369" s="50">
        <v>11140</v>
      </c>
      <c r="V369" s="50">
        <f>SUMIFS(LS[BO UNIT TRANSFER],LS[Investor ID],INVESTORS_LIST[[#This Row],[INVESTOR CODE]],LS[B/S],"B")</f>
        <v>0</v>
      </c>
      <c r="W369" s="50">
        <f>SUMIFS(SIP[BO UNIT TRANSFER],SIP[Investor ID],INVESTORS_LIST[[#This Row],[INVESTOR CODE]],SIP[B/S],"B")</f>
        <v>8901</v>
      </c>
      <c r="X369" s="50">
        <f>SUMIFS(LS[BO UNIT TRANSFER],LS[Investor ID],INVESTORS_LIST[[#This Row],[INVESTOR CODE]],LS[B/S],"S")</f>
        <v>0</v>
      </c>
      <c r="Y369" s="50">
        <f>SUMIFS(SIP[BO UNIT TRANSFER],SIP[Investor ID],INVESTORS_LIST[[#This Row],[INVESTOR CODE]],SIP[B/S],"S")</f>
        <v>0</v>
      </c>
      <c r="Z369" s="106">
        <f>SUM(INVESTORS_LIST[[#This Row],[BO OPENING BALANCE]:[BO SIP UNITS REPURCHASE]])</f>
        <v>20041</v>
      </c>
      <c r="AA369" s="107">
        <f>INVESTORS_LIST[[#This Row],[TOTAL UNITS BUY]]-INVESTORS_LIST[[#This Row],[TOTAL UNITS SOLD]]</f>
        <v>21100</v>
      </c>
      <c r="AB369" s="107">
        <f>INVESTORS_LIST[[#This Row],[TOTAL CURRENT UNITS]]-INVESTORS_LIST[[#This Row],[BO UNITS HOLD]]</f>
        <v>1059</v>
      </c>
      <c r="AC369" s="201" t="e">
        <f>INDEX([3]!Table_1[BO ID],MATCH(INVESTORS_LIST[[#This Row],[INVESTOR CODE]],[3]!Table_1[INVESTOR CODE],0))</f>
        <v>#REF!</v>
      </c>
      <c r="AD369" s="201" t="e">
        <f>INDEX([3]!Table_1[Brokerage Name2],MATCH(INVESTORS_LIST[[#This Row],[INVESTOR CODE]],[3]!Table_1[INVESTOR CODE],0))</f>
        <v>#REF!</v>
      </c>
      <c r="AE369" s="201" t="e">
        <f>MID(INVESTORS_LIST[[#This Row],[BO ID]],4,5)</f>
        <v>#REF!</v>
      </c>
      <c r="AF369" s="201" t="e">
        <f>MID(INVESTORS_LIST[[#This Row],[BO ID]],2,7)</f>
        <v>#REF!</v>
      </c>
      <c r="AG369" s="201" t="e">
        <f>MID(INVESTORS_LIST[[#This Row],[BO ID]],9,7)</f>
        <v>#REF!</v>
      </c>
      <c r="AH369" s="201" t="e">
        <f>RIGHT(INVESTORS_LIST[[#This Row],[BO ID]],1)</f>
        <v>#REF!</v>
      </c>
      <c r="AI369" s="50">
        <f>INVESTORS_LIST[[#This Row],[LS_TOTAL COST VALUE OF CURRENT UNITS]]+INVESTORS_LIST[[#This Row],[SIP_TOTAL COST VALUE OF CURRENT UNITS]]</f>
        <v>269999.99999999994</v>
      </c>
      <c r="AJ369" s="109">
        <f>IF(INVESTORS_LIST[[#This Row],[TOTAL CURRENT UNITS]]=0,0,INVESTORS_LIST[[#This Row],[LS_TOTAL CURRENT UNITS]]/INVESTORS_LIST[[#This Row],[TOTAL CURRENT UNITS]])</f>
        <v>0</v>
      </c>
      <c r="AK369" s="109">
        <f>IF(INVESTORS_LIST[[#This Row],[TOTAL CURRENT UNITS]]=0,0,INVESTORS_LIST[[#This Row],[SIP_TOTAL CURRENT UNITS]]/INVESTORS_LIST[[#This Row],[TOTAL CURRENT UNITS]])</f>
        <v>1</v>
      </c>
      <c r="AL369" s="49" cm="1">
        <f t="array" ref="AL3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69" s="49" cm="1">
        <f t="array" ref="AM369">IF(INVESTORS_LIST[[#This Row],[SIP_TOTAL UNITS BUY]]&gt;0,INDEX(SIP[NAV at Cost (Average)],MATCH(CONCATENATE(COUNTIFS(SIP[Investor ID],INVESTORS_LIST[[#This Row],[INVESTOR CODE]]),INVESTORS_LIST[[#This Row],[INVESTOR CODE]]),SIP[Unique Code],0),),0)</f>
        <v>12.796208530805686</v>
      </c>
      <c r="AN369" s="105">
        <f>IF(INVESTORS_LIST[[#This Row],[TOTAL CURRENT UNITS]]=0,0,(INVESTORS_LIST[[#This Row],[LS_WEIGHT]]*INVESTORS_LIST[[#This Row],[LS_AVERAGE COST]])+(INVESTORS_LIST[[#This Row],[SIP_WEIGHT]]*INVESTORS_LIST[[#This Row],[SIP_AVERAGE COST]]))</f>
        <v>12.796208530805686</v>
      </c>
      <c r="AO369" s="105">
        <f t="shared" si="6"/>
        <v>14.224</v>
      </c>
      <c r="AP369" s="112">
        <f>IF(INVESTORS_LIST[[#This Row],[TOTAL CURRENT UNITS]]=0,0,INVESTORS_LIST[[#This Row],[TOTAL CURRENT UNITS]]*INVESTORS_LIST[[#This Row],[NAV]])</f>
        <v>300126.40000000002</v>
      </c>
      <c r="AQ369" s="49">
        <f>IF(INVESTORS_LIST[[#This Row],[LS_TOTAL CURRENT UNITS]]=0,0,INVESTORS_LIST[[#This Row],[LS_TOTAL CURRENT UNITS]]*INVESTORS_LIST[[#This Row],[NAV]])</f>
        <v>0</v>
      </c>
      <c r="AR369" s="48">
        <f>IF(INVESTORS_LIST[[#This Row],[SIP_TOTAL CURRENT UNITS]]=0,0,INVESTORS_LIST[[#This Row],[SIP_TOTAL CURRENT UNITS]]*INVESTORS_LIST[[#This Row],[NAV]])</f>
        <v>300126.40000000002</v>
      </c>
      <c r="AS369" s="50">
        <f>INVESTORS_LIST[[#This Row],[TOTAL CURRENT UNITS]]</f>
        <v>21100</v>
      </c>
      <c r="AT369" s="48">
        <f>IF(INVESTORS_LIST[[#This Row],[TOTAL SELLABLE UNITS]]=0,0,INVESTORS_LIST[[#This Row],[TOTAL SELLABLE UNITS]]*INVESTORS_LIST[[#This Row],[NAV]])</f>
        <v>300126.40000000002</v>
      </c>
      <c r="AU369" s="48">
        <f>INVESTORS_LIST[[#This Row],[LS_TOTAL REALIZED GAIN]]+INVESTORS_LIST[[#This Row],[SIP_TOTAL REALIZED GAIN]]</f>
        <v>0</v>
      </c>
      <c r="AV369" s="48">
        <f>INVESTORS_LIST[[#This Row],[TOTAL MARKET VALUE]]-INVESTORS_LIST[[#This Row],[TOTAL COST VALUE OF CURRENT INVESTMENT]]</f>
        <v>30126.400000000081</v>
      </c>
      <c r="AW369" s="48">
        <f>IFERROR(INVESTORS_LIST[[#This Row],[TOTAL CURRENT UNITS]]/SUM(INVESTORS_LIST[TOTAL CURRENT UNITS]),0)</f>
        <v>5.1222798660778719E-4</v>
      </c>
    </row>
    <row r="370" spans="1:49" hidden="1">
      <c r="A370" s="262" t="s">
        <v>787</v>
      </c>
      <c r="B370" s="97" t="s">
        <v>788</v>
      </c>
      <c r="C370" t="s">
        <v>44</v>
      </c>
      <c r="D370" s="75" t="s">
        <v>45</v>
      </c>
      <c r="E370" s="47">
        <f>SUMIFS(LS[Unit],LS[Investor ID],INVESTORS_LIST[[#This Row],[INVESTOR CODE]],LS[B/S],"B")</f>
        <v>0</v>
      </c>
      <c r="F370" s="47">
        <f>-SUMIFS(LS[Unit],LS[Investor ID],INVESTORS_LIST[[#This Row],[INVESTOR CODE]],LS[B/S],"S")</f>
        <v>0</v>
      </c>
      <c r="G370" s="47">
        <f>IF(INVESTORS_LIST[[#This Row],[LS_TOTAL UNITS BUY]]=0,0,INVESTORS_LIST[[#This Row],[LS_TOTAL UNITS BUY]]-INVESTORS_LIST[[#This Row],[LS_TOTAL UNITS SOLD]])</f>
        <v>0</v>
      </c>
      <c r="H370" s="49">
        <f>IF(INVESTORS_LIST[[#This Row],[LS_TOTAL UNITS BUY]]=0,0,SUMIFS(LS[Amount],LS[Investor ID],INVESTORS_LIST[[#This Row],[INVESTOR CODE]],LS[B/S],"B"))</f>
        <v>0</v>
      </c>
      <c r="I370" s="48">
        <f>IF(INVESTORS_LIST[[#This Row],[LS_TOTAL UNITS SOLD]]=0,0,SUMIFS(LS[Cost of Units Sold],LS[Investor ID],INVESTORS_LIST[[#This Row],[INVESTOR CODE]],LS[B/S],"S"))</f>
        <v>0</v>
      </c>
      <c r="J370" s="48">
        <f>IF(INVESTORS_LIST[[#This Row],[LS_TOTAL CURRENT UNITS]]=0,0,INVESTORS_LIST[[#This Row],[LS_TOTAL CURRENT UNITS]]*INVESTORS_LIST[[#This Row],[LS_AVERAGE COST]])</f>
        <v>0</v>
      </c>
      <c r="K370" s="49">
        <f>IF(INVESTORS_LIST[[#This Row],[LS_TOTAL UNITS SOLD]]=0,0,SUMIFS(LS[Realized Gain],LS[Investor ID],INVESTORS_LIST[[#This Row],[INVESTOR CODE]],LS[B/S],"S"))</f>
        <v>0</v>
      </c>
      <c r="L370" s="47">
        <f>SUMIFS(SIP[Unit],SIP[Investor ID],INVESTORS_LIST[[#This Row],[INVESTOR CODE]],SIP[B/S],"B")</f>
        <v>0</v>
      </c>
      <c r="M370" s="47">
        <f>-SUMIFS(SIP[Unit],SIP[Investor ID],INVESTORS_LIST[[#This Row],[INVESTOR CODE]],SIP[B/S],"S")</f>
        <v>0</v>
      </c>
      <c r="N370" s="50">
        <f>IF(INVESTORS_LIST[[#This Row],[SIP_TOTAL UNITS BUY]]=0,0,INVESTORS_LIST[[#This Row],[SIP_TOTAL UNITS BUY]]-INVESTORS_LIST[[#This Row],[SIP_TOTAL UNITS SOLD]])</f>
        <v>0</v>
      </c>
      <c r="O370" s="49">
        <f>IF(INVESTORS_LIST[[#This Row],[SIP_TOTAL UNITS BUY]]=0,0,SUMIFS(SIP[Amount],SIP[Investor ID],INVESTORS_LIST[[#This Row],[INVESTOR CODE]],SIP[B/S],"B"))</f>
        <v>0</v>
      </c>
      <c r="P370" s="49">
        <f>IF(INVESTORS_LIST[[#This Row],[SIP_TOTAL UNITS SOLD]]=0,0,SUMIFS(SIP[Cost of Units Sold],SIP[Investor ID],INVESTORS_LIST[[#This Row],[INVESTOR CODE]],SIP[B/S],"S"))</f>
        <v>0</v>
      </c>
      <c r="Q370" s="48">
        <f>IF(INVESTORS_LIST[[#This Row],[SIP_TOTAL CURRENT UNITS]]=0,0,INVESTORS_LIST[[#This Row],[SIP_TOTAL CURRENT UNITS]]*INVESTORS_LIST[[#This Row],[SIP_AVERAGE COST]])</f>
        <v>0</v>
      </c>
      <c r="R370" s="48">
        <f>IF(INVESTORS_LIST[[#This Row],[SIP_TOTAL UNITS SOLD]]=0,0,SUMIFS(SIP[Realized Gain],SIP[Investor ID],INVESTORS_LIST[[#This Row],[INVESTOR CODE]],SIP[B/S],"S"))</f>
        <v>0</v>
      </c>
      <c r="S370" s="50">
        <f>INVESTORS_LIST[[#This Row],[LS_TOTAL UNITS BUY]]+INVESTORS_LIST[[#This Row],[SIP_TOTAL UNITS BUY]]</f>
        <v>0</v>
      </c>
      <c r="T370" s="50">
        <f>INVESTORS_LIST[[#This Row],[LS_TOTAL UNITS SOLD]]+INVESTORS_LIST[[#This Row],[SIP_TOTAL UNITS SOLD]]</f>
        <v>0</v>
      </c>
      <c r="U370" s="50"/>
      <c r="V370" s="50">
        <f>SUMIFS(LS[BO UNIT TRANSFER],LS[Investor ID],INVESTORS_LIST[[#This Row],[INVESTOR CODE]],LS[B/S],"B")</f>
        <v>0</v>
      </c>
      <c r="W370" s="50">
        <f>SUMIFS(SIP[BO UNIT TRANSFER],SIP[Investor ID],INVESTORS_LIST[[#This Row],[INVESTOR CODE]],SIP[B/S],"B")</f>
        <v>0</v>
      </c>
      <c r="X370" s="50">
        <f>SUMIFS(LS[BO UNIT TRANSFER],LS[Investor ID],INVESTORS_LIST[[#This Row],[INVESTOR CODE]],LS[B/S],"S")</f>
        <v>0</v>
      </c>
      <c r="Y370" s="50">
        <f>SUMIFS(SIP[BO UNIT TRANSFER],SIP[Investor ID],INVESTORS_LIST[[#This Row],[INVESTOR CODE]],SIP[B/S],"S")</f>
        <v>0</v>
      </c>
      <c r="Z370" s="106">
        <f>SUM(INVESTORS_LIST[[#This Row],[BO OPENING BALANCE]:[BO SIP UNITS REPURCHASE]])</f>
        <v>0</v>
      </c>
      <c r="AA370" s="107">
        <f>INVESTORS_LIST[[#This Row],[TOTAL UNITS BUY]]-INVESTORS_LIST[[#This Row],[TOTAL UNITS SOLD]]</f>
        <v>0</v>
      </c>
      <c r="AB370" s="107">
        <f>INVESTORS_LIST[[#This Row],[TOTAL CURRENT UNITS]]-INVESTORS_LIST[[#This Row],[BO UNITS HOLD]]</f>
        <v>0</v>
      </c>
      <c r="AC370" s="201" t="e">
        <f>INDEX([3]!Table_1[BO ID],MATCH(INVESTORS_LIST[[#This Row],[INVESTOR CODE]],[3]!Table_1[INVESTOR CODE],0))</f>
        <v>#REF!</v>
      </c>
      <c r="AD370" s="201" t="e">
        <f>INDEX([3]!Table_1[Brokerage Name2],MATCH(INVESTORS_LIST[[#This Row],[INVESTOR CODE]],[3]!Table_1[INVESTOR CODE],0))</f>
        <v>#REF!</v>
      </c>
      <c r="AE370" s="201" t="e">
        <f>MID(INVESTORS_LIST[[#This Row],[BO ID]],4,5)</f>
        <v>#REF!</v>
      </c>
      <c r="AF370" s="201" t="e">
        <f>MID(INVESTORS_LIST[[#This Row],[BO ID]],2,7)</f>
        <v>#REF!</v>
      </c>
      <c r="AG370" s="201" t="e">
        <f>MID(INVESTORS_LIST[[#This Row],[BO ID]],9,7)</f>
        <v>#REF!</v>
      </c>
      <c r="AH370" s="201" t="e">
        <f>RIGHT(INVESTORS_LIST[[#This Row],[BO ID]],1)</f>
        <v>#REF!</v>
      </c>
      <c r="AI370" s="50">
        <f>INVESTORS_LIST[[#This Row],[LS_TOTAL COST VALUE OF CURRENT UNITS]]+INVESTORS_LIST[[#This Row],[SIP_TOTAL COST VALUE OF CURRENT UNITS]]</f>
        <v>0</v>
      </c>
      <c r="AJ370" s="109">
        <f>IF(INVESTORS_LIST[[#This Row],[TOTAL CURRENT UNITS]]=0,0,INVESTORS_LIST[[#This Row],[LS_TOTAL CURRENT UNITS]]/INVESTORS_LIST[[#This Row],[TOTAL CURRENT UNITS]])</f>
        <v>0</v>
      </c>
      <c r="AK370" s="109">
        <f>IF(INVESTORS_LIST[[#This Row],[TOTAL CURRENT UNITS]]=0,0,INVESTORS_LIST[[#This Row],[SIP_TOTAL CURRENT UNITS]]/INVESTORS_LIST[[#This Row],[TOTAL CURRENT UNITS]])</f>
        <v>0</v>
      </c>
      <c r="AL370" s="49" cm="1">
        <f t="array" ref="AL3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0" s="49" cm="1">
        <f t="array" ref="AM3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0" s="105">
        <f t="shared" si="6"/>
        <v>14.224</v>
      </c>
      <c r="AP370" s="112">
        <f>IF(INVESTORS_LIST[[#This Row],[TOTAL CURRENT UNITS]]=0,0,INVESTORS_LIST[[#This Row],[TOTAL CURRENT UNITS]]*INVESTORS_LIST[[#This Row],[NAV]])</f>
        <v>0</v>
      </c>
      <c r="AQ370" s="49">
        <f>IF(INVESTORS_LIST[[#This Row],[LS_TOTAL CURRENT UNITS]]=0,0,INVESTORS_LIST[[#This Row],[LS_TOTAL CURRENT UNITS]]*INVESTORS_LIST[[#This Row],[NAV]])</f>
        <v>0</v>
      </c>
      <c r="AR370" s="48">
        <f>IF(INVESTORS_LIST[[#This Row],[SIP_TOTAL CURRENT UNITS]]=0,0,INVESTORS_LIST[[#This Row],[SIP_TOTAL CURRENT UNITS]]*INVESTORS_LIST[[#This Row],[NAV]])</f>
        <v>0</v>
      </c>
      <c r="AS370" s="50">
        <f>INVESTORS_LIST[[#This Row],[TOTAL CURRENT UNITS]]</f>
        <v>0</v>
      </c>
      <c r="AT370" s="48">
        <f>IF(INVESTORS_LIST[[#This Row],[TOTAL SELLABLE UNITS]]=0,0,INVESTORS_LIST[[#This Row],[TOTAL SELLABLE UNITS]]*INVESTORS_LIST[[#This Row],[NAV]])</f>
        <v>0</v>
      </c>
      <c r="AU370" s="48">
        <f>INVESTORS_LIST[[#This Row],[LS_TOTAL REALIZED GAIN]]+INVESTORS_LIST[[#This Row],[SIP_TOTAL REALIZED GAIN]]</f>
        <v>0</v>
      </c>
      <c r="AV370" s="48">
        <f>INVESTORS_LIST[[#This Row],[TOTAL MARKET VALUE]]-INVESTORS_LIST[[#This Row],[TOTAL COST VALUE OF CURRENT INVESTMENT]]</f>
        <v>0</v>
      </c>
      <c r="AW370" s="48">
        <f>IFERROR(INVESTORS_LIST[[#This Row],[TOTAL CURRENT UNITS]]/SUM(INVESTORS_LIST[TOTAL CURRENT UNITS]),0)</f>
        <v>0</v>
      </c>
    </row>
    <row r="371" spans="1:49" hidden="1">
      <c r="A371" s="262" t="s">
        <v>789</v>
      </c>
      <c r="B371" s="97" t="s">
        <v>790</v>
      </c>
      <c r="C371" t="s">
        <v>44</v>
      </c>
      <c r="D371" s="75" t="s">
        <v>45</v>
      </c>
      <c r="E371" s="47">
        <f>SUMIFS(LS[Unit],LS[Investor ID],INVESTORS_LIST[[#This Row],[INVESTOR CODE]],LS[B/S],"B")</f>
        <v>0</v>
      </c>
      <c r="F371" s="47">
        <f>-SUMIFS(LS[Unit],LS[Investor ID],INVESTORS_LIST[[#This Row],[INVESTOR CODE]],LS[B/S],"S")</f>
        <v>0</v>
      </c>
      <c r="G371" s="47">
        <f>IF(INVESTORS_LIST[[#This Row],[LS_TOTAL UNITS BUY]]=0,0,INVESTORS_LIST[[#This Row],[LS_TOTAL UNITS BUY]]-INVESTORS_LIST[[#This Row],[LS_TOTAL UNITS SOLD]])</f>
        <v>0</v>
      </c>
      <c r="H371" s="49">
        <f>IF(INVESTORS_LIST[[#This Row],[LS_TOTAL UNITS BUY]]=0,0,SUMIFS(LS[Amount],LS[Investor ID],INVESTORS_LIST[[#This Row],[INVESTOR CODE]],LS[B/S],"B"))</f>
        <v>0</v>
      </c>
      <c r="I371" s="48">
        <f>IF(INVESTORS_LIST[[#This Row],[LS_TOTAL UNITS SOLD]]=0,0,SUMIFS(LS[Cost of Units Sold],LS[Investor ID],INVESTORS_LIST[[#This Row],[INVESTOR CODE]],LS[B/S],"S"))</f>
        <v>0</v>
      </c>
      <c r="J371" s="48">
        <f>IF(INVESTORS_LIST[[#This Row],[LS_TOTAL CURRENT UNITS]]=0,0,INVESTORS_LIST[[#This Row],[LS_TOTAL CURRENT UNITS]]*INVESTORS_LIST[[#This Row],[LS_AVERAGE COST]])</f>
        <v>0</v>
      </c>
      <c r="K371" s="49">
        <f>IF(INVESTORS_LIST[[#This Row],[LS_TOTAL UNITS SOLD]]=0,0,SUMIFS(LS[Realized Gain],LS[Investor ID],INVESTORS_LIST[[#This Row],[INVESTOR CODE]],LS[B/S],"S"))</f>
        <v>0</v>
      </c>
      <c r="L371" s="47">
        <f>SUMIFS(SIP[Unit],SIP[Investor ID],INVESTORS_LIST[[#This Row],[INVESTOR CODE]],SIP[B/S],"B")</f>
        <v>0</v>
      </c>
      <c r="M371" s="47">
        <f>-SUMIFS(SIP[Unit],SIP[Investor ID],INVESTORS_LIST[[#This Row],[INVESTOR CODE]],SIP[B/S],"S")</f>
        <v>0</v>
      </c>
      <c r="N371" s="50">
        <f>IF(INVESTORS_LIST[[#This Row],[SIP_TOTAL UNITS BUY]]=0,0,INVESTORS_LIST[[#This Row],[SIP_TOTAL UNITS BUY]]-INVESTORS_LIST[[#This Row],[SIP_TOTAL UNITS SOLD]])</f>
        <v>0</v>
      </c>
      <c r="O371" s="49">
        <f>IF(INVESTORS_LIST[[#This Row],[SIP_TOTAL UNITS BUY]]=0,0,SUMIFS(SIP[Amount],SIP[Investor ID],INVESTORS_LIST[[#This Row],[INVESTOR CODE]],SIP[B/S],"B"))</f>
        <v>0</v>
      </c>
      <c r="P371" s="49">
        <f>IF(INVESTORS_LIST[[#This Row],[SIP_TOTAL UNITS SOLD]]=0,0,SUMIFS(SIP[Cost of Units Sold],SIP[Investor ID],INVESTORS_LIST[[#This Row],[INVESTOR CODE]],SIP[B/S],"S"))</f>
        <v>0</v>
      </c>
      <c r="Q371" s="48">
        <f>IF(INVESTORS_LIST[[#This Row],[SIP_TOTAL CURRENT UNITS]]=0,0,INVESTORS_LIST[[#This Row],[SIP_TOTAL CURRENT UNITS]]*INVESTORS_LIST[[#This Row],[SIP_AVERAGE COST]])</f>
        <v>0</v>
      </c>
      <c r="R371" s="48">
        <f>IF(INVESTORS_LIST[[#This Row],[SIP_TOTAL UNITS SOLD]]=0,0,SUMIFS(SIP[Realized Gain],SIP[Investor ID],INVESTORS_LIST[[#This Row],[INVESTOR CODE]],SIP[B/S],"S"))</f>
        <v>0</v>
      </c>
      <c r="S371" s="50">
        <f>INVESTORS_LIST[[#This Row],[LS_TOTAL UNITS BUY]]+INVESTORS_LIST[[#This Row],[SIP_TOTAL UNITS BUY]]</f>
        <v>0</v>
      </c>
      <c r="T371" s="50">
        <f>INVESTORS_LIST[[#This Row],[LS_TOTAL UNITS SOLD]]+INVESTORS_LIST[[#This Row],[SIP_TOTAL UNITS SOLD]]</f>
        <v>0</v>
      </c>
      <c r="U371" s="50"/>
      <c r="V371" s="50">
        <f>SUMIFS(LS[BO UNIT TRANSFER],LS[Investor ID],INVESTORS_LIST[[#This Row],[INVESTOR CODE]],LS[B/S],"B")</f>
        <v>0</v>
      </c>
      <c r="W371" s="50">
        <f>SUMIFS(SIP[BO UNIT TRANSFER],SIP[Investor ID],INVESTORS_LIST[[#This Row],[INVESTOR CODE]],SIP[B/S],"B")</f>
        <v>0</v>
      </c>
      <c r="X371" s="50">
        <f>SUMIFS(LS[BO UNIT TRANSFER],LS[Investor ID],INVESTORS_LIST[[#This Row],[INVESTOR CODE]],LS[B/S],"S")</f>
        <v>0</v>
      </c>
      <c r="Y371" s="50">
        <f>SUMIFS(SIP[BO UNIT TRANSFER],SIP[Investor ID],INVESTORS_LIST[[#This Row],[INVESTOR CODE]],SIP[B/S],"S")</f>
        <v>0</v>
      </c>
      <c r="Z371" s="106">
        <f>SUM(INVESTORS_LIST[[#This Row],[BO OPENING BALANCE]:[BO SIP UNITS REPURCHASE]])</f>
        <v>0</v>
      </c>
      <c r="AA371" s="107">
        <f>INVESTORS_LIST[[#This Row],[TOTAL UNITS BUY]]-INVESTORS_LIST[[#This Row],[TOTAL UNITS SOLD]]</f>
        <v>0</v>
      </c>
      <c r="AB371" s="107">
        <f>INVESTORS_LIST[[#This Row],[TOTAL CURRENT UNITS]]-INVESTORS_LIST[[#This Row],[BO UNITS HOLD]]</f>
        <v>0</v>
      </c>
      <c r="AC371" s="201" t="e">
        <f>INDEX([3]!Table_1[BO ID],MATCH(INVESTORS_LIST[[#This Row],[INVESTOR CODE]],[3]!Table_1[INVESTOR CODE],0))</f>
        <v>#REF!</v>
      </c>
      <c r="AD371" s="201" t="e">
        <f>INDEX([3]!Table_1[Brokerage Name2],MATCH(INVESTORS_LIST[[#This Row],[INVESTOR CODE]],[3]!Table_1[INVESTOR CODE],0))</f>
        <v>#REF!</v>
      </c>
      <c r="AE371" s="201" t="e">
        <f>MID(INVESTORS_LIST[[#This Row],[BO ID]],4,5)</f>
        <v>#REF!</v>
      </c>
      <c r="AF371" s="201" t="e">
        <f>MID(INVESTORS_LIST[[#This Row],[BO ID]],2,7)</f>
        <v>#REF!</v>
      </c>
      <c r="AG371" s="201" t="e">
        <f>MID(INVESTORS_LIST[[#This Row],[BO ID]],9,7)</f>
        <v>#REF!</v>
      </c>
      <c r="AH371" s="201" t="e">
        <f>RIGHT(INVESTORS_LIST[[#This Row],[BO ID]],1)</f>
        <v>#REF!</v>
      </c>
      <c r="AI371" s="50">
        <f>INVESTORS_LIST[[#This Row],[LS_TOTAL COST VALUE OF CURRENT UNITS]]+INVESTORS_LIST[[#This Row],[SIP_TOTAL COST VALUE OF CURRENT UNITS]]</f>
        <v>0</v>
      </c>
      <c r="AJ371" s="109">
        <f>IF(INVESTORS_LIST[[#This Row],[TOTAL CURRENT UNITS]]=0,0,INVESTORS_LIST[[#This Row],[LS_TOTAL CURRENT UNITS]]/INVESTORS_LIST[[#This Row],[TOTAL CURRENT UNITS]])</f>
        <v>0</v>
      </c>
      <c r="AK371" s="109">
        <f>IF(INVESTORS_LIST[[#This Row],[TOTAL CURRENT UNITS]]=0,0,INVESTORS_LIST[[#This Row],[SIP_TOTAL CURRENT UNITS]]/INVESTORS_LIST[[#This Row],[TOTAL CURRENT UNITS]])</f>
        <v>0</v>
      </c>
      <c r="AL371" s="49" cm="1">
        <f t="array" ref="AL3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1" s="49" cm="1">
        <f t="array" ref="AM3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1" s="105">
        <f t="shared" si="6"/>
        <v>14.224</v>
      </c>
      <c r="AP371" s="112">
        <f>IF(INVESTORS_LIST[[#This Row],[TOTAL CURRENT UNITS]]=0,0,INVESTORS_LIST[[#This Row],[TOTAL CURRENT UNITS]]*INVESTORS_LIST[[#This Row],[NAV]])</f>
        <v>0</v>
      </c>
      <c r="AQ371" s="49">
        <f>IF(INVESTORS_LIST[[#This Row],[LS_TOTAL CURRENT UNITS]]=0,0,INVESTORS_LIST[[#This Row],[LS_TOTAL CURRENT UNITS]]*INVESTORS_LIST[[#This Row],[NAV]])</f>
        <v>0</v>
      </c>
      <c r="AR371" s="48">
        <f>IF(INVESTORS_LIST[[#This Row],[SIP_TOTAL CURRENT UNITS]]=0,0,INVESTORS_LIST[[#This Row],[SIP_TOTAL CURRENT UNITS]]*INVESTORS_LIST[[#This Row],[NAV]])</f>
        <v>0</v>
      </c>
      <c r="AS371" s="50">
        <f>INVESTORS_LIST[[#This Row],[TOTAL CURRENT UNITS]]</f>
        <v>0</v>
      </c>
      <c r="AT371" s="48">
        <f>IF(INVESTORS_LIST[[#This Row],[TOTAL SELLABLE UNITS]]=0,0,INVESTORS_LIST[[#This Row],[TOTAL SELLABLE UNITS]]*INVESTORS_LIST[[#This Row],[NAV]])</f>
        <v>0</v>
      </c>
      <c r="AU371" s="48">
        <f>INVESTORS_LIST[[#This Row],[LS_TOTAL REALIZED GAIN]]+INVESTORS_LIST[[#This Row],[SIP_TOTAL REALIZED GAIN]]</f>
        <v>0</v>
      </c>
      <c r="AV371" s="48">
        <f>INVESTORS_LIST[[#This Row],[TOTAL MARKET VALUE]]-INVESTORS_LIST[[#This Row],[TOTAL COST VALUE OF CURRENT INVESTMENT]]</f>
        <v>0</v>
      </c>
      <c r="AW371" s="48">
        <f>IFERROR(INVESTORS_LIST[[#This Row],[TOTAL CURRENT UNITS]]/SUM(INVESTORS_LIST[TOTAL CURRENT UNITS]),0)</f>
        <v>0</v>
      </c>
    </row>
    <row r="372" spans="1:49" hidden="1">
      <c r="A372" s="262" t="s">
        <v>791</v>
      </c>
      <c r="B372" s="97" t="s">
        <v>792</v>
      </c>
      <c r="C372" t="s">
        <v>44</v>
      </c>
      <c r="D372" s="75" t="s">
        <v>45</v>
      </c>
      <c r="E372" s="47">
        <f>SUMIFS(LS[Unit],LS[Investor ID],INVESTORS_LIST[[#This Row],[INVESTOR CODE]],LS[B/S],"B")</f>
        <v>0</v>
      </c>
      <c r="F372" s="47">
        <f>-SUMIFS(LS[Unit],LS[Investor ID],INVESTORS_LIST[[#This Row],[INVESTOR CODE]],LS[B/S],"S")</f>
        <v>0</v>
      </c>
      <c r="G372" s="47">
        <f>IF(INVESTORS_LIST[[#This Row],[LS_TOTAL UNITS BUY]]=0,0,INVESTORS_LIST[[#This Row],[LS_TOTAL UNITS BUY]]-INVESTORS_LIST[[#This Row],[LS_TOTAL UNITS SOLD]])</f>
        <v>0</v>
      </c>
      <c r="H372" s="49">
        <f>IF(INVESTORS_LIST[[#This Row],[LS_TOTAL UNITS BUY]]=0,0,SUMIFS(LS[Amount],LS[Investor ID],INVESTORS_LIST[[#This Row],[INVESTOR CODE]],LS[B/S],"B"))</f>
        <v>0</v>
      </c>
      <c r="I372" s="48">
        <f>IF(INVESTORS_LIST[[#This Row],[LS_TOTAL UNITS SOLD]]=0,0,SUMIFS(LS[Cost of Units Sold],LS[Investor ID],INVESTORS_LIST[[#This Row],[INVESTOR CODE]],LS[B/S],"S"))</f>
        <v>0</v>
      </c>
      <c r="J372" s="48">
        <f>IF(INVESTORS_LIST[[#This Row],[LS_TOTAL CURRENT UNITS]]=0,0,INVESTORS_LIST[[#This Row],[LS_TOTAL CURRENT UNITS]]*INVESTORS_LIST[[#This Row],[LS_AVERAGE COST]])</f>
        <v>0</v>
      </c>
      <c r="K372" s="49">
        <f>IF(INVESTORS_LIST[[#This Row],[LS_TOTAL UNITS SOLD]]=0,0,SUMIFS(LS[Realized Gain],LS[Investor ID],INVESTORS_LIST[[#This Row],[INVESTOR CODE]],LS[B/S],"S"))</f>
        <v>0</v>
      </c>
      <c r="L372" s="47">
        <f>SUMIFS(SIP[Unit],SIP[Investor ID],INVESTORS_LIST[[#This Row],[INVESTOR CODE]],SIP[B/S],"B")</f>
        <v>0</v>
      </c>
      <c r="M372" s="47">
        <f>-SUMIFS(SIP[Unit],SIP[Investor ID],INVESTORS_LIST[[#This Row],[INVESTOR CODE]],SIP[B/S],"S")</f>
        <v>0</v>
      </c>
      <c r="N372" s="50">
        <f>IF(INVESTORS_LIST[[#This Row],[SIP_TOTAL UNITS BUY]]=0,0,INVESTORS_LIST[[#This Row],[SIP_TOTAL UNITS BUY]]-INVESTORS_LIST[[#This Row],[SIP_TOTAL UNITS SOLD]])</f>
        <v>0</v>
      </c>
      <c r="O372" s="49">
        <f>IF(INVESTORS_LIST[[#This Row],[SIP_TOTAL UNITS BUY]]=0,0,SUMIFS(SIP[Amount],SIP[Investor ID],INVESTORS_LIST[[#This Row],[INVESTOR CODE]],SIP[B/S],"B"))</f>
        <v>0</v>
      </c>
      <c r="P372" s="49">
        <f>IF(INVESTORS_LIST[[#This Row],[SIP_TOTAL UNITS SOLD]]=0,0,SUMIFS(SIP[Cost of Units Sold],SIP[Investor ID],INVESTORS_LIST[[#This Row],[INVESTOR CODE]],SIP[B/S],"S"))</f>
        <v>0</v>
      </c>
      <c r="Q372" s="48">
        <f>IF(INVESTORS_LIST[[#This Row],[SIP_TOTAL CURRENT UNITS]]=0,0,INVESTORS_LIST[[#This Row],[SIP_TOTAL CURRENT UNITS]]*INVESTORS_LIST[[#This Row],[SIP_AVERAGE COST]])</f>
        <v>0</v>
      </c>
      <c r="R372" s="48">
        <f>IF(INVESTORS_LIST[[#This Row],[SIP_TOTAL UNITS SOLD]]=0,0,SUMIFS(SIP[Realized Gain],SIP[Investor ID],INVESTORS_LIST[[#This Row],[INVESTOR CODE]],SIP[B/S],"S"))</f>
        <v>0</v>
      </c>
      <c r="S372" s="50">
        <f>INVESTORS_LIST[[#This Row],[LS_TOTAL UNITS BUY]]+INVESTORS_LIST[[#This Row],[SIP_TOTAL UNITS BUY]]</f>
        <v>0</v>
      </c>
      <c r="T372" s="50">
        <f>INVESTORS_LIST[[#This Row],[LS_TOTAL UNITS SOLD]]+INVESTORS_LIST[[#This Row],[SIP_TOTAL UNITS SOLD]]</f>
        <v>0</v>
      </c>
      <c r="U372" s="50"/>
      <c r="V372" s="50">
        <f>SUMIFS(LS[BO UNIT TRANSFER],LS[Investor ID],INVESTORS_LIST[[#This Row],[INVESTOR CODE]],LS[B/S],"B")</f>
        <v>0</v>
      </c>
      <c r="W372" s="50">
        <f>SUMIFS(SIP[BO UNIT TRANSFER],SIP[Investor ID],INVESTORS_LIST[[#This Row],[INVESTOR CODE]],SIP[B/S],"B")</f>
        <v>0</v>
      </c>
      <c r="X372" s="50">
        <f>SUMIFS(LS[BO UNIT TRANSFER],LS[Investor ID],INVESTORS_LIST[[#This Row],[INVESTOR CODE]],LS[B/S],"S")</f>
        <v>0</v>
      </c>
      <c r="Y372" s="50">
        <f>SUMIFS(SIP[BO UNIT TRANSFER],SIP[Investor ID],INVESTORS_LIST[[#This Row],[INVESTOR CODE]],SIP[B/S],"S")</f>
        <v>0</v>
      </c>
      <c r="Z372" s="106">
        <f>SUM(INVESTORS_LIST[[#This Row],[BO OPENING BALANCE]:[BO SIP UNITS REPURCHASE]])</f>
        <v>0</v>
      </c>
      <c r="AA372" s="107">
        <f>INVESTORS_LIST[[#This Row],[TOTAL UNITS BUY]]-INVESTORS_LIST[[#This Row],[TOTAL UNITS SOLD]]</f>
        <v>0</v>
      </c>
      <c r="AB372" s="107">
        <f>INVESTORS_LIST[[#This Row],[TOTAL CURRENT UNITS]]-INVESTORS_LIST[[#This Row],[BO UNITS HOLD]]</f>
        <v>0</v>
      </c>
      <c r="AC372" s="201" t="e">
        <f>INDEX([3]!Table_1[BO ID],MATCH(INVESTORS_LIST[[#This Row],[INVESTOR CODE]],[3]!Table_1[INVESTOR CODE],0))</f>
        <v>#REF!</v>
      </c>
      <c r="AD372" s="201" t="e">
        <f>INDEX([3]!Table_1[Brokerage Name2],MATCH(INVESTORS_LIST[[#This Row],[INVESTOR CODE]],[3]!Table_1[INVESTOR CODE],0))</f>
        <v>#REF!</v>
      </c>
      <c r="AE372" s="201" t="e">
        <f>MID(INVESTORS_LIST[[#This Row],[BO ID]],4,5)</f>
        <v>#REF!</v>
      </c>
      <c r="AF372" s="201" t="e">
        <f>MID(INVESTORS_LIST[[#This Row],[BO ID]],2,7)</f>
        <v>#REF!</v>
      </c>
      <c r="AG372" s="201" t="e">
        <f>MID(INVESTORS_LIST[[#This Row],[BO ID]],9,7)</f>
        <v>#REF!</v>
      </c>
      <c r="AH372" s="201" t="e">
        <f>RIGHT(INVESTORS_LIST[[#This Row],[BO ID]],1)</f>
        <v>#REF!</v>
      </c>
      <c r="AI372" s="50">
        <f>INVESTORS_LIST[[#This Row],[LS_TOTAL COST VALUE OF CURRENT UNITS]]+INVESTORS_LIST[[#This Row],[SIP_TOTAL COST VALUE OF CURRENT UNITS]]</f>
        <v>0</v>
      </c>
      <c r="AJ372" s="109">
        <f>IF(INVESTORS_LIST[[#This Row],[TOTAL CURRENT UNITS]]=0,0,INVESTORS_LIST[[#This Row],[LS_TOTAL CURRENT UNITS]]/INVESTORS_LIST[[#This Row],[TOTAL CURRENT UNITS]])</f>
        <v>0</v>
      </c>
      <c r="AK372" s="109">
        <f>IF(INVESTORS_LIST[[#This Row],[TOTAL CURRENT UNITS]]=0,0,INVESTORS_LIST[[#This Row],[SIP_TOTAL CURRENT UNITS]]/INVESTORS_LIST[[#This Row],[TOTAL CURRENT UNITS]])</f>
        <v>0</v>
      </c>
      <c r="AL372" s="49" cm="1">
        <f t="array" ref="AL3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2" s="49" cm="1">
        <f t="array" ref="AM3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2" s="105">
        <f t="shared" si="6"/>
        <v>14.224</v>
      </c>
      <c r="AP372" s="112">
        <f>IF(INVESTORS_LIST[[#This Row],[TOTAL CURRENT UNITS]]=0,0,INVESTORS_LIST[[#This Row],[TOTAL CURRENT UNITS]]*INVESTORS_LIST[[#This Row],[NAV]])</f>
        <v>0</v>
      </c>
      <c r="AQ372" s="49">
        <f>IF(INVESTORS_LIST[[#This Row],[LS_TOTAL CURRENT UNITS]]=0,0,INVESTORS_LIST[[#This Row],[LS_TOTAL CURRENT UNITS]]*INVESTORS_LIST[[#This Row],[NAV]])</f>
        <v>0</v>
      </c>
      <c r="AR372" s="48">
        <f>IF(INVESTORS_LIST[[#This Row],[SIP_TOTAL CURRENT UNITS]]=0,0,INVESTORS_LIST[[#This Row],[SIP_TOTAL CURRENT UNITS]]*INVESTORS_LIST[[#This Row],[NAV]])</f>
        <v>0</v>
      </c>
      <c r="AS372" s="50">
        <f>INVESTORS_LIST[[#This Row],[TOTAL CURRENT UNITS]]</f>
        <v>0</v>
      </c>
      <c r="AT372" s="48">
        <f>IF(INVESTORS_LIST[[#This Row],[TOTAL SELLABLE UNITS]]=0,0,INVESTORS_LIST[[#This Row],[TOTAL SELLABLE UNITS]]*INVESTORS_LIST[[#This Row],[NAV]])</f>
        <v>0</v>
      </c>
      <c r="AU372" s="48">
        <f>INVESTORS_LIST[[#This Row],[LS_TOTAL REALIZED GAIN]]+INVESTORS_LIST[[#This Row],[SIP_TOTAL REALIZED GAIN]]</f>
        <v>0</v>
      </c>
      <c r="AV372" s="48">
        <f>INVESTORS_LIST[[#This Row],[TOTAL MARKET VALUE]]-INVESTORS_LIST[[#This Row],[TOTAL COST VALUE OF CURRENT INVESTMENT]]</f>
        <v>0</v>
      </c>
      <c r="AW372" s="48">
        <f>IFERROR(INVESTORS_LIST[[#This Row],[TOTAL CURRENT UNITS]]/SUM(INVESTORS_LIST[TOTAL CURRENT UNITS]),0)</f>
        <v>0</v>
      </c>
    </row>
    <row r="373" spans="1:49" hidden="1">
      <c r="A373" s="262" t="s">
        <v>793</v>
      </c>
      <c r="B373" s="97" t="s">
        <v>794</v>
      </c>
      <c r="C373" t="s">
        <v>67</v>
      </c>
      <c r="D373" s="75" t="s">
        <v>45</v>
      </c>
      <c r="E373" s="47">
        <f>SUMIFS(LS[Unit],LS[Investor ID],INVESTORS_LIST[[#This Row],[INVESTOR CODE]],LS[B/S],"B")</f>
        <v>0</v>
      </c>
      <c r="F373" s="47">
        <f>-SUMIFS(LS[Unit],LS[Investor ID],INVESTORS_LIST[[#This Row],[INVESTOR CODE]],LS[B/S],"S")</f>
        <v>0</v>
      </c>
      <c r="G373" s="47">
        <f>IF(INVESTORS_LIST[[#This Row],[LS_TOTAL UNITS BUY]]=0,0,INVESTORS_LIST[[#This Row],[LS_TOTAL UNITS BUY]]-INVESTORS_LIST[[#This Row],[LS_TOTAL UNITS SOLD]])</f>
        <v>0</v>
      </c>
      <c r="H373" s="49">
        <f>IF(INVESTORS_LIST[[#This Row],[LS_TOTAL UNITS BUY]]=0,0,SUMIFS(LS[Amount],LS[Investor ID],INVESTORS_LIST[[#This Row],[INVESTOR CODE]],LS[B/S],"B"))</f>
        <v>0</v>
      </c>
      <c r="I373" s="48">
        <f>IF(INVESTORS_LIST[[#This Row],[LS_TOTAL UNITS SOLD]]=0,0,SUMIFS(LS[Cost of Units Sold],LS[Investor ID],INVESTORS_LIST[[#This Row],[INVESTOR CODE]],LS[B/S],"S"))</f>
        <v>0</v>
      </c>
      <c r="J373" s="48">
        <f>IF(INVESTORS_LIST[[#This Row],[LS_TOTAL CURRENT UNITS]]=0,0,INVESTORS_LIST[[#This Row],[LS_TOTAL CURRENT UNITS]]*INVESTORS_LIST[[#This Row],[LS_AVERAGE COST]])</f>
        <v>0</v>
      </c>
      <c r="K373" s="49">
        <f>IF(INVESTORS_LIST[[#This Row],[LS_TOTAL UNITS SOLD]]=0,0,SUMIFS(LS[Realized Gain],LS[Investor ID],INVESTORS_LIST[[#This Row],[INVESTOR CODE]],LS[B/S],"S"))</f>
        <v>0</v>
      </c>
      <c r="L373" s="47">
        <f>SUMIFS(SIP[Unit],SIP[Investor ID],INVESTORS_LIST[[#This Row],[INVESTOR CODE]],SIP[B/S],"B")</f>
        <v>0</v>
      </c>
      <c r="M373" s="47">
        <f>-SUMIFS(SIP[Unit],SIP[Investor ID],INVESTORS_LIST[[#This Row],[INVESTOR CODE]],SIP[B/S],"S")</f>
        <v>0</v>
      </c>
      <c r="N373" s="50">
        <f>IF(INVESTORS_LIST[[#This Row],[SIP_TOTAL UNITS BUY]]=0,0,INVESTORS_LIST[[#This Row],[SIP_TOTAL UNITS BUY]]-INVESTORS_LIST[[#This Row],[SIP_TOTAL UNITS SOLD]])</f>
        <v>0</v>
      </c>
      <c r="O373" s="49">
        <f>IF(INVESTORS_LIST[[#This Row],[SIP_TOTAL UNITS BUY]]=0,0,SUMIFS(SIP[Amount],SIP[Investor ID],INVESTORS_LIST[[#This Row],[INVESTOR CODE]],SIP[B/S],"B"))</f>
        <v>0</v>
      </c>
      <c r="P373" s="49">
        <f>IF(INVESTORS_LIST[[#This Row],[SIP_TOTAL UNITS SOLD]]=0,0,SUMIFS(SIP[Cost of Units Sold],SIP[Investor ID],INVESTORS_LIST[[#This Row],[INVESTOR CODE]],SIP[B/S],"S"))</f>
        <v>0</v>
      </c>
      <c r="Q373" s="48">
        <f>IF(INVESTORS_LIST[[#This Row],[SIP_TOTAL CURRENT UNITS]]=0,0,INVESTORS_LIST[[#This Row],[SIP_TOTAL CURRENT UNITS]]*INVESTORS_LIST[[#This Row],[SIP_AVERAGE COST]])</f>
        <v>0</v>
      </c>
      <c r="R373" s="48">
        <f>IF(INVESTORS_LIST[[#This Row],[SIP_TOTAL UNITS SOLD]]=0,0,SUMIFS(SIP[Realized Gain],SIP[Investor ID],INVESTORS_LIST[[#This Row],[INVESTOR CODE]],SIP[B/S],"S"))</f>
        <v>0</v>
      </c>
      <c r="S373" s="50">
        <f>INVESTORS_LIST[[#This Row],[LS_TOTAL UNITS BUY]]+INVESTORS_LIST[[#This Row],[SIP_TOTAL UNITS BUY]]</f>
        <v>0</v>
      </c>
      <c r="T373" s="50">
        <f>INVESTORS_LIST[[#This Row],[LS_TOTAL UNITS SOLD]]+INVESTORS_LIST[[#This Row],[SIP_TOTAL UNITS SOLD]]</f>
        <v>0</v>
      </c>
      <c r="U373" s="50"/>
      <c r="V373" s="50">
        <f>SUMIFS(LS[BO UNIT TRANSFER],LS[Investor ID],INVESTORS_LIST[[#This Row],[INVESTOR CODE]],LS[B/S],"B")</f>
        <v>0</v>
      </c>
      <c r="W373" s="50">
        <f>SUMIFS(SIP[BO UNIT TRANSFER],SIP[Investor ID],INVESTORS_LIST[[#This Row],[INVESTOR CODE]],SIP[B/S],"B")</f>
        <v>0</v>
      </c>
      <c r="X373" s="50">
        <f>SUMIFS(LS[BO UNIT TRANSFER],LS[Investor ID],INVESTORS_LIST[[#This Row],[INVESTOR CODE]],LS[B/S],"S")</f>
        <v>0</v>
      </c>
      <c r="Y373" s="50">
        <f>SUMIFS(SIP[BO UNIT TRANSFER],SIP[Investor ID],INVESTORS_LIST[[#This Row],[INVESTOR CODE]],SIP[B/S],"S")</f>
        <v>0</v>
      </c>
      <c r="Z373" s="106">
        <f>SUM(INVESTORS_LIST[[#This Row],[BO OPENING BALANCE]:[BO SIP UNITS REPURCHASE]])</f>
        <v>0</v>
      </c>
      <c r="AA373" s="107">
        <f>INVESTORS_LIST[[#This Row],[TOTAL UNITS BUY]]-INVESTORS_LIST[[#This Row],[TOTAL UNITS SOLD]]</f>
        <v>0</v>
      </c>
      <c r="AB373" s="107">
        <f>INVESTORS_LIST[[#This Row],[TOTAL CURRENT UNITS]]-INVESTORS_LIST[[#This Row],[BO UNITS HOLD]]</f>
        <v>0</v>
      </c>
      <c r="AC373" s="201" t="e">
        <f>INDEX([3]!Table_1[BO ID],MATCH(INVESTORS_LIST[[#This Row],[INVESTOR CODE]],[3]!Table_1[INVESTOR CODE],0))</f>
        <v>#REF!</v>
      </c>
      <c r="AD373" s="201" t="e">
        <f>INDEX([3]!Table_1[Brokerage Name2],MATCH(INVESTORS_LIST[[#This Row],[INVESTOR CODE]],[3]!Table_1[INVESTOR CODE],0))</f>
        <v>#REF!</v>
      </c>
      <c r="AE373" s="201" t="e">
        <f>MID(INVESTORS_LIST[[#This Row],[BO ID]],4,5)</f>
        <v>#REF!</v>
      </c>
      <c r="AF373" s="201" t="e">
        <f>MID(INVESTORS_LIST[[#This Row],[BO ID]],2,7)</f>
        <v>#REF!</v>
      </c>
      <c r="AG373" s="201" t="e">
        <f>MID(INVESTORS_LIST[[#This Row],[BO ID]],9,7)</f>
        <v>#REF!</v>
      </c>
      <c r="AH373" s="201" t="e">
        <f>RIGHT(INVESTORS_LIST[[#This Row],[BO ID]],1)</f>
        <v>#REF!</v>
      </c>
      <c r="AI373" s="50">
        <f>INVESTORS_LIST[[#This Row],[LS_TOTAL COST VALUE OF CURRENT UNITS]]+INVESTORS_LIST[[#This Row],[SIP_TOTAL COST VALUE OF CURRENT UNITS]]</f>
        <v>0</v>
      </c>
      <c r="AJ373" s="109">
        <f>IF(INVESTORS_LIST[[#This Row],[TOTAL CURRENT UNITS]]=0,0,INVESTORS_LIST[[#This Row],[LS_TOTAL CURRENT UNITS]]/INVESTORS_LIST[[#This Row],[TOTAL CURRENT UNITS]])</f>
        <v>0</v>
      </c>
      <c r="AK373" s="109">
        <f>IF(INVESTORS_LIST[[#This Row],[TOTAL CURRENT UNITS]]=0,0,INVESTORS_LIST[[#This Row],[SIP_TOTAL CURRENT UNITS]]/INVESTORS_LIST[[#This Row],[TOTAL CURRENT UNITS]])</f>
        <v>0</v>
      </c>
      <c r="AL373" s="49" cm="1">
        <f t="array" ref="AL3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3" s="49" cm="1">
        <f t="array" ref="AM3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3" s="105">
        <f t="shared" si="6"/>
        <v>14.224</v>
      </c>
      <c r="AP373" s="112">
        <f>IF(INVESTORS_LIST[[#This Row],[TOTAL CURRENT UNITS]]=0,0,INVESTORS_LIST[[#This Row],[TOTAL CURRENT UNITS]]*INVESTORS_LIST[[#This Row],[NAV]])</f>
        <v>0</v>
      </c>
      <c r="AQ373" s="49">
        <f>IF(INVESTORS_LIST[[#This Row],[LS_TOTAL CURRENT UNITS]]=0,0,INVESTORS_LIST[[#This Row],[LS_TOTAL CURRENT UNITS]]*INVESTORS_LIST[[#This Row],[NAV]])</f>
        <v>0</v>
      </c>
      <c r="AR373" s="48">
        <f>IF(INVESTORS_LIST[[#This Row],[SIP_TOTAL CURRENT UNITS]]=0,0,INVESTORS_LIST[[#This Row],[SIP_TOTAL CURRENT UNITS]]*INVESTORS_LIST[[#This Row],[NAV]])</f>
        <v>0</v>
      </c>
      <c r="AS373" s="50">
        <f>INVESTORS_LIST[[#This Row],[TOTAL CURRENT UNITS]]</f>
        <v>0</v>
      </c>
      <c r="AT373" s="48">
        <f>IF(INVESTORS_LIST[[#This Row],[TOTAL SELLABLE UNITS]]=0,0,INVESTORS_LIST[[#This Row],[TOTAL SELLABLE UNITS]]*INVESTORS_LIST[[#This Row],[NAV]])</f>
        <v>0</v>
      </c>
      <c r="AU373" s="48">
        <f>INVESTORS_LIST[[#This Row],[LS_TOTAL REALIZED GAIN]]+INVESTORS_LIST[[#This Row],[SIP_TOTAL REALIZED GAIN]]</f>
        <v>0</v>
      </c>
      <c r="AV373" s="48">
        <f>INVESTORS_LIST[[#This Row],[TOTAL MARKET VALUE]]-INVESTORS_LIST[[#This Row],[TOTAL COST VALUE OF CURRENT INVESTMENT]]</f>
        <v>0</v>
      </c>
      <c r="AW373" s="48">
        <f>IFERROR(INVESTORS_LIST[[#This Row],[TOTAL CURRENT UNITS]]/SUM(INVESTORS_LIST[TOTAL CURRENT UNITS]),0)</f>
        <v>0</v>
      </c>
    </row>
    <row r="374" spans="1:49" hidden="1">
      <c r="A374" s="262" t="s">
        <v>795</v>
      </c>
      <c r="B374" s="97" t="s">
        <v>796</v>
      </c>
      <c r="C374" t="s">
        <v>44</v>
      </c>
      <c r="D374" s="75" t="s">
        <v>45</v>
      </c>
      <c r="E374" s="47">
        <f>SUMIFS(LS[Unit],LS[Investor ID],INVESTORS_LIST[[#This Row],[INVESTOR CODE]],LS[B/S],"B")</f>
        <v>0</v>
      </c>
      <c r="F374" s="47">
        <f>-SUMIFS(LS[Unit],LS[Investor ID],INVESTORS_LIST[[#This Row],[INVESTOR CODE]],LS[B/S],"S")</f>
        <v>0</v>
      </c>
      <c r="G374" s="47">
        <f>IF(INVESTORS_LIST[[#This Row],[LS_TOTAL UNITS BUY]]=0,0,INVESTORS_LIST[[#This Row],[LS_TOTAL UNITS BUY]]-INVESTORS_LIST[[#This Row],[LS_TOTAL UNITS SOLD]])</f>
        <v>0</v>
      </c>
      <c r="H374" s="49">
        <f>IF(INVESTORS_LIST[[#This Row],[LS_TOTAL UNITS BUY]]=0,0,SUMIFS(LS[Amount],LS[Investor ID],INVESTORS_LIST[[#This Row],[INVESTOR CODE]],LS[B/S],"B"))</f>
        <v>0</v>
      </c>
      <c r="I374" s="48">
        <f>IF(INVESTORS_LIST[[#This Row],[LS_TOTAL UNITS SOLD]]=0,0,SUMIFS(LS[Cost of Units Sold],LS[Investor ID],INVESTORS_LIST[[#This Row],[INVESTOR CODE]],LS[B/S],"S"))</f>
        <v>0</v>
      </c>
      <c r="J374" s="48">
        <f>IF(INVESTORS_LIST[[#This Row],[LS_TOTAL CURRENT UNITS]]=0,0,INVESTORS_LIST[[#This Row],[LS_TOTAL CURRENT UNITS]]*INVESTORS_LIST[[#This Row],[LS_AVERAGE COST]])</f>
        <v>0</v>
      </c>
      <c r="K374" s="49">
        <f>IF(INVESTORS_LIST[[#This Row],[LS_TOTAL UNITS SOLD]]=0,0,SUMIFS(LS[Realized Gain],LS[Investor ID],INVESTORS_LIST[[#This Row],[INVESTOR CODE]],LS[B/S],"S"))</f>
        <v>0</v>
      </c>
      <c r="L374" s="47">
        <f>SUMIFS(SIP[Unit],SIP[Investor ID],INVESTORS_LIST[[#This Row],[INVESTOR CODE]],SIP[B/S],"B")</f>
        <v>0</v>
      </c>
      <c r="M374" s="47">
        <f>-SUMIFS(SIP[Unit],SIP[Investor ID],INVESTORS_LIST[[#This Row],[INVESTOR CODE]],SIP[B/S],"S")</f>
        <v>0</v>
      </c>
      <c r="N374" s="50">
        <f>IF(INVESTORS_LIST[[#This Row],[SIP_TOTAL UNITS BUY]]=0,0,INVESTORS_LIST[[#This Row],[SIP_TOTAL UNITS BUY]]-INVESTORS_LIST[[#This Row],[SIP_TOTAL UNITS SOLD]])</f>
        <v>0</v>
      </c>
      <c r="O374" s="49">
        <f>IF(INVESTORS_LIST[[#This Row],[SIP_TOTAL UNITS BUY]]=0,0,SUMIFS(SIP[Amount],SIP[Investor ID],INVESTORS_LIST[[#This Row],[INVESTOR CODE]],SIP[B/S],"B"))</f>
        <v>0</v>
      </c>
      <c r="P374" s="49">
        <f>IF(INVESTORS_LIST[[#This Row],[SIP_TOTAL UNITS SOLD]]=0,0,SUMIFS(SIP[Cost of Units Sold],SIP[Investor ID],INVESTORS_LIST[[#This Row],[INVESTOR CODE]],SIP[B/S],"S"))</f>
        <v>0</v>
      </c>
      <c r="Q374" s="48">
        <f>IF(INVESTORS_LIST[[#This Row],[SIP_TOTAL CURRENT UNITS]]=0,0,INVESTORS_LIST[[#This Row],[SIP_TOTAL CURRENT UNITS]]*INVESTORS_LIST[[#This Row],[SIP_AVERAGE COST]])</f>
        <v>0</v>
      </c>
      <c r="R374" s="48">
        <f>IF(INVESTORS_LIST[[#This Row],[SIP_TOTAL UNITS SOLD]]=0,0,SUMIFS(SIP[Realized Gain],SIP[Investor ID],INVESTORS_LIST[[#This Row],[INVESTOR CODE]],SIP[B/S],"S"))</f>
        <v>0</v>
      </c>
      <c r="S374" s="50">
        <f>INVESTORS_LIST[[#This Row],[LS_TOTAL UNITS BUY]]+INVESTORS_LIST[[#This Row],[SIP_TOTAL UNITS BUY]]</f>
        <v>0</v>
      </c>
      <c r="T374" s="50">
        <f>INVESTORS_LIST[[#This Row],[LS_TOTAL UNITS SOLD]]+INVESTORS_LIST[[#This Row],[SIP_TOTAL UNITS SOLD]]</f>
        <v>0</v>
      </c>
      <c r="U374" s="50"/>
      <c r="V374" s="50">
        <f>SUMIFS(LS[BO UNIT TRANSFER],LS[Investor ID],INVESTORS_LIST[[#This Row],[INVESTOR CODE]],LS[B/S],"B")</f>
        <v>0</v>
      </c>
      <c r="W374" s="50">
        <f>SUMIFS(SIP[BO UNIT TRANSFER],SIP[Investor ID],INVESTORS_LIST[[#This Row],[INVESTOR CODE]],SIP[B/S],"B")</f>
        <v>0</v>
      </c>
      <c r="X374" s="50">
        <f>SUMIFS(LS[BO UNIT TRANSFER],LS[Investor ID],INVESTORS_LIST[[#This Row],[INVESTOR CODE]],LS[B/S],"S")</f>
        <v>0</v>
      </c>
      <c r="Y374" s="50">
        <f>SUMIFS(SIP[BO UNIT TRANSFER],SIP[Investor ID],INVESTORS_LIST[[#This Row],[INVESTOR CODE]],SIP[B/S],"S")</f>
        <v>0</v>
      </c>
      <c r="Z374" s="106">
        <f>SUM(INVESTORS_LIST[[#This Row],[BO OPENING BALANCE]:[BO SIP UNITS REPURCHASE]])</f>
        <v>0</v>
      </c>
      <c r="AA374" s="107">
        <f>INVESTORS_LIST[[#This Row],[TOTAL UNITS BUY]]-INVESTORS_LIST[[#This Row],[TOTAL UNITS SOLD]]</f>
        <v>0</v>
      </c>
      <c r="AB374" s="107">
        <f>INVESTORS_LIST[[#This Row],[TOTAL CURRENT UNITS]]-INVESTORS_LIST[[#This Row],[BO UNITS HOLD]]</f>
        <v>0</v>
      </c>
      <c r="AC374" s="201" t="e">
        <f>INDEX([3]!Table_1[BO ID],MATCH(INVESTORS_LIST[[#This Row],[INVESTOR CODE]],[3]!Table_1[INVESTOR CODE],0))</f>
        <v>#REF!</v>
      </c>
      <c r="AD374" s="201" t="e">
        <f>INDEX([3]!Table_1[Brokerage Name2],MATCH(INVESTORS_LIST[[#This Row],[INVESTOR CODE]],[3]!Table_1[INVESTOR CODE],0))</f>
        <v>#REF!</v>
      </c>
      <c r="AE374" s="201" t="e">
        <f>MID(INVESTORS_LIST[[#This Row],[BO ID]],4,5)</f>
        <v>#REF!</v>
      </c>
      <c r="AF374" s="201" t="e">
        <f>MID(INVESTORS_LIST[[#This Row],[BO ID]],2,7)</f>
        <v>#REF!</v>
      </c>
      <c r="AG374" s="201" t="e">
        <f>MID(INVESTORS_LIST[[#This Row],[BO ID]],9,7)</f>
        <v>#REF!</v>
      </c>
      <c r="AH374" s="201" t="e">
        <f>RIGHT(INVESTORS_LIST[[#This Row],[BO ID]],1)</f>
        <v>#REF!</v>
      </c>
      <c r="AI374" s="50">
        <f>INVESTORS_LIST[[#This Row],[LS_TOTAL COST VALUE OF CURRENT UNITS]]+INVESTORS_LIST[[#This Row],[SIP_TOTAL COST VALUE OF CURRENT UNITS]]</f>
        <v>0</v>
      </c>
      <c r="AJ374" s="109">
        <f>IF(INVESTORS_LIST[[#This Row],[TOTAL CURRENT UNITS]]=0,0,INVESTORS_LIST[[#This Row],[LS_TOTAL CURRENT UNITS]]/INVESTORS_LIST[[#This Row],[TOTAL CURRENT UNITS]])</f>
        <v>0</v>
      </c>
      <c r="AK374" s="109">
        <f>IF(INVESTORS_LIST[[#This Row],[TOTAL CURRENT UNITS]]=0,0,INVESTORS_LIST[[#This Row],[SIP_TOTAL CURRENT UNITS]]/INVESTORS_LIST[[#This Row],[TOTAL CURRENT UNITS]])</f>
        <v>0</v>
      </c>
      <c r="AL374" s="49" cm="1">
        <f t="array" ref="AL3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4" s="49" cm="1">
        <f t="array" ref="AM3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4" s="105">
        <f t="shared" si="6"/>
        <v>14.224</v>
      </c>
      <c r="AP374" s="112">
        <f>IF(INVESTORS_LIST[[#This Row],[TOTAL CURRENT UNITS]]=0,0,INVESTORS_LIST[[#This Row],[TOTAL CURRENT UNITS]]*INVESTORS_LIST[[#This Row],[NAV]])</f>
        <v>0</v>
      </c>
      <c r="AQ374" s="49">
        <f>IF(INVESTORS_LIST[[#This Row],[LS_TOTAL CURRENT UNITS]]=0,0,INVESTORS_LIST[[#This Row],[LS_TOTAL CURRENT UNITS]]*INVESTORS_LIST[[#This Row],[NAV]])</f>
        <v>0</v>
      </c>
      <c r="AR374" s="48">
        <f>IF(INVESTORS_LIST[[#This Row],[SIP_TOTAL CURRENT UNITS]]=0,0,INVESTORS_LIST[[#This Row],[SIP_TOTAL CURRENT UNITS]]*INVESTORS_LIST[[#This Row],[NAV]])</f>
        <v>0</v>
      </c>
      <c r="AS374" s="50">
        <f>INVESTORS_LIST[[#This Row],[TOTAL CURRENT UNITS]]</f>
        <v>0</v>
      </c>
      <c r="AT374" s="48">
        <f>IF(INVESTORS_LIST[[#This Row],[TOTAL SELLABLE UNITS]]=0,0,INVESTORS_LIST[[#This Row],[TOTAL SELLABLE UNITS]]*INVESTORS_LIST[[#This Row],[NAV]])</f>
        <v>0</v>
      </c>
      <c r="AU374" s="48">
        <f>INVESTORS_LIST[[#This Row],[LS_TOTAL REALIZED GAIN]]+INVESTORS_LIST[[#This Row],[SIP_TOTAL REALIZED GAIN]]</f>
        <v>0</v>
      </c>
      <c r="AV374" s="48">
        <f>INVESTORS_LIST[[#This Row],[TOTAL MARKET VALUE]]-INVESTORS_LIST[[#This Row],[TOTAL COST VALUE OF CURRENT INVESTMENT]]</f>
        <v>0</v>
      </c>
      <c r="AW374" s="48">
        <f>IFERROR(INVESTORS_LIST[[#This Row],[TOTAL CURRENT UNITS]]/SUM(INVESTORS_LIST[TOTAL CURRENT UNITS]),0)</f>
        <v>0</v>
      </c>
    </row>
    <row r="375" spans="1:49" hidden="1">
      <c r="A375" s="262" t="s">
        <v>797</v>
      </c>
      <c r="B375" s="97" t="s">
        <v>798</v>
      </c>
      <c r="C375" t="s">
        <v>48</v>
      </c>
      <c r="D375" s="75" t="s">
        <v>49</v>
      </c>
      <c r="E375" s="47">
        <f>SUMIFS(LS[Unit],LS[Investor ID],INVESTORS_LIST[[#This Row],[INVESTOR CODE]],LS[B/S],"B")</f>
        <v>0</v>
      </c>
      <c r="F375" s="47">
        <f>-SUMIFS(LS[Unit],LS[Investor ID],INVESTORS_LIST[[#This Row],[INVESTOR CODE]],LS[B/S],"S")</f>
        <v>0</v>
      </c>
      <c r="G375" s="47">
        <f>IF(INVESTORS_LIST[[#This Row],[LS_TOTAL UNITS BUY]]=0,0,INVESTORS_LIST[[#This Row],[LS_TOTAL UNITS BUY]]-INVESTORS_LIST[[#This Row],[LS_TOTAL UNITS SOLD]])</f>
        <v>0</v>
      </c>
      <c r="H375" s="49">
        <f>IF(INVESTORS_LIST[[#This Row],[LS_TOTAL UNITS BUY]]=0,0,SUMIFS(LS[Amount],LS[Investor ID],INVESTORS_LIST[[#This Row],[INVESTOR CODE]],LS[B/S],"B"))</f>
        <v>0</v>
      </c>
      <c r="I375" s="48">
        <f>IF(INVESTORS_LIST[[#This Row],[LS_TOTAL UNITS SOLD]]=0,0,SUMIFS(LS[Cost of Units Sold],LS[Investor ID],INVESTORS_LIST[[#This Row],[INVESTOR CODE]],LS[B/S],"S"))</f>
        <v>0</v>
      </c>
      <c r="J375" s="48">
        <f>IF(INVESTORS_LIST[[#This Row],[LS_TOTAL CURRENT UNITS]]=0,0,INVESTORS_LIST[[#This Row],[LS_TOTAL CURRENT UNITS]]*INVESTORS_LIST[[#This Row],[LS_AVERAGE COST]])</f>
        <v>0</v>
      </c>
      <c r="K375" s="49">
        <f>IF(INVESTORS_LIST[[#This Row],[LS_TOTAL UNITS SOLD]]=0,0,SUMIFS(LS[Realized Gain],LS[Investor ID],INVESTORS_LIST[[#This Row],[INVESTOR CODE]],LS[B/S],"S"))</f>
        <v>0</v>
      </c>
      <c r="L375" s="47">
        <f>SUMIFS(SIP[Unit],SIP[Investor ID],INVESTORS_LIST[[#This Row],[INVESTOR CODE]],SIP[B/S],"B")</f>
        <v>0</v>
      </c>
      <c r="M375" s="47">
        <f>-SUMIFS(SIP[Unit],SIP[Investor ID],INVESTORS_LIST[[#This Row],[INVESTOR CODE]],SIP[B/S],"S")</f>
        <v>0</v>
      </c>
      <c r="N375" s="50">
        <f>IF(INVESTORS_LIST[[#This Row],[SIP_TOTAL UNITS BUY]]=0,0,INVESTORS_LIST[[#This Row],[SIP_TOTAL UNITS BUY]]-INVESTORS_LIST[[#This Row],[SIP_TOTAL UNITS SOLD]])</f>
        <v>0</v>
      </c>
      <c r="O375" s="49">
        <f>IF(INVESTORS_LIST[[#This Row],[SIP_TOTAL UNITS BUY]]=0,0,SUMIFS(SIP[Amount],SIP[Investor ID],INVESTORS_LIST[[#This Row],[INVESTOR CODE]],SIP[B/S],"B"))</f>
        <v>0</v>
      </c>
      <c r="P375" s="49">
        <f>IF(INVESTORS_LIST[[#This Row],[SIP_TOTAL UNITS SOLD]]=0,0,SUMIFS(SIP[Cost of Units Sold],SIP[Investor ID],INVESTORS_LIST[[#This Row],[INVESTOR CODE]],SIP[B/S],"S"))</f>
        <v>0</v>
      </c>
      <c r="Q375" s="48">
        <f>IF(INVESTORS_LIST[[#This Row],[SIP_TOTAL CURRENT UNITS]]=0,0,INVESTORS_LIST[[#This Row],[SIP_TOTAL CURRENT UNITS]]*INVESTORS_LIST[[#This Row],[SIP_AVERAGE COST]])</f>
        <v>0</v>
      </c>
      <c r="R375" s="48">
        <f>IF(INVESTORS_LIST[[#This Row],[SIP_TOTAL UNITS SOLD]]=0,0,SUMIFS(SIP[Realized Gain],SIP[Investor ID],INVESTORS_LIST[[#This Row],[INVESTOR CODE]],SIP[B/S],"S"))</f>
        <v>0</v>
      </c>
      <c r="S375" s="50">
        <f>INVESTORS_LIST[[#This Row],[LS_TOTAL UNITS BUY]]+INVESTORS_LIST[[#This Row],[SIP_TOTAL UNITS BUY]]</f>
        <v>0</v>
      </c>
      <c r="T375" s="50">
        <f>INVESTORS_LIST[[#This Row],[LS_TOTAL UNITS SOLD]]+INVESTORS_LIST[[#This Row],[SIP_TOTAL UNITS SOLD]]</f>
        <v>0</v>
      </c>
      <c r="U375" s="50"/>
      <c r="V375" s="50">
        <f>SUMIFS(LS[BO UNIT TRANSFER],LS[Investor ID],INVESTORS_LIST[[#This Row],[INVESTOR CODE]],LS[B/S],"B")</f>
        <v>0</v>
      </c>
      <c r="W375" s="50">
        <f>SUMIFS(SIP[BO UNIT TRANSFER],SIP[Investor ID],INVESTORS_LIST[[#This Row],[INVESTOR CODE]],SIP[B/S],"B")</f>
        <v>0</v>
      </c>
      <c r="X375" s="50">
        <f>SUMIFS(LS[BO UNIT TRANSFER],LS[Investor ID],INVESTORS_LIST[[#This Row],[INVESTOR CODE]],LS[B/S],"S")</f>
        <v>0</v>
      </c>
      <c r="Y375" s="50">
        <f>SUMIFS(SIP[BO UNIT TRANSFER],SIP[Investor ID],INVESTORS_LIST[[#This Row],[INVESTOR CODE]],SIP[B/S],"S")</f>
        <v>0</v>
      </c>
      <c r="Z375" s="106">
        <f>SUM(INVESTORS_LIST[[#This Row],[BO OPENING BALANCE]:[BO SIP UNITS REPURCHASE]])</f>
        <v>0</v>
      </c>
      <c r="AA375" s="107">
        <f>INVESTORS_LIST[[#This Row],[TOTAL UNITS BUY]]-INVESTORS_LIST[[#This Row],[TOTAL UNITS SOLD]]</f>
        <v>0</v>
      </c>
      <c r="AB375" s="107">
        <f>INVESTORS_LIST[[#This Row],[TOTAL CURRENT UNITS]]-INVESTORS_LIST[[#This Row],[BO UNITS HOLD]]</f>
        <v>0</v>
      </c>
      <c r="AC375" s="201" t="e">
        <f>INDEX([3]!Table_1[BO ID],MATCH(INVESTORS_LIST[[#This Row],[INVESTOR CODE]],[3]!Table_1[INVESTOR CODE],0))</f>
        <v>#REF!</v>
      </c>
      <c r="AD375" s="201" t="e">
        <f>INDEX([3]!Table_1[Brokerage Name2],MATCH(INVESTORS_LIST[[#This Row],[INVESTOR CODE]],[3]!Table_1[INVESTOR CODE],0))</f>
        <v>#REF!</v>
      </c>
      <c r="AE375" s="201" t="e">
        <f>MID(INVESTORS_LIST[[#This Row],[BO ID]],4,5)</f>
        <v>#REF!</v>
      </c>
      <c r="AF375" s="201" t="e">
        <f>MID(INVESTORS_LIST[[#This Row],[BO ID]],2,7)</f>
        <v>#REF!</v>
      </c>
      <c r="AG375" s="201" t="e">
        <f>MID(INVESTORS_LIST[[#This Row],[BO ID]],9,7)</f>
        <v>#REF!</v>
      </c>
      <c r="AH375" s="201" t="e">
        <f>RIGHT(INVESTORS_LIST[[#This Row],[BO ID]],1)</f>
        <v>#REF!</v>
      </c>
      <c r="AI375" s="50">
        <f>INVESTORS_LIST[[#This Row],[LS_TOTAL COST VALUE OF CURRENT UNITS]]+INVESTORS_LIST[[#This Row],[SIP_TOTAL COST VALUE OF CURRENT UNITS]]</f>
        <v>0</v>
      </c>
      <c r="AJ375" s="109">
        <f>IF(INVESTORS_LIST[[#This Row],[TOTAL CURRENT UNITS]]=0,0,INVESTORS_LIST[[#This Row],[LS_TOTAL CURRENT UNITS]]/INVESTORS_LIST[[#This Row],[TOTAL CURRENT UNITS]])</f>
        <v>0</v>
      </c>
      <c r="AK375" s="109">
        <f>IF(INVESTORS_LIST[[#This Row],[TOTAL CURRENT UNITS]]=0,0,INVESTORS_LIST[[#This Row],[SIP_TOTAL CURRENT UNITS]]/INVESTORS_LIST[[#This Row],[TOTAL CURRENT UNITS]])</f>
        <v>0</v>
      </c>
      <c r="AL375" s="49" cm="1">
        <f t="array" ref="AL3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5" s="49" cm="1">
        <f t="array" ref="AM3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5" s="105">
        <f t="shared" si="6"/>
        <v>14.224</v>
      </c>
      <c r="AP375" s="112">
        <f>IF(INVESTORS_LIST[[#This Row],[TOTAL CURRENT UNITS]]=0,0,INVESTORS_LIST[[#This Row],[TOTAL CURRENT UNITS]]*INVESTORS_LIST[[#This Row],[NAV]])</f>
        <v>0</v>
      </c>
      <c r="AQ375" s="49">
        <f>IF(INVESTORS_LIST[[#This Row],[LS_TOTAL CURRENT UNITS]]=0,0,INVESTORS_LIST[[#This Row],[LS_TOTAL CURRENT UNITS]]*INVESTORS_LIST[[#This Row],[NAV]])</f>
        <v>0</v>
      </c>
      <c r="AR375" s="48">
        <f>IF(INVESTORS_LIST[[#This Row],[SIP_TOTAL CURRENT UNITS]]=0,0,INVESTORS_LIST[[#This Row],[SIP_TOTAL CURRENT UNITS]]*INVESTORS_LIST[[#This Row],[NAV]])</f>
        <v>0</v>
      </c>
      <c r="AS375" s="50">
        <f>INVESTORS_LIST[[#This Row],[TOTAL CURRENT UNITS]]</f>
        <v>0</v>
      </c>
      <c r="AT375" s="48">
        <f>IF(INVESTORS_LIST[[#This Row],[TOTAL SELLABLE UNITS]]=0,0,INVESTORS_LIST[[#This Row],[TOTAL SELLABLE UNITS]]*INVESTORS_LIST[[#This Row],[NAV]])</f>
        <v>0</v>
      </c>
      <c r="AU375" s="48">
        <f>INVESTORS_LIST[[#This Row],[LS_TOTAL REALIZED GAIN]]+INVESTORS_LIST[[#This Row],[SIP_TOTAL REALIZED GAIN]]</f>
        <v>0</v>
      </c>
      <c r="AV375" s="48">
        <f>INVESTORS_LIST[[#This Row],[TOTAL MARKET VALUE]]-INVESTORS_LIST[[#This Row],[TOTAL COST VALUE OF CURRENT INVESTMENT]]</f>
        <v>0</v>
      </c>
      <c r="AW375" s="48">
        <f>IFERROR(INVESTORS_LIST[[#This Row],[TOTAL CURRENT UNITS]]/SUM(INVESTORS_LIST[TOTAL CURRENT UNITS]),0)</f>
        <v>0</v>
      </c>
    </row>
    <row r="376" spans="1:49" hidden="1">
      <c r="A376" s="262" t="s">
        <v>799</v>
      </c>
      <c r="B376" s="97" t="s">
        <v>800</v>
      </c>
      <c r="C376" t="s">
        <v>67</v>
      </c>
      <c r="D376" s="75" t="s">
        <v>45</v>
      </c>
      <c r="E376" s="47">
        <f>SUMIFS(LS[Unit],LS[Investor ID],INVESTORS_LIST[[#This Row],[INVESTOR CODE]],LS[B/S],"B")</f>
        <v>28896</v>
      </c>
      <c r="F376" s="47">
        <f>-SUMIFS(LS[Unit],LS[Investor ID],INVESTORS_LIST[[#This Row],[INVESTOR CODE]],LS[B/S],"S")</f>
        <v>28896</v>
      </c>
      <c r="G376" s="47">
        <f>IF(INVESTORS_LIST[[#This Row],[LS_TOTAL UNITS BUY]]=0,0,INVESTORS_LIST[[#This Row],[LS_TOTAL UNITS BUY]]-INVESTORS_LIST[[#This Row],[LS_TOTAL UNITS SOLD]])</f>
        <v>0</v>
      </c>
      <c r="H376" s="49">
        <f>IF(INVESTORS_LIST[[#This Row],[LS_TOTAL UNITS BUY]]=0,0,SUMIFS(LS[Amount],LS[Investor ID],INVESTORS_LIST[[#This Row],[INVESTOR CODE]],LS[B/S],"B"))</f>
        <v>300000</v>
      </c>
      <c r="I376" s="48">
        <f>IF(INVESTORS_LIST[[#This Row],[LS_TOTAL UNITS SOLD]]=0,0,SUMIFS(LS[Cost of Units Sold],LS[Investor ID],INVESTORS_LIST[[#This Row],[INVESTOR CODE]],LS[B/S],"S"))</f>
        <v>300000</v>
      </c>
      <c r="J376" s="48">
        <f>IF(INVESTORS_LIST[[#This Row],[LS_TOTAL CURRENT UNITS]]=0,0,INVESTORS_LIST[[#This Row],[LS_TOTAL CURRENT UNITS]]*INVESTORS_LIST[[#This Row],[LS_AVERAGE COST]])</f>
        <v>0</v>
      </c>
      <c r="K376" s="49">
        <f>IF(INVESTORS_LIST[[#This Row],[LS_TOTAL UNITS SOLD]]=0,0,SUMIFS(LS[Realized Gain],LS[Investor ID],INVESTORS_LIST[[#This Row],[INVESTOR CODE]],LS[B/S],"S"))</f>
        <v>41088.380000000026</v>
      </c>
      <c r="L376" s="47">
        <f>SUMIFS(SIP[Unit],SIP[Investor ID],INVESTORS_LIST[[#This Row],[INVESTOR CODE]],SIP[B/S],"B")</f>
        <v>0</v>
      </c>
      <c r="M376" s="47">
        <f>-SUMIFS(SIP[Unit],SIP[Investor ID],INVESTORS_LIST[[#This Row],[INVESTOR CODE]],SIP[B/S],"S")</f>
        <v>0</v>
      </c>
      <c r="N376" s="50">
        <f>IF(INVESTORS_LIST[[#This Row],[SIP_TOTAL UNITS BUY]]=0,0,INVESTORS_LIST[[#This Row],[SIP_TOTAL UNITS BUY]]-INVESTORS_LIST[[#This Row],[SIP_TOTAL UNITS SOLD]])</f>
        <v>0</v>
      </c>
      <c r="O376" s="49">
        <f>IF(INVESTORS_LIST[[#This Row],[SIP_TOTAL UNITS BUY]]=0,0,SUMIFS(SIP[Amount],SIP[Investor ID],INVESTORS_LIST[[#This Row],[INVESTOR CODE]],SIP[B/S],"B"))</f>
        <v>0</v>
      </c>
      <c r="P376" s="49">
        <f>IF(INVESTORS_LIST[[#This Row],[SIP_TOTAL UNITS SOLD]]=0,0,SUMIFS(SIP[Cost of Units Sold],SIP[Investor ID],INVESTORS_LIST[[#This Row],[INVESTOR CODE]],SIP[B/S],"S"))</f>
        <v>0</v>
      </c>
      <c r="Q376" s="48">
        <f>IF(INVESTORS_LIST[[#This Row],[SIP_TOTAL CURRENT UNITS]]=0,0,INVESTORS_LIST[[#This Row],[SIP_TOTAL CURRENT UNITS]]*INVESTORS_LIST[[#This Row],[SIP_AVERAGE COST]])</f>
        <v>0</v>
      </c>
      <c r="R376" s="48">
        <f>IF(INVESTORS_LIST[[#This Row],[SIP_TOTAL UNITS SOLD]]=0,0,SUMIFS(SIP[Realized Gain],SIP[Investor ID],INVESTORS_LIST[[#This Row],[INVESTOR CODE]],SIP[B/S],"S"))</f>
        <v>0</v>
      </c>
      <c r="S376" s="50">
        <f>INVESTORS_LIST[[#This Row],[LS_TOTAL UNITS BUY]]+INVESTORS_LIST[[#This Row],[SIP_TOTAL UNITS BUY]]</f>
        <v>28896</v>
      </c>
      <c r="T376" s="50">
        <f>INVESTORS_LIST[[#This Row],[LS_TOTAL UNITS SOLD]]+INVESTORS_LIST[[#This Row],[SIP_TOTAL UNITS SOLD]]</f>
        <v>28896</v>
      </c>
      <c r="U376" s="50"/>
      <c r="V376" s="50">
        <f>SUMIFS(LS[BO UNIT TRANSFER],LS[Investor ID],INVESTORS_LIST[[#This Row],[INVESTOR CODE]],LS[B/S],"B")</f>
        <v>0</v>
      </c>
      <c r="W376" s="50">
        <f>SUMIFS(SIP[BO UNIT TRANSFER],SIP[Investor ID],INVESTORS_LIST[[#This Row],[INVESTOR CODE]],SIP[B/S],"B")</f>
        <v>0</v>
      </c>
      <c r="X376" s="50">
        <f>SUMIFS(LS[BO UNIT TRANSFER],LS[Investor ID],INVESTORS_LIST[[#This Row],[INVESTOR CODE]],LS[B/S],"S")</f>
        <v>0</v>
      </c>
      <c r="Y376" s="50">
        <f>SUMIFS(SIP[BO UNIT TRANSFER],SIP[Investor ID],INVESTORS_LIST[[#This Row],[INVESTOR CODE]],SIP[B/S],"S")</f>
        <v>0</v>
      </c>
      <c r="Z376" s="106">
        <f>SUM(INVESTORS_LIST[[#This Row],[BO OPENING BALANCE]:[BO SIP UNITS REPURCHASE]])</f>
        <v>0</v>
      </c>
      <c r="AA376" s="107">
        <f>INVESTORS_LIST[[#This Row],[TOTAL UNITS BUY]]-INVESTORS_LIST[[#This Row],[TOTAL UNITS SOLD]]</f>
        <v>0</v>
      </c>
      <c r="AB376" s="107">
        <f>INVESTORS_LIST[[#This Row],[TOTAL CURRENT UNITS]]-INVESTORS_LIST[[#This Row],[BO UNITS HOLD]]</f>
        <v>0</v>
      </c>
      <c r="AC376" s="201" t="e">
        <f>INDEX([3]!Table_1[BO ID],MATCH(INVESTORS_LIST[[#This Row],[INVESTOR CODE]],[3]!Table_1[INVESTOR CODE],0))</f>
        <v>#REF!</v>
      </c>
      <c r="AD376" s="201" t="e">
        <f>INDEX([3]!Table_1[Brokerage Name2],MATCH(INVESTORS_LIST[[#This Row],[INVESTOR CODE]],[3]!Table_1[INVESTOR CODE],0))</f>
        <v>#REF!</v>
      </c>
      <c r="AE376" s="201" t="e">
        <f>MID(INVESTORS_LIST[[#This Row],[BO ID]],4,5)</f>
        <v>#REF!</v>
      </c>
      <c r="AF376" s="201" t="e">
        <f>MID(INVESTORS_LIST[[#This Row],[BO ID]],2,7)</f>
        <v>#REF!</v>
      </c>
      <c r="AG376" s="201" t="e">
        <f>MID(INVESTORS_LIST[[#This Row],[BO ID]],9,7)</f>
        <v>#REF!</v>
      </c>
      <c r="AH376" s="201" t="e">
        <f>RIGHT(INVESTORS_LIST[[#This Row],[BO ID]],1)</f>
        <v>#REF!</v>
      </c>
      <c r="AI376" s="50">
        <f>INVESTORS_LIST[[#This Row],[LS_TOTAL COST VALUE OF CURRENT UNITS]]+INVESTORS_LIST[[#This Row],[SIP_TOTAL COST VALUE OF CURRENT UNITS]]</f>
        <v>0</v>
      </c>
      <c r="AJ376" s="109">
        <f>IF(INVESTORS_LIST[[#This Row],[TOTAL CURRENT UNITS]]=0,0,INVESTORS_LIST[[#This Row],[LS_TOTAL CURRENT UNITS]]/INVESTORS_LIST[[#This Row],[TOTAL CURRENT UNITS]])</f>
        <v>0</v>
      </c>
      <c r="AK376" s="109">
        <f>IF(INVESTORS_LIST[[#This Row],[TOTAL CURRENT UNITS]]=0,0,INVESTORS_LIST[[#This Row],[SIP_TOTAL CURRENT UNITS]]/INVESTORS_LIST[[#This Row],[TOTAL CURRENT UNITS]])</f>
        <v>0</v>
      </c>
      <c r="AL376" s="49" cm="1">
        <f t="array" ref="AL3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6" s="49" cm="1">
        <f t="array" ref="AM3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6" s="105">
        <f t="shared" si="6"/>
        <v>14.224</v>
      </c>
      <c r="AP376" s="112">
        <f>IF(INVESTORS_LIST[[#This Row],[TOTAL CURRENT UNITS]]=0,0,INVESTORS_LIST[[#This Row],[TOTAL CURRENT UNITS]]*INVESTORS_LIST[[#This Row],[NAV]])</f>
        <v>0</v>
      </c>
      <c r="AQ376" s="49">
        <f>IF(INVESTORS_LIST[[#This Row],[LS_TOTAL CURRENT UNITS]]=0,0,INVESTORS_LIST[[#This Row],[LS_TOTAL CURRENT UNITS]]*INVESTORS_LIST[[#This Row],[NAV]])</f>
        <v>0</v>
      </c>
      <c r="AR376" s="48">
        <f>IF(INVESTORS_LIST[[#This Row],[SIP_TOTAL CURRENT UNITS]]=0,0,INVESTORS_LIST[[#This Row],[SIP_TOTAL CURRENT UNITS]]*INVESTORS_LIST[[#This Row],[NAV]])</f>
        <v>0</v>
      </c>
      <c r="AS376" s="50">
        <f>INVESTORS_LIST[[#This Row],[TOTAL CURRENT UNITS]]</f>
        <v>0</v>
      </c>
      <c r="AT376" s="48">
        <f>IF(INVESTORS_LIST[[#This Row],[TOTAL SELLABLE UNITS]]=0,0,INVESTORS_LIST[[#This Row],[TOTAL SELLABLE UNITS]]*INVESTORS_LIST[[#This Row],[NAV]])</f>
        <v>0</v>
      </c>
      <c r="AU376" s="48">
        <f>INVESTORS_LIST[[#This Row],[LS_TOTAL REALIZED GAIN]]+INVESTORS_LIST[[#This Row],[SIP_TOTAL REALIZED GAIN]]</f>
        <v>41088.380000000026</v>
      </c>
      <c r="AV376" s="48">
        <f>INVESTORS_LIST[[#This Row],[TOTAL MARKET VALUE]]-INVESTORS_LIST[[#This Row],[TOTAL COST VALUE OF CURRENT INVESTMENT]]</f>
        <v>0</v>
      </c>
      <c r="AW376" s="108">
        <f>IFERROR(INVESTORS_LIST[[#This Row],[TOTAL CURRENT UNITS]]/SUM(INVESTORS_LIST[TOTAL CURRENT UNITS]),0)</f>
        <v>0</v>
      </c>
    </row>
    <row r="377" spans="1:49" hidden="1">
      <c r="A377" s="262" t="s">
        <v>801</v>
      </c>
      <c r="B377" s="97" t="s">
        <v>802</v>
      </c>
      <c r="C377" t="s">
        <v>48</v>
      </c>
      <c r="D377" s="75" t="s">
        <v>80</v>
      </c>
      <c r="E377" s="47">
        <f>SUMIFS(LS[Unit],LS[Investor ID],INVESTORS_LIST[[#This Row],[INVESTOR CODE]],LS[B/S],"B")</f>
        <v>0</v>
      </c>
      <c r="F377" s="47">
        <f>-SUMIFS(LS[Unit],LS[Investor ID],INVESTORS_LIST[[#This Row],[INVESTOR CODE]],LS[B/S],"S")</f>
        <v>0</v>
      </c>
      <c r="G377" s="47">
        <f>IF(INVESTORS_LIST[[#This Row],[LS_TOTAL UNITS BUY]]=0,0,INVESTORS_LIST[[#This Row],[LS_TOTAL UNITS BUY]]-INVESTORS_LIST[[#This Row],[LS_TOTAL UNITS SOLD]])</f>
        <v>0</v>
      </c>
      <c r="H377" s="49">
        <f>IF(INVESTORS_LIST[[#This Row],[LS_TOTAL UNITS BUY]]=0,0,SUMIFS(LS[Amount],LS[Investor ID],INVESTORS_LIST[[#This Row],[INVESTOR CODE]],LS[B/S],"B"))</f>
        <v>0</v>
      </c>
      <c r="I377" s="48">
        <f>IF(INVESTORS_LIST[[#This Row],[LS_TOTAL UNITS SOLD]]=0,0,SUMIFS(LS[Cost of Units Sold],LS[Investor ID],INVESTORS_LIST[[#This Row],[INVESTOR CODE]],LS[B/S],"S"))</f>
        <v>0</v>
      </c>
      <c r="J377" s="48">
        <f>IF(INVESTORS_LIST[[#This Row],[LS_TOTAL CURRENT UNITS]]=0,0,INVESTORS_LIST[[#This Row],[LS_TOTAL CURRENT UNITS]]*INVESTORS_LIST[[#This Row],[LS_AVERAGE COST]])</f>
        <v>0</v>
      </c>
      <c r="K377" s="49">
        <f>IF(INVESTORS_LIST[[#This Row],[LS_TOTAL UNITS SOLD]]=0,0,SUMIFS(LS[Realized Gain],LS[Investor ID],INVESTORS_LIST[[#This Row],[INVESTOR CODE]],LS[B/S],"S"))</f>
        <v>0</v>
      </c>
      <c r="L377" s="47">
        <f>SUMIFS(SIP[Unit],SIP[Investor ID],INVESTORS_LIST[[#This Row],[INVESTOR CODE]],SIP[B/S],"B")</f>
        <v>0</v>
      </c>
      <c r="M377" s="47">
        <f>-SUMIFS(SIP[Unit],SIP[Investor ID],INVESTORS_LIST[[#This Row],[INVESTOR CODE]],SIP[B/S],"S")</f>
        <v>0</v>
      </c>
      <c r="N377" s="50">
        <f>IF(INVESTORS_LIST[[#This Row],[SIP_TOTAL UNITS BUY]]=0,0,INVESTORS_LIST[[#This Row],[SIP_TOTAL UNITS BUY]]-INVESTORS_LIST[[#This Row],[SIP_TOTAL UNITS SOLD]])</f>
        <v>0</v>
      </c>
      <c r="O377" s="49">
        <f>IF(INVESTORS_LIST[[#This Row],[SIP_TOTAL UNITS BUY]]=0,0,SUMIFS(SIP[Amount],SIP[Investor ID],INVESTORS_LIST[[#This Row],[INVESTOR CODE]],SIP[B/S],"B"))</f>
        <v>0</v>
      </c>
      <c r="P377" s="49">
        <f>IF(INVESTORS_LIST[[#This Row],[SIP_TOTAL UNITS SOLD]]=0,0,SUMIFS(SIP[Cost of Units Sold],SIP[Investor ID],INVESTORS_LIST[[#This Row],[INVESTOR CODE]],SIP[B/S],"S"))</f>
        <v>0</v>
      </c>
      <c r="Q377" s="48">
        <f>IF(INVESTORS_LIST[[#This Row],[SIP_TOTAL CURRENT UNITS]]=0,0,INVESTORS_LIST[[#This Row],[SIP_TOTAL CURRENT UNITS]]*INVESTORS_LIST[[#This Row],[SIP_AVERAGE COST]])</f>
        <v>0</v>
      </c>
      <c r="R377" s="48">
        <f>IF(INVESTORS_LIST[[#This Row],[SIP_TOTAL UNITS SOLD]]=0,0,SUMIFS(SIP[Realized Gain],SIP[Investor ID],INVESTORS_LIST[[#This Row],[INVESTOR CODE]],SIP[B/S],"S"))</f>
        <v>0</v>
      </c>
      <c r="S377" s="50">
        <f>INVESTORS_LIST[[#This Row],[LS_TOTAL UNITS BUY]]+INVESTORS_LIST[[#This Row],[SIP_TOTAL UNITS BUY]]</f>
        <v>0</v>
      </c>
      <c r="T377" s="50">
        <f>INVESTORS_LIST[[#This Row],[LS_TOTAL UNITS SOLD]]+INVESTORS_LIST[[#This Row],[SIP_TOTAL UNITS SOLD]]</f>
        <v>0</v>
      </c>
      <c r="U377" s="50"/>
      <c r="V377" s="50">
        <f>SUMIFS(LS[BO UNIT TRANSFER],LS[Investor ID],INVESTORS_LIST[[#This Row],[INVESTOR CODE]],LS[B/S],"B")</f>
        <v>0</v>
      </c>
      <c r="W377" s="50">
        <f>SUMIFS(SIP[BO UNIT TRANSFER],SIP[Investor ID],INVESTORS_LIST[[#This Row],[INVESTOR CODE]],SIP[B/S],"B")</f>
        <v>0</v>
      </c>
      <c r="X377" s="50">
        <f>SUMIFS(LS[BO UNIT TRANSFER],LS[Investor ID],INVESTORS_LIST[[#This Row],[INVESTOR CODE]],LS[B/S],"S")</f>
        <v>0</v>
      </c>
      <c r="Y377" s="50">
        <f>SUMIFS(SIP[BO UNIT TRANSFER],SIP[Investor ID],INVESTORS_LIST[[#This Row],[INVESTOR CODE]],SIP[B/S],"S")</f>
        <v>0</v>
      </c>
      <c r="Z377" s="106">
        <f>SUM(INVESTORS_LIST[[#This Row],[BO OPENING BALANCE]:[BO SIP UNITS REPURCHASE]])</f>
        <v>0</v>
      </c>
      <c r="AA377" s="107">
        <f>INVESTORS_LIST[[#This Row],[TOTAL UNITS BUY]]-INVESTORS_LIST[[#This Row],[TOTAL UNITS SOLD]]</f>
        <v>0</v>
      </c>
      <c r="AB377" s="107">
        <f>INVESTORS_LIST[[#This Row],[TOTAL CURRENT UNITS]]-INVESTORS_LIST[[#This Row],[BO UNITS HOLD]]</f>
        <v>0</v>
      </c>
      <c r="AC377" s="201" t="e">
        <f>INDEX([3]!Table_1[BO ID],MATCH(INVESTORS_LIST[[#This Row],[INVESTOR CODE]],[3]!Table_1[INVESTOR CODE],0))</f>
        <v>#REF!</v>
      </c>
      <c r="AD377" s="201" t="e">
        <f>INDEX([3]!Table_1[Brokerage Name2],MATCH(INVESTORS_LIST[[#This Row],[INVESTOR CODE]],[3]!Table_1[INVESTOR CODE],0))</f>
        <v>#REF!</v>
      </c>
      <c r="AE377" s="201" t="e">
        <f>MID(INVESTORS_LIST[[#This Row],[BO ID]],4,5)</f>
        <v>#REF!</v>
      </c>
      <c r="AF377" s="201" t="e">
        <f>MID(INVESTORS_LIST[[#This Row],[BO ID]],2,7)</f>
        <v>#REF!</v>
      </c>
      <c r="AG377" s="201" t="e">
        <f>MID(INVESTORS_LIST[[#This Row],[BO ID]],9,7)</f>
        <v>#REF!</v>
      </c>
      <c r="AH377" s="201" t="e">
        <f>RIGHT(INVESTORS_LIST[[#This Row],[BO ID]],1)</f>
        <v>#REF!</v>
      </c>
      <c r="AI377" s="50">
        <f>INVESTORS_LIST[[#This Row],[LS_TOTAL COST VALUE OF CURRENT UNITS]]+INVESTORS_LIST[[#This Row],[SIP_TOTAL COST VALUE OF CURRENT UNITS]]</f>
        <v>0</v>
      </c>
      <c r="AJ377" s="109">
        <f>IF(INVESTORS_LIST[[#This Row],[TOTAL CURRENT UNITS]]=0,0,INVESTORS_LIST[[#This Row],[LS_TOTAL CURRENT UNITS]]/INVESTORS_LIST[[#This Row],[TOTAL CURRENT UNITS]])</f>
        <v>0</v>
      </c>
      <c r="AK377" s="109">
        <f>IF(INVESTORS_LIST[[#This Row],[TOTAL CURRENT UNITS]]=0,0,INVESTORS_LIST[[#This Row],[SIP_TOTAL CURRENT UNITS]]/INVESTORS_LIST[[#This Row],[TOTAL CURRENT UNITS]])</f>
        <v>0</v>
      </c>
      <c r="AL377" s="49" cm="1">
        <f t="array" ref="AL3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7" s="49" cm="1">
        <f t="array" ref="AM3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7" s="105">
        <f t="shared" si="6"/>
        <v>14.224</v>
      </c>
      <c r="AP377" s="112">
        <f>IF(INVESTORS_LIST[[#This Row],[TOTAL CURRENT UNITS]]=0,0,INVESTORS_LIST[[#This Row],[TOTAL CURRENT UNITS]]*INVESTORS_LIST[[#This Row],[NAV]])</f>
        <v>0</v>
      </c>
      <c r="AQ377" s="49">
        <f>IF(INVESTORS_LIST[[#This Row],[LS_TOTAL CURRENT UNITS]]=0,0,INVESTORS_LIST[[#This Row],[LS_TOTAL CURRENT UNITS]]*INVESTORS_LIST[[#This Row],[NAV]])</f>
        <v>0</v>
      </c>
      <c r="AR377" s="48">
        <f>IF(INVESTORS_LIST[[#This Row],[SIP_TOTAL CURRENT UNITS]]=0,0,INVESTORS_LIST[[#This Row],[SIP_TOTAL CURRENT UNITS]]*INVESTORS_LIST[[#This Row],[NAV]])</f>
        <v>0</v>
      </c>
      <c r="AS377" s="50">
        <f>INVESTORS_LIST[[#This Row],[TOTAL CURRENT UNITS]]</f>
        <v>0</v>
      </c>
      <c r="AT377" s="48">
        <f>IF(INVESTORS_LIST[[#This Row],[TOTAL SELLABLE UNITS]]=0,0,INVESTORS_LIST[[#This Row],[TOTAL SELLABLE UNITS]]*INVESTORS_LIST[[#This Row],[NAV]])</f>
        <v>0</v>
      </c>
      <c r="AU377" s="48">
        <f>INVESTORS_LIST[[#This Row],[LS_TOTAL REALIZED GAIN]]+INVESTORS_LIST[[#This Row],[SIP_TOTAL REALIZED GAIN]]</f>
        <v>0</v>
      </c>
      <c r="AV377" s="48">
        <f>INVESTORS_LIST[[#This Row],[TOTAL MARKET VALUE]]-INVESTORS_LIST[[#This Row],[TOTAL COST VALUE OF CURRENT INVESTMENT]]</f>
        <v>0</v>
      </c>
      <c r="AW377" s="48">
        <f>IFERROR(INVESTORS_LIST[[#This Row],[TOTAL CURRENT UNITS]]/SUM(INVESTORS_LIST[TOTAL CURRENT UNITS]),0)</f>
        <v>0</v>
      </c>
    </row>
    <row r="378" spans="1:49" hidden="1">
      <c r="A378" s="262" t="s">
        <v>803</v>
      </c>
      <c r="B378" s="97" t="s">
        <v>804</v>
      </c>
      <c r="C378" t="s">
        <v>44</v>
      </c>
      <c r="D378" s="75" t="s">
        <v>45</v>
      </c>
      <c r="E378" s="47">
        <f>SUMIFS(LS[Unit],LS[Investor ID],INVESTORS_LIST[[#This Row],[INVESTOR CODE]],LS[B/S],"B")</f>
        <v>0</v>
      </c>
      <c r="F378" s="47">
        <f>-SUMIFS(LS[Unit],LS[Investor ID],INVESTORS_LIST[[#This Row],[INVESTOR CODE]],LS[B/S],"S")</f>
        <v>0</v>
      </c>
      <c r="G378" s="47">
        <f>IF(INVESTORS_LIST[[#This Row],[LS_TOTAL UNITS BUY]]=0,0,INVESTORS_LIST[[#This Row],[LS_TOTAL UNITS BUY]]-INVESTORS_LIST[[#This Row],[LS_TOTAL UNITS SOLD]])</f>
        <v>0</v>
      </c>
      <c r="H378" s="49">
        <f>IF(INVESTORS_LIST[[#This Row],[LS_TOTAL UNITS BUY]]=0,0,SUMIFS(LS[Amount],LS[Investor ID],INVESTORS_LIST[[#This Row],[INVESTOR CODE]],LS[B/S],"B"))</f>
        <v>0</v>
      </c>
      <c r="I378" s="48">
        <f>IF(INVESTORS_LIST[[#This Row],[LS_TOTAL UNITS SOLD]]=0,0,SUMIFS(LS[Cost of Units Sold],LS[Investor ID],INVESTORS_LIST[[#This Row],[INVESTOR CODE]],LS[B/S],"S"))</f>
        <v>0</v>
      </c>
      <c r="J378" s="48">
        <f>IF(INVESTORS_LIST[[#This Row],[LS_TOTAL CURRENT UNITS]]=0,0,INVESTORS_LIST[[#This Row],[LS_TOTAL CURRENT UNITS]]*INVESTORS_LIST[[#This Row],[LS_AVERAGE COST]])</f>
        <v>0</v>
      </c>
      <c r="K378" s="49">
        <f>IF(INVESTORS_LIST[[#This Row],[LS_TOTAL UNITS SOLD]]=0,0,SUMIFS(LS[Realized Gain],LS[Investor ID],INVESTORS_LIST[[#This Row],[INVESTOR CODE]],LS[B/S],"S"))</f>
        <v>0</v>
      </c>
      <c r="L378" s="47">
        <f>SUMIFS(SIP[Unit],SIP[Investor ID],INVESTORS_LIST[[#This Row],[INVESTOR CODE]],SIP[B/S],"B")</f>
        <v>0</v>
      </c>
      <c r="M378" s="47">
        <f>-SUMIFS(SIP[Unit],SIP[Investor ID],INVESTORS_LIST[[#This Row],[INVESTOR CODE]],SIP[B/S],"S")</f>
        <v>0</v>
      </c>
      <c r="N378" s="50">
        <f>IF(INVESTORS_LIST[[#This Row],[SIP_TOTAL UNITS BUY]]=0,0,INVESTORS_LIST[[#This Row],[SIP_TOTAL UNITS BUY]]-INVESTORS_LIST[[#This Row],[SIP_TOTAL UNITS SOLD]])</f>
        <v>0</v>
      </c>
      <c r="O378" s="49">
        <f>IF(INVESTORS_LIST[[#This Row],[SIP_TOTAL UNITS BUY]]=0,0,SUMIFS(SIP[Amount],SIP[Investor ID],INVESTORS_LIST[[#This Row],[INVESTOR CODE]],SIP[B/S],"B"))</f>
        <v>0</v>
      </c>
      <c r="P378" s="49">
        <f>IF(INVESTORS_LIST[[#This Row],[SIP_TOTAL UNITS SOLD]]=0,0,SUMIFS(SIP[Cost of Units Sold],SIP[Investor ID],INVESTORS_LIST[[#This Row],[INVESTOR CODE]],SIP[B/S],"S"))</f>
        <v>0</v>
      </c>
      <c r="Q378" s="48">
        <f>IF(INVESTORS_LIST[[#This Row],[SIP_TOTAL CURRENT UNITS]]=0,0,INVESTORS_LIST[[#This Row],[SIP_TOTAL CURRENT UNITS]]*INVESTORS_LIST[[#This Row],[SIP_AVERAGE COST]])</f>
        <v>0</v>
      </c>
      <c r="R378" s="48">
        <f>IF(INVESTORS_LIST[[#This Row],[SIP_TOTAL UNITS SOLD]]=0,0,SUMIFS(SIP[Realized Gain],SIP[Investor ID],INVESTORS_LIST[[#This Row],[INVESTOR CODE]],SIP[B/S],"S"))</f>
        <v>0</v>
      </c>
      <c r="S378" s="50">
        <f>INVESTORS_LIST[[#This Row],[LS_TOTAL UNITS BUY]]+INVESTORS_LIST[[#This Row],[SIP_TOTAL UNITS BUY]]</f>
        <v>0</v>
      </c>
      <c r="T378" s="50">
        <f>INVESTORS_LIST[[#This Row],[LS_TOTAL UNITS SOLD]]+INVESTORS_LIST[[#This Row],[SIP_TOTAL UNITS SOLD]]</f>
        <v>0</v>
      </c>
      <c r="U378" s="50"/>
      <c r="V378" s="50">
        <f>SUMIFS(LS[BO UNIT TRANSFER],LS[Investor ID],INVESTORS_LIST[[#This Row],[INVESTOR CODE]],LS[B/S],"B")</f>
        <v>0</v>
      </c>
      <c r="W378" s="50">
        <f>SUMIFS(SIP[BO UNIT TRANSFER],SIP[Investor ID],INVESTORS_LIST[[#This Row],[INVESTOR CODE]],SIP[B/S],"B")</f>
        <v>0</v>
      </c>
      <c r="X378" s="50">
        <f>SUMIFS(LS[BO UNIT TRANSFER],LS[Investor ID],INVESTORS_LIST[[#This Row],[INVESTOR CODE]],LS[B/S],"S")</f>
        <v>0</v>
      </c>
      <c r="Y378" s="50">
        <f>SUMIFS(SIP[BO UNIT TRANSFER],SIP[Investor ID],INVESTORS_LIST[[#This Row],[INVESTOR CODE]],SIP[B/S],"S")</f>
        <v>0</v>
      </c>
      <c r="Z378" s="106">
        <f>SUM(INVESTORS_LIST[[#This Row],[BO OPENING BALANCE]:[BO SIP UNITS REPURCHASE]])</f>
        <v>0</v>
      </c>
      <c r="AA378" s="107">
        <f>INVESTORS_LIST[[#This Row],[TOTAL UNITS BUY]]-INVESTORS_LIST[[#This Row],[TOTAL UNITS SOLD]]</f>
        <v>0</v>
      </c>
      <c r="AB378" s="107">
        <f>INVESTORS_LIST[[#This Row],[TOTAL CURRENT UNITS]]-INVESTORS_LIST[[#This Row],[BO UNITS HOLD]]</f>
        <v>0</v>
      </c>
      <c r="AC378" s="201" t="e">
        <f>INDEX([3]!Table_1[BO ID],MATCH(INVESTORS_LIST[[#This Row],[INVESTOR CODE]],[3]!Table_1[INVESTOR CODE],0))</f>
        <v>#REF!</v>
      </c>
      <c r="AD378" s="201" t="e">
        <f>INDEX([3]!Table_1[Brokerage Name2],MATCH(INVESTORS_LIST[[#This Row],[INVESTOR CODE]],[3]!Table_1[INVESTOR CODE],0))</f>
        <v>#REF!</v>
      </c>
      <c r="AE378" s="201" t="e">
        <f>MID(INVESTORS_LIST[[#This Row],[BO ID]],4,5)</f>
        <v>#REF!</v>
      </c>
      <c r="AF378" s="201" t="e">
        <f>MID(INVESTORS_LIST[[#This Row],[BO ID]],2,7)</f>
        <v>#REF!</v>
      </c>
      <c r="AG378" s="201" t="e">
        <f>MID(INVESTORS_LIST[[#This Row],[BO ID]],9,7)</f>
        <v>#REF!</v>
      </c>
      <c r="AH378" s="201" t="e">
        <f>RIGHT(INVESTORS_LIST[[#This Row],[BO ID]],1)</f>
        <v>#REF!</v>
      </c>
      <c r="AI378" s="50">
        <f>INVESTORS_LIST[[#This Row],[LS_TOTAL COST VALUE OF CURRENT UNITS]]+INVESTORS_LIST[[#This Row],[SIP_TOTAL COST VALUE OF CURRENT UNITS]]</f>
        <v>0</v>
      </c>
      <c r="AJ378" s="109">
        <f>IF(INVESTORS_LIST[[#This Row],[TOTAL CURRENT UNITS]]=0,0,INVESTORS_LIST[[#This Row],[LS_TOTAL CURRENT UNITS]]/INVESTORS_LIST[[#This Row],[TOTAL CURRENT UNITS]])</f>
        <v>0</v>
      </c>
      <c r="AK378" s="109">
        <f>IF(INVESTORS_LIST[[#This Row],[TOTAL CURRENT UNITS]]=0,0,INVESTORS_LIST[[#This Row],[SIP_TOTAL CURRENT UNITS]]/INVESTORS_LIST[[#This Row],[TOTAL CURRENT UNITS]])</f>
        <v>0</v>
      </c>
      <c r="AL378" s="49" cm="1">
        <f t="array" ref="AL3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8" s="49" cm="1">
        <f t="array" ref="AM3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8" s="105">
        <f t="shared" si="6"/>
        <v>14.224</v>
      </c>
      <c r="AP378" s="112">
        <f>IF(INVESTORS_LIST[[#This Row],[TOTAL CURRENT UNITS]]=0,0,INVESTORS_LIST[[#This Row],[TOTAL CURRENT UNITS]]*INVESTORS_LIST[[#This Row],[NAV]])</f>
        <v>0</v>
      </c>
      <c r="AQ378" s="49">
        <f>IF(INVESTORS_LIST[[#This Row],[LS_TOTAL CURRENT UNITS]]=0,0,INVESTORS_LIST[[#This Row],[LS_TOTAL CURRENT UNITS]]*INVESTORS_LIST[[#This Row],[NAV]])</f>
        <v>0</v>
      </c>
      <c r="AR378" s="48">
        <f>IF(INVESTORS_LIST[[#This Row],[SIP_TOTAL CURRENT UNITS]]=0,0,INVESTORS_LIST[[#This Row],[SIP_TOTAL CURRENT UNITS]]*INVESTORS_LIST[[#This Row],[NAV]])</f>
        <v>0</v>
      </c>
      <c r="AS378" s="50">
        <f>INVESTORS_LIST[[#This Row],[TOTAL CURRENT UNITS]]</f>
        <v>0</v>
      </c>
      <c r="AT378" s="48">
        <f>IF(INVESTORS_LIST[[#This Row],[TOTAL SELLABLE UNITS]]=0,0,INVESTORS_LIST[[#This Row],[TOTAL SELLABLE UNITS]]*INVESTORS_LIST[[#This Row],[NAV]])</f>
        <v>0</v>
      </c>
      <c r="AU378" s="48">
        <f>INVESTORS_LIST[[#This Row],[LS_TOTAL REALIZED GAIN]]+INVESTORS_LIST[[#This Row],[SIP_TOTAL REALIZED GAIN]]</f>
        <v>0</v>
      </c>
      <c r="AV378" s="48">
        <f>INVESTORS_LIST[[#This Row],[TOTAL MARKET VALUE]]-INVESTORS_LIST[[#This Row],[TOTAL COST VALUE OF CURRENT INVESTMENT]]</f>
        <v>0</v>
      </c>
      <c r="AW378" s="48">
        <f>IFERROR(INVESTORS_LIST[[#This Row],[TOTAL CURRENT UNITS]]/SUM(INVESTORS_LIST[TOTAL CURRENT UNITS]),0)</f>
        <v>0</v>
      </c>
    </row>
    <row r="379" spans="1:49" hidden="1">
      <c r="A379" s="262" t="s">
        <v>805</v>
      </c>
      <c r="B379" s="97" t="s">
        <v>806</v>
      </c>
      <c r="C379" t="s">
        <v>48</v>
      </c>
      <c r="D379" s="75" t="s">
        <v>49</v>
      </c>
      <c r="E379" s="47">
        <f>SUMIFS(LS[Unit],LS[Investor ID],INVESTORS_LIST[[#This Row],[INVESTOR CODE]],LS[B/S],"B")</f>
        <v>0</v>
      </c>
      <c r="F379" s="47">
        <f>-SUMIFS(LS[Unit],LS[Investor ID],INVESTORS_LIST[[#This Row],[INVESTOR CODE]],LS[B/S],"S")</f>
        <v>0</v>
      </c>
      <c r="G379" s="47">
        <f>IF(INVESTORS_LIST[[#This Row],[LS_TOTAL UNITS BUY]]=0,0,INVESTORS_LIST[[#This Row],[LS_TOTAL UNITS BUY]]-INVESTORS_LIST[[#This Row],[LS_TOTAL UNITS SOLD]])</f>
        <v>0</v>
      </c>
      <c r="H379" s="49">
        <f>IF(INVESTORS_LIST[[#This Row],[LS_TOTAL UNITS BUY]]=0,0,SUMIFS(LS[Amount],LS[Investor ID],INVESTORS_LIST[[#This Row],[INVESTOR CODE]],LS[B/S],"B"))</f>
        <v>0</v>
      </c>
      <c r="I379" s="48">
        <f>IF(INVESTORS_LIST[[#This Row],[LS_TOTAL UNITS SOLD]]=0,0,SUMIFS(LS[Cost of Units Sold],LS[Investor ID],INVESTORS_LIST[[#This Row],[INVESTOR CODE]],LS[B/S],"S"))</f>
        <v>0</v>
      </c>
      <c r="J379" s="48">
        <f>IF(INVESTORS_LIST[[#This Row],[LS_TOTAL CURRENT UNITS]]=0,0,INVESTORS_LIST[[#This Row],[LS_TOTAL CURRENT UNITS]]*INVESTORS_LIST[[#This Row],[LS_AVERAGE COST]])</f>
        <v>0</v>
      </c>
      <c r="K379" s="49">
        <f>IF(INVESTORS_LIST[[#This Row],[LS_TOTAL UNITS SOLD]]=0,0,SUMIFS(LS[Realized Gain],LS[Investor ID],INVESTORS_LIST[[#This Row],[INVESTOR CODE]],LS[B/S],"S"))</f>
        <v>0</v>
      </c>
      <c r="L379" s="47">
        <f>SUMIFS(SIP[Unit],SIP[Investor ID],INVESTORS_LIST[[#This Row],[INVESTOR CODE]],SIP[B/S],"B")</f>
        <v>0</v>
      </c>
      <c r="M379" s="47">
        <f>-SUMIFS(SIP[Unit],SIP[Investor ID],INVESTORS_LIST[[#This Row],[INVESTOR CODE]],SIP[B/S],"S")</f>
        <v>0</v>
      </c>
      <c r="N379" s="50">
        <f>IF(INVESTORS_LIST[[#This Row],[SIP_TOTAL UNITS BUY]]=0,0,INVESTORS_LIST[[#This Row],[SIP_TOTAL UNITS BUY]]-INVESTORS_LIST[[#This Row],[SIP_TOTAL UNITS SOLD]])</f>
        <v>0</v>
      </c>
      <c r="O379" s="49">
        <f>IF(INVESTORS_LIST[[#This Row],[SIP_TOTAL UNITS BUY]]=0,0,SUMIFS(SIP[Amount],SIP[Investor ID],INVESTORS_LIST[[#This Row],[INVESTOR CODE]],SIP[B/S],"B"))</f>
        <v>0</v>
      </c>
      <c r="P379" s="49">
        <f>IF(INVESTORS_LIST[[#This Row],[SIP_TOTAL UNITS SOLD]]=0,0,SUMIFS(SIP[Cost of Units Sold],SIP[Investor ID],INVESTORS_LIST[[#This Row],[INVESTOR CODE]],SIP[B/S],"S"))</f>
        <v>0</v>
      </c>
      <c r="Q379" s="48">
        <f>IF(INVESTORS_LIST[[#This Row],[SIP_TOTAL CURRENT UNITS]]=0,0,INVESTORS_LIST[[#This Row],[SIP_TOTAL CURRENT UNITS]]*INVESTORS_LIST[[#This Row],[SIP_AVERAGE COST]])</f>
        <v>0</v>
      </c>
      <c r="R379" s="48">
        <f>IF(INVESTORS_LIST[[#This Row],[SIP_TOTAL UNITS SOLD]]=0,0,SUMIFS(SIP[Realized Gain],SIP[Investor ID],INVESTORS_LIST[[#This Row],[INVESTOR CODE]],SIP[B/S],"S"))</f>
        <v>0</v>
      </c>
      <c r="S379" s="50">
        <f>INVESTORS_LIST[[#This Row],[LS_TOTAL UNITS BUY]]+INVESTORS_LIST[[#This Row],[SIP_TOTAL UNITS BUY]]</f>
        <v>0</v>
      </c>
      <c r="T379" s="50">
        <f>INVESTORS_LIST[[#This Row],[LS_TOTAL UNITS SOLD]]+INVESTORS_LIST[[#This Row],[SIP_TOTAL UNITS SOLD]]</f>
        <v>0</v>
      </c>
      <c r="U379" s="50"/>
      <c r="V379" s="50">
        <f>SUMIFS(LS[BO UNIT TRANSFER],LS[Investor ID],INVESTORS_LIST[[#This Row],[INVESTOR CODE]],LS[B/S],"B")</f>
        <v>0</v>
      </c>
      <c r="W379" s="50">
        <f>SUMIFS(SIP[BO UNIT TRANSFER],SIP[Investor ID],INVESTORS_LIST[[#This Row],[INVESTOR CODE]],SIP[B/S],"B")</f>
        <v>0</v>
      </c>
      <c r="X379" s="50">
        <f>SUMIFS(LS[BO UNIT TRANSFER],LS[Investor ID],INVESTORS_LIST[[#This Row],[INVESTOR CODE]],LS[B/S],"S")</f>
        <v>0</v>
      </c>
      <c r="Y379" s="50">
        <f>SUMIFS(SIP[BO UNIT TRANSFER],SIP[Investor ID],INVESTORS_LIST[[#This Row],[INVESTOR CODE]],SIP[B/S],"S")</f>
        <v>0</v>
      </c>
      <c r="Z379" s="106">
        <f>SUM(INVESTORS_LIST[[#This Row],[BO OPENING BALANCE]:[BO SIP UNITS REPURCHASE]])</f>
        <v>0</v>
      </c>
      <c r="AA379" s="107">
        <f>INVESTORS_LIST[[#This Row],[TOTAL UNITS BUY]]-INVESTORS_LIST[[#This Row],[TOTAL UNITS SOLD]]</f>
        <v>0</v>
      </c>
      <c r="AB379" s="107">
        <f>INVESTORS_LIST[[#This Row],[TOTAL CURRENT UNITS]]-INVESTORS_LIST[[#This Row],[BO UNITS HOLD]]</f>
        <v>0</v>
      </c>
      <c r="AC379" s="201" t="e">
        <f>INDEX([3]!Table_1[BO ID],MATCH(INVESTORS_LIST[[#This Row],[INVESTOR CODE]],[3]!Table_1[INVESTOR CODE],0))</f>
        <v>#REF!</v>
      </c>
      <c r="AD379" s="201" t="e">
        <f>INDEX([3]!Table_1[Brokerage Name2],MATCH(INVESTORS_LIST[[#This Row],[INVESTOR CODE]],[3]!Table_1[INVESTOR CODE],0))</f>
        <v>#REF!</v>
      </c>
      <c r="AE379" s="201" t="e">
        <f>MID(INVESTORS_LIST[[#This Row],[BO ID]],4,5)</f>
        <v>#REF!</v>
      </c>
      <c r="AF379" s="201" t="e">
        <f>MID(INVESTORS_LIST[[#This Row],[BO ID]],2,7)</f>
        <v>#REF!</v>
      </c>
      <c r="AG379" s="201" t="e">
        <f>MID(INVESTORS_LIST[[#This Row],[BO ID]],9,7)</f>
        <v>#REF!</v>
      </c>
      <c r="AH379" s="201" t="e">
        <f>RIGHT(INVESTORS_LIST[[#This Row],[BO ID]],1)</f>
        <v>#REF!</v>
      </c>
      <c r="AI379" s="50">
        <f>INVESTORS_LIST[[#This Row],[LS_TOTAL COST VALUE OF CURRENT UNITS]]+INVESTORS_LIST[[#This Row],[SIP_TOTAL COST VALUE OF CURRENT UNITS]]</f>
        <v>0</v>
      </c>
      <c r="AJ379" s="109">
        <f>IF(INVESTORS_LIST[[#This Row],[TOTAL CURRENT UNITS]]=0,0,INVESTORS_LIST[[#This Row],[LS_TOTAL CURRENT UNITS]]/INVESTORS_LIST[[#This Row],[TOTAL CURRENT UNITS]])</f>
        <v>0</v>
      </c>
      <c r="AK379" s="109">
        <f>IF(INVESTORS_LIST[[#This Row],[TOTAL CURRENT UNITS]]=0,0,INVESTORS_LIST[[#This Row],[SIP_TOTAL CURRENT UNITS]]/INVESTORS_LIST[[#This Row],[TOTAL CURRENT UNITS]])</f>
        <v>0</v>
      </c>
      <c r="AL379" s="49" cm="1">
        <f t="array" ref="AL3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79" s="49" cm="1">
        <f t="array" ref="AM3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79" s="105">
        <f t="shared" si="6"/>
        <v>14.224</v>
      </c>
      <c r="AP379" s="112">
        <f>IF(INVESTORS_LIST[[#This Row],[TOTAL CURRENT UNITS]]=0,0,INVESTORS_LIST[[#This Row],[TOTAL CURRENT UNITS]]*INVESTORS_LIST[[#This Row],[NAV]])</f>
        <v>0</v>
      </c>
      <c r="AQ379" s="49">
        <f>IF(INVESTORS_LIST[[#This Row],[LS_TOTAL CURRENT UNITS]]=0,0,INVESTORS_LIST[[#This Row],[LS_TOTAL CURRENT UNITS]]*INVESTORS_LIST[[#This Row],[NAV]])</f>
        <v>0</v>
      </c>
      <c r="AR379" s="48">
        <f>IF(INVESTORS_LIST[[#This Row],[SIP_TOTAL CURRENT UNITS]]=0,0,INVESTORS_LIST[[#This Row],[SIP_TOTAL CURRENT UNITS]]*INVESTORS_LIST[[#This Row],[NAV]])</f>
        <v>0</v>
      </c>
      <c r="AS379" s="50">
        <f>INVESTORS_LIST[[#This Row],[TOTAL CURRENT UNITS]]</f>
        <v>0</v>
      </c>
      <c r="AT379" s="48">
        <f>IF(INVESTORS_LIST[[#This Row],[TOTAL SELLABLE UNITS]]=0,0,INVESTORS_LIST[[#This Row],[TOTAL SELLABLE UNITS]]*INVESTORS_LIST[[#This Row],[NAV]])</f>
        <v>0</v>
      </c>
      <c r="AU379" s="48">
        <f>INVESTORS_LIST[[#This Row],[LS_TOTAL REALIZED GAIN]]+INVESTORS_LIST[[#This Row],[SIP_TOTAL REALIZED GAIN]]</f>
        <v>0</v>
      </c>
      <c r="AV379" s="48">
        <f>INVESTORS_LIST[[#This Row],[TOTAL MARKET VALUE]]-INVESTORS_LIST[[#This Row],[TOTAL COST VALUE OF CURRENT INVESTMENT]]</f>
        <v>0</v>
      </c>
      <c r="AW379" s="48">
        <f>IFERROR(INVESTORS_LIST[[#This Row],[TOTAL CURRENT UNITS]]/SUM(INVESTORS_LIST[TOTAL CURRENT UNITS]),0)</f>
        <v>0</v>
      </c>
    </row>
    <row r="380" spans="1:49" hidden="1">
      <c r="A380" s="262" t="s">
        <v>807</v>
      </c>
      <c r="B380" s="97" t="s">
        <v>808</v>
      </c>
      <c r="C380" t="s">
        <v>48</v>
      </c>
      <c r="D380" s="75" t="s">
        <v>49</v>
      </c>
      <c r="E380" s="47">
        <f>SUMIFS(LS[Unit],LS[Investor ID],INVESTORS_LIST[[#This Row],[INVESTOR CODE]],LS[B/S],"B")</f>
        <v>0</v>
      </c>
      <c r="F380" s="47">
        <f>-SUMIFS(LS[Unit],LS[Investor ID],INVESTORS_LIST[[#This Row],[INVESTOR CODE]],LS[B/S],"S")</f>
        <v>0</v>
      </c>
      <c r="G380" s="47">
        <f>IF(INVESTORS_LIST[[#This Row],[LS_TOTAL UNITS BUY]]=0,0,INVESTORS_LIST[[#This Row],[LS_TOTAL UNITS BUY]]-INVESTORS_LIST[[#This Row],[LS_TOTAL UNITS SOLD]])</f>
        <v>0</v>
      </c>
      <c r="H380" s="49">
        <f>IF(INVESTORS_LIST[[#This Row],[LS_TOTAL UNITS BUY]]=0,0,SUMIFS(LS[Amount],LS[Investor ID],INVESTORS_LIST[[#This Row],[INVESTOR CODE]],LS[B/S],"B"))</f>
        <v>0</v>
      </c>
      <c r="I380" s="48">
        <f>IF(INVESTORS_LIST[[#This Row],[LS_TOTAL UNITS SOLD]]=0,0,SUMIFS(LS[Cost of Units Sold],LS[Investor ID],INVESTORS_LIST[[#This Row],[INVESTOR CODE]],LS[B/S],"S"))</f>
        <v>0</v>
      </c>
      <c r="J380" s="48">
        <f>IF(INVESTORS_LIST[[#This Row],[LS_TOTAL CURRENT UNITS]]=0,0,INVESTORS_LIST[[#This Row],[LS_TOTAL CURRENT UNITS]]*INVESTORS_LIST[[#This Row],[LS_AVERAGE COST]])</f>
        <v>0</v>
      </c>
      <c r="K380" s="49">
        <f>IF(INVESTORS_LIST[[#This Row],[LS_TOTAL UNITS SOLD]]=0,0,SUMIFS(LS[Realized Gain],LS[Investor ID],INVESTORS_LIST[[#This Row],[INVESTOR CODE]],LS[B/S],"S"))</f>
        <v>0</v>
      </c>
      <c r="L380" s="47">
        <f>SUMIFS(SIP[Unit],SIP[Investor ID],INVESTORS_LIST[[#This Row],[INVESTOR CODE]],SIP[B/S],"B")</f>
        <v>0</v>
      </c>
      <c r="M380" s="47">
        <f>-SUMIFS(SIP[Unit],SIP[Investor ID],INVESTORS_LIST[[#This Row],[INVESTOR CODE]],SIP[B/S],"S")</f>
        <v>0</v>
      </c>
      <c r="N380" s="50">
        <f>IF(INVESTORS_LIST[[#This Row],[SIP_TOTAL UNITS BUY]]=0,0,INVESTORS_LIST[[#This Row],[SIP_TOTAL UNITS BUY]]-INVESTORS_LIST[[#This Row],[SIP_TOTAL UNITS SOLD]])</f>
        <v>0</v>
      </c>
      <c r="O380" s="49">
        <f>IF(INVESTORS_LIST[[#This Row],[SIP_TOTAL UNITS BUY]]=0,0,SUMIFS(SIP[Amount],SIP[Investor ID],INVESTORS_LIST[[#This Row],[INVESTOR CODE]],SIP[B/S],"B"))</f>
        <v>0</v>
      </c>
      <c r="P380" s="49">
        <f>IF(INVESTORS_LIST[[#This Row],[SIP_TOTAL UNITS SOLD]]=0,0,SUMIFS(SIP[Cost of Units Sold],SIP[Investor ID],INVESTORS_LIST[[#This Row],[INVESTOR CODE]],SIP[B/S],"S"))</f>
        <v>0</v>
      </c>
      <c r="Q380" s="48">
        <f>IF(INVESTORS_LIST[[#This Row],[SIP_TOTAL CURRENT UNITS]]=0,0,INVESTORS_LIST[[#This Row],[SIP_TOTAL CURRENT UNITS]]*INVESTORS_LIST[[#This Row],[SIP_AVERAGE COST]])</f>
        <v>0</v>
      </c>
      <c r="R380" s="48">
        <f>IF(INVESTORS_LIST[[#This Row],[SIP_TOTAL UNITS SOLD]]=0,0,SUMIFS(SIP[Realized Gain],SIP[Investor ID],INVESTORS_LIST[[#This Row],[INVESTOR CODE]],SIP[B/S],"S"))</f>
        <v>0</v>
      </c>
      <c r="S380" s="50">
        <f>INVESTORS_LIST[[#This Row],[LS_TOTAL UNITS BUY]]+INVESTORS_LIST[[#This Row],[SIP_TOTAL UNITS BUY]]</f>
        <v>0</v>
      </c>
      <c r="T380" s="50">
        <f>INVESTORS_LIST[[#This Row],[LS_TOTAL UNITS SOLD]]+INVESTORS_LIST[[#This Row],[SIP_TOTAL UNITS SOLD]]</f>
        <v>0</v>
      </c>
      <c r="U380" s="50"/>
      <c r="V380" s="50">
        <f>SUMIFS(LS[BO UNIT TRANSFER],LS[Investor ID],INVESTORS_LIST[[#This Row],[INVESTOR CODE]],LS[B/S],"B")</f>
        <v>0</v>
      </c>
      <c r="W380" s="50">
        <f>SUMIFS(SIP[BO UNIT TRANSFER],SIP[Investor ID],INVESTORS_LIST[[#This Row],[INVESTOR CODE]],SIP[B/S],"B")</f>
        <v>0</v>
      </c>
      <c r="X380" s="50">
        <f>SUMIFS(LS[BO UNIT TRANSFER],LS[Investor ID],INVESTORS_LIST[[#This Row],[INVESTOR CODE]],LS[B/S],"S")</f>
        <v>0</v>
      </c>
      <c r="Y380" s="50">
        <f>SUMIFS(SIP[BO UNIT TRANSFER],SIP[Investor ID],INVESTORS_LIST[[#This Row],[INVESTOR CODE]],SIP[B/S],"S")</f>
        <v>0</v>
      </c>
      <c r="Z380" s="106">
        <f>SUM(INVESTORS_LIST[[#This Row],[BO OPENING BALANCE]:[BO SIP UNITS REPURCHASE]])</f>
        <v>0</v>
      </c>
      <c r="AA380" s="107">
        <f>INVESTORS_LIST[[#This Row],[TOTAL UNITS BUY]]-INVESTORS_LIST[[#This Row],[TOTAL UNITS SOLD]]</f>
        <v>0</v>
      </c>
      <c r="AB380" s="107">
        <f>INVESTORS_LIST[[#This Row],[TOTAL CURRENT UNITS]]-INVESTORS_LIST[[#This Row],[BO UNITS HOLD]]</f>
        <v>0</v>
      </c>
      <c r="AC380" s="201" t="e">
        <f>INDEX([3]!Table_1[BO ID],MATCH(INVESTORS_LIST[[#This Row],[INVESTOR CODE]],[3]!Table_1[INVESTOR CODE],0))</f>
        <v>#REF!</v>
      </c>
      <c r="AD380" s="201" t="e">
        <f>INDEX([3]!Table_1[Brokerage Name2],MATCH(INVESTORS_LIST[[#This Row],[INVESTOR CODE]],[3]!Table_1[INVESTOR CODE],0))</f>
        <v>#REF!</v>
      </c>
      <c r="AE380" s="201" t="e">
        <f>MID(INVESTORS_LIST[[#This Row],[BO ID]],4,5)</f>
        <v>#REF!</v>
      </c>
      <c r="AF380" s="201" t="e">
        <f>MID(INVESTORS_LIST[[#This Row],[BO ID]],2,7)</f>
        <v>#REF!</v>
      </c>
      <c r="AG380" s="201" t="e">
        <f>MID(INVESTORS_LIST[[#This Row],[BO ID]],9,7)</f>
        <v>#REF!</v>
      </c>
      <c r="AH380" s="201" t="e">
        <f>RIGHT(INVESTORS_LIST[[#This Row],[BO ID]],1)</f>
        <v>#REF!</v>
      </c>
      <c r="AI380" s="50">
        <f>INVESTORS_LIST[[#This Row],[LS_TOTAL COST VALUE OF CURRENT UNITS]]+INVESTORS_LIST[[#This Row],[SIP_TOTAL COST VALUE OF CURRENT UNITS]]</f>
        <v>0</v>
      </c>
      <c r="AJ380" s="109">
        <f>IF(INVESTORS_LIST[[#This Row],[TOTAL CURRENT UNITS]]=0,0,INVESTORS_LIST[[#This Row],[LS_TOTAL CURRENT UNITS]]/INVESTORS_LIST[[#This Row],[TOTAL CURRENT UNITS]])</f>
        <v>0</v>
      </c>
      <c r="AK380" s="109">
        <f>IF(INVESTORS_LIST[[#This Row],[TOTAL CURRENT UNITS]]=0,0,INVESTORS_LIST[[#This Row],[SIP_TOTAL CURRENT UNITS]]/INVESTORS_LIST[[#This Row],[TOTAL CURRENT UNITS]])</f>
        <v>0</v>
      </c>
      <c r="AL380" s="49" cm="1">
        <f t="array" ref="AL3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0" s="49" cm="1">
        <f t="array" ref="AM3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0" s="105">
        <f t="shared" si="6"/>
        <v>14.224</v>
      </c>
      <c r="AP380" s="112">
        <f>IF(INVESTORS_LIST[[#This Row],[TOTAL CURRENT UNITS]]=0,0,INVESTORS_LIST[[#This Row],[TOTAL CURRENT UNITS]]*INVESTORS_LIST[[#This Row],[NAV]])</f>
        <v>0</v>
      </c>
      <c r="AQ380" s="49">
        <f>IF(INVESTORS_LIST[[#This Row],[LS_TOTAL CURRENT UNITS]]=0,0,INVESTORS_LIST[[#This Row],[LS_TOTAL CURRENT UNITS]]*INVESTORS_LIST[[#This Row],[NAV]])</f>
        <v>0</v>
      </c>
      <c r="AR380" s="48">
        <f>IF(INVESTORS_LIST[[#This Row],[SIP_TOTAL CURRENT UNITS]]=0,0,INVESTORS_LIST[[#This Row],[SIP_TOTAL CURRENT UNITS]]*INVESTORS_LIST[[#This Row],[NAV]])</f>
        <v>0</v>
      </c>
      <c r="AS380" s="50">
        <f>INVESTORS_LIST[[#This Row],[TOTAL CURRENT UNITS]]</f>
        <v>0</v>
      </c>
      <c r="AT380" s="48">
        <f>IF(INVESTORS_LIST[[#This Row],[TOTAL SELLABLE UNITS]]=0,0,INVESTORS_LIST[[#This Row],[TOTAL SELLABLE UNITS]]*INVESTORS_LIST[[#This Row],[NAV]])</f>
        <v>0</v>
      </c>
      <c r="AU380" s="48">
        <f>INVESTORS_LIST[[#This Row],[LS_TOTAL REALIZED GAIN]]+INVESTORS_LIST[[#This Row],[SIP_TOTAL REALIZED GAIN]]</f>
        <v>0</v>
      </c>
      <c r="AV380" s="48">
        <f>INVESTORS_LIST[[#This Row],[TOTAL MARKET VALUE]]-INVESTORS_LIST[[#This Row],[TOTAL COST VALUE OF CURRENT INVESTMENT]]</f>
        <v>0</v>
      </c>
      <c r="AW380" s="48">
        <f>IFERROR(INVESTORS_LIST[[#This Row],[TOTAL CURRENT UNITS]]/SUM(INVESTORS_LIST[TOTAL CURRENT UNITS]),0)</f>
        <v>0</v>
      </c>
    </row>
    <row r="381" spans="1:49" hidden="1">
      <c r="A381" s="262" t="s">
        <v>809</v>
      </c>
      <c r="B381" s="97" t="s">
        <v>810</v>
      </c>
      <c r="C381" t="s">
        <v>44</v>
      </c>
      <c r="D381" s="75" t="s">
        <v>45</v>
      </c>
      <c r="E381" s="47">
        <f>SUMIFS(LS[Unit],LS[Investor ID],INVESTORS_LIST[[#This Row],[INVESTOR CODE]],LS[B/S],"B")</f>
        <v>0</v>
      </c>
      <c r="F381" s="47">
        <f>-SUMIFS(LS[Unit],LS[Investor ID],INVESTORS_LIST[[#This Row],[INVESTOR CODE]],LS[B/S],"S")</f>
        <v>0</v>
      </c>
      <c r="G381" s="47">
        <f>IF(INVESTORS_LIST[[#This Row],[LS_TOTAL UNITS BUY]]=0,0,INVESTORS_LIST[[#This Row],[LS_TOTAL UNITS BUY]]-INVESTORS_LIST[[#This Row],[LS_TOTAL UNITS SOLD]])</f>
        <v>0</v>
      </c>
      <c r="H381" s="49">
        <f>IF(INVESTORS_LIST[[#This Row],[LS_TOTAL UNITS BUY]]=0,0,SUMIFS(LS[Amount],LS[Investor ID],INVESTORS_LIST[[#This Row],[INVESTOR CODE]],LS[B/S],"B"))</f>
        <v>0</v>
      </c>
      <c r="I381" s="48">
        <f>IF(INVESTORS_LIST[[#This Row],[LS_TOTAL UNITS SOLD]]=0,0,SUMIFS(LS[Cost of Units Sold],LS[Investor ID],INVESTORS_LIST[[#This Row],[INVESTOR CODE]],LS[B/S],"S"))</f>
        <v>0</v>
      </c>
      <c r="J381" s="48">
        <f>IF(INVESTORS_LIST[[#This Row],[LS_TOTAL CURRENT UNITS]]=0,0,INVESTORS_LIST[[#This Row],[LS_TOTAL CURRENT UNITS]]*INVESTORS_LIST[[#This Row],[LS_AVERAGE COST]])</f>
        <v>0</v>
      </c>
      <c r="K381" s="49">
        <f>IF(INVESTORS_LIST[[#This Row],[LS_TOTAL UNITS SOLD]]=0,0,SUMIFS(LS[Realized Gain],LS[Investor ID],INVESTORS_LIST[[#This Row],[INVESTOR CODE]],LS[B/S],"S"))</f>
        <v>0</v>
      </c>
      <c r="L381" s="47">
        <f>SUMIFS(SIP[Unit],SIP[Investor ID],INVESTORS_LIST[[#This Row],[INVESTOR CODE]],SIP[B/S],"B")</f>
        <v>0</v>
      </c>
      <c r="M381" s="47">
        <f>-SUMIFS(SIP[Unit],SIP[Investor ID],INVESTORS_LIST[[#This Row],[INVESTOR CODE]],SIP[B/S],"S")</f>
        <v>0</v>
      </c>
      <c r="N381" s="50">
        <f>IF(INVESTORS_LIST[[#This Row],[SIP_TOTAL UNITS BUY]]=0,0,INVESTORS_LIST[[#This Row],[SIP_TOTAL UNITS BUY]]-INVESTORS_LIST[[#This Row],[SIP_TOTAL UNITS SOLD]])</f>
        <v>0</v>
      </c>
      <c r="O381" s="49">
        <f>IF(INVESTORS_LIST[[#This Row],[SIP_TOTAL UNITS BUY]]=0,0,SUMIFS(SIP[Amount],SIP[Investor ID],INVESTORS_LIST[[#This Row],[INVESTOR CODE]],SIP[B/S],"B"))</f>
        <v>0</v>
      </c>
      <c r="P381" s="49">
        <f>IF(INVESTORS_LIST[[#This Row],[SIP_TOTAL UNITS SOLD]]=0,0,SUMIFS(SIP[Cost of Units Sold],SIP[Investor ID],INVESTORS_LIST[[#This Row],[INVESTOR CODE]],SIP[B/S],"S"))</f>
        <v>0</v>
      </c>
      <c r="Q381" s="48">
        <f>IF(INVESTORS_LIST[[#This Row],[SIP_TOTAL CURRENT UNITS]]=0,0,INVESTORS_LIST[[#This Row],[SIP_TOTAL CURRENT UNITS]]*INVESTORS_LIST[[#This Row],[SIP_AVERAGE COST]])</f>
        <v>0</v>
      </c>
      <c r="R381" s="48">
        <f>IF(INVESTORS_LIST[[#This Row],[SIP_TOTAL UNITS SOLD]]=0,0,SUMIFS(SIP[Realized Gain],SIP[Investor ID],INVESTORS_LIST[[#This Row],[INVESTOR CODE]],SIP[B/S],"S"))</f>
        <v>0</v>
      </c>
      <c r="S381" s="50">
        <f>INVESTORS_LIST[[#This Row],[LS_TOTAL UNITS BUY]]+INVESTORS_LIST[[#This Row],[SIP_TOTAL UNITS BUY]]</f>
        <v>0</v>
      </c>
      <c r="T381" s="50">
        <f>INVESTORS_LIST[[#This Row],[LS_TOTAL UNITS SOLD]]+INVESTORS_LIST[[#This Row],[SIP_TOTAL UNITS SOLD]]</f>
        <v>0</v>
      </c>
      <c r="U381" s="50"/>
      <c r="V381" s="50">
        <f>SUMIFS(LS[BO UNIT TRANSFER],LS[Investor ID],INVESTORS_LIST[[#This Row],[INVESTOR CODE]],LS[B/S],"B")</f>
        <v>0</v>
      </c>
      <c r="W381" s="50">
        <f>SUMIFS(SIP[BO UNIT TRANSFER],SIP[Investor ID],INVESTORS_LIST[[#This Row],[INVESTOR CODE]],SIP[B/S],"B")</f>
        <v>0</v>
      </c>
      <c r="X381" s="50">
        <f>SUMIFS(LS[BO UNIT TRANSFER],LS[Investor ID],INVESTORS_LIST[[#This Row],[INVESTOR CODE]],LS[B/S],"S")</f>
        <v>0</v>
      </c>
      <c r="Y381" s="50">
        <f>SUMIFS(SIP[BO UNIT TRANSFER],SIP[Investor ID],INVESTORS_LIST[[#This Row],[INVESTOR CODE]],SIP[B/S],"S")</f>
        <v>0</v>
      </c>
      <c r="Z381" s="106">
        <f>SUM(INVESTORS_LIST[[#This Row],[BO OPENING BALANCE]:[BO SIP UNITS REPURCHASE]])</f>
        <v>0</v>
      </c>
      <c r="AA381" s="107">
        <f>INVESTORS_LIST[[#This Row],[TOTAL UNITS BUY]]-INVESTORS_LIST[[#This Row],[TOTAL UNITS SOLD]]</f>
        <v>0</v>
      </c>
      <c r="AB381" s="107">
        <f>INVESTORS_LIST[[#This Row],[TOTAL CURRENT UNITS]]-INVESTORS_LIST[[#This Row],[BO UNITS HOLD]]</f>
        <v>0</v>
      </c>
      <c r="AC381" s="201" t="e">
        <f>INDEX([3]!Table_1[BO ID],MATCH(INVESTORS_LIST[[#This Row],[INVESTOR CODE]],[3]!Table_1[INVESTOR CODE],0))</f>
        <v>#REF!</v>
      </c>
      <c r="AD381" s="201" t="e">
        <f>INDEX([3]!Table_1[Brokerage Name2],MATCH(INVESTORS_LIST[[#This Row],[INVESTOR CODE]],[3]!Table_1[INVESTOR CODE],0))</f>
        <v>#REF!</v>
      </c>
      <c r="AE381" s="201" t="e">
        <f>MID(INVESTORS_LIST[[#This Row],[BO ID]],4,5)</f>
        <v>#REF!</v>
      </c>
      <c r="AF381" s="201" t="e">
        <f>MID(INVESTORS_LIST[[#This Row],[BO ID]],2,7)</f>
        <v>#REF!</v>
      </c>
      <c r="AG381" s="201" t="e">
        <f>MID(INVESTORS_LIST[[#This Row],[BO ID]],9,7)</f>
        <v>#REF!</v>
      </c>
      <c r="AH381" s="201" t="e">
        <f>RIGHT(INVESTORS_LIST[[#This Row],[BO ID]],1)</f>
        <v>#REF!</v>
      </c>
      <c r="AI381" s="50">
        <f>INVESTORS_LIST[[#This Row],[LS_TOTAL COST VALUE OF CURRENT UNITS]]+INVESTORS_LIST[[#This Row],[SIP_TOTAL COST VALUE OF CURRENT UNITS]]</f>
        <v>0</v>
      </c>
      <c r="AJ381" s="109">
        <f>IF(INVESTORS_LIST[[#This Row],[TOTAL CURRENT UNITS]]=0,0,INVESTORS_LIST[[#This Row],[LS_TOTAL CURRENT UNITS]]/INVESTORS_LIST[[#This Row],[TOTAL CURRENT UNITS]])</f>
        <v>0</v>
      </c>
      <c r="AK381" s="109">
        <f>IF(INVESTORS_LIST[[#This Row],[TOTAL CURRENT UNITS]]=0,0,INVESTORS_LIST[[#This Row],[SIP_TOTAL CURRENT UNITS]]/INVESTORS_LIST[[#This Row],[TOTAL CURRENT UNITS]])</f>
        <v>0</v>
      </c>
      <c r="AL381" s="49" cm="1">
        <f t="array" ref="AL3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1" s="49" cm="1">
        <f t="array" ref="AM3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1" s="105">
        <f t="shared" si="6"/>
        <v>14.224</v>
      </c>
      <c r="AP381" s="112">
        <f>IF(INVESTORS_LIST[[#This Row],[TOTAL CURRENT UNITS]]=0,0,INVESTORS_LIST[[#This Row],[TOTAL CURRENT UNITS]]*INVESTORS_LIST[[#This Row],[NAV]])</f>
        <v>0</v>
      </c>
      <c r="AQ381" s="49">
        <f>IF(INVESTORS_LIST[[#This Row],[LS_TOTAL CURRENT UNITS]]=0,0,INVESTORS_LIST[[#This Row],[LS_TOTAL CURRENT UNITS]]*INVESTORS_LIST[[#This Row],[NAV]])</f>
        <v>0</v>
      </c>
      <c r="AR381" s="48">
        <f>IF(INVESTORS_LIST[[#This Row],[SIP_TOTAL CURRENT UNITS]]=0,0,INVESTORS_LIST[[#This Row],[SIP_TOTAL CURRENT UNITS]]*INVESTORS_LIST[[#This Row],[NAV]])</f>
        <v>0</v>
      </c>
      <c r="AS381" s="50">
        <f>INVESTORS_LIST[[#This Row],[TOTAL CURRENT UNITS]]</f>
        <v>0</v>
      </c>
      <c r="AT381" s="48">
        <f>IF(INVESTORS_LIST[[#This Row],[TOTAL SELLABLE UNITS]]=0,0,INVESTORS_LIST[[#This Row],[TOTAL SELLABLE UNITS]]*INVESTORS_LIST[[#This Row],[NAV]])</f>
        <v>0</v>
      </c>
      <c r="AU381" s="48">
        <f>INVESTORS_LIST[[#This Row],[LS_TOTAL REALIZED GAIN]]+INVESTORS_LIST[[#This Row],[SIP_TOTAL REALIZED GAIN]]</f>
        <v>0</v>
      </c>
      <c r="AV381" s="48">
        <f>INVESTORS_LIST[[#This Row],[TOTAL MARKET VALUE]]-INVESTORS_LIST[[#This Row],[TOTAL COST VALUE OF CURRENT INVESTMENT]]</f>
        <v>0</v>
      </c>
      <c r="AW381" s="48">
        <f>IFERROR(INVESTORS_LIST[[#This Row],[TOTAL CURRENT UNITS]]/SUM(INVESTORS_LIST[TOTAL CURRENT UNITS]),0)</f>
        <v>0</v>
      </c>
    </row>
    <row r="382" spans="1:49" hidden="1">
      <c r="A382" s="262" t="s">
        <v>100</v>
      </c>
      <c r="B382" s="97" t="s">
        <v>811</v>
      </c>
      <c r="C382" t="s">
        <v>44</v>
      </c>
      <c r="D382" s="75" t="s">
        <v>45</v>
      </c>
      <c r="E382" s="47">
        <f>SUMIFS(LS[Unit],LS[Investor ID],INVESTORS_LIST[[#This Row],[INVESTOR CODE]],LS[B/S],"B")</f>
        <v>0</v>
      </c>
      <c r="F382" s="47">
        <f>-SUMIFS(LS[Unit],LS[Investor ID],INVESTORS_LIST[[#This Row],[INVESTOR CODE]],LS[B/S],"S")</f>
        <v>0</v>
      </c>
      <c r="G382" s="47">
        <f>IF(INVESTORS_LIST[[#This Row],[LS_TOTAL UNITS BUY]]=0,0,INVESTORS_LIST[[#This Row],[LS_TOTAL UNITS BUY]]-INVESTORS_LIST[[#This Row],[LS_TOTAL UNITS SOLD]])</f>
        <v>0</v>
      </c>
      <c r="H382" s="49">
        <f>IF(INVESTORS_LIST[[#This Row],[LS_TOTAL UNITS BUY]]=0,0,SUMIFS(LS[Amount],LS[Investor ID],INVESTORS_LIST[[#This Row],[INVESTOR CODE]],LS[B/S],"B"))</f>
        <v>0</v>
      </c>
      <c r="I382" s="48">
        <f>IF(INVESTORS_LIST[[#This Row],[LS_TOTAL UNITS SOLD]]=0,0,SUMIFS(LS[Cost of Units Sold],LS[Investor ID],INVESTORS_LIST[[#This Row],[INVESTOR CODE]],LS[B/S],"S"))</f>
        <v>0</v>
      </c>
      <c r="J382" s="48">
        <f>IF(INVESTORS_LIST[[#This Row],[LS_TOTAL CURRENT UNITS]]=0,0,INVESTORS_LIST[[#This Row],[LS_TOTAL CURRENT UNITS]]*INVESTORS_LIST[[#This Row],[LS_AVERAGE COST]])</f>
        <v>0</v>
      </c>
      <c r="K382" s="49">
        <f>IF(INVESTORS_LIST[[#This Row],[LS_TOTAL UNITS SOLD]]=0,0,SUMIFS(LS[Realized Gain],LS[Investor ID],INVESTORS_LIST[[#This Row],[INVESTOR CODE]],LS[B/S],"S"))</f>
        <v>0</v>
      </c>
      <c r="L382" s="47">
        <f>SUMIFS(SIP[Unit],SIP[Investor ID],INVESTORS_LIST[[#This Row],[INVESTOR CODE]],SIP[B/S],"B")</f>
        <v>0</v>
      </c>
      <c r="M382" s="47">
        <f>-SUMIFS(SIP[Unit],SIP[Investor ID],INVESTORS_LIST[[#This Row],[INVESTOR CODE]],SIP[B/S],"S")</f>
        <v>0</v>
      </c>
      <c r="N382" s="50">
        <f>IF(INVESTORS_LIST[[#This Row],[SIP_TOTAL UNITS BUY]]=0,0,INVESTORS_LIST[[#This Row],[SIP_TOTAL UNITS BUY]]-INVESTORS_LIST[[#This Row],[SIP_TOTAL UNITS SOLD]])</f>
        <v>0</v>
      </c>
      <c r="O382" s="49">
        <f>IF(INVESTORS_LIST[[#This Row],[SIP_TOTAL UNITS BUY]]=0,0,SUMIFS(SIP[Amount],SIP[Investor ID],INVESTORS_LIST[[#This Row],[INVESTOR CODE]],SIP[B/S],"B"))</f>
        <v>0</v>
      </c>
      <c r="P382" s="49">
        <f>IF(INVESTORS_LIST[[#This Row],[SIP_TOTAL UNITS SOLD]]=0,0,SUMIFS(SIP[Cost of Units Sold],SIP[Investor ID],INVESTORS_LIST[[#This Row],[INVESTOR CODE]],SIP[B/S],"S"))</f>
        <v>0</v>
      </c>
      <c r="Q382" s="48">
        <f>IF(INVESTORS_LIST[[#This Row],[SIP_TOTAL CURRENT UNITS]]=0,0,INVESTORS_LIST[[#This Row],[SIP_TOTAL CURRENT UNITS]]*INVESTORS_LIST[[#This Row],[SIP_AVERAGE COST]])</f>
        <v>0</v>
      </c>
      <c r="R382" s="48">
        <f>IF(INVESTORS_LIST[[#This Row],[SIP_TOTAL UNITS SOLD]]=0,0,SUMIFS(SIP[Realized Gain],SIP[Investor ID],INVESTORS_LIST[[#This Row],[INVESTOR CODE]],SIP[B/S],"S"))</f>
        <v>0</v>
      </c>
      <c r="S382" s="50">
        <f>INVESTORS_LIST[[#This Row],[LS_TOTAL UNITS BUY]]+INVESTORS_LIST[[#This Row],[SIP_TOTAL UNITS BUY]]</f>
        <v>0</v>
      </c>
      <c r="T382" s="50">
        <f>INVESTORS_LIST[[#This Row],[LS_TOTAL UNITS SOLD]]+INVESTORS_LIST[[#This Row],[SIP_TOTAL UNITS SOLD]]</f>
        <v>0</v>
      </c>
      <c r="U382" s="50"/>
      <c r="V382" s="50">
        <f>SUMIFS(LS[BO UNIT TRANSFER],LS[Investor ID],INVESTORS_LIST[[#This Row],[INVESTOR CODE]],LS[B/S],"B")</f>
        <v>0</v>
      </c>
      <c r="W382" s="50">
        <f>SUMIFS(SIP[BO UNIT TRANSFER],SIP[Investor ID],INVESTORS_LIST[[#This Row],[INVESTOR CODE]],SIP[B/S],"B")</f>
        <v>0</v>
      </c>
      <c r="X382" s="50">
        <f>SUMIFS(LS[BO UNIT TRANSFER],LS[Investor ID],INVESTORS_LIST[[#This Row],[INVESTOR CODE]],LS[B/S],"S")</f>
        <v>0</v>
      </c>
      <c r="Y382" s="50">
        <f>SUMIFS(SIP[BO UNIT TRANSFER],SIP[Investor ID],INVESTORS_LIST[[#This Row],[INVESTOR CODE]],SIP[B/S],"S")</f>
        <v>0</v>
      </c>
      <c r="Z382" s="106">
        <f>SUM(INVESTORS_LIST[[#This Row],[BO OPENING BALANCE]:[BO SIP UNITS REPURCHASE]])</f>
        <v>0</v>
      </c>
      <c r="AA382" s="107">
        <f>INVESTORS_LIST[[#This Row],[TOTAL UNITS BUY]]-INVESTORS_LIST[[#This Row],[TOTAL UNITS SOLD]]</f>
        <v>0</v>
      </c>
      <c r="AB382" s="107">
        <f>INVESTORS_LIST[[#This Row],[TOTAL CURRENT UNITS]]-INVESTORS_LIST[[#This Row],[BO UNITS HOLD]]</f>
        <v>0</v>
      </c>
      <c r="AC382" s="201" t="e">
        <f>INDEX([3]!Table_1[BO ID],MATCH(INVESTORS_LIST[[#This Row],[INVESTOR CODE]],[3]!Table_1[INVESTOR CODE],0))</f>
        <v>#REF!</v>
      </c>
      <c r="AD382" s="201" t="e">
        <f>INDEX([3]!Table_1[Brokerage Name2],MATCH(INVESTORS_LIST[[#This Row],[INVESTOR CODE]],[3]!Table_1[INVESTOR CODE],0))</f>
        <v>#REF!</v>
      </c>
      <c r="AE382" s="201" t="e">
        <f>MID(INVESTORS_LIST[[#This Row],[BO ID]],4,5)</f>
        <v>#REF!</v>
      </c>
      <c r="AF382" s="201" t="e">
        <f>MID(INVESTORS_LIST[[#This Row],[BO ID]],2,7)</f>
        <v>#REF!</v>
      </c>
      <c r="AG382" s="201" t="e">
        <f>MID(INVESTORS_LIST[[#This Row],[BO ID]],9,7)</f>
        <v>#REF!</v>
      </c>
      <c r="AH382" s="201" t="e">
        <f>RIGHT(INVESTORS_LIST[[#This Row],[BO ID]],1)</f>
        <v>#REF!</v>
      </c>
      <c r="AI382" s="50">
        <f>INVESTORS_LIST[[#This Row],[LS_TOTAL COST VALUE OF CURRENT UNITS]]+INVESTORS_LIST[[#This Row],[SIP_TOTAL COST VALUE OF CURRENT UNITS]]</f>
        <v>0</v>
      </c>
      <c r="AJ382" s="109">
        <f>IF(INVESTORS_LIST[[#This Row],[TOTAL CURRENT UNITS]]=0,0,INVESTORS_LIST[[#This Row],[LS_TOTAL CURRENT UNITS]]/INVESTORS_LIST[[#This Row],[TOTAL CURRENT UNITS]])</f>
        <v>0</v>
      </c>
      <c r="AK382" s="109">
        <f>IF(INVESTORS_LIST[[#This Row],[TOTAL CURRENT UNITS]]=0,0,INVESTORS_LIST[[#This Row],[SIP_TOTAL CURRENT UNITS]]/INVESTORS_LIST[[#This Row],[TOTAL CURRENT UNITS]])</f>
        <v>0</v>
      </c>
      <c r="AL382" s="49" cm="1">
        <f t="array" ref="AL3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2" s="49" cm="1">
        <f t="array" ref="AM3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2" s="105">
        <f t="shared" si="6"/>
        <v>14.224</v>
      </c>
      <c r="AP382" s="112">
        <f>IF(INVESTORS_LIST[[#This Row],[TOTAL CURRENT UNITS]]=0,0,INVESTORS_LIST[[#This Row],[TOTAL CURRENT UNITS]]*INVESTORS_LIST[[#This Row],[NAV]])</f>
        <v>0</v>
      </c>
      <c r="AQ382" s="49">
        <f>IF(INVESTORS_LIST[[#This Row],[LS_TOTAL CURRENT UNITS]]=0,0,INVESTORS_LIST[[#This Row],[LS_TOTAL CURRENT UNITS]]*INVESTORS_LIST[[#This Row],[NAV]])</f>
        <v>0</v>
      </c>
      <c r="AR382" s="48">
        <f>IF(INVESTORS_LIST[[#This Row],[SIP_TOTAL CURRENT UNITS]]=0,0,INVESTORS_LIST[[#This Row],[SIP_TOTAL CURRENT UNITS]]*INVESTORS_LIST[[#This Row],[NAV]])</f>
        <v>0</v>
      </c>
      <c r="AS382" s="50">
        <f>INVESTORS_LIST[[#This Row],[TOTAL CURRENT UNITS]]</f>
        <v>0</v>
      </c>
      <c r="AT382" s="48">
        <f>IF(INVESTORS_LIST[[#This Row],[TOTAL SELLABLE UNITS]]=0,0,INVESTORS_LIST[[#This Row],[TOTAL SELLABLE UNITS]]*INVESTORS_LIST[[#This Row],[NAV]])</f>
        <v>0</v>
      </c>
      <c r="AU382" s="48">
        <f>INVESTORS_LIST[[#This Row],[LS_TOTAL REALIZED GAIN]]+INVESTORS_LIST[[#This Row],[SIP_TOTAL REALIZED GAIN]]</f>
        <v>0</v>
      </c>
      <c r="AV382" s="48">
        <f>INVESTORS_LIST[[#This Row],[TOTAL MARKET VALUE]]-INVESTORS_LIST[[#This Row],[TOTAL COST VALUE OF CURRENT INVESTMENT]]</f>
        <v>0</v>
      </c>
      <c r="AW382" s="48">
        <f>IFERROR(INVESTORS_LIST[[#This Row],[TOTAL CURRENT UNITS]]/SUM(INVESTORS_LIST[TOTAL CURRENT UNITS]),0)</f>
        <v>0</v>
      </c>
    </row>
    <row r="383" spans="1:49" hidden="1">
      <c r="A383" s="262" t="s">
        <v>812</v>
      </c>
      <c r="B383" s="97" t="s">
        <v>813</v>
      </c>
      <c r="C383" t="s">
        <v>44</v>
      </c>
      <c r="D383" s="75" t="s">
        <v>45</v>
      </c>
      <c r="E383" s="47">
        <f>SUMIFS(LS[Unit],LS[Investor ID],INVESTORS_LIST[[#This Row],[INVESTOR CODE]],LS[B/S],"B")</f>
        <v>0</v>
      </c>
      <c r="F383" s="47">
        <f>-SUMIFS(LS[Unit],LS[Investor ID],INVESTORS_LIST[[#This Row],[INVESTOR CODE]],LS[B/S],"S")</f>
        <v>0</v>
      </c>
      <c r="G383" s="47">
        <f>IF(INVESTORS_LIST[[#This Row],[LS_TOTAL UNITS BUY]]=0,0,INVESTORS_LIST[[#This Row],[LS_TOTAL UNITS BUY]]-INVESTORS_LIST[[#This Row],[LS_TOTAL UNITS SOLD]])</f>
        <v>0</v>
      </c>
      <c r="H383" s="49">
        <f>IF(INVESTORS_LIST[[#This Row],[LS_TOTAL UNITS BUY]]=0,0,SUMIFS(LS[Amount],LS[Investor ID],INVESTORS_LIST[[#This Row],[INVESTOR CODE]],LS[B/S],"B"))</f>
        <v>0</v>
      </c>
      <c r="I383" s="48">
        <f>IF(INVESTORS_LIST[[#This Row],[LS_TOTAL UNITS SOLD]]=0,0,SUMIFS(LS[Cost of Units Sold],LS[Investor ID],INVESTORS_LIST[[#This Row],[INVESTOR CODE]],LS[B/S],"S"))</f>
        <v>0</v>
      </c>
      <c r="J383" s="48">
        <f>IF(INVESTORS_LIST[[#This Row],[LS_TOTAL CURRENT UNITS]]=0,0,INVESTORS_LIST[[#This Row],[LS_TOTAL CURRENT UNITS]]*INVESTORS_LIST[[#This Row],[LS_AVERAGE COST]])</f>
        <v>0</v>
      </c>
      <c r="K383" s="49">
        <f>IF(INVESTORS_LIST[[#This Row],[LS_TOTAL UNITS SOLD]]=0,0,SUMIFS(LS[Realized Gain],LS[Investor ID],INVESTORS_LIST[[#This Row],[INVESTOR CODE]],LS[B/S],"S"))</f>
        <v>0</v>
      </c>
      <c r="L383" s="47">
        <f>SUMIFS(SIP[Unit],SIP[Investor ID],INVESTORS_LIST[[#This Row],[INVESTOR CODE]],SIP[B/S],"B")</f>
        <v>0</v>
      </c>
      <c r="M383" s="47">
        <f>-SUMIFS(SIP[Unit],SIP[Investor ID],INVESTORS_LIST[[#This Row],[INVESTOR CODE]],SIP[B/S],"S")</f>
        <v>0</v>
      </c>
      <c r="N383" s="50">
        <f>IF(INVESTORS_LIST[[#This Row],[SIP_TOTAL UNITS BUY]]=0,0,INVESTORS_LIST[[#This Row],[SIP_TOTAL UNITS BUY]]-INVESTORS_LIST[[#This Row],[SIP_TOTAL UNITS SOLD]])</f>
        <v>0</v>
      </c>
      <c r="O383" s="49">
        <f>IF(INVESTORS_LIST[[#This Row],[SIP_TOTAL UNITS BUY]]=0,0,SUMIFS(SIP[Amount],SIP[Investor ID],INVESTORS_LIST[[#This Row],[INVESTOR CODE]],SIP[B/S],"B"))</f>
        <v>0</v>
      </c>
      <c r="P383" s="49">
        <f>IF(INVESTORS_LIST[[#This Row],[SIP_TOTAL UNITS SOLD]]=0,0,SUMIFS(SIP[Cost of Units Sold],SIP[Investor ID],INVESTORS_LIST[[#This Row],[INVESTOR CODE]],SIP[B/S],"S"))</f>
        <v>0</v>
      </c>
      <c r="Q383" s="48">
        <f>IF(INVESTORS_LIST[[#This Row],[SIP_TOTAL CURRENT UNITS]]=0,0,INVESTORS_LIST[[#This Row],[SIP_TOTAL CURRENT UNITS]]*INVESTORS_LIST[[#This Row],[SIP_AVERAGE COST]])</f>
        <v>0</v>
      </c>
      <c r="R383" s="48">
        <f>IF(INVESTORS_LIST[[#This Row],[SIP_TOTAL UNITS SOLD]]=0,0,SUMIFS(SIP[Realized Gain],SIP[Investor ID],INVESTORS_LIST[[#This Row],[INVESTOR CODE]],SIP[B/S],"S"))</f>
        <v>0</v>
      </c>
      <c r="S383" s="50">
        <f>INVESTORS_LIST[[#This Row],[LS_TOTAL UNITS BUY]]+INVESTORS_LIST[[#This Row],[SIP_TOTAL UNITS BUY]]</f>
        <v>0</v>
      </c>
      <c r="T383" s="50">
        <f>INVESTORS_LIST[[#This Row],[LS_TOTAL UNITS SOLD]]+INVESTORS_LIST[[#This Row],[SIP_TOTAL UNITS SOLD]]</f>
        <v>0</v>
      </c>
      <c r="U383" s="50"/>
      <c r="V383" s="50">
        <f>SUMIFS(LS[BO UNIT TRANSFER],LS[Investor ID],INVESTORS_LIST[[#This Row],[INVESTOR CODE]],LS[B/S],"B")</f>
        <v>0</v>
      </c>
      <c r="W383" s="50">
        <f>SUMIFS(SIP[BO UNIT TRANSFER],SIP[Investor ID],INVESTORS_LIST[[#This Row],[INVESTOR CODE]],SIP[B/S],"B")</f>
        <v>0</v>
      </c>
      <c r="X383" s="50">
        <f>SUMIFS(LS[BO UNIT TRANSFER],LS[Investor ID],INVESTORS_LIST[[#This Row],[INVESTOR CODE]],LS[B/S],"S")</f>
        <v>0</v>
      </c>
      <c r="Y383" s="50">
        <f>SUMIFS(SIP[BO UNIT TRANSFER],SIP[Investor ID],INVESTORS_LIST[[#This Row],[INVESTOR CODE]],SIP[B/S],"S")</f>
        <v>0</v>
      </c>
      <c r="Z383" s="106">
        <f>SUM(INVESTORS_LIST[[#This Row],[BO OPENING BALANCE]:[BO SIP UNITS REPURCHASE]])</f>
        <v>0</v>
      </c>
      <c r="AA383" s="107">
        <f>INVESTORS_LIST[[#This Row],[TOTAL UNITS BUY]]-INVESTORS_LIST[[#This Row],[TOTAL UNITS SOLD]]</f>
        <v>0</v>
      </c>
      <c r="AB383" s="107">
        <f>INVESTORS_LIST[[#This Row],[TOTAL CURRENT UNITS]]-INVESTORS_LIST[[#This Row],[BO UNITS HOLD]]</f>
        <v>0</v>
      </c>
      <c r="AC383" s="201" t="e">
        <f>INDEX([3]!Table_1[BO ID],MATCH(INVESTORS_LIST[[#This Row],[INVESTOR CODE]],[3]!Table_1[INVESTOR CODE],0))</f>
        <v>#REF!</v>
      </c>
      <c r="AD383" s="201" t="e">
        <f>INDEX([3]!Table_1[Brokerage Name2],MATCH(INVESTORS_LIST[[#This Row],[INVESTOR CODE]],[3]!Table_1[INVESTOR CODE],0))</f>
        <v>#REF!</v>
      </c>
      <c r="AE383" s="201" t="e">
        <f>MID(INVESTORS_LIST[[#This Row],[BO ID]],4,5)</f>
        <v>#REF!</v>
      </c>
      <c r="AF383" s="201" t="e">
        <f>MID(INVESTORS_LIST[[#This Row],[BO ID]],2,7)</f>
        <v>#REF!</v>
      </c>
      <c r="AG383" s="201" t="e">
        <f>MID(INVESTORS_LIST[[#This Row],[BO ID]],9,7)</f>
        <v>#REF!</v>
      </c>
      <c r="AH383" s="201" t="e">
        <f>RIGHT(INVESTORS_LIST[[#This Row],[BO ID]],1)</f>
        <v>#REF!</v>
      </c>
      <c r="AI383" s="50">
        <f>INVESTORS_LIST[[#This Row],[LS_TOTAL COST VALUE OF CURRENT UNITS]]+INVESTORS_LIST[[#This Row],[SIP_TOTAL COST VALUE OF CURRENT UNITS]]</f>
        <v>0</v>
      </c>
      <c r="AJ383" s="109">
        <f>IF(INVESTORS_LIST[[#This Row],[TOTAL CURRENT UNITS]]=0,0,INVESTORS_LIST[[#This Row],[LS_TOTAL CURRENT UNITS]]/INVESTORS_LIST[[#This Row],[TOTAL CURRENT UNITS]])</f>
        <v>0</v>
      </c>
      <c r="AK383" s="109">
        <f>IF(INVESTORS_LIST[[#This Row],[TOTAL CURRENT UNITS]]=0,0,INVESTORS_LIST[[#This Row],[SIP_TOTAL CURRENT UNITS]]/INVESTORS_LIST[[#This Row],[TOTAL CURRENT UNITS]])</f>
        <v>0</v>
      </c>
      <c r="AL383" s="49" cm="1">
        <f t="array" ref="AL3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3" s="49" cm="1">
        <f t="array" ref="AM3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3" s="105">
        <f t="shared" si="6"/>
        <v>14.224</v>
      </c>
      <c r="AP383" s="112">
        <f>IF(INVESTORS_LIST[[#This Row],[TOTAL CURRENT UNITS]]=0,0,INVESTORS_LIST[[#This Row],[TOTAL CURRENT UNITS]]*INVESTORS_LIST[[#This Row],[NAV]])</f>
        <v>0</v>
      </c>
      <c r="AQ383" s="49">
        <f>IF(INVESTORS_LIST[[#This Row],[LS_TOTAL CURRENT UNITS]]=0,0,INVESTORS_LIST[[#This Row],[LS_TOTAL CURRENT UNITS]]*INVESTORS_LIST[[#This Row],[NAV]])</f>
        <v>0</v>
      </c>
      <c r="AR383" s="48">
        <f>IF(INVESTORS_LIST[[#This Row],[SIP_TOTAL CURRENT UNITS]]=0,0,INVESTORS_LIST[[#This Row],[SIP_TOTAL CURRENT UNITS]]*INVESTORS_LIST[[#This Row],[NAV]])</f>
        <v>0</v>
      </c>
      <c r="AS383" s="50">
        <f>INVESTORS_LIST[[#This Row],[TOTAL CURRENT UNITS]]</f>
        <v>0</v>
      </c>
      <c r="AT383" s="48">
        <f>IF(INVESTORS_LIST[[#This Row],[TOTAL SELLABLE UNITS]]=0,0,INVESTORS_LIST[[#This Row],[TOTAL SELLABLE UNITS]]*INVESTORS_LIST[[#This Row],[NAV]])</f>
        <v>0</v>
      </c>
      <c r="AU383" s="48">
        <f>INVESTORS_LIST[[#This Row],[LS_TOTAL REALIZED GAIN]]+INVESTORS_LIST[[#This Row],[SIP_TOTAL REALIZED GAIN]]</f>
        <v>0</v>
      </c>
      <c r="AV383" s="48">
        <f>INVESTORS_LIST[[#This Row],[TOTAL MARKET VALUE]]-INVESTORS_LIST[[#This Row],[TOTAL COST VALUE OF CURRENT INVESTMENT]]</f>
        <v>0</v>
      </c>
      <c r="AW383" s="48">
        <f>IFERROR(INVESTORS_LIST[[#This Row],[TOTAL CURRENT UNITS]]/SUM(INVESTORS_LIST[TOTAL CURRENT UNITS]),0)</f>
        <v>0</v>
      </c>
    </row>
    <row r="384" spans="1:49" hidden="1">
      <c r="A384" s="262" t="s">
        <v>814</v>
      </c>
      <c r="B384" s="97" t="s">
        <v>815</v>
      </c>
      <c r="C384" t="s">
        <v>44</v>
      </c>
      <c r="D384" s="75" t="s">
        <v>45</v>
      </c>
      <c r="E384" s="47">
        <f>SUMIFS(LS[Unit],LS[Investor ID],INVESTORS_LIST[[#This Row],[INVESTOR CODE]],LS[B/S],"B")</f>
        <v>24571</v>
      </c>
      <c r="F384" s="47">
        <f>-SUMIFS(LS[Unit],LS[Investor ID],INVESTORS_LIST[[#This Row],[INVESTOR CODE]],LS[B/S],"S")</f>
        <v>24571</v>
      </c>
      <c r="G384" s="47">
        <f>IF(INVESTORS_LIST[[#This Row],[LS_TOTAL UNITS BUY]]=0,0,INVESTORS_LIST[[#This Row],[LS_TOTAL UNITS BUY]]-INVESTORS_LIST[[#This Row],[LS_TOTAL UNITS SOLD]])</f>
        <v>0</v>
      </c>
      <c r="H384" s="49">
        <f>IF(INVESTORS_LIST[[#This Row],[LS_TOTAL UNITS BUY]]=0,0,SUMIFS(LS[Amount],LS[Investor ID],INVESTORS_LIST[[#This Row],[INVESTOR CODE]],LS[B/S],"B"))</f>
        <v>260000</v>
      </c>
      <c r="I384" s="48">
        <f>IF(INVESTORS_LIST[[#This Row],[LS_TOTAL UNITS SOLD]]=0,0,SUMIFS(LS[Cost of Units Sold],LS[Investor ID],INVESTORS_LIST[[#This Row],[INVESTOR CODE]],LS[B/S],"S"))</f>
        <v>260000</v>
      </c>
      <c r="J384" s="48">
        <f>IF(INVESTORS_LIST[[#This Row],[LS_TOTAL CURRENT UNITS]]=0,0,INVESTORS_LIST[[#This Row],[LS_TOTAL CURRENT UNITS]]*INVESTORS_LIST[[#This Row],[LS_AVERAGE COST]])</f>
        <v>0</v>
      </c>
      <c r="K384" s="49">
        <f>IF(INVESTORS_LIST[[#This Row],[LS_TOTAL UNITS SOLD]]=0,0,SUMIFS(LS[Realized Gain],LS[Investor ID],INVESTORS_LIST[[#This Row],[INVESTOR CODE]],LS[B/S],"S"))</f>
        <v>3998.1599999999808</v>
      </c>
      <c r="L384" s="47">
        <f>SUMIFS(SIP[Unit],SIP[Investor ID],INVESTORS_LIST[[#This Row],[INVESTOR CODE]],SIP[B/S],"B")</f>
        <v>0</v>
      </c>
      <c r="M384" s="47">
        <f>-SUMIFS(SIP[Unit],SIP[Investor ID],INVESTORS_LIST[[#This Row],[INVESTOR CODE]],SIP[B/S],"S")</f>
        <v>0</v>
      </c>
      <c r="N384" s="50">
        <f>IF(INVESTORS_LIST[[#This Row],[SIP_TOTAL UNITS BUY]]=0,0,INVESTORS_LIST[[#This Row],[SIP_TOTAL UNITS BUY]]-INVESTORS_LIST[[#This Row],[SIP_TOTAL UNITS SOLD]])</f>
        <v>0</v>
      </c>
      <c r="O384" s="49">
        <f>IF(INVESTORS_LIST[[#This Row],[SIP_TOTAL UNITS BUY]]=0,0,SUMIFS(SIP[Amount],SIP[Investor ID],INVESTORS_LIST[[#This Row],[INVESTOR CODE]],SIP[B/S],"B"))</f>
        <v>0</v>
      </c>
      <c r="P384" s="49">
        <f>IF(INVESTORS_LIST[[#This Row],[SIP_TOTAL UNITS SOLD]]=0,0,SUMIFS(SIP[Cost of Units Sold],SIP[Investor ID],INVESTORS_LIST[[#This Row],[INVESTOR CODE]],SIP[B/S],"S"))</f>
        <v>0</v>
      </c>
      <c r="Q384" s="48">
        <f>IF(INVESTORS_LIST[[#This Row],[SIP_TOTAL CURRENT UNITS]]=0,0,INVESTORS_LIST[[#This Row],[SIP_TOTAL CURRENT UNITS]]*INVESTORS_LIST[[#This Row],[SIP_AVERAGE COST]])</f>
        <v>0</v>
      </c>
      <c r="R384" s="48">
        <f>IF(INVESTORS_LIST[[#This Row],[SIP_TOTAL UNITS SOLD]]=0,0,SUMIFS(SIP[Realized Gain],SIP[Investor ID],INVESTORS_LIST[[#This Row],[INVESTOR CODE]],SIP[B/S],"S"))</f>
        <v>0</v>
      </c>
      <c r="S384" s="50">
        <f>INVESTORS_LIST[[#This Row],[LS_TOTAL UNITS BUY]]+INVESTORS_LIST[[#This Row],[SIP_TOTAL UNITS BUY]]</f>
        <v>24571</v>
      </c>
      <c r="T384" s="50">
        <f>INVESTORS_LIST[[#This Row],[LS_TOTAL UNITS SOLD]]+INVESTORS_LIST[[#This Row],[SIP_TOTAL UNITS SOLD]]</f>
        <v>24571</v>
      </c>
      <c r="U384" s="50"/>
      <c r="V384" s="50">
        <f>SUMIFS(LS[BO UNIT TRANSFER],LS[Investor ID],INVESTORS_LIST[[#This Row],[INVESTOR CODE]],LS[B/S],"B")</f>
        <v>0</v>
      </c>
      <c r="W384" s="50">
        <f>SUMIFS(SIP[BO UNIT TRANSFER],SIP[Investor ID],INVESTORS_LIST[[#This Row],[INVESTOR CODE]],SIP[B/S],"B")</f>
        <v>0</v>
      </c>
      <c r="X384" s="50">
        <f>SUMIFS(LS[BO UNIT TRANSFER],LS[Investor ID],INVESTORS_LIST[[#This Row],[INVESTOR CODE]],LS[B/S],"S")</f>
        <v>0</v>
      </c>
      <c r="Y384" s="50">
        <f>SUMIFS(SIP[BO UNIT TRANSFER],SIP[Investor ID],INVESTORS_LIST[[#This Row],[INVESTOR CODE]],SIP[B/S],"S")</f>
        <v>0</v>
      </c>
      <c r="Z384" s="106">
        <f>SUM(INVESTORS_LIST[[#This Row],[BO OPENING BALANCE]:[BO SIP UNITS REPURCHASE]])</f>
        <v>0</v>
      </c>
      <c r="AA384" s="107">
        <f>INVESTORS_LIST[[#This Row],[TOTAL UNITS BUY]]-INVESTORS_LIST[[#This Row],[TOTAL UNITS SOLD]]</f>
        <v>0</v>
      </c>
      <c r="AB384" s="107">
        <f>INVESTORS_LIST[[#This Row],[TOTAL CURRENT UNITS]]-INVESTORS_LIST[[#This Row],[BO UNITS HOLD]]</f>
        <v>0</v>
      </c>
      <c r="AC384" s="201" t="e">
        <f>INDEX([3]!Table_1[BO ID],MATCH(INVESTORS_LIST[[#This Row],[INVESTOR CODE]],[3]!Table_1[INVESTOR CODE],0))</f>
        <v>#REF!</v>
      </c>
      <c r="AD384" s="201" t="e">
        <f>INDEX([3]!Table_1[Brokerage Name2],MATCH(INVESTORS_LIST[[#This Row],[INVESTOR CODE]],[3]!Table_1[INVESTOR CODE],0))</f>
        <v>#REF!</v>
      </c>
      <c r="AE384" s="201" t="e">
        <f>MID(INVESTORS_LIST[[#This Row],[BO ID]],4,5)</f>
        <v>#REF!</v>
      </c>
      <c r="AF384" s="201" t="e">
        <f>MID(INVESTORS_LIST[[#This Row],[BO ID]],2,7)</f>
        <v>#REF!</v>
      </c>
      <c r="AG384" s="201" t="e">
        <f>MID(INVESTORS_LIST[[#This Row],[BO ID]],9,7)</f>
        <v>#REF!</v>
      </c>
      <c r="AH384" s="201" t="e">
        <f>RIGHT(INVESTORS_LIST[[#This Row],[BO ID]],1)</f>
        <v>#REF!</v>
      </c>
      <c r="AI384" s="50">
        <f>INVESTORS_LIST[[#This Row],[LS_TOTAL COST VALUE OF CURRENT UNITS]]+INVESTORS_LIST[[#This Row],[SIP_TOTAL COST VALUE OF CURRENT UNITS]]</f>
        <v>0</v>
      </c>
      <c r="AJ384" s="109">
        <f>IF(INVESTORS_LIST[[#This Row],[TOTAL CURRENT UNITS]]=0,0,INVESTORS_LIST[[#This Row],[LS_TOTAL CURRENT UNITS]]/INVESTORS_LIST[[#This Row],[TOTAL CURRENT UNITS]])</f>
        <v>0</v>
      </c>
      <c r="AK384" s="109">
        <f>IF(INVESTORS_LIST[[#This Row],[TOTAL CURRENT UNITS]]=0,0,INVESTORS_LIST[[#This Row],[SIP_TOTAL CURRENT UNITS]]/INVESTORS_LIST[[#This Row],[TOTAL CURRENT UNITS]])</f>
        <v>0</v>
      </c>
      <c r="AL384" s="49" cm="1">
        <f t="array" ref="AL3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4" s="49" cm="1">
        <f t="array" ref="AM3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4" s="105">
        <f t="shared" si="6"/>
        <v>14.224</v>
      </c>
      <c r="AP384" s="112">
        <f>IF(INVESTORS_LIST[[#This Row],[TOTAL CURRENT UNITS]]=0,0,INVESTORS_LIST[[#This Row],[TOTAL CURRENT UNITS]]*INVESTORS_LIST[[#This Row],[NAV]])</f>
        <v>0</v>
      </c>
      <c r="AQ384" s="49">
        <f>IF(INVESTORS_LIST[[#This Row],[LS_TOTAL CURRENT UNITS]]=0,0,INVESTORS_LIST[[#This Row],[LS_TOTAL CURRENT UNITS]]*INVESTORS_LIST[[#This Row],[NAV]])</f>
        <v>0</v>
      </c>
      <c r="AR384" s="48">
        <f>IF(INVESTORS_LIST[[#This Row],[SIP_TOTAL CURRENT UNITS]]=0,0,INVESTORS_LIST[[#This Row],[SIP_TOTAL CURRENT UNITS]]*INVESTORS_LIST[[#This Row],[NAV]])</f>
        <v>0</v>
      </c>
      <c r="AS384" s="50">
        <f>INVESTORS_LIST[[#This Row],[TOTAL CURRENT UNITS]]</f>
        <v>0</v>
      </c>
      <c r="AT384" s="48">
        <f>IF(INVESTORS_LIST[[#This Row],[TOTAL SELLABLE UNITS]]=0,0,INVESTORS_LIST[[#This Row],[TOTAL SELLABLE UNITS]]*INVESTORS_LIST[[#This Row],[NAV]])</f>
        <v>0</v>
      </c>
      <c r="AU384" s="48">
        <f>INVESTORS_LIST[[#This Row],[LS_TOTAL REALIZED GAIN]]+INVESTORS_LIST[[#This Row],[SIP_TOTAL REALIZED GAIN]]</f>
        <v>3998.1599999999808</v>
      </c>
      <c r="AV384" s="48">
        <f>INVESTORS_LIST[[#This Row],[TOTAL MARKET VALUE]]-INVESTORS_LIST[[#This Row],[TOTAL COST VALUE OF CURRENT INVESTMENT]]</f>
        <v>0</v>
      </c>
      <c r="AW384" s="48">
        <f>IFERROR(INVESTORS_LIST[[#This Row],[TOTAL CURRENT UNITS]]/SUM(INVESTORS_LIST[TOTAL CURRENT UNITS]),0)</f>
        <v>0</v>
      </c>
    </row>
    <row r="385" spans="1:49" hidden="1">
      <c r="A385" s="262" t="s">
        <v>816</v>
      </c>
      <c r="B385" s="97" t="s">
        <v>817</v>
      </c>
      <c r="C385" t="s">
        <v>44</v>
      </c>
      <c r="D385" s="75" t="s">
        <v>45</v>
      </c>
      <c r="E385" s="47">
        <f>SUMIFS(LS[Unit],LS[Investor ID],INVESTORS_LIST[[#This Row],[INVESTOR CODE]],LS[B/S],"B")</f>
        <v>0</v>
      </c>
      <c r="F385" s="47">
        <f>-SUMIFS(LS[Unit],LS[Investor ID],INVESTORS_LIST[[#This Row],[INVESTOR CODE]],LS[B/S],"S")</f>
        <v>0</v>
      </c>
      <c r="G385" s="47">
        <f>IF(INVESTORS_LIST[[#This Row],[LS_TOTAL UNITS BUY]]=0,0,INVESTORS_LIST[[#This Row],[LS_TOTAL UNITS BUY]]-INVESTORS_LIST[[#This Row],[LS_TOTAL UNITS SOLD]])</f>
        <v>0</v>
      </c>
      <c r="H385" s="49">
        <f>IF(INVESTORS_LIST[[#This Row],[LS_TOTAL UNITS BUY]]=0,0,SUMIFS(LS[Amount],LS[Investor ID],INVESTORS_LIST[[#This Row],[INVESTOR CODE]],LS[B/S],"B"))</f>
        <v>0</v>
      </c>
      <c r="I385" s="48">
        <f>IF(INVESTORS_LIST[[#This Row],[LS_TOTAL UNITS SOLD]]=0,0,SUMIFS(LS[Cost of Units Sold],LS[Investor ID],INVESTORS_LIST[[#This Row],[INVESTOR CODE]],LS[B/S],"S"))</f>
        <v>0</v>
      </c>
      <c r="J385" s="48">
        <f>IF(INVESTORS_LIST[[#This Row],[LS_TOTAL CURRENT UNITS]]=0,0,INVESTORS_LIST[[#This Row],[LS_TOTAL CURRENT UNITS]]*INVESTORS_LIST[[#This Row],[LS_AVERAGE COST]])</f>
        <v>0</v>
      </c>
      <c r="K385" s="49">
        <f>IF(INVESTORS_LIST[[#This Row],[LS_TOTAL UNITS SOLD]]=0,0,SUMIFS(LS[Realized Gain],LS[Investor ID],INVESTORS_LIST[[#This Row],[INVESTOR CODE]],LS[B/S],"S"))</f>
        <v>0</v>
      </c>
      <c r="L385" s="47">
        <f>SUMIFS(SIP[Unit],SIP[Investor ID],INVESTORS_LIST[[#This Row],[INVESTOR CODE]],SIP[B/S],"B")</f>
        <v>0</v>
      </c>
      <c r="M385" s="47">
        <f>-SUMIFS(SIP[Unit],SIP[Investor ID],INVESTORS_LIST[[#This Row],[INVESTOR CODE]],SIP[B/S],"S")</f>
        <v>0</v>
      </c>
      <c r="N385" s="50">
        <f>IF(INVESTORS_LIST[[#This Row],[SIP_TOTAL UNITS BUY]]=0,0,INVESTORS_LIST[[#This Row],[SIP_TOTAL UNITS BUY]]-INVESTORS_LIST[[#This Row],[SIP_TOTAL UNITS SOLD]])</f>
        <v>0</v>
      </c>
      <c r="O385" s="49">
        <f>IF(INVESTORS_LIST[[#This Row],[SIP_TOTAL UNITS BUY]]=0,0,SUMIFS(SIP[Amount],SIP[Investor ID],INVESTORS_LIST[[#This Row],[INVESTOR CODE]],SIP[B/S],"B"))</f>
        <v>0</v>
      </c>
      <c r="P385" s="49">
        <f>IF(INVESTORS_LIST[[#This Row],[SIP_TOTAL UNITS SOLD]]=0,0,SUMIFS(SIP[Cost of Units Sold],SIP[Investor ID],INVESTORS_LIST[[#This Row],[INVESTOR CODE]],SIP[B/S],"S"))</f>
        <v>0</v>
      </c>
      <c r="Q385" s="48">
        <f>IF(INVESTORS_LIST[[#This Row],[SIP_TOTAL CURRENT UNITS]]=0,0,INVESTORS_LIST[[#This Row],[SIP_TOTAL CURRENT UNITS]]*INVESTORS_LIST[[#This Row],[SIP_AVERAGE COST]])</f>
        <v>0</v>
      </c>
      <c r="R385" s="48">
        <f>IF(INVESTORS_LIST[[#This Row],[SIP_TOTAL UNITS SOLD]]=0,0,SUMIFS(SIP[Realized Gain],SIP[Investor ID],INVESTORS_LIST[[#This Row],[INVESTOR CODE]],SIP[B/S],"S"))</f>
        <v>0</v>
      </c>
      <c r="S385" s="50">
        <f>INVESTORS_LIST[[#This Row],[LS_TOTAL UNITS BUY]]+INVESTORS_LIST[[#This Row],[SIP_TOTAL UNITS BUY]]</f>
        <v>0</v>
      </c>
      <c r="T385" s="50">
        <f>INVESTORS_LIST[[#This Row],[LS_TOTAL UNITS SOLD]]+INVESTORS_LIST[[#This Row],[SIP_TOTAL UNITS SOLD]]</f>
        <v>0</v>
      </c>
      <c r="U385" s="50"/>
      <c r="V385" s="50">
        <f>SUMIFS(LS[BO UNIT TRANSFER],LS[Investor ID],INVESTORS_LIST[[#This Row],[INVESTOR CODE]],LS[B/S],"B")</f>
        <v>0</v>
      </c>
      <c r="W385" s="50">
        <f>SUMIFS(SIP[BO UNIT TRANSFER],SIP[Investor ID],INVESTORS_LIST[[#This Row],[INVESTOR CODE]],SIP[B/S],"B")</f>
        <v>0</v>
      </c>
      <c r="X385" s="50">
        <f>SUMIFS(LS[BO UNIT TRANSFER],LS[Investor ID],INVESTORS_LIST[[#This Row],[INVESTOR CODE]],LS[B/S],"S")</f>
        <v>0</v>
      </c>
      <c r="Y385" s="50">
        <f>SUMIFS(SIP[BO UNIT TRANSFER],SIP[Investor ID],INVESTORS_LIST[[#This Row],[INVESTOR CODE]],SIP[B/S],"S")</f>
        <v>0</v>
      </c>
      <c r="Z385" s="106">
        <f>SUM(INVESTORS_LIST[[#This Row],[BO OPENING BALANCE]:[BO SIP UNITS REPURCHASE]])</f>
        <v>0</v>
      </c>
      <c r="AA385" s="107">
        <f>INVESTORS_LIST[[#This Row],[TOTAL UNITS BUY]]-INVESTORS_LIST[[#This Row],[TOTAL UNITS SOLD]]</f>
        <v>0</v>
      </c>
      <c r="AB385" s="107">
        <f>INVESTORS_LIST[[#This Row],[TOTAL CURRENT UNITS]]-INVESTORS_LIST[[#This Row],[BO UNITS HOLD]]</f>
        <v>0</v>
      </c>
      <c r="AC385" s="201" t="e">
        <f>INDEX([3]!Table_1[BO ID],MATCH(INVESTORS_LIST[[#This Row],[INVESTOR CODE]],[3]!Table_1[INVESTOR CODE],0))</f>
        <v>#REF!</v>
      </c>
      <c r="AD385" s="201" t="e">
        <f>INDEX([3]!Table_1[Brokerage Name2],MATCH(INVESTORS_LIST[[#This Row],[INVESTOR CODE]],[3]!Table_1[INVESTOR CODE],0))</f>
        <v>#REF!</v>
      </c>
      <c r="AE385" s="201" t="e">
        <f>MID(INVESTORS_LIST[[#This Row],[BO ID]],4,5)</f>
        <v>#REF!</v>
      </c>
      <c r="AF385" s="201" t="e">
        <f>MID(INVESTORS_LIST[[#This Row],[BO ID]],2,7)</f>
        <v>#REF!</v>
      </c>
      <c r="AG385" s="201" t="e">
        <f>MID(INVESTORS_LIST[[#This Row],[BO ID]],9,7)</f>
        <v>#REF!</v>
      </c>
      <c r="AH385" s="201" t="e">
        <f>RIGHT(INVESTORS_LIST[[#This Row],[BO ID]],1)</f>
        <v>#REF!</v>
      </c>
      <c r="AI385" s="50">
        <f>INVESTORS_LIST[[#This Row],[LS_TOTAL COST VALUE OF CURRENT UNITS]]+INVESTORS_LIST[[#This Row],[SIP_TOTAL COST VALUE OF CURRENT UNITS]]</f>
        <v>0</v>
      </c>
      <c r="AJ385" s="109">
        <f>IF(INVESTORS_LIST[[#This Row],[TOTAL CURRENT UNITS]]=0,0,INVESTORS_LIST[[#This Row],[LS_TOTAL CURRENT UNITS]]/INVESTORS_LIST[[#This Row],[TOTAL CURRENT UNITS]])</f>
        <v>0</v>
      </c>
      <c r="AK385" s="109">
        <f>IF(INVESTORS_LIST[[#This Row],[TOTAL CURRENT UNITS]]=0,0,INVESTORS_LIST[[#This Row],[SIP_TOTAL CURRENT UNITS]]/INVESTORS_LIST[[#This Row],[TOTAL CURRENT UNITS]])</f>
        <v>0</v>
      </c>
      <c r="AL385" s="49" cm="1">
        <f t="array" ref="AL3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5" s="49" cm="1">
        <f t="array" ref="AM3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5" s="105">
        <f t="shared" si="6"/>
        <v>14.224</v>
      </c>
      <c r="AP385" s="112">
        <f>IF(INVESTORS_LIST[[#This Row],[TOTAL CURRENT UNITS]]=0,0,INVESTORS_LIST[[#This Row],[TOTAL CURRENT UNITS]]*INVESTORS_LIST[[#This Row],[NAV]])</f>
        <v>0</v>
      </c>
      <c r="AQ385" s="49">
        <f>IF(INVESTORS_LIST[[#This Row],[LS_TOTAL CURRENT UNITS]]=0,0,INVESTORS_LIST[[#This Row],[LS_TOTAL CURRENT UNITS]]*INVESTORS_LIST[[#This Row],[NAV]])</f>
        <v>0</v>
      </c>
      <c r="AR385" s="48">
        <f>IF(INVESTORS_LIST[[#This Row],[SIP_TOTAL CURRENT UNITS]]=0,0,INVESTORS_LIST[[#This Row],[SIP_TOTAL CURRENT UNITS]]*INVESTORS_LIST[[#This Row],[NAV]])</f>
        <v>0</v>
      </c>
      <c r="AS385" s="50">
        <f>INVESTORS_LIST[[#This Row],[TOTAL CURRENT UNITS]]</f>
        <v>0</v>
      </c>
      <c r="AT385" s="48">
        <f>IF(INVESTORS_LIST[[#This Row],[TOTAL SELLABLE UNITS]]=0,0,INVESTORS_LIST[[#This Row],[TOTAL SELLABLE UNITS]]*INVESTORS_LIST[[#This Row],[NAV]])</f>
        <v>0</v>
      </c>
      <c r="AU385" s="48">
        <f>INVESTORS_LIST[[#This Row],[LS_TOTAL REALIZED GAIN]]+INVESTORS_LIST[[#This Row],[SIP_TOTAL REALIZED GAIN]]</f>
        <v>0</v>
      </c>
      <c r="AV385" s="48">
        <f>INVESTORS_LIST[[#This Row],[TOTAL MARKET VALUE]]-INVESTORS_LIST[[#This Row],[TOTAL COST VALUE OF CURRENT INVESTMENT]]</f>
        <v>0</v>
      </c>
      <c r="AW385" s="48">
        <f>IFERROR(INVESTORS_LIST[[#This Row],[TOTAL CURRENT UNITS]]/SUM(INVESTORS_LIST[TOTAL CURRENT UNITS]),0)</f>
        <v>0</v>
      </c>
    </row>
    <row r="386" spans="1:49" hidden="1">
      <c r="A386" s="262" t="s">
        <v>818</v>
      </c>
      <c r="B386" s="97" t="s">
        <v>819</v>
      </c>
      <c r="C386" t="s">
        <v>44</v>
      </c>
      <c r="D386" s="75" t="s">
        <v>45</v>
      </c>
      <c r="E386" s="47">
        <f>SUMIFS(LS[Unit],LS[Investor ID],INVESTORS_LIST[[#This Row],[INVESTOR CODE]],LS[B/S],"B")</f>
        <v>0</v>
      </c>
      <c r="F386" s="47">
        <f>-SUMIFS(LS[Unit],LS[Investor ID],INVESTORS_LIST[[#This Row],[INVESTOR CODE]],LS[B/S],"S")</f>
        <v>0</v>
      </c>
      <c r="G386" s="47">
        <f>IF(INVESTORS_LIST[[#This Row],[LS_TOTAL UNITS BUY]]=0,0,INVESTORS_LIST[[#This Row],[LS_TOTAL UNITS BUY]]-INVESTORS_LIST[[#This Row],[LS_TOTAL UNITS SOLD]])</f>
        <v>0</v>
      </c>
      <c r="H386" s="49">
        <f>IF(INVESTORS_LIST[[#This Row],[LS_TOTAL UNITS BUY]]=0,0,SUMIFS(LS[Amount],LS[Investor ID],INVESTORS_LIST[[#This Row],[INVESTOR CODE]],LS[B/S],"B"))</f>
        <v>0</v>
      </c>
      <c r="I386" s="48">
        <f>IF(INVESTORS_LIST[[#This Row],[LS_TOTAL UNITS SOLD]]=0,0,SUMIFS(LS[Cost of Units Sold],LS[Investor ID],INVESTORS_LIST[[#This Row],[INVESTOR CODE]],LS[B/S],"S"))</f>
        <v>0</v>
      </c>
      <c r="J386" s="48">
        <f>IF(INVESTORS_LIST[[#This Row],[LS_TOTAL CURRENT UNITS]]=0,0,INVESTORS_LIST[[#This Row],[LS_TOTAL CURRENT UNITS]]*INVESTORS_LIST[[#This Row],[LS_AVERAGE COST]])</f>
        <v>0</v>
      </c>
      <c r="K386" s="49">
        <f>IF(INVESTORS_LIST[[#This Row],[LS_TOTAL UNITS SOLD]]=0,0,SUMIFS(LS[Realized Gain],LS[Investor ID],INVESTORS_LIST[[#This Row],[INVESTOR CODE]],LS[B/S],"S"))</f>
        <v>0</v>
      </c>
      <c r="L386" s="47">
        <f>SUMIFS(SIP[Unit],SIP[Investor ID],INVESTORS_LIST[[#This Row],[INVESTOR CODE]],SIP[B/S],"B")</f>
        <v>0</v>
      </c>
      <c r="M386" s="47">
        <f>-SUMIFS(SIP[Unit],SIP[Investor ID],INVESTORS_LIST[[#This Row],[INVESTOR CODE]],SIP[B/S],"S")</f>
        <v>0</v>
      </c>
      <c r="N386" s="50">
        <f>IF(INVESTORS_LIST[[#This Row],[SIP_TOTAL UNITS BUY]]=0,0,INVESTORS_LIST[[#This Row],[SIP_TOTAL UNITS BUY]]-INVESTORS_LIST[[#This Row],[SIP_TOTAL UNITS SOLD]])</f>
        <v>0</v>
      </c>
      <c r="O386" s="49">
        <f>IF(INVESTORS_LIST[[#This Row],[SIP_TOTAL UNITS BUY]]=0,0,SUMIFS(SIP[Amount],SIP[Investor ID],INVESTORS_LIST[[#This Row],[INVESTOR CODE]],SIP[B/S],"B"))</f>
        <v>0</v>
      </c>
      <c r="P386" s="49">
        <f>IF(INVESTORS_LIST[[#This Row],[SIP_TOTAL UNITS SOLD]]=0,0,SUMIFS(SIP[Cost of Units Sold],SIP[Investor ID],INVESTORS_LIST[[#This Row],[INVESTOR CODE]],SIP[B/S],"S"))</f>
        <v>0</v>
      </c>
      <c r="Q386" s="48">
        <f>IF(INVESTORS_LIST[[#This Row],[SIP_TOTAL CURRENT UNITS]]=0,0,INVESTORS_LIST[[#This Row],[SIP_TOTAL CURRENT UNITS]]*INVESTORS_LIST[[#This Row],[SIP_AVERAGE COST]])</f>
        <v>0</v>
      </c>
      <c r="R386" s="48">
        <f>IF(INVESTORS_LIST[[#This Row],[SIP_TOTAL UNITS SOLD]]=0,0,SUMIFS(SIP[Realized Gain],SIP[Investor ID],INVESTORS_LIST[[#This Row],[INVESTOR CODE]],SIP[B/S],"S"))</f>
        <v>0</v>
      </c>
      <c r="S386" s="50">
        <f>INVESTORS_LIST[[#This Row],[LS_TOTAL UNITS BUY]]+INVESTORS_LIST[[#This Row],[SIP_TOTAL UNITS BUY]]</f>
        <v>0</v>
      </c>
      <c r="T386" s="50">
        <f>INVESTORS_LIST[[#This Row],[LS_TOTAL UNITS SOLD]]+INVESTORS_LIST[[#This Row],[SIP_TOTAL UNITS SOLD]]</f>
        <v>0</v>
      </c>
      <c r="U386" s="50"/>
      <c r="V386" s="50">
        <f>SUMIFS(LS[BO UNIT TRANSFER],LS[Investor ID],INVESTORS_LIST[[#This Row],[INVESTOR CODE]],LS[B/S],"B")</f>
        <v>0</v>
      </c>
      <c r="W386" s="50">
        <f>SUMIFS(SIP[BO UNIT TRANSFER],SIP[Investor ID],INVESTORS_LIST[[#This Row],[INVESTOR CODE]],SIP[B/S],"B")</f>
        <v>0</v>
      </c>
      <c r="X386" s="50">
        <f>SUMIFS(LS[BO UNIT TRANSFER],LS[Investor ID],INVESTORS_LIST[[#This Row],[INVESTOR CODE]],LS[B/S],"S")</f>
        <v>0</v>
      </c>
      <c r="Y386" s="50">
        <f>SUMIFS(SIP[BO UNIT TRANSFER],SIP[Investor ID],INVESTORS_LIST[[#This Row],[INVESTOR CODE]],SIP[B/S],"S")</f>
        <v>0</v>
      </c>
      <c r="Z386" s="106">
        <f>SUM(INVESTORS_LIST[[#This Row],[BO OPENING BALANCE]:[BO SIP UNITS REPURCHASE]])</f>
        <v>0</v>
      </c>
      <c r="AA386" s="107">
        <f>INVESTORS_LIST[[#This Row],[TOTAL UNITS BUY]]-INVESTORS_LIST[[#This Row],[TOTAL UNITS SOLD]]</f>
        <v>0</v>
      </c>
      <c r="AB386" s="107">
        <f>INVESTORS_LIST[[#This Row],[TOTAL CURRENT UNITS]]-INVESTORS_LIST[[#This Row],[BO UNITS HOLD]]</f>
        <v>0</v>
      </c>
      <c r="AC386" s="201" t="e">
        <f>INDEX([3]!Table_1[BO ID],MATCH(INVESTORS_LIST[[#This Row],[INVESTOR CODE]],[3]!Table_1[INVESTOR CODE],0))</f>
        <v>#REF!</v>
      </c>
      <c r="AD386" s="201" t="e">
        <f>INDEX([3]!Table_1[Brokerage Name2],MATCH(INVESTORS_LIST[[#This Row],[INVESTOR CODE]],[3]!Table_1[INVESTOR CODE],0))</f>
        <v>#REF!</v>
      </c>
      <c r="AE386" s="201" t="e">
        <f>MID(INVESTORS_LIST[[#This Row],[BO ID]],4,5)</f>
        <v>#REF!</v>
      </c>
      <c r="AF386" s="201" t="e">
        <f>MID(INVESTORS_LIST[[#This Row],[BO ID]],2,7)</f>
        <v>#REF!</v>
      </c>
      <c r="AG386" s="201" t="e">
        <f>MID(INVESTORS_LIST[[#This Row],[BO ID]],9,7)</f>
        <v>#REF!</v>
      </c>
      <c r="AH386" s="201" t="e">
        <f>RIGHT(INVESTORS_LIST[[#This Row],[BO ID]],1)</f>
        <v>#REF!</v>
      </c>
      <c r="AI386" s="50">
        <f>INVESTORS_LIST[[#This Row],[LS_TOTAL COST VALUE OF CURRENT UNITS]]+INVESTORS_LIST[[#This Row],[SIP_TOTAL COST VALUE OF CURRENT UNITS]]</f>
        <v>0</v>
      </c>
      <c r="AJ386" s="109">
        <f>IF(INVESTORS_LIST[[#This Row],[TOTAL CURRENT UNITS]]=0,0,INVESTORS_LIST[[#This Row],[LS_TOTAL CURRENT UNITS]]/INVESTORS_LIST[[#This Row],[TOTAL CURRENT UNITS]])</f>
        <v>0</v>
      </c>
      <c r="AK386" s="109">
        <f>IF(INVESTORS_LIST[[#This Row],[TOTAL CURRENT UNITS]]=0,0,INVESTORS_LIST[[#This Row],[SIP_TOTAL CURRENT UNITS]]/INVESTORS_LIST[[#This Row],[TOTAL CURRENT UNITS]])</f>
        <v>0</v>
      </c>
      <c r="AL386" s="49" cm="1">
        <f t="array" ref="AL3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6" s="49" cm="1">
        <f t="array" ref="AM3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6" s="105">
        <f t="shared" si="6"/>
        <v>14.224</v>
      </c>
      <c r="AP386" s="112">
        <f>IF(INVESTORS_LIST[[#This Row],[TOTAL CURRENT UNITS]]=0,0,INVESTORS_LIST[[#This Row],[TOTAL CURRENT UNITS]]*INVESTORS_LIST[[#This Row],[NAV]])</f>
        <v>0</v>
      </c>
      <c r="AQ386" s="49">
        <f>IF(INVESTORS_LIST[[#This Row],[LS_TOTAL CURRENT UNITS]]=0,0,INVESTORS_LIST[[#This Row],[LS_TOTAL CURRENT UNITS]]*INVESTORS_LIST[[#This Row],[NAV]])</f>
        <v>0</v>
      </c>
      <c r="AR386" s="48">
        <f>IF(INVESTORS_LIST[[#This Row],[SIP_TOTAL CURRENT UNITS]]=0,0,INVESTORS_LIST[[#This Row],[SIP_TOTAL CURRENT UNITS]]*INVESTORS_LIST[[#This Row],[NAV]])</f>
        <v>0</v>
      </c>
      <c r="AS386" s="50">
        <f>INVESTORS_LIST[[#This Row],[TOTAL CURRENT UNITS]]</f>
        <v>0</v>
      </c>
      <c r="AT386" s="48">
        <f>IF(INVESTORS_LIST[[#This Row],[TOTAL SELLABLE UNITS]]=0,0,INVESTORS_LIST[[#This Row],[TOTAL SELLABLE UNITS]]*INVESTORS_LIST[[#This Row],[NAV]])</f>
        <v>0</v>
      </c>
      <c r="AU386" s="48">
        <f>INVESTORS_LIST[[#This Row],[LS_TOTAL REALIZED GAIN]]+INVESTORS_LIST[[#This Row],[SIP_TOTAL REALIZED GAIN]]</f>
        <v>0</v>
      </c>
      <c r="AV386" s="48">
        <f>INVESTORS_LIST[[#This Row],[TOTAL MARKET VALUE]]-INVESTORS_LIST[[#This Row],[TOTAL COST VALUE OF CURRENT INVESTMENT]]</f>
        <v>0</v>
      </c>
      <c r="AW386" s="48">
        <f>IFERROR(INVESTORS_LIST[[#This Row],[TOTAL CURRENT UNITS]]/SUM(INVESTORS_LIST[TOTAL CURRENT UNITS]),0)</f>
        <v>0</v>
      </c>
    </row>
    <row r="387" spans="1:49" hidden="1">
      <c r="A387" s="262" t="s">
        <v>820</v>
      </c>
      <c r="B387" s="97" t="s">
        <v>821</v>
      </c>
      <c r="C387" t="s">
        <v>44</v>
      </c>
      <c r="D387" s="75" t="s">
        <v>45</v>
      </c>
      <c r="E387" s="47">
        <f>SUMIFS(LS[Unit],LS[Investor ID],INVESTORS_LIST[[#This Row],[INVESTOR CODE]],LS[B/S],"B")</f>
        <v>0</v>
      </c>
      <c r="F387" s="47">
        <f>-SUMIFS(LS[Unit],LS[Investor ID],INVESTORS_LIST[[#This Row],[INVESTOR CODE]],LS[B/S],"S")</f>
        <v>0</v>
      </c>
      <c r="G387" s="47">
        <f>IF(INVESTORS_LIST[[#This Row],[LS_TOTAL UNITS BUY]]=0,0,INVESTORS_LIST[[#This Row],[LS_TOTAL UNITS BUY]]-INVESTORS_LIST[[#This Row],[LS_TOTAL UNITS SOLD]])</f>
        <v>0</v>
      </c>
      <c r="H387" s="49">
        <f>IF(INVESTORS_LIST[[#This Row],[LS_TOTAL UNITS BUY]]=0,0,SUMIFS(LS[Amount],LS[Investor ID],INVESTORS_LIST[[#This Row],[INVESTOR CODE]],LS[B/S],"B"))</f>
        <v>0</v>
      </c>
      <c r="I387" s="48">
        <f>IF(INVESTORS_LIST[[#This Row],[LS_TOTAL UNITS SOLD]]=0,0,SUMIFS(LS[Cost of Units Sold],LS[Investor ID],INVESTORS_LIST[[#This Row],[INVESTOR CODE]],LS[B/S],"S"))</f>
        <v>0</v>
      </c>
      <c r="J387" s="48">
        <f>IF(INVESTORS_LIST[[#This Row],[LS_TOTAL CURRENT UNITS]]=0,0,INVESTORS_LIST[[#This Row],[LS_TOTAL CURRENT UNITS]]*INVESTORS_LIST[[#This Row],[LS_AVERAGE COST]])</f>
        <v>0</v>
      </c>
      <c r="K387" s="49">
        <f>IF(INVESTORS_LIST[[#This Row],[LS_TOTAL UNITS SOLD]]=0,0,SUMIFS(LS[Realized Gain],LS[Investor ID],INVESTORS_LIST[[#This Row],[INVESTOR CODE]],LS[B/S],"S"))</f>
        <v>0</v>
      </c>
      <c r="L387" s="47">
        <f>SUMIFS(SIP[Unit],SIP[Investor ID],INVESTORS_LIST[[#This Row],[INVESTOR CODE]],SIP[B/S],"B")</f>
        <v>0</v>
      </c>
      <c r="M387" s="47">
        <f>-SUMIFS(SIP[Unit],SIP[Investor ID],INVESTORS_LIST[[#This Row],[INVESTOR CODE]],SIP[B/S],"S")</f>
        <v>0</v>
      </c>
      <c r="N387" s="50">
        <f>IF(INVESTORS_LIST[[#This Row],[SIP_TOTAL UNITS BUY]]=0,0,INVESTORS_LIST[[#This Row],[SIP_TOTAL UNITS BUY]]-INVESTORS_LIST[[#This Row],[SIP_TOTAL UNITS SOLD]])</f>
        <v>0</v>
      </c>
      <c r="O387" s="49">
        <f>IF(INVESTORS_LIST[[#This Row],[SIP_TOTAL UNITS BUY]]=0,0,SUMIFS(SIP[Amount],SIP[Investor ID],INVESTORS_LIST[[#This Row],[INVESTOR CODE]],SIP[B/S],"B"))</f>
        <v>0</v>
      </c>
      <c r="P387" s="49">
        <f>IF(INVESTORS_LIST[[#This Row],[SIP_TOTAL UNITS SOLD]]=0,0,SUMIFS(SIP[Cost of Units Sold],SIP[Investor ID],INVESTORS_LIST[[#This Row],[INVESTOR CODE]],SIP[B/S],"S"))</f>
        <v>0</v>
      </c>
      <c r="Q387" s="48">
        <f>IF(INVESTORS_LIST[[#This Row],[SIP_TOTAL CURRENT UNITS]]=0,0,INVESTORS_LIST[[#This Row],[SIP_TOTAL CURRENT UNITS]]*INVESTORS_LIST[[#This Row],[SIP_AVERAGE COST]])</f>
        <v>0</v>
      </c>
      <c r="R387" s="48">
        <f>IF(INVESTORS_LIST[[#This Row],[SIP_TOTAL UNITS SOLD]]=0,0,SUMIFS(SIP[Realized Gain],SIP[Investor ID],INVESTORS_LIST[[#This Row],[INVESTOR CODE]],SIP[B/S],"S"))</f>
        <v>0</v>
      </c>
      <c r="S387" s="50">
        <f>INVESTORS_LIST[[#This Row],[LS_TOTAL UNITS BUY]]+INVESTORS_LIST[[#This Row],[SIP_TOTAL UNITS BUY]]</f>
        <v>0</v>
      </c>
      <c r="T387" s="50">
        <f>INVESTORS_LIST[[#This Row],[LS_TOTAL UNITS SOLD]]+INVESTORS_LIST[[#This Row],[SIP_TOTAL UNITS SOLD]]</f>
        <v>0</v>
      </c>
      <c r="U387" s="50"/>
      <c r="V387" s="50">
        <f>SUMIFS(LS[BO UNIT TRANSFER],LS[Investor ID],INVESTORS_LIST[[#This Row],[INVESTOR CODE]],LS[B/S],"B")</f>
        <v>0</v>
      </c>
      <c r="W387" s="50">
        <f>SUMIFS(SIP[BO UNIT TRANSFER],SIP[Investor ID],INVESTORS_LIST[[#This Row],[INVESTOR CODE]],SIP[B/S],"B")</f>
        <v>0</v>
      </c>
      <c r="X387" s="50">
        <f>SUMIFS(LS[BO UNIT TRANSFER],LS[Investor ID],INVESTORS_LIST[[#This Row],[INVESTOR CODE]],LS[B/S],"S")</f>
        <v>0</v>
      </c>
      <c r="Y387" s="50">
        <f>SUMIFS(SIP[BO UNIT TRANSFER],SIP[Investor ID],INVESTORS_LIST[[#This Row],[INVESTOR CODE]],SIP[B/S],"S")</f>
        <v>0</v>
      </c>
      <c r="Z387" s="106">
        <f>SUM(INVESTORS_LIST[[#This Row],[BO OPENING BALANCE]:[BO SIP UNITS REPURCHASE]])</f>
        <v>0</v>
      </c>
      <c r="AA387" s="107">
        <f>INVESTORS_LIST[[#This Row],[TOTAL UNITS BUY]]-INVESTORS_LIST[[#This Row],[TOTAL UNITS SOLD]]</f>
        <v>0</v>
      </c>
      <c r="AB387" s="107">
        <f>INVESTORS_LIST[[#This Row],[TOTAL CURRENT UNITS]]-INVESTORS_LIST[[#This Row],[BO UNITS HOLD]]</f>
        <v>0</v>
      </c>
      <c r="AC387" s="201" t="e">
        <f>INDEX([3]!Table_1[BO ID],MATCH(INVESTORS_LIST[[#This Row],[INVESTOR CODE]],[3]!Table_1[INVESTOR CODE],0))</f>
        <v>#REF!</v>
      </c>
      <c r="AD387" s="201" t="e">
        <f>INDEX([3]!Table_1[Brokerage Name2],MATCH(INVESTORS_LIST[[#This Row],[INVESTOR CODE]],[3]!Table_1[INVESTOR CODE],0))</f>
        <v>#REF!</v>
      </c>
      <c r="AE387" s="201" t="e">
        <f>MID(INVESTORS_LIST[[#This Row],[BO ID]],4,5)</f>
        <v>#REF!</v>
      </c>
      <c r="AF387" s="201" t="e">
        <f>MID(INVESTORS_LIST[[#This Row],[BO ID]],2,7)</f>
        <v>#REF!</v>
      </c>
      <c r="AG387" s="201" t="e">
        <f>MID(INVESTORS_LIST[[#This Row],[BO ID]],9,7)</f>
        <v>#REF!</v>
      </c>
      <c r="AH387" s="201" t="e">
        <f>RIGHT(INVESTORS_LIST[[#This Row],[BO ID]],1)</f>
        <v>#REF!</v>
      </c>
      <c r="AI387" s="50">
        <f>INVESTORS_LIST[[#This Row],[LS_TOTAL COST VALUE OF CURRENT UNITS]]+INVESTORS_LIST[[#This Row],[SIP_TOTAL COST VALUE OF CURRENT UNITS]]</f>
        <v>0</v>
      </c>
      <c r="AJ387" s="109">
        <f>IF(INVESTORS_LIST[[#This Row],[TOTAL CURRENT UNITS]]=0,0,INVESTORS_LIST[[#This Row],[LS_TOTAL CURRENT UNITS]]/INVESTORS_LIST[[#This Row],[TOTAL CURRENT UNITS]])</f>
        <v>0</v>
      </c>
      <c r="AK387" s="109">
        <f>IF(INVESTORS_LIST[[#This Row],[TOTAL CURRENT UNITS]]=0,0,INVESTORS_LIST[[#This Row],[SIP_TOTAL CURRENT UNITS]]/INVESTORS_LIST[[#This Row],[TOTAL CURRENT UNITS]])</f>
        <v>0</v>
      </c>
      <c r="AL387" s="49" cm="1">
        <f t="array" ref="AL3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7" s="49" cm="1">
        <f t="array" ref="AM3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7" s="105">
        <f t="shared" ref="AO387:AO450" si="7">NAV_MKT</f>
        <v>14.224</v>
      </c>
      <c r="AP387" s="112">
        <f>IF(INVESTORS_LIST[[#This Row],[TOTAL CURRENT UNITS]]=0,0,INVESTORS_LIST[[#This Row],[TOTAL CURRENT UNITS]]*INVESTORS_LIST[[#This Row],[NAV]])</f>
        <v>0</v>
      </c>
      <c r="AQ387" s="49">
        <f>IF(INVESTORS_LIST[[#This Row],[LS_TOTAL CURRENT UNITS]]=0,0,INVESTORS_LIST[[#This Row],[LS_TOTAL CURRENT UNITS]]*INVESTORS_LIST[[#This Row],[NAV]])</f>
        <v>0</v>
      </c>
      <c r="AR387" s="48">
        <f>IF(INVESTORS_LIST[[#This Row],[SIP_TOTAL CURRENT UNITS]]=0,0,INVESTORS_LIST[[#This Row],[SIP_TOTAL CURRENT UNITS]]*INVESTORS_LIST[[#This Row],[NAV]])</f>
        <v>0</v>
      </c>
      <c r="AS387" s="50">
        <f>INVESTORS_LIST[[#This Row],[TOTAL CURRENT UNITS]]</f>
        <v>0</v>
      </c>
      <c r="AT387" s="48">
        <f>IF(INVESTORS_LIST[[#This Row],[TOTAL SELLABLE UNITS]]=0,0,INVESTORS_LIST[[#This Row],[TOTAL SELLABLE UNITS]]*INVESTORS_LIST[[#This Row],[NAV]])</f>
        <v>0</v>
      </c>
      <c r="AU387" s="48">
        <f>INVESTORS_LIST[[#This Row],[LS_TOTAL REALIZED GAIN]]+INVESTORS_LIST[[#This Row],[SIP_TOTAL REALIZED GAIN]]</f>
        <v>0</v>
      </c>
      <c r="AV387" s="48">
        <f>INVESTORS_LIST[[#This Row],[TOTAL MARKET VALUE]]-INVESTORS_LIST[[#This Row],[TOTAL COST VALUE OF CURRENT INVESTMENT]]</f>
        <v>0</v>
      </c>
      <c r="AW387" s="48">
        <f>IFERROR(INVESTORS_LIST[[#This Row],[TOTAL CURRENT UNITS]]/SUM(INVESTORS_LIST[TOTAL CURRENT UNITS]),0)</f>
        <v>0</v>
      </c>
    </row>
    <row r="388" spans="1:49" hidden="1">
      <c r="A388" s="262" t="s">
        <v>822</v>
      </c>
      <c r="B388" s="97" t="s">
        <v>823</v>
      </c>
      <c r="C388" t="s">
        <v>44</v>
      </c>
      <c r="D388" s="75" t="s">
        <v>45</v>
      </c>
      <c r="E388" s="47">
        <f>SUMIFS(LS[Unit],LS[Investor ID],INVESTORS_LIST[[#This Row],[INVESTOR CODE]],LS[B/S],"B")</f>
        <v>0</v>
      </c>
      <c r="F388" s="47">
        <f>-SUMIFS(LS[Unit],LS[Investor ID],INVESTORS_LIST[[#This Row],[INVESTOR CODE]],LS[B/S],"S")</f>
        <v>0</v>
      </c>
      <c r="G388" s="47">
        <f>IF(INVESTORS_LIST[[#This Row],[LS_TOTAL UNITS BUY]]=0,0,INVESTORS_LIST[[#This Row],[LS_TOTAL UNITS BUY]]-INVESTORS_LIST[[#This Row],[LS_TOTAL UNITS SOLD]])</f>
        <v>0</v>
      </c>
      <c r="H388" s="49">
        <f>IF(INVESTORS_LIST[[#This Row],[LS_TOTAL UNITS BUY]]=0,0,SUMIFS(LS[Amount],LS[Investor ID],INVESTORS_LIST[[#This Row],[INVESTOR CODE]],LS[B/S],"B"))</f>
        <v>0</v>
      </c>
      <c r="I388" s="48">
        <f>IF(INVESTORS_LIST[[#This Row],[LS_TOTAL UNITS SOLD]]=0,0,SUMIFS(LS[Cost of Units Sold],LS[Investor ID],INVESTORS_LIST[[#This Row],[INVESTOR CODE]],LS[B/S],"S"))</f>
        <v>0</v>
      </c>
      <c r="J388" s="48">
        <f>IF(INVESTORS_LIST[[#This Row],[LS_TOTAL CURRENT UNITS]]=0,0,INVESTORS_LIST[[#This Row],[LS_TOTAL CURRENT UNITS]]*INVESTORS_LIST[[#This Row],[LS_AVERAGE COST]])</f>
        <v>0</v>
      </c>
      <c r="K388" s="49">
        <f>IF(INVESTORS_LIST[[#This Row],[LS_TOTAL UNITS SOLD]]=0,0,SUMIFS(LS[Realized Gain],LS[Investor ID],INVESTORS_LIST[[#This Row],[INVESTOR CODE]],LS[B/S],"S"))</f>
        <v>0</v>
      </c>
      <c r="L388" s="47">
        <f>SUMIFS(SIP[Unit],SIP[Investor ID],INVESTORS_LIST[[#This Row],[INVESTOR CODE]],SIP[B/S],"B")</f>
        <v>0</v>
      </c>
      <c r="M388" s="47">
        <f>-SUMIFS(SIP[Unit],SIP[Investor ID],INVESTORS_LIST[[#This Row],[INVESTOR CODE]],SIP[B/S],"S")</f>
        <v>0</v>
      </c>
      <c r="N388" s="50">
        <f>IF(INVESTORS_LIST[[#This Row],[SIP_TOTAL UNITS BUY]]=0,0,INVESTORS_LIST[[#This Row],[SIP_TOTAL UNITS BUY]]-INVESTORS_LIST[[#This Row],[SIP_TOTAL UNITS SOLD]])</f>
        <v>0</v>
      </c>
      <c r="O388" s="49">
        <f>IF(INVESTORS_LIST[[#This Row],[SIP_TOTAL UNITS BUY]]=0,0,SUMIFS(SIP[Amount],SIP[Investor ID],INVESTORS_LIST[[#This Row],[INVESTOR CODE]],SIP[B/S],"B"))</f>
        <v>0</v>
      </c>
      <c r="P388" s="49">
        <f>IF(INVESTORS_LIST[[#This Row],[SIP_TOTAL UNITS SOLD]]=0,0,SUMIFS(SIP[Cost of Units Sold],SIP[Investor ID],INVESTORS_LIST[[#This Row],[INVESTOR CODE]],SIP[B/S],"S"))</f>
        <v>0</v>
      </c>
      <c r="Q388" s="48">
        <f>IF(INVESTORS_LIST[[#This Row],[SIP_TOTAL CURRENT UNITS]]=0,0,INVESTORS_LIST[[#This Row],[SIP_TOTAL CURRENT UNITS]]*INVESTORS_LIST[[#This Row],[SIP_AVERAGE COST]])</f>
        <v>0</v>
      </c>
      <c r="R388" s="48">
        <f>IF(INVESTORS_LIST[[#This Row],[SIP_TOTAL UNITS SOLD]]=0,0,SUMIFS(SIP[Realized Gain],SIP[Investor ID],INVESTORS_LIST[[#This Row],[INVESTOR CODE]],SIP[B/S],"S"))</f>
        <v>0</v>
      </c>
      <c r="S388" s="50">
        <f>INVESTORS_LIST[[#This Row],[LS_TOTAL UNITS BUY]]+INVESTORS_LIST[[#This Row],[SIP_TOTAL UNITS BUY]]</f>
        <v>0</v>
      </c>
      <c r="T388" s="50">
        <f>INVESTORS_LIST[[#This Row],[LS_TOTAL UNITS SOLD]]+INVESTORS_LIST[[#This Row],[SIP_TOTAL UNITS SOLD]]</f>
        <v>0</v>
      </c>
      <c r="U388" s="50"/>
      <c r="V388" s="50">
        <f>SUMIFS(LS[BO UNIT TRANSFER],LS[Investor ID],INVESTORS_LIST[[#This Row],[INVESTOR CODE]],LS[B/S],"B")</f>
        <v>0</v>
      </c>
      <c r="W388" s="50">
        <f>SUMIFS(SIP[BO UNIT TRANSFER],SIP[Investor ID],INVESTORS_LIST[[#This Row],[INVESTOR CODE]],SIP[B/S],"B")</f>
        <v>0</v>
      </c>
      <c r="X388" s="50">
        <f>SUMIFS(LS[BO UNIT TRANSFER],LS[Investor ID],INVESTORS_LIST[[#This Row],[INVESTOR CODE]],LS[B/S],"S")</f>
        <v>0</v>
      </c>
      <c r="Y388" s="50">
        <f>SUMIFS(SIP[BO UNIT TRANSFER],SIP[Investor ID],INVESTORS_LIST[[#This Row],[INVESTOR CODE]],SIP[B/S],"S")</f>
        <v>0</v>
      </c>
      <c r="Z388" s="106">
        <f>SUM(INVESTORS_LIST[[#This Row],[BO OPENING BALANCE]:[BO SIP UNITS REPURCHASE]])</f>
        <v>0</v>
      </c>
      <c r="AA388" s="107">
        <f>INVESTORS_LIST[[#This Row],[TOTAL UNITS BUY]]-INVESTORS_LIST[[#This Row],[TOTAL UNITS SOLD]]</f>
        <v>0</v>
      </c>
      <c r="AB388" s="107">
        <f>INVESTORS_LIST[[#This Row],[TOTAL CURRENT UNITS]]-INVESTORS_LIST[[#This Row],[BO UNITS HOLD]]</f>
        <v>0</v>
      </c>
      <c r="AC388" s="201" t="e">
        <f>INDEX([3]!Table_1[BO ID],MATCH(INVESTORS_LIST[[#This Row],[INVESTOR CODE]],[3]!Table_1[INVESTOR CODE],0))</f>
        <v>#REF!</v>
      </c>
      <c r="AD388" s="201" t="e">
        <f>INDEX([3]!Table_1[Brokerage Name2],MATCH(INVESTORS_LIST[[#This Row],[INVESTOR CODE]],[3]!Table_1[INVESTOR CODE],0))</f>
        <v>#REF!</v>
      </c>
      <c r="AE388" s="201" t="e">
        <f>MID(INVESTORS_LIST[[#This Row],[BO ID]],4,5)</f>
        <v>#REF!</v>
      </c>
      <c r="AF388" s="201" t="e">
        <f>MID(INVESTORS_LIST[[#This Row],[BO ID]],2,7)</f>
        <v>#REF!</v>
      </c>
      <c r="AG388" s="201" t="e">
        <f>MID(INVESTORS_LIST[[#This Row],[BO ID]],9,7)</f>
        <v>#REF!</v>
      </c>
      <c r="AH388" s="201" t="e">
        <f>RIGHT(INVESTORS_LIST[[#This Row],[BO ID]],1)</f>
        <v>#REF!</v>
      </c>
      <c r="AI388" s="50">
        <f>INVESTORS_LIST[[#This Row],[LS_TOTAL COST VALUE OF CURRENT UNITS]]+INVESTORS_LIST[[#This Row],[SIP_TOTAL COST VALUE OF CURRENT UNITS]]</f>
        <v>0</v>
      </c>
      <c r="AJ388" s="109">
        <f>IF(INVESTORS_LIST[[#This Row],[TOTAL CURRENT UNITS]]=0,0,INVESTORS_LIST[[#This Row],[LS_TOTAL CURRENT UNITS]]/INVESTORS_LIST[[#This Row],[TOTAL CURRENT UNITS]])</f>
        <v>0</v>
      </c>
      <c r="AK388" s="109">
        <f>IF(INVESTORS_LIST[[#This Row],[TOTAL CURRENT UNITS]]=0,0,INVESTORS_LIST[[#This Row],[SIP_TOTAL CURRENT UNITS]]/INVESTORS_LIST[[#This Row],[TOTAL CURRENT UNITS]])</f>
        <v>0</v>
      </c>
      <c r="AL388" s="49" cm="1">
        <f t="array" ref="AL3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8" s="49" cm="1">
        <f t="array" ref="AM3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8" s="105">
        <f t="shared" si="7"/>
        <v>14.224</v>
      </c>
      <c r="AP388" s="112">
        <f>IF(INVESTORS_LIST[[#This Row],[TOTAL CURRENT UNITS]]=0,0,INVESTORS_LIST[[#This Row],[TOTAL CURRENT UNITS]]*INVESTORS_LIST[[#This Row],[NAV]])</f>
        <v>0</v>
      </c>
      <c r="AQ388" s="49">
        <f>IF(INVESTORS_LIST[[#This Row],[LS_TOTAL CURRENT UNITS]]=0,0,INVESTORS_LIST[[#This Row],[LS_TOTAL CURRENT UNITS]]*INVESTORS_LIST[[#This Row],[NAV]])</f>
        <v>0</v>
      </c>
      <c r="AR388" s="48">
        <f>IF(INVESTORS_LIST[[#This Row],[SIP_TOTAL CURRENT UNITS]]=0,0,INVESTORS_LIST[[#This Row],[SIP_TOTAL CURRENT UNITS]]*INVESTORS_LIST[[#This Row],[NAV]])</f>
        <v>0</v>
      </c>
      <c r="AS388" s="50">
        <f>INVESTORS_LIST[[#This Row],[TOTAL CURRENT UNITS]]</f>
        <v>0</v>
      </c>
      <c r="AT388" s="48">
        <f>IF(INVESTORS_LIST[[#This Row],[TOTAL SELLABLE UNITS]]=0,0,INVESTORS_LIST[[#This Row],[TOTAL SELLABLE UNITS]]*INVESTORS_LIST[[#This Row],[NAV]])</f>
        <v>0</v>
      </c>
      <c r="AU388" s="48">
        <f>INVESTORS_LIST[[#This Row],[LS_TOTAL REALIZED GAIN]]+INVESTORS_LIST[[#This Row],[SIP_TOTAL REALIZED GAIN]]</f>
        <v>0</v>
      </c>
      <c r="AV388" s="48">
        <f>INVESTORS_LIST[[#This Row],[TOTAL MARKET VALUE]]-INVESTORS_LIST[[#This Row],[TOTAL COST VALUE OF CURRENT INVESTMENT]]</f>
        <v>0</v>
      </c>
      <c r="AW388" s="48">
        <f>IFERROR(INVESTORS_LIST[[#This Row],[TOTAL CURRENT UNITS]]/SUM(INVESTORS_LIST[TOTAL CURRENT UNITS]),0)</f>
        <v>0</v>
      </c>
    </row>
    <row r="389" spans="1:49" hidden="1">
      <c r="A389" s="262" t="s">
        <v>824</v>
      </c>
      <c r="B389" s="97" t="s">
        <v>825</v>
      </c>
      <c r="C389" t="s">
        <v>67</v>
      </c>
      <c r="D389" s="75" t="s">
        <v>45</v>
      </c>
      <c r="E389" s="47">
        <f>SUMIFS(LS[Unit],LS[Investor ID],INVESTORS_LIST[[#This Row],[INVESTOR CODE]],LS[B/S],"B")</f>
        <v>0</v>
      </c>
      <c r="F389" s="47">
        <f>-SUMIFS(LS[Unit],LS[Investor ID],INVESTORS_LIST[[#This Row],[INVESTOR CODE]],LS[B/S],"S")</f>
        <v>0</v>
      </c>
      <c r="G389" s="47">
        <f>IF(INVESTORS_LIST[[#This Row],[LS_TOTAL UNITS BUY]]=0,0,INVESTORS_LIST[[#This Row],[LS_TOTAL UNITS BUY]]-INVESTORS_LIST[[#This Row],[LS_TOTAL UNITS SOLD]])</f>
        <v>0</v>
      </c>
      <c r="H389" s="49">
        <f>IF(INVESTORS_LIST[[#This Row],[LS_TOTAL UNITS BUY]]=0,0,SUMIFS(LS[Amount],LS[Investor ID],INVESTORS_LIST[[#This Row],[INVESTOR CODE]],LS[B/S],"B"))</f>
        <v>0</v>
      </c>
      <c r="I389" s="48">
        <f>IF(INVESTORS_LIST[[#This Row],[LS_TOTAL UNITS SOLD]]=0,0,SUMIFS(LS[Cost of Units Sold],LS[Investor ID],INVESTORS_LIST[[#This Row],[INVESTOR CODE]],LS[B/S],"S"))</f>
        <v>0</v>
      </c>
      <c r="J389" s="48">
        <f>IF(INVESTORS_LIST[[#This Row],[LS_TOTAL CURRENT UNITS]]=0,0,INVESTORS_LIST[[#This Row],[LS_TOTAL CURRENT UNITS]]*INVESTORS_LIST[[#This Row],[LS_AVERAGE COST]])</f>
        <v>0</v>
      </c>
      <c r="K389" s="49">
        <f>IF(INVESTORS_LIST[[#This Row],[LS_TOTAL UNITS SOLD]]=0,0,SUMIFS(LS[Realized Gain],LS[Investor ID],INVESTORS_LIST[[#This Row],[INVESTOR CODE]],LS[B/S],"S"))</f>
        <v>0</v>
      </c>
      <c r="L389" s="47">
        <f>SUMIFS(SIP[Unit],SIP[Investor ID],INVESTORS_LIST[[#This Row],[INVESTOR CODE]],SIP[B/S],"B")</f>
        <v>0</v>
      </c>
      <c r="M389" s="47">
        <f>-SUMIFS(SIP[Unit],SIP[Investor ID],INVESTORS_LIST[[#This Row],[INVESTOR CODE]],SIP[B/S],"S")</f>
        <v>0</v>
      </c>
      <c r="N389" s="50">
        <f>IF(INVESTORS_LIST[[#This Row],[SIP_TOTAL UNITS BUY]]=0,0,INVESTORS_LIST[[#This Row],[SIP_TOTAL UNITS BUY]]-INVESTORS_LIST[[#This Row],[SIP_TOTAL UNITS SOLD]])</f>
        <v>0</v>
      </c>
      <c r="O389" s="49">
        <f>IF(INVESTORS_LIST[[#This Row],[SIP_TOTAL UNITS BUY]]=0,0,SUMIFS(SIP[Amount],SIP[Investor ID],INVESTORS_LIST[[#This Row],[INVESTOR CODE]],SIP[B/S],"B"))</f>
        <v>0</v>
      </c>
      <c r="P389" s="49">
        <f>IF(INVESTORS_LIST[[#This Row],[SIP_TOTAL UNITS SOLD]]=0,0,SUMIFS(SIP[Cost of Units Sold],SIP[Investor ID],INVESTORS_LIST[[#This Row],[INVESTOR CODE]],SIP[B/S],"S"))</f>
        <v>0</v>
      </c>
      <c r="Q389" s="48">
        <f>IF(INVESTORS_LIST[[#This Row],[SIP_TOTAL CURRENT UNITS]]=0,0,INVESTORS_LIST[[#This Row],[SIP_TOTAL CURRENT UNITS]]*INVESTORS_LIST[[#This Row],[SIP_AVERAGE COST]])</f>
        <v>0</v>
      </c>
      <c r="R389" s="48">
        <f>IF(INVESTORS_LIST[[#This Row],[SIP_TOTAL UNITS SOLD]]=0,0,SUMIFS(SIP[Realized Gain],SIP[Investor ID],INVESTORS_LIST[[#This Row],[INVESTOR CODE]],SIP[B/S],"S"))</f>
        <v>0</v>
      </c>
      <c r="S389" s="50">
        <f>INVESTORS_LIST[[#This Row],[LS_TOTAL UNITS BUY]]+INVESTORS_LIST[[#This Row],[SIP_TOTAL UNITS BUY]]</f>
        <v>0</v>
      </c>
      <c r="T389" s="50">
        <f>INVESTORS_LIST[[#This Row],[LS_TOTAL UNITS SOLD]]+INVESTORS_LIST[[#This Row],[SIP_TOTAL UNITS SOLD]]</f>
        <v>0</v>
      </c>
      <c r="U389" s="50"/>
      <c r="V389" s="50">
        <f>SUMIFS(LS[BO UNIT TRANSFER],LS[Investor ID],INVESTORS_LIST[[#This Row],[INVESTOR CODE]],LS[B/S],"B")</f>
        <v>0</v>
      </c>
      <c r="W389" s="50">
        <f>SUMIFS(SIP[BO UNIT TRANSFER],SIP[Investor ID],INVESTORS_LIST[[#This Row],[INVESTOR CODE]],SIP[B/S],"B")</f>
        <v>0</v>
      </c>
      <c r="X389" s="50">
        <f>SUMIFS(LS[BO UNIT TRANSFER],LS[Investor ID],INVESTORS_LIST[[#This Row],[INVESTOR CODE]],LS[B/S],"S")</f>
        <v>0</v>
      </c>
      <c r="Y389" s="50">
        <f>SUMIFS(SIP[BO UNIT TRANSFER],SIP[Investor ID],INVESTORS_LIST[[#This Row],[INVESTOR CODE]],SIP[B/S],"S")</f>
        <v>0</v>
      </c>
      <c r="Z389" s="106">
        <f>SUM(INVESTORS_LIST[[#This Row],[BO OPENING BALANCE]:[BO SIP UNITS REPURCHASE]])</f>
        <v>0</v>
      </c>
      <c r="AA389" s="107">
        <f>INVESTORS_LIST[[#This Row],[TOTAL UNITS BUY]]-INVESTORS_LIST[[#This Row],[TOTAL UNITS SOLD]]</f>
        <v>0</v>
      </c>
      <c r="AB389" s="107">
        <f>INVESTORS_LIST[[#This Row],[TOTAL CURRENT UNITS]]-INVESTORS_LIST[[#This Row],[BO UNITS HOLD]]</f>
        <v>0</v>
      </c>
      <c r="AC389" s="201" t="e">
        <f>INDEX([3]!Table_1[BO ID],MATCH(INVESTORS_LIST[[#This Row],[INVESTOR CODE]],[3]!Table_1[INVESTOR CODE],0))</f>
        <v>#REF!</v>
      </c>
      <c r="AD389" s="201" t="e">
        <f>INDEX([3]!Table_1[Brokerage Name2],MATCH(INVESTORS_LIST[[#This Row],[INVESTOR CODE]],[3]!Table_1[INVESTOR CODE],0))</f>
        <v>#REF!</v>
      </c>
      <c r="AE389" s="201" t="e">
        <f>MID(INVESTORS_LIST[[#This Row],[BO ID]],4,5)</f>
        <v>#REF!</v>
      </c>
      <c r="AF389" s="201" t="e">
        <f>MID(INVESTORS_LIST[[#This Row],[BO ID]],2,7)</f>
        <v>#REF!</v>
      </c>
      <c r="AG389" s="201" t="e">
        <f>MID(INVESTORS_LIST[[#This Row],[BO ID]],9,7)</f>
        <v>#REF!</v>
      </c>
      <c r="AH389" s="201" t="e">
        <f>RIGHT(INVESTORS_LIST[[#This Row],[BO ID]],1)</f>
        <v>#REF!</v>
      </c>
      <c r="AI389" s="50">
        <f>INVESTORS_LIST[[#This Row],[LS_TOTAL COST VALUE OF CURRENT UNITS]]+INVESTORS_LIST[[#This Row],[SIP_TOTAL COST VALUE OF CURRENT UNITS]]</f>
        <v>0</v>
      </c>
      <c r="AJ389" s="109">
        <f>IF(INVESTORS_LIST[[#This Row],[TOTAL CURRENT UNITS]]=0,0,INVESTORS_LIST[[#This Row],[LS_TOTAL CURRENT UNITS]]/INVESTORS_LIST[[#This Row],[TOTAL CURRENT UNITS]])</f>
        <v>0</v>
      </c>
      <c r="AK389" s="109">
        <f>IF(INVESTORS_LIST[[#This Row],[TOTAL CURRENT UNITS]]=0,0,INVESTORS_LIST[[#This Row],[SIP_TOTAL CURRENT UNITS]]/INVESTORS_LIST[[#This Row],[TOTAL CURRENT UNITS]])</f>
        <v>0</v>
      </c>
      <c r="AL389" s="49" cm="1">
        <f t="array" ref="AL3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89" s="49" cm="1">
        <f t="array" ref="AM3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8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89" s="105">
        <f t="shared" si="7"/>
        <v>14.224</v>
      </c>
      <c r="AP389" s="112">
        <f>IF(INVESTORS_LIST[[#This Row],[TOTAL CURRENT UNITS]]=0,0,INVESTORS_LIST[[#This Row],[TOTAL CURRENT UNITS]]*INVESTORS_LIST[[#This Row],[NAV]])</f>
        <v>0</v>
      </c>
      <c r="AQ389" s="49">
        <f>IF(INVESTORS_LIST[[#This Row],[LS_TOTAL CURRENT UNITS]]=0,0,INVESTORS_LIST[[#This Row],[LS_TOTAL CURRENT UNITS]]*INVESTORS_LIST[[#This Row],[NAV]])</f>
        <v>0</v>
      </c>
      <c r="AR389" s="48">
        <f>IF(INVESTORS_LIST[[#This Row],[SIP_TOTAL CURRENT UNITS]]=0,0,INVESTORS_LIST[[#This Row],[SIP_TOTAL CURRENT UNITS]]*INVESTORS_LIST[[#This Row],[NAV]])</f>
        <v>0</v>
      </c>
      <c r="AS389" s="50">
        <f>INVESTORS_LIST[[#This Row],[TOTAL CURRENT UNITS]]</f>
        <v>0</v>
      </c>
      <c r="AT389" s="48">
        <f>IF(INVESTORS_LIST[[#This Row],[TOTAL SELLABLE UNITS]]=0,0,INVESTORS_LIST[[#This Row],[TOTAL SELLABLE UNITS]]*INVESTORS_LIST[[#This Row],[NAV]])</f>
        <v>0</v>
      </c>
      <c r="AU389" s="48">
        <f>INVESTORS_LIST[[#This Row],[LS_TOTAL REALIZED GAIN]]+INVESTORS_LIST[[#This Row],[SIP_TOTAL REALIZED GAIN]]</f>
        <v>0</v>
      </c>
      <c r="AV389" s="48">
        <f>INVESTORS_LIST[[#This Row],[TOTAL MARKET VALUE]]-INVESTORS_LIST[[#This Row],[TOTAL COST VALUE OF CURRENT INVESTMENT]]</f>
        <v>0</v>
      </c>
      <c r="AW389" s="48">
        <f>IFERROR(INVESTORS_LIST[[#This Row],[TOTAL CURRENT UNITS]]/SUM(INVESTORS_LIST[TOTAL CURRENT UNITS]),0)</f>
        <v>0</v>
      </c>
    </row>
    <row r="390" spans="1:49" hidden="1">
      <c r="A390" s="262" t="s">
        <v>826</v>
      </c>
      <c r="B390" s="97" t="s">
        <v>827</v>
      </c>
      <c r="C390" t="s">
        <v>44</v>
      </c>
      <c r="D390" s="75" t="s">
        <v>45</v>
      </c>
      <c r="E390" s="47">
        <f>SUMIFS(LS[Unit],LS[Investor ID],INVESTORS_LIST[[#This Row],[INVESTOR CODE]],LS[B/S],"B")</f>
        <v>0</v>
      </c>
      <c r="F390" s="47">
        <f>-SUMIFS(LS[Unit],LS[Investor ID],INVESTORS_LIST[[#This Row],[INVESTOR CODE]],LS[B/S],"S")</f>
        <v>0</v>
      </c>
      <c r="G390" s="47">
        <f>IF(INVESTORS_LIST[[#This Row],[LS_TOTAL UNITS BUY]]=0,0,INVESTORS_LIST[[#This Row],[LS_TOTAL UNITS BUY]]-INVESTORS_LIST[[#This Row],[LS_TOTAL UNITS SOLD]])</f>
        <v>0</v>
      </c>
      <c r="H390" s="49">
        <f>IF(INVESTORS_LIST[[#This Row],[LS_TOTAL UNITS BUY]]=0,0,SUMIFS(LS[Amount],LS[Investor ID],INVESTORS_LIST[[#This Row],[INVESTOR CODE]],LS[B/S],"B"))</f>
        <v>0</v>
      </c>
      <c r="I390" s="48">
        <f>IF(INVESTORS_LIST[[#This Row],[LS_TOTAL UNITS SOLD]]=0,0,SUMIFS(LS[Cost of Units Sold],LS[Investor ID],INVESTORS_LIST[[#This Row],[INVESTOR CODE]],LS[B/S],"S"))</f>
        <v>0</v>
      </c>
      <c r="J390" s="48">
        <f>IF(INVESTORS_LIST[[#This Row],[LS_TOTAL CURRENT UNITS]]=0,0,INVESTORS_LIST[[#This Row],[LS_TOTAL CURRENT UNITS]]*INVESTORS_LIST[[#This Row],[LS_AVERAGE COST]])</f>
        <v>0</v>
      </c>
      <c r="K390" s="49">
        <f>IF(INVESTORS_LIST[[#This Row],[LS_TOTAL UNITS SOLD]]=0,0,SUMIFS(LS[Realized Gain],LS[Investor ID],INVESTORS_LIST[[#This Row],[INVESTOR CODE]],LS[B/S],"S"))</f>
        <v>0</v>
      </c>
      <c r="L390" s="47">
        <f>SUMIFS(SIP[Unit],SIP[Investor ID],INVESTORS_LIST[[#This Row],[INVESTOR CODE]],SIP[B/S],"B")</f>
        <v>0</v>
      </c>
      <c r="M390" s="47">
        <f>-SUMIFS(SIP[Unit],SIP[Investor ID],INVESTORS_LIST[[#This Row],[INVESTOR CODE]],SIP[B/S],"S")</f>
        <v>0</v>
      </c>
      <c r="N390" s="50">
        <f>IF(INVESTORS_LIST[[#This Row],[SIP_TOTAL UNITS BUY]]=0,0,INVESTORS_LIST[[#This Row],[SIP_TOTAL UNITS BUY]]-INVESTORS_LIST[[#This Row],[SIP_TOTAL UNITS SOLD]])</f>
        <v>0</v>
      </c>
      <c r="O390" s="49">
        <f>IF(INVESTORS_LIST[[#This Row],[SIP_TOTAL UNITS BUY]]=0,0,SUMIFS(SIP[Amount],SIP[Investor ID],INVESTORS_LIST[[#This Row],[INVESTOR CODE]],SIP[B/S],"B"))</f>
        <v>0</v>
      </c>
      <c r="P390" s="49">
        <f>IF(INVESTORS_LIST[[#This Row],[SIP_TOTAL UNITS SOLD]]=0,0,SUMIFS(SIP[Cost of Units Sold],SIP[Investor ID],INVESTORS_LIST[[#This Row],[INVESTOR CODE]],SIP[B/S],"S"))</f>
        <v>0</v>
      </c>
      <c r="Q390" s="48">
        <f>IF(INVESTORS_LIST[[#This Row],[SIP_TOTAL CURRENT UNITS]]=0,0,INVESTORS_LIST[[#This Row],[SIP_TOTAL CURRENT UNITS]]*INVESTORS_LIST[[#This Row],[SIP_AVERAGE COST]])</f>
        <v>0</v>
      </c>
      <c r="R390" s="48">
        <f>IF(INVESTORS_LIST[[#This Row],[SIP_TOTAL UNITS SOLD]]=0,0,SUMIFS(SIP[Realized Gain],SIP[Investor ID],INVESTORS_LIST[[#This Row],[INVESTOR CODE]],SIP[B/S],"S"))</f>
        <v>0</v>
      </c>
      <c r="S390" s="50">
        <f>INVESTORS_LIST[[#This Row],[LS_TOTAL UNITS BUY]]+INVESTORS_LIST[[#This Row],[SIP_TOTAL UNITS BUY]]</f>
        <v>0</v>
      </c>
      <c r="T390" s="50">
        <f>INVESTORS_LIST[[#This Row],[LS_TOTAL UNITS SOLD]]+INVESTORS_LIST[[#This Row],[SIP_TOTAL UNITS SOLD]]</f>
        <v>0</v>
      </c>
      <c r="U390" s="50"/>
      <c r="V390" s="50">
        <f>SUMIFS(LS[BO UNIT TRANSFER],LS[Investor ID],INVESTORS_LIST[[#This Row],[INVESTOR CODE]],LS[B/S],"B")</f>
        <v>0</v>
      </c>
      <c r="W390" s="50">
        <f>SUMIFS(SIP[BO UNIT TRANSFER],SIP[Investor ID],INVESTORS_LIST[[#This Row],[INVESTOR CODE]],SIP[B/S],"B")</f>
        <v>0</v>
      </c>
      <c r="X390" s="50">
        <f>SUMIFS(LS[BO UNIT TRANSFER],LS[Investor ID],INVESTORS_LIST[[#This Row],[INVESTOR CODE]],LS[B/S],"S")</f>
        <v>0</v>
      </c>
      <c r="Y390" s="50">
        <f>SUMIFS(SIP[BO UNIT TRANSFER],SIP[Investor ID],INVESTORS_LIST[[#This Row],[INVESTOR CODE]],SIP[B/S],"S")</f>
        <v>0</v>
      </c>
      <c r="Z390" s="106">
        <f>SUM(INVESTORS_LIST[[#This Row],[BO OPENING BALANCE]:[BO SIP UNITS REPURCHASE]])</f>
        <v>0</v>
      </c>
      <c r="AA390" s="107">
        <f>INVESTORS_LIST[[#This Row],[TOTAL UNITS BUY]]-INVESTORS_LIST[[#This Row],[TOTAL UNITS SOLD]]</f>
        <v>0</v>
      </c>
      <c r="AB390" s="107">
        <f>INVESTORS_LIST[[#This Row],[TOTAL CURRENT UNITS]]-INVESTORS_LIST[[#This Row],[BO UNITS HOLD]]</f>
        <v>0</v>
      </c>
      <c r="AC390" s="201" t="e">
        <f>INDEX([3]!Table_1[BO ID],MATCH(INVESTORS_LIST[[#This Row],[INVESTOR CODE]],[3]!Table_1[INVESTOR CODE],0))</f>
        <v>#REF!</v>
      </c>
      <c r="AD390" s="201" t="e">
        <f>INDEX([3]!Table_1[Brokerage Name2],MATCH(INVESTORS_LIST[[#This Row],[INVESTOR CODE]],[3]!Table_1[INVESTOR CODE],0))</f>
        <v>#REF!</v>
      </c>
      <c r="AE390" s="201" t="e">
        <f>MID(INVESTORS_LIST[[#This Row],[BO ID]],4,5)</f>
        <v>#REF!</v>
      </c>
      <c r="AF390" s="201" t="e">
        <f>MID(INVESTORS_LIST[[#This Row],[BO ID]],2,7)</f>
        <v>#REF!</v>
      </c>
      <c r="AG390" s="201" t="e">
        <f>MID(INVESTORS_LIST[[#This Row],[BO ID]],9,7)</f>
        <v>#REF!</v>
      </c>
      <c r="AH390" s="201" t="e">
        <f>RIGHT(INVESTORS_LIST[[#This Row],[BO ID]],1)</f>
        <v>#REF!</v>
      </c>
      <c r="AI390" s="50">
        <f>INVESTORS_LIST[[#This Row],[LS_TOTAL COST VALUE OF CURRENT UNITS]]+INVESTORS_LIST[[#This Row],[SIP_TOTAL COST VALUE OF CURRENT UNITS]]</f>
        <v>0</v>
      </c>
      <c r="AJ390" s="109">
        <f>IF(INVESTORS_LIST[[#This Row],[TOTAL CURRENT UNITS]]=0,0,INVESTORS_LIST[[#This Row],[LS_TOTAL CURRENT UNITS]]/INVESTORS_LIST[[#This Row],[TOTAL CURRENT UNITS]])</f>
        <v>0</v>
      </c>
      <c r="AK390" s="109">
        <f>IF(INVESTORS_LIST[[#This Row],[TOTAL CURRENT UNITS]]=0,0,INVESTORS_LIST[[#This Row],[SIP_TOTAL CURRENT UNITS]]/INVESTORS_LIST[[#This Row],[TOTAL CURRENT UNITS]])</f>
        <v>0</v>
      </c>
      <c r="AL390" s="49" cm="1">
        <f t="array" ref="AL3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0" s="49" cm="1">
        <f t="array" ref="AM3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0" s="105">
        <f t="shared" si="7"/>
        <v>14.224</v>
      </c>
      <c r="AP390" s="112">
        <f>IF(INVESTORS_LIST[[#This Row],[TOTAL CURRENT UNITS]]=0,0,INVESTORS_LIST[[#This Row],[TOTAL CURRENT UNITS]]*INVESTORS_LIST[[#This Row],[NAV]])</f>
        <v>0</v>
      </c>
      <c r="AQ390" s="49">
        <f>IF(INVESTORS_LIST[[#This Row],[LS_TOTAL CURRENT UNITS]]=0,0,INVESTORS_LIST[[#This Row],[LS_TOTAL CURRENT UNITS]]*INVESTORS_LIST[[#This Row],[NAV]])</f>
        <v>0</v>
      </c>
      <c r="AR390" s="48">
        <f>IF(INVESTORS_LIST[[#This Row],[SIP_TOTAL CURRENT UNITS]]=0,0,INVESTORS_LIST[[#This Row],[SIP_TOTAL CURRENT UNITS]]*INVESTORS_LIST[[#This Row],[NAV]])</f>
        <v>0</v>
      </c>
      <c r="AS390" s="50">
        <f>INVESTORS_LIST[[#This Row],[TOTAL CURRENT UNITS]]</f>
        <v>0</v>
      </c>
      <c r="AT390" s="48">
        <f>IF(INVESTORS_LIST[[#This Row],[TOTAL SELLABLE UNITS]]=0,0,INVESTORS_LIST[[#This Row],[TOTAL SELLABLE UNITS]]*INVESTORS_LIST[[#This Row],[NAV]])</f>
        <v>0</v>
      </c>
      <c r="AU390" s="48">
        <f>INVESTORS_LIST[[#This Row],[LS_TOTAL REALIZED GAIN]]+INVESTORS_LIST[[#This Row],[SIP_TOTAL REALIZED GAIN]]</f>
        <v>0</v>
      </c>
      <c r="AV390" s="48">
        <f>INVESTORS_LIST[[#This Row],[TOTAL MARKET VALUE]]-INVESTORS_LIST[[#This Row],[TOTAL COST VALUE OF CURRENT INVESTMENT]]</f>
        <v>0</v>
      </c>
      <c r="AW390" s="48">
        <f>IFERROR(INVESTORS_LIST[[#This Row],[TOTAL CURRENT UNITS]]/SUM(INVESTORS_LIST[TOTAL CURRENT UNITS]),0)</f>
        <v>0</v>
      </c>
    </row>
    <row r="391" spans="1:49" hidden="1">
      <c r="A391" s="262" t="s">
        <v>828</v>
      </c>
      <c r="B391" s="97" t="s">
        <v>829</v>
      </c>
      <c r="C391" t="s">
        <v>44</v>
      </c>
      <c r="D391" s="75" t="s">
        <v>45</v>
      </c>
      <c r="E391" s="47">
        <f>SUMIFS(LS[Unit],LS[Investor ID],INVESTORS_LIST[[#This Row],[INVESTOR CODE]],LS[B/S],"B")</f>
        <v>0</v>
      </c>
      <c r="F391" s="47">
        <f>-SUMIFS(LS[Unit],LS[Investor ID],INVESTORS_LIST[[#This Row],[INVESTOR CODE]],LS[B/S],"S")</f>
        <v>0</v>
      </c>
      <c r="G391" s="47">
        <f>IF(INVESTORS_LIST[[#This Row],[LS_TOTAL UNITS BUY]]=0,0,INVESTORS_LIST[[#This Row],[LS_TOTAL UNITS BUY]]-INVESTORS_LIST[[#This Row],[LS_TOTAL UNITS SOLD]])</f>
        <v>0</v>
      </c>
      <c r="H391" s="49">
        <f>IF(INVESTORS_LIST[[#This Row],[LS_TOTAL UNITS BUY]]=0,0,SUMIFS(LS[Amount],LS[Investor ID],INVESTORS_LIST[[#This Row],[INVESTOR CODE]],LS[B/S],"B"))</f>
        <v>0</v>
      </c>
      <c r="I391" s="48">
        <f>IF(INVESTORS_LIST[[#This Row],[LS_TOTAL UNITS SOLD]]=0,0,SUMIFS(LS[Cost of Units Sold],LS[Investor ID],INVESTORS_LIST[[#This Row],[INVESTOR CODE]],LS[B/S],"S"))</f>
        <v>0</v>
      </c>
      <c r="J391" s="48">
        <f>IF(INVESTORS_LIST[[#This Row],[LS_TOTAL CURRENT UNITS]]=0,0,INVESTORS_LIST[[#This Row],[LS_TOTAL CURRENT UNITS]]*INVESTORS_LIST[[#This Row],[LS_AVERAGE COST]])</f>
        <v>0</v>
      </c>
      <c r="K391" s="49">
        <f>IF(INVESTORS_LIST[[#This Row],[LS_TOTAL UNITS SOLD]]=0,0,SUMIFS(LS[Realized Gain],LS[Investor ID],INVESTORS_LIST[[#This Row],[INVESTOR CODE]],LS[B/S],"S"))</f>
        <v>0</v>
      </c>
      <c r="L391" s="47">
        <f>SUMIFS(SIP[Unit],SIP[Investor ID],INVESTORS_LIST[[#This Row],[INVESTOR CODE]],SIP[B/S],"B")</f>
        <v>0</v>
      </c>
      <c r="M391" s="47">
        <f>-SUMIFS(SIP[Unit],SIP[Investor ID],INVESTORS_LIST[[#This Row],[INVESTOR CODE]],SIP[B/S],"S")</f>
        <v>0</v>
      </c>
      <c r="N391" s="50">
        <f>IF(INVESTORS_LIST[[#This Row],[SIP_TOTAL UNITS BUY]]=0,0,INVESTORS_LIST[[#This Row],[SIP_TOTAL UNITS BUY]]-INVESTORS_LIST[[#This Row],[SIP_TOTAL UNITS SOLD]])</f>
        <v>0</v>
      </c>
      <c r="O391" s="49">
        <f>IF(INVESTORS_LIST[[#This Row],[SIP_TOTAL UNITS BUY]]=0,0,SUMIFS(SIP[Amount],SIP[Investor ID],INVESTORS_LIST[[#This Row],[INVESTOR CODE]],SIP[B/S],"B"))</f>
        <v>0</v>
      </c>
      <c r="P391" s="49">
        <f>IF(INVESTORS_LIST[[#This Row],[SIP_TOTAL UNITS SOLD]]=0,0,SUMIFS(SIP[Cost of Units Sold],SIP[Investor ID],INVESTORS_LIST[[#This Row],[INVESTOR CODE]],SIP[B/S],"S"))</f>
        <v>0</v>
      </c>
      <c r="Q391" s="48">
        <f>IF(INVESTORS_LIST[[#This Row],[SIP_TOTAL CURRENT UNITS]]=0,0,INVESTORS_LIST[[#This Row],[SIP_TOTAL CURRENT UNITS]]*INVESTORS_LIST[[#This Row],[SIP_AVERAGE COST]])</f>
        <v>0</v>
      </c>
      <c r="R391" s="48">
        <f>IF(INVESTORS_LIST[[#This Row],[SIP_TOTAL UNITS SOLD]]=0,0,SUMIFS(SIP[Realized Gain],SIP[Investor ID],INVESTORS_LIST[[#This Row],[INVESTOR CODE]],SIP[B/S],"S"))</f>
        <v>0</v>
      </c>
      <c r="S391" s="50">
        <f>INVESTORS_LIST[[#This Row],[LS_TOTAL UNITS BUY]]+INVESTORS_LIST[[#This Row],[SIP_TOTAL UNITS BUY]]</f>
        <v>0</v>
      </c>
      <c r="T391" s="50">
        <f>INVESTORS_LIST[[#This Row],[LS_TOTAL UNITS SOLD]]+INVESTORS_LIST[[#This Row],[SIP_TOTAL UNITS SOLD]]</f>
        <v>0</v>
      </c>
      <c r="U391" s="50"/>
      <c r="V391" s="50">
        <f>SUMIFS(LS[BO UNIT TRANSFER],LS[Investor ID],INVESTORS_LIST[[#This Row],[INVESTOR CODE]],LS[B/S],"B")</f>
        <v>0</v>
      </c>
      <c r="W391" s="50">
        <f>SUMIFS(SIP[BO UNIT TRANSFER],SIP[Investor ID],INVESTORS_LIST[[#This Row],[INVESTOR CODE]],SIP[B/S],"B")</f>
        <v>0</v>
      </c>
      <c r="X391" s="50">
        <f>SUMIFS(LS[BO UNIT TRANSFER],LS[Investor ID],INVESTORS_LIST[[#This Row],[INVESTOR CODE]],LS[B/S],"S")</f>
        <v>0</v>
      </c>
      <c r="Y391" s="50">
        <f>SUMIFS(SIP[BO UNIT TRANSFER],SIP[Investor ID],INVESTORS_LIST[[#This Row],[INVESTOR CODE]],SIP[B/S],"S")</f>
        <v>0</v>
      </c>
      <c r="Z391" s="106">
        <f>SUM(INVESTORS_LIST[[#This Row],[BO OPENING BALANCE]:[BO SIP UNITS REPURCHASE]])</f>
        <v>0</v>
      </c>
      <c r="AA391" s="107">
        <f>INVESTORS_LIST[[#This Row],[TOTAL UNITS BUY]]-INVESTORS_LIST[[#This Row],[TOTAL UNITS SOLD]]</f>
        <v>0</v>
      </c>
      <c r="AB391" s="107">
        <f>INVESTORS_LIST[[#This Row],[TOTAL CURRENT UNITS]]-INVESTORS_LIST[[#This Row],[BO UNITS HOLD]]</f>
        <v>0</v>
      </c>
      <c r="AC391" s="201" t="e">
        <f>INDEX([3]!Table_1[BO ID],MATCH(INVESTORS_LIST[[#This Row],[INVESTOR CODE]],[3]!Table_1[INVESTOR CODE],0))</f>
        <v>#REF!</v>
      </c>
      <c r="AD391" s="201" t="e">
        <f>INDEX([3]!Table_1[Brokerage Name2],MATCH(INVESTORS_LIST[[#This Row],[INVESTOR CODE]],[3]!Table_1[INVESTOR CODE],0))</f>
        <v>#REF!</v>
      </c>
      <c r="AE391" s="201" t="e">
        <f>MID(INVESTORS_LIST[[#This Row],[BO ID]],4,5)</f>
        <v>#REF!</v>
      </c>
      <c r="AF391" s="201" t="e">
        <f>MID(INVESTORS_LIST[[#This Row],[BO ID]],2,7)</f>
        <v>#REF!</v>
      </c>
      <c r="AG391" s="201" t="e">
        <f>MID(INVESTORS_LIST[[#This Row],[BO ID]],9,7)</f>
        <v>#REF!</v>
      </c>
      <c r="AH391" s="201" t="e">
        <f>RIGHT(INVESTORS_LIST[[#This Row],[BO ID]],1)</f>
        <v>#REF!</v>
      </c>
      <c r="AI391" s="50">
        <f>INVESTORS_LIST[[#This Row],[LS_TOTAL COST VALUE OF CURRENT UNITS]]+INVESTORS_LIST[[#This Row],[SIP_TOTAL COST VALUE OF CURRENT UNITS]]</f>
        <v>0</v>
      </c>
      <c r="AJ391" s="109">
        <f>IF(INVESTORS_LIST[[#This Row],[TOTAL CURRENT UNITS]]=0,0,INVESTORS_LIST[[#This Row],[LS_TOTAL CURRENT UNITS]]/INVESTORS_LIST[[#This Row],[TOTAL CURRENT UNITS]])</f>
        <v>0</v>
      </c>
      <c r="AK391" s="109">
        <f>IF(INVESTORS_LIST[[#This Row],[TOTAL CURRENT UNITS]]=0,0,INVESTORS_LIST[[#This Row],[SIP_TOTAL CURRENT UNITS]]/INVESTORS_LIST[[#This Row],[TOTAL CURRENT UNITS]])</f>
        <v>0</v>
      </c>
      <c r="AL391" s="49" cm="1">
        <f t="array" ref="AL3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1" s="49" cm="1">
        <f t="array" ref="AM3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1" s="105">
        <f t="shared" si="7"/>
        <v>14.224</v>
      </c>
      <c r="AP391" s="112">
        <f>IF(INVESTORS_LIST[[#This Row],[TOTAL CURRENT UNITS]]=0,0,INVESTORS_LIST[[#This Row],[TOTAL CURRENT UNITS]]*INVESTORS_LIST[[#This Row],[NAV]])</f>
        <v>0</v>
      </c>
      <c r="AQ391" s="49">
        <f>IF(INVESTORS_LIST[[#This Row],[LS_TOTAL CURRENT UNITS]]=0,0,INVESTORS_LIST[[#This Row],[LS_TOTAL CURRENT UNITS]]*INVESTORS_LIST[[#This Row],[NAV]])</f>
        <v>0</v>
      </c>
      <c r="AR391" s="48">
        <f>IF(INVESTORS_LIST[[#This Row],[SIP_TOTAL CURRENT UNITS]]=0,0,INVESTORS_LIST[[#This Row],[SIP_TOTAL CURRENT UNITS]]*INVESTORS_LIST[[#This Row],[NAV]])</f>
        <v>0</v>
      </c>
      <c r="AS391" s="50">
        <f>INVESTORS_LIST[[#This Row],[TOTAL CURRENT UNITS]]</f>
        <v>0</v>
      </c>
      <c r="AT391" s="48">
        <f>IF(INVESTORS_LIST[[#This Row],[TOTAL SELLABLE UNITS]]=0,0,INVESTORS_LIST[[#This Row],[TOTAL SELLABLE UNITS]]*INVESTORS_LIST[[#This Row],[NAV]])</f>
        <v>0</v>
      </c>
      <c r="AU391" s="48">
        <f>INVESTORS_LIST[[#This Row],[LS_TOTAL REALIZED GAIN]]+INVESTORS_LIST[[#This Row],[SIP_TOTAL REALIZED GAIN]]</f>
        <v>0</v>
      </c>
      <c r="AV391" s="48">
        <f>INVESTORS_LIST[[#This Row],[TOTAL MARKET VALUE]]-INVESTORS_LIST[[#This Row],[TOTAL COST VALUE OF CURRENT INVESTMENT]]</f>
        <v>0</v>
      </c>
      <c r="AW391" s="48">
        <f>IFERROR(INVESTORS_LIST[[#This Row],[TOTAL CURRENT UNITS]]/SUM(INVESTORS_LIST[TOTAL CURRENT UNITS]),0)</f>
        <v>0</v>
      </c>
    </row>
    <row r="392" spans="1:49">
      <c r="A392" s="262" t="s">
        <v>830</v>
      </c>
      <c r="B392" s="97" t="s">
        <v>831</v>
      </c>
      <c r="C392" t="s">
        <v>48</v>
      </c>
      <c r="D392" s="75" t="s">
        <v>80</v>
      </c>
      <c r="E392" s="47">
        <f>SUMIFS(LS[Unit],LS[Investor ID],INVESTORS_LIST[[#This Row],[INVESTOR CODE]],LS[B/S],"B")</f>
        <v>8731</v>
      </c>
      <c r="F392" s="47">
        <f>-SUMIFS(LS[Unit],LS[Investor ID],INVESTORS_LIST[[#This Row],[INVESTOR CODE]],LS[B/S],"S")</f>
        <v>8731</v>
      </c>
      <c r="G392" s="47">
        <f>IF(INVESTORS_LIST[[#This Row],[LS_TOTAL UNITS BUY]]=0,0,INVESTORS_LIST[[#This Row],[LS_TOTAL UNITS BUY]]-INVESTORS_LIST[[#This Row],[LS_TOTAL UNITS SOLD]])</f>
        <v>0</v>
      </c>
      <c r="H392" s="49">
        <f>IF(INVESTORS_LIST[[#This Row],[LS_TOTAL UNITS BUY]]=0,0,SUMIFS(LS[Amount],LS[Investor ID],INVESTORS_LIST[[#This Row],[INVESTOR CODE]],LS[B/S],"B"))</f>
        <v>88000</v>
      </c>
      <c r="I392" s="48">
        <f>IF(INVESTORS_LIST[[#This Row],[LS_TOTAL UNITS SOLD]]=0,0,SUMIFS(LS[Cost of Units Sold],LS[Investor ID],INVESTORS_LIST[[#This Row],[INVESTOR CODE]],LS[B/S],"S"))</f>
        <v>88000</v>
      </c>
      <c r="J392" s="48">
        <f>IF(INVESTORS_LIST[[#This Row],[LS_TOTAL CURRENT UNITS]]=0,0,INVESTORS_LIST[[#This Row],[LS_TOTAL CURRENT UNITS]]*INVESTORS_LIST[[#This Row],[LS_AVERAGE COST]])</f>
        <v>0</v>
      </c>
      <c r="K392" s="49">
        <f>IF(INVESTORS_LIST[[#This Row],[LS_TOTAL UNITS SOLD]]=0,0,SUMIFS(LS[Realized Gain],LS[Investor ID],INVESTORS_LIST[[#This Row],[INVESTOR CODE]],LS[B/S],"S"))</f>
        <v>32203.169400000002</v>
      </c>
      <c r="L392" s="47">
        <f>SUMIFS(SIP[Unit],SIP[Investor ID],INVESTORS_LIST[[#This Row],[INVESTOR CODE]],SIP[B/S],"B")</f>
        <v>37899</v>
      </c>
      <c r="M392" s="47">
        <f>-SUMIFS(SIP[Unit],SIP[Investor ID],INVESTORS_LIST[[#This Row],[INVESTOR CODE]],SIP[B/S],"S")</f>
        <v>35745</v>
      </c>
      <c r="N392" s="50">
        <f>IF(INVESTORS_LIST[[#This Row],[SIP_TOTAL UNITS BUY]]=0,0,INVESTORS_LIST[[#This Row],[SIP_TOTAL UNITS BUY]]-INVESTORS_LIST[[#This Row],[SIP_TOTAL UNITS SOLD]])</f>
        <v>2154</v>
      </c>
      <c r="O392" s="49">
        <f>IF(INVESTORS_LIST[[#This Row],[SIP_TOTAL UNITS BUY]]=0,0,SUMIFS(SIP[Amount],SIP[Investor ID],INVESTORS_LIST[[#This Row],[INVESTOR CODE]],SIP[B/S],"B"))</f>
        <v>436720</v>
      </c>
      <c r="P392" s="49">
        <f>IF(INVESTORS_LIST[[#This Row],[SIP_TOTAL UNITS SOLD]]=0,0,SUMIFS(SIP[Cost of Units Sold],SIP[Investor ID],INVESTORS_LIST[[#This Row],[INVESTOR CODE]],SIP[B/S],"S"))</f>
        <v>406720</v>
      </c>
      <c r="Q392" s="48">
        <f>IF(INVESTORS_LIST[[#This Row],[SIP_TOTAL CURRENT UNITS]]=0,0,INVESTORS_LIST[[#This Row],[SIP_TOTAL CURRENT UNITS]]*INVESTORS_LIST[[#This Row],[SIP_AVERAGE COST]])</f>
        <v>30000.000000000004</v>
      </c>
      <c r="R392" s="48">
        <f>IF(INVESTORS_LIST[[#This Row],[SIP_TOTAL UNITS SOLD]]=0,0,SUMIFS(SIP[Realized Gain],SIP[Investor ID],INVESTORS_LIST[[#This Row],[INVESTOR CODE]],SIP[B/S],"S"))</f>
        <v>77324.81</v>
      </c>
      <c r="S392" s="50">
        <f>INVESTORS_LIST[[#This Row],[LS_TOTAL UNITS BUY]]+INVESTORS_LIST[[#This Row],[SIP_TOTAL UNITS BUY]]</f>
        <v>46630</v>
      </c>
      <c r="T392" s="50">
        <f>INVESTORS_LIST[[#This Row],[LS_TOTAL UNITS SOLD]]+INVESTORS_LIST[[#This Row],[SIP_TOTAL UNITS SOLD]]</f>
        <v>44476</v>
      </c>
      <c r="U392" s="50"/>
      <c r="V392" s="50">
        <f>SUMIFS(LS[BO UNIT TRANSFER],LS[Investor ID],INVESTORS_LIST[[#This Row],[INVESTOR CODE]],LS[B/S],"B")</f>
        <v>0</v>
      </c>
      <c r="W392" s="50">
        <f>SUMIFS(SIP[BO UNIT TRANSFER],SIP[Investor ID],INVESTORS_LIST[[#This Row],[INVESTOR CODE]],SIP[B/S],"B")</f>
        <v>0</v>
      </c>
      <c r="X392" s="50">
        <f>SUMIFS(LS[BO UNIT TRANSFER],LS[Investor ID],INVESTORS_LIST[[#This Row],[INVESTOR CODE]],LS[B/S],"S")</f>
        <v>0</v>
      </c>
      <c r="Y392" s="50">
        <f>SUMIFS(SIP[BO UNIT TRANSFER],SIP[Investor ID],INVESTORS_LIST[[#This Row],[INVESTOR CODE]],SIP[B/S],"S")</f>
        <v>0</v>
      </c>
      <c r="Z392" s="106">
        <f>SUM(INVESTORS_LIST[[#This Row],[BO OPENING BALANCE]:[BO SIP UNITS REPURCHASE]])</f>
        <v>0</v>
      </c>
      <c r="AA392" s="107">
        <f>INVESTORS_LIST[[#This Row],[TOTAL UNITS BUY]]-INVESTORS_LIST[[#This Row],[TOTAL UNITS SOLD]]</f>
        <v>2154</v>
      </c>
      <c r="AB392" s="107">
        <f>INVESTORS_LIST[[#This Row],[TOTAL CURRENT UNITS]]-INVESTORS_LIST[[#This Row],[BO UNITS HOLD]]</f>
        <v>2154</v>
      </c>
      <c r="AC392" s="201" t="e">
        <f>INDEX([3]!Table_1[BO ID],MATCH(INVESTORS_LIST[[#This Row],[INVESTOR CODE]],[3]!Table_1[INVESTOR CODE],0))</f>
        <v>#REF!</v>
      </c>
      <c r="AD392" s="201" t="e">
        <f>INDEX([3]!Table_1[Brokerage Name2],MATCH(INVESTORS_LIST[[#This Row],[INVESTOR CODE]],[3]!Table_1[INVESTOR CODE],0))</f>
        <v>#REF!</v>
      </c>
      <c r="AE392" s="201" t="e">
        <f>MID(INVESTORS_LIST[[#This Row],[BO ID]],4,5)</f>
        <v>#REF!</v>
      </c>
      <c r="AF392" s="201" t="e">
        <f>MID(INVESTORS_LIST[[#This Row],[BO ID]],2,7)</f>
        <v>#REF!</v>
      </c>
      <c r="AG392" s="201" t="e">
        <f>MID(INVESTORS_LIST[[#This Row],[BO ID]],9,7)</f>
        <v>#REF!</v>
      </c>
      <c r="AH392" s="201" t="e">
        <f>RIGHT(INVESTORS_LIST[[#This Row],[BO ID]],1)</f>
        <v>#REF!</v>
      </c>
      <c r="AI392" s="50">
        <f>INVESTORS_LIST[[#This Row],[LS_TOTAL COST VALUE OF CURRENT UNITS]]+INVESTORS_LIST[[#This Row],[SIP_TOTAL COST VALUE OF CURRENT UNITS]]</f>
        <v>30000.000000000004</v>
      </c>
      <c r="AJ392" s="109">
        <f>IF(INVESTORS_LIST[[#This Row],[TOTAL CURRENT UNITS]]=0,0,INVESTORS_LIST[[#This Row],[LS_TOTAL CURRENT UNITS]]/INVESTORS_LIST[[#This Row],[TOTAL CURRENT UNITS]])</f>
        <v>0</v>
      </c>
      <c r="AK392" s="109">
        <f>IF(INVESTORS_LIST[[#This Row],[TOTAL CURRENT UNITS]]=0,0,INVESTORS_LIST[[#This Row],[SIP_TOTAL CURRENT UNITS]]/INVESTORS_LIST[[#This Row],[TOTAL CURRENT UNITS]])</f>
        <v>1</v>
      </c>
      <c r="AL392" s="49" cm="1">
        <f t="array" ref="AL3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2" s="49" cm="1">
        <f t="array" ref="AM392">IF(INVESTORS_LIST[[#This Row],[SIP_TOTAL UNITS BUY]]&gt;0,INDEX(SIP[NAV at Cost (Average)],MATCH(CONCATENATE(COUNTIFS(SIP[Investor ID],INVESTORS_LIST[[#This Row],[INVESTOR CODE]]),INVESTORS_LIST[[#This Row],[INVESTOR CODE]]),SIP[Unique Code],0),),0)</f>
        <v>13.92757660167131</v>
      </c>
      <c r="AN392" s="105">
        <f>IF(INVESTORS_LIST[[#This Row],[TOTAL CURRENT UNITS]]=0,0,(INVESTORS_LIST[[#This Row],[LS_WEIGHT]]*INVESTORS_LIST[[#This Row],[LS_AVERAGE COST]])+(INVESTORS_LIST[[#This Row],[SIP_WEIGHT]]*INVESTORS_LIST[[#This Row],[SIP_AVERAGE COST]]))</f>
        <v>13.92757660167131</v>
      </c>
      <c r="AO392" s="105">
        <f t="shared" si="7"/>
        <v>14.224</v>
      </c>
      <c r="AP392" s="112">
        <f>IF(INVESTORS_LIST[[#This Row],[TOTAL CURRENT UNITS]]=0,0,INVESTORS_LIST[[#This Row],[TOTAL CURRENT UNITS]]*INVESTORS_LIST[[#This Row],[NAV]])</f>
        <v>30638.495999999999</v>
      </c>
      <c r="AQ392" s="49">
        <f>IF(INVESTORS_LIST[[#This Row],[LS_TOTAL CURRENT UNITS]]=0,0,INVESTORS_LIST[[#This Row],[LS_TOTAL CURRENT UNITS]]*INVESTORS_LIST[[#This Row],[NAV]])</f>
        <v>0</v>
      </c>
      <c r="AR392" s="48">
        <f>IF(INVESTORS_LIST[[#This Row],[SIP_TOTAL CURRENT UNITS]]=0,0,INVESTORS_LIST[[#This Row],[SIP_TOTAL CURRENT UNITS]]*INVESTORS_LIST[[#This Row],[NAV]])</f>
        <v>30638.495999999999</v>
      </c>
      <c r="AS392" s="50">
        <f>INVESTORS_LIST[[#This Row],[TOTAL CURRENT UNITS]]</f>
        <v>2154</v>
      </c>
      <c r="AT392" s="48">
        <f>IF(INVESTORS_LIST[[#This Row],[TOTAL SELLABLE UNITS]]=0,0,INVESTORS_LIST[[#This Row],[TOTAL SELLABLE UNITS]]*INVESTORS_LIST[[#This Row],[NAV]])</f>
        <v>30638.495999999999</v>
      </c>
      <c r="AU392" s="48">
        <f>INVESTORS_LIST[[#This Row],[LS_TOTAL REALIZED GAIN]]+INVESTORS_LIST[[#This Row],[SIP_TOTAL REALIZED GAIN]]</f>
        <v>109527.9794</v>
      </c>
      <c r="AV392" s="48">
        <f>INVESTORS_LIST[[#This Row],[TOTAL MARKET VALUE]]-INVESTORS_LIST[[#This Row],[TOTAL COST VALUE OF CURRENT INVESTMENT]]</f>
        <v>638.49599999999555</v>
      </c>
      <c r="AW392" s="108">
        <f>IFERROR(INVESTORS_LIST[[#This Row],[TOTAL CURRENT UNITS]]/SUM(INVESTORS_LIST[TOTAL CURRENT UNITS]),0)</f>
        <v>5.2290951808207278E-5</v>
      </c>
    </row>
    <row r="393" spans="1:49" hidden="1">
      <c r="A393" s="262" t="s">
        <v>832</v>
      </c>
      <c r="B393" s="97" t="s">
        <v>833</v>
      </c>
      <c r="C393" t="s">
        <v>44</v>
      </c>
      <c r="D393" s="75" t="s">
        <v>45</v>
      </c>
      <c r="E393" s="47">
        <f>SUMIFS(LS[Unit],LS[Investor ID],INVESTORS_LIST[[#This Row],[INVESTOR CODE]],LS[B/S],"B")</f>
        <v>0</v>
      </c>
      <c r="F393" s="47">
        <f>-SUMIFS(LS[Unit],LS[Investor ID],INVESTORS_LIST[[#This Row],[INVESTOR CODE]],LS[B/S],"S")</f>
        <v>0</v>
      </c>
      <c r="G393" s="47">
        <f>IF(INVESTORS_LIST[[#This Row],[LS_TOTAL UNITS BUY]]=0,0,INVESTORS_LIST[[#This Row],[LS_TOTAL UNITS BUY]]-INVESTORS_LIST[[#This Row],[LS_TOTAL UNITS SOLD]])</f>
        <v>0</v>
      </c>
      <c r="H393" s="49">
        <f>IF(INVESTORS_LIST[[#This Row],[LS_TOTAL UNITS BUY]]=0,0,SUMIFS(LS[Amount],LS[Investor ID],INVESTORS_LIST[[#This Row],[INVESTOR CODE]],LS[B/S],"B"))</f>
        <v>0</v>
      </c>
      <c r="I393" s="48">
        <f>IF(INVESTORS_LIST[[#This Row],[LS_TOTAL UNITS SOLD]]=0,0,SUMIFS(LS[Cost of Units Sold],LS[Investor ID],INVESTORS_LIST[[#This Row],[INVESTOR CODE]],LS[B/S],"S"))</f>
        <v>0</v>
      </c>
      <c r="J393" s="48">
        <f>IF(INVESTORS_LIST[[#This Row],[LS_TOTAL CURRENT UNITS]]=0,0,INVESTORS_LIST[[#This Row],[LS_TOTAL CURRENT UNITS]]*INVESTORS_LIST[[#This Row],[LS_AVERAGE COST]])</f>
        <v>0</v>
      </c>
      <c r="K393" s="49">
        <f>IF(INVESTORS_LIST[[#This Row],[LS_TOTAL UNITS SOLD]]=0,0,SUMIFS(LS[Realized Gain],LS[Investor ID],INVESTORS_LIST[[#This Row],[INVESTOR CODE]],LS[B/S],"S"))</f>
        <v>0</v>
      </c>
      <c r="L393" s="47">
        <f>SUMIFS(SIP[Unit],SIP[Investor ID],INVESTORS_LIST[[#This Row],[INVESTOR CODE]],SIP[B/S],"B")</f>
        <v>0</v>
      </c>
      <c r="M393" s="47">
        <f>-SUMIFS(SIP[Unit],SIP[Investor ID],INVESTORS_LIST[[#This Row],[INVESTOR CODE]],SIP[B/S],"S")</f>
        <v>0</v>
      </c>
      <c r="N393" s="50">
        <f>IF(INVESTORS_LIST[[#This Row],[SIP_TOTAL UNITS BUY]]=0,0,INVESTORS_LIST[[#This Row],[SIP_TOTAL UNITS BUY]]-INVESTORS_LIST[[#This Row],[SIP_TOTAL UNITS SOLD]])</f>
        <v>0</v>
      </c>
      <c r="O393" s="49">
        <f>IF(INVESTORS_LIST[[#This Row],[SIP_TOTAL UNITS BUY]]=0,0,SUMIFS(SIP[Amount],SIP[Investor ID],INVESTORS_LIST[[#This Row],[INVESTOR CODE]],SIP[B/S],"B"))</f>
        <v>0</v>
      </c>
      <c r="P393" s="49">
        <f>IF(INVESTORS_LIST[[#This Row],[SIP_TOTAL UNITS SOLD]]=0,0,SUMIFS(SIP[Cost of Units Sold],SIP[Investor ID],INVESTORS_LIST[[#This Row],[INVESTOR CODE]],SIP[B/S],"S"))</f>
        <v>0</v>
      </c>
      <c r="Q393" s="48">
        <f>IF(INVESTORS_LIST[[#This Row],[SIP_TOTAL CURRENT UNITS]]=0,0,INVESTORS_LIST[[#This Row],[SIP_TOTAL CURRENT UNITS]]*INVESTORS_LIST[[#This Row],[SIP_AVERAGE COST]])</f>
        <v>0</v>
      </c>
      <c r="R393" s="48">
        <f>IF(INVESTORS_LIST[[#This Row],[SIP_TOTAL UNITS SOLD]]=0,0,SUMIFS(SIP[Realized Gain],SIP[Investor ID],INVESTORS_LIST[[#This Row],[INVESTOR CODE]],SIP[B/S],"S"))</f>
        <v>0</v>
      </c>
      <c r="S393" s="50">
        <f>INVESTORS_LIST[[#This Row],[LS_TOTAL UNITS BUY]]+INVESTORS_LIST[[#This Row],[SIP_TOTAL UNITS BUY]]</f>
        <v>0</v>
      </c>
      <c r="T393" s="50">
        <f>INVESTORS_LIST[[#This Row],[LS_TOTAL UNITS SOLD]]+INVESTORS_LIST[[#This Row],[SIP_TOTAL UNITS SOLD]]</f>
        <v>0</v>
      </c>
      <c r="U393" s="50"/>
      <c r="V393" s="50">
        <f>SUMIFS(LS[BO UNIT TRANSFER],LS[Investor ID],INVESTORS_LIST[[#This Row],[INVESTOR CODE]],LS[B/S],"B")</f>
        <v>0</v>
      </c>
      <c r="W393" s="50">
        <f>SUMIFS(SIP[BO UNIT TRANSFER],SIP[Investor ID],INVESTORS_LIST[[#This Row],[INVESTOR CODE]],SIP[B/S],"B")</f>
        <v>0</v>
      </c>
      <c r="X393" s="50">
        <f>SUMIFS(LS[BO UNIT TRANSFER],LS[Investor ID],INVESTORS_LIST[[#This Row],[INVESTOR CODE]],LS[B/S],"S")</f>
        <v>0</v>
      </c>
      <c r="Y393" s="50">
        <f>SUMIFS(SIP[BO UNIT TRANSFER],SIP[Investor ID],INVESTORS_LIST[[#This Row],[INVESTOR CODE]],SIP[B/S],"S")</f>
        <v>0</v>
      </c>
      <c r="Z393" s="106">
        <f>SUM(INVESTORS_LIST[[#This Row],[BO OPENING BALANCE]:[BO SIP UNITS REPURCHASE]])</f>
        <v>0</v>
      </c>
      <c r="AA393" s="107">
        <f>INVESTORS_LIST[[#This Row],[TOTAL UNITS BUY]]-INVESTORS_LIST[[#This Row],[TOTAL UNITS SOLD]]</f>
        <v>0</v>
      </c>
      <c r="AB393" s="107">
        <f>INVESTORS_LIST[[#This Row],[TOTAL CURRENT UNITS]]-INVESTORS_LIST[[#This Row],[BO UNITS HOLD]]</f>
        <v>0</v>
      </c>
      <c r="AC393" s="201" t="e">
        <f>INDEX([3]!Table_1[BO ID],MATCH(INVESTORS_LIST[[#This Row],[INVESTOR CODE]],[3]!Table_1[INVESTOR CODE],0))</f>
        <v>#REF!</v>
      </c>
      <c r="AD393" s="201" t="e">
        <f>INDEX([3]!Table_1[Brokerage Name2],MATCH(INVESTORS_LIST[[#This Row],[INVESTOR CODE]],[3]!Table_1[INVESTOR CODE],0))</f>
        <v>#REF!</v>
      </c>
      <c r="AE393" s="201" t="e">
        <f>MID(INVESTORS_LIST[[#This Row],[BO ID]],4,5)</f>
        <v>#REF!</v>
      </c>
      <c r="AF393" s="201" t="e">
        <f>MID(INVESTORS_LIST[[#This Row],[BO ID]],2,7)</f>
        <v>#REF!</v>
      </c>
      <c r="AG393" s="201" t="e">
        <f>MID(INVESTORS_LIST[[#This Row],[BO ID]],9,7)</f>
        <v>#REF!</v>
      </c>
      <c r="AH393" s="201" t="e">
        <f>RIGHT(INVESTORS_LIST[[#This Row],[BO ID]],1)</f>
        <v>#REF!</v>
      </c>
      <c r="AI393" s="50">
        <f>INVESTORS_LIST[[#This Row],[LS_TOTAL COST VALUE OF CURRENT UNITS]]+INVESTORS_LIST[[#This Row],[SIP_TOTAL COST VALUE OF CURRENT UNITS]]</f>
        <v>0</v>
      </c>
      <c r="AJ393" s="109">
        <f>IF(INVESTORS_LIST[[#This Row],[TOTAL CURRENT UNITS]]=0,0,INVESTORS_LIST[[#This Row],[LS_TOTAL CURRENT UNITS]]/INVESTORS_LIST[[#This Row],[TOTAL CURRENT UNITS]])</f>
        <v>0</v>
      </c>
      <c r="AK393" s="109">
        <f>IF(INVESTORS_LIST[[#This Row],[TOTAL CURRENT UNITS]]=0,0,INVESTORS_LIST[[#This Row],[SIP_TOTAL CURRENT UNITS]]/INVESTORS_LIST[[#This Row],[TOTAL CURRENT UNITS]])</f>
        <v>0</v>
      </c>
      <c r="AL393" s="49" cm="1">
        <f t="array" ref="AL3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3" s="49" cm="1">
        <f t="array" ref="AM3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3" s="105">
        <f t="shared" si="7"/>
        <v>14.224</v>
      </c>
      <c r="AP393" s="112">
        <f>IF(INVESTORS_LIST[[#This Row],[TOTAL CURRENT UNITS]]=0,0,INVESTORS_LIST[[#This Row],[TOTAL CURRENT UNITS]]*INVESTORS_LIST[[#This Row],[NAV]])</f>
        <v>0</v>
      </c>
      <c r="AQ393" s="49">
        <f>IF(INVESTORS_LIST[[#This Row],[LS_TOTAL CURRENT UNITS]]=0,0,INVESTORS_LIST[[#This Row],[LS_TOTAL CURRENT UNITS]]*INVESTORS_LIST[[#This Row],[NAV]])</f>
        <v>0</v>
      </c>
      <c r="AR393" s="48">
        <f>IF(INVESTORS_LIST[[#This Row],[SIP_TOTAL CURRENT UNITS]]=0,0,INVESTORS_LIST[[#This Row],[SIP_TOTAL CURRENT UNITS]]*INVESTORS_LIST[[#This Row],[NAV]])</f>
        <v>0</v>
      </c>
      <c r="AS393" s="50">
        <f>INVESTORS_LIST[[#This Row],[TOTAL CURRENT UNITS]]</f>
        <v>0</v>
      </c>
      <c r="AT393" s="48">
        <f>IF(INVESTORS_LIST[[#This Row],[TOTAL SELLABLE UNITS]]=0,0,INVESTORS_LIST[[#This Row],[TOTAL SELLABLE UNITS]]*INVESTORS_LIST[[#This Row],[NAV]])</f>
        <v>0</v>
      </c>
      <c r="AU393" s="48">
        <f>INVESTORS_LIST[[#This Row],[LS_TOTAL REALIZED GAIN]]+INVESTORS_LIST[[#This Row],[SIP_TOTAL REALIZED GAIN]]</f>
        <v>0</v>
      </c>
      <c r="AV393" s="48">
        <f>INVESTORS_LIST[[#This Row],[TOTAL MARKET VALUE]]-INVESTORS_LIST[[#This Row],[TOTAL COST VALUE OF CURRENT INVESTMENT]]</f>
        <v>0</v>
      </c>
      <c r="AW393" s="48">
        <f>IFERROR(INVESTORS_LIST[[#This Row],[TOTAL CURRENT UNITS]]/SUM(INVESTORS_LIST[TOTAL CURRENT UNITS]),0)</f>
        <v>0</v>
      </c>
    </row>
    <row r="394" spans="1:49" hidden="1">
      <c r="A394" s="262" t="s">
        <v>834</v>
      </c>
      <c r="B394" s="97" t="s">
        <v>835</v>
      </c>
      <c r="C394" t="s">
        <v>44</v>
      </c>
      <c r="D394" s="75" t="s">
        <v>45</v>
      </c>
      <c r="E394" s="47">
        <f>SUMIFS(LS[Unit],LS[Investor ID],INVESTORS_LIST[[#This Row],[INVESTOR CODE]],LS[B/S],"B")</f>
        <v>0</v>
      </c>
      <c r="F394" s="47">
        <f>-SUMIFS(LS[Unit],LS[Investor ID],INVESTORS_LIST[[#This Row],[INVESTOR CODE]],LS[B/S],"S")</f>
        <v>0</v>
      </c>
      <c r="G394" s="47">
        <f>IF(INVESTORS_LIST[[#This Row],[LS_TOTAL UNITS BUY]]=0,0,INVESTORS_LIST[[#This Row],[LS_TOTAL UNITS BUY]]-INVESTORS_LIST[[#This Row],[LS_TOTAL UNITS SOLD]])</f>
        <v>0</v>
      </c>
      <c r="H394" s="49">
        <f>IF(INVESTORS_LIST[[#This Row],[LS_TOTAL UNITS BUY]]=0,0,SUMIFS(LS[Amount],LS[Investor ID],INVESTORS_LIST[[#This Row],[INVESTOR CODE]],LS[B/S],"B"))</f>
        <v>0</v>
      </c>
      <c r="I394" s="48">
        <f>IF(INVESTORS_LIST[[#This Row],[LS_TOTAL UNITS SOLD]]=0,0,SUMIFS(LS[Cost of Units Sold],LS[Investor ID],INVESTORS_LIST[[#This Row],[INVESTOR CODE]],LS[B/S],"S"))</f>
        <v>0</v>
      </c>
      <c r="J394" s="48">
        <f>IF(INVESTORS_LIST[[#This Row],[LS_TOTAL CURRENT UNITS]]=0,0,INVESTORS_LIST[[#This Row],[LS_TOTAL CURRENT UNITS]]*INVESTORS_LIST[[#This Row],[LS_AVERAGE COST]])</f>
        <v>0</v>
      </c>
      <c r="K394" s="49">
        <f>IF(INVESTORS_LIST[[#This Row],[LS_TOTAL UNITS SOLD]]=0,0,SUMIFS(LS[Realized Gain],LS[Investor ID],INVESTORS_LIST[[#This Row],[INVESTOR CODE]],LS[B/S],"S"))</f>
        <v>0</v>
      </c>
      <c r="L394" s="47">
        <f>SUMIFS(SIP[Unit],SIP[Investor ID],INVESTORS_LIST[[#This Row],[INVESTOR CODE]],SIP[B/S],"B")</f>
        <v>0</v>
      </c>
      <c r="M394" s="47">
        <f>-SUMIFS(SIP[Unit],SIP[Investor ID],INVESTORS_LIST[[#This Row],[INVESTOR CODE]],SIP[B/S],"S")</f>
        <v>0</v>
      </c>
      <c r="N394" s="50">
        <f>IF(INVESTORS_LIST[[#This Row],[SIP_TOTAL UNITS BUY]]=0,0,INVESTORS_LIST[[#This Row],[SIP_TOTAL UNITS BUY]]-INVESTORS_LIST[[#This Row],[SIP_TOTAL UNITS SOLD]])</f>
        <v>0</v>
      </c>
      <c r="O394" s="49">
        <f>IF(INVESTORS_LIST[[#This Row],[SIP_TOTAL UNITS BUY]]=0,0,SUMIFS(SIP[Amount],SIP[Investor ID],INVESTORS_LIST[[#This Row],[INVESTOR CODE]],SIP[B/S],"B"))</f>
        <v>0</v>
      </c>
      <c r="P394" s="49">
        <f>IF(INVESTORS_LIST[[#This Row],[SIP_TOTAL UNITS SOLD]]=0,0,SUMIFS(SIP[Cost of Units Sold],SIP[Investor ID],INVESTORS_LIST[[#This Row],[INVESTOR CODE]],SIP[B/S],"S"))</f>
        <v>0</v>
      </c>
      <c r="Q394" s="48">
        <f>IF(INVESTORS_LIST[[#This Row],[SIP_TOTAL CURRENT UNITS]]=0,0,INVESTORS_LIST[[#This Row],[SIP_TOTAL CURRENT UNITS]]*INVESTORS_LIST[[#This Row],[SIP_AVERAGE COST]])</f>
        <v>0</v>
      </c>
      <c r="R394" s="48">
        <f>IF(INVESTORS_LIST[[#This Row],[SIP_TOTAL UNITS SOLD]]=0,0,SUMIFS(SIP[Realized Gain],SIP[Investor ID],INVESTORS_LIST[[#This Row],[INVESTOR CODE]],SIP[B/S],"S"))</f>
        <v>0</v>
      </c>
      <c r="S394" s="50">
        <f>INVESTORS_LIST[[#This Row],[LS_TOTAL UNITS BUY]]+INVESTORS_LIST[[#This Row],[SIP_TOTAL UNITS BUY]]</f>
        <v>0</v>
      </c>
      <c r="T394" s="50">
        <f>INVESTORS_LIST[[#This Row],[LS_TOTAL UNITS SOLD]]+INVESTORS_LIST[[#This Row],[SIP_TOTAL UNITS SOLD]]</f>
        <v>0</v>
      </c>
      <c r="U394" s="50"/>
      <c r="V394" s="50">
        <f>SUMIFS(LS[BO UNIT TRANSFER],LS[Investor ID],INVESTORS_LIST[[#This Row],[INVESTOR CODE]],LS[B/S],"B")</f>
        <v>0</v>
      </c>
      <c r="W394" s="50">
        <f>SUMIFS(SIP[BO UNIT TRANSFER],SIP[Investor ID],INVESTORS_LIST[[#This Row],[INVESTOR CODE]],SIP[B/S],"B")</f>
        <v>0</v>
      </c>
      <c r="X394" s="50">
        <f>SUMIFS(LS[BO UNIT TRANSFER],LS[Investor ID],INVESTORS_LIST[[#This Row],[INVESTOR CODE]],LS[B/S],"S")</f>
        <v>0</v>
      </c>
      <c r="Y394" s="50">
        <f>SUMIFS(SIP[BO UNIT TRANSFER],SIP[Investor ID],INVESTORS_LIST[[#This Row],[INVESTOR CODE]],SIP[B/S],"S")</f>
        <v>0</v>
      </c>
      <c r="Z394" s="106">
        <f>SUM(INVESTORS_LIST[[#This Row],[BO OPENING BALANCE]:[BO SIP UNITS REPURCHASE]])</f>
        <v>0</v>
      </c>
      <c r="AA394" s="107">
        <f>INVESTORS_LIST[[#This Row],[TOTAL UNITS BUY]]-INVESTORS_LIST[[#This Row],[TOTAL UNITS SOLD]]</f>
        <v>0</v>
      </c>
      <c r="AB394" s="107">
        <f>INVESTORS_LIST[[#This Row],[TOTAL CURRENT UNITS]]-INVESTORS_LIST[[#This Row],[BO UNITS HOLD]]</f>
        <v>0</v>
      </c>
      <c r="AC394" s="201" t="e">
        <f>INDEX([3]!Table_1[BO ID],MATCH(INVESTORS_LIST[[#This Row],[INVESTOR CODE]],[3]!Table_1[INVESTOR CODE],0))</f>
        <v>#REF!</v>
      </c>
      <c r="AD394" s="201" t="e">
        <f>INDEX([3]!Table_1[Brokerage Name2],MATCH(INVESTORS_LIST[[#This Row],[INVESTOR CODE]],[3]!Table_1[INVESTOR CODE],0))</f>
        <v>#REF!</v>
      </c>
      <c r="AE394" s="201" t="e">
        <f>MID(INVESTORS_LIST[[#This Row],[BO ID]],4,5)</f>
        <v>#REF!</v>
      </c>
      <c r="AF394" s="201" t="e">
        <f>MID(INVESTORS_LIST[[#This Row],[BO ID]],2,7)</f>
        <v>#REF!</v>
      </c>
      <c r="AG394" s="201" t="e">
        <f>MID(INVESTORS_LIST[[#This Row],[BO ID]],9,7)</f>
        <v>#REF!</v>
      </c>
      <c r="AH394" s="201" t="e">
        <f>RIGHT(INVESTORS_LIST[[#This Row],[BO ID]],1)</f>
        <v>#REF!</v>
      </c>
      <c r="AI394" s="50">
        <f>INVESTORS_LIST[[#This Row],[LS_TOTAL COST VALUE OF CURRENT UNITS]]+INVESTORS_LIST[[#This Row],[SIP_TOTAL COST VALUE OF CURRENT UNITS]]</f>
        <v>0</v>
      </c>
      <c r="AJ394" s="109">
        <f>IF(INVESTORS_LIST[[#This Row],[TOTAL CURRENT UNITS]]=0,0,INVESTORS_LIST[[#This Row],[LS_TOTAL CURRENT UNITS]]/INVESTORS_LIST[[#This Row],[TOTAL CURRENT UNITS]])</f>
        <v>0</v>
      </c>
      <c r="AK394" s="109">
        <f>IF(INVESTORS_LIST[[#This Row],[TOTAL CURRENT UNITS]]=0,0,INVESTORS_LIST[[#This Row],[SIP_TOTAL CURRENT UNITS]]/INVESTORS_LIST[[#This Row],[TOTAL CURRENT UNITS]])</f>
        <v>0</v>
      </c>
      <c r="AL394" s="49" cm="1">
        <f t="array" ref="AL3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4" s="49" cm="1">
        <f t="array" ref="AM3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4" s="105">
        <f t="shared" si="7"/>
        <v>14.224</v>
      </c>
      <c r="AP394" s="112">
        <f>IF(INVESTORS_LIST[[#This Row],[TOTAL CURRENT UNITS]]=0,0,INVESTORS_LIST[[#This Row],[TOTAL CURRENT UNITS]]*INVESTORS_LIST[[#This Row],[NAV]])</f>
        <v>0</v>
      </c>
      <c r="AQ394" s="49">
        <f>IF(INVESTORS_LIST[[#This Row],[LS_TOTAL CURRENT UNITS]]=0,0,INVESTORS_LIST[[#This Row],[LS_TOTAL CURRENT UNITS]]*INVESTORS_LIST[[#This Row],[NAV]])</f>
        <v>0</v>
      </c>
      <c r="AR394" s="48">
        <f>IF(INVESTORS_LIST[[#This Row],[SIP_TOTAL CURRENT UNITS]]=0,0,INVESTORS_LIST[[#This Row],[SIP_TOTAL CURRENT UNITS]]*INVESTORS_LIST[[#This Row],[NAV]])</f>
        <v>0</v>
      </c>
      <c r="AS394" s="50">
        <f>INVESTORS_LIST[[#This Row],[TOTAL CURRENT UNITS]]</f>
        <v>0</v>
      </c>
      <c r="AT394" s="48">
        <f>IF(INVESTORS_LIST[[#This Row],[TOTAL SELLABLE UNITS]]=0,0,INVESTORS_LIST[[#This Row],[TOTAL SELLABLE UNITS]]*INVESTORS_LIST[[#This Row],[NAV]])</f>
        <v>0</v>
      </c>
      <c r="AU394" s="48">
        <f>INVESTORS_LIST[[#This Row],[LS_TOTAL REALIZED GAIN]]+INVESTORS_LIST[[#This Row],[SIP_TOTAL REALIZED GAIN]]</f>
        <v>0</v>
      </c>
      <c r="AV394" s="48">
        <f>INVESTORS_LIST[[#This Row],[TOTAL MARKET VALUE]]-INVESTORS_LIST[[#This Row],[TOTAL COST VALUE OF CURRENT INVESTMENT]]</f>
        <v>0</v>
      </c>
      <c r="AW394" s="48">
        <f>IFERROR(INVESTORS_LIST[[#This Row],[TOTAL CURRENT UNITS]]/SUM(INVESTORS_LIST[TOTAL CURRENT UNITS]),0)</f>
        <v>0</v>
      </c>
    </row>
    <row r="395" spans="1:49" hidden="1">
      <c r="A395" s="262" t="s">
        <v>836</v>
      </c>
      <c r="B395" s="97" t="s">
        <v>837</v>
      </c>
      <c r="C395" t="s">
        <v>44</v>
      </c>
      <c r="D395" s="75" t="s">
        <v>45</v>
      </c>
      <c r="E395" s="47">
        <f>SUMIFS(LS[Unit],LS[Investor ID],INVESTORS_LIST[[#This Row],[INVESTOR CODE]],LS[B/S],"B")</f>
        <v>0</v>
      </c>
      <c r="F395" s="47">
        <f>-SUMIFS(LS[Unit],LS[Investor ID],INVESTORS_LIST[[#This Row],[INVESTOR CODE]],LS[B/S],"S")</f>
        <v>0</v>
      </c>
      <c r="G395" s="47">
        <f>IF(INVESTORS_LIST[[#This Row],[LS_TOTAL UNITS BUY]]=0,0,INVESTORS_LIST[[#This Row],[LS_TOTAL UNITS BUY]]-INVESTORS_LIST[[#This Row],[LS_TOTAL UNITS SOLD]])</f>
        <v>0</v>
      </c>
      <c r="H395" s="49">
        <f>IF(INVESTORS_LIST[[#This Row],[LS_TOTAL UNITS BUY]]=0,0,SUMIFS(LS[Amount],LS[Investor ID],INVESTORS_LIST[[#This Row],[INVESTOR CODE]],LS[B/S],"B"))</f>
        <v>0</v>
      </c>
      <c r="I395" s="48">
        <f>IF(INVESTORS_LIST[[#This Row],[LS_TOTAL UNITS SOLD]]=0,0,SUMIFS(LS[Cost of Units Sold],LS[Investor ID],INVESTORS_LIST[[#This Row],[INVESTOR CODE]],LS[B/S],"S"))</f>
        <v>0</v>
      </c>
      <c r="J395" s="48">
        <f>IF(INVESTORS_LIST[[#This Row],[LS_TOTAL CURRENT UNITS]]=0,0,INVESTORS_LIST[[#This Row],[LS_TOTAL CURRENT UNITS]]*INVESTORS_LIST[[#This Row],[LS_AVERAGE COST]])</f>
        <v>0</v>
      </c>
      <c r="K395" s="49">
        <f>IF(INVESTORS_LIST[[#This Row],[LS_TOTAL UNITS SOLD]]=0,0,SUMIFS(LS[Realized Gain],LS[Investor ID],INVESTORS_LIST[[#This Row],[INVESTOR CODE]],LS[B/S],"S"))</f>
        <v>0</v>
      </c>
      <c r="L395" s="47">
        <f>SUMIFS(SIP[Unit],SIP[Investor ID],INVESTORS_LIST[[#This Row],[INVESTOR CODE]],SIP[B/S],"B")</f>
        <v>0</v>
      </c>
      <c r="M395" s="47">
        <f>-SUMIFS(SIP[Unit],SIP[Investor ID],INVESTORS_LIST[[#This Row],[INVESTOR CODE]],SIP[B/S],"S")</f>
        <v>0</v>
      </c>
      <c r="N395" s="50">
        <f>IF(INVESTORS_LIST[[#This Row],[SIP_TOTAL UNITS BUY]]=0,0,INVESTORS_LIST[[#This Row],[SIP_TOTAL UNITS BUY]]-INVESTORS_LIST[[#This Row],[SIP_TOTAL UNITS SOLD]])</f>
        <v>0</v>
      </c>
      <c r="O395" s="49">
        <f>IF(INVESTORS_LIST[[#This Row],[SIP_TOTAL UNITS BUY]]=0,0,SUMIFS(SIP[Amount],SIP[Investor ID],INVESTORS_LIST[[#This Row],[INVESTOR CODE]],SIP[B/S],"B"))</f>
        <v>0</v>
      </c>
      <c r="P395" s="49">
        <f>IF(INVESTORS_LIST[[#This Row],[SIP_TOTAL UNITS SOLD]]=0,0,SUMIFS(SIP[Cost of Units Sold],SIP[Investor ID],INVESTORS_LIST[[#This Row],[INVESTOR CODE]],SIP[B/S],"S"))</f>
        <v>0</v>
      </c>
      <c r="Q395" s="48">
        <f>IF(INVESTORS_LIST[[#This Row],[SIP_TOTAL CURRENT UNITS]]=0,0,INVESTORS_LIST[[#This Row],[SIP_TOTAL CURRENT UNITS]]*INVESTORS_LIST[[#This Row],[SIP_AVERAGE COST]])</f>
        <v>0</v>
      </c>
      <c r="R395" s="48">
        <f>IF(INVESTORS_LIST[[#This Row],[SIP_TOTAL UNITS SOLD]]=0,0,SUMIFS(SIP[Realized Gain],SIP[Investor ID],INVESTORS_LIST[[#This Row],[INVESTOR CODE]],SIP[B/S],"S"))</f>
        <v>0</v>
      </c>
      <c r="S395" s="50">
        <f>INVESTORS_LIST[[#This Row],[LS_TOTAL UNITS BUY]]+INVESTORS_LIST[[#This Row],[SIP_TOTAL UNITS BUY]]</f>
        <v>0</v>
      </c>
      <c r="T395" s="50">
        <f>INVESTORS_LIST[[#This Row],[LS_TOTAL UNITS SOLD]]+INVESTORS_LIST[[#This Row],[SIP_TOTAL UNITS SOLD]]</f>
        <v>0</v>
      </c>
      <c r="U395" s="50"/>
      <c r="V395" s="50">
        <f>SUMIFS(LS[BO UNIT TRANSFER],LS[Investor ID],INVESTORS_LIST[[#This Row],[INVESTOR CODE]],LS[B/S],"B")</f>
        <v>0</v>
      </c>
      <c r="W395" s="50">
        <f>SUMIFS(SIP[BO UNIT TRANSFER],SIP[Investor ID],INVESTORS_LIST[[#This Row],[INVESTOR CODE]],SIP[B/S],"B")</f>
        <v>0</v>
      </c>
      <c r="X395" s="50">
        <f>SUMIFS(LS[BO UNIT TRANSFER],LS[Investor ID],INVESTORS_LIST[[#This Row],[INVESTOR CODE]],LS[B/S],"S")</f>
        <v>0</v>
      </c>
      <c r="Y395" s="50">
        <f>SUMIFS(SIP[BO UNIT TRANSFER],SIP[Investor ID],INVESTORS_LIST[[#This Row],[INVESTOR CODE]],SIP[B/S],"S")</f>
        <v>0</v>
      </c>
      <c r="Z395" s="106">
        <f>SUM(INVESTORS_LIST[[#This Row],[BO OPENING BALANCE]:[BO SIP UNITS REPURCHASE]])</f>
        <v>0</v>
      </c>
      <c r="AA395" s="107">
        <f>INVESTORS_LIST[[#This Row],[TOTAL UNITS BUY]]-INVESTORS_LIST[[#This Row],[TOTAL UNITS SOLD]]</f>
        <v>0</v>
      </c>
      <c r="AB395" s="107">
        <f>INVESTORS_LIST[[#This Row],[TOTAL CURRENT UNITS]]-INVESTORS_LIST[[#This Row],[BO UNITS HOLD]]</f>
        <v>0</v>
      </c>
      <c r="AC395" s="201" t="e">
        <f>INDEX([3]!Table_1[BO ID],MATCH(INVESTORS_LIST[[#This Row],[INVESTOR CODE]],[3]!Table_1[INVESTOR CODE],0))</f>
        <v>#REF!</v>
      </c>
      <c r="AD395" s="201" t="e">
        <f>INDEX([3]!Table_1[Brokerage Name2],MATCH(INVESTORS_LIST[[#This Row],[INVESTOR CODE]],[3]!Table_1[INVESTOR CODE],0))</f>
        <v>#REF!</v>
      </c>
      <c r="AE395" s="201" t="e">
        <f>MID(INVESTORS_LIST[[#This Row],[BO ID]],4,5)</f>
        <v>#REF!</v>
      </c>
      <c r="AF395" s="201" t="e">
        <f>MID(INVESTORS_LIST[[#This Row],[BO ID]],2,7)</f>
        <v>#REF!</v>
      </c>
      <c r="AG395" s="201" t="e">
        <f>MID(INVESTORS_LIST[[#This Row],[BO ID]],9,7)</f>
        <v>#REF!</v>
      </c>
      <c r="AH395" s="201" t="e">
        <f>RIGHT(INVESTORS_LIST[[#This Row],[BO ID]],1)</f>
        <v>#REF!</v>
      </c>
      <c r="AI395" s="50">
        <f>INVESTORS_LIST[[#This Row],[LS_TOTAL COST VALUE OF CURRENT UNITS]]+INVESTORS_LIST[[#This Row],[SIP_TOTAL COST VALUE OF CURRENT UNITS]]</f>
        <v>0</v>
      </c>
      <c r="AJ395" s="109">
        <f>IF(INVESTORS_LIST[[#This Row],[TOTAL CURRENT UNITS]]=0,0,INVESTORS_LIST[[#This Row],[LS_TOTAL CURRENT UNITS]]/INVESTORS_LIST[[#This Row],[TOTAL CURRENT UNITS]])</f>
        <v>0</v>
      </c>
      <c r="AK395" s="109">
        <f>IF(INVESTORS_LIST[[#This Row],[TOTAL CURRENT UNITS]]=0,0,INVESTORS_LIST[[#This Row],[SIP_TOTAL CURRENT UNITS]]/INVESTORS_LIST[[#This Row],[TOTAL CURRENT UNITS]])</f>
        <v>0</v>
      </c>
      <c r="AL395" s="49" cm="1">
        <f t="array" ref="AL3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5" s="49" cm="1">
        <f t="array" ref="AM3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5" s="105">
        <f t="shared" si="7"/>
        <v>14.224</v>
      </c>
      <c r="AP395" s="112">
        <f>IF(INVESTORS_LIST[[#This Row],[TOTAL CURRENT UNITS]]=0,0,INVESTORS_LIST[[#This Row],[TOTAL CURRENT UNITS]]*INVESTORS_LIST[[#This Row],[NAV]])</f>
        <v>0</v>
      </c>
      <c r="AQ395" s="49">
        <f>IF(INVESTORS_LIST[[#This Row],[LS_TOTAL CURRENT UNITS]]=0,0,INVESTORS_LIST[[#This Row],[LS_TOTAL CURRENT UNITS]]*INVESTORS_LIST[[#This Row],[NAV]])</f>
        <v>0</v>
      </c>
      <c r="AR395" s="48">
        <f>IF(INVESTORS_LIST[[#This Row],[SIP_TOTAL CURRENT UNITS]]=0,0,INVESTORS_LIST[[#This Row],[SIP_TOTAL CURRENT UNITS]]*INVESTORS_LIST[[#This Row],[NAV]])</f>
        <v>0</v>
      </c>
      <c r="AS395" s="50">
        <f>INVESTORS_LIST[[#This Row],[TOTAL CURRENT UNITS]]</f>
        <v>0</v>
      </c>
      <c r="AT395" s="48">
        <f>IF(INVESTORS_LIST[[#This Row],[TOTAL SELLABLE UNITS]]=0,0,INVESTORS_LIST[[#This Row],[TOTAL SELLABLE UNITS]]*INVESTORS_LIST[[#This Row],[NAV]])</f>
        <v>0</v>
      </c>
      <c r="AU395" s="48">
        <f>INVESTORS_LIST[[#This Row],[LS_TOTAL REALIZED GAIN]]+INVESTORS_LIST[[#This Row],[SIP_TOTAL REALIZED GAIN]]</f>
        <v>0</v>
      </c>
      <c r="AV395" s="48">
        <f>INVESTORS_LIST[[#This Row],[TOTAL MARKET VALUE]]-INVESTORS_LIST[[#This Row],[TOTAL COST VALUE OF CURRENT INVESTMENT]]</f>
        <v>0</v>
      </c>
      <c r="AW395" s="48">
        <f>IFERROR(INVESTORS_LIST[[#This Row],[TOTAL CURRENT UNITS]]/SUM(INVESTORS_LIST[TOTAL CURRENT UNITS]),0)</f>
        <v>0</v>
      </c>
    </row>
    <row r="396" spans="1:49" hidden="1">
      <c r="A396" s="262" t="s">
        <v>838</v>
      </c>
      <c r="B396" s="97" t="s">
        <v>839</v>
      </c>
      <c r="C396" t="s">
        <v>67</v>
      </c>
      <c r="D396" s="75" t="s">
        <v>45</v>
      </c>
      <c r="E396" s="47">
        <f>SUMIFS(LS[Unit],LS[Investor ID],INVESTORS_LIST[[#This Row],[INVESTOR CODE]],LS[B/S],"B")</f>
        <v>0</v>
      </c>
      <c r="F396" s="47">
        <f>-SUMIFS(LS[Unit],LS[Investor ID],INVESTORS_LIST[[#This Row],[INVESTOR CODE]],LS[B/S],"S")</f>
        <v>0</v>
      </c>
      <c r="G396" s="47">
        <f>IF(INVESTORS_LIST[[#This Row],[LS_TOTAL UNITS BUY]]=0,0,INVESTORS_LIST[[#This Row],[LS_TOTAL UNITS BUY]]-INVESTORS_LIST[[#This Row],[LS_TOTAL UNITS SOLD]])</f>
        <v>0</v>
      </c>
      <c r="H396" s="49">
        <f>IF(INVESTORS_LIST[[#This Row],[LS_TOTAL UNITS BUY]]=0,0,SUMIFS(LS[Amount],LS[Investor ID],INVESTORS_LIST[[#This Row],[INVESTOR CODE]],LS[B/S],"B"))</f>
        <v>0</v>
      </c>
      <c r="I396" s="48">
        <f>IF(INVESTORS_LIST[[#This Row],[LS_TOTAL UNITS SOLD]]=0,0,SUMIFS(LS[Cost of Units Sold],LS[Investor ID],INVESTORS_LIST[[#This Row],[INVESTOR CODE]],LS[B/S],"S"))</f>
        <v>0</v>
      </c>
      <c r="J396" s="48">
        <f>IF(INVESTORS_LIST[[#This Row],[LS_TOTAL CURRENT UNITS]]=0,0,INVESTORS_LIST[[#This Row],[LS_TOTAL CURRENT UNITS]]*INVESTORS_LIST[[#This Row],[LS_AVERAGE COST]])</f>
        <v>0</v>
      </c>
      <c r="K396" s="49">
        <f>IF(INVESTORS_LIST[[#This Row],[LS_TOTAL UNITS SOLD]]=0,0,SUMIFS(LS[Realized Gain],LS[Investor ID],INVESTORS_LIST[[#This Row],[INVESTOR CODE]],LS[B/S],"S"))</f>
        <v>0</v>
      </c>
      <c r="L396" s="47">
        <f>SUMIFS(SIP[Unit],SIP[Investor ID],INVESTORS_LIST[[#This Row],[INVESTOR CODE]],SIP[B/S],"B")</f>
        <v>0</v>
      </c>
      <c r="M396" s="47">
        <f>-SUMIFS(SIP[Unit],SIP[Investor ID],INVESTORS_LIST[[#This Row],[INVESTOR CODE]],SIP[B/S],"S")</f>
        <v>0</v>
      </c>
      <c r="N396" s="50">
        <f>IF(INVESTORS_LIST[[#This Row],[SIP_TOTAL UNITS BUY]]=0,0,INVESTORS_LIST[[#This Row],[SIP_TOTAL UNITS BUY]]-INVESTORS_LIST[[#This Row],[SIP_TOTAL UNITS SOLD]])</f>
        <v>0</v>
      </c>
      <c r="O396" s="49">
        <f>IF(INVESTORS_LIST[[#This Row],[SIP_TOTAL UNITS BUY]]=0,0,SUMIFS(SIP[Amount],SIP[Investor ID],INVESTORS_LIST[[#This Row],[INVESTOR CODE]],SIP[B/S],"B"))</f>
        <v>0</v>
      </c>
      <c r="P396" s="49">
        <f>IF(INVESTORS_LIST[[#This Row],[SIP_TOTAL UNITS SOLD]]=0,0,SUMIFS(SIP[Cost of Units Sold],SIP[Investor ID],INVESTORS_LIST[[#This Row],[INVESTOR CODE]],SIP[B/S],"S"))</f>
        <v>0</v>
      </c>
      <c r="Q396" s="48">
        <f>IF(INVESTORS_LIST[[#This Row],[SIP_TOTAL CURRENT UNITS]]=0,0,INVESTORS_LIST[[#This Row],[SIP_TOTAL CURRENT UNITS]]*INVESTORS_LIST[[#This Row],[SIP_AVERAGE COST]])</f>
        <v>0</v>
      </c>
      <c r="R396" s="48">
        <f>IF(INVESTORS_LIST[[#This Row],[SIP_TOTAL UNITS SOLD]]=0,0,SUMIFS(SIP[Realized Gain],SIP[Investor ID],INVESTORS_LIST[[#This Row],[INVESTOR CODE]],SIP[B/S],"S"))</f>
        <v>0</v>
      </c>
      <c r="S396" s="50">
        <f>INVESTORS_LIST[[#This Row],[LS_TOTAL UNITS BUY]]+INVESTORS_LIST[[#This Row],[SIP_TOTAL UNITS BUY]]</f>
        <v>0</v>
      </c>
      <c r="T396" s="50">
        <f>INVESTORS_LIST[[#This Row],[LS_TOTAL UNITS SOLD]]+INVESTORS_LIST[[#This Row],[SIP_TOTAL UNITS SOLD]]</f>
        <v>0</v>
      </c>
      <c r="U396" s="50"/>
      <c r="V396" s="50">
        <f>SUMIFS(LS[BO UNIT TRANSFER],LS[Investor ID],INVESTORS_LIST[[#This Row],[INVESTOR CODE]],LS[B/S],"B")</f>
        <v>0</v>
      </c>
      <c r="W396" s="50">
        <f>SUMIFS(SIP[BO UNIT TRANSFER],SIP[Investor ID],INVESTORS_LIST[[#This Row],[INVESTOR CODE]],SIP[B/S],"B")</f>
        <v>0</v>
      </c>
      <c r="X396" s="50">
        <f>SUMIFS(LS[BO UNIT TRANSFER],LS[Investor ID],INVESTORS_LIST[[#This Row],[INVESTOR CODE]],LS[B/S],"S")</f>
        <v>0</v>
      </c>
      <c r="Y396" s="50">
        <f>SUMIFS(SIP[BO UNIT TRANSFER],SIP[Investor ID],INVESTORS_LIST[[#This Row],[INVESTOR CODE]],SIP[B/S],"S")</f>
        <v>0</v>
      </c>
      <c r="Z396" s="106">
        <f>SUM(INVESTORS_LIST[[#This Row],[BO OPENING BALANCE]:[BO SIP UNITS REPURCHASE]])</f>
        <v>0</v>
      </c>
      <c r="AA396" s="107">
        <f>INVESTORS_LIST[[#This Row],[TOTAL UNITS BUY]]-INVESTORS_LIST[[#This Row],[TOTAL UNITS SOLD]]</f>
        <v>0</v>
      </c>
      <c r="AB396" s="107">
        <f>INVESTORS_LIST[[#This Row],[TOTAL CURRENT UNITS]]-INVESTORS_LIST[[#This Row],[BO UNITS HOLD]]</f>
        <v>0</v>
      </c>
      <c r="AC396" s="201" t="e">
        <f>INDEX([3]!Table_1[BO ID],MATCH(INVESTORS_LIST[[#This Row],[INVESTOR CODE]],[3]!Table_1[INVESTOR CODE],0))</f>
        <v>#REF!</v>
      </c>
      <c r="AD396" s="201" t="e">
        <f>INDEX([3]!Table_1[Brokerage Name2],MATCH(INVESTORS_LIST[[#This Row],[INVESTOR CODE]],[3]!Table_1[INVESTOR CODE],0))</f>
        <v>#REF!</v>
      </c>
      <c r="AE396" s="201" t="e">
        <f>MID(INVESTORS_LIST[[#This Row],[BO ID]],4,5)</f>
        <v>#REF!</v>
      </c>
      <c r="AF396" s="201" t="e">
        <f>MID(INVESTORS_LIST[[#This Row],[BO ID]],2,7)</f>
        <v>#REF!</v>
      </c>
      <c r="AG396" s="201" t="e">
        <f>MID(INVESTORS_LIST[[#This Row],[BO ID]],9,7)</f>
        <v>#REF!</v>
      </c>
      <c r="AH396" s="201" t="e">
        <f>RIGHT(INVESTORS_LIST[[#This Row],[BO ID]],1)</f>
        <v>#REF!</v>
      </c>
      <c r="AI396" s="50">
        <f>INVESTORS_LIST[[#This Row],[LS_TOTAL COST VALUE OF CURRENT UNITS]]+INVESTORS_LIST[[#This Row],[SIP_TOTAL COST VALUE OF CURRENT UNITS]]</f>
        <v>0</v>
      </c>
      <c r="AJ396" s="109">
        <f>IF(INVESTORS_LIST[[#This Row],[TOTAL CURRENT UNITS]]=0,0,INVESTORS_LIST[[#This Row],[LS_TOTAL CURRENT UNITS]]/INVESTORS_LIST[[#This Row],[TOTAL CURRENT UNITS]])</f>
        <v>0</v>
      </c>
      <c r="AK396" s="109">
        <f>IF(INVESTORS_LIST[[#This Row],[TOTAL CURRENT UNITS]]=0,0,INVESTORS_LIST[[#This Row],[SIP_TOTAL CURRENT UNITS]]/INVESTORS_LIST[[#This Row],[TOTAL CURRENT UNITS]])</f>
        <v>0</v>
      </c>
      <c r="AL396" s="49" cm="1">
        <f t="array" ref="AL3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6" s="49" cm="1">
        <f t="array" ref="AM3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6" s="105">
        <f t="shared" si="7"/>
        <v>14.224</v>
      </c>
      <c r="AP396" s="112">
        <f>IF(INVESTORS_LIST[[#This Row],[TOTAL CURRENT UNITS]]=0,0,INVESTORS_LIST[[#This Row],[TOTAL CURRENT UNITS]]*INVESTORS_LIST[[#This Row],[NAV]])</f>
        <v>0</v>
      </c>
      <c r="AQ396" s="49">
        <f>IF(INVESTORS_LIST[[#This Row],[LS_TOTAL CURRENT UNITS]]=0,0,INVESTORS_LIST[[#This Row],[LS_TOTAL CURRENT UNITS]]*INVESTORS_LIST[[#This Row],[NAV]])</f>
        <v>0</v>
      </c>
      <c r="AR396" s="48">
        <f>IF(INVESTORS_LIST[[#This Row],[SIP_TOTAL CURRENT UNITS]]=0,0,INVESTORS_LIST[[#This Row],[SIP_TOTAL CURRENT UNITS]]*INVESTORS_LIST[[#This Row],[NAV]])</f>
        <v>0</v>
      </c>
      <c r="AS396" s="50">
        <f>INVESTORS_LIST[[#This Row],[TOTAL CURRENT UNITS]]</f>
        <v>0</v>
      </c>
      <c r="AT396" s="48">
        <f>IF(INVESTORS_LIST[[#This Row],[TOTAL SELLABLE UNITS]]=0,0,INVESTORS_LIST[[#This Row],[TOTAL SELLABLE UNITS]]*INVESTORS_LIST[[#This Row],[NAV]])</f>
        <v>0</v>
      </c>
      <c r="AU396" s="48">
        <f>INVESTORS_LIST[[#This Row],[LS_TOTAL REALIZED GAIN]]+INVESTORS_LIST[[#This Row],[SIP_TOTAL REALIZED GAIN]]</f>
        <v>0</v>
      </c>
      <c r="AV396" s="48">
        <f>INVESTORS_LIST[[#This Row],[TOTAL MARKET VALUE]]-INVESTORS_LIST[[#This Row],[TOTAL COST VALUE OF CURRENT INVESTMENT]]</f>
        <v>0</v>
      </c>
      <c r="AW396" s="48">
        <f>IFERROR(INVESTORS_LIST[[#This Row],[TOTAL CURRENT UNITS]]/SUM(INVESTORS_LIST[TOTAL CURRENT UNITS]),0)</f>
        <v>0</v>
      </c>
    </row>
    <row r="397" spans="1:49" hidden="1">
      <c r="A397" s="262" t="s">
        <v>840</v>
      </c>
      <c r="B397" s="97" t="s">
        <v>841</v>
      </c>
      <c r="C397" t="s">
        <v>44</v>
      </c>
      <c r="D397" s="75" t="s">
        <v>45</v>
      </c>
      <c r="E397" s="47">
        <f>SUMIFS(LS[Unit],LS[Investor ID],INVESTORS_LIST[[#This Row],[INVESTOR CODE]],LS[B/S],"B")</f>
        <v>0</v>
      </c>
      <c r="F397" s="47">
        <f>-SUMIFS(LS[Unit],LS[Investor ID],INVESTORS_LIST[[#This Row],[INVESTOR CODE]],LS[B/S],"S")</f>
        <v>0</v>
      </c>
      <c r="G397" s="47">
        <f>IF(INVESTORS_LIST[[#This Row],[LS_TOTAL UNITS BUY]]=0,0,INVESTORS_LIST[[#This Row],[LS_TOTAL UNITS BUY]]-INVESTORS_LIST[[#This Row],[LS_TOTAL UNITS SOLD]])</f>
        <v>0</v>
      </c>
      <c r="H397" s="49">
        <f>IF(INVESTORS_LIST[[#This Row],[LS_TOTAL UNITS BUY]]=0,0,SUMIFS(LS[Amount],LS[Investor ID],INVESTORS_LIST[[#This Row],[INVESTOR CODE]],LS[B/S],"B"))</f>
        <v>0</v>
      </c>
      <c r="I397" s="48">
        <f>IF(INVESTORS_LIST[[#This Row],[LS_TOTAL UNITS SOLD]]=0,0,SUMIFS(LS[Cost of Units Sold],LS[Investor ID],INVESTORS_LIST[[#This Row],[INVESTOR CODE]],LS[B/S],"S"))</f>
        <v>0</v>
      </c>
      <c r="J397" s="48">
        <f>IF(INVESTORS_LIST[[#This Row],[LS_TOTAL CURRENT UNITS]]=0,0,INVESTORS_LIST[[#This Row],[LS_TOTAL CURRENT UNITS]]*INVESTORS_LIST[[#This Row],[LS_AVERAGE COST]])</f>
        <v>0</v>
      </c>
      <c r="K397" s="49">
        <f>IF(INVESTORS_LIST[[#This Row],[LS_TOTAL UNITS SOLD]]=0,0,SUMIFS(LS[Realized Gain],LS[Investor ID],INVESTORS_LIST[[#This Row],[INVESTOR CODE]],LS[B/S],"S"))</f>
        <v>0</v>
      </c>
      <c r="L397" s="47">
        <f>SUMIFS(SIP[Unit],SIP[Investor ID],INVESTORS_LIST[[#This Row],[INVESTOR CODE]],SIP[B/S],"B")</f>
        <v>0</v>
      </c>
      <c r="M397" s="47">
        <f>-SUMIFS(SIP[Unit],SIP[Investor ID],INVESTORS_LIST[[#This Row],[INVESTOR CODE]],SIP[B/S],"S")</f>
        <v>0</v>
      </c>
      <c r="N397" s="50">
        <f>IF(INVESTORS_LIST[[#This Row],[SIP_TOTAL UNITS BUY]]=0,0,INVESTORS_LIST[[#This Row],[SIP_TOTAL UNITS BUY]]-INVESTORS_LIST[[#This Row],[SIP_TOTAL UNITS SOLD]])</f>
        <v>0</v>
      </c>
      <c r="O397" s="49">
        <f>IF(INVESTORS_LIST[[#This Row],[SIP_TOTAL UNITS BUY]]=0,0,SUMIFS(SIP[Amount],SIP[Investor ID],INVESTORS_LIST[[#This Row],[INVESTOR CODE]],SIP[B/S],"B"))</f>
        <v>0</v>
      </c>
      <c r="P397" s="49">
        <f>IF(INVESTORS_LIST[[#This Row],[SIP_TOTAL UNITS SOLD]]=0,0,SUMIFS(SIP[Cost of Units Sold],SIP[Investor ID],INVESTORS_LIST[[#This Row],[INVESTOR CODE]],SIP[B/S],"S"))</f>
        <v>0</v>
      </c>
      <c r="Q397" s="48">
        <f>IF(INVESTORS_LIST[[#This Row],[SIP_TOTAL CURRENT UNITS]]=0,0,INVESTORS_LIST[[#This Row],[SIP_TOTAL CURRENT UNITS]]*INVESTORS_LIST[[#This Row],[SIP_AVERAGE COST]])</f>
        <v>0</v>
      </c>
      <c r="R397" s="48">
        <f>IF(INVESTORS_LIST[[#This Row],[SIP_TOTAL UNITS SOLD]]=0,0,SUMIFS(SIP[Realized Gain],SIP[Investor ID],INVESTORS_LIST[[#This Row],[INVESTOR CODE]],SIP[B/S],"S"))</f>
        <v>0</v>
      </c>
      <c r="S397" s="50">
        <f>INVESTORS_LIST[[#This Row],[LS_TOTAL UNITS BUY]]+INVESTORS_LIST[[#This Row],[SIP_TOTAL UNITS BUY]]</f>
        <v>0</v>
      </c>
      <c r="T397" s="50">
        <f>INVESTORS_LIST[[#This Row],[LS_TOTAL UNITS SOLD]]+INVESTORS_LIST[[#This Row],[SIP_TOTAL UNITS SOLD]]</f>
        <v>0</v>
      </c>
      <c r="U397" s="50"/>
      <c r="V397" s="50">
        <f>SUMIFS(LS[BO UNIT TRANSFER],LS[Investor ID],INVESTORS_LIST[[#This Row],[INVESTOR CODE]],LS[B/S],"B")</f>
        <v>0</v>
      </c>
      <c r="W397" s="50">
        <f>SUMIFS(SIP[BO UNIT TRANSFER],SIP[Investor ID],INVESTORS_LIST[[#This Row],[INVESTOR CODE]],SIP[B/S],"B")</f>
        <v>0</v>
      </c>
      <c r="X397" s="50">
        <f>SUMIFS(LS[BO UNIT TRANSFER],LS[Investor ID],INVESTORS_LIST[[#This Row],[INVESTOR CODE]],LS[B/S],"S")</f>
        <v>0</v>
      </c>
      <c r="Y397" s="50">
        <f>SUMIFS(SIP[BO UNIT TRANSFER],SIP[Investor ID],INVESTORS_LIST[[#This Row],[INVESTOR CODE]],SIP[B/S],"S")</f>
        <v>0</v>
      </c>
      <c r="Z397" s="106">
        <f>SUM(INVESTORS_LIST[[#This Row],[BO OPENING BALANCE]:[BO SIP UNITS REPURCHASE]])</f>
        <v>0</v>
      </c>
      <c r="AA397" s="107">
        <f>INVESTORS_LIST[[#This Row],[TOTAL UNITS BUY]]-INVESTORS_LIST[[#This Row],[TOTAL UNITS SOLD]]</f>
        <v>0</v>
      </c>
      <c r="AB397" s="107">
        <f>INVESTORS_LIST[[#This Row],[TOTAL CURRENT UNITS]]-INVESTORS_LIST[[#This Row],[BO UNITS HOLD]]</f>
        <v>0</v>
      </c>
      <c r="AC397" s="201" t="e">
        <f>INDEX([3]!Table_1[BO ID],MATCH(INVESTORS_LIST[[#This Row],[INVESTOR CODE]],[3]!Table_1[INVESTOR CODE],0))</f>
        <v>#REF!</v>
      </c>
      <c r="AD397" s="201" t="e">
        <f>INDEX([3]!Table_1[Brokerage Name2],MATCH(INVESTORS_LIST[[#This Row],[INVESTOR CODE]],[3]!Table_1[INVESTOR CODE],0))</f>
        <v>#REF!</v>
      </c>
      <c r="AE397" s="201" t="e">
        <f>MID(INVESTORS_LIST[[#This Row],[BO ID]],4,5)</f>
        <v>#REF!</v>
      </c>
      <c r="AF397" s="201" t="e">
        <f>MID(INVESTORS_LIST[[#This Row],[BO ID]],2,7)</f>
        <v>#REF!</v>
      </c>
      <c r="AG397" s="201" t="e">
        <f>MID(INVESTORS_LIST[[#This Row],[BO ID]],9,7)</f>
        <v>#REF!</v>
      </c>
      <c r="AH397" s="201" t="e">
        <f>RIGHT(INVESTORS_LIST[[#This Row],[BO ID]],1)</f>
        <v>#REF!</v>
      </c>
      <c r="AI397" s="50">
        <f>INVESTORS_LIST[[#This Row],[LS_TOTAL COST VALUE OF CURRENT UNITS]]+INVESTORS_LIST[[#This Row],[SIP_TOTAL COST VALUE OF CURRENT UNITS]]</f>
        <v>0</v>
      </c>
      <c r="AJ397" s="109">
        <f>IF(INVESTORS_LIST[[#This Row],[TOTAL CURRENT UNITS]]=0,0,INVESTORS_LIST[[#This Row],[LS_TOTAL CURRENT UNITS]]/INVESTORS_LIST[[#This Row],[TOTAL CURRENT UNITS]])</f>
        <v>0</v>
      </c>
      <c r="AK397" s="109">
        <f>IF(INVESTORS_LIST[[#This Row],[TOTAL CURRENT UNITS]]=0,0,INVESTORS_LIST[[#This Row],[SIP_TOTAL CURRENT UNITS]]/INVESTORS_LIST[[#This Row],[TOTAL CURRENT UNITS]])</f>
        <v>0</v>
      </c>
      <c r="AL397" s="49" cm="1">
        <f t="array" ref="AL3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7" s="49" cm="1">
        <f t="array" ref="AM3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7" s="105">
        <f t="shared" si="7"/>
        <v>14.224</v>
      </c>
      <c r="AP397" s="112">
        <f>IF(INVESTORS_LIST[[#This Row],[TOTAL CURRENT UNITS]]=0,0,INVESTORS_LIST[[#This Row],[TOTAL CURRENT UNITS]]*INVESTORS_LIST[[#This Row],[NAV]])</f>
        <v>0</v>
      </c>
      <c r="AQ397" s="49">
        <f>IF(INVESTORS_LIST[[#This Row],[LS_TOTAL CURRENT UNITS]]=0,0,INVESTORS_LIST[[#This Row],[LS_TOTAL CURRENT UNITS]]*INVESTORS_LIST[[#This Row],[NAV]])</f>
        <v>0</v>
      </c>
      <c r="AR397" s="48">
        <f>IF(INVESTORS_LIST[[#This Row],[SIP_TOTAL CURRENT UNITS]]=0,0,INVESTORS_LIST[[#This Row],[SIP_TOTAL CURRENT UNITS]]*INVESTORS_LIST[[#This Row],[NAV]])</f>
        <v>0</v>
      </c>
      <c r="AS397" s="50">
        <f>INVESTORS_LIST[[#This Row],[TOTAL CURRENT UNITS]]</f>
        <v>0</v>
      </c>
      <c r="AT397" s="48">
        <f>IF(INVESTORS_LIST[[#This Row],[TOTAL SELLABLE UNITS]]=0,0,INVESTORS_LIST[[#This Row],[TOTAL SELLABLE UNITS]]*INVESTORS_LIST[[#This Row],[NAV]])</f>
        <v>0</v>
      </c>
      <c r="AU397" s="48">
        <f>INVESTORS_LIST[[#This Row],[LS_TOTAL REALIZED GAIN]]+INVESTORS_LIST[[#This Row],[SIP_TOTAL REALIZED GAIN]]</f>
        <v>0</v>
      </c>
      <c r="AV397" s="48">
        <f>INVESTORS_LIST[[#This Row],[TOTAL MARKET VALUE]]-INVESTORS_LIST[[#This Row],[TOTAL COST VALUE OF CURRENT INVESTMENT]]</f>
        <v>0</v>
      </c>
      <c r="AW397" s="48">
        <f>IFERROR(INVESTORS_LIST[[#This Row],[TOTAL CURRENT UNITS]]/SUM(INVESTORS_LIST[TOTAL CURRENT UNITS]),0)</f>
        <v>0</v>
      </c>
    </row>
    <row r="398" spans="1:49" hidden="1">
      <c r="A398" s="262" t="s">
        <v>842</v>
      </c>
      <c r="B398" s="97" t="s">
        <v>843</v>
      </c>
      <c r="C398" t="s">
        <v>44</v>
      </c>
      <c r="D398" s="75" t="s">
        <v>45</v>
      </c>
      <c r="E398" s="47">
        <f>SUMIFS(LS[Unit],LS[Investor ID],INVESTORS_LIST[[#This Row],[INVESTOR CODE]],LS[B/S],"B")</f>
        <v>0</v>
      </c>
      <c r="F398" s="47">
        <f>-SUMIFS(LS[Unit],LS[Investor ID],INVESTORS_LIST[[#This Row],[INVESTOR CODE]],LS[B/S],"S")</f>
        <v>0</v>
      </c>
      <c r="G398" s="47">
        <f>IF(INVESTORS_LIST[[#This Row],[LS_TOTAL UNITS BUY]]=0,0,INVESTORS_LIST[[#This Row],[LS_TOTAL UNITS BUY]]-INVESTORS_LIST[[#This Row],[LS_TOTAL UNITS SOLD]])</f>
        <v>0</v>
      </c>
      <c r="H398" s="49">
        <f>IF(INVESTORS_LIST[[#This Row],[LS_TOTAL UNITS BUY]]=0,0,SUMIFS(LS[Amount],LS[Investor ID],INVESTORS_LIST[[#This Row],[INVESTOR CODE]],LS[B/S],"B"))</f>
        <v>0</v>
      </c>
      <c r="I398" s="48">
        <f>IF(INVESTORS_LIST[[#This Row],[LS_TOTAL UNITS SOLD]]=0,0,SUMIFS(LS[Cost of Units Sold],LS[Investor ID],INVESTORS_LIST[[#This Row],[INVESTOR CODE]],LS[B/S],"S"))</f>
        <v>0</v>
      </c>
      <c r="J398" s="48">
        <f>IF(INVESTORS_LIST[[#This Row],[LS_TOTAL CURRENT UNITS]]=0,0,INVESTORS_LIST[[#This Row],[LS_TOTAL CURRENT UNITS]]*INVESTORS_LIST[[#This Row],[LS_AVERAGE COST]])</f>
        <v>0</v>
      </c>
      <c r="K398" s="49">
        <f>IF(INVESTORS_LIST[[#This Row],[LS_TOTAL UNITS SOLD]]=0,0,SUMIFS(LS[Realized Gain],LS[Investor ID],INVESTORS_LIST[[#This Row],[INVESTOR CODE]],LS[B/S],"S"))</f>
        <v>0</v>
      </c>
      <c r="L398" s="47">
        <f>SUMIFS(SIP[Unit],SIP[Investor ID],INVESTORS_LIST[[#This Row],[INVESTOR CODE]],SIP[B/S],"B")</f>
        <v>0</v>
      </c>
      <c r="M398" s="47">
        <f>-SUMIFS(SIP[Unit],SIP[Investor ID],INVESTORS_LIST[[#This Row],[INVESTOR CODE]],SIP[B/S],"S")</f>
        <v>0</v>
      </c>
      <c r="N398" s="50">
        <f>IF(INVESTORS_LIST[[#This Row],[SIP_TOTAL UNITS BUY]]=0,0,INVESTORS_LIST[[#This Row],[SIP_TOTAL UNITS BUY]]-INVESTORS_LIST[[#This Row],[SIP_TOTAL UNITS SOLD]])</f>
        <v>0</v>
      </c>
      <c r="O398" s="49">
        <f>IF(INVESTORS_LIST[[#This Row],[SIP_TOTAL UNITS BUY]]=0,0,SUMIFS(SIP[Amount],SIP[Investor ID],INVESTORS_LIST[[#This Row],[INVESTOR CODE]],SIP[B/S],"B"))</f>
        <v>0</v>
      </c>
      <c r="P398" s="49">
        <f>IF(INVESTORS_LIST[[#This Row],[SIP_TOTAL UNITS SOLD]]=0,0,SUMIFS(SIP[Cost of Units Sold],SIP[Investor ID],INVESTORS_LIST[[#This Row],[INVESTOR CODE]],SIP[B/S],"S"))</f>
        <v>0</v>
      </c>
      <c r="Q398" s="48">
        <f>IF(INVESTORS_LIST[[#This Row],[SIP_TOTAL CURRENT UNITS]]=0,0,INVESTORS_LIST[[#This Row],[SIP_TOTAL CURRENT UNITS]]*INVESTORS_LIST[[#This Row],[SIP_AVERAGE COST]])</f>
        <v>0</v>
      </c>
      <c r="R398" s="48">
        <f>IF(INVESTORS_LIST[[#This Row],[SIP_TOTAL UNITS SOLD]]=0,0,SUMIFS(SIP[Realized Gain],SIP[Investor ID],INVESTORS_LIST[[#This Row],[INVESTOR CODE]],SIP[B/S],"S"))</f>
        <v>0</v>
      </c>
      <c r="S398" s="50">
        <f>INVESTORS_LIST[[#This Row],[LS_TOTAL UNITS BUY]]+INVESTORS_LIST[[#This Row],[SIP_TOTAL UNITS BUY]]</f>
        <v>0</v>
      </c>
      <c r="T398" s="50">
        <f>INVESTORS_LIST[[#This Row],[LS_TOTAL UNITS SOLD]]+INVESTORS_LIST[[#This Row],[SIP_TOTAL UNITS SOLD]]</f>
        <v>0</v>
      </c>
      <c r="U398" s="50"/>
      <c r="V398" s="50">
        <f>SUMIFS(LS[BO UNIT TRANSFER],LS[Investor ID],INVESTORS_LIST[[#This Row],[INVESTOR CODE]],LS[B/S],"B")</f>
        <v>0</v>
      </c>
      <c r="W398" s="50">
        <f>SUMIFS(SIP[BO UNIT TRANSFER],SIP[Investor ID],INVESTORS_LIST[[#This Row],[INVESTOR CODE]],SIP[B/S],"B")</f>
        <v>0</v>
      </c>
      <c r="X398" s="50">
        <f>SUMIFS(LS[BO UNIT TRANSFER],LS[Investor ID],INVESTORS_LIST[[#This Row],[INVESTOR CODE]],LS[B/S],"S")</f>
        <v>0</v>
      </c>
      <c r="Y398" s="50">
        <f>SUMIFS(SIP[BO UNIT TRANSFER],SIP[Investor ID],INVESTORS_LIST[[#This Row],[INVESTOR CODE]],SIP[B/S],"S")</f>
        <v>0</v>
      </c>
      <c r="Z398" s="106">
        <f>SUM(INVESTORS_LIST[[#This Row],[BO OPENING BALANCE]:[BO SIP UNITS REPURCHASE]])</f>
        <v>0</v>
      </c>
      <c r="AA398" s="107">
        <f>INVESTORS_LIST[[#This Row],[TOTAL UNITS BUY]]-INVESTORS_LIST[[#This Row],[TOTAL UNITS SOLD]]</f>
        <v>0</v>
      </c>
      <c r="AB398" s="107">
        <f>INVESTORS_LIST[[#This Row],[TOTAL CURRENT UNITS]]-INVESTORS_LIST[[#This Row],[BO UNITS HOLD]]</f>
        <v>0</v>
      </c>
      <c r="AC398" s="201" t="e">
        <f>INDEX([3]!Table_1[BO ID],MATCH(INVESTORS_LIST[[#This Row],[INVESTOR CODE]],[3]!Table_1[INVESTOR CODE],0))</f>
        <v>#REF!</v>
      </c>
      <c r="AD398" s="201" t="e">
        <f>INDEX([3]!Table_1[Brokerage Name2],MATCH(INVESTORS_LIST[[#This Row],[INVESTOR CODE]],[3]!Table_1[INVESTOR CODE],0))</f>
        <v>#REF!</v>
      </c>
      <c r="AE398" s="201" t="e">
        <f>MID(INVESTORS_LIST[[#This Row],[BO ID]],4,5)</f>
        <v>#REF!</v>
      </c>
      <c r="AF398" s="201" t="e">
        <f>MID(INVESTORS_LIST[[#This Row],[BO ID]],2,7)</f>
        <v>#REF!</v>
      </c>
      <c r="AG398" s="201" t="e">
        <f>MID(INVESTORS_LIST[[#This Row],[BO ID]],9,7)</f>
        <v>#REF!</v>
      </c>
      <c r="AH398" s="201" t="e">
        <f>RIGHT(INVESTORS_LIST[[#This Row],[BO ID]],1)</f>
        <v>#REF!</v>
      </c>
      <c r="AI398" s="50">
        <f>INVESTORS_LIST[[#This Row],[LS_TOTAL COST VALUE OF CURRENT UNITS]]+INVESTORS_LIST[[#This Row],[SIP_TOTAL COST VALUE OF CURRENT UNITS]]</f>
        <v>0</v>
      </c>
      <c r="AJ398" s="109">
        <f>IF(INVESTORS_LIST[[#This Row],[TOTAL CURRENT UNITS]]=0,0,INVESTORS_LIST[[#This Row],[LS_TOTAL CURRENT UNITS]]/INVESTORS_LIST[[#This Row],[TOTAL CURRENT UNITS]])</f>
        <v>0</v>
      </c>
      <c r="AK398" s="109">
        <f>IF(INVESTORS_LIST[[#This Row],[TOTAL CURRENT UNITS]]=0,0,INVESTORS_LIST[[#This Row],[SIP_TOTAL CURRENT UNITS]]/INVESTORS_LIST[[#This Row],[TOTAL CURRENT UNITS]])</f>
        <v>0</v>
      </c>
      <c r="AL398" s="49" cm="1">
        <f t="array" ref="AL3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8" s="49" cm="1">
        <f t="array" ref="AM3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8" s="105">
        <f t="shared" si="7"/>
        <v>14.224</v>
      </c>
      <c r="AP398" s="112">
        <f>IF(INVESTORS_LIST[[#This Row],[TOTAL CURRENT UNITS]]=0,0,INVESTORS_LIST[[#This Row],[TOTAL CURRENT UNITS]]*INVESTORS_LIST[[#This Row],[NAV]])</f>
        <v>0</v>
      </c>
      <c r="AQ398" s="49">
        <f>IF(INVESTORS_LIST[[#This Row],[LS_TOTAL CURRENT UNITS]]=0,0,INVESTORS_LIST[[#This Row],[LS_TOTAL CURRENT UNITS]]*INVESTORS_LIST[[#This Row],[NAV]])</f>
        <v>0</v>
      </c>
      <c r="AR398" s="48">
        <f>IF(INVESTORS_LIST[[#This Row],[SIP_TOTAL CURRENT UNITS]]=0,0,INVESTORS_LIST[[#This Row],[SIP_TOTAL CURRENT UNITS]]*INVESTORS_LIST[[#This Row],[NAV]])</f>
        <v>0</v>
      </c>
      <c r="AS398" s="50">
        <f>INVESTORS_LIST[[#This Row],[TOTAL CURRENT UNITS]]</f>
        <v>0</v>
      </c>
      <c r="AT398" s="48">
        <f>IF(INVESTORS_LIST[[#This Row],[TOTAL SELLABLE UNITS]]=0,0,INVESTORS_LIST[[#This Row],[TOTAL SELLABLE UNITS]]*INVESTORS_LIST[[#This Row],[NAV]])</f>
        <v>0</v>
      </c>
      <c r="AU398" s="48">
        <f>INVESTORS_LIST[[#This Row],[LS_TOTAL REALIZED GAIN]]+INVESTORS_LIST[[#This Row],[SIP_TOTAL REALIZED GAIN]]</f>
        <v>0</v>
      </c>
      <c r="AV398" s="48">
        <f>INVESTORS_LIST[[#This Row],[TOTAL MARKET VALUE]]-INVESTORS_LIST[[#This Row],[TOTAL COST VALUE OF CURRENT INVESTMENT]]</f>
        <v>0</v>
      </c>
      <c r="AW398" s="48">
        <f>IFERROR(INVESTORS_LIST[[#This Row],[TOTAL CURRENT UNITS]]/SUM(INVESTORS_LIST[TOTAL CURRENT UNITS]),0)</f>
        <v>0</v>
      </c>
    </row>
    <row r="399" spans="1:49" hidden="1">
      <c r="A399" s="262" t="s">
        <v>844</v>
      </c>
      <c r="B399" s="97" t="s">
        <v>845</v>
      </c>
      <c r="C399" t="s">
        <v>44</v>
      </c>
      <c r="D399" s="75" t="s">
        <v>45</v>
      </c>
      <c r="E399" s="47">
        <f>SUMIFS(LS[Unit],LS[Investor ID],INVESTORS_LIST[[#This Row],[INVESTOR CODE]],LS[B/S],"B")</f>
        <v>0</v>
      </c>
      <c r="F399" s="47">
        <f>-SUMIFS(LS[Unit],LS[Investor ID],INVESTORS_LIST[[#This Row],[INVESTOR CODE]],LS[B/S],"S")</f>
        <v>0</v>
      </c>
      <c r="G399" s="47">
        <f>IF(INVESTORS_LIST[[#This Row],[LS_TOTAL UNITS BUY]]=0,0,INVESTORS_LIST[[#This Row],[LS_TOTAL UNITS BUY]]-INVESTORS_LIST[[#This Row],[LS_TOTAL UNITS SOLD]])</f>
        <v>0</v>
      </c>
      <c r="H399" s="49">
        <f>IF(INVESTORS_LIST[[#This Row],[LS_TOTAL UNITS BUY]]=0,0,SUMIFS(LS[Amount],LS[Investor ID],INVESTORS_LIST[[#This Row],[INVESTOR CODE]],LS[B/S],"B"))</f>
        <v>0</v>
      </c>
      <c r="I399" s="48">
        <f>IF(INVESTORS_LIST[[#This Row],[LS_TOTAL UNITS SOLD]]=0,0,SUMIFS(LS[Cost of Units Sold],LS[Investor ID],INVESTORS_LIST[[#This Row],[INVESTOR CODE]],LS[B/S],"S"))</f>
        <v>0</v>
      </c>
      <c r="J399" s="48">
        <f>IF(INVESTORS_LIST[[#This Row],[LS_TOTAL CURRENT UNITS]]=0,0,INVESTORS_LIST[[#This Row],[LS_TOTAL CURRENT UNITS]]*INVESTORS_LIST[[#This Row],[LS_AVERAGE COST]])</f>
        <v>0</v>
      </c>
      <c r="K399" s="49">
        <f>IF(INVESTORS_LIST[[#This Row],[LS_TOTAL UNITS SOLD]]=0,0,SUMIFS(LS[Realized Gain],LS[Investor ID],INVESTORS_LIST[[#This Row],[INVESTOR CODE]],LS[B/S],"S"))</f>
        <v>0</v>
      </c>
      <c r="L399" s="47">
        <f>SUMIFS(SIP[Unit],SIP[Investor ID],INVESTORS_LIST[[#This Row],[INVESTOR CODE]],SIP[B/S],"B")</f>
        <v>0</v>
      </c>
      <c r="M399" s="47">
        <f>-SUMIFS(SIP[Unit],SIP[Investor ID],INVESTORS_LIST[[#This Row],[INVESTOR CODE]],SIP[B/S],"S")</f>
        <v>0</v>
      </c>
      <c r="N399" s="50">
        <f>IF(INVESTORS_LIST[[#This Row],[SIP_TOTAL UNITS BUY]]=0,0,INVESTORS_LIST[[#This Row],[SIP_TOTAL UNITS BUY]]-INVESTORS_LIST[[#This Row],[SIP_TOTAL UNITS SOLD]])</f>
        <v>0</v>
      </c>
      <c r="O399" s="49">
        <f>IF(INVESTORS_LIST[[#This Row],[SIP_TOTAL UNITS BUY]]=0,0,SUMIFS(SIP[Amount],SIP[Investor ID],INVESTORS_LIST[[#This Row],[INVESTOR CODE]],SIP[B/S],"B"))</f>
        <v>0</v>
      </c>
      <c r="P399" s="49">
        <f>IF(INVESTORS_LIST[[#This Row],[SIP_TOTAL UNITS SOLD]]=0,0,SUMIFS(SIP[Cost of Units Sold],SIP[Investor ID],INVESTORS_LIST[[#This Row],[INVESTOR CODE]],SIP[B/S],"S"))</f>
        <v>0</v>
      </c>
      <c r="Q399" s="48">
        <f>IF(INVESTORS_LIST[[#This Row],[SIP_TOTAL CURRENT UNITS]]=0,0,INVESTORS_LIST[[#This Row],[SIP_TOTAL CURRENT UNITS]]*INVESTORS_LIST[[#This Row],[SIP_AVERAGE COST]])</f>
        <v>0</v>
      </c>
      <c r="R399" s="48">
        <f>IF(INVESTORS_LIST[[#This Row],[SIP_TOTAL UNITS SOLD]]=0,0,SUMIFS(SIP[Realized Gain],SIP[Investor ID],INVESTORS_LIST[[#This Row],[INVESTOR CODE]],SIP[B/S],"S"))</f>
        <v>0</v>
      </c>
      <c r="S399" s="50">
        <f>INVESTORS_LIST[[#This Row],[LS_TOTAL UNITS BUY]]+INVESTORS_LIST[[#This Row],[SIP_TOTAL UNITS BUY]]</f>
        <v>0</v>
      </c>
      <c r="T399" s="50">
        <f>INVESTORS_LIST[[#This Row],[LS_TOTAL UNITS SOLD]]+INVESTORS_LIST[[#This Row],[SIP_TOTAL UNITS SOLD]]</f>
        <v>0</v>
      </c>
      <c r="U399" s="50"/>
      <c r="V399" s="50">
        <f>SUMIFS(LS[BO UNIT TRANSFER],LS[Investor ID],INVESTORS_LIST[[#This Row],[INVESTOR CODE]],LS[B/S],"B")</f>
        <v>0</v>
      </c>
      <c r="W399" s="50">
        <f>SUMIFS(SIP[BO UNIT TRANSFER],SIP[Investor ID],INVESTORS_LIST[[#This Row],[INVESTOR CODE]],SIP[B/S],"B")</f>
        <v>0</v>
      </c>
      <c r="X399" s="50">
        <f>SUMIFS(LS[BO UNIT TRANSFER],LS[Investor ID],INVESTORS_LIST[[#This Row],[INVESTOR CODE]],LS[B/S],"S")</f>
        <v>0</v>
      </c>
      <c r="Y399" s="50">
        <f>SUMIFS(SIP[BO UNIT TRANSFER],SIP[Investor ID],INVESTORS_LIST[[#This Row],[INVESTOR CODE]],SIP[B/S],"S")</f>
        <v>0</v>
      </c>
      <c r="Z399" s="106">
        <f>SUM(INVESTORS_LIST[[#This Row],[BO OPENING BALANCE]:[BO SIP UNITS REPURCHASE]])</f>
        <v>0</v>
      </c>
      <c r="AA399" s="107">
        <f>INVESTORS_LIST[[#This Row],[TOTAL UNITS BUY]]-INVESTORS_LIST[[#This Row],[TOTAL UNITS SOLD]]</f>
        <v>0</v>
      </c>
      <c r="AB399" s="107">
        <f>INVESTORS_LIST[[#This Row],[TOTAL CURRENT UNITS]]-INVESTORS_LIST[[#This Row],[BO UNITS HOLD]]</f>
        <v>0</v>
      </c>
      <c r="AC399" s="201" t="e">
        <f>INDEX([3]!Table_1[BO ID],MATCH(INVESTORS_LIST[[#This Row],[INVESTOR CODE]],[3]!Table_1[INVESTOR CODE],0))</f>
        <v>#REF!</v>
      </c>
      <c r="AD399" s="201" t="e">
        <f>INDEX([3]!Table_1[Brokerage Name2],MATCH(INVESTORS_LIST[[#This Row],[INVESTOR CODE]],[3]!Table_1[INVESTOR CODE],0))</f>
        <v>#REF!</v>
      </c>
      <c r="AE399" s="201" t="e">
        <f>MID(INVESTORS_LIST[[#This Row],[BO ID]],4,5)</f>
        <v>#REF!</v>
      </c>
      <c r="AF399" s="201" t="e">
        <f>MID(INVESTORS_LIST[[#This Row],[BO ID]],2,7)</f>
        <v>#REF!</v>
      </c>
      <c r="AG399" s="201" t="e">
        <f>MID(INVESTORS_LIST[[#This Row],[BO ID]],9,7)</f>
        <v>#REF!</v>
      </c>
      <c r="AH399" s="201" t="e">
        <f>RIGHT(INVESTORS_LIST[[#This Row],[BO ID]],1)</f>
        <v>#REF!</v>
      </c>
      <c r="AI399" s="50">
        <f>INVESTORS_LIST[[#This Row],[LS_TOTAL COST VALUE OF CURRENT UNITS]]+INVESTORS_LIST[[#This Row],[SIP_TOTAL COST VALUE OF CURRENT UNITS]]</f>
        <v>0</v>
      </c>
      <c r="AJ399" s="109">
        <f>IF(INVESTORS_LIST[[#This Row],[TOTAL CURRENT UNITS]]=0,0,INVESTORS_LIST[[#This Row],[LS_TOTAL CURRENT UNITS]]/INVESTORS_LIST[[#This Row],[TOTAL CURRENT UNITS]])</f>
        <v>0</v>
      </c>
      <c r="AK399" s="109">
        <f>IF(INVESTORS_LIST[[#This Row],[TOTAL CURRENT UNITS]]=0,0,INVESTORS_LIST[[#This Row],[SIP_TOTAL CURRENT UNITS]]/INVESTORS_LIST[[#This Row],[TOTAL CURRENT UNITS]])</f>
        <v>0</v>
      </c>
      <c r="AL399" s="49" cm="1">
        <f t="array" ref="AL3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399" s="49" cm="1">
        <f t="array" ref="AM3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3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399" s="105">
        <f t="shared" si="7"/>
        <v>14.224</v>
      </c>
      <c r="AP399" s="112">
        <f>IF(INVESTORS_LIST[[#This Row],[TOTAL CURRENT UNITS]]=0,0,INVESTORS_LIST[[#This Row],[TOTAL CURRENT UNITS]]*INVESTORS_LIST[[#This Row],[NAV]])</f>
        <v>0</v>
      </c>
      <c r="AQ399" s="49">
        <f>IF(INVESTORS_LIST[[#This Row],[LS_TOTAL CURRENT UNITS]]=0,0,INVESTORS_LIST[[#This Row],[LS_TOTAL CURRENT UNITS]]*INVESTORS_LIST[[#This Row],[NAV]])</f>
        <v>0</v>
      </c>
      <c r="AR399" s="48">
        <f>IF(INVESTORS_LIST[[#This Row],[SIP_TOTAL CURRENT UNITS]]=0,0,INVESTORS_LIST[[#This Row],[SIP_TOTAL CURRENT UNITS]]*INVESTORS_LIST[[#This Row],[NAV]])</f>
        <v>0</v>
      </c>
      <c r="AS399" s="50">
        <f>INVESTORS_LIST[[#This Row],[TOTAL CURRENT UNITS]]</f>
        <v>0</v>
      </c>
      <c r="AT399" s="48">
        <f>IF(INVESTORS_LIST[[#This Row],[TOTAL SELLABLE UNITS]]=0,0,INVESTORS_LIST[[#This Row],[TOTAL SELLABLE UNITS]]*INVESTORS_LIST[[#This Row],[NAV]])</f>
        <v>0</v>
      </c>
      <c r="AU399" s="48">
        <f>INVESTORS_LIST[[#This Row],[LS_TOTAL REALIZED GAIN]]+INVESTORS_LIST[[#This Row],[SIP_TOTAL REALIZED GAIN]]</f>
        <v>0</v>
      </c>
      <c r="AV399" s="48">
        <f>INVESTORS_LIST[[#This Row],[TOTAL MARKET VALUE]]-INVESTORS_LIST[[#This Row],[TOTAL COST VALUE OF CURRENT INVESTMENT]]</f>
        <v>0</v>
      </c>
      <c r="AW399" s="48">
        <f>IFERROR(INVESTORS_LIST[[#This Row],[TOTAL CURRENT UNITS]]/SUM(INVESTORS_LIST[TOTAL CURRENT UNITS]),0)</f>
        <v>0</v>
      </c>
    </row>
    <row r="400" spans="1:49" hidden="1">
      <c r="A400" s="262" t="s">
        <v>846</v>
      </c>
      <c r="B400" s="97" t="s">
        <v>847</v>
      </c>
      <c r="C400" t="s">
        <v>48</v>
      </c>
      <c r="D400" s="75" t="s">
        <v>49</v>
      </c>
      <c r="E400" s="47">
        <f>SUMIFS(LS[Unit],LS[Investor ID],INVESTORS_LIST[[#This Row],[INVESTOR CODE]],LS[B/S],"B")</f>
        <v>0</v>
      </c>
      <c r="F400" s="47">
        <f>-SUMIFS(LS[Unit],LS[Investor ID],INVESTORS_LIST[[#This Row],[INVESTOR CODE]],LS[B/S],"S")</f>
        <v>0</v>
      </c>
      <c r="G400" s="47">
        <f>IF(INVESTORS_LIST[[#This Row],[LS_TOTAL UNITS BUY]]=0,0,INVESTORS_LIST[[#This Row],[LS_TOTAL UNITS BUY]]-INVESTORS_LIST[[#This Row],[LS_TOTAL UNITS SOLD]])</f>
        <v>0</v>
      </c>
      <c r="H400" s="49">
        <f>IF(INVESTORS_LIST[[#This Row],[LS_TOTAL UNITS BUY]]=0,0,SUMIFS(LS[Amount],LS[Investor ID],INVESTORS_LIST[[#This Row],[INVESTOR CODE]],LS[B/S],"B"))</f>
        <v>0</v>
      </c>
      <c r="I400" s="48">
        <f>IF(INVESTORS_LIST[[#This Row],[LS_TOTAL UNITS SOLD]]=0,0,SUMIFS(LS[Cost of Units Sold],LS[Investor ID],INVESTORS_LIST[[#This Row],[INVESTOR CODE]],LS[B/S],"S"))</f>
        <v>0</v>
      </c>
      <c r="J400" s="48">
        <f>IF(INVESTORS_LIST[[#This Row],[LS_TOTAL CURRENT UNITS]]=0,0,INVESTORS_LIST[[#This Row],[LS_TOTAL CURRENT UNITS]]*INVESTORS_LIST[[#This Row],[LS_AVERAGE COST]])</f>
        <v>0</v>
      </c>
      <c r="K400" s="49">
        <f>IF(INVESTORS_LIST[[#This Row],[LS_TOTAL UNITS SOLD]]=0,0,SUMIFS(LS[Realized Gain],LS[Investor ID],INVESTORS_LIST[[#This Row],[INVESTOR CODE]],LS[B/S],"S"))</f>
        <v>0</v>
      </c>
      <c r="L400" s="47">
        <f>SUMIFS(SIP[Unit],SIP[Investor ID],INVESTORS_LIST[[#This Row],[INVESTOR CODE]],SIP[B/S],"B")</f>
        <v>0</v>
      </c>
      <c r="M400" s="47">
        <f>-SUMIFS(SIP[Unit],SIP[Investor ID],INVESTORS_LIST[[#This Row],[INVESTOR CODE]],SIP[B/S],"S")</f>
        <v>0</v>
      </c>
      <c r="N400" s="50">
        <f>IF(INVESTORS_LIST[[#This Row],[SIP_TOTAL UNITS BUY]]=0,0,INVESTORS_LIST[[#This Row],[SIP_TOTAL UNITS BUY]]-INVESTORS_LIST[[#This Row],[SIP_TOTAL UNITS SOLD]])</f>
        <v>0</v>
      </c>
      <c r="O400" s="49">
        <f>IF(INVESTORS_LIST[[#This Row],[SIP_TOTAL UNITS BUY]]=0,0,SUMIFS(SIP[Amount],SIP[Investor ID],INVESTORS_LIST[[#This Row],[INVESTOR CODE]],SIP[B/S],"B"))</f>
        <v>0</v>
      </c>
      <c r="P400" s="49">
        <f>IF(INVESTORS_LIST[[#This Row],[SIP_TOTAL UNITS SOLD]]=0,0,SUMIFS(SIP[Cost of Units Sold],SIP[Investor ID],INVESTORS_LIST[[#This Row],[INVESTOR CODE]],SIP[B/S],"S"))</f>
        <v>0</v>
      </c>
      <c r="Q400" s="48">
        <f>IF(INVESTORS_LIST[[#This Row],[SIP_TOTAL CURRENT UNITS]]=0,0,INVESTORS_LIST[[#This Row],[SIP_TOTAL CURRENT UNITS]]*INVESTORS_LIST[[#This Row],[SIP_AVERAGE COST]])</f>
        <v>0</v>
      </c>
      <c r="R400" s="48">
        <f>IF(INVESTORS_LIST[[#This Row],[SIP_TOTAL UNITS SOLD]]=0,0,SUMIFS(SIP[Realized Gain],SIP[Investor ID],INVESTORS_LIST[[#This Row],[INVESTOR CODE]],SIP[B/S],"S"))</f>
        <v>0</v>
      </c>
      <c r="S400" s="50">
        <f>INVESTORS_LIST[[#This Row],[LS_TOTAL UNITS BUY]]+INVESTORS_LIST[[#This Row],[SIP_TOTAL UNITS BUY]]</f>
        <v>0</v>
      </c>
      <c r="T400" s="50">
        <f>INVESTORS_LIST[[#This Row],[LS_TOTAL UNITS SOLD]]+INVESTORS_LIST[[#This Row],[SIP_TOTAL UNITS SOLD]]</f>
        <v>0</v>
      </c>
      <c r="U400" s="50"/>
      <c r="V400" s="50">
        <f>SUMIFS(LS[BO UNIT TRANSFER],LS[Investor ID],INVESTORS_LIST[[#This Row],[INVESTOR CODE]],LS[B/S],"B")</f>
        <v>0</v>
      </c>
      <c r="W400" s="50">
        <f>SUMIFS(SIP[BO UNIT TRANSFER],SIP[Investor ID],INVESTORS_LIST[[#This Row],[INVESTOR CODE]],SIP[B/S],"B")</f>
        <v>0</v>
      </c>
      <c r="X400" s="50">
        <f>SUMIFS(LS[BO UNIT TRANSFER],LS[Investor ID],INVESTORS_LIST[[#This Row],[INVESTOR CODE]],LS[B/S],"S")</f>
        <v>0</v>
      </c>
      <c r="Y400" s="50">
        <f>SUMIFS(SIP[BO UNIT TRANSFER],SIP[Investor ID],INVESTORS_LIST[[#This Row],[INVESTOR CODE]],SIP[B/S],"S")</f>
        <v>0</v>
      </c>
      <c r="Z400" s="106">
        <f>SUM(INVESTORS_LIST[[#This Row],[BO OPENING BALANCE]:[BO SIP UNITS REPURCHASE]])</f>
        <v>0</v>
      </c>
      <c r="AA400" s="107">
        <f>INVESTORS_LIST[[#This Row],[TOTAL UNITS BUY]]-INVESTORS_LIST[[#This Row],[TOTAL UNITS SOLD]]</f>
        <v>0</v>
      </c>
      <c r="AB400" s="107">
        <f>INVESTORS_LIST[[#This Row],[TOTAL CURRENT UNITS]]-INVESTORS_LIST[[#This Row],[BO UNITS HOLD]]</f>
        <v>0</v>
      </c>
      <c r="AC400" s="201" t="e">
        <f>INDEX([3]!Table_1[BO ID],MATCH(INVESTORS_LIST[[#This Row],[INVESTOR CODE]],[3]!Table_1[INVESTOR CODE],0))</f>
        <v>#REF!</v>
      </c>
      <c r="AD400" s="201" t="e">
        <f>INDEX([3]!Table_1[Brokerage Name2],MATCH(INVESTORS_LIST[[#This Row],[INVESTOR CODE]],[3]!Table_1[INVESTOR CODE],0))</f>
        <v>#REF!</v>
      </c>
      <c r="AE400" s="201" t="e">
        <f>MID(INVESTORS_LIST[[#This Row],[BO ID]],4,5)</f>
        <v>#REF!</v>
      </c>
      <c r="AF400" s="201" t="e">
        <f>MID(INVESTORS_LIST[[#This Row],[BO ID]],2,7)</f>
        <v>#REF!</v>
      </c>
      <c r="AG400" s="201" t="e">
        <f>MID(INVESTORS_LIST[[#This Row],[BO ID]],9,7)</f>
        <v>#REF!</v>
      </c>
      <c r="AH400" s="201" t="e">
        <f>RIGHT(INVESTORS_LIST[[#This Row],[BO ID]],1)</f>
        <v>#REF!</v>
      </c>
      <c r="AI400" s="50">
        <f>INVESTORS_LIST[[#This Row],[LS_TOTAL COST VALUE OF CURRENT UNITS]]+INVESTORS_LIST[[#This Row],[SIP_TOTAL COST VALUE OF CURRENT UNITS]]</f>
        <v>0</v>
      </c>
      <c r="AJ400" s="109">
        <f>IF(INVESTORS_LIST[[#This Row],[TOTAL CURRENT UNITS]]=0,0,INVESTORS_LIST[[#This Row],[LS_TOTAL CURRENT UNITS]]/INVESTORS_LIST[[#This Row],[TOTAL CURRENT UNITS]])</f>
        <v>0</v>
      </c>
      <c r="AK400" s="109">
        <f>IF(INVESTORS_LIST[[#This Row],[TOTAL CURRENT UNITS]]=0,0,INVESTORS_LIST[[#This Row],[SIP_TOTAL CURRENT UNITS]]/INVESTORS_LIST[[#This Row],[TOTAL CURRENT UNITS]])</f>
        <v>0</v>
      </c>
      <c r="AL400" s="49" cm="1">
        <f t="array" ref="AL4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0" s="49" cm="1">
        <f t="array" ref="AM4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0" s="105">
        <f t="shared" si="7"/>
        <v>14.224</v>
      </c>
      <c r="AP400" s="112">
        <f>IF(INVESTORS_LIST[[#This Row],[TOTAL CURRENT UNITS]]=0,0,INVESTORS_LIST[[#This Row],[TOTAL CURRENT UNITS]]*INVESTORS_LIST[[#This Row],[NAV]])</f>
        <v>0</v>
      </c>
      <c r="AQ400" s="49">
        <f>IF(INVESTORS_LIST[[#This Row],[LS_TOTAL CURRENT UNITS]]=0,0,INVESTORS_LIST[[#This Row],[LS_TOTAL CURRENT UNITS]]*INVESTORS_LIST[[#This Row],[NAV]])</f>
        <v>0</v>
      </c>
      <c r="AR400" s="48">
        <f>IF(INVESTORS_LIST[[#This Row],[SIP_TOTAL CURRENT UNITS]]=0,0,INVESTORS_LIST[[#This Row],[SIP_TOTAL CURRENT UNITS]]*INVESTORS_LIST[[#This Row],[NAV]])</f>
        <v>0</v>
      </c>
      <c r="AS400" s="50">
        <f>INVESTORS_LIST[[#This Row],[TOTAL CURRENT UNITS]]</f>
        <v>0</v>
      </c>
      <c r="AT400" s="48">
        <f>IF(INVESTORS_LIST[[#This Row],[TOTAL SELLABLE UNITS]]=0,0,INVESTORS_LIST[[#This Row],[TOTAL SELLABLE UNITS]]*INVESTORS_LIST[[#This Row],[NAV]])</f>
        <v>0</v>
      </c>
      <c r="AU400" s="48">
        <f>INVESTORS_LIST[[#This Row],[LS_TOTAL REALIZED GAIN]]+INVESTORS_LIST[[#This Row],[SIP_TOTAL REALIZED GAIN]]</f>
        <v>0</v>
      </c>
      <c r="AV400" s="48">
        <f>INVESTORS_LIST[[#This Row],[TOTAL MARKET VALUE]]-INVESTORS_LIST[[#This Row],[TOTAL COST VALUE OF CURRENT INVESTMENT]]</f>
        <v>0</v>
      </c>
      <c r="AW400" s="48">
        <f>IFERROR(INVESTORS_LIST[[#This Row],[TOTAL CURRENT UNITS]]/SUM(INVESTORS_LIST[TOTAL CURRENT UNITS]),0)</f>
        <v>0</v>
      </c>
    </row>
    <row r="401" spans="1:49" hidden="1">
      <c r="A401" s="262" t="s">
        <v>848</v>
      </c>
      <c r="B401" s="97" t="s">
        <v>849</v>
      </c>
      <c r="C401" t="s">
        <v>44</v>
      </c>
      <c r="D401" s="75" t="s">
        <v>45</v>
      </c>
      <c r="E401" s="47">
        <f>SUMIFS(LS[Unit],LS[Investor ID],INVESTORS_LIST[[#This Row],[INVESTOR CODE]],LS[B/S],"B")</f>
        <v>0</v>
      </c>
      <c r="F401" s="47">
        <f>-SUMIFS(LS[Unit],LS[Investor ID],INVESTORS_LIST[[#This Row],[INVESTOR CODE]],LS[B/S],"S")</f>
        <v>0</v>
      </c>
      <c r="G401" s="47">
        <f>IF(INVESTORS_LIST[[#This Row],[LS_TOTAL UNITS BUY]]=0,0,INVESTORS_LIST[[#This Row],[LS_TOTAL UNITS BUY]]-INVESTORS_LIST[[#This Row],[LS_TOTAL UNITS SOLD]])</f>
        <v>0</v>
      </c>
      <c r="H401" s="49">
        <f>IF(INVESTORS_LIST[[#This Row],[LS_TOTAL UNITS BUY]]=0,0,SUMIFS(LS[Amount],LS[Investor ID],INVESTORS_LIST[[#This Row],[INVESTOR CODE]],LS[B/S],"B"))</f>
        <v>0</v>
      </c>
      <c r="I401" s="48">
        <f>IF(INVESTORS_LIST[[#This Row],[LS_TOTAL UNITS SOLD]]=0,0,SUMIFS(LS[Cost of Units Sold],LS[Investor ID],INVESTORS_LIST[[#This Row],[INVESTOR CODE]],LS[B/S],"S"))</f>
        <v>0</v>
      </c>
      <c r="J401" s="48">
        <f>IF(INVESTORS_LIST[[#This Row],[LS_TOTAL CURRENT UNITS]]=0,0,INVESTORS_LIST[[#This Row],[LS_TOTAL CURRENT UNITS]]*INVESTORS_LIST[[#This Row],[LS_AVERAGE COST]])</f>
        <v>0</v>
      </c>
      <c r="K401" s="49">
        <f>IF(INVESTORS_LIST[[#This Row],[LS_TOTAL UNITS SOLD]]=0,0,SUMIFS(LS[Realized Gain],LS[Investor ID],INVESTORS_LIST[[#This Row],[INVESTOR CODE]],LS[B/S],"S"))</f>
        <v>0</v>
      </c>
      <c r="L401" s="47">
        <f>SUMIFS(SIP[Unit],SIP[Investor ID],INVESTORS_LIST[[#This Row],[INVESTOR CODE]],SIP[B/S],"B")</f>
        <v>0</v>
      </c>
      <c r="M401" s="47">
        <f>-SUMIFS(SIP[Unit],SIP[Investor ID],INVESTORS_LIST[[#This Row],[INVESTOR CODE]],SIP[B/S],"S")</f>
        <v>0</v>
      </c>
      <c r="N401" s="50">
        <f>IF(INVESTORS_LIST[[#This Row],[SIP_TOTAL UNITS BUY]]=0,0,INVESTORS_LIST[[#This Row],[SIP_TOTAL UNITS BUY]]-INVESTORS_LIST[[#This Row],[SIP_TOTAL UNITS SOLD]])</f>
        <v>0</v>
      </c>
      <c r="O401" s="49">
        <f>IF(INVESTORS_LIST[[#This Row],[SIP_TOTAL UNITS BUY]]=0,0,SUMIFS(SIP[Amount],SIP[Investor ID],INVESTORS_LIST[[#This Row],[INVESTOR CODE]],SIP[B/S],"B"))</f>
        <v>0</v>
      </c>
      <c r="P401" s="49">
        <f>IF(INVESTORS_LIST[[#This Row],[SIP_TOTAL UNITS SOLD]]=0,0,SUMIFS(SIP[Cost of Units Sold],SIP[Investor ID],INVESTORS_LIST[[#This Row],[INVESTOR CODE]],SIP[B/S],"S"))</f>
        <v>0</v>
      </c>
      <c r="Q401" s="48">
        <f>IF(INVESTORS_LIST[[#This Row],[SIP_TOTAL CURRENT UNITS]]=0,0,INVESTORS_LIST[[#This Row],[SIP_TOTAL CURRENT UNITS]]*INVESTORS_LIST[[#This Row],[SIP_AVERAGE COST]])</f>
        <v>0</v>
      </c>
      <c r="R401" s="48">
        <f>IF(INVESTORS_LIST[[#This Row],[SIP_TOTAL UNITS SOLD]]=0,0,SUMIFS(SIP[Realized Gain],SIP[Investor ID],INVESTORS_LIST[[#This Row],[INVESTOR CODE]],SIP[B/S],"S"))</f>
        <v>0</v>
      </c>
      <c r="S401" s="50">
        <f>INVESTORS_LIST[[#This Row],[LS_TOTAL UNITS BUY]]+INVESTORS_LIST[[#This Row],[SIP_TOTAL UNITS BUY]]</f>
        <v>0</v>
      </c>
      <c r="T401" s="50">
        <f>INVESTORS_LIST[[#This Row],[LS_TOTAL UNITS SOLD]]+INVESTORS_LIST[[#This Row],[SIP_TOTAL UNITS SOLD]]</f>
        <v>0</v>
      </c>
      <c r="U401" s="50"/>
      <c r="V401" s="50">
        <f>SUMIFS(LS[BO UNIT TRANSFER],LS[Investor ID],INVESTORS_LIST[[#This Row],[INVESTOR CODE]],LS[B/S],"B")</f>
        <v>0</v>
      </c>
      <c r="W401" s="50">
        <f>SUMIFS(SIP[BO UNIT TRANSFER],SIP[Investor ID],INVESTORS_LIST[[#This Row],[INVESTOR CODE]],SIP[B/S],"B")</f>
        <v>0</v>
      </c>
      <c r="X401" s="50">
        <f>SUMIFS(LS[BO UNIT TRANSFER],LS[Investor ID],INVESTORS_LIST[[#This Row],[INVESTOR CODE]],LS[B/S],"S")</f>
        <v>0</v>
      </c>
      <c r="Y401" s="50">
        <f>SUMIFS(SIP[BO UNIT TRANSFER],SIP[Investor ID],INVESTORS_LIST[[#This Row],[INVESTOR CODE]],SIP[B/S],"S")</f>
        <v>0</v>
      </c>
      <c r="Z401" s="106">
        <f>SUM(INVESTORS_LIST[[#This Row],[BO OPENING BALANCE]:[BO SIP UNITS REPURCHASE]])</f>
        <v>0</v>
      </c>
      <c r="AA401" s="107">
        <f>INVESTORS_LIST[[#This Row],[TOTAL UNITS BUY]]-INVESTORS_LIST[[#This Row],[TOTAL UNITS SOLD]]</f>
        <v>0</v>
      </c>
      <c r="AB401" s="107">
        <f>INVESTORS_LIST[[#This Row],[TOTAL CURRENT UNITS]]-INVESTORS_LIST[[#This Row],[BO UNITS HOLD]]</f>
        <v>0</v>
      </c>
      <c r="AC401" s="201" t="e">
        <f>INDEX([3]!Table_1[BO ID],MATCH(INVESTORS_LIST[[#This Row],[INVESTOR CODE]],[3]!Table_1[INVESTOR CODE],0))</f>
        <v>#REF!</v>
      </c>
      <c r="AD401" s="201" t="e">
        <f>INDEX([3]!Table_1[Brokerage Name2],MATCH(INVESTORS_LIST[[#This Row],[INVESTOR CODE]],[3]!Table_1[INVESTOR CODE],0))</f>
        <v>#REF!</v>
      </c>
      <c r="AE401" s="201" t="e">
        <f>MID(INVESTORS_LIST[[#This Row],[BO ID]],4,5)</f>
        <v>#REF!</v>
      </c>
      <c r="AF401" s="201" t="e">
        <f>MID(INVESTORS_LIST[[#This Row],[BO ID]],2,7)</f>
        <v>#REF!</v>
      </c>
      <c r="AG401" s="201" t="e">
        <f>MID(INVESTORS_LIST[[#This Row],[BO ID]],9,7)</f>
        <v>#REF!</v>
      </c>
      <c r="AH401" s="201" t="e">
        <f>RIGHT(INVESTORS_LIST[[#This Row],[BO ID]],1)</f>
        <v>#REF!</v>
      </c>
      <c r="AI401" s="50">
        <f>INVESTORS_LIST[[#This Row],[LS_TOTAL COST VALUE OF CURRENT UNITS]]+INVESTORS_LIST[[#This Row],[SIP_TOTAL COST VALUE OF CURRENT UNITS]]</f>
        <v>0</v>
      </c>
      <c r="AJ401" s="109">
        <f>IF(INVESTORS_LIST[[#This Row],[TOTAL CURRENT UNITS]]=0,0,INVESTORS_LIST[[#This Row],[LS_TOTAL CURRENT UNITS]]/INVESTORS_LIST[[#This Row],[TOTAL CURRENT UNITS]])</f>
        <v>0</v>
      </c>
      <c r="AK401" s="109">
        <f>IF(INVESTORS_LIST[[#This Row],[TOTAL CURRENT UNITS]]=0,0,INVESTORS_LIST[[#This Row],[SIP_TOTAL CURRENT UNITS]]/INVESTORS_LIST[[#This Row],[TOTAL CURRENT UNITS]])</f>
        <v>0</v>
      </c>
      <c r="AL401" s="49" cm="1">
        <f t="array" ref="AL4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1" s="49" cm="1">
        <f t="array" ref="AM4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1" s="105">
        <f t="shared" si="7"/>
        <v>14.224</v>
      </c>
      <c r="AP401" s="112">
        <f>IF(INVESTORS_LIST[[#This Row],[TOTAL CURRENT UNITS]]=0,0,INVESTORS_LIST[[#This Row],[TOTAL CURRENT UNITS]]*INVESTORS_LIST[[#This Row],[NAV]])</f>
        <v>0</v>
      </c>
      <c r="AQ401" s="49">
        <f>IF(INVESTORS_LIST[[#This Row],[LS_TOTAL CURRENT UNITS]]=0,0,INVESTORS_LIST[[#This Row],[LS_TOTAL CURRENT UNITS]]*INVESTORS_LIST[[#This Row],[NAV]])</f>
        <v>0</v>
      </c>
      <c r="AR401" s="48">
        <f>IF(INVESTORS_LIST[[#This Row],[SIP_TOTAL CURRENT UNITS]]=0,0,INVESTORS_LIST[[#This Row],[SIP_TOTAL CURRENT UNITS]]*INVESTORS_LIST[[#This Row],[NAV]])</f>
        <v>0</v>
      </c>
      <c r="AS401" s="50">
        <f>INVESTORS_LIST[[#This Row],[TOTAL CURRENT UNITS]]</f>
        <v>0</v>
      </c>
      <c r="AT401" s="48">
        <f>IF(INVESTORS_LIST[[#This Row],[TOTAL SELLABLE UNITS]]=0,0,INVESTORS_LIST[[#This Row],[TOTAL SELLABLE UNITS]]*INVESTORS_LIST[[#This Row],[NAV]])</f>
        <v>0</v>
      </c>
      <c r="AU401" s="48">
        <f>INVESTORS_LIST[[#This Row],[LS_TOTAL REALIZED GAIN]]+INVESTORS_LIST[[#This Row],[SIP_TOTAL REALIZED GAIN]]</f>
        <v>0</v>
      </c>
      <c r="AV401" s="48">
        <f>INVESTORS_LIST[[#This Row],[TOTAL MARKET VALUE]]-INVESTORS_LIST[[#This Row],[TOTAL COST VALUE OF CURRENT INVESTMENT]]</f>
        <v>0</v>
      </c>
      <c r="AW401" s="48">
        <f>IFERROR(INVESTORS_LIST[[#This Row],[TOTAL CURRENT UNITS]]/SUM(INVESTORS_LIST[TOTAL CURRENT UNITS]),0)</f>
        <v>0</v>
      </c>
    </row>
    <row r="402" spans="1:49" hidden="1">
      <c r="A402" s="262" t="s">
        <v>850</v>
      </c>
      <c r="B402" s="97" t="s">
        <v>851</v>
      </c>
      <c r="C402" t="s">
        <v>44</v>
      </c>
      <c r="D402" s="75" t="s">
        <v>45</v>
      </c>
      <c r="E402" s="47">
        <f>SUMIFS(LS[Unit],LS[Investor ID],INVESTORS_LIST[[#This Row],[INVESTOR CODE]],LS[B/S],"B")</f>
        <v>0</v>
      </c>
      <c r="F402" s="47">
        <f>-SUMIFS(LS[Unit],LS[Investor ID],INVESTORS_LIST[[#This Row],[INVESTOR CODE]],LS[B/S],"S")</f>
        <v>0</v>
      </c>
      <c r="G402" s="47">
        <f>IF(INVESTORS_LIST[[#This Row],[LS_TOTAL UNITS BUY]]=0,0,INVESTORS_LIST[[#This Row],[LS_TOTAL UNITS BUY]]-INVESTORS_LIST[[#This Row],[LS_TOTAL UNITS SOLD]])</f>
        <v>0</v>
      </c>
      <c r="H402" s="49">
        <f>IF(INVESTORS_LIST[[#This Row],[LS_TOTAL UNITS BUY]]=0,0,SUMIFS(LS[Amount],LS[Investor ID],INVESTORS_LIST[[#This Row],[INVESTOR CODE]],LS[B/S],"B"))</f>
        <v>0</v>
      </c>
      <c r="I402" s="48">
        <f>IF(INVESTORS_LIST[[#This Row],[LS_TOTAL UNITS SOLD]]=0,0,SUMIFS(LS[Cost of Units Sold],LS[Investor ID],INVESTORS_LIST[[#This Row],[INVESTOR CODE]],LS[B/S],"S"))</f>
        <v>0</v>
      </c>
      <c r="J402" s="48">
        <f>IF(INVESTORS_LIST[[#This Row],[LS_TOTAL CURRENT UNITS]]=0,0,INVESTORS_LIST[[#This Row],[LS_TOTAL CURRENT UNITS]]*INVESTORS_LIST[[#This Row],[LS_AVERAGE COST]])</f>
        <v>0</v>
      </c>
      <c r="K402" s="49">
        <f>IF(INVESTORS_LIST[[#This Row],[LS_TOTAL UNITS SOLD]]=0,0,SUMIFS(LS[Realized Gain],LS[Investor ID],INVESTORS_LIST[[#This Row],[INVESTOR CODE]],LS[B/S],"S"))</f>
        <v>0</v>
      </c>
      <c r="L402" s="47">
        <f>SUMIFS(SIP[Unit],SIP[Investor ID],INVESTORS_LIST[[#This Row],[INVESTOR CODE]],SIP[B/S],"B")</f>
        <v>0</v>
      </c>
      <c r="M402" s="47">
        <f>-SUMIFS(SIP[Unit],SIP[Investor ID],INVESTORS_LIST[[#This Row],[INVESTOR CODE]],SIP[B/S],"S")</f>
        <v>0</v>
      </c>
      <c r="N402" s="50">
        <f>IF(INVESTORS_LIST[[#This Row],[SIP_TOTAL UNITS BUY]]=0,0,INVESTORS_LIST[[#This Row],[SIP_TOTAL UNITS BUY]]-INVESTORS_LIST[[#This Row],[SIP_TOTAL UNITS SOLD]])</f>
        <v>0</v>
      </c>
      <c r="O402" s="49">
        <f>IF(INVESTORS_LIST[[#This Row],[SIP_TOTAL UNITS BUY]]=0,0,SUMIFS(SIP[Amount],SIP[Investor ID],INVESTORS_LIST[[#This Row],[INVESTOR CODE]],SIP[B/S],"B"))</f>
        <v>0</v>
      </c>
      <c r="P402" s="49">
        <f>IF(INVESTORS_LIST[[#This Row],[SIP_TOTAL UNITS SOLD]]=0,0,SUMIFS(SIP[Cost of Units Sold],SIP[Investor ID],INVESTORS_LIST[[#This Row],[INVESTOR CODE]],SIP[B/S],"S"))</f>
        <v>0</v>
      </c>
      <c r="Q402" s="48">
        <f>IF(INVESTORS_LIST[[#This Row],[SIP_TOTAL CURRENT UNITS]]=0,0,INVESTORS_LIST[[#This Row],[SIP_TOTAL CURRENT UNITS]]*INVESTORS_LIST[[#This Row],[SIP_AVERAGE COST]])</f>
        <v>0</v>
      </c>
      <c r="R402" s="48">
        <f>IF(INVESTORS_LIST[[#This Row],[SIP_TOTAL UNITS SOLD]]=0,0,SUMIFS(SIP[Realized Gain],SIP[Investor ID],INVESTORS_LIST[[#This Row],[INVESTOR CODE]],SIP[B/S],"S"))</f>
        <v>0</v>
      </c>
      <c r="S402" s="50">
        <f>INVESTORS_LIST[[#This Row],[LS_TOTAL UNITS BUY]]+INVESTORS_LIST[[#This Row],[SIP_TOTAL UNITS BUY]]</f>
        <v>0</v>
      </c>
      <c r="T402" s="50">
        <f>INVESTORS_LIST[[#This Row],[LS_TOTAL UNITS SOLD]]+INVESTORS_LIST[[#This Row],[SIP_TOTAL UNITS SOLD]]</f>
        <v>0</v>
      </c>
      <c r="U402" s="50"/>
      <c r="V402" s="50">
        <f>SUMIFS(LS[BO UNIT TRANSFER],LS[Investor ID],INVESTORS_LIST[[#This Row],[INVESTOR CODE]],LS[B/S],"B")</f>
        <v>0</v>
      </c>
      <c r="W402" s="50">
        <f>SUMIFS(SIP[BO UNIT TRANSFER],SIP[Investor ID],INVESTORS_LIST[[#This Row],[INVESTOR CODE]],SIP[B/S],"B")</f>
        <v>0</v>
      </c>
      <c r="X402" s="50">
        <f>SUMIFS(LS[BO UNIT TRANSFER],LS[Investor ID],INVESTORS_LIST[[#This Row],[INVESTOR CODE]],LS[B/S],"S")</f>
        <v>0</v>
      </c>
      <c r="Y402" s="50">
        <f>SUMIFS(SIP[BO UNIT TRANSFER],SIP[Investor ID],INVESTORS_LIST[[#This Row],[INVESTOR CODE]],SIP[B/S],"S")</f>
        <v>0</v>
      </c>
      <c r="Z402" s="106">
        <f>SUM(INVESTORS_LIST[[#This Row],[BO OPENING BALANCE]:[BO SIP UNITS REPURCHASE]])</f>
        <v>0</v>
      </c>
      <c r="AA402" s="107">
        <f>INVESTORS_LIST[[#This Row],[TOTAL UNITS BUY]]-INVESTORS_LIST[[#This Row],[TOTAL UNITS SOLD]]</f>
        <v>0</v>
      </c>
      <c r="AB402" s="107">
        <f>INVESTORS_LIST[[#This Row],[TOTAL CURRENT UNITS]]-INVESTORS_LIST[[#This Row],[BO UNITS HOLD]]</f>
        <v>0</v>
      </c>
      <c r="AC402" s="201" t="e">
        <f>INDEX([3]!Table_1[BO ID],MATCH(INVESTORS_LIST[[#This Row],[INVESTOR CODE]],[3]!Table_1[INVESTOR CODE],0))</f>
        <v>#REF!</v>
      </c>
      <c r="AD402" s="201" t="e">
        <f>INDEX([3]!Table_1[Brokerage Name2],MATCH(INVESTORS_LIST[[#This Row],[INVESTOR CODE]],[3]!Table_1[INVESTOR CODE],0))</f>
        <v>#REF!</v>
      </c>
      <c r="AE402" s="201" t="e">
        <f>MID(INVESTORS_LIST[[#This Row],[BO ID]],4,5)</f>
        <v>#REF!</v>
      </c>
      <c r="AF402" s="201" t="e">
        <f>MID(INVESTORS_LIST[[#This Row],[BO ID]],2,7)</f>
        <v>#REF!</v>
      </c>
      <c r="AG402" s="201" t="e">
        <f>MID(INVESTORS_LIST[[#This Row],[BO ID]],9,7)</f>
        <v>#REF!</v>
      </c>
      <c r="AH402" s="201" t="e">
        <f>RIGHT(INVESTORS_LIST[[#This Row],[BO ID]],1)</f>
        <v>#REF!</v>
      </c>
      <c r="AI402" s="50">
        <f>INVESTORS_LIST[[#This Row],[LS_TOTAL COST VALUE OF CURRENT UNITS]]+INVESTORS_LIST[[#This Row],[SIP_TOTAL COST VALUE OF CURRENT UNITS]]</f>
        <v>0</v>
      </c>
      <c r="AJ402" s="109">
        <f>IF(INVESTORS_LIST[[#This Row],[TOTAL CURRENT UNITS]]=0,0,INVESTORS_LIST[[#This Row],[LS_TOTAL CURRENT UNITS]]/INVESTORS_LIST[[#This Row],[TOTAL CURRENT UNITS]])</f>
        <v>0</v>
      </c>
      <c r="AK402" s="109">
        <f>IF(INVESTORS_LIST[[#This Row],[TOTAL CURRENT UNITS]]=0,0,INVESTORS_LIST[[#This Row],[SIP_TOTAL CURRENT UNITS]]/INVESTORS_LIST[[#This Row],[TOTAL CURRENT UNITS]])</f>
        <v>0</v>
      </c>
      <c r="AL402" s="49" cm="1">
        <f t="array" ref="AL4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2" s="49" cm="1">
        <f t="array" ref="AM4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2" s="105">
        <f t="shared" si="7"/>
        <v>14.224</v>
      </c>
      <c r="AP402" s="112">
        <f>IF(INVESTORS_LIST[[#This Row],[TOTAL CURRENT UNITS]]=0,0,INVESTORS_LIST[[#This Row],[TOTAL CURRENT UNITS]]*INVESTORS_LIST[[#This Row],[NAV]])</f>
        <v>0</v>
      </c>
      <c r="AQ402" s="49">
        <f>IF(INVESTORS_LIST[[#This Row],[LS_TOTAL CURRENT UNITS]]=0,0,INVESTORS_LIST[[#This Row],[LS_TOTAL CURRENT UNITS]]*INVESTORS_LIST[[#This Row],[NAV]])</f>
        <v>0</v>
      </c>
      <c r="AR402" s="48">
        <f>IF(INVESTORS_LIST[[#This Row],[SIP_TOTAL CURRENT UNITS]]=0,0,INVESTORS_LIST[[#This Row],[SIP_TOTAL CURRENT UNITS]]*INVESTORS_LIST[[#This Row],[NAV]])</f>
        <v>0</v>
      </c>
      <c r="AS402" s="50">
        <f>INVESTORS_LIST[[#This Row],[TOTAL CURRENT UNITS]]</f>
        <v>0</v>
      </c>
      <c r="AT402" s="48">
        <f>IF(INVESTORS_LIST[[#This Row],[TOTAL SELLABLE UNITS]]=0,0,INVESTORS_LIST[[#This Row],[TOTAL SELLABLE UNITS]]*INVESTORS_LIST[[#This Row],[NAV]])</f>
        <v>0</v>
      </c>
      <c r="AU402" s="48">
        <f>INVESTORS_LIST[[#This Row],[LS_TOTAL REALIZED GAIN]]+INVESTORS_LIST[[#This Row],[SIP_TOTAL REALIZED GAIN]]</f>
        <v>0</v>
      </c>
      <c r="AV402" s="48">
        <f>INVESTORS_LIST[[#This Row],[TOTAL MARKET VALUE]]-INVESTORS_LIST[[#This Row],[TOTAL COST VALUE OF CURRENT INVESTMENT]]</f>
        <v>0</v>
      </c>
      <c r="AW402" s="48">
        <f>IFERROR(INVESTORS_LIST[[#This Row],[TOTAL CURRENT UNITS]]/SUM(INVESTORS_LIST[TOTAL CURRENT UNITS]),0)</f>
        <v>0</v>
      </c>
    </row>
    <row r="403" spans="1:49" hidden="1">
      <c r="A403" s="262" t="s">
        <v>852</v>
      </c>
      <c r="B403" s="97" t="s">
        <v>853</v>
      </c>
      <c r="C403" t="s">
        <v>44</v>
      </c>
      <c r="D403" s="75" t="s">
        <v>45</v>
      </c>
      <c r="E403" s="47">
        <f>SUMIFS(LS[Unit],LS[Investor ID],INVESTORS_LIST[[#This Row],[INVESTOR CODE]],LS[B/S],"B")</f>
        <v>125000</v>
      </c>
      <c r="F403" s="47">
        <f>-SUMIFS(LS[Unit],LS[Investor ID],INVESTORS_LIST[[#This Row],[INVESTOR CODE]],LS[B/S],"S")</f>
        <v>125000</v>
      </c>
      <c r="G403" s="47">
        <f>IF(INVESTORS_LIST[[#This Row],[LS_TOTAL UNITS BUY]]=0,0,INVESTORS_LIST[[#This Row],[LS_TOTAL UNITS BUY]]-INVESTORS_LIST[[#This Row],[LS_TOTAL UNITS SOLD]])</f>
        <v>0</v>
      </c>
      <c r="H403" s="49">
        <f>IF(INVESTORS_LIST[[#This Row],[LS_TOTAL UNITS BUY]]=0,0,SUMIFS(LS[Amount],LS[Investor ID],INVESTORS_LIST[[#This Row],[INVESTOR CODE]],LS[B/S],"B"))</f>
        <v>1540250</v>
      </c>
      <c r="I403" s="48">
        <f>IF(INVESTORS_LIST[[#This Row],[LS_TOTAL UNITS SOLD]]=0,0,SUMIFS(LS[Cost of Units Sold],LS[Investor ID],INVESTORS_LIST[[#This Row],[INVESTOR CODE]],LS[B/S],"S"))</f>
        <v>1540250</v>
      </c>
      <c r="J403" s="48">
        <f>IF(INVESTORS_LIST[[#This Row],[LS_TOTAL CURRENT UNITS]]=0,0,INVESTORS_LIST[[#This Row],[LS_TOTAL CURRENT UNITS]]*INVESTORS_LIST[[#This Row],[LS_AVERAGE COST]])</f>
        <v>0</v>
      </c>
      <c r="K403" s="49">
        <f>IF(INVESTORS_LIST[[#This Row],[LS_TOTAL UNITS SOLD]]=0,0,SUMIFS(LS[Realized Gain],LS[Investor ID],INVESTORS_LIST[[#This Row],[INVESTOR CODE]],LS[B/S],"S"))</f>
        <v>186125.00000000009</v>
      </c>
      <c r="L403" s="47">
        <f>SUMIFS(SIP[Unit],SIP[Investor ID],INVESTORS_LIST[[#This Row],[INVESTOR CODE]],SIP[B/S],"B")</f>
        <v>0</v>
      </c>
      <c r="M403" s="47">
        <f>-SUMIFS(SIP[Unit],SIP[Investor ID],INVESTORS_LIST[[#This Row],[INVESTOR CODE]],SIP[B/S],"S")</f>
        <v>0</v>
      </c>
      <c r="N403" s="50">
        <f>IF(INVESTORS_LIST[[#This Row],[SIP_TOTAL UNITS BUY]]=0,0,INVESTORS_LIST[[#This Row],[SIP_TOTAL UNITS BUY]]-INVESTORS_LIST[[#This Row],[SIP_TOTAL UNITS SOLD]])</f>
        <v>0</v>
      </c>
      <c r="O403" s="49">
        <f>IF(INVESTORS_LIST[[#This Row],[SIP_TOTAL UNITS BUY]]=0,0,SUMIFS(SIP[Amount],SIP[Investor ID],INVESTORS_LIST[[#This Row],[INVESTOR CODE]],SIP[B/S],"B"))</f>
        <v>0</v>
      </c>
      <c r="P403" s="49">
        <f>IF(INVESTORS_LIST[[#This Row],[SIP_TOTAL UNITS SOLD]]=0,0,SUMIFS(SIP[Cost of Units Sold],SIP[Investor ID],INVESTORS_LIST[[#This Row],[INVESTOR CODE]],SIP[B/S],"S"))</f>
        <v>0</v>
      </c>
      <c r="Q403" s="48">
        <f>IF(INVESTORS_LIST[[#This Row],[SIP_TOTAL CURRENT UNITS]]=0,0,INVESTORS_LIST[[#This Row],[SIP_TOTAL CURRENT UNITS]]*INVESTORS_LIST[[#This Row],[SIP_AVERAGE COST]])</f>
        <v>0</v>
      </c>
      <c r="R403" s="48">
        <f>IF(INVESTORS_LIST[[#This Row],[SIP_TOTAL UNITS SOLD]]=0,0,SUMIFS(SIP[Realized Gain],SIP[Investor ID],INVESTORS_LIST[[#This Row],[INVESTOR CODE]],SIP[B/S],"S"))</f>
        <v>0</v>
      </c>
      <c r="S403" s="50">
        <f>INVESTORS_LIST[[#This Row],[LS_TOTAL UNITS BUY]]+INVESTORS_LIST[[#This Row],[SIP_TOTAL UNITS BUY]]</f>
        <v>125000</v>
      </c>
      <c r="T403" s="50">
        <f>INVESTORS_LIST[[#This Row],[LS_TOTAL UNITS SOLD]]+INVESTORS_LIST[[#This Row],[SIP_TOTAL UNITS SOLD]]</f>
        <v>125000</v>
      </c>
      <c r="U403" s="50"/>
      <c r="V403" s="50">
        <f>SUMIFS(LS[BO UNIT TRANSFER],LS[Investor ID],INVESTORS_LIST[[#This Row],[INVESTOR CODE]],LS[B/S],"B")</f>
        <v>0</v>
      </c>
      <c r="W403" s="50">
        <f>SUMIFS(SIP[BO UNIT TRANSFER],SIP[Investor ID],INVESTORS_LIST[[#This Row],[INVESTOR CODE]],SIP[B/S],"B")</f>
        <v>0</v>
      </c>
      <c r="X403" s="50">
        <f>SUMIFS(LS[BO UNIT TRANSFER],LS[Investor ID],INVESTORS_LIST[[#This Row],[INVESTOR CODE]],LS[B/S],"S")</f>
        <v>0</v>
      </c>
      <c r="Y403" s="50">
        <f>SUMIFS(SIP[BO UNIT TRANSFER],SIP[Investor ID],INVESTORS_LIST[[#This Row],[INVESTOR CODE]],SIP[B/S],"S")</f>
        <v>0</v>
      </c>
      <c r="Z403" s="106">
        <f>SUM(INVESTORS_LIST[[#This Row],[BO OPENING BALANCE]:[BO SIP UNITS REPURCHASE]])</f>
        <v>0</v>
      </c>
      <c r="AA403" s="107">
        <f>INVESTORS_LIST[[#This Row],[TOTAL UNITS BUY]]-INVESTORS_LIST[[#This Row],[TOTAL UNITS SOLD]]</f>
        <v>0</v>
      </c>
      <c r="AB403" s="107">
        <f>INVESTORS_LIST[[#This Row],[TOTAL CURRENT UNITS]]-INVESTORS_LIST[[#This Row],[BO UNITS HOLD]]</f>
        <v>0</v>
      </c>
      <c r="AC403" s="201" t="e">
        <f>INDEX([3]!Table_1[BO ID],MATCH(INVESTORS_LIST[[#This Row],[INVESTOR CODE]],[3]!Table_1[INVESTOR CODE],0))</f>
        <v>#REF!</v>
      </c>
      <c r="AD403" s="201" t="e">
        <f>INDEX([3]!Table_1[Brokerage Name2],MATCH(INVESTORS_LIST[[#This Row],[INVESTOR CODE]],[3]!Table_1[INVESTOR CODE],0))</f>
        <v>#REF!</v>
      </c>
      <c r="AE403" s="201" t="e">
        <f>MID(INVESTORS_LIST[[#This Row],[BO ID]],4,5)</f>
        <v>#REF!</v>
      </c>
      <c r="AF403" s="201" t="e">
        <f>MID(INVESTORS_LIST[[#This Row],[BO ID]],2,7)</f>
        <v>#REF!</v>
      </c>
      <c r="AG403" s="201" t="e">
        <f>MID(INVESTORS_LIST[[#This Row],[BO ID]],9,7)</f>
        <v>#REF!</v>
      </c>
      <c r="AH403" s="201" t="e">
        <f>RIGHT(INVESTORS_LIST[[#This Row],[BO ID]],1)</f>
        <v>#REF!</v>
      </c>
      <c r="AI403" s="50">
        <f>INVESTORS_LIST[[#This Row],[LS_TOTAL COST VALUE OF CURRENT UNITS]]+INVESTORS_LIST[[#This Row],[SIP_TOTAL COST VALUE OF CURRENT UNITS]]</f>
        <v>0</v>
      </c>
      <c r="AJ403" s="109">
        <f>IF(INVESTORS_LIST[[#This Row],[TOTAL CURRENT UNITS]]=0,0,INVESTORS_LIST[[#This Row],[LS_TOTAL CURRENT UNITS]]/INVESTORS_LIST[[#This Row],[TOTAL CURRENT UNITS]])</f>
        <v>0</v>
      </c>
      <c r="AK403" s="109">
        <f>IF(INVESTORS_LIST[[#This Row],[TOTAL CURRENT UNITS]]=0,0,INVESTORS_LIST[[#This Row],[SIP_TOTAL CURRENT UNITS]]/INVESTORS_LIST[[#This Row],[TOTAL CURRENT UNITS]])</f>
        <v>0</v>
      </c>
      <c r="AL403" s="49" cm="1">
        <f t="array" ref="AL4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3" s="49" cm="1">
        <f t="array" ref="AM4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3" s="105">
        <f t="shared" si="7"/>
        <v>14.224</v>
      </c>
      <c r="AP403" s="112">
        <f>IF(INVESTORS_LIST[[#This Row],[TOTAL CURRENT UNITS]]=0,0,INVESTORS_LIST[[#This Row],[TOTAL CURRENT UNITS]]*INVESTORS_LIST[[#This Row],[NAV]])</f>
        <v>0</v>
      </c>
      <c r="AQ403" s="49">
        <f>IF(INVESTORS_LIST[[#This Row],[LS_TOTAL CURRENT UNITS]]=0,0,INVESTORS_LIST[[#This Row],[LS_TOTAL CURRENT UNITS]]*INVESTORS_LIST[[#This Row],[NAV]])</f>
        <v>0</v>
      </c>
      <c r="AR403" s="48">
        <f>IF(INVESTORS_LIST[[#This Row],[SIP_TOTAL CURRENT UNITS]]=0,0,INVESTORS_LIST[[#This Row],[SIP_TOTAL CURRENT UNITS]]*INVESTORS_LIST[[#This Row],[NAV]])</f>
        <v>0</v>
      </c>
      <c r="AS403" s="50">
        <f>INVESTORS_LIST[[#This Row],[TOTAL CURRENT UNITS]]</f>
        <v>0</v>
      </c>
      <c r="AT403" s="48">
        <f>IF(INVESTORS_LIST[[#This Row],[TOTAL SELLABLE UNITS]]=0,0,INVESTORS_LIST[[#This Row],[TOTAL SELLABLE UNITS]]*INVESTORS_LIST[[#This Row],[NAV]])</f>
        <v>0</v>
      </c>
      <c r="AU403" s="48">
        <f>INVESTORS_LIST[[#This Row],[LS_TOTAL REALIZED GAIN]]+INVESTORS_LIST[[#This Row],[SIP_TOTAL REALIZED GAIN]]</f>
        <v>186125.00000000009</v>
      </c>
      <c r="AV403" s="48">
        <f>INVESTORS_LIST[[#This Row],[TOTAL MARKET VALUE]]-INVESTORS_LIST[[#This Row],[TOTAL COST VALUE OF CURRENT INVESTMENT]]</f>
        <v>0</v>
      </c>
      <c r="AW403" s="48">
        <f>IFERROR(INVESTORS_LIST[[#This Row],[TOTAL CURRENT UNITS]]/SUM(INVESTORS_LIST[TOTAL CURRENT UNITS]),0)</f>
        <v>0</v>
      </c>
    </row>
    <row r="404" spans="1:49" hidden="1">
      <c r="A404" s="262" t="s">
        <v>854</v>
      </c>
      <c r="B404" s="97" t="s">
        <v>855</v>
      </c>
      <c r="C404" t="s">
        <v>44</v>
      </c>
      <c r="D404" s="75" t="s">
        <v>45</v>
      </c>
      <c r="E404" s="47">
        <f>SUMIFS(LS[Unit],LS[Investor ID],INVESTORS_LIST[[#This Row],[INVESTOR CODE]],LS[B/S],"B")</f>
        <v>0</v>
      </c>
      <c r="F404" s="47">
        <f>-SUMIFS(LS[Unit],LS[Investor ID],INVESTORS_LIST[[#This Row],[INVESTOR CODE]],LS[B/S],"S")</f>
        <v>0</v>
      </c>
      <c r="G404" s="47">
        <f>IF(INVESTORS_LIST[[#This Row],[LS_TOTAL UNITS BUY]]=0,0,INVESTORS_LIST[[#This Row],[LS_TOTAL UNITS BUY]]-INVESTORS_LIST[[#This Row],[LS_TOTAL UNITS SOLD]])</f>
        <v>0</v>
      </c>
      <c r="H404" s="49">
        <f>IF(INVESTORS_LIST[[#This Row],[LS_TOTAL UNITS BUY]]=0,0,SUMIFS(LS[Amount],LS[Investor ID],INVESTORS_LIST[[#This Row],[INVESTOR CODE]],LS[B/S],"B"))</f>
        <v>0</v>
      </c>
      <c r="I404" s="48">
        <f>IF(INVESTORS_LIST[[#This Row],[LS_TOTAL UNITS SOLD]]=0,0,SUMIFS(LS[Cost of Units Sold],LS[Investor ID],INVESTORS_LIST[[#This Row],[INVESTOR CODE]],LS[B/S],"S"))</f>
        <v>0</v>
      </c>
      <c r="J404" s="48">
        <f>IF(INVESTORS_LIST[[#This Row],[LS_TOTAL CURRENT UNITS]]=0,0,INVESTORS_LIST[[#This Row],[LS_TOTAL CURRENT UNITS]]*INVESTORS_LIST[[#This Row],[LS_AVERAGE COST]])</f>
        <v>0</v>
      </c>
      <c r="K404" s="49">
        <f>IF(INVESTORS_LIST[[#This Row],[LS_TOTAL UNITS SOLD]]=0,0,SUMIFS(LS[Realized Gain],LS[Investor ID],INVESTORS_LIST[[#This Row],[INVESTOR CODE]],LS[B/S],"S"))</f>
        <v>0</v>
      </c>
      <c r="L404" s="47">
        <f>SUMIFS(SIP[Unit],SIP[Investor ID],INVESTORS_LIST[[#This Row],[INVESTOR CODE]],SIP[B/S],"B")</f>
        <v>0</v>
      </c>
      <c r="M404" s="47">
        <f>-SUMIFS(SIP[Unit],SIP[Investor ID],INVESTORS_LIST[[#This Row],[INVESTOR CODE]],SIP[B/S],"S")</f>
        <v>0</v>
      </c>
      <c r="N404" s="50">
        <f>IF(INVESTORS_LIST[[#This Row],[SIP_TOTAL UNITS BUY]]=0,0,INVESTORS_LIST[[#This Row],[SIP_TOTAL UNITS BUY]]-INVESTORS_LIST[[#This Row],[SIP_TOTAL UNITS SOLD]])</f>
        <v>0</v>
      </c>
      <c r="O404" s="49">
        <f>IF(INVESTORS_LIST[[#This Row],[SIP_TOTAL UNITS BUY]]=0,0,SUMIFS(SIP[Amount],SIP[Investor ID],INVESTORS_LIST[[#This Row],[INVESTOR CODE]],SIP[B/S],"B"))</f>
        <v>0</v>
      </c>
      <c r="P404" s="49">
        <f>IF(INVESTORS_LIST[[#This Row],[SIP_TOTAL UNITS SOLD]]=0,0,SUMIFS(SIP[Cost of Units Sold],SIP[Investor ID],INVESTORS_LIST[[#This Row],[INVESTOR CODE]],SIP[B/S],"S"))</f>
        <v>0</v>
      </c>
      <c r="Q404" s="48">
        <f>IF(INVESTORS_LIST[[#This Row],[SIP_TOTAL CURRENT UNITS]]=0,0,INVESTORS_LIST[[#This Row],[SIP_TOTAL CURRENT UNITS]]*INVESTORS_LIST[[#This Row],[SIP_AVERAGE COST]])</f>
        <v>0</v>
      </c>
      <c r="R404" s="48">
        <f>IF(INVESTORS_LIST[[#This Row],[SIP_TOTAL UNITS SOLD]]=0,0,SUMIFS(SIP[Realized Gain],SIP[Investor ID],INVESTORS_LIST[[#This Row],[INVESTOR CODE]],SIP[B/S],"S"))</f>
        <v>0</v>
      </c>
      <c r="S404" s="50">
        <f>INVESTORS_LIST[[#This Row],[LS_TOTAL UNITS BUY]]+INVESTORS_LIST[[#This Row],[SIP_TOTAL UNITS BUY]]</f>
        <v>0</v>
      </c>
      <c r="T404" s="50">
        <f>INVESTORS_LIST[[#This Row],[LS_TOTAL UNITS SOLD]]+INVESTORS_LIST[[#This Row],[SIP_TOTAL UNITS SOLD]]</f>
        <v>0</v>
      </c>
      <c r="U404" s="50"/>
      <c r="V404" s="50">
        <f>SUMIFS(LS[BO UNIT TRANSFER],LS[Investor ID],INVESTORS_LIST[[#This Row],[INVESTOR CODE]],LS[B/S],"B")</f>
        <v>0</v>
      </c>
      <c r="W404" s="50">
        <f>SUMIFS(SIP[BO UNIT TRANSFER],SIP[Investor ID],INVESTORS_LIST[[#This Row],[INVESTOR CODE]],SIP[B/S],"B")</f>
        <v>0</v>
      </c>
      <c r="X404" s="50">
        <f>SUMIFS(LS[BO UNIT TRANSFER],LS[Investor ID],INVESTORS_LIST[[#This Row],[INVESTOR CODE]],LS[B/S],"S")</f>
        <v>0</v>
      </c>
      <c r="Y404" s="50">
        <f>SUMIFS(SIP[BO UNIT TRANSFER],SIP[Investor ID],INVESTORS_LIST[[#This Row],[INVESTOR CODE]],SIP[B/S],"S")</f>
        <v>0</v>
      </c>
      <c r="Z404" s="106">
        <f>SUM(INVESTORS_LIST[[#This Row],[BO OPENING BALANCE]:[BO SIP UNITS REPURCHASE]])</f>
        <v>0</v>
      </c>
      <c r="AA404" s="107">
        <f>INVESTORS_LIST[[#This Row],[TOTAL UNITS BUY]]-INVESTORS_LIST[[#This Row],[TOTAL UNITS SOLD]]</f>
        <v>0</v>
      </c>
      <c r="AB404" s="107">
        <f>INVESTORS_LIST[[#This Row],[TOTAL CURRENT UNITS]]-INVESTORS_LIST[[#This Row],[BO UNITS HOLD]]</f>
        <v>0</v>
      </c>
      <c r="AC404" s="201" t="e">
        <f>INDEX([3]!Table_1[BO ID],MATCH(INVESTORS_LIST[[#This Row],[INVESTOR CODE]],[3]!Table_1[INVESTOR CODE],0))</f>
        <v>#REF!</v>
      </c>
      <c r="AD404" s="201" t="e">
        <f>INDEX([3]!Table_1[Brokerage Name2],MATCH(INVESTORS_LIST[[#This Row],[INVESTOR CODE]],[3]!Table_1[INVESTOR CODE],0))</f>
        <v>#REF!</v>
      </c>
      <c r="AE404" s="201" t="e">
        <f>MID(INVESTORS_LIST[[#This Row],[BO ID]],4,5)</f>
        <v>#REF!</v>
      </c>
      <c r="AF404" s="201" t="e">
        <f>MID(INVESTORS_LIST[[#This Row],[BO ID]],2,7)</f>
        <v>#REF!</v>
      </c>
      <c r="AG404" s="201" t="e">
        <f>MID(INVESTORS_LIST[[#This Row],[BO ID]],9,7)</f>
        <v>#REF!</v>
      </c>
      <c r="AH404" s="201" t="e">
        <f>RIGHT(INVESTORS_LIST[[#This Row],[BO ID]],1)</f>
        <v>#REF!</v>
      </c>
      <c r="AI404" s="50">
        <f>INVESTORS_LIST[[#This Row],[LS_TOTAL COST VALUE OF CURRENT UNITS]]+INVESTORS_LIST[[#This Row],[SIP_TOTAL COST VALUE OF CURRENT UNITS]]</f>
        <v>0</v>
      </c>
      <c r="AJ404" s="109">
        <f>IF(INVESTORS_LIST[[#This Row],[TOTAL CURRENT UNITS]]=0,0,INVESTORS_LIST[[#This Row],[LS_TOTAL CURRENT UNITS]]/INVESTORS_LIST[[#This Row],[TOTAL CURRENT UNITS]])</f>
        <v>0</v>
      </c>
      <c r="AK404" s="109">
        <f>IF(INVESTORS_LIST[[#This Row],[TOTAL CURRENT UNITS]]=0,0,INVESTORS_LIST[[#This Row],[SIP_TOTAL CURRENT UNITS]]/INVESTORS_LIST[[#This Row],[TOTAL CURRENT UNITS]])</f>
        <v>0</v>
      </c>
      <c r="AL404" s="49" cm="1">
        <f t="array" ref="AL4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4" s="49" cm="1">
        <f t="array" ref="AM4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4" s="105">
        <f t="shared" si="7"/>
        <v>14.224</v>
      </c>
      <c r="AP404" s="112">
        <f>IF(INVESTORS_LIST[[#This Row],[TOTAL CURRENT UNITS]]=0,0,INVESTORS_LIST[[#This Row],[TOTAL CURRENT UNITS]]*INVESTORS_LIST[[#This Row],[NAV]])</f>
        <v>0</v>
      </c>
      <c r="AQ404" s="49">
        <f>IF(INVESTORS_LIST[[#This Row],[LS_TOTAL CURRENT UNITS]]=0,0,INVESTORS_LIST[[#This Row],[LS_TOTAL CURRENT UNITS]]*INVESTORS_LIST[[#This Row],[NAV]])</f>
        <v>0</v>
      </c>
      <c r="AR404" s="48">
        <f>IF(INVESTORS_LIST[[#This Row],[SIP_TOTAL CURRENT UNITS]]=0,0,INVESTORS_LIST[[#This Row],[SIP_TOTAL CURRENT UNITS]]*INVESTORS_LIST[[#This Row],[NAV]])</f>
        <v>0</v>
      </c>
      <c r="AS404" s="50">
        <f>INVESTORS_LIST[[#This Row],[TOTAL CURRENT UNITS]]</f>
        <v>0</v>
      </c>
      <c r="AT404" s="48">
        <f>IF(INVESTORS_LIST[[#This Row],[TOTAL SELLABLE UNITS]]=0,0,INVESTORS_LIST[[#This Row],[TOTAL SELLABLE UNITS]]*INVESTORS_LIST[[#This Row],[NAV]])</f>
        <v>0</v>
      </c>
      <c r="AU404" s="48">
        <f>INVESTORS_LIST[[#This Row],[LS_TOTAL REALIZED GAIN]]+INVESTORS_LIST[[#This Row],[SIP_TOTAL REALIZED GAIN]]</f>
        <v>0</v>
      </c>
      <c r="AV404" s="48">
        <f>INVESTORS_LIST[[#This Row],[TOTAL MARKET VALUE]]-INVESTORS_LIST[[#This Row],[TOTAL COST VALUE OF CURRENT INVESTMENT]]</f>
        <v>0</v>
      </c>
      <c r="AW404" s="48">
        <f>IFERROR(INVESTORS_LIST[[#This Row],[TOTAL CURRENT UNITS]]/SUM(INVESTORS_LIST[TOTAL CURRENT UNITS]),0)</f>
        <v>0</v>
      </c>
    </row>
    <row r="405" spans="1:49" hidden="1">
      <c r="A405" s="262" t="s">
        <v>856</v>
      </c>
      <c r="B405" s="97" t="s">
        <v>857</v>
      </c>
      <c r="C405" t="s">
        <v>67</v>
      </c>
      <c r="D405" s="75" t="s">
        <v>45</v>
      </c>
      <c r="E405" s="47">
        <f>SUMIFS(LS[Unit],LS[Investor ID],INVESTORS_LIST[[#This Row],[INVESTOR CODE]],LS[B/S],"B")</f>
        <v>0</v>
      </c>
      <c r="F405" s="47">
        <f>-SUMIFS(LS[Unit],LS[Investor ID],INVESTORS_LIST[[#This Row],[INVESTOR CODE]],LS[B/S],"S")</f>
        <v>0</v>
      </c>
      <c r="G405" s="47">
        <f>IF(INVESTORS_LIST[[#This Row],[LS_TOTAL UNITS BUY]]=0,0,INVESTORS_LIST[[#This Row],[LS_TOTAL UNITS BUY]]-INVESTORS_LIST[[#This Row],[LS_TOTAL UNITS SOLD]])</f>
        <v>0</v>
      </c>
      <c r="H405" s="49">
        <f>IF(INVESTORS_LIST[[#This Row],[LS_TOTAL UNITS BUY]]=0,0,SUMIFS(LS[Amount],LS[Investor ID],INVESTORS_LIST[[#This Row],[INVESTOR CODE]],LS[B/S],"B"))</f>
        <v>0</v>
      </c>
      <c r="I405" s="48">
        <f>IF(INVESTORS_LIST[[#This Row],[LS_TOTAL UNITS SOLD]]=0,0,SUMIFS(LS[Cost of Units Sold],LS[Investor ID],INVESTORS_LIST[[#This Row],[INVESTOR CODE]],LS[B/S],"S"))</f>
        <v>0</v>
      </c>
      <c r="J405" s="48">
        <f>IF(INVESTORS_LIST[[#This Row],[LS_TOTAL CURRENT UNITS]]=0,0,INVESTORS_LIST[[#This Row],[LS_TOTAL CURRENT UNITS]]*INVESTORS_LIST[[#This Row],[LS_AVERAGE COST]])</f>
        <v>0</v>
      </c>
      <c r="K405" s="49">
        <f>IF(INVESTORS_LIST[[#This Row],[LS_TOTAL UNITS SOLD]]=0,0,SUMIFS(LS[Realized Gain],LS[Investor ID],INVESTORS_LIST[[#This Row],[INVESTOR CODE]],LS[B/S],"S"))</f>
        <v>0</v>
      </c>
      <c r="L405" s="47">
        <f>SUMIFS(SIP[Unit],SIP[Investor ID],INVESTORS_LIST[[#This Row],[INVESTOR CODE]],SIP[B/S],"B")</f>
        <v>0</v>
      </c>
      <c r="M405" s="47">
        <f>-SUMIFS(SIP[Unit],SIP[Investor ID],INVESTORS_LIST[[#This Row],[INVESTOR CODE]],SIP[B/S],"S")</f>
        <v>0</v>
      </c>
      <c r="N405" s="50">
        <f>IF(INVESTORS_LIST[[#This Row],[SIP_TOTAL UNITS BUY]]=0,0,INVESTORS_LIST[[#This Row],[SIP_TOTAL UNITS BUY]]-INVESTORS_LIST[[#This Row],[SIP_TOTAL UNITS SOLD]])</f>
        <v>0</v>
      </c>
      <c r="O405" s="49">
        <f>IF(INVESTORS_LIST[[#This Row],[SIP_TOTAL UNITS BUY]]=0,0,SUMIFS(SIP[Amount],SIP[Investor ID],INVESTORS_LIST[[#This Row],[INVESTOR CODE]],SIP[B/S],"B"))</f>
        <v>0</v>
      </c>
      <c r="P405" s="49">
        <f>IF(INVESTORS_LIST[[#This Row],[SIP_TOTAL UNITS SOLD]]=0,0,SUMIFS(SIP[Cost of Units Sold],SIP[Investor ID],INVESTORS_LIST[[#This Row],[INVESTOR CODE]],SIP[B/S],"S"))</f>
        <v>0</v>
      </c>
      <c r="Q405" s="48">
        <f>IF(INVESTORS_LIST[[#This Row],[SIP_TOTAL CURRENT UNITS]]=0,0,INVESTORS_LIST[[#This Row],[SIP_TOTAL CURRENT UNITS]]*INVESTORS_LIST[[#This Row],[SIP_AVERAGE COST]])</f>
        <v>0</v>
      </c>
      <c r="R405" s="48">
        <f>IF(INVESTORS_LIST[[#This Row],[SIP_TOTAL UNITS SOLD]]=0,0,SUMIFS(SIP[Realized Gain],SIP[Investor ID],INVESTORS_LIST[[#This Row],[INVESTOR CODE]],SIP[B/S],"S"))</f>
        <v>0</v>
      </c>
      <c r="S405" s="50">
        <f>INVESTORS_LIST[[#This Row],[LS_TOTAL UNITS BUY]]+INVESTORS_LIST[[#This Row],[SIP_TOTAL UNITS BUY]]</f>
        <v>0</v>
      </c>
      <c r="T405" s="50">
        <f>INVESTORS_LIST[[#This Row],[LS_TOTAL UNITS SOLD]]+INVESTORS_LIST[[#This Row],[SIP_TOTAL UNITS SOLD]]</f>
        <v>0</v>
      </c>
      <c r="U405" s="50"/>
      <c r="V405" s="50">
        <f>SUMIFS(LS[BO UNIT TRANSFER],LS[Investor ID],INVESTORS_LIST[[#This Row],[INVESTOR CODE]],LS[B/S],"B")</f>
        <v>0</v>
      </c>
      <c r="W405" s="50">
        <f>SUMIFS(SIP[BO UNIT TRANSFER],SIP[Investor ID],INVESTORS_LIST[[#This Row],[INVESTOR CODE]],SIP[B/S],"B")</f>
        <v>0</v>
      </c>
      <c r="X405" s="50">
        <f>SUMIFS(LS[BO UNIT TRANSFER],LS[Investor ID],INVESTORS_LIST[[#This Row],[INVESTOR CODE]],LS[B/S],"S")</f>
        <v>0</v>
      </c>
      <c r="Y405" s="50">
        <f>SUMIFS(SIP[BO UNIT TRANSFER],SIP[Investor ID],INVESTORS_LIST[[#This Row],[INVESTOR CODE]],SIP[B/S],"S")</f>
        <v>0</v>
      </c>
      <c r="Z405" s="106">
        <f>SUM(INVESTORS_LIST[[#This Row],[BO OPENING BALANCE]:[BO SIP UNITS REPURCHASE]])</f>
        <v>0</v>
      </c>
      <c r="AA405" s="107">
        <f>INVESTORS_LIST[[#This Row],[TOTAL UNITS BUY]]-INVESTORS_LIST[[#This Row],[TOTAL UNITS SOLD]]</f>
        <v>0</v>
      </c>
      <c r="AB405" s="107">
        <f>INVESTORS_LIST[[#This Row],[TOTAL CURRENT UNITS]]-INVESTORS_LIST[[#This Row],[BO UNITS HOLD]]</f>
        <v>0</v>
      </c>
      <c r="AC405" s="201" t="e">
        <f>INDEX([3]!Table_1[BO ID],MATCH(INVESTORS_LIST[[#This Row],[INVESTOR CODE]],[3]!Table_1[INVESTOR CODE],0))</f>
        <v>#REF!</v>
      </c>
      <c r="AD405" s="201" t="e">
        <f>INDEX([3]!Table_1[Brokerage Name2],MATCH(INVESTORS_LIST[[#This Row],[INVESTOR CODE]],[3]!Table_1[INVESTOR CODE],0))</f>
        <v>#REF!</v>
      </c>
      <c r="AE405" s="201" t="e">
        <f>MID(INVESTORS_LIST[[#This Row],[BO ID]],4,5)</f>
        <v>#REF!</v>
      </c>
      <c r="AF405" s="201" t="e">
        <f>MID(INVESTORS_LIST[[#This Row],[BO ID]],2,7)</f>
        <v>#REF!</v>
      </c>
      <c r="AG405" s="201" t="e">
        <f>MID(INVESTORS_LIST[[#This Row],[BO ID]],9,7)</f>
        <v>#REF!</v>
      </c>
      <c r="AH405" s="201" t="e">
        <f>RIGHT(INVESTORS_LIST[[#This Row],[BO ID]],1)</f>
        <v>#REF!</v>
      </c>
      <c r="AI405" s="50">
        <f>INVESTORS_LIST[[#This Row],[LS_TOTAL COST VALUE OF CURRENT UNITS]]+INVESTORS_LIST[[#This Row],[SIP_TOTAL COST VALUE OF CURRENT UNITS]]</f>
        <v>0</v>
      </c>
      <c r="AJ405" s="109">
        <f>IF(INVESTORS_LIST[[#This Row],[TOTAL CURRENT UNITS]]=0,0,INVESTORS_LIST[[#This Row],[LS_TOTAL CURRENT UNITS]]/INVESTORS_LIST[[#This Row],[TOTAL CURRENT UNITS]])</f>
        <v>0</v>
      </c>
      <c r="AK405" s="109">
        <f>IF(INVESTORS_LIST[[#This Row],[TOTAL CURRENT UNITS]]=0,0,INVESTORS_LIST[[#This Row],[SIP_TOTAL CURRENT UNITS]]/INVESTORS_LIST[[#This Row],[TOTAL CURRENT UNITS]])</f>
        <v>0</v>
      </c>
      <c r="AL405" s="49" cm="1">
        <f t="array" ref="AL4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5" s="49" cm="1">
        <f t="array" ref="AM4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5" s="105">
        <f t="shared" si="7"/>
        <v>14.224</v>
      </c>
      <c r="AP405" s="112">
        <f>IF(INVESTORS_LIST[[#This Row],[TOTAL CURRENT UNITS]]=0,0,INVESTORS_LIST[[#This Row],[TOTAL CURRENT UNITS]]*INVESTORS_LIST[[#This Row],[NAV]])</f>
        <v>0</v>
      </c>
      <c r="AQ405" s="49">
        <f>IF(INVESTORS_LIST[[#This Row],[LS_TOTAL CURRENT UNITS]]=0,0,INVESTORS_LIST[[#This Row],[LS_TOTAL CURRENT UNITS]]*INVESTORS_LIST[[#This Row],[NAV]])</f>
        <v>0</v>
      </c>
      <c r="AR405" s="48">
        <f>IF(INVESTORS_LIST[[#This Row],[SIP_TOTAL CURRENT UNITS]]=0,0,INVESTORS_LIST[[#This Row],[SIP_TOTAL CURRENT UNITS]]*INVESTORS_LIST[[#This Row],[NAV]])</f>
        <v>0</v>
      </c>
      <c r="AS405" s="50">
        <f>INVESTORS_LIST[[#This Row],[TOTAL CURRENT UNITS]]</f>
        <v>0</v>
      </c>
      <c r="AT405" s="48">
        <f>IF(INVESTORS_LIST[[#This Row],[TOTAL SELLABLE UNITS]]=0,0,INVESTORS_LIST[[#This Row],[TOTAL SELLABLE UNITS]]*INVESTORS_LIST[[#This Row],[NAV]])</f>
        <v>0</v>
      </c>
      <c r="AU405" s="48">
        <f>INVESTORS_LIST[[#This Row],[LS_TOTAL REALIZED GAIN]]+INVESTORS_LIST[[#This Row],[SIP_TOTAL REALIZED GAIN]]</f>
        <v>0</v>
      </c>
      <c r="AV405" s="48">
        <f>INVESTORS_LIST[[#This Row],[TOTAL MARKET VALUE]]-INVESTORS_LIST[[#This Row],[TOTAL COST VALUE OF CURRENT INVESTMENT]]</f>
        <v>0</v>
      </c>
      <c r="AW405" s="48">
        <f>IFERROR(INVESTORS_LIST[[#This Row],[TOTAL CURRENT UNITS]]/SUM(INVESTORS_LIST[TOTAL CURRENT UNITS]),0)</f>
        <v>0</v>
      </c>
    </row>
    <row r="406" spans="1:49" hidden="1">
      <c r="A406" s="262" t="s">
        <v>858</v>
      </c>
      <c r="B406" s="97" t="s">
        <v>859</v>
      </c>
      <c r="C406" t="s">
        <v>67</v>
      </c>
      <c r="D406" s="75" t="s">
        <v>45</v>
      </c>
      <c r="E406" s="47">
        <f>SUMIFS(LS[Unit],LS[Investor ID],INVESTORS_LIST[[#This Row],[INVESTOR CODE]],LS[B/S],"B")</f>
        <v>0</v>
      </c>
      <c r="F406" s="47">
        <f>-SUMIFS(LS[Unit],LS[Investor ID],INVESTORS_LIST[[#This Row],[INVESTOR CODE]],LS[B/S],"S")</f>
        <v>0</v>
      </c>
      <c r="G406" s="47">
        <f>IF(INVESTORS_LIST[[#This Row],[LS_TOTAL UNITS BUY]]=0,0,INVESTORS_LIST[[#This Row],[LS_TOTAL UNITS BUY]]-INVESTORS_LIST[[#This Row],[LS_TOTAL UNITS SOLD]])</f>
        <v>0</v>
      </c>
      <c r="H406" s="49">
        <f>IF(INVESTORS_LIST[[#This Row],[LS_TOTAL UNITS BUY]]=0,0,SUMIFS(LS[Amount],LS[Investor ID],INVESTORS_LIST[[#This Row],[INVESTOR CODE]],LS[B/S],"B"))</f>
        <v>0</v>
      </c>
      <c r="I406" s="48">
        <f>IF(INVESTORS_LIST[[#This Row],[LS_TOTAL UNITS SOLD]]=0,0,SUMIFS(LS[Cost of Units Sold],LS[Investor ID],INVESTORS_LIST[[#This Row],[INVESTOR CODE]],LS[B/S],"S"))</f>
        <v>0</v>
      </c>
      <c r="J406" s="48">
        <f>IF(INVESTORS_LIST[[#This Row],[LS_TOTAL CURRENT UNITS]]=0,0,INVESTORS_LIST[[#This Row],[LS_TOTAL CURRENT UNITS]]*INVESTORS_LIST[[#This Row],[LS_AVERAGE COST]])</f>
        <v>0</v>
      </c>
      <c r="K406" s="49">
        <f>IF(INVESTORS_LIST[[#This Row],[LS_TOTAL UNITS SOLD]]=0,0,SUMIFS(LS[Realized Gain],LS[Investor ID],INVESTORS_LIST[[#This Row],[INVESTOR CODE]],LS[B/S],"S"))</f>
        <v>0</v>
      </c>
      <c r="L406" s="47">
        <f>SUMIFS(SIP[Unit],SIP[Investor ID],INVESTORS_LIST[[#This Row],[INVESTOR CODE]],SIP[B/S],"B")</f>
        <v>0</v>
      </c>
      <c r="M406" s="47">
        <f>-SUMIFS(SIP[Unit],SIP[Investor ID],INVESTORS_LIST[[#This Row],[INVESTOR CODE]],SIP[B/S],"S")</f>
        <v>0</v>
      </c>
      <c r="N406" s="50">
        <f>IF(INVESTORS_LIST[[#This Row],[SIP_TOTAL UNITS BUY]]=0,0,INVESTORS_LIST[[#This Row],[SIP_TOTAL UNITS BUY]]-INVESTORS_LIST[[#This Row],[SIP_TOTAL UNITS SOLD]])</f>
        <v>0</v>
      </c>
      <c r="O406" s="49">
        <f>IF(INVESTORS_LIST[[#This Row],[SIP_TOTAL UNITS BUY]]=0,0,SUMIFS(SIP[Amount],SIP[Investor ID],INVESTORS_LIST[[#This Row],[INVESTOR CODE]],SIP[B/S],"B"))</f>
        <v>0</v>
      </c>
      <c r="P406" s="49">
        <f>IF(INVESTORS_LIST[[#This Row],[SIP_TOTAL UNITS SOLD]]=0,0,SUMIFS(SIP[Cost of Units Sold],SIP[Investor ID],INVESTORS_LIST[[#This Row],[INVESTOR CODE]],SIP[B/S],"S"))</f>
        <v>0</v>
      </c>
      <c r="Q406" s="48">
        <f>IF(INVESTORS_LIST[[#This Row],[SIP_TOTAL CURRENT UNITS]]=0,0,INVESTORS_LIST[[#This Row],[SIP_TOTAL CURRENT UNITS]]*INVESTORS_LIST[[#This Row],[SIP_AVERAGE COST]])</f>
        <v>0</v>
      </c>
      <c r="R406" s="48">
        <f>IF(INVESTORS_LIST[[#This Row],[SIP_TOTAL UNITS SOLD]]=0,0,SUMIFS(SIP[Realized Gain],SIP[Investor ID],INVESTORS_LIST[[#This Row],[INVESTOR CODE]],SIP[B/S],"S"))</f>
        <v>0</v>
      </c>
      <c r="S406" s="50">
        <f>INVESTORS_LIST[[#This Row],[LS_TOTAL UNITS BUY]]+INVESTORS_LIST[[#This Row],[SIP_TOTAL UNITS BUY]]</f>
        <v>0</v>
      </c>
      <c r="T406" s="50">
        <f>INVESTORS_LIST[[#This Row],[LS_TOTAL UNITS SOLD]]+INVESTORS_LIST[[#This Row],[SIP_TOTAL UNITS SOLD]]</f>
        <v>0</v>
      </c>
      <c r="U406" s="50"/>
      <c r="V406" s="50">
        <f>SUMIFS(LS[BO UNIT TRANSFER],LS[Investor ID],INVESTORS_LIST[[#This Row],[INVESTOR CODE]],LS[B/S],"B")</f>
        <v>0</v>
      </c>
      <c r="W406" s="50">
        <f>SUMIFS(SIP[BO UNIT TRANSFER],SIP[Investor ID],INVESTORS_LIST[[#This Row],[INVESTOR CODE]],SIP[B/S],"B")</f>
        <v>0</v>
      </c>
      <c r="X406" s="50">
        <f>SUMIFS(LS[BO UNIT TRANSFER],LS[Investor ID],INVESTORS_LIST[[#This Row],[INVESTOR CODE]],LS[B/S],"S")</f>
        <v>0</v>
      </c>
      <c r="Y406" s="50">
        <f>SUMIFS(SIP[BO UNIT TRANSFER],SIP[Investor ID],INVESTORS_LIST[[#This Row],[INVESTOR CODE]],SIP[B/S],"S")</f>
        <v>0</v>
      </c>
      <c r="Z406" s="106">
        <f>SUM(INVESTORS_LIST[[#This Row],[BO OPENING BALANCE]:[BO SIP UNITS REPURCHASE]])</f>
        <v>0</v>
      </c>
      <c r="AA406" s="107">
        <f>INVESTORS_LIST[[#This Row],[TOTAL UNITS BUY]]-INVESTORS_LIST[[#This Row],[TOTAL UNITS SOLD]]</f>
        <v>0</v>
      </c>
      <c r="AB406" s="107">
        <f>INVESTORS_LIST[[#This Row],[TOTAL CURRENT UNITS]]-INVESTORS_LIST[[#This Row],[BO UNITS HOLD]]</f>
        <v>0</v>
      </c>
      <c r="AC406" s="201" t="e">
        <f>INDEX([3]!Table_1[BO ID],MATCH(INVESTORS_LIST[[#This Row],[INVESTOR CODE]],[3]!Table_1[INVESTOR CODE],0))</f>
        <v>#REF!</v>
      </c>
      <c r="AD406" s="201" t="e">
        <f>INDEX([3]!Table_1[Brokerage Name2],MATCH(INVESTORS_LIST[[#This Row],[INVESTOR CODE]],[3]!Table_1[INVESTOR CODE],0))</f>
        <v>#REF!</v>
      </c>
      <c r="AE406" s="201" t="e">
        <f>MID(INVESTORS_LIST[[#This Row],[BO ID]],4,5)</f>
        <v>#REF!</v>
      </c>
      <c r="AF406" s="201" t="e">
        <f>MID(INVESTORS_LIST[[#This Row],[BO ID]],2,7)</f>
        <v>#REF!</v>
      </c>
      <c r="AG406" s="201" t="e">
        <f>MID(INVESTORS_LIST[[#This Row],[BO ID]],9,7)</f>
        <v>#REF!</v>
      </c>
      <c r="AH406" s="201" t="e">
        <f>RIGHT(INVESTORS_LIST[[#This Row],[BO ID]],1)</f>
        <v>#REF!</v>
      </c>
      <c r="AI406" s="50">
        <f>INVESTORS_LIST[[#This Row],[LS_TOTAL COST VALUE OF CURRENT UNITS]]+INVESTORS_LIST[[#This Row],[SIP_TOTAL COST VALUE OF CURRENT UNITS]]</f>
        <v>0</v>
      </c>
      <c r="AJ406" s="109">
        <f>IF(INVESTORS_LIST[[#This Row],[TOTAL CURRENT UNITS]]=0,0,INVESTORS_LIST[[#This Row],[LS_TOTAL CURRENT UNITS]]/INVESTORS_LIST[[#This Row],[TOTAL CURRENT UNITS]])</f>
        <v>0</v>
      </c>
      <c r="AK406" s="109">
        <f>IF(INVESTORS_LIST[[#This Row],[TOTAL CURRENT UNITS]]=0,0,INVESTORS_LIST[[#This Row],[SIP_TOTAL CURRENT UNITS]]/INVESTORS_LIST[[#This Row],[TOTAL CURRENT UNITS]])</f>
        <v>0</v>
      </c>
      <c r="AL406" s="49" cm="1">
        <f t="array" ref="AL4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6" s="49" cm="1">
        <f t="array" ref="AM4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6" s="105">
        <f t="shared" si="7"/>
        <v>14.224</v>
      </c>
      <c r="AP406" s="112">
        <f>IF(INVESTORS_LIST[[#This Row],[TOTAL CURRENT UNITS]]=0,0,INVESTORS_LIST[[#This Row],[TOTAL CURRENT UNITS]]*INVESTORS_LIST[[#This Row],[NAV]])</f>
        <v>0</v>
      </c>
      <c r="AQ406" s="49">
        <f>IF(INVESTORS_LIST[[#This Row],[LS_TOTAL CURRENT UNITS]]=0,0,INVESTORS_LIST[[#This Row],[LS_TOTAL CURRENT UNITS]]*INVESTORS_LIST[[#This Row],[NAV]])</f>
        <v>0</v>
      </c>
      <c r="AR406" s="48">
        <f>IF(INVESTORS_LIST[[#This Row],[SIP_TOTAL CURRENT UNITS]]=0,0,INVESTORS_LIST[[#This Row],[SIP_TOTAL CURRENT UNITS]]*INVESTORS_LIST[[#This Row],[NAV]])</f>
        <v>0</v>
      </c>
      <c r="AS406" s="50">
        <f>INVESTORS_LIST[[#This Row],[TOTAL CURRENT UNITS]]</f>
        <v>0</v>
      </c>
      <c r="AT406" s="48">
        <f>IF(INVESTORS_LIST[[#This Row],[TOTAL SELLABLE UNITS]]=0,0,INVESTORS_LIST[[#This Row],[TOTAL SELLABLE UNITS]]*INVESTORS_LIST[[#This Row],[NAV]])</f>
        <v>0</v>
      </c>
      <c r="AU406" s="48">
        <f>INVESTORS_LIST[[#This Row],[LS_TOTAL REALIZED GAIN]]+INVESTORS_LIST[[#This Row],[SIP_TOTAL REALIZED GAIN]]</f>
        <v>0</v>
      </c>
      <c r="AV406" s="48">
        <f>INVESTORS_LIST[[#This Row],[TOTAL MARKET VALUE]]-INVESTORS_LIST[[#This Row],[TOTAL COST VALUE OF CURRENT INVESTMENT]]</f>
        <v>0</v>
      </c>
      <c r="AW406" s="48">
        <f>IFERROR(INVESTORS_LIST[[#This Row],[TOTAL CURRENT UNITS]]/SUM(INVESTORS_LIST[TOTAL CURRENT UNITS]),0)</f>
        <v>0</v>
      </c>
    </row>
    <row r="407" spans="1:49" hidden="1">
      <c r="A407" s="262" t="s">
        <v>685</v>
      </c>
      <c r="B407" s="97" t="s">
        <v>860</v>
      </c>
      <c r="C407" t="s">
        <v>44</v>
      </c>
      <c r="D407" s="75" t="s">
        <v>45</v>
      </c>
      <c r="E407" s="47">
        <f>SUMIFS(LS[Unit],LS[Investor ID],INVESTORS_LIST[[#This Row],[INVESTOR CODE]],LS[B/S],"B")</f>
        <v>0</v>
      </c>
      <c r="F407" s="47">
        <f>-SUMIFS(LS[Unit],LS[Investor ID],INVESTORS_LIST[[#This Row],[INVESTOR CODE]],LS[B/S],"S")</f>
        <v>0</v>
      </c>
      <c r="G407" s="47">
        <f>IF(INVESTORS_LIST[[#This Row],[LS_TOTAL UNITS BUY]]=0,0,INVESTORS_LIST[[#This Row],[LS_TOTAL UNITS BUY]]-INVESTORS_LIST[[#This Row],[LS_TOTAL UNITS SOLD]])</f>
        <v>0</v>
      </c>
      <c r="H407" s="49">
        <f>IF(INVESTORS_LIST[[#This Row],[LS_TOTAL UNITS BUY]]=0,0,SUMIFS(LS[Amount],LS[Investor ID],INVESTORS_LIST[[#This Row],[INVESTOR CODE]],LS[B/S],"B"))</f>
        <v>0</v>
      </c>
      <c r="I407" s="48">
        <f>IF(INVESTORS_LIST[[#This Row],[LS_TOTAL UNITS SOLD]]=0,0,SUMIFS(LS[Cost of Units Sold],LS[Investor ID],INVESTORS_LIST[[#This Row],[INVESTOR CODE]],LS[B/S],"S"))</f>
        <v>0</v>
      </c>
      <c r="J407" s="48">
        <f>IF(INVESTORS_LIST[[#This Row],[LS_TOTAL CURRENT UNITS]]=0,0,INVESTORS_LIST[[#This Row],[LS_TOTAL CURRENT UNITS]]*INVESTORS_LIST[[#This Row],[LS_AVERAGE COST]])</f>
        <v>0</v>
      </c>
      <c r="K407" s="49">
        <f>IF(INVESTORS_LIST[[#This Row],[LS_TOTAL UNITS SOLD]]=0,0,SUMIFS(LS[Realized Gain],LS[Investor ID],INVESTORS_LIST[[#This Row],[INVESTOR CODE]],LS[B/S],"S"))</f>
        <v>0</v>
      </c>
      <c r="L407" s="47">
        <f>SUMIFS(SIP[Unit],SIP[Investor ID],INVESTORS_LIST[[#This Row],[INVESTOR CODE]],SIP[B/S],"B")</f>
        <v>0</v>
      </c>
      <c r="M407" s="47">
        <f>-SUMIFS(SIP[Unit],SIP[Investor ID],INVESTORS_LIST[[#This Row],[INVESTOR CODE]],SIP[B/S],"S")</f>
        <v>0</v>
      </c>
      <c r="N407" s="50">
        <f>IF(INVESTORS_LIST[[#This Row],[SIP_TOTAL UNITS BUY]]=0,0,INVESTORS_LIST[[#This Row],[SIP_TOTAL UNITS BUY]]-INVESTORS_LIST[[#This Row],[SIP_TOTAL UNITS SOLD]])</f>
        <v>0</v>
      </c>
      <c r="O407" s="49">
        <f>IF(INVESTORS_LIST[[#This Row],[SIP_TOTAL UNITS BUY]]=0,0,SUMIFS(SIP[Amount],SIP[Investor ID],INVESTORS_LIST[[#This Row],[INVESTOR CODE]],SIP[B/S],"B"))</f>
        <v>0</v>
      </c>
      <c r="P407" s="49">
        <f>IF(INVESTORS_LIST[[#This Row],[SIP_TOTAL UNITS SOLD]]=0,0,SUMIFS(SIP[Cost of Units Sold],SIP[Investor ID],INVESTORS_LIST[[#This Row],[INVESTOR CODE]],SIP[B/S],"S"))</f>
        <v>0</v>
      </c>
      <c r="Q407" s="48">
        <f>IF(INVESTORS_LIST[[#This Row],[SIP_TOTAL CURRENT UNITS]]=0,0,INVESTORS_LIST[[#This Row],[SIP_TOTAL CURRENT UNITS]]*INVESTORS_LIST[[#This Row],[SIP_AVERAGE COST]])</f>
        <v>0</v>
      </c>
      <c r="R407" s="48">
        <f>IF(INVESTORS_LIST[[#This Row],[SIP_TOTAL UNITS SOLD]]=0,0,SUMIFS(SIP[Realized Gain],SIP[Investor ID],INVESTORS_LIST[[#This Row],[INVESTOR CODE]],SIP[B/S],"S"))</f>
        <v>0</v>
      </c>
      <c r="S407" s="50">
        <f>INVESTORS_LIST[[#This Row],[LS_TOTAL UNITS BUY]]+INVESTORS_LIST[[#This Row],[SIP_TOTAL UNITS BUY]]</f>
        <v>0</v>
      </c>
      <c r="T407" s="50">
        <f>INVESTORS_LIST[[#This Row],[LS_TOTAL UNITS SOLD]]+INVESTORS_LIST[[#This Row],[SIP_TOTAL UNITS SOLD]]</f>
        <v>0</v>
      </c>
      <c r="U407" s="50"/>
      <c r="V407" s="50">
        <f>SUMIFS(LS[BO UNIT TRANSFER],LS[Investor ID],INVESTORS_LIST[[#This Row],[INVESTOR CODE]],LS[B/S],"B")</f>
        <v>0</v>
      </c>
      <c r="W407" s="50">
        <f>SUMIFS(SIP[BO UNIT TRANSFER],SIP[Investor ID],INVESTORS_LIST[[#This Row],[INVESTOR CODE]],SIP[B/S],"B")</f>
        <v>0</v>
      </c>
      <c r="X407" s="50">
        <f>SUMIFS(LS[BO UNIT TRANSFER],LS[Investor ID],INVESTORS_LIST[[#This Row],[INVESTOR CODE]],LS[B/S],"S")</f>
        <v>0</v>
      </c>
      <c r="Y407" s="50">
        <f>SUMIFS(SIP[BO UNIT TRANSFER],SIP[Investor ID],INVESTORS_LIST[[#This Row],[INVESTOR CODE]],SIP[B/S],"S")</f>
        <v>0</v>
      </c>
      <c r="Z407" s="106">
        <f>SUM(INVESTORS_LIST[[#This Row],[BO OPENING BALANCE]:[BO SIP UNITS REPURCHASE]])</f>
        <v>0</v>
      </c>
      <c r="AA407" s="107">
        <f>INVESTORS_LIST[[#This Row],[TOTAL UNITS BUY]]-INVESTORS_LIST[[#This Row],[TOTAL UNITS SOLD]]</f>
        <v>0</v>
      </c>
      <c r="AB407" s="107">
        <f>INVESTORS_LIST[[#This Row],[TOTAL CURRENT UNITS]]-INVESTORS_LIST[[#This Row],[BO UNITS HOLD]]</f>
        <v>0</v>
      </c>
      <c r="AC407" s="201" t="e">
        <f>INDEX([3]!Table_1[BO ID],MATCH(INVESTORS_LIST[[#This Row],[INVESTOR CODE]],[3]!Table_1[INVESTOR CODE],0))</f>
        <v>#REF!</v>
      </c>
      <c r="AD407" s="201" t="e">
        <f>INDEX([3]!Table_1[Brokerage Name2],MATCH(INVESTORS_LIST[[#This Row],[INVESTOR CODE]],[3]!Table_1[INVESTOR CODE],0))</f>
        <v>#REF!</v>
      </c>
      <c r="AE407" s="201" t="e">
        <f>MID(INVESTORS_LIST[[#This Row],[BO ID]],4,5)</f>
        <v>#REF!</v>
      </c>
      <c r="AF407" s="201" t="e">
        <f>MID(INVESTORS_LIST[[#This Row],[BO ID]],2,7)</f>
        <v>#REF!</v>
      </c>
      <c r="AG407" s="201" t="e">
        <f>MID(INVESTORS_LIST[[#This Row],[BO ID]],9,7)</f>
        <v>#REF!</v>
      </c>
      <c r="AH407" s="201" t="e">
        <f>RIGHT(INVESTORS_LIST[[#This Row],[BO ID]],1)</f>
        <v>#REF!</v>
      </c>
      <c r="AI407" s="50">
        <f>INVESTORS_LIST[[#This Row],[LS_TOTAL COST VALUE OF CURRENT UNITS]]+INVESTORS_LIST[[#This Row],[SIP_TOTAL COST VALUE OF CURRENT UNITS]]</f>
        <v>0</v>
      </c>
      <c r="AJ407" s="109">
        <f>IF(INVESTORS_LIST[[#This Row],[TOTAL CURRENT UNITS]]=0,0,INVESTORS_LIST[[#This Row],[LS_TOTAL CURRENT UNITS]]/INVESTORS_LIST[[#This Row],[TOTAL CURRENT UNITS]])</f>
        <v>0</v>
      </c>
      <c r="AK407" s="109">
        <f>IF(INVESTORS_LIST[[#This Row],[TOTAL CURRENT UNITS]]=0,0,INVESTORS_LIST[[#This Row],[SIP_TOTAL CURRENT UNITS]]/INVESTORS_LIST[[#This Row],[TOTAL CURRENT UNITS]])</f>
        <v>0</v>
      </c>
      <c r="AL407" s="49" cm="1">
        <f t="array" ref="AL4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7" s="49" cm="1">
        <f t="array" ref="AM4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7" s="105">
        <f t="shared" si="7"/>
        <v>14.224</v>
      </c>
      <c r="AP407" s="112">
        <f>IF(INVESTORS_LIST[[#This Row],[TOTAL CURRENT UNITS]]=0,0,INVESTORS_LIST[[#This Row],[TOTAL CURRENT UNITS]]*INVESTORS_LIST[[#This Row],[NAV]])</f>
        <v>0</v>
      </c>
      <c r="AQ407" s="49">
        <f>IF(INVESTORS_LIST[[#This Row],[LS_TOTAL CURRENT UNITS]]=0,0,INVESTORS_LIST[[#This Row],[LS_TOTAL CURRENT UNITS]]*INVESTORS_LIST[[#This Row],[NAV]])</f>
        <v>0</v>
      </c>
      <c r="AR407" s="48">
        <f>IF(INVESTORS_LIST[[#This Row],[SIP_TOTAL CURRENT UNITS]]=0,0,INVESTORS_LIST[[#This Row],[SIP_TOTAL CURRENT UNITS]]*INVESTORS_LIST[[#This Row],[NAV]])</f>
        <v>0</v>
      </c>
      <c r="AS407" s="50">
        <f>INVESTORS_LIST[[#This Row],[TOTAL CURRENT UNITS]]</f>
        <v>0</v>
      </c>
      <c r="AT407" s="48">
        <f>IF(INVESTORS_LIST[[#This Row],[TOTAL SELLABLE UNITS]]=0,0,INVESTORS_LIST[[#This Row],[TOTAL SELLABLE UNITS]]*INVESTORS_LIST[[#This Row],[NAV]])</f>
        <v>0</v>
      </c>
      <c r="AU407" s="48">
        <f>INVESTORS_LIST[[#This Row],[LS_TOTAL REALIZED GAIN]]+INVESTORS_LIST[[#This Row],[SIP_TOTAL REALIZED GAIN]]</f>
        <v>0</v>
      </c>
      <c r="AV407" s="48">
        <f>INVESTORS_LIST[[#This Row],[TOTAL MARKET VALUE]]-INVESTORS_LIST[[#This Row],[TOTAL COST VALUE OF CURRENT INVESTMENT]]</f>
        <v>0</v>
      </c>
      <c r="AW407" s="48">
        <f>IFERROR(INVESTORS_LIST[[#This Row],[TOTAL CURRENT UNITS]]/SUM(INVESTORS_LIST[TOTAL CURRENT UNITS]),0)</f>
        <v>0</v>
      </c>
    </row>
    <row r="408" spans="1:49" hidden="1">
      <c r="A408" s="262" t="s">
        <v>861</v>
      </c>
      <c r="B408" s="97" t="s">
        <v>862</v>
      </c>
      <c r="C408" t="s">
        <v>44</v>
      </c>
      <c r="D408" s="75" t="s">
        <v>45</v>
      </c>
      <c r="E408" s="47">
        <f>SUMIFS(LS[Unit],LS[Investor ID],INVESTORS_LIST[[#This Row],[INVESTOR CODE]],LS[B/S],"B")</f>
        <v>0</v>
      </c>
      <c r="F408" s="47">
        <f>-SUMIFS(LS[Unit],LS[Investor ID],INVESTORS_LIST[[#This Row],[INVESTOR CODE]],LS[B/S],"S")</f>
        <v>0</v>
      </c>
      <c r="G408" s="47">
        <f>IF(INVESTORS_LIST[[#This Row],[LS_TOTAL UNITS BUY]]=0,0,INVESTORS_LIST[[#This Row],[LS_TOTAL UNITS BUY]]-INVESTORS_LIST[[#This Row],[LS_TOTAL UNITS SOLD]])</f>
        <v>0</v>
      </c>
      <c r="H408" s="49">
        <f>IF(INVESTORS_LIST[[#This Row],[LS_TOTAL UNITS BUY]]=0,0,SUMIFS(LS[Amount],LS[Investor ID],INVESTORS_LIST[[#This Row],[INVESTOR CODE]],LS[B/S],"B"))</f>
        <v>0</v>
      </c>
      <c r="I408" s="48">
        <f>IF(INVESTORS_LIST[[#This Row],[LS_TOTAL UNITS SOLD]]=0,0,SUMIFS(LS[Cost of Units Sold],LS[Investor ID],INVESTORS_LIST[[#This Row],[INVESTOR CODE]],LS[B/S],"S"))</f>
        <v>0</v>
      </c>
      <c r="J408" s="48">
        <f>IF(INVESTORS_LIST[[#This Row],[LS_TOTAL CURRENT UNITS]]=0,0,INVESTORS_LIST[[#This Row],[LS_TOTAL CURRENT UNITS]]*INVESTORS_LIST[[#This Row],[LS_AVERAGE COST]])</f>
        <v>0</v>
      </c>
      <c r="K408" s="49">
        <f>IF(INVESTORS_LIST[[#This Row],[LS_TOTAL UNITS SOLD]]=0,0,SUMIFS(LS[Realized Gain],LS[Investor ID],INVESTORS_LIST[[#This Row],[INVESTOR CODE]],LS[B/S],"S"))</f>
        <v>0</v>
      </c>
      <c r="L408" s="47">
        <f>SUMIFS(SIP[Unit],SIP[Investor ID],INVESTORS_LIST[[#This Row],[INVESTOR CODE]],SIP[B/S],"B")</f>
        <v>0</v>
      </c>
      <c r="M408" s="47">
        <f>-SUMIFS(SIP[Unit],SIP[Investor ID],INVESTORS_LIST[[#This Row],[INVESTOR CODE]],SIP[B/S],"S")</f>
        <v>0</v>
      </c>
      <c r="N408" s="50">
        <f>IF(INVESTORS_LIST[[#This Row],[SIP_TOTAL UNITS BUY]]=0,0,INVESTORS_LIST[[#This Row],[SIP_TOTAL UNITS BUY]]-INVESTORS_LIST[[#This Row],[SIP_TOTAL UNITS SOLD]])</f>
        <v>0</v>
      </c>
      <c r="O408" s="49">
        <f>IF(INVESTORS_LIST[[#This Row],[SIP_TOTAL UNITS BUY]]=0,0,SUMIFS(SIP[Amount],SIP[Investor ID],INVESTORS_LIST[[#This Row],[INVESTOR CODE]],SIP[B/S],"B"))</f>
        <v>0</v>
      </c>
      <c r="P408" s="49">
        <f>IF(INVESTORS_LIST[[#This Row],[SIP_TOTAL UNITS SOLD]]=0,0,SUMIFS(SIP[Cost of Units Sold],SIP[Investor ID],INVESTORS_LIST[[#This Row],[INVESTOR CODE]],SIP[B/S],"S"))</f>
        <v>0</v>
      </c>
      <c r="Q408" s="48">
        <f>IF(INVESTORS_LIST[[#This Row],[SIP_TOTAL CURRENT UNITS]]=0,0,INVESTORS_LIST[[#This Row],[SIP_TOTAL CURRENT UNITS]]*INVESTORS_LIST[[#This Row],[SIP_AVERAGE COST]])</f>
        <v>0</v>
      </c>
      <c r="R408" s="48">
        <f>IF(INVESTORS_LIST[[#This Row],[SIP_TOTAL UNITS SOLD]]=0,0,SUMIFS(SIP[Realized Gain],SIP[Investor ID],INVESTORS_LIST[[#This Row],[INVESTOR CODE]],SIP[B/S],"S"))</f>
        <v>0</v>
      </c>
      <c r="S408" s="50">
        <f>INVESTORS_LIST[[#This Row],[LS_TOTAL UNITS BUY]]+INVESTORS_LIST[[#This Row],[SIP_TOTAL UNITS BUY]]</f>
        <v>0</v>
      </c>
      <c r="T408" s="50">
        <f>INVESTORS_LIST[[#This Row],[LS_TOTAL UNITS SOLD]]+INVESTORS_LIST[[#This Row],[SIP_TOTAL UNITS SOLD]]</f>
        <v>0</v>
      </c>
      <c r="U408" s="50"/>
      <c r="V408" s="50">
        <f>SUMIFS(LS[BO UNIT TRANSFER],LS[Investor ID],INVESTORS_LIST[[#This Row],[INVESTOR CODE]],LS[B/S],"B")</f>
        <v>0</v>
      </c>
      <c r="W408" s="50">
        <f>SUMIFS(SIP[BO UNIT TRANSFER],SIP[Investor ID],INVESTORS_LIST[[#This Row],[INVESTOR CODE]],SIP[B/S],"B")</f>
        <v>0</v>
      </c>
      <c r="X408" s="50">
        <f>SUMIFS(LS[BO UNIT TRANSFER],LS[Investor ID],INVESTORS_LIST[[#This Row],[INVESTOR CODE]],LS[B/S],"S")</f>
        <v>0</v>
      </c>
      <c r="Y408" s="50">
        <f>SUMIFS(SIP[BO UNIT TRANSFER],SIP[Investor ID],INVESTORS_LIST[[#This Row],[INVESTOR CODE]],SIP[B/S],"S")</f>
        <v>0</v>
      </c>
      <c r="Z408" s="106">
        <f>SUM(INVESTORS_LIST[[#This Row],[BO OPENING BALANCE]:[BO SIP UNITS REPURCHASE]])</f>
        <v>0</v>
      </c>
      <c r="AA408" s="107">
        <f>INVESTORS_LIST[[#This Row],[TOTAL UNITS BUY]]-INVESTORS_LIST[[#This Row],[TOTAL UNITS SOLD]]</f>
        <v>0</v>
      </c>
      <c r="AB408" s="107">
        <f>INVESTORS_LIST[[#This Row],[TOTAL CURRENT UNITS]]-INVESTORS_LIST[[#This Row],[BO UNITS HOLD]]</f>
        <v>0</v>
      </c>
      <c r="AC408" s="201" t="e">
        <f>INDEX([3]!Table_1[BO ID],MATCH(INVESTORS_LIST[[#This Row],[INVESTOR CODE]],[3]!Table_1[INVESTOR CODE],0))</f>
        <v>#REF!</v>
      </c>
      <c r="AD408" s="201" t="e">
        <f>INDEX([3]!Table_1[Brokerage Name2],MATCH(INVESTORS_LIST[[#This Row],[INVESTOR CODE]],[3]!Table_1[INVESTOR CODE],0))</f>
        <v>#REF!</v>
      </c>
      <c r="AE408" s="201" t="e">
        <f>MID(INVESTORS_LIST[[#This Row],[BO ID]],4,5)</f>
        <v>#REF!</v>
      </c>
      <c r="AF408" s="201" t="e">
        <f>MID(INVESTORS_LIST[[#This Row],[BO ID]],2,7)</f>
        <v>#REF!</v>
      </c>
      <c r="AG408" s="201" t="e">
        <f>MID(INVESTORS_LIST[[#This Row],[BO ID]],9,7)</f>
        <v>#REF!</v>
      </c>
      <c r="AH408" s="201" t="e">
        <f>RIGHT(INVESTORS_LIST[[#This Row],[BO ID]],1)</f>
        <v>#REF!</v>
      </c>
      <c r="AI408" s="50">
        <f>INVESTORS_LIST[[#This Row],[LS_TOTAL COST VALUE OF CURRENT UNITS]]+INVESTORS_LIST[[#This Row],[SIP_TOTAL COST VALUE OF CURRENT UNITS]]</f>
        <v>0</v>
      </c>
      <c r="AJ408" s="109">
        <f>IF(INVESTORS_LIST[[#This Row],[TOTAL CURRENT UNITS]]=0,0,INVESTORS_LIST[[#This Row],[LS_TOTAL CURRENT UNITS]]/INVESTORS_LIST[[#This Row],[TOTAL CURRENT UNITS]])</f>
        <v>0</v>
      </c>
      <c r="AK408" s="109">
        <f>IF(INVESTORS_LIST[[#This Row],[TOTAL CURRENT UNITS]]=0,0,INVESTORS_LIST[[#This Row],[SIP_TOTAL CURRENT UNITS]]/INVESTORS_LIST[[#This Row],[TOTAL CURRENT UNITS]])</f>
        <v>0</v>
      </c>
      <c r="AL408" s="49" cm="1">
        <f t="array" ref="AL4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8" s="49" cm="1">
        <f t="array" ref="AM4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8" s="105">
        <f t="shared" si="7"/>
        <v>14.224</v>
      </c>
      <c r="AP408" s="112">
        <f>IF(INVESTORS_LIST[[#This Row],[TOTAL CURRENT UNITS]]=0,0,INVESTORS_LIST[[#This Row],[TOTAL CURRENT UNITS]]*INVESTORS_LIST[[#This Row],[NAV]])</f>
        <v>0</v>
      </c>
      <c r="AQ408" s="49">
        <f>IF(INVESTORS_LIST[[#This Row],[LS_TOTAL CURRENT UNITS]]=0,0,INVESTORS_LIST[[#This Row],[LS_TOTAL CURRENT UNITS]]*INVESTORS_LIST[[#This Row],[NAV]])</f>
        <v>0</v>
      </c>
      <c r="AR408" s="48">
        <f>IF(INVESTORS_LIST[[#This Row],[SIP_TOTAL CURRENT UNITS]]=0,0,INVESTORS_LIST[[#This Row],[SIP_TOTAL CURRENT UNITS]]*INVESTORS_LIST[[#This Row],[NAV]])</f>
        <v>0</v>
      </c>
      <c r="AS408" s="50">
        <f>INVESTORS_LIST[[#This Row],[TOTAL CURRENT UNITS]]</f>
        <v>0</v>
      </c>
      <c r="AT408" s="48">
        <f>IF(INVESTORS_LIST[[#This Row],[TOTAL SELLABLE UNITS]]=0,0,INVESTORS_LIST[[#This Row],[TOTAL SELLABLE UNITS]]*INVESTORS_LIST[[#This Row],[NAV]])</f>
        <v>0</v>
      </c>
      <c r="AU408" s="48">
        <f>INVESTORS_LIST[[#This Row],[LS_TOTAL REALIZED GAIN]]+INVESTORS_LIST[[#This Row],[SIP_TOTAL REALIZED GAIN]]</f>
        <v>0</v>
      </c>
      <c r="AV408" s="48">
        <f>INVESTORS_LIST[[#This Row],[TOTAL MARKET VALUE]]-INVESTORS_LIST[[#This Row],[TOTAL COST VALUE OF CURRENT INVESTMENT]]</f>
        <v>0</v>
      </c>
      <c r="AW408" s="48">
        <f>IFERROR(INVESTORS_LIST[[#This Row],[TOTAL CURRENT UNITS]]/SUM(INVESTORS_LIST[TOTAL CURRENT UNITS]),0)</f>
        <v>0</v>
      </c>
    </row>
    <row r="409" spans="1:49" hidden="1">
      <c r="A409" s="262" t="s">
        <v>863</v>
      </c>
      <c r="B409" s="97" t="s">
        <v>864</v>
      </c>
      <c r="C409" t="s">
        <v>67</v>
      </c>
      <c r="D409" s="75" t="s">
        <v>45</v>
      </c>
      <c r="E409" s="47">
        <f>SUMIFS(LS[Unit],LS[Investor ID],INVESTORS_LIST[[#This Row],[INVESTOR CODE]],LS[B/S],"B")</f>
        <v>0</v>
      </c>
      <c r="F409" s="47">
        <f>-SUMIFS(LS[Unit],LS[Investor ID],INVESTORS_LIST[[#This Row],[INVESTOR CODE]],LS[B/S],"S")</f>
        <v>0</v>
      </c>
      <c r="G409" s="47">
        <f>IF(INVESTORS_LIST[[#This Row],[LS_TOTAL UNITS BUY]]=0,0,INVESTORS_LIST[[#This Row],[LS_TOTAL UNITS BUY]]-INVESTORS_LIST[[#This Row],[LS_TOTAL UNITS SOLD]])</f>
        <v>0</v>
      </c>
      <c r="H409" s="49">
        <f>IF(INVESTORS_LIST[[#This Row],[LS_TOTAL UNITS BUY]]=0,0,SUMIFS(LS[Amount],LS[Investor ID],INVESTORS_LIST[[#This Row],[INVESTOR CODE]],LS[B/S],"B"))</f>
        <v>0</v>
      </c>
      <c r="I409" s="48">
        <f>IF(INVESTORS_LIST[[#This Row],[LS_TOTAL UNITS SOLD]]=0,0,SUMIFS(LS[Cost of Units Sold],LS[Investor ID],INVESTORS_LIST[[#This Row],[INVESTOR CODE]],LS[B/S],"S"))</f>
        <v>0</v>
      </c>
      <c r="J409" s="48">
        <f>IF(INVESTORS_LIST[[#This Row],[LS_TOTAL CURRENT UNITS]]=0,0,INVESTORS_LIST[[#This Row],[LS_TOTAL CURRENT UNITS]]*INVESTORS_LIST[[#This Row],[LS_AVERAGE COST]])</f>
        <v>0</v>
      </c>
      <c r="K409" s="49">
        <f>IF(INVESTORS_LIST[[#This Row],[LS_TOTAL UNITS SOLD]]=0,0,SUMIFS(LS[Realized Gain],LS[Investor ID],INVESTORS_LIST[[#This Row],[INVESTOR CODE]],LS[B/S],"S"))</f>
        <v>0</v>
      </c>
      <c r="L409" s="47">
        <f>SUMIFS(SIP[Unit],SIP[Investor ID],INVESTORS_LIST[[#This Row],[INVESTOR CODE]],SIP[B/S],"B")</f>
        <v>0</v>
      </c>
      <c r="M409" s="47">
        <f>-SUMIFS(SIP[Unit],SIP[Investor ID],INVESTORS_LIST[[#This Row],[INVESTOR CODE]],SIP[B/S],"S")</f>
        <v>0</v>
      </c>
      <c r="N409" s="50">
        <f>IF(INVESTORS_LIST[[#This Row],[SIP_TOTAL UNITS BUY]]=0,0,INVESTORS_LIST[[#This Row],[SIP_TOTAL UNITS BUY]]-INVESTORS_LIST[[#This Row],[SIP_TOTAL UNITS SOLD]])</f>
        <v>0</v>
      </c>
      <c r="O409" s="49">
        <f>IF(INVESTORS_LIST[[#This Row],[SIP_TOTAL UNITS BUY]]=0,0,SUMIFS(SIP[Amount],SIP[Investor ID],INVESTORS_LIST[[#This Row],[INVESTOR CODE]],SIP[B/S],"B"))</f>
        <v>0</v>
      </c>
      <c r="P409" s="49">
        <f>IF(INVESTORS_LIST[[#This Row],[SIP_TOTAL UNITS SOLD]]=0,0,SUMIFS(SIP[Cost of Units Sold],SIP[Investor ID],INVESTORS_LIST[[#This Row],[INVESTOR CODE]],SIP[B/S],"S"))</f>
        <v>0</v>
      </c>
      <c r="Q409" s="48">
        <f>IF(INVESTORS_LIST[[#This Row],[SIP_TOTAL CURRENT UNITS]]=0,0,INVESTORS_LIST[[#This Row],[SIP_TOTAL CURRENT UNITS]]*INVESTORS_LIST[[#This Row],[SIP_AVERAGE COST]])</f>
        <v>0</v>
      </c>
      <c r="R409" s="48">
        <f>IF(INVESTORS_LIST[[#This Row],[SIP_TOTAL UNITS SOLD]]=0,0,SUMIFS(SIP[Realized Gain],SIP[Investor ID],INVESTORS_LIST[[#This Row],[INVESTOR CODE]],SIP[B/S],"S"))</f>
        <v>0</v>
      </c>
      <c r="S409" s="50">
        <f>INVESTORS_LIST[[#This Row],[LS_TOTAL UNITS BUY]]+INVESTORS_LIST[[#This Row],[SIP_TOTAL UNITS BUY]]</f>
        <v>0</v>
      </c>
      <c r="T409" s="50">
        <f>INVESTORS_LIST[[#This Row],[LS_TOTAL UNITS SOLD]]+INVESTORS_LIST[[#This Row],[SIP_TOTAL UNITS SOLD]]</f>
        <v>0</v>
      </c>
      <c r="U409" s="50"/>
      <c r="V409" s="50">
        <f>SUMIFS(LS[BO UNIT TRANSFER],LS[Investor ID],INVESTORS_LIST[[#This Row],[INVESTOR CODE]],LS[B/S],"B")</f>
        <v>0</v>
      </c>
      <c r="W409" s="50">
        <f>SUMIFS(SIP[BO UNIT TRANSFER],SIP[Investor ID],INVESTORS_LIST[[#This Row],[INVESTOR CODE]],SIP[B/S],"B")</f>
        <v>0</v>
      </c>
      <c r="X409" s="50">
        <f>SUMIFS(LS[BO UNIT TRANSFER],LS[Investor ID],INVESTORS_LIST[[#This Row],[INVESTOR CODE]],LS[B/S],"S")</f>
        <v>0</v>
      </c>
      <c r="Y409" s="50">
        <f>SUMIFS(SIP[BO UNIT TRANSFER],SIP[Investor ID],INVESTORS_LIST[[#This Row],[INVESTOR CODE]],SIP[B/S],"S")</f>
        <v>0</v>
      </c>
      <c r="Z409" s="106">
        <f>SUM(INVESTORS_LIST[[#This Row],[BO OPENING BALANCE]:[BO SIP UNITS REPURCHASE]])</f>
        <v>0</v>
      </c>
      <c r="AA409" s="107">
        <f>INVESTORS_LIST[[#This Row],[TOTAL UNITS BUY]]-INVESTORS_LIST[[#This Row],[TOTAL UNITS SOLD]]</f>
        <v>0</v>
      </c>
      <c r="AB409" s="107">
        <f>INVESTORS_LIST[[#This Row],[TOTAL CURRENT UNITS]]-INVESTORS_LIST[[#This Row],[BO UNITS HOLD]]</f>
        <v>0</v>
      </c>
      <c r="AC409" s="201" t="e">
        <f>INDEX([3]!Table_1[BO ID],MATCH(INVESTORS_LIST[[#This Row],[INVESTOR CODE]],[3]!Table_1[INVESTOR CODE],0))</f>
        <v>#REF!</v>
      </c>
      <c r="AD409" s="201" t="e">
        <f>INDEX([3]!Table_1[Brokerage Name2],MATCH(INVESTORS_LIST[[#This Row],[INVESTOR CODE]],[3]!Table_1[INVESTOR CODE],0))</f>
        <v>#REF!</v>
      </c>
      <c r="AE409" s="201" t="e">
        <f>MID(INVESTORS_LIST[[#This Row],[BO ID]],4,5)</f>
        <v>#REF!</v>
      </c>
      <c r="AF409" s="201" t="e">
        <f>MID(INVESTORS_LIST[[#This Row],[BO ID]],2,7)</f>
        <v>#REF!</v>
      </c>
      <c r="AG409" s="201" t="e">
        <f>MID(INVESTORS_LIST[[#This Row],[BO ID]],9,7)</f>
        <v>#REF!</v>
      </c>
      <c r="AH409" s="201" t="e">
        <f>RIGHT(INVESTORS_LIST[[#This Row],[BO ID]],1)</f>
        <v>#REF!</v>
      </c>
      <c r="AI409" s="50">
        <f>INVESTORS_LIST[[#This Row],[LS_TOTAL COST VALUE OF CURRENT UNITS]]+INVESTORS_LIST[[#This Row],[SIP_TOTAL COST VALUE OF CURRENT UNITS]]</f>
        <v>0</v>
      </c>
      <c r="AJ409" s="109">
        <f>IF(INVESTORS_LIST[[#This Row],[TOTAL CURRENT UNITS]]=0,0,INVESTORS_LIST[[#This Row],[LS_TOTAL CURRENT UNITS]]/INVESTORS_LIST[[#This Row],[TOTAL CURRENT UNITS]])</f>
        <v>0</v>
      </c>
      <c r="AK409" s="109">
        <f>IF(INVESTORS_LIST[[#This Row],[TOTAL CURRENT UNITS]]=0,0,INVESTORS_LIST[[#This Row],[SIP_TOTAL CURRENT UNITS]]/INVESTORS_LIST[[#This Row],[TOTAL CURRENT UNITS]])</f>
        <v>0</v>
      </c>
      <c r="AL409" s="49" cm="1">
        <f t="array" ref="AL4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09" s="49" cm="1">
        <f t="array" ref="AM4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0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09" s="105">
        <f t="shared" si="7"/>
        <v>14.224</v>
      </c>
      <c r="AP409" s="112">
        <f>IF(INVESTORS_LIST[[#This Row],[TOTAL CURRENT UNITS]]=0,0,INVESTORS_LIST[[#This Row],[TOTAL CURRENT UNITS]]*INVESTORS_LIST[[#This Row],[NAV]])</f>
        <v>0</v>
      </c>
      <c r="AQ409" s="49">
        <f>IF(INVESTORS_LIST[[#This Row],[LS_TOTAL CURRENT UNITS]]=0,0,INVESTORS_LIST[[#This Row],[LS_TOTAL CURRENT UNITS]]*INVESTORS_LIST[[#This Row],[NAV]])</f>
        <v>0</v>
      </c>
      <c r="AR409" s="48">
        <f>IF(INVESTORS_LIST[[#This Row],[SIP_TOTAL CURRENT UNITS]]=0,0,INVESTORS_LIST[[#This Row],[SIP_TOTAL CURRENT UNITS]]*INVESTORS_LIST[[#This Row],[NAV]])</f>
        <v>0</v>
      </c>
      <c r="AS409" s="50">
        <f>INVESTORS_LIST[[#This Row],[TOTAL CURRENT UNITS]]</f>
        <v>0</v>
      </c>
      <c r="AT409" s="48">
        <f>IF(INVESTORS_LIST[[#This Row],[TOTAL SELLABLE UNITS]]=0,0,INVESTORS_LIST[[#This Row],[TOTAL SELLABLE UNITS]]*INVESTORS_LIST[[#This Row],[NAV]])</f>
        <v>0</v>
      </c>
      <c r="AU409" s="48">
        <f>INVESTORS_LIST[[#This Row],[LS_TOTAL REALIZED GAIN]]+INVESTORS_LIST[[#This Row],[SIP_TOTAL REALIZED GAIN]]</f>
        <v>0</v>
      </c>
      <c r="AV409" s="48">
        <f>INVESTORS_LIST[[#This Row],[TOTAL MARKET VALUE]]-INVESTORS_LIST[[#This Row],[TOTAL COST VALUE OF CURRENT INVESTMENT]]</f>
        <v>0</v>
      </c>
      <c r="AW409" s="48">
        <f>IFERROR(INVESTORS_LIST[[#This Row],[TOTAL CURRENT UNITS]]/SUM(INVESTORS_LIST[TOTAL CURRENT UNITS]),0)</f>
        <v>0</v>
      </c>
    </row>
    <row r="410" spans="1:49" hidden="1">
      <c r="A410" s="262" t="s">
        <v>865</v>
      </c>
      <c r="B410" s="97" t="s">
        <v>866</v>
      </c>
      <c r="C410" t="s">
        <v>44</v>
      </c>
      <c r="D410" s="75" t="s">
        <v>45</v>
      </c>
      <c r="E410" s="47">
        <f>SUMIFS(LS[Unit],LS[Investor ID],INVESTORS_LIST[[#This Row],[INVESTOR CODE]],LS[B/S],"B")</f>
        <v>0</v>
      </c>
      <c r="F410" s="47">
        <f>-SUMIFS(LS[Unit],LS[Investor ID],INVESTORS_LIST[[#This Row],[INVESTOR CODE]],LS[B/S],"S")</f>
        <v>0</v>
      </c>
      <c r="G410" s="47">
        <f>IF(INVESTORS_LIST[[#This Row],[LS_TOTAL UNITS BUY]]=0,0,INVESTORS_LIST[[#This Row],[LS_TOTAL UNITS BUY]]-INVESTORS_LIST[[#This Row],[LS_TOTAL UNITS SOLD]])</f>
        <v>0</v>
      </c>
      <c r="H410" s="49">
        <f>IF(INVESTORS_LIST[[#This Row],[LS_TOTAL UNITS BUY]]=0,0,SUMIFS(LS[Amount],LS[Investor ID],INVESTORS_LIST[[#This Row],[INVESTOR CODE]],LS[B/S],"B"))</f>
        <v>0</v>
      </c>
      <c r="I410" s="48">
        <f>IF(INVESTORS_LIST[[#This Row],[LS_TOTAL UNITS SOLD]]=0,0,SUMIFS(LS[Cost of Units Sold],LS[Investor ID],INVESTORS_LIST[[#This Row],[INVESTOR CODE]],LS[B/S],"S"))</f>
        <v>0</v>
      </c>
      <c r="J410" s="48">
        <f>IF(INVESTORS_LIST[[#This Row],[LS_TOTAL CURRENT UNITS]]=0,0,INVESTORS_LIST[[#This Row],[LS_TOTAL CURRENT UNITS]]*INVESTORS_LIST[[#This Row],[LS_AVERAGE COST]])</f>
        <v>0</v>
      </c>
      <c r="K410" s="49">
        <f>IF(INVESTORS_LIST[[#This Row],[LS_TOTAL UNITS SOLD]]=0,0,SUMIFS(LS[Realized Gain],LS[Investor ID],INVESTORS_LIST[[#This Row],[INVESTOR CODE]],LS[B/S],"S"))</f>
        <v>0</v>
      </c>
      <c r="L410" s="47">
        <f>SUMIFS(SIP[Unit],SIP[Investor ID],INVESTORS_LIST[[#This Row],[INVESTOR CODE]],SIP[B/S],"B")</f>
        <v>0</v>
      </c>
      <c r="M410" s="47">
        <f>-SUMIFS(SIP[Unit],SIP[Investor ID],INVESTORS_LIST[[#This Row],[INVESTOR CODE]],SIP[B/S],"S")</f>
        <v>0</v>
      </c>
      <c r="N410" s="50">
        <f>IF(INVESTORS_LIST[[#This Row],[SIP_TOTAL UNITS BUY]]=0,0,INVESTORS_LIST[[#This Row],[SIP_TOTAL UNITS BUY]]-INVESTORS_LIST[[#This Row],[SIP_TOTAL UNITS SOLD]])</f>
        <v>0</v>
      </c>
      <c r="O410" s="49">
        <f>IF(INVESTORS_LIST[[#This Row],[SIP_TOTAL UNITS BUY]]=0,0,SUMIFS(SIP[Amount],SIP[Investor ID],INVESTORS_LIST[[#This Row],[INVESTOR CODE]],SIP[B/S],"B"))</f>
        <v>0</v>
      </c>
      <c r="P410" s="49">
        <f>IF(INVESTORS_LIST[[#This Row],[SIP_TOTAL UNITS SOLD]]=0,0,SUMIFS(SIP[Cost of Units Sold],SIP[Investor ID],INVESTORS_LIST[[#This Row],[INVESTOR CODE]],SIP[B/S],"S"))</f>
        <v>0</v>
      </c>
      <c r="Q410" s="48">
        <f>IF(INVESTORS_LIST[[#This Row],[SIP_TOTAL CURRENT UNITS]]=0,0,INVESTORS_LIST[[#This Row],[SIP_TOTAL CURRENT UNITS]]*INVESTORS_LIST[[#This Row],[SIP_AVERAGE COST]])</f>
        <v>0</v>
      </c>
      <c r="R410" s="48">
        <f>IF(INVESTORS_LIST[[#This Row],[SIP_TOTAL UNITS SOLD]]=0,0,SUMIFS(SIP[Realized Gain],SIP[Investor ID],INVESTORS_LIST[[#This Row],[INVESTOR CODE]],SIP[B/S],"S"))</f>
        <v>0</v>
      </c>
      <c r="S410" s="50">
        <f>INVESTORS_LIST[[#This Row],[LS_TOTAL UNITS BUY]]+INVESTORS_LIST[[#This Row],[SIP_TOTAL UNITS BUY]]</f>
        <v>0</v>
      </c>
      <c r="T410" s="50">
        <f>INVESTORS_LIST[[#This Row],[LS_TOTAL UNITS SOLD]]+INVESTORS_LIST[[#This Row],[SIP_TOTAL UNITS SOLD]]</f>
        <v>0</v>
      </c>
      <c r="U410" s="50"/>
      <c r="V410" s="50">
        <f>SUMIFS(LS[BO UNIT TRANSFER],LS[Investor ID],INVESTORS_LIST[[#This Row],[INVESTOR CODE]],LS[B/S],"B")</f>
        <v>0</v>
      </c>
      <c r="W410" s="50">
        <f>SUMIFS(SIP[BO UNIT TRANSFER],SIP[Investor ID],INVESTORS_LIST[[#This Row],[INVESTOR CODE]],SIP[B/S],"B")</f>
        <v>0</v>
      </c>
      <c r="X410" s="50">
        <f>SUMIFS(LS[BO UNIT TRANSFER],LS[Investor ID],INVESTORS_LIST[[#This Row],[INVESTOR CODE]],LS[B/S],"S")</f>
        <v>0</v>
      </c>
      <c r="Y410" s="50">
        <f>SUMIFS(SIP[BO UNIT TRANSFER],SIP[Investor ID],INVESTORS_LIST[[#This Row],[INVESTOR CODE]],SIP[B/S],"S")</f>
        <v>0</v>
      </c>
      <c r="Z410" s="106">
        <f>SUM(INVESTORS_LIST[[#This Row],[BO OPENING BALANCE]:[BO SIP UNITS REPURCHASE]])</f>
        <v>0</v>
      </c>
      <c r="AA410" s="107">
        <f>INVESTORS_LIST[[#This Row],[TOTAL UNITS BUY]]-INVESTORS_LIST[[#This Row],[TOTAL UNITS SOLD]]</f>
        <v>0</v>
      </c>
      <c r="AB410" s="107">
        <f>INVESTORS_LIST[[#This Row],[TOTAL CURRENT UNITS]]-INVESTORS_LIST[[#This Row],[BO UNITS HOLD]]</f>
        <v>0</v>
      </c>
      <c r="AC410" s="201" t="e">
        <f>INDEX([3]!Table_1[BO ID],MATCH(INVESTORS_LIST[[#This Row],[INVESTOR CODE]],[3]!Table_1[INVESTOR CODE],0))</f>
        <v>#REF!</v>
      </c>
      <c r="AD410" s="201" t="e">
        <f>INDEX([3]!Table_1[Brokerage Name2],MATCH(INVESTORS_LIST[[#This Row],[INVESTOR CODE]],[3]!Table_1[INVESTOR CODE],0))</f>
        <v>#REF!</v>
      </c>
      <c r="AE410" s="201" t="e">
        <f>MID(INVESTORS_LIST[[#This Row],[BO ID]],4,5)</f>
        <v>#REF!</v>
      </c>
      <c r="AF410" s="201" t="e">
        <f>MID(INVESTORS_LIST[[#This Row],[BO ID]],2,7)</f>
        <v>#REF!</v>
      </c>
      <c r="AG410" s="201" t="e">
        <f>MID(INVESTORS_LIST[[#This Row],[BO ID]],9,7)</f>
        <v>#REF!</v>
      </c>
      <c r="AH410" s="201" t="e">
        <f>RIGHT(INVESTORS_LIST[[#This Row],[BO ID]],1)</f>
        <v>#REF!</v>
      </c>
      <c r="AI410" s="50">
        <f>INVESTORS_LIST[[#This Row],[LS_TOTAL COST VALUE OF CURRENT UNITS]]+INVESTORS_LIST[[#This Row],[SIP_TOTAL COST VALUE OF CURRENT UNITS]]</f>
        <v>0</v>
      </c>
      <c r="AJ410" s="109">
        <f>IF(INVESTORS_LIST[[#This Row],[TOTAL CURRENT UNITS]]=0,0,INVESTORS_LIST[[#This Row],[LS_TOTAL CURRENT UNITS]]/INVESTORS_LIST[[#This Row],[TOTAL CURRENT UNITS]])</f>
        <v>0</v>
      </c>
      <c r="AK410" s="109">
        <f>IF(INVESTORS_LIST[[#This Row],[TOTAL CURRENT UNITS]]=0,0,INVESTORS_LIST[[#This Row],[SIP_TOTAL CURRENT UNITS]]/INVESTORS_LIST[[#This Row],[TOTAL CURRENT UNITS]])</f>
        <v>0</v>
      </c>
      <c r="AL410" s="49" cm="1">
        <f t="array" ref="AL4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0" s="49" cm="1">
        <f t="array" ref="AM4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0" s="105">
        <f t="shared" si="7"/>
        <v>14.224</v>
      </c>
      <c r="AP410" s="112">
        <f>IF(INVESTORS_LIST[[#This Row],[TOTAL CURRENT UNITS]]=0,0,INVESTORS_LIST[[#This Row],[TOTAL CURRENT UNITS]]*INVESTORS_LIST[[#This Row],[NAV]])</f>
        <v>0</v>
      </c>
      <c r="AQ410" s="49">
        <f>IF(INVESTORS_LIST[[#This Row],[LS_TOTAL CURRENT UNITS]]=0,0,INVESTORS_LIST[[#This Row],[LS_TOTAL CURRENT UNITS]]*INVESTORS_LIST[[#This Row],[NAV]])</f>
        <v>0</v>
      </c>
      <c r="AR410" s="48">
        <f>IF(INVESTORS_LIST[[#This Row],[SIP_TOTAL CURRENT UNITS]]=0,0,INVESTORS_LIST[[#This Row],[SIP_TOTAL CURRENT UNITS]]*INVESTORS_LIST[[#This Row],[NAV]])</f>
        <v>0</v>
      </c>
      <c r="AS410" s="50">
        <f>INVESTORS_LIST[[#This Row],[TOTAL CURRENT UNITS]]</f>
        <v>0</v>
      </c>
      <c r="AT410" s="48">
        <f>IF(INVESTORS_LIST[[#This Row],[TOTAL SELLABLE UNITS]]=0,0,INVESTORS_LIST[[#This Row],[TOTAL SELLABLE UNITS]]*INVESTORS_LIST[[#This Row],[NAV]])</f>
        <v>0</v>
      </c>
      <c r="AU410" s="48">
        <f>INVESTORS_LIST[[#This Row],[LS_TOTAL REALIZED GAIN]]+INVESTORS_LIST[[#This Row],[SIP_TOTAL REALIZED GAIN]]</f>
        <v>0</v>
      </c>
      <c r="AV410" s="48">
        <f>INVESTORS_LIST[[#This Row],[TOTAL MARKET VALUE]]-INVESTORS_LIST[[#This Row],[TOTAL COST VALUE OF CURRENT INVESTMENT]]</f>
        <v>0</v>
      </c>
      <c r="AW410" s="48">
        <f>IFERROR(INVESTORS_LIST[[#This Row],[TOTAL CURRENT UNITS]]/SUM(INVESTORS_LIST[TOTAL CURRENT UNITS]),0)</f>
        <v>0</v>
      </c>
    </row>
    <row r="411" spans="1:49" hidden="1">
      <c r="A411" s="262" t="s">
        <v>867</v>
      </c>
      <c r="B411" s="97" t="s">
        <v>868</v>
      </c>
      <c r="C411" t="s">
        <v>44</v>
      </c>
      <c r="D411" s="75" t="s">
        <v>45</v>
      </c>
      <c r="E411" s="47">
        <f>SUMIFS(LS[Unit],LS[Investor ID],INVESTORS_LIST[[#This Row],[INVESTOR CODE]],LS[B/S],"B")</f>
        <v>0</v>
      </c>
      <c r="F411" s="47">
        <f>-SUMIFS(LS[Unit],LS[Investor ID],INVESTORS_LIST[[#This Row],[INVESTOR CODE]],LS[B/S],"S")</f>
        <v>0</v>
      </c>
      <c r="G411" s="47">
        <f>IF(INVESTORS_LIST[[#This Row],[LS_TOTAL UNITS BUY]]=0,0,INVESTORS_LIST[[#This Row],[LS_TOTAL UNITS BUY]]-INVESTORS_LIST[[#This Row],[LS_TOTAL UNITS SOLD]])</f>
        <v>0</v>
      </c>
      <c r="H411" s="49">
        <f>IF(INVESTORS_LIST[[#This Row],[LS_TOTAL UNITS BUY]]=0,0,SUMIFS(LS[Amount],LS[Investor ID],INVESTORS_LIST[[#This Row],[INVESTOR CODE]],LS[B/S],"B"))</f>
        <v>0</v>
      </c>
      <c r="I411" s="48">
        <f>IF(INVESTORS_LIST[[#This Row],[LS_TOTAL UNITS SOLD]]=0,0,SUMIFS(LS[Cost of Units Sold],LS[Investor ID],INVESTORS_LIST[[#This Row],[INVESTOR CODE]],LS[B/S],"S"))</f>
        <v>0</v>
      </c>
      <c r="J411" s="48">
        <f>IF(INVESTORS_LIST[[#This Row],[LS_TOTAL CURRENT UNITS]]=0,0,INVESTORS_LIST[[#This Row],[LS_TOTAL CURRENT UNITS]]*INVESTORS_LIST[[#This Row],[LS_AVERAGE COST]])</f>
        <v>0</v>
      </c>
      <c r="K411" s="49">
        <f>IF(INVESTORS_LIST[[#This Row],[LS_TOTAL UNITS SOLD]]=0,0,SUMIFS(LS[Realized Gain],LS[Investor ID],INVESTORS_LIST[[#This Row],[INVESTOR CODE]],LS[B/S],"S"))</f>
        <v>0</v>
      </c>
      <c r="L411" s="47">
        <f>SUMIFS(SIP[Unit],SIP[Investor ID],INVESTORS_LIST[[#This Row],[INVESTOR CODE]],SIP[B/S],"B")</f>
        <v>0</v>
      </c>
      <c r="M411" s="47">
        <f>-SUMIFS(SIP[Unit],SIP[Investor ID],INVESTORS_LIST[[#This Row],[INVESTOR CODE]],SIP[B/S],"S")</f>
        <v>0</v>
      </c>
      <c r="N411" s="50">
        <f>IF(INVESTORS_LIST[[#This Row],[SIP_TOTAL UNITS BUY]]=0,0,INVESTORS_LIST[[#This Row],[SIP_TOTAL UNITS BUY]]-INVESTORS_LIST[[#This Row],[SIP_TOTAL UNITS SOLD]])</f>
        <v>0</v>
      </c>
      <c r="O411" s="49">
        <f>IF(INVESTORS_LIST[[#This Row],[SIP_TOTAL UNITS BUY]]=0,0,SUMIFS(SIP[Amount],SIP[Investor ID],INVESTORS_LIST[[#This Row],[INVESTOR CODE]],SIP[B/S],"B"))</f>
        <v>0</v>
      </c>
      <c r="P411" s="49">
        <f>IF(INVESTORS_LIST[[#This Row],[SIP_TOTAL UNITS SOLD]]=0,0,SUMIFS(SIP[Cost of Units Sold],SIP[Investor ID],INVESTORS_LIST[[#This Row],[INVESTOR CODE]],SIP[B/S],"S"))</f>
        <v>0</v>
      </c>
      <c r="Q411" s="48">
        <f>IF(INVESTORS_LIST[[#This Row],[SIP_TOTAL CURRENT UNITS]]=0,0,INVESTORS_LIST[[#This Row],[SIP_TOTAL CURRENT UNITS]]*INVESTORS_LIST[[#This Row],[SIP_AVERAGE COST]])</f>
        <v>0</v>
      </c>
      <c r="R411" s="48">
        <f>IF(INVESTORS_LIST[[#This Row],[SIP_TOTAL UNITS SOLD]]=0,0,SUMIFS(SIP[Realized Gain],SIP[Investor ID],INVESTORS_LIST[[#This Row],[INVESTOR CODE]],SIP[B/S],"S"))</f>
        <v>0</v>
      </c>
      <c r="S411" s="50">
        <f>INVESTORS_LIST[[#This Row],[LS_TOTAL UNITS BUY]]+INVESTORS_LIST[[#This Row],[SIP_TOTAL UNITS BUY]]</f>
        <v>0</v>
      </c>
      <c r="T411" s="50">
        <f>INVESTORS_LIST[[#This Row],[LS_TOTAL UNITS SOLD]]+INVESTORS_LIST[[#This Row],[SIP_TOTAL UNITS SOLD]]</f>
        <v>0</v>
      </c>
      <c r="U411" s="50"/>
      <c r="V411" s="50">
        <f>SUMIFS(LS[BO UNIT TRANSFER],LS[Investor ID],INVESTORS_LIST[[#This Row],[INVESTOR CODE]],LS[B/S],"B")</f>
        <v>0</v>
      </c>
      <c r="W411" s="50">
        <f>SUMIFS(SIP[BO UNIT TRANSFER],SIP[Investor ID],INVESTORS_LIST[[#This Row],[INVESTOR CODE]],SIP[B/S],"B")</f>
        <v>0</v>
      </c>
      <c r="X411" s="50">
        <f>SUMIFS(LS[BO UNIT TRANSFER],LS[Investor ID],INVESTORS_LIST[[#This Row],[INVESTOR CODE]],LS[B/S],"S")</f>
        <v>0</v>
      </c>
      <c r="Y411" s="50">
        <f>SUMIFS(SIP[BO UNIT TRANSFER],SIP[Investor ID],INVESTORS_LIST[[#This Row],[INVESTOR CODE]],SIP[B/S],"S")</f>
        <v>0</v>
      </c>
      <c r="Z411" s="106">
        <f>SUM(INVESTORS_LIST[[#This Row],[BO OPENING BALANCE]:[BO SIP UNITS REPURCHASE]])</f>
        <v>0</v>
      </c>
      <c r="AA411" s="107">
        <f>INVESTORS_LIST[[#This Row],[TOTAL UNITS BUY]]-INVESTORS_LIST[[#This Row],[TOTAL UNITS SOLD]]</f>
        <v>0</v>
      </c>
      <c r="AB411" s="107">
        <f>INVESTORS_LIST[[#This Row],[TOTAL CURRENT UNITS]]-INVESTORS_LIST[[#This Row],[BO UNITS HOLD]]</f>
        <v>0</v>
      </c>
      <c r="AC411" s="201" t="e">
        <f>INDEX([3]!Table_1[BO ID],MATCH(INVESTORS_LIST[[#This Row],[INVESTOR CODE]],[3]!Table_1[INVESTOR CODE],0))</f>
        <v>#REF!</v>
      </c>
      <c r="AD411" s="201" t="e">
        <f>INDEX([3]!Table_1[Brokerage Name2],MATCH(INVESTORS_LIST[[#This Row],[INVESTOR CODE]],[3]!Table_1[INVESTOR CODE],0))</f>
        <v>#REF!</v>
      </c>
      <c r="AE411" s="201" t="e">
        <f>MID(INVESTORS_LIST[[#This Row],[BO ID]],4,5)</f>
        <v>#REF!</v>
      </c>
      <c r="AF411" s="201" t="e">
        <f>MID(INVESTORS_LIST[[#This Row],[BO ID]],2,7)</f>
        <v>#REF!</v>
      </c>
      <c r="AG411" s="201" t="e">
        <f>MID(INVESTORS_LIST[[#This Row],[BO ID]],9,7)</f>
        <v>#REF!</v>
      </c>
      <c r="AH411" s="201" t="e">
        <f>RIGHT(INVESTORS_LIST[[#This Row],[BO ID]],1)</f>
        <v>#REF!</v>
      </c>
      <c r="AI411" s="50">
        <f>INVESTORS_LIST[[#This Row],[LS_TOTAL COST VALUE OF CURRENT UNITS]]+INVESTORS_LIST[[#This Row],[SIP_TOTAL COST VALUE OF CURRENT UNITS]]</f>
        <v>0</v>
      </c>
      <c r="AJ411" s="109">
        <f>IF(INVESTORS_LIST[[#This Row],[TOTAL CURRENT UNITS]]=0,0,INVESTORS_LIST[[#This Row],[LS_TOTAL CURRENT UNITS]]/INVESTORS_LIST[[#This Row],[TOTAL CURRENT UNITS]])</f>
        <v>0</v>
      </c>
      <c r="AK411" s="109">
        <f>IF(INVESTORS_LIST[[#This Row],[TOTAL CURRENT UNITS]]=0,0,INVESTORS_LIST[[#This Row],[SIP_TOTAL CURRENT UNITS]]/INVESTORS_LIST[[#This Row],[TOTAL CURRENT UNITS]])</f>
        <v>0</v>
      </c>
      <c r="AL411" s="49" cm="1">
        <f t="array" ref="AL4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1" s="49" cm="1">
        <f t="array" ref="AM4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1" s="105">
        <f t="shared" si="7"/>
        <v>14.224</v>
      </c>
      <c r="AP411" s="112">
        <f>IF(INVESTORS_LIST[[#This Row],[TOTAL CURRENT UNITS]]=0,0,INVESTORS_LIST[[#This Row],[TOTAL CURRENT UNITS]]*INVESTORS_LIST[[#This Row],[NAV]])</f>
        <v>0</v>
      </c>
      <c r="AQ411" s="49">
        <f>IF(INVESTORS_LIST[[#This Row],[LS_TOTAL CURRENT UNITS]]=0,0,INVESTORS_LIST[[#This Row],[LS_TOTAL CURRENT UNITS]]*INVESTORS_LIST[[#This Row],[NAV]])</f>
        <v>0</v>
      </c>
      <c r="AR411" s="48">
        <f>IF(INVESTORS_LIST[[#This Row],[SIP_TOTAL CURRENT UNITS]]=0,0,INVESTORS_LIST[[#This Row],[SIP_TOTAL CURRENT UNITS]]*INVESTORS_LIST[[#This Row],[NAV]])</f>
        <v>0</v>
      </c>
      <c r="AS411" s="50">
        <f>INVESTORS_LIST[[#This Row],[TOTAL CURRENT UNITS]]</f>
        <v>0</v>
      </c>
      <c r="AT411" s="48">
        <f>IF(INVESTORS_LIST[[#This Row],[TOTAL SELLABLE UNITS]]=0,0,INVESTORS_LIST[[#This Row],[TOTAL SELLABLE UNITS]]*INVESTORS_LIST[[#This Row],[NAV]])</f>
        <v>0</v>
      </c>
      <c r="AU411" s="48">
        <f>INVESTORS_LIST[[#This Row],[LS_TOTAL REALIZED GAIN]]+INVESTORS_LIST[[#This Row],[SIP_TOTAL REALIZED GAIN]]</f>
        <v>0</v>
      </c>
      <c r="AV411" s="48">
        <f>INVESTORS_LIST[[#This Row],[TOTAL MARKET VALUE]]-INVESTORS_LIST[[#This Row],[TOTAL COST VALUE OF CURRENT INVESTMENT]]</f>
        <v>0</v>
      </c>
      <c r="AW411" s="48">
        <f>IFERROR(INVESTORS_LIST[[#This Row],[TOTAL CURRENT UNITS]]/SUM(INVESTORS_LIST[TOTAL CURRENT UNITS]),0)</f>
        <v>0</v>
      </c>
    </row>
    <row r="412" spans="1:49" hidden="1">
      <c r="A412" s="262" t="s">
        <v>869</v>
      </c>
      <c r="B412" s="97" t="s">
        <v>870</v>
      </c>
      <c r="C412" t="s">
        <v>44</v>
      </c>
      <c r="D412" s="75" t="s">
        <v>45</v>
      </c>
      <c r="E412" s="47">
        <f>SUMIFS(LS[Unit],LS[Investor ID],INVESTORS_LIST[[#This Row],[INVESTOR CODE]],LS[B/S],"B")</f>
        <v>11359</v>
      </c>
      <c r="F412" s="47">
        <f>-SUMIFS(LS[Unit],LS[Investor ID],INVESTORS_LIST[[#This Row],[INVESTOR CODE]],LS[B/S],"S")</f>
        <v>11359</v>
      </c>
      <c r="G412" s="47">
        <f>IF(INVESTORS_LIST[[#This Row],[LS_TOTAL UNITS BUY]]=0,0,INVESTORS_LIST[[#This Row],[LS_TOTAL UNITS BUY]]-INVESTORS_LIST[[#This Row],[LS_TOTAL UNITS SOLD]])</f>
        <v>0</v>
      </c>
      <c r="H412" s="49">
        <f>IF(INVESTORS_LIST[[#This Row],[LS_TOTAL UNITS BUY]]=0,0,SUMIFS(LS[Amount],LS[Investor ID],INVESTORS_LIST[[#This Row],[INVESTOR CODE]],LS[B/S],"B"))</f>
        <v>120000</v>
      </c>
      <c r="I412" s="48">
        <f>IF(INVESTORS_LIST[[#This Row],[LS_TOTAL UNITS SOLD]]=0,0,SUMIFS(LS[Cost of Units Sold],LS[Investor ID],INVESTORS_LIST[[#This Row],[INVESTOR CODE]],LS[B/S],"S"))</f>
        <v>120000</v>
      </c>
      <c r="J412" s="48">
        <f>IF(INVESTORS_LIST[[#This Row],[LS_TOTAL CURRENT UNITS]]=0,0,INVESTORS_LIST[[#This Row],[LS_TOTAL CURRENT UNITS]]*INVESTORS_LIST[[#This Row],[LS_AVERAGE COST]])</f>
        <v>0</v>
      </c>
      <c r="K412" s="49">
        <f>IF(INVESTORS_LIST[[#This Row],[LS_TOTAL UNITS SOLD]]=0,0,SUMIFS(LS[Realized Gain],LS[Investor ID],INVESTORS_LIST[[#This Row],[INVESTOR CODE]],LS[B/S],"S"))</f>
        <v>3869.8999999999974</v>
      </c>
      <c r="L412" s="47">
        <f>SUMIFS(SIP[Unit],SIP[Investor ID],INVESTORS_LIST[[#This Row],[INVESTOR CODE]],SIP[B/S],"B")</f>
        <v>0</v>
      </c>
      <c r="M412" s="47">
        <f>-SUMIFS(SIP[Unit],SIP[Investor ID],INVESTORS_LIST[[#This Row],[INVESTOR CODE]],SIP[B/S],"S")</f>
        <v>0</v>
      </c>
      <c r="N412" s="50">
        <f>IF(INVESTORS_LIST[[#This Row],[SIP_TOTAL UNITS BUY]]=0,0,INVESTORS_LIST[[#This Row],[SIP_TOTAL UNITS BUY]]-INVESTORS_LIST[[#This Row],[SIP_TOTAL UNITS SOLD]])</f>
        <v>0</v>
      </c>
      <c r="O412" s="49">
        <f>IF(INVESTORS_LIST[[#This Row],[SIP_TOTAL UNITS BUY]]=0,0,SUMIFS(SIP[Amount],SIP[Investor ID],INVESTORS_LIST[[#This Row],[INVESTOR CODE]],SIP[B/S],"B"))</f>
        <v>0</v>
      </c>
      <c r="P412" s="49">
        <f>IF(INVESTORS_LIST[[#This Row],[SIP_TOTAL UNITS SOLD]]=0,0,SUMIFS(SIP[Cost of Units Sold],SIP[Investor ID],INVESTORS_LIST[[#This Row],[INVESTOR CODE]],SIP[B/S],"S"))</f>
        <v>0</v>
      </c>
      <c r="Q412" s="48">
        <f>IF(INVESTORS_LIST[[#This Row],[SIP_TOTAL CURRENT UNITS]]=0,0,INVESTORS_LIST[[#This Row],[SIP_TOTAL CURRENT UNITS]]*INVESTORS_LIST[[#This Row],[SIP_AVERAGE COST]])</f>
        <v>0</v>
      </c>
      <c r="R412" s="48">
        <f>IF(INVESTORS_LIST[[#This Row],[SIP_TOTAL UNITS SOLD]]=0,0,SUMIFS(SIP[Realized Gain],SIP[Investor ID],INVESTORS_LIST[[#This Row],[INVESTOR CODE]],SIP[B/S],"S"))</f>
        <v>0</v>
      </c>
      <c r="S412" s="50">
        <f>INVESTORS_LIST[[#This Row],[LS_TOTAL UNITS BUY]]+INVESTORS_LIST[[#This Row],[SIP_TOTAL UNITS BUY]]</f>
        <v>11359</v>
      </c>
      <c r="T412" s="50">
        <f>INVESTORS_LIST[[#This Row],[LS_TOTAL UNITS SOLD]]+INVESTORS_LIST[[#This Row],[SIP_TOTAL UNITS SOLD]]</f>
        <v>11359</v>
      </c>
      <c r="U412" s="50"/>
      <c r="V412" s="50">
        <f>SUMIFS(LS[BO UNIT TRANSFER],LS[Investor ID],INVESTORS_LIST[[#This Row],[INVESTOR CODE]],LS[B/S],"B")</f>
        <v>0</v>
      </c>
      <c r="W412" s="50">
        <f>SUMIFS(SIP[BO UNIT TRANSFER],SIP[Investor ID],INVESTORS_LIST[[#This Row],[INVESTOR CODE]],SIP[B/S],"B")</f>
        <v>0</v>
      </c>
      <c r="X412" s="50">
        <f>SUMIFS(LS[BO UNIT TRANSFER],LS[Investor ID],INVESTORS_LIST[[#This Row],[INVESTOR CODE]],LS[B/S],"S")</f>
        <v>0</v>
      </c>
      <c r="Y412" s="50">
        <f>SUMIFS(SIP[BO UNIT TRANSFER],SIP[Investor ID],INVESTORS_LIST[[#This Row],[INVESTOR CODE]],SIP[B/S],"S")</f>
        <v>0</v>
      </c>
      <c r="Z412" s="106">
        <f>SUM(INVESTORS_LIST[[#This Row],[BO OPENING BALANCE]:[BO SIP UNITS REPURCHASE]])</f>
        <v>0</v>
      </c>
      <c r="AA412" s="107">
        <f>INVESTORS_LIST[[#This Row],[TOTAL UNITS BUY]]-INVESTORS_LIST[[#This Row],[TOTAL UNITS SOLD]]</f>
        <v>0</v>
      </c>
      <c r="AB412" s="107">
        <f>INVESTORS_LIST[[#This Row],[TOTAL CURRENT UNITS]]-INVESTORS_LIST[[#This Row],[BO UNITS HOLD]]</f>
        <v>0</v>
      </c>
      <c r="AC412" s="201" t="e">
        <f>INDEX([3]!Table_1[BO ID],MATCH(INVESTORS_LIST[[#This Row],[INVESTOR CODE]],[3]!Table_1[INVESTOR CODE],0))</f>
        <v>#REF!</v>
      </c>
      <c r="AD412" s="201" t="e">
        <f>INDEX([3]!Table_1[Brokerage Name2],MATCH(INVESTORS_LIST[[#This Row],[INVESTOR CODE]],[3]!Table_1[INVESTOR CODE],0))</f>
        <v>#REF!</v>
      </c>
      <c r="AE412" s="201" t="e">
        <f>MID(INVESTORS_LIST[[#This Row],[BO ID]],4,5)</f>
        <v>#REF!</v>
      </c>
      <c r="AF412" s="201" t="e">
        <f>MID(INVESTORS_LIST[[#This Row],[BO ID]],2,7)</f>
        <v>#REF!</v>
      </c>
      <c r="AG412" s="201" t="e">
        <f>MID(INVESTORS_LIST[[#This Row],[BO ID]],9,7)</f>
        <v>#REF!</v>
      </c>
      <c r="AH412" s="201" t="e">
        <f>RIGHT(INVESTORS_LIST[[#This Row],[BO ID]],1)</f>
        <v>#REF!</v>
      </c>
      <c r="AI412" s="50">
        <f>INVESTORS_LIST[[#This Row],[LS_TOTAL COST VALUE OF CURRENT UNITS]]+INVESTORS_LIST[[#This Row],[SIP_TOTAL COST VALUE OF CURRENT UNITS]]</f>
        <v>0</v>
      </c>
      <c r="AJ412" s="109">
        <f>IF(INVESTORS_LIST[[#This Row],[TOTAL CURRENT UNITS]]=0,0,INVESTORS_LIST[[#This Row],[LS_TOTAL CURRENT UNITS]]/INVESTORS_LIST[[#This Row],[TOTAL CURRENT UNITS]])</f>
        <v>0</v>
      </c>
      <c r="AK412" s="109">
        <f>IF(INVESTORS_LIST[[#This Row],[TOTAL CURRENT UNITS]]=0,0,INVESTORS_LIST[[#This Row],[SIP_TOTAL CURRENT UNITS]]/INVESTORS_LIST[[#This Row],[TOTAL CURRENT UNITS]])</f>
        <v>0</v>
      </c>
      <c r="AL412" s="49" cm="1">
        <f t="array" ref="AL4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2" s="49" cm="1">
        <f t="array" ref="AM4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2" s="105">
        <f t="shared" si="7"/>
        <v>14.224</v>
      </c>
      <c r="AP412" s="112">
        <f>IF(INVESTORS_LIST[[#This Row],[TOTAL CURRENT UNITS]]=0,0,INVESTORS_LIST[[#This Row],[TOTAL CURRENT UNITS]]*INVESTORS_LIST[[#This Row],[NAV]])</f>
        <v>0</v>
      </c>
      <c r="AQ412" s="49">
        <f>IF(INVESTORS_LIST[[#This Row],[LS_TOTAL CURRENT UNITS]]=0,0,INVESTORS_LIST[[#This Row],[LS_TOTAL CURRENT UNITS]]*INVESTORS_LIST[[#This Row],[NAV]])</f>
        <v>0</v>
      </c>
      <c r="AR412" s="48">
        <f>IF(INVESTORS_LIST[[#This Row],[SIP_TOTAL CURRENT UNITS]]=0,0,INVESTORS_LIST[[#This Row],[SIP_TOTAL CURRENT UNITS]]*INVESTORS_LIST[[#This Row],[NAV]])</f>
        <v>0</v>
      </c>
      <c r="AS412" s="50">
        <f>INVESTORS_LIST[[#This Row],[TOTAL CURRENT UNITS]]</f>
        <v>0</v>
      </c>
      <c r="AT412" s="48">
        <f>IF(INVESTORS_LIST[[#This Row],[TOTAL SELLABLE UNITS]]=0,0,INVESTORS_LIST[[#This Row],[TOTAL SELLABLE UNITS]]*INVESTORS_LIST[[#This Row],[NAV]])</f>
        <v>0</v>
      </c>
      <c r="AU412" s="48">
        <f>INVESTORS_LIST[[#This Row],[LS_TOTAL REALIZED GAIN]]+INVESTORS_LIST[[#This Row],[SIP_TOTAL REALIZED GAIN]]</f>
        <v>3869.8999999999974</v>
      </c>
      <c r="AV412" s="48">
        <f>INVESTORS_LIST[[#This Row],[TOTAL MARKET VALUE]]-INVESTORS_LIST[[#This Row],[TOTAL COST VALUE OF CURRENT INVESTMENT]]</f>
        <v>0</v>
      </c>
      <c r="AW412" s="48">
        <f>IFERROR(INVESTORS_LIST[[#This Row],[TOTAL CURRENT UNITS]]/SUM(INVESTORS_LIST[TOTAL CURRENT UNITS]),0)</f>
        <v>0</v>
      </c>
    </row>
    <row r="413" spans="1:49">
      <c r="A413" s="262" t="s">
        <v>871</v>
      </c>
      <c r="B413" s="97" t="s">
        <v>872</v>
      </c>
      <c r="C413" t="s">
        <v>67</v>
      </c>
      <c r="D413" s="75" t="s">
        <v>45</v>
      </c>
      <c r="E413" s="47">
        <f>SUMIFS(LS[Unit],LS[Investor ID],INVESTORS_LIST[[#This Row],[INVESTOR CODE]],LS[B/S],"B")</f>
        <v>84633</v>
      </c>
      <c r="F413" s="47">
        <f>-SUMIFS(LS[Unit],LS[Investor ID],INVESTORS_LIST[[#This Row],[INVESTOR CODE]],LS[B/S],"S")</f>
        <v>49305</v>
      </c>
      <c r="G413" s="47">
        <f>IF(INVESTORS_LIST[[#This Row],[LS_TOTAL UNITS BUY]]=0,0,INVESTORS_LIST[[#This Row],[LS_TOTAL UNITS BUY]]-INVESTORS_LIST[[#This Row],[LS_TOTAL UNITS SOLD]])</f>
        <v>35328</v>
      </c>
      <c r="H413" s="49">
        <f>IF(INVESTORS_LIST[[#This Row],[LS_TOTAL UNITS BUY]]=0,0,SUMIFS(LS[Amount],LS[Investor ID],INVESTORS_LIST[[#This Row],[INVESTOR CODE]],LS[B/S],"B"))</f>
        <v>1000000</v>
      </c>
      <c r="I413" s="48">
        <f>IF(INVESTORS_LIST[[#This Row],[LS_TOTAL UNITS SOLD]]=0,0,SUMIFS(LS[Cost of Units Sold],LS[Investor ID],INVESTORS_LIST[[#This Row],[INVESTOR CODE]],LS[B/S],"S"))</f>
        <v>500000</v>
      </c>
      <c r="J413" s="48">
        <f>IF(INVESTORS_LIST[[#This Row],[LS_TOTAL CURRENT UNITS]]=0,0,INVESTORS_LIST[[#This Row],[LS_TOTAL CURRENT UNITS]]*INVESTORS_LIST[[#This Row],[LS_AVERAGE COST]])</f>
        <v>500000</v>
      </c>
      <c r="K413" s="49">
        <f>IF(INVESTORS_LIST[[#This Row],[LS_TOTAL UNITS SOLD]]=0,0,SUMIFS(LS[Realized Gain],LS[Investor ID],INVESTORS_LIST[[#This Row],[INVESTOR CODE]],LS[B/S],"S"))</f>
        <v>116036.09169999995</v>
      </c>
      <c r="L413" s="47">
        <f>SUMIFS(SIP[Unit],SIP[Investor ID],INVESTORS_LIST[[#This Row],[INVESTOR CODE]],SIP[B/S],"B")</f>
        <v>0</v>
      </c>
      <c r="M413" s="47">
        <f>-SUMIFS(SIP[Unit],SIP[Investor ID],INVESTORS_LIST[[#This Row],[INVESTOR CODE]],SIP[B/S],"S")</f>
        <v>0</v>
      </c>
      <c r="N413" s="50">
        <f>IF(INVESTORS_LIST[[#This Row],[SIP_TOTAL UNITS BUY]]=0,0,INVESTORS_LIST[[#This Row],[SIP_TOTAL UNITS BUY]]-INVESTORS_LIST[[#This Row],[SIP_TOTAL UNITS SOLD]])</f>
        <v>0</v>
      </c>
      <c r="O413" s="49">
        <f>IF(INVESTORS_LIST[[#This Row],[SIP_TOTAL UNITS BUY]]=0,0,SUMIFS(SIP[Amount],SIP[Investor ID],INVESTORS_LIST[[#This Row],[INVESTOR CODE]],SIP[B/S],"B"))</f>
        <v>0</v>
      </c>
      <c r="P413" s="49">
        <f>IF(INVESTORS_LIST[[#This Row],[SIP_TOTAL UNITS SOLD]]=0,0,SUMIFS(SIP[Cost of Units Sold],SIP[Investor ID],INVESTORS_LIST[[#This Row],[INVESTOR CODE]],SIP[B/S],"S"))</f>
        <v>0</v>
      </c>
      <c r="Q413" s="48">
        <f>IF(INVESTORS_LIST[[#This Row],[SIP_TOTAL CURRENT UNITS]]=0,0,INVESTORS_LIST[[#This Row],[SIP_TOTAL CURRENT UNITS]]*INVESTORS_LIST[[#This Row],[SIP_AVERAGE COST]])</f>
        <v>0</v>
      </c>
      <c r="R413" s="48">
        <f>IF(INVESTORS_LIST[[#This Row],[SIP_TOTAL UNITS SOLD]]=0,0,SUMIFS(SIP[Realized Gain],SIP[Investor ID],INVESTORS_LIST[[#This Row],[INVESTOR CODE]],SIP[B/S],"S"))</f>
        <v>0</v>
      </c>
      <c r="S413" s="50">
        <f>INVESTORS_LIST[[#This Row],[LS_TOTAL UNITS BUY]]+INVESTORS_LIST[[#This Row],[SIP_TOTAL UNITS BUY]]</f>
        <v>84633</v>
      </c>
      <c r="T413" s="50">
        <f>INVESTORS_LIST[[#This Row],[LS_TOTAL UNITS SOLD]]+INVESTORS_LIST[[#This Row],[SIP_TOTAL UNITS SOLD]]</f>
        <v>49305</v>
      </c>
      <c r="U413" s="50"/>
      <c r="V413" s="50">
        <f>SUMIFS(LS[BO UNIT TRANSFER],LS[Investor ID],INVESTORS_LIST[[#This Row],[INVESTOR CODE]],LS[B/S],"B")</f>
        <v>0</v>
      </c>
      <c r="W413" s="50">
        <f>SUMIFS(SIP[BO UNIT TRANSFER],SIP[Investor ID],INVESTORS_LIST[[#This Row],[INVESTOR CODE]],SIP[B/S],"B")</f>
        <v>0</v>
      </c>
      <c r="X413" s="50">
        <f>SUMIFS(LS[BO UNIT TRANSFER],LS[Investor ID],INVESTORS_LIST[[#This Row],[INVESTOR CODE]],LS[B/S],"S")</f>
        <v>0</v>
      </c>
      <c r="Y413" s="50">
        <f>SUMIFS(SIP[BO UNIT TRANSFER],SIP[Investor ID],INVESTORS_LIST[[#This Row],[INVESTOR CODE]],SIP[B/S],"S")</f>
        <v>0</v>
      </c>
      <c r="Z413" s="106">
        <f>SUM(INVESTORS_LIST[[#This Row],[BO OPENING BALANCE]:[BO SIP UNITS REPURCHASE]])</f>
        <v>0</v>
      </c>
      <c r="AA413" s="107">
        <f>INVESTORS_LIST[[#This Row],[TOTAL UNITS BUY]]-INVESTORS_LIST[[#This Row],[TOTAL UNITS SOLD]]</f>
        <v>35328</v>
      </c>
      <c r="AB413" s="107">
        <f>INVESTORS_LIST[[#This Row],[TOTAL CURRENT UNITS]]-INVESTORS_LIST[[#This Row],[BO UNITS HOLD]]</f>
        <v>35328</v>
      </c>
      <c r="AC413" s="201" t="e">
        <f>INDEX([3]!Table_1[BO ID],MATCH(INVESTORS_LIST[[#This Row],[INVESTOR CODE]],[3]!Table_1[INVESTOR CODE],0))</f>
        <v>#REF!</v>
      </c>
      <c r="AD413" s="201" t="e">
        <f>INDEX([3]!Table_1[Brokerage Name2],MATCH(INVESTORS_LIST[[#This Row],[INVESTOR CODE]],[3]!Table_1[INVESTOR CODE],0))</f>
        <v>#REF!</v>
      </c>
      <c r="AE413" s="201" t="e">
        <f>MID(INVESTORS_LIST[[#This Row],[BO ID]],4,5)</f>
        <v>#REF!</v>
      </c>
      <c r="AF413" s="201" t="e">
        <f>MID(INVESTORS_LIST[[#This Row],[BO ID]],2,7)</f>
        <v>#REF!</v>
      </c>
      <c r="AG413" s="201" t="e">
        <f>MID(INVESTORS_LIST[[#This Row],[BO ID]],9,7)</f>
        <v>#REF!</v>
      </c>
      <c r="AH413" s="201" t="e">
        <f>RIGHT(INVESTORS_LIST[[#This Row],[BO ID]],1)</f>
        <v>#REF!</v>
      </c>
      <c r="AI413" s="50">
        <f>INVESTORS_LIST[[#This Row],[LS_TOTAL COST VALUE OF CURRENT UNITS]]+INVESTORS_LIST[[#This Row],[SIP_TOTAL COST VALUE OF CURRENT UNITS]]</f>
        <v>500000</v>
      </c>
      <c r="AJ413" s="109">
        <f>IF(INVESTORS_LIST[[#This Row],[TOTAL CURRENT UNITS]]=0,0,INVESTORS_LIST[[#This Row],[LS_TOTAL CURRENT UNITS]]/INVESTORS_LIST[[#This Row],[TOTAL CURRENT UNITS]])</f>
        <v>1</v>
      </c>
      <c r="AK413" s="109">
        <f>IF(INVESTORS_LIST[[#This Row],[TOTAL CURRENT UNITS]]=0,0,INVESTORS_LIST[[#This Row],[SIP_TOTAL CURRENT UNITS]]/INVESTORS_LIST[[#This Row],[TOTAL CURRENT UNITS]])</f>
        <v>0</v>
      </c>
      <c r="AL413" s="49" cm="1">
        <f t="array" ref="AL413">IF(INVESTORS_LIST[[#This Row],[LS_TOTAL UNITS BUY]]&gt;0,INDEX(LS[NAV at Cost (Average)],MATCH(CONCATENATE(COUNTIFS(LS[Investor ID],INVESTORS_LIST[[#This Row],[INVESTOR CODE]]),INVESTORS_LIST[[#This Row],[INVESTOR CODE]]),LS[Unique Code],0),),0)</f>
        <v>14.153079710144928</v>
      </c>
      <c r="AM413" s="49" cm="1">
        <f t="array" ref="AM4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3" s="105">
        <f>IF(INVESTORS_LIST[[#This Row],[TOTAL CURRENT UNITS]]=0,0,(INVESTORS_LIST[[#This Row],[LS_WEIGHT]]*INVESTORS_LIST[[#This Row],[LS_AVERAGE COST]])+(INVESTORS_LIST[[#This Row],[SIP_WEIGHT]]*INVESTORS_LIST[[#This Row],[SIP_AVERAGE COST]]))</f>
        <v>14.153079710144928</v>
      </c>
      <c r="AO413" s="105">
        <f t="shared" si="7"/>
        <v>14.224</v>
      </c>
      <c r="AP413" s="112">
        <f>IF(INVESTORS_LIST[[#This Row],[TOTAL CURRENT UNITS]]=0,0,INVESTORS_LIST[[#This Row],[TOTAL CURRENT UNITS]]*INVESTORS_LIST[[#This Row],[NAV]])</f>
        <v>502505.47200000001</v>
      </c>
      <c r="AQ413" s="49">
        <f>IF(INVESTORS_LIST[[#This Row],[LS_TOTAL CURRENT UNITS]]=0,0,INVESTORS_LIST[[#This Row],[LS_TOTAL CURRENT UNITS]]*INVESTORS_LIST[[#This Row],[NAV]])</f>
        <v>502505.47200000001</v>
      </c>
      <c r="AR413" s="48">
        <f>IF(INVESTORS_LIST[[#This Row],[SIP_TOTAL CURRENT UNITS]]=0,0,INVESTORS_LIST[[#This Row],[SIP_TOTAL CURRENT UNITS]]*INVESTORS_LIST[[#This Row],[NAV]])</f>
        <v>0</v>
      </c>
      <c r="AS413" s="50">
        <f>INVESTORS_LIST[[#This Row],[TOTAL CURRENT UNITS]]</f>
        <v>35328</v>
      </c>
      <c r="AT413" s="48">
        <f>IF(INVESTORS_LIST[[#This Row],[TOTAL SELLABLE UNITS]]=0,0,INVESTORS_LIST[[#This Row],[TOTAL SELLABLE UNITS]]*INVESTORS_LIST[[#This Row],[NAV]])</f>
        <v>502505.47200000001</v>
      </c>
      <c r="AU413" s="48">
        <f>INVESTORS_LIST[[#This Row],[LS_TOTAL REALIZED GAIN]]+INVESTORS_LIST[[#This Row],[SIP_TOTAL REALIZED GAIN]]</f>
        <v>116036.09169999995</v>
      </c>
      <c r="AV413" s="48">
        <f>INVESTORS_LIST[[#This Row],[TOTAL MARKET VALUE]]-INVESTORS_LIST[[#This Row],[TOTAL COST VALUE OF CURRENT INVESTMENT]]</f>
        <v>2505.4720000000088</v>
      </c>
      <c r="AW413" s="108">
        <f>IFERROR(INVESTORS_LIST[[#This Row],[TOTAL CURRENT UNITS]]/SUM(INVESTORS_LIST[TOTAL CURRENT UNITS]),0)</f>
        <v>8.5762987255354997E-4</v>
      </c>
    </row>
    <row r="414" spans="1:49" hidden="1">
      <c r="A414" s="262" t="s">
        <v>873</v>
      </c>
      <c r="B414" s="97" t="s">
        <v>874</v>
      </c>
      <c r="C414" t="s">
        <v>44</v>
      </c>
      <c r="D414" s="75" t="s">
        <v>45</v>
      </c>
      <c r="E414" s="47">
        <f>SUMIFS(LS[Unit],LS[Investor ID],INVESTORS_LIST[[#This Row],[INVESTOR CODE]],LS[B/S],"B")</f>
        <v>0</v>
      </c>
      <c r="F414" s="47">
        <f>-SUMIFS(LS[Unit],LS[Investor ID],INVESTORS_LIST[[#This Row],[INVESTOR CODE]],LS[B/S],"S")</f>
        <v>0</v>
      </c>
      <c r="G414" s="47">
        <f>IF(INVESTORS_LIST[[#This Row],[LS_TOTAL UNITS BUY]]=0,0,INVESTORS_LIST[[#This Row],[LS_TOTAL UNITS BUY]]-INVESTORS_LIST[[#This Row],[LS_TOTAL UNITS SOLD]])</f>
        <v>0</v>
      </c>
      <c r="H414" s="49">
        <f>IF(INVESTORS_LIST[[#This Row],[LS_TOTAL UNITS BUY]]=0,0,SUMIFS(LS[Amount],LS[Investor ID],INVESTORS_LIST[[#This Row],[INVESTOR CODE]],LS[B/S],"B"))</f>
        <v>0</v>
      </c>
      <c r="I414" s="48">
        <f>IF(INVESTORS_LIST[[#This Row],[LS_TOTAL UNITS SOLD]]=0,0,SUMIFS(LS[Cost of Units Sold],LS[Investor ID],INVESTORS_LIST[[#This Row],[INVESTOR CODE]],LS[B/S],"S"))</f>
        <v>0</v>
      </c>
      <c r="J414" s="48">
        <f>IF(INVESTORS_LIST[[#This Row],[LS_TOTAL CURRENT UNITS]]=0,0,INVESTORS_LIST[[#This Row],[LS_TOTAL CURRENT UNITS]]*INVESTORS_LIST[[#This Row],[LS_AVERAGE COST]])</f>
        <v>0</v>
      </c>
      <c r="K414" s="49">
        <f>IF(INVESTORS_LIST[[#This Row],[LS_TOTAL UNITS SOLD]]=0,0,SUMIFS(LS[Realized Gain],LS[Investor ID],INVESTORS_LIST[[#This Row],[INVESTOR CODE]],LS[B/S],"S"))</f>
        <v>0</v>
      </c>
      <c r="L414" s="47">
        <f>SUMIFS(SIP[Unit],SIP[Investor ID],INVESTORS_LIST[[#This Row],[INVESTOR CODE]],SIP[B/S],"B")</f>
        <v>0</v>
      </c>
      <c r="M414" s="47">
        <f>-SUMIFS(SIP[Unit],SIP[Investor ID],INVESTORS_LIST[[#This Row],[INVESTOR CODE]],SIP[B/S],"S")</f>
        <v>0</v>
      </c>
      <c r="N414" s="50">
        <f>IF(INVESTORS_LIST[[#This Row],[SIP_TOTAL UNITS BUY]]=0,0,INVESTORS_LIST[[#This Row],[SIP_TOTAL UNITS BUY]]-INVESTORS_LIST[[#This Row],[SIP_TOTAL UNITS SOLD]])</f>
        <v>0</v>
      </c>
      <c r="O414" s="49">
        <f>IF(INVESTORS_LIST[[#This Row],[SIP_TOTAL UNITS BUY]]=0,0,SUMIFS(SIP[Amount],SIP[Investor ID],INVESTORS_LIST[[#This Row],[INVESTOR CODE]],SIP[B/S],"B"))</f>
        <v>0</v>
      </c>
      <c r="P414" s="49">
        <f>IF(INVESTORS_LIST[[#This Row],[SIP_TOTAL UNITS SOLD]]=0,0,SUMIFS(SIP[Cost of Units Sold],SIP[Investor ID],INVESTORS_LIST[[#This Row],[INVESTOR CODE]],SIP[B/S],"S"))</f>
        <v>0</v>
      </c>
      <c r="Q414" s="48">
        <f>IF(INVESTORS_LIST[[#This Row],[SIP_TOTAL CURRENT UNITS]]=0,0,INVESTORS_LIST[[#This Row],[SIP_TOTAL CURRENT UNITS]]*INVESTORS_LIST[[#This Row],[SIP_AVERAGE COST]])</f>
        <v>0</v>
      </c>
      <c r="R414" s="48">
        <f>IF(INVESTORS_LIST[[#This Row],[SIP_TOTAL UNITS SOLD]]=0,0,SUMIFS(SIP[Realized Gain],SIP[Investor ID],INVESTORS_LIST[[#This Row],[INVESTOR CODE]],SIP[B/S],"S"))</f>
        <v>0</v>
      </c>
      <c r="S414" s="50">
        <f>INVESTORS_LIST[[#This Row],[LS_TOTAL UNITS BUY]]+INVESTORS_LIST[[#This Row],[SIP_TOTAL UNITS BUY]]</f>
        <v>0</v>
      </c>
      <c r="T414" s="50">
        <f>INVESTORS_LIST[[#This Row],[LS_TOTAL UNITS SOLD]]+INVESTORS_LIST[[#This Row],[SIP_TOTAL UNITS SOLD]]</f>
        <v>0</v>
      </c>
      <c r="U414" s="50"/>
      <c r="V414" s="50">
        <f>SUMIFS(LS[BO UNIT TRANSFER],LS[Investor ID],INVESTORS_LIST[[#This Row],[INVESTOR CODE]],LS[B/S],"B")</f>
        <v>0</v>
      </c>
      <c r="W414" s="50">
        <f>SUMIFS(SIP[BO UNIT TRANSFER],SIP[Investor ID],INVESTORS_LIST[[#This Row],[INVESTOR CODE]],SIP[B/S],"B")</f>
        <v>0</v>
      </c>
      <c r="X414" s="50">
        <f>SUMIFS(LS[BO UNIT TRANSFER],LS[Investor ID],INVESTORS_LIST[[#This Row],[INVESTOR CODE]],LS[B/S],"S")</f>
        <v>0</v>
      </c>
      <c r="Y414" s="50">
        <f>SUMIFS(SIP[BO UNIT TRANSFER],SIP[Investor ID],INVESTORS_LIST[[#This Row],[INVESTOR CODE]],SIP[B/S],"S")</f>
        <v>0</v>
      </c>
      <c r="Z414" s="106">
        <f>SUM(INVESTORS_LIST[[#This Row],[BO OPENING BALANCE]:[BO SIP UNITS REPURCHASE]])</f>
        <v>0</v>
      </c>
      <c r="AA414" s="107">
        <f>INVESTORS_LIST[[#This Row],[TOTAL UNITS BUY]]-INVESTORS_LIST[[#This Row],[TOTAL UNITS SOLD]]</f>
        <v>0</v>
      </c>
      <c r="AB414" s="107">
        <f>INVESTORS_LIST[[#This Row],[TOTAL CURRENT UNITS]]-INVESTORS_LIST[[#This Row],[BO UNITS HOLD]]</f>
        <v>0</v>
      </c>
      <c r="AC414" s="201" t="e">
        <f>INDEX([3]!Table_1[BO ID],MATCH(INVESTORS_LIST[[#This Row],[INVESTOR CODE]],[3]!Table_1[INVESTOR CODE],0))</f>
        <v>#REF!</v>
      </c>
      <c r="AD414" s="201" t="e">
        <f>INDEX([3]!Table_1[Brokerage Name2],MATCH(INVESTORS_LIST[[#This Row],[INVESTOR CODE]],[3]!Table_1[INVESTOR CODE],0))</f>
        <v>#REF!</v>
      </c>
      <c r="AE414" s="201" t="e">
        <f>MID(INVESTORS_LIST[[#This Row],[BO ID]],4,5)</f>
        <v>#REF!</v>
      </c>
      <c r="AF414" s="201" t="e">
        <f>MID(INVESTORS_LIST[[#This Row],[BO ID]],2,7)</f>
        <v>#REF!</v>
      </c>
      <c r="AG414" s="201" t="e">
        <f>MID(INVESTORS_LIST[[#This Row],[BO ID]],9,7)</f>
        <v>#REF!</v>
      </c>
      <c r="AH414" s="201" t="e">
        <f>RIGHT(INVESTORS_LIST[[#This Row],[BO ID]],1)</f>
        <v>#REF!</v>
      </c>
      <c r="AI414" s="50">
        <f>INVESTORS_LIST[[#This Row],[LS_TOTAL COST VALUE OF CURRENT UNITS]]+INVESTORS_LIST[[#This Row],[SIP_TOTAL COST VALUE OF CURRENT UNITS]]</f>
        <v>0</v>
      </c>
      <c r="AJ414" s="109">
        <f>IF(INVESTORS_LIST[[#This Row],[TOTAL CURRENT UNITS]]=0,0,INVESTORS_LIST[[#This Row],[LS_TOTAL CURRENT UNITS]]/INVESTORS_LIST[[#This Row],[TOTAL CURRENT UNITS]])</f>
        <v>0</v>
      </c>
      <c r="AK414" s="109">
        <f>IF(INVESTORS_LIST[[#This Row],[TOTAL CURRENT UNITS]]=0,0,INVESTORS_LIST[[#This Row],[SIP_TOTAL CURRENT UNITS]]/INVESTORS_LIST[[#This Row],[TOTAL CURRENT UNITS]])</f>
        <v>0</v>
      </c>
      <c r="AL414" s="49" cm="1">
        <f t="array" ref="AL4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4" s="49" cm="1">
        <f t="array" ref="AM4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4" s="105">
        <f t="shared" si="7"/>
        <v>14.224</v>
      </c>
      <c r="AP414" s="112">
        <f>IF(INVESTORS_LIST[[#This Row],[TOTAL CURRENT UNITS]]=0,0,INVESTORS_LIST[[#This Row],[TOTAL CURRENT UNITS]]*INVESTORS_LIST[[#This Row],[NAV]])</f>
        <v>0</v>
      </c>
      <c r="AQ414" s="49">
        <f>IF(INVESTORS_LIST[[#This Row],[LS_TOTAL CURRENT UNITS]]=0,0,INVESTORS_LIST[[#This Row],[LS_TOTAL CURRENT UNITS]]*INVESTORS_LIST[[#This Row],[NAV]])</f>
        <v>0</v>
      </c>
      <c r="AR414" s="48">
        <f>IF(INVESTORS_LIST[[#This Row],[SIP_TOTAL CURRENT UNITS]]=0,0,INVESTORS_LIST[[#This Row],[SIP_TOTAL CURRENT UNITS]]*INVESTORS_LIST[[#This Row],[NAV]])</f>
        <v>0</v>
      </c>
      <c r="AS414" s="50">
        <f>INVESTORS_LIST[[#This Row],[TOTAL CURRENT UNITS]]</f>
        <v>0</v>
      </c>
      <c r="AT414" s="48">
        <f>IF(INVESTORS_LIST[[#This Row],[TOTAL SELLABLE UNITS]]=0,0,INVESTORS_LIST[[#This Row],[TOTAL SELLABLE UNITS]]*INVESTORS_LIST[[#This Row],[NAV]])</f>
        <v>0</v>
      </c>
      <c r="AU414" s="48">
        <f>INVESTORS_LIST[[#This Row],[LS_TOTAL REALIZED GAIN]]+INVESTORS_LIST[[#This Row],[SIP_TOTAL REALIZED GAIN]]</f>
        <v>0</v>
      </c>
      <c r="AV414" s="48">
        <f>INVESTORS_LIST[[#This Row],[TOTAL MARKET VALUE]]-INVESTORS_LIST[[#This Row],[TOTAL COST VALUE OF CURRENT INVESTMENT]]</f>
        <v>0</v>
      </c>
      <c r="AW414" s="48">
        <f>IFERROR(INVESTORS_LIST[[#This Row],[TOTAL CURRENT UNITS]]/SUM(INVESTORS_LIST[TOTAL CURRENT UNITS]),0)</f>
        <v>0</v>
      </c>
    </row>
    <row r="415" spans="1:49" hidden="1">
      <c r="A415" s="262" t="s">
        <v>875</v>
      </c>
      <c r="B415" s="97" t="s">
        <v>876</v>
      </c>
      <c r="C415" t="s">
        <v>44</v>
      </c>
      <c r="D415" s="75" t="s">
        <v>45</v>
      </c>
      <c r="E415" s="47">
        <f>SUMIFS(LS[Unit],LS[Investor ID],INVESTORS_LIST[[#This Row],[INVESTOR CODE]],LS[B/S],"B")</f>
        <v>0</v>
      </c>
      <c r="F415" s="47">
        <f>-SUMIFS(LS[Unit],LS[Investor ID],INVESTORS_LIST[[#This Row],[INVESTOR CODE]],LS[B/S],"S")</f>
        <v>0</v>
      </c>
      <c r="G415" s="47">
        <f>IF(INVESTORS_LIST[[#This Row],[LS_TOTAL UNITS BUY]]=0,0,INVESTORS_LIST[[#This Row],[LS_TOTAL UNITS BUY]]-INVESTORS_LIST[[#This Row],[LS_TOTAL UNITS SOLD]])</f>
        <v>0</v>
      </c>
      <c r="H415" s="49">
        <f>IF(INVESTORS_LIST[[#This Row],[LS_TOTAL UNITS BUY]]=0,0,SUMIFS(LS[Amount],LS[Investor ID],INVESTORS_LIST[[#This Row],[INVESTOR CODE]],LS[B/S],"B"))</f>
        <v>0</v>
      </c>
      <c r="I415" s="48">
        <f>IF(INVESTORS_LIST[[#This Row],[LS_TOTAL UNITS SOLD]]=0,0,SUMIFS(LS[Cost of Units Sold],LS[Investor ID],INVESTORS_LIST[[#This Row],[INVESTOR CODE]],LS[B/S],"S"))</f>
        <v>0</v>
      </c>
      <c r="J415" s="48">
        <f>IF(INVESTORS_LIST[[#This Row],[LS_TOTAL CURRENT UNITS]]=0,0,INVESTORS_LIST[[#This Row],[LS_TOTAL CURRENT UNITS]]*INVESTORS_LIST[[#This Row],[LS_AVERAGE COST]])</f>
        <v>0</v>
      </c>
      <c r="K415" s="49">
        <f>IF(INVESTORS_LIST[[#This Row],[LS_TOTAL UNITS SOLD]]=0,0,SUMIFS(LS[Realized Gain],LS[Investor ID],INVESTORS_LIST[[#This Row],[INVESTOR CODE]],LS[B/S],"S"))</f>
        <v>0</v>
      </c>
      <c r="L415" s="47">
        <f>SUMIFS(SIP[Unit],SIP[Investor ID],INVESTORS_LIST[[#This Row],[INVESTOR CODE]],SIP[B/S],"B")</f>
        <v>0</v>
      </c>
      <c r="M415" s="47">
        <f>-SUMIFS(SIP[Unit],SIP[Investor ID],INVESTORS_LIST[[#This Row],[INVESTOR CODE]],SIP[B/S],"S")</f>
        <v>0</v>
      </c>
      <c r="N415" s="50">
        <f>IF(INVESTORS_LIST[[#This Row],[SIP_TOTAL UNITS BUY]]=0,0,INVESTORS_LIST[[#This Row],[SIP_TOTAL UNITS BUY]]-INVESTORS_LIST[[#This Row],[SIP_TOTAL UNITS SOLD]])</f>
        <v>0</v>
      </c>
      <c r="O415" s="49">
        <f>IF(INVESTORS_LIST[[#This Row],[SIP_TOTAL UNITS BUY]]=0,0,SUMIFS(SIP[Amount],SIP[Investor ID],INVESTORS_LIST[[#This Row],[INVESTOR CODE]],SIP[B/S],"B"))</f>
        <v>0</v>
      </c>
      <c r="P415" s="49">
        <f>IF(INVESTORS_LIST[[#This Row],[SIP_TOTAL UNITS SOLD]]=0,0,SUMIFS(SIP[Cost of Units Sold],SIP[Investor ID],INVESTORS_LIST[[#This Row],[INVESTOR CODE]],SIP[B/S],"S"))</f>
        <v>0</v>
      </c>
      <c r="Q415" s="48">
        <f>IF(INVESTORS_LIST[[#This Row],[SIP_TOTAL CURRENT UNITS]]=0,0,INVESTORS_LIST[[#This Row],[SIP_TOTAL CURRENT UNITS]]*INVESTORS_LIST[[#This Row],[SIP_AVERAGE COST]])</f>
        <v>0</v>
      </c>
      <c r="R415" s="48">
        <f>IF(INVESTORS_LIST[[#This Row],[SIP_TOTAL UNITS SOLD]]=0,0,SUMIFS(SIP[Realized Gain],SIP[Investor ID],INVESTORS_LIST[[#This Row],[INVESTOR CODE]],SIP[B/S],"S"))</f>
        <v>0</v>
      </c>
      <c r="S415" s="50">
        <f>INVESTORS_LIST[[#This Row],[LS_TOTAL UNITS BUY]]+INVESTORS_LIST[[#This Row],[SIP_TOTAL UNITS BUY]]</f>
        <v>0</v>
      </c>
      <c r="T415" s="50">
        <f>INVESTORS_LIST[[#This Row],[LS_TOTAL UNITS SOLD]]+INVESTORS_LIST[[#This Row],[SIP_TOTAL UNITS SOLD]]</f>
        <v>0</v>
      </c>
      <c r="U415" s="50"/>
      <c r="V415" s="50">
        <f>SUMIFS(LS[BO UNIT TRANSFER],LS[Investor ID],INVESTORS_LIST[[#This Row],[INVESTOR CODE]],LS[B/S],"B")</f>
        <v>0</v>
      </c>
      <c r="W415" s="50">
        <f>SUMIFS(SIP[BO UNIT TRANSFER],SIP[Investor ID],INVESTORS_LIST[[#This Row],[INVESTOR CODE]],SIP[B/S],"B")</f>
        <v>0</v>
      </c>
      <c r="X415" s="50">
        <f>SUMIFS(LS[BO UNIT TRANSFER],LS[Investor ID],INVESTORS_LIST[[#This Row],[INVESTOR CODE]],LS[B/S],"S")</f>
        <v>0</v>
      </c>
      <c r="Y415" s="50">
        <f>SUMIFS(SIP[BO UNIT TRANSFER],SIP[Investor ID],INVESTORS_LIST[[#This Row],[INVESTOR CODE]],SIP[B/S],"S")</f>
        <v>0</v>
      </c>
      <c r="Z415" s="106">
        <f>SUM(INVESTORS_LIST[[#This Row],[BO OPENING BALANCE]:[BO SIP UNITS REPURCHASE]])</f>
        <v>0</v>
      </c>
      <c r="AA415" s="107">
        <f>INVESTORS_LIST[[#This Row],[TOTAL UNITS BUY]]-INVESTORS_LIST[[#This Row],[TOTAL UNITS SOLD]]</f>
        <v>0</v>
      </c>
      <c r="AB415" s="107">
        <f>INVESTORS_LIST[[#This Row],[TOTAL CURRENT UNITS]]-INVESTORS_LIST[[#This Row],[BO UNITS HOLD]]</f>
        <v>0</v>
      </c>
      <c r="AC415" s="201" t="e">
        <f>INDEX([3]!Table_1[BO ID],MATCH(INVESTORS_LIST[[#This Row],[INVESTOR CODE]],[3]!Table_1[INVESTOR CODE],0))</f>
        <v>#REF!</v>
      </c>
      <c r="AD415" s="201" t="e">
        <f>INDEX([3]!Table_1[Brokerage Name2],MATCH(INVESTORS_LIST[[#This Row],[INVESTOR CODE]],[3]!Table_1[INVESTOR CODE],0))</f>
        <v>#REF!</v>
      </c>
      <c r="AE415" s="201" t="e">
        <f>MID(INVESTORS_LIST[[#This Row],[BO ID]],4,5)</f>
        <v>#REF!</v>
      </c>
      <c r="AF415" s="201" t="e">
        <f>MID(INVESTORS_LIST[[#This Row],[BO ID]],2,7)</f>
        <v>#REF!</v>
      </c>
      <c r="AG415" s="201" t="e">
        <f>MID(INVESTORS_LIST[[#This Row],[BO ID]],9,7)</f>
        <v>#REF!</v>
      </c>
      <c r="AH415" s="201" t="e">
        <f>RIGHT(INVESTORS_LIST[[#This Row],[BO ID]],1)</f>
        <v>#REF!</v>
      </c>
      <c r="AI415" s="50">
        <f>INVESTORS_LIST[[#This Row],[LS_TOTAL COST VALUE OF CURRENT UNITS]]+INVESTORS_LIST[[#This Row],[SIP_TOTAL COST VALUE OF CURRENT UNITS]]</f>
        <v>0</v>
      </c>
      <c r="AJ415" s="109">
        <f>IF(INVESTORS_LIST[[#This Row],[TOTAL CURRENT UNITS]]=0,0,INVESTORS_LIST[[#This Row],[LS_TOTAL CURRENT UNITS]]/INVESTORS_LIST[[#This Row],[TOTAL CURRENT UNITS]])</f>
        <v>0</v>
      </c>
      <c r="AK415" s="109">
        <f>IF(INVESTORS_LIST[[#This Row],[TOTAL CURRENT UNITS]]=0,0,INVESTORS_LIST[[#This Row],[SIP_TOTAL CURRENT UNITS]]/INVESTORS_LIST[[#This Row],[TOTAL CURRENT UNITS]])</f>
        <v>0</v>
      </c>
      <c r="AL415" s="49" cm="1">
        <f t="array" ref="AL4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5" s="49" cm="1">
        <f t="array" ref="AM4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5" s="105">
        <f t="shared" si="7"/>
        <v>14.224</v>
      </c>
      <c r="AP415" s="112">
        <f>IF(INVESTORS_LIST[[#This Row],[TOTAL CURRENT UNITS]]=0,0,INVESTORS_LIST[[#This Row],[TOTAL CURRENT UNITS]]*INVESTORS_LIST[[#This Row],[NAV]])</f>
        <v>0</v>
      </c>
      <c r="AQ415" s="49">
        <f>IF(INVESTORS_LIST[[#This Row],[LS_TOTAL CURRENT UNITS]]=0,0,INVESTORS_LIST[[#This Row],[LS_TOTAL CURRENT UNITS]]*INVESTORS_LIST[[#This Row],[NAV]])</f>
        <v>0</v>
      </c>
      <c r="AR415" s="48">
        <f>IF(INVESTORS_LIST[[#This Row],[SIP_TOTAL CURRENT UNITS]]=0,0,INVESTORS_LIST[[#This Row],[SIP_TOTAL CURRENT UNITS]]*INVESTORS_LIST[[#This Row],[NAV]])</f>
        <v>0</v>
      </c>
      <c r="AS415" s="50">
        <f>INVESTORS_LIST[[#This Row],[TOTAL CURRENT UNITS]]</f>
        <v>0</v>
      </c>
      <c r="AT415" s="48">
        <f>IF(INVESTORS_LIST[[#This Row],[TOTAL SELLABLE UNITS]]=0,0,INVESTORS_LIST[[#This Row],[TOTAL SELLABLE UNITS]]*INVESTORS_LIST[[#This Row],[NAV]])</f>
        <v>0</v>
      </c>
      <c r="AU415" s="48">
        <f>INVESTORS_LIST[[#This Row],[LS_TOTAL REALIZED GAIN]]+INVESTORS_LIST[[#This Row],[SIP_TOTAL REALIZED GAIN]]</f>
        <v>0</v>
      </c>
      <c r="AV415" s="48">
        <f>INVESTORS_LIST[[#This Row],[TOTAL MARKET VALUE]]-INVESTORS_LIST[[#This Row],[TOTAL COST VALUE OF CURRENT INVESTMENT]]</f>
        <v>0</v>
      </c>
      <c r="AW415" s="48">
        <f>IFERROR(INVESTORS_LIST[[#This Row],[TOTAL CURRENT UNITS]]/SUM(INVESTORS_LIST[TOTAL CURRENT UNITS]),0)</f>
        <v>0</v>
      </c>
    </row>
    <row r="416" spans="1:49" hidden="1">
      <c r="A416" s="262" t="s">
        <v>877</v>
      </c>
      <c r="B416" s="97" t="s">
        <v>878</v>
      </c>
      <c r="C416" t="s">
        <v>44</v>
      </c>
      <c r="D416" s="75" t="s">
        <v>45</v>
      </c>
      <c r="E416" s="47">
        <f>SUMIFS(LS[Unit],LS[Investor ID],INVESTORS_LIST[[#This Row],[INVESTOR CODE]],LS[B/S],"B")</f>
        <v>0</v>
      </c>
      <c r="F416" s="47">
        <f>-SUMIFS(LS[Unit],LS[Investor ID],INVESTORS_LIST[[#This Row],[INVESTOR CODE]],LS[B/S],"S")</f>
        <v>0</v>
      </c>
      <c r="G416" s="47">
        <f>IF(INVESTORS_LIST[[#This Row],[LS_TOTAL UNITS BUY]]=0,0,INVESTORS_LIST[[#This Row],[LS_TOTAL UNITS BUY]]-INVESTORS_LIST[[#This Row],[LS_TOTAL UNITS SOLD]])</f>
        <v>0</v>
      </c>
      <c r="H416" s="49">
        <f>IF(INVESTORS_LIST[[#This Row],[LS_TOTAL UNITS BUY]]=0,0,SUMIFS(LS[Amount],LS[Investor ID],INVESTORS_LIST[[#This Row],[INVESTOR CODE]],LS[B/S],"B"))</f>
        <v>0</v>
      </c>
      <c r="I416" s="48">
        <f>IF(INVESTORS_LIST[[#This Row],[LS_TOTAL UNITS SOLD]]=0,0,SUMIFS(LS[Cost of Units Sold],LS[Investor ID],INVESTORS_LIST[[#This Row],[INVESTOR CODE]],LS[B/S],"S"))</f>
        <v>0</v>
      </c>
      <c r="J416" s="48">
        <f>IF(INVESTORS_LIST[[#This Row],[LS_TOTAL CURRENT UNITS]]=0,0,INVESTORS_LIST[[#This Row],[LS_TOTAL CURRENT UNITS]]*INVESTORS_LIST[[#This Row],[LS_AVERAGE COST]])</f>
        <v>0</v>
      </c>
      <c r="K416" s="49">
        <f>IF(INVESTORS_LIST[[#This Row],[LS_TOTAL UNITS SOLD]]=0,0,SUMIFS(LS[Realized Gain],LS[Investor ID],INVESTORS_LIST[[#This Row],[INVESTOR CODE]],LS[B/S],"S"))</f>
        <v>0</v>
      </c>
      <c r="L416" s="47">
        <f>SUMIFS(SIP[Unit],SIP[Investor ID],INVESTORS_LIST[[#This Row],[INVESTOR CODE]],SIP[B/S],"B")</f>
        <v>0</v>
      </c>
      <c r="M416" s="47">
        <f>-SUMIFS(SIP[Unit],SIP[Investor ID],INVESTORS_LIST[[#This Row],[INVESTOR CODE]],SIP[B/S],"S")</f>
        <v>0</v>
      </c>
      <c r="N416" s="50">
        <f>IF(INVESTORS_LIST[[#This Row],[SIP_TOTAL UNITS BUY]]=0,0,INVESTORS_LIST[[#This Row],[SIP_TOTAL UNITS BUY]]-INVESTORS_LIST[[#This Row],[SIP_TOTAL UNITS SOLD]])</f>
        <v>0</v>
      </c>
      <c r="O416" s="49">
        <f>IF(INVESTORS_LIST[[#This Row],[SIP_TOTAL UNITS BUY]]=0,0,SUMIFS(SIP[Amount],SIP[Investor ID],INVESTORS_LIST[[#This Row],[INVESTOR CODE]],SIP[B/S],"B"))</f>
        <v>0</v>
      </c>
      <c r="P416" s="49">
        <f>IF(INVESTORS_LIST[[#This Row],[SIP_TOTAL UNITS SOLD]]=0,0,SUMIFS(SIP[Cost of Units Sold],SIP[Investor ID],INVESTORS_LIST[[#This Row],[INVESTOR CODE]],SIP[B/S],"S"))</f>
        <v>0</v>
      </c>
      <c r="Q416" s="48">
        <f>IF(INVESTORS_LIST[[#This Row],[SIP_TOTAL CURRENT UNITS]]=0,0,INVESTORS_LIST[[#This Row],[SIP_TOTAL CURRENT UNITS]]*INVESTORS_LIST[[#This Row],[SIP_AVERAGE COST]])</f>
        <v>0</v>
      </c>
      <c r="R416" s="48">
        <f>IF(INVESTORS_LIST[[#This Row],[SIP_TOTAL UNITS SOLD]]=0,0,SUMIFS(SIP[Realized Gain],SIP[Investor ID],INVESTORS_LIST[[#This Row],[INVESTOR CODE]],SIP[B/S],"S"))</f>
        <v>0</v>
      </c>
      <c r="S416" s="50">
        <f>INVESTORS_LIST[[#This Row],[LS_TOTAL UNITS BUY]]+INVESTORS_LIST[[#This Row],[SIP_TOTAL UNITS BUY]]</f>
        <v>0</v>
      </c>
      <c r="T416" s="50">
        <f>INVESTORS_LIST[[#This Row],[LS_TOTAL UNITS SOLD]]+INVESTORS_LIST[[#This Row],[SIP_TOTAL UNITS SOLD]]</f>
        <v>0</v>
      </c>
      <c r="U416" s="50"/>
      <c r="V416" s="50">
        <f>SUMIFS(LS[BO UNIT TRANSFER],LS[Investor ID],INVESTORS_LIST[[#This Row],[INVESTOR CODE]],LS[B/S],"B")</f>
        <v>0</v>
      </c>
      <c r="W416" s="50">
        <f>SUMIFS(SIP[BO UNIT TRANSFER],SIP[Investor ID],INVESTORS_LIST[[#This Row],[INVESTOR CODE]],SIP[B/S],"B")</f>
        <v>0</v>
      </c>
      <c r="X416" s="50">
        <f>SUMIFS(LS[BO UNIT TRANSFER],LS[Investor ID],INVESTORS_LIST[[#This Row],[INVESTOR CODE]],LS[B/S],"S")</f>
        <v>0</v>
      </c>
      <c r="Y416" s="50">
        <f>SUMIFS(SIP[BO UNIT TRANSFER],SIP[Investor ID],INVESTORS_LIST[[#This Row],[INVESTOR CODE]],SIP[B/S],"S")</f>
        <v>0</v>
      </c>
      <c r="Z416" s="106">
        <f>SUM(INVESTORS_LIST[[#This Row],[BO OPENING BALANCE]:[BO SIP UNITS REPURCHASE]])</f>
        <v>0</v>
      </c>
      <c r="AA416" s="107">
        <f>INVESTORS_LIST[[#This Row],[TOTAL UNITS BUY]]-INVESTORS_LIST[[#This Row],[TOTAL UNITS SOLD]]</f>
        <v>0</v>
      </c>
      <c r="AB416" s="107">
        <f>INVESTORS_LIST[[#This Row],[TOTAL CURRENT UNITS]]-INVESTORS_LIST[[#This Row],[BO UNITS HOLD]]</f>
        <v>0</v>
      </c>
      <c r="AC416" s="201" t="e">
        <f>INDEX([3]!Table_1[BO ID],MATCH(INVESTORS_LIST[[#This Row],[INVESTOR CODE]],[3]!Table_1[INVESTOR CODE],0))</f>
        <v>#REF!</v>
      </c>
      <c r="AD416" s="201" t="e">
        <f>INDEX([3]!Table_1[Brokerage Name2],MATCH(INVESTORS_LIST[[#This Row],[INVESTOR CODE]],[3]!Table_1[INVESTOR CODE],0))</f>
        <v>#REF!</v>
      </c>
      <c r="AE416" s="201" t="e">
        <f>MID(INVESTORS_LIST[[#This Row],[BO ID]],4,5)</f>
        <v>#REF!</v>
      </c>
      <c r="AF416" s="201" t="e">
        <f>MID(INVESTORS_LIST[[#This Row],[BO ID]],2,7)</f>
        <v>#REF!</v>
      </c>
      <c r="AG416" s="201" t="e">
        <f>MID(INVESTORS_LIST[[#This Row],[BO ID]],9,7)</f>
        <v>#REF!</v>
      </c>
      <c r="AH416" s="201" t="e">
        <f>RIGHT(INVESTORS_LIST[[#This Row],[BO ID]],1)</f>
        <v>#REF!</v>
      </c>
      <c r="AI416" s="50">
        <f>INVESTORS_LIST[[#This Row],[LS_TOTAL COST VALUE OF CURRENT UNITS]]+INVESTORS_LIST[[#This Row],[SIP_TOTAL COST VALUE OF CURRENT UNITS]]</f>
        <v>0</v>
      </c>
      <c r="AJ416" s="109">
        <f>IF(INVESTORS_LIST[[#This Row],[TOTAL CURRENT UNITS]]=0,0,INVESTORS_LIST[[#This Row],[LS_TOTAL CURRENT UNITS]]/INVESTORS_LIST[[#This Row],[TOTAL CURRENT UNITS]])</f>
        <v>0</v>
      </c>
      <c r="AK416" s="109">
        <f>IF(INVESTORS_LIST[[#This Row],[TOTAL CURRENT UNITS]]=0,0,INVESTORS_LIST[[#This Row],[SIP_TOTAL CURRENT UNITS]]/INVESTORS_LIST[[#This Row],[TOTAL CURRENT UNITS]])</f>
        <v>0</v>
      </c>
      <c r="AL416" s="49" cm="1">
        <f t="array" ref="AL4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6" s="49" cm="1">
        <f t="array" ref="AM4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6" s="105">
        <f t="shared" si="7"/>
        <v>14.224</v>
      </c>
      <c r="AP416" s="112">
        <f>IF(INVESTORS_LIST[[#This Row],[TOTAL CURRENT UNITS]]=0,0,INVESTORS_LIST[[#This Row],[TOTAL CURRENT UNITS]]*INVESTORS_LIST[[#This Row],[NAV]])</f>
        <v>0</v>
      </c>
      <c r="AQ416" s="49">
        <f>IF(INVESTORS_LIST[[#This Row],[LS_TOTAL CURRENT UNITS]]=0,0,INVESTORS_LIST[[#This Row],[LS_TOTAL CURRENT UNITS]]*INVESTORS_LIST[[#This Row],[NAV]])</f>
        <v>0</v>
      </c>
      <c r="AR416" s="48">
        <f>IF(INVESTORS_LIST[[#This Row],[SIP_TOTAL CURRENT UNITS]]=0,0,INVESTORS_LIST[[#This Row],[SIP_TOTAL CURRENT UNITS]]*INVESTORS_LIST[[#This Row],[NAV]])</f>
        <v>0</v>
      </c>
      <c r="AS416" s="50">
        <f>INVESTORS_LIST[[#This Row],[TOTAL CURRENT UNITS]]</f>
        <v>0</v>
      </c>
      <c r="AT416" s="48">
        <f>IF(INVESTORS_LIST[[#This Row],[TOTAL SELLABLE UNITS]]=0,0,INVESTORS_LIST[[#This Row],[TOTAL SELLABLE UNITS]]*INVESTORS_LIST[[#This Row],[NAV]])</f>
        <v>0</v>
      </c>
      <c r="AU416" s="48">
        <f>INVESTORS_LIST[[#This Row],[LS_TOTAL REALIZED GAIN]]+INVESTORS_LIST[[#This Row],[SIP_TOTAL REALIZED GAIN]]</f>
        <v>0</v>
      </c>
      <c r="AV416" s="48">
        <f>INVESTORS_LIST[[#This Row],[TOTAL MARKET VALUE]]-INVESTORS_LIST[[#This Row],[TOTAL COST VALUE OF CURRENT INVESTMENT]]</f>
        <v>0</v>
      </c>
      <c r="AW416" s="48">
        <f>IFERROR(INVESTORS_LIST[[#This Row],[TOTAL CURRENT UNITS]]/SUM(INVESTORS_LIST[TOTAL CURRENT UNITS]),0)</f>
        <v>0</v>
      </c>
    </row>
    <row r="417" spans="1:49">
      <c r="A417" s="262" t="s">
        <v>879</v>
      </c>
      <c r="B417" s="97" t="s">
        <v>880</v>
      </c>
      <c r="C417" t="s">
        <v>44</v>
      </c>
      <c r="D417" s="75" t="s">
        <v>45</v>
      </c>
      <c r="E417" s="47">
        <f>SUMIFS(LS[Unit],LS[Investor ID],INVESTORS_LIST[[#This Row],[INVESTOR CODE]],LS[B/S],"B")</f>
        <v>41173</v>
      </c>
      <c r="F417" s="47">
        <f>-SUMIFS(LS[Unit],LS[Investor ID],INVESTORS_LIST[[#This Row],[INVESTOR CODE]],LS[B/S],"S")</f>
        <v>0</v>
      </c>
      <c r="G417" s="47">
        <f>IF(INVESTORS_LIST[[#This Row],[LS_TOTAL UNITS BUY]]=0,0,INVESTORS_LIST[[#This Row],[LS_TOTAL UNITS BUY]]-INVESTORS_LIST[[#This Row],[LS_TOTAL UNITS SOLD]])</f>
        <v>41173</v>
      </c>
      <c r="H417" s="49">
        <f>IF(INVESTORS_LIST[[#This Row],[LS_TOTAL UNITS BUY]]=0,0,SUMIFS(LS[Amount],LS[Investor ID],INVESTORS_LIST[[#This Row],[INVESTOR CODE]],LS[B/S],"B"))</f>
        <v>500000</v>
      </c>
      <c r="I417" s="48">
        <f>IF(INVESTORS_LIST[[#This Row],[LS_TOTAL UNITS SOLD]]=0,0,SUMIFS(LS[Cost of Units Sold],LS[Investor ID],INVESTORS_LIST[[#This Row],[INVESTOR CODE]],LS[B/S],"S"))</f>
        <v>0</v>
      </c>
      <c r="J417" s="48">
        <f>IF(INVESTORS_LIST[[#This Row],[LS_TOTAL CURRENT UNITS]]=0,0,INVESTORS_LIST[[#This Row],[LS_TOTAL CURRENT UNITS]]*INVESTORS_LIST[[#This Row],[LS_AVERAGE COST]])</f>
        <v>500000</v>
      </c>
      <c r="K417" s="49">
        <f>IF(INVESTORS_LIST[[#This Row],[LS_TOTAL UNITS SOLD]]=0,0,SUMIFS(LS[Realized Gain],LS[Investor ID],INVESTORS_LIST[[#This Row],[INVESTOR CODE]],LS[B/S],"S"))</f>
        <v>0</v>
      </c>
      <c r="L417" s="47">
        <f>SUMIFS(SIP[Unit],SIP[Investor ID],INVESTORS_LIST[[#This Row],[INVESTOR CODE]],SIP[B/S],"B")</f>
        <v>0</v>
      </c>
      <c r="M417" s="47">
        <f>-SUMIFS(SIP[Unit],SIP[Investor ID],INVESTORS_LIST[[#This Row],[INVESTOR CODE]],SIP[B/S],"S")</f>
        <v>0</v>
      </c>
      <c r="N417" s="50">
        <f>IF(INVESTORS_LIST[[#This Row],[SIP_TOTAL UNITS BUY]]=0,0,INVESTORS_LIST[[#This Row],[SIP_TOTAL UNITS BUY]]-INVESTORS_LIST[[#This Row],[SIP_TOTAL UNITS SOLD]])</f>
        <v>0</v>
      </c>
      <c r="O417" s="49">
        <f>IF(INVESTORS_LIST[[#This Row],[SIP_TOTAL UNITS BUY]]=0,0,SUMIFS(SIP[Amount],SIP[Investor ID],INVESTORS_LIST[[#This Row],[INVESTOR CODE]],SIP[B/S],"B"))</f>
        <v>0</v>
      </c>
      <c r="P417" s="49">
        <f>IF(INVESTORS_LIST[[#This Row],[SIP_TOTAL UNITS SOLD]]=0,0,SUMIFS(SIP[Cost of Units Sold],SIP[Investor ID],INVESTORS_LIST[[#This Row],[INVESTOR CODE]],SIP[B/S],"S"))</f>
        <v>0</v>
      </c>
      <c r="Q417" s="48">
        <f>IF(INVESTORS_LIST[[#This Row],[SIP_TOTAL CURRENT UNITS]]=0,0,INVESTORS_LIST[[#This Row],[SIP_TOTAL CURRENT UNITS]]*INVESTORS_LIST[[#This Row],[SIP_AVERAGE COST]])</f>
        <v>0</v>
      </c>
      <c r="R417" s="48">
        <f>IF(INVESTORS_LIST[[#This Row],[SIP_TOTAL UNITS SOLD]]=0,0,SUMIFS(SIP[Realized Gain],SIP[Investor ID],INVESTORS_LIST[[#This Row],[INVESTOR CODE]],SIP[B/S],"S"))</f>
        <v>0</v>
      </c>
      <c r="S417" s="50">
        <f>INVESTORS_LIST[[#This Row],[LS_TOTAL UNITS BUY]]+INVESTORS_LIST[[#This Row],[SIP_TOTAL UNITS BUY]]</f>
        <v>41173</v>
      </c>
      <c r="T417" s="50">
        <f>INVESTORS_LIST[[#This Row],[LS_TOTAL UNITS SOLD]]+INVESTORS_LIST[[#This Row],[SIP_TOTAL UNITS SOLD]]</f>
        <v>0</v>
      </c>
      <c r="U417" s="50"/>
      <c r="V417" s="50">
        <f>SUMIFS(LS[BO UNIT TRANSFER],LS[Investor ID],INVESTORS_LIST[[#This Row],[INVESTOR CODE]],LS[B/S],"B")</f>
        <v>0</v>
      </c>
      <c r="W417" s="50">
        <f>SUMIFS(SIP[BO UNIT TRANSFER],SIP[Investor ID],INVESTORS_LIST[[#This Row],[INVESTOR CODE]],SIP[B/S],"B")</f>
        <v>0</v>
      </c>
      <c r="X417" s="50">
        <f>SUMIFS(LS[BO UNIT TRANSFER],LS[Investor ID],INVESTORS_LIST[[#This Row],[INVESTOR CODE]],LS[B/S],"S")</f>
        <v>0</v>
      </c>
      <c r="Y417" s="50">
        <f>SUMIFS(SIP[BO UNIT TRANSFER],SIP[Investor ID],INVESTORS_LIST[[#This Row],[INVESTOR CODE]],SIP[B/S],"S")</f>
        <v>0</v>
      </c>
      <c r="Z417" s="106">
        <f>SUM(INVESTORS_LIST[[#This Row],[BO OPENING BALANCE]:[BO SIP UNITS REPURCHASE]])</f>
        <v>0</v>
      </c>
      <c r="AA417" s="107">
        <f>INVESTORS_LIST[[#This Row],[TOTAL UNITS BUY]]-INVESTORS_LIST[[#This Row],[TOTAL UNITS SOLD]]</f>
        <v>41173</v>
      </c>
      <c r="AB417" s="107">
        <f>INVESTORS_LIST[[#This Row],[TOTAL CURRENT UNITS]]-INVESTORS_LIST[[#This Row],[BO UNITS HOLD]]</f>
        <v>41173</v>
      </c>
      <c r="AC417" s="201" t="e">
        <f>INDEX([3]!Table_1[BO ID],MATCH(INVESTORS_LIST[[#This Row],[INVESTOR CODE]],[3]!Table_1[INVESTOR CODE],0))</f>
        <v>#REF!</v>
      </c>
      <c r="AD417" s="201" t="e">
        <f>INDEX([3]!Table_1[Brokerage Name2],MATCH(INVESTORS_LIST[[#This Row],[INVESTOR CODE]],[3]!Table_1[INVESTOR CODE],0))</f>
        <v>#REF!</v>
      </c>
      <c r="AE417" s="201" t="e">
        <f>MID(INVESTORS_LIST[[#This Row],[BO ID]],4,5)</f>
        <v>#REF!</v>
      </c>
      <c r="AF417" s="201" t="e">
        <f>MID(INVESTORS_LIST[[#This Row],[BO ID]],2,7)</f>
        <v>#REF!</v>
      </c>
      <c r="AG417" s="201" t="e">
        <f>MID(INVESTORS_LIST[[#This Row],[BO ID]],9,7)</f>
        <v>#REF!</v>
      </c>
      <c r="AH417" s="201" t="e">
        <f>RIGHT(INVESTORS_LIST[[#This Row],[BO ID]],1)</f>
        <v>#REF!</v>
      </c>
      <c r="AI417" s="50">
        <f>INVESTORS_LIST[[#This Row],[LS_TOTAL COST VALUE OF CURRENT UNITS]]+INVESTORS_LIST[[#This Row],[SIP_TOTAL COST VALUE OF CURRENT UNITS]]</f>
        <v>500000</v>
      </c>
      <c r="AJ417" s="109">
        <f>IF(INVESTORS_LIST[[#This Row],[TOTAL CURRENT UNITS]]=0,0,INVESTORS_LIST[[#This Row],[LS_TOTAL CURRENT UNITS]]/INVESTORS_LIST[[#This Row],[TOTAL CURRENT UNITS]])</f>
        <v>1</v>
      </c>
      <c r="AK417" s="109">
        <f>IF(INVESTORS_LIST[[#This Row],[TOTAL CURRENT UNITS]]=0,0,INVESTORS_LIST[[#This Row],[SIP_TOTAL CURRENT UNITS]]/INVESTORS_LIST[[#This Row],[TOTAL CURRENT UNITS]])</f>
        <v>0</v>
      </c>
      <c r="AL417" s="49" cm="1">
        <f t="array" ref="AL417">IF(INVESTORS_LIST[[#This Row],[LS_TOTAL UNITS BUY]]&gt;0,INDEX(LS[NAV at Cost (Average)],MATCH(CONCATENATE(COUNTIFS(LS[Investor ID],INVESTORS_LIST[[#This Row],[INVESTOR CODE]]),INVESTORS_LIST[[#This Row],[INVESTOR CODE]]),LS[Unique Code],0),),0)</f>
        <v>12.143880698516018</v>
      </c>
      <c r="AM417" s="49" cm="1">
        <f t="array" ref="AM4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7" s="105">
        <f>IF(INVESTORS_LIST[[#This Row],[TOTAL CURRENT UNITS]]=0,0,(INVESTORS_LIST[[#This Row],[LS_WEIGHT]]*INVESTORS_LIST[[#This Row],[LS_AVERAGE COST]])+(INVESTORS_LIST[[#This Row],[SIP_WEIGHT]]*INVESTORS_LIST[[#This Row],[SIP_AVERAGE COST]]))</f>
        <v>12.143880698516018</v>
      </c>
      <c r="AO417" s="105">
        <f t="shared" si="7"/>
        <v>14.224</v>
      </c>
      <c r="AP417" s="112">
        <f>IF(INVESTORS_LIST[[#This Row],[TOTAL CURRENT UNITS]]=0,0,INVESTORS_LIST[[#This Row],[TOTAL CURRENT UNITS]]*INVESTORS_LIST[[#This Row],[NAV]])</f>
        <v>585644.75199999998</v>
      </c>
      <c r="AQ417" s="49">
        <f>IF(INVESTORS_LIST[[#This Row],[LS_TOTAL CURRENT UNITS]]=0,0,INVESTORS_LIST[[#This Row],[LS_TOTAL CURRENT UNITS]]*INVESTORS_LIST[[#This Row],[NAV]])</f>
        <v>585644.75199999998</v>
      </c>
      <c r="AR417" s="48">
        <f>IF(INVESTORS_LIST[[#This Row],[SIP_TOTAL CURRENT UNITS]]=0,0,INVESTORS_LIST[[#This Row],[SIP_TOTAL CURRENT UNITS]]*INVESTORS_LIST[[#This Row],[NAV]])</f>
        <v>0</v>
      </c>
      <c r="AS417" s="50">
        <f>INVESTORS_LIST[[#This Row],[TOTAL CURRENT UNITS]]</f>
        <v>41173</v>
      </c>
      <c r="AT417" s="48">
        <f>IF(INVESTORS_LIST[[#This Row],[TOTAL SELLABLE UNITS]]=0,0,INVESTORS_LIST[[#This Row],[TOTAL SELLABLE UNITS]]*INVESTORS_LIST[[#This Row],[NAV]])</f>
        <v>585644.75199999998</v>
      </c>
      <c r="AU417" s="48">
        <f>INVESTORS_LIST[[#This Row],[LS_TOTAL REALIZED GAIN]]+INVESTORS_LIST[[#This Row],[SIP_TOTAL REALIZED GAIN]]</f>
        <v>0</v>
      </c>
      <c r="AV417" s="48">
        <f>INVESTORS_LIST[[#This Row],[TOTAL MARKET VALUE]]-INVESTORS_LIST[[#This Row],[TOTAL COST VALUE OF CURRENT INVESTMENT]]</f>
        <v>85644.751999999979</v>
      </c>
      <c r="AW417" s="48">
        <f>IFERROR(INVESTORS_LIST[[#This Row],[TOTAL CURRENT UNITS]]/SUM(INVESTORS_LIST[TOTAL CURRENT UNITS]),0)</f>
        <v>9.9952430770627594E-4</v>
      </c>
    </row>
    <row r="418" spans="1:49" hidden="1">
      <c r="A418" s="262" t="s">
        <v>881</v>
      </c>
      <c r="B418" s="97" t="s">
        <v>882</v>
      </c>
      <c r="C418" t="s">
        <v>44</v>
      </c>
      <c r="D418" s="75" t="s">
        <v>45</v>
      </c>
      <c r="E418" s="47">
        <f>SUMIFS(LS[Unit],LS[Investor ID],INVESTORS_LIST[[#This Row],[INVESTOR CODE]],LS[B/S],"B")</f>
        <v>0</v>
      </c>
      <c r="F418" s="47">
        <f>-SUMIFS(LS[Unit],LS[Investor ID],INVESTORS_LIST[[#This Row],[INVESTOR CODE]],LS[B/S],"S")</f>
        <v>0</v>
      </c>
      <c r="G418" s="47">
        <f>IF(INVESTORS_LIST[[#This Row],[LS_TOTAL UNITS BUY]]=0,0,INVESTORS_LIST[[#This Row],[LS_TOTAL UNITS BUY]]-INVESTORS_LIST[[#This Row],[LS_TOTAL UNITS SOLD]])</f>
        <v>0</v>
      </c>
      <c r="H418" s="49">
        <f>IF(INVESTORS_LIST[[#This Row],[LS_TOTAL UNITS BUY]]=0,0,SUMIFS(LS[Amount],LS[Investor ID],INVESTORS_LIST[[#This Row],[INVESTOR CODE]],LS[B/S],"B"))</f>
        <v>0</v>
      </c>
      <c r="I418" s="48">
        <f>IF(INVESTORS_LIST[[#This Row],[LS_TOTAL UNITS SOLD]]=0,0,SUMIFS(LS[Cost of Units Sold],LS[Investor ID],INVESTORS_LIST[[#This Row],[INVESTOR CODE]],LS[B/S],"S"))</f>
        <v>0</v>
      </c>
      <c r="J418" s="48">
        <f>IF(INVESTORS_LIST[[#This Row],[LS_TOTAL CURRENT UNITS]]=0,0,INVESTORS_LIST[[#This Row],[LS_TOTAL CURRENT UNITS]]*INVESTORS_LIST[[#This Row],[LS_AVERAGE COST]])</f>
        <v>0</v>
      </c>
      <c r="K418" s="49">
        <f>IF(INVESTORS_LIST[[#This Row],[LS_TOTAL UNITS SOLD]]=0,0,SUMIFS(LS[Realized Gain],LS[Investor ID],INVESTORS_LIST[[#This Row],[INVESTOR CODE]],LS[B/S],"S"))</f>
        <v>0</v>
      </c>
      <c r="L418" s="47">
        <f>SUMIFS(SIP[Unit],SIP[Investor ID],INVESTORS_LIST[[#This Row],[INVESTOR CODE]],SIP[B/S],"B")</f>
        <v>0</v>
      </c>
      <c r="M418" s="47">
        <f>-SUMIFS(SIP[Unit],SIP[Investor ID],INVESTORS_LIST[[#This Row],[INVESTOR CODE]],SIP[B/S],"S")</f>
        <v>0</v>
      </c>
      <c r="N418" s="50">
        <f>IF(INVESTORS_LIST[[#This Row],[SIP_TOTAL UNITS BUY]]=0,0,INVESTORS_LIST[[#This Row],[SIP_TOTAL UNITS BUY]]-INVESTORS_LIST[[#This Row],[SIP_TOTAL UNITS SOLD]])</f>
        <v>0</v>
      </c>
      <c r="O418" s="49">
        <f>IF(INVESTORS_LIST[[#This Row],[SIP_TOTAL UNITS BUY]]=0,0,SUMIFS(SIP[Amount],SIP[Investor ID],INVESTORS_LIST[[#This Row],[INVESTOR CODE]],SIP[B/S],"B"))</f>
        <v>0</v>
      </c>
      <c r="P418" s="49">
        <f>IF(INVESTORS_LIST[[#This Row],[SIP_TOTAL UNITS SOLD]]=0,0,SUMIFS(SIP[Cost of Units Sold],SIP[Investor ID],INVESTORS_LIST[[#This Row],[INVESTOR CODE]],SIP[B/S],"S"))</f>
        <v>0</v>
      </c>
      <c r="Q418" s="48">
        <f>IF(INVESTORS_LIST[[#This Row],[SIP_TOTAL CURRENT UNITS]]=0,0,INVESTORS_LIST[[#This Row],[SIP_TOTAL CURRENT UNITS]]*INVESTORS_LIST[[#This Row],[SIP_AVERAGE COST]])</f>
        <v>0</v>
      </c>
      <c r="R418" s="48">
        <f>IF(INVESTORS_LIST[[#This Row],[SIP_TOTAL UNITS SOLD]]=0,0,SUMIFS(SIP[Realized Gain],SIP[Investor ID],INVESTORS_LIST[[#This Row],[INVESTOR CODE]],SIP[B/S],"S"))</f>
        <v>0</v>
      </c>
      <c r="S418" s="50">
        <f>INVESTORS_LIST[[#This Row],[LS_TOTAL UNITS BUY]]+INVESTORS_LIST[[#This Row],[SIP_TOTAL UNITS BUY]]</f>
        <v>0</v>
      </c>
      <c r="T418" s="50">
        <f>INVESTORS_LIST[[#This Row],[LS_TOTAL UNITS SOLD]]+INVESTORS_LIST[[#This Row],[SIP_TOTAL UNITS SOLD]]</f>
        <v>0</v>
      </c>
      <c r="U418" s="50"/>
      <c r="V418" s="50">
        <f>SUMIFS(LS[BO UNIT TRANSFER],LS[Investor ID],INVESTORS_LIST[[#This Row],[INVESTOR CODE]],LS[B/S],"B")</f>
        <v>0</v>
      </c>
      <c r="W418" s="50">
        <f>SUMIFS(SIP[BO UNIT TRANSFER],SIP[Investor ID],INVESTORS_LIST[[#This Row],[INVESTOR CODE]],SIP[B/S],"B")</f>
        <v>0</v>
      </c>
      <c r="X418" s="50">
        <f>SUMIFS(LS[BO UNIT TRANSFER],LS[Investor ID],INVESTORS_LIST[[#This Row],[INVESTOR CODE]],LS[B/S],"S")</f>
        <v>0</v>
      </c>
      <c r="Y418" s="50">
        <f>SUMIFS(SIP[BO UNIT TRANSFER],SIP[Investor ID],INVESTORS_LIST[[#This Row],[INVESTOR CODE]],SIP[B/S],"S")</f>
        <v>0</v>
      </c>
      <c r="Z418" s="106">
        <f>SUM(INVESTORS_LIST[[#This Row],[BO OPENING BALANCE]:[BO SIP UNITS REPURCHASE]])</f>
        <v>0</v>
      </c>
      <c r="AA418" s="107">
        <f>INVESTORS_LIST[[#This Row],[TOTAL UNITS BUY]]-INVESTORS_LIST[[#This Row],[TOTAL UNITS SOLD]]</f>
        <v>0</v>
      </c>
      <c r="AB418" s="107">
        <f>INVESTORS_LIST[[#This Row],[TOTAL CURRENT UNITS]]-INVESTORS_LIST[[#This Row],[BO UNITS HOLD]]</f>
        <v>0</v>
      </c>
      <c r="AC418" s="201" t="e">
        <f>INDEX([3]!Table_1[BO ID],MATCH(INVESTORS_LIST[[#This Row],[INVESTOR CODE]],[3]!Table_1[INVESTOR CODE],0))</f>
        <v>#REF!</v>
      </c>
      <c r="AD418" s="201" t="e">
        <f>INDEX([3]!Table_1[Brokerage Name2],MATCH(INVESTORS_LIST[[#This Row],[INVESTOR CODE]],[3]!Table_1[INVESTOR CODE],0))</f>
        <v>#REF!</v>
      </c>
      <c r="AE418" s="201" t="e">
        <f>MID(INVESTORS_LIST[[#This Row],[BO ID]],4,5)</f>
        <v>#REF!</v>
      </c>
      <c r="AF418" s="201" t="e">
        <f>MID(INVESTORS_LIST[[#This Row],[BO ID]],2,7)</f>
        <v>#REF!</v>
      </c>
      <c r="AG418" s="201" t="e">
        <f>MID(INVESTORS_LIST[[#This Row],[BO ID]],9,7)</f>
        <v>#REF!</v>
      </c>
      <c r="AH418" s="201" t="e">
        <f>RIGHT(INVESTORS_LIST[[#This Row],[BO ID]],1)</f>
        <v>#REF!</v>
      </c>
      <c r="AI418" s="50">
        <f>INVESTORS_LIST[[#This Row],[LS_TOTAL COST VALUE OF CURRENT UNITS]]+INVESTORS_LIST[[#This Row],[SIP_TOTAL COST VALUE OF CURRENT UNITS]]</f>
        <v>0</v>
      </c>
      <c r="AJ418" s="109">
        <f>IF(INVESTORS_LIST[[#This Row],[TOTAL CURRENT UNITS]]=0,0,INVESTORS_LIST[[#This Row],[LS_TOTAL CURRENT UNITS]]/INVESTORS_LIST[[#This Row],[TOTAL CURRENT UNITS]])</f>
        <v>0</v>
      </c>
      <c r="AK418" s="109">
        <f>IF(INVESTORS_LIST[[#This Row],[TOTAL CURRENT UNITS]]=0,0,INVESTORS_LIST[[#This Row],[SIP_TOTAL CURRENT UNITS]]/INVESTORS_LIST[[#This Row],[TOTAL CURRENT UNITS]])</f>
        <v>0</v>
      </c>
      <c r="AL418" s="49" cm="1">
        <f t="array" ref="AL4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8" s="49" cm="1">
        <f t="array" ref="AM4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8" s="105">
        <f t="shared" si="7"/>
        <v>14.224</v>
      </c>
      <c r="AP418" s="112">
        <f>IF(INVESTORS_LIST[[#This Row],[TOTAL CURRENT UNITS]]=0,0,INVESTORS_LIST[[#This Row],[TOTAL CURRENT UNITS]]*INVESTORS_LIST[[#This Row],[NAV]])</f>
        <v>0</v>
      </c>
      <c r="AQ418" s="49">
        <f>IF(INVESTORS_LIST[[#This Row],[LS_TOTAL CURRENT UNITS]]=0,0,INVESTORS_LIST[[#This Row],[LS_TOTAL CURRENT UNITS]]*INVESTORS_LIST[[#This Row],[NAV]])</f>
        <v>0</v>
      </c>
      <c r="AR418" s="48">
        <f>IF(INVESTORS_LIST[[#This Row],[SIP_TOTAL CURRENT UNITS]]=0,0,INVESTORS_LIST[[#This Row],[SIP_TOTAL CURRENT UNITS]]*INVESTORS_LIST[[#This Row],[NAV]])</f>
        <v>0</v>
      </c>
      <c r="AS418" s="50">
        <f>INVESTORS_LIST[[#This Row],[TOTAL CURRENT UNITS]]</f>
        <v>0</v>
      </c>
      <c r="AT418" s="48">
        <f>IF(INVESTORS_LIST[[#This Row],[TOTAL SELLABLE UNITS]]=0,0,INVESTORS_LIST[[#This Row],[TOTAL SELLABLE UNITS]]*INVESTORS_LIST[[#This Row],[NAV]])</f>
        <v>0</v>
      </c>
      <c r="AU418" s="48">
        <f>INVESTORS_LIST[[#This Row],[LS_TOTAL REALIZED GAIN]]+INVESTORS_LIST[[#This Row],[SIP_TOTAL REALIZED GAIN]]</f>
        <v>0</v>
      </c>
      <c r="AV418" s="48">
        <f>INVESTORS_LIST[[#This Row],[TOTAL MARKET VALUE]]-INVESTORS_LIST[[#This Row],[TOTAL COST VALUE OF CURRENT INVESTMENT]]</f>
        <v>0</v>
      </c>
      <c r="AW418" s="48">
        <f>IFERROR(INVESTORS_LIST[[#This Row],[TOTAL CURRENT UNITS]]/SUM(INVESTORS_LIST[TOTAL CURRENT UNITS]),0)</f>
        <v>0</v>
      </c>
    </row>
    <row r="419" spans="1:49" hidden="1">
      <c r="A419" s="262" t="s">
        <v>883</v>
      </c>
      <c r="B419" s="97" t="s">
        <v>884</v>
      </c>
      <c r="C419" t="s">
        <v>44</v>
      </c>
      <c r="D419" s="75" t="s">
        <v>45</v>
      </c>
      <c r="E419" s="47">
        <f>SUMIFS(LS[Unit],LS[Investor ID],INVESTORS_LIST[[#This Row],[INVESTOR CODE]],LS[B/S],"B")</f>
        <v>0</v>
      </c>
      <c r="F419" s="47">
        <f>-SUMIFS(LS[Unit],LS[Investor ID],INVESTORS_LIST[[#This Row],[INVESTOR CODE]],LS[B/S],"S")</f>
        <v>0</v>
      </c>
      <c r="G419" s="47">
        <f>IF(INVESTORS_LIST[[#This Row],[LS_TOTAL UNITS BUY]]=0,0,INVESTORS_LIST[[#This Row],[LS_TOTAL UNITS BUY]]-INVESTORS_LIST[[#This Row],[LS_TOTAL UNITS SOLD]])</f>
        <v>0</v>
      </c>
      <c r="H419" s="49">
        <f>IF(INVESTORS_LIST[[#This Row],[LS_TOTAL UNITS BUY]]=0,0,SUMIFS(LS[Amount],LS[Investor ID],INVESTORS_LIST[[#This Row],[INVESTOR CODE]],LS[B/S],"B"))</f>
        <v>0</v>
      </c>
      <c r="I419" s="48">
        <f>IF(INVESTORS_LIST[[#This Row],[LS_TOTAL UNITS SOLD]]=0,0,SUMIFS(LS[Cost of Units Sold],LS[Investor ID],INVESTORS_LIST[[#This Row],[INVESTOR CODE]],LS[B/S],"S"))</f>
        <v>0</v>
      </c>
      <c r="J419" s="48">
        <f>IF(INVESTORS_LIST[[#This Row],[LS_TOTAL CURRENT UNITS]]=0,0,INVESTORS_LIST[[#This Row],[LS_TOTAL CURRENT UNITS]]*INVESTORS_LIST[[#This Row],[LS_AVERAGE COST]])</f>
        <v>0</v>
      </c>
      <c r="K419" s="49">
        <f>IF(INVESTORS_LIST[[#This Row],[LS_TOTAL UNITS SOLD]]=0,0,SUMIFS(LS[Realized Gain],LS[Investor ID],INVESTORS_LIST[[#This Row],[INVESTOR CODE]],LS[B/S],"S"))</f>
        <v>0</v>
      </c>
      <c r="L419" s="47">
        <f>SUMIFS(SIP[Unit],SIP[Investor ID],INVESTORS_LIST[[#This Row],[INVESTOR CODE]],SIP[B/S],"B")</f>
        <v>0</v>
      </c>
      <c r="M419" s="47">
        <f>-SUMIFS(SIP[Unit],SIP[Investor ID],INVESTORS_LIST[[#This Row],[INVESTOR CODE]],SIP[B/S],"S")</f>
        <v>0</v>
      </c>
      <c r="N419" s="50">
        <f>IF(INVESTORS_LIST[[#This Row],[SIP_TOTAL UNITS BUY]]=0,0,INVESTORS_LIST[[#This Row],[SIP_TOTAL UNITS BUY]]-INVESTORS_LIST[[#This Row],[SIP_TOTAL UNITS SOLD]])</f>
        <v>0</v>
      </c>
      <c r="O419" s="49">
        <f>IF(INVESTORS_LIST[[#This Row],[SIP_TOTAL UNITS BUY]]=0,0,SUMIFS(SIP[Amount],SIP[Investor ID],INVESTORS_LIST[[#This Row],[INVESTOR CODE]],SIP[B/S],"B"))</f>
        <v>0</v>
      </c>
      <c r="P419" s="49">
        <f>IF(INVESTORS_LIST[[#This Row],[SIP_TOTAL UNITS SOLD]]=0,0,SUMIFS(SIP[Cost of Units Sold],SIP[Investor ID],INVESTORS_LIST[[#This Row],[INVESTOR CODE]],SIP[B/S],"S"))</f>
        <v>0</v>
      </c>
      <c r="Q419" s="48">
        <f>IF(INVESTORS_LIST[[#This Row],[SIP_TOTAL CURRENT UNITS]]=0,0,INVESTORS_LIST[[#This Row],[SIP_TOTAL CURRENT UNITS]]*INVESTORS_LIST[[#This Row],[SIP_AVERAGE COST]])</f>
        <v>0</v>
      </c>
      <c r="R419" s="48">
        <f>IF(INVESTORS_LIST[[#This Row],[SIP_TOTAL UNITS SOLD]]=0,0,SUMIFS(SIP[Realized Gain],SIP[Investor ID],INVESTORS_LIST[[#This Row],[INVESTOR CODE]],SIP[B/S],"S"))</f>
        <v>0</v>
      </c>
      <c r="S419" s="50">
        <f>INVESTORS_LIST[[#This Row],[LS_TOTAL UNITS BUY]]+INVESTORS_LIST[[#This Row],[SIP_TOTAL UNITS BUY]]</f>
        <v>0</v>
      </c>
      <c r="T419" s="50">
        <f>INVESTORS_LIST[[#This Row],[LS_TOTAL UNITS SOLD]]+INVESTORS_LIST[[#This Row],[SIP_TOTAL UNITS SOLD]]</f>
        <v>0</v>
      </c>
      <c r="U419" s="50"/>
      <c r="V419" s="50">
        <f>SUMIFS(LS[BO UNIT TRANSFER],LS[Investor ID],INVESTORS_LIST[[#This Row],[INVESTOR CODE]],LS[B/S],"B")</f>
        <v>0</v>
      </c>
      <c r="W419" s="50">
        <f>SUMIFS(SIP[BO UNIT TRANSFER],SIP[Investor ID],INVESTORS_LIST[[#This Row],[INVESTOR CODE]],SIP[B/S],"B")</f>
        <v>0</v>
      </c>
      <c r="X419" s="50">
        <f>SUMIFS(LS[BO UNIT TRANSFER],LS[Investor ID],INVESTORS_LIST[[#This Row],[INVESTOR CODE]],LS[B/S],"S")</f>
        <v>0</v>
      </c>
      <c r="Y419" s="50">
        <f>SUMIFS(SIP[BO UNIT TRANSFER],SIP[Investor ID],INVESTORS_LIST[[#This Row],[INVESTOR CODE]],SIP[B/S],"S")</f>
        <v>0</v>
      </c>
      <c r="Z419" s="106">
        <f>SUM(INVESTORS_LIST[[#This Row],[BO OPENING BALANCE]:[BO SIP UNITS REPURCHASE]])</f>
        <v>0</v>
      </c>
      <c r="AA419" s="107">
        <f>INVESTORS_LIST[[#This Row],[TOTAL UNITS BUY]]-INVESTORS_LIST[[#This Row],[TOTAL UNITS SOLD]]</f>
        <v>0</v>
      </c>
      <c r="AB419" s="107">
        <f>INVESTORS_LIST[[#This Row],[TOTAL CURRENT UNITS]]-INVESTORS_LIST[[#This Row],[BO UNITS HOLD]]</f>
        <v>0</v>
      </c>
      <c r="AC419" s="201" t="e">
        <f>INDEX([3]!Table_1[BO ID],MATCH(INVESTORS_LIST[[#This Row],[INVESTOR CODE]],[3]!Table_1[INVESTOR CODE],0))</f>
        <v>#REF!</v>
      </c>
      <c r="AD419" s="201" t="e">
        <f>INDEX([3]!Table_1[Brokerage Name2],MATCH(INVESTORS_LIST[[#This Row],[INVESTOR CODE]],[3]!Table_1[INVESTOR CODE],0))</f>
        <v>#REF!</v>
      </c>
      <c r="AE419" s="201" t="e">
        <f>MID(INVESTORS_LIST[[#This Row],[BO ID]],4,5)</f>
        <v>#REF!</v>
      </c>
      <c r="AF419" s="201" t="e">
        <f>MID(INVESTORS_LIST[[#This Row],[BO ID]],2,7)</f>
        <v>#REF!</v>
      </c>
      <c r="AG419" s="201" t="e">
        <f>MID(INVESTORS_LIST[[#This Row],[BO ID]],9,7)</f>
        <v>#REF!</v>
      </c>
      <c r="AH419" s="201" t="e">
        <f>RIGHT(INVESTORS_LIST[[#This Row],[BO ID]],1)</f>
        <v>#REF!</v>
      </c>
      <c r="AI419" s="50">
        <f>INVESTORS_LIST[[#This Row],[LS_TOTAL COST VALUE OF CURRENT UNITS]]+INVESTORS_LIST[[#This Row],[SIP_TOTAL COST VALUE OF CURRENT UNITS]]</f>
        <v>0</v>
      </c>
      <c r="AJ419" s="109">
        <f>IF(INVESTORS_LIST[[#This Row],[TOTAL CURRENT UNITS]]=0,0,INVESTORS_LIST[[#This Row],[LS_TOTAL CURRENT UNITS]]/INVESTORS_LIST[[#This Row],[TOTAL CURRENT UNITS]])</f>
        <v>0</v>
      </c>
      <c r="AK419" s="109">
        <f>IF(INVESTORS_LIST[[#This Row],[TOTAL CURRENT UNITS]]=0,0,INVESTORS_LIST[[#This Row],[SIP_TOTAL CURRENT UNITS]]/INVESTORS_LIST[[#This Row],[TOTAL CURRENT UNITS]])</f>
        <v>0</v>
      </c>
      <c r="AL419" s="49" cm="1">
        <f t="array" ref="AL4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19" s="49" cm="1">
        <f t="array" ref="AM4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19" s="105">
        <f t="shared" si="7"/>
        <v>14.224</v>
      </c>
      <c r="AP419" s="112">
        <f>IF(INVESTORS_LIST[[#This Row],[TOTAL CURRENT UNITS]]=0,0,INVESTORS_LIST[[#This Row],[TOTAL CURRENT UNITS]]*INVESTORS_LIST[[#This Row],[NAV]])</f>
        <v>0</v>
      </c>
      <c r="AQ419" s="49">
        <f>IF(INVESTORS_LIST[[#This Row],[LS_TOTAL CURRENT UNITS]]=0,0,INVESTORS_LIST[[#This Row],[LS_TOTAL CURRENT UNITS]]*INVESTORS_LIST[[#This Row],[NAV]])</f>
        <v>0</v>
      </c>
      <c r="AR419" s="48">
        <f>IF(INVESTORS_LIST[[#This Row],[SIP_TOTAL CURRENT UNITS]]=0,0,INVESTORS_LIST[[#This Row],[SIP_TOTAL CURRENT UNITS]]*INVESTORS_LIST[[#This Row],[NAV]])</f>
        <v>0</v>
      </c>
      <c r="AS419" s="50">
        <f>INVESTORS_LIST[[#This Row],[TOTAL CURRENT UNITS]]</f>
        <v>0</v>
      </c>
      <c r="AT419" s="48">
        <f>IF(INVESTORS_LIST[[#This Row],[TOTAL SELLABLE UNITS]]=0,0,INVESTORS_LIST[[#This Row],[TOTAL SELLABLE UNITS]]*INVESTORS_LIST[[#This Row],[NAV]])</f>
        <v>0</v>
      </c>
      <c r="AU419" s="48">
        <f>INVESTORS_LIST[[#This Row],[LS_TOTAL REALIZED GAIN]]+INVESTORS_LIST[[#This Row],[SIP_TOTAL REALIZED GAIN]]</f>
        <v>0</v>
      </c>
      <c r="AV419" s="48">
        <f>INVESTORS_LIST[[#This Row],[TOTAL MARKET VALUE]]-INVESTORS_LIST[[#This Row],[TOTAL COST VALUE OF CURRENT INVESTMENT]]</f>
        <v>0</v>
      </c>
      <c r="AW419" s="48">
        <f>IFERROR(INVESTORS_LIST[[#This Row],[TOTAL CURRENT UNITS]]/SUM(INVESTORS_LIST[TOTAL CURRENT UNITS]),0)</f>
        <v>0</v>
      </c>
    </row>
    <row r="420" spans="1:49" hidden="1">
      <c r="A420" s="262" t="s">
        <v>885</v>
      </c>
      <c r="B420" s="97" t="s">
        <v>886</v>
      </c>
      <c r="C420" t="s">
        <v>67</v>
      </c>
      <c r="D420" s="75" t="s">
        <v>45</v>
      </c>
      <c r="E420" s="47">
        <f>SUMIFS(LS[Unit],LS[Investor ID],INVESTORS_LIST[[#This Row],[INVESTOR CODE]],LS[B/S],"B")</f>
        <v>0</v>
      </c>
      <c r="F420" s="47">
        <f>-SUMIFS(LS[Unit],LS[Investor ID],INVESTORS_LIST[[#This Row],[INVESTOR CODE]],LS[B/S],"S")</f>
        <v>0</v>
      </c>
      <c r="G420" s="47">
        <f>IF(INVESTORS_LIST[[#This Row],[LS_TOTAL UNITS BUY]]=0,0,INVESTORS_LIST[[#This Row],[LS_TOTAL UNITS BUY]]-INVESTORS_LIST[[#This Row],[LS_TOTAL UNITS SOLD]])</f>
        <v>0</v>
      </c>
      <c r="H420" s="49">
        <f>IF(INVESTORS_LIST[[#This Row],[LS_TOTAL UNITS BUY]]=0,0,SUMIFS(LS[Amount],LS[Investor ID],INVESTORS_LIST[[#This Row],[INVESTOR CODE]],LS[B/S],"B"))</f>
        <v>0</v>
      </c>
      <c r="I420" s="48">
        <f>IF(INVESTORS_LIST[[#This Row],[LS_TOTAL UNITS SOLD]]=0,0,SUMIFS(LS[Cost of Units Sold],LS[Investor ID],INVESTORS_LIST[[#This Row],[INVESTOR CODE]],LS[B/S],"S"))</f>
        <v>0</v>
      </c>
      <c r="J420" s="48">
        <f>IF(INVESTORS_LIST[[#This Row],[LS_TOTAL CURRENT UNITS]]=0,0,INVESTORS_LIST[[#This Row],[LS_TOTAL CURRENT UNITS]]*INVESTORS_LIST[[#This Row],[LS_AVERAGE COST]])</f>
        <v>0</v>
      </c>
      <c r="K420" s="49">
        <f>IF(INVESTORS_LIST[[#This Row],[LS_TOTAL UNITS SOLD]]=0,0,SUMIFS(LS[Realized Gain],LS[Investor ID],INVESTORS_LIST[[#This Row],[INVESTOR CODE]],LS[B/S],"S"))</f>
        <v>0</v>
      </c>
      <c r="L420" s="47">
        <f>SUMIFS(SIP[Unit],SIP[Investor ID],INVESTORS_LIST[[#This Row],[INVESTOR CODE]],SIP[B/S],"B")</f>
        <v>0</v>
      </c>
      <c r="M420" s="47">
        <f>-SUMIFS(SIP[Unit],SIP[Investor ID],INVESTORS_LIST[[#This Row],[INVESTOR CODE]],SIP[B/S],"S")</f>
        <v>0</v>
      </c>
      <c r="N420" s="50">
        <f>IF(INVESTORS_LIST[[#This Row],[SIP_TOTAL UNITS BUY]]=0,0,INVESTORS_LIST[[#This Row],[SIP_TOTAL UNITS BUY]]-INVESTORS_LIST[[#This Row],[SIP_TOTAL UNITS SOLD]])</f>
        <v>0</v>
      </c>
      <c r="O420" s="49">
        <f>IF(INVESTORS_LIST[[#This Row],[SIP_TOTAL UNITS BUY]]=0,0,SUMIFS(SIP[Amount],SIP[Investor ID],INVESTORS_LIST[[#This Row],[INVESTOR CODE]],SIP[B/S],"B"))</f>
        <v>0</v>
      </c>
      <c r="P420" s="49">
        <f>IF(INVESTORS_LIST[[#This Row],[SIP_TOTAL UNITS SOLD]]=0,0,SUMIFS(SIP[Cost of Units Sold],SIP[Investor ID],INVESTORS_LIST[[#This Row],[INVESTOR CODE]],SIP[B/S],"S"))</f>
        <v>0</v>
      </c>
      <c r="Q420" s="48">
        <f>IF(INVESTORS_LIST[[#This Row],[SIP_TOTAL CURRENT UNITS]]=0,0,INVESTORS_LIST[[#This Row],[SIP_TOTAL CURRENT UNITS]]*INVESTORS_LIST[[#This Row],[SIP_AVERAGE COST]])</f>
        <v>0</v>
      </c>
      <c r="R420" s="48">
        <f>IF(INVESTORS_LIST[[#This Row],[SIP_TOTAL UNITS SOLD]]=0,0,SUMIFS(SIP[Realized Gain],SIP[Investor ID],INVESTORS_LIST[[#This Row],[INVESTOR CODE]],SIP[B/S],"S"))</f>
        <v>0</v>
      </c>
      <c r="S420" s="50">
        <f>INVESTORS_LIST[[#This Row],[LS_TOTAL UNITS BUY]]+INVESTORS_LIST[[#This Row],[SIP_TOTAL UNITS BUY]]</f>
        <v>0</v>
      </c>
      <c r="T420" s="50">
        <f>INVESTORS_LIST[[#This Row],[LS_TOTAL UNITS SOLD]]+INVESTORS_LIST[[#This Row],[SIP_TOTAL UNITS SOLD]]</f>
        <v>0</v>
      </c>
      <c r="U420" s="50"/>
      <c r="V420" s="50">
        <f>SUMIFS(LS[BO UNIT TRANSFER],LS[Investor ID],INVESTORS_LIST[[#This Row],[INVESTOR CODE]],LS[B/S],"B")</f>
        <v>0</v>
      </c>
      <c r="W420" s="50">
        <f>SUMIFS(SIP[BO UNIT TRANSFER],SIP[Investor ID],INVESTORS_LIST[[#This Row],[INVESTOR CODE]],SIP[B/S],"B")</f>
        <v>0</v>
      </c>
      <c r="X420" s="50">
        <f>SUMIFS(LS[BO UNIT TRANSFER],LS[Investor ID],INVESTORS_LIST[[#This Row],[INVESTOR CODE]],LS[B/S],"S")</f>
        <v>0</v>
      </c>
      <c r="Y420" s="50">
        <f>SUMIFS(SIP[BO UNIT TRANSFER],SIP[Investor ID],INVESTORS_LIST[[#This Row],[INVESTOR CODE]],SIP[B/S],"S")</f>
        <v>0</v>
      </c>
      <c r="Z420" s="106">
        <f>SUM(INVESTORS_LIST[[#This Row],[BO OPENING BALANCE]:[BO SIP UNITS REPURCHASE]])</f>
        <v>0</v>
      </c>
      <c r="AA420" s="107">
        <f>INVESTORS_LIST[[#This Row],[TOTAL UNITS BUY]]-INVESTORS_LIST[[#This Row],[TOTAL UNITS SOLD]]</f>
        <v>0</v>
      </c>
      <c r="AB420" s="107">
        <f>INVESTORS_LIST[[#This Row],[TOTAL CURRENT UNITS]]-INVESTORS_LIST[[#This Row],[BO UNITS HOLD]]</f>
        <v>0</v>
      </c>
      <c r="AC420" s="201" t="e">
        <f>INDEX([3]!Table_1[BO ID],MATCH(INVESTORS_LIST[[#This Row],[INVESTOR CODE]],[3]!Table_1[INVESTOR CODE],0))</f>
        <v>#REF!</v>
      </c>
      <c r="AD420" s="201" t="e">
        <f>INDEX([3]!Table_1[Brokerage Name2],MATCH(INVESTORS_LIST[[#This Row],[INVESTOR CODE]],[3]!Table_1[INVESTOR CODE],0))</f>
        <v>#REF!</v>
      </c>
      <c r="AE420" s="201" t="e">
        <f>MID(INVESTORS_LIST[[#This Row],[BO ID]],4,5)</f>
        <v>#REF!</v>
      </c>
      <c r="AF420" s="201" t="e">
        <f>MID(INVESTORS_LIST[[#This Row],[BO ID]],2,7)</f>
        <v>#REF!</v>
      </c>
      <c r="AG420" s="201" t="e">
        <f>MID(INVESTORS_LIST[[#This Row],[BO ID]],9,7)</f>
        <v>#REF!</v>
      </c>
      <c r="AH420" s="201" t="e">
        <f>RIGHT(INVESTORS_LIST[[#This Row],[BO ID]],1)</f>
        <v>#REF!</v>
      </c>
      <c r="AI420" s="50">
        <f>INVESTORS_LIST[[#This Row],[LS_TOTAL COST VALUE OF CURRENT UNITS]]+INVESTORS_LIST[[#This Row],[SIP_TOTAL COST VALUE OF CURRENT UNITS]]</f>
        <v>0</v>
      </c>
      <c r="AJ420" s="109">
        <f>IF(INVESTORS_LIST[[#This Row],[TOTAL CURRENT UNITS]]=0,0,INVESTORS_LIST[[#This Row],[LS_TOTAL CURRENT UNITS]]/INVESTORS_LIST[[#This Row],[TOTAL CURRENT UNITS]])</f>
        <v>0</v>
      </c>
      <c r="AK420" s="109">
        <f>IF(INVESTORS_LIST[[#This Row],[TOTAL CURRENT UNITS]]=0,0,INVESTORS_LIST[[#This Row],[SIP_TOTAL CURRENT UNITS]]/INVESTORS_LIST[[#This Row],[TOTAL CURRENT UNITS]])</f>
        <v>0</v>
      </c>
      <c r="AL420" s="49" cm="1">
        <f t="array" ref="AL4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0" s="49" cm="1">
        <f t="array" ref="AM4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0" s="105">
        <f t="shared" si="7"/>
        <v>14.224</v>
      </c>
      <c r="AP420" s="112">
        <f>IF(INVESTORS_LIST[[#This Row],[TOTAL CURRENT UNITS]]=0,0,INVESTORS_LIST[[#This Row],[TOTAL CURRENT UNITS]]*INVESTORS_LIST[[#This Row],[NAV]])</f>
        <v>0</v>
      </c>
      <c r="AQ420" s="49">
        <f>IF(INVESTORS_LIST[[#This Row],[LS_TOTAL CURRENT UNITS]]=0,0,INVESTORS_LIST[[#This Row],[LS_TOTAL CURRENT UNITS]]*INVESTORS_LIST[[#This Row],[NAV]])</f>
        <v>0</v>
      </c>
      <c r="AR420" s="48">
        <f>IF(INVESTORS_LIST[[#This Row],[SIP_TOTAL CURRENT UNITS]]=0,0,INVESTORS_LIST[[#This Row],[SIP_TOTAL CURRENT UNITS]]*INVESTORS_LIST[[#This Row],[NAV]])</f>
        <v>0</v>
      </c>
      <c r="AS420" s="50">
        <f>INVESTORS_LIST[[#This Row],[TOTAL CURRENT UNITS]]</f>
        <v>0</v>
      </c>
      <c r="AT420" s="48">
        <f>IF(INVESTORS_LIST[[#This Row],[TOTAL SELLABLE UNITS]]=0,0,INVESTORS_LIST[[#This Row],[TOTAL SELLABLE UNITS]]*INVESTORS_LIST[[#This Row],[NAV]])</f>
        <v>0</v>
      </c>
      <c r="AU420" s="48">
        <f>INVESTORS_LIST[[#This Row],[LS_TOTAL REALIZED GAIN]]+INVESTORS_LIST[[#This Row],[SIP_TOTAL REALIZED GAIN]]</f>
        <v>0</v>
      </c>
      <c r="AV420" s="48">
        <f>INVESTORS_LIST[[#This Row],[TOTAL MARKET VALUE]]-INVESTORS_LIST[[#This Row],[TOTAL COST VALUE OF CURRENT INVESTMENT]]</f>
        <v>0</v>
      </c>
      <c r="AW420" s="48">
        <f>IFERROR(INVESTORS_LIST[[#This Row],[TOTAL CURRENT UNITS]]/SUM(INVESTORS_LIST[TOTAL CURRENT UNITS]),0)</f>
        <v>0</v>
      </c>
    </row>
    <row r="421" spans="1:49" hidden="1">
      <c r="A421" s="262" t="s">
        <v>887</v>
      </c>
      <c r="B421" s="97" t="s">
        <v>888</v>
      </c>
      <c r="C421" t="s">
        <v>44</v>
      </c>
      <c r="D421" s="75" t="s">
        <v>45</v>
      </c>
      <c r="E421" s="47">
        <f>SUMIFS(LS[Unit],LS[Investor ID],INVESTORS_LIST[[#This Row],[INVESTOR CODE]],LS[B/S],"B")</f>
        <v>0</v>
      </c>
      <c r="F421" s="47">
        <f>-SUMIFS(LS[Unit],LS[Investor ID],INVESTORS_LIST[[#This Row],[INVESTOR CODE]],LS[B/S],"S")</f>
        <v>0</v>
      </c>
      <c r="G421" s="47">
        <f>IF(INVESTORS_LIST[[#This Row],[LS_TOTAL UNITS BUY]]=0,0,INVESTORS_LIST[[#This Row],[LS_TOTAL UNITS BUY]]-INVESTORS_LIST[[#This Row],[LS_TOTAL UNITS SOLD]])</f>
        <v>0</v>
      </c>
      <c r="H421" s="49">
        <f>IF(INVESTORS_LIST[[#This Row],[LS_TOTAL UNITS BUY]]=0,0,SUMIFS(LS[Amount],LS[Investor ID],INVESTORS_LIST[[#This Row],[INVESTOR CODE]],LS[B/S],"B"))</f>
        <v>0</v>
      </c>
      <c r="I421" s="48">
        <f>IF(INVESTORS_LIST[[#This Row],[LS_TOTAL UNITS SOLD]]=0,0,SUMIFS(LS[Cost of Units Sold],LS[Investor ID],INVESTORS_LIST[[#This Row],[INVESTOR CODE]],LS[B/S],"S"))</f>
        <v>0</v>
      </c>
      <c r="J421" s="48">
        <f>IF(INVESTORS_LIST[[#This Row],[LS_TOTAL CURRENT UNITS]]=0,0,INVESTORS_LIST[[#This Row],[LS_TOTAL CURRENT UNITS]]*INVESTORS_LIST[[#This Row],[LS_AVERAGE COST]])</f>
        <v>0</v>
      </c>
      <c r="K421" s="49">
        <f>IF(INVESTORS_LIST[[#This Row],[LS_TOTAL UNITS SOLD]]=0,0,SUMIFS(LS[Realized Gain],LS[Investor ID],INVESTORS_LIST[[#This Row],[INVESTOR CODE]],LS[B/S],"S"))</f>
        <v>0</v>
      </c>
      <c r="L421" s="47">
        <f>SUMIFS(SIP[Unit],SIP[Investor ID],INVESTORS_LIST[[#This Row],[INVESTOR CODE]],SIP[B/S],"B")</f>
        <v>0</v>
      </c>
      <c r="M421" s="47">
        <f>-SUMIFS(SIP[Unit],SIP[Investor ID],INVESTORS_LIST[[#This Row],[INVESTOR CODE]],SIP[B/S],"S")</f>
        <v>0</v>
      </c>
      <c r="N421" s="50">
        <f>IF(INVESTORS_LIST[[#This Row],[SIP_TOTAL UNITS BUY]]=0,0,INVESTORS_LIST[[#This Row],[SIP_TOTAL UNITS BUY]]-INVESTORS_LIST[[#This Row],[SIP_TOTAL UNITS SOLD]])</f>
        <v>0</v>
      </c>
      <c r="O421" s="49">
        <f>IF(INVESTORS_LIST[[#This Row],[SIP_TOTAL UNITS BUY]]=0,0,SUMIFS(SIP[Amount],SIP[Investor ID],INVESTORS_LIST[[#This Row],[INVESTOR CODE]],SIP[B/S],"B"))</f>
        <v>0</v>
      </c>
      <c r="P421" s="49">
        <f>IF(INVESTORS_LIST[[#This Row],[SIP_TOTAL UNITS SOLD]]=0,0,SUMIFS(SIP[Cost of Units Sold],SIP[Investor ID],INVESTORS_LIST[[#This Row],[INVESTOR CODE]],SIP[B/S],"S"))</f>
        <v>0</v>
      </c>
      <c r="Q421" s="48">
        <f>IF(INVESTORS_LIST[[#This Row],[SIP_TOTAL CURRENT UNITS]]=0,0,INVESTORS_LIST[[#This Row],[SIP_TOTAL CURRENT UNITS]]*INVESTORS_LIST[[#This Row],[SIP_AVERAGE COST]])</f>
        <v>0</v>
      </c>
      <c r="R421" s="48">
        <f>IF(INVESTORS_LIST[[#This Row],[SIP_TOTAL UNITS SOLD]]=0,0,SUMIFS(SIP[Realized Gain],SIP[Investor ID],INVESTORS_LIST[[#This Row],[INVESTOR CODE]],SIP[B/S],"S"))</f>
        <v>0</v>
      </c>
      <c r="S421" s="50">
        <f>INVESTORS_LIST[[#This Row],[LS_TOTAL UNITS BUY]]+INVESTORS_LIST[[#This Row],[SIP_TOTAL UNITS BUY]]</f>
        <v>0</v>
      </c>
      <c r="T421" s="50">
        <f>INVESTORS_LIST[[#This Row],[LS_TOTAL UNITS SOLD]]+INVESTORS_LIST[[#This Row],[SIP_TOTAL UNITS SOLD]]</f>
        <v>0</v>
      </c>
      <c r="U421" s="50"/>
      <c r="V421" s="50">
        <f>SUMIFS(LS[BO UNIT TRANSFER],LS[Investor ID],INVESTORS_LIST[[#This Row],[INVESTOR CODE]],LS[B/S],"B")</f>
        <v>0</v>
      </c>
      <c r="W421" s="50">
        <f>SUMIFS(SIP[BO UNIT TRANSFER],SIP[Investor ID],INVESTORS_LIST[[#This Row],[INVESTOR CODE]],SIP[B/S],"B")</f>
        <v>0</v>
      </c>
      <c r="X421" s="50">
        <f>SUMIFS(LS[BO UNIT TRANSFER],LS[Investor ID],INVESTORS_LIST[[#This Row],[INVESTOR CODE]],LS[B/S],"S")</f>
        <v>0</v>
      </c>
      <c r="Y421" s="50">
        <f>SUMIFS(SIP[BO UNIT TRANSFER],SIP[Investor ID],INVESTORS_LIST[[#This Row],[INVESTOR CODE]],SIP[B/S],"S")</f>
        <v>0</v>
      </c>
      <c r="Z421" s="106">
        <f>SUM(INVESTORS_LIST[[#This Row],[BO OPENING BALANCE]:[BO SIP UNITS REPURCHASE]])</f>
        <v>0</v>
      </c>
      <c r="AA421" s="107">
        <f>INVESTORS_LIST[[#This Row],[TOTAL UNITS BUY]]-INVESTORS_LIST[[#This Row],[TOTAL UNITS SOLD]]</f>
        <v>0</v>
      </c>
      <c r="AB421" s="107">
        <f>INVESTORS_LIST[[#This Row],[TOTAL CURRENT UNITS]]-INVESTORS_LIST[[#This Row],[BO UNITS HOLD]]</f>
        <v>0</v>
      </c>
      <c r="AC421" s="201" t="e">
        <f>INDEX([3]!Table_1[BO ID],MATCH(INVESTORS_LIST[[#This Row],[INVESTOR CODE]],[3]!Table_1[INVESTOR CODE],0))</f>
        <v>#REF!</v>
      </c>
      <c r="AD421" s="201" t="e">
        <f>INDEX([3]!Table_1[Brokerage Name2],MATCH(INVESTORS_LIST[[#This Row],[INVESTOR CODE]],[3]!Table_1[INVESTOR CODE],0))</f>
        <v>#REF!</v>
      </c>
      <c r="AE421" s="201" t="e">
        <f>MID(INVESTORS_LIST[[#This Row],[BO ID]],4,5)</f>
        <v>#REF!</v>
      </c>
      <c r="AF421" s="201" t="e">
        <f>MID(INVESTORS_LIST[[#This Row],[BO ID]],2,7)</f>
        <v>#REF!</v>
      </c>
      <c r="AG421" s="201" t="e">
        <f>MID(INVESTORS_LIST[[#This Row],[BO ID]],9,7)</f>
        <v>#REF!</v>
      </c>
      <c r="AH421" s="201" t="e">
        <f>RIGHT(INVESTORS_LIST[[#This Row],[BO ID]],1)</f>
        <v>#REF!</v>
      </c>
      <c r="AI421" s="50">
        <f>INVESTORS_LIST[[#This Row],[LS_TOTAL COST VALUE OF CURRENT UNITS]]+INVESTORS_LIST[[#This Row],[SIP_TOTAL COST VALUE OF CURRENT UNITS]]</f>
        <v>0</v>
      </c>
      <c r="AJ421" s="109">
        <f>IF(INVESTORS_LIST[[#This Row],[TOTAL CURRENT UNITS]]=0,0,INVESTORS_LIST[[#This Row],[LS_TOTAL CURRENT UNITS]]/INVESTORS_LIST[[#This Row],[TOTAL CURRENT UNITS]])</f>
        <v>0</v>
      </c>
      <c r="AK421" s="109">
        <f>IF(INVESTORS_LIST[[#This Row],[TOTAL CURRENT UNITS]]=0,0,INVESTORS_LIST[[#This Row],[SIP_TOTAL CURRENT UNITS]]/INVESTORS_LIST[[#This Row],[TOTAL CURRENT UNITS]])</f>
        <v>0</v>
      </c>
      <c r="AL421" s="49" cm="1">
        <f t="array" ref="AL4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1" s="49" cm="1">
        <f t="array" ref="AM4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1" s="105">
        <f t="shared" si="7"/>
        <v>14.224</v>
      </c>
      <c r="AP421" s="112">
        <f>IF(INVESTORS_LIST[[#This Row],[TOTAL CURRENT UNITS]]=0,0,INVESTORS_LIST[[#This Row],[TOTAL CURRENT UNITS]]*INVESTORS_LIST[[#This Row],[NAV]])</f>
        <v>0</v>
      </c>
      <c r="AQ421" s="49">
        <f>IF(INVESTORS_LIST[[#This Row],[LS_TOTAL CURRENT UNITS]]=0,0,INVESTORS_LIST[[#This Row],[LS_TOTAL CURRENT UNITS]]*INVESTORS_LIST[[#This Row],[NAV]])</f>
        <v>0</v>
      </c>
      <c r="AR421" s="48">
        <f>IF(INVESTORS_LIST[[#This Row],[SIP_TOTAL CURRENT UNITS]]=0,0,INVESTORS_LIST[[#This Row],[SIP_TOTAL CURRENT UNITS]]*INVESTORS_LIST[[#This Row],[NAV]])</f>
        <v>0</v>
      </c>
      <c r="AS421" s="50">
        <f>INVESTORS_LIST[[#This Row],[TOTAL CURRENT UNITS]]</f>
        <v>0</v>
      </c>
      <c r="AT421" s="48">
        <f>IF(INVESTORS_LIST[[#This Row],[TOTAL SELLABLE UNITS]]=0,0,INVESTORS_LIST[[#This Row],[TOTAL SELLABLE UNITS]]*INVESTORS_LIST[[#This Row],[NAV]])</f>
        <v>0</v>
      </c>
      <c r="AU421" s="48">
        <f>INVESTORS_LIST[[#This Row],[LS_TOTAL REALIZED GAIN]]+INVESTORS_LIST[[#This Row],[SIP_TOTAL REALIZED GAIN]]</f>
        <v>0</v>
      </c>
      <c r="AV421" s="48">
        <f>INVESTORS_LIST[[#This Row],[TOTAL MARKET VALUE]]-INVESTORS_LIST[[#This Row],[TOTAL COST VALUE OF CURRENT INVESTMENT]]</f>
        <v>0</v>
      </c>
      <c r="AW421" s="48">
        <f>IFERROR(INVESTORS_LIST[[#This Row],[TOTAL CURRENT UNITS]]/SUM(INVESTORS_LIST[TOTAL CURRENT UNITS]),0)</f>
        <v>0</v>
      </c>
    </row>
    <row r="422" spans="1:49" hidden="1">
      <c r="A422" s="262" t="s">
        <v>889</v>
      </c>
      <c r="B422" s="97" t="s">
        <v>890</v>
      </c>
      <c r="C422" t="s">
        <v>44</v>
      </c>
      <c r="D422" s="75" t="s">
        <v>45</v>
      </c>
      <c r="E422" s="47">
        <f>SUMIFS(LS[Unit],LS[Investor ID],INVESTORS_LIST[[#This Row],[INVESTOR CODE]],LS[B/S],"B")</f>
        <v>0</v>
      </c>
      <c r="F422" s="47">
        <f>-SUMIFS(LS[Unit],LS[Investor ID],INVESTORS_LIST[[#This Row],[INVESTOR CODE]],LS[B/S],"S")</f>
        <v>0</v>
      </c>
      <c r="G422" s="47">
        <f>IF(INVESTORS_LIST[[#This Row],[LS_TOTAL UNITS BUY]]=0,0,INVESTORS_LIST[[#This Row],[LS_TOTAL UNITS BUY]]-INVESTORS_LIST[[#This Row],[LS_TOTAL UNITS SOLD]])</f>
        <v>0</v>
      </c>
      <c r="H422" s="49">
        <f>IF(INVESTORS_LIST[[#This Row],[LS_TOTAL UNITS BUY]]=0,0,SUMIFS(LS[Amount],LS[Investor ID],INVESTORS_LIST[[#This Row],[INVESTOR CODE]],LS[B/S],"B"))</f>
        <v>0</v>
      </c>
      <c r="I422" s="48">
        <f>IF(INVESTORS_LIST[[#This Row],[LS_TOTAL UNITS SOLD]]=0,0,SUMIFS(LS[Cost of Units Sold],LS[Investor ID],INVESTORS_LIST[[#This Row],[INVESTOR CODE]],LS[B/S],"S"))</f>
        <v>0</v>
      </c>
      <c r="J422" s="48">
        <f>IF(INVESTORS_LIST[[#This Row],[LS_TOTAL CURRENT UNITS]]=0,0,INVESTORS_LIST[[#This Row],[LS_TOTAL CURRENT UNITS]]*INVESTORS_LIST[[#This Row],[LS_AVERAGE COST]])</f>
        <v>0</v>
      </c>
      <c r="K422" s="49">
        <f>IF(INVESTORS_LIST[[#This Row],[LS_TOTAL UNITS SOLD]]=0,0,SUMIFS(LS[Realized Gain],LS[Investor ID],INVESTORS_LIST[[#This Row],[INVESTOR CODE]],LS[B/S],"S"))</f>
        <v>0</v>
      </c>
      <c r="L422" s="47">
        <f>SUMIFS(SIP[Unit],SIP[Investor ID],INVESTORS_LIST[[#This Row],[INVESTOR CODE]],SIP[B/S],"B")</f>
        <v>0</v>
      </c>
      <c r="M422" s="47">
        <f>-SUMIFS(SIP[Unit],SIP[Investor ID],INVESTORS_LIST[[#This Row],[INVESTOR CODE]],SIP[B/S],"S")</f>
        <v>0</v>
      </c>
      <c r="N422" s="50">
        <f>IF(INVESTORS_LIST[[#This Row],[SIP_TOTAL UNITS BUY]]=0,0,INVESTORS_LIST[[#This Row],[SIP_TOTAL UNITS BUY]]-INVESTORS_LIST[[#This Row],[SIP_TOTAL UNITS SOLD]])</f>
        <v>0</v>
      </c>
      <c r="O422" s="49">
        <f>IF(INVESTORS_LIST[[#This Row],[SIP_TOTAL UNITS BUY]]=0,0,SUMIFS(SIP[Amount],SIP[Investor ID],INVESTORS_LIST[[#This Row],[INVESTOR CODE]],SIP[B/S],"B"))</f>
        <v>0</v>
      </c>
      <c r="P422" s="49">
        <f>IF(INVESTORS_LIST[[#This Row],[SIP_TOTAL UNITS SOLD]]=0,0,SUMIFS(SIP[Cost of Units Sold],SIP[Investor ID],INVESTORS_LIST[[#This Row],[INVESTOR CODE]],SIP[B/S],"S"))</f>
        <v>0</v>
      </c>
      <c r="Q422" s="48">
        <f>IF(INVESTORS_LIST[[#This Row],[SIP_TOTAL CURRENT UNITS]]=0,0,INVESTORS_LIST[[#This Row],[SIP_TOTAL CURRENT UNITS]]*INVESTORS_LIST[[#This Row],[SIP_AVERAGE COST]])</f>
        <v>0</v>
      </c>
      <c r="R422" s="48">
        <f>IF(INVESTORS_LIST[[#This Row],[SIP_TOTAL UNITS SOLD]]=0,0,SUMIFS(SIP[Realized Gain],SIP[Investor ID],INVESTORS_LIST[[#This Row],[INVESTOR CODE]],SIP[B/S],"S"))</f>
        <v>0</v>
      </c>
      <c r="S422" s="50">
        <f>INVESTORS_LIST[[#This Row],[LS_TOTAL UNITS BUY]]+INVESTORS_LIST[[#This Row],[SIP_TOTAL UNITS BUY]]</f>
        <v>0</v>
      </c>
      <c r="T422" s="50">
        <f>INVESTORS_LIST[[#This Row],[LS_TOTAL UNITS SOLD]]+INVESTORS_LIST[[#This Row],[SIP_TOTAL UNITS SOLD]]</f>
        <v>0</v>
      </c>
      <c r="U422" s="50"/>
      <c r="V422" s="50">
        <f>SUMIFS(LS[BO UNIT TRANSFER],LS[Investor ID],INVESTORS_LIST[[#This Row],[INVESTOR CODE]],LS[B/S],"B")</f>
        <v>0</v>
      </c>
      <c r="W422" s="50">
        <f>SUMIFS(SIP[BO UNIT TRANSFER],SIP[Investor ID],INVESTORS_LIST[[#This Row],[INVESTOR CODE]],SIP[B/S],"B")</f>
        <v>0</v>
      </c>
      <c r="X422" s="50">
        <f>SUMIFS(LS[BO UNIT TRANSFER],LS[Investor ID],INVESTORS_LIST[[#This Row],[INVESTOR CODE]],LS[B/S],"S")</f>
        <v>0</v>
      </c>
      <c r="Y422" s="50">
        <f>SUMIFS(SIP[BO UNIT TRANSFER],SIP[Investor ID],INVESTORS_LIST[[#This Row],[INVESTOR CODE]],SIP[B/S],"S")</f>
        <v>0</v>
      </c>
      <c r="Z422" s="106">
        <f>SUM(INVESTORS_LIST[[#This Row],[BO OPENING BALANCE]:[BO SIP UNITS REPURCHASE]])</f>
        <v>0</v>
      </c>
      <c r="AA422" s="107">
        <f>INVESTORS_LIST[[#This Row],[TOTAL UNITS BUY]]-INVESTORS_LIST[[#This Row],[TOTAL UNITS SOLD]]</f>
        <v>0</v>
      </c>
      <c r="AB422" s="107">
        <f>INVESTORS_LIST[[#This Row],[TOTAL CURRENT UNITS]]-INVESTORS_LIST[[#This Row],[BO UNITS HOLD]]</f>
        <v>0</v>
      </c>
      <c r="AC422" s="201" t="e">
        <f>INDEX([3]!Table_1[BO ID],MATCH(INVESTORS_LIST[[#This Row],[INVESTOR CODE]],[3]!Table_1[INVESTOR CODE],0))</f>
        <v>#REF!</v>
      </c>
      <c r="AD422" s="201" t="e">
        <f>INDEX([3]!Table_1[Brokerage Name2],MATCH(INVESTORS_LIST[[#This Row],[INVESTOR CODE]],[3]!Table_1[INVESTOR CODE],0))</f>
        <v>#REF!</v>
      </c>
      <c r="AE422" s="201" t="e">
        <f>MID(INVESTORS_LIST[[#This Row],[BO ID]],4,5)</f>
        <v>#REF!</v>
      </c>
      <c r="AF422" s="201" t="e">
        <f>MID(INVESTORS_LIST[[#This Row],[BO ID]],2,7)</f>
        <v>#REF!</v>
      </c>
      <c r="AG422" s="201" t="e">
        <f>MID(INVESTORS_LIST[[#This Row],[BO ID]],9,7)</f>
        <v>#REF!</v>
      </c>
      <c r="AH422" s="201" t="e">
        <f>RIGHT(INVESTORS_LIST[[#This Row],[BO ID]],1)</f>
        <v>#REF!</v>
      </c>
      <c r="AI422" s="50">
        <f>INVESTORS_LIST[[#This Row],[LS_TOTAL COST VALUE OF CURRENT UNITS]]+INVESTORS_LIST[[#This Row],[SIP_TOTAL COST VALUE OF CURRENT UNITS]]</f>
        <v>0</v>
      </c>
      <c r="AJ422" s="109">
        <f>IF(INVESTORS_LIST[[#This Row],[TOTAL CURRENT UNITS]]=0,0,INVESTORS_LIST[[#This Row],[LS_TOTAL CURRENT UNITS]]/INVESTORS_LIST[[#This Row],[TOTAL CURRENT UNITS]])</f>
        <v>0</v>
      </c>
      <c r="AK422" s="109">
        <f>IF(INVESTORS_LIST[[#This Row],[TOTAL CURRENT UNITS]]=0,0,INVESTORS_LIST[[#This Row],[SIP_TOTAL CURRENT UNITS]]/INVESTORS_LIST[[#This Row],[TOTAL CURRENT UNITS]])</f>
        <v>0</v>
      </c>
      <c r="AL422" s="49" cm="1">
        <f t="array" ref="AL4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2" s="49" cm="1">
        <f t="array" ref="AM4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2" s="105">
        <f t="shared" si="7"/>
        <v>14.224</v>
      </c>
      <c r="AP422" s="112">
        <f>IF(INVESTORS_LIST[[#This Row],[TOTAL CURRENT UNITS]]=0,0,INVESTORS_LIST[[#This Row],[TOTAL CURRENT UNITS]]*INVESTORS_LIST[[#This Row],[NAV]])</f>
        <v>0</v>
      </c>
      <c r="AQ422" s="49">
        <f>IF(INVESTORS_LIST[[#This Row],[LS_TOTAL CURRENT UNITS]]=0,0,INVESTORS_LIST[[#This Row],[LS_TOTAL CURRENT UNITS]]*INVESTORS_LIST[[#This Row],[NAV]])</f>
        <v>0</v>
      </c>
      <c r="AR422" s="48">
        <f>IF(INVESTORS_LIST[[#This Row],[SIP_TOTAL CURRENT UNITS]]=0,0,INVESTORS_LIST[[#This Row],[SIP_TOTAL CURRENT UNITS]]*INVESTORS_LIST[[#This Row],[NAV]])</f>
        <v>0</v>
      </c>
      <c r="AS422" s="50">
        <f>INVESTORS_LIST[[#This Row],[TOTAL CURRENT UNITS]]</f>
        <v>0</v>
      </c>
      <c r="AT422" s="48">
        <f>IF(INVESTORS_LIST[[#This Row],[TOTAL SELLABLE UNITS]]=0,0,INVESTORS_LIST[[#This Row],[TOTAL SELLABLE UNITS]]*INVESTORS_LIST[[#This Row],[NAV]])</f>
        <v>0</v>
      </c>
      <c r="AU422" s="48">
        <f>INVESTORS_LIST[[#This Row],[LS_TOTAL REALIZED GAIN]]+INVESTORS_LIST[[#This Row],[SIP_TOTAL REALIZED GAIN]]</f>
        <v>0</v>
      </c>
      <c r="AV422" s="48">
        <f>INVESTORS_LIST[[#This Row],[TOTAL MARKET VALUE]]-INVESTORS_LIST[[#This Row],[TOTAL COST VALUE OF CURRENT INVESTMENT]]</f>
        <v>0</v>
      </c>
      <c r="AW422" s="48">
        <f>IFERROR(INVESTORS_LIST[[#This Row],[TOTAL CURRENT UNITS]]/SUM(INVESTORS_LIST[TOTAL CURRENT UNITS]),0)</f>
        <v>0</v>
      </c>
    </row>
    <row r="423" spans="1:49">
      <c r="A423" s="262" t="s">
        <v>891</v>
      </c>
      <c r="B423" s="97" t="s">
        <v>892</v>
      </c>
      <c r="C423" t="s">
        <v>44</v>
      </c>
      <c r="D423" s="75" t="s">
        <v>45</v>
      </c>
      <c r="E423" s="47">
        <f>SUMIFS(LS[Unit],LS[Investor ID],INVESTORS_LIST[[#This Row],[INVESTOR CODE]],LS[B/S],"B")</f>
        <v>73206</v>
      </c>
      <c r="F423" s="47">
        <f>-SUMIFS(LS[Unit],LS[Investor ID],INVESTORS_LIST[[#This Row],[INVESTOR CODE]],LS[B/S],"S")</f>
        <v>0</v>
      </c>
      <c r="G423" s="47">
        <f>IF(INVESTORS_LIST[[#This Row],[LS_TOTAL UNITS BUY]]=0,0,INVESTORS_LIST[[#This Row],[LS_TOTAL UNITS BUY]]-INVESTORS_LIST[[#This Row],[LS_TOTAL UNITS SOLD]])</f>
        <v>73206</v>
      </c>
      <c r="H423" s="49">
        <f>IF(INVESTORS_LIST[[#This Row],[LS_TOTAL UNITS BUY]]=0,0,SUMIFS(LS[Amount],LS[Investor ID],INVESTORS_LIST[[#This Row],[INVESTOR CODE]],LS[B/S],"B"))</f>
        <v>1000000</v>
      </c>
      <c r="I423" s="48">
        <f>IF(INVESTORS_LIST[[#This Row],[LS_TOTAL UNITS SOLD]]=0,0,SUMIFS(LS[Cost of Units Sold],LS[Investor ID],INVESTORS_LIST[[#This Row],[INVESTOR CODE]],LS[B/S],"S"))</f>
        <v>0</v>
      </c>
      <c r="J423" s="48">
        <f>IF(INVESTORS_LIST[[#This Row],[LS_TOTAL CURRENT UNITS]]=0,0,INVESTORS_LIST[[#This Row],[LS_TOTAL CURRENT UNITS]]*INVESTORS_LIST[[#This Row],[LS_AVERAGE COST]])</f>
        <v>1000000</v>
      </c>
      <c r="K423" s="49">
        <f>IF(INVESTORS_LIST[[#This Row],[LS_TOTAL UNITS SOLD]]=0,0,SUMIFS(LS[Realized Gain],LS[Investor ID],INVESTORS_LIST[[#This Row],[INVESTOR CODE]],LS[B/S],"S"))</f>
        <v>0</v>
      </c>
      <c r="L423" s="47">
        <f>SUMIFS(SIP[Unit],SIP[Investor ID],INVESTORS_LIST[[#This Row],[INVESTOR CODE]],SIP[B/S],"B")</f>
        <v>0</v>
      </c>
      <c r="M423" s="47">
        <f>-SUMIFS(SIP[Unit],SIP[Investor ID],INVESTORS_LIST[[#This Row],[INVESTOR CODE]],SIP[B/S],"S")</f>
        <v>0</v>
      </c>
      <c r="N423" s="50">
        <f>IF(INVESTORS_LIST[[#This Row],[SIP_TOTAL UNITS BUY]]=0,0,INVESTORS_LIST[[#This Row],[SIP_TOTAL UNITS BUY]]-INVESTORS_LIST[[#This Row],[SIP_TOTAL UNITS SOLD]])</f>
        <v>0</v>
      </c>
      <c r="O423" s="49">
        <f>IF(INVESTORS_LIST[[#This Row],[SIP_TOTAL UNITS BUY]]=0,0,SUMIFS(SIP[Amount],SIP[Investor ID],INVESTORS_LIST[[#This Row],[INVESTOR CODE]],SIP[B/S],"B"))</f>
        <v>0</v>
      </c>
      <c r="P423" s="49">
        <f>IF(INVESTORS_LIST[[#This Row],[SIP_TOTAL UNITS SOLD]]=0,0,SUMIFS(SIP[Cost of Units Sold],SIP[Investor ID],INVESTORS_LIST[[#This Row],[INVESTOR CODE]],SIP[B/S],"S"))</f>
        <v>0</v>
      </c>
      <c r="Q423" s="48">
        <f>IF(INVESTORS_LIST[[#This Row],[SIP_TOTAL CURRENT UNITS]]=0,0,INVESTORS_LIST[[#This Row],[SIP_TOTAL CURRENT UNITS]]*INVESTORS_LIST[[#This Row],[SIP_AVERAGE COST]])</f>
        <v>0</v>
      </c>
      <c r="R423" s="48">
        <f>IF(INVESTORS_LIST[[#This Row],[SIP_TOTAL UNITS SOLD]]=0,0,SUMIFS(SIP[Realized Gain],SIP[Investor ID],INVESTORS_LIST[[#This Row],[INVESTOR CODE]],SIP[B/S],"S"))</f>
        <v>0</v>
      </c>
      <c r="S423" s="50">
        <f>INVESTORS_LIST[[#This Row],[LS_TOTAL UNITS BUY]]+INVESTORS_LIST[[#This Row],[SIP_TOTAL UNITS BUY]]</f>
        <v>73206</v>
      </c>
      <c r="T423" s="50">
        <f>INVESTORS_LIST[[#This Row],[LS_TOTAL UNITS SOLD]]+INVESTORS_LIST[[#This Row],[SIP_TOTAL UNITS SOLD]]</f>
        <v>0</v>
      </c>
      <c r="U423" s="50"/>
      <c r="V423" s="50">
        <f>SUMIFS(LS[BO UNIT TRANSFER],LS[Investor ID],INVESTORS_LIST[[#This Row],[INVESTOR CODE]],LS[B/S],"B")</f>
        <v>0</v>
      </c>
      <c r="W423" s="50">
        <f>SUMIFS(SIP[BO UNIT TRANSFER],SIP[Investor ID],INVESTORS_LIST[[#This Row],[INVESTOR CODE]],SIP[B/S],"B")</f>
        <v>0</v>
      </c>
      <c r="X423" s="50">
        <f>SUMIFS(LS[BO UNIT TRANSFER],LS[Investor ID],INVESTORS_LIST[[#This Row],[INVESTOR CODE]],LS[B/S],"S")</f>
        <v>0</v>
      </c>
      <c r="Y423" s="50">
        <f>SUMIFS(SIP[BO UNIT TRANSFER],SIP[Investor ID],INVESTORS_LIST[[#This Row],[INVESTOR CODE]],SIP[B/S],"S")</f>
        <v>0</v>
      </c>
      <c r="Z423" s="106">
        <f>SUM(INVESTORS_LIST[[#This Row],[BO OPENING BALANCE]:[BO SIP UNITS REPURCHASE]])</f>
        <v>0</v>
      </c>
      <c r="AA423" s="107">
        <f>INVESTORS_LIST[[#This Row],[TOTAL UNITS BUY]]-INVESTORS_LIST[[#This Row],[TOTAL UNITS SOLD]]</f>
        <v>73206</v>
      </c>
      <c r="AB423" s="107">
        <f>INVESTORS_LIST[[#This Row],[TOTAL CURRENT UNITS]]-INVESTORS_LIST[[#This Row],[BO UNITS HOLD]]</f>
        <v>73206</v>
      </c>
      <c r="AC423" s="201" t="e">
        <f>INDEX([3]!Table_1[BO ID],MATCH(INVESTORS_LIST[[#This Row],[INVESTOR CODE]],[3]!Table_1[INVESTOR CODE],0))</f>
        <v>#REF!</v>
      </c>
      <c r="AD423" s="201" t="e">
        <f>INDEX([3]!Table_1[Brokerage Name2],MATCH(INVESTORS_LIST[[#This Row],[INVESTOR CODE]],[3]!Table_1[INVESTOR CODE],0))</f>
        <v>#REF!</v>
      </c>
      <c r="AE423" s="201" t="e">
        <f>MID(INVESTORS_LIST[[#This Row],[BO ID]],4,5)</f>
        <v>#REF!</v>
      </c>
      <c r="AF423" s="201" t="e">
        <f>MID(INVESTORS_LIST[[#This Row],[BO ID]],2,7)</f>
        <v>#REF!</v>
      </c>
      <c r="AG423" s="201" t="e">
        <f>MID(INVESTORS_LIST[[#This Row],[BO ID]],9,7)</f>
        <v>#REF!</v>
      </c>
      <c r="AH423" s="201" t="e">
        <f>RIGHT(INVESTORS_LIST[[#This Row],[BO ID]],1)</f>
        <v>#REF!</v>
      </c>
      <c r="AI423" s="50">
        <f>INVESTORS_LIST[[#This Row],[LS_TOTAL COST VALUE OF CURRENT UNITS]]+INVESTORS_LIST[[#This Row],[SIP_TOTAL COST VALUE OF CURRENT UNITS]]</f>
        <v>1000000</v>
      </c>
      <c r="AJ423" s="109">
        <f>IF(INVESTORS_LIST[[#This Row],[TOTAL CURRENT UNITS]]=0,0,INVESTORS_LIST[[#This Row],[LS_TOTAL CURRENT UNITS]]/INVESTORS_LIST[[#This Row],[TOTAL CURRENT UNITS]])</f>
        <v>1</v>
      </c>
      <c r="AK423" s="109">
        <f>IF(INVESTORS_LIST[[#This Row],[TOTAL CURRENT UNITS]]=0,0,INVESTORS_LIST[[#This Row],[SIP_TOTAL CURRENT UNITS]]/INVESTORS_LIST[[#This Row],[TOTAL CURRENT UNITS]])</f>
        <v>0</v>
      </c>
      <c r="AL423" s="49" cm="1">
        <f t="array" ref="AL423">IF(INVESTORS_LIST[[#This Row],[LS_TOTAL UNITS BUY]]&gt;0,INDEX(LS[NAV at Cost (Average)],MATCH(CONCATENATE(COUNTIFS(LS[Investor ID],INVESTORS_LIST[[#This Row],[INVESTOR CODE]]),INVESTORS_LIST[[#This Row],[INVESTOR CODE]]),LS[Unique Code],0),),0)</f>
        <v>13.660082506898341</v>
      </c>
      <c r="AM423" s="49" cm="1">
        <f t="array" ref="AM4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3" s="105">
        <f>IF(INVESTORS_LIST[[#This Row],[TOTAL CURRENT UNITS]]=0,0,(INVESTORS_LIST[[#This Row],[LS_WEIGHT]]*INVESTORS_LIST[[#This Row],[LS_AVERAGE COST]])+(INVESTORS_LIST[[#This Row],[SIP_WEIGHT]]*INVESTORS_LIST[[#This Row],[SIP_AVERAGE COST]]))</f>
        <v>13.660082506898341</v>
      </c>
      <c r="AO423" s="105">
        <f t="shared" si="7"/>
        <v>14.224</v>
      </c>
      <c r="AP423" s="112">
        <f>IF(INVESTORS_LIST[[#This Row],[TOTAL CURRENT UNITS]]=0,0,INVESTORS_LIST[[#This Row],[TOTAL CURRENT UNITS]]*INVESTORS_LIST[[#This Row],[NAV]])</f>
        <v>1041282.144</v>
      </c>
      <c r="AQ423" s="49">
        <f>IF(INVESTORS_LIST[[#This Row],[LS_TOTAL CURRENT UNITS]]=0,0,INVESTORS_LIST[[#This Row],[LS_TOTAL CURRENT UNITS]]*INVESTORS_LIST[[#This Row],[NAV]])</f>
        <v>1041282.144</v>
      </c>
      <c r="AR423" s="48">
        <f>IF(INVESTORS_LIST[[#This Row],[SIP_TOTAL CURRENT UNITS]]=0,0,INVESTORS_LIST[[#This Row],[SIP_TOTAL CURRENT UNITS]]*INVESTORS_LIST[[#This Row],[NAV]])</f>
        <v>0</v>
      </c>
      <c r="AS423" s="50">
        <f>INVESTORS_LIST[[#This Row],[TOTAL CURRENT UNITS]]</f>
        <v>73206</v>
      </c>
      <c r="AT423" s="48">
        <f>IF(INVESTORS_LIST[[#This Row],[TOTAL SELLABLE UNITS]]=0,0,INVESTORS_LIST[[#This Row],[TOTAL SELLABLE UNITS]]*INVESTORS_LIST[[#This Row],[NAV]])</f>
        <v>1041282.144</v>
      </c>
      <c r="AU423" s="48">
        <f>INVESTORS_LIST[[#This Row],[LS_TOTAL REALIZED GAIN]]+INVESTORS_LIST[[#This Row],[SIP_TOTAL REALIZED GAIN]]</f>
        <v>0</v>
      </c>
      <c r="AV423" s="48">
        <f>INVESTORS_LIST[[#This Row],[TOTAL MARKET VALUE]]-INVESTORS_LIST[[#This Row],[TOTAL COST VALUE OF CURRENT INVESTMENT]]</f>
        <v>41282.143999999971</v>
      </c>
      <c r="AW423" s="48">
        <f>IFERROR(INVESTORS_LIST[[#This Row],[TOTAL CURRENT UNITS]]/SUM(INVESTORS_LIST[TOTAL CURRENT UNITS]),0)</f>
        <v>1.7771640752421642E-3</v>
      </c>
    </row>
    <row r="424" spans="1:49" hidden="1">
      <c r="A424" s="262" t="s">
        <v>893</v>
      </c>
      <c r="B424" s="97" t="s">
        <v>894</v>
      </c>
      <c r="C424" t="s">
        <v>44</v>
      </c>
      <c r="D424" s="75" t="s">
        <v>45</v>
      </c>
      <c r="E424" s="47">
        <f>SUMIFS(LS[Unit],LS[Investor ID],INVESTORS_LIST[[#This Row],[INVESTOR CODE]],LS[B/S],"B")</f>
        <v>57082</v>
      </c>
      <c r="F424" s="47">
        <f>-SUMIFS(LS[Unit],LS[Investor ID],INVESTORS_LIST[[#This Row],[INVESTOR CODE]],LS[B/S],"S")</f>
        <v>57082</v>
      </c>
      <c r="G424" s="47">
        <f>IF(INVESTORS_LIST[[#This Row],[LS_TOTAL UNITS BUY]]=0,0,INVESTORS_LIST[[#This Row],[LS_TOTAL UNITS BUY]]-INVESTORS_LIST[[#This Row],[LS_TOTAL UNITS SOLD]])</f>
        <v>0</v>
      </c>
      <c r="H424" s="49">
        <f>IF(INVESTORS_LIST[[#This Row],[LS_TOTAL UNITS BUY]]=0,0,SUMIFS(LS[Amount],LS[Investor ID],INVESTORS_LIST[[#This Row],[INVESTOR CODE]],LS[B/S],"B"))</f>
        <v>660644.55000000005</v>
      </c>
      <c r="I424" s="48">
        <f>IF(INVESTORS_LIST[[#This Row],[LS_TOTAL UNITS SOLD]]=0,0,SUMIFS(LS[Cost of Units Sold],LS[Investor ID],INVESTORS_LIST[[#This Row],[INVESTOR CODE]],LS[B/S],"S"))</f>
        <v>660644.55000000005</v>
      </c>
      <c r="J424" s="48">
        <f>IF(INVESTORS_LIST[[#This Row],[LS_TOTAL CURRENT UNITS]]=0,0,INVESTORS_LIST[[#This Row],[LS_TOTAL CURRENT UNITS]]*INVESTORS_LIST[[#This Row],[LS_AVERAGE COST]])</f>
        <v>0</v>
      </c>
      <c r="K424" s="49">
        <f>IF(INVESTORS_LIST[[#This Row],[LS_TOTAL UNITS SOLD]]=0,0,SUMIFS(LS[Realized Gain],LS[Investor ID],INVESTORS_LIST[[#This Row],[INVESTOR CODE]],LS[B/S],"S"))</f>
        <v>7402.0549999999366</v>
      </c>
      <c r="L424" s="47">
        <f>SUMIFS(SIP[Unit],SIP[Investor ID],INVESTORS_LIST[[#This Row],[INVESTOR CODE]],SIP[B/S],"B")</f>
        <v>36689</v>
      </c>
      <c r="M424" s="47">
        <f>-SUMIFS(SIP[Unit],SIP[Investor ID],INVESTORS_LIST[[#This Row],[INVESTOR CODE]],SIP[B/S],"S")</f>
        <v>36689</v>
      </c>
      <c r="N424" s="50">
        <f>IF(INVESTORS_LIST[[#This Row],[SIP_TOTAL UNITS BUY]]=0,0,INVESTORS_LIST[[#This Row],[SIP_TOTAL UNITS BUY]]-INVESTORS_LIST[[#This Row],[SIP_TOTAL UNITS SOLD]])</f>
        <v>0</v>
      </c>
      <c r="O424" s="49">
        <f>IF(INVESTORS_LIST[[#This Row],[SIP_TOTAL UNITS BUY]]=0,0,SUMIFS(SIP[Amount],SIP[Investor ID],INVESTORS_LIST[[#This Row],[INVESTOR CODE]],SIP[B/S],"B"))</f>
        <v>390000</v>
      </c>
      <c r="P424" s="49">
        <f>IF(INVESTORS_LIST[[#This Row],[SIP_TOTAL UNITS SOLD]]=0,0,SUMIFS(SIP[Cost of Units Sold],SIP[Investor ID],INVESTORS_LIST[[#This Row],[INVESTOR CODE]],SIP[B/S],"S"))</f>
        <v>389999.99999999994</v>
      </c>
      <c r="Q424" s="48">
        <f>IF(INVESTORS_LIST[[#This Row],[SIP_TOTAL CURRENT UNITS]]=0,0,INVESTORS_LIST[[#This Row],[SIP_TOTAL CURRENT UNITS]]*INVESTORS_LIST[[#This Row],[SIP_AVERAGE COST]])</f>
        <v>0</v>
      </c>
      <c r="R424" s="48">
        <f>IF(INVESTORS_LIST[[#This Row],[SIP_TOTAL UNITS SOLD]]=0,0,SUMIFS(SIP[Realized Gain],SIP[Investor ID],INVESTORS_LIST[[#This Row],[INVESTOR CODE]],SIP[B/S],"S"))</f>
        <v>10991.159000000092</v>
      </c>
      <c r="S424" s="50">
        <f>INVESTORS_LIST[[#This Row],[LS_TOTAL UNITS BUY]]+INVESTORS_LIST[[#This Row],[SIP_TOTAL UNITS BUY]]</f>
        <v>93771</v>
      </c>
      <c r="T424" s="50">
        <f>INVESTORS_LIST[[#This Row],[LS_TOTAL UNITS SOLD]]+INVESTORS_LIST[[#This Row],[SIP_TOTAL UNITS SOLD]]</f>
        <v>93771</v>
      </c>
      <c r="U424" s="50"/>
      <c r="V424" s="50">
        <f>SUMIFS(LS[BO UNIT TRANSFER],LS[Investor ID],INVESTORS_LIST[[#This Row],[INVESTOR CODE]],LS[B/S],"B")</f>
        <v>0</v>
      </c>
      <c r="W424" s="50">
        <f>SUMIFS(SIP[BO UNIT TRANSFER],SIP[Investor ID],INVESTORS_LIST[[#This Row],[INVESTOR CODE]],SIP[B/S],"B")</f>
        <v>0</v>
      </c>
      <c r="X424" s="50">
        <f>SUMIFS(LS[BO UNIT TRANSFER],LS[Investor ID],INVESTORS_LIST[[#This Row],[INVESTOR CODE]],LS[B/S],"S")</f>
        <v>0</v>
      </c>
      <c r="Y424" s="50">
        <f>SUMIFS(SIP[BO UNIT TRANSFER],SIP[Investor ID],INVESTORS_LIST[[#This Row],[INVESTOR CODE]],SIP[B/S],"S")</f>
        <v>0</v>
      </c>
      <c r="Z424" s="106">
        <f>SUM(INVESTORS_LIST[[#This Row],[BO OPENING BALANCE]:[BO SIP UNITS REPURCHASE]])</f>
        <v>0</v>
      </c>
      <c r="AA424" s="107">
        <f>INVESTORS_LIST[[#This Row],[TOTAL UNITS BUY]]-INVESTORS_LIST[[#This Row],[TOTAL UNITS SOLD]]</f>
        <v>0</v>
      </c>
      <c r="AB424" s="107">
        <f>INVESTORS_LIST[[#This Row],[TOTAL CURRENT UNITS]]-INVESTORS_LIST[[#This Row],[BO UNITS HOLD]]</f>
        <v>0</v>
      </c>
      <c r="AC424" s="201" t="e">
        <f>INDEX([3]!Table_1[BO ID],MATCH(INVESTORS_LIST[[#This Row],[INVESTOR CODE]],[3]!Table_1[INVESTOR CODE],0))</f>
        <v>#REF!</v>
      </c>
      <c r="AD424" s="201" t="e">
        <f>INDEX([3]!Table_1[Brokerage Name2],MATCH(INVESTORS_LIST[[#This Row],[INVESTOR CODE]],[3]!Table_1[INVESTOR CODE],0))</f>
        <v>#REF!</v>
      </c>
      <c r="AE424" s="201" t="e">
        <f>MID(INVESTORS_LIST[[#This Row],[BO ID]],4,5)</f>
        <v>#REF!</v>
      </c>
      <c r="AF424" s="201" t="e">
        <f>MID(INVESTORS_LIST[[#This Row],[BO ID]],2,7)</f>
        <v>#REF!</v>
      </c>
      <c r="AG424" s="201" t="e">
        <f>MID(INVESTORS_LIST[[#This Row],[BO ID]],9,7)</f>
        <v>#REF!</v>
      </c>
      <c r="AH424" s="201" t="e">
        <f>RIGHT(INVESTORS_LIST[[#This Row],[BO ID]],1)</f>
        <v>#REF!</v>
      </c>
      <c r="AI424" s="48">
        <f>INVESTORS_LIST[[#This Row],[LS_TOTAL COST VALUE OF CURRENT UNITS]]+INVESTORS_LIST[[#This Row],[SIP_TOTAL COST VALUE OF CURRENT UNITS]]</f>
        <v>0</v>
      </c>
      <c r="AJ424" s="109">
        <f>IF(INVESTORS_LIST[[#This Row],[TOTAL CURRENT UNITS]]=0,0,INVESTORS_LIST[[#This Row],[LS_TOTAL CURRENT UNITS]]/INVESTORS_LIST[[#This Row],[TOTAL CURRENT UNITS]])</f>
        <v>0</v>
      </c>
      <c r="AK424" s="109">
        <f>IF(INVESTORS_LIST[[#This Row],[TOTAL CURRENT UNITS]]=0,0,INVESTORS_LIST[[#This Row],[SIP_TOTAL CURRENT UNITS]]/INVESTORS_LIST[[#This Row],[TOTAL CURRENT UNITS]])</f>
        <v>0</v>
      </c>
      <c r="AL424" s="49" cm="1">
        <f t="array" ref="AL4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4" s="49" cm="1">
        <f t="array" ref="AM4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4" s="105">
        <f t="shared" si="7"/>
        <v>14.224</v>
      </c>
      <c r="AP424" s="112">
        <f>IF(INVESTORS_LIST[[#This Row],[TOTAL CURRENT UNITS]]=0,0,INVESTORS_LIST[[#This Row],[TOTAL CURRENT UNITS]]*INVESTORS_LIST[[#This Row],[NAV]])</f>
        <v>0</v>
      </c>
      <c r="AQ424" s="49">
        <f>IF(INVESTORS_LIST[[#This Row],[LS_TOTAL CURRENT UNITS]]=0,0,INVESTORS_LIST[[#This Row],[LS_TOTAL CURRENT UNITS]]*INVESTORS_LIST[[#This Row],[NAV]])</f>
        <v>0</v>
      </c>
      <c r="AR424" s="48">
        <f>IF(INVESTORS_LIST[[#This Row],[SIP_TOTAL CURRENT UNITS]]=0,0,INVESTORS_LIST[[#This Row],[SIP_TOTAL CURRENT UNITS]]*INVESTORS_LIST[[#This Row],[NAV]])</f>
        <v>0</v>
      </c>
      <c r="AS424" s="50">
        <f>INVESTORS_LIST[[#This Row],[TOTAL CURRENT UNITS]]</f>
        <v>0</v>
      </c>
      <c r="AT424" s="48">
        <f>IF(INVESTORS_LIST[[#This Row],[TOTAL SELLABLE UNITS]]=0,0,INVESTORS_LIST[[#This Row],[TOTAL SELLABLE UNITS]]*INVESTORS_LIST[[#This Row],[NAV]])</f>
        <v>0</v>
      </c>
      <c r="AU424" s="48">
        <f>INVESTORS_LIST[[#This Row],[LS_TOTAL REALIZED GAIN]]+INVESTORS_LIST[[#This Row],[SIP_TOTAL REALIZED GAIN]]</f>
        <v>18393.214000000029</v>
      </c>
      <c r="AV424" s="48">
        <f>INVESTORS_LIST[[#This Row],[TOTAL MARKET VALUE]]-INVESTORS_LIST[[#This Row],[TOTAL COST VALUE OF CURRENT INVESTMENT]]</f>
        <v>0</v>
      </c>
      <c r="AW424" s="108">
        <f>IFERROR(INVESTORS_LIST[[#This Row],[TOTAL CURRENT UNITS]]/SUM(INVESTORS_LIST[TOTAL CURRENT UNITS]),0)</f>
        <v>0</v>
      </c>
    </row>
    <row r="425" spans="1:49" hidden="1">
      <c r="A425" s="262" t="s">
        <v>895</v>
      </c>
      <c r="B425" s="97" t="s">
        <v>896</v>
      </c>
      <c r="C425" t="s">
        <v>44</v>
      </c>
      <c r="D425" s="75" t="s">
        <v>45</v>
      </c>
      <c r="E425" s="47">
        <f>SUMIFS(LS[Unit],LS[Investor ID],INVESTORS_LIST[[#This Row],[INVESTOR CODE]],LS[B/S],"B")</f>
        <v>17755</v>
      </c>
      <c r="F425" s="47">
        <f>-SUMIFS(LS[Unit],LS[Investor ID],INVESTORS_LIST[[#This Row],[INVESTOR CODE]],LS[B/S],"S")</f>
        <v>17755</v>
      </c>
      <c r="G425" s="47">
        <f>IF(INVESTORS_LIST[[#This Row],[LS_TOTAL UNITS BUY]]=0,0,INVESTORS_LIST[[#This Row],[LS_TOTAL UNITS BUY]]-INVESTORS_LIST[[#This Row],[LS_TOTAL UNITS SOLD]])</f>
        <v>0</v>
      </c>
      <c r="H425" s="49">
        <f>IF(INVESTORS_LIST[[#This Row],[LS_TOTAL UNITS BUY]]=0,0,SUMIFS(LS[Amount],LS[Investor ID],INVESTORS_LIST[[#This Row],[INVESTOR CODE]],LS[B/S],"B"))</f>
        <v>198000</v>
      </c>
      <c r="I425" s="48">
        <f>IF(INVESTORS_LIST[[#This Row],[LS_TOTAL UNITS SOLD]]=0,0,SUMIFS(LS[Cost of Units Sold],LS[Investor ID],INVESTORS_LIST[[#This Row],[INVESTOR CODE]],LS[B/S],"S"))</f>
        <v>198000</v>
      </c>
      <c r="J425" s="48">
        <f>IF(INVESTORS_LIST[[#This Row],[LS_TOTAL CURRENT UNITS]]=0,0,INVESTORS_LIST[[#This Row],[LS_TOTAL CURRENT UNITS]]*INVESTORS_LIST[[#This Row],[LS_AVERAGE COST]])</f>
        <v>0</v>
      </c>
      <c r="K425" s="49">
        <f>IF(INVESTORS_LIST[[#This Row],[LS_TOTAL UNITS SOLD]]=0,0,SUMIFS(LS[Realized Gain],LS[Investor ID],INVESTORS_LIST[[#This Row],[INVESTOR CODE]],LS[B/S],"S"))</f>
        <v>5490.0599999999968</v>
      </c>
      <c r="L425" s="47">
        <f>SUMIFS(SIP[Unit],SIP[Investor ID],INVESTORS_LIST[[#This Row],[INVESTOR CODE]],SIP[B/S],"B")</f>
        <v>0</v>
      </c>
      <c r="M425" s="47">
        <f>-SUMIFS(SIP[Unit],SIP[Investor ID],INVESTORS_LIST[[#This Row],[INVESTOR CODE]],SIP[B/S],"S")</f>
        <v>0</v>
      </c>
      <c r="N425" s="50">
        <f>IF(INVESTORS_LIST[[#This Row],[SIP_TOTAL UNITS BUY]]=0,0,INVESTORS_LIST[[#This Row],[SIP_TOTAL UNITS BUY]]-INVESTORS_LIST[[#This Row],[SIP_TOTAL UNITS SOLD]])</f>
        <v>0</v>
      </c>
      <c r="O425" s="49">
        <f>IF(INVESTORS_LIST[[#This Row],[SIP_TOTAL UNITS BUY]]=0,0,SUMIFS(SIP[Amount],SIP[Investor ID],INVESTORS_LIST[[#This Row],[INVESTOR CODE]],SIP[B/S],"B"))</f>
        <v>0</v>
      </c>
      <c r="P425" s="49">
        <f>IF(INVESTORS_LIST[[#This Row],[SIP_TOTAL UNITS SOLD]]=0,0,SUMIFS(SIP[Cost of Units Sold],SIP[Investor ID],INVESTORS_LIST[[#This Row],[INVESTOR CODE]],SIP[B/S],"S"))</f>
        <v>0</v>
      </c>
      <c r="Q425" s="48">
        <f>IF(INVESTORS_LIST[[#This Row],[SIP_TOTAL CURRENT UNITS]]=0,0,INVESTORS_LIST[[#This Row],[SIP_TOTAL CURRENT UNITS]]*INVESTORS_LIST[[#This Row],[SIP_AVERAGE COST]])</f>
        <v>0</v>
      </c>
      <c r="R425" s="48">
        <f>IF(INVESTORS_LIST[[#This Row],[SIP_TOTAL UNITS SOLD]]=0,0,SUMIFS(SIP[Realized Gain],SIP[Investor ID],INVESTORS_LIST[[#This Row],[INVESTOR CODE]],SIP[B/S],"S"))</f>
        <v>0</v>
      </c>
      <c r="S425" s="50">
        <f>INVESTORS_LIST[[#This Row],[LS_TOTAL UNITS BUY]]+INVESTORS_LIST[[#This Row],[SIP_TOTAL UNITS BUY]]</f>
        <v>17755</v>
      </c>
      <c r="T425" s="50">
        <f>INVESTORS_LIST[[#This Row],[LS_TOTAL UNITS SOLD]]+INVESTORS_LIST[[#This Row],[SIP_TOTAL UNITS SOLD]]</f>
        <v>17755</v>
      </c>
      <c r="U425" s="50"/>
      <c r="V425" s="50">
        <f>SUMIFS(LS[BO UNIT TRANSFER],LS[Investor ID],INVESTORS_LIST[[#This Row],[INVESTOR CODE]],LS[B/S],"B")</f>
        <v>0</v>
      </c>
      <c r="W425" s="50">
        <f>SUMIFS(SIP[BO UNIT TRANSFER],SIP[Investor ID],INVESTORS_LIST[[#This Row],[INVESTOR CODE]],SIP[B/S],"B")</f>
        <v>0</v>
      </c>
      <c r="X425" s="50">
        <f>SUMIFS(LS[BO UNIT TRANSFER],LS[Investor ID],INVESTORS_LIST[[#This Row],[INVESTOR CODE]],LS[B/S],"S")</f>
        <v>0</v>
      </c>
      <c r="Y425" s="50">
        <f>SUMIFS(SIP[BO UNIT TRANSFER],SIP[Investor ID],INVESTORS_LIST[[#This Row],[INVESTOR CODE]],SIP[B/S],"S")</f>
        <v>0</v>
      </c>
      <c r="Z425" s="106">
        <f>SUM(INVESTORS_LIST[[#This Row],[BO OPENING BALANCE]:[BO SIP UNITS REPURCHASE]])</f>
        <v>0</v>
      </c>
      <c r="AA425" s="107">
        <f>INVESTORS_LIST[[#This Row],[TOTAL UNITS BUY]]-INVESTORS_LIST[[#This Row],[TOTAL UNITS SOLD]]</f>
        <v>0</v>
      </c>
      <c r="AB425" s="107">
        <f>INVESTORS_LIST[[#This Row],[TOTAL CURRENT UNITS]]-INVESTORS_LIST[[#This Row],[BO UNITS HOLD]]</f>
        <v>0</v>
      </c>
      <c r="AC425" s="201" t="e">
        <f>INDEX([3]!Table_1[BO ID],MATCH(INVESTORS_LIST[[#This Row],[INVESTOR CODE]],[3]!Table_1[INVESTOR CODE],0))</f>
        <v>#REF!</v>
      </c>
      <c r="AD425" s="201" t="e">
        <f>INDEX([3]!Table_1[Brokerage Name2],MATCH(INVESTORS_LIST[[#This Row],[INVESTOR CODE]],[3]!Table_1[INVESTOR CODE],0))</f>
        <v>#REF!</v>
      </c>
      <c r="AE425" s="201" t="e">
        <f>MID(INVESTORS_LIST[[#This Row],[BO ID]],4,5)</f>
        <v>#REF!</v>
      </c>
      <c r="AF425" s="201" t="e">
        <f>MID(INVESTORS_LIST[[#This Row],[BO ID]],2,7)</f>
        <v>#REF!</v>
      </c>
      <c r="AG425" s="201" t="e">
        <f>MID(INVESTORS_LIST[[#This Row],[BO ID]],9,7)</f>
        <v>#REF!</v>
      </c>
      <c r="AH425" s="201" t="e">
        <f>RIGHT(INVESTORS_LIST[[#This Row],[BO ID]],1)</f>
        <v>#REF!</v>
      </c>
      <c r="AI425" s="50">
        <f>INVESTORS_LIST[[#This Row],[LS_TOTAL COST VALUE OF CURRENT UNITS]]+INVESTORS_LIST[[#This Row],[SIP_TOTAL COST VALUE OF CURRENT UNITS]]</f>
        <v>0</v>
      </c>
      <c r="AJ425" s="109">
        <f>IF(INVESTORS_LIST[[#This Row],[TOTAL CURRENT UNITS]]=0,0,INVESTORS_LIST[[#This Row],[LS_TOTAL CURRENT UNITS]]/INVESTORS_LIST[[#This Row],[TOTAL CURRENT UNITS]])</f>
        <v>0</v>
      </c>
      <c r="AK425" s="109">
        <f>IF(INVESTORS_LIST[[#This Row],[TOTAL CURRENT UNITS]]=0,0,INVESTORS_LIST[[#This Row],[SIP_TOTAL CURRENT UNITS]]/INVESTORS_LIST[[#This Row],[TOTAL CURRENT UNITS]])</f>
        <v>0</v>
      </c>
      <c r="AL425" s="49" cm="1">
        <f t="array" ref="AL4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5" s="49" cm="1">
        <f t="array" ref="AM4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5" s="105">
        <f t="shared" si="7"/>
        <v>14.224</v>
      </c>
      <c r="AP425" s="112">
        <f>IF(INVESTORS_LIST[[#This Row],[TOTAL CURRENT UNITS]]=0,0,INVESTORS_LIST[[#This Row],[TOTAL CURRENT UNITS]]*INVESTORS_LIST[[#This Row],[NAV]])</f>
        <v>0</v>
      </c>
      <c r="AQ425" s="49">
        <f>IF(INVESTORS_LIST[[#This Row],[LS_TOTAL CURRENT UNITS]]=0,0,INVESTORS_LIST[[#This Row],[LS_TOTAL CURRENT UNITS]]*INVESTORS_LIST[[#This Row],[NAV]])</f>
        <v>0</v>
      </c>
      <c r="AR425" s="48">
        <f>IF(INVESTORS_LIST[[#This Row],[SIP_TOTAL CURRENT UNITS]]=0,0,INVESTORS_LIST[[#This Row],[SIP_TOTAL CURRENT UNITS]]*INVESTORS_LIST[[#This Row],[NAV]])</f>
        <v>0</v>
      </c>
      <c r="AS425" s="50">
        <f>INVESTORS_LIST[[#This Row],[TOTAL CURRENT UNITS]]</f>
        <v>0</v>
      </c>
      <c r="AT425" s="48">
        <f>IF(INVESTORS_LIST[[#This Row],[TOTAL SELLABLE UNITS]]=0,0,INVESTORS_LIST[[#This Row],[TOTAL SELLABLE UNITS]]*INVESTORS_LIST[[#This Row],[NAV]])</f>
        <v>0</v>
      </c>
      <c r="AU425" s="48">
        <f>INVESTORS_LIST[[#This Row],[LS_TOTAL REALIZED GAIN]]+INVESTORS_LIST[[#This Row],[SIP_TOTAL REALIZED GAIN]]</f>
        <v>5490.0599999999968</v>
      </c>
      <c r="AV425" s="48">
        <f>INVESTORS_LIST[[#This Row],[TOTAL MARKET VALUE]]-INVESTORS_LIST[[#This Row],[TOTAL COST VALUE OF CURRENT INVESTMENT]]</f>
        <v>0</v>
      </c>
      <c r="AW425" s="48">
        <f>IFERROR(INVESTORS_LIST[[#This Row],[TOTAL CURRENT UNITS]]/SUM(INVESTORS_LIST[TOTAL CURRENT UNITS]),0)</f>
        <v>0</v>
      </c>
    </row>
    <row r="426" spans="1:49" hidden="1">
      <c r="A426" s="262" t="s">
        <v>897</v>
      </c>
      <c r="B426" s="97" t="s">
        <v>898</v>
      </c>
      <c r="C426" t="s">
        <v>44</v>
      </c>
      <c r="D426" s="75" t="s">
        <v>45</v>
      </c>
      <c r="E426" s="47">
        <f>SUMIFS(LS[Unit],LS[Investor ID],INVESTORS_LIST[[#This Row],[INVESTOR CODE]],LS[B/S],"B")</f>
        <v>4886</v>
      </c>
      <c r="F426" s="47">
        <f>-SUMIFS(LS[Unit],LS[Investor ID],INVESTORS_LIST[[#This Row],[INVESTOR CODE]],LS[B/S],"S")</f>
        <v>4886</v>
      </c>
      <c r="G426" s="47">
        <f>IF(INVESTORS_LIST[[#This Row],[LS_TOTAL UNITS BUY]]=0,0,INVESTORS_LIST[[#This Row],[LS_TOTAL UNITS BUY]]-INVESTORS_LIST[[#This Row],[LS_TOTAL UNITS SOLD]])</f>
        <v>0</v>
      </c>
      <c r="H426" s="49">
        <f>IF(INVESTORS_LIST[[#This Row],[LS_TOTAL UNITS BUY]]=0,0,SUMIFS(LS[Amount],LS[Investor ID],INVESTORS_LIST[[#This Row],[INVESTOR CODE]],LS[B/S],"B"))</f>
        <v>50000</v>
      </c>
      <c r="I426" s="48">
        <f>IF(INVESTORS_LIST[[#This Row],[LS_TOTAL UNITS SOLD]]=0,0,SUMIFS(LS[Cost of Units Sold],LS[Investor ID],INVESTORS_LIST[[#This Row],[INVESTOR CODE]],LS[B/S],"S"))</f>
        <v>50000.000000000007</v>
      </c>
      <c r="J426" s="48">
        <f>IF(INVESTORS_LIST[[#This Row],[LS_TOTAL CURRENT UNITS]]=0,0,INVESTORS_LIST[[#This Row],[LS_TOTAL CURRENT UNITS]]*INVESTORS_LIST[[#This Row],[LS_AVERAGE COST]])</f>
        <v>0</v>
      </c>
      <c r="K426" s="49">
        <f>IF(INVESTORS_LIST[[#This Row],[LS_TOTAL UNITS SOLD]]=0,0,SUMIFS(LS[Realized Gain],LS[Investor ID],INVESTORS_LIST[[#This Row],[INVESTOR CODE]],LS[B/S],"S"))</f>
        <v>936.54999999999927</v>
      </c>
      <c r="L426" s="47">
        <f>SUMIFS(SIP[Unit],SIP[Investor ID],INVESTORS_LIST[[#This Row],[INVESTOR CODE]],SIP[B/S],"B")</f>
        <v>0</v>
      </c>
      <c r="M426" s="47">
        <f>-SUMIFS(SIP[Unit],SIP[Investor ID],INVESTORS_LIST[[#This Row],[INVESTOR CODE]],SIP[B/S],"S")</f>
        <v>0</v>
      </c>
      <c r="N426" s="50">
        <f>IF(INVESTORS_LIST[[#This Row],[SIP_TOTAL UNITS BUY]]=0,0,INVESTORS_LIST[[#This Row],[SIP_TOTAL UNITS BUY]]-INVESTORS_LIST[[#This Row],[SIP_TOTAL UNITS SOLD]])</f>
        <v>0</v>
      </c>
      <c r="O426" s="49">
        <f>IF(INVESTORS_LIST[[#This Row],[SIP_TOTAL UNITS BUY]]=0,0,SUMIFS(SIP[Amount],SIP[Investor ID],INVESTORS_LIST[[#This Row],[INVESTOR CODE]],SIP[B/S],"B"))</f>
        <v>0</v>
      </c>
      <c r="P426" s="49">
        <f>IF(INVESTORS_LIST[[#This Row],[SIP_TOTAL UNITS SOLD]]=0,0,SUMIFS(SIP[Cost of Units Sold],SIP[Investor ID],INVESTORS_LIST[[#This Row],[INVESTOR CODE]],SIP[B/S],"S"))</f>
        <v>0</v>
      </c>
      <c r="Q426" s="48">
        <f>IF(INVESTORS_LIST[[#This Row],[SIP_TOTAL CURRENT UNITS]]=0,0,INVESTORS_LIST[[#This Row],[SIP_TOTAL CURRENT UNITS]]*INVESTORS_LIST[[#This Row],[SIP_AVERAGE COST]])</f>
        <v>0</v>
      </c>
      <c r="R426" s="48">
        <f>IF(INVESTORS_LIST[[#This Row],[SIP_TOTAL UNITS SOLD]]=0,0,SUMIFS(SIP[Realized Gain],SIP[Investor ID],INVESTORS_LIST[[#This Row],[INVESTOR CODE]],SIP[B/S],"S"))</f>
        <v>0</v>
      </c>
      <c r="S426" s="50">
        <f>INVESTORS_LIST[[#This Row],[LS_TOTAL UNITS BUY]]+INVESTORS_LIST[[#This Row],[SIP_TOTAL UNITS BUY]]</f>
        <v>4886</v>
      </c>
      <c r="T426" s="50">
        <f>INVESTORS_LIST[[#This Row],[LS_TOTAL UNITS SOLD]]+INVESTORS_LIST[[#This Row],[SIP_TOTAL UNITS SOLD]]</f>
        <v>4886</v>
      </c>
      <c r="U426" s="50"/>
      <c r="V426" s="50">
        <f>SUMIFS(LS[BO UNIT TRANSFER],LS[Investor ID],INVESTORS_LIST[[#This Row],[INVESTOR CODE]],LS[B/S],"B")</f>
        <v>0</v>
      </c>
      <c r="W426" s="50">
        <f>SUMIFS(SIP[BO UNIT TRANSFER],SIP[Investor ID],INVESTORS_LIST[[#This Row],[INVESTOR CODE]],SIP[B/S],"B")</f>
        <v>0</v>
      </c>
      <c r="X426" s="50">
        <f>SUMIFS(LS[BO UNIT TRANSFER],LS[Investor ID],INVESTORS_LIST[[#This Row],[INVESTOR CODE]],LS[B/S],"S")</f>
        <v>0</v>
      </c>
      <c r="Y426" s="50">
        <f>SUMIFS(SIP[BO UNIT TRANSFER],SIP[Investor ID],INVESTORS_LIST[[#This Row],[INVESTOR CODE]],SIP[B/S],"S")</f>
        <v>0</v>
      </c>
      <c r="Z426" s="106">
        <f>SUM(INVESTORS_LIST[[#This Row],[BO OPENING BALANCE]:[BO SIP UNITS REPURCHASE]])</f>
        <v>0</v>
      </c>
      <c r="AA426" s="107">
        <f>INVESTORS_LIST[[#This Row],[TOTAL UNITS BUY]]-INVESTORS_LIST[[#This Row],[TOTAL UNITS SOLD]]</f>
        <v>0</v>
      </c>
      <c r="AB426" s="107">
        <f>INVESTORS_LIST[[#This Row],[TOTAL CURRENT UNITS]]-INVESTORS_LIST[[#This Row],[BO UNITS HOLD]]</f>
        <v>0</v>
      </c>
      <c r="AC426" s="201" t="e">
        <f>INDEX([3]!Table_1[BO ID],MATCH(INVESTORS_LIST[[#This Row],[INVESTOR CODE]],[3]!Table_1[INVESTOR CODE],0))</f>
        <v>#REF!</v>
      </c>
      <c r="AD426" s="201" t="e">
        <f>INDEX([3]!Table_1[Brokerage Name2],MATCH(INVESTORS_LIST[[#This Row],[INVESTOR CODE]],[3]!Table_1[INVESTOR CODE],0))</f>
        <v>#REF!</v>
      </c>
      <c r="AE426" s="201" t="e">
        <f>MID(INVESTORS_LIST[[#This Row],[BO ID]],4,5)</f>
        <v>#REF!</v>
      </c>
      <c r="AF426" s="201" t="e">
        <f>MID(INVESTORS_LIST[[#This Row],[BO ID]],2,7)</f>
        <v>#REF!</v>
      </c>
      <c r="AG426" s="201" t="e">
        <f>MID(INVESTORS_LIST[[#This Row],[BO ID]],9,7)</f>
        <v>#REF!</v>
      </c>
      <c r="AH426" s="201" t="e">
        <f>RIGHT(INVESTORS_LIST[[#This Row],[BO ID]],1)</f>
        <v>#REF!</v>
      </c>
      <c r="AI426" s="50">
        <f>INVESTORS_LIST[[#This Row],[LS_TOTAL COST VALUE OF CURRENT UNITS]]+INVESTORS_LIST[[#This Row],[SIP_TOTAL COST VALUE OF CURRENT UNITS]]</f>
        <v>0</v>
      </c>
      <c r="AJ426" s="109">
        <f>IF(INVESTORS_LIST[[#This Row],[TOTAL CURRENT UNITS]]=0,0,INVESTORS_LIST[[#This Row],[LS_TOTAL CURRENT UNITS]]/INVESTORS_LIST[[#This Row],[TOTAL CURRENT UNITS]])</f>
        <v>0</v>
      </c>
      <c r="AK426" s="109">
        <f>IF(INVESTORS_LIST[[#This Row],[TOTAL CURRENT UNITS]]=0,0,INVESTORS_LIST[[#This Row],[SIP_TOTAL CURRENT UNITS]]/INVESTORS_LIST[[#This Row],[TOTAL CURRENT UNITS]])</f>
        <v>0</v>
      </c>
      <c r="AL426" s="49" cm="1">
        <f t="array" ref="AL4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6" s="49" cm="1">
        <f t="array" ref="AM4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6" s="105">
        <f t="shared" si="7"/>
        <v>14.224</v>
      </c>
      <c r="AP426" s="112">
        <f>IF(INVESTORS_LIST[[#This Row],[TOTAL CURRENT UNITS]]=0,0,INVESTORS_LIST[[#This Row],[TOTAL CURRENT UNITS]]*INVESTORS_LIST[[#This Row],[NAV]])</f>
        <v>0</v>
      </c>
      <c r="AQ426" s="49">
        <f>IF(INVESTORS_LIST[[#This Row],[LS_TOTAL CURRENT UNITS]]=0,0,INVESTORS_LIST[[#This Row],[LS_TOTAL CURRENT UNITS]]*INVESTORS_LIST[[#This Row],[NAV]])</f>
        <v>0</v>
      </c>
      <c r="AR426" s="48">
        <f>IF(INVESTORS_LIST[[#This Row],[SIP_TOTAL CURRENT UNITS]]=0,0,INVESTORS_LIST[[#This Row],[SIP_TOTAL CURRENT UNITS]]*INVESTORS_LIST[[#This Row],[NAV]])</f>
        <v>0</v>
      </c>
      <c r="AS426" s="50">
        <f>INVESTORS_LIST[[#This Row],[TOTAL CURRENT UNITS]]</f>
        <v>0</v>
      </c>
      <c r="AT426" s="48">
        <f>IF(INVESTORS_LIST[[#This Row],[TOTAL SELLABLE UNITS]]=0,0,INVESTORS_LIST[[#This Row],[TOTAL SELLABLE UNITS]]*INVESTORS_LIST[[#This Row],[NAV]])</f>
        <v>0</v>
      </c>
      <c r="AU426" s="48">
        <f>INVESTORS_LIST[[#This Row],[LS_TOTAL REALIZED GAIN]]+INVESTORS_LIST[[#This Row],[SIP_TOTAL REALIZED GAIN]]</f>
        <v>936.54999999999927</v>
      </c>
      <c r="AV426" s="48">
        <f>INVESTORS_LIST[[#This Row],[TOTAL MARKET VALUE]]-INVESTORS_LIST[[#This Row],[TOTAL COST VALUE OF CURRENT INVESTMENT]]</f>
        <v>0</v>
      </c>
      <c r="AW426" s="48">
        <f>IFERROR(INVESTORS_LIST[[#This Row],[TOTAL CURRENT UNITS]]/SUM(INVESTORS_LIST[TOTAL CURRENT UNITS]),0)</f>
        <v>0</v>
      </c>
    </row>
    <row r="427" spans="1:49">
      <c r="A427" s="262" t="s">
        <v>899</v>
      </c>
      <c r="B427" s="97" t="s">
        <v>900</v>
      </c>
      <c r="C427" t="s">
        <v>67</v>
      </c>
      <c r="D427" s="75" t="s">
        <v>45</v>
      </c>
      <c r="E427" s="47">
        <f>SUMIFS(LS[Unit],LS[Investor ID],INVESTORS_LIST[[#This Row],[INVESTOR CODE]],LS[B/S],"B")</f>
        <v>148530</v>
      </c>
      <c r="F427" s="47">
        <f>-SUMIFS(LS[Unit],LS[Investor ID],INVESTORS_LIST[[#This Row],[INVESTOR CODE]],LS[B/S],"S")</f>
        <v>0</v>
      </c>
      <c r="G427" s="47">
        <f>IF(INVESTORS_LIST[[#This Row],[LS_TOTAL UNITS BUY]]=0,0,INVESTORS_LIST[[#This Row],[LS_TOTAL UNITS BUY]]-INVESTORS_LIST[[#This Row],[LS_TOTAL UNITS SOLD]])</f>
        <v>148530</v>
      </c>
      <c r="H427" s="49">
        <f>IF(INVESTORS_LIST[[#This Row],[LS_TOTAL UNITS BUY]]=0,0,SUMIFS(LS[Amount],LS[Investor ID],INVESTORS_LIST[[#This Row],[INVESTOR CODE]],LS[B/S],"B"))</f>
        <v>2000000</v>
      </c>
      <c r="I427" s="48">
        <f>IF(INVESTORS_LIST[[#This Row],[LS_TOTAL UNITS SOLD]]=0,0,SUMIFS(LS[Cost of Units Sold],LS[Investor ID],INVESTORS_LIST[[#This Row],[INVESTOR CODE]],LS[B/S],"S"))</f>
        <v>0</v>
      </c>
      <c r="J427" s="48">
        <f>IF(INVESTORS_LIST[[#This Row],[LS_TOTAL CURRENT UNITS]]=0,0,INVESTORS_LIST[[#This Row],[LS_TOTAL CURRENT UNITS]]*INVESTORS_LIST[[#This Row],[LS_AVERAGE COST]])</f>
        <v>2000000</v>
      </c>
      <c r="K427" s="49">
        <f>IF(INVESTORS_LIST[[#This Row],[LS_TOTAL UNITS SOLD]]=0,0,SUMIFS(LS[Realized Gain],LS[Investor ID],INVESTORS_LIST[[#This Row],[INVESTOR CODE]],LS[B/S],"S"))</f>
        <v>0</v>
      </c>
      <c r="L427" s="47">
        <f>SUMIFS(SIP[Unit],SIP[Investor ID],INVESTORS_LIST[[#This Row],[INVESTOR CODE]],SIP[B/S],"B")</f>
        <v>58047</v>
      </c>
      <c r="M427" s="47">
        <f>-SUMIFS(SIP[Unit],SIP[Investor ID],INVESTORS_LIST[[#This Row],[INVESTOR CODE]],SIP[B/S],"S")</f>
        <v>0</v>
      </c>
      <c r="N427" s="50">
        <f>IF(INVESTORS_LIST[[#This Row],[SIP_TOTAL UNITS BUY]]=0,0,INVESTORS_LIST[[#This Row],[SIP_TOTAL UNITS BUY]]-INVESTORS_LIST[[#This Row],[SIP_TOTAL UNITS SOLD]])</f>
        <v>58047</v>
      </c>
      <c r="O427" s="49">
        <f>IF(INVESTORS_LIST[[#This Row],[SIP_TOTAL UNITS BUY]]=0,0,SUMIFS(SIP[Amount],SIP[Investor ID],INVESTORS_LIST[[#This Row],[INVESTOR CODE]],SIP[B/S],"B"))</f>
        <v>680000</v>
      </c>
      <c r="P427" s="49">
        <f>IF(INVESTORS_LIST[[#This Row],[SIP_TOTAL UNITS SOLD]]=0,0,SUMIFS(SIP[Cost of Units Sold],SIP[Investor ID],INVESTORS_LIST[[#This Row],[INVESTOR CODE]],SIP[B/S],"S"))</f>
        <v>0</v>
      </c>
      <c r="Q427" s="48">
        <f>IF(INVESTORS_LIST[[#This Row],[SIP_TOTAL CURRENT UNITS]]=0,0,INVESTORS_LIST[[#This Row],[SIP_TOTAL CURRENT UNITS]]*INVESTORS_LIST[[#This Row],[SIP_AVERAGE COST]])</f>
        <v>680000.00000000035</v>
      </c>
      <c r="R427" s="48">
        <f>IF(INVESTORS_LIST[[#This Row],[SIP_TOTAL UNITS SOLD]]=0,0,SUMIFS(SIP[Realized Gain],SIP[Investor ID],INVESTORS_LIST[[#This Row],[INVESTOR CODE]],SIP[B/S],"S"))</f>
        <v>0</v>
      </c>
      <c r="S427" s="50">
        <f>INVESTORS_LIST[[#This Row],[LS_TOTAL UNITS BUY]]+INVESTORS_LIST[[#This Row],[SIP_TOTAL UNITS BUY]]</f>
        <v>206577</v>
      </c>
      <c r="T427" s="50">
        <f>INVESTORS_LIST[[#This Row],[LS_TOTAL UNITS SOLD]]+INVESTORS_LIST[[#This Row],[SIP_TOTAL UNITS SOLD]]</f>
        <v>0</v>
      </c>
      <c r="U427" s="50">
        <v>44697</v>
      </c>
      <c r="V427" s="50">
        <f>SUMIFS(LS[BO UNIT TRANSFER],LS[Investor ID],INVESTORS_LIST[[#This Row],[INVESTOR CODE]],LS[B/S],"B")</f>
        <v>148530</v>
      </c>
      <c r="W427" s="50">
        <f>SUMIFS(SIP[BO UNIT TRANSFER],SIP[Investor ID],INVESTORS_LIST[[#This Row],[INVESTOR CODE]],SIP[B/S],"B")</f>
        <v>11934</v>
      </c>
      <c r="X427" s="50">
        <f>SUMIFS(LS[BO UNIT TRANSFER],LS[Investor ID],INVESTORS_LIST[[#This Row],[INVESTOR CODE]],LS[B/S],"S")</f>
        <v>0</v>
      </c>
      <c r="Y427" s="50">
        <f>SUMIFS(SIP[BO UNIT TRANSFER],SIP[Investor ID],INVESTORS_LIST[[#This Row],[INVESTOR CODE]],SIP[B/S],"S")</f>
        <v>0</v>
      </c>
      <c r="Z427" s="106">
        <f>SUM(INVESTORS_LIST[[#This Row],[BO OPENING BALANCE]:[BO SIP UNITS REPURCHASE]])</f>
        <v>205161</v>
      </c>
      <c r="AA427" s="107">
        <f>INVESTORS_LIST[[#This Row],[TOTAL UNITS BUY]]-INVESTORS_LIST[[#This Row],[TOTAL UNITS SOLD]]</f>
        <v>206577</v>
      </c>
      <c r="AB427" s="107">
        <f>INVESTORS_LIST[[#This Row],[TOTAL CURRENT UNITS]]-INVESTORS_LIST[[#This Row],[BO UNITS HOLD]]</f>
        <v>1416</v>
      </c>
      <c r="AC427" s="201" t="e">
        <f>INDEX([3]!Table_1[BO ID],MATCH(INVESTORS_LIST[[#This Row],[INVESTOR CODE]],[3]!Table_1[INVESTOR CODE],0))</f>
        <v>#REF!</v>
      </c>
      <c r="AD427" s="201" t="e">
        <f>INDEX([3]!Table_1[Brokerage Name2],MATCH(INVESTORS_LIST[[#This Row],[INVESTOR CODE]],[3]!Table_1[INVESTOR CODE],0))</f>
        <v>#REF!</v>
      </c>
      <c r="AE427" s="201" t="e">
        <f>MID(INVESTORS_LIST[[#This Row],[BO ID]],4,5)</f>
        <v>#REF!</v>
      </c>
      <c r="AF427" s="201" t="e">
        <f>MID(INVESTORS_LIST[[#This Row],[BO ID]],2,7)</f>
        <v>#REF!</v>
      </c>
      <c r="AG427" s="201" t="e">
        <f>MID(INVESTORS_LIST[[#This Row],[BO ID]],9,7)</f>
        <v>#REF!</v>
      </c>
      <c r="AH427" s="201" t="e">
        <f>RIGHT(INVESTORS_LIST[[#This Row],[BO ID]],1)</f>
        <v>#REF!</v>
      </c>
      <c r="AI427" s="50">
        <f>INVESTORS_LIST[[#This Row],[LS_TOTAL COST VALUE OF CURRENT UNITS]]+INVESTORS_LIST[[#This Row],[SIP_TOTAL COST VALUE OF CURRENT UNITS]]</f>
        <v>2680000.0000000005</v>
      </c>
      <c r="AJ427" s="109">
        <f>IF(INVESTORS_LIST[[#This Row],[TOTAL CURRENT UNITS]]=0,0,INVESTORS_LIST[[#This Row],[LS_TOTAL CURRENT UNITS]]/INVESTORS_LIST[[#This Row],[TOTAL CURRENT UNITS]])</f>
        <v>0.71900550400092944</v>
      </c>
      <c r="AK427" s="109">
        <f>IF(INVESTORS_LIST[[#This Row],[TOTAL CURRENT UNITS]]=0,0,INVESTORS_LIST[[#This Row],[SIP_TOTAL CURRENT UNITS]]/INVESTORS_LIST[[#This Row],[TOTAL CURRENT UNITS]])</f>
        <v>0.28099449599907056</v>
      </c>
      <c r="AL427" s="49" cm="1">
        <f t="array" ref="AL427">IF(INVESTORS_LIST[[#This Row],[LS_TOTAL UNITS BUY]]&gt;0,INDEX(LS[NAV at Cost (Average)],MATCH(CONCATENATE(COUNTIFS(LS[Investor ID],INVESTORS_LIST[[#This Row],[INVESTOR CODE]]),INVESTORS_LIST[[#This Row],[INVESTOR CODE]]),LS[Unique Code],0),),0)</f>
        <v>13.465293206759577</v>
      </c>
      <c r="AM427" s="49" cm="1">
        <f t="array" ref="AM427">IF(INVESTORS_LIST[[#This Row],[SIP_TOTAL UNITS BUY]]&gt;0,INDEX(SIP[NAV at Cost (Average)],MATCH(CONCATENATE(COUNTIFS(SIP[Investor ID],INVESTORS_LIST[[#This Row],[INVESTOR CODE]]),INVESTORS_LIST[[#This Row],[INVESTOR CODE]]),SIP[Unique Code],0),),0)</f>
        <v>11.714645029028206</v>
      </c>
      <c r="AN427" s="105">
        <f>IF(INVESTORS_LIST[[#This Row],[TOTAL CURRENT UNITS]]=0,0,(INVESTORS_LIST[[#This Row],[LS_WEIGHT]]*INVESTORS_LIST[[#This Row],[LS_AVERAGE COST]])+(INVESTORS_LIST[[#This Row],[SIP_WEIGHT]]*INVESTORS_LIST[[#This Row],[SIP_AVERAGE COST]]))</f>
        <v>12.973370704386259</v>
      </c>
      <c r="AO427" s="105">
        <f t="shared" si="7"/>
        <v>14.224</v>
      </c>
      <c r="AP427" s="112">
        <f>IF(INVESTORS_LIST[[#This Row],[TOTAL CURRENT UNITS]]=0,0,INVESTORS_LIST[[#This Row],[TOTAL CURRENT UNITS]]*INVESTORS_LIST[[#This Row],[NAV]])</f>
        <v>2938351.2480000001</v>
      </c>
      <c r="AQ427" s="49">
        <f>IF(INVESTORS_LIST[[#This Row],[LS_TOTAL CURRENT UNITS]]=0,0,INVESTORS_LIST[[#This Row],[LS_TOTAL CURRENT UNITS]]*INVESTORS_LIST[[#This Row],[NAV]])</f>
        <v>2112690.7200000002</v>
      </c>
      <c r="AR427" s="48">
        <f>IF(INVESTORS_LIST[[#This Row],[SIP_TOTAL CURRENT UNITS]]=0,0,INVESTORS_LIST[[#This Row],[SIP_TOTAL CURRENT UNITS]]*INVESTORS_LIST[[#This Row],[NAV]])</f>
        <v>825660.52800000005</v>
      </c>
      <c r="AS427" s="50">
        <f>INVESTORS_LIST[[#This Row],[TOTAL CURRENT UNITS]]</f>
        <v>206577</v>
      </c>
      <c r="AT427" s="48">
        <f>IF(INVESTORS_LIST[[#This Row],[TOTAL SELLABLE UNITS]]=0,0,INVESTORS_LIST[[#This Row],[TOTAL SELLABLE UNITS]]*INVESTORS_LIST[[#This Row],[NAV]])</f>
        <v>2938351.2480000001</v>
      </c>
      <c r="AU427" s="48">
        <f>INVESTORS_LIST[[#This Row],[LS_TOTAL REALIZED GAIN]]+INVESTORS_LIST[[#This Row],[SIP_TOTAL REALIZED GAIN]]</f>
        <v>0</v>
      </c>
      <c r="AV427" s="48">
        <f>INVESTORS_LIST[[#This Row],[TOTAL MARKET VALUE]]-INVESTORS_LIST[[#This Row],[TOTAL COST VALUE OF CURRENT INVESTMENT]]</f>
        <v>258351.24799999967</v>
      </c>
      <c r="AW427" s="108">
        <f>IFERROR(INVESTORS_LIST[[#This Row],[TOTAL CURRENT UNITS]]/SUM(INVESTORS_LIST[TOTAL CURRENT UNITS]),0)</f>
        <v>5.014906198553405E-3</v>
      </c>
    </row>
    <row r="428" spans="1:49" hidden="1">
      <c r="A428" s="262" t="s">
        <v>901</v>
      </c>
      <c r="B428" s="97" t="s">
        <v>902</v>
      </c>
      <c r="C428" t="s">
        <v>67</v>
      </c>
      <c r="D428" s="75" t="s">
        <v>45</v>
      </c>
      <c r="E428" s="47">
        <f>SUMIFS(LS[Unit],LS[Investor ID],INVESTORS_LIST[[#This Row],[INVESTOR CODE]],LS[B/S],"B")</f>
        <v>0</v>
      </c>
      <c r="F428" s="47">
        <f>-SUMIFS(LS[Unit],LS[Investor ID],INVESTORS_LIST[[#This Row],[INVESTOR CODE]],LS[B/S],"S")</f>
        <v>0</v>
      </c>
      <c r="G428" s="47">
        <f>IF(INVESTORS_LIST[[#This Row],[LS_TOTAL UNITS BUY]]=0,0,INVESTORS_LIST[[#This Row],[LS_TOTAL UNITS BUY]]-INVESTORS_LIST[[#This Row],[LS_TOTAL UNITS SOLD]])</f>
        <v>0</v>
      </c>
      <c r="H428" s="49">
        <f>IF(INVESTORS_LIST[[#This Row],[LS_TOTAL UNITS BUY]]=0,0,SUMIFS(LS[Amount],LS[Investor ID],INVESTORS_LIST[[#This Row],[INVESTOR CODE]],LS[B/S],"B"))</f>
        <v>0</v>
      </c>
      <c r="I428" s="48">
        <f>IF(INVESTORS_LIST[[#This Row],[LS_TOTAL UNITS SOLD]]=0,0,SUMIFS(LS[Cost of Units Sold],LS[Investor ID],INVESTORS_LIST[[#This Row],[INVESTOR CODE]],LS[B/S],"S"))</f>
        <v>0</v>
      </c>
      <c r="J428" s="48">
        <f>IF(INVESTORS_LIST[[#This Row],[LS_TOTAL CURRENT UNITS]]=0,0,INVESTORS_LIST[[#This Row],[LS_TOTAL CURRENT UNITS]]*INVESTORS_LIST[[#This Row],[LS_AVERAGE COST]])</f>
        <v>0</v>
      </c>
      <c r="K428" s="49">
        <f>IF(INVESTORS_LIST[[#This Row],[LS_TOTAL UNITS SOLD]]=0,0,SUMIFS(LS[Realized Gain],LS[Investor ID],INVESTORS_LIST[[#This Row],[INVESTOR CODE]],LS[B/S],"S"))</f>
        <v>0</v>
      </c>
      <c r="L428" s="47">
        <f>SUMIFS(SIP[Unit],SIP[Investor ID],INVESTORS_LIST[[#This Row],[INVESTOR CODE]],SIP[B/S],"B")</f>
        <v>0</v>
      </c>
      <c r="M428" s="47">
        <f>-SUMIFS(SIP[Unit],SIP[Investor ID],INVESTORS_LIST[[#This Row],[INVESTOR CODE]],SIP[B/S],"S")</f>
        <v>0</v>
      </c>
      <c r="N428" s="50">
        <f>IF(INVESTORS_LIST[[#This Row],[SIP_TOTAL UNITS BUY]]=0,0,INVESTORS_LIST[[#This Row],[SIP_TOTAL UNITS BUY]]-INVESTORS_LIST[[#This Row],[SIP_TOTAL UNITS SOLD]])</f>
        <v>0</v>
      </c>
      <c r="O428" s="49">
        <f>IF(INVESTORS_LIST[[#This Row],[SIP_TOTAL UNITS BUY]]=0,0,SUMIFS(SIP[Amount],SIP[Investor ID],INVESTORS_LIST[[#This Row],[INVESTOR CODE]],SIP[B/S],"B"))</f>
        <v>0</v>
      </c>
      <c r="P428" s="49">
        <f>IF(INVESTORS_LIST[[#This Row],[SIP_TOTAL UNITS SOLD]]=0,0,SUMIFS(SIP[Cost of Units Sold],SIP[Investor ID],INVESTORS_LIST[[#This Row],[INVESTOR CODE]],SIP[B/S],"S"))</f>
        <v>0</v>
      </c>
      <c r="Q428" s="48">
        <f>IF(INVESTORS_LIST[[#This Row],[SIP_TOTAL CURRENT UNITS]]=0,0,INVESTORS_LIST[[#This Row],[SIP_TOTAL CURRENT UNITS]]*INVESTORS_LIST[[#This Row],[SIP_AVERAGE COST]])</f>
        <v>0</v>
      </c>
      <c r="R428" s="48">
        <f>IF(INVESTORS_LIST[[#This Row],[SIP_TOTAL UNITS SOLD]]=0,0,SUMIFS(SIP[Realized Gain],SIP[Investor ID],INVESTORS_LIST[[#This Row],[INVESTOR CODE]],SIP[B/S],"S"))</f>
        <v>0</v>
      </c>
      <c r="S428" s="50">
        <f>INVESTORS_LIST[[#This Row],[LS_TOTAL UNITS BUY]]+INVESTORS_LIST[[#This Row],[SIP_TOTAL UNITS BUY]]</f>
        <v>0</v>
      </c>
      <c r="T428" s="50">
        <f>INVESTORS_LIST[[#This Row],[LS_TOTAL UNITS SOLD]]+INVESTORS_LIST[[#This Row],[SIP_TOTAL UNITS SOLD]]</f>
        <v>0</v>
      </c>
      <c r="U428" s="50"/>
      <c r="V428" s="50">
        <f>SUMIFS(LS[BO UNIT TRANSFER],LS[Investor ID],INVESTORS_LIST[[#This Row],[INVESTOR CODE]],LS[B/S],"B")</f>
        <v>0</v>
      </c>
      <c r="W428" s="50">
        <f>SUMIFS(SIP[BO UNIT TRANSFER],SIP[Investor ID],INVESTORS_LIST[[#This Row],[INVESTOR CODE]],SIP[B/S],"B")</f>
        <v>0</v>
      </c>
      <c r="X428" s="50">
        <f>SUMIFS(LS[BO UNIT TRANSFER],LS[Investor ID],INVESTORS_LIST[[#This Row],[INVESTOR CODE]],LS[B/S],"S")</f>
        <v>0</v>
      </c>
      <c r="Y428" s="50">
        <f>SUMIFS(SIP[BO UNIT TRANSFER],SIP[Investor ID],INVESTORS_LIST[[#This Row],[INVESTOR CODE]],SIP[B/S],"S")</f>
        <v>0</v>
      </c>
      <c r="Z428" s="106">
        <f>SUM(INVESTORS_LIST[[#This Row],[BO OPENING BALANCE]:[BO SIP UNITS REPURCHASE]])</f>
        <v>0</v>
      </c>
      <c r="AA428" s="107">
        <f>INVESTORS_LIST[[#This Row],[TOTAL UNITS BUY]]-INVESTORS_LIST[[#This Row],[TOTAL UNITS SOLD]]</f>
        <v>0</v>
      </c>
      <c r="AB428" s="107">
        <f>INVESTORS_LIST[[#This Row],[TOTAL CURRENT UNITS]]-INVESTORS_LIST[[#This Row],[BO UNITS HOLD]]</f>
        <v>0</v>
      </c>
      <c r="AC428" s="201" t="e">
        <f>INDEX([3]!Table_1[BO ID],MATCH(INVESTORS_LIST[[#This Row],[INVESTOR CODE]],[3]!Table_1[INVESTOR CODE],0))</f>
        <v>#REF!</v>
      </c>
      <c r="AD428" s="201" t="e">
        <f>INDEX([3]!Table_1[Brokerage Name2],MATCH(INVESTORS_LIST[[#This Row],[INVESTOR CODE]],[3]!Table_1[INVESTOR CODE],0))</f>
        <v>#REF!</v>
      </c>
      <c r="AE428" s="201" t="e">
        <f>MID(INVESTORS_LIST[[#This Row],[BO ID]],4,5)</f>
        <v>#REF!</v>
      </c>
      <c r="AF428" s="201" t="e">
        <f>MID(INVESTORS_LIST[[#This Row],[BO ID]],2,7)</f>
        <v>#REF!</v>
      </c>
      <c r="AG428" s="201" t="e">
        <f>MID(INVESTORS_LIST[[#This Row],[BO ID]],9,7)</f>
        <v>#REF!</v>
      </c>
      <c r="AH428" s="201" t="e">
        <f>RIGHT(INVESTORS_LIST[[#This Row],[BO ID]],1)</f>
        <v>#REF!</v>
      </c>
      <c r="AI428" s="50">
        <f>INVESTORS_LIST[[#This Row],[LS_TOTAL COST VALUE OF CURRENT UNITS]]+INVESTORS_LIST[[#This Row],[SIP_TOTAL COST VALUE OF CURRENT UNITS]]</f>
        <v>0</v>
      </c>
      <c r="AJ428" s="109">
        <f>IF(INVESTORS_LIST[[#This Row],[TOTAL CURRENT UNITS]]=0,0,INVESTORS_LIST[[#This Row],[LS_TOTAL CURRENT UNITS]]/INVESTORS_LIST[[#This Row],[TOTAL CURRENT UNITS]])</f>
        <v>0</v>
      </c>
      <c r="AK428" s="109">
        <f>IF(INVESTORS_LIST[[#This Row],[TOTAL CURRENT UNITS]]=0,0,INVESTORS_LIST[[#This Row],[SIP_TOTAL CURRENT UNITS]]/INVESTORS_LIST[[#This Row],[TOTAL CURRENT UNITS]])</f>
        <v>0</v>
      </c>
      <c r="AL428" s="49" cm="1">
        <f t="array" ref="AL4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8" s="49" cm="1">
        <f t="array" ref="AM4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8" s="105">
        <f t="shared" si="7"/>
        <v>14.224</v>
      </c>
      <c r="AP428" s="112">
        <f>IF(INVESTORS_LIST[[#This Row],[TOTAL CURRENT UNITS]]=0,0,INVESTORS_LIST[[#This Row],[TOTAL CURRENT UNITS]]*INVESTORS_LIST[[#This Row],[NAV]])</f>
        <v>0</v>
      </c>
      <c r="AQ428" s="49">
        <f>IF(INVESTORS_LIST[[#This Row],[LS_TOTAL CURRENT UNITS]]=0,0,INVESTORS_LIST[[#This Row],[LS_TOTAL CURRENT UNITS]]*INVESTORS_LIST[[#This Row],[NAV]])</f>
        <v>0</v>
      </c>
      <c r="AR428" s="48">
        <f>IF(INVESTORS_LIST[[#This Row],[SIP_TOTAL CURRENT UNITS]]=0,0,INVESTORS_LIST[[#This Row],[SIP_TOTAL CURRENT UNITS]]*INVESTORS_LIST[[#This Row],[NAV]])</f>
        <v>0</v>
      </c>
      <c r="AS428" s="50">
        <f>INVESTORS_LIST[[#This Row],[TOTAL CURRENT UNITS]]</f>
        <v>0</v>
      </c>
      <c r="AT428" s="48">
        <f>IF(INVESTORS_LIST[[#This Row],[TOTAL SELLABLE UNITS]]=0,0,INVESTORS_LIST[[#This Row],[TOTAL SELLABLE UNITS]]*INVESTORS_LIST[[#This Row],[NAV]])</f>
        <v>0</v>
      </c>
      <c r="AU428" s="48">
        <f>INVESTORS_LIST[[#This Row],[LS_TOTAL REALIZED GAIN]]+INVESTORS_LIST[[#This Row],[SIP_TOTAL REALIZED GAIN]]</f>
        <v>0</v>
      </c>
      <c r="AV428" s="48">
        <f>INVESTORS_LIST[[#This Row],[TOTAL MARKET VALUE]]-INVESTORS_LIST[[#This Row],[TOTAL COST VALUE OF CURRENT INVESTMENT]]</f>
        <v>0</v>
      </c>
      <c r="AW428" s="48">
        <f>IFERROR(INVESTORS_LIST[[#This Row],[TOTAL CURRENT UNITS]]/SUM(INVESTORS_LIST[TOTAL CURRENT UNITS]),0)</f>
        <v>0</v>
      </c>
    </row>
    <row r="429" spans="1:49" hidden="1">
      <c r="A429" s="262" t="s">
        <v>903</v>
      </c>
      <c r="B429" s="97" t="s">
        <v>904</v>
      </c>
      <c r="C429" t="s">
        <v>67</v>
      </c>
      <c r="D429" s="75" t="s">
        <v>45</v>
      </c>
      <c r="E429" s="47">
        <f>SUMIFS(LS[Unit],LS[Investor ID],INVESTORS_LIST[[#This Row],[INVESTOR CODE]],LS[B/S],"B")</f>
        <v>0</v>
      </c>
      <c r="F429" s="47">
        <f>-SUMIFS(LS[Unit],LS[Investor ID],INVESTORS_LIST[[#This Row],[INVESTOR CODE]],LS[B/S],"S")</f>
        <v>0</v>
      </c>
      <c r="G429" s="47">
        <f>IF(INVESTORS_LIST[[#This Row],[LS_TOTAL UNITS BUY]]=0,0,INVESTORS_LIST[[#This Row],[LS_TOTAL UNITS BUY]]-INVESTORS_LIST[[#This Row],[LS_TOTAL UNITS SOLD]])</f>
        <v>0</v>
      </c>
      <c r="H429" s="49">
        <f>IF(INVESTORS_LIST[[#This Row],[LS_TOTAL UNITS BUY]]=0,0,SUMIFS(LS[Amount],LS[Investor ID],INVESTORS_LIST[[#This Row],[INVESTOR CODE]],LS[B/S],"B"))</f>
        <v>0</v>
      </c>
      <c r="I429" s="48">
        <f>IF(INVESTORS_LIST[[#This Row],[LS_TOTAL UNITS SOLD]]=0,0,SUMIFS(LS[Cost of Units Sold],LS[Investor ID],INVESTORS_LIST[[#This Row],[INVESTOR CODE]],LS[B/S],"S"))</f>
        <v>0</v>
      </c>
      <c r="J429" s="48">
        <f>IF(INVESTORS_LIST[[#This Row],[LS_TOTAL CURRENT UNITS]]=0,0,INVESTORS_LIST[[#This Row],[LS_TOTAL CURRENT UNITS]]*INVESTORS_LIST[[#This Row],[LS_AVERAGE COST]])</f>
        <v>0</v>
      </c>
      <c r="K429" s="49">
        <f>IF(INVESTORS_LIST[[#This Row],[LS_TOTAL UNITS SOLD]]=0,0,SUMIFS(LS[Realized Gain],LS[Investor ID],INVESTORS_LIST[[#This Row],[INVESTOR CODE]],LS[B/S],"S"))</f>
        <v>0</v>
      </c>
      <c r="L429" s="47">
        <f>SUMIFS(SIP[Unit],SIP[Investor ID],INVESTORS_LIST[[#This Row],[INVESTOR CODE]],SIP[B/S],"B")</f>
        <v>0</v>
      </c>
      <c r="M429" s="47">
        <f>-SUMIFS(SIP[Unit],SIP[Investor ID],INVESTORS_LIST[[#This Row],[INVESTOR CODE]],SIP[B/S],"S")</f>
        <v>0</v>
      </c>
      <c r="N429" s="50">
        <f>IF(INVESTORS_LIST[[#This Row],[SIP_TOTAL UNITS BUY]]=0,0,INVESTORS_LIST[[#This Row],[SIP_TOTAL UNITS BUY]]-INVESTORS_LIST[[#This Row],[SIP_TOTAL UNITS SOLD]])</f>
        <v>0</v>
      </c>
      <c r="O429" s="49">
        <f>IF(INVESTORS_LIST[[#This Row],[SIP_TOTAL UNITS BUY]]=0,0,SUMIFS(SIP[Amount],SIP[Investor ID],INVESTORS_LIST[[#This Row],[INVESTOR CODE]],SIP[B/S],"B"))</f>
        <v>0</v>
      </c>
      <c r="P429" s="49">
        <f>IF(INVESTORS_LIST[[#This Row],[SIP_TOTAL UNITS SOLD]]=0,0,SUMIFS(SIP[Cost of Units Sold],SIP[Investor ID],INVESTORS_LIST[[#This Row],[INVESTOR CODE]],SIP[B/S],"S"))</f>
        <v>0</v>
      </c>
      <c r="Q429" s="48">
        <f>IF(INVESTORS_LIST[[#This Row],[SIP_TOTAL CURRENT UNITS]]=0,0,INVESTORS_LIST[[#This Row],[SIP_TOTAL CURRENT UNITS]]*INVESTORS_LIST[[#This Row],[SIP_AVERAGE COST]])</f>
        <v>0</v>
      </c>
      <c r="R429" s="48">
        <f>IF(INVESTORS_LIST[[#This Row],[SIP_TOTAL UNITS SOLD]]=0,0,SUMIFS(SIP[Realized Gain],SIP[Investor ID],INVESTORS_LIST[[#This Row],[INVESTOR CODE]],SIP[B/S],"S"))</f>
        <v>0</v>
      </c>
      <c r="S429" s="50">
        <f>INVESTORS_LIST[[#This Row],[LS_TOTAL UNITS BUY]]+INVESTORS_LIST[[#This Row],[SIP_TOTAL UNITS BUY]]</f>
        <v>0</v>
      </c>
      <c r="T429" s="50">
        <f>INVESTORS_LIST[[#This Row],[LS_TOTAL UNITS SOLD]]+INVESTORS_LIST[[#This Row],[SIP_TOTAL UNITS SOLD]]</f>
        <v>0</v>
      </c>
      <c r="U429" s="50"/>
      <c r="V429" s="50">
        <f>SUMIFS(LS[BO UNIT TRANSFER],LS[Investor ID],INVESTORS_LIST[[#This Row],[INVESTOR CODE]],LS[B/S],"B")</f>
        <v>0</v>
      </c>
      <c r="W429" s="50">
        <f>SUMIFS(SIP[BO UNIT TRANSFER],SIP[Investor ID],INVESTORS_LIST[[#This Row],[INVESTOR CODE]],SIP[B/S],"B")</f>
        <v>0</v>
      </c>
      <c r="X429" s="50">
        <f>SUMIFS(LS[BO UNIT TRANSFER],LS[Investor ID],INVESTORS_LIST[[#This Row],[INVESTOR CODE]],LS[B/S],"S")</f>
        <v>0</v>
      </c>
      <c r="Y429" s="50">
        <f>SUMIFS(SIP[BO UNIT TRANSFER],SIP[Investor ID],INVESTORS_LIST[[#This Row],[INVESTOR CODE]],SIP[B/S],"S")</f>
        <v>0</v>
      </c>
      <c r="Z429" s="106">
        <f>SUM(INVESTORS_LIST[[#This Row],[BO OPENING BALANCE]:[BO SIP UNITS REPURCHASE]])</f>
        <v>0</v>
      </c>
      <c r="AA429" s="107">
        <f>INVESTORS_LIST[[#This Row],[TOTAL UNITS BUY]]-INVESTORS_LIST[[#This Row],[TOTAL UNITS SOLD]]</f>
        <v>0</v>
      </c>
      <c r="AB429" s="107">
        <f>INVESTORS_LIST[[#This Row],[TOTAL CURRENT UNITS]]-INVESTORS_LIST[[#This Row],[BO UNITS HOLD]]</f>
        <v>0</v>
      </c>
      <c r="AC429" s="201" t="e">
        <f>INDEX([3]!Table_1[BO ID],MATCH(INVESTORS_LIST[[#This Row],[INVESTOR CODE]],[3]!Table_1[INVESTOR CODE],0))</f>
        <v>#REF!</v>
      </c>
      <c r="AD429" s="201" t="e">
        <f>INDEX([3]!Table_1[Brokerage Name2],MATCH(INVESTORS_LIST[[#This Row],[INVESTOR CODE]],[3]!Table_1[INVESTOR CODE],0))</f>
        <v>#REF!</v>
      </c>
      <c r="AE429" s="201" t="e">
        <f>MID(INVESTORS_LIST[[#This Row],[BO ID]],4,5)</f>
        <v>#REF!</v>
      </c>
      <c r="AF429" s="201" t="e">
        <f>MID(INVESTORS_LIST[[#This Row],[BO ID]],2,7)</f>
        <v>#REF!</v>
      </c>
      <c r="AG429" s="201" t="e">
        <f>MID(INVESTORS_LIST[[#This Row],[BO ID]],9,7)</f>
        <v>#REF!</v>
      </c>
      <c r="AH429" s="201" t="e">
        <f>RIGHT(INVESTORS_LIST[[#This Row],[BO ID]],1)</f>
        <v>#REF!</v>
      </c>
      <c r="AI429" s="50">
        <f>INVESTORS_LIST[[#This Row],[LS_TOTAL COST VALUE OF CURRENT UNITS]]+INVESTORS_LIST[[#This Row],[SIP_TOTAL COST VALUE OF CURRENT UNITS]]</f>
        <v>0</v>
      </c>
      <c r="AJ429" s="109">
        <f>IF(INVESTORS_LIST[[#This Row],[TOTAL CURRENT UNITS]]=0,0,INVESTORS_LIST[[#This Row],[LS_TOTAL CURRENT UNITS]]/INVESTORS_LIST[[#This Row],[TOTAL CURRENT UNITS]])</f>
        <v>0</v>
      </c>
      <c r="AK429" s="109">
        <f>IF(INVESTORS_LIST[[#This Row],[TOTAL CURRENT UNITS]]=0,0,INVESTORS_LIST[[#This Row],[SIP_TOTAL CURRENT UNITS]]/INVESTORS_LIST[[#This Row],[TOTAL CURRENT UNITS]])</f>
        <v>0</v>
      </c>
      <c r="AL429" s="49" cm="1">
        <f t="array" ref="AL4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29" s="49" cm="1">
        <f t="array" ref="AM4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2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29" s="105">
        <f t="shared" si="7"/>
        <v>14.224</v>
      </c>
      <c r="AP429" s="112">
        <f>IF(INVESTORS_LIST[[#This Row],[TOTAL CURRENT UNITS]]=0,0,INVESTORS_LIST[[#This Row],[TOTAL CURRENT UNITS]]*INVESTORS_LIST[[#This Row],[NAV]])</f>
        <v>0</v>
      </c>
      <c r="AQ429" s="49">
        <f>IF(INVESTORS_LIST[[#This Row],[LS_TOTAL CURRENT UNITS]]=0,0,INVESTORS_LIST[[#This Row],[LS_TOTAL CURRENT UNITS]]*INVESTORS_LIST[[#This Row],[NAV]])</f>
        <v>0</v>
      </c>
      <c r="AR429" s="48">
        <f>IF(INVESTORS_LIST[[#This Row],[SIP_TOTAL CURRENT UNITS]]=0,0,INVESTORS_LIST[[#This Row],[SIP_TOTAL CURRENT UNITS]]*INVESTORS_LIST[[#This Row],[NAV]])</f>
        <v>0</v>
      </c>
      <c r="AS429" s="50">
        <f>INVESTORS_LIST[[#This Row],[TOTAL CURRENT UNITS]]</f>
        <v>0</v>
      </c>
      <c r="AT429" s="48">
        <f>IF(INVESTORS_LIST[[#This Row],[TOTAL SELLABLE UNITS]]=0,0,INVESTORS_LIST[[#This Row],[TOTAL SELLABLE UNITS]]*INVESTORS_LIST[[#This Row],[NAV]])</f>
        <v>0</v>
      </c>
      <c r="AU429" s="48">
        <f>INVESTORS_LIST[[#This Row],[LS_TOTAL REALIZED GAIN]]+INVESTORS_LIST[[#This Row],[SIP_TOTAL REALIZED GAIN]]</f>
        <v>0</v>
      </c>
      <c r="AV429" s="48">
        <f>INVESTORS_LIST[[#This Row],[TOTAL MARKET VALUE]]-INVESTORS_LIST[[#This Row],[TOTAL COST VALUE OF CURRENT INVESTMENT]]</f>
        <v>0</v>
      </c>
      <c r="AW429" s="48">
        <f>IFERROR(INVESTORS_LIST[[#This Row],[TOTAL CURRENT UNITS]]/SUM(INVESTORS_LIST[TOTAL CURRENT UNITS]),0)</f>
        <v>0</v>
      </c>
    </row>
    <row r="430" spans="1:49" hidden="1">
      <c r="A430" s="262" t="s">
        <v>905</v>
      </c>
      <c r="B430" s="97" t="s">
        <v>906</v>
      </c>
      <c r="C430" t="s">
        <v>44</v>
      </c>
      <c r="D430" s="75" t="s">
        <v>45</v>
      </c>
      <c r="E430" s="47">
        <f>SUMIFS(LS[Unit],LS[Investor ID],INVESTORS_LIST[[#This Row],[INVESTOR CODE]],LS[B/S],"B")</f>
        <v>0</v>
      </c>
      <c r="F430" s="47">
        <f>-SUMIFS(LS[Unit],LS[Investor ID],INVESTORS_LIST[[#This Row],[INVESTOR CODE]],LS[B/S],"S")</f>
        <v>0</v>
      </c>
      <c r="G430" s="47">
        <f>IF(INVESTORS_LIST[[#This Row],[LS_TOTAL UNITS BUY]]=0,0,INVESTORS_LIST[[#This Row],[LS_TOTAL UNITS BUY]]-INVESTORS_LIST[[#This Row],[LS_TOTAL UNITS SOLD]])</f>
        <v>0</v>
      </c>
      <c r="H430" s="49">
        <f>IF(INVESTORS_LIST[[#This Row],[LS_TOTAL UNITS BUY]]=0,0,SUMIFS(LS[Amount],LS[Investor ID],INVESTORS_LIST[[#This Row],[INVESTOR CODE]],LS[B/S],"B"))</f>
        <v>0</v>
      </c>
      <c r="I430" s="48">
        <f>IF(INVESTORS_LIST[[#This Row],[LS_TOTAL UNITS SOLD]]=0,0,SUMIFS(LS[Cost of Units Sold],LS[Investor ID],INVESTORS_LIST[[#This Row],[INVESTOR CODE]],LS[B/S],"S"))</f>
        <v>0</v>
      </c>
      <c r="J430" s="48">
        <f>IF(INVESTORS_LIST[[#This Row],[LS_TOTAL CURRENT UNITS]]=0,0,INVESTORS_LIST[[#This Row],[LS_TOTAL CURRENT UNITS]]*INVESTORS_LIST[[#This Row],[LS_AVERAGE COST]])</f>
        <v>0</v>
      </c>
      <c r="K430" s="49">
        <f>IF(INVESTORS_LIST[[#This Row],[LS_TOTAL UNITS SOLD]]=0,0,SUMIFS(LS[Realized Gain],LS[Investor ID],INVESTORS_LIST[[#This Row],[INVESTOR CODE]],LS[B/S],"S"))</f>
        <v>0</v>
      </c>
      <c r="L430" s="47">
        <f>SUMIFS(SIP[Unit],SIP[Investor ID],INVESTORS_LIST[[#This Row],[INVESTOR CODE]],SIP[B/S],"B")</f>
        <v>0</v>
      </c>
      <c r="M430" s="47">
        <f>-SUMIFS(SIP[Unit],SIP[Investor ID],INVESTORS_LIST[[#This Row],[INVESTOR CODE]],SIP[B/S],"S")</f>
        <v>0</v>
      </c>
      <c r="N430" s="50">
        <f>IF(INVESTORS_LIST[[#This Row],[SIP_TOTAL UNITS BUY]]=0,0,INVESTORS_LIST[[#This Row],[SIP_TOTAL UNITS BUY]]-INVESTORS_LIST[[#This Row],[SIP_TOTAL UNITS SOLD]])</f>
        <v>0</v>
      </c>
      <c r="O430" s="49">
        <f>IF(INVESTORS_LIST[[#This Row],[SIP_TOTAL UNITS BUY]]=0,0,SUMIFS(SIP[Amount],SIP[Investor ID],INVESTORS_LIST[[#This Row],[INVESTOR CODE]],SIP[B/S],"B"))</f>
        <v>0</v>
      </c>
      <c r="P430" s="49">
        <f>IF(INVESTORS_LIST[[#This Row],[SIP_TOTAL UNITS SOLD]]=0,0,SUMIFS(SIP[Cost of Units Sold],SIP[Investor ID],INVESTORS_LIST[[#This Row],[INVESTOR CODE]],SIP[B/S],"S"))</f>
        <v>0</v>
      </c>
      <c r="Q430" s="48">
        <f>IF(INVESTORS_LIST[[#This Row],[SIP_TOTAL CURRENT UNITS]]=0,0,INVESTORS_LIST[[#This Row],[SIP_TOTAL CURRENT UNITS]]*INVESTORS_LIST[[#This Row],[SIP_AVERAGE COST]])</f>
        <v>0</v>
      </c>
      <c r="R430" s="48">
        <f>IF(INVESTORS_LIST[[#This Row],[SIP_TOTAL UNITS SOLD]]=0,0,SUMIFS(SIP[Realized Gain],SIP[Investor ID],INVESTORS_LIST[[#This Row],[INVESTOR CODE]],SIP[B/S],"S"))</f>
        <v>0</v>
      </c>
      <c r="S430" s="50">
        <f>INVESTORS_LIST[[#This Row],[LS_TOTAL UNITS BUY]]+INVESTORS_LIST[[#This Row],[SIP_TOTAL UNITS BUY]]</f>
        <v>0</v>
      </c>
      <c r="T430" s="50">
        <f>INVESTORS_LIST[[#This Row],[LS_TOTAL UNITS SOLD]]+INVESTORS_LIST[[#This Row],[SIP_TOTAL UNITS SOLD]]</f>
        <v>0</v>
      </c>
      <c r="U430" s="50"/>
      <c r="V430" s="50">
        <f>SUMIFS(LS[BO UNIT TRANSFER],LS[Investor ID],INVESTORS_LIST[[#This Row],[INVESTOR CODE]],LS[B/S],"B")</f>
        <v>0</v>
      </c>
      <c r="W430" s="50">
        <f>SUMIFS(SIP[BO UNIT TRANSFER],SIP[Investor ID],INVESTORS_LIST[[#This Row],[INVESTOR CODE]],SIP[B/S],"B")</f>
        <v>0</v>
      </c>
      <c r="X430" s="50">
        <f>SUMIFS(LS[BO UNIT TRANSFER],LS[Investor ID],INVESTORS_LIST[[#This Row],[INVESTOR CODE]],LS[B/S],"S")</f>
        <v>0</v>
      </c>
      <c r="Y430" s="50">
        <f>SUMIFS(SIP[BO UNIT TRANSFER],SIP[Investor ID],INVESTORS_LIST[[#This Row],[INVESTOR CODE]],SIP[B/S],"S")</f>
        <v>0</v>
      </c>
      <c r="Z430" s="106">
        <f>SUM(INVESTORS_LIST[[#This Row],[BO OPENING BALANCE]:[BO SIP UNITS REPURCHASE]])</f>
        <v>0</v>
      </c>
      <c r="AA430" s="107">
        <f>INVESTORS_LIST[[#This Row],[TOTAL UNITS BUY]]-INVESTORS_LIST[[#This Row],[TOTAL UNITS SOLD]]</f>
        <v>0</v>
      </c>
      <c r="AB430" s="107">
        <f>INVESTORS_LIST[[#This Row],[TOTAL CURRENT UNITS]]-INVESTORS_LIST[[#This Row],[BO UNITS HOLD]]</f>
        <v>0</v>
      </c>
      <c r="AC430" s="201" t="e">
        <f>INDEX([3]!Table_1[BO ID],MATCH(INVESTORS_LIST[[#This Row],[INVESTOR CODE]],[3]!Table_1[INVESTOR CODE],0))</f>
        <v>#REF!</v>
      </c>
      <c r="AD430" s="201" t="e">
        <f>INDEX([3]!Table_1[Brokerage Name2],MATCH(INVESTORS_LIST[[#This Row],[INVESTOR CODE]],[3]!Table_1[INVESTOR CODE],0))</f>
        <v>#REF!</v>
      </c>
      <c r="AE430" s="201" t="e">
        <f>MID(INVESTORS_LIST[[#This Row],[BO ID]],4,5)</f>
        <v>#REF!</v>
      </c>
      <c r="AF430" s="201" t="e">
        <f>MID(INVESTORS_LIST[[#This Row],[BO ID]],2,7)</f>
        <v>#REF!</v>
      </c>
      <c r="AG430" s="201" t="e">
        <f>MID(INVESTORS_LIST[[#This Row],[BO ID]],9,7)</f>
        <v>#REF!</v>
      </c>
      <c r="AH430" s="201" t="e">
        <f>RIGHT(INVESTORS_LIST[[#This Row],[BO ID]],1)</f>
        <v>#REF!</v>
      </c>
      <c r="AI430" s="50">
        <f>INVESTORS_LIST[[#This Row],[LS_TOTAL COST VALUE OF CURRENT UNITS]]+INVESTORS_LIST[[#This Row],[SIP_TOTAL COST VALUE OF CURRENT UNITS]]</f>
        <v>0</v>
      </c>
      <c r="AJ430" s="109">
        <f>IF(INVESTORS_LIST[[#This Row],[TOTAL CURRENT UNITS]]=0,0,INVESTORS_LIST[[#This Row],[LS_TOTAL CURRENT UNITS]]/INVESTORS_LIST[[#This Row],[TOTAL CURRENT UNITS]])</f>
        <v>0</v>
      </c>
      <c r="AK430" s="109">
        <f>IF(INVESTORS_LIST[[#This Row],[TOTAL CURRENT UNITS]]=0,0,INVESTORS_LIST[[#This Row],[SIP_TOTAL CURRENT UNITS]]/INVESTORS_LIST[[#This Row],[TOTAL CURRENT UNITS]])</f>
        <v>0</v>
      </c>
      <c r="AL430" s="49" cm="1">
        <f t="array" ref="AL4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0" s="49" cm="1">
        <f t="array" ref="AM4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0" s="105">
        <f t="shared" si="7"/>
        <v>14.224</v>
      </c>
      <c r="AP430" s="112">
        <f>IF(INVESTORS_LIST[[#This Row],[TOTAL CURRENT UNITS]]=0,0,INVESTORS_LIST[[#This Row],[TOTAL CURRENT UNITS]]*INVESTORS_LIST[[#This Row],[NAV]])</f>
        <v>0</v>
      </c>
      <c r="AQ430" s="49">
        <f>IF(INVESTORS_LIST[[#This Row],[LS_TOTAL CURRENT UNITS]]=0,0,INVESTORS_LIST[[#This Row],[LS_TOTAL CURRENT UNITS]]*INVESTORS_LIST[[#This Row],[NAV]])</f>
        <v>0</v>
      </c>
      <c r="AR430" s="48">
        <f>IF(INVESTORS_LIST[[#This Row],[SIP_TOTAL CURRENT UNITS]]=0,0,INVESTORS_LIST[[#This Row],[SIP_TOTAL CURRENT UNITS]]*INVESTORS_LIST[[#This Row],[NAV]])</f>
        <v>0</v>
      </c>
      <c r="AS430" s="50">
        <f>INVESTORS_LIST[[#This Row],[TOTAL CURRENT UNITS]]</f>
        <v>0</v>
      </c>
      <c r="AT430" s="48">
        <f>IF(INVESTORS_LIST[[#This Row],[TOTAL SELLABLE UNITS]]=0,0,INVESTORS_LIST[[#This Row],[TOTAL SELLABLE UNITS]]*INVESTORS_LIST[[#This Row],[NAV]])</f>
        <v>0</v>
      </c>
      <c r="AU430" s="48">
        <f>INVESTORS_LIST[[#This Row],[LS_TOTAL REALIZED GAIN]]+INVESTORS_LIST[[#This Row],[SIP_TOTAL REALIZED GAIN]]</f>
        <v>0</v>
      </c>
      <c r="AV430" s="48">
        <f>INVESTORS_LIST[[#This Row],[TOTAL MARKET VALUE]]-INVESTORS_LIST[[#This Row],[TOTAL COST VALUE OF CURRENT INVESTMENT]]</f>
        <v>0</v>
      </c>
      <c r="AW430" s="48">
        <f>IFERROR(INVESTORS_LIST[[#This Row],[TOTAL CURRENT UNITS]]/SUM(INVESTORS_LIST[TOTAL CURRENT UNITS]),0)</f>
        <v>0</v>
      </c>
    </row>
    <row r="431" spans="1:49" hidden="1">
      <c r="A431" s="262" t="s">
        <v>907</v>
      </c>
      <c r="B431" s="97" t="s">
        <v>908</v>
      </c>
      <c r="C431" t="s">
        <v>44</v>
      </c>
      <c r="D431" s="75" t="s">
        <v>45</v>
      </c>
      <c r="E431" s="47">
        <f>SUMIFS(LS[Unit],LS[Investor ID],INVESTORS_LIST[[#This Row],[INVESTOR CODE]],LS[B/S],"B")</f>
        <v>0</v>
      </c>
      <c r="F431" s="47">
        <f>-SUMIFS(LS[Unit],LS[Investor ID],INVESTORS_LIST[[#This Row],[INVESTOR CODE]],LS[B/S],"S")</f>
        <v>0</v>
      </c>
      <c r="G431" s="47">
        <f>IF(INVESTORS_LIST[[#This Row],[LS_TOTAL UNITS BUY]]=0,0,INVESTORS_LIST[[#This Row],[LS_TOTAL UNITS BUY]]-INVESTORS_LIST[[#This Row],[LS_TOTAL UNITS SOLD]])</f>
        <v>0</v>
      </c>
      <c r="H431" s="49">
        <f>IF(INVESTORS_LIST[[#This Row],[LS_TOTAL UNITS BUY]]=0,0,SUMIFS(LS[Amount],LS[Investor ID],INVESTORS_LIST[[#This Row],[INVESTOR CODE]],LS[B/S],"B"))</f>
        <v>0</v>
      </c>
      <c r="I431" s="48">
        <f>IF(INVESTORS_LIST[[#This Row],[LS_TOTAL UNITS SOLD]]=0,0,SUMIFS(LS[Cost of Units Sold],LS[Investor ID],INVESTORS_LIST[[#This Row],[INVESTOR CODE]],LS[B/S],"S"))</f>
        <v>0</v>
      </c>
      <c r="J431" s="48">
        <f>IF(INVESTORS_LIST[[#This Row],[LS_TOTAL CURRENT UNITS]]=0,0,INVESTORS_LIST[[#This Row],[LS_TOTAL CURRENT UNITS]]*INVESTORS_LIST[[#This Row],[LS_AVERAGE COST]])</f>
        <v>0</v>
      </c>
      <c r="K431" s="49">
        <f>IF(INVESTORS_LIST[[#This Row],[LS_TOTAL UNITS SOLD]]=0,0,SUMIFS(LS[Realized Gain],LS[Investor ID],INVESTORS_LIST[[#This Row],[INVESTOR CODE]],LS[B/S],"S"))</f>
        <v>0</v>
      </c>
      <c r="L431" s="47">
        <f>SUMIFS(SIP[Unit],SIP[Investor ID],INVESTORS_LIST[[#This Row],[INVESTOR CODE]],SIP[B/S],"B")</f>
        <v>0</v>
      </c>
      <c r="M431" s="47">
        <f>-SUMIFS(SIP[Unit],SIP[Investor ID],INVESTORS_LIST[[#This Row],[INVESTOR CODE]],SIP[B/S],"S")</f>
        <v>0</v>
      </c>
      <c r="N431" s="50">
        <f>IF(INVESTORS_LIST[[#This Row],[SIP_TOTAL UNITS BUY]]=0,0,INVESTORS_LIST[[#This Row],[SIP_TOTAL UNITS BUY]]-INVESTORS_LIST[[#This Row],[SIP_TOTAL UNITS SOLD]])</f>
        <v>0</v>
      </c>
      <c r="O431" s="49">
        <f>IF(INVESTORS_LIST[[#This Row],[SIP_TOTAL UNITS BUY]]=0,0,SUMIFS(SIP[Amount],SIP[Investor ID],INVESTORS_LIST[[#This Row],[INVESTOR CODE]],SIP[B/S],"B"))</f>
        <v>0</v>
      </c>
      <c r="P431" s="49">
        <f>IF(INVESTORS_LIST[[#This Row],[SIP_TOTAL UNITS SOLD]]=0,0,SUMIFS(SIP[Cost of Units Sold],SIP[Investor ID],INVESTORS_LIST[[#This Row],[INVESTOR CODE]],SIP[B/S],"S"))</f>
        <v>0</v>
      </c>
      <c r="Q431" s="48">
        <f>IF(INVESTORS_LIST[[#This Row],[SIP_TOTAL CURRENT UNITS]]=0,0,INVESTORS_LIST[[#This Row],[SIP_TOTAL CURRENT UNITS]]*INVESTORS_LIST[[#This Row],[SIP_AVERAGE COST]])</f>
        <v>0</v>
      </c>
      <c r="R431" s="48">
        <f>IF(INVESTORS_LIST[[#This Row],[SIP_TOTAL UNITS SOLD]]=0,0,SUMIFS(SIP[Realized Gain],SIP[Investor ID],INVESTORS_LIST[[#This Row],[INVESTOR CODE]],SIP[B/S],"S"))</f>
        <v>0</v>
      </c>
      <c r="S431" s="50">
        <f>INVESTORS_LIST[[#This Row],[LS_TOTAL UNITS BUY]]+INVESTORS_LIST[[#This Row],[SIP_TOTAL UNITS BUY]]</f>
        <v>0</v>
      </c>
      <c r="T431" s="50">
        <f>INVESTORS_LIST[[#This Row],[LS_TOTAL UNITS SOLD]]+INVESTORS_LIST[[#This Row],[SIP_TOTAL UNITS SOLD]]</f>
        <v>0</v>
      </c>
      <c r="U431" s="50"/>
      <c r="V431" s="50">
        <f>SUMIFS(LS[BO UNIT TRANSFER],LS[Investor ID],INVESTORS_LIST[[#This Row],[INVESTOR CODE]],LS[B/S],"B")</f>
        <v>0</v>
      </c>
      <c r="W431" s="50">
        <f>SUMIFS(SIP[BO UNIT TRANSFER],SIP[Investor ID],INVESTORS_LIST[[#This Row],[INVESTOR CODE]],SIP[B/S],"B")</f>
        <v>0</v>
      </c>
      <c r="X431" s="50">
        <f>SUMIFS(LS[BO UNIT TRANSFER],LS[Investor ID],INVESTORS_LIST[[#This Row],[INVESTOR CODE]],LS[B/S],"S")</f>
        <v>0</v>
      </c>
      <c r="Y431" s="50">
        <f>SUMIFS(SIP[BO UNIT TRANSFER],SIP[Investor ID],INVESTORS_LIST[[#This Row],[INVESTOR CODE]],SIP[B/S],"S")</f>
        <v>0</v>
      </c>
      <c r="Z431" s="106">
        <f>SUM(INVESTORS_LIST[[#This Row],[BO OPENING BALANCE]:[BO SIP UNITS REPURCHASE]])</f>
        <v>0</v>
      </c>
      <c r="AA431" s="107">
        <f>INVESTORS_LIST[[#This Row],[TOTAL UNITS BUY]]-INVESTORS_LIST[[#This Row],[TOTAL UNITS SOLD]]</f>
        <v>0</v>
      </c>
      <c r="AB431" s="107">
        <f>INVESTORS_LIST[[#This Row],[TOTAL CURRENT UNITS]]-INVESTORS_LIST[[#This Row],[BO UNITS HOLD]]</f>
        <v>0</v>
      </c>
      <c r="AC431" s="201" t="e">
        <f>INDEX([3]!Table_1[BO ID],MATCH(INVESTORS_LIST[[#This Row],[INVESTOR CODE]],[3]!Table_1[INVESTOR CODE],0))</f>
        <v>#REF!</v>
      </c>
      <c r="AD431" s="201" t="e">
        <f>INDEX([3]!Table_1[Brokerage Name2],MATCH(INVESTORS_LIST[[#This Row],[INVESTOR CODE]],[3]!Table_1[INVESTOR CODE],0))</f>
        <v>#REF!</v>
      </c>
      <c r="AE431" s="201" t="e">
        <f>MID(INVESTORS_LIST[[#This Row],[BO ID]],4,5)</f>
        <v>#REF!</v>
      </c>
      <c r="AF431" s="201" t="e">
        <f>MID(INVESTORS_LIST[[#This Row],[BO ID]],2,7)</f>
        <v>#REF!</v>
      </c>
      <c r="AG431" s="201" t="e">
        <f>MID(INVESTORS_LIST[[#This Row],[BO ID]],9,7)</f>
        <v>#REF!</v>
      </c>
      <c r="AH431" s="201" t="e">
        <f>RIGHT(INVESTORS_LIST[[#This Row],[BO ID]],1)</f>
        <v>#REF!</v>
      </c>
      <c r="AI431" s="50">
        <f>INVESTORS_LIST[[#This Row],[LS_TOTAL COST VALUE OF CURRENT UNITS]]+INVESTORS_LIST[[#This Row],[SIP_TOTAL COST VALUE OF CURRENT UNITS]]</f>
        <v>0</v>
      </c>
      <c r="AJ431" s="109">
        <f>IF(INVESTORS_LIST[[#This Row],[TOTAL CURRENT UNITS]]=0,0,INVESTORS_LIST[[#This Row],[LS_TOTAL CURRENT UNITS]]/INVESTORS_LIST[[#This Row],[TOTAL CURRENT UNITS]])</f>
        <v>0</v>
      </c>
      <c r="AK431" s="109">
        <f>IF(INVESTORS_LIST[[#This Row],[TOTAL CURRENT UNITS]]=0,0,INVESTORS_LIST[[#This Row],[SIP_TOTAL CURRENT UNITS]]/INVESTORS_LIST[[#This Row],[TOTAL CURRENT UNITS]])</f>
        <v>0</v>
      </c>
      <c r="AL431" s="49" cm="1">
        <f t="array" ref="AL4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1" s="49" cm="1">
        <f t="array" ref="AM4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1" s="105">
        <f t="shared" si="7"/>
        <v>14.224</v>
      </c>
      <c r="AP431" s="112">
        <f>IF(INVESTORS_LIST[[#This Row],[TOTAL CURRENT UNITS]]=0,0,INVESTORS_LIST[[#This Row],[TOTAL CURRENT UNITS]]*INVESTORS_LIST[[#This Row],[NAV]])</f>
        <v>0</v>
      </c>
      <c r="AQ431" s="49">
        <f>IF(INVESTORS_LIST[[#This Row],[LS_TOTAL CURRENT UNITS]]=0,0,INVESTORS_LIST[[#This Row],[LS_TOTAL CURRENT UNITS]]*INVESTORS_LIST[[#This Row],[NAV]])</f>
        <v>0</v>
      </c>
      <c r="AR431" s="48">
        <f>IF(INVESTORS_LIST[[#This Row],[SIP_TOTAL CURRENT UNITS]]=0,0,INVESTORS_LIST[[#This Row],[SIP_TOTAL CURRENT UNITS]]*INVESTORS_LIST[[#This Row],[NAV]])</f>
        <v>0</v>
      </c>
      <c r="AS431" s="50">
        <f>INVESTORS_LIST[[#This Row],[TOTAL CURRENT UNITS]]</f>
        <v>0</v>
      </c>
      <c r="AT431" s="48">
        <f>IF(INVESTORS_LIST[[#This Row],[TOTAL SELLABLE UNITS]]=0,0,INVESTORS_LIST[[#This Row],[TOTAL SELLABLE UNITS]]*INVESTORS_LIST[[#This Row],[NAV]])</f>
        <v>0</v>
      </c>
      <c r="AU431" s="48">
        <f>INVESTORS_LIST[[#This Row],[LS_TOTAL REALIZED GAIN]]+INVESTORS_LIST[[#This Row],[SIP_TOTAL REALIZED GAIN]]</f>
        <v>0</v>
      </c>
      <c r="AV431" s="48">
        <f>INVESTORS_LIST[[#This Row],[TOTAL MARKET VALUE]]-INVESTORS_LIST[[#This Row],[TOTAL COST VALUE OF CURRENT INVESTMENT]]</f>
        <v>0</v>
      </c>
      <c r="AW431" s="48">
        <f>IFERROR(INVESTORS_LIST[[#This Row],[TOTAL CURRENT UNITS]]/SUM(INVESTORS_LIST[TOTAL CURRENT UNITS]),0)</f>
        <v>0</v>
      </c>
    </row>
    <row r="432" spans="1:49" hidden="1">
      <c r="A432" s="262" t="s">
        <v>909</v>
      </c>
      <c r="B432" s="97" t="s">
        <v>910</v>
      </c>
      <c r="C432" t="s">
        <v>44</v>
      </c>
      <c r="D432" s="75" t="s">
        <v>45</v>
      </c>
      <c r="E432" s="47">
        <f>SUMIFS(LS[Unit],LS[Investor ID],INVESTORS_LIST[[#This Row],[INVESTOR CODE]],LS[B/S],"B")</f>
        <v>0</v>
      </c>
      <c r="F432" s="47">
        <f>-SUMIFS(LS[Unit],LS[Investor ID],INVESTORS_LIST[[#This Row],[INVESTOR CODE]],LS[B/S],"S")</f>
        <v>0</v>
      </c>
      <c r="G432" s="47">
        <f>IF(INVESTORS_LIST[[#This Row],[LS_TOTAL UNITS BUY]]=0,0,INVESTORS_LIST[[#This Row],[LS_TOTAL UNITS BUY]]-INVESTORS_LIST[[#This Row],[LS_TOTAL UNITS SOLD]])</f>
        <v>0</v>
      </c>
      <c r="H432" s="49">
        <f>IF(INVESTORS_LIST[[#This Row],[LS_TOTAL UNITS BUY]]=0,0,SUMIFS(LS[Amount],LS[Investor ID],INVESTORS_LIST[[#This Row],[INVESTOR CODE]],LS[B/S],"B"))</f>
        <v>0</v>
      </c>
      <c r="I432" s="48">
        <f>IF(INVESTORS_LIST[[#This Row],[LS_TOTAL UNITS SOLD]]=0,0,SUMIFS(LS[Cost of Units Sold],LS[Investor ID],INVESTORS_LIST[[#This Row],[INVESTOR CODE]],LS[B/S],"S"))</f>
        <v>0</v>
      </c>
      <c r="J432" s="48">
        <f>IF(INVESTORS_LIST[[#This Row],[LS_TOTAL CURRENT UNITS]]=0,0,INVESTORS_LIST[[#This Row],[LS_TOTAL CURRENT UNITS]]*INVESTORS_LIST[[#This Row],[LS_AVERAGE COST]])</f>
        <v>0</v>
      </c>
      <c r="K432" s="49">
        <f>IF(INVESTORS_LIST[[#This Row],[LS_TOTAL UNITS SOLD]]=0,0,SUMIFS(LS[Realized Gain],LS[Investor ID],INVESTORS_LIST[[#This Row],[INVESTOR CODE]],LS[B/S],"S"))</f>
        <v>0</v>
      </c>
      <c r="L432" s="47">
        <f>SUMIFS(SIP[Unit],SIP[Investor ID],INVESTORS_LIST[[#This Row],[INVESTOR CODE]],SIP[B/S],"B")</f>
        <v>0</v>
      </c>
      <c r="M432" s="47">
        <f>-SUMIFS(SIP[Unit],SIP[Investor ID],INVESTORS_LIST[[#This Row],[INVESTOR CODE]],SIP[B/S],"S")</f>
        <v>0</v>
      </c>
      <c r="N432" s="50">
        <f>IF(INVESTORS_LIST[[#This Row],[SIP_TOTAL UNITS BUY]]=0,0,INVESTORS_LIST[[#This Row],[SIP_TOTAL UNITS BUY]]-INVESTORS_LIST[[#This Row],[SIP_TOTAL UNITS SOLD]])</f>
        <v>0</v>
      </c>
      <c r="O432" s="49">
        <f>IF(INVESTORS_LIST[[#This Row],[SIP_TOTAL UNITS BUY]]=0,0,SUMIFS(SIP[Amount],SIP[Investor ID],INVESTORS_LIST[[#This Row],[INVESTOR CODE]],SIP[B/S],"B"))</f>
        <v>0</v>
      </c>
      <c r="P432" s="49">
        <f>IF(INVESTORS_LIST[[#This Row],[SIP_TOTAL UNITS SOLD]]=0,0,SUMIFS(SIP[Cost of Units Sold],SIP[Investor ID],INVESTORS_LIST[[#This Row],[INVESTOR CODE]],SIP[B/S],"S"))</f>
        <v>0</v>
      </c>
      <c r="Q432" s="48">
        <f>IF(INVESTORS_LIST[[#This Row],[SIP_TOTAL CURRENT UNITS]]=0,0,INVESTORS_LIST[[#This Row],[SIP_TOTAL CURRENT UNITS]]*INVESTORS_LIST[[#This Row],[SIP_AVERAGE COST]])</f>
        <v>0</v>
      </c>
      <c r="R432" s="48">
        <f>IF(INVESTORS_LIST[[#This Row],[SIP_TOTAL UNITS SOLD]]=0,0,SUMIFS(SIP[Realized Gain],SIP[Investor ID],INVESTORS_LIST[[#This Row],[INVESTOR CODE]],SIP[B/S],"S"))</f>
        <v>0</v>
      </c>
      <c r="S432" s="50">
        <f>INVESTORS_LIST[[#This Row],[LS_TOTAL UNITS BUY]]+INVESTORS_LIST[[#This Row],[SIP_TOTAL UNITS BUY]]</f>
        <v>0</v>
      </c>
      <c r="T432" s="50">
        <f>INVESTORS_LIST[[#This Row],[LS_TOTAL UNITS SOLD]]+INVESTORS_LIST[[#This Row],[SIP_TOTAL UNITS SOLD]]</f>
        <v>0</v>
      </c>
      <c r="U432" s="50"/>
      <c r="V432" s="50">
        <f>SUMIFS(LS[BO UNIT TRANSFER],LS[Investor ID],INVESTORS_LIST[[#This Row],[INVESTOR CODE]],LS[B/S],"B")</f>
        <v>0</v>
      </c>
      <c r="W432" s="50">
        <f>SUMIFS(SIP[BO UNIT TRANSFER],SIP[Investor ID],INVESTORS_LIST[[#This Row],[INVESTOR CODE]],SIP[B/S],"B")</f>
        <v>0</v>
      </c>
      <c r="X432" s="50">
        <f>SUMIFS(LS[BO UNIT TRANSFER],LS[Investor ID],INVESTORS_LIST[[#This Row],[INVESTOR CODE]],LS[B/S],"S")</f>
        <v>0</v>
      </c>
      <c r="Y432" s="50">
        <f>SUMIFS(SIP[BO UNIT TRANSFER],SIP[Investor ID],INVESTORS_LIST[[#This Row],[INVESTOR CODE]],SIP[B/S],"S")</f>
        <v>0</v>
      </c>
      <c r="Z432" s="106">
        <f>SUM(INVESTORS_LIST[[#This Row],[BO OPENING BALANCE]:[BO SIP UNITS REPURCHASE]])</f>
        <v>0</v>
      </c>
      <c r="AA432" s="107">
        <f>INVESTORS_LIST[[#This Row],[TOTAL UNITS BUY]]-INVESTORS_LIST[[#This Row],[TOTAL UNITS SOLD]]</f>
        <v>0</v>
      </c>
      <c r="AB432" s="107">
        <f>INVESTORS_LIST[[#This Row],[TOTAL CURRENT UNITS]]-INVESTORS_LIST[[#This Row],[BO UNITS HOLD]]</f>
        <v>0</v>
      </c>
      <c r="AC432" s="201" t="e">
        <f>INDEX([3]!Table_1[BO ID],MATCH(INVESTORS_LIST[[#This Row],[INVESTOR CODE]],[3]!Table_1[INVESTOR CODE],0))</f>
        <v>#REF!</v>
      </c>
      <c r="AD432" s="201" t="e">
        <f>INDEX([3]!Table_1[Brokerage Name2],MATCH(INVESTORS_LIST[[#This Row],[INVESTOR CODE]],[3]!Table_1[INVESTOR CODE],0))</f>
        <v>#REF!</v>
      </c>
      <c r="AE432" s="201" t="e">
        <f>MID(INVESTORS_LIST[[#This Row],[BO ID]],4,5)</f>
        <v>#REF!</v>
      </c>
      <c r="AF432" s="201" t="e">
        <f>MID(INVESTORS_LIST[[#This Row],[BO ID]],2,7)</f>
        <v>#REF!</v>
      </c>
      <c r="AG432" s="201" t="e">
        <f>MID(INVESTORS_LIST[[#This Row],[BO ID]],9,7)</f>
        <v>#REF!</v>
      </c>
      <c r="AH432" s="201" t="e">
        <f>RIGHT(INVESTORS_LIST[[#This Row],[BO ID]],1)</f>
        <v>#REF!</v>
      </c>
      <c r="AI432" s="50">
        <f>INVESTORS_LIST[[#This Row],[LS_TOTAL COST VALUE OF CURRENT UNITS]]+INVESTORS_LIST[[#This Row],[SIP_TOTAL COST VALUE OF CURRENT UNITS]]</f>
        <v>0</v>
      </c>
      <c r="AJ432" s="109">
        <f>IF(INVESTORS_LIST[[#This Row],[TOTAL CURRENT UNITS]]=0,0,INVESTORS_LIST[[#This Row],[LS_TOTAL CURRENT UNITS]]/INVESTORS_LIST[[#This Row],[TOTAL CURRENT UNITS]])</f>
        <v>0</v>
      </c>
      <c r="AK432" s="109">
        <f>IF(INVESTORS_LIST[[#This Row],[TOTAL CURRENT UNITS]]=0,0,INVESTORS_LIST[[#This Row],[SIP_TOTAL CURRENT UNITS]]/INVESTORS_LIST[[#This Row],[TOTAL CURRENT UNITS]])</f>
        <v>0</v>
      </c>
      <c r="AL432" s="49" cm="1">
        <f t="array" ref="AL4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2" s="49" cm="1">
        <f t="array" ref="AM4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2" s="105">
        <f t="shared" si="7"/>
        <v>14.224</v>
      </c>
      <c r="AP432" s="112">
        <f>IF(INVESTORS_LIST[[#This Row],[TOTAL CURRENT UNITS]]=0,0,INVESTORS_LIST[[#This Row],[TOTAL CURRENT UNITS]]*INVESTORS_LIST[[#This Row],[NAV]])</f>
        <v>0</v>
      </c>
      <c r="AQ432" s="49">
        <f>IF(INVESTORS_LIST[[#This Row],[LS_TOTAL CURRENT UNITS]]=0,0,INVESTORS_LIST[[#This Row],[LS_TOTAL CURRENT UNITS]]*INVESTORS_LIST[[#This Row],[NAV]])</f>
        <v>0</v>
      </c>
      <c r="AR432" s="48">
        <f>IF(INVESTORS_LIST[[#This Row],[SIP_TOTAL CURRENT UNITS]]=0,0,INVESTORS_LIST[[#This Row],[SIP_TOTAL CURRENT UNITS]]*INVESTORS_LIST[[#This Row],[NAV]])</f>
        <v>0</v>
      </c>
      <c r="AS432" s="50">
        <f>INVESTORS_LIST[[#This Row],[TOTAL CURRENT UNITS]]</f>
        <v>0</v>
      </c>
      <c r="AT432" s="48">
        <f>IF(INVESTORS_LIST[[#This Row],[TOTAL SELLABLE UNITS]]=0,0,INVESTORS_LIST[[#This Row],[TOTAL SELLABLE UNITS]]*INVESTORS_LIST[[#This Row],[NAV]])</f>
        <v>0</v>
      </c>
      <c r="AU432" s="48">
        <f>INVESTORS_LIST[[#This Row],[LS_TOTAL REALIZED GAIN]]+INVESTORS_LIST[[#This Row],[SIP_TOTAL REALIZED GAIN]]</f>
        <v>0</v>
      </c>
      <c r="AV432" s="48">
        <f>INVESTORS_LIST[[#This Row],[TOTAL MARKET VALUE]]-INVESTORS_LIST[[#This Row],[TOTAL COST VALUE OF CURRENT INVESTMENT]]</f>
        <v>0</v>
      </c>
      <c r="AW432" s="48">
        <f>IFERROR(INVESTORS_LIST[[#This Row],[TOTAL CURRENT UNITS]]/SUM(INVESTORS_LIST[TOTAL CURRENT UNITS]),0)</f>
        <v>0</v>
      </c>
    </row>
    <row r="433" spans="1:49" hidden="1">
      <c r="A433" s="262" t="s">
        <v>911</v>
      </c>
      <c r="B433" s="97" t="s">
        <v>912</v>
      </c>
      <c r="C433" t="s">
        <v>44</v>
      </c>
      <c r="D433" s="75" t="s">
        <v>45</v>
      </c>
      <c r="E433" s="47">
        <f>SUMIFS(LS[Unit],LS[Investor ID],INVESTORS_LIST[[#This Row],[INVESTOR CODE]],LS[B/S],"B")</f>
        <v>0</v>
      </c>
      <c r="F433" s="47">
        <f>-SUMIFS(LS[Unit],LS[Investor ID],INVESTORS_LIST[[#This Row],[INVESTOR CODE]],LS[B/S],"S")</f>
        <v>0</v>
      </c>
      <c r="G433" s="47">
        <f>IF(INVESTORS_LIST[[#This Row],[LS_TOTAL UNITS BUY]]=0,0,INVESTORS_LIST[[#This Row],[LS_TOTAL UNITS BUY]]-INVESTORS_LIST[[#This Row],[LS_TOTAL UNITS SOLD]])</f>
        <v>0</v>
      </c>
      <c r="H433" s="49">
        <f>IF(INVESTORS_LIST[[#This Row],[LS_TOTAL UNITS BUY]]=0,0,SUMIFS(LS[Amount],LS[Investor ID],INVESTORS_LIST[[#This Row],[INVESTOR CODE]],LS[B/S],"B"))</f>
        <v>0</v>
      </c>
      <c r="I433" s="48">
        <f>IF(INVESTORS_LIST[[#This Row],[LS_TOTAL UNITS SOLD]]=0,0,SUMIFS(LS[Cost of Units Sold],LS[Investor ID],INVESTORS_LIST[[#This Row],[INVESTOR CODE]],LS[B/S],"S"))</f>
        <v>0</v>
      </c>
      <c r="J433" s="48">
        <f>IF(INVESTORS_LIST[[#This Row],[LS_TOTAL CURRENT UNITS]]=0,0,INVESTORS_LIST[[#This Row],[LS_TOTAL CURRENT UNITS]]*INVESTORS_LIST[[#This Row],[LS_AVERAGE COST]])</f>
        <v>0</v>
      </c>
      <c r="K433" s="49">
        <f>IF(INVESTORS_LIST[[#This Row],[LS_TOTAL UNITS SOLD]]=0,0,SUMIFS(LS[Realized Gain],LS[Investor ID],INVESTORS_LIST[[#This Row],[INVESTOR CODE]],LS[B/S],"S"))</f>
        <v>0</v>
      </c>
      <c r="L433" s="47">
        <f>SUMIFS(SIP[Unit],SIP[Investor ID],INVESTORS_LIST[[#This Row],[INVESTOR CODE]],SIP[B/S],"B")</f>
        <v>2864</v>
      </c>
      <c r="M433" s="47">
        <f>-SUMIFS(SIP[Unit],SIP[Investor ID],INVESTORS_LIST[[#This Row],[INVESTOR CODE]],SIP[B/S],"S")</f>
        <v>2864</v>
      </c>
      <c r="N433" s="50">
        <f>IF(INVESTORS_LIST[[#This Row],[SIP_TOTAL UNITS BUY]]=0,0,INVESTORS_LIST[[#This Row],[SIP_TOTAL UNITS BUY]]-INVESTORS_LIST[[#This Row],[SIP_TOTAL UNITS SOLD]])</f>
        <v>0</v>
      </c>
      <c r="O433" s="49">
        <f>IF(INVESTORS_LIST[[#This Row],[SIP_TOTAL UNITS BUY]]=0,0,SUMIFS(SIP[Amount],SIP[Investor ID],INVESTORS_LIST[[#This Row],[INVESTOR CODE]],SIP[B/S],"B"))</f>
        <v>30239.34</v>
      </c>
      <c r="P433" s="49">
        <f>IF(INVESTORS_LIST[[#This Row],[SIP_TOTAL UNITS SOLD]]=0,0,SUMIFS(SIP[Cost of Units Sold],SIP[Investor ID],INVESTORS_LIST[[#This Row],[INVESTOR CODE]],SIP[B/S],"S"))</f>
        <v>30239.339999999997</v>
      </c>
      <c r="Q433" s="48">
        <f>IF(INVESTORS_LIST[[#This Row],[SIP_TOTAL CURRENT UNITS]]=0,0,INVESTORS_LIST[[#This Row],[SIP_TOTAL CURRENT UNITS]]*INVESTORS_LIST[[#This Row],[SIP_AVERAGE COST]])</f>
        <v>0</v>
      </c>
      <c r="R433" s="48">
        <f>IF(INVESTORS_LIST[[#This Row],[SIP_TOTAL UNITS SOLD]]=0,0,SUMIFS(SIP[Realized Gain],SIP[Investor ID],INVESTORS_LIST[[#This Row],[INVESTOR CODE]],SIP[B/S],"S"))</f>
        <v>239.34000000000185</v>
      </c>
      <c r="S433" s="50">
        <f>INVESTORS_LIST[[#This Row],[LS_TOTAL UNITS BUY]]+INVESTORS_LIST[[#This Row],[SIP_TOTAL UNITS BUY]]</f>
        <v>2864</v>
      </c>
      <c r="T433" s="50">
        <f>INVESTORS_LIST[[#This Row],[LS_TOTAL UNITS SOLD]]+INVESTORS_LIST[[#This Row],[SIP_TOTAL UNITS SOLD]]</f>
        <v>2864</v>
      </c>
      <c r="U433" s="50"/>
      <c r="V433" s="50">
        <f>SUMIFS(LS[BO UNIT TRANSFER],LS[Investor ID],INVESTORS_LIST[[#This Row],[INVESTOR CODE]],LS[B/S],"B")</f>
        <v>0</v>
      </c>
      <c r="W433" s="50">
        <f>SUMIFS(SIP[BO UNIT TRANSFER],SIP[Investor ID],INVESTORS_LIST[[#This Row],[INVESTOR CODE]],SIP[B/S],"B")</f>
        <v>0</v>
      </c>
      <c r="X433" s="50">
        <f>SUMIFS(LS[BO UNIT TRANSFER],LS[Investor ID],INVESTORS_LIST[[#This Row],[INVESTOR CODE]],LS[B/S],"S")</f>
        <v>0</v>
      </c>
      <c r="Y433" s="50">
        <f>SUMIFS(SIP[BO UNIT TRANSFER],SIP[Investor ID],INVESTORS_LIST[[#This Row],[INVESTOR CODE]],SIP[B/S],"S")</f>
        <v>0</v>
      </c>
      <c r="Z433" s="106">
        <f>SUM(INVESTORS_LIST[[#This Row],[BO OPENING BALANCE]:[BO SIP UNITS REPURCHASE]])</f>
        <v>0</v>
      </c>
      <c r="AA433" s="107">
        <f>INVESTORS_LIST[[#This Row],[TOTAL UNITS BUY]]-INVESTORS_LIST[[#This Row],[TOTAL UNITS SOLD]]</f>
        <v>0</v>
      </c>
      <c r="AB433" s="107">
        <f>INVESTORS_LIST[[#This Row],[TOTAL CURRENT UNITS]]-INVESTORS_LIST[[#This Row],[BO UNITS HOLD]]</f>
        <v>0</v>
      </c>
      <c r="AC433" s="201" t="e">
        <f>INDEX([3]!Table_1[BO ID],MATCH(INVESTORS_LIST[[#This Row],[INVESTOR CODE]],[3]!Table_1[INVESTOR CODE],0))</f>
        <v>#REF!</v>
      </c>
      <c r="AD433" s="201" t="e">
        <f>INDEX([3]!Table_1[Brokerage Name2],MATCH(INVESTORS_LIST[[#This Row],[INVESTOR CODE]],[3]!Table_1[INVESTOR CODE],0))</f>
        <v>#REF!</v>
      </c>
      <c r="AE433" s="201" t="e">
        <f>MID(INVESTORS_LIST[[#This Row],[BO ID]],4,5)</f>
        <v>#REF!</v>
      </c>
      <c r="AF433" s="201" t="e">
        <f>MID(INVESTORS_LIST[[#This Row],[BO ID]],2,7)</f>
        <v>#REF!</v>
      </c>
      <c r="AG433" s="201" t="e">
        <f>MID(INVESTORS_LIST[[#This Row],[BO ID]],9,7)</f>
        <v>#REF!</v>
      </c>
      <c r="AH433" s="201" t="e">
        <f>RIGHT(INVESTORS_LIST[[#This Row],[BO ID]],1)</f>
        <v>#REF!</v>
      </c>
      <c r="AI433" s="50">
        <f>INVESTORS_LIST[[#This Row],[LS_TOTAL COST VALUE OF CURRENT UNITS]]+INVESTORS_LIST[[#This Row],[SIP_TOTAL COST VALUE OF CURRENT UNITS]]</f>
        <v>0</v>
      </c>
      <c r="AJ433" s="109">
        <f>IF(INVESTORS_LIST[[#This Row],[TOTAL CURRENT UNITS]]=0,0,INVESTORS_LIST[[#This Row],[LS_TOTAL CURRENT UNITS]]/INVESTORS_LIST[[#This Row],[TOTAL CURRENT UNITS]])</f>
        <v>0</v>
      </c>
      <c r="AK433" s="109">
        <f>IF(INVESTORS_LIST[[#This Row],[TOTAL CURRENT UNITS]]=0,0,INVESTORS_LIST[[#This Row],[SIP_TOTAL CURRENT UNITS]]/INVESTORS_LIST[[#This Row],[TOTAL CURRENT UNITS]])</f>
        <v>0</v>
      </c>
      <c r="AL433" s="49" cm="1">
        <f t="array" ref="AL4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3" s="49" cm="1">
        <f t="array" ref="AM4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3" s="105">
        <f t="shared" si="7"/>
        <v>14.224</v>
      </c>
      <c r="AP433" s="112">
        <f>IF(INVESTORS_LIST[[#This Row],[TOTAL CURRENT UNITS]]=0,0,INVESTORS_LIST[[#This Row],[TOTAL CURRENT UNITS]]*INVESTORS_LIST[[#This Row],[NAV]])</f>
        <v>0</v>
      </c>
      <c r="AQ433" s="49">
        <f>IF(INVESTORS_LIST[[#This Row],[LS_TOTAL CURRENT UNITS]]=0,0,INVESTORS_LIST[[#This Row],[LS_TOTAL CURRENT UNITS]]*INVESTORS_LIST[[#This Row],[NAV]])</f>
        <v>0</v>
      </c>
      <c r="AR433" s="48">
        <f>IF(INVESTORS_LIST[[#This Row],[SIP_TOTAL CURRENT UNITS]]=0,0,INVESTORS_LIST[[#This Row],[SIP_TOTAL CURRENT UNITS]]*INVESTORS_LIST[[#This Row],[NAV]])</f>
        <v>0</v>
      </c>
      <c r="AS433" s="50">
        <f>INVESTORS_LIST[[#This Row],[TOTAL CURRENT UNITS]]</f>
        <v>0</v>
      </c>
      <c r="AT433" s="48">
        <f>IF(INVESTORS_LIST[[#This Row],[TOTAL SELLABLE UNITS]]=0,0,INVESTORS_LIST[[#This Row],[TOTAL SELLABLE UNITS]]*INVESTORS_LIST[[#This Row],[NAV]])</f>
        <v>0</v>
      </c>
      <c r="AU433" s="48">
        <f>INVESTORS_LIST[[#This Row],[LS_TOTAL REALIZED GAIN]]+INVESTORS_LIST[[#This Row],[SIP_TOTAL REALIZED GAIN]]</f>
        <v>239.34000000000185</v>
      </c>
      <c r="AV433" s="48">
        <f>INVESTORS_LIST[[#This Row],[TOTAL MARKET VALUE]]-INVESTORS_LIST[[#This Row],[TOTAL COST VALUE OF CURRENT INVESTMENT]]</f>
        <v>0</v>
      </c>
      <c r="AW433" s="108">
        <f>IFERROR(INVESTORS_LIST[[#This Row],[TOTAL CURRENT UNITS]]/SUM(INVESTORS_LIST[TOTAL CURRENT UNITS]),0)</f>
        <v>0</v>
      </c>
    </row>
    <row r="434" spans="1:49" hidden="1">
      <c r="A434" s="262" t="s">
        <v>913</v>
      </c>
      <c r="B434" s="97" t="s">
        <v>914</v>
      </c>
      <c r="C434" t="s">
        <v>44</v>
      </c>
      <c r="D434" s="75" t="s">
        <v>45</v>
      </c>
      <c r="E434" s="47">
        <f>SUMIFS(LS[Unit],LS[Investor ID],INVESTORS_LIST[[#This Row],[INVESTOR CODE]],LS[B/S],"B")</f>
        <v>0</v>
      </c>
      <c r="F434" s="47">
        <f>-SUMIFS(LS[Unit],LS[Investor ID],INVESTORS_LIST[[#This Row],[INVESTOR CODE]],LS[B/S],"S")</f>
        <v>0</v>
      </c>
      <c r="G434" s="47">
        <f>IF(INVESTORS_LIST[[#This Row],[LS_TOTAL UNITS BUY]]=0,0,INVESTORS_LIST[[#This Row],[LS_TOTAL UNITS BUY]]-INVESTORS_LIST[[#This Row],[LS_TOTAL UNITS SOLD]])</f>
        <v>0</v>
      </c>
      <c r="H434" s="49">
        <f>IF(INVESTORS_LIST[[#This Row],[LS_TOTAL UNITS BUY]]=0,0,SUMIFS(LS[Amount],LS[Investor ID],INVESTORS_LIST[[#This Row],[INVESTOR CODE]],LS[B/S],"B"))</f>
        <v>0</v>
      </c>
      <c r="I434" s="48">
        <f>IF(INVESTORS_LIST[[#This Row],[LS_TOTAL UNITS SOLD]]=0,0,SUMIFS(LS[Cost of Units Sold],LS[Investor ID],INVESTORS_LIST[[#This Row],[INVESTOR CODE]],LS[B/S],"S"))</f>
        <v>0</v>
      </c>
      <c r="J434" s="48">
        <f>IF(INVESTORS_LIST[[#This Row],[LS_TOTAL CURRENT UNITS]]=0,0,INVESTORS_LIST[[#This Row],[LS_TOTAL CURRENT UNITS]]*INVESTORS_LIST[[#This Row],[LS_AVERAGE COST]])</f>
        <v>0</v>
      </c>
      <c r="K434" s="49">
        <f>IF(INVESTORS_LIST[[#This Row],[LS_TOTAL UNITS SOLD]]=0,0,SUMIFS(LS[Realized Gain],LS[Investor ID],INVESTORS_LIST[[#This Row],[INVESTOR CODE]],LS[B/S],"S"))</f>
        <v>0</v>
      </c>
      <c r="L434" s="47">
        <f>SUMIFS(SIP[Unit],SIP[Investor ID],INVESTORS_LIST[[#This Row],[INVESTOR CODE]],SIP[B/S],"B")</f>
        <v>0</v>
      </c>
      <c r="M434" s="47">
        <f>-SUMIFS(SIP[Unit],SIP[Investor ID],INVESTORS_LIST[[#This Row],[INVESTOR CODE]],SIP[B/S],"S")</f>
        <v>0</v>
      </c>
      <c r="N434" s="50">
        <f>IF(INVESTORS_LIST[[#This Row],[SIP_TOTAL UNITS BUY]]=0,0,INVESTORS_LIST[[#This Row],[SIP_TOTAL UNITS BUY]]-INVESTORS_LIST[[#This Row],[SIP_TOTAL UNITS SOLD]])</f>
        <v>0</v>
      </c>
      <c r="O434" s="49">
        <f>IF(INVESTORS_LIST[[#This Row],[SIP_TOTAL UNITS BUY]]=0,0,SUMIFS(SIP[Amount],SIP[Investor ID],INVESTORS_LIST[[#This Row],[INVESTOR CODE]],SIP[B/S],"B"))</f>
        <v>0</v>
      </c>
      <c r="P434" s="49">
        <f>IF(INVESTORS_LIST[[#This Row],[SIP_TOTAL UNITS SOLD]]=0,0,SUMIFS(SIP[Cost of Units Sold],SIP[Investor ID],INVESTORS_LIST[[#This Row],[INVESTOR CODE]],SIP[B/S],"S"))</f>
        <v>0</v>
      </c>
      <c r="Q434" s="48">
        <f>IF(INVESTORS_LIST[[#This Row],[SIP_TOTAL CURRENT UNITS]]=0,0,INVESTORS_LIST[[#This Row],[SIP_TOTAL CURRENT UNITS]]*INVESTORS_LIST[[#This Row],[SIP_AVERAGE COST]])</f>
        <v>0</v>
      </c>
      <c r="R434" s="48">
        <f>IF(INVESTORS_LIST[[#This Row],[SIP_TOTAL UNITS SOLD]]=0,0,SUMIFS(SIP[Realized Gain],SIP[Investor ID],INVESTORS_LIST[[#This Row],[INVESTOR CODE]],SIP[B/S],"S"))</f>
        <v>0</v>
      </c>
      <c r="S434" s="50">
        <f>INVESTORS_LIST[[#This Row],[LS_TOTAL UNITS BUY]]+INVESTORS_LIST[[#This Row],[SIP_TOTAL UNITS BUY]]</f>
        <v>0</v>
      </c>
      <c r="T434" s="50">
        <f>INVESTORS_LIST[[#This Row],[LS_TOTAL UNITS SOLD]]+INVESTORS_LIST[[#This Row],[SIP_TOTAL UNITS SOLD]]</f>
        <v>0</v>
      </c>
      <c r="U434" s="50"/>
      <c r="V434" s="50">
        <f>SUMIFS(LS[BO UNIT TRANSFER],LS[Investor ID],INVESTORS_LIST[[#This Row],[INVESTOR CODE]],LS[B/S],"B")</f>
        <v>0</v>
      </c>
      <c r="W434" s="50">
        <f>SUMIFS(SIP[BO UNIT TRANSFER],SIP[Investor ID],INVESTORS_LIST[[#This Row],[INVESTOR CODE]],SIP[B/S],"B")</f>
        <v>0</v>
      </c>
      <c r="X434" s="50">
        <f>SUMIFS(LS[BO UNIT TRANSFER],LS[Investor ID],INVESTORS_LIST[[#This Row],[INVESTOR CODE]],LS[B/S],"S")</f>
        <v>0</v>
      </c>
      <c r="Y434" s="50">
        <f>SUMIFS(SIP[BO UNIT TRANSFER],SIP[Investor ID],INVESTORS_LIST[[#This Row],[INVESTOR CODE]],SIP[B/S],"S")</f>
        <v>0</v>
      </c>
      <c r="Z434" s="106">
        <f>SUM(INVESTORS_LIST[[#This Row],[BO OPENING BALANCE]:[BO SIP UNITS REPURCHASE]])</f>
        <v>0</v>
      </c>
      <c r="AA434" s="107">
        <f>INVESTORS_LIST[[#This Row],[TOTAL UNITS BUY]]-INVESTORS_LIST[[#This Row],[TOTAL UNITS SOLD]]</f>
        <v>0</v>
      </c>
      <c r="AB434" s="107">
        <f>INVESTORS_LIST[[#This Row],[TOTAL CURRENT UNITS]]-INVESTORS_LIST[[#This Row],[BO UNITS HOLD]]</f>
        <v>0</v>
      </c>
      <c r="AC434" s="201" t="e">
        <f>INDEX([3]!Table_1[BO ID],MATCH(INVESTORS_LIST[[#This Row],[INVESTOR CODE]],[3]!Table_1[INVESTOR CODE],0))</f>
        <v>#REF!</v>
      </c>
      <c r="AD434" s="201" t="e">
        <f>INDEX([3]!Table_1[Brokerage Name2],MATCH(INVESTORS_LIST[[#This Row],[INVESTOR CODE]],[3]!Table_1[INVESTOR CODE],0))</f>
        <v>#REF!</v>
      </c>
      <c r="AE434" s="201" t="e">
        <f>MID(INVESTORS_LIST[[#This Row],[BO ID]],4,5)</f>
        <v>#REF!</v>
      </c>
      <c r="AF434" s="201" t="e">
        <f>MID(INVESTORS_LIST[[#This Row],[BO ID]],2,7)</f>
        <v>#REF!</v>
      </c>
      <c r="AG434" s="201" t="e">
        <f>MID(INVESTORS_LIST[[#This Row],[BO ID]],9,7)</f>
        <v>#REF!</v>
      </c>
      <c r="AH434" s="201" t="e">
        <f>RIGHT(INVESTORS_LIST[[#This Row],[BO ID]],1)</f>
        <v>#REF!</v>
      </c>
      <c r="AI434" s="50">
        <f>INVESTORS_LIST[[#This Row],[LS_TOTAL COST VALUE OF CURRENT UNITS]]+INVESTORS_LIST[[#This Row],[SIP_TOTAL COST VALUE OF CURRENT UNITS]]</f>
        <v>0</v>
      </c>
      <c r="AJ434" s="109">
        <f>IF(INVESTORS_LIST[[#This Row],[TOTAL CURRENT UNITS]]=0,0,INVESTORS_LIST[[#This Row],[LS_TOTAL CURRENT UNITS]]/INVESTORS_LIST[[#This Row],[TOTAL CURRENT UNITS]])</f>
        <v>0</v>
      </c>
      <c r="AK434" s="109">
        <f>IF(INVESTORS_LIST[[#This Row],[TOTAL CURRENT UNITS]]=0,0,INVESTORS_LIST[[#This Row],[SIP_TOTAL CURRENT UNITS]]/INVESTORS_LIST[[#This Row],[TOTAL CURRENT UNITS]])</f>
        <v>0</v>
      </c>
      <c r="AL434" s="49" cm="1">
        <f t="array" ref="AL4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4" s="49" cm="1">
        <f t="array" ref="AM4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4" s="105">
        <f t="shared" si="7"/>
        <v>14.224</v>
      </c>
      <c r="AP434" s="112">
        <f>IF(INVESTORS_LIST[[#This Row],[TOTAL CURRENT UNITS]]=0,0,INVESTORS_LIST[[#This Row],[TOTAL CURRENT UNITS]]*INVESTORS_LIST[[#This Row],[NAV]])</f>
        <v>0</v>
      </c>
      <c r="AQ434" s="49">
        <f>IF(INVESTORS_LIST[[#This Row],[LS_TOTAL CURRENT UNITS]]=0,0,INVESTORS_LIST[[#This Row],[LS_TOTAL CURRENT UNITS]]*INVESTORS_LIST[[#This Row],[NAV]])</f>
        <v>0</v>
      </c>
      <c r="AR434" s="48">
        <f>IF(INVESTORS_LIST[[#This Row],[SIP_TOTAL CURRENT UNITS]]=0,0,INVESTORS_LIST[[#This Row],[SIP_TOTAL CURRENT UNITS]]*INVESTORS_LIST[[#This Row],[NAV]])</f>
        <v>0</v>
      </c>
      <c r="AS434" s="50">
        <f>INVESTORS_LIST[[#This Row],[TOTAL CURRENT UNITS]]</f>
        <v>0</v>
      </c>
      <c r="AT434" s="48">
        <f>IF(INVESTORS_LIST[[#This Row],[TOTAL SELLABLE UNITS]]=0,0,INVESTORS_LIST[[#This Row],[TOTAL SELLABLE UNITS]]*INVESTORS_LIST[[#This Row],[NAV]])</f>
        <v>0</v>
      </c>
      <c r="AU434" s="48">
        <f>INVESTORS_LIST[[#This Row],[LS_TOTAL REALIZED GAIN]]+INVESTORS_LIST[[#This Row],[SIP_TOTAL REALIZED GAIN]]</f>
        <v>0</v>
      </c>
      <c r="AV434" s="48">
        <f>INVESTORS_LIST[[#This Row],[TOTAL MARKET VALUE]]-INVESTORS_LIST[[#This Row],[TOTAL COST VALUE OF CURRENT INVESTMENT]]</f>
        <v>0</v>
      </c>
      <c r="AW434" s="48">
        <f>IFERROR(INVESTORS_LIST[[#This Row],[TOTAL CURRENT UNITS]]/SUM(INVESTORS_LIST[TOTAL CURRENT UNITS]),0)</f>
        <v>0</v>
      </c>
    </row>
    <row r="435" spans="1:49" hidden="1">
      <c r="A435" s="262" t="s">
        <v>915</v>
      </c>
      <c r="B435" s="97" t="s">
        <v>916</v>
      </c>
      <c r="C435" t="s">
        <v>67</v>
      </c>
      <c r="D435" s="75" t="s">
        <v>45</v>
      </c>
      <c r="E435" s="47">
        <f>SUMIFS(LS[Unit],LS[Investor ID],INVESTORS_LIST[[#This Row],[INVESTOR CODE]],LS[B/S],"B")</f>
        <v>0</v>
      </c>
      <c r="F435" s="47">
        <f>-SUMIFS(LS[Unit],LS[Investor ID],INVESTORS_LIST[[#This Row],[INVESTOR CODE]],LS[B/S],"S")</f>
        <v>0</v>
      </c>
      <c r="G435" s="47">
        <f>IF(INVESTORS_LIST[[#This Row],[LS_TOTAL UNITS BUY]]=0,0,INVESTORS_LIST[[#This Row],[LS_TOTAL UNITS BUY]]-INVESTORS_LIST[[#This Row],[LS_TOTAL UNITS SOLD]])</f>
        <v>0</v>
      </c>
      <c r="H435" s="49">
        <f>IF(INVESTORS_LIST[[#This Row],[LS_TOTAL UNITS BUY]]=0,0,SUMIFS(LS[Amount],LS[Investor ID],INVESTORS_LIST[[#This Row],[INVESTOR CODE]],LS[B/S],"B"))</f>
        <v>0</v>
      </c>
      <c r="I435" s="48">
        <f>IF(INVESTORS_LIST[[#This Row],[LS_TOTAL UNITS SOLD]]=0,0,SUMIFS(LS[Cost of Units Sold],LS[Investor ID],INVESTORS_LIST[[#This Row],[INVESTOR CODE]],LS[B/S],"S"))</f>
        <v>0</v>
      </c>
      <c r="J435" s="48">
        <f>IF(INVESTORS_LIST[[#This Row],[LS_TOTAL CURRENT UNITS]]=0,0,INVESTORS_LIST[[#This Row],[LS_TOTAL CURRENT UNITS]]*INVESTORS_LIST[[#This Row],[LS_AVERAGE COST]])</f>
        <v>0</v>
      </c>
      <c r="K435" s="49">
        <f>IF(INVESTORS_LIST[[#This Row],[LS_TOTAL UNITS SOLD]]=0,0,SUMIFS(LS[Realized Gain],LS[Investor ID],INVESTORS_LIST[[#This Row],[INVESTOR CODE]],LS[B/S],"S"))</f>
        <v>0</v>
      </c>
      <c r="L435" s="47">
        <f>SUMIFS(SIP[Unit],SIP[Investor ID],INVESTORS_LIST[[#This Row],[INVESTOR CODE]],SIP[B/S],"B")</f>
        <v>0</v>
      </c>
      <c r="M435" s="47">
        <f>-SUMIFS(SIP[Unit],SIP[Investor ID],INVESTORS_LIST[[#This Row],[INVESTOR CODE]],SIP[B/S],"S")</f>
        <v>0</v>
      </c>
      <c r="N435" s="50">
        <f>IF(INVESTORS_LIST[[#This Row],[SIP_TOTAL UNITS BUY]]=0,0,INVESTORS_LIST[[#This Row],[SIP_TOTAL UNITS BUY]]-INVESTORS_LIST[[#This Row],[SIP_TOTAL UNITS SOLD]])</f>
        <v>0</v>
      </c>
      <c r="O435" s="49">
        <f>IF(INVESTORS_LIST[[#This Row],[SIP_TOTAL UNITS BUY]]=0,0,SUMIFS(SIP[Amount],SIP[Investor ID],INVESTORS_LIST[[#This Row],[INVESTOR CODE]],SIP[B/S],"B"))</f>
        <v>0</v>
      </c>
      <c r="P435" s="49">
        <f>IF(INVESTORS_LIST[[#This Row],[SIP_TOTAL UNITS SOLD]]=0,0,SUMIFS(SIP[Cost of Units Sold],SIP[Investor ID],INVESTORS_LIST[[#This Row],[INVESTOR CODE]],SIP[B/S],"S"))</f>
        <v>0</v>
      </c>
      <c r="Q435" s="48">
        <f>IF(INVESTORS_LIST[[#This Row],[SIP_TOTAL CURRENT UNITS]]=0,0,INVESTORS_LIST[[#This Row],[SIP_TOTAL CURRENT UNITS]]*INVESTORS_LIST[[#This Row],[SIP_AVERAGE COST]])</f>
        <v>0</v>
      </c>
      <c r="R435" s="48">
        <f>IF(INVESTORS_LIST[[#This Row],[SIP_TOTAL UNITS SOLD]]=0,0,SUMIFS(SIP[Realized Gain],SIP[Investor ID],INVESTORS_LIST[[#This Row],[INVESTOR CODE]],SIP[B/S],"S"))</f>
        <v>0</v>
      </c>
      <c r="S435" s="50">
        <f>INVESTORS_LIST[[#This Row],[LS_TOTAL UNITS BUY]]+INVESTORS_LIST[[#This Row],[SIP_TOTAL UNITS BUY]]</f>
        <v>0</v>
      </c>
      <c r="T435" s="50">
        <f>INVESTORS_LIST[[#This Row],[LS_TOTAL UNITS SOLD]]+INVESTORS_LIST[[#This Row],[SIP_TOTAL UNITS SOLD]]</f>
        <v>0</v>
      </c>
      <c r="U435" s="50"/>
      <c r="V435" s="50">
        <f>SUMIFS(LS[BO UNIT TRANSFER],LS[Investor ID],INVESTORS_LIST[[#This Row],[INVESTOR CODE]],LS[B/S],"B")</f>
        <v>0</v>
      </c>
      <c r="W435" s="50">
        <f>SUMIFS(SIP[BO UNIT TRANSFER],SIP[Investor ID],INVESTORS_LIST[[#This Row],[INVESTOR CODE]],SIP[B/S],"B")</f>
        <v>0</v>
      </c>
      <c r="X435" s="50">
        <f>SUMIFS(LS[BO UNIT TRANSFER],LS[Investor ID],INVESTORS_LIST[[#This Row],[INVESTOR CODE]],LS[B/S],"S")</f>
        <v>0</v>
      </c>
      <c r="Y435" s="50">
        <f>SUMIFS(SIP[BO UNIT TRANSFER],SIP[Investor ID],INVESTORS_LIST[[#This Row],[INVESTOR CODE]],SIP[B/S],"S")</f>
        <v>0</v>
      </c>
      <c r="Z435" s="106">
        <f>SUM(INVESTORS_LIST[[#This Row],[BO OPENING BALANCE]:[BO SIP UNITS REPURCHASE]])</f>
        <v>0</v>
      </c>
      <c r="AA435" s="107">
        <f>INVESTORS_LIST[[#This Row],[TOTAL UNITS BUY]]-INVESTORS_LIST[[#This Row],[TOTAL UNITS SOLD]]</f>
        <v>0</v>
      </c>
      <c r="AB435" s="107">
        <f>INVESTORS_LIST[[#This Row],[TOTAL CURRENT UNITS]]-INVESTORS_LIST[[#This Row],[BO UNITS HOLD]]</f>
        <v>0</v>
      </c>
      <c r="AC435" s="201" t="e">
        <f>INDEX([3]!Table_1[BO ID],MATCH(INVESTORS_LIST[[#This Row],[INVESTOR CODE]],[3]!Table_1[INVESTOR CODE],0))</f>
        <v>#REF!</v>
      </c>
      <c r="AD435" s="201" t="e">
        <f>INDEX([3]!Table_1[Brokerage Name2],MATCH(INVESTORS_LIST[[#This Row],[INVESTOR CODE]],[3]!Table_1[INVESTOR CODE],0))</f>
        <v>#REF!</v>
      </c>
      <c r="AE435" s="201" t="e">
        <f>MID(INVESTORS_LIST[[#This Row],[BO ID]],4,5)</f>
        <v>#REF!</v>
      </c>
      <c r="AF435" s="201" t="e">
        <f>MID(INVESTORS_LIST[[#This Row],[BO ID]],2,7)</f>
        <v>#REF!</v>
      </c>
      <c r="AG435" s="201" t="e">
        <f>MID(INVESTORS_LIST[[#This Row],[BO ID]],9,7)</f>
        <v>#REF!</v>
      </c>
      <c r="AH435" s="201" t="e">
        <f>RIGHT(INVESTORS_LIST[[#This Row],[BO ID]],1)</f>
        <v>#REF!</v>
      </c>
      <c r="AI435" s="50">
        <f>INVESTORS_LIST[[#This Row],[LS_TOTAL COST VALUE OF CURRENT UNITS]]+INVESTORS_LIST[[#This Row],[SIP_TOTAL COST VALUE OF CURRENT UNITS]]</f>
        <v>0</v>
      </c>
      <c r="AJ435" s="109">
        <f>IF(INVESTORS_LIST[[#This Row],[TOTAL CURRENT UNITS]]=0,0,INVESTORS_LIST[[#This Row],[LS_TOTAL CURRENT UNITS]]/INVESTORS_LIST[[#This Row],[TOTAL CURRENT UNITS]])</f>
        <v>0</v>
      </c>
      <c r="AK435" s="109">
        <f>IF(INVESTORS_LIST[[#This Row],[TOTAL CURRENT UNITS]]=0,0,INVESTORS_LIST[[#This Row],[SIP_TOTAL CURRENT UNITS]]/INVESTORS_LIST[[#This Row],[TOTAL CURRENT UNITS]])</f>
        <v>0</v>
      </c>
      <c r="AL435" s="49" cm="1">
        <f t="array" ref="AL4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5" s="49" cm="1">
        <f t="array" ref="AM4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5" s="105">
        <f t="shared" si="7"/>
        <v>14.224</v>
      </c>
      <c r="AP435" s="112">
        <f>IF(INVESTORS_LIST[[#This Row],[TOTAL CURRENT UNITS]]=0,0,INVESTORS_LIST[[#This Row],[TOTAL CURRENT UNITS]]*INVESTORS_LIST[[#This Row],[NAV]])</f>
        <v>0</v>
      </c>
      <c r="AQ435" s="49">
        <f>IF(INVESTORS_LIST[[#This Row],[LS_TOTAL CURRENT UNITS]]=0,0,INVESTORS_LIST[[#This Row],[LS_TOTAL CURRENT UNITS]]*INVESTORS_LIST[[#This Row],[NAV]])</f>
        <v>0</v>
      </c>
      <c r="AR435" s="48">
        <f>IF(INVESTORS_LIST[[#This Row],[SIP_TOTAL CURRENT UNITS]]=0,0,INVESTORS_LIST[[#This Row],[SIP_TOTAL CURRENT UNITS]]*INVESTORS_LIST[[#This Row],[NAV]])</f>
        <v>0</v>
      </c>
      <c r="AS435" s="50">
        <f>INVESTORS_LIST[[#This Row],[TOTAL CURRENT UNITS]]</f>
        <v>0</v>
      </c>
      <c r="AT435" s="48">
        <f>IF(INVESTORS_LIST[[#This Row],[TOTAL SELLABLE UNITS]]=0,0,INVESTORS_LIST[[#This Row],[TOTAL SELLABLE UNITS]]*INVESTORS_LIST[[#This Row],[NAV]])</f>
        <v>0</v>
      </c>
      <c r="AU435" s="48">
        <f>INVESTORS_LIST[[#This Row],[LS_TOTAL REALIZED GAIN]]+INVESTORS_LIST[[#This Row],[SIP_TOTAL REALIZED GAIN]]</f>
        <v>0</v>
      </c>
      <c r="AV435" s="48">
        <f>INVESTORS_LIST[[#This Row],[TOTAL MARKET VALUE]]-INVESTORS_LIST[[#This Row],[TOTAL COST VALUE OF CURRENT INVESTMENT]]</f>
        <v>0</v>
      </c>
      <c r="AW435" s="48">
        <f>IFERROR(INVESTORS_LIST[[#This Row],[TOTAL CURRENT UNITS]]/SUM(INVESTORS_LIST[TOTAL CURRENT UNITS]),0)</f>
        <v>0</v>
      </c>
    </row>
    <row r="436" spans="1:49" hidden="1">
      <c r="A436" s="262" t="s">
        <v>917</v>
      </c>
      <c r="B436" s="97" t="s">
        <v>918</v>
      </c>
      <c r="C436" t="s">
        <v>67</v>
      </c>
      <c r="D436" s="75" t="s">
        <v>45</v>
      </c>
      <c r="E436" s="47">
        <f>SUMIFS(LS[Unit],LS[Investor ID],INVESTORS_LIST[[#This Row],[INVESTOR CODE]],LS[B/S],"B")</f>
        <v>0</v>
      </c>
      <c r="F436" s="47">
        <f>-SUMIFS(LS[Unit],LS[Investor ID],INVESTORS_LIST[[#This Row],[INVESTOR CODE]],LS[B/S],"S")</f>
        <v>0</v>
      </c>
      <c r="G436" s="47">
        <f>IF(INVESTORS_LIST[[#This Row],[LS_TOTAL UNITS BUY]]=0,0,INVESTORS_LIST[[#This Row],[LS_TOTAL UNITS BUY]]-INVESTORS_LIST[[#This Row],[LS_TOTAL UNITS SOLD]])</f>
        <v>0</v>
      </c>
      <c r="H436" s="49">
        <f>IF(INVESTORS_LIST[[#This Row],[LS_TOTAL UNITS BUY]]=0,0,SUMIFS(LS[Amount],LS[Investor ID],INVESTORS_LIST[[#This Row],[INVESTOR CODE]],LS[B/S],"B"))</f>
        <v>0</v>
      </c>
      <c r="I436" s="48">
        <f>IF(INVESTORS_LIST[[#This Row],[LS_TOTAL UNITS SOLD]]=0,0,SUMIFS(LS[Cost of Units Sold],LS[Investor ID],INVESTORS_LIST[[#This Row],[INVESTOR CODE]],LS[B/S],"S"))</f>
        <v>0</v>
      </c>
      <c r="J436" s="48">
        <f>IF(INVESTORS_LIST[[#This Row],[LS_TOTAL CURRENT UNITS]]=0,0,INVESTORS_LIST[[#This Row],[LS_TOTAL CURRENT UNITS]]*INVESTORS_LIST[[#This Row],[LS_AVERAGE COST]])</f>
        <v>0</v>
      </c>
      <c r="K436" s="49">
        <f>IF(INVESTORS_LIST[[#This Row],[LS_TOTAL UNITS SOLD]]=0,0,SUMIFS(LS[Realized Gain],LS[Investor ID],INVESTORS_LIST[[#This Row],[INVESTOR CODE]],LS[B/S],"S"))</f>
        <v>0</v>
      </c>
      <c r="L436" s="47">
        <f>SUMIFS(SIP[Unit],SIP[Investor ID],INVESTORS_LIST[[#This Row],[INVESTOR CODE]],SIP[B/S],"B")</f>
        <v>0</v>
      </c>
      <c r="M436" s="47">
        <f>-SUMIFS(SIP[Unit],SIP[Investor ID],INVESTORS_LIST[[#This Row],[INVESTOR CODE]],SIP[B/S],"S")</f>
        <v>0</v>
      </c>
      <c r="N436" s="50">
        <f>IF(INVESTORS_LIST[[#This Row],[SIP_TOTAL UNITS BUY]]=0,0,INVESTORS_LIST[[#This Row],[SIP_TOTAL UNITS BUY]]-INVESTORS_LIST[[#This Row],[SIP_TOTAL UNITS SOLD]])</f>
        <v>0</v>
      </c>
      <c r="O436" s="49">
        <f>IF(INVESTORS_LIST[[#This Row],[SIP_TOTAL UNITS BUY]]=0,0,SUMIFS(SIP[Amount],SIP[Investor ID],INVESTORS_LIST[[#This Row],[INVESTOR CODE]],SIP[B/S],"B"))</f>
        <v>0</v>
      </c>
      <c r="P436" s="49">
        <f>IF(INVESTORS_LIST[[#This Row],[SIP_TOTAL UNITS SOLD]]=0,0,SUMIFS(SIP[Cost of Units Sold],SIP[Investor ID],INVESTORS_LIST[[#This Row],[INVESTOR CODE]],SIP[B/S],"S"))</f>
        <v>0</v>
      </c>
      <c r="Q436" s="48">
        <f>IF(INVESTORS_LIST[[#This Row],[SIP_TOTAL CURRENT UNITS]]=0,0,INVESTORS_LIST[[#This Row],[SIP_TOTAL CURRENT UNITS]]*INVESTORS_LIST[[#This Row],[SIP_AVERAGE COST]])</f>
        <v>0</v>
      </c>
      <c r="R436" s="48">
        <f>IF(INVESTORS_LIST[[#This Row],[SIP_TOTAL UNITS SOLD]]=0,0,SUMIFS(SIP[Realized Gain],SIP[Investor ID],INVESTORS_LIST[[#This Row],[INVESTOR CODE]],SIP[B/S],"S"))</f>
        <v>0</v>
      </c>
      <c r="S436" s="50">
        <f>INVESTORS_LIST[[#This Row],[LS_TOTAL UNITS BUY]]+INVESTORS_LIST[[#This Row],[SIP_TOTAL UNITS BUY]]</f>
        <v>0</v>
      </c>
      <c r="T436" s="50">
        <f>INVESTORS_LIST[[#This Row],[LS_TOTAL UNITS SOLD]]+INVESTORS_LIST[[#This Row],[SIP_TOTAL UNITS SOLD]]</f>
        <v>0</v>
      </c>
      <c r="U436" s="50"/>
      <c r="V436" s="50">
        <f>SUMIFS(LS[BO UNIT TRANSFER],LS[Investor ID],INVESTORS_LIST[[#This Row],[INVESTOR CODE]],LS[B/S],"B")</f>
        <v>0</v>
      </c>
      <c r="W436" s="50">
        <f>SUMIFS(SIP[BO UNIT TRANSFER],SIP[Investor ID],INVESTORS_LIST[[#This Row],[INVESTOR CODE]],SIP[B/S],"B")</f>
        <v>0</v>
      </c>
      <c r="X436" s="50">
        <f>SUMIFS(LS[BO UNIT TRANSFER],LS[Investor ID],INVESTORS_LIST[[#This Row],[INVESTOR CODE]],LS[B/S],"S")</f>
        <v>0</v>
      </c>
      <c r="Y436" s="50">
        <f>SUMIFS(SIP[BO UNIT TRANSFER],SIP[Investor ID],INVESTORS_LIST[[#This Row],[INVESTOR CODE]],SIP[B/S],"S")</f>
        <v>0</v>
      </c>
      <c r="Z436" s="106">
        <f>SUM(INVESTORS_LIST[[#This Row],[BO OPENING BALANCE]:[BO SIP UNITS REPURCHASE]])</f>
        <v>0</v>
      </c>
      <c r="AA436" s="107">
        <f>INVESTORS_LIST[[#This Row],[TOTAL UNITS BUY]]-INVESTORS_LIST[[#This Row],[TOTAL UNITS SOLD]]</f>
        <v>0</v>
      </c>
      <c r="AB436" s="107">
        <f>INVESTORS_LIST[[#This Row],[TOTAL CURRENT UNITS]]-INVESTORS_LIST[[#This Row],[BO UNITS HOLD]]</f>
        <v>0</v>
      </c>
      <c r="AC436" s="201" t="e">
        <f>INDEX([3]!Table_1[BO ID],MATCH(INVESTORS_LIST[[#This Row],[INVESTOR CODE]],[3]!Table_1[INVESTOR CODE],0))</f>
        <v>#REF!</v>
      </c>
      <c r="AD436" s="201" t="e">
        <f>INDEX([3]!Table_1[Brokerage Name2],MATCH(INVESTORS_LIST[[#This Row],[INVESTOR CODE]],[3]!Table_1[INVESTOR CODE],0))</f>
        <v>#REF!</v>
      </c>
      <c r="AE436" s="201" t="e">
        <f>MID(INVESTORS_LIST[[#This Row],[BO ID]],4,5)</f>
        <v>#REF!</v>
      </c>
      <c r="AF436" s="201" t="e">
        <f>MID(INVESTORS_LIST[[#This Row],[BO ID]],2,7)</f>
        <v>#REF!</v>
      </c>
      <c r="AG436" s="201" t="e">
        <f>MID(INVESTORS_LIST[[#This Row],[BO ID]],9,7)</f>
        <v>#REF!</v>
      </c>
      <c r="AH436" s="201" t="e">
        <f>RIGHT(INVESTORS_LIST[[#This Row],[BO ID]],1)</f>
        <v>#REF!</v>
      </c>
      <c r="AI436" s="50">
        <f>INVESTORS_LIST[[#This Row],[LS_TOTAL COST VALUE OF CURRENT UNITS]]+INVESTORS_LIST[[#This Row],[SIP_TOTAL COST VALUE OF CURRENT UNITS]]</f>
        <v>0</v>
      </c>
      <c r="AJ436" s="109">
        <f>IF(INVESTORS_LIST[[#This Row],[TOTAL CURRENT UNITS]]=0,0,INVESTORS_LIST[[#This Row],[LS_TOTAL CURRENT UNITS]]/INVESTORS_LIST[[#This Row],[TOTAL CURRENT UNITS]])</f>
        <v>0</v>
      </c>
      <c r="AK436" s="109">
        <f>IF(INVESTORS_LIST[[#This Row],[TOTAL CURRENT UNITS]]=0,0,INVESTORS_LIST[[#This Row],[SIP_TOTAL CURRENT UNITS]]/INVESTORS_LIST[[#This Row],[TOTAL CURRENT UNITS]])</f>
        <v>0</v>
      </c>
      <c r="AL436" s="49" cm="1">
        <f t="array" ref="AL4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6" s="49" cm="1">
        <f t="array" ref="AM4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6" s="105">
        <f t="shared" si="7"/>
        <v>14.224</v>
      </c>
      <c r="AP436" s="112">
        <f>IF(INVESTORS_LIST[[#This Row],[TOTAL CURRENT UNITS]]=0,0,INVESTORS_LIST[[#This Row],[TOTAL CURRENT UNITS]]*INVESTORS_LIST[[#This Row],[NAV]])</f>
        <v>0</v>
      </c>
      <c r="AQ436" s="49">
        <f>IF(INVESTORS_LIST[[#This Row],[LS_TOTAL CURRENT UNITS]]=0,0,INVESTORS_LIST[[#This Row],[LS_TOTAL CURRENT UNITS]]*INVESTORS_LIST[[#This Row],[NAV]])</f>
        <v>0</v>
      </c>
      <c r="AR436" s="48">
        <f>IF(INVESTORS_LIST[[#This Row],[SIP_TOTAL CURRENT UNITS]]=0,0,INVESTORS_LIST[[#This Row],[SIP_TOTAL CURRENT UNITS]]*INVESTORS_LIST[[#This Row],[NAV]])</f>
        <v>0</v>
      </c>
      <c r="AS436" s="50">
        <f>INVESTORS_LIST[[#This Row],[TOTAL CURRENT UNITS]]</f>
        <v>0</v>
      </c>
      <c r="AT436" s="48">
        <f>IF(INVESTORS_LIST[[#This Row],[TOTAL SELLABLE UNITS]]=0,0,INVESTORS_LIST[[#This Row],[TOTAL SELLABLE UNITS]]*INVESTORS_LIST[[#This Row],[NAV]])</f>
        <v>0</v>
      </c>
      <c r="AU436" s="48">
        <f>INVESTORS_LIST[[#This Row],[LS_TOTAL REALIZED GAIN]]+INVESTORS_LIST[[#This Row],[SIP_TOTAL REALIZED GAIN]]</f>
        <v>0</v>
      </c>
      <c r="AV436" s="48">
        <f>INVESTORS_LIST[[#This Row],[TOTAL MARKET VALUE]]-INVESTORS_LIST[[#This Row],[TOTAL COST VALUE OF CURRENT INVESTMENT]]</f>
        <v>0</v>
      </c>
      <c r="AW436" s="48">
        <f>IFERROR(INVESTORS_LIST[[#This Row],[TOTAL CURRENT UNITS]]/SUM(INVESTORS_LIST[TOTAL CURRENT UNITS]),0)</f>
        <v>0</v>
      </c>
    </row>
    <row r="437" spans="1:49" hidden="1">
      <c r="A437" s="262" t="s">
        <v>919</v>
      </c>
      <c r="B437" s="97" t="s">
        <v>920</v>
      </c>
      <c r="C437" t="s">
        <v>44</v>
      </c>
      <c r="D437" s="75" t="s">
        <v>45</v>
      </c>
      <c r="E437" s="47">
        <f>SUMIFS(LS[Unit],LS[Investor ID],INVESTORS_LIST[[#This Row],[INVESTOR CODE]],LS[B/S],"B")</f>
        <v>0</v>
      </c>
      <c r="F437" s="47">
        <f>-SUMIFS(LS[Unit],LS[Investor ID],INVESTORS_LIST[[#This Row],[INVESTOR CODE]],LS[B/S],"S")</f>
        <v>0</v>
      </c>
      <c r="G437" s="47">
        <f>IF(INVESTORS_LIST[[#This Row],[LS_TOTAL UNITS BUY]]=0,0,INVESTORS_LIST[[#This Row],[LS_TOTAL UNITS BUY]]-INVESTORS_LIST[[#This Row],[LS_TOTAL UNITS SOLD]])</f>
        <v>0</v>
      </c>
      <c r="H437" s="49">
        <f>IF(INVESTORS_LIST[[#This Row],[LS_TOTAL UNITS BUY]]=0,0,SUMIFS(LS[Amount],LS[Investor ID],INVESTORS_LIST[[#This Row],[INVESTOR CODE]],LS[B/S],"B"))</f>
        <v>0</v>
      </c>
      <c r="I437" s="48">
        <f>IF(INVESTORS_LIST[[#This Row],[LS_TOTAL UNITS SOLD]]=0,0,SUMIFS(LS[Cost of Units Sold],LS[Investor ID],INVESTORS_LIST[[#This Row],[INVESTOR CODE]],LS[B/S],"S"))</f>
        <v>0</v>
      </c>
      <c r="J437" s="48">
        <f>IF(INVESTORS_LIST[[#This Row],[LS_TOTAL CURRENT UNITS]]=0,0,INVESTORS_LIST[[#This Row],[LS_TOTAL CURRENT UNITS]]*INVESTORS_LIST[[#This Row],[LS_AVERAGE COST]])</f>
        <v>0</v>
      </c>
      <c r="K437" s="49">
        <f>IF(INVESTORS_LIST[[#This Row],[LS_TOTAL UNITS SOLD]]=0,0,SUMIFS(LS[Realized Gain],LS[Investor ID],INVESTORS_LIST[[#This Row],[INVESTOR CODE]],LS[B/S],"S"))</f>
        <v>0</v>
      </c>
      <c r="L437" s="47">
        <f>SUMIFS(SIP[Unit],SIP[Investor ID],INVESTORS_LIST[[#This Row],[INVESTOR CODE]],SIP[B/S],"B")</f>
        <v>0</v>
      </c>
      <c r="M437" s="47">
        <f>-SUMIFS(SIP[Unit],SIP[Investor ID],INVESTORS_LIST[[#This Row],[INVESTOR CODE]],SIP[B/S],"S")</f>
        <v>0</v>
      </c>
      <c r="N437" s="50">
        <f>IF(INVESTORS_LIST[[#This Row],[SIP_TOTAL UNITS BUY]]=0,0,INVESTORS_LIST[[#This Row],[SIP_TOTAL UNITS BUY]]-INVESTORS_LIST[[#This Row],[SIP_TOTAL UNITS SOLD]])</f>
        <v>0</v>
      </c>
      <c r="O437" s="49">
        <f>IF(INVESTORS_LIST[[#This Row],[SIP_TOTAL UNITS BUY]]=0,0,SUMIFS(SIP[Amount],SIP[Investor ID],INVESTORS_LIST[[#This Row],[INVESTOR CODE]],SIP[B/S],"B"))</f>
        <v>0</v>
      </c>
      <c r="P437" s="49">
        <f>IF(INVESTORS_LIST[[#This Row],[SIP_TOTAL UNITS SOLD]]=0,0,SUMIFS(SIP[Cost of Units Sold],SIP[Investor ID],INVESTORS_LIST[[#This Row],[INVESTOR CODE]],SIP[B/S],"S"))</f>
        <v>0</v>
      </c>
      <c r="Q437" s="48">
        <f>IF(INVESTORS_LIST[[#This Row],[SIP_TOTAL CURRENT UNITS]]=0,0,INVESTORS_LIST[[#This Row],[SIP_TOTAL CURRENT UNITS]]*INVESTORS_LIST[[#This Row],[SIP_AVERAGE COST]])</f>
        <v>0</v>
      </c>
      <c r="R437" s="48">
        <f>IF(INVESTORS_LIST[[#This Row],[SIP_TOTAL UNITS SOLD]]=0,0,SUMIFS(SIP[Realized Gain],SIP[Investor ID],INVESTORS_LIST[[#This Row],[INVESTOR CODE]],SIP[B/S],"S"))</f>
        <v>0</v>
      </c>
      <c r="S437" s="50">
        <f>INVESTORS_LIST[[#This Row],[LS_TOTAL UNITS BUY]]+INVESTORS_LIST[[#This Row],[SIP_TOTAL UNITS BUY]]</f>
        <v>0</v>
      </c>
      <c r="T437" s="50">
        <f>INVESTORS_LIST[[#This Row],[LS_TOTAL UNITS SOLD]]+INVESTORS_LIST[[#This Row],[SIP_TOTAL UNITS SOLD]]</f>
        <v>0</v>
      </c>
      <c r="U437" s="50"/>
      <c r="V437" s="50">
        <f>SUMIFS(LS[BO UNIT TRANSFER],LS[Investor ID],INVESTORS_LIST[[#This Row],[INVESTOR CODE]],LS[B/S],"B")</f>
        <v>0</v>
      </c>
      <c r="W437" s="50">
        <f>SUMIFS(SIP[BO UNIT TRANSFER],SIP[Investor ID],INVESTORS_LIST[[#This Row],[INVESTOR CODE]],SIP[B/S],"B")</f>
        <v>0</v>
      </c>
      <c r="X437" s="50">
        <f>SUMIFS(LS[BO UNIT TRANSFER],LS[Investor ID],INVESTORS_LIST[[#This Row],[INVESTOR CODE]],LS[B/S],"S")</f>
        <v>0</v>
      </c>
      <c r="Y437" s="50">
        <f>SUMIFS(SIP[BO UNIT TRANSFER],SIP[Investor ID],INVESTORS_LIST[[#This Row],[INVESTOR CODE]],SIP[B/S],"S")</f>
        <v>0</v>
      </c>
      <c r="Z437" s="106">
        <f>SUM(INVESTORS_LIST[[#This Row],[BO OPENING BALANCE]:[BO SIP UNITS REPURCHASE]])</f>
        <v>0</v>
      </c>
      <c r="AA437" s="107">
        <f>INVESTORS_LIST[[#This Row],[TOTAL UNITS BUY]]-INVESTORS_LIST[[#This Row],[TOTAL UNITS SOLD]]</f>
        <v>0</v>
      </c>
      <c r="AB437" s="107">
        <f>INVESTORS_LIST[[#This Row],[TOTAL CURRENT UNITS]]-INVESTORS_LIST[[#This Row],[BO UNITS HOLD]]</f>
        <v>0</v>
      </c>
      <c r="AC437" s="201" t="e">
        <f>INDEX([3]!Table_1[BO ID],MATCH(INVESTORS_LIST[[#This Row],[INVESTOR CODE]],[3]!Table_1[INVESTOR CODE],0))</f>
        <v>#REF!</v>
      </c>
      <c r="AD437" s="201" t="e">
        <f>INDEX([3]!Table_1[Brokerage Name2],MATCH(INVESTORS_LIST[[#This Row],[INVESTOR CODE]],[3]!Table_1[INVESTOR CODE],0))</f>
        <v>#REF!</v>
      </c>
      <c r="AE437" s="201" t="e">
        <f>MID(INVESTORS_LIST[[#This Row],[BO ID]],4,5)</f>
        <v>#REF!</v>
      </c>
      <c r="AF437" s="201" t="e">
        <f>MID(INVESTORS_LIST[[#This Row],[BO ID]],2,7)</f>
        <v>#REF!</v>
      </c>
      <c r="AG437" s="201" t="e">
        <f>MID(INVESTORS_LIST[[#This Row],[BO ID]],9,7)</f>
        <v>#REF!</v>
      </c>
      <c r="AH437" s="201" t="e">
        <f>RIGHT(INVESTORS_LIST[[#This Row],[BO ID]],1)</f>
        <v>#REF!</v>
      </c>
      <c r="AI437" s="50">
        <f>INVESTORS_LIST[[#This Row],[LS_TOTAL COST VALUE OF CURRENT UNITS]]+INVESTORS_LIST[[#This Row],[SIP_TOTAL COST VALUE OF CURRENT UNITS]]</f>
        <v>0</v>
      </c>
      <c r="AJ437" s="109">
        <f>IF(INVESTORS_LIST[[#This Row],[TOTAL CURRENT UNITS]]=0,0,INVESTORS_LIST[[#This Row],[LS_TOTAL CURRENT UNITS]]/INVESTORS_LIST[[#This Row],[TOTAL CURRENT UNITS]])</f>
        <v>0</v>
      </c>
      <c r="AK437" s="109">
        <f>IF(INVESTORS_LIST[[#This Row],[TOTAL CURRENT UNITS]]=0,0,INVESTORS_LIST[[#This Row],[SIP_TOTAL CURRENT UNITS]]/INVESTORS_LIST[[#This Row],[TOTAL CURRENT UNITS]])</f>
        <v>0</v>
      </c>
      <c r="AL437" s="49" cm="1">
        <f t="array" ref="AL4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7" s="49" cm="1">
        <f t="array" ref="AM4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7" s="105">
        <f t="shared" si="7"/>
        <v>14.224</v>
      </c>
      <c r="AP437" s="112">
        <f>IF(INVESTORS_LIST[[#This Row],[TOTAL CURRENT UNITS]]=0,0,INVESTORS_LIST[[#This Row],[TOTAL CURRENT UNITS]]*INVESTORS_LIST[[#This Row],[NAV]])</f>
        <v>0</v>
      </c>
      <c r="AQ437" s="49">
        <f>IF(INVESTORS_LIST[[#This Row],[LS_TOTAL CURRENT UNITS]]=0,0,INVESTORS_LIST[[#This Row],[LS_TOTAL CURRENT UNITS]]*INVESTORS_LIST[[#This Row],[NAV]])</f>
        <v>0</v>
      </c>
      <c r="AR437" s="48">
        <f>IF(INVESTORS_LIST[[#This Row],[SIP_TOTAL CURRENT UNITS]]=0,0,INVESTORS_LIST[[#This Row],[SIP_TOTAL CURRENT UNITS]]*INVESTORS_LIST[[#This Row],[NAV]])</f>
        <v>0</v>
      </c>
      <c r="AS437" s="50">
        <f>INVESTORS_LIST[[#This Row],[TOTAL CURRENT UNITS]]</f>
        <v>0</v>
      </c>
      <c r="AT437" s="48">
        <f>IF(INVESTORS_LIST[[#This Row],[TOTAL SELLABLE UNITS]]=0,0,INVESTORS_LIST[[#This Row],[TOTAL SELLABLE UNITS]]*INVESTORS_LIST[[#This Row],[NAV]])</f>
        <v>0</v>
      </c>
      <c r="AU437" s="48">
        <f>INVESTORS_LIST[[#This Row],[LS_TOTAL REALIZED GAIN]]+INVESTORS_LIST[[#This Row],[SIP_TOTAL REALIZED GAIN]]</f>
        <v>0</v>
      </c>
      <c r="AV437" s="48">
        <f>INVESTORS_LIST[[#This Row],[TOTAL MARKET VALUE]]-INVESTORS_LIST[[#This Row],[TOTAL COST VALUE OF CURRENT INVESTMENT]]</f>
        <v>0</v>
      </c>
      <c r="AW437" s="48">
        <f>IFERROR(INVESTORS_LIST[[#This Row],[TOTAL CURRENT UNITS]]/SUM(INVESTORS_LIST[TOTAL CURRENT UNITS]),0)</f>
        <v>0</v>
      </c>
    </row>
    <row r="438" spans="1:49" hidden="1">
      <c r="A438" s="262" t="s">
        <v>921</v>
      </c>
      <c r="B438" s="97" t="s">
        <v>922</v>
      </c>
      <c r="C438" t="s">
        <v>48</v>
      </c>
      <c r="D438" s="75" t="s">
        <v>49</v>
      </c>
      <c r="E438" s="47">
        <f>SUMIFS(LS[Unit],LS[Investor ID],INVESTORS_LIST[[#This Row],[INVESTOR CODE]],LS[B/S],"B")</f>
        <v>0</v>
      </c>
      <c r="F438" s="47">
        <f>-SUMIFS(LS[Unit],LS[Investor ID],INVESTORS_LIST[[#This Row],[INVESTOR CODE]],LS[B/S],"S")</f>
        <v>0</v>
      </c>
      <c r="G438" s="47">
        <f>IF(INVESTORS_LIST[[#This Row],[LS_TOTAL UNITS BUY]]=0,0,INVESTORS_LIST[[#This Row],[LS_TOTAL UNITS BUY]]-INVESTORS_LIST[[#This Row],[LS_TOTAL UNITS SOLD]])</f>
        <v>0</v>
      </c>
      <c r="H438" s="49">
        <f>IF(INVESTORS_LIST[[#This Row],[LS_TOTAL UNITS BUY]]=0,0,SUMIFS(LS[Amount],LS[Investor ID],INVESTORS_LIST[[#This Row],[INVESTOR CODE]],LS[B/S],"B"))</f>
        <v>0</v>
      </c>
      <c r="I438" s="48">
        <f>IF(INVESTORS_LIST[[#This Row],[LS_TOTAL UNITS SOLD]]=0,0,SUMIFS(LS[Cost of Units Sold],LS[Investor ID],INVESTORS_LIST[[#This Row],[INVESTOR CODE]],LS[B/S],"S"))</f>
        <v>0</v>
      </c>
      <c r="J438" s="48">
        <f>IF(INVESTORS_LIST[[#This Row],[LS_TOTAL CURRENT UNITS]]=0,0,INVESTORS_LIST[[#This Row],[LS_TOTAL CURRENT UNITS]]*INVESTORS_LIST[[#This Row],[LS_AVERAGE COST]])</f>
        <v>0</v>
      </c>
      <c r="K438" s="49">
        <f>IF(INVESTORS_LIST[[#This Row],[LS_TOTAL UNITS SOLD]]=0,0,SUMIFS(LS[Realized Gain],LS[Investor ID],INVESTORS_LIST[[#This Row],[INVESTOR CODE]],LS[B/S],"S"))</f>
        <v>0</v>
      </c>
      <c r="L438" s="47">
        <f>SUMIFS(SIP[Unit],SIP[Investor ID],INVESTORS_LIST[[#This Row],[INVESTOR CODE]],SIP[B/S],"B")</f>
        <v>0</v>
      </c>
      <c r="M438" s="47">
        <f>-SUMIFS(SIP[Unit],SIP[Investor ID],INVESTORS_LIST[[#This Row],[INVESTOR CODE]],SIP[B/S],"S")</f>
        <v>0</v>
      </c>
      <c r="N438" s="50">
        <f>IF(INVESTORS_LIST[[#This Row],[SIP_TOTAL UNITS BUY]]=0,0,INVESTORS_LIST[[#This Row],[SIP_TOTAL UNITS BUY]]-INVESTORS_LIST[[#This Row],[SIP_TOTAL UNITS SOLD]])</f>
        <v>0</v>
      </c>
      <c r="O438" s="49">
        <f>IF(INVESTORS_LIST[[#This Row],[SIP_TOTAL UNITS BUY]]=0,0,SUMIFS(SIP[Amount],SIP[Investor ID],INVESTORS_LIST[[#This Row],[INVESTOR CODE]],SIP[B/S],"B"))</f>
        <v>0</v>
      </c>
      <c r="P438" s="49">
        <f>IF(INVESTORS_LIST[[#This Row],[SIP_TOTAL UNITS SOLD]]=0,0,SUMIFS(SIP[Cost of Units Sold],SIP[Investor ID],INVESTORS_LIST[[#This Row],[INVESTOR CODE]],SIP[B/S],"S"))</f>
        <v>0</v>
      </c>
      <c r="Q438" s="48">
        <f>IF(INVESTORS_LIST[[#This Row],[SIP_TOTAL CURRENT UNITS]]=0,0,INVESTORS_LIST[[#This Row],[SIP_TOTAL CURRENT UNITS]]*INVESTORS_LIST[[#This Row],[SIP_AVERAGE COST]])</f>
        <v>0</v>
      </c>
      <c r="R438" s="48">
        <f>IF(INVESTORS_LIST[[#This Row],[SIP_TOTAL UNITS SOLD]]=0,0,SUMIFS(SIP[Realized Gain],SIP[Investor ID],INVESTORS_LIST[[#This Row],[INVESTOR CODE]],SIP[B/S],"S"))</f>
        <v>0</v>
      </c>
      <c r="S438" s="50">
        <f>INVESTORS_LIST[[#This Row],[LS_TOTAL UNITS BUY]]+INVESTORS_LIST[[#This Row],[SIP_TOTAL UNITS BUY]]</f>
        <v>0</v>
      </c>
      <c r="T438" s="50">
        <f>INVESTORS_LIST[[#This Row],[LS_TOTAL UNITS SOLD]]+INVESTORS_LIST[[#This Row],[SIP_TOTAL UNITS SOLD]]</f>
        <v>0</v>
      </c>
      <c r="U438" s="50"/>
      <c r="V438" s="50">
        <f>SUMIFS(LS[BO UNIT TRANSFER],LS[Investor ID],INVESTORS_LIST[[#This Row],[INVESTOR CODE]],LS[B/S],"B")</f>
        <v>0</v>
      </c>
      <c r="W438" s="50">
        <f>SUMIFS(SIP[BO UNIT TRANSFER],SIP[Investor ID],INVESTORS_LIST[[#This Row],[INVESTOR CODE]],SIP[B/S],"B")</f>
        <v>0</v>
      </c>
      <c r="X438" s="50">
        <f>SUMIFS(LS[BO UNIT TRANSFER],LS[Investor ID],INVESTORS_LIST[[#This Row],[INVESTOR CODE]],LS[B/S],"S")</f>
        <v>0</v>
      </c>
      <c r="Y438" s="50">
        <f>SUMIFS(SIP[BO UNIT TRANSFER],SIP[Investor ID],INVESTORS_LIST[[#This Row],[INVESTOR CODE]],SIP[B/S],"S")</f>
        <v>0</v>
      </c>
      <c r="Z438" s="106">
        <f>SUM(INVESTORS_LIST[[#This Row],[BO OPENING BALANCE]:[BO SIP UNITS REPURCHASE]])</f>
        <v>0</v>
      </c>
      <c r="AA438" s="107">
        <f>INVESTORS_LIST[[#This Row],[TOTAL UNITS BUY]]-INVESTORS_LIST[[#This Row],[TOTAL UNITS SOLD]]</f>
        <v>0</v>
      </c>
      <c r="AB438" s="107">
        <f>INVESTORS_LIST[[#This Row],[TOTAL CURRENT UNITS]]-INVESTORS_LIST[[#This Row],[BO UNITS HOLD]]</f>
        <v>0</v>
      </c>
      <c r="AC438" s="201" t="e">
        <f>INDEX([3]!Table_1[BO ID],MATCH(INVESTORS_LIST[[#This Row],[INVESTOR CODE]],[3]!Table_1[INVESTOR CODE],0))</f>
        <v>#REF!</v>
      </c>
      <c r="AD438" s="201" t="e">
        <f>INDEX([3]!Table_1[Brokerage Name2],MATCH(INVESTORS_LIST[[#This Row],[INVESTOR CODE]],[3]!Table_1[INVESTOR CODE],0))</f>
        <v>#REF!</v>
      </c>
      <c r="AE438" s="201" t="e">
        <f>MID(INVESTORS_LIST[[#This Row],[BO ID]],4,5)</f>
        <v>#REF!</v>
      </c>
      <c r="AF438" s="201" t="e">
        <f>MID(INVESTORS_LIST[[#This Row],[BO ID]],2,7)</f>
        <v>#REF!</v>
      </c>
      <c r="AG438" s="201" t="e">
        <f>MID(INVESTORS_LIST[[#This Row],[BO ID]],9,7)</f>
        <v>#REF!</v>
      </c>
      <c r="AH438" s="201" t="e">
        <f>RIGHT(INVESTORS_LIST[[#This Row],[BO ID]],1)</f>
        <v>#REF!</v>
      </c>
      <c r="AI438" s="50">
        <f>INVESTORS_LIST[[#This Row],[LS_TOTAL COST VALUE OF CURRENT UNITS]]+INVESTORS_LIST[[#This Row],[SIP_TOTAL COST VALUE OF CURRENT UNITS]]</f>
        <v>0</v>
      </c>
      <c r="AJ438" s="109">
        <f>IF(INVESTORS_LIST[[#This Row],[TOTAL CURRENT UNITS]]=0,0,INVESTORS_LIST[[#This Row],[LS_TOTAL CURRENT UNITS]]/INVESTORS_LIST[[#This Row],[TOTAL CURRENT UNITS]])</f>
        <v>0</v>
      </c>
      <c r="AK438" s="109">
        <f>IF(INVESTORS_LIST[[#This Row],[TOTAL CURRENT UNITS]]=0,0,INVESTORS_LIST[[#This Row],[SIP_TOTAL CURRENT UNITS]]/INVESTORS_LIST[[#This Row],[TOTAL CURRENT UNITS]])</f>
        <v>0</v>
      </c>
      <c r="AL438" s="49" cm="1">
        <f t="array" ref="AL4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8" s="49" cm="1">
        <f t="array" ref="AM4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8" s="105">
        <f t="shared" si="7"/>
        <v>14.224</v>
      </c>
      <c r="AP438" s="112">
        <f>IF(INVESTORS_LIST[[#This Row],[TOTAL CURRENT UNITS]]=0,0,INVESTORS_LIST[[#This Row],[TOTAL CURRENT UNITS]]*INVESTORS_LIST[[#This Row],[NAV]])</f>
        <v>0</v>
      </c>
      <c r="AQ438" s="49">
        <f>IF(INVESTORS_LIST[[#This Row],[LS_TOTAL CURRENT UNITS]]=0,0,INVESTORS_LIST[[#This Row],[LS_TOTAL CURRENT UNITS]]*INVESTORS_LIST[[#This Row],[NAV]])</f>
        <v>0</v>
      </c>
      <c r="AR438" s="48">
        <f>IF(INVESTORS_LIST[[#This Row],[SIP_TOTAL CURRENT UNITS]]=0,0,INVESTORS_LIST[[#This Row],[SIP_TOTAL CURRENT UNITS]]*INVESTORS_LIST[[#This Row],[NAV]])</f>
        <v>0</v>
      </c>
      <c r="AS438" s="50">
        <f>INVESTORS_LIST[[#This Row],[TOTAL CURRENT UNITS]]</f>
        <v>0</v>
      </c>
      <c r="AT438" s="48">
        <f>IF(INVESTORS_LIST[[#This Row],[TOTAL SELLABLE UNITS]]=0,0,INVESTORS_LIST[[#This Row],[TOTAL SELLABLE UNITS]]*INVESTORS_LIST[[#This Row],[NAV]])</f>
        <v>0</v>
      </c>
      <c r="AU438" s="48">
        <f>INVESTORS_LIST[[#This Row],[LS_TOTAL REALIZED GAIN]]+INVESTORS_LIST[[#This Row],[SIP_TOTAL REALIZED GAIN]]</f>
        <v>0</v>
      </c>
      <c r="AV438" s="48">
        <f>INVESTORS_LIST[[#This Row],[TOTAL MARKET VALUE]]-INVESTORS_LIST[[#This Row],[TOTAL COST VALUE OF CURRENT INVESTMENT]]</f>
        <v>0</v>
      </c>
      <c r="AW438" s="48">
        <f>IFERROR(INVESTORS_LIST[[#This Row],[TOTAL CURRENT UNITS]]/SUM(INVESTORS_LIST[TOTAL CURRENT UNITS]),0)</f>
        <v>0</v>
      </c>
    </row>
    <row r="439" spans="1:49" hidden="1">
      <c r="A439" s="262" t="s">
        <v>923</v>
      </c>
      <c r="B439" s="97" t="s">
        <v>924</v>
      </c>
      <c r="C439" t="s">
        <v>44</v>
      </c>
      <c r="D439" s="75" t="s">
        <v>45</v>
      </c>
      <c r="E439" s="47">
        <f>SUMIFS(LS[Unit],LS[Investor ID],INVESTORS_LIST[[#This Row],[INVESTOR CODE]],LS[B/S],"B")</f>
        <v>0</v>
      </c>
      <c r="F439" s="47">
        <f>-SUMIFS(LS[Unit],LS[Investor ID],INVESTORS_LIST[[#This Row],[INVESTOR CODE]],LS[B/S],"S")</f>
        <v>0</v>
      </c>
      <c r="G439" s="47">
        <f>IF(INVESTORS_LIST[[#This Row],[LS_TOTAL UNITS BUY]]=0,0,INVESTORS_LIST[[#This Row],[LS_TOTAL UNITS BUY]]-INVESTORS_LIST[[#This Row],[LS_TOTAL UNITS SOLD]])</f>
        <v>0</v>
      </c>
      <c r="H439" s="49">
        <f>IF(INVESTORS_LIST[[#This Row],[LS_TOTAL UNITS BUY]]=0,0,SUMIFS(LS[Amount],LS[Investor ID],INVESTORS_LIST[[#This Row],[INVESTOR CODE]],LS[B/S],"B"))</f>
        <v>0</v>
      </c>
      <c r="I439" s="48">
        <f>IF(INVESTORS_LIST[[#This Row],[LS_TOTAL UNITS SOLD]]=0,0,SUMIFS(LS[Cost of Units Sold],LS[Investor ID],INVESTORS_LIST[[#This Row],[INVESTOR CODE]],LS[B/S],"S"))</f>
        <v>0</v>
      </c>
      <c r="J439" s="48">
        <f>IF(INVESTORS_LIST[[#This Row],[LS_TOTAL CURRENT UNITS]]=0,0,INVESTORS_LIST[[#This Row],[LS_TOTAL CURRENT UNITS]]*INVESTORS_LIST[[#This Row],[LS_AVERAGE COST]])</f>
        <v>0</v>
      </c>
      <c r="K439" s="49">
        <f>IF(INVESTORS_LIST[[#This Row],[LS_TOTAL UNITS SOLD]]=0,0,SUMIFS(LS[Realized Gain],LS[Investor ID],INVESTORS_LIST[[#This Row],[INVESTOR CODE]],LS[B/S],"S"))</f>
        <v>0</v>
      </c>
      <c r="L439" s="47">
        <f>SUMIFS(SIP[Unit],SIP[Investor ID],INVESTORS_LIST[[#This Row],[INVESTOR CODE]],SIP[B/S],"B")</f>
        <v>0</v>
      </c>
      <c r="M439" s="47">
        <f>-SUMIFS(SIP[Unit],SIP[Investor ID],INVESTORS_LIST[[#This Row],[INVESTOR CODE]],SIP[B/S],"S")</f>
        <v>0</v>
      </c>
      <c r="N439" s="50">
        <f>IF(INVESTORS_LIST[[#This Row],[SIP_TOTAL UNITS BUY]]=0,0,INVESTORS_LIST[[#This Row],[SIP_TOTAL UNITS BUY]]-INVESTORS_LIST[[#This Row],[SIP_TOTAL UNITS SOLD]])</f>
        <v>0</v>
      </c>
      <c r="O439" s="49">
        <f>IF(INVESTORS_LIST[[#This Row],[SIP_TOTAL UNITS BUY]]=0,0,SUMIFS(SIP[Amount],SIP[Investor ID],INVESTORS_LIST[[#This Row],[INVESTOR CODE]],SIP[B/S],"B"))</f>
        <v>0</v>
      </c>
      <c r="P439" s="49">
        <f>IF(INVESTORS_LIST[[#This Row],[SIP_TOTAL UNITS SOLD]]=0,0,SUMIFS(SIP[Cost of Units Sold],SIP[Investor ID],INVESTORS_LIST[[#This Row],[INVESTOR CODE]],SIP[B/S],"S"))</f>
        <v>0</v>
      </c>
      <c r="Q439" s="48">
        <f>IF(INVESTORS_LIST[[#This Row],[SIP_TOTAL CURRENT UNITS]]=0,0,INVESTORS_LIST[[#This Row],[SIP_TOTAL CURRENT UNITS]]*INVESTORS_LIST[[#This Row],[SIP_AVERAGE COST]])</f>
        <v>0</v>
      </c>
      <c r="R439" s="48">
        <f>IF(INVESTORS_LIST[[#This Row],[SIP_TOTAL UNITS SOLD]]=0,0,SUMIFS(SIP[Realized Gain],SIP[Investor ID],INVESTORS_LIST[[#This Row],[INVESTOR CODE]],SIP[B/S],"S"))</f>
        <v>0</v>
      </c>
      <c r="S439" s="50">
        <f>INVESTORS_LIST[[#This Row],[LS_TOTAL UNITS BUY]]+INVESTORS_LIST[[#This Row],[SIP_TOTAL UNITS BUY]]</f>
        <v>0</v>
      </c>
      <c r="T439" s="50">
        <f>INVESTORS_LIST[[#This Row],[LS_TOTAL UNITS SOLD]]+INVESTORS_LIST[[#This Row],[SIP_TOTAL UNITS SOLD]]</f>
        <v>0</v>
      </c>
      <c r="U439" s="50"/>
      <c r="V439" s="50">
        <f>SUMIFS(LS[BO UNIT TRANSFER],LS[Investor ID],INVESTORS_LIST[[#This Row],[INVESTOR CODE]],LS[B/S],"B")</f>
        <v>0</v>
      </c>
      <c r="W439" s="50">
        <f>SUMIFS(SIP[BO UNIT TRANSFER],SIP[Investor ID],INVESTORS_LIST[[#This Row],[INVESTOR CODE]],SIP[B/S],"B")</f>
        <v>0</v>
      </c>
      <c r="X439" s="50">
        <f>SUMIFS(LS[BO UNIT TRANSFER],LS[Investor ID],INVESTORS_LIST[[#This Row],[INVESTOR CODE]],LS[B/S],"S")</f>
        <v>0</v>
      </c>
      <c r="Y439" s="50">
        <f>SUMIFS(SIP[BO UNIT TRANSFER],SIP[Investor ID],INVESTORS_LIST[[#This Row],[INVESTOR CODE]],SIP[B/S],"S")</f>
        <v>0</v>
      </c>
      <c r="Z439" s="106">
        <f>SUM(INVESTORS_LIST[[#This Row],[BO OPENING BALANCE]:[BO SIP UNITS REPURCHASE]])</f>
        <v>0</v>
      </c>
      <c r="AA439" s="107">
        <f>INVESTORS_LIST[[#This Row],[TOTAL UNITS BUY]]-INVESTORS_LIST[[#This Row],[TOTAL UNITS SOLD]]</f>
        <v>0</v>
      </c>
      <c r="AB439" s="107">
        <f>INVESTORS_LIST[[#This Row],[TOTAL CURRENT UNITS]]-INVESTORS_LIST[[#This Row],[BO UNITS HOLD]]</f>
        <v>0</v>
      </c>
      <c r="AC439" s="201" t="e">
        <f>INDEX([3]!Table_1[BO ID],MATCH(INVESTORS_LIST[[#This Row],[INVESTOR CODE]],[3]!Table_1[INVESTOR CODE],0))</f>
        <v>#REF!</v>
      </c>
      <c r="AD439" s="201" t="e">
        <f>INDEX([3]!Table_1[Brokerage Name2],MATCH(INVESTORS_LIST[[#This Row],[INVESTOR CODE]],[3]!Table_1[INVESTOR CODE],0))</f>
        <v>#REF!</v>
      </c>
      <c r="AE439" s="201" t="e">
        <f>MID(INVESTORS_LIST[[#This Row],[BO ID]],4,5)</f>
        <v>#REF!</v>
      </c>
      <c r="AF439" s="201" t="e">
        <f>MID(INVESTORS_LIST[[#This Row],[BO ID]],2,7)</f>
        <v>#REF!</v>
      </c>
      <c r="AG439" s="201" t="e">
        <f>MID(INVESTORS_LIST[[#This Row],[BO ID]],9,7)</f>
        <v>#REF!</v>
      </c>
      <c r="AH439" s="201" t="e">
        <f>RIGHT(INVESTORS_LIST[[#This Row],[BO ID]],1)</f>
        <v>#REF!</v>
      </c>
      <c r="AI439" s="50">
        <f>INVESTORS_LIST[[#This Row],[LS_TOTAL COST VALUE OF CURRENT UNITS]]+INVESTORS_LIST[[#This Row],[SIP_TOTAL COST VALUE OF CURRENT UNITS]]</f>
        <v>0</v>
      </c>
      <c r="AJ439" s="109">
        <f>IF(INVESTORS_LIST[[#This Row],[TOTAL CURRENT UNITS]]=0,0,INVESTORS_LIST[[#This Row],[LS_TOTAL CURRENT UNITS]]/INVESTORS_LIST[[#This Row],[TOTAL CURRENT UNITS]])</f>
        <v>0</v>
      </c>
      <c r="AK439" s="109">
        <f>IF(INVESTORS_LIST[[#This Row],[TOTAL CURRENT UNITS]]=0,0,INVESTORS_LIST[[#This Row],[SIP_TOTAL CURRENT UNITS]]/INVESTORS_LIST[[#This Row],[TOTAL CURRENT UNITS]])</f>
        <v>0</v>
      </c>
      <c r="AL439" s="49" cm="1">
        <f t="array" ref="AL4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39" s="49" cm="1">
        <f t="array" ref="AM4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3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39" s="105">
        <f t="shared" si="7"/>
        <v>14.224</v>
      </c>
      <c r="AP439" s="112">
        <f>IF(INVESTORS_LIST[[#This Row],[TOTAL CURRENT UNITS]]=0,0,INVESTORS_LIST[[#This Row],[TOTAL CURRENT UNITS]]*INVESTORS_LIST[[#This Row],[NAV]])</f>
        <v>0</v>
      </c>
      <c r="AQ439" s="49">
        <f>IF(INVESTORS_LIST[[#This Row],[LS_TOTAL CURRENT UNITS]]=0,0,INVESTORS_LIST[[#This Row],[LS_TOTAL CURRENT UNITS]]*INVESTORS_LIST[[#This Row],[NAV]])</f>
        <v>0</v>
      </c>
      <c r="AR439" s="48">
        <f>IF(INVESTORS_LIST[[#This Row],[SIP_TOTAL CURRENT UNITS]]=0,0,INVESTORS_LIST[[#This Row],[SIP_TOTAL CURRENT UNITS]]*INVESTORS_LIST[[#This Row],[NAV]])</f>
        <v>0</v>
      </c>
      <c r="AS439" s="50">
        <f>INVESTORS_LIST[[#This Row],[TOTAL CURRENT UNITS]]</f>
        <v>0</v>
      </c>
      <c r="AT439" s="48">
        <f>IF(INVESTORS_LIST[[#This Row],[TOTAL SELLABLE UNITS]]=0,0,INVESTORS_LIST[[#This Row],[TOTAL SELLABLE UNITS]]*INVESTORS_LIST[[#This Row],[NAV]])</f>
        <v>0</v>
      </c>
      <c r="AU439" s="48">
        <f>INVESTORS_LIST[[#This Row],[LS_TOTAL REALIZED GAIN]]+INVESTORS_LIST[[#This Row],[SIP_TOTAL REALIZED GAIN]]</f>
        <v>0</v>
      </c>
      <c r="AV439" s="48">
        <f>INVESTORS_LIST[[#This Row],[TOTAL MARKET VALUE]]-INVESTORS_LIST[[#This Row],[TOTAL COST VALUE OF CURRENT INVESTMENT]]</f>
        <v>0</v>
      </c>
      <c r="AW439" s="48">
        <f>IFERROR(INVESTORS_LIST[[#This Row],[TOTAL CURRENT UNITS]]/SUM(INVESTORS_LIST[TOTAL CURRENT UNITS]),0)</f>
        <v>0</v>
      </c>
    </row>
    <row r="440" spans="1:49" hidden="1">
      <c r="A440" s="262" t="s">
        <v>925</v>
      </c>
      <c r="B440" s="97" t="s">
        <v>926</v>
      </c>
      <c r="C440" t="s">
        <v>67</v>
      </c>
      <c r="D440" s="75" t="s">
        <v>45</v>
      </c>
      <c r="E440" s="47">
        <f>SUMIFS(LS[Unit],LS[Investor ID],INVESTORS_LIST[[#This Row],[INVESTOR CODE]],LS[B/S],"B")</f>
        <v>0</v>
      </c>
      <c r="F440" s="47">
        <f>-SUMIFS(LS[Unit],LS[Investor ID],INVESTORS_LIST[[#This Row],[INVESTOR CODE]],LS[B/S],"S")</f>
        <v>0</v>
      </c>
      <c r="G440" s="47">
        <f>IF(INVESTORS_LIST[[#This Row],[LS_TOTAL UNITS BUY]]=0,0,INVESTORS_LIST[[#This Row],[LS_TOTAL UNITS BUY]]-INVESTORS_LIST[[#This Row],[LS_TOTAL UNITS SOLD]])</f>
        <v>0</v>
      </c>
      <c r="H440" s="49">
        <f>IF(INVESTORS_LIST[[#This Row],[LS_TOTAL UNITS BUY]]=0,0,SUMIFS(LS[Amount],LS[Investor ID],INVESTORS_LIST[[#This Row],[INVESTOR CODE]],LS[B/S],"B"))</f>
        <v>0</v>
      </c>
      <c r="I440" s="48">
        <f>IF(INVESTORS_LIST[[#This Row],[LS_TOTAL UNITS SOLD]]=0,0,SUMIFS(LS[Cost of Units Sold],LS[Investor ID],INVESTORS_LIST[[#This Row],[INVESTOR CODE]],LS[B/S],"S"))</f>
        <v>0</v>
      </c>
      <c r="J440" s="48">
        <f>IF(INVESTORS_LIST[[#This Row],[LS_TOTAL CURRENT UNITS]]=0,0,INVESTORS_LIST[[#This Row],[LS_TOTAL CURRENT UNITS]]*INVESTORS_LIST[[#This Row],[LS_AVERAGE COST]])</f>
        <v>0</v>
      </c>
      <c r="K440" s="49">
        <f>IF(INVESTORS_LIST[[#This Row],[LS_TOTAL UNITS SOLD]]=0,0,SUMIFS(LS[Realized Gain],LS[Investor ID],INVESTORS_LIST[[#This Row],[INVESTOR CODE]],LS[B/S],"S"))</f>
        <v>0</v>
      </c>
      <c r="L440" s="47">
        <f>SUMIFS(SIP[Unit],SIP[Investor ID],INVESTORS_LIST[[#This Row],[INVESTOR CODE]],SIP[B/S],"B")</f>
        <v>9176</v>
      </c>
      <c r="M440" s="47">
        <f>-SUMIFS(SIP[Unit],SIP[Investor ID],INVESTORS_LIST[[#This Row],[INVESTOR CODE]],SIP[B/S],"S")</f>
        <v>9176</v>
      </c>
      <c r="N440" s="50">
        <f>IF(INVESTORS_LIST[[#This Row],[SIP_TOTAL UNITS BUY]]=0,0,INVESTORS_LIST[[#This Row],[SIP_TOTAL UNITS BUY]]-INVESTORS_LIST[[#This Row],[SIP_TOTAL UNITS SOLD]])</f>
        <v>0</v>
      </c>
      <c r="O440" s="49">
        <f>IF(INVESTORS_LIST[[#This Row],[SIP_TOTAL UNITS BUY]]=0,0,SUMIFS(SIP[Amount],SIP[Investor ID],INVESTORS_LIST[[#This Row],[INVESTOR CODE]],SIP[B/S],"B"))</f>
        <v>105000</v>
      </c>
      <c r="P440" s="49">
        <f>IF(INVESTORS_LIST[[#This Row],[SIP_TOTAL UNITS SOLD]]=0,0,SUMIFS(SIP[Cost of Units Sold],SIP[Investor ID],INVESTORS_LIST[[#This Row],[INVESTOR CODE]],SIP[B/S],"S"))</f>
        <v>105000</v>
      </c>
      <c r="Q440" s="48">
        <f>IF(INVESTORS_LIST[[#This Row],[SIP_TOTAL CURRENT UNITS]]=0,0,INVESTORS_LIST[[#This Row],[SIP_TOTAL CURRENT UNITS]]*INVESTORS_LIST[[#This Row],[SIP_AVERAGE COST]])</f>
        <v>0</v>
      </c>
      <c r="R440" s="48">
        <f>IF(INVESTORS_LIST[[#This Row],[SIP_TOTAL UNITS SOLD]]=0,0,SUMIFS(SIP[Realized Gain],SIP[Investor ID],INVESTORS_LIST[[#This Row],[INVESTOR CODE]],SIP[B/S],"S"))</f>
        <v>6754.93</v>
      </c>
      <c r="S440" s="50">
        <f>INVESTORS_LIST[[#This Row],[LS_TOTAL UNITS BUY]]+INVESTORS_LIST[[#This Row],[SIP_TOTAL UNITS BUY]]</f>
        <v>9176</v>
      </c>
      <c r="T440" s="50">
        <f>INVESTORS_LIST[[#This Row],[LS_TOTAL UNITS SOLD]]+INVESTORS_LIST[[#This Row],[SIP_TOTAL UNITS SOLD]]</f>
        <v>9176</v>
      </c>
      <c r="U440" s="50"/>
      <c r="V440" s="50">
        <f>SUMIFS(LS[BO UNIT TRANSFER],LS[Investor ID],INVESTORS_LIST[[#This Row],[INVESTOR CODE]],LS[B/S],"B")</f>
        <v>0</v>
      </c>
      <c r="W440" s="50">
        <f>SUMIFS(SIP[BO UNIT TRANSFER],SIP[Investor ID],INVESTORS_LIST[[#This Row],[INVESTOR CODE]],SIP[B/S],"B")</f>
        <v>0</v>
      </c>
      <c r="X440" s="50">
        <f>SUMIFS(LS[BO UNIT TRANSFER],LS[Investor ID],INVESTORS_LIST[[#This Row],[INVESTOR CODE]],LS[B/S],"S")</f>
        <v>0</v>
      </c>
      <c r="Y440" s="50">
        <f>SUMIFS(SIP[BO UNIT TRANSFER],SIP[Investor ID],INVESTORS_LIST[[#This Row],[INVESTOR CODE]],SIP[B/S],"S")</f>
        <v>0</v>
      </c>
      <c r="Z440" s="106">
        <f>SUM(INVESTORS_LIST[[#This Row],[BO OPENING BALANCE]:[BO SIP UNITS REPURCHASE]])</f>
        <v>0</v>
      </c>
      <c r="AA440" s="107">
        <f>INVESTORS_LIST[[#This Row],[TOTAL UNITS BUY]]-INVESTORS_LIST[[#This Row],[TOTAL UNITS SOLD]]</f>
        <v>0</v>
      </c>
      <c r="AB440" s="107">
        <f>INVESTORS_LIST[[#This Row],[TOTAL CURRENT UNITS]]-INVESTORS_LIST[[#This Row],[BO UNITS HOLD]]</f>
        <v>0</v>
      </c>
      <c r="AC440" s="201" t="e">
        <f>INDEX([3]!Table_1[BO ID],MATCH(INVESTORS_LIST[[#This Row],[INVESTOR CODE]],[3]!Table_1[INVESTOR CODE],0))</f>
        <v>#REF!</v>
      </c>
      <c r="AD440" s="201" t="e">
        <f>INDEX([3]!Table_1[Brokerage Name2],MATCH(INVESTORS_LIST[[#This Row],[INVESTOR CODE]],[3]!Table_1[INVESTOR CODE],0))</f>
        <v>#REF!</v>
      </c>
      <c r="AE440" s="201" t="e">
        <f>MID(INVESTORS_LIST[[#This Row],[BO ID]],4,5)</f>
        <v>#REF!</v>
      </c>
      <c r="AF440" s="201" t="e">
        <f>MID(INVESTORS_LIST[[#This Row],[BO ID]],2,7)</f>
        <v>#REF!</v>
      </c>
      <c r="AG440" s="201" t="e">
        <f>MID(INVESTORS_LIST[[#This Row],[BO ID]],9,7)</f>
        <v>#REF!</v>
      </c>
      <c r="AH440" s="201" t="e">
        <f>RIGHT(INVESTORS_LIST[[#This Row],[BO ID]],1)</f>
        <v>#REF!</v>
      </c>
      <c r="AI440" s="50">
        <f>INVESTORS_LIST[[#This Row],[LS_TOTAL COST VALUE OF CURRENT UNITS]]+INVESTORS_LIST[[#This Row],[SIP_TOTAL COST VALUE OF CURRENT UNITS]]</f>
        <v>0</v>
      </c>
      <c r="AJ440" s="109">
        <f>IF(INVESTORS_LIST[[#This Row],[TOTAL CURRENT UNITS]]=0,0,INVESTORS_LIST[[#This Row],[LS_TOTAL CURRENT UNITS]]/INVESTORS_LIST[[#This Row],[TOTAL CURRENT UNITS]])</f>
        <v>0</v>
      </c>
      <c r="AK440" s="109">
        <f>IF(INVESTORS_LIST[[#This Row],[TOTAL CURRENT UNITS]]=0,0,INVESTORS_LIST[[#This Row],[SIP_TOTAL CURRENT UNITS]]/INVESTORS_LIST[[#This Row],[TOTAL CURRENT UNITS]])</f>
        <v>0</v>
      </c>
      <c r="AL440" s="49" cm="1">
        <f t="array" ref="AL4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0" s="49" cm="1">
        <f t="array" ref="AM4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0" s="105">
        <f t="shared" si="7"/>
        <v>14.224</v>
      </c>
      <c r="AP440" s="112">
        <f>IF(INVESTORS_LIST[[#This Row],[TOTAL CURRENT UNITS]]=0,0,INVESTORS_LIST[[#This Row],[TOTAL CURRENT UNITS]]*INVESTORS_LIST[[#This Row],[NAV]])</f>
        <v>0</v>
      </c>
      <c r="AQ440" s="49">
        <f>IF(INVESTORS_LIST[[#This Row],[LS_TOTAL CURRENT UNITS]]=0,0,INVESTORS_LIST[[#This Row],[LS_TOTAL CURRENT UNITS]]*INVESTORS_LIST[[#This Row],[NAV]])</f>
        <v>0</v>
      </c>
      <c r="AR440" s="48">
        <f>IF(INVESTORS_LIST[[#This Row],[SIP_TOTAL CURRENT UNITS]]=0,0,INVESTORS_LIST[[#This Row],[SIP_TOTAL CURRENT UNITS]]*INVESTORS_LIST[[#This Row],[NAV]])</f>
        <v>0</v>
      </c>
      <c r="AS440" s="50">
        <f>INVESTORS_LIST[[#This Row],[TOTAL CURRENT UNITS]]</f>
        <v>0</v>
      </c>
      <c r="AT440" s="48">
        <f>IF(INVESTORS_LIST[[#This Row],[TOTAL SELLABLE UNITS]]=0,0,INVESTORS_LIST[[#This Row],[TOTAL SELLABLE UNITS]]*INVESTORS_LIST[[#This Row],[NAV]])</f>
        <v>0</v>
      </c>
      <c r="AU440" s="48">
        <f>INVESTORS_LIST[[#This Row],[LS_TOTAL REALIZED GAIN]]+INVESTORS_LIST[[#This Row],[SIP_TOTAL REALIZED GAIN]]</f>
        <v>6754.93</v>
      </c>
      <c r="AV440" s="48">
        <f>INVESTORS_LIST[[#This Row],[TOTAL MARKET VALUE]]-INVESTORS_LIST[[#This Row],[TOTAL COST VALUE OF CURRENT INVESTMENT]]</f>
        <v>0</v>
      </c>
      <c r="AW440" s="108">
        <f>IFERROR(INVESTORS_LIST[[#This Row],[TOTAL CURRENT UNITS]]/SUM(INVESTORS_LIST[TOTAL CURRENT UNITS]),0)</f>
        <v>0</v>
      </c>
    </row>
    <row r="441" spans="1:49" hidden="1">
      <c r="A441" s="262" t="s">
        <v>927</v>
      </c>
      <c r="B441" s="97" t="s">
        <v>928</v>
      </c>
      <c r="C441" t="s">
        <v>44</v>
      </c>
      <c r="D441" s="75" t="s">
        <v>45</v>
      </c>
      <c r="E441" s="47">
        <f>SUMIFS(LS[Unit],LS[Investor ID],INVESTORS_LIST[[#This Row],[INVESTOR CODE]],LS[B/S],"B")</f>
        <v>0</v>
      </c>
      <c r="F441" s="47">
        <f>-SUMIFS(LS[Unit],LS[Investor ID],INVESTORS_LIST[[#This Row],[INVESTOR CODE]],LS[B/S],"S")</f>
        <v>0</v>
      </c>
      <c r="G441" s="47">
        <f>IF(INVESTORS_LIST[[#This Row],[LS_TOTAL UNITS BUY]]=0,0,INVESTORS_LIST[[#This Row],[LS_TOTAL UNITS BUY]]-INVESTORS_LIST[[#This Row],[LS_TOTAL UNITS SOLD]])</f>
        <v>0</v>
      </c>
      <c r="H441" s="49">
        <f>IF(INVESTORS_LIST[[#This Row],[LS_TOTAL UNITS BUY]]=0,0,SUMIFS(LS[Amount],LS[Investor ID],INVESTORS_LIST[[#This Row],[INVESTOR CODE]],LS[B/S],"B"))</f>
        <v>0</v>
      </c>
      <c r="I441" s="48">
        <f>IF(INVESTORS_LIST[[#This Row],[LS_TOTAL UNITS SOLD]]=0,0,SUMIFS(LS[Cost of Units Sold],LS[Investor ID],INVESTORS_LIST[[#This Row],[INVESTOR CODE]],LS[B/S],"S"))</f>
        <v>0</v>
      </c>
      <c r="J441" s="48">
        <f>IF(INVESTORS_LIST[[#This Row],[LS_TOTAL CURRENT UNITS]]=0,0,INVESTORS_LIST[[#This Row],[LS_TOTAL CURRENT UNITS]]*INVESTORS_LIST[[#This Row],[LS_AVERAGE COST]])</f>
        <v>0</v>
      </c>
      <c r="K441" s="49">
        <f>IF(INVESTORS_LIST[[#This Row],[LS_TOTAL UNITS SOLD]]=0,0,SUMIFS(LS[Realized Gain],LS[Investor ID],INVESTORS_LIST[[#This Row],[INVESTOR CODE]],LS[B/S],"S"))</f>
        <v>0</v>
      </c>
      <c r="L441" s="47">
        <f>SUMIFS(SIP[Unit],SIP[Investor ID],INVESTORS_LIST[[#This Row],[INVESTOR CODE]],SIP[B/S],"B")</f>
        <v>0</v>
      </c>
      <c r="M441" s="47">
        <f>-SUMIFS(SIP[Unit],SIP[Investor ID],INVESTORS_LIST[[#This Row],[INVESTOR CODE]],SIP[B/S],"S")</f>
        <v>0</v>
      </c>
      <c r="N441" s="50">
        <f>IF(INVESTORS_LIST[[#This Row],[SIP_TOTAL UNITS BUY]]=0,0,INVESTORS_LIST[[#This Row],[SIP_TOTAL UNITS BUY]]-INVESTORS_LIST[[#This Row],[SIP_TOTAL UNITS SOLD]])</f>
        <v>0</v>
      </c>
      <c r="O441" s="49">
        <f>IF(INVESTORS_LIST[[#This Row],[SIP_TOTAL UNITS BUY]]=0,0,SUMIFS(SIP[Amount],SIP[Investor ID],INVESTORS_LIST[[#This Row],[INVESTOR CODE]],SIP[B/S],"B"))</f>
        <v>0</v>
      </c>
      <c r="P441" s="49">
        <f>IF(INVESTORS_LIST[[#This Row],[SIP_TOTAL UNITS SOLD]]=0,0,SUMIFS(SIP[Cost of Units Sold],SIP[Investor ID],INVESTORS_LIST[[#This Row],[INVESTOR CODE]],SIP[B/S],"S"))</f>
        <v>0</v>
      </c>
      <c r="Q441" s="48">
        <f>IF(INVESTORS_LIST[[#This Row],[SIP_TOTAL CURRENT UNITS]]=0,0,INVESTORS_LIST[[#This Row],[SIP_TOTAL CURRENT UNITS]]*INVESTORS_LIST[[#This Row],[SIP_AVERAGE COST]])</f>
        <v>0</v>
      </c>
      <c r="R441" s="48">
        <f>IF(INVESTORS_LIST[[#This Row],[SIP_TOTAL UNITS SOLD]]=0,0,SUMIFS(SIP[Realized Gain],SIP[Investor ID],INVESTORS_LIST[[#This Row],[INVESTOR CODE]],SIP[B/S],"S"))</f>
        <v>0</v>
      </c>
      <c r="S441" s="50">
        <f>INVESTORS_LIST[[#This Row],[LS_TOTAL UNITS BUY]]+INVESTORS_LIST[[#This Row],[SIP_TOTAL UNITS BUY]]</f>
        <v>0</v>
      </c>
      <c r="T441" s="50">
        <f>INVESTORS_LIST[[#This Row],[LS_TOTAL UNITS SOLD]]+INVESTORS_LIST[[#This Row],[SIP_TOTAL UNITS SOLD]]</f>
        <v>0</v>
      </c>
      <c r="U441" s="50"/>
      <c r="V441" s="50">
        <f>SUMIFS(LS[BO UNIT TRANSFER],LS[Investor ID],INVESTORS_LIST[[#This Row],[INVESTOR CODE]],LS[B/S],"B")</f>
        <v>0</v>
      </c>
      <c r="W441" s="50">
        <f>SUMIFS(SIP[BO UNIT TRANSFER],SIP[Investor ID],INVESTORS_LIST[[#This Row],[INVESTOR CODE]],SIP[B/S],"B")</f>
        <v>0</v>
      </c>
      <c r="X441" s="50">
        <f>SUMIFS(LS[BO UNIT TRANSFER],LS[Investor ID],INVESTORS_LIST[[#This Row],[INVESTOR CODE]],LS[B/S],"S")</f>
        <v>0</v>
      </c>
      <c r="Y441" s="50">
        <f>SUMIFS(SIP[BO UNIT TRANSFER],SIP[Investor ID],INVESTORS_LIST[[#This Row],[INVESTOR CODE]],SIP[B/S],"S")</f>
        <v>0</v>
      </c>
      <c r="Z441" s="106">
        <f>SUM(INVESTORS_LIST[[#This Row],[BO OPENING BALANCE]:[BO SIP UNITS REPURCHASE]])</f>
        <v>0</v>
      </c>
      <c r="AA441" s="107">
        <f>INVESTORS_LIST[[#This Row],[TOTAL UNITS BUY]]-INVESTORS_LIST[[#This Row],[TOTAL UNITS SOLD]]</f>
        <v>0</v>
      </c>
      <c r="AB441" s="107">
        <f>INVESTORS_LIST[[#This Row],[TOTAL CURRENT UNITS]]-INVESTORS_LIST[[#This Row],[BO UNITS HOLD]]</f>
        <v>0</v>
      </c>
      <c r="AC441" s="201" t="e">
        <f>INDEX([3]!Table_1[BO ID],MATCH(INVESTORS_LIST[[#This Row],[INVESTOR CODE]],[3]!Table_1[INVESTOR CODE],0))</f>
        <v>#REF!</v>
      </c>
      <c r="AD441" s="201" t="e">
        <f>INDEX([3]!Table_1[Brokerage Name2],MATCH(INVESTORS_LIST[[#This Row],[INVESTOR CODE]],[3]!Table_1[INVESTOR CODE],0))</f>
        <v>#REF!</v>
      </c>
      <c r="AE441" s="201" t="e">
        <f>MID(INVESTORS_LIST[[#This Row],[BO ID]],4,5)</f>
        <v>#REF!</v>
      </c>
      <c r="AF441" s="201" t="e">
        <f>MID(INVESTORS_LIST[[#This Row],[BO ID]],2,7)</f>
        <v>#REF!</v>
      </c>
      <c r="AG441" s="201" t="e">
        <f>MID(INVESTORS_LIST[[#This Row],[BO ID]],9,7)</f>
        <v>#REF!</v>
      </c>
      <c r="AH441" s="201" t="e">
        <f>RIGHT(INVESTORS_LIST[[#This Row],[BO ID]],1)</f>
        <v>#REF!</v>
      </c>
      <c r="AI441" s="50">
        <f>INVESTORS_LIST[[#This Row],[LS_TOTAL COST VALUE OF CURRENT UNITS]]+INVESTORS_LIST[[#This Row],[SIP_TOTAL COST VALUE OF CURRENT UNITS]]</f>
        <v>0</v>
      </c>
      <c r="AJ441" s="109">
        <f>IF(INVESTORS_LIST[[#This Row],[TOTAL CURRENT UNITS]]=0,0,INVESTORS_LIST[[#This Row],[LS_TOTAL CURRENT UNITS]]/INVESTORS_LIST[[#This Row],[TOTAL CURRENT UNITS]])</f>
        <v>0</v>
      </c>
      <c r="AK441" s="109">
        <f>IF(INVESTORS_LIST[[#This Row],[TOTAL CURRENT UNITS]]=0,0,INVESTORS_LIST[[#This Row],[SIP_TOTAL CURRENT UNITS]]/INVESTORS_LIST[[#This Row],[TOTAL CURRENT UNITS]])</f>
        <v>0</v>
      </c>
      <c r="AL441" s="49" cm="1">
        <f t="array" ref="AL4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1" s="49" cm="1">
        <f t="array" ref="AM4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1" s="105">
        <f t="shared" si="7"/>
        <v>14.224</v>
      </c>
      <c r="AP441" s="112">
        <f>IF(INVESTORS_LIST[[#This Row],[TOTAL CURRENT UNITS]]=0,0,INVESTORS_LIST[[#This Row],[TOTAL CURRENT UNITS]]*INVESTORS_LIST[[#This Row],[NAV]])</f>
        <v>0</v>
      </c>
      <c r="AQ441" s="49">
        <f>IF(INVESTORS_LIST[[#This Row],[LS_TOTAL CURRENT UNITS]]=0,0,INVESTORS_LIST[[#This Row],[LS_TOTAL CURRENT UNITS]]*INVESTORS_LIST[[#This Row],[NAV]])</f>
        <v>0</v>
      </c>
      <c r="AR441" s="48">
        <f>IF(INVESTORS_LIST[[#This Row],[SIP_TOTAL CURRENT UNITS]]=0,0,INVESTORS_LIST[[#This Row],[SIP_TOTAL CURRENT UNITS]]*INVESTORS_LIST[[#This Row],[NAV]])</f>
        <v>0</v>
      </c>
      <c r="AS441" s="50">
        <f>INVESTORS_LIST[[#This Row],[TOTAL CURRENT UNITS]]</f>
        <v>0</v>
      </c>
      <c r="AT441" s="48">
        <f>IF(INVESTORS_LIST[[#This Row],[TOTAL SELLABLE UNITS]]=0,0,INVESTORS_LIST[[#This Row],[TOTAL SELLABLE UNITS]]*INVESTORS_LIST[[#This Row],[NAV]])</f>
        <v>0</v>
      </c>
      <c r="AU441" s="48">
        <f>INVESTORS_LIST[[#This Row],[LS_TOTAL REALIZED GAIN]]+INVESTORS_LIST[[#This Row],[SIP_TOTAL REALIZED GAIN]]</f>
        <v>0</v>
      </c>
      <c r="AV441" s="48">
        <f>INVESTORS_LIST[[#This Row],[TOTAL MARKET VALUE]]-INVESTORS_LIST[[#This Row],[TOTAL COST VALUE OF CURRENT INVESTMENT]]</f>
        <v>0</v>
      </c>
      <c r="AW441" s="48">
        <f>IFERROR(INVESTORS_LIST[[#This Row],[TOTAL CURRENT UNITS]]/SUM(INVESTORS_LIST[TOTAL CURRENT UNITS]),0)</f>
        <v>0</v>
      </c>
    </row>
    <row r="442" spans="1:49">
      <c r="A442" s="262" t="s">
        <v>929</v>
      </c>
      <c r="B442" s="97" t="s">
        <v>930</v>
      </c>
      <c r="C442" t="s">
        <v>44</v>
      </c>
      <c r="D442" s="75" t="s">
        <v>45</v>
      </c>
      <c r="E442" s="47">
        <f>SUMIFS(LS[Unit],LS[Investor ID],INVESTORS_LIST[[#This Row],[INVESTOR CODE]],LS[B/S],"B")</f>
        <v>86973</v>
      </c>
      <c r="F442" s="47">
        <f>-SUMIFS(LS[Unit],LS[Investor ID],INVESTORS_LIST[[#This Row],[INVESTOR CODE]],LS[B/S],"S")</f>
        <v>33882</v>
      </c>
      <c r="G442" s="47">
        <f>IF(INVESTORS_LIST[[#This Row],[LS_TOTAL UNITS BUY]]=0,0,INVESTORS_LIST[[#This Row],[LS_TOTAL UNITS BUY]]-INVESTORS_LIST[[#This Row],[LS_TOTAL UNITS SOLD]])</f>
        <v>53091</v>
      </c>
      <c r="H442" s="49">
        <f>IF(INVESTORS_LIST[[#This Row],[LS_TOTAL UNITS BUY]]=0,0,SUMIFS(LS[Amount],LS[Investor ID],INVESTORS_LIST[[#This Row],[INVESTOR CODE]],LS[B/S],"B"))</f>
        <v>1100000</v>
      </c>
      <c r="I442" s="48">
        <f>IF(INVESTORS_LIST[[#This Row],[LS_TOTAL UNITS SOLD]]=0,0,SUMIFS(LS[Cost of Units Sold],LS[Investor ID],INVESTORS_LIST[[#This Row],[INVESTOR CODE]],LS[B/S],"S"))</f>
        <v>426800.97002742073</v>
      </c>
      <c r="J442" s="48">
        <f>IF(INVESTORS_LIST[[#This Row],[LS_TOTAL CURRENT UNITS]]=0,0,INVESTORS_LIST[[#This Row],[LS_TOTAL CURRENT UNITS]]*INVESTORS_LIST[[#This Row],[LS_AVERAGE COST]])</f>
        <v>673199.02997257933</v>
      </c>
      <c r="K442" s="49">
        <f>IF(INVESTORS_LIST[[#This Row],[LS_TOTAL UNITS SOLD]]=0,0,SUMIFS(LS[Realized Gain],LS[Investor ID],INVESTORS_LIST[[#This Row],[INVESTOR CODE]],LS[B/S],"S"))</f>
        <v>2914.9299725792853</v>
      </c>
      <c r="L442" s="47">
        <f>SUMIFS(SIP[Unit],SIP[Investor ID],INVESTORS_LIST[[#This Row],[INVESTOR CODE]],SIP[B/S],"B")</f>
        <v>2910</v>
      </c>
      <c r="M442" s="47">
        <f>-SUMIFS(SIP[Unit],SIP[Investor ID],INVESTORS_LIST[[#This Row],[INVESTOR CODE]],SIP[B/S],"S")</f>
        <v>2320</v>
      </c>
      <c r="N442" s="50">
        <f>IF(INVESTORS_LIST[[#This Row],[SIP_TOTAL UNITS BUY]]=0,0,INVESTORS_LIST[[#This Row],[SIP_TOTAL UNITS BUY]]-INVESTORS_LIST[[#This Row],[SIP_TOTAL UNITS SOLD]])</f>
        <v>590</v>
      </c>
      <c r="O442" s="49">
        <f>IF(INVESTORS_LIST[[#This Row],[SIP_TOTAL UNITS BUY]]=0,0,SUMIFS(SIP[Amount],SIP[Investor ID],INVESTORS_LIST[[#This Row],[INVESTOR CODE]],SIP[B/S],"B"))</f>
        <v>34000</v>
      </c>
      <c r="P442" s="49">
        <f>IF(INVESTORS_LIST[[#This Row],[SIP_TOTAL UNITS SOLD]]=0,0,SUMIFS(SIP[Cost of Units Sold],SIP[Investor ID],INVESTORS_LIST[[#This Row],[INVESTOR CODE]],SIP[B/S],"S"))</f>
        <v>26000.000000000004</v>
      </c>
      <c r="Q442" s="48">
        <f>IF(INVESTORS_LIST[[#This Row],[SIP_TOTAL CURRENT UNITS]]=0,0,INVESTORS_LIST[[#This Row],[SIP_TOTAL CURRENT UNITS]]*INVESTORS_LIST[[#This Row],[SIP_AVERAGE COST]])</f>
        <v>8000.0000000000009</v>
      </c>
      <c r="R442" s="48">
        <f>IF(INVESTORS_LIST[[#This Row],[SIP_TOTAL UNITS SOLD]]=0,0,SUMIFS(SIP[Realized Gain],SIP[Investor ID],INVESTORS_LIST[[#This Row],[INVESTOR CODE]],SIP[B/S],"S"))</f>
        <v>3257.5199999999995</v>
      </c>
      <c r="S442" s="50">
        <f>INVESTORS_LIST[[#This Row],[LS_TOTAL UNITS BUY]]+INVESTORS_LIST[[#This Row],[SIP_TOTAL UNITS BUY]]</f>
        <v>89883</v>
      </c>
      <c r="T442" s="50">
        <f>INVESTORS_LIST[[#This Row],[LS_TOTAL UNITS SOLD]]+INVESTORS_LIST[[#This Row],[SIP_TOTAL UNITS SOLD]]</f>
        <v>36202</v>
      </c>
      <c r="U442" s="50"/>
      <c r="V442" s="50">
        <f>SUMIFS(LS[BO UNIT TRANSFER],LS[Investor ID],INVESTORS_LIST[[#This Row],[INVESTOR CODE]],LS[B/S],"B")</f>
        <v>86973</v>
      </c>
      <c r="W442" s="50">
        <f>SUMIFS(SIP[BO UNIT TRANSFER],SIP[Investor ID],INVESTORS_LIST[[#This Row],[INVESTOR CODE]],SIP[B/S],"B")</f>
        <v>519</v>
      </c>
      <c r="X442" s="50">
        <f>SUMIFS(LS[BO UNIT TRANSFER],LS[Investor ID],INVESTORS_LIST[[#This Row],[INVESTOR CODE]],LS[B/S],"S")</f>
        <v>-33882</v>
      </c>
      <c r="Y442" s="50">
        <f>SUMIFS(SIP[BO UNIT TRANSFER],SIP[Investor ID],INVESTORS_LIST[[#This Row],[INVESTOR CODE]],SIP[B/S],"S")</f>
        <v>0</v>
      </c>
      <c r="Z442" s="106">
        <f>SUM(INVESTORS_LIST[[#This Row],[BO OPENING BALANCE]:[BO SIP UNITS REPURCHASE]])</f>
        <v>53610</v>
      </c>
      <c r="AA442" s="107">
        <f>INVESTORS_LIST[[#This Row],[TOTAL UNITS BUY]]-INVESTORS_LIST[[#This Row],[TOTAL UNITS SOLD]]</f>
        <v>53681</v>
      </c>
      <c r="AB442" s="107">
        <f>INVESTORS_LIST[[#This Row],[TOTAL CURRENT UNITS]]-INVESTORS_LIST[[#This Row],[BO UNITS HOLD]]</f>
        <v>71</v>
      </c>
      <c r="AC442" s="201" t="e">
        <f>INDEX([3]!Table_1[BO ID],MATCH(INVESTORS_LIST[[#This Row],[INVESTOR CODE]],[3]!Table_1[INVESTOR CODE],0))</f>
        <v>#REF!</v>
      </c>
      <c r="AD442" s="201" t="e">
        <f>INDEX([3]!Table_1[Brokerage Name2],MATCH(INVESTORS_LIST[[#This Row],[INVESTOR CODE]],[3]!Table_1[INVESTOR CODE],0))</f>
        <v>#REF!</v>
      </c>
      <c r="AE442" s="201" t="e">
        <f>MID(INVESTORS_LIST[[#This Row],[BO ID]],4,5)</f>
        <v>#REF!</v>
      </c>
      <c r="AF442" s="201" t="e">
        <f>MID(INVESTORS_LIST[[#This Row],[BO ID]],2,7)</f>
        <v>#REF!</v>
      </c>
      <c r="AG442" s="201" t="e">
        <f>MID(INVESTORS_LIST[[#This Row],[BO ID]],9,7)</f>
        <v>#REF!</v>
      </c>
      <c r="AH442" s="201" t="e">
        <f>RIGHT(INVESTORS_LIST[[#This Row],[BO ID]],1)</f>
        <v>#REF!</v>
      </c>
      <c r="AI442" s="50">
        <f>INVESTORS_LIST[[#This Row],[LS_TOTAL COST VALUE OF CURRENT UNITS]]+INVESTORS_LIST[[#This Row],[SIP_TOTAL COST VALUE OF CURRENT UNITS]]</f>
        <v>681199.02997257933</v>
      </c>
      <c r="AJ442" s="109">
        <f>IF(INVESTORS_LIST[[#This Row],[TOTAL CURRENT UNITS]]=0,0,INVESTORS_LIST[[#This Row],[LS_TOTAL CURRENT UNITS]]/INVESTORS_LIST[[#This Row],[TOTAL CURRENT UNITS]])</f>
        <v>0.98900914662543549</v>
      </c>
      <c r="AK442" s="109">
        <f>IF(INVESTORS_LIST[[#This Row],[TOTAL CURRENT UNITS]]=0,0,INVESTORS_LIST[[#This Row],[SIP_TOTAL CURRENT UNITS]]/INVESTORS_LIST[[#This Row],[TOTAL CURRENT UNITS]])</f>
        <v>1.0990853374564557E-2</v>
      </c>
      <c r="AL442" s="49" cm="1">
        <f t="array" ref="AL442">IF(INVESTORS_LIST[[#This Row],[LS_TOTAL UNITS BUY]]&gt;0,INDEX(LS[NAV at Cost (Average)],MATCH(CONCATENATE(COUNTIFS(LS[Investor ID],INVESTORS_LIST[[#This Row],[INVESTOR CODE]]),INVESTORS_LIST[[#This Row],[INVESTOR CODE]]),LS[Unique Code],0),),0)</f>
        <v>12.680097002742071</v>
      </c>
      <c r="AM442" s="49" cm="1">
        <f t="array" ref="AM442">IF(INVESTORS_LIST[[#This Row],[SIP_TOTAL UNITS BUY]]&gt;0,INDEX(SIP[NAV at Cost (Average)],MATCH(CONCATENATE(COUNTIFS(SIP[Investor ID],INVESTORS_LIST[[#This Row],[INVESTOR CODE]]),INVESTORS_LIST[[#This Row],[INVESTOR CODE]]),SIP[Unique Code],0),),0)</f>
        <v>13.559322033898306</v>
      </c>
      <c r="AN442" s="105">
        <f>IF(INVESTORS_LIST[[#This Row],[TOTAL CURRENT UNITS]]=0,0,(INVESTORS_LIST[[#This Row],[LS_WEIGHT]]*INVESTORS_LIST[[#This Row],[LS_AVERAGE COST]])+(INVESTORS_LIST[[#This Row],[SIP_WEIGHT]]*INVESTORS_LIST[[#This Row],[SIP_AVERAGE COST]]))</f>
        <v>12.689760436142757</v>
      </c>
      <c r="AO442" s="105">
        <f t="shared" si="7"/>
        <v>14.224</v>
      </c>
      <c r="AP442" s="112">
        <f>IF(INVESTORS_LIST[[#This Row],[TOTAL CURRENT UNITS]]=0,0,INVESTORS_LIST[[#This Row],[TOTAL CURRENT UNITS]]*INVESTORS_LIST[[#This Row],[NAV]])</f>
        <v>763558.54399999999</v>
      </c>
      <c r="AQ442" s="49">
        <f>IF(INVESTORS_LIST[[#This Row],[LS_TOTAL CURRENT UNITS]]=0,0,INVESTORS_LIST[[#This Row],[LS_TOTAL CURRENT UNITS]]*INVESTORS_LIST[[#This Row],[NAV]])</f>
        <v>755166.38399999996</v>
      </c>
      <c r="AR442" s="48">
        <f>IF(INVESTORS_LIST[[#This Row],[SIP_TOTAL CURRENT UNITS]]=0,0,INVESTORS_LIST[[#This Row],[SIP_TOTAL CURRENT UNITS]]*INVESTORS_LIST[[#This Row],[NAV]])</f>
        <v>8392.16</v>
      </c>
      <c r="AS442" s="50">
        <f>INVESTORS_LIST[[#This Row],[TOTAL CURRENT UNITS]]</f>
        <v>53681</v>
      </c>
      <c r="AT442" s="48">
        <f>IF(INVESTORS_LIST[[#This Row],[TOTAL SELLABLE UNITS]]=0,0,INVESTORS_LIST[[#This Row],[TOTAL SELLABLE UNITS]]*INVESTORS_LIST[[#This Row],[NAV]])</f>
        <v>763558.54399999999</v>
      </c>
      <c r="AU442" s="48">
        <f>INVESTORS_LIST[[#This Row],[LS_TOTAL REALIZED GAIN]]+INVESTORS_LIST[[#This Row],[SIP_TOTAL REALIZED GAIN]]</f>
        <v>6172.4499725792848</v>
      </c>
      <c r="AV442" s="48">
        <f>INVESTORS_LIST[[#This Row],[TOTAL MARKET VALUE]]-INVESTORS_LIST[[#This Row],[TOTAL COST VALUE OF CURRENT INVESTMENT]]</f>
        <v>82359.514027420664</v>
      </c>
      <c r="AW442" s="108">
        <f>IFERROR(INVESTORS_LIST[[#This Row],[TOTAL CURRENT UNITS]]/SUM(INVESTORS_LIST[TOTAL CURRENT UNITS]),0)</f>
        <v>1.3031711160707404E-3</v>
      </c>
    </row>
    <row r="443" spans="1:49" hidden="1">
      <c r="A443" s="262" t="s">
        <v>931</v>
      </c>
      <c r="B443" s="97" t="s">
        <v>932</v>
      </c>
      <c r="C443" t="s">
        <v>44</v>
      </c>
      <c r="D443" s="75" t="s">
        <v>45</v>
      </c>
      <c r="E443" s="47">
        <f>SUMIFS(LS[Unit],LS[Investor ID],INVESTORS_LIST[[#This Row],[INVESTOR CODE]],LS[B/S],"B")</f>
        <v>0</v>
      </c>
      <c r="F443" s="47">
        <f>-SUMIFS(LS[Unit],LS[Investor ID],INVESTORS_LIST[[#This Row],[INVESTOR CODE]],LS[B/S],"S")</f>
        <v>0</v>
      </c>
      <c r="G443" s="47">
        <f>IF(INVESTORS_LIST[[#This Row],[LS_TOTAL UNITS BUY]]=0,0,INVESTORS_LIST[[#This Row],[LS_TOTAL UNITS BUY]]-INVESTORS_LIST[[#This Row],[LS_TOTAL UNITS SOLD]])</f>
        <v>0</v>
      </c>
      <c r="H443" s="49">
        <f>IF(INVESTORS_LIST[[#This Row],[LS_TOTAL UNITS BUY]]=0,0,SUMIFS(LS[Amount],LS[Investor ID],INVESTORS_LIST[[#This Row],[INVESTOR CODE]],LS[B/S],"B"))</f>
        <v>0</v>
      </c>
      <c r="I443" s="48">
        <f>IF(INVESTORS_LIST[[#This Row],[LS_TOTAL UNITS SOLD]]=0,0,SUMIFS(LS[Cost of Units Sold],LS[Investor ID],INVESTORS_LIST[[#This Row],[INVESTOR CODE]],LS[B/S],"S"))</f>
        <v>0</v>
      </c>
      <c r="J443" s="48">
        <f>IF(INVESTORS_LIST[[#This Row],[LS_TOTAL CURRENT UNITS]]=0,0,INVESTORS_LIST[[#This Row],[LS_TOTAL CURRENT UNITS]]*INVESTORS_LIST[[#This Row],[LS_AVERAGE COST]])</f>
        <v>0</v>
      </c>
      <c r="K443" s="49">
        <f>IF(INVESTORS_LIST[[#This Row],[LS_TOTAL UNITS SOLD]]=0,0,SUMIFS(LS[Realized Gain],LS[Investor ID],INVESTORS_LIST[[#This Row],[INVESTOR CODE]],LS[B/S],"S"))</f>
        <v>0</v>
      </c>
      <c r="L443" s="47">
        <f>SUMIFS(SIP[Unit],SIP[Investor ID],INVESTORS_LIST[[#This Row],[INVESTOR CODE]],SIP[B/S],"B")</f>
        <v>0</v>
      </c>
      <c r="M443" s="47">
        <f>-SUMIFS(SIP[Unit],SIP[Investor ID],INVESTORS_LIST[[#This Row],[INVESTOR CODE]],SIP[B/S],"S")</f>
        <v>0</v>
      </c>
      <c r="N443" s="50">
        <f>IF(INVESTORS_LIST[[#This Row],[SIP_TOTAL UNITS BUY]]=0,0,INVESTORS_LIST[[#This Row],[SIP_TOTAL UNITS BUY]]-INVESTORS_LIST[[#This Row],[SIP_TOTAL UNITS SOLD]])</f>
        <v>0</v>
      </c>
      <c r="O443" s="49">
        <f>IF(INVESTORS_LIST[[#This Row],[SIP_TOTAL UNITS BUY]]=0,0,SUMIFS(SIP[Amount],SIP[Investor ID],INVESTORS_LIST[[#This Row],[INVESTOR CODE]],SIP[B/S],"B"))</f>
        <v>0</v>
      </c>
      <c r="P443" s="49">
        <f>IF(INVESTORS_LIST[[#This Row],[SIP_TOTAL UNITS SOLD]]=0,0,SUMIFS(SIP[Cost of Units Sold],SIP[Investor ID],INVESTORS_LIST[[#This Row],[INVESTOR CODE]],SIP[B/S],"S"))</f>
        <v>0</v>
      </c>
      <c r="Q443" s="48">
        <f>IF(INVESTORS_LIST[[#This Row],[SIP_TOTAL CURRENT UNITS]]=0,0,INVESTORS_LIST[[#This Row],[SIP_TOTAL CURRENT UNITS]]*INVESTORS_LIST[[#This Row],[SIP_AVERAGE COST]])</f>
        <v>0</v>
      </c>
      <c r="R443" s="48">
        <f>IF(INVESTORS_LIST[[#This Row],[SIP_TOTAL UNITS SOLD]]=0,0,SUMIFS(SIP[Realized Gain],SIP[Investor ID],INVESTORS_LIST[[#This Row],[INVESTOR CODE]],SIP[B/S],"S"))</f>
        <v>0</v>
      </c>
      <c r="S443" s="50">
        <f>INVESTORS_LIST[[#This Row],[LS_TOTAL UNITS BUY]]+INVESTORS_LIST[[#This Row],[SIP_TOTAL UNITS BUY]]</f>
        <v>0</v>
      </c>
      <c r="T443" s="50">
        <f>INVESTORS_LIST[[#This Row],[LS_TOTAL UNITS SOLD]]+INVESTORS_LIST[[#This Row],[SIP_TOTAL UNITS SOLD]]</f>
        <v>0</v>
      </c>
      <c r="U443" s="50"/>
      <c r="V443" s="50">
        <f>SUMIFS(LS[BO UNIT TRANSFER],LS[Investor ID],INVESTORS_LIST[[#This Row],[INVESTOR CODE]],LS[B/S],"B")</f>
        <v>0</v>
      </c>
      <c r="W443" s="50">
        <f>SUMIFS(SIP[BO UNIT TRANSFER],SIP[Investor ID],INVESTORS_LIST[[#This Row],[INVESTOR CODE]],SIP[B/S],"B")</f>
        <v>0</v>
      </c>
      <c r="X443" s="50">
        <f>SUMIFS(LS[BO UNIT TRANSFER],LS[Investor ID],INVESTORS_LIST[[#This Row],[INVESTOR CODE]],LS[B/S],"S")</f>
        <v>0</v>
      </c>
      <c r="Y443" s="50">
        <f>SUMIFS(SIP[BO UNIT TRANSFER],SIP[Investor ID],INVESTORS_LIST[[#This Row],[INVESTOR CODE]],SIP[B/S],"S")</f>
        <v>0</v>
      </c>
      <c r="Z443" s="106">
        <f>SUM(INVESTORS_LIST[[#This Row],[BO OPENING BALANCE]:[BO SIP UNITS REPURCHASE]])</f>
        <v>0</v>
      </c>
      <c r="AA443" s="107">
        <f>INVESTORS_LIST[[#This Row],[TOTAL UNITS BUY]]-INVESTORS_LIST[[#This Row],[TOTAL UNITS SOLD]]</f>
        <v>0</v>
      </c>
      <c r="AB443" s="107">
        <f>INVESTORS_LIST[[#This Row],[TOTAL CURRENT UNITS]]-INVESTORS_LIST[[#This Row],[BO UNITS HOLD]]</f>
        <v>0</v>
      </c>
      <c r="AC443" s="201" t="e">
        <f>INDEX([3]!Table_1[BO ID],MATCH(INVESTORS_LIST[[#This Row],[INVESTOR CODE]],[3]!Table_1[INVESTOR CODE],0))</f>
        <v>#REF!</v>
      </c>
      <c r="AD443" s="201" t="e">
        <f>INDEX([3]!Table_1[Brokerage Name2],MATCH(INVESTORS_LIST[[#This Row],[INVESTOR CODE]],[3]!Table_1[INVESTOR CODE],0))</f>
        <v>#REF!</v>
      </c>
      <c r="AE443" s="201" t="e">
        <f>MID(INVESTORS_LIST[[#This Row],[BO ID]],4,5)</f>
        <v>#REF!</v>
      </c>
      <c r="AF443" s="201" t="e">
        <f>MID(INVESTORS_LIST[[#This Row],[BO ID]],2,7)</f>
        <v>#REF!</v>
      </c>
      <c r="AG443" s="201" t="e">
        <f>MID(INVESTORS_LIST[[#This Row],[BO ID]],9,7)</f>
        <v>#REF!</v>
      </c>
      <c r="AH443" s="201" t="e">
        <f>RIGHT(INVESTORS_LIST[[#This Row],[BO ID]],1)</f>
        <v>#REF!</v>
      </c>
      <c r="AI443" s="50">
        <f>INVESTORS_LIST[[#This Row],[LS_TOTAL COST VALUE OF CURRENT UNITS]]+INVESTORS_LIST[[#This Row],[SIP_TOTAL COST VALUE OF CURRENT UNITS]]</f>
        <v>0</v>
      </c>
      <c r="AJ443" s="109">
        <f>IF(INVESTORS_LIST[[#This Row],[TOTAL CURRENT UNITS]]=0,0,INVESTORS_LIST[[#This Row],[LS_TOTAL CURRENT UNITS]]/INVESTORS_LIST[[#This Row],[TOTAL CURRENT UNITS]])</f>
        <v>0</v>
      </c>
      <c r="AK443" s="109">
        <f>IF(INVESTORS_LIST[[#This Row],[TOTAL CURRENT UNITS]]=0,0,INVESTORS_LIST[[#This Row],[SIP_TOTAL CURRENT UNITS]]/INVESTORS_LIST[[#This Row],[TOTAL CURRENT UNITS]])</f>
        <v>0</v>
      </c>
      <c r="AL443" s="49" cm="1">
        <f t="array" ref="AL4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3" s="49" cm="1">
        <f t="array" ref="AM4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3" s="105">
        <f t="shared" si="7"/>
        <v>14.224</v>
      </c>
      <c r="AP443" s="112">
        <f>IF(INVESTORS_LIST[[#This Row],[TOTAL CURRENT UNITS]]=0,0,INVESTORS_LIST[[#This Row],[TOTAL CURRENT UNITS]]*INVESTORS_LIST[[#This Row],[NAV]])</f>
        <v>0</v>
      </c>
      <c r="AQ443" s="49">
        <f>IF(INVESTORS_LIST[[#This Row],[LS_TOTAL CURRENT UNITS]]=0,0,INVESTORS_LIST[[#This Row],[LS_TOTAL CURRENT UNITS]]*INVESTORS_LIST[[#This Row],[NAV]])</f>
        <v>0</v>
      </c>
      <c r="AR443" s="48">
        <f>IF(INVESTORS_LIST[[#This Row],[SIP_TOTAL CURRENT UNITS]]=0,0,INVESTORS_LIST[[#This Row],[SIP_TOTAL CURRENT UNITS]]*INVESTORS_LIST[[#This Row],[NAV]])</f>
        <v>0</v>
      </c>
      <c r="AS443" s="50">
        <f>INVESTORS_LIST[[#This Row],[TOTAL CURRENT UNITS]]</f>
        <v>0</v>
      </c>
      <c r="AT443" s="48">
        <f>IF(INVESTORS_LIST[[#This Row],[TOTAL SELLABLE UNITS]]=0,0,INVESTORS_LIST[[#This Row],[TOTAL SELLABLE UNITS]]*INVESTORS_LIST[[#This Row],[NAV]])</f>
        <v>0</v>
      </c>
      <c r="AU443" s="48">
        <f>INVESTORS_LIST[[#This Row],[LS_TOTAL REALIZED GAIN]]+INVESTORS_LIST[[#This Row],[SIP_TOTAL REALIZED GAIN]]</f>
        <v>0</v>
      </c>
      <c r="AV443" s="48">
        <f>INVESTORS_LIST[[#This Row],[TOTAL MARKET VALUE]]-INVESTORS_LIST[[#This Row],[TOTAL COST VALUE OF CURRENT INVESTMENT]]</f>
        <v>0</v>
      </c>
      <c r="AW443" s="48">
        <f>IFERROR(INVESTORS_LIST[[#This Row],[TOTAL CURRENT UNITS]]/SUM(INVESTORS_LIST[TOTAL CURRENT UNITS]),0)</f>
        <v>0</v>
      </c>
    </row>
    <row r="444" spans="1:49" hidden="1">
      <c r="A444" s="262" t="s">
        <v>933</v>
      </c>
      <c r="B444" s="97" t="s">
        <v>934</v>
      </c>
      <c r="C444" t="s">
        <v>44</v>
      </c>
      <c r="D444" s="75" t="s">
        <v>45</v>
      </c>
      <c r="E444" s="47">
        <f>SUMIFS(LS[Unit],LS[Investor ID],INVESTORS_LIST[[#This Row],[INVESTOR CODE]],LS[B/S],"B")</f>
        <v>20000</v>
      </c>
      <c r="F444" s="47">
        <f>-SUMIFS(LS[Unit],LS[Investor ID],INVESTORS_LIST[[#This Row],[INVESTOR CODE]],LS[B/S],"S")</f>
        <v>20000</v>
      </c>
      <c r="G444" s="47">
        <f>IF(INVESTORS_LIST[[#This Row],[LS_TOTAL UNITS BUY]]=0,0,INVESTORS_LIST[[#This Row],[LS_TOTAL UNITS BUY]]-INVESTORS_LIST[[#This Row],[LS_TOTAL UNITS SOLD]])</f>
        <v>0</v>
      </c>
      <c r="H444" s="49">
        <f>IF(INVESTORS_LIST[[#This Row],[LS_TOTAL UNITS BUY]]=0,0,SUMIFS(LS[Amount],LS[Investor ID],INVESTORS_LIST[[#This Row],[INVESTOR CODE]],LS[B/S],"B"))</f>
        <v>200000</v>
      </c>
      <c r="I444" s="48">
        <f>IF(INVESTORS_LIST[[#This Row],[LS_TOTAL UNITS SOLD]]=0,0,SUMIFS(LS[Cost of Units Sold],LS[Investor ID],INVESTORS_LIST[[#This Row],[INVESTOR CODE]],LS[B/S],"S"))</f>
        <v>200000</v>
      </c>
      <c r="J444" s="48">
        <f>IF(INVESTORS_LIST[[#This Row],[LS_TOTAL CURRENT UNITS]]=0,0,INVESTORS_LIST[[#This Row],[LS_TOTAL CURRENT UNITS]]*INVESTORS_LIST[[#This Row],[LS_AVERAGE COST]])</f>
        <v>0</v>
      </c>
      <c r="K444" s="49">
        <f>IF(INVESTORS_LIST[[#This Row],[LS_TOTAL UNITS SOLD]]=0,0,SUMIFS(LS[Realized Gain],LS[Investor ID],INVESTORS_LIST[[#This Row],[INVESTOR CODE]],LS[B/S],"S"))</f>
        <v>17259.999999999993</v>
      </c>
      <c r="L444" s="47">
        <f>SUMIFS(SIP[Unit],SIP[Investor ID],INVESTORS_LIST[[#This Row],[INVESTOR CODE]],SIP[B/S],"B")</f>
        <v>0</v>
      </c>
      <c r="M444" s="47">
        <f>-SUMIFS(SIP[Unit],SIP[Investor ID],INVESTORS_LIST[[#This Row],[INVESTOR CODE]],SIP[B/S],"S")</f>
        <v>0</v>
      </c>
      <c r="N444" s="50">
        <f>IF(INVESTORS_LIST[[#This Row],[SIP_TOTAL UNITS BUY]]=0,0,INVESTORS_LIST[[#This Row],[SIP_TOTAL UNITS BUY]]-INVESTORS_LIST[[#This Row],[SIP_TOTAL UNITS SOLD]])</f>
        <v>0</v>
      </c>
      <c r="O444" s="49">
        <f>IF(INVESTORS_LIST[[#This Row],[SIP_TOTAL UNITS BUY]]=0,0,SUMIFS(SIP[Amount],SIP[Investor ID],INVESTORS_LIST[[#This Row],[INVESTOR CODE]],SIP[B/S],"B"))</f>
        <v>0</v>
      </c>
      <c r="P444" s="49">
        <f>IF(INVESTORS_LIST[[#This Row],[SIP_TOTAL UNITS SOLD]]=0,0,SUMIFS(SIP[Cost of Units Sold],SIP[Investor ID],INVESTORS_LIST[[#This Row],[INVESTOR CODE]],SIP[B/S],"S"))</f>
        <v>0</v>
      </c>
      <c r="Q444" s="48">
        <f>IF(INVESTORS_LIST[[#This Row],[SIP_TOTAL CURRENT UNITS]]=0,0,INVESTORS_LIST[[#This Row],[SIP_TOTAL CURRENT UNITS]]*INVESTORS_LIST[[#This Row],[SIP_AVERAGE COST]])</f>
        <v>0</v>
      </c>
      <c r="R444" s="48">
        <f>IF(INVESTORS_LIST[[#This Row],[SIP_TOTAL UNITS SOLD]]=0,0,SUMIFS(SIP[Realized Gain],SIP[Investor ID],INVESTORS_LIST[[#This Row],[INVESTOR CODE]],SIP[B/S],"S"))</f>
        <v>0</v>
      </c>
      <c r="S444" s="50">
        <f>INVESTORS_LIST[[#This Row],[LS_TOTAL UNITS BUY]]+INVESTORS_LIST[[#This Row],[SIP_TOTAL UNITS BUY]]</f>
        <v>20000</v>
      </c>
      <c r="T444" s="50">
        <f>INVESTORS_LIST[[#This Row],[LS_TOTAL UNITS SOLD]]+INVESTORS_LIST[[#This Row],[SIP_TOTAL UNITS SOLD]]</f>
        <v>20000</v>
      </c>
      <c r="U444" s="50"/>
      <c r="V444" s="50">
        <f>SUMIFS(LS[BO UNIT TRANSFER],LS[Investor ID],INVESTORS_LIST[[#This Row],[INVESTOR CODE]],LS[B/S],"B")</f>
        <v>0</v>
      </c>
      <c r="W444" s="50">
        <f>SUMIFS(SIP[BO UNIT TRANSFER],SIP[Investor ID],INVESTORS_LIST[[#This Row],[INVESTOR CODE]],SIP[B/S],"B")</f>
        <v>0</v>
      </c>
      <c r="X444" s="50">
        <f>SUMIFS(LS[BO UNIT TRANSFER],LS[Investor ID],INVESTORS_LIST[[#This Row],[INVESTOR CODE]],LS[B/S],"S")</f>
        <v>0</v>
      </c>
      <c r="Y444" s="50">
        <f>SUMIFS(SIP[BO UNIT TRANSFER],SIP[Investor ID],INVESTORS_LIST[[#This Row],[INVESTOR CODE]],SIP[B/S],"S")</f>
        <v>0</v>
      </c>
      <c r="Z444" s="106">
        <f>SUM(INVESTORS_LIST[[#This Row],[BO OPENING BALANCE]:[BO SIP UNITS REPURCHASE]])</f>
        <v>0</v>
      </c>
      <c r="AA444" s="107">
        <f>INVESTORS_LIST[[#This Row],[TOTAL UNITS BUY]]-INVESTORS_LIST[[#This Row],[TOTAL UNITS SOLD]]</f>
        <v>0</v>
      </c>
      <c r="AB444" s="107">
        <f>INVESTORS_LIST[[#This Row],[TOTAL CURRENT UNITS]]-INVESTORS_LIST[[#This Row],[BO UNITS HOLD]]</f>
        <v>0</v>
      </c>
      <c r="AC444" s="201" t="e">
        <f>INDEX([3]!Table_1[BO ID],MATCH(INVESTORS_LIST[[#This Row],[INVESTOR CODE]],[3]!Table_1[INVESTOR CODE],0))</f>
        <v>#REF!</v>
      </c>
      <c r="AD444" s="201" t="e">
        <f>INDEX([3]!Table_1[Brokerage Name2],MATCH(INVESTORS_LIST[[#This Row],[INVESTOR CODE]],[3]!Table_1[INVESTOR CODE],0))</f>
        <v>#REF!</v>
      </c>
      <c r="AE444" s="201" t="e">
        <f>MID(INVESTORS_LIST[[#This Row],[BO ID]],4,5)</f>
        <v>#REF!</v>
      </c>
      <c r="AF444" s="201" t="e">
        <f>MID(INVESTORS_LIST[[#This Row],[BO ID]],2,7)</f>
        <v>#REF!</v>
      </c>
      <c r="AG444" s="201" t="e">
        <f>MID(INVESTORS_LIST[[#This Row],[BO ID]],9,7)</f>
        <v>#REF!</v>
      </c>
      <c r="AH444" s="201" t="e">
        <f>RIGHT(INVESTORS_LIST[[#This Row],[BO ID]],1)</f>
        <v>#REF!</v>
      </c>
      <c r="AI444" s="50">
        <f>INVESTORS_LIST[[#This Row],[LS_TOTAL COST VALUE OF CURRENT UNITS]]+INVESTORS_LIST[[#This Row],[SIP_TOTAL COST VALUE OF CURRENT UNITS]]</f>
        <v>0</v>
      </c>
      <c r="AJ444" s="109">
        <f>IF(INVESTORS_LIST[[#This Row],[TOTAL CURRENT UNITS]]=0,0,INVESTORS_LIST[[#This Row],[LS_TOTAL CURRENT UNITS]]/INVESTORS_LIST[[#This Row],[TOTAL CURRENT UNITS]])</f>
        <v>0</v>
      </c>
      <c r="AK444" s="109">
        <f>IF(INVESTORS_LIST[[#This Row],[TOTAL CURRENT UNITS]]=0,0,INVESTORS_LIST[[#This Row],[SIP_TOTAL CURRENT UNITS]]/INVESTORS_LIST[[#This Row],[TOTAL CURRENT UNITS]])</f>
        <v>0</v>
      </c>
      <c r="AL444" s="49" cm="1">
        <f t="array" ref="AL4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4" s="49" cm="1">
        <f t="array" ref="AM4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4" s="105">
        <f t="shared" si="7"/>
        <v>14.224</v>
      </c>
      <c r="AP444" s="112">
        <f>IF(INVESTORS_LIST[[#This Row],[TOTAL CURRENT UNITS]]=0,0,INVESTORS_LIST[[#This Row],[TOTAL CURRENT UNITS]]*INVESTORS_LIST[[#This Row],[NAV]])</f>
        <v>0</v>
      </c>
      <c r="AQ444" s="49">
        <f>IF(INVESTORS_LIST[[#This Row],[LS_TOTAL CURRENT UNITS]]=0,0,INVESTORS_LIST[[#This Row],[LS_TOTAL CURRENT UNITS]]*INVESTORS_LIST[[#This Row],[NAV]])</f>
        <v>0</v>
      </c>
      <c r="AR444" s="48">
        <f>IF(INVESTORS_LIST[[#This Row],[SIP_TOTAL CURRENT UNITS]]=0,0,INVESTORS_LIST[[#This Row],[SIP_TOTAL CURRENT UNITS]]*INVESTORS_LIST[[#This Row],[NAV]])</f>
        <v>0</v>
      </c>
      <c r="AS444" s="50">
        <f>INVESTORS_LIST[[#This Row],[TOTAL CURRENT UNITS]]</f>
        <v>0</v>
      </c>
      <c r="AT444" s="48">
        <f>IF(INVESTORS_LIST[[#This Row],[TOTAL SELLABLE UNITS]]=0,0,INVESTORS_LIST[[#This Row],[TOTAL SELLABLE UNITS]]*INVESTORS_LIST[[#This Row],[NAV]])</f>
        <v>0</v>
      </c>
      <c r="AU444" s="48">
        <f>INVESTORS_LIST[[#This Row],[LS_TOTAL REALIZED GAIN]]+INVESTORS_LIST[[#This Row],[SIP_TOTAL REALIZED GAIN]]</f>
        <v>17259.999999999993</v>
      </c>
      <c r="AV444" s="48">
        <f>INVESTORS_LIST[[#This Row],[TOTAL MARKET VALUE]]-INVESTORS_LIST[[#This Row],[TOTAL COST VALUE OF CURRENT INVESTMENT]]</f>
        <v>0</v>
      </c>
      <c r="AW444" s="108">
        <f>IFERROR(INVESTORS_LIST[[#This Row],[TOTAL CURRENT UNITS]]/SUM(INVESTORS_LIST[TOTAL CURRENT UNITS]),0)</f>
        <v>0</v>
      </c>
    </row>
    <row r="445" spans="1:49">
      <c r="A445" s="262" t="s">
        <v>935</v>
      </c>
      <c r="B445" s="97" t="s">
        <v>936</v>
      </c>
      <c r="C445" t="s">
        <v>67</v>
      </c>
      <c r="D445" s="75" t="s">
        <v>45</v>
      </c>
      <c r="E445" s="47">
        <f>SUMIFS(LS[Unit],LS[Investor ID],INVESTORS_LIST[[#This Row],[INVESTOR CODE]],LS[B/S],"B")</f>
        <v>152804</v>
      </c>
      <c r="F445" s="47">
        <f>-SUMIFS(LS[Unit],LS[Investor ID],INVESTORS_LIST[[#This Row],[INVESTOR CODE]],LS[B/S],"S")</f>
        <v>150138</v>
      </c>
      <c r="G445" s="47">
        <f>IF(INVESTORS_LIST[[#This Row],[LS_TOTAL UNITS BUY]]=0,0,INVESTORS_LIST[[#This Row],[LS_TOTAL UNITS BUY]]-INVESTORS_LIST[[#This Row],[LS_TOTAL UNITS SOLD]])</f>
        <v>2666</v>
      </c>
      <c r="H445" s="49">
        <f>IF(INVESTORS_LIST[[#This Row],[LS_TOTAL UNITS BUY]]=0,0,SUMIFS(LS[Amount],LS[Investor ID],INVESTORS_LIST[[#This Row],[INVESTOR CODE]],LS[B/S],"B"))</f>
        <v>1600000</v>
      </c>
      <c r="I445" s="48">
        <f>IF(INVESTORS_LIST[[#This Row],[LS_TOTAL UNITS SOLD]]=0,0,SUMIFS(LS[Cost of Units Sold],LS[Investor ID],INVESTORS_LIST[[#This Row],[INVESTOR CODE]],LS[B/S],"S"))</f>
        <v>1570394.2254303165</v>
      </c>
      <c r="J445" s="48">
        <f>IF(INVESTORS_LIST[[#This Row],[LS_TOTAL CURRENT UNITS]]=0,0,INVESTORS_LIST[[#This Row],[LS_TOTAL CURRENT UNITS]]*INVESTORS_LIST[[#This Row],[LS_AVERAGE COST]])</f>
        <v>29605.774569683512</v>
      </c>
      <c r="K445" s="49">
        <f>IF(INVESTORS_LIST[[#This Row],[LS_TOTAL UNITS SOLD]]=0,0,SUMIFS(LS[Realized Gain],LS[Investor ID],INVESTORS_LIST[[#This Row],[INVESTOR CODE]],LS[B/S],"S"))</f>
        <v>96313.454569683527</v>
      </c>
      <c r="L445" s="47">
        <f>SUMIFS(SIP[Unit],SIP[Investor ID],INVESTORS_LIST[[#This Row],[INVESTOR CODE]],SIP[B/S],"B")</f>
        <v>1428</v>
      </c>
      <c r="M445" s="47">
        <f>-SUMIFS(SIP[Unit],SIP[Investor ID],INVESTORS_LIST[[#This Row],[INVESTOR CODE]],SIP[B/S],"S")</f>
        <v>0</v>
      </c>
      <c r="N445" s="50">
        <f>IF(INVESTORS_LIST[[#This Row],[SIP_TOTAL UNITS BUY]]=0,0,INVESTORS_LIST[[#This Row],[SIP_TOTAL UNITS BUY]]-INVESTORS_LIST[[#This Row],[SIP_TOTAL UNITS SOLD]])</f>
        <v>1428</v>
      </c>
      <c r="O445" s="49">
        <f>IF(INVESTORS_LIST[[#This Row],[SIP_TOTAL UNITS BUY]]=0,0,SUMIFS(SIP[Amount],SIP[Investor ID],INVESTORS_LIST[[#This Row],[INVESTOR CODE]],SIP[B/S],"B"))</f>
        <v>20000</v>
      </c>
      <c r="P445" s="49">
        <f>IF(INVESTORS_LIST[[#This Row],[SIP_TOTAL UNITS SOLD]]=0,0,SUMIFS(SIP[Cost of Units Sold],SIP[Investor ID],INVESTORS_LIST[[#This Row],[INVESTOR CODE]],SIP[B/S],"S"))</f>
        <v>0</v>
      </c>
      <c r="Q445" s="48">
        <f>IF(INVESTORS_LIST[[#This Row],[SIP_TOTAL CURRENT UNITS]]=0,0,INVESTORS_LIST[[#This Row],[SIP_TOTAL CURRENT UNITS]]*INVESTORS_LIST[[#This Row],[SIP_AVERAGE COST]])</f>
        <v>20000</v>
      </c>
      <c r="R445" s="48">
        <f>IF(INVESTORS_LIST[[#This Row],[SIP_TOTAL UNITS SOLD]]=0,0,SUMIFS(SIP[Realized Gain],SIP[Investor ID],INVESTORS_LIST[[#This Row],[INVESTOR CODE]],SIP[B/S],"S"))</f>
        <v>0</v>
      </c>
      <c r="S445" s="50">
        <f>INVESTORS_LIST[[#This Row],[LS_TOTAL UNITS BUY]]+INVESTORS_LIST[[#This Row],[SIP_TOTAL UNITS BUY]]</f>
        <v>154232</v>
      </c>
      <c r="T445" s="50">
        <f>INVESTORS_LIST[[#This Row],[LS_TOTAL UNITS SOLD]]+INVESTORS_LIST[[#This Row],[SIP_TOTAL UNITS SOLD]]</f>
        <v>150138</v>
      </c>
      <c r="U445" s="50">
        <v>107779</v>
      </c>
      <c r="V445" s="50">
        <f>SUMIFS(LS[BO UNIT TRANSFER],LS[Investor ID],INVESTORS_LIST[[#This Row],[INVESTOR CODE]],LS[B/S],"B")</f>
        <v>0</v>
      </c>
      <c r="W445" s="50">
        <f>SUMIFS(SIP[BO UNIT TRANSFER],SIP[Investor ID],INVESTORS_LIST[[#This Row],[INVESTOR CODE]],SIP[B/S],"B")</f>
        <v>0</v>
      </c>
      <c r="X445" s="50">
        <f>SUMIFS(LS[BO UNIT TRANSFER],LS[Investor ID],INVESTORS_LIST[[#This Row],[INVESTOR CODE]],LS[B/S],"S")</f>
        <v>0</v>
      </c>
      <c r="Y445" s="50">
        <f>SUMIFS(SIP[BO UNIT TRANSFER],SIP[Investor ID],INVESTORS_LIST[[#This Row],[INVESTOR CODE]],SIP[B/S],"S")</f>
        <v>0</v>
      </c>
      <c r="Z445" s="106">
        <f>SUM(INVESTORS_LIST[[#This Row],[BO OPENING BALANCE]:[BO SIP UNITS REPURCHASE]])</f>
        <v>107779</v>
      </c>
      <c r="AA445" s="107">
        <f>INVESTORS_LIST[[#This Row],[TOTAL UNITS BUY]]-INVESTORS_LIST[[#This Row],[TOTAL UNITS SOLD]]</f>
        <v>4094</v>
      </c>
      <c r="AB445" s="107">
        <f>INVESTORS_LIST[[#This Row],[TOTAL CURRENT UNITS]]-INVESTORS_LIST[[#This Row],[BO UNITS HOLD]]</f>
        <v>-103685</v>
      </c>
      <c r="AC445" s="201" t="e">
        <f>INDEX([3]!Table_1[BO ID],MATCH(INVESTORS_LIST[[#This Row],[INVESTOR CODE]],[3]!Table_1[INVESTOR CODE],0))</f>
        <v>#REF!</v>
      </c>
      <c r="AD445" s="201" t="e">
        <f>INDEX([3]!Table_1[Brokerage Name2],MATCH(INVESTORS_LIST[[#This Row],[INVESTOR CODE]],[3]!Table_1[INVESTOR CODE],0))</f>
        <v>#REF!</v>
      </c>
      <c r="AE445" s="201" t="e">
        <f>MID(INVESTORS_LIST[[#This Row],[BO ID]],4,5)</f>
        <v>#REF!</v>
      </c>
      <c r="AF445" s="201" t="e">
        <f>MID(INVESTORS_LIST[[#This Row],[BO ID]],2,7)</f>
        <v>#REF!</v>
      </c>
      <c r="AG445" s="201" t="e">
        <f>MID(INVESTORS_LIST[[#This Row],[BO ID]],9,7)</f>
        <v>#REF!</v>
      </c>
      <c r="AH445" s="201" t="e">
        <f>RIGHT(INVESTORS_LIST[[#This Row],[BO ID]],1)</f>
        <v>#REF!</v>
      </c>
      <c r="AI445" s="50">
        <f>INVESTORS_LIST[[#This Row],[LS_TOTAL COST VALUE OF CURRENT UNITS]]+INVESTORS_LIST[[#This Row],[SIP_TOTAL COST VALUE OF CURRENT UNITS]]</f>
        <v>49605.774569683512</v>
      </c>
      <c r="AJ445" s="109">
        <f>IF(INVESTORS_LIST[[#This Row],[TOTAL CURRENT UNITS]]=0,0,INVESTORS_LIST[[#This Row],[LS_TOTAL CURRENT UNITS]]/INVESTORS_LIST[[#This Row],[TOTAL CURRENT UNITS]])</f>
        <v>0.65119687347337563</v>
      </c>
      <c r="AK445" s="109">
        <f>IF(INVESTORS_LIST[[#This Row],[TOTAL CURRENT UNITS]]=0,0,INVESTORS_LIST[[#This Row],[SIP_TOTAL CURRENT UNITS]]/INVESTORS_LIST[[#This Row],[TOTAL CURRENT UNITS]])</f>
        <v>0.34880312652662432</v>
      </c>
      <c r="AL445" s="49" cm="1">
        <f t="array" ref="AL445">IF(INVESTORS_LIST[[#This Row],[LS_TOTAL UNITS BUY]]&gt;0,INDEX(LS[NAV at Cost (Average)],MATCH(CONCATENATE(COUNTIFS(LS[Investor ID],INVESTORS_LIST[[#This Row],[INVESTOR CODE]]),INVESTORS_LIST[[#This Row],[INVESTOR CODE]]),LS[Unique Code],0),),0)</f>
        <v>11.104941699056081</v>
      </c>
      <c r="AM445" s="49" cm="1">
        <f t="array" ref="AM445">IF(INVESTORS_LIST[[#This Row],[SIP_TOTAL UNITS BUY]]&gt;0,INDEX(SIP[NAV at Cost (Average)],MATCH(CONCATENATE(COUNTIFS(SIP[Investor ID],INVESTORS_LIST[[#This Row],[INVESTOR CODE]]),INVESTORS_LIST[[#This Row],[INVESTOR CODE]]),SIP[Unique Code],0),),0)</f>
        <v>14.005602240896359</v>
      </c>
      <c r="AN445" s="105">
        <f>IF(INVESTORS_LIST[[#This Row],[TOTAL CURRENT UNITS]]=0,0,(INVESTORS_LIST[[#This Row],[LS_WEIGHT]]*INVESTORS_LIST[[#This Row],[LS_AVERAGE COST]])+(INVESTORS_LIST[[#This Row],[SIP_WEIGHT]]*INVESTORS_LIST[[#This Row],[SIP_AVERAGE COST]]))</f>
        <v>12.116701165042381</v>
      </c>
      <c r="AO445" s="105">
        <f t="shared" si="7"/>
        <v>14.224</v>
      </c>
      <c r="AP445" s="112">
        <f>IF(INVESTORS_LIST[[#This Row],[TOTAL CURRENT UNITS]]=0,0,INVESTORS_LIST[[#This Row],[TOTAL CURRENT UNITS]]*INVESTORS_LIST[[#This Row],[NAV]])</f>
        <v>58233.056000000004</v>
      </c>
      <c r="AQ445" s="49">
        <f>IF(INVESTORS_LIST[[#This Row],[LS_TOTAL CURRENT UNITS]]=0,0,INVESTORS_LIST[[#This Row],[LS_TOTAL CURRENT UNITS]]*INVESTORS_LIST[[#This Row],[NAV]])</f>
        <v>37921.184000000001</v>
      </c>
      <c r="AR445" s="48">
        <f>IF(INVESTORS_LIST[[#This Row],[SIP_TOTAL CURRENT UNITS]]=0,0,INVESTORS_LIST[[#This Row],[SIP_TOTAL CURRENT UNITS]]*INVESTORS_LIST[[#This Row],[NAV]])</f>
        <v>20311.871999999999</v>
      </c>
      <c r="AS445" s="50">
        <f>INVESTORS_LIST[[#This Row],[TOTAL CURRENT UNITS]]</f>
        <v>4094</v>
      </c>
      <c r="AT445" s="48">
        <f>IF(INVESTORS_LIST[[#This Row],[TOTAL SELLABLE UNITS]]=0,0,INVESTORS_LIST[[#This Row],[TOTAL SELLABLE UNITS]]*INVESTORS_LIST[[#This Row],[NAV]])</f>
        <v>58233.056000000004</v>
      </c>
      <c r="AU445" s="48">
        <f>INVESTORS_LIST[[#This Row],[LS_TOTAL REALIZED GAIN]]+INVESTORS_LIST[[#This Row],[SIP_TOTAL REALIZED GAIN]]</f>
        <v>96313.454569683527</v>
      </c>
      <c r="AV445" s="48">
        <f>INVESTORS_LIST[[#This Row],[TOTAL MARKET VALUE]]-INVESTORS_LIST[[#This Row],[TOTAL COST VALUE OF CURRENT INVESTMENT]]</f>
        <v>8627.2814303164923</v>
      </c>
      <c r="AW445" s="108">
        <f>IFERROR(INVESTORS_LIST[[#This Row],[TOTAL CURRENT UNITS]]/SUM(INVESTORS_LIST[TOTAL CURRENT UNITS]),0)</f>
        <v>9.9386795126648375E-5</v>
      </c>
    </row>
    <row r="446" spans="1:49" hidden="1">
      <c r="A446" s="262" t="s">
        <v>937</v>
      </c>
      <c r="B446" s="97" t="s">
        <v>938</v>
      </c>
      <c r="C446" t="s">
        <v>44</v>
      </c>
      <c r="D446" s="75" t="s">
        <v>45</v>
      </c>
      <c r="E446" s="47">
        <f>SUMIFS(LS[Unit],LS[Investor ID],INVESTORS_LIST[[#This Row],[INVESTOR CODE]],LS[B/S],"B")</f>
        <v>100000</v>
      </c>
      <c r="F446" s="47">
        <f>-SUMIFS(LS[Unit],LS[Investor ID],INVESTORS_LIST[[#This Row],[INVESTOR CODE]],LS[B/S],"S")</f>
        <v>100000</v>
      </c>
      <c r="G446" s="47">
        <f>IF(INVESTORS_LIST[[#This Row],[LS_TOTAL UNITS BUY]]=0,0,INVESTORS_LIST[[#This Row],[LS_TOTAL UNITS BUY]]-INVESTORS_LIST[[#This Row],[LS_TOTAL UNITS SOLD]])</f>
        <v>0</v>
      </c>
      <c r="H446" s="49">
        <f>IF(INVESTORS_LIST[[#This Row],[LS_TOTAL UNITS BUY]]=0,0,SUMIFS(LS[Amount],LS[Investor ID],INVESTORS_LIST[[#This Row],[INVESTOR CODE]],LS[B/S],"B"))</f>
        <v>1000000</v>
      </c>
      <c r="I446" s="48">
        <f>IF(INVESTORS_LIST[[#This Row],[LS_TOTAL UNITS SOLD]]=0,0,SUMIFS(LS[Cost of Units Sold],LS[Investor ID],INVESTORS_LIST[[#This Row],[INVESTOR CODE]],LS[B/S],"S"))</f>
        <v>1000000</v>
      </c>
      <c r="J446" s="48">
        <f>IF(INVESTORS_LIST[[#This Row],[LS_TOTAL CURRENT UNITS]]=0,0,INVESTORS_LIST[[#This Row],[LS_TOTAL CURRENT UNITS]]*INVESTORS_LIST[[#This Row],[LS_AVERAGE COST]])</f>
        <v>0</v>
      </c>
      <c r="K446" s="49">
        <f>IF(INVESTORS_LIST[[#This Row],[LS_TOTAL UNITS SOLD]]=0,0,SUMIFS(LS[Realized Gain],LS[Investor ID],INVESTORS_LIST[[#This Row],[INVESTOR CODE]],LS[B/S],"S"))</f>
        <v>84549.999999999942</v>
      </c>
      <c r="L446" s="47">
        <f>SUMIFS(SIP[Unit],SIP[Investor ID],INVESTORS_LIST[[#This Row],[INVESTOR CODE]],SIP[B/S],"B")</f>
        <v>0</v>
      </c>
      <c r="M446" s="47">
        <f>-SUMIFS(SIP[Unit],SIP[Investor ID],INVESTORS_LIST[[#This Row],[INVESTOR CODE]],SIP[B/S],"S")</f>
        <v>0</v>
      </c>
      <c r="N446" s="50">
        <f>IF(INVESTORS_LIST[[#This Row],[SIP_TOTAL UNITS BUY]]=0,0,INVESTORS_LIST[[#This Row],[SIP_TOTAL UNITS BUY]]-INVESTORS_LIST[[#This Row],[SIP_TOTAL UNITS SOLD]])</f>
        <v>0</v>
      </c>
      <c r="O446" s="49">
        <f>IF(INVESTORS_LIST[[#This Row],[SIP_TOTAL UNITS BUY]]=0,0,SUMIFS(SIP[Amount],SIP[Investor ID],INVESTORS_LIST[[#This Row],[INVESTOR CODE]],SIP[B/S],"B"))</f>
        <v>0</v>
      </c>
      <c r="P446" s="49">
        <f>IF(INVESTORS_LIST[[#This Row],[SIP_TOTAL UNITS SOLD]]=0,0,SUMIFS(SIP[Cost of Units Sold],SIP[Investor ID],INVESTORS_LIST[[#This Row],[INVESTOR CODE]],SIP[B/S],"S"))</f>
        <v>0</v>
      </c>
      <c r="Q446" s="48">
        <f>IF(INVESTORS_LIST[[#This Row],[SIP_TOTAL CURRENT UNITS]]=0,0,INVESTORS_LIST[[#This Row],[SIP_TOTAL CURRENT UNITS]]*INVESTORS_LIST[[#This Row],[SIP_AVERAGE COST]])</f>
        <v>0</v>
      </c>
      <c r="R446" s="48">
        <f>IF(INVESTORS_LIST[[#This Row],[SIP_TOTAL UNITS SOLD]]=0,0,SUMIFS(SIP[Realized Gain],SIP[Investor ID],INVESTORS_LIST[[#This Row],[INVESTOR CODE]],SIP[B/S],"S"))</f>
        <v>0</v>
      </c>
      <c r="S446" s="50">
        <f>INVESTORS_LIST[[#This Row],[LS_TOTAL UNITS BUY]]+INVESTORS_LIST[[#This Row],[SIP_TOTAL UNITS BUY]]</f>
        <v>100000</v>
      </c>
      <c r="T446" s="50">
        <f>INVESTORS_LIST[[#This Row],[LS_TOTAL UNITS SOLD]]+INVESTORS_LIST[[#This Row],[SIP_TOTAL UNITS SOLD]]</f>
        <v>100000</v>
      </c>
      <c r="U446" s="50"/>
      <c r="V446" s="50">
        <f>SUMIFS(LS[BO UNIT TRANSFER],LS[Investor ID],INVESTORS_LIST[[#This Row],[INVESTOR CODE]],LS[B/S],"B")</f>
        <v>0</v>
      </c>
      <c r="W446" s="50">
        <f>SUMIFS(SIP[BO UNIT TRANSFER],SIP[Investor ID],INVESTORS_LIST[[#This Row],[INVESTOR CODE]],SIP[B/S],"B")</f>
        <v>0</v>
      </c>
      <c r="X446" s="50">
        <f>SUMIFS(LS[BO UNIT TRANSFER],LS[Investor ID],INVESTORS_LIST[[#This Row],[INVESTOR CODE]],LS[B/S],"S")</f>
        <v>0</v>
      </c>
      <c r="Y446" s="50">
        <f>SUMIFS(SIP[BO UNIT TRANSFER],SIP[Investor ID],INVESTORS_LIST[[#This Row],[INVESTOR CODE]],SIP[B/S],"S")</f>
        <v>0</v>
      </c>
      <c r="Z446" s="106">
        <f>SUM(INVESTORS_LIST[[#This Row],[BO OPENING BALANCE]:[BO SIP UNITS REPURCHASE]])</f>
        <v>0</v>
      </c>
      <c r="AA446" s="107">
        <f>INVESTORS_LIST[[#This Row],[TOTAL UNITS BUY]]-INVESTORS_LIST[[#This Row],[TOTAL UNITS SOLD]]</f>
        <v>0</v>
      </c>
      <c r="AB446" s="107">
        <f>INVESTORS_LIST[[#This Row],[TOTAL CURRENT UNITS]]-INVESTORS_LIST[[#This Row],[BO UNITS HOLD]]</f>
        <v>0</v>
      </c>
      <c r="AC446" s="201" t="e">
        <f>INDEX([3]!Table_1[BO ID],MATCH(INVESTORS_LIST[[#This Row],[INVESTOR CODE]],[3]!Table_1[INVESTOR CODE],0))</f>
        <v>#REF!</v>
      </c>
      <c r="AD446" s="201" t="e">
        <f>INDEX([3]!Table_1[Brokerage Name2],MATCH(INVESTORS_LIST[[#This Row],[INVESTOR CODE]],[3]!Table_1[INVESTOR CODE],0))</f>
        <v>#REF!</v>
      </c>
      <c r="AE446" s="201" t="e">
        <f>MID(INVESTORS_LIST[[#This Row],[BO ID]],4,5)</f>
        <v>#REF!</v>
      </c>
      <c r="AF446" s="201" t="e">
        <f>MID(INVESTORS_LIST[[#This Row],[BO ID]],2,7)</f>
        <v>#REF!</v>
      </c>
      <c r="AG446" s="201" t="e">
        <f>MID(INVESTORS_LIST[[#This Row],[BO ID]],9,7)</f>
        <v>#REF!</v>
      </c>
      <c r="AH446" s="201" t="e">
        <f>RIGHT(INVESTORS_LIST[[#This Row],[BO ID]],1)</f>
        <v>#REF!</v>
      </c>
      <c r="AI446" s="50">
        <f>INVESTORS_LIST[[#This Row],[LS_TOTAL COST VALUE OF CURRENT UNITS]]+INVESTORS_LIST[[#This Row],[SIP_TOTAL COST VALUE OF CURRENT UNITS]]</f>
        <v>0</v>
      </c>
      <c r="AJ446" s="109">
        <f>IF(INVESTORS_LIST[[#This Row],[TOTAL CURRENT UNITS]]=0,0,INVESTORS_LIST[[#This Row],[LS_TOTAL CURRENT UNITS]]/INVESTORS_LIST[[#This Row],[TOTAL CURRENT UNITS]])</f>
        <v>0</v>
      </c>
      <c r="AK446" s="109">
        <f>IF(INVESTORS_LIST[[#This Row],[TOTAL CURRENT UNITS]]=0,0,INVESTORS_LIST[[#This Row],[SIP_TOTAL CURRENT UNITS]]/INVESTORS_LIST[[#This Row],[TOTAL CURRENT UNITS]])</f>
        <v>0</v>
      </c>
      <c r="AL446" s="49" cm="1">
        <f t="array" ref="AL4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46" s="49" cm="1">
        <f t="array" ref="AM4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46" s="105">
        <f t="shared" si="7"/>
        <v>14.224</v>
      </c>
      <c r="AP446" s="112">
        <f>IF(INVESTORS_LIST[[#This Row],[TOTAL CURRENT UNITS]]=0,0,INVESTORS_LIST[[#This Row],[TOTAL CURRENT UNITS]]*INVESTORS_LIST[[#This Row],[NAV]])</f>
        <v>0</v>
      </c>
      <c r="AQ446" s="49">
        <f>IF(INVESTORS_LIST[[#This Row],[LS_TOTAL CURRENT UNITS]]=0,0,INVESTORS_LIST[[#This Row],[LS_TOTAL CURRENT UNITS]]*INVESTORS_LIST[[#This Row],[NAV]])</f>
        <v>0</v>
      </c>
      <c r="AR446" s="48">
        <f>IF(INVESTORS_LIST[[#This Row],[SIP_TOTAL CURRENT UNITS]]=0,0,INVESTORS_LIST[[#This Row],[SIP_TOTAL CURRENT UNITS]]*INVESTORS_LIST[[#This Row],[NAV]])</f>
        <v>0</v>
      </c>
      <c r="AS446" s="50">
        <f>INVESTORS_LIST[[#This Row],[TOTAL CURRENT UNITS]]</f>
        <v>0</v>
      </c>
      <c r="AT446" s="48">
        <f>IF(INVESTORS_LIST[[#This Row],[TOTAL SELLABLE UNITS]]=0,0,INVESTORS_LIST[[#This Row],[TOTAL SELLABLE UNITS]]*INVESTORS_LIST[[#This Row],[NAV]])</f>
        <v>0</v>
      </c>
      <c r="AU446" s="48">
        <f>INVESTORS_LIST[[#This Row],[LS_TOTAL REALIZED GAIN]]+INVESTORS_LIST[[#This Row],[SIP_TOTAL REALIZED GAIN]]</f>
        <v>84549.999999999942</v>
      </c>
      <c r="AV446" s="48">
        <f>INVESTORS_LIST[[#This Row],[TOTAL MARKET VALUE]]-INVESTORS_LIST[[#This Row],[TOTAL COST VALUE OF CURRENT INVESTMENT]]</f>
        <v>0</v>
      </c>
      <c r="AW446" s="108">
        <f>IFERROR(INVESTORS_LIST[[#This Row],[TOTAL CURRENT UNITS]]/SUM(INVESTORS_LIST[TOTAL CURRENT UNITS]),0)</f>
        <v>0</v>
      </c>
    </row>
    <row r="447" spans="1:49">
      <c r="A447" s="262" t="s">
        <v>939</v>
      </c>
      <c r="B447" s="97" t="s">
        <v>940</v>
      </c>
      <c r="C447" t="s">
        <v>44</v>
      </c>
      <c r="D447" s="75" t="s">
        <v>45</v>
      </c>
      <c r="E447" s="47">
        <f>SUMIFS(LS[Unit],LS[Investor ID],INVESTORS_LIST[[#This Row],[INVESTOR CODE]],LS[B/S],"B")</f>
        <v>20000</v>
      </c>
      <c r="F447" s="47">
        <f>-SUMIFS(LS[Unit],LS[Investor ID],INVESTORS_LIST[[#This Row],[INVESTOR CODE]],LS[B/S],"S")</f>
        <v>0</v>
      </c>
      <c r="G447" s="47">
        <f>IF(INVESTORS_LIST[[#This Row],[LS_TOTAL UNITS BUY]]=0,0,INVESTORS_LIST[[#This Row],[LS_TOTAL UNITS BUY]]-INVESTORS_LIST[[#This Row],[LS_TOTAL UNITS SOLD]])</f>
        <v>20000</v>
      </c>
      <c r="H447" s="49">
        <f>IF(INVESTORS_LIST[[#This Row],[LS_TOTAL UNITS BUY]]=0,0,SUMIFS(LS[Amount],LS[Investor ID],INVESTORS_LIST[[#This Row],[INVESTOR CODE]],LS[B/S],"B"))</f>
        <v>200000</v>
      </c>
      <c r="I447" s="48">
        <f>IF(INVESTORS_LIST[[#This Row],[LS_TOTAL UNITS SOLD]]=0,0,SUMIFS(LS[Cost of Units Sold],LS[Investor ID],INVESTORS_LIST[[#This Row],[INVESTOR CODE]],LS[B/S],"S"))</f>
        <v>0</v>
      </c>
      <c r="J447" s="48">
        <f>IF(INVESTORS_LIST[[#This Row],[LS_TOTAL CURRENT UNITS]]=0,0,INVESTORS_LIST[[#This Row],[LS_TOTAL CURRENT UNITS]]*INVESTORS_LIST[[#This Row],[LS_AVERAGE COST]])</f>
        <v>200000</v>
      </c>
      <c r="K447" s="49">
        <f>IF(INVESTORS_LIST[[#This Row],[LS_TOTAL UNITS SOLD]]=0,0,SUMIFS(LS[Realized Gain],LS[Investor ID],INVESTORS_LIST[[#This Row],[INVESTOR CODE]],LS[B/S],"S"))</f>
        <v>0</v>
      </c>
      <c r="L447" s="47">
        <f>SUMIFS(SIP[Unit],SIP[Investor ID],INVESTORS_LIST[[#This Row],[INVESTOR CODE]],SIP[B/S],"B")</f>
        <v>0</v>
      </c>
      <c r="M447" s="47">
        <f>-SUMIFS(SIP[Unit],SIP[Investor ID],INVESTORS_LIST[[#This Row],[INVESTOR CODE]],SIP[B/S],"S")</f>
        <v>0</v>
      </c>
      <c r="N447" s="50">
        <f>IF(INVESTORS_LIST[[#This Row],[SIP_TOTAL UNITS BUY]]=0,0,INVESTORS_LIST[[#This Row],[SIP_TOTAL UNITS BUY]]-INVESTORS_LIST[[#This Row],[SIP_TOTAL UNITS SOLD]])</f>
        <v>0</v>
      </c>
      <c r="O447" s="49">
        <f>IF(INVESTORS_LIST[[#This Row],[SIP_TOTAL UNITS BUY]]=0,0,SUMIFS(SIP[Amount],SIP[Investor ID],INVESTORS_LIST[[#This Row],[INVESTOR CODE]],SIP[B/S],"B"))</f>
        <v>0</v>
      </c>
      <c r="P447" s="49">
        <f>IF(INVESTORS_LIST[[#This Row],[SIP_TOTAL UNITS SOLD]]=0,0,SUMIFS(SIP[Cost of Units Sold],SIP[Investor ID],INVESTORS_LIST[[#This Row],[INVESTOR CODE]],SIP[B/S],"S"))</f>
        <v>0</v>
      </c>
      <c r="Q447" s="48">
        <f>IF(INVESTORS_LIST[[#This Row],[SIP_TOTAL CURRENT UNITS]]=0,0,INVESTORS_LIST[[#This Row],[SIP_TOTAL CURRENT UNITS]]*INVESTORS_LIST[[#This Row],[SIP_AVERAGE COST]])</f>
        <v>0</v>
      </c>
      <c r="R447" s="48">
        <f>IF(INVESTORS_LIST[[#This Row],[SIP_TOTAL UNITS SOLD]]=0,0,SUMIFS(SIP[Realized Gain],SIP[Investor ID],INVESTORS_LIST[[#This Row],[INVESTOR CODE]],SIP[B/S],"S"))</f>
        <v>0</v>
      </c>
      <c r="S447" s="50">
        <f>INVESTORS_LIST[[#This Row],[LS_TOTAL UNITS BUY]]+INVESTORS_LIST[[#This Row],[SIP_TOTAL UNITS BUY]]</f>
        <v>20000</v>
      </c>
      <c r="T447" s="50">
        <f>INVESTORS_LIST[[#This Row],[LS_TOTAL UNITS SOLD]]+INVESTORS_LIST[[#This Row],[SIP_TOTAL UNITS SOLD]]</f>
        <v>0</v>
      </c>
      <c r="U447" s="50">
        <v>20000</v>
      </c>
      <c r="V447" s="50">
        <f>SUMIFS(LS[BO UNIT TRANSFER],LS[Investor ID],INVESTORS_LIST[[#This Row],[INVESTOR CODE]],LS[B/S],"B")</f>
        <v>0</v>
      </c>
      <c r="W447" s="50">
        <f>SUMIFS(SIP[BO UNIT TRANSFER],SIP[Investor ID],INVESTORS_LIST[[#This Row],[INVESTOR CODE]],SIP[B/S],"B")</f>
        <v>0</v>
      </c>
      <c r="X447" s="50">
        <f>SUMIFS(LS[BO UNIT TRANSFER],LS[Investor ID],INVESTORS_LIST[[#This Row],[INVESTOR CODE]],LS[B/S],"S")</f>
        <v>0</v>
      </c>
      <c r="Y447" s="50">
        <f>SUMIFS(SIP[BO UNIT TRANSFER],SIP[Investor ID],INVESTORS_LIST[[#This Row],[INVESTOR CODE]],SIP[B/S],"S")</f>
        <v>0</v>
      </c>
      <c r="Z447" s="106">
        <f>SUM(INVESTORS_LIST[[#This Row],[BO OPENING BALANCE]:[BO SIP UNITS REPURCHASE]])</f>
        <v>20000</v>
      </c>
      <c r="AA447" s="107">
        <f>INVESTORS_LIST[[#This Row],[TOTAL UNITS BUY]]-INVESTORS_LIST[[#This Row],[TOTAL UNITS SOLD]]</f>
        <v>20000</v>
      </c>
      <c r="AB447" s="107">
        <f>INVESTORS_LIST[[#This Row],[TOTAL CURRENT UNITS]]-INVESTORS_LIST[[#This Row],[BO UNITS HOLD]]</f>
        <v>0</v>
      </c>
      <c r="AC447" s="201" t="e">
        <f>INDEX([3]!Table_1[BO ID],MATCH(INVESTORS_LIST[[#This Row],[INVESTOR CODE]],[3]!Table_1[INVESTOR CODE],0))</f>
        <v>#REF!</v>
      </c>
      <c r="AD447" s="201" t="e">
        <f>INDEX([3]!Table_1[Brokerage Name2],MATCH(INVESTORS_LIST[[#This Row],[INVESTOR CODE]],[3]!Table_1[INVESTOR CODE],0))</f>
        <v>#REF!</v>
      </c>
      <c r="AE447" s="201" t="e">
        <f>MID(INVESTORS_LIST[[#This Row],[BO ID]],4,5)</f>
        <v>#REF!</v>
      </c>
      <c r="AF447" s="201" t="e">
        <f>MID(INVESTORS_LIST[[#This Row],[BO ID]],2,7)</f>
        <v>#REF!</v>
      </c>
      <c r="AG447" s="201" t="e">
        <f>MID(INVESTORS_LIST[[#This Row],[BO ID]],9,7)</f>
        <v>#REF!</v>
      </c>
      <c r="AH447" s="201" t="e">
        <f>RIGHT(INVESTORS_LIST[[#This Row],[BO ID]],1)</f>
        <v>#REF!</v>
      </c>
      <c r="AI447" s="50">
        <f>INVESTORS_LIST[[#This Row],[LS_TOTAL COST VALUE OF CURRENT UNITS]]+INVESTORS_LIST[[#This Row],[SIP_TOTAL COST VALUE OF CURRENT UNITS]]</f>
        <v>200000</v>
      </c>
      <c r="AJ447" s="109">
        <f>IF(INVESTORS_LIST[[#This Row],[TOTAL CURRENT UNITS]]=0,0,INVESTORS_LIST[[#This Row],[LS_TOTAL CURRENT UNITS]]/INVESTORS_LIST[[#This Row],[TOTAL CURRENT UNITS]])</f>
        <v>1</v>
      </c>
      <c r="AK447" s="109">
        <f>IF(INVESTORS_LIST[[#This Row],[TOTAL CURRENT UNITS]]=0,0,INVESTORS_LIST[[#This Row],[SIP_TOTAL CURRENT UNITS]]/INVESTORS_LIST[[#This Row],[TOTAL CURRENT UNITS]])</f>
        <v>0</v>
      </c>
      <c r="AL447" s="49" cm="1">
        <f t="array" ref="AL447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447" s="49" cm="1">
        <f t="array" ref="AM4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7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447" s="105">
        <f t="shared" si="7"/>
        <v>14.224</v>
      </c>
      <c r="AP447" s="112">
        <f>IF(INVESTORS_LIST[[#This Row],[TOTAL CURRENT UNITS]]=0,0,INVESTORS_LIST[[#This Row],[TOTAL CURRENT UNITS]]*INVESTORS_LIST[[#This Row],[NAV]])</f>
        <v>284480</v>
      </c>
      <c r="AQ447" s="49">
        <f>IF(INVESTORS_LIST[[#This Row],[LS_TOTAL CURRENT UNITS]]=0,0,INVESTORS_LIST[[#This Row],[LS_TOTAL CURRENT UNITS]]*INVESTORS_LIST[[#This Row],[NAV]])</f>
        <v>284480</v>
      </c>
      <c r="AR447" s="48">
        <f>IF(INVESTORS_LIST[[#This Row],[SIP_TOTAL CURRENT UNITS]]=0,0,INVESTORS_LIST[[#This Row],[SIP_TOTAL CURRENT UNITS]]*INVESTORS_LIST[[#This Row],[NAV]])</f>
        <v>0</v>
      </c>
      <c r="AS447" s="50">
        <f>INVESTORS_LIST[[#This Row],[TOTAL CURRENT UNITS]]</f>
        <v>20000</v>
      </c>
      <c r="AT447" s="48">
        <f>IF(INVESTORS_LIST[[#This Row],[TOTAL SELLABLE UNITS]]=0,0,INVESTORS_LIST[[#This Row],[TOTAL SELLABLE UNITS]]*INVESTORS_LIST[[#This Row],[NAV]])</f>
        <v>284480</v>
      </c>
      <c r="AU447" s="48">
        <f>INVESTORS_LIST[[#This Row],[LS_TOTAL REALIZED GAIN]]+INVESTORS_LIST[[#This Row],[SIP_TOTAL REALIZED GAIN]]</f>
        <v>0</v>
      </c>
      <c r="AV447" s="48">
        <f>INVESTORS_LIST[[#This Row],[TOTAL MARKET VALUE]]-INVESTORS_LIST[[#This Row],[TOTAL COST VALUE OF CURRENT INVESTMENT]]</f>
        <v>84480</v>
      </c>
      <c r="AW447" s="108">
        <f>IFERROR(INVESTORS_LIST[[#This Row],[TOTAL CURRENT UNITS]]/SUM(INVESTORS_LIST[TOTAL CURRENT UNITS]),0)</f>
        <v>4.8552415792207313E-4</v>
      </c>
    </row>
    <row r="448" spans="1:49">
      <c r="A448" s="262" t="s">
        <v>941</v>
      </c>
      <c r="B448" s="97" t="s">
        <v>942</v>
      </c>
      <c r="C448" t="s">
        <v>67</v>
      </c>
      <c r="D448" s="75" t="s">
        <v>45</v>
      </c>
      <c r="E448" s="47">
        <f>SUMIFS(LS[Unit],LS[Investor ID],INVESTORS_LIST[[#This Row],[INVESTOR CODE]],LS[B/S],"B")</f>
        <v>236622</v>
      </c>
      <c r="F448" s="47">
        <f>-SUMIFS(LS[Unit],LS[Investor ID],INVESTORS_LIST[[#This Row],[INVESTOR CODE]],LS[B/S],"S")</f>
        <v>0</v>
      </c>
      <c r="G448" s="47">
        <f>IF(INVESTORS_LIST[[#This Row],[LS_TOTAL UNITS BUY]]=0,0,INVESTORS_LIST[[#This Row],[LS_TOTAL UNITS BUY]]-INVESTORS_LIST[[#This Row],[LS_TOTAL UNITS SOLD]])</f>
        <v>236622</v>
      </c>
      <c r="H448" s="49">
        <f>IF(INVESTORS_LIST[[#This Row],[LS_TOTAL UNITS BUY]]=0,0,SUMIFS(LS[Amount],LS[Investor ID],INVESTORS_LIST[[#This Row],[INVESTOR CODE]],LS[B/S],"B"))</f>
        <v>2500000</v>
      </c>
      <c r="I448" s="48">
        <f>IF(INVESTORS_LIST[[#This Row],[LS_TOTAL UNITS SOLD]]=0,0,SUMIFS(LS[Cost of Units Sold],LS[Investor ID],INVESTORS_LIST[[#This Row],[INVESTOR CODE]],LS[B/S],"S"))</f>
        <v>0</v>
      </c>
      <c r="J448" s="48">
        <f>IF(INVESTORS_LIST[[#This Row],[LS_TOTAL CURRENT UNITS]]=0,0,INVESTORS_LIST[[#This Row],[LS_TOTAL CURRENT UNITS]]*INVESTORS_LIST[[#This Row],[LS_AVERAGE COST]])</f>
        <v>2500000</v>
      </c>
      <c r="K448" s="49">
        <f>IF(INVESTORS_LIST[[#This Row],[LS_TOTAL UNITS SOLD]]=0,0,SUMIFS(LS[Realized Gain],LS[Investor ID],INVESTORS_LIST[[#This Row],[INVESTOR CODE]],LS[B/S],"S"))</f>
        <v>0</v>
      </c>
      <c r="L448" s="47">
        <f>SUMIFS(SIP[Unit],SIP[Investor ID],INVESTORS_LIST[[#This Row],[INVESTOR CODE]],SIP[B/S],"B")</f>
        <v>0</v>
      </c>
      <c r="M448" s="47">
        <f>-SUMIFS(SIP[Unit],SIP[Investor ID],INVESTORS_LIST[[#This Row],[INVESTOR CODE]],SIP[B/S],"S")</f>
        <v>0</v>
      </c>
      <c r="N448" s="50">
        <f>IF(INVESTORS_LIST[[#This Row],[SIP_TOTAL UNITS BUY]]=0,0,INVESTORS_LIST[[#This Row],[SIP_TOTAL UNITS BUY]]-INVESTORS_LIST[[#This Row],[SIP_TOTAL UNITS SOLD]])</f>
        <v>0</v>
      </c>
      <c r="O448" s="49">
        <f>IF(INVESTORS_LIST[[#This Row],[SIP_TOTAL UNITS BUY]]=0,0,SUMIFS(SIP[Amount],SIP[Investor ID],INVESTORS_LIST[[#This Row],[INVESTOR CODE]],SIP[B/S],"B"))</f>
        <v>0</v>
      </c>
      <c r="P448" s="49">
        <f>IF(INVESTORS_LIST[[#This Row],[SIP_TOTAL UNITS SOLD]]=0,0,SUMIFS(SIP[Cost of Units Sold],SIP[Investor ID],INVESTORS_LIST[[#This Row],[INVESTOR CODE]],SIP[B/S],"S"))</f>
        <v>0</v>
      </c>
      <c r="Q448" s="48">
        <f>IF(INVESTORS_LIST[[#This Row],[SIP_TOTAL CURRENT UNITS]]=0,0,INVESTORS_LIST[[#This Row],[SIP_TOTAL CURRENT UNITS]]*INVESTORS_LIST[[#This Row],[SIP_AVERAGE COST]])</f>
        <v>0</v>
      </c>
      <c r="R448" s="48">
        <f>IF(INVESTORS_LIST[[#This Row],[SIP_TOTAL UNITS SOLD]]=0,0,SUMIFS(SIP[Realized Gain],SIP[Investor ID],INVESTORS_LIST[[#This Row],[INVESTOR CODE]],SIP[B/S],"S"))</f>
        <v>0</v>
      </c>
      <c r="S448" s="50">
        <f>INVESTORS_LIST[[#This Row],[LS_TOTAL UNITS BUY]]+INVESTORS_LIST[[#This Row],[SIP_TOTAL UNITS BUY]]</f>
        <v>236622</v>
      </c>
      <c r="T448" s="50">
        <f>INVESTORS_LIST[[#This Row],[LS_TOTAL UNITS SOLD]]+INVESTORS_LIST[[#This Row],[SIP_TOTAL UNITS SOLD]]</f>
        <v>0</v>
      </c>
      <c r="U448" s="50"/>
      <c r="V448" s="50">
        <f>SUMIFS(LS[BO UNIT TRANSFER],LS[Investor ID],INVESTORS_LIST[[#This Row],[INVESTOR CODE]],LS[B/S],"B")</f>
        <v>0</v>
      </c>
      <c r="W448" s="50">
        <f>SUMIFS(SIP[BO UNIT TRANSFER],SIP[Investor ID],INVESTORS_LIST[[#This Row],[INVESTOR CODE]],SIP[B/S],"B")</f>
        <v>0</v>
      </c>
      <c r="X448" s="50">
        <f>SUMIFS(LS[BO UNIT TRANSFER],LS[Investor ID],INVESTORS_LIST[[#This Row],[INVESTOR CODE]],LS[B/S],"S")</f>
        <v>0</v>
      </c>
      <c r="Y448" s="50">
        <f>SUMIFS(SIP[BO UNIT TRANSFER],SIP[Investor ID],INVESTORS_LIST[[#This Row],[INVESTOR CODE]],SIP[B/S],"S")</f>
        <v>0</v>
      </c>
      <c r="Z448" s="106">
        <f>SUM(INVESTORS_LIST[[#This Row],[BO OPENING BALANCE]:[BO SIP UNITS REPURCHASE]])</f>
        <v>0</v>
      </c>
      <c r="AA448" s="107">
        <f>INVESTORS_LIST[[#This Row],[TOTAL UNITS BUY]]-INVESTORS_LIST[[#This Row],[TOTAL UNITS SOLD]]</f>
        <v>236622</v>
      </c>
      <c r="AB448" s="107">
        <f>INVESTORS_LIST[[#This Row],[TOTAL CURRENT UNITS]]-INVESTORS_LIST[[#This Row],[BO UNITS HOLD]]</f>
        <v>236622</v>
      </c>
      <c r="AC448" s="201" t="e">
        <f>INDEX([3]!Table_1[BO ID],MATCH(INVESTORS_LIST[[#This Row],[INVESTOR CODE]],[3]!Table_1[INVESTOR CODE],0))</f>
        <v>#REF!</v>
      </c>
      <c r="AD448" s="201" t="e">
        <f>INDEX([3]!Table_1[Brokerage Name2],MATCH(INVESTORS_LIST[[#This Row],[INVESTOR CODE]],[3]!Table_1[INVESTOR CODE],0))</f>
        <v>#REF!</v>
      </c>
      <c r="AE448" s="201" t="e">
        <f>MID(INVESTORS_LIST[[#This Row],[BO ID]],4,5)</f>
        <v>#REF!</v>
      </c>
      <c r="AF448" s="201" t="e">
        <f>MID(INVESTORS_LIST[[#This Row],[BO ID]],2,7)</f>
        <v>#REF!</v>
      </c>
      <c r="AG448" s="201" t="e">
        <f>MID(INVESTORS_LIST[[#This Row],[BO ID]],9,7)</f>
        <v>#REF!</v>
      </c>
      <c r="AH448" s="201" t="e">
        <f>RIGHT(INVESTORS_LIST[[#This Row],[BO ID]],1)</f>
        <v>#REF!</v>
      </c>
      <c r="AI448" s="50">
        <f>INVESTORS_LIST[[#This Row],[LS_TOTAL COST VALUE OF CURRENT UNITS]]+INVESTORS_LIST[[#This Row],[SIP_TOTAL COST VALUE OF CURRENT UNITS]]</f>
        <v>2500000</v>
      </c>
      <c r="AJ448" s="109">
        <f>IF(INVESTORS_LIST[[#This Row],[TOTAL CURRENT UNITS]]=0,0,INVESTORS_LIST[[#This Row],[LS_TOTAL CURRENT UNITS]]/INVESTORS_LIST[[#This Row],[TOTAL CURRENT UNITS]])</f>
        <v>1</v>
      </c>
      <c r="AK448" s="109">
        <f>IF(INVESTORS_LIST[[#This Row],[TOTAL CURRENT UNITS]]=0,0,INVESTORS_LIST[[#This Row],[SIP_TOTAL CURRENT UNITS]]/INVESTORS_LIST[[#This Row],[TOTAL CURRENT UNITS]])</f>
        <v>0</v>
      </c>
      <c r="AL448" s="49" cm="1">
        <f t="array" ref="AL448">IF(INVESTORS_LIST[[#This Row],[LS_TOTAL UNITS BUY]]&gt;0,INDEX(LS[NAV at Cost (Average)],MATCH(CONCATENATE(COUNTIFS(LS[Investor ID],INVESTORS_LIST[[#This Row],[INVESTOR CODE]]),INVESTORS_LIST[[#This Row],[INVESTOR CODE]]),LS[Unique Code],0),),0)</f>
        <v>10.565374310081058</v>
      </c>
      <c r="AM448" s="49" cm="1">
        <f t="array" ref="AM4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8" s="105">
        <f>IF(INVESTORS_LIST[[#This Row],[TOTAL CURRENT UNITS]]=0,0,(INVESTORS_LIST[[#This Row],[LS_WEIGHT]]*INVESTORS_LIST[[#This Row],[LS_AVERAGE COST]])+(INVESTORS_LIST[[#This Row],[SIP_WEIGHT]]*INVESTORS_LIST[[#This Row],[SIP_AVERAGE COST]]))</f>
        <v>10.565374310081058</v>
      </c>
      <c r="AO448" s="105">
        <f t="shared" si="7"/>
        <v>14.224</v>
      </c>
      <c r="AP448" s="112">
        <f>IF(INVESTORS_LIST[[#This Row],[TOTAL CURRENT UNITS]]=0,0,INVESTORS_LIST[[#This Row],[TOTAL CURRENT UNITS]]*INVESTORS_LIST[[#This Row],[NAV]])</f>
        <v>3365711.3280000002</v>
      </c>
      <c r="AQ448" s="49">
        <f>IF(INVESTORS_LIST[[#This Row],[LS_TOTAL CURRENT UNITS]]=0,0,INVESTORS_LIST[[#This Row],[LS_TOTAL CURRENT UNITS]]*INVESTORS_LIST[[#This Row],[NAV]])</f>
        <v>3365711.3280000002</v>
      </c>
      <c r="AR448" s="48">
        <f>IF(INVESTORS_LIST[[#This Row],[SIP_TOTAL CURRENT UNITS]]=0,0,INVESTORS_LIST[[#This Row],[SIP_TOTAL CURRENT UNITS]]*INVESTORS_LIST[[#This Row],[NAV]])</f>
        <v>0</v>
      </c>
      <c r="AS448" s="50">
        <f>INVESTORS_LIST[[#This Row],[TOTAL CURRENT UNITS]]</f>
        <v>236622</v>
      </c>
      <c r="AT448" s="48">
        <f>IF(INVESTORS_LIST[[#This Row],[TOTAL SELLABLE UNITS]]=0,0,INVESTORS_LIST[[#This Row],[TOTAL SELLABLE UNITS]]*INVESTORS_LIST[[#This Row],[NAV]])</f>
        <v>3365711.3280000002</v>
      </c>
      <c r="AU448" s="48">
        <f>INVESTORS_LIST[[#This Row],[LS_TOTAL REALIZED GAIN]]+INVESTORS_LIST[[#This Row],[SIP_TOTAL REALIZED GAIN]]</f>
        <v>0</v>
      </c>
      <c r="AV448" s="48">
        <f>INVESTORS_LIST[[#This Row],[TOTAL MARKET VALUE]]-INVESTORS_LIST[[#This Row],[TOTAL COST VALUE OF CURRENT INVESTMENT]]</f>
        <v>865711.32800000021</v>
      </c>
      <c r="AW448" s="108">
        <f>IFERROR(INVESTORS_LIST[[#This Row],[TOTAL CURRENT UNITS]]/SUM(INVESTORS_LIST[TOTAL CURRENT UNITS]),0)</f>
        <v>5.7442848647918394E-3</v>
      </c>
    </row>
    <row r="449" spans="1:49">
      <c r="A449" s="262" t="s">
        <v>943</v>
      </c>
      <c r="B449" s="97" t="s">
        <v>944</v>
      </c>
      <c r="C449" t="s">
        <v>44</v>
      </c>
      <c r="D449" s="75" t="s">
        <v>45</v>
      </c>
      <c r="E449" s="47">
        <f>SUMIFS(LS[Unit],LS[Investor ID],INVESTORS_LIST[[#This Row],[INVESTOR CODE]],LS[B/S],"B")</f>
        <v>29844826</v>
      </c>
      <c r="F449" s="47">
        <f>-SUMIFS(LS[Unit],LS[Investor ID],INVESTORS_LIST[[#This Row],[INVESTOR CODE]],LS[B/S],"S")</f>
        <v>23759021</v>
      </c>
      <c r="G449" s="47">
        <f>IF(INVESTORS_LIST[[#This Row],[LS_TOTAL UNITS BUY]]=0,0,INVESTORS_LIST[[#This Row],[LS_TOTAL UNITS BUY]]-INVESTORS_LIST[[#This Row],[LS_TOTAL UNITS SOLD]])</f>
        <v>6085805</v>
      </c>
      <c r="H449" s="49">
        <f>IF(INVESTORS_LIST[[#This Row],[LS_TOTAL UNITS BUY]]=0,0,SUMIFS(LS[Amount],LS[Investor ID],INVESTORS_LIST[[#This Row],[INVESTOR CODE]],LS[B/S],"B"))</f>
        <v>351000000</v>
      </c>
      <c r="I449" s="48">
        <f>IF(INVESTORS_LIST[[#This Row],[LS_TOTAL UNITS SOLD]]=0,0,SUMIFS(LS[Cost of Units Sold],LS[Investor ID],INVESTORS_LIST[[#This Row],[INVESTOR CODE]],LS[B/S],"S"))</f>
        <v>275632456.32555246</v>
      </c>
      <c r="J449" s="48">
        <f>IF(INVESTORS_LIST[[#This Row],[LS_TOTAL CURRENT UNITS]]=0,0,INVESTORS_LIST[[#This Row],[LS_TOTAL CURRENT UNITS]]*INVESTORS_LIST[[#This Row],[LS_AVERAGE COST]])</f>
        <v>75367543.674447522</v>
      </c>
      <c r="K449" s="49">
        <f>IF(INVESTORS_LIST[[#This Row],[LS_TOTAL UNITS SOLD]]=0,0,SUMIFS(LS[Realized Gain],LS[Investor ID],INVESTORS_LIST[[#This Row],[INVESTOR CODE]],LS[B/S],"S"))</f>
        <v>20236307.73444755</v>
      </c>
      <c r="L449" s="47">
        <f>SUMIFS(SIP[Unit],SIP[Investor ID],INVESTORS_LIST[[#This Row],[INVESTOR CODE]],SIP[B/S],"B")</f>
        <v>0</v>
      </c>
      <c r="M449" s="47">
        <f>-SUMIFS(SIP[Unit],SIP[Investor ID],INVESTORS_LIST[[#This Row],[INVESTOR CODE]],SIP[B/S],"S")</f>
        <v>0</v>
      </c>
      <c r="N449" s="50">
        <f>IF(INVESTORS_LIST[[#This Row],[SIP_TOTAL UNITS BUY]]=0,0,INVESTORS_LIST[[#This Row],[SIP_TOTAL UNITS BUY]]-INVESTORS_LIST[[#This Row],[SIP_TOTAL UNITS SOLD]])</f>
        <v>0</v>
      </c>
      <c r="O449" s="49">
        <f>IF(INVESTORS_LIST[[#This Row],[SIP_TOTAL UNITS BUY]]=0,0,SUMIFS(SIP[Amount],SIP[Investor ID],INVESTORS_LIST[[#This Row],[INVESTOR CODE]],SIP[B/S],"B"))</f>
        <v>0</v>
      </c>
      <c r="P449" s="49">
        <f>IF(INVESTORS_LIST[[#This Row],[SIP_TOTAL UNITS SOLD]]=0,0,SUMIFS(SIP[Cost of Units Sold],SIP[Investor ID],INVESTORS_LIST[[#This Row],[INVESTOR CODE]],SIP[B/S],"S"))</f>
        <v>0</v>
      </c>
      <c r="Q449" s="48">
        <f>IF(INVESTORS_LIST[[#This Row],[SIP_TOTAL CURRENT UNITS]]=0,0,INVESTORS_LIST[[#This Row],[SIP_TOTAL CURRENT UNITS]]*INVESTORS_LIST[[#This Row],[SIP_AVERAGE COST]])</f>
        <v>0</v>
      </c>
      <c r="R449" s="48">
        <f>IF(INVESTORS_LIST[[#This Row],[SIP_TOTAL UNITS SOLD]]=0,0,SUMIFS(SIP[Realized Gain],SIP[Investor ID],INVESTORS_LIST[[#This Row],[INVESTOR CODE]],SIP[B/S],"S"))</f>
        <v>0</v>
      </c>
      <c r="S449" s="50">
        <f>INVESTORS_LIST[[#This Row],[LS_TOTAL UNITS BUY]]+INVESTORS_LIST[[#This Row],[SIP_TOTAL UNITS BUY]]</f>
        <v>29844826</v>
      </c>
      <c r="T449" s="50">
        <f>INVESTORS_LIST[[#This Row],[LS_TOTAL UNITS SOLD]]+INVESTORS_LIST[[#This Row],[SIP_TOTAL UNITS SOLD]]</f>
        <v>23759021</v>
      </c>
      <c r="U449" s="50">
        <v>11469025</v>
      </c>
      <c r="V449" s="50">
        <f>SUMIFS(LS[BO UNIT TRANSFER],LS[Investor ID],INVESTORS_LIST[[#This Row],[INVESTOR CODE]],LS[B/S],"B")</f>
        <v>0</v>
      </c>
      <c r="W449" s="50">
        <f>SUMIFS(SIP[BO UNIT TRANSFER],SIP[Investor ID],INVESTORS_LIST[[#This Row],[INVESTOR CODE]],SIP[B/S],"B")</f>
        <v>0</v>
      </c>
      <c r="X449" s="50">
        <f>SUMIFS(LS[BO UNIT TRANSFER],LS[Investor ID],INVESTORS_LIST[[#This Row],[INVESTOR CODE]],LS[B/S],"S")</f>
        <v>0</v>
      </c>
      <c r="Y449" s="50">
        <f>SUMIFS(SIP[BO UNIT TRANSFER],SIP[Investor ID],INVESTORS_LIST[[#This Row],[INVESTOR CODE]],SIP[B/S],"S")</f>
        <v>0</v>
      </c>
      <c r="Z449" s="106">
        <f>SUM(INVESTORS_LIST[[#This Row],[BO OPENING BALANCE]:[BO SIP UNITS REPURCHASE]])</f>
        <v>11469025</v>
      </c>
      <c r="AA449" s="107">
        <f>INVESTORS_LIST[[#This Row],[TOTAL UNITS BUY]]-INVESTORS_LIST[[#This Row],[TOTAL UNITS SOLD]]</f>
        <v>6085805</v>
      </c>
      <c r="AB449" s="107">
        <f>INVESTORS_LIST[[#This Row],[TOTAL CURRENT UNITS]]-INVESTORS_LIST[[#This Row],[BO UNITS HOLD]]</f>
        <v>-5383220</v>
      </c>
      <c r="AC449" s="201" t="e">
        <f>INDEX([3]!Table_1[BO ID],MATCH(INVESTORS_LIST[[#This Row],[INVESTOR CODE]],[3]!Table_1[INVESTOR CODE],0))</f>
        <v>#REF!</v>
      </c>
      <c r="AD449" s="201" t="e">
        <f>INDEX([3]!Table_1[Brokerage Name2],MATCH(INVESTORS_LIST[[#This Row],[INVESTOR CODE]],[3]!Table_1[INVESTOR CODE],0))</f>
        <v>#REF!</v>
      </c>
      <c r="AE449" s="201" t="e">
        <f>MID(INVESTORS_LIST[[#This Row],[BO ID]],4,5)</f>
        <v>#REF!</v>
      </c>
      <c r="AF449" s="201" t="e">
        <f>MID(INVESTORS_LIST[[#This Row],[BO ID]],2,7)</f>
        <v>#REF!</v>
      </c>
      <c r="AG449" s="201" t="e">
        <f>MID(INVESTORS_LIST[[#This Row],[BO ID]],9,7)</f>
        <v>#REF!</v>
      </c>
      <c r="AH449" s="201" t="e">
        <f>RIGHT(INVESTORS_LIST[[#This Row],[BO ID]],1)</f>
        <v>#REF!</v>
      </c>
      <c r="AI449" s="50">
        <f>INVESTORS_LIST[[#This Row],[LS_TOTAL COST VALUE OF CURRENT UNITS]]+INVESTORS_LIST[[#This Row],[SIP_TOTAL COST VALUE OF CURRENT UNITS]]</f>
        <v>75367543.674447522</v>
      </c>
      <c r="AJ449" s="109">
        <f>IF(INVESTORS_LIST[[#This Row],[TOTAL CURRENT UNITS]]=0,0,INVESTORS_LIST[[#This Row],[LS_TOTAL CURRENT UNITS]]/INVESTORS_LIST[[#This Row],[TOTAL CURRENT UNITS]])</f>
        <v>1</v>
      </c>
      <c r="AK449" s="109">
        <f>IF(INVESTORS_LIST[[#This Row],[TOTAL CURRENT UNITS]]=0,0,INVESTORS_LIST[[#This Row],[SIP_TOTAL CURRENT UNITS]]/INVESTORS_LIST[[#This Row],[TOTAL CURRENT UNITS]])</f>
        <v>0</v>
      </c>
      <c r="AL449" s="49" cm="1">
        <f t="array" ref="AL449">IF(INVESTORS_LIST[[#This Row],[LS_TOTAL UNITS BUY]]&gt;0,INDEX(LS[NAV at Cost (Average)],MATCH(CONCATENATE(COUNTIFS(LS[Investor ID],INVESTORS_LIST[[#This Row],[INVESTOR CODE]]),INVESTORS_LIST[[#This Row],[INVESTOR CODE]]),LS[Unique Code],0),),0)</f>
        <v>12.384153562995779</v>
      </c>
      <c r="AM449" s="49" cm="1">
        <f t="array" ref="AM4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49" s="105">
        <f>IF(INVESTORS_LIST[[#This Row],[TOTAL CURRENT UNITS]]=0,0,(INVESTORS_LIST[[#This Row],[LS_WEIGHT]]*INVESTORS_LIST[[#This Row],[LS_AVERAGE COST]])+(INVESTORS_LIST[[#This Row],[SIP_WEIGHT]]*INVESTORS_LIST[[#This Row],[SIP_AVERAGE COST]]))</f>
        <v>12.384153562995779</v>
      </c>
      <c r="AO449" s="105">
        <f t="shared" si="7"/>
        <v>14.224</v>
      </c>
      <c r="AP449" s="112">
        <f>IF(INVESTORS_LIST[[#This Row],[TOTAL CURRENT UNITS]]=0,0,INVESTORS_LIST[[#This Row],[TOTAL CURRENT UNITS]]*INVESTORS_LIST[[#This Row],[NAV]])</f>
        <v>86564490.320000008</v>
      </c>
      <c r="AQ449" s="49">
        <f>IF(INVESTORS_LIST[[#This Row],[LS_TOTAL CURRENT UNITS]]=0,0,INVESTORS_LIST[[#This Row],[LS_TOTAL CURRENT UNITS]]*INVESTORS_LIST[[#This Row],[NAV]])</f>
        <v>86564490.320000008</v>
      </c>
      <c r="AR449" s="48">
        <f>IF(INVESTORS_LIST[[#This Row],[SIP_TOTAL CURRENT UNITS]]=0,0,INVESTORS_LIST[[#This Row],[SIP_TOTAL CURRENT UNITS]]*INVESTORS_LIST[[#This Row],[NAV]])</f>
        <v>0</v>
      </c>
      <c r="AS449" s="50">
        <f>INVESTORS_LIST[[#This Row],[TOTAL CURRENT UNITS]]</f>
        <v>6085805</v>
      </c>
      <c r="AT449" s="48">
        <f>IF(INVESTORS_LIST[[#This Row],[TOTAL SELLABLE UNITS]]=0,0,INVESTORS_LIST[[#This Row],[TOTAL SELLABLE UNITS]]*INVESTORS_LIST[[#This Row],[NAV]])</f>
        <v>86564490.320000008</v>
      </c>
      <c r="AU449" s="48">
        <f>INVESTORS_LIST[[#This Row],[LS_TOTAL REALIZED GAIN]]+INVESTORS_LIST[[#This Row],[SIP_TOTAL REALIZED GAIN]]</f>
        <v>20236307.73444755</v>
      </c>
      <c r="AV449" s="48">
        <f>INVESTORS_LIST[[#This Row],[TOTAL MARKET VALUE]]-INVESTORS_LIST[[#This Row],[TOTAL COST VALUE OF CURRENT INVESTMENT]]</f>
        <v>11196946.645552486</v>
      </c>
      <c r="AW449" s="108">
        <f>IFERROR(INVESTORS_LIST[[#This Row],[TOTAL CURRENT UNITS]]/SUM(INVESTORS_LIST[TOTAL CURRENT UNITS]),0)</f>
        <v>0.14774026739514712</v>
      </c>
    </row>
    <row r="450" spans="1:49" hidden="1">
      <c r="A450" s="262" t="s">
        <v>945</v>
      </c>
      <c r="B450" s="97" t="s">
        <v>946</v>
      </c>
      <c r="C450" t="s">
        <v>67</v>
      </c>
      <c r="D450" s="75" t="s">
        <v>45</v>
      </c>
      <c r="E450" s="47">
        <f>SUMIFS(LS[Unit],LS[Investor ID],INVESTORS_LIST[[#This Row],[INVESTOR CODE]],LS[B/S],"B")</f>
        <v>50000</v>
      </c>
      <c r="F450" s="47">
        <f>-SUMIFS(LS[Unit],LS[Investor ID],INVESTORS_LIST[[#This Row],[INVESTOR CODE]],LS[B/S],"S")</f>
        <v>50000</v>
      </c>
      <c r="G450" s="47">
        <f>IF(INVESTORS_LIST[[#This Row],[LS_TOTAL UNITS BUY]]=0,0,INVESTORS_LIST[[#This Row],[LS_TOTAL UNITS BUY]]-INVESTORS_LIST[[#This Row],[LS_TOTAL UNITS SOLD]])</f>
        <v>0</v>
      </c>
      <c r="H450" s="49">
        <f>IF(INVESTORS_LIST[[#This Row],[LS_TOTAL UNITS BUY]]=0,0,SUMIFS(LS[Amount],LS[Investor ID],INVESTORS_LIST[[#This Row],[INVESTOR CODE]],LS[B/S],"B"))</f>
        <v>500000</v>
      </c>
      <c r="I450" s="48">
        <f>IF(INVESTORS_LIST[[#This Row],[LS_TOTAL UNITS SOLD]]=0,0,SUMIFS(LS[Cost of Units Sold],LS[Investor ID],INVESTORS_LIST[[#This Row],[INVESTOR CODE]],LS[B/S],"S"))</f>
        <v>500000</v>
      </c>
      <c r="J450" s="48">
        <f>IF(INVESTORS_LIST[[#This Row],[LS_TOTAL CURRENT UNITS]]=0,0,INVESTORS_LIST[[#This Row],[LS_TOTAL CURRENT UNITS]]*INVESTORS_LIST[[#This Row],[LS_AVERAGE COST]])</f>
        <v>0</v>
      </c>
      <c r="K450" s="49">
        <f>IF(INVESTORS_LIST[[#This Row],[LS_TOTAL UNITS SOLD]]=0,0,SUMIFS(LS[Realized Gain],LS[Investor ID],INVESTORS_LIST[[#This Row],[INVESTOR CODE]],LS[B/S],"S"))</f>
        <v>74249.999999999971</v>
      </c>
      <c r="L450" s="47">
        <f>SUMIFS(SIP[Unit],SIP[Investor ID],INVESTORS_LIST[[#This Row],[INVESTOR CODE]],SIP[B/S],"B")</f>
        <v>0</v>
      </c>
      <c r="M450" s="47">
        <f>-SUMIFS(SIP[Unit],SIP[Investor ID],INVESTORS_LIST[[#This Row],[INVESTOR CODE]],SIP[B/S],"S")</f>
        <v>0</v>
      </c>
      <c r="N450" s="50">
        <f>IF(INVESTORS_LIST[[#This Row],[SIP_TOTAL UNITS BUY]]=0,0,INVESTORS_LIST[[#This Row],[SIP_TOTAL UNITS BUY]]-INVESTORS_LIST[[#This Row],[SIP_TOTAL UNITS SOLD]])</f>
        <v>0</v>
      </c>
      <c r="O450" s="49">
        <f>IF(INVESTORS_LIST[[#This Row],[SIP_TOTAL UNITS BUY]]=0,0,SUMIFS(SIP[Amount],SIP[Investor ID],INVESTORS_LIST[[#This Row],[INVESTOR CODE]],SIP[B/S],"B"))</f>
        <v>0</v>
      </c>
      <c r="P450" s="49">
        <f>IF(INVESTORS_LIST[[#This Row],[SIP_TOTAL UNITS SOLD]]=0,0,SUMIFS(SIP[Cost of Units Sold],SIP[Investor ID],INVESTORS_LIST[[#This Row],[INVESTOR CODE]],SIP[B/S],"S"))</f>
        <v>0</v>
      </c>
      <c r="Q450" s="48">
        <f>IF(INVESTORS_LIST[[#This Row],[SIP_TOTAL CURRENT UNITS]]=0,0,INVESTORS_LIST[[#This Row],[SIP_TOTAL CURRENT UNITS]]*INVESTORS_LIST[[#This Row],[SIP_AVERAGE COST]])</f>
        <v>0</v>
      </c>
      <c r="R450" s="48">
        <f>IF(INVESTORS_LIST[[#This Row],[SIP_TOTAL UNITS SOLD]]=0,0,SUMIFS(SIP[Realized Gain],SIP[Investor ID],INVESTORS_LIST[[#This Row],[INVESTOR CODE]],SIP[B/S],"S"))</f>
        <v>0</v>
      </c>
      <c r="S450" s="50">
        <f>INVESTORS_LIST[[#This Row],[LS_TOTAL UNITS BUY]]+INVESTORS_LIST[[#This Row],[SIP_TOTAL UNITS BUY]]</f>
        <v>50000</v>
      </c>
      <c r="T450" s="50">
        <f>INVESTORS_LIST[[#This Row],[LS_TOTAL UNITS SOLD]]+INVESTORS_LIST[[#This Row],[SIP_TOTAL UNITS SOLD]]</f>
        <v>50000</v>
      </c>
      <c r="U450" s="50"/>
      <c r="V450" s="50">
        <f>SUMIFS(LS[BO UNIT TRANSFER],LS[Investor ID],INVESTORS_LIST[[#This Row],[INVESTOR CODE]],LS[B/S],"B")</f>
        <v>0</v>
      </c>
      <c r="W450" s="50">
        <f>SUMIFS(SIP[BO UNIT TRANSFER],SIP[Investor ID],INVESTORS_LIST[[#This Row],[INVESTOR CODE]],SIP[B/S],"B")</f>
        <v>0</v>
      </c>
      <c r="X450" s="50">
        <f>SUMIFS(LS[BO UNIT TRANSFER],LS[Investor ID],INVESTORS_LIST[[#This Row],[INVESTOR CODE]],LS[B/S],"S")</f>
        <v>0</v>
      </c>
      <c r="Y450" s="50">
        <f>SUMIFS(SIP[BO UNIT TRANSFER],SIP[Investor ID],INVESTORS_LIST[[#This Row],[INVESTOR CODE]],SIP[B/S],"S")</f>
        <v>0</v>
      </c>
      <c r="Z450" s="106">
        <f>SUM(INVESTORS_LIST[[#This Row],[BO OPENING BALANCE]:[BO SIP UNITS REPURCHASE]])</f>
        <v>0</v>
      </c>
      <c r="AA450" s="107">
        <f>INVESTORS_LIST[[#This Row],[TOTAL UNITS BUY]]-INVESTORS_LIST[[#This Row],[TOTAL UNITS SOLD]]</f>
        <v>0</v>
      </c>
      <c r="AB450" s="107">
        <f>INVESTORS_LIST[[#This Row],[TOTAL CURRENT UNITS]]-INVESTORS_LIST[[#This Row],[BO UNITS HOLD]]</f>
        <v>0</v>
      </c>
      <c r="AC450" s="201" t="e">
        <f>INDEX([3]!Table_1[BO ID],MATCH(INVESTORS_LIST[[#This Row],[INVESTOR CODE]],[3]!Table_1[INVESTOR CODE],0))</f>
        <v>#REF!</v>
      </c>
      <c r="AD450" s="201" t="e">
        <f>INDEX([3]!Table_1[Brokerage Name2],MATCH(INVESTORS_LIST[[#This Row],[INVESTOR CODE]],[3]!Table_1[INVESTOR CODE],0))</f>
        <v>#REF!</v>
      </c>
      <c r="AE450" s="201" t="e">
        <f>MID(INVESTORS_LIST[[#This Row],[BO ID]],4,5)</f>
        <v>#REF!</v>
      </c>
      <c r="AF450" s="201" t="e">
        <f>MID(INVESTORS_LIST[[#This Row],[BO ID]],2,7)</f>
        <v>#REF!</v>
      </c>
      <c r="AG450" s="201" t="e">
        <f>MID(INVESTORS_LIST[[#This Row],[BO ID]],9,7)</f>
        <v>#REF!</v>
      </c>
      <c r="AH450" s="201" t="e">
        <f>RIGHT(INVESTORS_LIST[[#This Row],[BO ID]],1)</f>
        <v>#REF!</v>
      </c>
      <c r="AI450" s="50">
        <f>INVESTORS_LIST[[#This Row],[LS_TOTAL COST VALUE OF CURRENT UNITS]]+INVESTORS_LIST[[#This Row],[SIP_TOTAL COST VALUE OF CURRENT UNITS]]</f>
        <v>0</v>
      </c>
      <c r="AJ450" s="109">
        <f>IF(INVESTORS_LIST[[#This Row],[TOTAL CURRENT UNITS]]=0,0,INVESTORS_LIST[[#This Row],[LS_TOTAL CURRENT UNITS]]/INVESTORS_LIST[[#This Row],[TOTAL CURRENT UNITS]])</f>
        <v>0</v>
      </c>
      <c r="AK450" s="109">
        <f>IF(INVESTORS_LIST[[#This Row],[TOTAL CURRENT UNITS]]=0,0,INVESTORS_LIST[[#This Row],[SIP_TOTAL CURRENT UNITS]]/INVESTORS_LIST[[#This Row],[TOTAL CURRENT UNITS]])</f>
        <v>0</v>
      </c>
      <c r="AL450" s="49" cm="1">
        <f t="array" ref="AL4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0" s="49" cm="1">
        <f t="array" ref="AM4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0" s="105">
        <f t="shared" si="7"/>
        <v>14.224</v>
      </c>
      <c r="AP450" s="112">
        <f>IF(INVESTORS_LIST[[#This Row],[TOTAL CURRENT UNITS]]=0,0,INVESTORS_LIST[[#This Row],[TOTAL CURRENT UNITS]]*INVESTORS_LIST[[#This Row],[NAV]])</f>
        <v>0</v>
      </c>
      <c r="AQ450" s="49">
        <f>IF(INVESTORS_LIST[[#This Row],[LS_TOTAL CURRENT UNITS]]=0,0,INVESTORS_LIST[[#This Row],[LS_TOTAL CURRENT UNITS]]*INVESTORS_LIST[[#This Row],[NAV]])</f>
        <v>0</v>
      </c>
      <c r="AR450" s="48">
        <f>IF(INVESTORS_LIST[[#This Row],[SIP_TOTAL CURRENT UNITS]]=0,0,INVESTORS_LIST[[#This Row],[SIP_TOTAL CURRENT UNITS]]*INVESTORS_LIST[[#This Row],[NAV]])</f>
        <v>0</v>
      </c>
      <c r="AS450" s="50">
        <f>INVESTORS_LIST[[#This Row],[TOTAL CURRENT UNITS]]</f>
        <v>0</v>
      </c>
      <c r="AT450" s="48">
        <f>IF(INVESTORS_LIST[[#This Row],[TOTAL SELLABLE UNITS]]=0,0,INVESTORS_LIST[[#This Row],[TOTAL SELLABLE UNITS]]*INVESTORS_LIST[[#This Row],[NAV]])</f>
        <v>0</v>
      </c>
      <c r="AU450" s="48">
        <f>INVESTORS_LIST[[#This Row],[LS_TOTAL REALIZED GAIN]]+INVESTORS_LIST[[#This Row],[SIP_TOTAL REALIZED GAIN]]</f>
        <v>74249.999999999971</v>
      </c>
      <c r="AV450" s="48">
        <f>INVESTORS_LIST[[#This Row],[TOTAL MARKET VALUE]]-INVESTORS_LIST[[#This Row],[TOTAL COST VALUE OF CURRENT INVESTMENT]]</f>
        <v>0</v>
      </c>
      <c r="AW450" s="108">
        <f>IFERROR(INVESTORS_LIST[[#This Row],[TOTAL CURRENT UNITS]]/SUM(INVESTORS_LIST[TOTAL CURRENT UNITS]),0)</f>
        <v>0</v>
      </c>
    </row>
    <row r="451" spans="1:49" hidden="1">
      <c r="A451" s="262" t="s">
        <v>947</v>
      </c>
      <c r="B451" s="97" t="s">
        <v>948</v>
      </c>
      <c r="C451" t="s">
        <v>44</v>
      </c>
      <c r="D451" s="75" t="s">
        <v>45</v>
      </c>
      <c r="E451" s="47">
        <f>SUMIFS(LS[Unit],LS[Investor ID],INVESTORS_LIST[[#This Row],[INVESTOR CODE]],LS[B/S],"B")</f>
        <v>5000</v>
      </c>
      <c r="F451" s="47">
        <f>-SUMIFS(LS[Unit],LS[Investor ID],INVESTORS_LIST[[#This Row],[INVESTOR CODE]],LS[B/S],"S")</f>
        <v>5000</v>
      </c>
      <c r="G451" s="47">
        <f>IF(INVESTORS_LIST[[#This Row],[LS_TOTAL UNITS BUY]]=0,0,INVESTORS_LIST[[#This Row],[LS_TOTAL UNITS BUY]]-INVESTORS_LIST[[#This Row],[LS_TOTAL UNITS SOLD]])</f>
        <v>0</v>
      </c>
      <c r="H451" s="49">
        <f>IF(INVESTORS_LIST[[#This Row],[LS_TOTAL UNITS BUY]]=0,0,SUMIFS(LS[Amount],LS[Investor ID],INVESTORS_LIST[[#This Row],[INVESTOR CODE]],LS[B/S],"B"))</f>
        <v>50000</v>
      </c>
      <c r="I451" s="48">
        <f>IF(INVESTORS_LIST[[#This Row],[LS_TOTAL UNITS SOLD]]=0,0,SUMIFS(LS[Cost of Units Sold],LS[Investor ID],INVESTORS_LIST[[#This Row],[INVESTOR CODE]],LS[B/S],"S"))</f>
        <v>50000</v>
      </c>
      <c r="J451" s="48">
        <f>IF(INVESTORS_LIST[[#This Row],[LS_TOTAL CURRENT UNITS]]=0,0,INVESTORS_LIST[[#This Row],[LS_TOTAL CURRENT UNITS]]*INVESTORS_LIST[[#This Row],[LS_AVERAGE COST]])</f>
        <v>0</v>
      </c>
      <c r="K451" s="49">
        <f>IF(INVESTORS_LIST[[#This Row],[LS_TOTAL UNITS SOLD]]=0,0,SUMIFS(LS[Realized Gain],LS[Investor ID],INVESTORS_LIST[[#This Row],[INVESTOR CODE]],LS[B/S],"S"))</f>
        <v>2975.0000000000032</v>
      </c>
      <c r="L451" s="47">
        <f>SUMIFS(SIP[Unit],SIP[Investor ID],INVESTORS_LIST[[#This Row],[INVESTOR CODE]],SIP[B/S],"B")</f>
        <v>0</v>
      </c>
      <c r="M451" s="47">
        <f>-SUMIFS(SIP[Unit],SIP[Investor ID],INVESTORS_LIST[[#This Row],[INVESTOR CODE]],SIP[B/S],"S")</f>
        <v>0</v>
      </c>
      <c r="N451" s="50">
        <f>IF(INVESTORS_LIST[[#This Row],[SIP_TOTAL UNITS BUY]]=0,0,INVESTORS_LIST[[#This Row],[SIP_TOTAL UNITS BUY]]-INVESTORS_LIST[[#This Row],[SIP_TOTAL UNITS SOLD]])</f>
        <v>0</v>
      </c>
      <c r="O451" s="49">
        <f>IF(INVESTORS_LIST[[#This Row],[SIP_TOTAL UNITS BUY]]=0,0,SUMIFS(SIP[Amount],SIP[Investor ID],INVESTORS_LIST[[#This Row],[INVESTOR CODE]],SIP[B/S],"B"))</f>
        <v>0</v>
      </c>
      <c r="P451" s="49">
        <f>IF(INVESTORS_LIST[[#This Row],[SIP_TOTAL UNITS SOLD]]=0,0,SUMIFS(SIP[Cost of Units Sold],SIP[Investor ID],INVESTORS_LIST[[#This Row],[INVESTOR CODE]],SIP[B/S],"S"))</f>
        <v>0</v>
      </c>
      <c r="Q451" s="48">
        <f>IF(INVESTORS_LIST[[#This Row],[SIP_TOTAL CURRENT UNITS]]=0,0,INVESTORS_LIST[[#This Row],[SIP_TOTAL CURRENT UNITS]]*INVESTORS_LIST[[#This Row],[SIP_AVERAGE COST]])</f>
        <v>0</v>
      </c>
      <c r="R451" s="48">
        <f>IF(INVESTORS_LIST[[#This Row],[SIP_TOTAL UNITS SOLD]]=0,0,SUMIFS(SIP[Realized Gain],SIP[Investor ID],INVESTORS_LIST[[#This Row],[INVESTOR CODE]],SIP[B/S],"S"))</f>
        <v>0</v>
      </c>
      <c r="S451" s="50">
        <f>INVESTORS_LIST[[#This Row],[LS_TOTAL UNITS BUY]]+INVESTORS_LIST[[#This Row],[SIP_TOTAL UNITS BUY]]</f>
        <v>5000</v>
      </c>
      <c r="T451" s="50">
        <f>INVESTORS_LIST[[#This Row],[LS_TOTAL UNITS SOLD]]+INVESTORS_LIST[[#This Row],[SIP_TOTAL UNITS SOLD]]</f>
        <v>5000</v>
      </c>
      <c r="U451" s="50"/>
      <c r="V451" s="50">
        <f>SUMIFS(LS[BO UNIT TRANSFER],LS[Investor ID],INVESTORS_LIST[[#This Row],[INVESTOR CODE]],LS[B/S],"B")</f>
        <v>0</v>
      </c>
      <c r="W451" s="50">
        <f>SUMIFS(SIP[BO UNIT TRANSFER],SIP[Investor ID],INVESTORS_LIST[[#This Row],[INVESTOR CODE]],SIP[B/S],"B")</f>
        <v>0</v>
      </c>
      <c r="X451" s="50">
        <f>SUMIFS(LS[BO UNIT TRANSFER],LS[Investor ID],INVESTORS_LIST[[#This Row],[INVESTOR CODE]],LS[B/S],"S")</f>
        <v>0</v>
      </c>
      <c r="Y451" s="50">
        <f>SUMIFS(SIP[BO UNIT TRANSFER],SIP[Investor ID],INVESTORS_LIST[[#This Row],[INVESTOR CODE]],SIP[B/S],"S")</f>
        <v>0</v>
      </c>
      <c r="Z451" s="106">
        <f>SUM(INVESTORS_LIST[[#This Row],[BO OPENING BALANCE]:[BO SIP UNITS REPURCHASE]])</f>
        <v>0</v>
      </c>
      <c r="AA451" s="107">
        <f>INVESTORS_LIST[[#This Row],[TOTAL UNITS BUY]]-INVESTORS_LIST[[#This Row],[TOTAL UNITS SOLD]]</f>
        <v>0</v>
      </c>
      <c r="AB451" s="107">
        <f>INVESTORS_LIST[[#This Row],[TOTAL CURRENT UNITS]]-INVESTORS_LIST[[#This Row],[BO UNITS HOLD]]</f>
        <v>0</v>
      </c>
      <c r="AC451" s="201" t="e">
        <f>INDEX([3]!Table_1[BO ID],MATCH(INVESTORS_LIST[[#This Row],[INVESTOR CODE]],[3]!Table_1[INVESTOR CODE],0))</f>
        <v>#REF!</v>
      </c>
      <c r="AD451" s="201" t="e">
        <f>INDEX([3]!Table_1[Brokerage Name2],MATCH(INVESTORS_LIST[[#This Row],[INVESTOR CODE]],[3]!Table_1[INVESTOR CODE],0))</f>
        <v>#REF!</v>
      </c>
      <c r="AE451" s="201" t="e">
        <f>MID(INVESTORS_LIST[[#This Row],[BO ID]],4,5)</f>
        <v>#REF!</v>
      </c>
      <c r="AF451" s="201" t="e">
        <f>MID(INVESTORS_LIST[[#This Row],[BO ID]],2,7)</f>
        <v>#REF!</v>
      </c>
      <c r="AG451" s="201" t="e">
        <f>MID(INVESTORS_LIST[[#This Row],[BO ID]],9,7)</f>
        <v>#REF!</v>
      </c>
      <c r="AH451" s="201" t="e">
        <f>RIGHT(INVESTORS_LIST[[#This Row],[BO ID]],1)</f>
        <v>#REF!</v>
      </c>
      <c r="AI451" s="50">
        <f>INVESTORS_LIST[[#This Row],[LS_TOTAL COST VALUE OF CURRENT UNITS]]+INVESTORS_LIST[[#This Row],[SIP_TOTAL COST VALUE OF CURRENT UNITS]]</f>
        <v>0</v>
      </c>
      <c r="AJ451" s="109">
        <f>IF(INVESTORS_LIST[[#This Row],[TOTAL CURRENT UNITS]]=0,0,INVESTORS_LIST[[#This Row],[LS_TOTAL CURRENT UNITS]]/INVESTORS_LIST[[#This Row],[TOTAL CURRENT UNITS]])</f>
        <v>0</v>
      </c>
      <c r="AK451" s="109">
        <f>IF(INVESTORS_LIST[[#This Row],[TOTAL CURRENT UNITS]]=0,0,INVESTORS_LIST[[#This Row],[SIP_TOTAL CURRENT UNITS]]/INVESTORS_LIST[[#This Row],[TOTAL CURRENT UNITS]])</f>
        <v>0</v>
      </c>
      <c r="AL451" s="49" cm="1">
        <f t="array" ref="AL4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1" s="49" cm="1">
        <f t="array" ref="AM4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1" s="105">
        <f t="shared" ref="AO451:AO514" si="8">NAV_MKT</f>
        <v>14.224</v>
      </c>
      <c r="AP451" s="112">
        <f>IF(INVESTORS_LIST[[#This Row],[TOTAL CURRENT UNITS]]=0,0,INVESTORS_LIST[[#This Row],[TOTAL CURRENT UNITS]]*INVESTORS_LIST[[#This Row],[NAV]])</f>
        <v>0</v>
      </c>
      <c r="AQ451" s="49">
        <f>IF(INVESTORS_LIST[[#This Row],[LS_TOTAL CURRENT UNITS]]=0,0,INVESTORS_LIST[[#This Row],[LS_TOTAL CURRENT UNITS]]*INVESTORS_LIST[[#This Row],[NAV]])</f>
        <v>0</v>
      </c>
      <c r="AR451" s="48">
        <f>IF(INVESTORS_LIST[[#This Row],[SIP_TOTAL CURRENT UNITS]]=0,0,INVESTORS_LIST[[#This Row],[SIP_TOTAL CURRENT UNITS]]*INVESTORS_LIST[[#This Row],[NAV]])</f>
        <v>0</v>
      </c>
      <c r="AS451" s="50">
        <f>INVESTORS_LIST[[#This Row],[TOTAL CURRENT UNITS]]</f>
        <v>0</v>
      </c>
      <c r="AT451" s="48">
        <f>IF(INVESTORS_LIST[[#This Row],[TOTAL SELLABLE UNITS]]=0,0,INVESTORS_LIST[[#This Row],[TOTAL SELLABLE UNITS]]*INVESTORS_LIST[[#This Row],[NAV]])</f>
        <v>0</v>
      </c>
      <c r="AU451" s="48">
        <f>INVESTORS_LIST[[#This Row],[LS_TOTAL REALIZED GAIN]]+INVESTORS_LIST[[#This Row],[SIP_TOTAL REALIZED GAIN]]</f>
        <v>2975.0000000000032</v>
      </c>
      <c r="AV451" s="48">
        <f>INVESTORS_LIST[[#This Row],[TOTAL MARKET VALUE]]-INVESTORS_LIST[[#This Row],[TOTAL COST VALUE OF CURRENT INVESTMENT]]</f>
        <v>0</v>
      </c>
      <c r="AW451" s="108">
        <f>IFERROR(INVESTORS_LIST[[#This Row],[TOTAL CURRENT UNITS]]/SUM(INVESTORS_LIST[TOTAL CURRENT UNITS]),0)</f>
        <v>0</v>
      </c>
    </row>
    <row r="452" spans="1:49" hidden="1">
      <c r="A452" s="262" t="s">
        <v>949</v>
      </c>
      <c r="B452" s="97" t="s">
        <v>950</v>
      </c>
      <c r="C452" t="s">
        <v>48</v>
      </c>
      <c r="D452" s="75" t="s">
        <v>49</v>
      </c>
      <c r="E452" s="47">
        <f>SUMIFS(LS[Unit],LS[Investor ID],INVESTORS_LIST[[#This Row],[INVESTOR CODE]],LS[B/S],"B")</f>
        <v>150000</v>
      </c>
      <c r="F452" s="47">
        <f>-SUMIFS(LS[Unit],LS[Investor ID],INVESTORS_LIST[[#This Row],[INVESTOR CODE]],LS[B/S],"S")</f>
        <v>150000</v>
      </c>
      <c r="G452" s="47">
        <f>IF(INVESTORS_LIST[[#This Row],[LS_TOTAL UNITS BUY]]=0,0,INVESTORS_LIST[[#This Row],[LS_TOTAL UNITS BUY]]-INVESTORS_LIST[[#This Row],[LS_TOTAL UNITS SOLD]])</f>
        <v>0</v>
      </c>
      <c r="H452" s="49">
        <f>IF(INVESTORS_LIST[[#This Row],[LS_TOTAL UNITS BUY]]=0,0,SUMIFS(LS[Amount],LS[Investor ID],INVESTORS_LIST[[#This Row],[INVESTOR CODE]],LS[B/S],"B"))</f>
        <v>1500000</v>
      </c>
      <c r="I452" s="48">
        <f>IF(INVESTORS_LIST[[#This Row],[LS_TOTAL UNITS SOLD]]=0,0,SUMIFS(LS[Cost of Units Sold],LS[Investor ID],INVESTORS_LIST[[#This Row],[INVESTOR CODE]],LS[B/S],"S"))</f>
        <v>1500000</v>
      </c>
      <c r="J452" s="48">
        <f>IF(INVESTORS_LIST[[#This Row],[LS_TOTAL CURRENT UNITS]]=0,0,INVESTORS_LIST[[#This Row],[LS_TOTAL CURRENT UNITS]]*INVESTORS_LIST[[#This Row],[LS_AVERAGE COST]])</f>
        <v>0</v>
      </c>
      <c r="K452" s="49">
        <f>IF(INVESTORS_LIST[[#This Row],[LS_TOTAL UNITS SOLD]]=0,0,SUMIFS(LS[Realized Gain],LS[Investor ID],INVESTORS_LIST[[#This Row],[INVESTOR CODE]],LS[B/S],"S"))</f>
        <v>548249.99999999988</v>
      </c>
      <c r="L452" s="47">
        <f>SUMIFS(SIP[Unit],SIP[Investor ID],INVESTORS_LIST[[#This Row],[INVESTOR CODE]],SIP[B/S],"B")</f>
        <v>0</v>
      </c>
      <c r="M452" s="47">
        <f>-SUMIFS(SIP[Unit],SIP[Investor ID],INVESTORS_LIST[[#This Row],[INVESTOR CODE]],SIP[B/S],"S")</f>
        <v>0</v>
      </c>
      <c r="N452" s="50">
        <f>IF(INVESTORS_LIST[[#This Row],[SIP_TOTAL UNITS BUY]]=0,0,INVESTORS_LIST[[#This Row],[SIP_TOTAL UNITS BUY]]-INVESTORS_LIST[[#This Row],[SIP_TOTAL UNITS SOLD]])</f>
        <v>0</v>
      </c>
      <c r="O452" s="49">
        <f>IF(INVESTORS_LIST[[#This Row],[SIP_TOTAL UNITS BUY]]=0,0,SUMIFS(SIP[Amount],SIP[Investor ID],INVESTORS_LIST[[#This Row],[INVESTOR CODE]],SIP[B/S],"B"))</f>
        <v>0</v>
      </c>
      <c r="P452" s="49">
        <f>IF(INVESTORS_LIST[[#This Row],[SIP_TOTAL UNITS SOLD]]=0,0,SUMIFS(SIP[Cost of Units Sold],SIP[Investor ID],INVESTORS_LIST[[#This Row],[INVESTOR CODE]],SIP[B/S],"S"))</f>
        <v>0</v>
      </c>
      <c r="Q452" s="48">
        <f>IF(INVESTORS_LIST[[#This Row],[SIP_TOTAL CURRENT UNITS]]=0,0,INVESTORS_LIST[[#This Row],[SIP_TOTAL CURRENT UNITS]]*INVESTORS_LIST[[#This Row],[SIP_AVERAGE COST]])</f>
        <v>0</v>
      </c>
      <c r="R452" s="48">
        <f>IF(INVESTORS_LIST[[#This Row],[SIP_TOTAL UNITS SOLD]]=0,0,SUMIFS(SIP[Realized Gain],SIP[Investor ID],INVESTORS_LIST[[#This Row],[INVESTOR CODE]],SIP[B/S],"S"))</f>
        <v>0</v>
      </c>
      <c r="S452" s="50">
        <f>INVESTORS_LIST[[#This Row],[LS_TOTAL UNITS BUY]]+INVESTORS_LIST[[#This Row],[SIP_TOTAL UNITS BUY]]</f>
        <v>150000</v>
      </c>
      <c r="T452" s="50">
        <f>INVESTORS_LIST[[#This Row],[LS_TOTAL UNITS SOLD]]+INVESTORS_LIST[[#This Row],[SIP_TOTAL UNITS SOLD]]</f>
        <v>150000</v>
      </c>
      <c r="U452" s="50"/>
      <c r="V452" s="50">
        <f>SUMIFS(LS[BO UNIT TRANSFER],LS[Investor ID],INVESTORS_LIST[[#This Row],[INVESTOR CODE]],LS[B/S],"B")</f>
        <v>0</v>
      </c>
      <c r="W452" s="50">
        <f>SUMIFS(SIP[BO UNIT TRANSFER],SIP[Investor ID],INVESTORS_LIST[[#This Row],[INVESTOR CODE]],SIP[B/S],"B")</f>
        <v>0</v>
      </c>
      <c r="X452" s="50">
        <f>SUMIFS(LS[BO UNIT TRANSFER],LS[Investor ID],INVESTORS_LIST[[#This Row],[INVESTOR CODE]],LS[B/S],"S")</f>
        <v>0</v>
      </c>
      <c r="Y452" s="50">
        <f>SUMIFS(SIP[BO UNIT TRANSFER],SIP[Investor ID],INVESTORS_LIST[[#This Row],[INVESTOR CODE]],SIP[B/S],"S")</f>
        <v>0</v>
      </c>
      <c r="Z452" s="106">
        <f>SUM(INVESTORS_LIST[[#This Row],[BO OPENING BALANCE]:[BO SIP UNITS REPURCHASE]])</f>
        <v>0</v>
      </c>
      <c r="AA452" s="107">
        <f>INVESTORS_LIST[[#This Row],[TOTAL UNITS BUY]]-INVESTORS_LIST[[#This Row],[TOTAL UNITS SOLD]]</f>
        <v>0</v>
      </c>
      <c r="AB452" s="107">
        <f>INVESTORS_LIST[[#This Row],[TOTAL CURRENT UNITS]]-INVESTORS_LIST[[#This Row],[BO UNITS HOLD]]</f>
        <v>0</v>
      </c>
      <c r="AC452" s="201" t="e">
        <f>INDEX([3]!Table_1[BO ID],MATCH(INVESTORS_LIST[[#This Row],[INVESTOR CODE]],[3]!Table_1[INVESTOR CODE],0))</f>
        <v>#REF!</v>
      </c>
      <c r="AD452" s="201" t="e">
        <f>INDEX([3]!Table_1[Brokerage Name2],MATCH(INVESTORS_LIST[[#This Row],[INVESTOR CODE]],[3]!Table_1[INVESTOR CODE],0))</f>
        <v>#REF!</v>
      </c>
      <c r="AE452" s="201" t="e">
        <f>MID(INVESTORS_LIST[[#This Row],[BO ID]],4,5)</f>
        <v>#REF!</v>
      </c>
      <c r="AF452" s="201" t="e">
        <f>MID(INVESTORS_LIST[[#This Row],[BO ID]],2,7)</f>
        <v>#REF!</v>
      </c>
      <c r="AG452" s="201" t="e">
        <f>MID(INVESTORS_LIST[[#This Row],[BO ID]],9,7)</f>
        <v>#REF!</v>
      </c>
      <c r="AH452" s="201" t="e">
        <f>RIGHT(INVESTORS_LIST[[#This Row],[BO ID]],1)</f>
        <v>#REF!</v>
      </c>
      <c r="AI452" s="50">
        <f>INVESTORS_LIST[[#This Row],[LS_TOTAL COST VALUE OF CURRENT UNITS]]+INVESTORS_LIST[[#This Row],[SIP_TOTAL COST VALUE OF CURRENT UNITS]]</f>
        <v>0</v>
      </c>
      <c r="AJ452" s="109">
        <f>IF(INVESTORS_LIST[[#This Row],[TOTAL CURRENT UNITS]]=0,0,INVESTORS_LIST[[#This Row],[LS_TOTAL CURRENT UNITS]]/INVESTORS_LIST[[#This Row],[TOTAL CURRENT UNITS]])</f>
        <v>0</v>
      </c>
      <c r="AK452" s="109">
        <f>IF(INVESTORS_LIST[[#This Row],[TOTAL CURRENT UNITS]]=0,0,INVESTORS_LIST[[#This Row],[SIP_TOTAL CURRENT UNITS]]/INVESTORS_LIST[[#This Row],[TOTAL CURRENT UNITS]])</f>
        <v>0</v>
      </c>
      <c r="AL452" s="49" cm="1">
        <f t="array" ref="AL4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2" s="49" cm="1">
        <f t="array" ref="AM4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2" s="105">
        <f t="shared" si="8"/>
        <v>14.224</v>
      </c>
      <c r="AP452" s="112">
        <f>IF(INVESTORS_LIST[[#This Row],[TOTAL CURRENT UNITS]]=0,0,INVESTORS_LIST[[#This Row],[TOTAL CURRENT UNITS]]*INVESTORS_LIST[[#This Row],[NAV]])</f>
        <v>0</v>
      </c>
      <c r="AQ452" s="49">
        <f>IF(INVESTORS_LIST[[#This Row],[LS_TOTAL CURRENT UNITS]]=0,0,INVESTORS_LIST[[#This Row],[LS_TOTAL CURRENT UNITS]]*INVESTORS_LIST[[#This Row],[NAV]])</f>
        <v>0</v>
      </c>
      <c r="AR452" s="48">
        <f>IF(INVESTORS_LIST[[#This Row],[SIP_TOTAL CURRENT UNITS]]=0,0,INVESTORS_LIST[[#This Row],[SIP_TOTAL CURRENT UNITS]]*INVESTORS_LIST[[#This Row],[NAV]])</f>
        <v>0</v>
      </c>
      <c r="AS452" s="50">
        <f>INVESTORS_LIST[[#This Row],[TOTAL CURRENT UNITS]]</f>
        <v>0</v>
      </c>
      <c r="AT452" s="48">
        <f>IF(INVESTORS_LIST[[#This Row],[TOTAL SELLABLE UNITS]]=0,0,INVESTORS_LIST[[#This Row],[TOTAL SELLABLE UNITS]]*INVESTORS_LIST[[#This Row],[NAV]])</f>
        <v>0</v>
      </c>
      <c r="AU452" s="48">
        <f>INVESTORS_LIST[[#This Row],[LS_TOTAL REALIZED GAIN]]+INVESTORS_LIST[[#This Row],[SIP_TOTAL REALIZED GAIN]]</f>
        <v>548249.99999999988</v>
      </c>
      <c r="AV452" s="48">
        <f>INVESTORS_LIST[[#This Row],[TOTAL MARKET VALUE]]-INVESTORS_LIST[[#This Row],[TOTAL COST VALUE OF CURRENT INVESTMENT]]</f>
        <v>0</v>
      </c>
      <c r="AW452" s="108">
        <f>IFERROR(INVESTORS_LIST[[#This Row],[TOTAL CURRENT UNITS]]/SUM(INVESTORS_LIST[TOTAL CURRENT UNITS]),0)</f>
        <v>0</v>
      </c>
    </row>
    <row r="453" spans="1:49" hidden="1">
      <c r="A453" s="262" t="s">
        <v>951</v>
      </c>
      <c r="B453" s="97" t="s">
        <v>952</v>
      </c>
      <c r="C453" t="s">
        <v>44</v>
      </c>
      <c r="D453" s="75" t="s">
        <v>45</v>
      </c>
      <c r="E453" s="47">
        <f>SUMIFS(LS[Unit],LS[Investor ID],INVESTORS_LIST[[#This Row],[INVESTOR CODE]],LS[B/S],"B")</f>
        <v>0</v>
      </c>
      <c r="F453" s="47">
        <f>-SUMIFS(LS[Unit],LS[Investor ID],INVESTORS_LIST[[#This Row],[INVESTOR CODE]],LS[B/S],"S")</f>
        <v>0</v>
      </c>
      <c r="G453" s="47">
        <f>IF(INVESTORS_LIST[[#This Row],[LS_TOTAL UNITS BUY]]=0,0,INVESTORS_LIST[[#This Row],[LS_TOTAL UNITS BUY]]-INVESTORS_LIST[[#This Row],[LS_TOTAL UNITS SOLD]])</f>
        <v>0</v>
      </c>
      <c r="H453" s="49">
        <f>IF(INVESTORS_LIST[[#This Row],[LS_TOTAL UNITS BUY]]=0,0,SUMIFS(LS[Amount],LS[Investor ID],INVESTORS_LIST[[#This Row],[INVESTOR CODE]],LS[B/S],"B"))</f>
        <v>0</v>
      </c>
      <c r="I453" s="48">
        <f>IF(INVESTORS_LIST[[#This Row],[LS_TOTAL UNITS SOLD]]=0,0,SUMIFS(LS[Cost of Units Sold],LS[Investor ID],INVESTORS_LIST[[#This Row],[INVESTOR CODE]],LS[B/S],"S"))</f>
        <v>0</v>
      </c>
      <c r="J453" s="48">
        <f>IF(INVESTORS_LIST[[#This Row],[LS_TOTAL CURRENT UNITS]]=0,0,INVESTORS_LIST[[#This Row],[LS_TOTAL CURRENT UNITS]]*INVESTORS_LIST[[#This Row],[LS_AVERAGE COST]])</f>
        <v>0</v>
      </c>
      <c r="K453" s="49">
        <f>IF(INVESTORS_LIST[[#This Row],[LS_TOTAL UNITS SOLD]]=0,0,SUMIFS(LS[Realized Gain],LS[Investor ID],INVESTORS_LIST[[#This Row],[INVESTOR CODE]],LS[B/S],"S"))</f>
        <v>0</v>
      </c>
      <c r="L453" s="47">
        <f>SUMIFS(SIP[Unit],SIP[Investor ID],INVESTORS_LIST[[#This Row],[INVESTOR CODE]],SIP[B/S],"B")</f>
        <v>2813</v>
      </c>
      <c r="M453" s="47">
        <f>-SUMIFS(SIP[Unit],SIP[Investor ID],INVESTORS_LIST[[#This Row],[INVESTOR CODE]],SIP[B/S],"S")</f>
        <v>2813</v>
      </c>
      <c r="N453" s="50">
        <f>IF(INVESTORS_LIST[[#This Row],[SIP_TOTAL UNITS BUY]]=0,0,INVESTORS_LIST[[#This Row],[SIP_TOTAL UNITS BUY]]-INVESTORS_LIST[[#This Row],[SIP_TOTAL UNITS SOLD]])</f>
        <v>0</v>
      </c>
      <c r="O453" s="49">
        <f>IF(INVESTORS_LIST[[#This Row],[SIP_TOTAL UNITS BUY]]=0,0,SUMIFS(SIP[Amount],SIP[Investor ID],INVESTORS_LIST[[#This Row],[INVESTOR CODE]],SIP[B/S],"B"))</f>
        <v>30000</v>
      </c>
      <c r="P453" s="49">
        <f>IF(INVESTORS_LIST[[#This Row],[SIP_TOTAL UNITS SOLD]]=0,0,SUMIFS(SIP[Cost of Units Sold],SIP[Investor ID],INVESTORS_LIST[[#This Row],[INVESTOR CODE]],SIP[B/S],"S"))</f>
        <v>29999.999999999996</v>
      </c>
      <c r="Q453" s="48">
        <f>IF(INVESTORS_LIST[[#This Row],[SIP_TOTAL CURRENT UNITS]]=0,0,INVESTORS_LIST[[#This Row],[SIP_TOTAL CURRENT UNITS]]*INVESTORS_LIST[[#This Row],[SIP_AVERAGE COST]])</f>
        <v>0</v>
      </c>
      <c r="R453" s="48">
        <f>IF(INVESTORS_LIST[[#This Row],[SIP_TOTAL UNITS SOLD]]=0,0,SUMIFS(SIP[Realized Gain],SIP[Investor ID],INVESTORS_LIST[[#This Row],[INVESTOR CODE]],SIP[B/S],"S"))</f>
        <v>557.62000000000512</v>
      </c>
      <c r="S453" s="50">
        <f>INVESTORS_LIST[[#This Row],[LS_TOTAL UNITS BUY]]+INVESTORS_LIST[[#This Row],[SIP_TOTAL UNITS BUY]]</f>
        <v>2813</v>
      </c>
      <c r="T453" s="50">
        <f>INVESTORS_LIST[[#This Row],[LS_TOTAL UNITS SOLD]]+INVESTORS_LIST[[#This Row],[SIP_TOTAL UNITS SOLD]]</f>
        <v>2813</v>
      </c>
      <c r="U453" s="50"/>
      <c r="V453" s="50">
        <f>SUMIFS(LS[BO UNIT TRANSFER],LS[Investor ID],INVESTORS_LIST[[#This Row],[INVESTOR CODE]],LS[B/S],"B")</f>
        <v>0</v>
      </c>
      <c r="W453" s="50">
        <f>SUMIFS(SIP[BO UNIT TRANSFER],SIP[Investor ID],INVESTORS_LIST[[#This Row],[INVESTOR CODE]],SIP[B/S],"B")</f>
        <v>0</v>
      </c>
      <c r="X453" s="50">
        <f>SUMIFS(LS[BO UNIT TRANSFER],LS[Investor ID],INVESTORS_LIST[[#This Row],[INVESTOR CODE]],LS[B/S],"S")</f>
        <v>0</v>
      </c>
      <c r="Y453" s="50">
        <f>SUMIFS(SIP[BO UNIT TRANSFER],SIP[Investor ID],INVESTORS_LIST[[#This Row],[INVESTOR CODE]],SIP[B/S],"S")</f>
        <v>0</v>
      </c>
      <c r="Z453" s="106">
        <f>SUM(INVESTORS_LIST[[#This Row],[BO OPENING BALANCE]:[BO SIP UNITS REPURCHASE]])</f>
        <v>0</v>
      </c>
      <c r="AA453" s="107">
        <f>INVESTORS_LIST[[#This Row],[TOTAL UNITS BUY]]-INVESTORS_LIST[[#This Row],[TOTAL UNITS SOLD]]</f>
        <v>0</v>
      </c>
      <c r="AB453" s="107">
        <f>INVESTORS_LIST[[#This Row],[TOTAL CURRENT UNITS]]-INVESTORS_LIST[[#This Row],[BO UNITS HOLD]]</f>
        <v>0</v>
      </c>
      <c r="AC453" s="201" t="e">
        <f>INDEX([3]!Table_1[BO ID],MATCH(INVESTORS_LIST[[#This Row],[INVESTOR CODE]],[3]!Table_1[INVESTOR CODE],0))</f>
        <v>#REF!</v>
      </c>
      <c r="AD453" s="201" t="e">
        <f>INDEX([3]!Table_1[Brokerage Name2],MATCH(INVESTORS_LIST[[#This Row],[INVESTOR CODE]],[3]!Table_1[INVESTOR CODE],0))</f>
        <v>#REF!</v>
      </c>
      <c r="AE453" s="201" t="e">
        <f>MID(INVESTORS_LIST[[#This Row],[BO ID]],4,5)</f>
        <v>#REF!</v>
      </c>
      <c r="AF453" s="201" t="e">
        <f>MID(INVESTORS_LIST[[#This Row],[BO ID]],2,7)</f>
        <v>#REF!</v>
      </c>
      <c r="AG453" s="201" t="e">
        <f>MID(INVESTORS_LIST[[#This Row],[BO ID]],9,7)</f>
        <v>#REF!</v>
      </c>
      <c r="AH453" s="201" t="e">
        <f>RIGHT(INVESTORS_LIST[[#This Row],[BO ID]],1)</f>
        <v>#REF!</v>
      </c>
      <c r="AI453" s="50">
        <f>INVESTORS_LIST[[#This Row],[LS_TOTAL COST VALUE OF CURRENT UNITS]]+INVESTORS_LIST[[#This Row],[SIP_TOTAL COST VALUE OF CURRENT UNITS]]</f>
        <v>0</v>
      </c>
      <c r="AJ453" s="109">
        <f>IF(INVESTORS_LIST[[#This Row],[TOTAL CURRENT UNITS]]=0,0,INVESTORS_LIST[[#This Row],[LS_TOTAL CURRENT UNITS]]/INVESTORS_LIST[[#This Row],[TOTAL CURRENT UNITS]])</f>
        <v>0</v>
      </c>
      <c r="AK453" s="109">
        <f>IF(INVESTORS_LIST[[#This Row],[TOTAL CURRENT UNITS]]=0,0,INVESTORS_LIST[[#This Row],[SIP_TOTAL CURRENT UNITS]]/INVESTORS_LIST[[#This Row],[TOTAL CURRENT UNITS]])</f>
        <v>0</v>
      </c>
      <c r="AL453" s="49" cm="1">
        <f t="array" ref="AL4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3" s="49" cm="1">
        <f t="array" ref="AM4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3" s="105">
        <f t="shared" si="8"/>
        <v>14.224</v>
      </c>
      <c r="AP453" s="112">
        <f>IF(INVESTORS_LIST[[#This Row],[TOTAL CURRENT UNITS]]=0,0,INVESTORS_LIST[[#This Row],[TOTAL CURRENT UNITS]]*INVESTORS_LIST[[#This Row],[NAV]])</f>
        <v>0</v>
      </c>
      <c r="AQ453" s="49">
        <f>IF(INVESTORS_LIST[[#This Row],[LS_TOTAL CURRENT UNITS]]=0,0,INVESTORS_LIST[[#This Row],[LS_TOTAL CURRENT UNITS]]*INVESTORS_LIST[[#This Row],[NAV]])</f>
        <v>0</v>
      </c>
      <c r="AR453" s="48">
        <f>IF(INVESTORS_LIST[[#This Row],[SIP_TOTAL CURRENT UNITS]]=0,0,INVESTORS_LIST[[#This Row],[SIP_TOTAL CURRENT UNITS]]*INVESTORS_LIST[[#This Row],[NAV]])</f>
        <v>0</v>
      </c>
      <c r="AS453" s="50">
        <f>INVESTORS_LIST[[#This Row],[TOTAL CURRENT UNITS]]</f>
        <v>0</v>
      </c>
      <c r="AT453" s="48">
        <f>IF(INVESTORS_LIST[[#This Row],[TOTAL SELLABLE UNITS]]=0,0,INVESTORS_LIST[[#This Row],[TOTAL SELLABLE UNITS]]*INVESTORS_LIST[[#This Row],[NAV]])</f>
        <v>0</v>
      </c>
      <c r="AU453" s="48">
        <f>INVESTORS_LIST[[#This Row],[LS_TOTAL REALIZED GAIN]]+INVESTORS_LIST[[#This Row],[SIP_TOTAL REALIZED GAIN]]</f>
        <v>557.62000000000512</v>
      </c>
      <c r="AV453" s="48">
        <f>INVESTORS_LIST[[#This Row],[TOTAL MARKET VALUE]]-INVESTORS_LIST[[#This Row],[TOTAL COST VALUE OF CURRENT INVESTMENT]]</f>
        <v>0</v>
      </c>
      <c r="AW453" s="108">
        <f>IFERROR(INVESTORS_LIST[[#This Row],[TOTAL CURRENT UNITS]]/SUM(INVESTORS_LIST[TOTAL CURRENT UNITS]),0)</f>
        <v>0</v>
      </c>
    </row>
    <row r="454" spans="1:49">
      <c r="A454" s="262" t="s">
        <v>953</v>
      </c>
      <c r="B454" s="97" t="s">
        <v>954</v>
      </c>
      <c r="C454" t="s">
        <v>44</v>
      </c>
      <c r="D454" s="75" t="s">
        <v>45</v>
      </c>
      <c r="E454" s="47">
        <f>SUMIFS(LS[Unit],LS[Investor ID],INVESTORS_LIST[[#This Row],[INVESTOR CODE]],LS[B/S],"B")</f>
        <v>777588</v>
      </c>
      <c r="F454" s="47">
        <f>-SUMIFS(LS[Unit],LS[Investor ID],INVESTORS_LIST[[#This Row],[INVESTOR CODE]],LS[B/S],"S")</f>
        <v>480345</v>
      </c>
      <c r="G454" s="47">
        <f>IF(INVESTORS_LIST[[#This Row],[LS_TOTAL UNITS BUY]]=0,0,INVESTORS_LIST[[#This Row],[LS_TOTAL UNITS BUY]]-INVESTORS_LIST[[#This Row],[LS_TOTAL UNITS SOLD]])</f>
        <v>297243</v>
      </c>
      <c r="H454" s="49">
        <f>IF(INVESTORS_LIST[[#This Row],[LS_TOTAL UNITS BUY]]=0,0,SUMIFS(LS[Amount],LS[Investor ID],INVESTORS_LIST[[#This Row],[INVESTOR CODE]],LS[B/S],"B"))</f>
        <v>9000000</v>
      </c>
      <c r="I454" s="48">
        <f>IF(INVESTORS_LIST[[#This Row],[LS_TOTAL UNITS SOLD]]=0,0,SUMIFS(LS[Cost of Units Sold],LS[Investor ID],INVESTORS_LIST[[#This Row],[INVESTOR CODE]],LS[B/S],"S"))</f>
        <v>5000000</v>
      </c>
      <c r="J454" s="48">
        <f>IF(INVESTORS_LIST[[#This Row],[LS_TOTAL CURRENT UNITS]]=0,0,INVESTORS_LIST[[#This Row],[LS_TOTAL CURRENT UNITS]]*INVESTORS_LIST[[#This Row],[LS_AVERAGE COST]])</f>
        <v>4000000.0000000005</v>
      </c>
      <c r="K454" s="49">
        <f>IF(INVESTORS_LIST[[#This Row],[LS_TOTAL UNITS SOLD]]=0,0,SUMIFS(LS[Realized Gain],LS[Investor ID],INVESTORS_LIST[[#This Row],[INVESTOR CODE]],LS[B/S],"S"))</f>
        <v>379383.66000000044</v>
      </c>
      <c r="L454" s="47">
        <f>SUMIFS(SIP[Unit],SIP[Investor ID],INVESTORS_LIST[[#This Row],[INVESTOR CODE]],SIP[B/S],"B")</f>
        <v>0</v>
      </c>
      <c r="M454" s="47">
        <f>-SUMIFS(SIP[Unit],SIP[Investor ID],INVESTORS_LIST[[#This Row],[INVESTOR CODE]],SIP[B/S],"S")</f>
        <v>0</v>
      </c>
      <c r="N454" s="50">
        <f>IF(INVESTORS_LIST[[#This Row],[SIP_TOTAL UNITS BUY]]=0,0,INVESTORS_LIST[[#This Row],[SIP_TOTAL UNITS BUY]]-INVESTORS_LIST[[#This Row],[SIP_TOTAL UNITS SOLD]])</f>
        <v>0</v>
      </c>
      <c r="O454" s="49">
        <f>IF(INVESTORS_LIST[[#This Row],[SIP_TOTAL UNITS BUY]]=0,0,SUMIFS(SIP[Amount],SIP[Investor ID],INVESTORS_LIST[[#This Row],[INVESTOR CODE]],SIP[B/S],"B"))</f>
        <v>0</v>
      </c>
      <c r="P454" s="49">
        <f>IF(INVESTORS_LIST[[#This Row],[SIP_TOTAL UNITS SOLD]]=0,0,SUMIFS(SIP[Cost of Units Sold],SIP[Investor ID],INVESTORS_LIST[[#This Row],[INVESTOR CODE]],SIP[B/S],"S"))</f>
        <v>0</v>
      </c>
      <c r="Q454" s="48">
        <f>IF(INVESTORS_LIST[[#This Row],[SIP_TOTAL CURRENT UNITS]]=0,0,INVESTORS_LIST[[#This Row],[SIP_TOTAL CURRENT UNITS]]*INVESTORS_LIST[[#This Row],[SIP_AVERAGE COST]])</f>
        <v>0</v>
      </c>
      <c r="R454" s="48">
        <f>IF(INVESTORS_LIST[[#This Row],[SIP_TOTAL UNITS SOLD]]=0,0,SUMIFS(SIP[Realized Gain],SIP[Investor ID],INVESTORS_LIST[[#This Row],[INVESTOR CODE]],SIP[B/S],"S"))</f>
        <v>0</v>
      </c>
      <c r="S454" s="50">
        <f>INVESTORS_LIST[[#This Row],[LS_TOTAL UNITS BUY]]+INVESTORS_LIST[[#This Row],[SIP_TOTAL UNITS BUY]]</f>
        <v>777588</v>
      </c>
      <c r="T454" s="50">
        <f>INVESTORS_LIST[[#This Row],[LS_TOTAL UNITS SOLD]]+INVESTORS_LIST[[#This Row],[SIP_TOTAL UNITS SOLD]]</f>
        <v>480345</v>
      </c>
      <c r="U454" s="50">
        <v>120038</v>
      </c>
      <c r="V454" s="50">
        <f>SUMIFS(LS[BO UNIT TRANSFER],LS[Investor ID],INVESTORS_LIST[[#This Row],[INVESTOR CODE]],LS[B/S],"B")</f>
        <v>0</v>
      </c>
      <c r="W454" s="50">
        <f>SUMIFS(SIP[BO UNIT TRANSFER],SIP[Investor ID],INVESTORS_LIST[[#This Row],[INVESTOR CODE]],SIP[B/S],"B")</f>
        <v>0</v>
      </c>
      <c r="X454" s="50">
        <f>SUMIFS(LS[BO UNIT TRANSFER],LS[Investor ID],INVESTORS_LIST[[#This Row],[INVESTOR CODE]],LS[B/S],"S")</f>
        <v>0</v>
      </c>
      <c r="Y454" s="50">
        <f>SUMIFS(SIP[BO UNIT TRANSFER],SIP[Investor ID],INVESTORS_LIST[[#This Row],[INVESTOR CODE]],SIP[B/S],"S")</f>
        <v>0</v>
      </c>
      <c r="Z454" s="106">
        <f>SUM(INVESTORS_LIST[[#This Row],[BO OPENING BALANCE]:[BO SIP UNITS REPURCHASE]])</f>
        <v>120038</v>
      </c>
      <c r="AA454" s="107">
        <f>INVESTORS_LIST[[#This Row],[TOTAL UNITS BUY]]-INVESTORS_LIST[[#This Row],[TOTAL UNITS SOLD]]</f>
        <v>297243</v>
      </c>
      <c r="AB454" s="107">
        <f>INVESTORS_LIST[[#This Row],[TOTAL CURRENT UNITS]]-INVESTORS_LIST[[#This Row],[BO UNITS HOLD]]</f>
        <v>177205</v>
      </c>
      <c r="AC454" s="201" t="e">
        <f>INDEX([3]!Table_1[BO ID],MATCH(INVESTORS_LIST[[#This Row],[INVESTOR CODE]],[3]!Table_1[INVESTOR CODE],0))</f>
        <v>#REF!</v>
      </c>
      <c r="AD454" s="201" t="e">
        <f>INDEX([3]!Table_1[Brokerage Name2],MATCH(INVESTORS_LIST[[#This Row],[INVESTOR CODE]],[3]!Table_1[INVESTOR CODE],0))</f>
        <v>#REF!</v>
      </c>
      <c r="AE454" s="201" t="e">
        <f>MID(INVESTORS_LIST[[#This Row],[BO ID]],4,5)</f>
        <v>#REF!</v>
      </c>
      <c r="AF454" s="201" t="e">
        <f>MID(INVESTORS_LIST[[#This Row],[BO ID]],2,7)</f>
        <v>#REF!</v>
      </c>
      <c r="AG454" s="201" t="e">
        <f>MID(INVESTORS_LIST[[#This Row],[BO ID]],9,7)</f>
        <v>#REF!</v>
      </c>
      <c r="AH454" s="201" t="e">
        <f>RIGHT(INVESTORS_LIST[[#This Row],[BO ID]],1)</f>
        <v>#REF!</v>
      </c>
      <c r="AI454" s="50">
        <f>INVESTORS_LIST[[#This Row],[LS_TOTAL COST VALUE OF CURRENT UNITS]]+INVESTORS_LIST[[#This Row],[SIP_TOTAL COST VALUE OF CURRENT UNITS]]</f>
        <v>4000000.0000000005</v>
      </c>
      <c r="AJ454" s="109">
        <f>IF(INVESTORS_LIST[[#This Row],[TOTAL CURRENT UNITS]]=0,0,INVESTORS_LIST[[#This Row],[LS_TOTAL CURRENT UNITS]]/INVESTORS_LIST[[#This Row],[TOTAL CURRENT UNITS]])</f>
        <v>1</v>
      </c>
      <c r="AK454" s="109">
        <f>IF(INVESTORS_LIST[[#This Row],[TOTAL CURRENT UNITS]]=0,0,INVESTORS_LIST[[#This Row],[SIP_TOTAL CURRENT UNITS]]/INVESTORS_LIST[[#This Row],[TOTAL CURRENT UNITS]])</f>
        <v>0</v>
      </c>
      <c r="AL454" s="49" cm="1">
        <f t="array" ref="AL454">IF(INVESTORS_LIST[[#This Row],[LS_TOTAL UNITS BUY]]&gt;0,INDEX(LS[NAV at Cost (Average)],MATCH(CONCATENATE(COUNTIFS(LS[Investor ID],INVESTORS_LIST[[#This Row],[INVESTOR CODE]]),INVESTORS_LIST[[#This Row],[INVESTOR CODE]]),LS[Unique Code],0),),0)</f>
        <v>13.457003192674009</v>
      </c>
      <c r="AM454" s="49" cm="1">
        <f t="array" ref="AM4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4" s="105">
        <f>IF(INVESTORS_LIST[[#This Row],[TOTAL CURRENT UNITS]]=0,0,(INVESTORS_LIST[[#This Row],[LS_WEIGHT]]*INVESTORS_LIST[[#This Row],[LS_AVERAGE COST]])+(INVESTORS_LIST[[#This Row],[SIP_WEIGHT]]*INVESTORS_LIST[[#This Row],[SIP_AVERAGE COST]]))</f>
        <v>13.457003192674009</v>
      </c>
      <c r="AO454" s="105">
        <f t="shared" si="8"/>
        <v>14.224</v>
      </c>
      <c r="AP454" s="112">
        <f>IF(INVESTORS_LIST[[#This Row],[TOTAL CURRENT UNITS]]=0,0,INVESTORS_LIST[[#This Row],[TOTAL CURRENT UNITS]]*INVESTORS_LIST[[#This Row],[NAV]])</f>
        <v>4227984.432</v>
      </c>
      <c r="AQ454" s="49">
        <f>IF(INVESTORS_LIST[[#This Row],[LS_TOTAL CURRENT UNITS]]=0,0,INVESTORS_LIST[[#This Row],[LS_TOTAL CURRENT UNITS]]*INVESTORS_LIST[[#This Row],[NAV]])</f>
        <v>4227984.432</v>
      </c>
      <c r="AR454" s="48">
        <f>IF(INVESTORS_LIST[[#This Row],[SIP_TOTAL CURRENT UNITS]]=0,0,INVESTORS_LIST[[#This Row],[SIP_TOTAL CURRENT UNITS]]*INVESTORS_LIST[[#This Row],[NAV]])</f>
        <v>0</v>
      </c>
      <c r="AS454" s="50">
        <f>INVESTORS_LIST[[#This Row],[TOTAL CURRENT UNITS]]</f>
        <v>297243</v>
      </c>
      <c r="AT454" s="48">
        <f>IF(INVESTORS_LIST[[#This Row],[TOTAL SELLABLE UNITS]]=0,0,INVESTORS_LIST[[#This Row],[TOTAL SELLABLE UNITS]]*INVESTORS_LIST[[#This Row],[NAV]])</f>
        <v>4227984.432</v>
      </c>
      <c r="AU454" s="48">
        <f>INVESTORS_LIST[[#This Row],[LS_TOTAL REALIZED GAIN]]+INVESTORS_LIST[[#This Row],[SIP_TOTAL REALIZED GAIN]]</f>
        <v>379383.66000000044</v>
      </c>
      <c r="AV454" s="48">
        <f>INVESTORS_LIST[[#This Row],[TOTAL MARKET VALUE]]-INVESTORS_LIST[[#This Row],[TOTAL COST VALUE OF CURRENT INVESTMENT]]</f>
        <v>227984.43199999956</v>
      </c>
      <c r="AW454" s="108">
        <f>IFERROR(INVESTORS_LIST[[#This Row],[TOTAL CURRENT UNITS]]/SUM(INVESTORS_LIST[TOTAL CURRENT UNITS]),0)</f>
        <v>7.2159328636615394E-3</v>
      </c>
    </row>
    <row r="455" spans="1:49" hidden="1">
      <c r="A455" s="262" t="s">
        <v>955</v>
      </c>
      <c r="B455" s="97" t="s">
        <v>956</v>
      </c>
      <c r="C455" t="s">
        <v>67</v>
      </c>
      <c r="D455" s="75" t="s">
        <v>45</v>
      </c>
      <c r="E455" s="47">
        <f>SUMIFS(LS[Unit],LS[Investor ID],INVESTORS_LIST[[#This Row],[INVESTOR CODE]],LS[B/S],"B")</f>
        <v>100000</v>
      </c>
      <c r="F455" s="47">
        <f>-SUMIFS(LS[Unit],LS[Investor ID],INVESTORS_LIST[[#This Row],[INVESTOR CODE]],LS[B/S],"S")</f>
        <v>100000</v>
      </c>
      <c r="G455" s="47">
        <f>IF(INVESTORS_LIST[[#This Row],[LS_TOTAL UNITS BUY]]=0,0,INVESTORS_LIST[[#This Row],[LS_TOTAL UNITS BUY]]-INVESTORS_LIST[[#This Row],[LS_TOTAL UNITS SOLD]])</f>
        <v>0</v>
      </c>
      <c r="H455" s="49">
        <f>IF(INVESTORS_LIST[[#This Row],[LS_TOTAL UNITS BUY]]=0,0,SUMIFS(LS[Amount],LS[Investor ID],INVESTORS_LIST[[#This Row],[INVESTOR CODE]],LS[B/S],"B"))</f>
        <v>1000000</v>
      </c>
      <c r="I455" s="48">
        <f>IF(INVESTORS_LIST[[#This Row],[LS_TOTAL UNITS SOLD]]=0,0,SUMIFS(LS[Cost of Units Sold],LS[Investor ID],INVESTORS_LIST[[#This Row],[INVESTOR CODE]],LS[B/S],"S"))</f>
        <v>1000000</v>
      </c>
      <c r="J455" s="48">
        <f>IF(INVESTORS_LIST[[#This Row],[LS_TOTAL CURRENT UNITS]]=0,0,INVESTORS_LIST[[#This Row],[LS_TOTAL CURRENT UNITS]]*INVESTORS_LIST[[#This Row],[LS_AVERAGE COST]])</f>
        <v>0</v>
      </c>
      <c r="K455" s="49">
        <f>IF(INVESTORS_LIST[[#This Row],[LS_TOTAL UNITS SOLD]]=0,0,SUMIFS(LS[Realized Gain],LS[Investor ID],INVESTORS_LIST[[#This Row],[INVESTOR CODE]],LS[B/S],"S"))</f>
        <v>103599.99999999996</v>
      </c>
      <c r="L455" s="47">
        <f>SUMIFS(SIP[Unit],SIP[Investor ID],INVESTORS_LIST[[#This Row],[INVESTOR CODE]],SIP[B/S],"B")</f>
        <v>0</v>
      </c>
      <c r="M455" s="47">
        <f>-SUMIFS(SIP[Unit],SIP[Investor ID],INVESTORS_LIST[[#This Row],[INVESTOR CODE]],SIP[B/S],"S")</f>
        <v>0</v>
      </c>
      <c r="N455" s="50">
        <f>IF(INVESTORS_LIST[[#This Row],[SIP_TOTAL UNITS BUY]]=0,0,INVESTORS_LIST[[#This Row],[SIP_TOTAL UNITS BUY]]-INVESTORS_LIST[[#This Row],[SIP_TOTAL UNITS SOLD]])</f>
        <v>0</v>
      </c>
      <c r="O455" s="49">
        <f>IF(INVESTORS_LIST[[#This Row],[SIP_TOTAL UNITS BUY]]=0,0,SUMIFS(SIP[Amount],SIP[Investor ID],INVESTORS_LIST[[#This Row],[INVESTOR CODE]],SIP[B/S],"B"))</f>
        <v>0</v>
      </c>
      <c r="P455" s="49">
        <f>IF(INVESTORS_LIST[[#This Row],[SIP_TOTAL UNITS SOLD]]=0,0,SUMIFS(SIP[Cost of Units Sold],SIP[Investor ID],INVESTORS_LIST[[#This Row],[INVESTOR CODE]],SIP[B/S],"S"))</f>
        <v>0</v>
      </c>
      <c r="Q455" s="48">
        <f>IF(INVESTORS_LIST[[#This Row],[SIP_TOTAL CURRENT UNITS]]=0,0,INVESTORS_LIST[[#This Row],[SIP_TOTAL CURRENT UNITS]]*INVESTORS_LIST[[#This Row],[SIP_AVERAGE COST]])</f>
        <v>0</v>
      </c>
      <c r="R455" s="48">
        <f>IF(INVESTORS_LIST[[#This Row],[SIP_TOTAL UNITS SOLD]]=0,0,SUMIFS(SIP[Realized Gain],SIP[Investor ID],INVESTORS_LIST[[#This Row],[INVESTOR CODE]],SIP[B/S],"S"))</f>
        <v>0</v>
      </c>
      <c r="S455" s="50">
        <f>INVESTORS_LIST[[#This Row],[LS_TOTAL UNITS BUY]]+INVESTORS_LIST[[#This Row],[SIP_TOTAL UNITS BUY]]</f>
        <v>100000</v>
      </c>
      <c r="T455" s="50">
        <f>INVESTORS_LIST[[#This Row],[LS_TOTAL UNITS SOLD]]+INVESTORS_LIST[[#This Row],[SIP_TOTAL UNITS SOLD]]</f>
        <v>100000</v>
      </c>
      <c r="U455" s="50"/>
      <c r="V455" s="50">
        <f>SUMIFS(LS[BO UNIT TRANSFER],LS[Investor ID],INVESTORS_LIST[[#This Row],[INVESTOR CODE]],LS[B/S],"B")</f>
        <v>0</v>
      </c>
      <c r="W455" s="50">
        <f>SUMIFS(SIP[BO UNIT TRANSFER],SIP[Investor ID],INVESTORS_LIST[[#This Row],[INVESTOR CODE]],SIP[B/S],"B")</f>
        <v>0</v>
      </c>
      <c r="X455" s="50">
        <f>SUMIFS(LS[BO UNIT TRANSFER],LS[Investor ID],INVESTORS_LIST[[#This Row],[INVESTOR CODE]],LS[B/S],"S")</f>
        <v>0</v>
      </c>
      <c r="Y455" s="50">
        <f>SUMIFS(SIP[BO UNIT TRANSFER],SIP[Investor ID],INVESTORS_LIST[[#This Row],[INVESTOR CODE]],SIP[B/S],"S")</f>
        <v>0</v>
      </c>
      <c r="Z455" s="106">
        <f>SUM(INVESTORS_LIST[[#This Row],[BO OPENING BALANCE]:[BO SIP UNITS REPURCHASE]])</f>
        <v>0</v>
      </c>
      <c r="AA455" s="107">
        <f>INVESTORS_LIST[[#This Row],[TOTAL UNITS BUY]]-INVESTORS_LIST[[#This Row],[TOTAL UNITS SOLD]]</f>
        <v>0</v>
      </c>
      <c r="AB455" s="107">
        <f>INVESTORS_LIST[[#This Row],[TOTAL CURRENT UNITS]]-INVESTORS_LIST[[#This Row],[BO UNITS HOLD]]</f>
        <v>0</v>
      </c>
      <c r="AC455" s="201" t="e">
        <f>INDEX([3]!Table_1[BO ID],MATCH(INVESTORS_LIST[[#This Row],[INVESTOR CODE]],[3]!Table_1[INVESTOR CODE],0))</f>
        <v>#REF!</v>
      </c>
      <c r="AD455" s="201" t="e">
        <f>INDEX([3]!Table_1[Brokerage Name2],MATCH(INVESTORS_LIST[[#This Row],[INVESTOR CODE]],[3]!Table_1[INVESTOR CODE],0))</f>
        <v>#REF!</v>
      </c>
      <c r="AE455" s="201" t="e">
        <f>MID(INVESTORS_LIST[[#This Row],[BO ID]],4,5)</f>
        <v>#REF!</v>
      </c>
      <c r="AF455" s="201" t="e">
        <f>MID(INVESTORS_LIST[[#This Row],[BO ID]],2,7)</f>
        <v>#REF!</v>
      </c>
      <c r="AG455" s="201" t="e">
        <f>MID(INVESTORS_LIST[[#This Row],[BO ID]],9,7)</f>
        <v>#REF!</v>
      </c>
      <c r="AH455" s="201" t="e">
        <f>RIGHT(INVESTORS_LIST[[#This Row],[BO ID]],1)</f>
        <v>#REF!</v>
      </c>
      <c r="AI455" s="50">
        <f>INVESTORS_LIST[[#This Row],[LS_TOTAL COST VALUE OF CURRENT UNITS]]+INVESTORS_LIST[[#This Row],[SIP_TOTAL COST VALUE OF CURRENT UNITS]]</f>
        <v>0</v>
      </c>
      <c r="AJ455" s="109">
        <f>IF(INVESTORS_LIST[[#This Row],[TOTAL CURRENT UNITS]]=0,0,INVESTORS_LIST[[#This Row],[LS_TOTAL CURRENT UNITS]]/INVESTORS_LIST[[#This Row],[TOTAL CURRENT UNITS]])</f>
        <v>0</v>
      </c>
      <c r="AK455" s="109">
        <f>IF(INVESTORS_LIST[[#This Row],[TOTAL CURRENT UNITS]]=0,0,INVESTORS_LIST[[#This Row],[SIP_TOTAL CURRENT UNITS]]/INVESTORS_LIST[[#This Row],[TOTAL CURRENT UNITS]])</f>
        <v>0</v>
      </c>
      <c r="AL455" s="49" cm="1">
        <f t="array" ref="AL4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5" s="49" cm="1">
        <f t="array" ref="AM4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5" s="105">
        <f t="shared" si="8"/>
        <v>14.224</v>
      </c>
      <c r="AP455" s="112">
        <f>IF(INVESTORS_LIST[[#This Row],[TOTAL CURRENT UNITS]]=0,0,INVESTORS_LIST[[#This Row],[TOTAL CURRENT UNITS]]*INVESTORS_LIST[[#This Row],[NAV]])</f>
        <v>0</v>
      </c>
      <c r="AQ455" s="49">
        <f>IF(INVESTORS_LIST[[#This Row],[LS_TOTAL CURRENT UNITS]]=0,0,INVESTORS_LIST[[#This Row],[LS_TOTAL CURRENT UNITS]]*INVESTORS_LIST[[#This Row],[NAV]])</f>
        <v>0</v>
      </c>
      <c r="AR455" s="48">
        <f>IF(INVESTORS_LIST[[#This Row],[SIP_TOTAL CURRENT UNITS]]=0,0,INVESTORS_LIST[[#This Row],[SIP_TOTAL CURRENT UNITS]]*INVESTORS_LIST[[#This Row],[NAV]])</f>
        <v>0</v>
      </c>
      <c r="AS455" s="50">
        <f>INVESTORS_LIST[[#This Row],[TOTAL CURRENT UNITS]]</f>
        <v>0</v>
      </c>
      <c r="AT455" s="48">
        <f>IF(INVESTORS_LIST[[#This Row],[TOTAL SELLABLE UNITS]]=0,0,INVESTORS_LIST[[#This Row],[TOTAL SELLABLE UNITS]]*INVESTORS_LIST[[#This Row],[NAV]])</f>
        <v>0</v>
      </c>
      <c r="AU455" s="48">
        <f>INVESTORS_LIST[[#This Row],[LS_TOTAL REALIZED GAIN]]+INVESTORS_LIST[[#This Row],[SIP_TOTAL REALIZED GAIN]]</f>
        <v>103599.99999999996</v>
      </c>
      <c r="AV455" s="48">
        <f>INVESTORS_LIST[[#This Row],[TOTAL MARKET VALUE]]-INVESTORS_LIST[[#This Row],[TOTAL COST VALUE OF CURRENT INVESTMENT]]</f>
        <v>0</v>
      </c>
      <c r="AW455" s="108">
        <f>IFERROR(INVESTORS_LIST[[#This Row],[TOTAL CURRENT UNITS]]/SUM(INVESTORS_LIST[TOTAL CURRENT UNITS]),0)</f>
        <v>0</v>
      </c>
    </row>
    <row r="456" spans="1:49" hidden="1">
      <c r="A456" s="262" t="s">
        <v>957</v>
      </c>
      <c r="B456" s="97" t="s">
        <v>958</v>
      </c>
      <c r="C456" t="s">
        <v>67</v>
      </c>
      <c r="D456" s="75" t="s">
        <v>45</v>
      </c>
      <c r="E456" s="47">
        <f>SUMIFS(LS[Unit],LS[Investor ID],INVESTORS_LIST[[#This Row],[INVESTOR CODE]],LS[B/S],"B")</f>
        <v>10000</v>
      </c>
      <c r="F456" s="47">
        <f>-SUMIFS(LS[Unit],LS[Investor ID],INVESTORS_LIST[[#This Row],[INVESTOR CODE]],LS[B/S],"S")</f>
        <v>10000</v>
      </c>
      <c r="G456" s="47">
        <f>IF(INVESTORS_LIST[[#This Row],[LS_TOTAL UNITS BUY]]=0,0,INVESTORS_LIST[[#This Row],[LS_TOTAL UNITS BUY]]-INVESTORS_LIST[[#This Row],[LS_TOTAL UNITS SOLD]])</f>
        <v>0</v>
      </c>
      <c r="H456" s="49">
        <f>IF(INVESTORS_LIST[[#This Row],[LS_TOTAL UNITS BUY]]=0,0,SUMIFS(LS[Amount],LS[Investor ID],INVESTORS_LIST[[#This Row],[INVESTOR CODE]],LS[B/S],"B"))</f>
        <v>100000</v>
      </c>
      <c r="I456" s="48">
        <f>IF(INVESTORS_LIST[[#This Row],[LS_TOTAL UNITS SOLD]]=0,0,SUMIFS(LS[Cost of Units Sold],LS[Investor ID],INVESTORS_LIST[[#This Row],[INVESTOR CODE]],LS[B/S],"S"))</f>
        <v>100000</v>
      </c>
      <c r="J456" s="48">
        <f>IF(INVESTORS_LIST[[#This Row],[LS_TOTAL CURRENT UNITS]]=0,0,INVESTORS_LIST[[#This Row],[LS_TOTAL CURRENT UNITS]]*INVESTORS_LIST[[#This Row],[LS_AVERAGE COST]])</f>
        <v>0</v>
      </c>
      <c r="K456" s="49">
        <f>IF(INVESTORS_LIST[[#This Row],[LS_TOTAL UNITS SOLD]]=0,0,SUMIFS(LS[Realized Gain],LS[Investor ID],INVESTORS_LIST[[#This Row],[INVESTOR CODE]],LS[B/S],"S"))</f>
        <v>4979.9999999999936</v>
      </c>
      <c r="L456" s="47">
        <f>SUMIFS(SIP[Unit],SIP[Investor ID],INVESTORS_LIST[[#This Row],[INVESTOR CODE]],SIP[B/S],"B")</f>
        <v>0</v>
      </c>
      <c r="M456" s="47">
        <f>-SUMIFS(SIP[Unit],SIP[Investor ID],INVESTORS_LIST[[#This Row],[INVESTOR CODE]],SIP[B/S],"S")</f>
        <v>0</v>
      </c>
      <c r="N456" s="50">
        <f>IF(INVESTORS_LIST[[#This Row],[SIP_TOTAL UNITS BUY]]=0,0,INVESTORS_LIST[[#This Row],[SIP_TOTAL UNITS BUY]]-INVESTORS_LIST[[#This Row],[SIP_TOTAL UNITS SOLD]])</f>
        <v>0</v>
      </c>
      <c r="O456" s="49">
        <f>IF(INVESTORS_LIST[[#This Row],[SIP_TOTAL UNITS BUY]]=0,0,SUMIFS(SIP[Amount],SIP[Investor ID],INVESTORS_LIST[[#This Row],[INVESTOR CODE]],SIP[B/S],"B"))</f>
        <v>0</v>
      </c>
      <c r="P456" s="49">
        <f>IF(INVESTORS_LIST[[#This Row],[SIP_TOTAL UNITS SOLD]]=0,0,SUMIFS(SIP[Cost of Units Sold],SIP[Investor ID],INVESTORS_LIST[[#This Row],[INVESTOR CODE]],SIP[B/S],"S"))</f>
        <v>0</v>
      </c>
      <c r="Q456" s="48">
        <f>IF(INVESTORS_LIST[[#This Row],[SIP_TOTAL CURRENT UNITS]]=0,0,INVESTORS_LIST[[#This Row],[SIP_TOTAL CURRENT UNITS]]*INVESTORS_LIST[[#This Row],[SIP_AVERAGE COST]])</f>
        <v>0</v>
      </c>
      <c r="R456" s="48">
        <f>IF(INVESTORS_LIST[[#This Row],[SIP_TOTAL UNITS SOLD]]=0,0,SUMIFS(SIP[Realized Gain],SIP[Investor ID],INVESTORS_LIST[[#This Row],[INVESTOR CODE]],SIP[B/S],"S"))</f>
        <v>0</v>
      </c>
      <c r="S456" s="50">
        <f>INVESTORS_LIST[[#This Row],[LS_TOTAL UNITS BUY]]+INVESTORS_LIST[[#This Row],[SIP_TOTAL UNITS BUY]]</f>
        <v>10000</v>
      </c>
      <c r="T456" s="50">
        <f>INVESTORS_LIST[[#This Row],[LS_TOTAL UNITS SOLD]]+INVESTORS_LIST[[#This Row],[SIP_TOTAL UNITS SOLD]]</f>
        <v>10000</v>
      </c>
      <c r="U456" s="50"/>
      <c r="V456" s="50">
        <f>SUMIFS(LS[BO UNIT TRANSFER],LS[Investor ID],INVESTORS_LIST[[#This Row],[INVESTOR CODE]],LS[B/S],"B")</f>
        <v>0</v>
      </c>
      <c r="W456" s="50">
        <f>SUMIFS(SIP[BO UNIT TRANSFER],SIP[Investor ID],INVESTORS_LIST[[#This Row],[INVESTOR CODE]],SIP[B/S],"B")</f>
        <v>0</v>
      </c>
      <c r="X456" s="50">
        <f>SUMIFS(LS[BO UNIT TRANSFER],LS[Investor ID],INVESTORS_LIST[[#This Row],[INVESTOR CODE]],LS[B/S],"S")</f>
        <v>0</v>
      </c>
      <c r="Y456" s="50">
        <f>SUMIFS(SIP[BO UNIT TRANSFER],SIP[Investor ID],INVESTORS_LIST[[#This Row],[INVESTOR CODE]],SIP[B/S],"S")</f>
        <v>0</v>
      </c>
      <c r="Z456" s="106">
        <f>SUM(INVESTORS_LIST[[#This Row],[BO OPENING BALANCE]:[BO SIP UNITS REPURCHASE]])</f>
        <v>0</v>
      </c>
      <c r="AA456" s="107">
        <f>INVESTORS_LIST[[#This Row],[TOTAL UNITS BUY]]-INVESTORS_LIST[[#This Row],[TOTAL UNITS SOLD]]</f>
        <v>0</v>
      </c>
      <c r="AB456" s="107">
        <f>INVESTORS_LIST[[#This Row],[TOTAL CURRENT UNITS]]-INVESTORS_LIST[[#This Row],[BO UNITS HOLD]]</f>
        <v>0</v>
      </c>
      <c r="AC456" s="201" t="e">
        <f>INDEX([3]!Table_1[BO ID],MATCH(INVESTORS_LIST[[#This Row],[INVESTOR CODE]],[3]!Table_1[INVESTOR CODE],0))</f>
        <v>#REF!</v>
      </c>
      <c r="AD456" s="201" t="e">
        <f>INDEX([3]!Table_1[Brokerage Name2],MATCH(INVESTORS_LIST[[#This Row],[INVESTOR CODE]],[3]!Table_1[INVESTOR CODE],0))</f>
        <v>#REF!</v>
      </c>
      <c r="AE456" s="201" t="e">
        <f>MID(INVESTORS_LIST[[#This Row],[BO ID]],4,5)</f>
        <v>#REF!</v>
      </c>
      <c r="AF456" s="201" t="e">
        <f>MID(INVESTORS_LIST[[#This Row],[BO ID]],2,7)</f>
        <v>#REF!</v>
      </c>
      <c r="AG456" s="201" t="e">
        <f>MID(INVESTORS_LIST[[#This Row],[BO ID]],9,7)</f>
        <v>#REF!</v>
      </c>
      <c r="AH456" s="201" t="e">
        <f>RIGHT(INVESTORS_LIST[[#This Row],[BO ID]],1)</f>
        <v>#REF!</v>
      </c>
      <c r="AI456" s="50">
        <f>INVESTORS_LIST[[#This Row],[LS_TOTAL COST VALUE OF CURRENT UNITS]]+INVESTORS_LIST[[#This Row],[SIP_TOTAL COST VALUE OF CURRENT UNITS]]</f>
        <v>0</v>
      </c>
      <c r="AJ456" s="109">
        <f>IF(INVESTORS_LIST[[#This Row],[TOTAL CURRENT UNITS]]=0,0,INVESTORS_LIST[[#This Row],[LS_TOTAL CURRENT UNITS]]/INVESTORS_LIST[[#This Row],[TOTAL CURRENT UNITS]])</f>
        <v>0</v>
      </c>
      <c r="AK456" s="109">
        <f>IF(INVESTORS_LIST[[#This Row],[TOTAL CURRENT UNITS]]=0,0,INVESTORS_LIST[[#This Row],[SIP_TOTAL CURRENT UNITS]]/INVESTORS_LIST[[#This Row],[TOTAL CURRENT UNITS]])</f>
        <v>0</v>
      </c>
      <c r="AL456" s="49" cm="1">
        <f t="array" ref="AL4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6" s="49" cm="1">
        <f t="array" ref="AM4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6" s="105">
        <f t="shared" si="8"/>
        <v>14.224</v>
      </c>
      <c r="AP456" s="112">
        <f>IF(INVESTORS_LIST[[#This Row],[TOTAL CURRENT UNITS]]=0,0,INVESTORS_LIST[[#This Row],[TOTAL CURRENT UNITS]]*INVESTORS_LIST[[#This Row],[NAV]])</f>
        <v>0</v>
      </c>
      <c r="AQ456" s="49">
        <f>IF(INVESTORS_LIST[[#This Row],[LS_TOTAL CURRENT UNITS]]=0,0,INVESTORS_LIST[[#This Row],[LS_TOTAL CURRENT UNITS]]*INVESTORS_LIST[[#This Row],[NAV]])</f>
        <v>0</v>
      </c>
      <c r="AR456" s="48">
        <f>IF(INVESTORS_LIST[[#This Row],[SIP_TOTAL CURRENT UNITS]]=0,0,INVESTORS_LIST[[#This Row],[SIP_TOTAL CURRENT UNITS]]*INVESTORS_LIST[[#This Row],[NAV]])</f>
        <v>0</v>
      </c>
      <c r="AS456" s="50">
        <f>INVESTORS_LIST[[#This Row],[TOTAL CURRENT UNITS]]</f>
        <v>0</v>
      </c>
      <c r="AT456" s="48">
        <f>IF(INVESTORS_LIST[[#This Row],[TOTAL SELLABLE UNITS]]=0,0,INVESTORS_LIST[[#This Row],[TOTAL SELLABLE UNITS]]*INVESTORS_LIST[[#This Row],[NAV]])</f>
        <v>0</v>
      </c>
      <c r="AU456" s="48">
        <f>INVESTORS_LIST[[#This Row],[LS_TOTAL REALIZED GAIN]]+INVESTORS_LIST[[#This Row],[SIP_TOTAL REALIZED GAIN]]</f>
        <v>4979.9999999999936</v>
      </c>
      <c r="AV456" s="48">
        <f>INVESTORS_LIST[[#This Row],[TOTAL MARKET VALUE]]-INVESTORS_LIST[[#This Row],[TOTAL COST VALUE OF CURRENT INVESTMENT]]</f>
        <v>0</v>
      </c>
      <c r="AW456" s="48">
        <f>IFERROR(INVESTORS_LIST[[#This Row],[TOTAL CURRENT UNITS]]/SUM(INVESTORS_LIST[TOTAL CURRENT UNITS]),0)</f>
        <v>0</v>
      </c>
    </row>
    <row r="457" spans="1:49">
      <c r="A457" s="262" t="s">
        <v>959</v>
      </c>
      <c r="B457" s="97" t="s">
        <v>960</v>
      </c>
      <c r="C457" t="s">
        <v>48</v>
      </c>
      <c r="D457" s="75" t="s">
        <v>49</v>
      </c>
      <c r="E457" s="47">
        <f>SUMIFS(LS[Unit],LS[Investor ID],INVESTORS_LIST[[#This Row],[INVESTOR CODE]],LS[B/S],"B")</f>
        <v>825463</v>
      </c>
      <c r="F457" s="47">
        <f>-SUMIFS(LS[Unit],LS[Investor ID],INVESTORS_LIST[[#This Row],[INVESTOR CODE]],LS[B/S],"S")</f>
        <v>824805</v>
      </c>
      <c r="G457" s="47">
        <f>IF(INVESTORS_LIST[[#This Row],[LS_TOTAL UNITS BUY]]=0,0,INVESTORS_LIST[[#This Row],[LS_TOTAL UNITS BUY]]-INVESTORS_LIST[[#This Row],[LS_TOTAL UNITS SOLD]])</f>
        <v>658</v>
      </c>
      <c r="H457" s="49">
        <f>IF(INVESTORS_LIST[[#This Row],[LS_TOTAL UNITS BUY]]=0,0,SUMIFS(LS[Amount],LS[Investor ID],INVESTORS_LIST[[#This Row],[INVESTOR CODE]],LS[B/S],"B"))</f>
        <v>8400000</v>
      </c>
      <c r="I457" s="48">
        <f>IF(INVESTORS_LIST[[#This Row],[LS_TOTAL UNITS SOLD]]=0,0,SUMIFS(LS[Cost of Units Sold],LS[Investor ID],INVESTORS_LIST[[#This Row],[INVESTOR CODE]],LS[B/S],"S"))</f>
        <v>8393195.6281519663</v>
      </c>
      <c r="J457" s="48">
        <f>IF(INVESTORS_LIST[[#This Row],[LS_TOTAL CURRENT UNITS]]=0,0,INVESTORS_LIST[[#This Row],[LS_TOTAL CURRENT UNITS]]*INVESTORS_LIST[[#This Row],[LS_AVERAGE COST]])</f>
        <v>6804.3718480337484</v>
      </c>
      <c r="K457" s="49">
        <f>IF(INVESTORS_LIST[[#This Row],[LS_TOTAL UNITS SOLD]]=0,0,SUMIFS(LS[Realized Gain],LS[Investor ID],INVESTORS_LIST[[#This Row],[INVESTOR CODE]],LS[B/S],"S"))</f>
        <v>160392.57184803387</v>
      </c>
      <c r="L457" s="47">
        <f>SUMIFS(SIP[Unit],SIP[Investor ID],INVESTORS_LIST[[#This Row],[INVESTOR CODE]],SIP[B/S],"B")</f>
        <v>0</v>
      </c>
      <c r="M457" s="47">
        <f>-SUMIFS(SIP[Unit],SIP[Investor ID],INVESTORS_LIST[[#This Row],[INVESTOR CODE]],SIP[B/S],"S")</f>
        <v>0</v>
      </c>
      <c r="N457" s="50">
        <f>IF(INVESTORS_LIST[[#This Row],[SIP_TOTAL UNITS BUY]]=0,0,INVESTORS_LIST[[#This Row],[SIP_TOTAL UNITS BUY]]-INVESTORS_LIST[[#This Row],[SIP_TOTAL UNITS SOLD]])</f>
        <v>0</v>
      </c>
      <c r="O457" s="49">
        <f>IF(INVESTORS_LIST[[#This Row],[SIP_TOTAL UNITS BUY]]=0,0,SUMIFS(SIP[Amount],SIP[Investor ID],INVESTORS_LIST[[#This Row],[INVESTOR CODE]],SIP[B/S],"B"))</f>
        <v>0</v>
      </c>
      <c r="P457" s="49">
        <f>IF(INVESTORS_LIST[[#This Row],[SIP_TOTAL UNITS SOLD]]=0,0,SUMIFS(SIP[Cost of Units Sold],SIP[Investor ID],INVESTORS_LIST[[#This Row],[INVESTOR CODE]],SIP[B/S],"S"))</f>
        <v>0</v>
      </c>
      <c r="Q457" s="48">
        <f>IF(INVESTORS_LIST[[#This Row],[SIP_TOTAL CURRENT UNITS]]=0,0,INVESTORS_LIST[[#This Row],[SIP_TOTAL CURRENT UNITS]]*INVESTORS_LIST[[#This Row],[SIP_AVERAGE COST]])</f>
        <v>0</v>
      </c>
      <c r="R457" s="48">
        <f>IF(INVESTORS_LIST[[#This Row],[SIP_TOTAL UNITS SOLD]]=0,0,SUMIFS(SIP[Realized Gain],SIP[Investor ID],INVESTORS_LIST[[#This Row],[INVESTOR CODE]],SIP[B/S],"S"))</f>
        <v>0</v>
      </c>
      <c r="S457" s="50">
        <f>INVESTORS_LIST[[#This Row],[LS_TOTAL UNITS BUY]]+INVESTORS_LIST[[#This Row],[SIP_TOTAL UNITS BUY]]</f>
        <v>825463</v>
      </c>
      <c r="T457" s="50">
        <f>INVESTORS_LIST[[#This Row],[LS_TOTAL UNITS SOLD]]+INVESTORS_LIST[[#This Row],[SIP_TOTAL UNITS SOLD]]</f>
        <v>824805</v>
      </c>
      <c r="U457" s="50"/>
      <c r="V457" s="50">
        <f>SUMIFS(LS[BO UNIT TRANSFER],LS[Investor ID],INVESTORS_LIST[[#This Row],[INVESTOR CODE]],LS[B/S],"B")</f>
        <v>0</v>
      </c>
      <c r="W457" s="50">
        <f>SUMIFS(SIP[BO UNIT TRANSFER],SIP[Investor ID],INVESTORS_LIST[[#This Row],[INVESTOR CODE]],SIP[B/S],"B")</f>
        <v>0</v>
      </c>
      <c r="X457" s="50">
        <f>SUMIFS(LS[BO UNIT TRANSFER],LS[Investor ID],INVESTORS_LIST[[#This Row],[INVESTOR CODE]],LS[B/S],"S")</f>
        <v>0</v>
      </c>
      <c r="Y457" s="50">
        <f>SUMIFS(SIP[BO UNIT TRANSFER],SIP[Investor ID],INVESTORS_LIST[[#This Row],[INVESTOR CODE]],SIP[B/S],"S")</f>
        <v>0</v>
      </c>
      <c r="Z457" s="106">
        <f>SUM(INVESTORS_LIST[[#This Row],[BO OPENING BALANCE]:[BO SIP UNITS REPURCHASE]])</f>
        <v>0</v>
      </c>
      <c r="AA457" s="107">
        <f>INVESTORS_LIST[[#This Row],[TOTAL UNITS BUY]]-INVESTORS_LIST[[#This Row],[TOTAL UNITS SOLD]]</f>
        <v>658</v>
      </c>
      <c r="AB457" s="107">
        <f>INVESTORS_LIST[[#This Row],[TOTAL CURRENT UNITS]]-INVESTORS_LIST[[#This Row],[BO UNITS HOLD]]</f>
        <v>658</v>
      </c>
      <c r="AC457" s="201" t="e">
        <f>INDEX([3]!Table_1[BO ID],MATCH(INVESTORS_LIST[[#This Row],[INVESTOR CODE]],[3]!Table_1[INVESTOR CODE],0))</f>
        <v>#REF!</v>
      </c>
      <c r="AD457" s="201" t="e">
        <f>INDEX([3]!Table_1[Brokerage Name2],MATCH(INVESTORS_LIST[[#This Row],[INVESTOR CODE]],[3]!Table_1[INVESTOR CODE],0))</f>
        <v>#REF!</v>
      </c>
      <c r="AE457" s="201" t="e">
        <f>MID(INVESTORS_LIST[[#This Row],[BO ID]],4,5)</f>
        <v>#REF!</v>
      </c>
      <c r="AF457" s="201" t="e">
        <f>MID(INVESTORS_LIST[[#This Row],[BO ID]],2,7)</f>
        <v>#REF!</v>
      </c>
      <c r="AG457" s="201" t="e">
        <f>MID(INVESTORS_LIST[[#This Row],[BO ID]],9,7)</f>
        <v>#REF!</v>
      </c>
      <c r="AH457" s="201" t="e">
        <f>RIGHT(INVESTORS_LIST[[#This Row],[BO ID]],1)</f>
        <v>#REF!</v>
      </c>
      <c r="AI457" s="50">
        <f>INVESTORS_LIST[[#This Row],[LS_TOTAL COST VALUE OF CURRENT UNITS]]+INVESTORS_LIST[[#This Row],[SIP_TOTAL COST VALUE OF CURRENT UNITS]]</f>
        <v>6804.3718480337484</v>
      </c>
      <c r="AJ457" s="109">
        <f>IF(INVESTORS_LIST[[#This Row],[TOTAL CURRENT UNITS]]=0,0,INVESTORS_LIST[[#This Row],[LS_TOTAL CURRENT UNITS]]/INVESTORS_LIST[[#This Row],[TOTAL CURRENT UNITS]])</f>
        <v>1</v>
      </c>
      <c r="AK457" s="109">
        <f>IF(INVESTORS_LIST[[#This Row],[TOTAL CURRENT UNITS]]=0,0,INVESTORS_LIST[[#This Row],[SIP_TOTAL CURRENT UNITS]]/INVESTORS_LIST[[#This Row],[TOTAL CURRENT UNITS]])</f>
        <v>0</v>
      </c>
      <c r="AL457" s="49" cm="1">
        <f t="array" ref="AL457">IF(INVESTORS_LIST[[#This Row],[LS_TOTAL UNITS BUY]]&gt;0,INDEX(LS[NAV at Cost (Average)],MATCH(CONCATENATE(COUNTIFS(LS[Investor ID],INVESTORS_LIST[[#This Row],[INVESTOR CODE]]),INVESTORS_LIST[[#This Row],[INVESTOR CODE]]),LS[Unique Code],0),),0)</f>
        <v>10.340990650507216</v>
      </c>
      <c r="AM457" s="49" cm="1">
        <f t="array" ref="AM4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7" s="105">
        <f>IF(INVESTORS_LIST[[#This Row],[TOTAL CURRENT UNITS]]=0,0,(INVESTORS_LIST[[#This Row],[LS_WEIGHT]]*INVESTORS_LIST[[#This Row],[LS_AVERAGE COST]])+(INVESTORS_LIST[[#This Row],[SIP_WEIGHT]]*INVESTORS_LIST[[#This Row],[SIP_AVERAGE COST]]))</f>
        <v>10.340990650507216</v>
      </c>
      <c r="AO457" s="105">
        <f t="shared" si="8"/>
        <v>14.224</v>
      </c>
      <c r="AP457" s="112">
        <f>IF(INVESTORS_LIST[[#This Row],[TOTAL CURRENT UNITS]]=0,0,INVESTORS_LIST[[#This Row],[TOTAL CURRENT UNITS]]*INVESTORS_LIST[[#This Row],[NAV]])</f>
        <v>9359.3919999999998</v>
      </c>
      <c r="AQ457" s="49">
        <f>IF(INVESTORS_LIST[[#This Row],[LS_TOTAL CURRENT UNITS]]=0,0,INVESTORS_LIST[[#This Row],[LS_TOTAL CURRENT UNITS]]*INVESTORS_LIST[[#This Row],[NAV]])</f>
        <v>9359.3919999999998</v>
      </c>
      <c r="AR457" s="48">
        <f>IF(INVESTORS_LIST[[#This Row],[SIP_TOTAL CURRENT UNITS]]=0,0,INVESTORS_LIST[[#This Row],[SIP_TOTAL CURRENT UNITS]]*INVESTORS_LIST[[#This Row],[NAV]])</f>
        <v>0</v>
      </c>
      <c r="AS457" s="50">
        <f>INVESTORS_LIST[[#This Row],[TOTAL CURRENT UNITS]]</f>
        <v>658</v>
      </c>
      <c r="AT457" s="48">
        <f>IF(INVESTORS_LIST[[#This Row],[TOTAL SELLABLE UNITS]]=0,0,INVESTORS_LIST[[#This Row],[TOTAL SELLABLE UNITS]]*INVESTORS_LIST[[#This Row],[NAV]])</f>
        <v>9359.3919999999998</v>
      </c>
      <c r="AU457" s="48">
        <f>INVESTORS_LIST[[#This Row],[LS_TOTAL REALIZED GAIN]]+INVESTORS_LIST[[#This Row],[SIP_TOTAL REALIZED GAIN]]</f>
        <v>160392.57184803387</v>
      </c>
      <c r="AV457" s="48">
        <f>INVESTORS_LIST[[#This Row],[TOTAL MARKET VALUE]]-INVESTORS_LIST[[#This Row],[TOTAL COST VALUE OF CURRENT INVESTMENT]]</f>
        <v>2555.0201519662514</v>
      </c>
      <c r="AW457" s="108">
        <f>IFERROR(INVESTORS_LIST[[#This Row],[TOTAL CURRENT UNITS]]/SUM(INVESTORS_LIST[TOTAL CURRENT UNITS]),0)</f>
        <v>1.5973744795636207E-5</v>
      </c>
    </row>
    <row r="458" spans="1:49" hidden="1">
      <c r="A458" s="262" t="s">
        <v>961</v>
      </c>
      <c r="B458" s="97" t="s">
        <v>962</v>
      </c>
      <c r="C458" t="s">
        <v>44</v>
      </c>
      <c r="D458" s="75" t="s">
        <v>45</v>
      </c>
      <c r="E458" s="47">
        <f>SUMIFS(LS[Unit],LS[Investor ID],INVESTORS_LIST[[#This Row],[INVESTOR CODE]],LS[B/S],"B")</f>
        <v>0</v>
      </c>
      <c r="F458" s="47">
        <f>-SUMIFS(LS[Unit],LS[Investor ID],INVESTORS_LIST[[#This Row],[INVESTOR CODE]],LS[B/S],"S")</f>
        <v>0</v>
      </c>
      <c r="G458" s="47">
        <f>IF(INVESTORS_LIST[[#This Row],[LS_TOTAL UNITS BUY]]=0,0,INVESTORS_LIST[[#This Row],[LS_TOTAL UNITS BUY]]-INVESTORS_LIST[[#This Row],[LS_TOTAL UNITS SOLD]])</f>
        <v>0</v>
      </c>
      <c r="H458" s="49">
        <f>IF(INVESTORS_LIST[[#This Row],[LS_TOTAL UNITS BUY]]=0,0,SUMIFS(LS[Amount],LS[Investor ID],INVESTORS_LIST[[#This Row],[INVESTOR CODE]],LS[B/S],"B"))</f>
        <v>0</v>
      </c>
      <c r="I458" s="48">
        <f>IF(INVESTORS_LIST[[#This Row],[LS_TOTAL UNITS SOLD]]=0,0,SUMIFS(LS[Cost of Units Sold],LS[Investor ID],INVESTORS_LIST[[#This Row],[INVESTOR CODE]],LS[B/S],"S"))</f>
        <v>0</v>
      </c>
      <c r="J458" s="48">
        <f>IF(INVESTORS_LIST[[#This Row],[LS_TOTAL CURRENT UNITS]]=0,0,INVESTORS_LIST[[#This Row],[LS_TOTAL CURRENT UNITS]]*INVESTORS_LIST[[#This Row],[LS_AVERAGE COST]])</f>
        <v>0</v>
      </c>
      <c r="K458" s="49">
        <f>IF(INVESTORS_LIST[[#This Row],[LS_TOTAL UNITS SOLD]]=0,0,SUMIFS(LS[Realized Gain],LS[Investor ID],INVESTORS_LIST[[#This Row],[INVESTOR CODE]],LS[B/S],"S"))</f>
        <v>0</v>
      </c>
      <c r="L458" s="47">
        <f>SUMIFS(SIP[Unit],SIP[Investor ID],INVESTORS_LIST[[#This Row],[INVESTOR CODE]],SIP[B/S],"B")</f>
        <v>0</v>
      </c>
      <c r="M458" s="47">
        <f>-SUMIFS(SIP[Unit],SIP[Investor ID],INVESTORS_LIST[[#This Row],[INVESTOR CODE]],SIP[B/S],"S")</f>
        <v>0</v>
      </c>
      <c r="N458" s="50">
        <f>IF(INVESTORS_LIST[[#This Row],[SIP_TOTAL UNITS BUY]]=0,0,INVESTORS_LIST[[#This Row],[SIP_TOTAL UNITS BUY]]-INVESTORS_LIST[[#This Row],[SIP_TOTAL UNITS SOLD]])</f>
        <v>0</v>
      </c>
      <c r="O458" s="49">
        <f>IF(INVESTORS_LIST[[#This Row],[SIP_TOTAL UNITS BUY]]=0,0,SUMIFS(SIP[Amount],SIP[Investor ID],INVESTORS_LIST[[#This Row],[INVESTOR CODE]],SIP[B/S],"B"))</f>
        <v>0</v>
      </c>
      <c r="P458" s="49">
        <f>IF(INVESTORS_LIST[[#This Row],[SIP_TOTAL UNITS SOLD]]=0,0,SUMIFS(SIP[Cost of Units Sold],SIP[Investor ID],INVESTORS_LIST[[#This Row],[INVESTOR CODE]],SIP[B/S],"S"))</f>
        <v>0</v>
      </c>
      <c r="Q458" s="48">
        <f>IF(INVESTORS_LIST[[#This Row],[SIP_TOTAL CURRENT UNITS]]=0,0,INVESTORS_LIST[[#This Row],[SIP_TOTAL CURRENT UNITS]]*INVESTORS_LIST[[#This Row],[SIP_AVERAGE COST]])</f>
        <v>0</v>
      </c>
      <c r="R458" s="48">
        <f>IF(INVESTORS_LIST[[#This Row],[SIP_TOTAL UNITS SOLD]]=0,0,SUMIFS(SIP[Realized Gain],SIP[Investor ID],INVESTORS_LIST[[#This Row],[INVESTOR CODE]],SIP[B/S],"S"))</f>
        <v>0</v>
      </c>
      <c r="S458" s="50">
        <f>INVESTORS_LIST[[#This Row],[LS_TOTAL UNITS BUY]]+INVESTORS_LIST[[#This Row],[SIP_TOTAL UNITS BUY]]</f>
        <v>0</v>
      </c>
      <c r="T458" s="50">
        <f>INVESTORS_LIST[[#This Row],[LS_TOTAL UNITS SOLD]]+INVESTORS_LIST[[#This Row],[SIP_TOTAL UNITS SOLD]]</f>
        <v>0</v>
      </c>
      <c r="U458" s="50"/>
      <c r="V458" s="50">
        <f>SUMIFS(LS[BO UNIT TRANSFER],LS[Investor ID],INVESTORS_LIST[[#This Row],[INVESTOR CODE]],LS[B/S],"B")</f>
        <v>0</v>
      </c>
      <c r="W458" s="50">
        <f>SUMIFS(SIP[BO UNIT TRANSFER],SIP[Investor ID],INVESTORS_LIST[[#This Row],[INVESTOR CODE]],SIP[B/S],"B")</f>
        <v>0</v>
      </c>
      <c r="X458" s="50">
        <f>SUMIFS(LS[BO UNIT TRANSFER],LS[Investor ID],INVESTORS_LIST[[#This Row],[INVESTOR CODE]],LS[B/S],"S")</f>
        <v>0</v>
      </c>
      <c r="Y458" s="50">
        <f>SUMIFS(SIP[BO UNIT TRANSFER],SIP[Investor ID],INVESTORS_LIST[[#This Row],[INVESTOR CODE]],SIP[B/S],"S")</f>
        <v>0</v>
      </c>
      <c r="Z458" s="106">
        <f>SUM(INVESTORS_LIST[[#This Row],[BO OPENING BALANCE]:[BO SIP UNITS REPURCHASE]])</f>
        <v>0</v>
      </c>
      <c r="AA458" s="107">
        <f>INVESTORS_LIST[[#This Row],[TOTAL UNITS BUY]]-INVESTORS_LIST[[#This Row],[TOTAL UNITS SOLD]]</f>
        <v>0</v>
      </c>
      <c r="AB458" s="107">
        <f>INVESTORS_LIST[[#This Row],[TOTAL CURRENT UNITS]]-INVESTORS_LIST[[#This Row],[BO UNITS HOLD]]</f>
        <v>0</v>
      </c>
      <c r="AC458" s="201" t="e">
        <f>INDEX([3]!Table_1[BO ID],MATCH(INVESTORS_LIST[[#This Row],[INVESTOR CODE]],[3]!Table_1[INVESTOR CODE],0))</f>
        <v>#REF!</v>
      </c>
      <c r="AD458" s="201" t="e">
        <f>INDEX([3]!Table_1[Brokerage Name2],MATCH(INVESTORS_LIST[[#This Row],[INVESTOR CODE]],[3]!Table_1[INVESTOR CODE],0))</f>
        <v>#REF!</v>
      </c>
      <c r="AE458" s="201" t="e">
        <f>MID(INVESTORS_LIST[[#This Row],[BO ID]],4,5)</f>
        <v>#REF!</v>
      </c>
      <c r="AF458" s="201" t="e">
        <f>MID(INVESTORS_LIST[[#This Row],[BO ID]],2,7)</f>
        <v>#REF!</v>
      </c>
      <c r="AG458" s="201" t="e">
        <f>MID(INVESTORS_LIST[[#This Row],[BO ID]],9,7)</f>
        <v>#REF!</v>
      </c>
      <c r="AH458" s="201" t="e">
        <f>RIGHT(INVESTORS_LIST[[#This Row],[BO ID]],1)</f>
        <v>#REF!</v>
      </c>
      <c r="AI458" s="50">
        <f>INVESTORS_LIST[[#This Row],[LS_TOTAL COST VALUE OF CURRENT UNITS]]+INVESTORS_LIST[[#This Row],[SIP_TOTAL COST VALUE OF CURRENT UNITS]]</f>
        <v>0</v>
      </c>
      <c r="AJ458" s="109">
        <f>IF(INVESTORS_LIST[[#This Row],[TOTAL CURRENT UNITS]]=0,0,INVESTORS_LIST[[#This Row],[LS_TOTAL CURRENT UNITS]]/INVESTORS_LIST[[#This Row],[TOTAL CURRENT UNITS]])</f>
        <v>0</v>
      </c>
      <c r="AK458" s="109">
        <f>IF(INVESTORS_LIST[[#This Row],[TOTAL CURRENT UNITS]]=0,0,INVESTORS_LIST[[#This Row],[SIP_TOTAL CURRENT UNITS]]/INVESTORS_LIST[[#This Row],[TOTAL CURRENT UNITS]])</f>
        <v>0</v>
      </c>
      <c r="AL458" s="49" cm="1">
        <f t="array" ref="AL4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58" s="49" cm="1">
        <f t="array" ref="AM4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58" s="105">
        <f t="shared" si="8"/>
        <v>14.224</v>
      </c>
      <c r="AP458" s="112">
        <f>IF(INVESTORS_LIST[[#This Row],[TOTAL CURRENT UNITS]]=0,0,INVESTORS_LIST[[#This Row],[TOTAL CURRENT UNITS]]*INVESTORS_LIST[[#This Row],[NAV]])</f>
        <v>0</v>
      </c>
      <c r="AQ458" s="49">
        <f>IF(INVESTORS_LIST[[#This Row],[LS_TOTAL CURRENT UNITS]]=0,0,INVESTORS_LIST[[#This Row],[LS_TOTAL CURRENT UNITS]]*INVESTORS_LIST[[#This Row],[NAV]])</f>
        <v>0</v>
      </c>
      <c r="AR458" s="48">
        <f>IF(INVESTORS_LIST[[#This Row],[SIP_TOTAL CURRENT UNITS]]=0,0,INVESTORS_LIST[[#This Row],[SIP_TOTAL CURRENT UNITS]]*INVESTORS_LIST[[#This Row],[NAV]])</f>
        <v>0</v>
      </c>
      <c r="AS458" s="50">
        <f>INVESTORS_LIST[[#This Row],[TOTAL CURRENT UNITS]]</f>
        <v>0</v>
      </c>
      <c r="AT458" s="48">
        <f>IF(INVESTORS_LIST[[#This Row],[TOTAL SELLABLE UNITS]]=0,0,INVESTORS_LIST[[#This Row],[TOTAL SELLABLE UNITS]]*INVESTORS_LIST[[#This Row],[NAV]])</f>
        <v>0</v>
      </c>
      <c r="AU458" s="48">
        <f>INVESTORS_LIST[[#This Row],[LS_TOTAL REALIZED GAIN]]+INVESTORS_LIST[[#This Row],[SIP_TOTAL REALIZED GAIN]]</f>
        <v>0</v>
      </c>
      <c r="AV458" s="48">
        <f>INVESTORS_LIST[[#This Row],[TOTAL MARKET VALUE]]-INVESTORS_LIST[[#This Row],[TOTAL COST VALUE OF CURRENT INVESTMENT]]</f>
        <v>0</v>
      </c>
      <c r="AW458" s="48">
        <f>IFERROR(INVESTORS_LIST[[#This Row],[TOTAL CURRENT UNITS]]/SUM(INVESTORS_LIST[TOTAL CURRENT UNITS]),0)</f>
        <v>0</v>
      </c>
    </row>
    <row r="459" spans="1:49">
      <c r="A459" s="262" t="s">
        <v>963</v>
      </c>
      <c r="B459" s="97" t="s">
        <v>964</v>
      </c>
      <c r="C459" t="s">
        <v>48</v>
      </c>
      <c r="D459" s="75" t="s">
        <v>80</v>
      </c>
      <c r="E459" s="47">
        <f>SUMIFS(LS[Unit],LS[Investor ID],INVESTORS_LIST[[#This Row],[INVESTOR CODE]],LS[B/S],"B")</f>
        <v>250000</v>
      </c>
      <c r="F459" s="47">
        <f>-SUMIFS(LS[Unit],LS[Investor ID],INVESTORS_LIST[[#This Row],[INVESTOR CODE]],LS[B/S],"S")</f>
        <v>0</v>
      </c>
      <c r="G459" s="47">
        <f>IF(INVESTORS_LIST[[#This Row],[LS_TOTAL UNITS BUY]]=0,0,INVESTORS_LIST[[#This Row],[LS_TOTAL UNITS BUY]]-INVESTORS_LIST[[#This Row],[LS_TOTAL UNITS SOLD]])</f>
        <v>250000</v>
      </c>
      <c r="H459" s="49">
        <f>IF(INVESTORS_LIST[[#This Row],[LS_TOTAL UNITS BUY]]=0,0,SUMIFS(LS[Amount],LS[Investor ID],INVESTORS_LIST[[#This Row],[INVESTOR CODE]],LS[B/S],"B"))</f>
        <v>2500000</v>
      </c>
      <c r="I459" s="48">
        <f>IF(INVESTORS_LIST[[#This Row],[LS_TOTAL UNITS SOLD]]=0,0,SUMIFS(LS[Cost of Units Sold],LS[Investor ID],INVESTORS_LIST[[#This Row],[INVESTOR CODE]],LS[B/S],"S"))</f>
        <v>0</v>
      </c>
      <c r="J459" s="48">
        <f>IF(INVESTORS_LIST[[#This Row],[LS_TOTAL CURRENT UNITS]]=0,0,INVESTORS_LIST[[#This Row],[LS_TOTAL CURRENT UNITS]]*INVESTORS_LIST[[#This Row],[LS_AVERAGE COST]])</f>
        <v>2500000</v>
      </c>
      <c r="K459" s="49">
        <f>IF(INVESTORS_LIST[[#This Row],[LS_TOTAL UNITS SOLD]]=0,0,SUMIFS(LS[Realized Gain],LS[Investor ID],INVESTORS_LIST[[#This Row],[INVESTOR CODE]],LS[B/S],"S"))</f>
        <v>0</v>
      </c>
      <c r="L459" s="47">
        <f>SUMIFS(SIP[Unit],SIP[Investor ID],INVESTORS_LIST[[#This Row],[INVESTOR CODE]],SIP[B/S],"B")</f>
        <v>0</v>
      </c>
      <c r="M459" s="47">
        <f>-SUMIFS(SIP[Unit],SIP[Investor ID],INVESTORS_LIST[[#This Row],[INVESTOR CODE]],SIP[B/S],"S")</f>
        <v>0</v>
      </c>
      <c r="N459" s="50">
        <f>IF(INVESTORS_LIST[[#This Row],[SIP_TOTAL UNITS BUY]]=0,0,INVESTORS_LIST[[#This Row],[SIP_TOTAL UNITS BUY]]-INVESTORS_LIST[[#This Row],[SIP_TOTAL UNITS SOLD]])</f>
        <v>0</v>
      </c>
      <c r="O459" s="49">
        <f>IF(INVESTORS_LIST[[#This Row],[SIP_TOTAL UNITS BUY]]=0,0,SUMIFS(SIP[Amount],SIP[Investor ID],INVESTORS_LIST[[#This Row],[INVESTOR CODE]],SIP[B/S],"B"))</f>
        <v>0</v>
      </c>
      <c r="P459" s="49">
        <f>IF(INVESTORS_LIST[[#This Row],[SIP_TOTAL UNITS SOLD]]=0,0,SUMIFS(SIP[Cost of Units Sold],SIP[Investor ID],INVESTORS_LIST[[#This Row],[INVESTOR CODE]],SIP[B/S],"S"))</f>
        <v>0</v>
      </c>
      <c r="Q459" s="48">
        <f>IF(INVESTORS_LIST[[#This Row],[SIP_TOTAL CURRENT UNITS]]=0,0,INVESTORS_LIST[[#This Row],[SIP_TOTAL CURRENT UNITS]]*INVESTORS_LIST[[#This Row],[SIP_AVERAGE COST]])</f>
        <v>0</v>
      </c>
      <c r="R459" s="48">
        <f>IF(INVESTORS_LIST[[#This Row],[SIP_TOTAL UNITS SOLD]]=0,0,SUMIFS(SIP[Realized Gain],SIP[Investor ID],INVESTORS_LIST[[#This Row],[INVESTOR CODE]],SIP[B/S],"S"))</f>
        <v>0</v>
      </c>
      <c r="S459" s="50">
        <f>INVESTORS_LIST[[#This Row],[LS_TOTAL UNITS BUY]]+INVESTORS_LIST[[#This Row],[SIP_TOTAL UNITS BUY]]</f>
        <v>250000</v>
      </c>
      <c r="T459" s="50">
        <f>INVESTORS_LIST[[#This Row],[LS_TOTAL UNITS SOLD]]+INVESTORS_LIST[[#This Row],[SIP_TOTAL UNITS SOLD]]</f>
        <v>0</v>
      </c>
      <c r="U459" s="50"/>
      <c r="V459" s="50">
        <f>SUMIFS(LS[BO UNIT TRANSFER],LS[Investor ID],INVESTORS_LIST[[#This Row],[INVESTOR CODE]],LS[B/S],"B")</f>
        <v>0</v>
      </c>
      <c r="W459" s="50">
        <f>SUMIFS(SIP[BO UNIT TRANSFER],SIP[Investor ID],INVESTORS_LIST[[#This Row],[INVESTOR CODE]],SIP[B/S],"B")</f>
        <v>0</v>
      </c>
      <c r="X459" s="50">
        <f>SUMIFS(LS[BO UNIT TRANSFER],LS[Investor ID],INVESTORS_LIST[[#This Row],[INVESTOR CODE]],LS[B/S],"S")</f>
        <v>0</v>
      </c>
      <c r="Y459" s="50">
        <f>SUMIFS(SIP[BO UNIT TRANSFER],SIP[Investor ID],INVESTORS_LIST[[#This Row],[INVESTOR CODE]],SIP[B/S],"S")</f>
        <v>0</v>
      </c>
      <c r="Z459" s="106">
        <f>SUM(INVESTORS_LIST[[#This Row],[BO OPENING BALANCE]:[BO SIP UNITS REPURCHASE]])</f>
        <v>0</v>
      </c>
      <c r="AA459" s="107">
        <f>INVESTORS_LIST[[#This Row],[TOTAL UNITS BUY]]-INVESTORS_LIST[[#This Row],[TOTAL UNITS SOLD]]</f>
        <v>250000</v>
      </c>
      <c r="AB459" s="107">
        <f>INVESTORS_LIST[[#This Row],[TOTAL CURRENT UNITS]]-INVESTORS_LIST[[#This Row],[BO UNITS HOLD]]</f>
        <v>250000</v>
      </c>
      <c r="AC459" s="201" t="e">
        <f>INDEX([3]!Table_1[BO ID],MATCH(INVESTORS_LIST[[#This Row],[INVESTOR CODE]],[3]!Table_1[INVESTOR CODE],0))</f>
        <v>#REF!</v>
      </c>
      <c r="AD459" s="201" t="e">
        <f>INDEX([3]!Table_1[Brokerage Name2],MATCH(INVESTORS_LIST[[#This Row],[INVESTOR CODE]],[3]!Table_1[INVESTOR CODE],0))</f>
        <v>#REF!</v>
      </c>
      <c r="AE459" s="201" t="e">
        <f>MID(INVESTORS_LIST[[#This Row],[BO ID]],4,5)</f>
        <v>#REF!</v>
      </c>
      <c r="AF459" s="201" t="e">
        <f>MID(INVESTORS_LIST[[#This Row],[BO ID]],2,7)</f>
        <v>#REF!</v>
      </c>
      <c r="AG459" s="201" t="e">
        <f>MID(INVESTORS_LIST[[#This Row],[BO ID]],9,7)</f>
        <v>#REF!</v>
      </c>
      <c r="AH459" s="201" t="e">
        <f>RIGHT(INVESTORS_LIST[[#This Row],[BO ID]],1)</f>
        <v>#REF!</v>
      </c>
      <c r="AI459" s="50">
        <f>INVESTORS_LIST[[#This Row],[LS_TOTAL COST VALUE OF CURRENT UNITS]]+INVESTORS_LIST[[#This Row],[SIP_TOTAL COST VALUE OF CURRENT UNITS]]</f>
        <v>2500000</v>
      </c>
      <c r="AJ459" s="109">
        <f>IF(INVESTORS_LIST[[#This Row],[TOTAL CURRENT UNITS]]=0,0,INVESTORS_LIST[[#This Row],[LS_TOTAL CURRENT UNITS]]/INVESTORS_LIST[[#This Row],[TOTAL CURRENT UNITS]])</f>
        <v>1</v>
      </c>
      <c r="AK459" s="109">
        <f>IF(INVESTORS_LIST[[#This Row],[TOTAL CURRENT UNITS]]=0,0,INVESTORS_LIST[[#This Row],[SIP_TOTAL CURRENT UNITS]]/INVESTORS_LIST[[#This Row],[TOTAL CURRENT UNITS]])</f>
        <v>0</v>
      </c>
      <c r="AL459" s="49" cm="1">
        <f t="array" ref="AL459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459" s="49" cm="1">
        <f t="array" ref="AM4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59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459" s="105">
        <f t="shared" si="8"/>
        <v>14.224</v>
      </c>
      <c r="AP459" s="112">
        <f>IF(INVESTORS_LIST[[#This Row],[TOTAL CURRENT UNITS]]=0,0,INVESTORS_LIST[[#This Row],[TOTAL CURRENT UNITS]]*INVESTORS_LIST[[#This Row],[NAV]])</f>
        <v>3556000</v>
      </c>
      <c r="AQ459" s="49">
        <f>IF(INVESTORS_LIST[[#This Row],[LS_TOTAL CURRENT UNITS]]=0,0,INVESTORS_LIST[[#This Row],[LS_TOTAL CURRENT UNITS]]*INVESTORS_LIST[[#This Row],[NAV]])</f>
        <v>3556000</v>
      </c>
      <c r="AR459" s="48">
        <f>IF(INVESTORS_LIST[[#This Row],[SIP_TOTAL CURRENT UNITS]]=0,0,INVESTORS_LIST[[#This Row],[SIP_TOTAL CURRENT UNITS]]*INVESTORS_LIST[[#This Row],[NAV]])</f>
        <v>0</v>
      </c>
      <c r="AS459" s="50">
        <f>INVESTORS_LIST[[#This Row],[TOTAL CURRENT UNITS]]</f>
        <v>250000</v>
      </c>
      <c r="AT459" s="48">
        <f>IF(INVESTORS_LIST[[#This Row],[TOTAL SELLABLE UNITS]]=0,0,INVESTORS_LIST[[#This Row],[TOTAL SELLABLE UNITS]]*INVESTORS_LIST[[#This Row],[NAV]])</f>
        <v>3556000</v>
      </c>
      <c r="AU459" s="48">
        <f>INVESTORS_LIST[[#This Row],[LS_TOTAL REALIZED GAIN]]+INVESTORS_LIST[[#This Row],[SIP_TOTAL REALIZED GAIN]]</f>
        <v>0</v>
      </c>
      <c r="AV459" s="48">
        <f>INVESTORS_LIST[[#This Row],[TOTAL MARKET VALUE]]-INVESTORS_LIST[[#This Row],[TOTAL COST VALUE OF CURRENT INVESTMENT]]</f>
        <v>1056000</v>
      </c>
      <c r="AW459" s="108">
        <f>IFERROR(INVESTORS_LIST[[#This Row],[TOTAL CURRENT UNITS]]/SUM(INVESTORS_LIST[TOTAL CURRENT UNITS]),0)</f>
        <v>6.0690519740259144E-3</v>
      </c>
    </row>
    <row r="460" spans="1:49">
      <c r="A460" s="262" t="s">
        <v>965</v>
      </c>
      <c r="B460" s="97" t="s">
        <v>966</v>
      </c>
      <c r="C460" t="s">
        <v>44</v>
      </c>
      <c r="D460" s="75" t="s">
        <v>45</v>
      </c>
      <c r="E460" s="47">
        <f>SUMIFS(LS[Unit],LS[Investor ID],INVESTORS_LIST[[#This Row],[INVESTOR CODE]],LS[B/S],"B")</f>
        <v>5000</v>
      </c>
      <c r="F460" s="47">
        <f>-SUMIFS(LS[Unit],LS[Investor ID],INVESTORS_LIST[[#This Row],[INVESTOR CODE]],LS[B/S],"S")</f>
        <v>0</v>
      </c>
      <c r="G460" s="47">
        <f>IF(INVESTORS_LIST[[#This Row],[LS_TOTAL UNITS BUY]]=0,0,INVESTORS_LIST[[#This Row],[LS_TOTAL UNITS BUY]]-INVESTORS_LIST[[#This Row],[LS_TOTAL UNITS SOLD]])</f>
        <v>5000</v>
      </c>
      <c r="H460" s="49">
        <f>IF(INVESTORS_LIST[[#This Row],[LS_TOTAL UNITS BUY]]=0,0,SUMIFS(LS[Amount],LS[Investor ID],INVESTORS_LIST[[#This Row],[INVESTOR CODE]],LS[B/S],"B"))</f>
        <v>50000</v>
      </c>
      <c r="I460" s="48">
        <f>IF(INVESTORS_LIST[[#This Row],[LS_TOTAL UNITS SOLD]]=0,0,SUMIFS(LS[Cost of Units Sold],LS[Investor ID],INVESTORS_LIST[[#This Row],[INVESTOR CODE]],LS[B/S],"S"))</f>
        <v>0</v>
      </c>
      <c r="J460" s="48">
        <f>IF(INVESTORS_LIST[[#This Row],[LS_TOTAL CURRENT UNITS]]=0,0,INVESTORS_LIST[[#This Row],[LS_TOTAL CURRENT UNITS]]*INVESTORS_LIST[[#This Row],[LS_AVERAGE COST]])</f>
        <v>50000</v>
      </c>
      <c r="K460" s="49">
        <f>IF(INVESTORS_LIST[[#This Row],[LS_TOTAL UNITS SOLD]]=0,0,SUMIFS(LS[Realized Gain],LS[Investor ID],INVESTORS_LIST[[#This Row],[INVESTOR CODE]],LS[B/S],"S"))</f>
        <v>0</v>
      </c>
      <c r="L460" s="47">
        <f>SUMIFS(SIP[Unit],SIP[Investor ID],INVESTORS_LIST[[#This Row],[INVESTOR CODE]],SIP[B/S],"B")</f>
        <v>0</v>
      </c>
      <c r="M460" s="47">
        <f>-SUMIFS(SIP[Unit],SIP[Investor ID],INVESTORS_LIST[[#This Row],[INVESTOR CODE]],SIP[B/S],"S")</f>
        <v>0</v>
      </c>
      <c r="N460" s="50">
        <f>IF(INVESTORS_LIST[[#This Row],[SIP_TOTAL UNITS BUY]]=0,0,INVESTORS_LIST[[#This Row],[SIP_TOTAL UNITS BUY]]-INVESTORS_LIST[[#This Row],[SIP_TOTAL UNITS SOLD]])</f>
        <v>0</v>
      </c>
      <c r="O460" s="49">
        <f>IF(INVESTORS_LIST[[#This Row],[SIP_TOTAL UNITS BUY]]=0,0,SUMIFS(SIP[Amount],SIP[Investor ID],INVESTORS_LIST[[#This Row],[INVESTOR CODE]],SIP[B/S],"B"))</f>
        <v>0</v>
      </c>
      <c r="P460" s="49">
        <f>IF(INVESTORS_LIST[[#This Row],[SIP_TOTAL UNITS SOLD]]=0,0,SUMIFS(SIP[Cost of Units Sold],SIP[Investor ID],INVESTORS_LIST[[#This Row],[INVESTOR CODE]],SIP[B/S],"S"))</f>
        <v>0</v>
      </c>
      <c r="Q460" s="48">
        <f>IF(INVESTORS_LIST[[#This Row],[SIP_TOTAL CURRENT UNITS]]=0,0,INVESTORS_LIST[[#This Row],[SIP_TOTAL CURRENT UNITS]]*INVESTORS_LIST[[#This Row],[SIP_AVERAGE COST]])</f>
        <v>0</v>
      </c>
      <c r="R460" s="48">
        <f>IF(INVESTORS_LIST[[#This Row],[SIP_TOTAL UNITS SOLD]]=0,0,SUMIFS(SIP[Realized Gain],SIP[Investor ID],INVESTORS_LIST[[#This Row],[INVESTOR CODE]],SIP[B/S],"S"))</f>
        <v>0</v>
      </c>
      <c r="S460" s="50">
        <f>INVESTORS_LIST[[#This Row],[LS_TOTAL UNITS BUY]]+INVESTORS_LIST[[#This Row],[SIP_TOTAL UNITS BUY]]</f>
        <v>5000</v>
      </c>
      <c r="T460" s="50">
        <f>INVESTORS_LIST[[#This Row],[LS_TOTAL UNITS SOLD]]+INVESTORS_LIST[[#This Row],[SIP_TOTAL UNITS SOLD]]</f>
        <v>0</v>
      </c>
      <c r="U460" s="50"/>
      <c r="V460" s="50">
        <f>SUMIFS(LS[BO UNIT TRANSFER],LS[Investor ID],INVESTORS_LIST[[#This Row],[INVESTOR CODE]],LS[B/S],"B")</f>
        <v>0</v>
      </c>
      <c r="W460" s="50">
        <f>SUMIFS(SIP[BO UNIT TRANSFER],SIP[Investor ID],INVESTORS_LIST[[#This Row],[INVESTOR CODE]],SIP[B/S],"B")</f>
        <v>0</v>
      </c>
      <c r="X460" s="50">
        <f>SUMIFS(LS[BO UNIT TRANSFER],LS[Investor ID],INVESTORS_LIST[[#This Row],[INVESTOR CODE]],LS[B/S],"S")</f>
        <v>0</v>
      </c>
      <c r="Y460" s="50">
        <f>SUMIFS(SIP[BO UNIT TRANSFER],SIP[Investor ID],INVESTORS_LIST[[#This Row],[INVESTOR CODE]],SIP[B/S],"S")</f>
        <v>0</v>
      </c>
      <c r="Z460" s="106">
        <f>SUM(INVESTORS_LIST[[#This Row],[BO OPENING BALANCE]:[BO SIP UNITS REPURCHASE]])</f>
        <v>0</v>
      </c>
      <c r="AA460" s="107">
        <f>INVESTORS_LIST[[#This Row],[TOTAL UNITS BUY]]-INVESTORS_LIST[[#This Row],[TOTAL UNITS SOLD]]</f>
        <v>5000</v>
      </c>
      <c r="AB460" s="107">
        <f>INVESTORS_LIST[[#This Row],[TOTAL CURRENT UNITS]]-INVESTORS_LIST[[#This Row],[BO UNITS HOLD]]</f>
        <v>5000</v>
      </c>
      <c r="AC460" s="201" t="e">
        <f>INDEX([3]!Table_1[BO ID],MATCH(INVESTORS_LIST[[#This Row],[INVESTOR CODE]],[3]!Table_1[INVESTOR CODE],0))</f>
        <v>#REF!</v>
      </c>
      <c r="AD460" s="201" t="e">
        <f>INDEX([3]!Table_1[Brokerage Name2],MATCH(INVESTORS_LIST[[#This Row],[INVESTOR CODE]],[3]!Table_1[INVESTOR CODE],0))</f>
        <v>#REF!</v>
      </c>
      <c r="AE460" s="201" t="e">
        <f>MID(INVESTORS_LIST[[#This Row],[BO ID]],4,5)</f>
        <v>#REF!</v>
      </c>
      <c r="AF460" s="201" t="e">
        <f>MID(INVESTORS_LIST[[#This Row],[BO ID]],2,7)</f>
        <v>#REF!</v>
      </c>
      <c r="AG460" s="201" t="e">
        <f>MID(INVESTORS_LIST[[#This Row],[BO ID]],9,7)</f>
        <v>#REF!</v>
      </c>
      <c r="AH460" s="201" t="e">
        <f>RIGHT(INVESTORS_LIST[[#This Row],[BO ID]],1)</f>
        <v>#REF!</v>
      </c>
      <c r="AI460" s="50">
        <f>INVESTORS_LIST[[#This Row],[LS_TOTAL COST VALUE OF CURRENT UNITS]]+INVESTORS_LIST[[#This Row],[SIP_TOTAL COST VALUE OF CURRENT UNITS]]</f>
        <v>50000</v>
      </c>
      <c r="AJ460" s="109">
        <f>IF(INVESTORS_LIST[[#This Row],[TOTAL CURRENT UNITS]]=0,0,INVESTORS_LIST[[#This Row],[LS_TOTAL CURRENT UNITS]]/INVESTORS_LIST[[#This Row],[TOTAL CURRENT UNITS]])</f>
        <v>1</v>
      </c>
      <c r="AK460" s="109">
        <f>IF(INVESTORS_LIST[[#This Row],[TOTAL CURRENT UNITS]]=0,0,INVESTORS_LIST[[#This Row],[SIP_TOTAL CURRENT UNITS]]/INVESTORS_LIST[[#This Row],[TOTAL CURRENT UNITS]])</f>
        <v>0</v>
      </c>
      <c r="AL460" s="49" cm="1">
        <f t="array" ref="AL460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M460" s="49" cm="1">
        <f t="array" ref="AM4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0" s="105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O460" s="105">
        <f t="shared" si="8"/>
        <v>14.224</v>
      </c>
      <c r="AP460" s="112">
        <f>IF(INVESTORS_LIST[[#This Row],[TOTAL CURRENT UNITS]]=0,0,INVESTORS_LIST[[#This Row],[TOTAL CURRENT UNITS]]*INVESTORS_LIST[[#This Row],[NAV]])</f>
        <v>71120</v>
      </c>
      <c r="AQ460" s="49">
        <f>IF(INVESTORS_LIST[[#This Row],[LS_TOTAL CURRENT UNITS]]=0,0,INVESTORS_LIST[[#This Row],[LS_TOTAL CURRENT UNITS]]*INVESTORS_LIST[[#This Row],[NAV]])</f>
        <v>71120</v>
      </c>
      <c r="AR460" s="48">
        <f>IF(INVESTORS_LIST[[#This Row],[SIP_TOTAL CURRENT UNITS]]=0,0,INVESTORS_LIST[[#This Row],[SIP_TOTAL CURRENT UNITS]]*INVESTORS_LIST[[#This Row],[NAV]])</f>
        <v>0</v>
      </c>
      <c r="AS460" s="50">
        <f>INVESTORS_LIST[[#This Row],[TOTAL CURRENT UNITS]]</f>
        <v>5000</v>
      </c>
      <c r="AT460" s="48">
        <f>IF(INVESTORS_LIST[[#This Row],[TOTAL SELLABLE UNITS]]=0,0,INVESTORS_LIST[[#This Row],[TOTAL SELLABLE UNITS]]*INVESTORS_LIST[[#This Row],[NAV]])</f>
        <v>71120</v>
      </c>
      <c r="AU460" s="48">
        <f>INVESTORS_LIST[[#This Row],[LS_TOTAL REALIZED GAIN]]+INVESTORS_LIST[[#This Row],[SIP_TOTAL REALIZED GAIN]]</f>
        <v>0</v>
      </c>
      <c r="AV460" s="48">
        <f>INVESTORS_LIST[[#This Row],[TOTAL MARKET VALUE]]-INVESTORS_LIST[[#This Row],[TOTAL COST VALUE OF CURRENT INVESTMENT]]</f>
        <v>21120</v>
      </c>
      <c r="AW460" s="108">
        <f>IFERROR(INVESTORS_LIST[[#This Row],[TOTAL CURRENT UNITS]]/SUM(INVESTORS_LIST[TOTAL CURRENT UNITS]),0)</f>
        <v>1.2138103948051828E-4</v>
      </c>
    </row>
    <row r="461" spans="1:49">
      <c r="A461" s="262" t="s">
        <v>967</v>
      </c>
      <c r="B461" s="97" t="s">
        <v>968</v>
      </c>
      <c r="C461" t="s">
        <v>67</v>
      </c>
      <c r="D461" s="75" t="s">
        <v>45</v>
      </c>
      <c r="E461" s="47">
        <f>SUMIFS(LS[Unit],LS[Investor ID],INVESTORS_LIST[[#This Row],[INVESTOR CODE]],LS[B/S],"B")</f>
        <v>307624</v>
      </c>
      <c r="F461" s="47">
        <f>-SUMIFS(LS[Unit],LS[Investor ID],INVESTORS_LIST[[#This Row],[INVESTOR CODE]],LS[B/S],"S")</f>
        <v>147240</v>
      </c>
      <c r="G461" s="47">
        <f>IF(INVESTORS_LIST[[#This Row],[LS_TOTAL UNITS BUY]]=0,0,INVESTORS_LIST[[#This Row],[LS_TOTAL UNITS BUY]]-INVESTORS_LIST[[#This Row],[LS_TOTAL UNITS SOLD]])</f>
        <v>160384</v>
      </c>
      <c r="H461" s="49">
        <f>IF(INVESTORS_LIST[[#This Row],[LS_TOTAL UNITS BUY]]=0,0,SUMIFS(LS[Amount],LS[Investor ID],INVESTORS_LIST[[#This Row],[INVESTOR CODE]],LS[B/S],"B"))</f>
        <v>3750000</v>
      </c>
      <c r="I461" s="48">
        <f>IF(INVESTORS_LIST[[#This Row],[LS_TOTAL UNITS SOLD]]=0,0,SUMIFS(LS[Cost of Units Sold],LS[Investor ID],INVESTORS_LIST[[#This Row],[INVESTOR CODE]],LS[B/S],"S"))</f>
        <v>1699865.3965624354</v>
      </c>
      <c r="J461" s="48">
        <f>IF(INVESTORS_LIST[[#This Row],[LS_TOTAL CURRENT UNITS]]=0,0,INVESTORS_LIST[[#This Row],[LS_TOTAL CURRENT UNITS]]*INVESTORS_LIST[[#This Row],[LS_AVERAGE COST]])</f>
        <v>2050134.6034375653</v>
      </c>
      <c r="K461" s="49">
        <f>IF(INVESTORS_LIST[[#This Row],[LS_TOTAL UNITS SOLD]]=0,0,SUMIFS(LS[Realized Gain],LS[Investor ID],INVESTORS_LIST[[#This Row],[INVESTOR CODE]],LS[B/S],"S"))</f>
        <v>56351.203437564647</v>
      </c>
      <c r="L461" s="47">
        <f>SUMIFS(SIP[Unit],SIP[Investor ID],INVESTORS_LIST[[#This Row],[INVESTOR CODE]],SIP[B/S],"B")</f>
        <v>0</v>
      </c>
      <c r="M461" s="47">
        <f>-SUMIFS(SIP[Unit],SIP[Investor ID],INVESTORS_LIST[[#This Row],[INVESTOR CODE]],SIP[B/S],"S")</f>
        <v>0</v>
      </c>
      <c r="N461" s="50">
        <f>IF(INVESTORS_LIST[[#This Row],[SIP_TOTAL UNITS BUY]]=0,0,INVESTORS_LIST[[#This Row],[SIP_TOTAL UNITS BUY]]-INVESTORS_LIST[[#This Row],[SIP_TOTAL UNITS SOLD]])</f>
        <v>0</v>
      </c>
      <c r="O461" s="49">
        <f>IF(INVESTORS_LIST[[#This Row],[SIP_TOTAL UNITS BUY]]=0,0,SUMIFS(SIP[Amount],SIP[Investor ID],INVESTORS_LIST[[#This Row],[INVESTOR CODE]],SIP[B/S],"B"))</f>
        <v>0</v>
      </c>
      <c r="P461" s="49">
        <f>IF(INVESTORS_LIST[[#This Row],[SIP_TOTAL UNITS SOLD]]=0,0,SUMIFS(SIP[Cost of Units Sold],SIP[Investor ID],INVESTORS_LIST[[#This Row],[INVESTOR CODE]],SIP[B/S],"S"))</f>
        <v>0</v>
      </c>
      <c r="Q461" s="48">
        <f>IF(INVESTORS_LIST[[#This Row],[SIP_TOTAL CURRENT UNITS]]=0,0,INVESTORS_LIST[[#This Row],[SIP_TOTAL CURRENT UNITS]]*INVESTORS_LIST[[#This Row],[SIP_AVERAGE COST]])</f>
        <v>0</v>
      </c>
      <c r="R461" s="48">
        <f>IF(INVESTORS_LIST[[#This Row],[SIP_TOTAL UNITS SOLD]]=0,0,SUMIFS(SIP[Realized Gain],SIP[Investor ID],INVESTORS_LIST[[#This Row],[INVESTOR CODE]],SIP[B/S],"S"))</f>
        <v>0</v>
      </c>
      <c r="S461" s="50">
        <f>INVESTORS_LIST[[#This Row],[LS_TOTAL UNITS BUY]]+INVESTORS_LIST[[#This Row],[SIP_TOTAL UNITS BUY]]</f>
        <v>307624</v>
      </c>
      <c r="T461" s="50">
        <f>INVESTORS_LIST[[#This Row],[LS_TOTAL UNITS SOLD]]+INVESTORS_LIST[[#This Row],[SIP_TOTAL UNITS SOLD]]</f>
        <v>147240</v>
      </c>
      <c r="U461" s="50">
        <v>105838</v>
      </c>
      <c r="V461" s="50">
        <f>SUMIFS(LS[BO UNIT TRANSFER],LS[Investor ID],INVESTORS_LIST[[#This Row],[INVESTOR CODE]],LS[B/S],"B")</f>
        <v>69827</v>
      </c>
      <c r="W461" s="50">
        <f>SUMIFS(SIP[BO UNIT TRANSFER],SIP[Investor ID],INVESTORS_LIST[[#This Row],[INVESTOR CODE]],SIP[B/S],"B")</f>
        <v>0</v>
      </c>
      <c r="X461" s="50">
        <f>SUMIFS(LS[BO UNIT TRANSFER],LS[Investor ID],INVESTORS_LIST[[#This Row],[INVESTOR CODE]],LS[B/S],"S")</f>
        <v>-15281</v>
      </c>
      <c r="Y461" s="50">
        <f>SUMIFS(SIP[BO UNIT TRANSFER],SIP[Investor ID],INVESTORS_LIST[[#This Row],[INVESTOR CODE]],SIP[B/S],"S")</f>
        <v>0</v>
      </c>
      <c r="Z461" s="106">
        <f>SUM(INVESTORS_LIST[[#This Row],[BO OPENING BALANCE]:[BO SIP UNITS REPURCHASE]])</f>
        <v>160384</v>
      </c>
      <c r="AA461" s="107">
        <f>INVESTORS_LIST[[#This Row],[TOTAL UNITS BUY]]-INVESTORS_LIST[[#This Row],[TOTAL UNITS SOLD]]</f>
        <v>160384</v>
      </c>
      <c r="AB461" s="107">
        <f>INVESTORS_LIST[[#This Row],[TOTAL CURRENT UNITS]]-INVESTORS_LIST[[#This Row],[BO UNITS HOLD]]</f>
        <v>0</v>
      </c>
      <c r="AC461" s="201" t="e">
        <f>INDEX([3]!Table_1[BO ID],MATCH(INVESTORS_LIST[[#This Row],[INVESTOR CODE]],[3]!Table_1[INVESTOR CODE],0))</f>
        <v>#REF!</v>
      </c>
      <c r="AD461" s="201" t="e">
        <f>INDEX([3]!Table_1[Brokerage Name2],MATCH(INVESTORS_LIST[[#This Row],[INVESTOR CODE]],[3]!Table_1[INVESTOR CODE],0))</f>
        <v>#REF!</v>
      </c>
      <c r="AE461" s="201" t="e">
        <f>MID(INVESTORS_LIST[[#This Row],[BO ID]],4,5)</f>
        <v>#REF!</v>
      </c>
      <c r="AF461" s="201" t="e">
        <f>MID(INVESTORS_LIST[[#This Row],[BO ID]],2,7)</f>
        <v>#REF!</v>
      </c>
      <c r="AG461" s="201" t="e">
        <f>MID(INVESTORS_LIST[[#This Row],[BO ID]],9,7)</f>
        <v>#REF!</v>
      </c>
      <c r="AH461" s="201" t="e">
        <f>RIGHT(INVESTORS_LIST[[#This Row],[BO ID]],1)</f>
        <v>#REF!</v>
      </c>
      <c r="AI461" s="50">
        <f>INVESTORS_LIST[[#This Row],[LS_TOTAL COST VALUE OF CURRENT UNITS]]+INVESTORS_LIST[[#This Row],[SIP_TOTAL COST VALUE OF CURRENT UNITS]]</f>
        <v>2050134.6034375653</v>
      </c>
      <c r="AJ461" s="109">
        <f>IF(INVESTORS_LIST[[#This Row],[TOTAL CURRENT UNITS]]=0,0,INVESTORS_LIST[[#This Row],[LS_TOTAL CURRENT UNITS]]/INVESTORS_LIST[[#This Row],[TOTAL CURRENT UNITS]])</f>
        <v>1</v>
      </c>
      <c r="AK461" s="109">
        <f>IF(INVESTORS_LIST[[#This Row],[TOTAL CURRENT UNITS]]=0,0,INVESTORS_LIST[[#This Row],[SIP_TOTAL CURRENT UNITS]]/INVESTORS_LIST[[#This Row],[TOTAL CURRENT UNITS]])</f>
        <v>0</v>
      </c>
      <c r="AL461" s="49" cm="1">
        <f t="array" ref="AL461">IF(INVESTORS_LIST[[#This Row],[LS_TOTAL UNITS BUY]]&gt;0,INDEX(LS[NAV at Cost (Average)],MATCH(CONCATENATE(COUNTIFS(LS[Investor ID],INVESTORS_LIST[[#This Row],[INVESTOR CODE]]),INVESTORS_LIST[[#This Row],[INVESTOR CODE]]),LS[Unique Code],0),),0)</f>
        <v>12.782662880571412</v>
      </c>
      <c r="AM461" s="49" cm="1">
        <f t="array" ref="AM4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1" s="105">
        <f>IF(INVESTORS_LIST[[#This Row],[TOTAL CURRENT UNITS]]=0,0,(INVESTORS_LIST[[#This Row],[LS_WEIGHT]]*INVESTORS_LIST[[#This Row],[LS_AVERAGE COST]])+(INVESTORS_LIST[[#This Row],[SIP_WEIGHT]]*INVESTORS_LIST[[#This Row],[SIP_AVERAGE COST]]))</f>
        <v>12.782662880571412</v>
      </c>
      <c r="AO461" s="105">
        <f t="shared" si="8"/>
        <v>14.224</v>
      </c>
      <c r="AP461" s="112">
        <f>IF(INVESTORS_LIST[[#This Row],[TOTAL CURRENT UNITS]]=0,0,INVESTORS_LIST[[#This Row],[TOTAL CURRENT UNITS]]*INVESTORS_LIST[[#This Row],[NAV]])</f>
        <v>2281302.0159999998</v>
      </c>
      <c r="AQ461" s="49">
        <f>IF(INVESTORS_LIST[[#This Row],[LS_TOTAL CURRENT UNITS]]=0,0,INVESTORS_LIST[[#This Row],[LS_TOTAL CURRENT UNITS]]*INVESTORS_LIST[[#This Row],[NAV]])</f>
        <v>2281302.0159999998</v>
      </c>
      <c r="AR461" s="48">
        <f>IF(INVESTORS_LIST[[#This Row],[SIP_TOTAL CURRENT UNITS]]=0,0,INVESTORS_LIST[[#This Row],[SIP_TOTAL CURRENT UNITS]]*INVESTORS_LIST[[#This Row],[NAV]])</f>
        <v>0</v>
      </c>
      <c r="AS461" s="50">
        <f>INVESTORS_LIST[[#This Row],[TOTAL CURRENT UNITS]]</f>
        <v>160384</v>
      </c>
      <c r="AT461" s="48">
        <f>IF(INVESTORS_LIST[[#This Row],[TOTAL SELLABLE UNITS]]=0,0,INVESTORS_LIST[[#This Row],[TOTAL SELLABLE UNITS]]*INVESTORS_LIST[[#This Row],[NAV]])</f>
        <v>2281302.0159999998</v>
      </c>
      <c r="AU461" s="48">
        <f>INVESTORS_LIST[[#This Row],[LS_TOTAL REALIZED GAIN]]+INVESTORS_LIST[[#This Row],[SIP_TOTAL REALIZED GAIN]]</f>
        <v>56351.203437564647</v>
      </c>
      <c r="AV461" s="48">
        <f>INVESTORS_LIST[[#This Row],[TOTAL MARKET VALUE]]-INVESTORS_LIST[[#This Row],[TOTAL COST VALUE OF CURRENT INVESTMENT]]</f>
        <v>231167.41256243456</v>
      </c>
      <c r="AW461" s="48">
        <f>IFERROR(INVESTORS_LIST[[#This Row],[TOTAL CURRENT UNITS]]/SUM(INVESTORS_LIST[TOTAL CURRENT UNITS]),0)</f>
        <v>3.8935153272086887E-3</v>
      </c>
    </row>
    <row r="462" spans="1:49" hidden="1">
      <c r="A462" s="262" t="s">
        <v>969</v>
      </c>
      <c r="B462" s="97" t="s">
        <v>970</v>
      </c>
      <c r="C462" t="s">
        <v>67</v>
      </c>
      <c r="D462" s="75" t="s">
        <v>45</v>
      </c>
      <c r="E462" s="47">
        <f>SUMIFS(LS[Unit],LS[Investor ID],INVESTORS_LIST[[#This Row],[INVESTOR CODE]],LS[B/S],"B")</f>
        <v>100000</v>
      </c>
      <c r="F462" s="47">
        <f>-SUMIFS(LS[Unit],LS[Investor ID],INVESTORS_LIST[[#This Row],[INVESTOR CODE]],LS[B/S],"S")</f>
        <v>100000</v>
      </c>
      <c r="G462" s="47">
        <f>IF(INVESTORS_LIST[[#This Row],[LS_TOTAL UNITS BUY]]=0,0,INVESTORS_LIST[[#This Row],[LS_TOTAL UNITS BUY]]-INVESTORS_LIST[[#This Row],[LS_TOTAL UNITS SOLD]])</f>
        <v>0</v>
      </c>
      <c r="H462" s="49">
        <f>IF(INVESTORS_LIST[[#This Row],[LS_TOTAL UNITS BUY]]=0,0,SUMIFS(LS[Amount],LS[Investor ID],INVESTORS_LIST[[#This Row],[INVESTOR CODE]],LS[B/S],"B"))</f>
        <v>1000000</v>
      </c>
      <c r="I462" s="48">
        <f>IF(INVESTORS_LIST[[#This Row],[LS_TOTAL UNITS SOLD]]=0,0,SUMIFS(LS[Cost of Units Sold],LS[Investor ID],INVESTORS_LIST[[#This Row],[INVESTOR CODE]],LS[B/S],"S"))</f>
        <v>1000000</v>
      </c>
      <c r="J462" s="48">
        <f>IF(INVESTORS_LIST[[#This Row],[LS_TOTAL CURRENT UNITS]]=0,0,INVESTORS_LIST[[#This Row],[LS_TOTAL CURRENT UNITS]]*INVESTORS_LIST[[#This Row],[LS_AVERAGE COST]])</f>
        <v>0</v>
      </c>
      <c r="K462" s="49">
        <f>IF(INVESTORS_LIST[[#This Row],[LS_TOTAL UNITS SOLD]]=0,0,SUMIFS(LS[Realized Gain],LS[Investor ID],INVESTORS_LIST[[#This Row],[INVESTOR CODE]],LS[B/S],"S"))</f>
        <v>239786.6</v>
      </c>
      <c r="L462" s="47">
        <f>SUMIFS(SIP[Unit],SIP[Investor ID],INVESTORS_LIST[[#This Row],[INVESTOR CODE]],SIP[B/S],"B")</f>
        <v>0</v>
      </c>
      <c r="M462" s="47">
        <f>-SUMIFS(SIP[Unit],SIP[Investor ID],INVESTORS_LIST[[#This Row],[INVESTOR CODE]],SIP[B/S],"S")</f>
        <v>0</v>
      </c>
      <c r="N462" s="50">
        <f>IF(INVESTORS_LIST[[#This Row],[SIP_TOTAL UNITS BUY]]=0,0,INVESTORS_LIST[[#This Row],[SIP_TOTAL UNITS BUY]]-INVESTORS_LIST[[#This Row],[SIP_TOTAL UNITS SOLD]])</f>
        <v>0</v>
      </c>
      <c r="O462" s="49">
        <f>IF(INVESTORS_LIST[[#This Row],[SIP_TOTAL UNITS BUY]]=0,0,SUMIFS(SIP[Amount],SIP[Investor ID],INVESTORS_LIST[[#This Row],[INVESTOR CODE]],SIP[B/S],"B"))</f>
        <v>0</v>
      </c>
      <c r="P462" s="49">
        <f>IF(INVESTORS_LIST[[#This Row],[SIP_TOTAL UNITS SOLD]]=0,0,SUMIFS(SIP[Cost of Units Sold],SIP[Investor ID],INVESTORS_LIST[[#This Row],[INVESTOR CODE]],SIP[B/S],"S"))</f>
        <v>0</v>
      </c>
      <c r="Q462" s="48">
        <f>IF(INVESTORS_LIST[[#This Row],[SIP_TOTAL CURRENT UNITS]]=0,0,INVESTORS_LIST[[#This Row],[SIP_TOTAL CURRENT UNITS]]*INVESTORS_LIST[[#This Row],[SIP_AVERAGE COST]])</f>
        <v>0</v>
      </c>
      <c r="R462" s="48">
        <f>IF(INVESTORS_LIST[[#This Row],[SIP_TOTAL UNITS SOLD]]=0,0,SUMIFS(SIP[Realized Gain],SIP[Investor ID],INVESTORS_LIST[[#This Row],[INVESTOR CODE]],SIP[B/S],"S"))</f>
        <v>0</v>
      </c>
      <c r="S462" s="50">
        <f>INVESTORS_LIST[[#This Row],[LS_TOTAL UNITS BUY]]+INVESTORS_LIST[[#This Row],[SIP_TOTAL UNITS BUY]]</f>
        <v>100000</v>
      </c>
      <c r="T462" s="50">
        <f>INVESTORS_LIST[[#This Row],[LS_TOTAL UNITS SOLD]]+INVESTORS_LIST[[#This Row],[SIP_TOTAL UNITS SOLD]]</f>
        <v>100000</v>
      </c>
      <c r="U462" s="50">
        <v>100000</v>
      </c>
      <c r="V462" s="50">
        <f>SUMIFS(LS[BO UNIT TRANSFER],LS[Investor ID],INVESTORS_LIST[[#This Row],[INVESTOR CODE]],LS[B/S],"B")</f>
        <v>0</v>
      </c>
      <c r="W462" s="50">
        <f>SUMIFS(SIP[BO UNIT TRANSFER],SIP[Investor ID],INVESTORS_LIST[[#This Row],[INVESTOR CODE]],SIP[B/S],"B")</f>
        <v>0</v>
      </c>
      <c r="X462" s="50">
        <f>SUMIFS(LS[BO UNIT TRANSFER],LS[Investor ID],INVESTORS_LIST[[#This Row],[INVESTOR CODE]],LS[B/S],"S")</f>
        <v>0</v>
      </c>
      <c r="Y462" s="50">
        <f>SUMIFS(SIP[BO UNIT TRANSFER],SIP[Investor ID],INVESTORS_LIST[[#This Row],[INVESTOR CODE]],SIP[B/S],"S")</f>
        <v>0</v>
      </c>
      <c r="Z462" s="106">
        <f>SUM(INVESTORS_LIST[[#This Row],[BO OPENING BALANCE]:[BO SIP UNITS REPURCHASE]])</f>
        <v>100000</v>
      </c>
      <c r="AA462" s="107">
        <f>INVESTORS_LIST[[#This Row],[TOTAL UNITS BUY]]-INVESTORS_LIST[[#This Row],[TOTAL UNITS SOLD]]</f>
        <v>0</v>
      </c>
      <c r="AB462" s="107">
        <f>INVESTORS_LIST[[#This Row],[TOTAL CURRENT UNITS]]-INVESTORS_LIST[[#This Row],[BO UNITS HOLD]]</f>
        <v>-100000</v>
      </c>
      <c r="AC462" s="201" t="e">
        <f>INDEX([3]!Table_1[BO ID],MATCH(INVESTORS_LIST[[#This Row],[INVESTOR CODE]],[3]!Table_1[INVESTOR CODE],0))</f>
        <v>#REF!</v>
      </c>
      <c r="AD462" s="201" t="e">
        <f>INDEX([3]!Table_1[Brokerage Name2],MATCH(INVESTORS_LIST[[#This Row],[INVESTOR CODE]],[3]!Table_1[INVESTOR CODE],0))</f>
        <v>#REF!</v>
      </c>
      <c r="AE462" s="201" t="e">
        <f>MID(INVESTORS_LIST[[#This Row],[BO ID]],4,5)</f>
        <v>#REF!</v>
      </c>
      <c r="AF462" s="201" t="e">
        <f>MID(INVESTORS_LIST[[#This Row],[BO ID]],2,7)</f>
        <v>#REF!</v>
      </c>
      <c r="AG462" s="201" t="e">
        <f>MID(INVESTORS_LIST[[#This Row],[BO ID]],9,7)</f>
        <v>#REF!</v>
      </c>
      <c r="AH462" s="201" t="e">
        <f>RIGHT(INVESTORS_LIST[[#This Row],[BO ID]],1)</f>
        <v>#REF!</v>
      </c>
      <c r="AI462" s="50">
        <f>INVESTORS_LIST[[#This Row],[LS_TOTAL COST VALUE OF CURRENT UNITS]]+INVESTORS_LIST[[#This Row],[SIP_TOTAL COST VALUE OF CURRENT UNITS]]</f>
        <v>0</v>
      </c>
      <c r="AJ462" s="109">
        <f>IF(INVESTORS_LIST[[#This Row],[TOTAL CURRENT UNITS]]=0,0,INVESTORS_LIST[[#This Row],[LS_TOTAL CURRENT UNITS]]/INVESTORS_LIST[[#This Row],[TOTAL CURRENT UNITS]])</f>
        <v>0</v>
      </c>
      <c r="AK462" s="109">
        <f>IF(INVESTORS_LIST[[#This Row],[TOTAL CURRENT UNITS]]=0,0,INVESTORS_LIST[[#This Row],[SIP_TOTAL CURRENT UNITS]]/INVESTORS_LIST[[#This Row],[TOTAL CURRENT UNITS]])</f>
        <v>0</v>
      </c>
      <c r="AL462" s="49" cm="1">
        <f t="array" ref="AL4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62" s="49" cm="1">
        <f t="array" ref="AM4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62" s="105">
        <f t="shared" si="8"/>
        <v>14.224</v>
      </c>
      <c r="AP462" s="112">
        <f>IF(INVESTORS_LIST[[#This Row],[TOTAL CURRENT UNITS]]=0,0,INVESTORS_LIST[[#This Row],[TOTAL CURRENT UNITS]]*INVESTORS_LIST[[#This Row],[NAV]])</f>
        <v>0</v>
      </c>
      <c r="AQ462" s="49">
        <f>IF(INVESTORS_LIST[[#This Row],[LS_TOTAL CURRENT UNITS]]=0,0,INVESTORS_LIST[[#This Row],[LS_TOTAL CURRENT UNITS]]*INVESTORS_LIST[[#This Row],[NAV]])</f>
        <v>0</v>
      </c>
      <c r="AR462" s="48">
        <f>IF(INVESTORS_LIST[[#This Row],[SIP_TOTAL CURRENT UNITS]]=0,0,INVESTORS_LIST[[#This Row],[SIP_TOTAL CURRENT UNITS]]*INVESTORS_LIST[[#This Row],[NAV]])</f>
        <v>0</v>
      </c>
      <c r="AS462" s="50">
        <f>INVESTORS_LIST[[#This Row],[TOTAL CURRENT UNITS]]</f>
        <v>0</v>
      </c>
      <c r="AT462" s="48">
        <f>IF(INVESTORS_LIST[[#This Row],[TOTAL SELLABLE UNITS]]=0,0,INVESTORS_LIST[[#This Row],[TOTAL SELLABLE UNITS]]*INVESTORS_LIST[[#This Row],[NAV]])</f>
        <v>0</v>
      </c>
      <c r="AU462" s="48">
        <f>INVESTORS_LIST[[#This Row],[LS_TOTAL REALIZED GAIN]]+INVESTORS_LIST[[#This Row],[SIP_TOTAL REALIZED GAIN]]</f>
        <v>239786.6</v>
      </c>
      <c r="AV462" s="48">
        <f>INVESTORS_LIST[[#This Row],[TOTAL MARKET VALUE]]-INVESTORS_LIST[[#This Row],[TOTAL COST VALUE OF CURRENT INVESTMENT]]</f>
        <v>0</v>
      </c>
      <c r="AW462" s="108">
        <f>IFERROR(INVESTORS_LIST[[#This Row],[TOTAL CURRENT UNITS]]/SUM(INVESTORS_LIST[TOTAL CURRENT UNITS]),0)</f>
        <v>0</v>
      </c>
    </row>
    <row r="463" spans="1:49">
      <c r="A463" s="262" t="s">
        <v>971</v>
      </c>
      <c r="B463" s="97" t="s">
        <v>972</v>
      </c>
      <c r="C463" t="s">
        <v>67</v>
      </c>
      <c r="D463" s="75" t="s">
        <v>45</v>
      </c>
      <c r="E463" s="47">
        <f>SUMIFS(LS[Unit],LS[Investor ID],INVESTORS_LIST[[#This Row],[INVESTOR CODE]],LS[B/S],"B")</f>
        <v>117063</v>
      </c>
      <c r="F463" s="47">
        <f>-SUMIFS(LS[Unit],LS[Investor ID],INVESTORS_LIST[[#This Row],[INVESTOR CODE]],LS[B/S],"S")</f>
        <v>0</v>
      </c>
      <c r="G463" s="47">
        <f>IF(INVESTORS_LIST[[#This Row],[LS_TOTAL UNITS BUY]]=0,0,INVESTORS_LIST[[#This Row],[LS_TOTAL UNITS BUY]]-INVESTORS_LIST[[#This Row],[LS_TOTAL UNITS SOLD]])</f>
        <v>117063</v>
      </c>
      <c r="H463" s="49">
        <f>IF(INVESTORS_LIST[[#This Row],[LS_TOTAL UNITS BUY]]=0,0,SUMIFS(LS[Amount],LS[Investor ID],INVESTORS_LIST[[#This Row],[INVESTOR CODE]],LS[B/S],"B"))</f>
        <v>1300000</v>
      </c>
      <c r="I463" s="48">
        <f>IF(INVESTORS_LIST[[#This Row],[LS_TOTAL UNITS SOLD]]=0,0,SUMIFS(LS[Cost of Units Sold],LS[Investor ID],INVESTORS_LIST[[#This Row],[INVESTOR CODE]],LS[B/S],"S"))</f>
        <v>0</v>
      </c>
      <c r="J463" s="48">
        <f>IF(INVESTORS_LIST[[#This Row],[LS_TOTAL CURRENT UNITS]]=0,0,INVESTORS_LIST[[#This Row],[LS_TOTAL CURRENT UNITS]]*INVESTORS_LIST[[#This Row],[LS_AVERAGE COST]])</f>
        <v>1300000</v>
      </c>
      <c r="K463" s="49">
        <f>IF(INVESTORS_LIST[[#This Row],[LS_TOTAL UNITS SOLD]]=0,0,SUMIFS(LS[Realized Gain],LS[Investor ID],INVESTORS_LIST[[#This Row],[INVESTOR CODE]],LS[B/S],"S"))</f>
        <v>0</v>
      </c>
      <c r="L463" s="47">
        <f>SUMIFS(SIP[Unit],SIP[Investor ID],INVESTORS_LIST[[#This Row],[INVESTOR CODE]],SIP[B/S],"B")</f>
        <v>0</v>
      </c>
      <c r="M463" s="47">
        <f>-SUMIFS(SIP[Unit],SIP[Investor ID],INVESTORS_LIST[[#This Row],[INVESTOR CODE]],SIP[B/S],"S")</f>
        <v>0</v>
      </c>
      <c r="N463" s="50">
        <f>IF(INVESTORS_LIST[[#This Row],[SIP_TOTAL UNITS BUY]]=0,0,INVESTORS_LIST[[#This Row],[SIP_TOTAL UNITS BUY]]-INVESTORS_LIST[[#This Row],[SIP_TOTAL UNITS SOLD]])</f>
        <v>0</v>
      </c>
      <c r="O463" s="49">
        <f>IF(INVESTORS_LIST[[#This Row],[SIP_TOTAL UNITS BUY]]=0,0,SUMIFS(SIP[Amount],SIP[Investor ID],INVESTORS_LIST[[#This Row],[INVESTOR CODE]],SIP[B/S],"B"))</f>
        <v>0</v>
      </c>
      <c r="P463" s="49">
        <f>IF(INVESTORS_LIST[[#This Row],[SIP_TOTAL UNITS SOLD]]=0,0,SUMIFS(SIP[Cost of Units Sold],SIP[Investor ID],INVESTORS_LIST[[#This Row],[INVESTOR CODE]],SIP[B/S],"S"))</f>
        <v>0</v>
      </c>
      <c r="Q463" s="48">
        <f>IF(INVESTORS_LIST[[#This Row],[SIP_TOTAL CURRENT UNITS]]=0,0,INVESTORS_LIST[[#This Row],[SIP_TOTAL CURRENT UNITS]]*INVESTORS_LIST[[#This Row],[SIP_AVERAGE COST]])</f>
        <v>0</v>
      </c>
      <c r="R463" s="48">
        <f>IF(INVESTORS_LIST[[#This Row],[SIP_TOTAL UNITS SOLD]]=0,0,SUMIFS(SIP[Realized Gain],SIP[Investor ID],INVESTORS_LIST[[#This Row],[INVESTOR CODE]],SIP[B/S],"S"))</f>
        <v>0</v>
      </c>
      <c r="S463" s="50">
        <f>INVESTORS_LIST[[#This Row],[LS_TOTAL UNITS BUY]]+INVESTORS_LIST[[#This Row],[SIP_TOTAL UNITS BUY]]</f>
        <v>117063</v>
      </c>
      <c r="T463" s="50">
        <f>INVESTORS_LIST[[#This Row],[LS_TOTAL UNITS SOLD]]+INVESTORS_LIST[[#This Row],[SIP_TOTAL UNITS SOLD]]</f>
        <v>0</v>
      </c>
      <c r="U463" s="50"/>
      <c r="V463" s="50">
        <f>SUMIFS(LS[BO UNIT TRANSFER],LS[Investor ID],INVESTORS_LIST[[#This Row],[INVESTOR CODE]],LS[B/S],"B")</f>
        <v>0</v>
      </c>
      <c r="W463" s="50">
        <f>SUMIFS(SIP[BO UNIT TRANSFER],SIP[Investor ID],INVESTORS_LIST[[#This Row],[INVESTOR CODE]],SIP[B/S],"B")</f>
        <v>0</v>
      </c>
      <c r="X463" s="50">
        <f>SUMIFS(LS[BO UNIT TRANSFER],LS[Investor ID],INVESTORS_LIST[[#This Row],[INVESTOR CODE]],LS[B/S],"S")</f>
        <v>0</v>
      </c>
      <c r="Y463" s="50">
        <f>SUMIFS(SIP[BO UNIT TRANSFER],SIP[Investor ID],INVESTORS_LIST[[#This Row],[INVESTOR CODE]],SIP[B/S],"S")</f>
        <v>0</v>
      </c>
      <c r="Z463" s="106">
        <f>SUM(INVESTORS_LIST[[#This Row],[BO OPENING BALANCE]:[BO SIP UNITS REPURCHASE]])</f>
        <v>0</v>
      </c>
      <c r="AA463" s="107">
        <f>INVESTORS_LIST[[#This Row],[TOTAL UNITS BUY]]-INVESTORS_LIST[[#This Row],[TOTAL UNITS SOLD]]</f>
        <v>117063</v>
      </c>
      <c r="AB463" s="107">
        <f>INVESTORS_LIST[[#This Row],[TOTAL CURRENT UNITS]]-INVESTORS_LIST[[#This Row],[BO UNITS HOLD]]</f>
        <v>117063</v>
      </c>
      <c r="AC463" s="201" t="e">
        <f>INDEX([3]!Table_1[BO ID],MATCH(INVESTORS_LIST[[#This Row],[INVESTOR CODE]],[3]!Table_1[INVESTOR CODE],0))</f>
        <v>#REF!</v>
      </c>
      <c r="AD463" s="201" t="e">
        <f>INDEX([3]!Table_1[Brokerage Name2],MATCH(INVESTORS_LIST[[#This Row],[INVESTOR CODE]],[3]!Table_1[INVESTOR CODE],0))</f>
        <v>#REF!</v>
      </c>
      <c r="AE463" s="201" t="e">
        <f>MID(INVESTORS_LIST[[#This Row],[BO ID]],4,5)</f>
        <v>#REF!</v>
      </c>
      <c r="AF463" s="201" t="e">
        <f>MID(INVESTORS_LIST[[#This Row],[BO ID]],2,7)</f>
        <v>#REF!</v>
      </c>
      <c r="AG463" s="201" t="e">
        <f>MID(INVESTORS_LIST[[#This Row],[BO ID]],9,7)</f>
        <v>#REF!</v>
      </c>
      <c r="AH463" s="201" t="e">
        <f>RIGHT(INVESTORS_LIST[[#This Row],[BO ID]],1)</f>
        <v>#REF!</v>
      </c>
      <c r="AI463" s="50">
        <f>INVESTORS_LIST[[#This Row],[LS_TOTAL COST VALUE OF CURRENT UNITS]]+INVESTORS_LIST[[#This Row],[SIP_TOTAL COST VALUE OF CURRENT UNITS]]</f>
        <v>1300000</v>
      </c>
      <c r="AJ463" s="109">
        <f>IF(INVESTORS_LIST[[#This Row],[TOTAL CURRENT UNITS]]=0,0,INVESTORS_LIST[[#This Row],[LS_TOTAL CURRENT UNITS]]/INVESTORS_LIST[[#This Row],[TOTAL CURRENT UNITS]])</f>
        <v>1</v>
      </c>
      <c r="AK463" s="109">
        <f>IF(INVESTORS_LIST[[#This Row],[TOTAL CURRENT UNITS]]=0,0,INVESTORS_LIST[[#This Row],[SIP_TOTAL CURRENT UNITS]]/INVESTORS_LIST[[#This Row],[TOTAL CURRENT UNITS]])</f>
        <v>0</v>
      </c>
      <c r="AL463" s="49" cm="1">
        <f t="array" ref="AL463">IF(INVESTORS_LIST[[#This Row],[LS_TOTAL UNITS BUY]]&gt;0,INDEX(LS[NAV at Cost (Average)],MATCH(CONCATENATE(COUNTIFS(LS[Investor ID],INVESTORS_LIST[[#This Row],[INVESTOR CODE]]),INVESTORS_LIST[[#This Row],[INVESTOR CODE]]),LS[Unique Code],0),),0)</f>
        <v>11.105131424959209</v>
      </c>
      <c r="AM463" s="49" cm="1">
        <f t="array" ref="AM4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3" s="105">
        <f>IF(INVESTORS_LIST[[#This Row],[TOTAL CURRENT UNITS]]=0,0,(INVESTORS_LIST[[#This Row],[LS_WEIGHT]]*INVESTORS_LIST[[#This Row],[LS_AVERAGE COST]])+(INVESTORS_LIST[[#This Row],[SIP_WEIGHT]]*INVESTORS_LIST[[#This Row],[SIP_AVERAGE COST]]))</f>
        <v>11.105131424959209</v>
      </c>
      <c r="AO463" s="105">
        <f t="shared" si="8"/>
        <v>14.224</v>
      </c>
      <c r="AP463" s="112">
        <f>IF(INVESTORS_LIST[[#This Row],[TOTAL CURRENT UNITS]]=0,0,INVESTORS_LIST[[#This Row],[TOTAL CURRENT UNITS]]*INVESTORS_LIST[[#This Row],[NAV]])</f>
        <v>1665104.112</v>
      </c>
      <c r="AQ463" s="49">
        <f>IF(INVESTORS_LIST[[#This Row],[LS_TOTAL CURRENT UNITS]]=0,0,INVESTORS_LIST[[#This Row],[LS_TOTAL CURRENT UNITS]]*INVESTORS_LIST[[#This Row],[NAV]])</f>
        <v>1665104.112</v>
      </c>
      <c r="AR463" s="48">
        <f>IF(INVESTORS_LIST[[#This Row],[SIP_TOTAL CURRENT UNITS]]=0,0,INVESTORS_LIST[[#This Row],[SIP_TOTAL CURRENT UNITS]]*INVESTORS_LIST[[#This Row],[NAV]])</f>
        <v>0</v>
      </c>
      <c r="AS463" s="50">
        <f>INVESTORS_LIST[[#This Row],[TOTAL CURRENT UNITS]]</f>
        <v>117063</v>
      </c>
      <c r="AT463" s="48">
        <f>IF(INVESTORS_LIST[[#This Row],[TOTAL SELLABLE UNITS]]=0,0,INVESTORS_LIST[[#This Row],[TOTAL SELLABLE UNITS]]*INVESTORS_LIST[[#This Row],[NAV]])</f>
        <v>1665104.112</v>
      </c>
      <c r="AU463" s="48">
        <f>INVESTORS_LIST[[#This Row],[LS_TOTAL REALIZED GAIN]]+INVESTORS_LIST[[#This Row],[SIP_TOTAL REALIZED GAIN]]</f>
        <v>0</v>
      </c>
      <c r="AV463" s="48">
        <f>INVESTORS_LIST[[#This Row],[TOTAL MARKET VALUE]]-INVESTORS_LIST[[#This Row],[TOTAL COST VALUE OF CURRENT INVESTMENT]]</f>
        <v>365104.11199999996</v>
      </c>
      <c r="AW463" s="108">
        <f>IFERROR(INVESTORS_LIST[[#This Row],[TOTAL CURRENT UNITS]]/SUM(INVESTORS_LIST[TOTAL CURRENT UNITS]),0)</f>
        <v>2.8418457249415824E-3</v>
      </c>
    </row>
    <row r="464" spans="1:49">
      <c r="A464" s="262" t="s">
        <v>973</v>
      </c>
      <c r="B464" s="97" t="s">
        <v>974</v>
      </c>
      <c r="C464" t="s">
        <v>44</v>
      </c>
      <c r="D464" s="75" t="s">
        <v>45</v>
      </c>
      <c r="E464" s="47">
        <f>SUMIFS(LS[Unit],LS[Investor ID],INVESTORS_LIST[[#This Row],[INVESTOR CODE]],LS[B/S],"B")</f>
        <v>902924</v>
      </c>
      <c r="F464" s="47">
        <f>-SUMIFS(LS[Unit],LS[Investor ID],INVESTORS_LIST[[#This Row],[INVESTOR CODE]],LS[B/S],"S")</f>
        <v>0</v>
      </c>
      <c r="G464" s="47">
        <f>IF(INVESTORS_LIST[[#This Row],[LS_TOTAL UNITS BUY]]=0,0,INVESTORS_LIST[[#This Row],[LS_TOTAL UNITS BUY]]-INVESTORS_LIST[[#This Row],[LS_TOTAL UNITS SOLD]])</f>
        <v>902924</v>
      </c>
      <c r="H464" s="49">
        <f>IF(INVESTORS_LIST[[#This Row],[LS_TOTAL UNITS BUY]]=0,0,SUMIFS(LS[Amount],LS[Investor ID],INVESTORS_LIST[[#This Row],[INVESTOR CODE]],LS[B/S],"B"))</f>
        <v>9865070.2400000002</v>
      </c>
      <c r="I464" s="48">
        <f>IF(INVESTORS_LIST[[#This Row],[LS_TOTAL UNITS SOLD]]=0,0,SUMIFS(LS[Cost of Units Sold],LS[Investor ID],INVESTORS_LIST[[#This Row],[INVESTOR CODE]],LS[B/S],"S"))</f>
        <v>0</v>
      </c>
      <c r="J464" s="48">
        <f>IF(INVESTORS_LIST[[#This Row],[LS_TOTAL CURRENT UNITS]]=0,0,INVESTORS_LIST[[#This Row],[LS_TOTAL CURRENT UNITS]]*INVESTORS_LIST[[#This Row],[LS_AVERAGE COST]])</f>
        <v>9865070.2400000002</v>
      </c>
      <c r="K464" s="49">
        <f>IF(INVESTORS_LIST[[#This Row],[LS_TOTAL UNITS SOLD]]=0,0,SUMIFS(LS[Realized Gain],LS[Investor ID],INVESTORS_LIST[[#This Row],[INVESTOR CODE]],LS[B/S],"S"))</f>
        <v>0</v>
      </c>
      <c r="L464" s="47">
        <f>SUMIFS(SIP[Unit],SIP[Investor ID],INVESTORS_LIST[[#This Row],[INVESTOR CODE]],SIP[B/S],"B")</f>
        <v>0</v>
      </c>
      <c r="M464" s="47">
        <f>-SUMIFS(SIP[Unit],SIP[Investor ID],INVESTORS_LIST[[#This Row],[INVESTOR CODE]],SIP[B/S],"S")</f>
        <v>0</v>
      </c>
      <c r="N464" s="50">
        <f>IF(INVESTORS_LIST[[#This Row],[SIP_TOTAL UNITS BUY]]=0,0,INVESTORS_LIST[[#This Row],[SIP_TOTAL UNITS BUY]]-INVESTORS_LIST[[#This Row],[SIP_TOTAL UNITS SOLD]])</f>
        <v>0</v>
      </c>
      <c r="O464" s="49">
        <f>IF(INVESTORS_LIST[[#This Row],[SIP_TOTAL UNITS BUY]]=0,0,SUMIFS(SIP[Amount],SIP[Investor ID],INVESTORS_LIST[[#This Row],[INVESTOR CODE]],SIP[B/S],"B"))</f>
        <v>0</v>
      </c>
      <c r="P464" s="49">
        <f>IF(INVESTORS_LIST[[#This Row],[SIP_TOTAL UNITS SOLD]]=0,0,SUMIFS(SIP[Cost of Units Sold],SIP[Investor ID],INVESTORS_LIST[[#This Row],[INVESTOR CODE]],SIP[B/S],"S"))</f>
        <v>0</v>
      </c>
      <c r="Q464" s="48">
        <f>IF(INVESTORS_LIST[[#This Row],[SIP_TOTAL CURRENT UNITS]]=0,0,INVESTORS_LIST[[#This Row],[SIP_TOTAL CURRENT UNITS]]*INVESTORS_LIST[[#This Row],[SIP_AVERAGE COST]])</f>
        <v>0</v>
      </c>
      <c r="R464" s="48">
        <f>IF(INVESTORS_LIST[[#This Row],[SIP_TOTAL UNITS SOLD]]=0,0,SUMIFS(SIP[Realized Gain],SIP[Investor ID],INVESTORS_LIST[[#This Row],[INVESTOR CODE]],SIP[B/S],"S"))</f>
        <v>0</v>
      </c>
      <c r="S464" s="50">
        <f>INVESTORS_LIST[[#This Row],[LS_TOTAL UNITS BUY]]+INVESTORS_LIST[[#This Row],[SIP_TOTAL UNITS BUY]]</f>
        <v>902924</v>
      </c>
      <c r="T464" s="50">
        <f>INVESTORS_LIST[[#This Row],[LS_TOTAL UNITS SOLD]]+INVESTORS_LIST[[#This Row],[SIP_TOTAL UNITS SOLD]]</f>
        <v>0</v>
      </c>
      <c r="U464" s="50"/>
      <c r="V464" s="50">
        <f>SUMIFS(LS[BO UNIT TRANSFER],LS[Investor ID],INVESTORS_LIST[[#This Row],[INVESTOR CODE]],LS[B/S],"B")</f>
        <v>0</v>
      </c>
      <c r="W464" s="50">
        <f>SUMIFS(SIP[BO UNIT TRANSFER],SIP[Investor ID],INVESTORS_LIST[[#This Row],[INVESTOR CODE]],SIP[B/S],"B")</f>
        <v>0</v>
      </c>
      <c r="X464" s="50">
        <f>SUMIFS(LS[BO UNIT TRANSFER],LS[Investor ID],INVESTORS_LIST[[#This Row],[INVESTOR CODE]],LS[B/S],"S")</f>
        <v>0</v>
      </c>
      <c r="Y464" s="50">
        <f>SUMIFS(SIP[BO UNIT TRANSFER],SIP[Investor ID],INVESTORS_LIST[[#This Row],[INVESTOR CODE]],SIP[B/S],"S")</f>
        <v>0</v>
      </c>
      <c r="Z464" s="106">
        <f>SUM(INVESTORS_LIST[[#This Row],[BO OPENING BALANCE]:[BO SIP UNITS REPURCHASE]])</f>
        <v>0</v>
      </c>
      <c r="AA464" s="107">
        <f>INVESTORS_LIST[[#This Row],[TOTAL UNITS BUY]]-INVESTORS_LIST[[#This Row],[TOTAL UNITS SOLD]]</f>
        <v>902924</v>
      </c>
      <c r="AB464" s="107">
        <f>INVESTORS_LIST[[#This Row],[TOTAL CURRENT UNITS]]-INVESTORS_LIST[[#This Row],[BO UNITS HOLD]]</f>
        <v>902924</v>
      </c>
      <c r="AC464" s="201" t="e">
        <f>INDEX([3]!Table_1[BO ID],MATCH(INVESTORS_LIST[[#This Row],[INVESTOR CODE]],[3]!Table_1[INVESTOR CODE],0))</f>
        <v>#REF!</v>
      </c>
      <c r="AD464" s="201" t="e">
        <f>INDEX([3]!Table_1[Brokerage Name2],MATCH(INVESTORS_LIST[[#This Row],[INVESTOR CODE]],[3]!Table_1[INVESTOR CODE],0))</f>
        <v>#REF!</v>
      </c>
      <c r="AE464" s="201" t="e">
        <f>MID(INVESTORS_LIST[[#This Row],[BO ID]],4,5)</f>
        <v>#REF!</v>
      </c>
      <c r="AF464" s="201" t="e">
        <f>MID(INVESTORS_LIST[[#This Row],[BO ID]],2,7)</f>
        <v>#REF!</v>
      </c>
      <c r="AG464" s="201" t="e">
        <f>MID(INVESTORS_LIST[[#This Row],[BO ID]],9,7)</f>
        <v>#REF!</v>
      </c>
      <c r="AH464" s="201" t="e">
        <f>RIGHT(INVESTORS_LIST[[#This Row],[BO ID]],1)</f>
        <v>#REF!</v>
      </c>
      <c r="AI464" s="50">
        <f>INVESTORS_LIST[[#This Row],[LS_TOTAL COST VALUE OF CURRENT UNITS]]+INVESTORS_LIST[[#This Row],[SIP_TOTAL COST VALUE OF CURRENT UNITS]]</f>
        <v>9865070.2400000002</v>
      </c>
      <c r="AJ464" s="109">
        <f>IF(INVESTORS_LIST[[#This Row],[TOTAL CURRENT UNITS]]=0,0,INVESTORS_LIST[[#This Row],[LS_TOTAL CURRENT UNITS]]/INVESTORS_LIST[[#This Row],[TOTAL CURRENT UNITS]])</f>
        <v>1</v>
      </c>
      <c r="AK464" s="109">
        <f>IF(INVESTORS_LIST[[#This Row],[TOTAL CURRENT UNITS]]=0,0,INVESTORS_LIST[[#This Row],[SIP_TOTAL CURRENT UNITS]]/INVESTORS_LIST[[#This Row],[TOTAL CURRENT UNITS]])</f>
        <v>0</v>
      </c>
      <c r="AL464" s="49" cm="1">
        <f t="array" ref="AL464">IF(INVESTORS_LIST[[#This Row],[LS_TOTAL UNITS BUY]]&gt;0,INDEX(LS[NAV at Cost (Average)],MATCH(CONCATENATE(COUNTIFS(LS[Investor ID],INVESTORS_LIST[[#This Row],[INVESTOR CODE]]),INVESTORS_LIST[[#This Row],[INVESTOR CODE]]),LS[Unique Code],0),),0)</f>
        <v>10.925692793634902</v>
      </c>
      <c r="AM464" s="49" cm="1">
        <f t="array" ref="AM4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4" s="105">
        <f>IF(INVESTORS_LIST[[#This Row],[TOTAL CURRENT UNITS]]=0,0,(INVESTORS_LIST[[#This Row],[LS_WEIGHT]]*INVESTORS_LIST[[#This Row],[LS_AVERAGE COST]])+(INVESTORS_LIST[[#This Row],[SIP_WEIGHT]]*INVESTORS_LIST[[#This Row],[SIP_AVERAGE COST]]))</f>
        <v>10.925692793634902</v>
      </c>
      <c r="AO464" s="105">
        <f t="shared" si="8"/>
        <v>14.224</v>
      </c>
      <c r="AP464" s="112">
        <f>IF(INVESTORS_LIST[[#This Row],[TOTAL CURRENT UNITS]]=0,0,INVESTORS_LIST[[#This Row],[TOTAL CURRENT UNITS]]*INVESTORS_LIST[[#This Row],[NAV]])</f>
        <v>12843190.976</v>
      </c>
      <c r="AQ464" s="49">
        <f>IF(INVESTORS_LIST[[#This Row],[LS_TOTAL CURRENT UNITS]]=0,0,INVESTORS_LIST[[#This Row],[LS_TOTAL CURRENT UNITS]]*INVESTORS_LIST[[#This Row],[NAV]])</f>
        <v>12843190.976</v>
      </c>
      <c r="AR464" s="48">
        <f>IF(INVESTORS_LIST[[#This Row],[SIP_TOTAL CURRENT UNITS]]=0,0,INVESTORS_LIST[[#This Row],[SIP_TOTAL CURRENT UNITS]]*INVESTORS_LIST[[#This Row],[NAV]])</f>
        <v>0</v>
      </c>
      <c r="AS464" s="50">
        <f>INVESTORS_LIST[[#This Row],[TOTAL CURRENT UNITS]]</f>
        <v>902924</v>
      </c>
      <c r="AT464" s="48">
        <f>IF(INVESTORS_LIST[[#This Row],[TOTAL SELLABLE UNITS]]=0,0,INVESTORS_LIST[[#This Row],[TOTAL SELLABLE UNITS]]*INVESTORS_LIST[[#This Row],[NAV]])</f>
        <v>12843190.976</v>
      </c>
      <c r="AU464" s="48">
        <f>INVESTORS_LIST[[#This Row],[LS_TOTAL REALIZED GAIN]]+INVESTORS_LIST[[#This Row],[SIP_TOTAL REALIZED GAIN]]</f>
        <v>0</v>
      </c>
      <c r="AV464" s="48">
        <f>INVESTORS_LIST[[#This Row],[TOTAL MARKET VALUE]]-INVESTORS_LIST[[#This Row],[TOTAL COST VALUE OF CURRENT INVESTMENT]]</f>
        <v>2978120.7359999996</v>
      </c>
      <c r="AW464" s="108">
        <f>IFERROR(INVESTORS_LIST[[#This Row],[TOTAL CURRENT UNITS]]/SUM(INVESTORS_LIST[TOTAL CURRENT UNITS]),0)</f>
        <v>2.1919570738381498E-2</v>
      </c>
    </row>
    <row r="465" spans="1:49">
      <c r="A465" s="262" t="s">
        <v>975</v>
      </c>
      <c r="B465" s="97" t="s">
        <v>976</v>
      </c>
      <c r="C465" t="s">
        <v>48</v>
      </c>
      <c r="D465" s="75" t="s">
        <v>132</v>
      </c>
      <c r="E465" s="47">
        <f>SUMIFS(LS[Unit],LS[Investor ID],INVESTORS_LIST[[#This Row],[INVESTOR CODE]],LS[B/S],"B")</f>
        <v>3634300</v>
      </c>
      <c r="F465" s="47">
        <f>-SUMIFS(LS[Unit],LS[Investor ID],INVESTORS_LIST[[#This Row],[INVESTOR CODE]],LS[B/S],"S")</f>
        <v>1862860</v>
      </c>
      <c r="G465" s="47">
        <f>IF(INVESTORS_LIST[[#This Row],[LS_TOTAL UNITS BUY]]=0,0,INVESTORS_LIST[[#This Row],[LS_TOTAL UNITS BUY]]-INVESTORS_LIST[[#This Row],[LS_TOTAL UNITS SOLD]])</f>
        <v>1771440</v>
      </c>
      <c r="H465" s="49">
        <f>IF(INVESTORS_LIST[[#This Row],[LS_TOTAL UNITS BUY]]=0,0,SUMIFS(LS[Amount],LS[Investor ID],INVESTORS_LIST[[#This Row],[INVESTOR CODE]],LS[B/S],"B"))</f>
        <v>41159948.799999997</v>
      </c>
      <c r="I465" s="48">
        <f>IF(INVESTORS_LIST[[#This Row],[LS_TOTAL UNITS SOLD]]=0,0,SUMIFS(LS[Cost of Units Sold],LS[Investor ID],INVESTORS_LIST[[#This Row],[INVESTOR CODE]],LS[B/S],"S"))</f>
        <v>20633216.951425232</v>
      </c>
      <c r="J465" s="48">
        <f>IF(INVESTORS_LIST[[#This Row],[LS_TOTAL CURRENT UNITS]]=0,0,INVESTORS_LIST[[#This Row],[LS_TOTAL CURRENT UNITS]]*INVESTORS_LIST[[#This Row],[LS_AVERAGE COST]])</f>
        <v>20526731.848574769</v>
      </c>
      <c r="K465" s="49">
        <f>IF(INVESTORS_LIST[[#This Row],[LS_TOTAL UNITS SOLD]]=0,0,SUMIFS(LS[Realized Gain],LS[Investor ID],INVESTORS_LIST[[#This Row],[INVESTOR CODE]],LS[B/S],"S"))</f>
        <v>2368268.8885747688</v>
      </c>
      <c r="L465" s="47">
        <f>SUMIFS(SIP[Unit],SIP[Investor ID],INVESTORS_LIST[[#This Row],[INVESTOR CODE]],SIP[B/S],"B")</f>
        <v>0</v>
      </c>
      <c r="M465" s="47">
        <f>-SUMIFS(SIP[Unit],SIP[Investor ID],INVESTORS_LIST[[#This Row],[INVESTOR CODE]],SIP[B/S],"S")</f>
        <v>0</v>
      </c>
      <c r="N465" s="50">
        <f>IF(INVESTORS_LIST[[#This Row],[SIP_TOTAL UNITS BUY]]=0,0,INVESTORS_LIST[[#This Row],[SIP_TOTAL UNITS BUY]]-INVESTORS_LIST[[#This Row],[SIP_TOTAL UNITS SOLD]])</f>
        <v>0</v>
      </c>
      <c r="O465" s="49">
        <f>IF(INVESTORS_LIST[[#This Row],[SIP_TOTAL UNITS BUY]]=0,0,SUMIFS(SIP[Amount],SIP[Investor ID],INVESTORS_LIST[[#This Row],[INVESTOR CODE]],SIP[B/S],"B"))</f>
        <v>0</v>
      </c>
      <c r="P465" s="49">
        <f>IF(INVESTORS_LIST[[#This Row],[SIP_TOTAL UNITS SOLD]]=0,0,SUMIFS(SIP[Cost of Units Sold],SIP[Investor ID],INVESTORS_LIST[[#This Row],[INVESTOR CODE]],SIP[B/S],"S"))</f>
        <v>0</v>
      </c>
      <c r="Q465" s="48">
        <f>IF(INVESTORS_LIST[[#This Row],[SIP_TOTAL CURRENT UNITS]]=0,0,INVESTORS_LIST[[#This Row],[SIP_TOTAL CURRENT UNITS]]*INVESTORS_LIST[[#This Row],[SIP_AVERAGE COST]])</f>
        <v>0</v>
      </c>
      <c r="R465" s="48">
        <f>IF(INVESTORS_LIST[[#This Row],[SIP_TOTAL UNITS SOLD]]=0,0,SUMIFS(SIP[Realized Gain],SIP[Investor ID],INVESTORS_LIST[[#This Row],[INVESTOR CODE]],SIP[B/S],"S"))</f>
        <v>0</v>
      </c>
      <c r="S465" s="50">
        <f>INVESTORS_LIST[[#This Row],[LS_TOTAL UNITS BUY]]+INVESTORS_LIST[[#This Row],[SIP_TOTAL UNITS BUY]]</f>
        <v>3634300</v>
      </c>
      <c r="T465" s="50">
        <f>INVESTORS_LIST[[#This Row],[LS_TOTAL UNITS SOLD]]+INVESTORS_LIST[[#This Row],[SIP_TOTAL UNITS SOLD]]</f>
        <v>1862860</v>
      </c>
      <c r="U465" s="50"/>
      <c r="V465" s="50">
        <f>SUMIFS(LS[BO UNIT TRANSFER],LS[Investor ID],INVESTORS_LIST[[#This Row],[INVESTOR CODE]],LS[B/S],"B")</f>
        <v>3634300</v>
      </c>
      <c r="W465" s="50">
        <f>SUMIFS(SIP[BO UNIT TRANSFER],SIP[Investor ID],INVESTORS_LIST[[#This Row],[INVESTOR CODE]],SIP[B/S],"B")</f>
        <v>0</v>
      </c>
      <c r="X465" s="50">
        <f>SUMIFS(LS[BO UNIT TRANSFER],LS[Investor ID],INVESTORS_LIST[[#This Row],[INVESTOR CODE]],LS[B/S],"S")</f>
        <v>-1862860</v>
      </c>
      <c r="Y465" s="50">
        <f>SUMIFS(SIP[BO UNIT TRANSFER],SIP[Investor ID],INVESTORS_LIST[[#This Row],[INVESTOR CODE]],SIP[B/S],"S")</f>
        <v>0</v>
      </c>
      <c r="Z465" s="106">
        <f>SUM(INVESTORS_LIST[[#This Row],[BO OPENING BALANCE]:[BO SIP UNITS REPURCHASE]])</f>
        <v>1771440</v>
      </c>
      <c r="AA465" s="107">
        <f>INVESTORS_LIST[[#This Row],[TOTAL UNITS BUY]]-INVESTORS_LIST[[#This Row],[TOTAL UNITS SOLD]]</f>
        <v>1771440</v>
      </c>
      <c r="AB465" s="107">
        <f>INVESTORS_LIST[[#This Row],[TOTAL CURRENT UNITS]]-INVESTORS_LIST[[#This Row],[BO UNITS HOLD]]</f>
        <v>0</v>
      </c>
      <c r="AC465" s="201" t="e">
        <f>INDEX([3]!Table_1[BO ID],MATCH(INVESTORS_LIST[[#This Row],[INVESTOR CODE]],[3]!Table_1[INVESTOR CODE],0))</f>
        <v>#REF!</v>
      </c>
      <c r="AD465" s="201" t="e">
        <f>INDEX([3]!Table_1[Brokerage Name2],MATCH(INVESTORS_LIST[[#This Row],[INVESTOR CODE]],[3]!Table_1[INVESTOR CODE],0))</f>
        <v>#REF!</v>
      </c>
      <c r="AE465" s="201" t="e">
        <f>MID(INVESTORS_LIST[[#This Row],[BO ID]],4,5)</f>
        <v>#REF!</v>
      </c>
      <c r="AF465" s="201" t="e">
        <f>MID(INVESTORS_LIST[[#This Row],[BO ID]],2,7)</f>
        <v>#REF!</v>
      </c>
      <c r="AG465" s="201" t="e">
        <f>MID(INVESTORS_LIST[[#This Row],[BO ID]],9,7)</f>
        <v>#REF!</v>
      </c>
      <c r="AH465" s="201" t="e">
        <f>RIGHT(INVESTORS_LIST[[#This Row],[BO ID]],1)</f>
        <v>#REF!</v>
      </c>
      <c r="AI465" s="50">
        <f>INVESTORS_LIST[[#This Row],[LS_TOTAL COST VALUE OF CURRENT UNITS]]+INVESTORS_LIST[[#This Row],[SIP_TOTAL COST VALUE OF CURRENT UNITS]]</f>
        <v>20526731.848574769</v>
      </c>
      <c r="AJ465" s="109">
        <f>IF(INVESTORS_LIST[[#This Row],[TOTAL CURRENT UNITS]]=0,0,INVESTORS_LIST[[#This Row],[LS_TOTAL CURRENT UNITS]]/INVESTORS_LIST[[#This Row],[TOTAL CURRENT UNITS]])</f>
        <v>1</v>
      </c>
      <c r="AK465" s="109">
        <f>IF(INVESTORS_LIST[[#This Row],[TOTAL CURRENT UNITS]]=0,0,INVESTORS_LIST[[#This Row],[SIP_TOTAL CURRENT UNITS]]/INVESTORS_LIST[[#This Row],[TOTAL CURRENT UNITS]])</f>
        <v>0</v>
      </c>
      <c r="AL465" s="49" cm="1">
        <f t="array" ref="AL465">IF(INVESTORS_LIST[[#This Row],[LS_TOTAL UNITS BUY]]&gt;0,INDEX(LS[NAV at Cost (Average)],MATCH(CONCATENATE(COUNTIFS(LS[Investor ID],INVESTORS_LIST[[#This Row],[INVESTOR CODE]]),INVESTORS_LIST[[#This Row],[INVESTOR CODE]]),LS[Unique Code],0),),0)</f>
        <v>11.587596446153846</v>
      </c>
      <c r="AM465" s="49" cm="1">
        <f t="array" ref="AM4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5" s="105">
        <f>IF(INVESTORS_LIST[[#This Row],[TOTAL CURRENT UNITS]]=0,0,(INVESTORS_LIST[[#This Row],[LS_WEIGHT]]*INVESTORS_LIST[[#This Row],[LS_AVERAGE COST]])+(INVESTORS_LIST[[#This Row],[SIP_WEIGHT]]*INVESTORS_LIST[[#This Row],[SIP_AVERAGE COST]]))</f>
        <v>11.587596446153846</v>
      </c>
      <c r="AO465" s="105">
        <f t="shared" si="8"/>
        <v>14.224</v>
      </c>
      <c r="AP465" s="112">
        <f>IF(INVESTORS_LIST[[#This Row],[TOTAL CURRENT UNITS]]=0,0,INVESTORS_LIST[[#This Row],[TOTAL CURRENT UNITS]]*INVESTORS_LIST[[#This Row],[NAV]])</f>
        <v>25196962.559999999</v>
      </c>
      <c r="AQ465" s="49">
        <f>IF(INVESTORS_LIST[[#This Row],[LS_TOTAL CURRENT UNITS]]=0,0,INVESTORS_LIST[[#This Row],[LS_TOTAL CURRENT UNITS]]*INVESTORS_LIST[[#This Row],[NAV]])</f>
        <v>25196962.559999999</v>
      </c>
      <c r="AR465" s="48">
        <f>IF(INVESTORS_LIST[[#This Row],[SIP_TOTAL CURRENT UNITS]]=0,0,INVESTORS_LIST[[#This Row],[SIP_TOTAL CURRENT UNITS]]*INVESTORS_LIST[[#This Row],[NAV]])</f>
        <v>0</v>
      </c>
      <c r="AS465" s="50">
        <f>INVESTORS_LIST[[#This Row],[TOTAL CURRENT UNITS]]</f>
        <v>1771440</v>
      </c>
      <c r="AT465" s="48">
        <f>IF(INVESTORS_LIST[[#This Row],[TOTAL SELLABLE UNITS]]=0,0,INVESTORS_LIST[[#This Row],[TOTAL SELLABLE UNITS]]*INVESTORS_LIST[[#This Row],[NAV]])</f>
        <v>25196962.559999999</v>
      </c>
      <c r="AU465" s="48">
        <f>INVESTORS_LIST[[#This Row],[LS_TOTAL REALIZED GAIN]]+INVESTORS_LIST[[#This Row],[SIP_TOTAL REALIZED GAIN]]</f>
        <v>2368268.8885747688</v>
      </c>
      <c r="AV465" s="48">
        <f>INVESTORS_LIST[[#This Row],[TOTAL MARKET VALUE]]-INVESTORS_LIST[[#This Row],[TOTAL COST VALUE OF CURRENT INVESTMENT]]</f>
        <v>4670230.7114252299</v>
      </c>
      <c r="AW465" s="108">
        <f>IFERROR(INVESTORS_LIST[[#This Row],[TOTAL CURRENT UNITS]]/SUM(INVESTORS_LIST[TOTAL CURRENT UNITS]),0)</f>
        <v>4.300384571547386E-2</v>
      </c>
    </row>
    <row r="466" spans="1:49" hidden="1">
      <c r="A466" s="262" t="s">
        <v>977</v>
      </c>
      <c r="B466" s="97" t="s">
        <v>978</v>
      </c>
      <c r="C466" t="s">
        <v>48</v>
      </c>
      <c r="D466" s="75" t="s">
        <v>132</v>
      </c>
      <c r="E466" s="47">
        <f>SUMIFS(LS[Unit],LS[Investor ID],INVESTORS_LIST[[#This Row],[INVESTOR CODE]],LS[B/S],"B")</f>
        <v>510000</v>
      </c>
      <c r="F466" s="47">
        <f>-SUMIFS(LS[Unit],LS[Investor ID],INVESTORS_LIST[[#This Row],[INVESTOR CODE]],LS[B/S],"S")</f>
        <v>510000</v>
      </c>
      <c r="G466" s="47">
        <f>IF(INVESTORS_LIST[[#This Row],[LS_TOTAL UNITS BUY]]=0,0,INVESTORS_LIST[[#This Row],[LS_TOTAL UNITS BUY]]-INVESTORS_LIST[[#This Row],[LS_TOTAL UNITS SOLD]])</f>
        <v>0</v>
      </c>
      <c r="H466" s="49">
        <f>IF(INVESTORS_LIST[[#This Row],[LS_TOTAL UNITS BUY]]=0,0,SUMIFS(LS[Amount],LS[Investor ID],INVESTORS_LIST[[#This Row],[INVESTOR CODE]],LS[B/S],"B"))</f>
        <v>5367840</v>
      </c>
      <c r="I466" s="48">
        <f>IF(INVESTORS_LIST[[#This Row],[LS_TOTAL UNITS SOLD]]=0,0,SUMIFS(LS[Cost of Units Sold],LS[Investor ID],INVESTORS_LIST[[#This Row],[INVESTOR CODE]],LS[B/S],"S"))</f>
        <v>5367840</v>
      </c>
      <c r="J466" s="48">
        <f>IF(INVESTORS_LIST[[#This Row],[LS_TOTAL CURRENT UNITS]]=0,0,INVESTORS_LIST[[#This Row],[LS_TOTAL CURRENT UNITS]]*INVESTORS_LIST[[#This Row],[LS_AVERAGE COST]])</f>
        <v>0</v>
      </c>
      <c r="K466" s="49">
        <f>IF(INVESTORS_LIST[[#This Row],[LS_TOTAL UNITS SOLD]]=0,0,SUMIFS(LS[Realized Gain],LS[Investor ID],INVESTORS_LIST[[#This Row],[INVESTOR CODE]],LS[B/S],"S"))</f>
        <v>1030110</v>
      </c>
      <c r="L466" s="47">
        <f>SUMIFS(SIP[Unit],SIP[Investor ID],INVESTORS_LIST[[#This Row],[INVESTOR CODE]],SIP[B/S],"B")</f>
        <v>0</v>
      </c>
      <c r="M466" s="47">
        <f>-SUMIFS(SIP[Unit],SIP[Investor ID],INVESTORS_LIST[[#This Row],[INVESTOR CODE]],SIP[B/S],"S")</f>
        <v>0</v>
      </c>
      <c r="N466" s="50">
        <f>IF(INVESTORS_LIST[[#This Row],[SIP_TOTAL UNITS BUY]]=0,0,INVESTORS_LIST[[#This Row],[SIP_TOTAL UNITS BUY]]-INVESTORS_LIST[[#This Row],[SIP_TOTAL UNITS SOLD]])</f>
        <v>0</v>
      </c>
      <c r="O466" s="49">
        <f>IF(INVESTORS_LIST[[#This Row],[SIP_TOTAL UNITS BUY]]=0,0,SUMIFS(SIP[Amount],SIP[Investor ID],INVESTORS_LIST[[#This Row],[INVESTOR CODE]],SIP[B/S],"B"))</f>
        <v>0</v>
      </c>
      <c r="P466" s="49">
        <f>IF(INVESTORS_LIST[[#This Row],[SIP_TOTAL UNITS SOLD]]=0,0,SUMIFS(SIP[Cost of Units Sold],SIP[Investor ID],INVESTORS_LIST[[#This Row],[INVESTOR CODE]],SIP[B/S],"S"))</f>
        <v>0</v>
      </c>
      <c r="Q466" s="48">
        <f>IF(INVESTORS_LIST[[#This Row],[SIP_TOTAL CURRENT UNITS]]=0,0,INVESTORS_LIST[[#This Row],[SIP_TOTAL CURRENT UNITS]]*INVESTORS_LIST[[#This Row],[SIP_AVERAGE COST]])</f>
        <v>0</v>
      </c>
      <c r="R466" s="48">
        <f>IF(INVESTORS_LIST[[#This Row],[SIP_TOTAL UNITS SOLD]]=0,0,SUMIFS(SIP[Realized Gain],SIP[Investor ID],INVESTORS_LIST[[#This Row],[INVESTOR CODE]],SIP[B/S],"S"))</f>
        <v>0</v>
      </c>
      <c r="S466" s="50">
        <f>INVESTORS_LIST[[#This Row],[LS_TOTAL UNITS BUY]]+INVESTORS_LIST[[#This Row],[SIP_TOTAL UNITS BUY]]</f>
        <v>510000</v>
      </c>
      <c r="T466" s="50">
        <f>INVESTORS_LIST[[#This Row],[LS_TOTAL UNITS SOLD]]+INVESTORS_LIST[[#This Row],[SIP_TOTAL UNITS SOLD]]</f>
        <v>510000</v>
      </c>
      <c r="U466" s="50"/>
      <c r="V466" s="50">
        <f>SUMIFS(LS[BO UNIT TRANSFER],LS[Investor ID],INVESTORS_LIST[[#This Row],[INVESTOR CODE]],LS[B/S],"B")</f>
        <v>0</v>
      </c>
      <c r="W466" s="50">
        <f>SUMIFS(SIP[BO UNIT TRANSFER],SIP[Investor ID],INVESTORS_LIST[[#This Row],[INVESTOR CODE]],SIP[B/S],"B")</f>
        <v>0</v>
      </c>
      <c r="X466" s="50">
        <f>SUMIFS(LS[BO UNIT TRANSFER],LS[Investor ID],INVESTORS_LIST[[#This Row],[INVESTOR CODE]],LS[B/S],"S")</f>
        <v>0</v>
      </c>
      <c r="Y466" s="50">
        <f>SUMIFS(SIP[BO UNIT TRANSFER],SIP[Investor ID],INVESTORS_LIST[[#This Row],[INVESTOR CODE]],SIP[B/S],"S")</f>
        <v>0</v>
      </c>
      <c r="Z466" s="106">
        <f>SUM(INVESTORS_LIST[[#This Row],[BO OPENING BALANCE]:[BO SIP UNITS REPURCHASE]])</f>
        <v>0</v>
      </c>
      <c r="AA466" s="107">
        <f>INVESTORS_LIST[[#This Row],[TOTAL UNITS BUY]]-INVESTORS_LIST[[#This Row],[TOTAL UNITS SOLD]]</f>
        <v>0</v>
      </c>
      <c r="AB466" s="107">
        <f>INVESTORS_LIST[[#This Row],[TOTAL CURRENT UNITS]]-INVESTORS_LIST[[#This Row],[BO UNITS HOLD]]</f>
        <v>0</v>
      </c>
      <c r="AC466" s="201" t="e">
        <f>INDEX([3]!Table_1[BO ID],MATCH(INVESTORS_LIST[[#This Row],[INVESTOR CODE]],[3]!Table_1[INVESTOR CODE],0))</f>
        <v>#REF!</v>
      </c>
      <c r="AD466" s="201" t="e">
        <f>INDEX([3]!Table_1[Brokerage Name2],MATCH(INVESTORS_LIST[[#This Row],[INVESTOR CODE]],[3]!Table_1[INVESTOR CODE],0))</f>
        <v>#REF!</v>
      </c>
      <c r="AE466" s="201" t="e">
        <f>MID(INVESTORS_LIST[[#This Row],[BO ID]],4,5)</f>
        <v>#REF!</v>
      </c>
      <c r="AF466" s="201" t="e">
        <f>MID(INVESTORS_LIST[[#This Row],[BO ID]],2,7)</f>
        <v>#REF!</v>
      </c>
      <c r="AG466" s="201" t="e">
        <f>MID(INVESTORS_LIST[[#This Row],[BO ID]],9,7)</f>
        <v>#REF!</v>
      </c>
      <c r="AH466" s="201" t="e">
        <f>RIGHT(INVESTORS_LIST[[#This Row],[BO ID]],1)</f>
        <v>#REF!</v>
      </c>
      <c r="AI466" s="50">
        <f>INVESTORS_LIST[[#This Row],[LS_TOTAL COST VALUE OF CURRENT UNITS]]+INVESTORS_LIST[[#This Row],[SIP_TOTAL COST VALUE OF CURRENT UNITS]]</f>
        <v>0</v>
      </c>
      <c r="AJ466" s="109">
        <f>IF(INVESTORS_LIST[[#This Row],[TOTAL CURRENT UNITS]]=0,0,INVESTORS_LIST[[#This Row],[LS_TOTAL CURRENT UNITS]]/INVESTORS_LIST[[#This Row],[TOTAL CURRENT UNITS]])</f>
        <v>0</v>
      </c>
      <c r="AK466" s="109">
        <f>IF(INVESTORS_LIST[[#This Row],[TOTAL CURRENT UNITS]]=0,0,INVESTORS_LIST[[#This Row],[SIP_TOTAL CURRENT UNITS]]/INVESTORS_LIST[[#This Row],[TOTAL CURRENT UNITS]])</f>
        <v>0</v>
      </c>
      <c r="AL466" s="49" cm="1">
        <f t="array" ref="AL4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66" s="49" cm="1">
        <f t="array" ref="AM4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66" s="105">
        <f t="shared" si="8"/>
        <v>14.224</v>
      </c>
      <c r="AP466" s="112">
        <f>IF(INVESTORS_LIST[[#This Row],[TOTAL CURRENT UNITS]]=0,0,INVESTORS_LIST[[#This Row],[TOTAL CURRENT UNITS]]*INVESTORS_LIST[[#This Row],[NAV]])</f>
        <v>0</v>
      </c>
      <c r="AQ466" s="49">
        <f>IF(INVESTORS_LIST[[#This Row],[LS_TOTAL CURRENT UNITS]]=0,0,INVESTORS_LIST[[#This Row],[LS_TOTAL CURRENT UNITS]]*INVESTORS_LIST[[#This Row],[NAV]])</f>
        <v>0</v>
      </c>
      <c r="AR466" s="48">
        <f>IF(INVESTORS_LIST[[#This Row],[SIP_TOTAL CURRENT UNITS]]=0,0,INVESTORS_LIST[[#This Row],[SIP_TOTAL CURRENT UNITS]]*INVESTORS_LIST[[#This Row],[NAV]])</f>
        <v>0</v>
      </c>
      <c r="AS466" s="50">
        <f>INVESTORS_LIST[[#This Row],[TOTAL CURRENT UNITS]]</f>
        <v>0</v>
      </c>
      <c r="AT466" s="48">
        <f>IF(INVESTORS_LIST[[#This Row],[TOTAL SELLABLE UNITS]]=0,0,INVESTORS_LIST[[#This Row],[TOTAL SELLABLE UNITS]]*INVESTORS_LIST[[#This Row],[NAV]])</f>
        <v>0</v>
      </c>
      <c r="AU466" s="48">
        <f>INVESTORS_LIST[[#This Row],[LS_TOTAL REALIZED GAIN]]+INVESTORS_LIST[[#This Row],[SIP_TOTAL REALIZED GAIN]]</f>
        <v>1030110</v>
      </c>
      <c r="AV466" s="48">
        <f>INVESTORS_LIST[[#This Row],[TOTAL MARKET VALUE]]-INVESTORS_LIST[[#This Row],[TOTAL COST VALUE OF CURRENT INVESTMENT]]</f>
        <v>0</v>
      </c>
      <c r="AW466" s="108">
        <f>IFERROR(INVESTORS_LIST[[#This Row],[TOTAL CURRENT UNITS]]/SUM(INVESTORS_LIST[TOTAL CURRENT UNITS]),0)</f>
        <v>0</v>
      </c>
    </row>
    <row r="467" spans="1:49" hidden="1">
      <c r="A467" s="262" t="s">
        <v>979</v>
      </c>
      <c r="B467" s="97" t="s">
        <v>980</v>
      </c>
      <c r="C467" t="s">
        <v>44</v>
      </c>
      <c r="D467" s="75" t="s">
        <v>45</v>
      </c>
      <c r="E467" s="47">
        <f>SUMIFS(LS[Unit],LS[Investor ID],INVESTORS_LIST[[#This Row],[INVESTOR CODE]],LS[B/S],"B")</f>
        <v>2500</v>
      </c>
      <c r="F467" s="47">
        <f>-SUMIFS(LS[Unit],LS[Investor ID],INVESTORS_LIST[[#This Row],[INVESTOR CODE]],LS[B/S],"S")</f>
        <v>2500</v>
      </c>
      <c r="G467" s="47">
        <f>IF(INVESTORS_LIST[[#This Row],[LS_TOTAL UNITS BUY]]=0,0,INVESTORS_LIST[[#This Row],[LS_TOTAL UNITS BUY]]-INVESTORS_LIST[[#This Row],[LS_TOTAL UNITS SOLD]])</f>
        <v>0</v>
      </c>
      <c r="H467" s="49">
        <f>IF(INVESTORS_LIST[[#This Row],[LS_TOTAL UNITS BUY]]=0,0,SUMIFS(LS[Amount],LS[Investor ID],INVESTORS_LIST[[#This Row],[INVESTOR CODE]],LS[B/S],"B"))</f>
        <v>25000</v>
      </c>
      <c r="I467" s="48">
        <f>IF(INVESTORS_LIST[[#This Row],[LS_TOTAL UNITS SOLD]]=0,0,SUMIFS(LS[Cost of Units Sold],LS[Investor ID],INVESTORS_LIST[[#This Row],[INVESTOR CODE]],LS[B/S],"S"))</f>
        <v>25000</v>
      </c>
      <c r="J467" s="48">
        <f>IF(INVESTORS_LIST[[#This Row],[LS_TOTAL CURRENT UNITS]]=0,0,INVESTORS_LIST[[#This Row],[LS_TOTAL CURRENT UNITS]]*INVESTORS_LIST[[#This Row],[LS_AVERAGE COST]])</f>
        <v>0</v>
      </c>
      <c r="K467" s="49">
        <f>IF(INVESTORS_LIST[[#This Row],[LS_TOTAL UNITS SOLD]]=0,0,SUMIFS(LS[Realized Gain],LS[Investor ID],INVESTORS_LIST[[#This Row],[INVESTOR CODE]],LS[B/S],"S"))</f>
        <v>2879.9999999999982</v>
      </c>
      <c r="L467" s="47">
        <f>SUMIFS(SIP[Unit],SIP[Investor ID],INVESTORS_LIST[[#This Row],[INVESTOR CODE]],SIP[B/S],"B")</f>
        <v>0</v>
      </c>
      <c r="M467" s="47">
        <f>-SUMIFS(SIP[Unit],SIP[Investor ID],INVESTORS_LIST[[#This Row],[INVESTOR CODE]],SIP[B/S],"S")</f>
        <v>0</v>
      </c>
      <c r="N467" s="50">
        <f>IF(INVESTORS_LIST[[#This Row],[SIP_TOTAL UNITS BUY]]=0,0,INVESTORS_LIST[[#This Row],[SIP_TOTAL UNITS BUY]]-INVESTORS_LIST[[#This Row],[SIP_TOTAL UNITS SOLD]])</f>
        <v>0</v>
      </c>
      <c r="O467" s="49">
        <f>IF(INVESTORS_LIST[[#This Row],[SIP_TOTAL UNITS BUY]]=0,0,SUMIFS(SIP[Amount],SIP[Investor ID],INVESTORS_LIST[[#This Row],[INVESTOR CODE]],SIP[B/S],"B"))</f>
        <v>0</v>
      </c>
      <c r="P467" s="49">
        <f>IF(INVESTORS_LIST[[#This Row],[SIP_TOTAL UNITS SOLD]]=0,0,SUMIFS(SIP[Cost of Units Sold],SIP[Investor ID],INVESTORS_LIST[[#This Row],[INVESTOR CODE]],SIP[B/S],"S"))</f>
        <v>0</v>
      </c>
      <c r="Q467" s="48">
        <f>IF(INVESTORS_LIST[[#This Row],[SIP_TOTAL CURRENT UNITS]]=0,0,INVESTORS_LIST[[#This Row],[SIP_TOTAL CURRENT UNITS]]*INVESTORS_LIST[[#This Row],[SIP_AVERAGE COST]])</f>
        <v>0</v>
      </c>
      <c r="R467" s="48">
        <f>IF(INVESTORS_LIST[[#This Row],[SIP_TOTAL UNITS SOLD]]=0,0,SUMIFS(SIP[Realized Gain],SIP[Investor ID],INVESTORS_LIST[[#This Row],[INVESTOR CODE]],SIP[B/S],"S"))</f>
        <v>0</v>
      </c>
      <c r="S467" s="50">
        <f>INVESTORS_LIST[[#This Row],[LS_TOTAL UNITS BUY]]+INVESTORS_LIST[[#This Row],[SIP_TOTAL UNITS BUY]]</f>
        <v>2500</v>
      </c>
      <c r="T467" s="50">
        <f>INVESTORS_LIST[[#This Row],[LS_TOTAL UNITS SOLD]]+INVESTORS_LIST[[#This Row],[SIP_TOTAL UNITS SOLD]]</f>
        <v>2500</v>
      </c>
      <c r="U467" s="50"/>
      <c r="V467" s="50">
        <f>SUMIFS(LS[BO UNIT TRANSFER],LS[Investor ID],INVESTORS_LIST[[#This Row],[INVESTOR CODE]],LS[B/S],"B")</f>
        <v>0</v>
      </c>
      <c r="W467" s="50">
        <f>SUMIFS(SIP[BO UNIT TRANSFER],SIP[Investor ID],INVESTORS_LIST[[#This Row],[INVESTOR CODE]],SIP[B/S],"B")</f>
        <v>0</v>
      </c>
      <c r="X467" s="50">
        <f>SUMIFS(LS[BO UNIT TRANSFER],LS[Investor ID],INVESTORS_LIST[[#This Row],[INVESTOR CODE]],LS[B/S],"S")</f>
        <v>0</v>
      </c>
      <c r="Y467" s="50">
        <f>SUMIFS(SIP[BO UNIT TRANSFER],SIP[Investor ID],INVESTORS_LIST[[#This Row],[INVESTOR CODE]],SIP[B/S],"S")</f>
        <v>0</v>
      </c>
      <c r="Z467" s="106">
        <f>SUM(INVESTORS_LIST[[#This Row],[BO OPENING BALANCE]:[BO SIP UNITS REPURCHASE]])</f>
        <v>0</v>
      </c>
      <c r="AA467" s="107">
        <f>INVESTORS_LIST[[#This Row],[TOTAL UNITS BUY]]-INVESTORS_LIST[[#This Row],[TOTAL UNITS SOLD]]</f>
        <v>0</v>
      </c>
      <c r="AB467" s="107">
        <f>INVESTORS_LIST[[#This Row],[TOTAL CURRENT UNITS]]-INVESTORS_LIST[[#This Row],[BO UNITS HOLD]]</f>
        <v>0</v>
      </c>
      <c r="AC467" s="201" t="e">
        <f>INDEX([3]!Table_1[BO ID],MATCH(INVESTORS_LIST[[#This Row],[INVESTOR CODE]],[3]!Table_1[INVESTOR CODE],0))</f>
        <v>#REF!</v>
      </c>
      <c r="AD467" s="201" t="e">
        <f>INDEX([3]!Table_1[Brokerage Name2],MATCH(INVESTORS_LIST[[#This Row],[INVESTOR CODE]],[3]!Table_1[INVESTOR CODE],0))</f>
        <v>#REF!</v>
      </c>
      <c r="AE467" s="201" t="e">
        <f>MID(INVESTORS_LIST[[#This Row],[BO ID]],4,5)</f>
        <v>#REF!</v>
      </c>
      <c r="AF467" s="201" t="e">
        <f>MID(INVESTORS_LIST[[#This Row],[BO ID]],2,7)</f>
        <v>#REF!</v>
      </c>
      <c r="AG467" s="201" t="e">
        <f>MID(INVESTORS_LIST[[#This Row],[BO ID]],9,7)</f>
        <v>#REF!</v>
      </c>
      <c r="AH467" s="201" t="e">
        <f>RIGHT(INVESTORS_LIST[[#This Row],[BO ID]],1)</f>
        <v>#REF!</v>
      </c>
      <c r="AI467" s="50">
        <f>INVESTORS_LIST[[#This Row],[LS_TOTAL COST VALUE OF CURRENT UNITS]]+INVESTORS_LIST[[#This Row],[SIP_TOTAL COST VALUE OF CURRENT UNITS]]</f>
        <v>0</v>
      </c>
      <c r="AJ467" s="109">
        <f>IF(INVESTORS_LIST[[#This Row],[TOTAL CURRENT UNITS]]=0,0,INVESTORS_LIST[[#This Row],[LS_TOTAL CURRENT UNITS]]/INVESTORS_LIST[[#This Row],[TOTAL CURRENT UNITS]])</f>
        <v>0</v>
      </c>
      <c r="AK467" s="109">
        <f>IF(INVESTORS_LIST[[#This Row],[TOTAL CURRENT UNITS]]=0,0,INVESTORS_LIST[[#This Row],[SIP_TOTAL CURRENT UNITS]]/INVESTORS_LIST[[#This Row],[TOTAL CURRENT UNITS]])</f>
        <v>0</v>
      </c>
      <c r="AL467" s="49" cm="1">
        <f t="array" ref="AL4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67" s="49" cm="1">
        <f t="array" ref="AM4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67" s="105">
        <f t="shared" si="8"/>
        <v>14.224</v>
      </c>
      <c r="AP467" s="112">
        <f>IF(INVESTORS_LIST[[#This Row],[TOTAL CURRENT UNITS]]=0,0,INVESTORS_LIST[[#This Row],[TOTAL CURRENT UNITS]]*INVESTORS_LIST[[#This Row],[NAV]])</f>
        <v>0</v>
      </c>
      <c r="AQ467" s="49">
        <f>IF(INVESTORS_LIST[[#This Row],[LS_TOTAL CURRENT UNITS]]=0,0,INVESTORS_LIST[[#This Row],[LS_TOTAL CURRENT UNITS]]*INVESTORS_LIST[[#This Row],[NAV]])</f>
        <v>0</v>
      </c>
      <c r="AR467" s="48">
        <f>IF(INVESTORS_LIST[[#This Row],[SIP_TOTAL CURRENT UNITS]]=0,0,INVESTORS_LIST[[#This Row],[SIP_TOTAL CURRENT UNITS]]*INVESTORS_LIST[[#This Row],[NAV]])</f>
        <v>0</v>
      </c>
      <c r="AS467" s="50">
        <f>INVESTORS_LIST[[#This Row],[TOTAL CURRENT UNITS]]</f>
        <v>0</v>
      </c>
      <c r="AT467" s="48">
        <f>IF(INVESTORS_LIST[[#This Row],[TOTAL SELLABLE UNITS]]=0,0,INVESTORS_LIST[[#This Row],[TOTAL SELLABLE UNITS]]*INVESTORS_LIST[[#This Row],[NAV]])</f>
        <v>0</v>
      </c>
      <c r="AU467" s="48">
        <f>INVESTORS_LIST[[#This Row],[LS_TOTAL REALIZED GAIN]]+INVESTORS_LIST[[#This Row],[SIP_TOTAL REALIZED GAIN]]</f>
        <v>2879.9999999999982</v>
      </c>
      <c r="AV467" s="48">
        <f>INVESTORS_LIST[[#This Row],[TOTAL MARKET VALUE]]-INVESTORS_LIST[[#This Row],[TOTAL COST VALUE OF CURRENT INVESTMENT]]</f>
        <v>0</v>
      </c>
      <c r="AW467" s="108">
        <f>IFERROR(INVESTORS_LIST[[#This Row],[TOTAL CURRENT UNITS]]/SUM(INVESTORS_LIST[TOTAL CURRENT UNITS]),0)</f>
        <v>0</v>
      </c>
    </row>
    <row r="468" spans="1:49" hidden="1">
      <c r="A468" s="262" t="s">
        <v>981</v>
      </c>
      <c r="B468" s="97" t="s">
        <v>982</v>
      </c>
      <c r="C468" t="s">
        <v>44</v>
      </c>
      <c r="D468" s="75" t="s">
        <v>45</v>
      </c>
      <c r="E468" s="47">
        <f>SUMIFS(LS[Unit],LS[Investor ID],INVESTORS_LIST[[#This Row],[INVESTOR CODE]],LS[B/S],"B")</f>
        <v>109151</v>
      </c>
      <c r="F468" s="47">
        <f>-SUMIFS(LS[Unit],LS[Investor ID],INVESTORS_LIST[[#This Row],[INVESTOR CODE]],LS[B/S],"S")</f>
        <v>109151</v>
      </c>
      <c r="G468" s="47">
        <f>IF(INVESTORS_LIST[[#This Row],[LS_TOTAL UNITS BUY]]=0,0,INVESTORS_LIST[[#This Row],[LS_TOTAL UNITS BUY]]-INVESTORS_LIST[[#This Row],[LS_TOTAL UNITS SOLD]])</f>
        <v>0</v>
      </c>
      <c r="H468" s="49">
        <f>IF(INVESTORS_LIST[[#This Row],[LS_TOTAL UNITS BUY]]=0,0,SUMIFS(LS[Amount],LS[Investor ID],INVESTORS_LIST[[#This Row],[INVESTOR CODE]],LS[B/S],"B"))</f>
        <v>1212600</v>
      </c>
      <c r="I468" s="48">
        <f>IF(INVESTORS_LIST[[#This Row],[LS_TOTAL UNITS SOLD]]=0,0,SUMIFS(LS[Cost of Units Sold],LS[Investor ID],INVESTORS_LIST[[#This Row],[INVESTOR CODE]],LS[B/S],"S"))</f>
        <v>1212600</v>
      </c>
      <c r="J468" s="48">
        <f>IF(INVESTORS_LIST[[#This Row],[LS_TOTAL CURRENT UNITS]]=0,0,INVESTORS_LIST[[#This Row],[LS_TOTAL CURRENT UNITS]]*INVESTORS_LIST[[#This Row],[LS_AVERAGE COST]])</f>
        <v>0</v>
      </c>
      <c r="K468" s="49">
        <f>IF(INVESTORS_LIST[[#This Row],[LS_TOTAL UNITS SOLD]]=0,0,SUMIFS(LS[Realized Gain],LS[Investor ID],INVESTORS_LIST[[#This Row],[INVESTOR CODE]],LS[B/S],"S"))</f>
        <v>27578.279999999919</v>
      </c>
      <c r="L468" s="47">
        <f>SUMIFS(SIP[Unit],SIP[Investor ID],INVESTORS_LIST[[#This Row],[INVESTOR CODE]],SIP[B/S],"B")</f>
        <v>0</v>
      </c>
      <c r="M468" s="47">
        <f>-SUMIFS(SIP[Unit],SIP[Investor ID],INVESTORS_LIST[[#This Row],[INVESTOR CODE]],SIP[B/S],"S")</f>
        <v>0</v>
      </c>
      <c r="N468" s="50">
        <f>IF(INVESTORS_LIST[[#This Row],[SIP_TOTAL UNITS BUY]]=0,0,INVESTORS_LIST[[#This Row],[SIP_TOTAL UNITS BUY]]-INVESTORS_LIST[[#This Row],[SIP_TOTAL UNITS SOLD]])</f>
        <v>0</v>
      </c>
      <c r="O468" s="49">
        <f>IF(INVESTORS_LIST[[#This Row],[SIP_TOTAL UNITS BUY]]=0,0,SUMIFS(SIP[Amount],SIP[Investor ID],INVESTORS_LIST[[#This Row],[INVESTOR CODE]],SIP[B/S],"B"))</f>
        <v>0</v>
      </c>
      <c r="P468" s="49">
        <f>IF(INVESTORS_LIST[[#This Row],[SIP_TOTAL UNITS SOLD]]=0,0,SUMIFS(SIP[Cost of Units Sold],SIP[Investor ID],INVESTORS_LIST[[#This Row],[INVESTOR CODE]],SIP[B/S],"S"))</f>
        <v>0</v>
      </c>
      <c r="Q468" s="48">
        <f>IF(INVESTORS_LIST[[#This Row],[SIP_TOTAL CURRENT UNITS]]=0,0,INVESTORS_LIST[[#This Row],[SIP_TOTAL CURRENT UNITS]]*INVESTORS_LIST[[#This Row],[SIP_AVERAGE COST]])</f>
        <v>0</v>
      </c>
      <c r="R468" s="48">
        <f>IF(INVESTORS_LIST[[#This Row],[SIP_TOTAL UNITS SOLD]]=0,0,SUMIFS(SIP[Realized Gain],SIP[Investor ID],INVESTORS_LIST[[#This Row],[INVESTOR CODE]],SIP[B/S],"S"))</f>
        <v>0</v>
      </c>
      <c r="S468" s="50">
        <f>INVESTORS_LIST[[#This Row],[LS_TOTAL UNITS BUY]]+INVESTORS_LIST[[#This Row],[SIP_TOTAL UNITS BUY]]</f>
        <v>109151</v>
      </c>
      <c r="T468" s="50">
        <f>INVESTORS_LIST[[#This Row],[LS_TOTAL UNITS SOLD]]+INVESTORS_LIST[[#This Row],[SIP_TOTAL UNITS SOLD]]</f>
        <v>109151</v>
      </c>
      <c r="U468" s="50"/>
      <c r="V468" s="50">
        <f>SUMIFS(LS[BO UNIT TRANSFER],LS[Investor ID],INVESTORS_LIST[[#This Row],[INVESTOR CODE]],LS[B/S],"B")</f>
        <v>0</v>
      </c>
      <c r="W468" s="50">
        <f>SUMIFS(SIP[BO UNIT TRANSFER],SIP[Investor ID],INVESTORS_LIST[[#This Row],[INVESTOR CODE]],SIP[B/S],"B")</f>
        <v>0</v>
      </c>
      <c r="X468" s="50">
        <f>SUMIFS(LS[BO UNIT TRANSFER],LS[Investor ID],INVESTORS_LIST[[#This Row],[INVESTOR CODE]],LS[B/S],"S")</f>
        <v>0</v>
      </c>
      <c r="Y468" s="50">
        <f>SUMIFS(SIP[BO UNIT TRANSFER],SIP[Investor ID],INVESTORS_LIST[[#This Row],[INVESTOR CODE]],SIP[B/S],"S")</f>
        <v>0</v>
      </c>
      <c r="Z468" s="106">
        <f>SUM(INVESTORS_LIST[[#This Row],[BO OPENING BALANCE]:[BO SIP UNITS REPURCHASE]])</f>
        <v>0</v>
      </c>
      <c r="AA468" s="107">
        <f>INVESTORS_LIST[[#This Row],[TOTAL UNITS BUY]]-INVESTORS_LIST[[#This Row],[TOTAL UNITS SOLD]]</f>
        <v>0</v>
      </c>
      <c r="AB468" s="107">
        <f>INVESTORS_LIST[[#This Row],[TOTAL CURRENT UNITS]]-INVESTORS_LIST[[#This Row],[BO UNITS HOLD]]</f>
        <v>0</v>
      </c>
      <c r="AC468" s="201" t="e">
        <f>INDEX([3]!Table_1[BO ID],MATCH(INVESTORS_LIST[[#This Row],[INVESTOR CODE]],[3]!Table_1[INVESTOR CODE],0))</f>
        <v>#REF!</v>
      </c>
      <c r="AD468" s="201" t="e">
        <f>INDEX([3]!Table_1[Brokerage Name2],MATCH(INVESTORS_LIST[[#This Row],[INVESTOR CODE]],[3]!Table_1[INVESTOR CODE],0))</f>
        <v>#REF!</v>
      </c>
      <c r="AE468" s="201" t="e">
        <f>MID(INVESTORS_LIST[[#This Row],[BO ID]],4,5)</f>
        <v>#REF!</v>
      </c>
      <c r="AF468" s="201" t="e">
        <f>MID(INVESTORS_LIST[[#This Row],[BO ID]],2,7)</f>
        <v>#REF!</v>
      </c>
      <c r="AG468" s="201" t="e">
        <f>MID(INVESTORS_LIST[[#This Row],[BO ID]],9,7)</f>
        <v>#REF!</v>
      </c>
      <c r="AH468" s="201" t="e">
        <f>RIGHT(INVESTORS_LIST[[#This Row],[BO ID]],1)</f>
        <v>#REF!</v>
      </c>
      <c r="AI468" s="50">
        <f>INVESTORS_LIST[[#This Row],[LS_TOTAL COST VALUE OF CURRENT UNITS]]+INVESTORS_LIST[[#This Row],[SIP_TOTAL COST VALUE OF CURRENT UNITS]]</f>
        <v>0</v>
      </c>
      <c r="AJ468" s="109">
        <f>IF(INVESTORS_LIST[[#This Row],[TOTAL CURRENT UNITS]]=0,0,INVESTORS_LIST[[#This Row],[LS_TOTAL CURRENT UNITS]]/INVESTORS_LIST[[#This Row],[TOTAL CURRENT UNITS]])</f>
        <v>0</v>
      </c>
      <c r="AK468" s="109">
        <f>IF(INVESTORS_LIST[[#This Row],[TOTAL CURRENT UNITS]]=0,0,INVESTORS_LIST[[#This Row],[SIP_TOTAL CURRENT UNITS]]/INVESTORS_LIST[[#This Row],[TOTAL CURRENT UNITS]])</f>
        <v>0</v>
      </c>
      <c r="AL468" s="49" cm="1">
        <f t="array" ref="AL4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68" s="49" cm="1">
        <f t="array" ref="AM4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68" s="105">
        <f t="shared" si="8"/>
        <v>14.224</v>
      </c>
      <c r="AP468" s="112">
        <f>IF(INVESTORS_LIST[[#This Row],[TOTAL CURRENT UNITS]]=0,0,INVESTORS_LIST[[#This Row],[TOTAL CURRENT UNITS]]*INVESTORS_LIST[[#This Row],[NAV]])</f>
        <v>0</v>
      </c>
      <c r="AQ468" s="49">
        <f>IF(INVESTORS_LIST[[#This Row],[LS_TOTAL CURRENT UNITS]]=0,0,INVESTORS_LIST[[#This Row],[LS_TOTAL CURRENT UNITS]]*INVESTORS_LIST[[#This Row],[NAV]])</f>
        <v>0</v>
      </c>
      <c r="AR468" s="48">
        <f>IF(INVESTORS_LIST[[#This Row],[SIP_TOTAL CURRENT UNITS]]=0,0,INVESTORS_LIST[[#This Row],[SIP_TOTAL CURRENT UNITS]]*INVESTORS_LIST[[#This Row],[NAV]])</f>
        <v>0</v>
      </c>
      <c r="AS468" s="50">
        <f>INVESTORS_LIST[[#This Row],[TOTAL CURRENT UNITS]]</f>
        <v>0</v>
      </c>
      <c r="AT468" s="48">
        <f>IF(INVESTORS_LIST[[#This Row],[TOTAL SELLABLE UNITS]]=0,0,INVESTORS_LIST[[#This Row],[TOTAL SELLABLE UNITS]]*INVESTORS_LIST[[#This Row],[NAV]])</f>
        <v>0</v>
      </c>
      <c r="AU468" s="48">
        <f>INVESTORS_LIST[[#This Row],[LS_TOTAL REALIZED GAIN]]+INVESTORS_LIST[[#This Row],[SIP_TOTAL REALIZED GAIN]]</f>
        <v>27578.279999999919</v>
      </c>
      <c r="AV468" s="48">
        <f>INVESTORS_LIST[[#This Row],[TOTAL MARKET VALUE]]-INVESTORS_LIST[[#This Row],[TOTAL COST VALUE OF CURRENT INVESTMENT]]</f>
        <v>0</v>
      </c>
      <c r="AW468" s="108">
        <f>IFERROR(INVESTORS_LIST[[#This Row],[TOTAL CURRENT UNITS]]/SUM(INVESTORS_LIST[TOTAL CURRENT UNITS]),0)</f>
        <v>0</v>
      </c>
    </row>
    <row r="469" spans="1:49">
      <c r="A469" s="262" t="s">
        <v>983</v>
      </c>
      <c r="B469" s="97" t="s">
        <v>984</v>
      </c>
      <c r="C469" t="s">
        <v>44</v>
      </c>
      <c r="D469" s="75" t="s">
        <v>45</v>
      </c>
      <c r="E469" s="47">
        <f>SUMIFS(LS[Unit],LS[Investor ID],INVESTORS_LIST[[#This Row],[INVESTOR CODE]],LS[B/S],"B")</f>
        <v>38700</v>
      </c>
      <c r="F469" s="47">
        <f>-SUMIFS(LS[Unit],LS[Investor ID],INVESTORS_LIST[[#This Row],[INVESTOR CODE]],LS[B/S],"S")</f>
        <v>25904</v>
      </c>
      <c r="G469" s="47">
        <f>IF(INVESTORS_LIST[[#This Row],[LS_TOTAL UNITS BUY]]=0,0,INVESTORS_LIST[[#This Row],[LS_TOTAL UNITS BUY]]-INVESTORS_LIST[[#This Row],[LS_TOTAL UNITS SOLD]])</f>
        <v>12796</v>
      </c>
      <c r="H469" s="49">
        <f>IF(INVESTORS_LIST[[#This Row],[LS_TOTAL UNITS BUY]]=0,0,SUMIFS(LS[Amount],LS[Investor ID],INVESTORS_LIST[[#This Row],[INVESTOR CODE]],LS[B/S],"B"))</f>
        <v>387001</v>
      </c>
      <c r="I469" s="48">
        <f>IF(INVESTORS_LIST[[#This Row],[LS_TOTAL UNITS SOLD]]=0,0,SUMIFS(LS[Cost of Units Sold],LS[Investor ID],INVESTORS_LIST[[#This Row],[INVESTOR CODE]],LS[B/S],"S"))</f>
        <v>259040.66935400516</v>
      </c>
      <c r="J469" s="48">
        <f>IF(INVESTORS_LIST[[#This Row],[LS_TOTAL CURRENT UNITS]]=0,0,INVESTORS_LIST[[#This Row],[LS_TOTAL CURRENT UNITS]]*INVESTORS_LIST[[#This Row],[LS_AVERAGE COST]])</f>
        <v>127960.33064599482</v>
      </c>
      <c r="K469" s="49">
        <f>IF(INVESTORS_LIST[[#This Row],[LS_TOTAL UNITS SOLD]]=0,0,SUMIFS(LS[Realized Gain],LS[Investor ID],INVESTORS_LIST[[#This Row],[INVESTOR CODE]],LS[B/S],"S"))</f>
        <v>40959.330645994865</v>
      </c>
      <c r="L469" s="47">
        <f>SUMIFS(SIP[Unit],SIP[Investor ID],INVESTORS_LIST[[#This Row],[INVESTOR CODE]],SIP[B/S],"B")</f>
        <v>0</v>
      </c>
      <c r="M469" s="47">
        <f>-SUMIFS(SIP[Unit],SIP[Investor ID],INVESTORS_LIST[[#This Row],[INVESTOR CODE]],SIP[B/S],"S")</f>
        <v>0</v>
      </c>
      <c r="N469" s="50">
        <f>IF(INVESTORS_LIST[[#This Row],[SIP_TOTAL UNITS BUY]]=0,0,INVESTORS_LIST[[#This Row],[SIP_TOTAL UNITS BUY]]-INVESTORS_LIST[[#This Row],[SIP_TOTAL UNITS SOLD]])</f>
        <v>0</v>
      </c>
      <c r="O469" s="49">
        <f>IF(INVESTORS_LIST[[#This Row],[SIP_TOTAL UNITS BUY]]=0,0,SUMIFS(SIP[Amount],SIP[Investor ID],INVESTORS_LIST[[#This Row],[INVESTOR CODE]],SIP[B/S],"B"))</f>
        <v>0</v>
      </c>
      <c r="P469" s="49">
        <f>IF(INVESTORS_LIST[[#This Row],[SIP_TOTAL UNITS SOLD]]=0,0,SUMIFS(SIP[Cost of Units Sold],SIP[Investor ID],INVESTORS_LIST[[#This Row],[INVESTOR CODE]],SIP[B/S],"S"))</f>
        <v>0</v>
      </c>
      <c r="Q469" s="48">
        <f>IF(INVESTORS_LIST[[#This Row],[SIP_TOTAL CURRENT UNITS]]=0,0,INVESTORS_LIST[[#This Row],[SIP_TOTAL CURRENT UNITS]]*INVESTORS_LIST[[#This Row],[SIP_AVERAGE COST]])</f>
        <v>0</v>
      </c>
      <c r="R469" s="48">
        <f>IF(INVESTORS_LIST[[#This Row],[SIP_TOTAL UNITS SOLD]]=0,0,SUMIFS(SIP[Realized Gain],SIP[Investor ID],INVESTORS_LIST[[#This Row],[INVESTOR CODE]],SIP[B/S],"S"))</f>
        <v>0</v>
      </c>
      <c r="S469" s="50">
        <f>INVESTORS_LIST[[#This Row],[LS_TOTAL UNITS BUY]]+INVESTORS_LIST[[#This Row],[SIP_TOTAL UNITS BUY]]</f>
        <v>38700</v>
      </c>
      <c r="T469" s="50">
        <f>INVESTORS_LIST[[#This Row],[LS_TOTAL UNITS SOLD]]+INVESTORS_LIST[[#This Row],[SIP_TOTAL UNITS SOLD]]</f>
        <v>25904</v>
      </c>
      <c r="U469" s="50">
        <v>27373</v>
      </c>
      <c r="V469" s="50">
        <f>SUMIFS(LS[BO UNIT TRANSFER],LS[Investor ID],INVESTORS_LIST[[#This Row],[INVESTOR CODE]],LS[B/S],"B")</f>
        <v>0</v>
      </c>
      <c r="W469" s="50">
        <f>SUMIFS(SIP[BO UNIT TRANSFER],SIP[Investor ID],INVESTORS_LIST[[#This Row],[INVESTOR CODE]],SIP[B/S],"B")</f>
        <v>0</v>
      </c>
      <c r="X469" s="50">
        <f>SUMIFS(LS[BO UNIT TRANSFER],LS[Investor ID],INVESTORS_LIST[[#This Row],[INVESTOR CODE]],LS[B/S],"S")</f>
        <v>0</v>
      </c>
      <c r="Y469" s="50">
        <f>SUMIFS(SIP[BO UNIT TRANSFER],SIP[Investor ID],INVESTORS_LIST[[#This Row],[INVESTOR CODE]],SIP[B/S],"S")</f>
        <v>0</v>
      </c>
      <c r="Z469" s="106">
        <f>SUM(INVESTORS_LIST[[#This Row],[BO OPENING BALANCE]:[BO SIP UNITS REPURCHASE]])</f>
        <v>27373</v>
      </c>
      <c r="AA469" s="107">
        <f>INVESTORS_LIST[[#This Row],[TOTAL UNITS BUY]]-INVESTORS_LIST[[#This Row],[TOTAL UNITS SOLD]]</f>
        <v>12796</v>
      </c>
      <c r="AB469" s="107">
        <f>INVESTORS_LIST[[#This Row],[TOTAL CURRENT UNITS]]-INVESTORS_LIST[[#This Row],[BO UNITS HOLD]]</f>
        <v>-14577</v>
      </c>
      <c r="AC469" s="201" t="e">
        <f>INDEX([3]!Table_1[BO ID],MATCH(INVESTORS_LIST[[#This Row],[INVESTOR CODE]],[3]!Table_1[INVESTOR CODE],0))</f>
        <v>#REF!</v>
      </c>
      <c r="AD469" s="201" t="e">
        <f>INDEX([3]!Table_1[Brokerage Name2],MATCH(INVESTORS_LIST[[#This Row],[INVESTOR CODE]],[3]!Table_1[INVESTOR CODE],0))</f>
        <v>#REF!</v>
      </c>
      <c r="AE469" s="201" t="e">
        <f>MID(INVESTORS_LIST[[#This Row],[BO ID]],4,5)</f>
        <v>#REF!</v>
      </c>
      <c r="AF469" s="201" t="e">
        <f>MID(INVESTORS_LIST[[#This Row],[BO ID]],2,7)</f>
        <v>#REF!</v>
      </c>
      <c r="AG469" s="201" t="e">
        <f>MID(INVESTORS_LIST[[#This Row],[BO ID]],9,7)</f>
        <v>#REF!</v>
      </c>
      <c r="AH469" s="201" t="e">
        <f>RIGHT(INVESTORS_LIST[[#This Row],[BO ID]],1)</f>
        <v>#REF!</v>
      </c>
      <c r="AI469" s="50">
        <f>INVESTORS_LIST[[#This Row],[LS_TOTAL COST VALUE OF CURRENT UNITS]]+INVESTORS_LIST[[#This Row],[SIP_TOTAL COST VALUE OF CURRENT UNITS]]</f>
        <v>127960.33064599482</v>
      </c>
      <c r="AJ469" s="109">
        <f>IF(INVESTORS_LIST[[#This Row],[TOTAL CURRENT UNITS]]=0,0,INVESTORS_LIST[[#This Row],[LS_TOTAL CURRENT UNITS]]/INVESTORS_LIST[[#This Row],[TOTAL CURRENT UNITS]])</f>
        <v>1</v>
      </c>
      <c r="AK469" s="109">
        <f>IF(INVESTORS_LIST[[#This Row],[TOTAL CURRENT UNITS]]=0,0,INVESTORS_LIST[[#This Row],[SIP_TOTAL CURRENT UNITS]]/INVESTORS_LIST[[#This Row],[TOTAL CURRENT UNITS]])</f>
        <v>0</v>
      </c>
      <c r="AL469" s="49" cm="1">
        <f t="array" ref="AL469">IF(INVESTORS_LIST[[#This Row],[LS_TOTAL UNITS BUY]]&gt;0,INDEX(LS[NAV at Cost (Average)],MATCH(CONCATENATE(COUNTIFS(LS[Investor ID],INVESTORS_LIST[[#This Row],[INVESTOR CODE]]),INVESTORS_LIST[[#This Row],[INVESTOR CODE]]),LS[Unique Code],0),),0)</f>
        <v>10.000025839793281</v>
      </c>
      <c r="AM469" s="49" cm="1">
        <f t="array" ref="AM4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69" s="105">
        <f>IF(INVESTORS_LIST[[#This Row],[TOTAL CURRENT UNITS]]=0,0,(INVESTORS_LIST[[#This Row],[LS_WEIGHT]]*INVESTORS_LIST[[#This Row],[LS_AVERAGE COST]])+(INVESTORS_LIST[[#This Row],[SIP_WEIGHT]]*INVESTORS_LIST[[#This Row],[SIP_AVERAGE COST]]))</f>
        <v>10.000025839793281</v>
      </c>
      <c r="AO469" s="105">
        <f t="shared" si="8"/>
        <v>14.224</v>
      </c>
      <c r="AP469" s="112">
        <f>IF(INVESTORS_LIST[[#This Row],[TOTAL CURRENT UNITS]]=0,0,INVESTORS_LIST[[#This Row],[TOTAL CURRENT UNITS]]*INVESTORS_LIST[[#This Row],[NAV]])</f>
        <v>182010.304</v>
      </c>
      <c r="AQ469" s="49">
        <f>IF(INVESTORS_LIST[[#This Row],[LS_TOTAL CURRENT UNITS]]=0,0,INVESTORS_LIST[[#This Row],[LS_TOTAL CURRENT UNITS]]*INVESTORS_LIST[[#This Row],[NAV]])</f>
        <v>182010.304</v>
      </c>
      <c r="AR469" s="48">
        <f>IF(INVESTORS_LIST[[#This Row],[SIP_TOTAL CURRENT UNITS]]=0,0,INVESTORS_LIST[[#This Row],[SIP_TOTAL CURRENT UNITS]]*INVESTORS_LIST[[#This Row],[NAV]])</f>
        <v>0</v>
      </c>
      <c r="AS469" s="50">
        <f>INVESTORS_LIST[[#This Row],[TOTAL CURRENT UNITS]]</f>
        <v>12796</v>
      </c>
      <c r="AT469" s="48">
        <f>IF(INVESTORS_LIST[[#This Row],[TOTAL SELLABLE UNITS]]=0,0,INVESTORS_LIST[[#This Row],[TOTAL SELLABLE UNITS]]*INVESTORS_LIST[[#This Row],[NAV]])</f>
        <v>182010.304</v>
      </c>
      <c r="AU469" s="48">
        <f>INVESTORS_LIST[[#This Row],[LS_TOTAL REALIZED GAIN]]+INVESTORS_LIST[[#This Row],[SIP_TOTAL REALIZED GAIN]]</f>
        <v>40959.330645994865</v>
      </c>
      <c r="AV469" s="48">
        <f>INVESTORS_LIST[[#This Row],[TOTAL MARKET VALUE]]-INVESTORS_LIST[[#This Row],[TOTAL COST VALUE OF CURRENT INVESTMENT]]</f>
        <v>54049.973354005182</v>
      </c>
      <c r="AW469" s="108">
        <f>IFERROR(INVESTORS_LIST[[#This Row],[TOTAL CURRENT UNITS]]/SUM(INVESTORS_LIST[TOTAL CURRENT UNITS]),0)</f>
        <v>3.1063835623854237E-4</v>
      </c>
    </row>
    <row r="470" spans="1:49">
      <c r="A470" s="262" t="s">
        <v>985</v>
      </c>
      <c r="B470" s="97" t="s">
        <v>986</v>
      </c>
      <c r="C470" t="s">
        <v>44</v>
      </c>
      <c r="D470" s="75" t="s">
        <v>45</v>
      </c>
      <c r="E470" s="47">
        <f>SUMIFS(LS[Unit],LS[Investor ID],INVESTORS_LIST[[#This Row],[INVESTOR CODE]],LS[B/S],"B")</f>
        <v>3092561</v>
      </c>
      <c r="F470" s="47">
        <f>-SUMIFS(LS[Unit],LS[Investor ID],INVESTORS_LIST[[#This Row],[INVESTOR CODE]],LS[B/S],"S")</f>
        <v>2249760</v>
      </c>
      <c r="G470" s="47">
        <f>IF(INVESTORS_LIST[[#This Row],[LS_TOTAL UNITS BUY]]=0,0,INVESTORS_LIST[[#This Row],[LS_TOTAL UNITS BUY]]-INVESTORS_LIST[[#This Row],[LS_TOTAL UNITS SOLD]])</f>
        <v>842801</v>
      </c>
      <c r="H470" s="49">
        <f>IF(INVESTORS_LIST[[#This Row],[LS_TOTAL UNITS BUY]]=0,0,SUMIFS(LS[Amount],LS[Investor ID],INVESTORS_LIST[[#This Row],[INVESTOR CODE]],LS[B/S],"B"))</f>
        <v>37350000</v>
      </c>
      <c r="I470" s="48">
        <f>IF(INVESTORS_LIST[[#This Row],[LS_TOTAL UNITS SOLD]]=0,0,SUMIFS(LS[Cost of Units Sold],LS[Investor ID],INVESTORS_LIST[[#This Row],[INVESTOR CODE]],LS[B/S],"S"))</f>
        <v>26347783.188178241</v>
      </c>
      <c r="J470" s="48">
        <f>IF(INVESTORS_LIST[[#This Row],[LS_TOTAL CURRENT UNITS]]=0,0,INVESTORS_LIST[[#This Row],[LS_TOTAL CURRENT UNITS]]*INVESTORS_LIST[[#This Row],[LS_AVERAGE COST]])</f>
        <v>11002216.811821762</v>
      </c>
      <c r="K470" s="49">
        <f>IF(INVESTORS_LIST[[#This Row],[LS_TOTAL UNITS SOLD]]=0,0,SUMIFS(LS[Realized Gain],LS[Investor ID],INVESTORS_LIST[[#This Row],[INVESTOR CODE]],LS[B/S],"S"))</f>
        <v>2012026.6418217593</v>
      </c>
      <c r="L470" s="47">
        <f>SUMIFS(SIP[Unit],SIP[Investor ID],INVESTORS_LIST[[#This Row],[INVESTOR CODE]],SIP[B/S],"B")</f>
        <v>23312</v>
      </c>
      <c r="M470" s="47">
        <f>-SUMIFS(SIP[Unit],SIP[Investor ID],INVESTORS_LIST[[#This Row],[INVESTOR CODE]],SIP[B/S],"S")</f>
        <v>0</v>
      </c>
      <c r="N470" s="50">
        <f>IF(INVESTORS_LIST[[#This Row],[SIP_TOTAL UNITS BUY]]=0,0,INVESTORS_LIST[[#This Row],[SIP_TOTAL UNITS BUY]]-INVESTORS_LIST[[#This Row],[SIP_TOTAL UNITS SOLD]])</f>
        <v>23312</v>
      </c>
      <c r="O470" s="49">
        <f>IF(INVESTORS_LIST[[#This Row],[SIP_TOTAL UNITS BUY]]=0,0,SUMIFS(SIP[Amount],SIP[Investor ID],INVESTORS_LIST[[#This Row],[INVESTOR CODE]],SIP[B/S],"B"))</f>
        <v>280000</v>
      </c>
      <c r="P470" s="49">
        <f>IF(INVESTORS_LIST[[#This Row],[SIP_TOTAL UNITS SOLD]]=0,0,SUMIFS(SIP[Cost of Units Sold],SIP[Investor ID],INVESTORS_LIST[[#This Row],[INVESTOR CODE]],SIP[B/S],"S"))</f>
        <v>0</v>
      </c>
      <c r="Q470" s="48">
        <f>IF(INVESTORS_LIST[[#This Row],[SIP_TOTAL CURRENT UNITS]]=0,0,INVESTORS_LIST[[#This Row],[SIP_TOTAL CURRENT UNITS]]*INVESTORS_LIST[[#This Row],[SIP_AVERAGE COST]])</f>
        <v>279999.99999999988</v>
      </c>
      <c r="R470" s="48">
        <f>IF(INVESTORS_LIST[[#This Row],[SIP_TOTAL UNITS SOLD]]=0,0,SUMIFS(SIP[Realized Gain],SIP[Investor ID],INVESTORS_LIST[[#This Row],[INVESTOR CODE]],SIP[B/S],"S"))</f>
        <v>0</v>
      </c>
      <c r="S470" s="50">
        <f>INVESTORS_LIST[[#This Row],[LS_TOTAL UNITS BUY]]+INVESTORS_LIST[[#This Row],[SIP_TOTAL UNITS BUY]]</f>
        <v>3115873</v>
      </c>
      <c r="T470" s="50">
        <f>INVESTORS_LIST[[#This Row],[LS_TOTAL UNITS SOLD]]+INVESTORS_LIST[[#This Row],[SIP_TOTAL UNITS SOLD]]</f>
        <v>2249760</v>
      </c>
      <c r="U470" s="50">
        <f>452396+457</f>
        <v>452853</v>
      </c>
      <c r="V470" s="50">
        <f>SUMIFS(LS[BO UNIT TRANSFER],LS[Investor ID],INVESTORS_LIST[[#This Row],[INVESTOR CODE]],LS[B/S],"B")</f>
        <v>2395583</v>
      </c>
      <c r="W470" s="50">
        <f>SUMIFS(SIP[BO UNIT TRANSFER],SIP[Investor ID],INVESTORS_LIST[[#This Row],[INVESTOR CODE]],SIP[B/S],"B")</f>
        <v>18200</v>
      </c>
      <c r="X470" s="50">
        <f>SUMIFS(LS[BO UNIT TRANSFER],LS[Investor ID],INVESTORS_LIST[[#This Row],[INVESTOR CODE]],LS[B/S],"S")</f>
        <v>-2036964</v>
      </c>
      <c r="Y470" s="50">
        <f>SUMIFS(SIP[BO UNIT TRANSFER],SIP[Investor ID],INVESTORS_LIST[[#This Row],[INVESTOR CODE]],SIP[B/S],"S")</f>
        <v>0</v>
      </c>
      <c r="Z470" s="106">
        <f>SUM(INVESTORS_LIST[[#This Row],[BO OPENING BALANCE]:[BO SIP UNITS REPURCHASE]])</f>
        <v>829672</v>
      </c>
      <c r="AA470" s="107">
        <f>INVESTORS_LIST[[#This Row],[TOTAL UNITS BUY]]-INVESTORS_LIST[[#This Row],[TOTAL UNITS SOLD]]</f>
        <v>866113</v>
      </c>
      <c r="AB470" s="107">
        <f>INVESTORS_LIST[[#This Row],[TOTAL CURRENT UNITS]]-INVESTORS_LIST[[#This Row],[BO UNITS HOLD]]</f>
        <v>36441</v>
      </c>
      <c r="AC470" s="201" t="e">
        <f>INDEX([3]!Table_1[BO ID],MATCH(INVESTORS_LIST[[#This Row],[INVESTOR CODE]],[3]!Table_1[INVESTOR CODE],0))</f>
        <v>#REF!</v>
      </c>
      <c r="AD470" s="201" t="e">
        <f>INDEX([3]!Table_1[Brokerage Name2],MATCH(INVESTORS_LIST[[#This Row],[INVESTOR CODE]],[3]!Table_1[INVESTOR CODE],0))</f>
        <v>#REF!</v>
      </c>
      <c r="AE470" s="201" t="e">
        <f>MID(INVESTORS_LIST[[#This Row],[BO ID]],4,5)</f>
        <v>#REF!</v>
      </c>
      <c r="AF470" s="201" t="e">
        <f>MID(INVESTORS_LIST[[#This Row],[BO ID]],2,7)</f>
        <v>#REF!</v>
      </c>
      <c r="AG470" s="201" t="e">
        <f>MID(INVESTORS_LIST[[#This Row],[BO ID]],9,7)</f>
        <v>#REF!</v>
      </c>
      <c r="AH470" s="201" t="e">
        <f>RIGHT(INVESTORS_LIST[[#This Row],[BO ID]],1)</f>
        <v>#REF!</v>
      </c>
      <c r="AI470" s="50">
        <f>INVESTORS_LIST[[#This Row],[LS_TOTAL COST VALUE OF CURRENT UNITS]]+INVESTORS_LIST[[#This Row],[SIP_TOTAL COST VALUE OF CURRENT UNITS]]</f>
        <v>11282216.811821762</v>
      </c>
      <c r="AJ470" s="109">
        <f>IF(INVESTORS_LIST[[#This Row],[TOTAL CURRENT UNITS]]=0,0,INVESTORS_LIST[[#This Row],[LS_TOTAL CURRENT UNITS]]/INVESTORS_LIST[[#This Row],[TOTAL CURRENT UNITS]])</f>
        <v>0.97308434349790385</v>
      </c>
      <c r="AK470" s="109">
        <f>IF(INVESTORS_LIST[[#This Row],[TOTAL CURRENT UNITS]]=0,0,INVESTORS_LIST[[#This Row],[SIP_TOTAL CURRENT UNITS]]/INVESTORS_LIST[[#This Row],[TOTAL CURRENT UNITS]])</f>
        <v>2.6915656502096146E-2</v>
      </c>
      <c r="AL470" s="49" cm="1">
        <f t="array" ref="AL470">IF(INVESTORS_LIST[[#This Row],[LS_TOTAL UNITS BUY]]&gt;0,INDEX(LS[NAV at Cost (Average)],MATCH(CONCATENATE(COUNTIFS(LS[Investor ID],INVESTORS_LIST[[#This Row],[INVESTOR CODE]]),INVESTORS_LIST[[#This Row],[INVESTOR CODE]]),LS[Unique Code],0),),0)</f>
        <v>13.054347125622492</v>
      </c>
      <c r="AM470" s="49" cm="1">
        <f t="array" ref="AM470">IF(INVESTORS_LIST[[#This Row],[SIP_TOTAL UNITS BUY]]&gt;0,INDEX(SIP[NAV at Cost (Average)],MATCH(CONCATENATE(COUNTIFS(SIP[Investor ID],INVESTORS_LIST[[#This Row],[INVESTOR CODE]]),INVESTORS_LIST[[#This Row],[INVESTOR CODE]]),SIP[Unique Code],0),),0)</f>
        <v>12.010981468771444</v>
      </c>
      <c r="AN470" s="105">
        <f>IF(INVESTORS_LIST[[#This Row],[TOTAL CURRENT UNITS]]=0,0,(INVESTORS_LIST[[#This Row],[LS_WEIGHT]]*INVESTORS_LIST[[#This Row],[LS_AVERAGE COST]])+(INVESTORS_LIST[[#This Row],[SIP_WEIGHT]]*INVESTORS_LIST[[#This Row],[SIP_AVERAGE COST]]))</f>
        <v>13.026264253996604</v>
      </c>
      <c r="AO470" s="105">
        <f t="shared" si="8"/>
        <v>14.224</v>
      </c>
      <c r="AP470" s="112">
        <f>IF(INVESTORS_LIST[[#This Row],[TOTAL CURRENT UNITS]]=0,0,INVESTORS_LIST[[#This Row],[TOTAL CURRENT UNITS]]*INVESTORS_LIST[[#This Row],[NAV]])</f>
        <v>12319591.312000001</v>
      </c>
      <c r="AQ470" s="49">
        <f>IF(INVESTORS_LIST[[#This Row],[LS_TOTAL CURRENT UNITS]]=0,0,INVESTORS_LIST[[#This Row],[LS_TOTAL CURRENT UNITS]]*INVESTORS_LIST[[#This Row],[NAV]])</f>
        <v>11988001.424000001</v>
      </c>
      <c r="AR470" s="48">
        <f>IF(INVESTORS_LIST[[#This Row],[SIP_TOTAL CURRENT UNITS]]=0,0,INVESTORS_LIST[[#This Row],[SIP_TOTAL CURRENT UNITS]]*INVESTORS_LIST[[#This Row],[NAV]])</f>
        <v>331589.88799999998</v>
      </c>
      <c r="AS470" s="50">
        <f>INVESTORS_LIST[[#This Row],[TOTAL CURRENT UNITS]]</f>
        <v>866113</v>
      </c>
      <c r="AT470" s="48">
        <f>IF(INVESTORS_LIST[[#This Row],[TOTAL SELLABLE UNITS]]=0,0,INVESTORS_LIST[[#This Row],[TOTAL SELLABLE UNITS]]*INVESTORS_LIST[[#This Row],[NAV]])</f>
        <v>12319591.312000001</v>
      </c>
      <c r="AU470" s="48">
        <f>INVESTORS_LIST[[#This Row],[LS_TOTAL REALIZED GAIN]]+INVESTORS_LIST[[#This Row],[SIP_TOTAL REALIZED GAIN]]</f>
        <v>2012026.6418217593</v>
      </c>
      <c r="AV470" s="48">
        <f>INVESTORS_LIST[[#This Row],[TOTAL MARKET VALUE]]-INVESTORS_LIST[[#This Row],[TOTAL COST VALUE OF CURRENT INVESTMENT]]</f>
        <v>1037374.5001782384</v>
      </c>
      <c r="AW470" s="108">
        <f>IFERROR(INVESTORS_LIST[[#This Row],[TOTAL CURRENT UNITS]]/SUM(INVESTORS_LIST[TOTAL CURRENT UNITS]),0)</f>
        <v>2.1025939249518025E-2</v>
      </c>
    </row>
    <row r="471" spans="1:49" hidden="1">
      <c r="A471" s="262" t="s">
        <v>987</v>
      </c>
      <c r="B471" s="97" t="s">
        <v>988</v>
      </c>
      <c r="C471" t="s">
        <v>67</v>
      </c>
      <c r="D471" s="75" t="s">
        <v>45</v>
      </c>
      <c r="E471" s="47">
        <f>SUMIFS(LS[Unit],LS[Investor ID],INVESTORS_LIST[[#This Row],[INVESTOR CODE]],LS[B/S],"B")</f>
        <v>0</v>
      </c>
      <c r="F471" s="47">
        <f>-SUMIFS(LS[Unit],LS[Investor ID],INVESTORS_LIST[[#This Row],[INVESTOR CODE]],LS[B/S],"S")</f>
        <v>0</v>
      </c>
      <c r="G471" s="47">
        <f>IF(INVESTORS_LIST[[#This Row],[LS_TOTAL UNITS BUY]]=0,0,INVESTORS_LIST[[#This Row],[LS_TOTAL UNITS BUY]]-INVESTORS_LIST[[#This Row],[LS_TOTAL UNITS SOLD]])</f>
        <v>0</v>
      </c>
      <c r="H471" s="49">
        <f>IF(INVESTORS_LIST[[#This Row],[LS_TOTAL UNITS BUY]]=0,0,SUMIFS(LS[Amount],LS[Investor ID],INVESTORS_LIST[[#This Row],[INVESTOR CODE]],LS[B/S],"B"))</f>
        <v>0</v>
      </c>
      <c r="I471" s="48">
        <f>IF(INVESTORS_LIST[[#This Row],[LS_TOTAL UNITS SOLD]]=0,0,SUMIFS(LS[Cost of Units Sold],LS[Investor ID],INVESTORS_LIST[[#This Row],[INVESTOR CODE]],LS[B/S],"S"))</f>
        <v>0</v>
      </c>
      <c r="J471" s="48">
        <f>IF(INVESTORS_LIST[[#This Row],[LS_TOTAL CURRENT UNITS]]=0,0,INVESTORS_LIST[[#This Row],[LS_TOTAL CURRENT UNITS]]*INVESTORS_LIST[[#This Row],[LS_AVERAGE COST]])</f>
        <v>0</v>
      </c>
      <c r="K471" s="49">
        <f>IF(INVESTORS_LIST[[#This Row],[LS_TOTAL UNITS SOLD]]=0,0,SUMIFS(LS[Realized Gain],LS[Investor ID],INVESTORS_LIST[[#This Row],[INVESTOR CODE]],LS[B/S],"S"))</f>
        <v>0</v>
      </c>
      <c r="L471" s="47">
        <f>SUMIFS(SIP[Unit],SIP[Investor ID],INVESTORS_LIST[[#This Row],[INVESTOR CODE]],SIP[B/S],"B")</f>
        <v>391</v>
      </c>
      <c r="M471" s="47">
        <f>-SUMIFS(SIP[Unit],SIP[Investor ID],INVESTORS_LIST[[#This Row],[INVESTOR CODE]],SIP[B/S],"S")</f>
        <v>391</v>
      </c>
      <c r="N471" s="50">
        <f>IF(INVESTORS_LIST[[#This Row],[SIP_TOTAL UNITS BUY]]=0,0,INVESTORS_LIST[[#This Row],[SIP_TOTAL UNITS BUY]]-INVESTORS_LIST[[#This Row],[SIP_TOTAL UNITS SOLD]])</f>
        <v>0</v>
      </c>
      <c r="O471" s="49">
        <f>IF(INVESTORS_LIST[[#This Row],[SIP_TOTAL UNITS BUY]]=0,0,SUMIFS(SIP[Amount],SIP[Investor ID],INVESTORS_LIST[[#This Row],[INVESTOR CODE]],SIP[B/S],"B"))</f>
        <v>4000</v>
      </c>
      <c r="P471" s="49">
        <f>IF(INVESTORS_LIST[[#This Row],[SIP_TOTAL UNITS SOLD]]=0,0,SUMIFS(SIP[Cost of Units Sold],SIP[Investor ID],INVESTORS_LIST[[#This Row],[INVESTOR CODE]],SIP[B/S],"S"))</f>
        <v>4000</v>
      </c>
      <c r="Q471" s="48">
        <f>IF(INVESTORS_LIST[[#This Row],[SIP_TOTAL CURRENT UNITS]]=0,0,INVESTORS_LIST[[#This Row],[SIP_TOTAL CURRENT UNITS]]*INVESTORS_LIST[[#This Row],[SIP_AVERAGE COST]])</f>
        <v>0</v>
      </c>
      <c r="R471" s="48">
        <f>IF(INVESTORS_LIST[[#This Row],[SIP_TOTAL UNITS SOLD]]=0,0,SUMIFS(SIP[Realized Gain],SIP[Investor ID],INVESTORS_LIST[[#This Row],[INVESTOR CODE]],SIP[B/S],"S"))</f>
        <v>59.360000000000277</v>
      </c>
      <c r="S471" s="50">
        <f>INVESTORS_LIST[[#This Row],[LS_TOTAL UNITS BUY]]+INVESTORS_LIST[[#This Row],[SIP_TOTAL UNITS BUY]]</f>
        <v>391</v>
      </c>
      <c r="T471" s="50">
        <f>INVESTORS_LIST[[#This Row],[LS_TOTAL UNITS SOLD]]+INVESTORS_LIST[[#This Row],[SIP_TOTAL UNITS SOLD]]</f>
        <v>391</v>
      </c>
      <c r="U471" s="50"/>
      <c r="V471" s="50">
        <f>SUMIFS(LS[BO UNIT TRANSFER],LS[Investor ID],INVESTORS_LIST[[#This Row],[INVESTOR CODE]],LS[B/S],"B")</f>
        <v>0</v>
      </c>
      <c r="W471" s="50">
        <f>SUMIFS(SIP[BO UNIT TRANSFER],SIP[Investor ID],INVESTORS_LIST[[#This Row],[INVESTOR CODE]],SIP[B/S],"B")</f>
        <v>0</v>
      </c>
      <c r="X471" s="50">
        <f>SUMIFS(LS[BO UNIT TRANSFER],LS[Investor ID],INVESTORS_LIST[[#This Row],[INVESTOR CODE]],LS[B/S],"S")</f>
        <v>0</v>
      </c>
      <c r="Y471" s="50">
        <f>SUMIFS(SIP[BO UNIT TRANSFER],SIP[Investor ID],INVESTORS_LIST[[#This Row],[INVESTOR CODE]],SIP[B/S],"S")</f>
        <v>0</v>
      </c>
      <c r="Z471" s="106">
        <f>SUM(INVESTORS_LIST[[#This Row],[BO OPENING BALANCE]:[BO SIP UNITS REPURCHASE]])</f>
        <v>0</v>
      </c>
      <c r="AA471" s="107">
        <f>INVESTORS_LIST[[#This Row],[TOTAL UNITS BUY]]-INVESTORS_LIST[[#This Row],[TOTAL UNITS SOLD]]</f>
        <v>0</v>
      </c>
      <c r="AB471" s="107">
        <f>INVESTORS_LIST[[#This Row],[TOTAL CURRENT UNITS]]-INVESTORS_LIST[[#This Row],[BO UNITS HOLD]]</f>
        <v>0</v>
      </c>
      <c r="AC471" s="201" t="e">
        <f>INDEX([3]!Table_1[BO ID],MATCH(INVESTORS_LIST[[#This Row],[INVESTOR CODE]],[3]!Table_1[INVESTOR CODE],0))</f>
        <v>#REF!</v>
      </c>
      <c r="AD471" s="201" t="e">
        <f>INDEX([3]!Table_1[Brokerage Name2],MATCH(INVESTORS_LIST[[#This Row],[INVESTOR CODE]],[3]!Table_1[INVESTOR CODE],0))</f>
        <v>#REF!</v>
      </c>
      <c r="AE471" s="201" t="e">
        <f>MID(INVESTORS_LIST[[#This Row],[BO ID]],4,5)</f>
        <v>#REF!</v>
      </c>
      <c r="AF471" s="201" t="e">
        <f>MID(INVESTORS_LIST[[#This Row],[BO ID]],2,7)</f>
        <v>#REF!</v>
      </c>
      <c r="AG471" s="201" t="e">
        <f>MID(INVESTORS_LIST[[#This Row],[BO ID]],9,7)</f>
        <v>#REF!</v>
      </c>
      <c r="AH471" s="201" t="e">
        <f>RIGHT(INVESTORS_LIST[[#This Row],[BO ID]],1)</f>
        <v>#REF!</v>
      </c>
      <c r="AI471" s="50">
        <f>INVESTORS_LIST[[#This Row],[LS_TOTAL COST VALUE OF CURRENT UNITS]]+INVESTORS_LIST[[#This Row],[SIP_TOTAL COST VALUE OF CURRENT UNITS]]</f>
        <v>0</v>
      </c>
      <c r="AJ471" s="109">
        <f>IF(INVESTORS_LIST[[#This Row],[TOTAL CURRENT UNITS]]=0,0,INVESTORS_LIST[[#This Row],[LS_TOTAL CURRENT UNITS]]/INVESTORS_LIST[[#This Row],[TOTAL CURRENT UNITS]])</f>
        <v>0</v>
      </c>
      <c r="AK471" s="109">
        <f>IF(INVESTORS_LIST[[#This Row],[TOTAL CURRENT UNITS]]=0,0,INVESTORS_LIST[[#This Row],[SIP_TOTAL CURRENT UNITS]]/INVESTORS_LIST[[#This Row],[TOTAL CURRENT UNITS]])</f>
        <v>0</v>
      </c>
      <c r="AL471" s="49" cm="1">
        <f t="array" ref="AL4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1" s="49" cm="1">
        <f t="array" ref="AM4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1" s="105">
        <f t="shared" si="8"/>
        <v>14.224</v>
      </c>
      <c r="AP471" s="112">
        <f>IF(INVESTORS_LIST[[#This Row],[TOTAL CURRENT UNITS]]=0,0,INVESTORS_LIST[[#This Row],[TOTAL CURRENT UNITS]]*INVESTORS_LIST[[#This Row],[NAV]])</f>
        <v>0</v>
      </c>
      <c r="AQ471" s="49">
        <f>IF(INVESTORS_LIST[[#This Row],[LS_TOTAL CURRENT UNITS]]=0,0,INVESTORS_LIST[[#This Row],[LS_TOTAL CURRENT UNITS]]*INVESTORS_LIST[[#This Row],[NAV]])</f>
        <v>0</v>
      </c>
      <c r="AR471" s="48">
        <f>IF(INVESTORS_LIST[[#This Row],[SIP_TOTAL CURRENT UNITS]]=0,0,INVESTORS_LIST[[#This Row],[SIP_TOTAL CURRENT UNITS]]*INVESTORS_LIST[[#This Row],[NAV]])</f>
        <v>0</v>
      </c>
      <c r="AS471" s="50">
        <f>INVESTORS_LIST[[#This Row],[TOTAL CURRENT UNITS]]</f>
        <v>0</v>
      </c>
      <c r="AT471" s="48">
        <f>IF(INVESTORS_LIST[[#This Row],[TOTAL SELLABLE UNITS]]=0,0,INVESTORS_LIST[[#This Row],[TOTAL SELLABLE UNITS]]*INVESTORS_LIST[[#This Row],[NAV]])</f>
        <v>0</v>
      </c>
      <c r="AU471" s="48">
        <f>INVESTORS_LIST[[#This Row],[LS_TOTAL REALIZED GAIN]]+INVESTORS_LIST[[#This Row],[SIP_TOTAL REALIZED GAIN]]</f>
        <v>59.360000000000277</v>
      </c>
      <c r="AV471" s="48">
        <f>INVESTORS_LIST[[#This Row],[TOTAL MARKET VALUE]]-INVESTORS_LIST[[#This Row],[TOTAL COST VALUE OF CURRENT INVESTMENT]]</f>
        <v>0</v>
      </c>
      <c r="AW471" s="48">
        <f>IFERROR(INVESTORS_LIST[[#This Row],[TOTAL CURRENT UNITS]]/SUM(INVESTORS_LIST[TOTAL CURRENT UNITS]),0)</f>
        <v>0</v>
      </c>
    </row>
    <row r="472" spans="1:49">
      <c r="A472" s="262" t="s">
        <v>989</v>
      </c>
      <c r="B472" s="97" t="s">
        <v>990</v>
      </c>
      <c r="C472" t="s">
        <v>44</v>
      </c>
      <c r="D472" s="75" t="s">
        <v>45</v>
      </c>
      <c r="E472" s="47">
        <f>SUMIFS(LS[Unit],LS[Investor ID],INVESTORS_LIST[[#This Row],[INVESTOR CODE]],LS[B/S],"B")</f>
        <v>0</v>
      </c>
      <c r="F472" s="47">
        <f>-SUMIFS(LS[Unit],LS[Investor ID],INVESTORS_LIST[[#This Row],[INVESTOR CODE]],LS[B/S],"S")</f>
        <v>0</v>
      </c>
      <c r="G472" s="47">
        <f>IF(INVESTORS_LIST[[#This Row],[LS_TOTAL UNITS BUY]]=0,0,INVESTORS_LIST[[#This Row],[LS_TOTAL UNITS BUY]]-INVESTORS_LIST[[#This Row],[LS_TOTAL UNITS SOLD]])</f>
        <v>0</v>
      </c>
      <c r="H472" s="49">
        <f>IF(INVESTORS_LIST[[#This Row],[LS_TOTAL UNITS BUY]]=0,0,SUMIFS(LS[Amount],LS[Investor ID],INVESTORS_LIST[[#This Row],[INVESTOR CODE]],LS[B/S],"B"))</f>
        <v>0</v>
      </c>
      <c r="I472" s="48">
        <f>IF(INVESTORS_LIST[[#This Row],[LS_TOTAL UNITS SOLD]]=0,0,SUMIFS(LS[Cost of Units Sold],LS[Investor ID],INVESTORS_LIST[[#This Row],[INVESTOR CODE]],LS[B/S],"S"))</f>
        <v>0</v>
      </c>
      <c r="J472" s="48">
        <f>IF(INVESTORS_LIST[[#This Row],[LS_TOTAL CURRENT UNITS]]=0,0,INVESTORS_LIST[[#This Row],[LS_TOTAL CURRENT UNITS]]*INVESTORS_LIST[[#This Row],[LS_AVERAGE COST]])</f>
        <v>0</v>
      </c>
      <c r="K472" s="49">
        <f>IF(INVESTORS_LIST[[#This Row],[LS_TOTAL UNITS SOLD]]=0,0,SUMIFS(LS[Realized Gain],LS[Investor ID],INVESTORS_LIST[[#This Row],[INVESTOR CODE]],LS[B/S],"S"))</f>
        <v>0</v>
      </c>
      <c r="L472" s="47">
        <f>SUMIFS(SIP[Unit],SIP[Investor ID],INVESTORS_LIST[[#This Row],[INVESTOR CODE]],SIP[B/S],"B")</f>
        <v>605</v>
      </c>
      <c r="M472" s="47">
        <f>-SUMIFS(SIP[Unit],SIP[Investor ID],INVESTORS_LIST[[#This Row],[INVESTOR CODE]],SIP[B/S],"S")</f>
        <v>391</v>
      </c>
      <c r="N472" s="50">
        <f>IF(INVESTORS_LIST[[#This Row],[SIP_TOTAL UNITS BUY]]=0,0,INVESTORS_LIST[[#This Row],[SIP_TOTAL UNITS BUY]]-INVESTORS_LIST[[#This Row],[SIP_TOTAL UNITS SOLD]])</f>
        <v>214</v>
      </c>
      <c r="O472" s="49">
        <f>IF(INVESTORS_LIST[[#This Row],[SIP_TOTAL UNITS BUY]]=0,0,SUMIFS(SIP[Amount],SIP[Investor ID],INVESTORS_LIST[[#This Row],[INVESTOR CODE]],SIP[B/S],"B"))</f>
        <v>7000</v>
      </c>
      <c r="P472" s="49">
        <f>IF(INVESTORS_LIST[[#This Row],[SIP_TOTAL UNITS SOLD]]=0,0,SUMIFS(SIP[Cost of Units Sold],SIP[Investor ID],INVESTORS_LIST[[#This Row],[INVESTOR CODE]],SIP[B/S],"S"))</f>
        <v>4000</v>
      </c>
      <c r="Q472" s="48">
        <f>IF(INVESTORS_LIST[[#This Row],[SIP_TOTAL CURRENT UNITS]]=0,0,INVESTORS_LIST[[#This Row],[SIP_TOTAL CURRENT UNITS]]*INVESTORS_LIST[[#This Row],[SIP_AVERAGE COST]])</f>
        <v>3000</v>
      </c>
      <c r="R472" s="48">
        <f>IF(INVESTORS_LIST[[#This Row],[SIP_TOTAL UNITS SOLD]]=0,0,SUMIFS(SIP[Realized Gain],SIP[Investor ID],INVESTORS_LIST[[#This Row],[INVESTOR CODE]],SIP[B/S],"S"))</f>
        <v>59.360000000000277</v>
      </c>
      <c r="S472" s="50">
        <f>INVESTORS_LIST[[#This Row],[LS_TOTAL UNITS BUY]]+INVESTORS_LIST[[#This Row],[SIP_TOTAL UNITS BUY]]</f>
        <v>605</v>
      </c>
      <c r="T472" s="50">
        <f>INVESTORS_LIST[[#This Row],[LS_TOTAL UNITS SOLD]]+INVESTORS_LIST[[#This Row],[SIP_TOTAL UNITS SOLD]]</f>
        <v>391</v>
      </c>
      <c r="U472" s="50"/>
      <c r="V472" s="50">
        <f>SUMIFS(LS[BO UNIT TRANSFER],LS[Investor ID],INVESTORS_LIST[[#This Row],[INVESTOR CODE]],LS[B/S],"B")</f>
        <v>0</v>
      </c>
      <c r="W472" s="50">
        <f>SUMIFS(SIP[BO UNIT TRANSFER],SIP[Investor ID],INVESTORS_LIST[[#This Row],[INVESTOR CODE]],SIP[B/S],"B")</f>
        <v>0</v>
      </c>
      <c r="X472" s="50">
        <f>SUMIFS(LS[BO UNIT TRANSFER],LS[Investor ID],INVESTORS_LIST[[#This Row],[INVESTOR CODE]],LS[B/S],"S")</f>
        <v>0</v>
      </c>
      <c r="Y472" s="50">
        <f>SUMIFS(SIP[BO UNIT TRANSFER],SIP[Investor ID],INVESTORS_LIST[[#This Row],[INVESTOR CODE]],SIP[B/S],"S")</f>
        <v>0</v>
      </c>
      <c r="Z472" s="106">
        <f>SUM(INVESTORS_LIST[[#This Row],[BO OPENING BALANCE]:[BO SIP UNITS REPURCHASE]])</f>
        <v>0</v>
      </c>
      <c r="AA472" s="107">
        <f>INVESTORS_LIST[[#This Row],[TOTAL UNITS BUY]]-INVESTORS_LIST[[#This Row],[TOTAL UNITS SOLD]]</f>
        <v>214</v>
      </c>
      <c r="AB472" s="107">
        <f>INVESTORS_LIST[[#This Row],[TOTAL CURRENT UNITS]]-INVESTORS_LIST[[#This Row],[BO UNITS HOLD]]</f>
        <v>214</v>
      </c>
      <c r="AC472" s="201" t="e">
        <f>INDEX([3]!Table_1[BO ID],MATCH(INVESTORS_LIST[[#This Row],[INVESTOR CODE]],[3]!Table_1[INVESTOR CODE],0))</f>
        <v>#REF!</v>
      </c>
      <c r="AD472" s="201" t="e">
        <f>INDEX([3]!Table_1[Brokerage Name2],MATCH(INVESTORS_LIST[[#This Row],[INVESTOR CODE]],[3]!Table_1[INVESTOR CODE],0))</f>
        <v>#REF!</v>
      </c>
      <c r="AE472" s="201" t="e">
        <f>MID(INVESTORS_LIST[[#This Row],[BO ID]],4,5)</f>
        <v>#REF!</v>
      </c>
      <c r="AF472" s="201" t="e">
        <f>MID(INVESTORS_LIST[[#This Row],[BO ID]],2,7)</f>
        <v>#REF!</v>
      </c>
      <c r="AG472" s="201" t="e">
        <f>MID(INVESTORS_LIST[[#This Row],[BO ID]],9,7)</f>
        <v>#REF!</v>
      </c>
      <c r="AH472" s="201" t="e">
        <f>RIGHT(INVESTORS_LIST[[#This Row],[BO ID]],1)</f>
        <v>#REF!</v>
      </c>
      <c r="AI472" s="50">
        <f>INVESTORS_LIST[[#This Row],[LS_TOTAL COST VALUE OF CURRENT UNITS]]+INVESTORS_LIST[[#This Row],[SIP_TOTAL COST VALUE OF CURRENT UNITS]]</f>
        <v>3000</v>
      </c>
      <c r="AJ472" s="109">
        <f>IF(INVESTORS_LIST[[#This Row],[TOTAL CURRENT UNITS]]=0,0,INVESTORS_LIST[[#This Row],[LS_TOTAL CURRENT UNITS]]/INVESTORS_LIST[[#This Row],[TOTAL CURRENT UNITS]])</f>
        <v>0</v>
      </c>
      <c r="AK472" s="109">
        <f>IF(INVESTORS_LIST[[#This Row],[TOTAL CURRENT UNITS]]=0,0,INVESTORS_LIST[[#This Row],[SIP_TOTAL CURRENT UNITS]]/INVESTORS_LIST[[#This Row],[TOTAL CURRENT UNITS]])</f>
        <v>1</v>
      </c>
      <c r="AL472" s="49" cm="1">
        <f t="array" ref="AL4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2" s="49" cm="1">
        <f t="array" ref="AM472">IF(INVESTORS_LIST[[#This Row],[SIP_TOTAL UNITS BUY]]&gt;0,INDEX(SIP[NAV at Cost (Average)],MATCH(CONCATENATE(COUNTIFS(SIP[Investor ID],INVESTORS_LIST[[#This Row],[INVESTOR CODE]]),INVESTORS_LIST[[#This Row],[INVESTOR CODE]]),SIP[Unique Code],0),),0)</f>
        <v>14.018691588785046</v>
      </c>
      <c r="AN472" s="105">
        <f>IF(INVESTORS_LIST[[#This Row],[TOTAL CURRENT UNITS]]=0,0,(INVESTORS_LIST[[#This Row],[LS_WEIGHT]]*INVESTORS_LIST[[#This Row],[LS_AVERAGE COST]])+(INVESTORS_LIST[[#This Row],[SIP_WEIGHT]]*INVESTORS_LIST[[#This Row],[SIP_AVERAGE COST]]))</f>
        <v>14.018691588785046</v>
      </c>
      <c r="AO472" s="105">
        <f t="shared" si="8"/>
        <v>14.224</v>
      </c>
      <c r="AP472" s="112">
        <f>IF(INVESTORS_LIST[[#This Row],[TOTAL CURRENT UNITS]]=0,0,INVESTORS_LIST[[#This Row],[TOTAL CURRENT UNITS]]*INVESTORS_LIST[[#This Row],[NAV]])</f>
        <v>3043.9360000000001</v>
      </c>
      <c r="AQ472" s="49">
        <f>IF(INVESTORS_LIST[[#This Row],[LS_TOTAL CURRENT UNITS]]=0,0,INVESTORS_LIST[[#This Row],[LS_TOTAL CURRENT UNITS]]*INVESTORS_LIST[[#This Row],[NAV]])</f>
        <v>0</v>
      </c>
      <c r="AR472" s="48">
        <f>IF(INVESTORS_LIST[[#This Row],[SIP_TOTAL CURRENT UNITS]]=0,0,INVESTORS_LIST[[#This Row],[SIP_TOTAL CURRENT UNITS]]*INVESTORS_LIST[[#This Row],[NAV]])</f>
        <v>3043.9360000000001</v>
      </c>
      <c r="AS472" s="50">
        <f>INVESTORS_LIST[[#This Row],[TOTAL CURRENT UNITS]]</f>
        <v>214</v>
      </c>
      <c r="AT472" s="48">
        <f>IF(INVESTORS_LIST[[#This Row],[TOTAL SELLABLE UNITS]]=0,0,INVESTORS_LIST[[#This Row],[TOTAL SELLABLE UNITS]]*INVESTORS_LIST[[#This Row],[NAV]])</f>
        <v>3043.9360000000001</v>
      </c>
      <c r="AU472" s="48">
        <f>INVESTORS_LIST[[#This Row],[LS_TOTAL REALIZED GAIN]]+INVESTORS_LIST[[#This Row],[SIP_TOTAL REALIZED GAIN]]</f>
        <v>59.360000000000277</v>
      </c>
      <c r="AV472" s="48">
        <f>INVESTORS_LIST[[#This Row],[TOTAL MARKET VALUE]]-INVESTORS_LIST[[#This Row],[TOTAL COST VALUE OF CURRENT INVESTMENT]]</f>
        <v>43.936000000000149</v>
      </c>
      <c r="AW472" s="48">
        <f>IFERROR(INVESTORS_LIST[[#This Row],[TOTAL CURRENT UNITS]]/SUM(INVESTORS_LIST[TOTAL CURRENT UNITS]),0)</f>
        <v>5.1951084897661822E-6</v>
      </c>
    </row>
    <row r="473" spans="1:49" hidden="1">
      <c r="A473" s="262" t="s">
        <v>991</v>
      </c>
      <c r="B473" s="97" t="s">
        <v>992</v>
      </c>
      <c r="C473" t="s">
        <v>44</v>
      </c>
      <c r="D473" s="75" t="s">
        <v>45</v>
      </c>
      <c r="E473" s="47">
        <f>SUMIFS(LS[Unit],LS[Investor ID],INVESTORS_LIST[[#This Row],[INVESTOR CODE]],LS[B/S],"B")</f>
        <v>10000</v>
      </c>
      <c r="F473" s="47">
        <f>-SUMIFS(LS[Unit],LS[Investor ID],INVESTORS_LIST[[#This Row],[INVESTOR CODE]],LS[B/S],"S")</f>
        <v>10000</v>
      </c>
      <c r="G473" s="47">
        <f>IF(INVESTORS_LIST[[#This Row],[LS_TOTAL UNITS BUY]]=0,0,INVESTORS_LIST[[#This Row],[LS_TOTAL UNITS BUY]]-INVESTORS_LIST[[#This Row],[LS_TOTAL UNITS SOLD]])</f>
        <v>0</v>
      </c>
      <c r="H473" s="49">
        <f>IF(INVESTORS_LIST[[#This Row],[LS_TOTAL UNITS BUY]]=0,0,SUMIFS(LS[Amount],LS[Investor ID],INVESTORS_LIST[[#This Row],[INVESTOR CODE]],LS[B/S],"B"))</f>
        <v>101110</v>
      </c>
      <c r="I473" s="48">
        <f>IF(INVESTORS_LIST[[#This Row],[LS_TOTAL UNITS SOLD]]=0,0,SUMIFS(LS[Cost of Units Sold],LS[Investor ID],INVESTORS_LIST[[#This Row],[INVESTOR CODE]],LS[B/S],"S"))</f>
        <v>101110</v>
      </c>
      <c r="J473" s="48">
        <f>IF(INVESTORS_LIST[[#This Row],[LS_TOTAL CURRENT UNITS]]=0,0,INVESTORS_LIST[[#This Row],[LS_TOTAL CURRENT UNITS]]*INVESTORS_LIST[[#This Row],[LS_AVERAGE COST]])</f>
        <v>0</v>
      </c>
      <c r="K473" s="49">
        <f>IF(INVESTORS_LIST[[#This Row],[LS_TOTAL UNITS SOLD]]=0,0,SUMIFS(LS[Realized Gain],LS[Investor ID],INVESTORS_LIST[[#This Row],[INVESTOR CODE]],LS[B/S],"S"))</f>
        <v>5160</v>
      </c>
      <c r="L473" s="47">
        <f>SUMIFS(SIP[Unit],SIP[Investor ID],INVESTORS_LIST[[#This Row],[INVESTOR CODE]],SIP[B/S],"B")</f>
        <v>0</v>
      </c>
      <c r="M473" s="47">
        <f>-SUMIFS(SIP[Unit],SIP[Investor ID],INVESTORS_LIST[[#This Row],[INVESTOR CODE]],SIP[B/S],"S")</f>
        <v>0</v>
      </c>
      <c r="N473" s="50">
        <f>IF(INVESTORS_LIST[[#This Row],[SIP_TOTAL UNITS BUY]]=0,0,INVESTORS_LIST[[#This Row],[SIP_TOTAL UNITS BUY]]-INVESTORS_LIST[[#This Row],[SIP_TOTAL UNITS SOLD]])</f>
        <v>0</v>
      </c>
      <c r="O473" s="49">
        <f>IF(INVESTORS_LIST[[#This Row],[SIP_TOTAL UNITS BUY]]=0,0,SUMIFS(SIP[Amount],SIP[Investor ID],INVESTORS_LIST[[#This Row],[INVESTOR CODE]],SIP[B/S],"B"))</f>
        <v>0</v>
      </c>
      <c r="P473" s="49">
        <f>IF(INVESTORS_LIST[[#This Row],[SIP_TOTAL UNITS SOLD]]=0,0,SUMIFS(SIP[Cost of Units Sold],SIP[Investor ID],INVESTORS_LIST[[#This Row],[INVESTOR CODE]],SIP[B/S],"S"))</f>
        <v>0</v>
      </c>
      <c r="Q473" s="48">
        <f>IF(INVESTORS_LIST[[#This Row],[SIP_TOTAL CURRENT UNITS]]=0,0,INVESTORS_LIST[[#This Row],[SIP_TOTAL CURRENT UNITS]]*INVESTORS_LIST[[#This Row],[SIP_AVERAGE COST]])</f>
        <v>0</v>
      </c>
      <c r="R473" s="48">
        <f>IF(INVESTORS_LIST[[#This Row],[SIP_TOTAL UNITS SOLD]]=0,0,SUMIFS(SIP[Realized Gain],SIP[Investor ID],INVESTORS_LIST[[#This Row],[INVESTOR CODE]],SIP[B/S],"S"))</f>
        <v>0</v>
      </c>
      <c r="S473" s="50">
        <f>INVESTORS_LIST[[#This Row],[LS_TOTAL UNITS BUY]]+INVESTORS_LIST[[#This Row],[SIP_TOTAL UNITS BUY]]</f>
        <v>10000</v>
      </c>
      <c r="T473" s="50">
        <f>INVESTORS_LIST[[#This Row],[LS_TOTAL UNITS SOLD]]+INVESTORS_LIST[[#This Row],[SIP_TOTAL UNITS SOLD]]</f>
        <v>10000</v>
      </c>
      <c r="U473" s="50"/>
      <c r="V473" s="50">
        <f>SUMIFS(LS[BO UNIT TRANSFER],LS[Investor ID],INVESTORS_LIST[[#This Row],[INVESTOR CODE]],LS[B/S],"B")</f>
        <v>0</v>
      </c>
      <c r="W473" s="50">
        <f>SUMIFS(SIP[BO UNIT TRANSFER],SIP[Investor ID],INVESTORS_LIST[[#This Row],[INVESTOR CODE]],SIP[B/S],"B")</f>
        <v>0</v>
      </c>
      <c r="X473" s="50">
        <f>SUMIFS(LS[BO UNIT TRANSFER],LS[Investor ID],INVESTORS_LIST[[#This Row],[INVESTOR CODE]],LS[B/S],"S")</f>
        <v>0</v>
      </c>
      <c r="Y473" s="50">
        <f>SUMIFS(SIP[BO UNIT TRANSFER],SIP[Investor ID],INVESTORS_LIST[[#This Row],[INVESTOR CODE]],SIP[B/S],"S")</f>
        <v>0</v>
      </c>
      <c r="Z473" s="106">
        <f>SUM(INVESTORS_LIST[[#This Row],[BO OPENING BALANCE]:[BO SIP UNITS REPURCHASE]])</f>
        <v>0</v>
      </c>
      <c r="AA473" s="107">
        <f>INVESTORS_LIST[[#This Row],[TOTAL UNITS BUY]]-INVESTORS_LIST[[#This Row],[TOTAL UNITS SOLD]]</f>
        <v>0</v>
      </c>
      <c r="AB473" s="107">
        <f>INVESTORS_LIST[[#This Row],[TOTAL CURRENT UNITS]]-INVESTORS_LIST[[#This Row],[BO UNITS HOLD]]</f>
        <v>0</v>
      </c>
      <c r="AC473" s="201" t="e">
        <f>INDEX([3]!Table_1[BO ID],MATCH(INVESTORS_LIST[[#This Row],[INVESTOR CODE]],[3]!Table_1[INVESTOR CODE],0))</f>
        <v>#REF!</v>
      </c>
      <c r="AD473" s="201" t="e">
        <f>INDEX([3]!Table_1[Brokerage Name2],MATCH(INVESTORS_LIST[[#This Row],[INVESTOR CODE]],[3]!Table_1[INVESTOR CODE],0))</f>
        <v>#REF!</v>
      </c>
      <c r="AE473" s="201" t="e">
        <f>MID(INVESTORS_LIST[[#This Row],[BO ID]],4,5)</f>
        <v>#REF!</v>
      </c>
      <c r="AF473" s="201" t="e">
        <f>MID(INVESTORS_LIST[[#This Row],[BO ID]],2,7)</f>
        <v>#REF!</v>
      </c>
      <c r="AG473" s="201" t="e">
        <f>MID(INVESTORS_LIST[[#This Row],[BO ID]],9,7)</f>
        <v>#REF!</v>
      </c>
      <c r="AH473" s="201" t="e">
        <f>RIGHT(INVESTORS_LIST[[#This Row],[BO ID]],1)</f>
        <v>#REF!</v>
      </c>
      <c r="AI473" s="50">
        <f>INVESTORS_LIST[[#This Row],[LS_TOTAL COST VALUE OF CURRENT UNITS]]+INVESTORS_LIST[[#This Row],[SIP_TOTAL COST VALUE OF CURRENT UNITS]]</f>
        <v>0</v>
      </c>
      <c r="AJ473" s="109">
        <f>IF(INVESTORS_LIST[[#This Row],[TOTAL CURRENT UNITS]]=0,0,INVESTORS_LIST[[#This Row],[LS_TOTAL CURRENT UNITS]]/INVESTORS_LIST[[#This Row],[TOTAL CURRENT UNITS]])</f>
        <v>0</v>
      </c>
      <c r="AK473" s="109">
        <f>IF(INVESTORS_LIST[[#This Row],[TOTAL CURRENT UNITS]]=0,0,INVESTORS_LIST[[#This Row],[SIP_TOTAL CURRENT UNITS]]/INVESTORS_LIST[[#This Row],[TOTAL CURRENT UNITS]])</f>
        <v>0</v>
      </c>
      <c r="AL473" s="49" cm="1">
        <f t="array" ref="AL4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3" s="49" cm="1">
        <f t="array" ref="AM4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3" s="105">
        <f t="shared" si="8"/>
        <v>14.224</v>
      </c>
      <c r="AP473" s="112">
        <f>IF(INVESTORS_LIST[[#This Row],[TOTAL CURRENT UNITS]]=0,0,INVESTORS_LIST[[#This Row],[TOTAL CURRENT UNITS]]*INVESTORS_LIST[[#This Row],[NAV]])</f>
        <v>0</v>
      </c>
      <c r="AQ473" s="49">
        <f>IF(INVESTORS_LIST[[#This Row],[LS_TOTAL CURRENT UNITS]]=0,0,INVESTORS_LIST[[#This Row],[LS_TOTAL CURRENT UNITS]]*INVESTORS_LIST[[#This Row],[NAV]])</f>
        <v>0</v>
      </c>
      <c r="AR473" s="48">
        <f>IF(INVESTORS_LIST[[#This Row],[SIP_TOTAL CURRENT UNITS]]=0,0,INVESTORS_LIST[[#This Row],[SIP_TOTAL CURRENT UNITS]]*INVESTORS_LIST[[#This Row],[NAV]])</f>
        <v>0</v>
      </c>
      <c r="AS473" s="50">
        <f>INVESTORS_LIST[[#This Row],[TOTAL CURRENT UNITS]]</f>
        <v>0</v>
      </c>
      <c r="AT473" s="48">
        <f>IF(INVESTORS_LIST[[#This Row],[TOTAL SELLABLE UNITS]]=0,0,INVESTORS_LIST[[#This Row],[TOTAL SELLABLE UNITS]]*INVESTORS_LIST[[#This Row],[NAV]])</f>
        <v>0</v>
      </c>
      <c r="AU473" s="48">
        <f>INVESTORS_LIST[[#This Row],[LS_TOTAL REALIZED GAIN]]+INVESTORS_LIST[[#This Row],[SIP_TOTAL REALIZED GAIN]]</f>
        <v>5160</v>
      </c>
      <c r="AV473" s="48">
        <f>INVESTORS_LIST[[#This Row],[TOTAL MARKET VALUE]]-INVESTORS_LIST[[#This Row],[TOTAL COST VALUE OF CURRENT INVESTMENT]]</f>
        <v>0</v>
      </c>
      <c r="AW473" s="108">
        <f>IFERROR(INVESTORS_LIST[[#This Row],[TOTAL CURRENT UNITS]]/SUM(INVESTORS_LIST[TOTAL CURRENT UNITS]),0)</f>
        <v>0</v>
      </c>
    </row>
    <row r="474" spans="1:49">
      <c r="A474" s="262" t="s">
        <v>993</v>
      </c>
      <c r="B474" s="97" t="s">
        <v>994</v>
      </c>
      <c r="C474" t="s">
        <v>44</v>
      </c>
      <c r="D474" s="75" t="s">
        <v>45</v>
      </c>
      <c r="E474" s="47">
        <f>SUMIFS(LS[Unit],LS[Investor ID],INVESTORS_LIST[[#This Row],[INVESTOR CODE]],LS[B/S],"B")</f>
        <v>2311</v>
      </c>
      <c r="F474" s="47">
        <f>-SUMIFS(LS[Unit],LS[Investor ID],INVESTORS_LIST[[#This Row],[INVESTOR CODE]],LS[B/S],"S")</f>
        <v>0</v>
      </c>
      <c r="G474" s="47">
        <f>IF(INVESTORS_LIST[[#This Row],[LS_TOTAL UNITS BUY]]=0,0,INVESTORS_LIST[[#This Row],[LS_TOTAL UNITS BUY]]-INVESTORS_LIST[[#This Row],[LS_TOTAL UNITS SOLD]])</f>
        <v>2311</v>
      </c>
      <c r="H474" s="49">
        <f>IF(INVESTORS_LIST[[#This Row],[LS_TOTAL UNITS BUY]]=0,0,SUMIFS(LS[Amount],LS[Investor ID],INVESTORS_LIST[[#This Row],[INVESTOR CODE]],LS[B/S],"B"))</f>
        <v>23655</v>
      </c>
      <c r="I474" s="48">
        <f>IF(INVESTORS_LIST[[#This Row],[LS_TOTAL UNITS SOLD]]=0,0,SUMIFS(LS[Cost of Units Sold],LS[Investor ID],INVESTORS_LIST[[#This Row],[INVESTOR CODE]],LS[B/S],"S"))</f>
        <v>0</v>
      </c>
      <c r="J474" s="48">
        <f>IF(INVESTORS_LIST[[#This Row],[LS_TOTAL CURRENT UNITS]]=0,0,INVESTORS_LIST[[#This Row],[LS_TOTAL CURRENT UNITS]]*INVESTORS_LIST[[#This Row],[LS_AVERAGE COST]])</f>
        <v>23655</v>
      </c>
      <c r="K474" s="49">
        <f>IF(INVESTORS_LIST[[#This Row],[LS_TOTAL UNITS SOLD]]=0,0,SUMIFS(LS[Realized Gain],LS[Investor ID],INVESTORS_LIST[[#This Row],[INVESTOR CODE]],LS[B/S],"S"))</f>
        <v>0</v>
      </c>
      <c r="L474" s="47">
        <f>SUMIFS(SIP[Unit],SIP[Investor ID],INVESTORS_LIST[[#This Row],[INVESTOR CODE]],SIP[B/S],"B")</f>
        <v>0</v>
      </c>
      <c r="M474" s="47">
        <f>-SUMIFS(SIP[Unit],SIP[Investor ID],INVESTORS_LIST[[#This Row],[INVESTOR CODE]],SIP[B/S],"S")</f>
        <v>0</v>
      </c>
      <c r="N474" s="50">
        <f>IF(INVESTORS_LIST[[#This Row],[SIP_TOTAL UNITS BUY]]=0,0,INVESTORS_LIST[[#This Row],[SIP_TOTAL UNITS BUY]]-INVESTORS_LIST[[#This Row],[SIP_TOTAL UNITS SOLD]])</f>
        <v>0</v>
      </c>
      <c r="O474" s="49">
        <f>IF(INVESTORS_LIST[[#This Row],[SIP_TOTAL UNITS BUY]]=0,0,SUMIFS(SIP[Amount],SIP[Investor ID],INVESTORS_LIST[[#This Row],[INVESTOR CODE]],SIP[B/S],"B"))</f>
        <v>0</v>
      </c>
      <c r="P474" s="49">
        <f>IF(INVESTORS_LIST[[#This Row],[SIP_TOTAL UNITS SOLD]]=0,0,SUMIFS(SIP[Cost of Units Sold],SIP[Investor ID],INVESTORS_LIST[[#This Row],[INVESTOR CODE]],SIP[B/S],"S"))</f>
        <v>0</v>
      </c>
      <c r="Q474" s="48">
        <f>IF(INVESTORS_LIST[[#This Row],[SIP_TOTAL CURRENT UNITS]]=0,0,INVESTORS_LIST[[#This Row],[SIP_TOTAL CURRENT UNITS]]*INVESTORS_LIST[[#This Row],[SIP_AVERAGE COST]])</f>
        <v>0</v>
      </c>
      <c r="R474" s="48">
        <f>IF(INVESTORS_LIST[[#This Row],[SIP_TOTAL UNITS SOLD]]=0,0,SUMIFS(SIP[Realized Gain],SIP[Investor ID],INVESTORS_LIST[[#This Row],[INVESTOR CODE]],SIP[B/S],"S"))</f>
        <v>0</v>
      </c>
      <c r="S474" s="50">
        <f>INVESTORS_LIST[[#This Row],[LS_TOTAL UNITS BUY]]+INVESTORS_LIST[[#This Row],[SIP_TOTAL UNITS BUY]]</f>
        <v>2311</v>
      </c>
      <c r="T474" s="50">
        <f>INVESTORS_LIST[[#This Row],[LS_TOTAL UNITS SOLD]]+INVESTORS_LIST[[#This Row],[SIP_TOTAL UNITS SOLD]]</f>
        <v>0</v>
      </c>
      <c r="U474" s="50">
        <v>2311</v>
      </c>
      <c r="V474" s="50">
        <f>SUMIFS(LS[BO UNIT TRANSFER],LS[Investor ID],INVESTORS_LIST[[#This Row],[INVESTOR CODE]],LS[B/S],"B")</f>
        <v>0</v>
      </c>
      <c r="W474" s="50">
        <f>SUMIFS(SIP[BO UNIT TRANSFER],SIP[Investor ID],INVESTORS_LIST[[#This Row],[INVESTOR CODE]],SIP[B/S],"B")</f>
        <v>0</v>
      </c>
      <c r="X474" s="50">
        <f>SUMIFS(LS[BO UNIT TRANSFER],LS[Investor ID],INVESTORS_LIST[[#This Row],[INVESTOR CODE]],LS[B/S],"S")</f>
        <v>0</v>
      </c>
      <c r="Y474" s="50">
        <f>SUMIFS(SIP[BO UNIT TRANSFER],SIP[Investor ID],INVESTORS_LIST[[#This Row],[INVESTOR CODE]],SIP[B/S],"S")</f>
        <v>0</v>
      </c>
      <c r="Z474" s="106">
        <f>SUM(INVESTORS_LIST[[#This Row],[BO OPENING BALANCE]:[BO SIP UNITS REPURCHASE]])</f>
        <v>2311</v>
      </c>
      <c r="AA474" s="107">
        <f>INVESTORS_LIST[[#This Row],[TOTAL UNITS BUY]]-INVESTORS_LIST[[#This Row],[TOTAL UNITS SOLD]]</f>
        <v>2311</v>
      </c>
      <c r="AB474" s="107">
        <f>INVESTORS_LIST[[#This Row],[TOTAL CURRENT UNITS]]-INVESTORS_LIST[[#This Row],[BO UNITS HOLD]]</f>
        <v>0</v>
      </c>
      <c r="AC474" s="201" t="e">
        <f>INDEX([3]!Table_1[BO ID],MATCH(INVESTORS_LIST[[#This Row],[INVESTOR CODE]],[3]!Table_1[INVESTOR CODE],0))</f>
        <v>#REF!</v>
      </c>
      <c r="AD474" s="201" t="e">
        <f>INDEX([3]!Table_1[Brokerage Name2],MATCH(INVESTORS_LIST[[#This Row],[INVESTOR CODE]],[3]!Table_1[INVESTOR CODE],0))</f>
        <v>#REF!</v>
      </c>
      <c r="AE474" s="201" t="e">
        <f>MID(INVESTORS_LIST[[#This Row],[BO ID]],4,5)</f>
        <v>#REF!</v>
      </c>
      <c r="AF474" s="201" t="e">
        <f>MID(INVESTORS_LIST[[#This Row],[BO ID]],2,7)</f>
        <v>#REF!</v>
      </c>
      <c r="AG474" s="201" t="e">
        <f>MID(INVESTORS_LIST[[#This Row],[BO ID]],9,7)</f>
        <v>#REF!</v>
      </c>
      <c r="AH474" s="201" t="e">
        <f>RIGHT(INVESTORS_LIST[[#This Row],[BO ID]],1)</f>
        <v>#REF!</v>
      </c>
      <c r="AI474" s="50">
        <f>INVESTORS_LIST[[#This Row],[LS_TOTAL COST VALUE OF CURRENT UNITS]]+INVESTORS_LIST[[#This Row],[SIP_TOTAL COST VALUE OF CURRENT UNITS]]</f>
        <v>23655</v>
      </c>
      <c r="AJ474" s="109">
        <f>IF(INVESTORS_LIST[[#This Row],[TOTAL CURRENT UNITS]]=0,0,INVESTORS_LIST[[#This Row],[LS_TOTAL CURRENT UNITS]]/INVESTORS_LIST[[#This Row],[TOTAL CURRENT UNITS]])</f>
        <v>1</v>
      </c>
      <c r="AK474" s="109">
        <f>IF(INVESTORS_LIST[[#This Row],[TOTAL CURRENT UNITS]]=0,0,INVESTORS_LIST[[#This Row],[SIP_TOTAL CURRENT UNITS]]/INVESTORS_LIST[[#This Row],[TOTAL CURRENT UNITS]])</f>
        <v>0</v>
      </c>
      <c r="AL474" s="49" cm="1">
        <f t="array" ref="AL474">IF(INVESTORS_LIST[[#This Row],[LS_TOTAL UNITS BUY]]&gt;0,INDEX(LS[NAV at Cost (Average)],MATCH(CONCATENATE(COUNTIFS(LS[Investor ID],INVESTORS_LIST[[#This Row],[INVESTOR CODE]]),INVESTORS_LIST[[#This Row],[INVESTOR CODE]]),LS[Unique Code],0),),0)</f>
        <v>10.235828645607961</v>
      </c>
      <c r="AM474" s="49" cm="1">
        <f t="array" ref="AM4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4" s="105">
        <f>IF(INVESTORS_LIST[[#This Row],[TOTAL CURRENT UNITS]]=0,0,(INVESTORS_LIST[[#This Row],[LS_WEIGHT]]*INVESTORS_LIST[[#This Row],[LS_AVERAGE COST]])+(INVESTORS_LIST[[#This Row],[SIP_WEIGHT]]*INVESTORS_LIST[[#This Row],[SIP_AVERAGE COST]]))</f>
        <v>10.235828645607961</v>
      </c>
      <c r="AO474" s="105">
        <f t="shared" si="8"/>
        <v>14.224</v>
      </c>
      <c r="AP474" s="112">
        <f>IF(INVESTORS_LIST[[#This Row],[TOTAL CURRENT UNITS]]=0,0,INVESTORS_LIST[[#This Row],[TOTAL CURRENT UNITS]]*INVESTORS_LIST[[#This Row],[NAV]])</f>
        <v>32871.663999999997</v>
      </c>
      <c r="AQ474" s="49">
        <f>IF(INVESTORS_LIST[[#This Row],[LS_TOTAL CURRENT UNITS]]=0,0,INVESTORS_LIST[[#This Row],[LS_TOTAL CURRENT UNITS]]*INVESTORS_LIST[[#This Row],[NAV]])</f>
        <v>32871.663999999997</v>
      </c>
      <c r="AR474" s="48">
        <f>IF(INVESTORS_LIST[[#This Row],[SIP_TOTAL CURRENT UNITS]]=0,0,INVESTORS_LIST[[#This Row],[SIP_TOTAL CURRENT UNITS]]*INVESTORS_LIST[[#This Row],[NAV]])</f>
        <v>0</v>
      </c>
      <c r="AS474" s="50">
        <f>INVESTORS_LIST[[#This Row],[TOTAL CURRENT UNITS]]</f>
        <v>2311</v>
      </c>
      <c r="AT474" s="48">
        <f>IF(INVESTORS_LIST[[#This Row],[TOTAL SELLABLE UNITS]]=0,0,INVESTORS_LIST[[#This Row],[TOTAL SELLABLE UNITS]]*INVESTORS_LIST[[#This Row],[NAV]])</f>
        <v>32871.663999999997</v>
      </c>
      <c r="AU474" s="48">
        <f>INVESTORS_LIST[[#This Row],[LS_TOTAL REALIZED GAIN]]+INVESTORS_LIST[[#This Row],[SIP_TOTAL REALIZED GAIN]]</f>
        <v>0</v>
      </c>
      <c r="AV474" s="48">
        <f>INVESTORS_LIST[[#This Row],[TOTAL MARKET VALUE]]-INVESTORS_LIST[[#This Row],[TOTAL COST VALUE OF CURRENT INVESTMENT]]</f>
        <v>9216.663999999997</v>
      </c>
      <c r="AW474" s="108">
        <f>IFERROR(INVESTORS_LIST[[#This Row],[TOTAL CURRENT UNITS]]/SUM(INVESTORS_LIST[TOTAL CURRENT UNITS]),0)</f>
        <v>5.6102316447895549E-5</v>
      </c>
    </row>
    <row r="475" spans="1:49">
      <c r="A475" s="262" t="s">
        <v>995</v>
      </c>
      <c r="B475" s="97" t="s">
        <v>996</v>
      </c>
      <c r="C475" t="s">
        <v>44</v>
      </c>
      <c r="D475" s="75" t="s">
        <v>45</v>
      </c>
      <c r="E475" s="47">
        <f>SUMIFS(LS[Unit],LS[Investor ID],INVESTORS_LIST[[#This Row],[INVESTOR CODE]],LS[B/S],"B")</f>
        <v>0</v>
      </c>
      <c r="F475" s="47">
        <f>-SUMIFS(LS[Unit],LS[Investor ID],INVESTORS_LIST[[#This Row],[INVESTOR CODE]],LS[B/S],"S")</f>
        <v>0</v>
      </c>
      <c r="G475" s="47">
        <f>IF(INVESTORS_LIST[[#This Row],[LS_TOTAL UNITS BUY]]=0,0,INVESTORS_LIST[[#This Row],[LS_TOTAL UNITS BUY]]-INVESTORS_LIST[[#This Row],[LS_TOTAL UNITS SOLD]])</f>
        <v>0</v>
      </c>
      <c r="H475" s="49">
        <f>IF(INVESTORS_LIST[[#This Row],[LS_TOTAL UNITS BUY]]=0,0,SUMIFS(LS[Amount],LS[Investor ID],INVESTORS_LIST[[#This Row],[INVESTOR CODE]],LS[B/S],"B"))</f>
        <v>0</v>
      </c>
      <c r="I475" s="48">
        <f>IF(INVESTORS_LIST[[#This Row],[LS_TOTAL UNITS SOLD]]=0,0,SUMIFS(LS[Cost of Units Sold],LS[Investor ID],INVESTORS_LIST[[#This Row],[INVESTOR CODE]],LS[B/S],"S"))</f>
        <v>0</v>
      </c>
      <c r="J475" s="48">
        <f>IF(INVESTORS_LIST[[#This Row],[LS_TOTAL CURRENT UNITS]]=0,0,INVESTORS_LIST[[#This Row],[LS_TOTAL CURRENT UNITS]]*INVESTORS_LIST[[#This Row],[LS_AVERAGE COST]])</f>
        <v>0</v>
      </c>
      <c r="K475" s="49">
        <f>IF(INVESTORS_LIST[[#This Row],[LS_TOTAL UNITS SOLD]]=0,0,SUMIFS(LS[Realized Gain],LS[Investor ID],INVESTORS_LIST[[#This Row],[INVESTOR CODE]],LS[B/S],"S"))</f>
        <v>0</v>
      </c>
      <c r="L475" s="47">
        <f>SUMIFS(SIP[Unit],SIP[Investor ID],INVESTORS_LIST[[#This Row],[INVESTOR CODE]],SIP[B/S],"B")</f>
        <v>28449</v>
      </c>
      <c r="M475" s="47">
        <f>-SUMIFS(SIP[Unit],SIP[Investor ID],INVESTORS_LIST[[#This Row],[INVESTOR CODE]],SIP[B/S],"S")</f>
        <v>27025</v>
      </c>
      <c r="N475" s="50">
        <f>IF(INVESTORS_LIST[[#This Row],[SIP_TOTAL UNITS BUY]]=0,0,INVESTORS_LIST[[#This Row],[SIP_TOTAL UNITS BUY]]-INVESTORS_LIST[[#This Row],[SIP_TOTAL UNITS SOLD]])</f>
        <v>1424</v>
      </c>
      <c r="O475" s="49">
        <f>IF(INVESTORS_LIST[[#This Row],[SIP_TOTAL UNITS BUY]]=0,0,SUMIFS(SIP[Amount],SIP[Investor ID],INVESTORS_LIST[[#This Row],[INVESTOR CODE]],SIP[B/S],"B"))</f>
        <v>330000</v>
      </c>
      <c r="P475" s="49">
        <f>IF(INVESTORS_LIST[[#This Row],[SIP_TOTAL UNITS SOLD]]=0,0,SUMIFS(SIP[Cost of Units Sold],SIP[Investor ID],INVESTORS_LIST[[#This Row],[INVESTOR CODE]],SIP[B/S],"S"))</f>
        <v>309999.99999999994</v>
      </c>
      <c r="Q475" s="48">
        <f>IF(INVESTORS_LIST[[#This Row],[SIP_TOTAL CURRENT UNITS]]=0,0,INVESTORS_LIST[[#This Row],[SIP_TOTAL CURRENT UNITS]]*INVESTORS_LIST[[#This Row],[SIP_AVERAGE COST]])</f>
        <v>20000</v>
      </c>
      <c r="R475" s="48">
        <f>IF(INVESTORS_LIST[[#This Row],[SIP_TOTAL UNITS SOLD]]=0,0,SUMIFS(SIP[Realized Gain],SIP[Investor ID],INVESTORS_LIST[[#This Row],[INVESTOR CODE]],SIP[B/S],"S"))</f>
        <v>66566.35000000002</v>
      </c>
      <c r="S475" s="50">
        <f>INVESTORS_LIST[[#This Row],[LS_TOTAL UNITS BUY]]+INVESTORS_LIST[[#This Row],[SIP_TOTAL UNITS BUY]]</f>
        <v>28449</v>
      </c>
      <c r="T475" s="50">
        <f>INVESTORS_LIST[[#This Row],[LS_TOTAL UNITS SOLD]]+INVESTORS_LIST[[#This Row],[SIP_TOTAL UNITS SOLD]]</f>
        <v>27025</v>
      </c>
      <c r="U475" s="50"/>
      <c r="V475" s="50">
        <f>SUMIFS(LS[BO UNIT TRANSFER],LS[Investor ID],INVESTORS_LIST[[#This Row],[INVESTOR CODE]],LS[B/S],"B")</f>
        <v>0</v>
      </c>
      <c r="W475" s="50">
        <f>SUMIFS(SIP[BO UNIT TRANSFER],SIP[Investor ID],INVESTORS_LIST[[#This Row],[INVESTOR CODE]],SIP[B/S],"B")</f>
        <v>0</v>
      </c>
      <c r="X475" s="50">
        <f>SUMIFS(LS[BO UNIT TRANSFER],LS[Investor ID],INVESTORS_LIST[[#This Row],[INVESTOR CODE]],LS[B/S],"S")</f>
        <v>0</v>
      </c>
      <c r="Y475" s="50">
        <f>SUMIFS(SIP[BO UNIT TRANSFER],SIP[Investor ID],INVESTORS_LIST[[#This Row],[INVESTOR CODE]],SIP[B/S],"S")</f>
        <v>0</v>
      </c>
      <c r="Z475" s="106">
        <f>SUM(INVESTORS_LIST[[#This Row],[BO OPENING BALANCE]:[BO SIP UNITS REPURCHASE]])</f>
        <v>0</v>
      </c>
      <c r="AA475" s="107">
        <f>INVESTORS_LIST[[#This Row],[TOTAL UNITS BUY]]-INVESTORS_LIST[[#This Row],[TOTAL UNITS SOLD]]</f>
        <v>1424</v>
      </c>
      <c r="AB475" s="107">
        <f>INVESTORS_LIST[[#This Row],[TOTAL CURRENT UNITS]]-INVESTORS_LIST[[#This Row],[BO UNITS HOLD]]</f>
        <v>1424</v>
      </c>
      <c r="AC475" s="201" t="e">
        <f>INDEX([3]!Table_1[BO ID],MATCH(INVESTORS_LIST[[#This Row],[INVESTOR CODE]],[3]!Table_1[INVESTOR CODE],0))</f>
        <v>#REF!</v>
      </c>
      <c r="AD475" s="201" t="e">
        <f>INDEX([3]!Table_1[Brokerage Name2],MATCH(INVESTORS_LIST[[#This Row],[INVESTOR CODE]],[3]!Table_1[INVESTOR CODE],0))</f>
        <v>#REF!</v>
      </c>
      <c r="AE475" s="201" t="e">
        <f>MID(INVESTORS_LIST[[#This Row],[BO ID]],4,5)</f>
        <v>#REF!</v>
      </c>
      <c r="AF475" s="201" t="e">
        <f>MID(INVESTORS_LIST[[#This Row],[BO ID]],2,7)</f>
        <v>#REF!</v>
      </c>
      <c r="AG475" s="201" t="e">
        <f>MID(INVESTORS_LIST[[#This Row],[BO ID]],9,7)</f>
        <v>#REF!</v>
      </c>
      <c r="AH475" s="201" t="e">
        <f>RIGHT(INVESTORS_LIST[[#This Row],[BO ID]],1)</f>
        <v>#REF!</v>
      </c>
      <c r="AI475" s="50">
        <f>INVESTORS_LIST[[#This Row],[LS_TOTAL COST VALUE OF CURRENT UNITS]]+INVESTORS_LIST[[#This Row],[SIP_TOTAL COST VALUE OF CURRENT UNITS]]</f>
        <v>20000</v>
      </c>
      <c r="AJ475" s="109">
        <f>IF(INVESTORS_LIST[[#This Row],[TOTAL CURRENT UNITS]]=0,0,INVESTORS_LIST[[#This Row],[LS_TOTAL CURRENT UNITS]]/INVESTORS_LIST[[#This Row],[TOTAL CURRENT UNITS]])</f>
        <v>0</v>
      </c>
      <c r="AK475" s="109">
        <f>IF(INVESTORS_LIST[[#This Row],[TOTAL CURRENT UNITS]]=0,0,INVESTORS_LIST[[#This Row],[SIP_TOTAL CURRENT UNITS]]/INVESTORS_LIST[[#This Row],[TOTAL CURRENT UNITS]])</f>
        <v>1</v>
      </c>
      <c r="AL475" s="49" cm="1">
        <f t="array" ref="AL4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5" s="49" cm="1">
        <f t="array" ref="AM475">IF(INVESTORS_LIST[[#This Row],[SIP_TOTAL UNITS BUY]]&gt;0,INDEX(SIP[NAV at Cost (Average)],MATCH(CONCATENATE(COUNTIFS(SIP[Investor ID],INVESTORS_LIST[[#This Row],[INVESTOR CODE]]),INVESTORS_LIST[[#This Row],[INVESTOR CODE]]),SIP[Unique Code],0),),0)</f>
        <v>14.04494382022472</v>
      </c>
      <c r="AN475" s="105">
        <f>IF(INVESTORS_LIST[[#This Row],[TOTAL CURRENT UNITS]]=0,0,(INVESTORS_LIST[[#This Row],[LS_WEIGHT]]*INVESTORS_LIST[[#This Row],[LS_AVERAGE COST]])+(INVESTORS_LIST[[#This Row],[SIP_WEIGHT]]*INVESTORS_LIST[[#This Row],[SIP_AVERAGE COST]]))</f>
        <v>14.04494382022472</v>
      </c>
      <c r="AO475" s="105">
        <f t="shared" si="8"/>
        <v>14.224</v>
      </c>
      <c r="AP475" s="112">
        <f>IF(INVESTORS_LIST[[#This Row],[TOTAL CURRENT UNITS]]=0,0,INVESTORS_LIST[[#This Row],[TOTAL CURRENT UNITS]]*INVESTORS_LIST[[#This Row],[NAV]])</f>
        <v>20254.975999999999</v>
      </c>
      <c r="AQ475" s="49">
        <f>IF(INVESTORS_LIST[[#This Row],[LS_TOTAL CURRENT UNITS]]=0,0,INVESTORS_LIST[[#This Row],[LS_TOTAL CURRENT UNITS]]*INVESTORS_LIST[[#This Row],[NAV]])</f>
        <v>0</v>
      </c>
      <c r="AR475" s="48">
        <f>IF(INVESTORS_LIST[[#This Row],[SIP_TOTAL CURRENT UNITS]]=0,0,INVESTORS_LIST[[#This Row],[SIP_TOTAL CURRENT UNITS]]*INVESTORS_LIST[[#This Row],[NAV]])</f>
        <v>20254.975999999999</v>
      </c>
      <c r="AS475" s="50">
        <f>INVESTORS_LIST[[#This Row],[TOTAL CURRENT UNITS]]</f>
        <v>1424</v>
      </c>
      <c r="AT475" s="48">
        <f>IF(INVESTORS_LIST[[#This Row],[TOTAL SELLABLE UNITS]]=0,0,INVESTORS_LIST[[#This Row],[TOTAL SELLABLE UNITS]]*INVESTORS_LIST[[#This Row],[NAV]])</f>
        <v>20254.975999999999</v>
      </c>
      <c r="AU475" s="48">
        <f>INVESTORS_LIST[[#This Row],[LS_TOTAL REALIZED GAIN]]+INVESTORS_LIST[[#This Row],[SIP_TOTAL REALIZED GAIN]]</f>
        <v>66566.35000000002</v>
      </c>
      <c r="AV475" s="48">
        <f>INVESTORS_LIST[[#This Row],[TOTAL MARKET VALUE]]-INVESTORS_LIST[[#This Row],[TOTAL COST VALUE OF CURRENT INVESTMENT]]</f>
        <v>254.97599999999875</v>
      </c>
      <c r="AW475" s="108">
        <f>IFERROR(INVESTORS_LIST[[#This Row],[TOTAL CURRENT UNITS]]/SUM(INVESTORS_LIST[TOTAL CURRENT UNITS]),0)</f>
        <v>3.4569320044051604E-5</v>
      </c>
    </row>
    <row r="476" spans="1:49" hidden="1">
      <c r="A476" s="262" t="s">
        <v>997</v>
      </c>
      <c r="B476" s="97" t="s">
        <v>998</v>
      </c>
      <c r="C476" t="s">
        <v>44</v>
      </c>
      <c r="D476" s="75" t="s">
        <v>45</v>
      </c>
      <c r="E476" s="47">
        <f>SUMIFS(LS[Unit],LS[Investor ID],INVESTORS_LIST[[#This Row],[INVESTOR CODE]],LS[B/S],"B")</f>
        <v>98756</v>
      </c>
      <c r="F476" s="47">
        <f>-SUMIFS(LS[Unit],LS[Investor ID],INVESTORS_LIST[[#This Row],[INVESTOR CODE]],LS[B/S],"S")</f>
        <v>98756</v>
      </c>
      <c r="G476" s="47">
        <f>IF(INVESTORS_LIST[[#This Row],[LS_TOTAL UNITS BUY]]=0,0,INVESTORS_LIST[[#This Row],[LS_TOTAL UNITS BUY]]-INVESTORS_LIST[[#This Row],[LS_TOTAL UNITS SOLD]])</f>
        <v>0</v>
      </c>
      <c r="H476" s="49">
        <f>IF(INVESTORS_LIST[[#This Row],[LS_TOTAL UNITS BUY]]=0,0,SUMIFS(LS[Amount],LS[Investor ID],INVESTORS_LIST[[#This Row],[INVESTOR CODE]],LS[B/S],"B"))</f>
        <v>1000000</v>
      </c>
      <c r="I476" s="48">
        <f>IF(INVESTORS_LIST[[#This Row],[LS_TOTAL UNITS SOLD]]=0,0,SUMIFS(LS[Cost of Units Sold],LS[Investor ID],INVESTORS_LIST[[#This Row],[INVESTOR CODE]],LS[B/S],"S"))</f>
        <v>1000000</v>
      </c>
      <c r="J476" s="48">
        <f>IF(INVESTORS_LIST[[#This Row],[LS_TOTAL CURRENT UNITS]]=0,0,INVESTORS_LIST[[#This Row],[LS_TOTAL CURRENT UNITS]]*INVESTORS_LIST[[#This Row],[LS_AVERAGE COST]])</f>
        <v>0</v>
      </c>
      <c r="K476" s="49">
        <f>IF(INVESTORS_LIST[[#This Row],[LS_TOTAL UNITS SOLD]]=0,0,SUMIFS(LS[Realized Gain],LS[Investor ID],INVESTORS_LIST[[#This Row],[INVESTOR CODE]],LS[B/S],"S"))</f>
        <v>87928.000000000029</v>
      </c>
      <c r="L476" s="47">
        <f>SUMIFS(SIP[Unit],SIP[Investor ID],INVESTORS_LIST[[#This Row],[INVESTOR CODE]],SIP[B/S],"B")</f>
        <v>0</v>
      </c>
      <c r="M476" s="47">
        <f>-SUMIFS(SIP[Unit],SIP[Investor ID],INVESTORS_LIST[[#This Row],[INVESTOR CODE]],SIP[B/S],"S")</f>
        <v>0</v>
      </c>
      <c r="N476" s="50">
        <f>IF(INVESTORS_LIST[[#This Row],[SIP_TOTAL UNITS BUY]]=0,0,INVESTORS_LIST[[#This Row],[SIP_TOTAL UNITS BUY]]-INVESTORS_LIST[[#This Row],[SIP_TOTAL UNITS SOLD]])</f>
        <v>0</v>
      </c>
      <c r="O476" s="49">
        <f>IF(INVESTORS_LIST[[#This Row],[SIP_TOTAL UNITS BUY]]=0,0,SUMIFS(SIP[Amount],SIP[Investor ID],INVESTORS_LIST[[#This Row],[INVESTOR CODE]],SIP[B/S],"B"))</f>
        <v>0</v>
      </c>
      <c r="P476" s="49">
        <f>IF(INVESTORS_LIST[[#This Row],[SIP_TOTAL UNITS SOLD]]=0,0,SUMIFS(SIP[Cost of Units Sold],SIP[Investor ID],INVESTORS_LIST[[#This Row],[INVESTOR CODE]],SIP[B/S],"S"))</f>
        <v>0</v>
      </c>
      <c r="Q476" s="48">
        <f>IF(INVESTORS_LIST[[#This Row],[SIP_TOTAL CURRENT UNITS]]=0,0,INVESTORS_LIST[[#This Row],[SIP_TOTAL CURRENT UNITS]]*INVESTORS_LIST[[#This Row],[SIP_AVERAGE COST]])</f>
        <v>0</v>
      </c>
      <c r="R476" s="48">
        <f>IF(INVESTORS_LIST[[#This Row],[SIP_TOTAL UNITS SOLD]]=0,0,SUMIFS(SIP[Realized Gain],SIP[Investor ID],INVESTORS_LIST[[#This Row],[INVESTOR CODE]],SIP[B/S],"S"))</f>
        <v>0</v>
      </c>
      <c r="S476" s="50">
        <f>INVESTORS_LIST[[#This Row],[LS_TOTAL UNITS BUY]]+INVESTORS_LIST[[#This Row],[SIP_TOTAL UNITS BUY]]</f>
        <v>98756</v>
      </c>
      <c r="T476" s="50">
        <f>INVESTORS_LIST[[#This Row],[LS_TOTAL UNITS SOLD]]+INVESTORS_LIST[[#This Row],[SIP_TOTAL UNITS SOLD]]</f>
        <v>98756</v>
      </c>
      <c r="U476" s="50">
        <v>98756</v>
      </c>
      <c r="V476" s="50">
        <f>SUMIFS(LS[BO UNIT TRANSFER],LS[Investor ID],INVESTORS_LIST[[#This Row],[INVESTOR CODE]],LS[B/S],"B")</f>
        <v>0</v>
      </c>
      <c r="W476" s="50">
        <f>SUMIFS(SIP[BO UNIT TRANSFER],SIP[Investor ID],INVESTORS_LIST[[#This Row],[INVESTOR CODE]],SIP[B/S],"B")</f>
        <v>0</v>
      </c>
      <c r="X476" s="50">
        <f>SUMIFS(LS[BO UNIT TRANSFER],LS[Investor ID],INVESTORS_LIST[[#This Row],[INVESTOR CODE]],LS[B/S],"S")</f>
        <v>0</v>
      </c>
      <c r="Y476" s="50">
        <f>SUMIFS(SIP[BO UNIT TRANSFER],SIP[Investor ID],INVESTORS_LIST[[#This Row],[INVESTOR CODE]],SIP[B/S],"S")</f>
        <v>0</v>
      </c>
      <c r="Z476" s="106">
        <f>SUM(INVESTORS_LIST[[#This Row],[BO OPENING BALANCE]:[BO SIP UNITS REPURCHASE]])</f>
        <v>98756</v>
      </c>
      <c r="AA476" s="107">
        <f>INVESTORS_LIST[[#This Row],[TOTAL UNITS BUY]]-INVESTORS_LIST[[#This Row],[TOTAL UNITS SOLD]]</f>
        <v>0</v>
      </c>
      <c r="AB476" s="107">
        <f>INVESTORS_LIST[[#This Row],[TOTAL CURRENT UNITS]]-INVESTORS_LIST[[#This Row],[BO UNITS HOLD]]</f>
        <v>-98756</v>
      </c>
      <c r="AC476" s="201" t="e">
        <f>INDEX([3]!Table_1[BO ID],MATCH(INVESTORS_LIST[[#This Row],[INVESTOR CODE]],[3]!Table_1[INVESTOR CODE],0))</f>
        <v>#REF!</v>
      </c>
      <c r="AD476" s="201" t="e">
        <f>INDEX([3]!Table_1[Brokerage Name2],MATCH(INVESTORS_LIST[[#This Row],[INVESTOR CODE]],[3]!Table_1[INVESTOR CODE],0))</f>
        <v>#REF!</v>
      </c>
      <c r="AE476" s="201" t="e">
        <f>MID(INVESTORS_LIST[[#This Row],[BO ID]],4,5)</f>
        <v>#REF!</v>
      </c>
      <c r="AF476" s="201" t="e">
        <f>MID(INVESTORS_LIST[[#This Row],[BO ID]],2,7)</f>
        <v>#REF!</v>
      </c>
      <c r="AG476" s="201" t="e">
        <f>MID(INVESTORS_LIST[[#This Row],[BO ID]],9,7)</f>
        <v>#REF!</v>
      </c>
      <c r="AH476" s="201" t="e">
        <f>RIGHT(INVESTORS_LIST[[#This Row],[BO ID]],1)</f>
        <v>#REF!</v>
      </c>
      <c r="AI476" s="50">
        <f>INVESTORS_LIST[[#This Row],[LS_TOTAL COST VALUE OF CURRENT UNITS]]+INVESTORS_LIST[[#This Row],[SIP_TOTAL COST VALUE OF CURRENT UNITS]]</f>
        <v>0</v>
      </c>
      <c r="AJ476" s="109">
        <f>IF(INVESTORS_LIST[[#This Row],[TOTAL CURRENT UNITS]]=0,0,INVESTORS_LIST[[#This Row],[LS_TOTAL CURRENT UNITS]]/INVESTORS_LIST[[#This Row],[TOTAL CURRENT UNITS]])</f>
        <v>0</v>
      </c>
      <c r="AK476" s="109">
        <f>IF(INVESTORS_LIST[[#This Row],[TOTAL CURRENT UNITS]]=0,0,INVESTORS_LIST[[#This Row],[SIP_TOTAL CURRENT UNITS]]/INVESTORS_LIST[[#This Row],[TOTAL CURRENT UNITS]])</f>
        <v>0</v>
      </c>
      <c r="AL476" s="49" cm="1">
        <f t="array" ref="AL4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6" s="49" cm="1">
        <f t="array" ref="AM4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6" s="105">
        <f t="shared" si="8"/>
        <v>14.224</v>
      </c>
      <c r="AP476" s="112">
        <f>IF(INVESTORS_LIST[[#This Row],[TOTAL CURRENT UNITS]]=0,0,INVESTORS_LIST[[#This Row],[TOTAL CURRENT UNITS]]*INVESTORS_LIST[[#This Row],[NAV]])</f>
        <v>0</v>
      </c>
      <c r="AQ476" s="49">
        <f>IF(INVESTORS_LIST[[#This Row],[LS_TOTAL CURRENT UNITS]]=0,0,INVESTORS_LIST[[#This Row],[LS_TOTAL CURRENT UNITS]]*INVESTORS_LIST[[#This Row],[NAV]])</f>
        <v>0</v>
      </c>
      <c r="AR476" s="48">
        <f>IF(INVESTORS_LIST[[#This Row],[SIP_TOTAL CURRENT UNITS]]=0,0,INVESTORS_LIST[[#This Row],[SIP_TOTAL CURRENT UNITS]]*INVESTORS_LIST[[#This Row],[NAV]])</f>
        <v>0</v>
      </c>
      <c r="AS476" s="50">
        <f>INVESTORS_LIST[[#This Row],[TOTAL CURRENT UNITS]]</f>
        <v>0</v>
      </c>
      <c r="AT476" s="48">
        <f>IF(INVESTORS_LIST[[#This Row],[TOTAL SELLABLE UNITS]]=0,0,INVESTORS_LIST[[#This Row],[TOTAL SELLABLE UNITS]]*INVESTORS_LIST[[#This Row],[NAV]])</f>
        <v>0</v>
      </c>
      <c r="AU476" s="48">
        <f>INVESTORS_LIST[[#This Row],[LS_TOTAL REALIZED GAIN]]+INVESTORS_LIST[[#This Row],[SIP_TOTAL REALIZED GAIN]]</f>
        <v>87928.000000000029</v>
      </c>
      <c r="AV476" s="48">
        <f>INVESTORS_LIST[[#This Row],[TOTAL MARKET VALUE]]-INVESTORS_LIST[[#This Row],[TOTAL COST VALUE OF CURRENT INVESTMENT]]</f>
        <v>0</v>
      </c>
      <c r="AW476" s="108">
        <f>IFERROR(INVESTORS_LIST[[#This Row],[TOTAL CURRENT UNITS]]/SUM(INVESTORS_LIST[TOTAL CURRENT UNITS]),0)</f>
        <v>0</v>
      </c>
    </row>
    <row r="477" spans="1:49" hidden="1">
      <c r="A477" s="262" t="s">
        <v>999</v>
      </c>
      <c r="B477" s="97" t="s">
        <v>1000</v>
      </c>
      <c r="C477" t="s">
        <v>44</v>
      </c>
      <c r="D477" s="75" t="s">
        <v>45</v>
      </c>
      <c r="E477" s="47">
        <f>SUMIFS(LS[Unit],LS[Investor ID],INVESTORS_LIST[[#This Row],[INVESTOR CODE]],LS[B/S],"B")</f>
        <v>0</v>
      </c>
      <c r="F477" s="47">
        <f>-SUMIFS(LS[Unit],LS[Investor ID],INVESTORS_LIST[[#This Row],[INVESTOR CODE]],LS[B/S],"S")</f>
        <v>0</v>
      </c>
      <c r="G477" s="47">
        <f>IF(INVESTORS_LIST[[#This Row],[LS_TOTAL UNITS BUY]]=0,0,INVESTORS_LIST[[#This Row],[LS_TOTAL UNITS BUY]]-INVESTORS_LIST[[#This Row],[LS_TOTAL UNITS SOLD]])</f>
        <v>0</v>
      </c>
      <c r="H477" s="49">
        <f>IF(INVESTORS_LIST[[#This Row],[LS_TOTAL UNITS BUY]]=0,0,SUMIFS(LS[Amount],LS[Investor ID],INVESTORS_LIST[[#This Row],[INVESTOR CODE]],LS[B/S],"B"))</f>
        <v>0</v>
      </c>
      <c r="I477" s="48">
        <f>IF(INVESTORS_LIST[[#This Row],[LS_TOTAL UNITS SOLD]]=0,0,SUMIFS(LS[Cost of Units Sold],LS[Investor ID],INVESTORS_LIST[[#This Row],[INVESTOR CODE]],LS[B/S],"S"))</f>
        <v>0</v>
      </c>
      <c r="J477" s="48">
        <f>IF(INVESTORS_LIST[[#This Row],[LS_TOTAL CURRENT UNITS]]=0,0,INVESTORS_LIST[[#This Row],[LS_TOTAL CURRENT UNITS]]*INVESTORS_LIST[[#This Row],[LS_AVERAGE COST]])</f>
        <v>0</v>
      </c>
      <c r="K477" s="49">
        <f>IF(INVESTORS_LIST[[#This Row],[LS_TOTAL UNITS SOLD]]=0,0,SUMIFS(LS[Realized Gain],LS[Investor ID],INVESTORS_LIST[[#This Row],[INVESTOR CODE]],LS[B/S],"S"))</f>
        <v>0</v>
      </c>
      <c r="L477" s="47">
        <f>SUMIFS(SIP[Unit],SIP[Investor ID],INVESTORS_LIST[[#This Row],[INVESTOR CODE]],SIP[B/S],"B")</f>
        <v>491</v>
      </c>
      <c r="M477" s="47">
        <f>-SUMIFS(SIP[Unit],SIP[Investor ID],INVESTORS_LIST[[#This Row],[INVESTOR CODE]],SIP[B/S],"S")</f>
        <v>491</v>
      </c>
      <c r="N477" s="50">
        <f>IF(INVESTORS_LIST[[#This Row],[SIP_TOTAL UNITS BUY]]=0,0,INVESTORS_LIST[[#This Row],[SIP_TOTAL UNITS BUY]]-INVESTORS_LIST[[#This Row],[SIP_TOTAL UNITS SOLD]])</f>
        <v>0</v>
      </c>
      <c r="O477" s="49">
        <f>IF(INVESTORS_LIST[[#This Row],[SIP_TOTAL UNITS BUY]]=0,0,SUMIFS(SIP[Amount],SIP[Investor ID],INVESTORS_LIST[[#This Row],[INVESTOR CODE]],SIP[B/S],"B"))</f>
        <v>5000</v>
      </c>
      <c r="P477" s="49">
        <f>IF(INVESTORS_LIST[[#This Row],[SIP_TOTAL UNITS SOLD]]=0,0,SUMIFS(SIP[Cost of Units Sold],SIP[Investor ID],INVESTORS_LIST[[#This Row],[INVESTOR CODE]],SIP[B/S],"S"))</f>
        <v>5000</v>
      </c>
      <c r="Q477" s="48">
        <f>IF(INVESTORS_LIST[[#This Row],[SIP_TOTAL CURRENT UNITS]]=0,0,INVESTORS_LIST[[#This Row],[SIP_TOTAL CURRENT UNITS]]*INVESTORS_LIST[[#This Row],[SIP_AVERAGE COST]])</f>
        <v>0</v>
      </c>
      <c r="R477" s="48">
        <f>IF(INVESTORS_LIST[[#This Row],[SIP_TOTAL UNITS SOLD]]=0,0,SUMIFS(SIP[Realized Gain],SIP[Investor ID],INVESTORS_LIST[[#This Row],[INVESTOR CODE]],SIP[B/S],"S"))</f>
        <v>217.85999999999984</v>
      </c>
      <c r="S477" s="50">
        <f>INVESTORS_LIST[[#This Row],[LS_TOTAL UNITS BUY]]+INVESTORS_LIST[[#This Row],[SIP_TOTAL UNITS BUY]]</f>
        <v>491</v>
      </c>
      <c r="T477" s="50">
        <f>INVESTORS_LIST[[#This Row],[LS_TOTAL UNITS SOLD]]+INVESTORS_LIST[[#This Row],[SIP_TOTAL UNITS SOLD]]</f>
        <v>491</v>
      </c>
      <c r="U477" s="50"/>
      <c r="V477" s="50">
        <f>SUMIFS(LS[BO UNIT TRANSFER],LS[Investor ID],INVESTORS_LIST[[#This Row],[INVESTOR CODE]],LS[B/S],"B")</f>
        <v>0</v>
      </c>
      <c r="W477" s="50">
        <f>SUMIFS(SIP[BO UNIT TRANSFER],SIP[Investor ID],INVESTORS_LIST[[#This Row],[INVESTOR CODE]],SIP[B/S],"B")</f>
        <v>0</v>
      </c>
      <c r="X477" s="50">
        <f>SUMIFS(LS[BO UNIT TRANSFER],LS[Investor ID],INVESTORS_LIST[[#This Row],[INVESTOR CODE]],LS[B/S],"S")</f>
        <v>0</v>
      </c>
      <c r="Y477" s="50">
        <f>SUMIFS(SIP[BO UNIT TRANSFER],SIP[Investor ID],INVESTORS_LIST[[#This Row],[INVESTOR CODE]],SIP[B/S],"S")</f>
        <v>0</v>
      </c>
      <c r="Z477" s="106">
        <f>SUM(INVESTORS_LIST[[#This Row],[BO OPENING BALANCE]:[BO SIP UNITS REPURCHASE]])</f>
        <v>0</v>
      </c>
      <c r="AA477" s="107">
        <f>INVESTORS_LIST[[#This Row],[TOTAL UNITS BUY]]-INVESTORS_LIST[[#This Row],[TOTAL UNITS SOLD]]</f>
        <v>0</v>
      </c>
      <c r="AB477" s="107">
        <f>INVESTORS_LIST[[#This Row],[TOTAL CURRENT UNITS]]-INVESTORS_LIST[[#This Row],[BO UNITS HOLD]]</f>
        <v>0</v>
      </c>
      <c r="AC477" s="201" t="e">
        <f>INDEX([3]!Table_1[BO ID],MATCH(INVESTORS_LIST[[#This Row],[INVESTOR CODE]],[3]!Table_1[INVESTOR CODE],0))</f>
        <v>#REF!</v>
      </c>
      <c r="AD477" s="201" t="e">
        <f>INDEX([3]!Table_1[Brokerage Name2],MATCH(INVESTORS_LIST[[#This Row],[INVESTOR CODE]],[3]!Table_1[INVESTOR CODE],0))</f>
        <v>#REF!</v>
      </c>
      <c r="AE477" s="201" t="e">
        <f>MID(INVESTORS_LIST[[#This Row],[BO ID]],4,5)</f>
        <v>#REF!</v>
      </c>
      <c r="AF477" s="201" t="e">
        <f>MID(INVESTORS_LIST[[#This Row],[BO ID]],2,7)</f>
        <v>#REF!</v>
      </c>
      <c r="AG477" s="201" t="e">
        <f>MID(INVESTORS_LIST[[#This Row],[BO ID]],9,7)</f>
        <v>#REF!</v>
      </c>
      <c r="AH477" s="201" t="e">
        <f>RIGHT(INVESTORS_LIST[[#This Row],[BO ID]],1)</f>
        <v>#REF!</v>
      </c>
      <c r="AI477" s="50">
        <f>INVESTORS_LIST[[#This Row],[LS_TOTAL COST VALUE OF CURRENT UNITS]]+INVESTORS_LIST[[#This Row],[SIP_TOTAL COST VALUE OF CURRENT UNITS]]</f>
        <v>0</v>
      </c>
      <c r="AJ477" s="109">
        <f>IF(INVESTORS_LIST[[#This Row],[TOTAL CURRENT UNITS]]=0,0,INVESTORS_LIST[[#This Row],[LS_TOTAL CURRENT UNITS]]/INVESTORS_LIST[[#This Row],[TOTAL CURRENT UNITS]])</f>
        <v>0</v>
      </c>
      <c r="AK477" s="109">
        <f>IF(INVESTORS_LIST[[#This Row],[TOTAL CURRENT UNITS]]=0,0,INVESTORS_LIST[[#This Row],[SIP_TOTAL CURRENT UNITS]]/INVESTORS_LIST[[#This Row],[TOTAL CURRENT UNITS]])</f>
        <v>0</v>
      </c>
      <c r="AL477" s="49" cm="1">
        <f t="array" ref="AL4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7" s="49" cm="1">
        <f t="array" ref="AM4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7" s="105">
        <f t="shared" si="8"/>
        <v>14.224</v>
      </c>
      <c r="AP477" s="112">
        <f>IF(INVESTORS_LIST[[#This Row],[TOTAL CURRENT UNITS]]=0,0,INVESTORS_LIST[[#This Row],[TOTAL CURRENT UNITS]]*INVESTORS_LIST[[#This Row],[NAV]])</f>
        <v>0</v>
      </c>
      <c r="AQ477" s="49">
        <f>IF(INVESTORS_LIST[[#This Row],[LS_TOTAL CURRENT UNITS]]=0,0,INVESTORS_LIST[[#This Row],[LS_TOTAL CURRENT UNITS]]*INVESTORS_LIST[[#This Row],[NAV]])</f>
        <v>0</v>
      </c>
      <c r="AR477" s="48">
        <f>IF(INVESTORS_LIST[[#This Row],[SIP_TOTAL CURRENT UNITS]]=0,0,INVESTORS_LIST[[#This Row],[SIP_TOTAL CURRENT UNITS]]*INVESTORS_LIST[[#This Row],[NAV]])</f>
        <v>0</v>
      </c>
      <c r="AS477" s="50">
        <f>INVESTORS_LIST[[#This Row],[TOTAL CURRENT UNITS]]</f>
        <v>0</v>
      </c>
      <c r="AT477" s="48">
        <f>IF(INVESTORS_LIST[[#This Row],[TOTAL SELLABLE UNITS]]=0,0,INVESTORS_LIST[[#This Row],[TOTAL SELLABLE UNITS]]*INVESTORS_LIST[[#This Row],[NAV]])</f>
        <v>0</v>
      </c>
      <c r="AU477" s="48">
        <f>INVESTORS_LIST[[#This Row],[LS_TOTAL REALIZED GAIN]]+INVESTORS_LIST[[#This Row],[SIP_TOTAL REALIZED GAIN]]</f>
        <v>217.85999999999984</v>
      </c>
      <c r="AV477" s="48">
        <f>INVESTORS_LIST[[#This Row],[TOTAL MARKET VALUE]]-INVESTORS_LIST[[#This Row],[TOTAL COST VALUE OF CURRENT INVESTMENT]]</f>
        <v>0</v>
      </c>
      <c r="AW477" s="108">
        <f>IFERROR(INVESTORS_LIST[[#This Row],[TOTAL CURRENT UNITS]]/SUM(INVESTORS_LIST[TOTAL CURRENT UNITS]),0)</f>
        <v>0</v>
      </c>
    </row>
    <row r="478" spans="1:49" hidden="1">
      <c r="A478" s="262" t="s">
        <v>1001</v>
      </c>
      <c r="B478" s="97" t="s">
        <v>1002</v>
      </c>
      <c r="C478" t="s">
        <v>44</v>
      </c>
      <c r="D478" s="75" t="s">
        <v>45</v>
      </c>
      <c r="E478" s="47">
        <f>SUMIFS(LS[Unit],LS[Investor ID],INVESTORS_LIST[[#This Row],[INVESTOR CODE]],LS[B/S],"B")</f>
        <v>0</v>
      </c>
      <c r="F478" s="47">
        <f>-SUMIFS(LS[Unit],LS[Investor ID],INVESTORS_LIST[[#This Row],[INVESTOR CODE]],LS[B/S],"S")</f>
        <v>0</v>
      </c>
      <c r="G478" s="47">
        <f>IF(INVESTORS_LIST[[#This Row],[LS_TOTAL UNITS BUY]]=0,0,INVESTORS_LIST[[#This Row],[LS_TOTAL UNITS BUY]]-INVESTORS_LIST[[#This Row],[LS_TOTAL UNITS SOLD]])</f>
        <v>0</v>
      </c>
      <c r="H478" s="49">
        <f>IF(INVESTORS_LIST[[#This Row],[LS_TOTAL UNITS BUY]]=0,0,SUMIFS(LS[Amount],LS[Investor ID],INVESTORS_LIST[[#This Row],[INVESTOR CODE]],LS[B/S],"B"))</f>
        <v>0</v>
      </c>
      <c r="I478" s="48">
        <f>IF(INVESTORS_LIST[[#This Row],[LS_TOTAL UNITS SOLD]]=0,0,SUMIFS(LS[Cost of Units Sold],LS[Investor ID],INVESTORS_LIST[[#This Row],[INVESTOR CODE]],LS[B/S],"S"))</f>
        <v>0</v>
      </c>
      <c r="J478" s="48">
        <f>IF(INVESTORS_LIST[[#This Row],[LS_TOTAL CURRENT UNITS]]=0,0,INVESTORS_LIST[[#This Row],[LS_TOTAL CURRENT UNITS]]*INVESTORS_LIST[[#This Row],[LS_AVERAGE COST]])</f>
        <v>0</v>
      </c>
      <c r="K478" s="49">
        <f>IF(INVESTORS_LIST[[#This Row],[LS_TOTAL UNITS SOLD]]=0,0,SUMIFS(LS[Realized Gain],LS[Investor ID],INVESTORS_LIST[[#This Row],[INVESTOR CODE]],LS[B/S],"S"))</f>
        <v>0</v>
      </c>
      <c r="L478" s="47">
        <f>SUMIFS(SIP[Unit],SIP[Investor ID],INVESTORS_LIST[[#This Row],[INVESTOR CODE]],SIP[B/S],"B")</f>
        <v>22407</v>
      </c>
      <c r="M478" s="47">
        <f>-SUMIFS(SIP[Unit],SIP[Investor ID],INVESTORS_LIST[[#This Row],[INVESTOR CODE]],SIP[B/S],"S")</f>
        <v>22407</v>
      </c>
      <c r="N478" s="50">
        <f>IF(INVESTORS_LIST[[#This Row],[SIP_TOTAL UNITS BUY]]=0,0,INVESTORS_LIST[[#This Row],[SIP_TOTAL UNITS BUY]]-INVESTORS_LIST[[#This Row],[SIP_TOTAL UNITS SOLD]])</f>
        <v>0</v>
      </c>
      <c r="O478" s="49">
        <f>IF(INVESTORS_LIST[[#This Row],[SIP_TOTAL UNITS BUY]]=0,0,SUMIFS(SIP[Amount],SIP[Investor ID],INVESTORS_LIST[[#This Row],[INVESTOR CODE]],SIP[B/S],"B"))</f>
        <v>250000</v>
      </c>
      <c r="P478" s="49">
        <f>IF(INVESTORS_LIST[[#This Row],[SIP_TOTAL UNITS SOLD]]=0,0,SUMIFS(SIP[Cost of Units Sold],SIP[Investor ID],INVESTORS_LIST[[#This Row],[INVESTOR CODE]],SIP[B/S],"S"))</f>
        <v>250000.00000000003</v>
      </c>
      <c r="Q478" s="48">
        <f>IF(INVESTORS_LIST[[#This Row],[SIP_TOTAL CURRENT UNITS]]=0,0,INVESTORS_LIST[[#This Row],[SIP_TOTAL CURRENT UNITS]]*INVESTORS_LIST[[#This Row],[SIP_AVERAGE COST]])</f>
        <v>0</v>
      </c>
      <c r="R478" s="48">
        <f>IF(INVESTORS_LIST[[#This Row],[SIP_TOTAL UNITS SOLD]]=0,0,SUMIFS(SIP[Realized Gain],SIP[Investor ID],INVESTORS_LIST[[#This Row],[INVESTOR CODE]],SIP[B/S],"S"))</f>
        <v>33936.639999999999</v>
      </c>
      <c r="S478" s="50">
        <f>INVESTORS_LIST[[#This Row],[LS_TOTAL UNITS BUY]]+INVESTORS_LIST[[#This Row],[SIP_TOTAL UNITS BUY]]</f>
        <v>22407</v>
      </c>
      <c r="T478" s="50">
        <f>INVESTORS_LIST[[#This Row],[LS_TOTAL UNITS SOLD]]+INVESTORS_LIST[[#This Row],[SIP_TOTAL UNITS SOLD]]</f>
        <v>22407</v>
      </c>
      <c r="U478" s="50"/>
      <c r="V478" s="50">
        <f>SUMIFS(LS[BO UNIT TRANSFER],LS[Investor ID],INVESTORS_LIST[[#This Row],[INVESTOR CODE]],LS[B/S],"B")</f>
        <v>0</v>
      </c>
      <c r="W478" s="50">
        <f>SUMIFS(SIP[BO UNIT TRANSFER],SIP[Investor ID],INVESTORS_LIST[[#This Row],[INVESTOR CODE]],SIP[B/S],"B")</f>
        <v>0</v>
      </c>
      <c r="X478" s="50">
        <f>SUMIFS(LS[BO UNIT TRANSFER],LS[Investor ID],INVESTORS_LIST[[#This Row],[INVESTOR CODE]],LS[B/S],"S")</f>
        <v>0</v>
      </c>
      <c r="Y478" s="50">
        <f>SUMIFS(SIP[BO UNIT TRANSFER],SIP[Investor ID],INVESTORS_LIST[[#This Row],[INVESTOR CODE]],SIP[B/S],"S")</f>
        <v>0</v>
      </c>
      <c r="Z478" s="106">
        <f>SUM(INVESTORS_LIST[[#This Row],[BO OPENING BALANCE]:[BO SIP UNITS REPURCHASE]])</f>
        <v>0</v>
      </c>
      <c r="AA478" s="107">
        <f>INVESTORS_LIST[[#This Row],[TOTAL UNITS BUY]]-INVESTORS_LIST[[#This Row],[TOTAL UNITS SOLD]]</f>
        <v>0</v>
      </c>
      <c r="AB478" s="107">
        <f>INVESTORS_LIST[[#This Row],[TOTAL CURRENT UNITS]]-INVESTORS_LIST[[#This Row],[BO UNITS HOLD]]</f>
        <v>0</v>
      </c>
      <c r="AC478" s="201" t="e">
        <f>INDEX([3]!Table_1[BO ID],MATCH(INVESTORS_LIST[[#This Row],[INVESTOR CODE]],[3]!Table_1[INVESTOR CODE],0))</f>
        <v>#REF!</v>
      </c>
      <c r="AD478" s="201" t="e">
        <f>INDEX([3]!Table_1[Brokerage Name2],MATCH(INVESTORS_LIST[[#This Row],[INVESTOR CODE]],[3]!Table_1[INVESTOR CODE],0))</f>
        <v>#REF!</v>
      </c>
      <c r="AE478" s="201" t="e">
        <f>MID(INVESTORS_LIST[[#This Row],[BO ID]],4,5)</f>
        <v>#REF!</v>
      </c>
      <c r="AF478" s="201" t="e">
        <f>MID(INVESTORS_LIST[[#This Row],[BO ID]],2,7)</f>
        <v>#REF!</v>
      </c>
      <c r="AG478" s="201" t="e">
        <f>MID(INVESTORS_LIST[[#This Row],[BO ID]],9,7)</f>
        <v>#REF!</v>
      </c>
      <c r="AH478" s="201" t="e">
        <f>RIGHT(INVESTORS_LIST[[#This Row],[BO ID]],1)</f>
        <v>#REF!</v>
      </c>
      <c r="AI478" s="50">
        <f>INVESTORS_LIST[[#This Row],[LS_TOTAL COST VALUE OF CURRENT UNITS]]+INVESTORS_LIST[[#This Row],[SIP_TOTAL COST VALUE OF CURRENT UNITS]]</f>
        <v>0</v>
      </c>
      <c r="AJ478" s="109">
        <f>IF(INVESTORS_LIST[[#This Row],[TOTAL CURRENT UNITS]]=0,0,INVESTORS_LIST[[#This Row],[LS_TOTAL CURRENT UNITS]]/INVESTORS_LIST[[#This Row],[TOTAL CURRENT UNITS]])</f>
        <v>0</v>
      </c>
      <c r="AK478" s="109">
        <f>IF(INVESTORS_LIST[[#This Row],[TOTAL CURRENT UNITS]]=0,0,INVESTORS_LIST[[#This Row],[SIP_TOTAL CURRENT UNITS]]/INVESTORS_LIST[[#This Row],[TOTAL CURRENT UNITS]])</f>
        <v>0</v>
      </c>
      <c r="AL478" s="49" cm="1">
        <f t="array" ref="AL4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8" s="49" cm="1">
        <f t="array" ref="AM4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8" s="105">
        <f t="shared" si="8"/>
        <v>14.224</v>
      </c>
      <c r="AP478" s="112">
        <f>IF(INVESTORS_LIST[[#This Row],[TOTAL CURRENT UNITS]]=0,0,INVESTORS_LIST[[#This Row],[TOTAL CURRENT UNITS]]*INVESTORS_LIST[[#This Row],[NAV]])</f>
        <v>0</v>
      </c>
      <c r="AQ478" s="49">
        <f>IF(INVESTORS_LIST[[#This Row],[LS_TOTAL CURRENT UNITS]]=0,0,INVESTORS_LIST[[#This Row],[LS_TOTAL CURRENT UNITS]]*INVESTORS_LIST[[#This Row],[NAV]])</f>
        <v>0</v>
      </c>
      <c r="AR478" s="48">
        <f>IF(INVESTORS_LIST[[#This Row],[SIP_TOTAL CURRENT UNITS]]=0,0,INVESTORS_LIST[[#This Row],[SIP_TOTAL CURRENT UNITS]]*INVESTORS_LIST[[#This Row],[NAV]])</f>
        <v>0</v>
      </c>
      <c r="AS478" s="50">
        <f>INVESTORS_LIST[[#This Row],[TOTAL CURRENT UNITS]]</f>
        <v>0</v>
      </c>
      <c r="AT478" s="48">
        <f>IF(INVESTORS_LIST[[#This Row],[TOTAL SELLABLE UNITS]]=0,0,INVESTORS_LIST[[#This Row],[TOTAL SELLABLE UNITS]]*INVESTORS_LIST[[#This Row],[NAV]])</f>
        <v>0</v>
      </c>
      <c r="AU478" s="48">
        <f>INVESTORS_LIST[[#This Row],[LS_TOTAL REALIZED GAIN]]+INVESTORS_LIST[[#This Row],[SIP_TOTAL REALIZED GAIN]]</f>
        <v>33936.639999999999</v>
      </c>
      <c r="AV478" s="48">
        <f>INVESTORS_LIST[[#This Row],[TOTAL MARKET VALUE]]-INVESTORS_LIST[[#This Row],[TOTAL COST VALUE OF CURRENT INVESTMENT]]</f>
        <v>0</v>
      </c>
      <c r="AW478" s="108">
        <f>IFERROR(INVESTORS_LIST[[#This Row],[TOTAL CURRENT UNITS]]/SUM(INVESTORS_LIST[TOTAL CURRENT UNITS]),0)</f>
        <v>0</v>
      </c>
    </row>
    <row r="479" spans="1:49" hidden="1">
      <c r="A479" s="262" t="s">
        <v>1003</v>
      </c>
      <c r="B479" s="97" t="s">
        <v>1004</v>
      </c>
      <c r="C479" t="s">
        <v>44</v>
      </c>
      <c r="D479" s="75" t="s">
        <v>45</v>
      </c>
      <c r="E479" s="47">
        <f>SUMIFS(LS[Unit],LS[Investor ID],INVESTORS_LIST[[#This Row],[INVESTOR CODE]],LS[B/S],"B")</f>
        <v>49242</v>
      </c>
      <c r="F479" s="47">
        <f>-SUMIFS(LS[Unit],LS[Investor ID],INVESTORS_LIST[[#This Row],[INVESTOR CODE]],LS[B/S],"S")</f>
        <v>49242</v>
      </c>
      <c r="G479" s="47">
        <f>IF(INVESTORS_LIST[[#This Row],[LS_TOTAL UNITS BUY]]=0,0,INVESTORS_LIST[[#This Row],[LS_TOTAL UNITS BUY]]-INVESTORS_LIST[[#This Row],[LS_TOTAL UNITS SOLD]])</f>
        <v>0</v>
      </c>
      <c r="H479" s="49">
        <f>IF(INVESTORS_LIST[[#This Row],[LS_TOTAL UNITS BUY]]=0,0,SUMIFS(LS[Amount],LS[Investor ID],INVESTORS_LIST[[#This Row],[INVESTOR CODE]],LS[B/S],"B"))</f>
        <v>500000</v>
      </c>
      <c r="I479" s="48">
        <f>IF(INVESTORS_LIST[[#This Row],[LS_TOTAL UNITS SOLD]]=0,0,SUMIFS(LS[Cost of Units Sold],LS[Investor ID],INVESTORS_LIST[[#This Row],[INVESTOR CODE]],LS[B/S],"S"))</f>
        <v>500000</v>
      </c>
      <c r="J479" s="48">
        <f>IF(INVESTORS_LIST[[#This Row],[LS_TOTAL CURRENT UNITS]]=0,0,INVESTORS_LIST[[#This Row],[LS_TOTAL CURRENT UNITS]]*INVESTORS_LIST[[#This Row],[LS_AVERAGE COST]])</f>
        <v>0</v>
      </c>
      <c r="K479" s="49">
        <f>IF(INVESTORS_LIST[[#This Row],[LS_TOTAL UNITS SOLD]]=0,0,SUMIFS(LS[Realized Gain],LS[Investor ID],INVESTORS_LIST[[#This Row],[INVESTOR CODE]],LS[B/S],"S"))</f>
        <v>27677.769999999993</v>
      </c>
      <c r="L479" s="47">
        <f>SUMIFS(SIP[Unit],SIP[Investor ID],INVESTORS_LIST[[#This Row],[INVESTOR CODE]],SIP[B/S],"B")</f>
        <v>0</v>
      </c>
      <c r="M479" s="47">
        <f>-SUMIFS(SIP[Unit],SIP[Investor ID],INVESTORS_LIST[[#This Row],[INVESTOR CODE]],SIP[B/S],"S")</f>
        <v>0</v>
      </c>
      <c r="N479" s="50">
        <f>IF(INVESTORS_LIST[[#This Row],[SIP_TOTAL UNITS BUY]]=0,0,INVESTORS_LIST[[#This Row],[SIP_TOTAL UNITS BUY]]-INVESTORS_LIST[[#This Row],[SIP_TOTAL UNITS SOLD]])</f>
        <v>0</v>
      </c>
      <c r="O479" s="49">
        <f>IF(INVESTORS_LIST[[#This Row],[SIP_TOTAL UNITS BUY]]=0,0,SUMIFS(SIP[Amount],SIP[Investor ID],INVESTORS_LIST[[#This Row],[INVESTOR CODE]],SIP[B/S],"B"))</f>
        <v>0</v>
      </c>
      <c r="P479" s="49">
        <f>IF(INVESTORS_LIST[[#This Row],[SIP_TOTAL UNITS SOLD]]=0,0,SUMIFS(SIP[Cost of Units Sold],SIP[Investor ID],INVESTORS_LIST[[#This Row],[INVESTOR CODE]],SIP[B/S],"S"))</f>
        <v>0</v>
      </c>
      <c r="Q479" s="48">
        <f>IF(INVESTORS_LIST[[#This Row],[SIP_TOTAL CURRENT UNITS]]=0,0,INVESTORS_LIST[[#This Row],[SIP_TOTAL CURRENT UNITS]]*INVESTORS_LIST[[#This Row],[SIP_AVERAGE COST]])</f>
        <v>0</v>
      </c>
      <c r="R479" s="48">
        <f>IF(INVESTORS_LIST[[#This Row],[SIP_TOTAL UNITS SOLD]]=0,0,SUMIFS(SIP[Realized Gain],SIP[Investor ID],INVESTORS_LIST[[#This Row],[INVESTOR CODE]],SIP[B/S],"S"))</f>
        <v>0</v>
      </c>
      <c r="S479" s="50">
        <f>INVESTORS_LIST[[#This Row],[LS_TOTAL UNITS BUY]]+INVESTORS_LIST[[#This Row],[SIP_TOTAL UNITS BUY]]</f>
        <v>49242</v>
      </c>
      <c r="T479" s="50">
        <f>INVESTORS_LIST[[#This Row],[LS_TOTAL UNITS SOLD]]+INVESTORS_LIST[[#This Row],[SIP_TOTAL UNITS SOLD]]</f>
        <v>49242</v>
      </c>
      <c r="U479" s="50"/>
      <c r="V479" s="50">
        <f>SUMIFS(LS[BO UNIT TRANSFER],LS[Investor ID],INVESTORS_LIST[[#This Row],[INVESTOR CODE]],LS[B/S],"B")</f>
        <v>0</v>
      </c>
      <c r="W479" s="50">
        <f>SUMIFS(SIP[BO UNIT TRANSFER],SIP[Investor ID],INVESTORS_LIST[[#This Row],[INVESTOR CODE]],SIP[B/S],"B")</f>
        <v>0</v>
      </c>
      <c r="X479" s="50">
        <f>SUMIFS(LS[BO UNIT TRANSFER],LS[Investor ID],INVESTORS_LIST[[#This Row],[INVESTOR CODE]],LS[B/S],"S")</f>
        <v>0</v>
      </c>
      <c r="Y479" s="50">
        <f>SUMIFS(SIP[BO UNIT TRANSFER],SIP[Investor ID],INVESTORS_LIST[[#This Row],[INVESTOR CODE]],SIP[B/S],"S")</f>
        <v>0</v>
      </c>
      <c r="Z479" s="106">
        <f>SUM(INVESTORS_LIST[[#This Row],[BO OPENING BALANCE]:[BO SIP UNITS REPURCHASE]])</f>
        <v>0</v>
      </c>
      <c r="AA479" s="107">
        <f>INVESTORS_LIST[[#This Row],[TOTAL UNITS BUY]]-INVESTORS_LIST[[#This Row],[TOTAL UNITS SOLD]]</f>
        <v>0</v>
      </c>
      <c r="AB479" s="107">
        <f>INVESTORS_LIST[[#This Row],[TOTAL CURRENT UNITS]]-INVESTORS_LIST[[#This Row],[BO UNITS HOLD]]</f>
        <v>0</v>
      </c>
      <c r="AC479" s="201" t="e">
        <f>INDEX([3]!Table_1[BO ID],MATCH(INVESTORS_LIST[[#This Row],[INVESTOR CODE]],[3]!Table_1[INVESTOR CODE],0))</f>
        <v>#REF!</v>
      </c>
      <c r="AD479" s="201" t="e">
        <f>INDEX([3]!Table_1[Brokerage Name2],MATCH(INVESTORS_LIST[[#This Row],[INVESTOR CODE]],[3]!Table_1[INVESTOR CODE],0))</f>
        <v>#REF!</v>
      </c>
      <c r="AE479" s="201" t="e">
        <f>MID(INVESTORS_LIST[[#This Row],[BO ID]],4,5)</f>
        <v>#REF!</v>
      </c>
      <c r="AF479" s="201" t="e">
        <f>MID(INVESTORS_LIST[[#This Row],[BO ID]],2,7)</f>
        <v>#REF!</v>
      </c>
      <c r="AG479" s="201" t="e">
        <f>MID(INVESTORS_LIST[[#This Row],[BO ID]],9,7)</f>
        <v>#REF!</v>
      </c>
      <c r="AH479" s="201" t="e">
        <f>RIGHT(INVESTORS_LIST[[#This Row],[BO ID]],1)</f>
        <v>#REF!</v>
      </c>
      <c r="AI479" s="50">
        <f>INVESTORS_LIST[[#This Row],[LS_TOTAL COST VALUE OF CURRENT UNITS]]+INVESTORS_LIST[[#This Row],[SIP_TOTAL COST VALUE OF CURRENT UNITS]]</f>
        <v>0</v>
      </c>
      <c r="AJ479" s="109">
        <f>IF(INVESTORS_LIST[[#This Row],[TOTAL CURRENT UNITS]]=0,0,INVESTORS_LIST[[#This Row],[LS_TOTAL CURRENT UNITS]]/INVESTORS_LIST[[#This Row],[TOTAL CURRENT UNITS]])</f>
        <v>0</v>
      </c>
      <c r="AK479" s="109">
        <f>IF(INVESTORS_LIST[[#This Row],[TOTAL CURRENT UNITS]]=0,0,INVESTORS_LIST[[#This Row],[SIP_TOTAL CURRENT UNITS]]/INVESTORS_LIST[[#This Row],[TOTAL CURRENT UNITS]])</f>
        <v>0</v>
      </c>
      <c r="AL479" s="49" cm="1">
        <f t="array" ref="AL4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79" s="49" cm="1">
        <f t="array" ref="AM4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79" s="105">
        <f t="shared" si="8"/>
        <v>14.224</v>
      </c>
      <c r="AP479" s="112">
        <f>IF(INVESTORS_LIST[[#This Row],[TOTAL CURRENT UNITS]]=0,0,INVESTORS_LIST[[#This Row],[TOTAL CURRENT UNITS]]*INVESTORS_LIST[[#This Row],[NAV]])</f>
        <v>0</v>
      </c>
      <c r="AQ479" s="49">
        <f>IF(INVESTORS_LIST[[#This Row],[LS_TOTAL CURRENT UNITS]]=0,0,INVESTORS_LIST[[#This Row],[LS_TOTAL CURRENT UNITS]]*INVESTORS_LIST[[#This Row],[NAV]])</f>
        <v>0</v>
      </c>
      <c r="AR479" s="48">
        <f>IF(INVESTORS_LIST[[#This Row],[SIP_TOTAL CURRENT UNITS]]=0,0,INVESTORS_LIST[[#This Row],[SIP_TOTAL CURRENT UNITS]]*INVESTORS_LIST[[#This Row],[NAV]])</f>
        <v>0</v>
      </c>
      <c r="AS479" s="50">
        <f>INVESTORS_LIST[[#This Row],[TOTAL CURRENT UNITS]]</f>
        <v>0</v>
      </c>
      <c r="AT479" s="48">
        <f>IF(INVESTORS_LIST[[#This Row],[TOTAL SELLABLE UNITS]]=0,0,INVESTORS_LIST[[#This Row],[TOTAL SELLABLE UNITS]]*INVESTORS_LIST[[#This Row],[NAV]])</f>
        <v>0</v>
      </c>
      <c r="AU479" s="48">
        <f>INVESTORS_LIST[[#This Row],[LS_TOTAL REALIZED GAIN]]+INVESTORS_LIST[[#This Row],[SIP_TOTAL REALIZED GAIN]]</f>
        <v>27677.769999999993</v>
      </c>
      <c r="AV479" s="48">
        <f>INVESTORS_LIST[[#This Row],[TOTAL MARKET VALUE]]-INVESTORS_LIST[[#This Row],[TOTAL COST VALUE OF CURRENT INVESTMENT]]</f>
        <v>0</v>
      </c>
      <c r="AW479" s="108">
        <f>IFERROR(INVESTORS_LIST[[#This Row],[TOTAL CURRENT UNITS]]/SUM(INVESTORS_LIST[TOTAL CURRENT UNITS]),0)</f>
        <v>0</v>
      </c>
    </row>
    <row r="480" spans="1:49" hidden="1">
      <c r="A480" s="262" t="s">
        <v>1005</v>
      </c>
      <c r="B480" s="97" t="s">
        <v>1006</v>
      </c>
      <c r="C480" t="s">
        <v>44</v>
      </c>
      <c r="D480" s="75" t="s">
        <v>45</v>
      </c>
      <c r="E480" s="47">
        <f>SUMIFS(LS[Unit],LS[Investor ID],INVESTORS_LIST[[#This Row],[INVESTOR CODE]],LS[B/S],"B")</f>
        <v>0</v>
      </c>
      <c r="F480" s="47">
        <f>-SUMIFS(LS[Unit],LS[Investor ID],INVESTORS_LIST[[#This Row],[INVESTOR CODE]],LS[B/S],"S")</f>
        <v>0</v>
      </c>
      <c r="G480" s="47">
        <f>IF(INVESTORS_LIST[[#This Row],[LS_TOTAL UNITS BUY]]=0,0,INVESTORS_LIST[[#This Row],[LS_TOTAL UNITS BUY]]-INVESTORS_LIST[[#This Row],[LS_TOTAL UNITS SOLD]])</f>
        <v>0</v>
      </c>
      <c r="H480" s="49">
        <f>IF(INVESTORS_LIST[[#This Row],[LS_TOTAL UNITS BUY]]=0,0,SUMIFS(LS[Amount],LS[Investor ID],INVESTORS_LIST[[#This Row],[INVESTOR CODE]],LS[B/S],"B"))</f>
        <v>0</v>
      </c>
      <c r="I480" s="48">
        <f>IF(INVESTORS_LIST[[#This Row],[LS_TOTAL UNITS SOLD]]=0,0,SUMIFS(LS[Cost of Units Sold],LS[Investor ID],INVESTORS_LIST[[#This Row],[INVESTOR CODE]],LS[B/S],"S"))</f>
        <v>0</v>
      </c>
      <c r="J480" s="48">
        <f>IF(INVESTORS_LIST[[#This Row],[LS_TOTAL CURRENT UNITS]]=0,0,INVESTORS_LIST[[#This Row],[LS_TOTAL CURRENT UNITS]]*INVESTORS_LIST[[#This Row],[LS_AVERAGE COST]])</f>
        <v>0</v>
      </c>
      <c r="K480" s="49">
        <f>IF(INVESTORS_LIST[[#This Row],[LS_TOTAL UNITS SOLD]]=0,0,SUMIFS(LS[Realized Gain],LS[Investor ID],INVESTORS_LIST[[#This Row],[INVESTOR CODE]],LS[B/S],"S"))</f>
        <v>0</v>
      </c>
      <c r="L480" s="47">
        <f>SUMIFS(SIP[Unit],SIP[Investor ID],INVESTORS_LIST[[#This Row],[INVESTOR CODE]],SIP[B/S],"B")</f>
        <v>3882</v>
      </c>
      <c r="M480" s="47">
        <f>-SUMIFS(SIP[Unit],SIP[Investor ID],INVESTORS_LIST[[#This Row],[INVESTOR CODE]],SIP[B/S],"S")</f>
        <v>3882</v>
      </c>
      <c r="N480" s="50">
        <f>IF(INVESTORS_LIST[[#This Row],[SIP_TOTAL UNITS BUY]]=0,0,INVESTORS_LIST[[#This Row],[SIP_TOTAL UNITS BUY]]-INVESTORS_LIST[[#This Row],[SIP_TOTAL UNITS SOLD]])</f>
        <v>0</v>
      </c>
      <c r="O480" s="49">
        <f>IF(INVESTORS_LIST[[#This Row],[SIP_TOTAL UNITS BUY]]=0,0,SUMIFS(SIP[Amount],SIP[Investor ID],INVESTORS_LIST[[#This Row],[INVESTOR CODE]],SIP[B/S],"B"))</f>
        <v>40000</v>
      </c>
      <c r="P480" s="49">
        <f>IF(INVESTORS_LIST[[#This Row],[SIP_TOTAL UNITS SOLD]]=0,0,SUMIFS(SIP[Cost of Units Sold],SIP[Investor ID],INVESTORS_LIST[[#This Row],[INVESTOR CODE]],SIP[B/S],"S"))</f>
        <v>40000</v>
      </c>
      <c r="Q480" s="48">
        <f>IF(INVESTORS_LIST[[#This Row],[SIP_TOTAL CURRENT UNITS]]=0,0,INVESTORS_LIST[[#This Row],[SIP_TOTAL CURRENT UNITS]]*INVESTORS_LIST[[#This Row],[SIP_AVERAGE COST]])</f>
        <v>0</v>
      </c>
      <c r="R480" s="48">
        <f>IF(INVESTORS_LIST[[#This Row],[SIP_TOTAL UNITS SOLD]]=0,0,SUMIFS(SIP[Realized Gain],SIP[Investor ID],INVESTORS_LIST[[#This Row],[INVESTOR CODE]],SIP[B/S],"S"))</f>
        <v>1312.2399999999966</v>
      </c>
      <c r="S480" s="50">
        <f>INVESTORS_LIST[[#This Row],[LS_TOTAL UNITS BUY]]+INVESTORS_LIST[[#This Row],[SIP_TOTAL UNITS BUY]]</f>
        <v>3882</v>
      </c>
      <c r="T480" s="50">
        <f>INVESTORS_LIST[[#This Row],[LS_TOTAL UNITS SOLD]]+INVESTORS_LIST[[#This Row],[SIP_TOTAL UNITS SOLD]]</f>
        <v>3882</v>
      </c>
      <c r="U480" s="50"/>
      <c r="V480" s="50">
        <f>SUMIFS(LS[BO UNIT TRANSFER],LS[Investor ID],INVESTORS_LIST[[#This Row],[INVESTOR CODE]],LS[B/S],"B")</f>
        <v>0</v>
      </c>
      <c r="W480" s="50">
        <f>SUMIFS(SIP[BO UNIT TRANSFER],SIP[Investor ID],INVESTORS_LIST[[#This Row],[INVESTOR CODE]],SIP[B/S],"B")</f>
        <v>0</v>
      </c>
      <c r="X480" s="50">
        <f>SUMIFS(LS[BO UNIT TRANSFER],LS[Investor ID],INVESTORS_LIST[[#This Row],[INVESTOR CODE]],LS[B/S],"S")</f>
        <v>0</v>
      </c>
      <c r="Y480" s="50">
        <f>SUMIFS(SIP[BO UNIT TRANSFER],SIP[Investor ID],INVESTORS_LIST[[#This Row],[INVESTOR CODE]],SIP[B/S],"S")</f>
        <v>0</v>
      </c>
      <c r="Z480" s="106">
        <f>SUM(INVESTORS_LIST[[#This Row],[BO OPENING BALANCE]:[BO SIP UNITS REPURCHASE]])</f>
        <v>0</v>
      </c>
      <c r="AA480" s="107">
        <f>INVESTORS_LIST[[#This Row],[TOTAL UNITS BUY]]-INVESTORS_LIST[[#This Row],[TOTAL UNITS SOLD]]</f>
        <v>0</v>
      </c>
      <c r="AB480" s="107">
        <f>INVESTORS_LIST[[#This Row],[TOTAL CURRENT UNITS]]-INVESTORS_LIST[[#This Row],[BO UNITS HOLD]]</f>
        <v>0</v>
      </c>
      <c r="AC480" s="201" t="e">
        <f>INDEX([3]!Table_1[BO ID],MATCH(INVESTORS_LIST[[#This Row],[INVESTOR CODE]],[3]!Table_1[INVESTOR CODE],0))</f>
        <v>#REF!</v>
      </c>
      <c r="AD480" s="201" t="e">
        <f>INDEX([3]!Table_1[Brokerage Name2],MATCH(INVESTORS_LIST[[#This Row],[INVESTOR CODE]],[3]!Table_1[INVESTOR CODE],0))</f>
        <v>#REF!</v>
      </c>
      <c r="AE480" s="201" t="e">
        <f>MID(INVESTORS_LIST[[#This Row],[BO ID]],4,5)</f>
        <v>#REF!</v>
      </c>
      <c r="AF480" s="201" t="e">
        <f>MID(INVESTORS_LIST[[#This Row],[BO ID]],2,7)</f>
        <v>#REF!</v>
      </c>
      <c r="AG480" s="201" t="e">
        <f>MID(INVESTORS_LIST[[#This Row],[BO ID]],9,7)</f>
        <v>#REF!</v>
      </c>
      <c r="AH480" s="201" t="e">
        <f>RIGHT(INVESTORS_LIST[[#This Row],[BO ID]],1)</f>
        <v>#REF!</v>
      </c>
      <c r="AI480" s="50">
        <f>INVESTORS_LIST[[#This Row],[LS_TOTAL COST VALUE OF CURRENT UNITS]]+INVESTORS_LIST[[#This Row],[SIP_TOTAL COST VALUE OF CURRENT UNITS]]</f>
        <v>0</v>
      </c>
      <c r="AJ480" s="109">
        <f>IF(INVESTORS_LIST[[#This Row],[TOTAL CURRENT UNITS]]=0,0,INVESTORS_LIST[[#This Row],[LS_TOTAL CURRENT UNITS]]/INVESTORS_LIST[[#This Row],[TOTAL CURRENT UNITS]])</f>
        <v>0</v>
      </c>
      <c r="AK480" s="109">
        <f>IF(INVESTORS_LIST[[#This Row],[TOTAL CURRENT UNITS]]=0,0,INVESTORS_LIST[[#This Row],[SIP_TOTAL CURRENT UNITS]]/INVESTORS_LIST[[#This Row],[TOTAL CURRENT UNITS]])</f>
        <v>0</v>
      </c>
      <c r="AL480" s="49" cm="1">
        <f t="array" ref="AL4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0" s="49" cm="1">
        <f t="array" ref="AM4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80" s="105">
        <f t="shared" si="8"/>
        <v>14.224</v>
      </c>
      <c r="AP480" s="112">
        <f>IF(INVESTORS_LIST[[#This Row],[TOTAL CURRENT UNITS]]=0,0,INVESTORS_LIST[[#This Row],[TOTAL CURRENT UNITS]]*INVESTORS_LIST[[#This Row],[NAV]])</f>
        <v>0</v>
      </c>
      <c r="AQ480" s="49">
        <f>IF(INVESTORS_LIST[[#This Row],[LS_TOTAL CURRENT UNITS]]=0,0,INVESTORS_LIST[[#This Row],[LS_TOTAL CURRENT UNITS]]*INVESTORS_LIST[[#This Row],[NAV]])</f>
        <v>0</v>
      </c>
      <c r="AR480" s="48">
        <f>IF(INVESTORS_LIST[[#This Row],[SIP_TOTAL CURRENT UNITS]]=0,0,INVESTORS_LIST[[#This Row],[SIP_TOTAL CURRENT UNITS]]*INVESTORS_LIST[[#This Row],[NAV]])</f>
        <v>0</v>
      </c>
      <c r="AS480" s="50">
        <f>INVESTORS_LIST[[#This Row],[TOTAL CURRENT UNITS]]</f>
        <v>0</v>
      </c>
      <c r="AT480" s="48">
        <f>IF(INVESTORS_LIST[[#This Row],[TOTAL SELLABLE UNITS]]=0,0,INVESTORS_LIST[[#This Row],[TOTAL SELLABLE UNITS]]*INVESTORS_LIST[[#This Row],[NAV]])</f>
        <v>0</v>
      </c>
      <c r="AU480" s="48">
        <f>INVESTORS_LIST[[#This Row],[LS_TOTAL REALIZED GAIN]]+INVESTORS_LIST[[#This Row],[SIP_TOTAL REALIZED GAIN]]</f>
        <v>1312.2399999999966</v>
      </c>
      <c r="AV480" s="48">
        <f>INVESTORS_LIST[[#This Row],[TOTAL MARKET VALUE]]-INVESTORS_LIST[[#This Row],[TOTAL COST VALUE OF CURRENT INVESTMENT]]</f>
        <v>0</v>
      </c>
      <c r="AW480" s="108">
        <f>IFERROR(INVESTORS_LIST[[#This Row],[TOTAL CURRENT UNITS]]/SUM(INVESTORS_LIST[TOTAL CURRENT UNITS]),0)</f>
        <v>0</v>
      </c>
    </row>
    <row r="481" spans="1:49">
      <c r="A481" s="262" t="s">
        <v>1007</v>
      </c>
      <c r="B481" s="97" t="s">
        <v>1008</v>
      </c>
      <c r="C481" t="s">
        <v>67</v>
      </c>
      <c r="D481" s="75" t="s">
        <v>45</v>
      </c>
      <c r="E481" s="47">
        <f>SUMIFS(LS[Unit],LS[Investor ID],INVESTORS_LIST[[#This Row],[INVESTOR CODE]],LS[B/S],"B")</f>
        <v>147478</v>
      </c>
      <c r="F481" s="47">
        <f>-SUMIFS(LS[Unit],LS[Investor ID],INVESTORS_LIST[[#This Row],[INVESTOR CODE]],LS[B/S],"S")</f>
        <v>0</v>
      </c>
      <c r="G481" s="47">
        <f>IF(INVESTORS_LIST[[#This Row],[LS_TOTAL UNITS BUY]]=0,0,INVESTORS_LIST[[#This Row],[LS_TOTAL UNITS BUY]]-INVESTORS_LIST[[#This Row],[LS_TOTAL UNITS SOLD]])</f>
        <v>147478</v>
      </c>
      <c r="H481" s="49">
        <f>IF(INVESTORS_LIST[[#This Row],[LS_TOTAL UNITS BUY]]=0,0,SUMIFS(LS[Amount],LS[Investor ID],INVESTORS_LIST[[#This Row],[INVESTOR CODE]],LS[B/S],"B"))</f>
        <v>1500000</v>
      </c>
      <c r="I481" s="48">
        <f>IF(INVESTORS_LIST[[#This Row],[LS_TOTAL UNITS SOLD]]=0,0,SUMIFS(LS[Cost of Units Sold],LS[Investor ID],INVESTORS_LIST[[#This Row],[INVESTOR CODE]],LS[B/S],"S"))</f>
        <v>0</v>
      </c>
      <c r="J481" s="48">
        <f>IF(INVESTORS_LIST[[#This Row],[LS_TOTAL CURRENT UNITS]]=0,0,INVESTORS_LIST[[#This Row],[LS_TOTAL CURRENT UNITS]]*INVESTORS_LIST[[#This Row],[LS_AVERAGE COST]])</f>
        <v>1500000</v>
      </c>
      <c r="K481" s="49">
        <f>IF(INVESTORS_LIST[[#This Row],[LS_TOTAL UNITS SOLD]]=0,0,SUMIFS(LS[Realized Gain],LS[Investor ID],INVESTORS_LIST[[#This Row],[INVESTOR CODE]],LS[B/S],"S"))</f>
        <v>0</v>
      </c>
      <c r="L481" s="47">
        <f>SUMIFS(SIP[Unit],SIP[Investor ID],INVESTORS_LIST[[#This Row],[INVESTOR CODE]],SIP[B/S],"B")</f>
        <v>0</v>
      </c>
      <c r="M481" s="47">
        <f>-SUMIFS(SIP[Unit],SIP[Investor ID],INVESTORS_LIST[[#This Row],[INVESTOR CODE]],SIP[B/S],"S")</f>
        <v>0</v>
      </c>
      <c r="N481" s="50">
        <f>IF(INVESTORS_LIST[[#This Row],[SIP_TOTAL UNITS BUY]]=0,0,INVESTORS_LIST[[#This Row],[SIP_TOTAL UNITS BUY]]-INVESTORS_LIST[[#This Row],[SIP_TOTAL UNITS SOLD]])</f>
        <v>0</v>
      </c>
      <c r="O481" s="49">
        <f>IF(INVESTORS_LIST[[#This Row],[SIP_TOTAL UNITS BUY]]=0,0,SUMIFS(SIP[Amount],SIP[Investor ID],INVESTORS_LIST[[#This Row],[INVESTOR CODE]],SIP[B/S],"B"))</f>
        <v>0</v>
      </c>
      <c r="P481" s="49">
        <f>IF(INVESTORS_LIST[[#This Row],[SIP_TOTAL UNITS SOLD]]=0,0,SUMIFS(SIP[Cost of Units Sold],SIP[Investor ID],INVESTORS_LIST[[#This Row],[INVESTOR CODE]],SIP[B/S],"S"))</f>
        <v>0</v>
      </c>
      <c r="Q481" s="48">
        <f>IF(INVESTORS_LIST[[#This Row],[SIP_TOTAL CURRENT UNITS]]=0,0,INVESTORS_LIST[[#This Row],[SIP_TOTAL CURRENT UNITS]]*INVESTORS_LIST[[#This Row],[SIP_AVERAGE COST]])</f>
        <v>0</v>
      </c>
      <c r="R481" s="48">
        <f>IF(INVESTORS_LIST[[#This Row],[SIP_TOTAL UNITS SOLD]]=0,0,SUMIFS(SIP[Realized Gain],SIP[Investor ID],INVESTORS_LIST[[#This Row],[INVESTOR CODE]],SIP[B/S],"S"))</f>
        <v>0</v>
      </c>
      <c r="S481" s="50">
        <f>INVESTORS_LIST[[#This Row],[LS_TOTAL UNITS BUY]]+INVESTORS_LIST[[#This Row],[SIP_TOTAL UNITS BUY]]</f>
        <v>147478</v>
      </c>
      <c r="T481" s="50">
        <f>INVESTORS_LIST[[#This Row],[LS_TOTAL UNITS SOLD]]+INVESTORS_LIST[[#This Row],[SIP_TOTAL UNITS SOLD]]</f>
        <v>0</v>
      </c>
      <c r="U481" s="50"/>
      <c r="V481" s="50">
        <f>SUMIFS(LS[BO UNIT TRANSFER],LS[Investor ID],INVESTORS_LIST[[#This Row],[INVESTOR CODE]],LS[B/S],"B")</f>
        <v>0</v>
      </c>
      <c r="W481" s="50">
        <f>SUMIFS(SIP[BO UNIT TRANSFER],SIP[Investor ID],INVESTORS_LIST[[#This Row],[INVESTOR CODE]],SIP[B/S],"B")</f>
        <v>0</v>
      </c>
      <c r="X481" s="50">
        <f>SUMIFS(LS[BO UNIT TRANSFER],LS[Investor ID],INVESTORS_LIST[[#This Row],[INVESTOR CODE]],LS[B/S],"S")</f>
        <v>0</v>
      </c>
      <c r="Y481" s="50">
        <f>SUMIFS(SIP[BO UNIT TRANSFER],SIP[Investor ID],INVESTORS_LIST[[#This Row],[INVESTOR CODE]],SIP[B/S],"S")</f>
        <v>0</v>
      </c>
      <c r="Z481" s="106">
        <f>SUM(INVESTORS_LIST[[#This Row],[BO OPENING BALANCE]:[BO SIP UNITS REPURCHASE]])</f>
        <v>0</v>
      </c>
      <c r="AA481" s="107">
        <f>INVESTORS_LIST[[#This Row],[TOTAL UNITS BUY]]-INVESTORS_LIST[[#This Row],[TOTAL UNITS SOLD]]</f>
        <v>147478</v>
      </c>
      <c r="AB481" s="107">
        <f>INVESTORS_LIST[[#This Row],[TOTAL CURRENT UNITS]]-INVESTORS_LIST[[#This Row],[BO UNITS HOLD]]</f>
        <v>147478</v>
      </c>
      <c r="AC481" s="201" t="e">
        <f>INDEX([3]!Table_1[BO ID],MATCH(INVESTORS_LIST[[#This Row],[INVESTOR CODE]],[3]!Table_1[INVESTOR CODE],0))</f>
        <v>#REF!</v>
      </c>
      <c r="AD481" s="201" t="e">
        <f>INDEX([3]!Table_1[Brokerage Name2],MATCH(INVESTORS_LIST[[#This Row],[INVESTOR CODE]],[3]!Table_1[INVESTOR CODE],0))</f>
        <v>#REF!</v>
      </c>
      <c r="AE481" s="201" t="e">
        <f>MID(INVESTORS_LIST[[#This Row],[BO ID]],4,5)</f>
        <v>#REF!</v>
      </c>
      <c r="AF481" s="201" t="e">
        <f>MID(INVESTORS_LIST[[#This Row],[BO ID]],2,7)</f>
        <v>#REF!</v>
      </c>
      <c r="AG481" s="201" t="e">
        <f>MID(INVESTORS_LIST[[#This Row],[BO ID]],9,7)</f>
        <v>#REF!</v>
      </c>
      <c r="AH481" s="201" t="e">
        <f>RIGHT(INVESTORS_LIST[[#This Row],[BO ID]],1)</f>
        <v>#REF!</v>
      </c>
      <c r="AI481" s="50">
        <f>INVESTORS_LIST[[#This Row],[LS_TOTAL COST VALUE OF CURRENT UNITS]]+INVESTORS_LIST[[#This Row],[SIP_TOTAL COST VALUE OF CURRENT UNITS]]</f>
        <v>1500000</v>
      </c>
      <c r="AJ481" s="109">
        <f>IF(INVESTORS_LIST[[#This Row],[TOTAL CURRENT UNITS]]=0,0,INVESTORS_LIST[[#This Row],[LS_TOTAL CURRENT UNITS]]/INVESTORS_LIST[[#This Row],[TOTAL CURRENT UNITS]])</f>
        <v>1</v>
      </c>
      <c r="AK481" s="109">
        <f>IF(INVESTORS_LIST[[#This Row],[TOTAL CURRENT UNITS]]=0,0,INVESTORS_LIST[[#This Row],[SIP_TOTAL CURRENT UNITS]]/INVESTORS_LIST[[#This Row],[TOTAL CURRENT UNITS]])</f>
        <v>0</v>
      </c>
      <c r="AL481" s="49" cm="1">
        <f t="array" ref="AL481">IF(INVESTORS_LIST[[#This Row],[LS_TOTAL UNITS BUY]]&gt;0,INDEX(LS[NAV at Cost (Average)],MATCH(CONCATENATE(COUNTIFS(LS[Investor ID],INVESTORS_LIST[[#This Row],[INVESTOR CODE]]),INVESTORS_LIST[[#This Row],[INVESTOR CODE]]),LS[Unique Code],0),),0)</f>
        <v>10.171008557208532</v>
      </c>
      <c r="AM481" s="49" cm="1">
        <f t="array" ref="AM4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81" s="105">
        <f>IF(INVESTORS_LIST[[#This Row],[TOTAL CURRENT UNITS]]=0,0,(INVESTORS_LIST[[#This Row],[LS_WEIGHT]]*INVESTORS_LIST[[#This Row],[LS_AVERAGE COST]])+(INVESTORS_LIST[[#This Row],[SIP_WEIGHT]]*INVESTORS_LIST[[#This Row],[SIP_AVERAGE COST]]))</f>
        <v>10.171008557208532</v>
      </c>
      <c r="AO481" s="105">
        <f t="shared" si="8"/>
        <v>14.224</v>
      </c>
      <c r="AP481" s="112">
        <f>IF(INVESTORS_LIST[[#This Row],[TOTAL CURRENT UNITS]]=0,0,INVESTORS_LIST[[#This Row],[TOTAL CURRENT UNITS]]*INVESTORS_LIST[[#This Row],[NAV]])</f>
        <v>2097727.0720000002</v>
      </c>
      <c r="AQ481" s="49">
        <f>IF(INVESTORS_LIST[[#This Row],[LS_TOTAL CURRENT UNITS]]=0,0,INVESTORS_LIST[[#This Row],[LS_TOTAL CURRENT UNITS]]*INVESTORS_LIST[[#This Row],[NAV]])</f>
        <v>2097727.0720000002</v>
      </c>
      <c r="AR481" s="48">
        <f>IF(INVESTORS_LIST[[#This Row],[SIP_TOTAL CURRENT UNITS]]=0,0,INVESTORS_LIST[[#This Row],[SIP_TOTAL CURRENT UNITS]]*INVESTORS_LIST[[#This Row],[NAV]])</f>
        <v>0</v>
      </c>
      <c r="AS481" s="50">
        <f>INVESTORS_LIST[[#This Row],[TOTAL CURRENT UNITS]]</f>
        <v>147478</v>
      </c>
      <c r="AT481" s="48">
        <f>IF(INVESTORS_LIST[[#This Row],[TOTAL SELLABLE UNITS]]=0,0,INVESTORS_LIST[[#This Row],[TOTAL SELLABLE UNITS]]*INVESTORS_LIST[[#This Row],[NAV]])</f>
        <v>2097727.0720000002</v>
      </c>
      <c r="AU481" s="48">
        <f>INVESTORS_LIST[[#This Row],[LS_TOTAL REALIZED GAIN]]+INVESTORS_LIST[[#This Row],[SIP_TOTAL REALIZED GAIN]]</f>
        <v>0</v>
      </c>
      <c r="AV481" s="48">
        <f>INVESTORS_LIST[[#This Row],[TOTAL MARKET VALUE]]-INVESTORS_LIST[[#This Row],[TOTAL COST VALUE OF CURRENT INVESTMENT]]</f>
        <v>597727.07200000016</v>
      </c>
      <c r="AW481" s="108">
        <f>IFERROR(INVESTORS_LIST[[#This Row],[TOTAL CURRENT UNITS]]/SUM(INVESTORS_LIST[TOTAL CURRENT UNITS]),0)</f>
        <v>3.5802065881015751E-3</v>
      </c>
    </row>
    <row r="482" spans="1:49" hidden="1">
      <c r="A482" s="262" t="s">
        <v>1009</v>
      </c>
      <c r="B482" s="97" t="s">
        <v>1010</v>
      </c>
      <c r="C482" t="s">
        <v>44</v>
      </c>
      <c r="D482" s="75" t="s">
        <v>45</v>
      </c>
      <c r="E482" s="47">
        <f>SUMIFS(LS[Unit],LS[Investor ID],INVESTORS_LIST[[#This Row],[INVESTOR CODE]],LS[B/S],"B")</f>
        <v>0</v>
      </c>
      <c r="F482" s="47">
        <f>-SUMIFS(LS[Unit],LS[Investor ID],INVESTORS_LIST[[#This Row],[INVESTOR CODE]],LS[B/S],"S")</f>
        <v>0</v>
      </c>
      <c r="G482" s="47">
        <f>IF(INVESTORS_LIST[[#This Row],[LS_TOTAL UNITS BUY]]=0,0,INVESTORS_LIST[[#This Row],[LS_TOTAL UNITS BUY]]-INVESTORS_LIST[[#This Row],[LS_TOTAL UNITS SOLD]])</f>
        <v>0</v>
      </c>
      <c r="H482" s="49">
        <f>IF(INVESTORS_LIST[[#This Row],[LS_TOTAL UNITS BUY]]=0,0,SUMIFS(LS[Amount],LS[Investor ID],INVESTORS_LIST[[#This Row],[INVESTOR CODE]],LS[B/S],"B"))</f>
        <v>0</v>
      </c>
      <c r="I482" s="48">
        <f>IF(INVESTORS_LIST[[#This Row],[LS_TOTAL UNITS SOLD]]=0,0,SUMIFS(LS[Cost of Units Sold],LS[Investor ID],INVESTORS_LIST[[#This Row],[INVESTOR CODE]],LS[B/S],"S"))</f>
        <v>0</v>
      </c>
      <c r="J482" s="48">
        <f>IF(INVESTORS_LIST[[#This Row],[LS_TOTAL CURRENT UNITS]]=0,0,INVESTORS_LIST[[#This Row],[LS_TOTAL CURRENT UNITS]]*INVESTORS_LIST[[#This Row],[LS_AVERAGE COST]])</f>
        <v>0</v>
      </c>
      <c r="K482" s="49">
        <f>IF(INVESTORS_LIST[[#This Row],[LS_TOTAL UNITS SOLD]]=0,0,SUMIFS(LS[Realized Gain],LS[Investor ID],INVESTORS_LIST[[#This Row],[INVESTOR CODE]],LS[B/S],"S"))</f>
        <v>0</v>
      </c>
      <c r="L482" s="47">
        <f>SUMIFS(SIP[Unit],SIP[Investor ID],INVESTORS_LIST[[#This Row],[INVESTOR CODE]],SIP[B/S],"B")</f>
        <v>6967</v>
      </c>
      <c r="M482" s="47">
        <f>-SUMIFS(SIP[Unit],SIP[Investor ID],INVESTORS_LIST[[#This Row],[INVESTOR CODE]],SIP[B/S],"S")</f>
        <v>6967</v>
      </c>
      <c r="N482" s="50">
        <f>IF(INVESTORS_LIST[[#This Row],[SIP_TOTAL UNITS BUY]]=0,0,INVESTORS_LIST[[#This Row],[SIP_TOTAL UNITS BUY]]-INVESTORS_LIST[[#This Row],[SIP_TOTAL UNITS SOLD]])</f>
        <v>0</v>
      </c>
      <c r="O482" s="49">
        <f>IF(INVESTORS_LIST[[#This Row],[SIP_TOTAL UNITS BUY]]=0,0,SUMIFS(SIP[Amount],SIP[Investor ID],INVESTORS_LIST[[#This Row],[INVESTOR CODE]],SIP[B/S],"B"))</f>
        <v>75000</v>
      </c>
      <c r="P482" s="49">
        <f>IF(INVESTORS_LIST[[#This Row],[SIP_TOTAL UNITS SOLD]]=0,0,SUMIFS(SIP[Cost of Units Sold],SIP[Investor ID],INVESTORS_LIST[[#This Row],[INVESTOR CODE]],SIP[B/S],"S"))</f>
        <v>75000</v>
      </c>
      <c r="Q482" s="48">
        <f>IF(INVESTORS_LIST[[#This Row],[SIP_TOTAL CURRENT UNITS]]=0,0,INVESTORS_LIST[[#This Row],[SIP_TOTAL CURRENT UNITS]]*INVESTORS_LIST[[#This Row],[SIP_AVERAGE COST]])</f>
        <v>0</v>
      </c>
      <c r="R482" s="48">
        <f>IF(INVESTORS_LIST[[#This Row],[SIP_TOTAL UNITS SOLD]]=0,0,SUMIFS(SIP[Realized Gain],SIP[Investor ID],INVESTORS_LIST[[#This Row],[INVESTOR CODE]],SIP[B/S],"S"))</f>
        <v>6360.630000000011</v>
      </c>
      <c r="S482" s="50">
        <f>INVESTORS_LIST[[#This Row],[LS_TOTAL UNITS BUY]]+INVESTORS_LIST[[#This Row],[SIP_TOTAL UNITS BUY]]</f>
        <v>6967</v>
      </c>
      <c r="T482" s="50">
        <f>INVESTORS_LIST[[#This Row],[LS_TOTAL UNITS SOLD]]+INVESTORS_LIST[[#This Row],[SIP_TOTAL UNITS SOLD]]</f>
        <v>6967</v>
      </c>
      <c r="U482" s="50"/>
      <c r="V482" s="50">
        <f>SUMIFS(LS[BO UNIT TRANSFER],LS[Investor ID],INVESTORS_LIST[[#This Row],[INVESTOR CODE]],LS[B/S],"B")</f>
        <v>0</v>
      </c>
      <c r="W482" s="50">
        <f>SUMIFS(SIP[BO UNIT TRANSFER],SIP[Investor ID],INVESTORS_LIST[[#This Row],[INVESTOR CODE]],SIP[B/S],"B")</f>
        <v>0</v>
      </c>
      <c r="X482" s="50">
        <f>SUMIFS(LS[BO UNIT TRANSFER],LS[Investor ID],INVESTORS_LIST[[#This Row],[INVESTOR CODE]],LS[B/S],"S")</f>
        <v>0</v>
      </c>
      <c r="Y482" s="50">
        <f>SUMIFS(SIP[BO UNIT TRANSFER],SIP[Investor ID],INVESTORS_LIST[[#This Row],[INVESTOR CODE]],SIP[B/S],"S")</f>
        <v>0</v>
      </c>
      <c r="Z482" s="106">
        <f>SUM(INVESTORS_LIST[[#This Row],[BO OPENING BALANCE]:[BO SIP UNITS REPURCHASE]])</f>
        <v>0</v>
      </c>
      <c r="AA482" s="107">
        <f>INVESTORS_LIST[[#This Row],[TOTAL UNITS BUY]]-INVESTORS_LIST[[#This Row],[TOTAL UNITS SOLD]]</f>
        <v>0</v>
      </c>
      <c r="AB482" s="107">
        <f>INVESTORS_LIST[[#This Row],[TOTAL CURRENT UNITS]]-INVESTORS_LIST[[#This Row],[BO UNITS HOLD]]</f>
        <v>0</v>
      </c>
      <c r="AC482" s="201" t="e">
        <f>INDEX([3]!Table_1[BO ID],MATCH(INVESTORS_LIST[[#This Row],[INVESTOR CODE]],[3]!Table_1[INVESTOR CODE],0))</f>
        <v>#REF!</v>
      </c>
      <c r="AD482" s="201" t="e">
        <f>INDEX([3]!Table_1[Brokerage Name2],MATCH(INVESTORS_LIST[[#This Row],[INVESTOR CODE]],[3]!Table_1[INVESTOR CODE],0))</f>
        <v>#REF!</v>
      </c>
      <c r="AE482" s="201" t="e">
        <f>MID(INVESTORS_LIST[[#This Row],[BO ID]],4,5)</f>
        <v>#REF!</v>
      </c>
      <c r="AF482" s="201" t="e">
        <f>MID(INVESTORS_LIST[[#This Row],[BO ID]],2,7)</f>
        <v>#REF!</v>
      </c>
      <c r="AG482" s="201" t="e">
        <f>MID(INVESTORS_LIST[[#This Row],[BO ID]],9,7)</f>
        <v>#REF!</v>
      </c>
      <c r="AH482" s="201" t="e">
        <f>RIGHT(INVESTORS_LIST[[#This Row],[BO ID]],1)</f>
        <v>#REF!</v>
      </c>
      <c r="AI482" s="50">
        <f>INVESTORS_LIST[[#This Row],[LS_TOTAL COST VALUE OF CURRENT UNITS]]+INVESTORS_LIST[[#This Row],[SIP_TOTAL COST VALUE OF CURRENT UNITS]]</f>
        <v>0</v>
      </c>
      <c r="AJ482" s="109">
        <f>IF(INVESTORS_LIST[[#This Row],[TOTAL CURRENT UNITS]]=0,0,INVESTORS_LIST[[#This Row],[LS_TOTAL CURRENT UNITS]]/INVESTORS_LIST[[#This Row],[TOTAL CURRENT UNITS]])</f>
        <v>0</v>
      </c>
      <c r="AK482" s="109">
        <f>IF(INVESTORS_LIST[[#This Row],[TOTAL CURRENT UNITS]]=0,0,INVESTORS_LIST[[#This Row],[SIP_TOTAL CURRENT UNITS]]/INVESTORS_LIST[[#This Row],[TOTAL CURRENT UNITS]])</f>
        <v>0</v>
      </c>
      <c r="AL482" s="49" cm="1">
        <f t="array" ref="AL4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2" s="49" cm="1">
        <f t="array" ref="AM4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82" s="105">
        <f t="shared" si="8"/>
        <v>14.224</v>
      </c>
      <c r="AP482" s="112">
        <f>IF(INVESTORS_LIST[[#This Row],[TOTAL CURRENT UNITS]]=0,0,INVESTORS_LIST[[#This Row],[TOTAL CURRENT UNITS]]*INVESTORS_LIST[[#This Row],[NAV]])</f>
        <v>0</v>
      </c>
      <c r="AQ482" s="49">
        <f>IF(INVESTORS_LIST[[#This Row],[LS_TOTAL CURRENT UNITS]]=0,0,INVESTORS_LIST[[#This Row],[LS_TOTAL CURRENT UNITS]]*INVESTORS_LIST[[#This Row],[NAV]])</f>
        <v>0</v>
      </c>
      <c r="AR482" s="48">
        <f>IF(INVESTORS_LIST[[#This Row],[SIP_TOTAL CURRENT UNITS]]=0,0,INVESTORS_LIST[[#This Row],[SIP_TOTAL CURRENT UNITS]]*INVESTORS_LIST[[#This Row],[NAV]])</f>
        <v>0</v>
      </c>
      <c r="AS482" s="50">
        <f>INVESTORS_LIST[[#This Row],[TOTAL CURRENT UNITS]]</f>
        <v>0</v>
      </c>
      <c r="AT482" s="48">
        <f>IF(INVESTORS_LIST[[#This Row],[TOTAL SELLABLE UNITS]]=0,0,INVESTORS_LIST[[#This Row],[TOTAL SELLABLE UNITS]]*INVESTORS_LIST[[#This Row],[NAV]])</f>
        <v>0</v>
      </c>
      <c r="AU482" s="48">
        <f>INVESTORS_LIST[[#This Row],[LS_TOTAL REALIZED GAIN]]+INVESTORS_LIST[[#This Row],[SIP_TOTAL REALIZED GAIN]]</f>
        <v>6360.630000000011</v>
      </c>
      <c r="AV482" s="48">
        <f>INVESTORS_LIST[[#This Row],[TOTAL MARKET VALUE]]-INVESTORS_LIST[[#This Row],[TOTAL COST VALUE OF CURRENT INVESTMENT]]</f>
        <v>0</v>
      </c>
      <c r="AW482" s="108">
        <f>IFERROR(INVESTORS_LIST[[#This Row],[TOTAL CURRENT UNITS]]/SUM(INVESTORS_LIST[TOTAL CURRENT UNITS]),0)</f>
        <v>0</v>
      </c>
    </row>
    <row r="483" spans="1:49">
      <c r="A483" s="262" t="s">
        <v>1011</v>
      </c>
      <c r="B483" s="97" t="s">
        <v>1012</v>
      </c>
      <c r="C483" t="s">
        <v>44</v>
      </c>
      <c r="D483" s="75" t="s">
        <v>45</v>
      </c>
      <c r="E483" s="47">
        <f>SUMIFS(LS[Unit],LS[Investor ID],INVESTORS_LIST[[#This Row],[INVESTOR CODE]],LS[B/S],"B")</f>
        <v>0</v>
      </c>
      <c r="F483" s="47">
        <f>-SUMIFS(LS[Unit],LS[Investor ID],INVESTORS_LIST[[#This Row],[INVESTOR CODE]],LS[B/S],"S")</f>
        <v>0</v>
      </c>
      <c r="G483" s="47">
        <f>IF(INVESTORS_LIST[[#This Row],[LS_TOTAL UNITS BUY]]=0,0,INVESTORS_LIST[[#This Row],[LS_TOTAL UNITS BUY]]-INVESTORS_LIST[[#This Row],[LS_TOTAL UNITS SOLD]])</f>
        <v>0</v>
      </c>
      <c r="H483" s="49">
        <f>IF(INVESTORS_LIST[[#This Row],[LS_TOTAL UNITS BUY]]=0,0,SUMIFS(LS[Amount],LS[Investor ID],INVESTORS_LIST[[#This Row],[INVESTOR CODE]],LS[B/S],"B"))</f>
        <v>0</v>
      </c>
      <c r="I483" s="48">
        <f>IF(INVESTORS_LIST[[#This Row],[LS_TOTAL UNITS SOLD]]=0,0,SUMIFS(LS[Cost of Units Sold],LS[Investor ID],INVESTORS_LIST[[#This Row],[INVESTOR CODE]],LS[B/S],"S"))</f>
        <v>0</v>
      </c>
      <c r="J483" s="48">
        <f>IF(INVESTORS_LIST[[#This Row],[LS_TOTAL CURRENT UNITS]]=0,0,INVESTORS_LIST[[#This Row],[LS_TOTAL CURRENT UNITS]]*INVESTORS_LIST[[#This Row],[LS_AVERAGE COST]])</f>
        <v>0</v>
      </c>
      <c r="K483" s="49">
        <f>IF(INVESTORS_LIST[[#This Row],[LS_TOTAL UNITS SOLD]]=0,0,SUMIFS(LS[Realized Gain],LS[Investor ID],INVESTORS_LIST[[#This Row],[INVESTOR CODE]],LS[B/S],"S"))</f>
        <v>0</v>
      </c>
      <c r="L483" s="47">
        <f>SUMIFS(SIP[Unit],SIP[Investor ID],INVESTORS_LIST[[#This Row],[INVESTOR CODE]],SIP[B/S],"B")</f>
        <v>14055</v>
      </c>
      <c r="M483" s="47">
        <f>-SUMIFS(SIP[Unit],SIP[Investor ID],INVESTORS_LIST[[#This Row],[INVESTOR CODE]],SIP[B/S],"S")</f>
        <v>0</v>
      </c>
      <c r="N483" s="50">
        <f>IF(INVESTORS_LIST[[#This Row],[SIP_TOTAL UNITS BUY]]=0,0,INVESTORS_LIST[[#This Row],[SIP_TOTAL UNITS BUY]]-INVESTORS_LIST[[#This Row],[SIP_TOTAL UNITS SOLD]])</f>
        <v>14055</v>
      </c>
      <c r="O483" s="49">
        <f>IF(INVESTORS_LIST[[#This Row],[SIP_TOTAL UNITS BUY]]=0,0,SUMIFS(SIP[Amount],SIP[Investor ID],INVESTORS_LIST[[#This Row],[INVESTOR CODE]],SIP[B/S],"B"))</f>
        <v>165000</v>
      </c>
      <c r="P483" s="49">
        <f>IF(INVESTORS_LIST[[#This Row],[SIP_TOTAL UNITS SOLD]]=0,0,SUMIFS(SIP[Cost of Units Sold],SIP[Investor ID],INVESTORS_LIST[[#This Row],[INVESTOR CODE]],SIP[B/S],"S"))</f>
        <v>0</v>
      </c>
      <c r="Q483" s="48">
        <f>IF(INVESTORS_LIST[[#This Row],[SIP_TOTAL CURRENT UNITS]]=0,0,INVESTORS_LIST[[#This Row],[SIP_TOTAL CURRENT UNITS]]*INVESTORS_LIST[[#This Row],[SIP_AVERAGE COST]])</f>
        <v>165000</v>
      </c>
      <c r="R483" s="48">
        <f>IF(INVESTORS_LIST[[#This Row],[SIP_TOTAL UNITS SOLD]]=0,0,SUMIFS(SIP[Realized Gain],SIP[Investor ID],INVESTORS_LIST[[#This Row],[INVESTOR CODE]],SIP[B/S],"S"))</f>
        <v>0</v>
      </c>
      <c r="S483" s="50">
        <f>INVESTORS_LIST[[#This Row],[LS_TOTAL UNITS BUY]]+INVESTORS_LIST[[#This Row],[SIP_TOTAL UNITS BUY]]</f>
        <v>14055</v>
      </c>
      <c r="T483" s="50">
        <f>INVESTORS_LIST[[#This Row],[LS_TOTAL UNITS SOLD]]+INVESTORS_LIST[[#This Row],[SIP_TOTAL UNITS SOLD]]</f>
        <v>0</v>
      </c>
      <c r="U483" s="50"/>
      <c r="V483" s="50">
        <f>SUMIFS(LS[BO UNIT TRANSFER],LS[Investor ID],INVESTORS_LIST[[#This Row],[INVESTOR CODE]],LS[B/S],"B")</f>
        <v>0</v>
      </c>
      <c r="W483" s="50">
        <f>SUMIFS(SIP[BO UNIT TRANSFER],SIP[Investor ID],INVESTORS_LIST[[#This Row],[INVESTOR CODE]],SIP[B/S],"B")</f>
        <v>0</v>
      </c>
      <c r="X483" s="50">
        <f>SUMIFS(LS[BO UNIT TRANSFER],LS[Investor ID],INVESTORS_LIST[[#This Row],[INVESTOR CODE]],LS[B/S],"S")</f>
        <v>0</v>
      </c>
      <c r="Y483" s="50">
        <f>SUMIFS(SIP[BO UNIT TRANSFER],SIP[Investor ID],INVESTORS_LIST[[#This Row],[INVESTOR CODE]],SIP[B/S],"S")</f>
        <v>0</v>
      </c>
      <c r="Z483" s="106">
        <f>SUM(INVESTORS_LIST[[#This Row],[BO OPENING BALANCE]:[BO SIP UNITS REPURCHASE]])</f>
        <v>0</v>
      </c>
      <c r="AA483" s="107">
        <f>INVESTORS_LIST[[#This Row],[TOTAL UNITS BUY]]-INVESTORS_LIST[[#This Row],[TOTAL UNITS SOLD]]</f>
        <v>14055</v>
      </c>
      <c r="AB483" s="107">
        <f>INVESTORS_LIST[[#This Row],[TOTAL CURRENT UNITS]]-INVESTORS_LIST[[#This Row],[BO UNITS HOLD]]</f>
        <v>14055</v>
      </c>
      <c r="AC483" s="201" t="e">
        <f>INDEX([3]!Table_1[BO ID],MATCH(INVESTORS_LIST[[#This Row],[INVESTOR CODE]],[3]!Table_1[INVESTOR CODE],0))</f>
        <v>#REF!</v>
      </c>
      <c r="AD483" s="201" t="e">
        <f>INDEX([3]!Table_1[Brokerage Name2],MATCH(INVESTORS_LIST[[#This Row],[INVESTOR CODE]],[3]!Table_1[INVESTOR CODE],0))</f>
        <v>#REF!</v>
      </c>
      <c r="AE483" s="201" t="e">
        <f>MID(INVESTORS_LIST[[#This Row],[BO ID]],4,5)</f>
        <v>#REF!</v>
      </c>
      <c r="AF483" s="201" t="e">
        <f>MID(INVESTORS_LIST[[#This Row],[BO ID]],2,7)</f>
        <v>#REF!</v>
      </c>
      <c r="AG483" s="201" t="e">
        <f>MID(INVESTORS_LIST[[#This Row],[BO ID]],9,7)</f>
        <v>#REF!</v>
      </c>
      <c r="AH483" s="201" t="e">
        <f>RIGHT(INVESTORS_LIST[[#This Row],[BO ID]],1)</f>
        <v>#REF!</v>
      </c>
      <c r="AI483" s="50">
        <f>INVESTORS_LIST[[#This Row],[LS_TOTAL COST VALUE OF CURRENT UNITS]]+INVESTORS_LIST[[#This Row],[SIP_TOTAL COST VALUE OF CURRENT UNITS]]</f>
        <v>165000</v>
      </c>
      <c r="AJ483" s="109">
        <f>IF(INVESTORS_LIST[[#This Row],[TOTAL CURRENT UNITS]]=0,0,INVESTORS_LIST[[#This Row],[LS_TOTAL CURRENT UNITS]]/INVESTORS_LIST[[#This Row],[TOTAL CURRENT UNITS]])</f>
        <v>0</v>
      </c>
      <c r="AK483" s="109">
        <f>IF(INVESTORS_LIST[[#This Row],[TOTAL CURRENT UNITS]]=0,0,INVESTORS_LIST[[#This Row],[SIP_TOTAL CURRENT UNITS]]/INVESTORS_LIST[[#This Row],[TOTAL CURRENT UNITS]])</f>
        <v>1</v>
      </c>
      <c r="AL483" s="49" cm="1">
        <f t="array" ref="AL4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3" s="49" cm="1">
        <f t="array" ref="AM483">IF(INVESTORS_LIST[[#This Row],[SIP_TOTAL UNITS BUY]]&gt;0,INDEX(SIP[NAV at Cost (Average)],MATCH(CONCATENATE(COUNTIFS(SIP[Investor ID],INVESTORS_LIST[[#This Row],[INVESTOR CODE]]),INVESTORS_LIST[[#This Row],[INVESTOR CODE]]),SIP[Unique Code],0),),0)</f>
        <v>11.739594450373533</v>
      </c>
      <c r="AN483" s="105">
        <f>IF(INVESTORS_LIST[[#This Row],[TOTAL CURRENT UNITS]]=0,0,(INVESTORS_LIST[[#This Row],[LS_WEIGHT]]*INVESTORS_LIST[[#This Row],[LS_AVERAGE COST]])+(INVESTORS_LIST[[#This Row],[SIP_WEIGHT]]*INVESTORS_LIST[[#This Row],[SIP_AVERAGE COST]]))</f>
        <v>11.739594450373533</v>
      </c>
      <c r="AO483" s="105">
        <f t="shared" si="8"/>
        <v>14.224</v>
      </c>
      <c r="AP483" s="112">
        <f>IF(INVESTORS_LIST[[#This Row],[TOTAL CURRENT UNITS]]=0,0,INVESTORS_LIST[[#This Row],[TOTAL CURRENT UNITS]]*INVESTORS_LIST[[#This Row],[NAV]])</f>
        <v>199918.32</v>
      </c>
      <c r="AQ483" s="49">
        <f>IF(INVESTORS_LIST[[#This Row],[LS_TOTAL CURRENT UNITS]]=0,0,INVESTORS_LIST[[#This Row],[LS_TOTAL CURRENT UNITS]]*INVESTORS_LIST[[#This Row],[NAV]])</f>
        <v>0</v>
      </c>
      <c r="AR483" s="48">
        <f>IF(INVESTORS_LIST[[#This Row],[SIP_TOTAL CURRENT UNITS]]=0,0,INVESTORS_LIST[[#This Row],[SIP_TOTAL CURRENT UNITS]]*INVESTORS_LIST[[#This Row],[NAV]])</f>
        <v>199918.32</v>
      </c>
      <c r="AS483" s="50">
        <f>INVESTORS_LIST[[#This Row],[TOTAL CURRENT UNITS]]</f>
        <v>14055</v>
      </c>
      <c r="AT483" s="48">
        <f>IF(INVESTORS_LIST[[#This Row],[TOTAL SELLABLE UNITS]]=0,0,INVESTORS_LIST[[#This Row],[TOTAL SELLABLE UNITS]]*INVESTORS_LIST[[#This Row],[NAV]])</f>
        <v>199918.32</v>
      </c>
      <c r="AU483" s="48">
        <f>INVESTORS_LIST[[#This Row],[LS_TOTAL REALIZED GAIN]]+INVESTORS_LIST[[#This Row],[SIP_TOTAL REALIZED GAIN]]</f>
        <v>0</v>
      </c>
      <c r="AV483" s="48">
        <f>INVESTORS_LIST[[#This Row],[TOTAL MARKET VALUE]]-INVESTORS_LIST[[#This Row],[TOTAL COST VALUE OF CURRENT INVESTMENT]]</f>
        <v>34918.320000000007</v>
      </c>
      <c r="AW483" s="108">
        <f>IFERROR(INVESTORS_LIST[[#This Row],[TOTAL CURRENT UNITS]]/SUM(INVESTORS_LIST[TOTAL CURRENT UNITS]),0)</f>
        <v>3.4120210197973691E-4</v>
      </c>
    </row>
    <row r="484" spans="1:49">
      <c r="A484" s="262" t="s">
        <v>1013</v>
      </c>
      <c r="B484" s="97" t="s">
        <v>1014</v>
      </c>
      <c r="C484" t="s">
        <v>44</v>
      </c>
      <c r="D484" s="75" t="s">
        <v>45</v>
      </c>
      <c r="E484" s="47">
        <f>SUMIFS(LS[Unit],LS[Investor ID],INVESTORS_LIST[[#This Row],[INVESTOR CODE]],LS[B/S],"B")</f>
        <v>0</v>
      </c>
      <c r="F484" s="47">
        <f>-SUMIFS(LS[Unit],LS[Investor ID],INVESTORS_LIST[[#This Row],[INVESTOR CODE]],LS[B/S],"S")</f>
        <v>0</v>
      </c>
      <c r="G484" s="47">
        <f>IF(INVESTORS_LIST[[#This Row],[LS_TOTAL UNITS BUY]]=0,0,INVESTORS_LIST[[#This Row],[LS_TOTAL UNITS BUY]]-INVESTORS_LIST[[#This Row],[LS_TOTAL UNITS SOLD]])</f>
        <v>0</v>
      </c>
      <c r="H484" s="49">
        <f>IF(INVESTORS_LIST[[#This Row],[LS_TOTAL UNITS BUY]]=0,0,SUMIFS(LS[Amount],LS[Investor ID],INVESTORS_LIST[[#This Row],[INVESTOR CODE]],LS[B/S],"B"))</f>
        <v>0</v>
      </c>
      <c r="I484" s="48">
        <f>IF(INVESTORS_LIST[[#This Row],[LS_TOTAL UNITS SOLD]]=0,0,SUMIFS(LS[Cost of Units Sold],LS[Investor ID],INVESTORS_LIST[[#This Row],[INVESTOR CODE]],LS[B/S],"S"))</f>
        <v>0</v>
      </c>
      <c r="J484" s="48">
        <f>IF(INVESTORS_LIST[[#This Row],[LS_TOTAL CURRENT UNITS]]=0,0,INVESTORS_LIST[[#This Row],[LS_TOTAL CURRENT UNITS]]*INVESTORS_LIST[[#This Row],[LS_AVERAGE COST]])</f>
        <v>0</v>
      </c>
      <c r="K484" s="49">
        <f>IF(INVESTORS_LIST[[#This Row],[LS_TOTAL UNITS SOLD]]=0,0,SUMIFS(LS[Realized Gain],LS[Investor ID],INVESTORS_LIST[[#This Row],[INVESTOR CODE]],LS[B/S],"S"))</f>
        <v>0</v>
      </c>
      <c r="L484" s="47">
        <f>SUMIFS(SIP[Unit],SIP[Investor ID],INVESTORS_LIST[[#This Row],[INVESTOR CODE]],SIP[B/S],"B")</f>
        <v>1926</v>
      </c>
      <c r="M484" s="47">
        <f>-SUMIFS(SIP[Unit],SIP[Investor ID],INVESTORS_LIST[[#This Row],[INVESTOR CODE]],SIP[B/S],"S")</f>
        <v>0</v>
      </c>
      <c r="N484" s="50">
        <f>IF(INVESTORS_LIST[[#This Row],[SIP_TOTAL UNITS BUY]]=0,0,INVESTORS_LIST[[#This Row],[SIP_TOTAL UNITS BUY]]-INVESTORS_LIST[[#This Row],[SIP_TOTAL UNITS SOLD]])</f>
        <v>1926</v>
      </c>
      <c r="O484" s="49">
        <f>IF(INVESTORS_LIST[[#This Row],[SIP_TOTAL UNITS BUY]]=0,0,SUMIFS(SIP[Amount],SIP[Investor ID],INVESTORS_LIST[[#This Row],[INVESTOR CODE]],SIP[B/S],"B"))</f>
        <v>20000</v>
      </c>
      <c r="P484" s="49">
        <f>IF(INVESTORS_LIST[[#This Row],[SIP_TOTAL UNITS SOLD]]=0,0,SUMIFS(SIP[Cost of Units Sold],SIP[Investor ID],INVESTORS_LIST[[#This Row],[INVESTOR CODE]],SIP[B/S],"S"))</f>
        <v>0</v>
      </c>
      <c r="Q484" s="48">
        <f>IF(INVESTORS_LIST[[#This Row],[SIP_TOTAL CURRENT UNITS]]=0,0,INVESTORS_LIST[[#This Row],[SIP_TOTAL CURRENT UNITS]]*INVESTORS_LIST[[#This Row],[SIP_AVERAGE COST]])</f>
        <v>20000</v>
      </c>
      <c r="R484" s="48">
        <f>IF(INVESTORS_LIST[[#This Row],[SIP_TOTAL UNITS SOLD]]=0,0,SUMIFS(SIP[Realized Gain],SIP[Investor ID],INVESTORS_LIST[[#This Row],[INVESTOR CODE]],SIP[B/S],"S"))</f>
        <v>0</v>
      </c>
      <c r="S484" s="50">
        <f>INVESTORS_LIST[[#This Row],[LS_TOTAL UNITS BUY]]+INVESTORS_LIST[[#This Row],[SIP_TOTAL UNITS BUY]]</f>
        <v>1926</v>
      </c>
      <c r="T484" s="50">
        <f>INVESTORS_LIST[[#This Row],[LS_TOTAL UNITS SOLD]]+INVESTORS_LIST[[#This Row],[SIP_TOTAL UNITS SOLD]]</f>
        <v>0</v>
      </c>
      <c r="U484" s="50"/>
      <c r="V484" s="50">
        <f>SUMIFS(LS[BO UNIT TRANSFER],LS[Investor ID],INVESTORS_LIST[[#This Row],[INVESTOR CODE]],LS[B/S],"B")</f>
        <v>0</v>
      </c>
      <c r="W484" s="50">
        <f>SUMIFS(SIP[BO UNIT TRANSFER],SIP[Investor ID],INVESTORS_LIST[[#This Row],[INVESTOR CODE]],SIP[B/S],"B")</f>
        <v>0</v>
      </c>
      <c r="X484" s="50">
        <f>SUMIFS(LS[BO UNIT TRANSFER],LS[Investor ID],INVESTORS_LIST[[#This Row],[INVESTOR CODE]],LS[B/S],"S")</f>
        <v>0</v>
      </c>
      <c r="Y484" s="50">
        <f>SUMIFS(SIP[BO UNIT TRANSFER],SIP[Investor ID],INVESTORS_LIST[[#This Row],[INVESTOR CODE]],SIP[B/S],"S")</f>
        <v>0</v>
      </c>
      <c r="Z484" s="106">
        <f>SUM(INVESTORS_LIST[[#This Row],[BO OPENING BALANCE]:[BO SIP UNITS REPURCHASE]])</f>
        <v>0</v>
      </c>
      <c r="AA484" s="107">
        <f>INVESTORS_LIST[[#This Row],[TOTAL UNITS BUY]]-INVESTORS_LIST[[#This Row],[TOTAL UNITS SOLD]]</f>
        <v>1926</v>
      </c>
      <c r="AB484" s="107">
        <f>INVESTORS_LIST[[#This Row],[TOTAL CURRENT UNITS]]-INVESTORS_LIST[[#This Row],[BO UNITS HOLD]]</f>
        <v>1926</v>
      </c>
      <c r="AC484" s="201" t="e">
        <f>INDEX([3]!Table_1[BO ID],MATCH(INVESTORS_LIST[[#This Row],[INVESTOR CODE]],[3]!Table_1[INVESTOR CODE],0))</f>
        <v>#REF!</v>
      </c>
      <c r="AD484" s="201" t="e">
        <f>INDEX([3]!Table_1[Brokerage Name2],MATCH(INVESTORS_LIST[[#This Row],[INVESTOR CODE]],[3]!Table_1[INVESTOR CODE],0))</f>
        <v>#REF!</v>
      </c>
      <c r="AE484" s="201" t="e">
        <f>MID(INVESTORS_LIST[[#This Row],[BO ID]],4,5)</f>
        <v>#REF!</v>
      </c>
      <c r="AF484" s="201" t="e">
        <f>MID(INVESTORS_LIST[[#This Row],[BO ID]],2,7)</f>
        <v>#REF!</v>
      </c>
      <c r="AG484" s="201" t="e">
        <f>MID(INVESTORS_LIST[[#This Row],[BO ID]],9,7)</f>
        <v>#REF!</v>
      </c>
      <c r="AH484" s="201" t="e">
        <f>RIGHT(INVESTORS_LIST[[#This Row],[BO ID]],1)</f>
        <v>#REF!</v>
      </c>
      <c r="AI484" s="50">
        <f>INVESTORS_LIST[[#This Row],[LS_TOTAL COST VALUE OF CURRENT UNITS]]+INVESTORS_LIST[[#This Row],[SIP_TOTAL COST VALUE OF CURRENT UNITS]]</f>
        <v>20000</v>
      </c>
      <c r="AJ484" s="109">
        <f>IF(INVESTORS_LIST[[#This Row],[TOTAL CURRENT UNITS]]=0,0,INVESTORS_LIST[[#This Row],[LS_TOTAL CURRENT UNITS]]/INVESTORS_LIST[[#This Row],[TOTAL CURRENT UNITS]])</f>
        <v>0</v>
      </c>
      <c r="AK484" s="109">
        <f>IF(INVESTORS_LIST[[#This Row],[TOTAL CURRENT UNITS]]=0,0,INVESTORS_LIST[[#This Row],[SIP_TOTAL CURRENT UNITS]]/INVESTORS_LIST[[#This Row],[TOTAL CURRENT UNITS]])</f>
        <v>1</v>
      </c>
      <c r="AL484" s="49" cm="1">
        <f t="array" ref="AL4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4" s="49" cm="1">
        <f t="array" ref="AM484">IF(INVESTORS_LIST[[#This Row],[SIP_TOTAL UNITS BUY]]&gt;0,INDEX(SIP[NAV at Cost (Average)],MATCH(CONCATENATE(COUNTIFS(SIP[Investor ID],INVESTORS_LIST[[#This Row],[INVESTOR CODE]]),INVESTORS_LIST[[#This Row],[INVESTOR CODE]]),SIP[Unique Code],0),),0)</f>
        <v>10.384215991692628</v>
      </c>
      <c r="AN484" s="105">
        <f>IF(INVESTORS_LIST[[#This Row],[TOTAL CURRENT UNITS]]=0,0,(INVESTORS_LIST[[#This Row],[LS_WEIGHT]]*INVESTORS_LIST[[#This Row],[LS_AVERAGE COST]])+(INVESTORS_LIST[[#This Row],[SIP_WEIGHT]]*INVESTORS_LIST[[#This Row],[SIP_AVERAGE COST]]))</f>
        <v>10.384215991692628</v>
      </c>
      <c r="AO484" s="105">
        <f t="shared" si="8"/>
        <v>14.224</v>
      </c>
      <c r="AP484" s="112">
        <f>IF(INVESTORS_LIST[[#This Row],[TOTAL CURRENT UNITS]]=0,0,INVESTORS_LIST[[#This Row],[TOTAL CURRENT UNITS]]*INVESTORS_LIST[[#This Row],[NAV]])</f>
        <v>27395.423999999999</v>
      </c>
      <c r="AQ484" s="49">
        <f>IF(INVESTORS_LIST[[#This Row],[LS_TOTAL CURRENT UNITS]]=0,0,INVESTORS_LIST[[#This Row],[LS_TOTAL CURRENT UNITS]]*INVESTORS_LIST[[#This Row],[NAV]])</f>
        <v>0</v>
      </c>
      <c r="AR484" s="48">
        <f>IF(INVESTORS_LIST[[#This Row],[SIP_TOTAL CURRENT UNITS]]=0,0,INVESTORS_LIST[[#This Row],[SIP_TOTAL CURRENT UNITS]]*INVESTORS_LIST[[#This Row],[NAV]])</f>
        <v>27395.423999999999</v>
      </c>
      <c r="AS484" s="50">
        <f>INVESTORS_LIST[[#This Row],[TOTAL CURRENT UNITS]]</f>
        <v>1926</v>
      </c>
      <c r="AT484" s="48">
        <f>IF(INVESTORS_LIST[[#This Row],[TOTAL SELLABLE UNITS]]=0,0,INVESTORS_LIST[[#This Row],[TOTAL SELLABLE UNITS]]*INVESTORS_LIST[[#This Row],[NAV]])</f>
        <v>27395.423999999999</v>
      </c>
      <c r="AU484" s="48">
        <f>INVESTORS_LIST[[#This Row],[LS_TOTAL REALIZED GAIN]]+INVESTORS_LIST[[#This Row],[SIP_TOTAL REALIZED GAIN]]</f>
        <v>0</v>
      </c>
      <c r="AV484" s="48">
        <f>INVESTORS_LIST[[#This Row],[TOTAL MARKET VALUE]]-INVESTORS_LIST[[#This Row],[TOTAL COST VALUE OF CURRENT INVESTMENT]]</f>
        <v>7395.4239999999991</v>
      </c>
      <c r="AW484" s="108">
        <f>IFERROR(INVESTORS_LIST[[#This Row],[TOTAL CURRENT UNITS]]/SUM(INVESTORS_LIST[TOTAL CURRENT UNITS]),0)</f>
        <v>4.675597640789564E-5</v>
      </c>
    </row>
    <row r="485" spans="1:49">
      <c r="A485" s="262" t="s">
        <v>1015</v>
      </c>
      <c r="B485" s="97" t="s">
        <v>1016</v>
      </c>
      <c r="C485" t="s">
        <v>44</v>
      </c>
      <c r="D485" s="75" t="s">
        <v>45</v>
      </c>
      <c r="E485" s="47">
        <f>SUMIFS(LS[Unit],LS[Investor ID],INVESTORS_LIST[[#This Row],[INVESTOR CODE]],LS[B/S],"B")</f>
        <v>0</v>
      </c>
      <c r="F485" s="47">
        <f>-SUMIFS(LS[Unit],LS[Investor ID],INVESTORS_LIST[[#This Row],[INVESTOR CODE]],LS[B/S],"S")</f>
        <v>0</v>
      </c>
      <c r="G485" s="47">
        <f>IF(INVESTORS_LIST[[#This Row],[LS_TOTAL UNITS BUY]]=0,0,INVESTORS_LIST[[#This Row],[LS_TOTAL UNITS BUY]]-INVESTORS_LIST[[#This Row],[LS_TOTAL UNITS SOLD]])</f>
        <v>0</v>
      </c>
      <c r="H485" s="49">
        <f>IF(INVESTORS_LIST[[#This Row],[LS_TOTAL UNITS BUY]]=0,0,SUMIFS(LS[Amount],LS[Investor ID],INVESTORS_LIST[[#This Row],[INVESTOR CODE]],LS[B/S],"B"))</f>
        <v>0</v>
      </c>
      <c r="I485" s="48">
        <f>IF(INVESTORS_LIST[[#This Row],[LS_TOTAL UNITS SOLD]]=0,0,SUMIFS(LS[Cost of Units Sold],LS[Investor ID],INVESTORS_LIST[[#This Row],[INVESTOR CODE]],LS[B/S],"S"))</f>
        <v>0</v>
      </c>
      <c r="J485" s="48">
        <f>IF(INVESTORS_LIST[[#This Row],[LS_TOTAL CURRENT UNITS]]=0,0,INVESTORS_LIST[[#This Row],[LS_TOTAL CURRENT UNITS]]*INVESTORS_LIST[[#This Row],[LS_AVERAGE COST]])</f>
        <v>0</v>
      </c>
      <c r="K485" s="49">
        <f>IF(INVESTORS_LIST[[#This Row],[LS_TOTAL UNITS SOLD]]=0,0,SUMIFS(LS[Realized Gain],LS[Investor ID],INVESTORS_LIST[[#This Row],[INVESTOR CODE]],LS[B/S],"S"))</f>
        <v>0</v>
      </c>
      <c r="L485" s="47">
        <f>SUMIFS(SIP[Unit],SIP[Investor ID],INVESTORS_LIST[[#This Row],[INVESTOR CODE]],SIP[B/S],"B")</f>
        <v>9166</v>
      </c>
      <c r="M485" s="47">
        <f>-SUMIFS(SIP[Unit],SIP[Investor ID],INVESTORS_LIST[[#This Row],[INVESTOR CODE]],SIP[B/S],"S")</f>
        <v>1173</v>
      </c>
      <c r="N485" s="50">
        <f>IF(INVESTORS_LIST[[#This Row],[SIP_TOTAL UNITS BUY]]=0,0,INVESTORS_LIST[[#This Row],[SIP_TOTAL UNITS BUY]]-INVESTORS_LIST[[#This Row],[SIP_TOTAL UNITS SOLD]])</f>
        <v>7993</v>
      </c>
      <c r="O485" s="49">
        <f>IF(INVESTORS_LIST[[#This Row],[SIP_TOTAL UNITS BUY]]=0,0,SUMIFS(SIP[Amount],SIP[Investor ID],INVESTORS_LIST[[#This Row],[INVESTOR CODE]],SIP[B/S],"B"))</f>
        <v>105000</v>
      </c>
      <c r="P485" s="49">
        <f>IF(INVESTORS_LIST[[#This Row],[SIP_TOTAL UNITS SOLD]]=0,0,SUMIFS(SIP[Cost of Units Sold],SIP[Investor ID],INVESTORS_LIST[[#This Row],[INVESTOR CODE]],SIP[B/S],"S"))</f>
        <v>12980.528444603206</v>
      </c>
      <c r="Q485" s="48">
        <f>IF(INVESTORS_LIST[[#This Row],[SIP_TOTAL CURRENT UNITS]]=0,0,INVESTORS_LIST[[#This Row],[SIP_TOTAL CURRENT UNITS]]*INVESTORS_LIST[[#This Row],[SIP_AVERAGE COST]])</f>
        <v>92019.471555396769</v>
      </c>
      <c r="R485" s="48">
        <f>IF(INVESTORS_LIST[[#This Row],[SIP_TOTAL UNITS SOLD]]=0,0,SUMIFS(SIP[Realized Gain],SIP[Investor ID],INVESTORS_LIST[[#This Row],[INVESTOR CODE]],SIP[B/S],"S"))</f>
        <v>2019.471555396794</v>
      </c>
      <c r="S485" s="50">
        <f>INVESTORS_LIST[[#This Row],[LS_TOTAL UNITS BUY]]+INVESTORS_LIST[[#This Row],[SIP_TOTAL UNITS BUY]]</f>
        <v>9166</v>
      </c>
      <c r="T485" s="50">
        <f>INVESTORS_LIST[[#This Row],[LS_TOTAL UNITS SOLD]]+INVESTORS_LIST[[#This Row],[SIP_TOTAL UNITS SOLD]]</f>
        <v>1173</v>
      </c>
      <c r="U485" s="50"/>
      <c r="V485" s="50">
        <f>SUMIFS(LS[BO UNIT TRANSFER],LS[Investor ID],INVESTORS_LIST[[#This Row],[INVESTOR CODE]],LS[B/S],"B")</f>
        <v>0</v>
      </c>
      <c r="W485" s="50">
        <f>SUMIFS(SIP[BO UNIT TRANSFER],SIP[Investor ID],INVESTORS_LIST[[#This Row],[INVESTOR CODE]],SIP[B/S],"B")</f>
        <v>0</v>
      </c>
      <c r="X485" s="50">
        <f>SUMIFS(LS[BO UNIT TRANSFER],LS[Investor ID],INVESTORS_LIST[[#This Row],[INVESTOR CODE]],LS[B/S],"S")</f>
        <v>0</v>
      </c>
      <c r="Y485" s="50">
        <f>SUMIFS(SIP[BO UNIT TRANSFER],SIP[Investor ID],INVESTORS_LIST[[#This Row],[INVESTOR CODE]],SIP[B/S],"S")</f>
        <v>0</v>
      </c>
      <c r="Z485" s="106">
        <f>SUM(INVESTORS_LIST[[#This Row],[BO OPENING BALANCE]:[BO SIP UNITS REPURCHASE]])</f>
        <v>0</v>
      </c>
      <c r="AA485" s="107">
        <f>INVESTORS_LIST[[#This Row],[TOTAL UNITS BUY]]-INVESTORS_LIST[[#This Row],[TOTAL UNITS SOLD]]</f>
        <v>7993</v>
      </c>
      <c r="AB485" s="107">
        <f>INVESTORS_LIST[[#This Row],[TOTAL CURRENT UNITS]]-INVESTORS_LIST[[#This Row],[BO UNITS HOLD]]</f>
        <v>7993</v>
      </c>
      <c r="AC485" s="201" t="e">
        <f>INDEX([3]!Table_1[BO ID],MATCH(INVESTORS_LIST[[#This Row],[INVESTOR CODE]],[3]!Table_1[INVESTOR CODE],0))</f>
        <v>#REF!</v>
      </c>
      <c r="AD485" s="201" t="e">
        <f>INDEX([3]!Table_1[Brokerage Name2],MATCH(INVESTORS_LIST[[#This Row],[INVESTOR CODE]],[3]!Table_1[INVESTOR CODE],0))</f>
        <v>#REF!</v>
      </c>
      <c r="AE485" s="201" t="e">
        <f>MID(INVESTORS_LIST[[#This Row],[BO ID]],4,5)</f>
        <v>#REF!</v>
      </c>
      <c r="AF485" s="201" t="e">
        <f>MID(INVESTORS_LIST[[#This Row],[BO ID]],2,7)</f>
        <v>#REF!</v>
      </c>
      <c r="AG485" s="201" t="e">
        <f>MID(INVESTORS_LIST[[#This Row],[BO ID]],9,7)</f>
        <v>#REF!</v>
      </c>
      <c r="AH485" s="201" t="e">
        <f>RIGHT(INVESTORS_LIST[[#This Row],[BO ID]],1)</f>
        <v>#REF!</v>
      </c>
      <c r="AI485" s="50">
        <f>INVESTORS_LIST[[#This Row],[LS_TOTAL COST VALUE OF CURRENT UNITS]]+INVESTORS_LIST[[#This Row],[SIP_TOTAL COST VALUE OF CURRENT UNITS]]</f>
        <v>92019.471555396769</v>
      </c>
      <c r="AJ485" s="109">
        <f>IF(INVESTORS_LIST[[#This Row],[TOTAL CURRENT UNITS]]=0,0,INVESTORS_LIST[[#This Row],[LS_TOTAL CURRENT UNITS]]/INVESTORS_LIST[[#This Row],[TOTAL CURRENT UNITS]])</f>
        <v>0</v>
      </c>
      <c r="AK485" s="109">
        <f>IF(INVESTORS_LIST[[#This Row],[TOTAL CURRENT UNITS]]=0,0,INVESTORS_LIST[[#This Row],[SIP_TOTAL CURRENT UNITS]]/INVESTORS_LIST[[#This Row],[TOTAL CURRENT UNITS]])</f>
        <v>1</v>
      </c>
      <c r="AL485" s="49" cm="1">
        <f t="array" ref="AL4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5" s="49" cm="1">
        <f t="array" ref="AM485">IF(INVESTORS_LIST[[#This Row],[SIP_TOTAL UNITS BUY]]&gt;0,INDEX(SIP[NAV at Cost (Average)],MATCH(CONCATENATE(COUNTIFS(SIP[Investor ID],INVESTORS_LIST[[#This Row],[INVESTOR CODE]]),INVESTORS_LIST[[#This Row],[INVESTOR CODE]]),SIP[Unique Code],0),),0)</f>
        <v>11.512507388389437</v>
      </c>
      <c r="AN485" s="105">
        <f>IF(INVESTORS_LIST[[#This Row],[TOTAL CURRENT UNITS]]=0,0,(INVESTORS_LIST[[#This Row],[LS_WEIGHT]]*INVESTORS_LIST[[#This Row],[LS_AVERAGE COST]])+(INVESTORS_LIST[[#This Row],[SIP_WEIGHT]]*INVESTORS_LIST[[#This Row],[SIP_AVERAGE COST]]))</f>
        <v>11.512507388389437</v>
      </c>
      <c r="AO485" s="105">
        <f t="shared" si="8"/>
        <v>14.224</v>
      </c>
      <c r="AP485" s="112">
        <f>IF(INVESTORS_LIST[[#This Row],[TOTAL CURRENT UNITS]]=0,0,INVESTORS_LIST[[#This Row],[TOTAL CURRENT UNITS]]*INVESTORS_LIST[[#This Row],[NAV]])</f>
        <v>113692.432</v>
      </c>
      <c r="AQ485" s="49">
        <f>IF(INVESTORS_LIST[[#This Row],[LS_TOTAL CURRENT UNITS]]=0,0,INVESTORS_LIST[[#This Row],[LS_TOTAL CURRENT UNITS]]*INVESTORS_LIST[[#This Row],[NAV]])</f>
        <v>0</v>
      </c>
      <c r="AR485" s="48">
        <f>IF(INVESTORS_LIST[[#This Row],[SIP_TOTAL CURRENT UNITS]]=0,0,INVESTORS_LIST[[#This Row],[SIP_TOTAL CURRENT UNITS]]*INVESTORS_LIST[[#This Row],[NAV]])</f>
        <v>113692.432</v>
      </c>
      <c r="AS485" s="50">
        <f>INVESTORS_LIST[[#This Row],[TOTAL CURRENT UNITS]]</f>
        <v>7993</v>
      </c>
      <c r="AT485" s="48">
        <f>IF(INVESTORS_LIST[[#This Row],[TOTAL SELLABLE UNITS]]=0,0,INVESTORS_LIST[[#This Row],[TOTAL SELLABLE UNITS]]*INVESTORS_LIST[[#This Row],[NAV]])</f>
        <v>113692.432</v>
      </c>
      <c r="AU485" s="48">
        <f>INVESTORS_LIST[[#This Row],[LS_TOTAL REALIZED GAIN]]+INVESTORS_LIST[[#This Row],[SIP_TOTAL REALIZED GAIN]]</f>
        <v>2019.471555396794</v>
      </c>
      <c r="AV485" s="48">
        <f>INVESTORS_LIST[[#This Row],[TOTAL MARKET VALUE]]-INVESTORS_LIST[[#This Row],[TOTAL COST VALUE OF CURRENT INVESTMENT]]</f>
        <v>21672.960444603232</v>
      </c>
      <c r="AW485" s="108">
        <f>IFERROR(INVESTORS_LIST[[#This Row],[TOTAL CURRENT UNITS]]/SUM(INVESTORS_LIST[TOTAL CURRENT UNITS]),0)</f>
        <v>1.9403972971355652E-4</v>
      </c>
    </row>
    <row r="486" spans="1:49">
      <c r="A486" s="262" t="s">
        <v>1017</v>
      </c>
      <c r="B486" s="97" t="s">
        <v>1018</v>
      </c>
      <c r="C486" t="s">
        <v>67</v>
      </c>
      <c r="D486" s="75" t="s">
        <v>45</v>
      </c>
      <c r="E486" s="47">
        <f>SUMIFS(LS[Unit],LS[Investor ID],INVESTORS_LIST[[#This Row],[INVESTOR CODE]],LS[B/S],"B")</f>
        <v>0</v>
      </c>
      <c r="F486" s="47">
        <f>-SUMIFS(LS[Unit],LS[Investor ID],INVESTORS_LIST[[#This Row],[INVESTOR CODE]],LS[B/S],"S")</f>
        <v>0</v>
      </c>
      <c r="G486" s="47">
        <f>IF(INVESTORS_LIST[[#This Row],[LS_TOTAL UNITS BUY]]=0,0,INVESTORS_LIST[[#This Row],[LS_TOTAL UNITS BUY]]-INVESTORS_LIST[[#This Row],[LS_TOTAL UNITS SOLD]])</f>
        <v>0</v>
      </c>
      <c r="H486" s="49">
        <f>IF(INVESTORS_LIST[[#This Row],[LS_TOTAL UNITS BUY]]=0,0,SUMIFS(LS[Amount],LS[Investor ID],INVESTORS_LIST[[#This Row],[INVESTOR CODE]],LS[B/S],"B"))</f>
        <v>0</v>
      </c>
      <c r="I486" s="48">
        <f>IF(INVESTORS_LIST[[#This Row],[LS_TOTAL UNITS SOLD]]=0,0,SUMIFS(LS[Cost of Units Sold],LS[Investor ID],INVESTORS_LIST[[#This Row],[INVESTOR CODE]],LS[B/S],"S"))</f>
        <v>0</v>
      </c>
      <c r="J486" s="48">
        <f>IF(INVESTORS_LIST[[#This Row],[LS_TOTAL CURRENT UNITS]]=0,0,INVESTORS_LIST[[#This Row],[LS_TOTAL CURRENT UNITS]]*INVESTORS_LIST[[#This Row],[LS_AVERAGE COST]])</f>
        <v>0</v>
      </c>
      <c r="K486" s="49">
        <f>IF(INVESTORS_LIST[[#This Row],[LS_TOTAL UNITS SOLD]]=0,0,SUMIFS(LS[Realized Gain],LS[Investor ID],INVESTORS_LIST[[#This Row],[INVESTOR CODE]],LS[B/S],"S"))</f>
        <v>0</v>
      </c>
      <c r="L486" s="47">
        <f>SUMIFS(SIP[Unit],SIP[Investor ID],INVESTORS_LIST[[#This Row],[INVESTOR CODE]],SIP[B/S],"B")</f>
        <v>22964</v>
      </c>
      <c r="M486" s="47">
        <f>-SUMIFS(SIP[Unit],SIP[Investor ID],INVESTORS_LIST[[#This Row],[INVESTOR CODE]],SIP[B/S],"S")</f>
        <v>0</v>
      </c>
      <c r="N486" s="50">
        <f>IF(INVESTORS_LIST[[#This Row],[SIP_TOTAL UNITS BUY]]=0,0,INVESTORS_LIST[[#This Row],[SIP_TOTAL UNITS BUY]]-INVESTORS_LIST[[#This Row],[SIP_TOTAL UNITS SOLD]])</f>
        <v>22964</v>
      </c>
      <c r="O486" s="49">
        <f>IF(INVESTORS_LIST[[#This Row],[SIP_TOTAL UNITS BUY]]=0,0,SUMIFS(SIP[Amount],SIP[Investor ID],INVESTORS_LIST[[#This Row],[INVESTOR CODE]],SIP[B/S],"B"))</f>
        <v>275000</v>
      </c>
      <c r="P486" s="49">
        <f>IF(INVESTORS_LIST[[#This Row],[SIP_TOTAL UNITS SOLD]]=0,0,SUMIFS(SIP[Cost of Units Sold],SIP[Investor ID],INVESTORS_LIST[[#This Row],[INVESTOR CODE]],SIP[B/S],"S"))</f>
        <v>0</v>
      </c>
      <c r="Q486" s="48">
        <f>IF(INVESTORS_LIST[[#This Row],[SIP_TOTAL CURRENT UNITS]]=0,0,INVESTORS_LIST[[#This Row],[SIP_TOTAL CURRENT UNITS]]*INVESTORS_LIST[[#This Row],[SIP_AVERAGE COST]])</f>
        <v>275000.00000000006</v>
      </c>
      <c r="R486" s="48">
        <f>IF(INVESTORS_LIST[[#This Row],[SIP_TOTAL UNITS SOLD]]=0,0,SUMIFS(SIP[Realized Gain],SIP[Investor ID],INVESTORS_LIST[[#This Row],[INVESTOR CODE]],SIP[B/S],"S"))</f>
        <v>0</v>
      </c>
      <c r="S486" s="50">
        <f>INVESTORS_LIST[[#This Row],[LS_TOTAL UNITS BUY]]+INVESTORS_LIST[[#This Row],[SIP_TOTAL UNITS BUY]]</f>
        <v>22964</v>
      </c>
      <c r="T486" s="50">
        <f>INVESTORS_LIST[[#This Row],[LS_TOTAL UNITS SOLD]]+INVESTORS_LIST[[#This Row],[SIP_TOTAL UNITS SOLD]]</f>
        <v>0</v>
      </c>
      <c r="U486" s="50"/>
      <c r="V486" s="50">
        <f>SUMIFS(LS[BO UNIT TRANSFER],LS[Investor ID],INVESTORS_LIST[[#This Row],[INVESTOR CODE]],LS[B/S],"B")</f>
        <v>0</v>
      </c>
      <c r="W486" s="50">
        <f>SUMIFS(SIP[BO UNIT TRANSFER],SIP[Investor ID],INVESTORS_LIST[[#This Row],[INVESTOR CODE]],SIP[B/S],"B")</f>
        <v>0</v>
      </c>
      <c r="X486" s="50">
        <f>SUMIFS(LS[BO UNIT TRANSFER],LS[Investor ID],INVESTORS_LIST[[#This Row],[INVESTOR CODE]],LS[B/S],"S")</f>
        <v>0</v>
      </c>
      <c r="Y486" s="50">
        <f>SUMIFS(SIP[BO UNIT TRANSFER],SIP[Investor ID],INVESTORS_LIST[[#This Row],[INVESTOR CODE]],SIP[B/S],"S")</f>
        <v>0</v>
      </c>
      <c r="Z486" s="106">
        <f>SUM(INVESTORS_LIST[[#This Row],[BO OPENING BALANCE]:[BO SIP UNITS REPURCHASE]])</f>
        <v>0</v>
      </c>
      <c r="AA486" s="107">
        <f>INVESTORS_LIST[[#This Row],[TOTAL UNITS BUY]]-INVESTORS_LIST[[#This Row],[TOTAL UNITS SOLD]]</f>
        <v>22964</v>
      </c>
      <c r="AB486" s="107">
        <f>INVESTORS_LIST[[#This Row],[TOTAL CURRENT UNITS]]-INVESTORS_LIST[[#This Row],[BO UNITS HOLD]]</f>
        <v>22964</v>
      </c>
      <c r="AC486" s="201" t="e">
        <f>INDEX([3]!Table_1[BO ID],MATCH(INVESTORS_LIST[[#This Row],[INVESTOR CODE]],[3]!Table_1[INVESTOR CODE],0))</f>
        <v>#REF!</v>
      </c>
      <c r="AD486" s="201" t="e">
        <f>INDEX([3]!Table_1[Brokerage Name2],MATCH(INVESTORS_LIST[[#This Row],[INVESTOR CODE]],[3]!Table_1[INVESTOR CODE],0))</f>
        <v>#REF!</v>
      </c>
      <c r="AE486" s="201" t="e">
        <f>MID(INVESTORS_LIST[[#This Row],[BO ID]],4,5)</f>
        <v>#REF!</v>
      </c>
      <c r="AF486" s="201" t="e">
        <f>MID(INVESTORS_LIST[[#This Row],[BO ID]],2,7)</f>
        <v>#REF!</v>
      </c>
      <c r="AG486" s="201" t="e">
        <f>MID(INVESTORS_LIST[[#This Row],[BO ID]],9,7)</f>
        <v>#REF!</v>
      </c>
      <c r="AH486" s="201" t="e">
        <f>RIGHT(INVESTORS_LIST[[#This Row],[BO ID]],1)</f>
        <v>#REF!</v>
      </c>
      <c r="AI486" s="50">
        <f>INVESTORS_LIST[[#This Row],[LS_TOTAL COST VALUE OF CURRENT UNITS]]+INVESTORS_LIST[[#This Row],[SIP_TOTAL COST VALUE OF CURRENT UNITS]]</f>
        <v>275000.00000000006</v>
      </c>
      <c r="AJ486" s="109">
        <f>IF(INVESTORS_LIST[[#This Row],[TOTAL CURRENT UNITS]]=0,0,INVESTORS_LIST[[#This Row],[LS_TOTAL CURRENT UNITS]]/INVESTORS_LIST[[#This Row],[TOTAL CURRENT UNITS]])</f>
        <v>0</v>
      </c>
      <c r="AK486" s="109">
        <f>IF(INVESTORS_LIST[[#This Row],[TOTAL CURRENT UNITS]]=0,0,INVESTORS_LIST[[#This Row],[SIP_TOTAL CURRENT UNITS]]/INVESTORS_LIST[[#This Row],[TOTAL CURRENT UNITS]])</f>
        <v>1</v>
      </c>
      <c r="AL486" s="49" cm="1">
        <f t="array" ref="AL4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6" s="49" cm="1">
        <f t="array" ref="AM486">IF(INVESTORS_LIST[[#This Row],[SIP_TOTAL UNITS BUY]]&gt;0,INDEX(SIP[NAV at Cost (Average)],MATCH(CONCATENATE(COUNTIFS(SIP[Investor ID],INVESTORS_LIST[[#This Row],[INVESTOR CODE]]),INVESTORS_LIST[[#This Row],[INVESTOR CODE]]),SIP[Unique Code],0),),0)</f>
        <v>11.975265633164955</v>
      </c>
      <c r="AN486" s="105">
        <f>IF(INVESTORS_LIST[[#This Row],[TOTAL CURRENT UNITS]]=0,0,(INVESTORS_LIST[[#This Row],[LS_WEIGHT]]*INVESTORS_LIST[[#This Row],[LS_AVERAGE COST]])+(INVESTORS_LIST[[#This Row],[SIP_WEIGHT]]*INVESTORS_LIST[[#This Row],[SIP_AVERAGE COST]]))</f>
        <v>11.975265633164955</v>
      </c>
      <c r="AO486" s="105">
        <f t="shared" si="8"/>
        <v>14.224</v>
      </c>
      <c r="AP486" s="112">
        <f>IF(INVESTORS_LIST[[#This Row],[TOTAL CURRENT UNITS]]=0,0,INVESTORS_LIST[[#This Row],[TOTAL CURRENT UNITS]]*INVESTORS_LIST[[#This Row],[NAV]])</f>
        <v>326639.93599999999</v>
      </c>
      <c r="AQ486" s="49">
        <f>IF(INVESTORS_LIST[[#This Row],[LS_TOTAL CURRENT UNITS]]=0,0,INVESTORS_LIST[[#This Row],[LS_TOTAL CURRENT UNITS]]*INVESTORS_LIST[[#This Row],[NAV]])</f>
        <v>0</v>
      </c>
      <c r="AR486" s="48">
        <f>IF(INVESTORS_LIST[[#This Row],[SIP_TOTAL CURRENT UNITS]]=0,0,INVESTORS_LIST[[#This Row],[SIP_TOTAL CURRENT UNITS]]*INVESTORS_LIST[[#This Row],[NAV]])</f>
        <v>326639.93599999999</v>
      </c>
      <c r="AS486" s="50">
        <f>INVESTORS_LIST[[#This Row],[TOTAL CURRENT UNITS]]</f>
        <v>22964</v>
      </c>
      <c r="AT486" s="48">
        <f>IF(INVESTORS_LIST[[#This Row],[TOTAL SELLABLE UNITS]]=0,0,INVESTORS_LIST[[#This Row],[TOTAL SELLABLE UNITS]]*INVESTORS_LIST[[#This Row],[NAV]])</f>
        <v>326639.93599999999</v>
      </c>
      <c r="AU486" s="48">
        <f>INVESTORS_LIST[[#This Row],[LS_TOTAL REALIZED GAIN]]+INVESTORS_LIST[[#This Row],[SIP_TOTAL REALIZED GAIN]]</f>
        <v>0</v>
      </c>
      <c r="AV486" s="48">
        <f>INVESTORS_LIST[[#This Row],[TOTAL MARKET VALUE]]-INVESTORS_LIST[[#This Row],[TOTAL COST VALUE OF CURRENT INVESTMENT]]</f>
        <v>51639.935999999929</v>
      </c>
      <c r="AW486" s="108">
        <f>IFERROR(INVESTORS_LIST[[#This Row],[TOTAL CURRENT UNITS]]/SUM(INVESTORS_LIST[TOTAL CURRENT UNITS]),0)</f>
        <v>5.5747883812612442E-4</v>
      </c>
    </row>
    <row r="487" spans="1:49">
      <c r="A487" s="262" t="s">
        <v>1019</v>
      </c>
      <c r="B487" s="97" t="s">
        <v>1020</v>
      </c>
      <c r="C487" t="s">
        <v>44</v>
      </c>
      <c r="D487" s="75" t="s">
        <v>45</v>
      </c>
      <c r="E487" s="47">
        <f>SUMIFS(LS[Unit],LS[Investor ID],INVESTORS_LIST[[#This Row],[INVESTOR CODE]],LS[B/S],"B")</f>
        <v>0</v>
      </c>
      <c r="F487" s="47">
        <f>-SUMIFS(LS[Unit],LS[Investor ID],INVESTORS_LIST[[#This Row],[INVESTOR CODE]],LS[B/S],"S")</f>
        <v>0</v>
      </c>
      <c r="G487" s="47">
        <f>IF(INVESTORS_LIST[[#This Row],[LS_TOTAL UNITS BUY]]=0,0,INVESTORS_LIST[[#This Row],[LS_TOTAL UNITS BUY]]-INVESTORS_LIST[[#This Row],[LS_TOTAL UNITS SOLD]])</f>
        <v>0</v>
      </c>
      <c r="H487" s="49">
        <f>IF(INVESTORS_LIST[[#This Row],[LS_TOTAL UNITS BUY]]=0,0,SUMIFS(LS[Amount],LS[Investor ID],INVESTORS_LIST[[#This Row],[INVESTOR CODE]],LS[B/S],"B"))</f>
        <v>0</v>
      </c>
      <c r="I487" s="48">
        <f>IF(INVESTORS_LIST[[#This Row],[LS_TOTAL UNITS SOLD]]=0,0,SUMIFS(LS[Cost of Units Sold],LS[Investor ID],INVESTORS_LIST[[#This Row],[INVESTOR CODE]],LS[B/S],"S"))</f>
        <v>0</v>
      </c>
      <c r="J487" s="48">
        <f>IF(INVESTORS_LIST[[#This Row],[LS_TOTAL CURRENT UNITS]]=0,0,INVESTORS_LIST[[#This Row],[LS_TOTAL CURRENT UNITS]]*INVESTORS_LIST[[#This Row],[LS_AVERAGE COST]])</f>
        <v>0</v>
      </c>
      <c r="K487" s="49">
        <f>IF(INVESTORS_LIST[[#This Row],[LS_TOTAL UNITS SOLD]]=0,0,SUMIFS(LS[Realized Gain],LS[Investor ID],INVESTORS_LIST[[#This Row],[INVESTOR CODE]],LS[B/S],"S"))</f>
        <v>0</v>
      </c>
      <c r="L487" s="47">
        <f>SUMIFS(SIP[Unit],SIP[Investor ID],INVESTORS_LIST[[#This Row],[INVESTOR CODE]],SIP[B/S],"B")</f>
        <v>14458</v>
      </c>
      <c r="M487" s="47">
        <f>-SUMIFS(SIP[Unit],SIP[Investor ID],INVESTORS_LIST[[#This Row],[INVESTOR CODE]],SIP[B/S],"S")</f>
        <v>0</v>
      </c>
      <c r="N487" s="50">
        <f>IF(INVESTORS_LIST[[#This Row],[SIP_TOTAL UNITS BUY]]=0,0,INVESTORS_LIST[[#This Row],[SIP_TOTAL UNITS BUY]]-INVESTORS_LIST[[#This Row],[SIP_TOTAL UNITS SOLD]])</f>
        <v>14458</v>
      </c>
      <c r="O487" s="49">
        <f>IF(INVESTORS_LIST[[#This Row],[SIP_TOTAL UNITS BUY]]=0,0,SUMIFS(SIP[Amount],SIP[Investor ID],INVESTORS_LIST[[#This Row],[INVESTOR CODE]],SIP[B/S],"B"))</f>
        <v>170000</v>
      </c>
      <c r="P487" s="49">
        <f>IF(INVESTORS_LIST[[#This Row],[SIP_TOTAL UNITS SOLD]]=0,0,SUMIFS(SIP[Cost of Units Sold],SIP[Investor ID],INVESTORS_LIST[[#This Row],[INVESTOR CODE]],SIP[B/S],"S"))</f>
        <v>0</v>
      </c>
      <c r="Q487" s="48">
        <f>IF(INVESTORS_LIST[[#This Row],[SIP_TOTAL CURRENT UNITS]]=0,0,INVESTORS_LIST[[#This Row],[SIP_TOTAL CURRENT UNITS]]*INVESTORS_LIST[[#This Row],[SIP_AVERAGE COST]])</f>
        <v>169999.99999999994</v>
      </c>
      <c r="R487" s="48">
        <f>IF(INVESTORS_LIST[[#This Row],[SIP_TOTAL UNITS SOLD]]=0,0,SUMIFS(SIP[Realized Gain],SIP[Investor ID],INVESTORS_LIST[[#This Row],[INVESTOR CODE]],SIP[B/S],"S"))</f>
        <v>0</v>
      </c>
      <c r="S487" s="50">
        <f>INVESTORS_LIST[[#This Row],[LS_TOTAL UNITS BUY]]+INVESTORS_LIST[[#This Row],[SIP_TOTAL UNITS BUY]]</f>
        <v>14458</v>
      </c>
      <c r="T487" s="50">
        <f>INVESTORS_LIST[[#This Row],[LS_TOTAL UNITS SOLD]]+INVESTORS_LIST[[#This Row],[SIP_TOTAL UNITS SOLD]]</f>
        <v>0</v>
      </c>
      <c r="U487" s="50">
        <v>13387</v>
      </c>
      <c r="V487" s="50">
        <f>SUMIFS(LS[BO UNIT TRANSFER],LS[Investor ID],INVESTORS_LIST[[#This Row],[INVESTOR CODE]],LS[B/S],"B")</f>
        <v>0</v>
      </c>
      <c r="W487" s="50">
        <f>SUMIFS(SIP[BO UNIT TRANSFER],SIP[Investor ID],INVESTORS_LIST[[#This Row],[INVESTOR CODE]],SIP[B/S],"B")</f>
        <v>718</v>
      </c>
      <c r="X487" s="50">
        <f>SUMIFS(LS[BO UNIT TRANSFER],LS[Investor ID],INVESTORS_LIST[[#This Row],[INVESTOR CODE]],LS[B/S],"S")</f>
        <v>0</v>
      </c>
      <c r="Y487" s="50">
        <f>SUMIFS(SIP[BO UNIT TRANSFER],SIP[Investor ID],INVESTORS_LIST[[#This Row],[INVESTOR CODE]],SIP[B/S],"S")</f>
        <v>0</v>
      </c>
      <c r="Z487" s="106">
        <f>SUM(INVESTORS_LIST[[#This Row],[BO OPENING BALANCE]:[BO SIP UNITS REPURCHASE]])</f>
        <v>14105</v>
      </c>
      <c r="AA487" s="107">
        <f>INVESTORS_LIST[[#This Row],[TOTAL UNITS BUY]]-INVESTORS_LIST[[#This Row],[TOTAL UNITS SOLD]]</f>
        <v>14458</v>
      </c>
      <c r="AB487" s="107">
        <f>INVESTORS_LIST[[#This Row],[TOTAL CURRENT UNITS]]-INVESTORS_LIST[[#This Row],[BO UNITS HOLD]]</f>
        <v>353</v>
      </c>
      <c r="AC487" s="201" t="e">
        <f>INDEX([3]!Table_1[BO ID],MATCH(INVESTORS_LIST[[#This Row],[INVESTOR CODE]],[3]!Table_1[INVESTOR CODE],0))</f>
        <v>#REF!</v>
      </c>
      <c r="AD487" s="201" t="e">
        <f>INDEX([3]!Table_1[Brokerage Name2],MATCH(INVESTORS_LIST[[#This Row],[INVESTOR CODE]],[3]!Table_1[INVESTOR CODE],0))</f>
        <v>#REF!</v>
      </c>
      <c r="AE487" s="201" t="e">
        <f>MID(INVESTORS_LIST[[#This Row],[BO ID]],4,5)</f>
        <v>#REF!</v>
      </c>
      <c r="AF487" s="201" t="e">
        <f>MID(INVESTORS_LIST[[#This Row],[BO ID]],2,7)</f>
        <v>#REF!</v>
      </c>
      <c r="AG487" s="201" t="e">
        <f>MID(INVESTORS_LIST[[#This Row],[BO ID]],9,7)</f>
        <v>#REF!</v>
      </c>
      <c r="AH487" s="201" t="e">
        <f>RIGHT(INVESTORS_LIST[[#This Row],[BO ID]],1)</f>
        <v>#REF!</v>
      </c>
      <c r="AI487" s="50">
        <f>INVESTORS_LIST[[#This Row],[LS_TOTAL COST VALUE OF CURRENT UNITS]]+INVESTORS_LIST[[#This Row],[SIP_TOTAL COST VALUE OF CURRENT UNITS]]</f>
        <v>169999.99999999994</v>
      </c>
      <c r="AJ487" s="109">
        <f>IF(INVESTORS_LIST[[#This Row],[TOTAL CURRENT UNITS]]=0,0,INVESTORS_LIST[[#This Row],[LS_TOTAL CURRENT UNITS]]/INVESTORS_LIST[[#This Row],[TOTAL CURRENT UNITS]])</f>
        <v>0</v>
      </c>
      <c r="AK487" s="109">
        <f>IF(INVESTORS_LIST[[#This Row],[TOTAL CURRENT UNITS]]=0,0,INVESTORS_LIST[[#This Row],[SIP_TOTAL CURRENT UNITS]]/INVESTORS_LIST[[#This Row],[TOTAL CURRENT UNITS]])</f>
        <v>1</v>
      </c>
      <c r="AL487" s="49" cm="1">
        <f t="array" ref="AL4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7" s="49" cm="1">
        <f t="array" ref="AM487">IF(INVESTORS_LIST[[#This Row],[SIP_TOTAL UNITS BUY]]&gt;0,INDEX(SIP[NAV at Cost (Average)],MATCH(CONCATENATE(COUNTIFS(SIP[Investor ID],INVESTORS_LIST[[#This Row],[INVESTOR CODE]]),INVESTORS_LIST[[#This Row],[INVESTOR CODE]]),SIP[Unique Code],0),),0)</f>
        <v>11.758196154378195</v>
      </c>
      <c r="AN487" s="105">
        <f>IF(INVESTORS_LIST[[#This Row],[TOTAL CURRENT UNITS]]=0,0,(INVESTORS_LIST[[#This Row],[LS_WEIGHT]]*INVESTORS_LIST[[#This Row],[LS_AVERAGE COST]])+(INVESTORS_LIST[[#This Row],[SIP_WEIGHT]]*INVESTORS_LIST[[#This Row],[SIP_AVERAGE COST]]))</f>
        <v>11.758196154378195</v>
      </c>
      <c r="AO487" s="105">
        <f t="shared" si="8"/>
        <v>14.224</v>
      </c>
      <c r="AP487" s="112">
        <f>IF(INVESTORS_LIST[[#This Row],[TOTAL CURRENT UNITS]]=0,0,INVESTORS_LIST[[#This Row],[TOTAL CURRENT UNITS]]*INVESTORS_LIST[[#This Row],[NAV]])</f>
        <v>205650.592</v>
      </c>
      <c r="AQ487" s="49">
        <f>IF(INVESTORS_LIST[[#This Row],[LS_TOTAL CURRENT UNITS]]=0,0,INVESTORS_LIST[[#This Row],[LS_TOTAL CURRENT UNITS]]*INVESTORS_LIST[[#This Row],[NAV]])</f>
        <v>0</v>
      </c>
      <c r="AR487" s="48">
        <f>IF(INVESTORS_LIST[[#This Row],[SIP_TOTAL CURRENT UNITS]]=0,0,INVESTORS_LIST[[#This Row],[SIP_TOTAL CURRENT UNITS]]*INVESTORS_LIST[[#This Row],[NAV]])</f>
        <v>205650.592</v>
      </c>
      <c r="AS487" s="50">
        <f>INVESTORS_LIST[[#This Row],[TOTAL CURRENT UNITS]]</f>
        <v>14458</v>
      </c>
      <c r="AT487" s="48">
        <f>IF(INVESTORS_LIST[[#This Row],[TOTAL SELLABLE UNITS]]=0,0,INVESTORS_LIST[[#This Row],[TOTAL SELLABLE UNITS]]*INVESTORS_LIST[[#This Row],[NAV]])</f>
        <v>205650.592</v>
      </c>
      <c r="AU487" s="48">
        <f>INVESTORS_LIST[[#This Row],[LS_TOTAL REALIZED GAIN]]+INVESTORS_LIST[[#This Row],[SIP_TOTAL REALIZED GAIN]]</f>
        <v>0</v>
      </c>
      <c r="AV487" s="48">
        <f>INVESTORS_LIST[[#This Row],[TOTAL MARKET VALUE]]-INVESTORS_LIST[[#This Row],[TOTAL COST VALUE OF CURRENT INVESTMENT]]</f>
        <v>35650.592000000062</v>
      </c>
      <c r="AW487" s="108">
        <f>IFERROR(INVESTORS_LIST[[#This Row],[TOTAL CURRENT UNITS]]/SUM(INVESTORS_LIST[TOTAL CURRENT UNITS]),0)</f>
        <v>3.5098541376186668E-4</v>
      </c>
    </row>
    <row r="488" spans="1:49">
      <c r="A488" s="262" t="s">
        <v>1021</v>
      </c>
      <c r="B488" s="97" t="s">
        <v>1022</v>
      </c>
      <c r="C488" t="s">
        <v>44</v>
      </c>
      <c r="D488" s="75" t="s">
        <v>45</v>
      </c>
      <c r="E488" s="47">
        <f>SUMIFS(LS[Unit],LS[Investor ID],INVESTORS_LIST[[#This Row],[INVESTOR CODE]],LS[B/S],"B")</f>
        <v>0</v>
      </c>
      <c r="F488" s="47">
        <f>-SUMIFS(LS[Unit],LS[Investor ID],INVESTORS_LIST[[#This Row],[INVESTOR CODE]],LS[B/S],"S")</f>
        <v>0</v>
      </c>
      <c r="G488" s="47">
        <f>IF(INVESTORS_LIST[[#This Row],[LS_TOTAL UNITS BUY]]=0,0,INVESTORS_LIST[[#This Row],[LS_TOTAL UNITS BUY]]-INVESTORS_LIST[[#This Row],[LS_TOTAL UNITS SOLD]])</f>
        <v>0</v>
      </c>
      <c r="H488" s="49">
        <f>IF(INVESTORS_LIST[[#This Row],[LS_TOTAL UNITS BUY]]=0,0,SUMIFS(LS[Amount],LS[Investor ID],INVESTORS_LIST[[#This Row],[INVESTOR CODE]],LS[B/S],"B"))</f>
        <v>0</v>
      </c>
      <c r="I488" s="48">
        <f>IF(INVESTORS_LIST[[#This Row],[LS_TOTAL UNITS SOLD]]=0,0,SUMIFS(LS[Cost of Units Sold],LS[Investor ID],INVESTORS_LIST[[#This Row],[INVESTOR CODE]],LS[B/S],"S"))</f>
        <v>0</v>
      </c>
      <c r="J488" s="48">
        <f>IF(INVESTORS_LIST[[#This Row],[LS_TOTAL CURRENT UNITS]]=0,0,INVESTORS_LIST[[#This Row],[LS_TOTAL CURRENT UNITS]]*INVESTORS_LIST[[#This Row],[LS_AVERAGE COST]])</f>
        <v>0</v>
      </c>
      <c r="K488" s="49">
        <f>IF(INVESTORS_LIST[[#This Row],[LS_TOTAL UNITS SOLD]]=0,0,SUMIFS(LS[Realized Gain],LS[Investor ID],INVESTORS_LIST[[#This Row],[INVESTOR CODE]],LS[B/S],"S"))</f>
        <v>0</v>
      </c>
      <c r="L488" s="47">
        <f>SUMIFS(SIP[Unit],SIP[Investor ID],INVESTORS_LIST[[#This Row],[INVESTOR CODE]],SIP[B/S],"B")</f>
        <v>14055</v>
      </c>
      <c r="M488" s="47">
        <f>-SUMIFS(SIP[Unit],SIP[Investor ID],INVESTORS_LIST[[#This Row],[INVESTOR CODE]],SIP[B/S],"S")</f>
        <v>0</v>
      </c>
      <c r="N488" s="50">
        <f>IF(INVESTORS_LIST[[#This Row],[SIP_TOTAL UNITS BUY]]=0,0,INVESTORS_LIST[[#This Row],[SIP_TOTAL UNITS BUY]]-INVESTORS_LIST[[#This Row],[SIP_TOTAL UNITS SOLD]])</f>
        <v>14055</v>
      </c>
      <c r="O488" s="49">
        <f>IF(INVESTORS_LIST[[#This Row],[SIP_TOTAL UNITS BUY]]=0,0,SUMIFS(SIP[Amount],SIP[Investor ID],INVESTORS_LIST[[#This Row],[INVESTOR CODE]],SIP[B/S],"B"))</f>
        <v>165000</v>
      </c>
      <c r="P488" s="49">
        <f>IF(INVESTORS_LIST[[#This Row],[SIP_TOTAL UNITS SOLD]]=0,0,SUMIFS(SIP[Cost of Units Sold],SIP[Investor ID],INVESTORS_LIST[[#This Row],[INVESTOR CODE]],SIP[B/S],"S"))</f>
        <v>0</v>
      </c>
      <c r="Q488" s="48">
        <f>IF(INVESTORS_LIST[[#This Row],[SIP_TOTAL CURRENT UNITS]]=0,0,INVESTORS_LIST[[#This Row],[SIP_TOTAL CURRENT UNITS]]*INVESTORS_LIST[[#This Row],[SIP_AVERAGE COST]])</f>
        <v>165000</v>
      </c>
      <c r="R488" s="48">
        <f>IF(INVESTORS_LIST[[#This Row],[SIP_TOTAL UNITS SOLD]]=0,0,SUMIFS(SIP[Realized Gain],SIP[Investor ID],INVESTORS_LIST[[#This Row],[INVESTOR CODE]],SIP[B/S],"S"))</f>
        <v>0</v>
      </c>
      <c r="S488" s="50">
        <f>INVESTORS_LIST[[#This Row],[LS_TOTAL UNITS BUY]]+INVESTORS_LIST[[#This Row],[SIP_TOTAL UNITS BUY]]</f>
        <v>14055</v>
      </c>
      <c r="T488" s="50">
        <f>INVESTORS_LIST[[#This Row],[LS_TOTAL UNITS SOLD]]+INVESTORS_LIST[[#This Row],[SIP_TOTAL UNITS SOLD]]</f>
        <v>0</v>
      </c>
      <c r="U488" s="50">
        <v>12978</v>
      </c>
      <c r="V488" s="50">
        <f>SUMIFS(LS[BO UNIT TRANSFER],LS[Investor ID],INVESTORS_LIST[[#This Row],[INVESTOR CODE]],LS[B/S],"B")</f>
        <v>0</v>
      </c>
      <c r="W488" s="50">
        <f>SUMIFS(SIP[BO UNIT TRANSFER],SIP[Investor ID],INVESTORS_LIST[[#This Row],[INVESTOR CODE]],SIP[B/S],"B")</f>
        <v>722</v>
      </c>
      <c r="X488" s="50">
        <f>SUMIFS(LS[BO UNIT TRANSFER],LS[Investor ID],INVESTORS_LIST[[#This Row],[INVESTOR CODE]],LS[B/S],"S")</f>
        <v>0</v>
      </c>
      <c r="Y488" s="50">
        <f>SUMIFS(SIP[BO UNIT TRANSFER],SIP[Investor ID],INVESTORS_LIST[[#This Row],[INVESTOR CODE]],SIP[B/S],"S")</f>
        <v>0</v>
      </c>
      <c r="Z488" s="106">
        <f>SUM(INVESTORS_LIST[[#This Row],[BO OPENING BALANCE]:[BO SIP UNITS REPURCHASE]])</f>
        <v>13700</v>
      </c>
      <c r="AA488" s="107">
        <f>INVESTORS_LIST[[#This Row],[TOTAL UNITS BUY]]-INVESTORS_LIST[[#This Row],[TOTAL UNITS SOLD]]</f>
        <v>14055</v>
      </c>
      <c r="AB488" s="107">
        <f>INVESTORS_LIST[[#This Row],[TOTAL CURRENT UNITS]]-INVESTORS_LIST[[#This Row],[BO UNITS HOLD]]</f>
        <v>355</v>
      </c>
      <c r="AC488" s="201" t="e">
        <f>INDEX([3]!Table_1[BO ID],MATCH(INVESTORS_LIST[[#This Row],[INVESTOR CODE]],[3]!Table_1[INVESTOR CODE],0))</f>
        <v>#REF!</v>
      </c>
      <c r="AD488" s="201" t="e">
        <f>INDEX([3]!Table_1[Brokerage Name2],MATCH(INVESTORS_LIST[[#This Row],[INVESTOR CODE]],[3]!Table_1[INVESTOR CODE],0))</f>
        <v>#REF!</v>
      </c>
      <c r="AE488" s="201" t="e">
        <f>MID(INVESTORS_LIST[[#This Row],[BO ID]],4,5)</f>
        <v>#REF!</v>
      </c>
      <c r="AF488" s="201" t="e">
        <f>MID(INVESTORS_LIST[[#This Row],[BO ID]],2,7)</f>
        <v>#REF!</v>
      </c>
      <c r="AG488" s="201" t="e">
        <f>MID(INVESTORS_LIST[[#This Row],[BO ID]],9,7)</f>
        <v>#REF!</v>
      </c>
      <c r="AH488" s="201" t="e">
        <f>RIGHT(INVESTORS_LIST[[#This Row],[BO ID]],1)</f>
        <v>#REF!</v>
      </c>
      <c r="AI488" s="50">
        <f>INVESTORS_LIST[[#This Row],[LS_TOTAL COST VALUE OF CURRENT UNITS]]+INVESTORS_LIST[[#This Row],[SIP_TOTAL COST VALUE OF CURRENT UNITS]]</f>
        <v>165000</v>
      </c>
      <c r="AJ488" s="109">
        <f>IF(INVESTORS_LIST[[#This Row],[TOTAL CURRENT UNITS]]=0,0,INVESTORS_LIST[[#This Row],[LS_TOTAL CURRENT UNITS]]/INVESTORS_LIST[[#This Row],[TOTAL CURRENT UNITS]])</f>
        <v>0</v>
      </c>
      <c r="AK488" s="109">
        <f>IF(INVESTORS_LIST[[#This Row],[TOTAL CURRENT UNITS]]=0,0,INVESTORS_LIST[[#This Row],[SIP_TOTAL CURRENT UNITS]]/INVESTORS_LIST[[#This Row],[TOTAL CURRENT UNITS]])</f>
        <v>1</v>
      </c>
      <c r="AL488" s="49" cm="1">
        <f t="array" ref="AL4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88" s="49" cm="1">
        <f t="array" ref="AM488">IF(INVESTORS_LIST[[#This Row],[SIP_TOTAL UNITS BUY]]&gt;0,INDEX(SIP[NAV at Cost (Average)],MATCH(CONCATENATE(COUNTIFS(SIP[Investor ID],INVESTORS_LIST[[#This Row],[INVESTOR CODE]]),INVESTORS_LIST[[#This Row],[INVESTOR CODE]]),SIP[Unique Code],0),),0)</f>
        <v>11.739594450373533</v>
      </c>
      <c r="AN488" s="105">
        <f>IF(INVESTORS_LIST[[#This Row],[TOTAL CURRENT UNITS]]=0,0,(INVESTORS_LIST[[#This Row],[LS_WEIGHT]]*INVESTORS_LIST[[#This Row],[LS_AVERAGE COST]])+(INVESTORS_LIST[[#This Row],[SIP_WEIGHT]]*INVESTORS_LIST[[#This Row],[SIP_AVERAGE COST]]))</f>
        <v>11.739594450373533</v>
      </c>
      <c r="AO488" s="105">
        <f t="shared" si="8"/>
        <v>14.224</v>
      </c>
      <c r="AP488" s="112">
        <f>IF(INVESTORS_LIST[[#This Row],[TOTAL CURRENT UNITS]]=0,0,INVESTORS_LIST[[#This Row],[TOTAL CURRENT UNITS]]*INVESTORS_LIST[[#This Row],[NAV]])</f>
        <v>199918.32</v>
      </c>
      <c r="AQ488" s="49">
        <f>IF(INVESTORS_LIST[[#This Row],[LS_TOTAL CURRENT UNITS]]=0,0,INVESTORS_LIST[[#This Row],[LS_TOTAL CURRENT UNITS]]*INVESTORS_LIST[[#This Row],[NAV]])</f>
        <v>0</v>
      </c>
      <c r="AR488" s="48">
        <f>IF(INVESTORS_LIST[[#This Row],[SIP_TOTAL CURRENT UNITS]]=0,0,INVESTORS_LIST[[#This Row],[SIP_TOTAL CURRENT UNITS]]*INVESTORS_LIST[[#This Row],[NAV]])</f>
        <v>199918.32</v>
      </c>
      <c r="AS488" s="50">
        <f>INVESTORS_LIST[[#This Row],[TOTAL CURRENT UNITS]]</f>
        <v>14055</v>
      </c>
      <c r="AT488" s="48">
        <f>IF(INVESTORS_LIST[[#This Row],[TOTAL SELLABLE UNITS]]=0,0,INVESTORS_LIST[[#This Row],[TOTAL SELLABLE UNITS]]*INVESTORS_LIST[[#This Row],[NAV]])</f>
        <v>199918.32</v>
      </c>
      <c r="AU488" s="48">
        <f>INVESTORS_LIST[[#This Row],[LS_TOTAL REALIZED GAIN]]+INVESTORS_LIST[[#This Row],[SIP_TOTAL REALIZED GAIN]]</f>
        <v>0</v>
      </c>
      <c r="AV488" s="48">
        <f>INVESTORS_LIST[[#This Row],[TOTAL MARKET VALUE]]-INVESTORS_LIST[[#This Row],[TOTAL COST VALUE OF CURRENT INVESTMENT]]</f>
        <v>34918.320000000007</v>
      </c>
      <c r="AW488" s="108">
        <f>IFERROR(INVESTORS_LIST[[#This Row],[TOTAL CURRENT UNITS]]/SUM(INVESTORS_LIST[TOTAL CURRENT UNITS]),0)</f>
        <v>3.4120210197973691E-4</v>
      </c>
    </row>
    <row r="489" spans="1:49">
      <c r="A489" s="262" t="s">
        <v>1023</v>
      </c>
      <c r="B489" s="97" t="s">
        <v>1024</v>
      </c>
      <c r="C489" t="s">
        <v>44</v>
      </c>
      <c r="D489" s="75" t="s">
        <v>45</v>
      </c>
      <c r="E489" s="47">
        <f>SUMIFS(LS[Unit],LS[Investor ID],INVESTORS_LIST[[#This Row],[INVESTOR CODE]],LS[B/S],"B")</f>
        <v>75111</v>
      </c>
      <c r="F489" s="47">
        <f>-SUMIFS(LS[Unit],LS[Investor ID],INVESTORS_LIST[[#This Row],[INVESTOR CODE]],LS[B/S],"S")</f>
        <v>0</v>
      </c>
      <c r="G489" s="47">
        <f>IF(INVESTORS_LIST[[#This Row],[LS_TOTAL UNITS BUY]]=0,0,INVESTORS_LIST[[#This Row],[LS_TOTAL UNITS BUY]]-INVESTORS_LIST[[#This Row],[LS_TOTAL UNITS SOLD]])</f>
        <v>75111</v>
      </c>
      <c r="H489" s="49">
        <f>IF(INVESTORS_LIST[[#This Row],[LS_TOTAL UNITS BUY]]=0,0,SUMIFS(LS[Amount],LS[Investor ID],INVESTORS_LIST[[#This Row],[INVESTOR CODE]],LS[B/S],"B"))</f>
        <v>800000</v>
      </c>
      <c r="I489" s="48">
        <f>IF(INVESTORS_LIST[[#This Row],[LS_TOTAL UNITS SOLD]]=0,0,SUMIFS(LS[Cost of Units Sold],LS[Investor ID],INVESTORS_LIST[[#This Row],[INVESTOR CODE]],LS[B/S],"S"))</f>
        <v>0</v>
      </c>
      <c r="J489" s="48">
        <f>IF(INVESTORS_LIST[[#This Row],[LS_TOTAL CURRENT UNITS]]=0,0,INVESTORS_LIST[[#This Row],[LS_TOTAL CURRENT UNITS]]*INVESTORS_LIST[[#This Row],[LS_AVERAGE COST]])</f>
        <v>800000</v>
      </c>
      <c r="K489" s="49">
        <f>IF(INVESTORS_LIST[[#This Row],[LS_TOTAL UNITS SOLD]]=0,0,SUMIFS(LS[Realized Gain],LS[Investor ID],INVESTORS_LIST[[#This Row],[INVESTOR CODE]],LS[B/S],"S"))</f>
        <v>0</v>
      </c>
      <c r="L489" s="47">
        <f>SUMIFS(SIP[Unit],SIP[Investor ID],INVESTORS_LIST[[#This Row],[INVESTOR CODE]],SIP[B/S],"B")</f>
        <v>0</v>
      </c>
      <c r="M489" s="47">
        <f>-SUMIFS(SIP[Unit],SIP[Investor ID],INVESTORS_LIST[[#This Row],[INVESTOR CODE]],SIP[B/S],"S")</f>
        <v>0</v>
      </c>
      <c r="N489" s="50">
        <f>IF(INVESTORS_LIST[[#This Row],[SIP_TOTAL UNITS BUY]]=0,0,INVESTORS_LIST[[#This Row],[SIP_TOTAL UNITS BUY]]-INVESTORS_LIST[[#This Row],[SIP_TOTAL UNITS SOLD]])</f>
        <v>0</v>
      </c>
      <c r="O489" s="49">
        <f>IF(INVESTORS_LIST[[#This Row],[SIP_TOTAL UNITS BUY]]=0,0,SUMIFS(SIP[Amount],SIP[Investor ID],INVESTORS_LIST[[#This Row],[INVESTOR CODE]],SIP[B/S],"B"))</f>
        <v>0</v>
      </c>
      <c r="P489" s="49">
        <f>IF(INVESTORS_LIST[[#This Row],[SIP_TOTAL UNITS SOLD]]=0,0,SUMIFS(SIP[Cost of Units Sold],SIP[Investor ID],INVESTORS_LIST[[#This Row],[INVESTOR CODE]],SIP[B/S],"S"))</f>
        <v>0</v>
      </c>
      <c r="Q489" s="48">
        <f>IF(INVESTORS_LIST[[#This Row],[SIP_TOTAL CURRENT UNITS]]=0,0,INVESTORS_LIST[[#This Row],[SIP_TOTAL CURRENT UNITS]]*INVESTORS_LIST[[#This Row],[SIP_AVERAGE COST]])</f>
        <v>0</v>
      </c>
      <c r="R489" s="48">
        <f>IF(INVESTORS_LIST[[#This Row],[SIP_TOTAL UNITS SOLD]]=0,0,SUMIFS(SIP[Realized Gain],SIP[Investor ID],INVESTORS_LIST[[#This Row],[INVESTOR CODE]],SIP[B/S],"S"))</f>
        <v>0</v>
      </c>
      <c r="S489" s="50">
        <f>INVESTORS_LIST[[#This Row],[LS_TOTAL UNITS BUY]]+INVESTORS_LIST[[#This Row],[SIP_TOTAL UNITS BUY]]</f>
        <v>75111</v>
      </c>
      <c r="T489" s="50">
        <f>INVESTORS_LIST[[#This Row],[LS_TOTAL UNITS SOLD]]+INVESTORS_LIST[[#This Row],[SIP_TOTAL UNITS SOLD]]</f>
        <v>0</v>
      </c>
      <c r="U489" s="50">
        <v>75111</v>
      </c>
      <c r="V489" s="50">
        <f>SUMIFS(LS[BO UNIT TRANSFER],LS[Investor ID],INVESTORS_LIST[[#This Row],[INVESTOR CODE]],LS[B/S],"B")</f>
        <v>0</v>
      </c>
      <c r="W489" s="50">
        <f>SUMIFS(SIP[BO UNIT TRANSFER],SIP[Investor ID],INVESTORS_LIST[[#This Row],[INVESTOR CODE]],SIP[B/S],"B")</f>
        <v>0</v>
      </c>
      <c r="X489" s="50">
        <f>SUMIFS(LS[BO UNIT TRANSFER],LS[Investor ID],INVESTORS_LIST[[#This Row],[INVESTOR CODE]],LS[B/S],"S")</f>
        <v>0</v>
      </c>
      <c r="Y489" s="50">
        <f>SUMIFS(SIP[BO UNIT TRANSFER],SIP[Investor ID],INVESTORS_LIST[[#This Row],[INVESTOR CODE]],SIP[B/S],"S")</f>
        <v>0</v>
      </c>
      <c r="Z489" s="106">
        <f>SUM(INVESTORS_LIST[[#This Row],[BO OPENING BALANCE]:[BO SIP UNITS REPURCHASE]])</f>
        <v>75111</v>
      </c>
      <c r="AA489" s="107">
        <f>INVESTORS_LIST[[#This Row],[TOTAL UNITS BUY]]-INVESTORS_LIST[[#This Row],[TOTAL UNITS SOLD]]</f>
        <v>75111</v>
      </c>
      <c r="AB489" s="107">
        <f>INVESTORS_LIST[[#This Row],[TOTAL CURRENT UNITS]]-INVESTORS_LIST[[#This Row],[BO UNITS HOLD]]</f>
        <v>0</v>
      </c>
      <c r="AC489" s="201" t="e">
        <f>INDEX([3]!Table_1[BO ID],MATCH(INVESTORS_LIST[[#This Row],[INVESTOR CODE]],[3]!Table_1[INVESTOR CODE],0))</f>
        <v>#REF!</v>
      </c>
      <c r="AD489" s="201" t="e">
        <f>INDEX([3]!Table_1[Brokerage Name2],MATCH(INVESTORS_LIST[[#This Row],[INVESTOR CODE]],[3]!Table_1[INVESTOR CODE],0))</f>
        <v>#REF!</v>
      </c>
      <c r="AE489" s="201" t="e">
        <f>MID(INVESTORS_LIST[[#This Row],[BO ID]],4,5)</f>
        <v>#REF!</v>
      </c>
      <c r="AF489" s="201" t="e">
        <f>MID(INVESTORS_LIST[[#This Row],[BO ID]],2,7)</f>
        <v>#REF!</v>
      </c>
      <c r="AG489" s="201" t="e">
        <f>MID(INVESTORS_LIST[[#This Row],[BO ID]],9,7)</f>
        <v>#REF!</v>
      </c>
      <c r="AH489" s="201" t="e">
        <f>RIGHT(INVESTORS_LIST[[#This Row],[BO ID]],1)</f>
        <v>#REF!</v>
      </c>
      <c r="AI489" s="50">
        <f>INVESTORS_LIST[[#This Row],[LS_TOTAL COST VALUE OF CURRENT UNITS]]+INVESTORS_LIST[[#This Row],[SIP_TOTAL COST VALUE OF CURRENT UNITS]]</f>
        <v>800000</v>
      </c>
      <c r="AJ489" s="109">
        <f>IF(INVESTORS_LIST[[#This Row],[TOTAL CURRENT UNITS]]=0,0,INVESTORS_LIST[[#This Row],[LS_TOTAL CURRENT UNITS]]/INVESTORS_LIST[[#This Row],[TOTAL CURRENT UNITS]])</f>
        <v>1</v>
      </c>
      <c r="AK489" s="109">
        <f>IF(INVESTORS_LIST[[#This Row],[TOTAL CURRENT UNITS]]=0,0,INVESTORS_LIST[[#This Row],[SIP_TOTAL CURRENT UNITS]]/INVESTORS_LIST[[#This Row],[TOTAL CURRENT UNITS]])</f>
        <v>0</v>
      </c>
      <c r="AL489" s="49" cm="1">
        <f t="array" ref="AL489">IF(INVESTORS_LIST[[#This Row],[LS_TOTAL UNITS BUY]]&gt;0,INDEX(LS[NAV at Cost (Average)],MATCH(CONCATENATE(COUNTIFS(LS[Investor ID],INVESTORS_LIST[[#This Row],[INVESTOR CODE]]),INVESTORS_LIST[[#This Row],[INVESTOR CODE]]),LS[Unique Code],0),),0)</f>
        <v>10.650903329738654</v>
      </c>
      <c r="AM489" s="49" cm="1">
        <f t="array" ref="AM4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89" s="105">
        <f>IF(INVESTORS_LIST[[#This Row],[TOTAL CURRENT UNITS]]=0,0,(INVESTORS_LIST[[#This Row],[LS_WEIGHT]]*INVESTORS_LIST[[#This Row],[LS_AVERAGE COST]])+(INVESTORS_LIST[[#This Row],[SIP_WEIGHT]]*INVESTORS_LIST[[#This Row],[SIP_AVERAGE COST]]))</f>
        <v>10.650903329738654</v>
      </c>
      <c r="AO489" s="105">
        <f t="shared" si="8"/>
        <v>14.224</v>
      </c>
      <c r="AP489" s="112">
        <f>IF(INVESTORS_LIST[[#This Row],[TOTAL CURRENT UNITS]]=0,0,INVESTORS_LIST[[#This Row],[TOTAL CURRENT UNITS]]*INVESTORS_LIST[[#This Row],[NAV]])</f>
        <v>1068378.8640000001</v>
      </c>
      <c r="AQ489" s="49">
        <f>IF(INVESTORS_LIST[[#This Row],[LS_TOTAL CURRENT UNITS]]=0,0,INVESTORS_LIST[[#This Row],[LS_TOTAL CURRENT UNITS]]*INVESTORS_LIST[[#This Row],[NAV]])</f>
        <v>1068378.8640000001</v>
      </c>
      <c r="AR489" s="48">
        <f>IF(INVESTORS_LIST[[#This Row],[SIP_TOTAL CURRENT UNITS]]=0,0,INVESTORS_LIST[[#This Row],[SIP_TOTAL CURRENT UNITS]]*INVESTORS_LIST[[#This Row],[NAV]])</f>
        <v>0</v>
      </c>
      <c r="AS489" s="50">
        <f>INVESTORS_LIST[[#This Row],[TOTAL CURRENT UNITS]]</f>
        <v>75111</v>
      </c>
      <c r="AT489" s="48">
        <f>IF(INVESTORS_LIST[[#This Row],[TOTAL SELLABLE UNITS]]=0,0,INVESTORS_LIST[[#This Row],[TOTAL SELLABLE UNITS]]*INVESTORS_LIST[[#This Row],[NAV]])</f>
        <v>1068378.8640000001</v>
      </c>
      <c r="AU489" s="48">
        <f>INVESTORS_LIST[[#This Row],[LS_TOTAL REALIZED GAIN]]+INVESTORS_LIST[[#This Row],[SIP_TOTAL REALIZED GAIN]]</f>
        <v>0</v>
      </c>
      <c r="AV489" s="48">
        <f>INVESTORS_LIST[[#This Row],[TOTAL MARKET VALUE]]-INVESTORS_LIST[[#This Row],[TOTAL COST VALUE OF CURRENT INVESTMENT]]</f>
        <v>268378.86400000006</v>
      </c>
      <c r="AW489" s="108">
        <f>IFERROR(INVESTORS_LIST[[#This Row],[TOTAL CURRENT UNITS]]/SUM(INVESTORS_LIST[TOTAL CURRENT UNITS]),0)</f>
        <v>1.8234102512842418E-3</v>
      </c>
    </row>
    <row r="490" spans="1:49">
      <c r="A490" s="262" t="s">
        <v>1025</v>
      </c>
      <c r="B490" s="97" t="s">
        <v>1026</v>
      </c>
      <c r="C490" t="s">
        <v>44</v>
      </c>
      <c r="D490" s="75" t="s">
        <v>45</v>
      </c>
      <c r="E490" s="47">
        <f>SUMIFS(LS[Unit],LS[Investor ID],INVESTORS_LIST[[#This Row],[INVESTOR CODE]],LS[B/S],"B")</f>
        <v>542726</v>
      </c>
      <c r="F490" s="47">
        <f>-SUMIFS(LS[Unit],LS[Investor ID],INVESTORS_LIST[[#This Row],[INVESTOR CODE]],LS[B/S],"S")</f>
        <v>229294</v>
      </c>
      <c r="G490" s="47">
        <f>IF(INVESTORS_LIST[[#This Row],[LS_TOTAL UNITS BUY]]=0,0,INVESTORS_LIST[[#This Row],[LS_TOTAL UNITS BUY]]-INVESTORS_LIST[[#This Row],[LS_TOTAL UNITS SOLD]])</f>
        <v>313432</v>
      </c>
      <c r="H490" s="49">
        <f>IF(INVESTORS_LIST[[#This Row],[LS_TOTAL UNITS BUY]]=0,0,SUMIFS(LS[Amount],LS[Investor ID],INVESTORS_LIST[[#This Row],[INVESTOR CODE]],LS[B/S],"B"))</f>
        <v>6000825</v>
      </c>
      <c r="I490" s="48">
        <f>IF(INVESTORS_LIST[[#This Row],[LS_TOTAL UNITS SOLD]]=0,0,SUMIFS(LS[Cost of Units Sold],LS[Investor ID],INVESTORS_LIST[[#This Row],[INVESTOR CODE]],LS[B/S],"S"))</f>
        <v>2423586.5260536824</v>
      </c>
      <c r="J490" s="48">
        <f>IF(INVESTORS_LIST[[#This Row],[LS_TOTAL CURRENT UNITS]]=0,0,INVESTORS_LIST[[#This Row],[LS_TOTAL CURRENT UNITS]]*INVESTORS_LIST[[#This Row],[LS_AVERAGE COST]])</f>
        <v>3577238.4739463171</v>
      </c>
      <c r="K490" s="49">
        <f>IF(INVESTORS_LIST[[#This Row],[LS_TOTAL UNITS SOLD]]=0,0,SUMIFS(LS[Realized Gain],LS[Investor ID],INVESTORS_LIST[[#This Row],[INVESTOR CODE]],LS[B/S],"S"))</f>
        <v>76413.473946317725</v>
      </c>
      <c r="L490" s="47">
        <f>SUMIFS(SIP[Unit],SIP[Investor ID],INVESTORS_LIST[[#This Row],[INVESTOR CODE]],SIP[B/S],"B")</f>
        <v>0</v>
      </c>
      <c r="M490" s="47">
        <f>-SUMIFS(SIP[Unit],SIP[Investor ID],INVESTORS_LIST[[#This Row],[INVESTOR CODE]],SIP[B/S],"S")</f>
        <v>0</v>
      </c>
      <c r="N490" s="50">
        <f>IF(INVESTORS_LIST[[#This Row],[SIP_TOTAL UNITS BUY]]=0,0,INVESTORS_LIST[[#This Row],[SIP_TOTAL UNITS BUY]]-INVESTORS_LIST[[#This Row],[SIP_TOTAL UNITS SOLD]])</f>
        <v>0</v>
      </c>
      <c r="O490" s="49">
        <f>IF(INVESTORS_LIST[[#This Row],[SIP_TOTAL UNITS BUY]]=0,0,SUMIFS(SIP[Amount],SIP[Investor ID],INVESTORS_LIST[[#This Row],[INVESTOR CODE]],SIP[B/S],"B"))</f>
        <v>0</v>
      </c>
      <c r="P490" s="49">
        <f>IF(INVESTORS_LIST[[#This Row],[SIP_TOTAL UNITS SOLD]]=0,0,SUMIFS(SIP[Cost of Units Sold],SIP[Investor ID],INVESTORS_LIST[[#This Row],[INVESTOR CODE]],SIP[B/S],"S"))</f>
        <v>0</v>
      </c>
      <c r="Q490" s="48">
        <f>IF(INVESTORS_LIST[[#This Row],[SIP_TOTAL CURRENT UNITS]]=0,0,INVESTORS_LIST[[#This Row],[SIP_TOTAL CURRENT UNITS]]*INVESTORS_LIST[[#This Row],[SIP_AVERAGE COST]])</f>
        <v>0</v>
      </c>
      <c r="R490" s="48">
        <f>IF(INVESTORS_LIST[[#This Row],[SIP_TOTAL UNITS SOLD]]=0,0,SUMIFS(SIP[Realized Gain],SIP[Investor ID],INVESTORS_LIST[[#This Row],[INVESTOR CODE]],SIP[B/S],"S"))</f>
        <v>0</v>
      </c>
      <c r="S490" s="50">
        <f>INVESTORS_LIST[[#This Row],[LS_TOTAL UNITS BUY]]+INVESTORS_LIST[[#This Row],[SIP_TOTAL UNITS BUY]]</f>
        <v>542726</v>
      </c>
      <c r="T490" s="50">
        <f>INVESTORS_LIST[[#This Row],[LS_TOTAL UNITS SOLD]]+INVESTORS_LIST[[#This Row],[SIP_TOTAL UNITS SOLD]]</f>
        <v>229294</v>
      </c>
      <c r="U490" s="50">
        <v>313432</v>
      </c>
      <c r="V490" s="50">
        <f>SUMIFS(LS[BO UNIT TRANSFER],LS[Investor ID],INVESTORS_LIST[[#This Row],[INVESTOR CODE]],LS[B/S],"B")</f>
        <v>0</v>
      </c>
      <c r="W490" s="50">
        <f>SUMIFS(SIP[BO UNIT TRANSFER],SIP[Investor ID],INVESTORS_LIST[[#This Row],[INVESTOR CODE]],SIP[B/S],"B")</f>
        <v>0</v>
      </c>
      <c r="X490" s="50">
        <f>SUMIFS(LS[BO UNIT TRANSFER],LS[Investor ID],INVESTORS_LIST[[#This Row],[INVESTOR CODE]],LS[B/S],"S")</f>
        <v>0</v>
      </c>
      <c r="Y490" s="50">
        <f>SUMIFS(SIP[BO UNIT TRANSFER],SIP[Investor ID],INVESTORS_LIST[[#This Row],[INVESTOR CODE]],SIP[B/S],"S")</f>
        <v>0</v>
      </c>
      <c r="Z490" s="106">
        <f>SUM(INVESTORS_LIST[[#This Row],[BO OPENING BALANCE]:[BO SIP UNITS REPURCHASE]])</f>
        <v>313432</v>
      </c>
      <c r="AA490" s="107">
        <f>INVESTORS_LIST[[#This Row],[TOTAL UNITS BUY]]-INVESTORS_LIST[[#This Row],[TOTAL UNITS SOLD]]</f>
        <v>313432</v>
      </c>
      <c r="AB490" s="107">
        <f>INVESTORS_LIST[[#This Row],[TOTAL CURRENT UNITS]]-INVESTORS_LIST[[#This Row],[BO UNITS HOLD]]</f>
        <v>0</v>
      </c>
      <c r="AC490" s="201" t="e">
        <f>INDEX([3]!Table_1[BO ID],MATCH(INVESTORS_LIST[[#This Row],[INVESTOR CODE]],[3]!Table_1[INVESTOR CODE],0))</f>
        <v>#REF!</v>
      </c>
      <c r="AD490" s="201" t="e">
        <f>INDEX([3]!Table_1[Brokerage Name2],MATCH(INVESTORS_LIST[[#This Row],[INVESTOR CODE]],[3]!Table_1[INVESTOR CODE],0))</f>
        <v>#REF!</v>
      </c>
      <c r="AE490" s="201" t="e">
        <f>MID(INVESTORS_LIST[[#This Row],[BO ID]],4,5)</f>
        <v>#REF!</v>
      </c>
      <c r="AF490" s="201" t="e">
        <f>MID(INVESTORS_LIST[[#This Row],[BO ID]],2,7)</f>
        <v>#REF!</v>
      </c>
      <c r="AG490" s="201" t="e">
        <f>MID(INVESTORS_LIST[[#This Row],[BO ID]],9,7)</f>
        <v>#REF!</v>
      </c>
      <c r="AH490" s="201" t="e">
        <f>RIGHT(INVESTORS_LIST[[#This Row],[BO ID]],1)</f>
        <v>#REF!</v>
      </c>
      <c r="AI490" s="50">
        <f>INVESTORS_LIST[[#This Row],[LS_TOTAL COST VALUE OF CURRENT UNITS]]+INVESTORS_LIST[[#This Row],[SIP_TOTAL COST VALUE OF CURRENT UNITS]]</f>
        <v>3577238.4739463171</v>
      </c>
      <c r="AJ490" s="109">
        <f>IF(INVESTORS_LIST[[#This Row],[TOTAL CURRENT UNITS]]=0,0,INVESTORS_LIST[[#This Row],[LS_TOTAL CURRENT UNITS]]/INVESTORS_LIST[[#This Row],[TOTAL CURRENT UNITS]])</f>
        <v>1</v>
      </c>
      <c r="AK490" s="109">
        <f>IF(INVESTORS_LIST[[#This Row],[TOTAL CURRENT UNITS]]=0,0,INVESTORS_LIST[[#This Row],[SIP_TOTAL CURRENT UNITS]]/INVESTORS_LIST[[#This Row],[TOTAL CURRENT UNITS]])</f>
        <v>0</v>
      </c>
      <c r="AL490" s="49" cm="1">
        <f t="array" ref="AL490">IF(INVESTORS_LIST[[#This Row],[LS_TOTAL UNITS BUY]]&gt;0,INDEX(LS[NAV at Cost (Average)],MATCH(CONCATENATE(COUNTIFS(LS[Investor ID],INVESTORS_LIST[[#This Row],[INVESTOR CODE]]),INVESTORS_LIST[[#This Row],[INVESTOR CODE]]),LS[Unique Code],0),),0)</f>
        <v>11.413124613780077</v>
      </c>
      <c r="AM490" s="49" cm="1">
        <f t="array" ref="AM4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0" s="105">
        <f>IF(INVESTORS_LIST[[#This Row],[TOTAL CURRENT UNITS]]=0,0,(INVESTORS_LIST[[#This Row],[LS_WEIGHT]]*INVESTORS_LIST[[#This Row],[LS_AVERAGE COST]])+(INVESTORS_LIST[[#This Row],[SIP_WEIGHT]]*INVESTORS_LIST[[#This Row],[SIP_AVERAGE COST]]))</f>
        <v>11.413124613780077</v>
      </c>
      <c r="AO490" s="105">
        <f t="shared" si="8"/>
        <v>14.224</v>
      </c>
      <c r="AP490" s="112">
        <f>IF(INVESTORS_LIST[[#This Row],[TOTAL CURRENT UNITS]]=0,0,INVESTORS_LIST[[#This Row],[TOTAL CURRENT UNITS]]*INVESTORS_LIST[[#This Row],[NAV]])</f>
        <v>4458256.7680000002</v>
      </c>
      <c r="AQ490" s="49">
        <f>IF(INVESTORS_LIST[[#This Row],[LS_TOTAL CURRENT UNITS]]=0,0,INVESTORS_LIST[[#This Row],[LS_TOTAL CURRENT UNITS]]*INVESTORS_LIST[[#This Row],[NAV]])</f>
        <v>4458256.7680000002</v>
      </c>
      <c r="AR490" s="48">
        <f>IF(INVESTORS_LIST[[#This Row],[SIP_TOTAL CURRENT UNITS]]=0,0,INVESTORS_LIST[[#This Row],[SIP_TOTAL CURRENT UNITS]]*INVESTORS_LIST[[#This Row],[NAV]])</f>
        <v>0</v>
      </c>
      <c r="AS490" s="50">
        <f>INVESTORS_LIST[[#This Row],[TOTAL CURRENT UNITS]]</f>
        <v>313432</v>
      </c>
      <c r="AT490" s="48">
        <f>IF(INVESTORS_LIST[[#This Row],[TOTAL SELLABLE UNITS]]=0,0,INVESTORS_LIST[[#This Row],[TOTAL SELLABLE UNITS]]*INVESTORS_LIST[[#This Row],[NAV]])</f>
        <v>4458256.7680000002</v>
      </c>
      <c r="AU490" s="48">
        <f>INVESTORS_LIST[[#This Row],[LS_TOTAL REALIZED GAIN]]+INVESTORS_LIST[[#This Row],[SIP_TOTAL REALIZED GAIN]]</f>
        <v>76413.473946317725</v>
      </c>
      <c r="AV490" s="48">
        <f>INVESTORS_LIST[[#This Row],[TOTAL MARKET VALUE]]-INVESTORS_LIST[[#This Row],[TOTAL COST VALUE OF CURRENT INVESTMENT]]</f>
        <v>881018.29405368306</v>
      </c>
      <c r="AW490" s="108">
        <f>IFERROR(INVESTORS_LIST[[#This Row],[TOTAL CURRENT UNITS]]/SUM(INVESTORS_LIST[TOTAL CURRENT UNITS]),0)</f>
        <v>7.6089403932915614E-3</v>
      </c>
    </row>
    <row r="491" spans="1:49">
      <c r="A491" s="262" t="s">
        <v>1027</v>
      </c>
      <c r="B491" s="97" t="s">
        <v>1028</v>
      </c>
      <c r="C491" t="s">
        <v>44</v>
      </c>
      <c r="D491" s="75" t="s">
        <v>45</v>
      </c>
      <c r="E491" s="47">
        <f>SUMIFS(LS[Unit],LS[Investor ID],INVESTORS_LIST[[#This Row],[INVESTOR CODE]],LS[B/S],"B")</f>
        <v>0</v>
      </c>
      <c r="F491" s="47">
        <f>-SUMIFS(LS[Unit],LS[Investor ID],INVESTORS_LIST[[#This Row],[INVESTOR CODE]],LS[B/S],"S")</f>
        <v>0</v>
      </c>
      <c r="G491" s="47">
        <f>IF(INVESTORS_LIST[[#This Row],[LS_TOTAL UNITS BUY]]=0,0,INVESTORS_LIST[[#This Row],[LS_TOTAL UNITS BUY]]-INVESTORS_LIST[[#This Row],[LS_TOTAL UNITS SOLD]])</f>
        <v>0</v>
      </c>
      <c r="H491" s="49">
        <f>IF(INVESTORS_LIST[[#This Row],[LS_TOTAL UNITS BUY]]=0,0,SUMIFS(LS[Amount],LS[Investor ID],INVESTORS_LIST[[#This Row],[INVESTOR CODE]],LS[B/S],"B"))</f>
        <v>0</v>
      </c>
      <c r="I491" s="48">
        <f>IF(INVESTORS_LIST[[#This Row],[LS_TOTAL UNITS SOLD]]=0,0,SUMIFS(LS[Cost of Units Sold],LS[Investor ID],INVESTORS_LIST[[#This Row],[INVESTOR CODE]],LS[B/S],"S"))</f>
        <v>0</v>
      </c>
      <c r="J491" s="48">
        <f>IF(INVESTORS_LIST[[#This Row],[LS_TOTAL CURRENT UNITS]]=0,0,INVESTORS_LIST[[#This Row],[LS_TOTAL CURRENT UNITS]]*INVESTORS_LIST[[#This Row],[LS_AVERAGE COST]])</f>
        <v>0</v>
      </c>
      <c r="K491" s="49">
        <f>IF(INVESTORS_LIST[[#This Row],[LS_TOTAL UNITS SOLD]]=0,0,SUMIFS(LS[Realized Gain],LS[Investor ID],INVESTORS_LIST[[#This Row],[INVESTOR CODE]],LS[B/S],"S"))</f>
        <v>0</v>
      </c>
      <c r="L491" s="47">
        <f>SUMIFS(SIP[Unit],SIP[Investor ID],INVESTORS_LIST[[#This Row],[INVESTOR CODE]],SIP[B/S],"B")</f>
        <v>14055</v>
      </c>
      <c r="M491" s="47">
        <f>-SUMIFS(SIP[Unit],SIP[Investor ID],INVESTORS_LIST[[#This Row],[INVESTOR CODE]],SIP[B/S],"S")</f>
        <v>0</v>
      </c>
      <c r="N491" s="50">
        <f>IF(INVESTORS_LIST[[#This Row],[SIP_TOTAL UNITS BUY]]=0,0,INVESTORS_LIST[[#This Row],[SIP_TOTAL UNITS BUY]]-INVESTORS_LIST[[#This Row],[SIP_TOTAL UNITS SOLD]])</f>
        <v>14055</v>
      </c>
      <c r="O491" s="49">
        <f>IF(INVESTORS_LIST[[#This Row],[SIP_TOTAL UNITS BUY]]=0,0,SUMIFS(SIP[Amount],SIP[Investor ID],INVESTORS_LIST[[#This Row],[INVESTOR CODE]],SIP[B/S],"B"))</f>
        <v>165000</v>
      </c>
      <c r="P491" s="49">
        <f>IF(INVESTORS_LIST[[#This Row],[SIP_TOTAL UNITS SOLD]]=0,0,SUMIFS(SIP[Cost of Units Sold],SIP[Investor ID],INVESTORS_LIST[[#This Row],[INVESTOR CODE]],SIP[B/S],"S"))</f>
        <v>0</v>
      </c>
      <c r="Q491" s="48">
        <f>IF(INVESTORS_LIST[[#This Row],[SIP_TOTAL CURRENT UNITS]]=0,0,INVESTORS_LIST[[#This Row],[SIP_TOTAL CURRENT UNITS]]*INVESTORS_LIST[[#This Row],[SIP_AVERAGE COST]])</f>
        <v>165000</v>
      </c>
      <c r="R491" s="48">
        <f>IF(INVESTORS_LIST[[#This Row],[SIP_TOTAL UNITS SOLD]]=0,0,SUMIFS(SIP[Realized Gain],SIP[Investor ID],INVESTORS_LIST[[#This Row],[INVESTOR CODE]],SIP[B/S],"S"))</f>
        <v>0</v>
      </c>
      <c r="S491" s="50">
        <f>INVESTORS_LIST[[#This Row],[LS_TOTAL UNITS BUY]]+INVESTORS_LIST[[#This Row],[SIP_TOTAL UNITS BUY]]</f>
        <v>14055</v>
      </c>
      <c r="T491" s="50">
        <f>INVESTORS_LIST[[#This Row],[LS_TOTAL UNITS SOLD]]+INVESTORS_LIST[[#This Row],[SIP_TOTAL UNITS SOLD]]</f>
        <v>0</v>
      </c>
      <c r="U491" s="50"/>
      <c r="V491" s="50">
        <f>SUMIFS(LS[BO UNIT TRANSFER],LS[Investor ID],INVESTORS_LIST[[#This Row],[INVESTOR CODE]],LS[B/S],"B")</f>
        <v>0</v>
      </c>
      <c r="W491" s="50">
        <f>SUMIFS(SIP[BO UNIT TRANSFER],SIP[Investor ID],INVESTORS_LIST[[#This Row],[INVESTOR CODE]],SIP[B/S],"B")</f>
        <v>0</v>
      </c>
      <c r="X491" s="50">
        <f>SUMIFS(LS[BO UNIT TRANSFER],LS[Investor ID],INVESTORS_LIST[[#This Row],[INVESTOR CODE]],LS[B/S],"S")</f>
        <v>0</v>
      </c>
      <c r="Y491" s="50">
        <f>SUMIFS(SIP[BO UNIT TRANSFER],SIP[Investor ID],INVESTORS_LIST[[#This Row],[INVESTOR CODE]],SIP[B/S],"S")</f>
        <v>0</v>
      </c>
      <c r="Z491" s="106">
        <f>SUM(INVESTORS_LIST[[#This Row],[BO OPENING BALANCE]:[BO SIP UNITS REPURCHASE]])</f>
        <v>0</v>
      </c>
      <c r="AA491" s="107">
        <f>INVESTORS_LIST[[#This Row],[TOTAL UNITS BUY]]-INVESTORS_LIST[[#This Row],[TOTAL UNITS SOLD]]</f>
        <v>14055</v>
      </c>
      <c r="AB491" s="107">
        <f>INVESTORS_LIST[[#This Row],[TOTAL CURRENT UNITS]]-INVESTORS_LIST[[#This Row],[BO UNITS HOLD]]</f>
        <v>14055</v>
      </c>
      <c r="AC491" s="201" t="e">
        <f>INDEX([3]!Table_1[BO ID],MATCH(INVESTORS_LIST[[#This Row],[INVESTOR CODE]],[3]!Table_1[INVESTOR CODE],0))</f>
        <v>#REF!</v>
      </c>
      <c r="AD491" s="201" t="e">
        <f>INDEX([3]!Table_1[Brokerage Name2],MATCH(INVESTORS_LIST[[#This Row],[INVESTOR CODE]],[3]!Table_1[INVESTOR CODE],0))</f>
        <v>#REF!</v>
      </c>
      <c r="AE491" s="201" t="e">
        <f>MID(INVESTORS_LIST[[#This Row],[BO ID]],4,5)</f>
        <v>#REF!</v>
      </c>
      <c r="AF491" s="201" t="e">
        <f>MID(INVESTORS_LIST[[#This Row],[BO ID]],2,7)</f>
        <v>#REF!</v>
      </c>
      <c r="AG491" s="201" t="e">
        <f>MID(INVESTORS_LIST[[#This Row],[BO ID]],9,7)</f>
        <v>#REF!</v>
      </c>
      <c r="AH491" s="201" t="e">
        <f>RIGHT(INVESTORS_LIST[[#This Row],[BO ID]],1)</f>
        <v>#REF!</v>
      </c>
      <c r="AI491" s="50">
        <f>INVESTORS_LIST[[#This Row],[LS_TOTAL COST VALUE OF CURRENT UNITS]]+INVESTORS_LIST[[#This Row],[SIP_TOTAL COST VALUE OF CURRENT UNITS]]</f>
        <v>165000</v>
      </c>
      <c r="AJ491" s="109">
        <f>IF(INVESTORS_LIST[[#This Row],[TOTAL CURRENT UNITS]]=0,0,INVESTORS_LIST[[#This Row],[LS_TOTAL CURRENT UNITS]]/INVESTORS_LIST[[#This Row],[TOTAL CURRENT UNITS]])</f>
        <v>0</v>
      </c>
      <c r="AK491" s="109">
        <f>IF(INVESTORS_LIST[[#This Row],[TOTAL CURRENT UNITS]]=0,0,INVESTORS_LIST[[#This Row],[SIP_TOTAL CURRENT UNITS]]/INVESTORS_LIST[[#This Row],[TOTAL CURRENT UNITS]])</f>
        <v>1</v>
      </c>
      <c r="AL491" s="49" cm="1">
        <f t="array" ref="AL4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91" s="49" cm="1">
        <f t="array" ref="AM491">IF(INVESTORS_LIST[[#This Row],[SIP_TOTAL UNITS BUY]]&gt;0,INDEX(SIP[NAV at Cost (Average)],MATCH(CONCATENATE(COUNTIFS(SIP[Investor ID],INVESTORS_LIST[[#This Row],[INVESTOR CODE]]),INVESTORS_LIST[[#This Row],[INVESTOR CODE]]),SIP[Unique Code],0),),0)</f>
        <v>11.739594450373533</v>
      </c>
      <c r="AN491" s="105">
        <f>IF(INVESTORS_LIST[[#This Row],[TOTAL CURRENT UNITS]]=0,0,(INVESTORS_LIST[[#This Row],[LS_WEIGHT]]*INVESTORS_LIST[[#This Row],[LS_AVERAGE COST]])+(INVESTORS_LIST[[#This Row],[SIP_WEIGHT]]*INVESTORS_LIST[[#This Row],[SIP_AVERAGE COST]]))</f>
        <v>11.739594450373533</v>
      </c>
      <c r="AO491" s="105">
        <f t="shared" si="8"/>
        <v>14.224</v>
      </c>
      <c r="AP491" s="112">
        <f>IF(INVESTORS_LIST[[#This Row],[TOTAL CURRENT UNITS]]=0,0,INVESTORS_LIST[[#This Row],[TOTAL CURRENT UNITS]]*INVESTORS_LIST[[#This Row],[NAV]])</f>
        <v>199918.32</v>
      </c>
      <c r="AQ491" s="49">
        <f>IF(INVESTORS_LIST[[#This Row],[LS_TOTAL CURRENT UNITS]]=0,0,INVESTORS_LIST[[#This Row],[LS_TOTAL CURRENT UNITS]]*INVESTORS_LIST[[#This Row],[NAV]])</f>
        <v>0</v>
      </c>
      <c r="AR491" s="48">
        <f>IF(INVESTORS_LIST[[#This Row],[SIP_TOTAL CURRENT UNITS]]=0,0,INVESTORS_LIST[[#This Row],[SIP_TOTAL CURRENT UNITS]]*INVESTORS_LIST[[#This Row],[NAV]])</f>
        <v>199918.32</v>
      </c>
      <c r="AS491" s="50">
        <f>INVESTORS_LIST[[#This Row],[TOTAL CURRENT UNITS]]</f>
        <v>14055</v>
      </c>
      <c r="AT491" s="48">
        <f>IF(INVESTORS_LIST[[#This Row],[TOTAL SELLABLE UNITS]]=0,0,INVESTORS_LIST[[#This Row],[TOTAL SELLABLE UNITS]]*INVESTORS_LIST[[#This Row],[NAV]])</f>
        <v>199918.32</v>
      </c>
      <c r="AU491" s="48">
        <f>INVESTORS_LIST[[#This Row],[LS_TOTAL REALIZED GAIN]]+INVESTORS_LIST[[#This Row],[SIP_TOTAL REALIZED GAIN]]</f>
        <v>0</v>
      </c>
      <c r="AV491" s="48">
        <f>INVESTORS_LIST[[#This Row],[TOTAL MARKET VALUE]]-INVESTORS_LIST[[#This Row],[TOTAL COST VALUE OF CURRENT INVESTMENT]]</f>
        <v>34918.320000000007</v>
      </c>
      <c r="AW491" s="108">
        <f>IFERROR(INVESTORS_LIST[[#This Row],[TOTAL CURRENT UNITS]]/SUM(INVESTORS_LIST[TOTAL CURRENT UNITS]),0)</f>
        <v>3.4120210197973691E-4</v>
      </c>
    </row>
    <row r="492" spans="1:49">
      <c r="A492" s="262" t="s">
        <v>1029</v>
      </c>
      <c r="B492" s="97" t="s">
        <v>1030</v>
      </c>
      <c r="C492" t="s">
        <v>67</v>
      </c>
      <c r="D492" s="75" t="s">
        <v>45</v>
      </c>
      <c r="E492" s="47">
        <f>SUMIFS(LS[Unit],LS[Investor ID],INVESTORS_LIST[[#This Row],[INVESTOR CODE]],LS[B/S],"B")</f>
        <v>48933</v>
      </c>
      <c r="F492" s="47">
        <f>-SUMIFS(LS[Unit],LS[Investor ID],INVESTORS_LIST[[#This Row],[INVESTOR CODE]],LS[B/S],"S")</f>
        <v>0</v>
      </c>
      <c r="G492" s="47">
        <f>IF(INVESTORS_LIST[[#This Row],[LS_TOTAL UNITS BUY]]=0,0,INVESTORS_LIST[[#This Row],[LS_TOTAL UNITS BUY]]-INVESTORS_LIST[[#This Row],[LS_TOTAL UNITS SOLD]])</f>
        <v>48933</v>
      </c>
      <c r="H492" s="49">
        <f>IF(INVESTORS_LIST[[#This Row],[LS_TOTAL UNITS BUY]]=0,0,SUMIFS(LS[Amount],LS[Investor ID],INVESTORS_LIST[[#This Row],[INVESTOR CODE]],LS[B/S],"B"))</f>
        <v>500000</v>
      </c>
      <c r="I492" s="48">
        <f>IF(INVESTORS_LIST[[#This Row],[LS_TOTAL UNITS SOLD]]=0,0,SUMIFS(LS[Cost of Units Sold],LS[Investor ID],INVESTORS_LIST[[#This Row],[INVESTOR CODE]],LS[B/S],"S"))</f>
        <v>0</v>
      </c>
      <c r="J492" s="48">
        <f>IF(INVESTORS_LIST[[#This Row],[LS_TOTAL CURRENT UNITS]]=0,0,INVESTORS_LIST[[#This Row],[LS_TOTAL CURRENT UNITS]]*INVESTORS_LIST[[#This Row],[LS_AVERAGE COST]])</f>
        <v>500000</v>
      </c>
      <c r="K492" s="49">
        <f>IF(INVESTORS_LIST[[#This Row],[LS_TOTAL UNITS SOLD]]=0,0,SUMIFS(LS[Realized Gain],LS[Investor ID],INVESTORS_LIST[[#This Row],[INVESTOR CODE]],LS[B/S],"S"))</f>
        <v>0</v>
      </c>
      <c r="L492" s="47">
        <f>SUMIFS(SIP[Unit],SIP[Investor ID],INVESTORS_LIST[[#This Row],[INVESTOR CODE]],SIP[B/S],"B")</f>
        <v>0</v>
      </c>
      <c r="M492" s="47">
        <f>-SUMIFS(SIP[Unit],SIP[Investor ID],INVESTORS_LIST[[#This Row],[INVESTOR CODE]],SIP[B/S],"S")</f>
        <v>0</v>
      </c>
      <c r="N492" s="50">
        <f>IF(INVESTORS_LIST[[#This Row],[SIP_TOTAL UNITS BUY]]=0,0,INVESTORS_LIST[[#This Row],[SIP_TOTAL UNITS BUY]]-INVESTORS_LIST[[#This Row],[SIP_TOTAL UNITS SOLD]])</f>
        <v>0</v>
      </c>
      <c r="O492" s="49">
        <f>IF(INVESTORS_LIST[[#This Row],[SIP_TOTAL UNITS BUY]]=0,0,SUMIFS(SIP[Amount],SIP[Investor ID],INVESTORS_LIST[[#This Row],[INVESTOR CODE]],SIP[B/S],"B"))</f>
        <v>0</v>
      </c>
      <c r="P492" s="49">
        <f>IF(INVESTORS_LIST[[#This Row],[SIP_TOTAL UNITS SOLD]]=0,0,SUMIFS(SIP[Cost of Units Sold],SIP[Investor ID],INVESTORS_LIST[[#This Row],[INVESTOR CODE]],SIP[B/S],"S"))</f>
        <v>0</v>
      </c>
      <c r="Q492" s="48">
        <f>IF(INVESTORS_LIST[[#This Row],[SIP_TOTAL CURRENT UNITS]]=0,0,INVESTORS_LIST[[#This Row],[SIP_TOTAL CURRENT UNITS]]*INVESTORS_LIST[[#This Row],[SIP_AVERAGE COST]])</f>
        <v>0</v>
      </c>
      <c r="R492" s="48">
        <f>IF(INVESTORS_LIST[[#This Row],[SIP_TOTAL UNITS SOLD]]=0,0,SUMIFS(SIP[Realized Gain],SIP[Investor ID],INVESTORS_LIST[[#This Row],[INVESTOR CODE]],SIP[B/S],"S"))</f>
        <v>0</v>
      </c>
      <c r="S492" s="50">
        <f>INVESTORS_LIST[[#This Row],[LS_TOTAL UNITS BUY]]+INVESTORS_LIST[[#This Row],[SIP_TOTAL UNITS BUY]]</f>
        <v>48933</v>
      </c>
      <c r="T492" s="50">
        <f>INVESTORS_LIST[[#This Row],[LS_TOTAL UNITS SOLD]]+INVESTORS_LIST[[#This Row],[SIP_TOTAL UNITS SOLD]]</f>
        <v>0</v>
      </c>
      <c r="U492" s="50"/>
      <c r="V492" s="50">
        <f>SUMIFS(LS[BO UNIT TRANSFER],LS[Investor ID],INVESTORS_LIST[[#This Row],[INVESTOR CODE]],LS[B/S],"B")</f>
        <v>0</v>
      </c>
      <c r="W492" s="50">
        <f>SUMIFS(SIP[BO UNIT TRANSFER],SIP[Investor ID],INVESTORS_LIST[[#This Row],[INVESTOR CODE]],SIP[B/S],"B")</f>
        <v>0</v>
      </c>
      <c r="X492" s="50">
        <f>SUMIFS(LS[BO UNIT TRANSFER],LS[Investor ID],INVESTORS_LIST[[#This Row],[INVESTOR CODE]],LS[B/S],"S")</f>
        <v>0</v>
      </c>
      <c r="Y492" s="50">
        <f>SUMIFS(SIP[BO UNIT TRANSFER],SIP[Investor ID],INVESTORS_LIST[[#This Row],[INVESTOR CODE]],SIP[B/S],"S")</f>
        <v>0</v>
      </c>
      <c r="Z492" s="106">
        <f>SUM(INVESTORS_LIST[[#This Row],[BO OPENING BALANCE]:[BO SIP UNITS REPURCHASE]])</f>
        <v>0</v>
      </c>
      <c r="AA492" s="107">
        <f>INVESTORS_LIST[[#This Row],[TOTAL UNITS BUY]]-INVESTORS_LIST[[#This Row],[TOTAL UNITS SOLD]]</f>
        <v>48933</v>
      </c>
      <c r="AB492" s="107">
        <f>INVESTORS_LIST[[#This Row],[TOTAL CURRENT UNITS]]-INVESTORS_LIST[[#This Row],[BO UNITS HOLD]]</f>
        <v>48933</v>
      </c>
      <c r="AC492" s="201" t="e">
        <f>INDEX([3]!Table_1[BO ID],MATCH(INVESTORS_LIST[[#This Row],[INVESTOR CODE]],[3]!Table_1[INVESTOR CODE],0))</f>
        <v>#REF!</v>
      </c>
      <c r="AD492" s="201" t="e">
        <f>INDEX([3]!Table_1[Brokerage Name2],MATCH(INVESTORS_LIST[[#This Row],[INVESTOR CODE]],[3]!Table_1[INVESTOR CODE],0))</f>
        <v>#REF!</v>
      </c>
      <c r="AE492" s="201" t="e">
        <f>MID(INVESTORS_LIST[[#This Row],[BO ID]],4,5)</f>
        <v>#REF!</v>
      </c>
      <c r="AF492" s="201" t="e">
        <f>MID(INVESTORS_LIST[[#This Row],[BO ID]],2,7)</f>
        <v>#REF!</v>
      </c>
      <c r="AG492" s="201" t="e">
        <f>MID(INVESTORS_LIST[[#This Row],[BO ID]],9,7)</f>
        <v>#REF!</v>
      </c>
      <c r="AH492" s="201" t="e">
        <f>RIGHT(INVESTORS_LIST[[#This Row],[BO ID]],1)</f>
        <v>#REF!</v>
      </c>
      <c r="AI492" s="50">
        <f>INVESTORS_LIST[[#This Row],[LS_TOTAL COST VALUE OF CURRENT UNITS]]+INVESTORS_LIST[[#This Row],[SIP_TOTAL COST VALUE OF CURRENT UNITS]]</f>
        <v>500000</v>
      </c>
      <c r="AJ492" s="109">
        <f>IF(INVESTORS_LIST[[#This Row],[TOTAL CURRENT UNITS]]=0,0,INVESTORS_LIST[[#This Row],[LS_TOTAL CURRENT UNITS]]/INVESTORS_LIST[[#This Row],[TOTAL CURRENT UNITS]])</f>
        <v>1</v>
      </c>
      <c r="AK492" s="109">
        <f>IF(INVESTORS_LIST[[#This Row],[TOTAL CURRENT UNITS]]=0,0,INVESTORS_LIST[[#This Row],[SIP_TOTAL CURRENT UNITS]]/INVESTORS_LIST[[#This Row],[TOTAL CURRENT UNITS]])</f>
        <v>0</v>
      </c>
      <c r="AL492" s="49" cm="1">
        <f t="array" ref="AL492">IF(INVESTORS_LIST[[#This Row],[LS_TOTAL UNITS BUY]]&gt;0,INDEX(LS[NAV at Cost (Average)],MATCH(CONCATENATE(COUNTIFS(LS[Investor ID],INVESTORS_LIST[[#This Row],[INVESTOR CODE]]),INVESTORS_LIST[[#This Row],[INVESTOR CODE]]),LS[Unique Code],0),),0)</f>
        <v>10.218053256493572</v>
      </c>
      <c r="AM492" s="49" cm="1">
        <f t="array" ref="AM4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2" s="105">
        <f>IF(INVESTORS_LIST[[#This Row],[TOTAL CURRENT UNITS]]=0,0,(INVESTORS_LIST[[#This Row],[LS_WEIGHT]]*INVESTORS_LIST[[#This Row],[LS_AVERAGE COST]])+(INVESTORS_LIST[[#This Row],[SIP_WEIGHT]]*INVESTORS_LIST[[#This Row],[SIP_AVERAGE COST]]))</f>
        <v>10.218053256493572</v>
      </c>
      <c r="AO492" s="105">
        <f t="shared" si="8"/>
        <v>14.224</v>
      </c>
      <c r="AP492" s="112">
        <f>IF(INVESTORS_LIST[[#This Row],[TOTAL CURRENT UNITS]]=0,0,INVESTORS_LIST[[#This Row],[TOTAL CURRENT UNITS]]*INVESTORS_LIST[[#This Row],[NAV]])</f>
        <v>696022.99199999997</v>
      </c>
      <c r="AQ492" s="49">
        <f>IF(INVESTORS_LIST[[#This Row],[LS_TOTAL CURRENT UNITS]]=0,0,INVESTORS_LIST[[#This Row],[LS_TOTAL CURRENT UNITS]]*INVESTORS_LIST[[#This Row],[NAV]])</f>
        <v>696022.99199999997</v>
      </c>
      <c r="AR492" s="48">
        <f>IF(INVESTORS_LIST[[#This Row],[SIP_TOTAL CURRENT UNITS]]=0,0,INVESTORS_LIST[[#This Row],[SIP_TOTAL CURRENT UNITS]]*INVESTORS_LIST[[#This Row],[NAV]])</f>
        <v>0</v>
      </c>
      <c r="AS492" s="50">
        <f>INVESTORS_LIST[[#This Row],[TOTAL CURRENT UNITS]]</f>
        <v>48933</v>
      </c>
      <c r="AT492" s="48">
        <f>IF(INVESTORS_LIST[[#This Row],[TOTAL SELLABLE UNITS]]=0,0,INVESTORS_LIST[[#This Row],[TOTAL SELLABLE UNITS]]*INVESTORS_LIST[[#This Row],[NAV]])</f>
        <v>696022.99199999997</v>
      </c>
      <c r="AU492" s="48">
        <f>INVESTORS_LIST[[#This Row],[LS_TOTAL REALIZED GAIN]]+INVESTORS_LIST[[#This Row],[SIP_TOTAL REALIZED GAIN]]</f>
        <v>0</v>
      </c>
      <c r="AV492" s="48">
        <f>INVESTORS_LIST[[#This Row],[TOTAL MARKET VALUE]]-INVESTORS_LIST[[#This Row],[TOTAL COST VALUE OF CURRENT INVESTMENT]]</f>
        <v>196022.99199999997</v>
      </c>
      <c r="AW492" s="108">
        <f>IFERROR(INVESTORS_LIST[[#This Row],[TOTAL CURRENT UNITS]]/SUM(INVESTORS_LIST[TOTAL CURRENT UNITS]),0)</f>
        <v>1.1879076809800401E-3</v>
      </c>
    </row>
    <row r="493" spans="1:49">
      <c r="A493" s="262" t="s">
        <v>1031</v>
      </c>
      <c r="B493" s="97" t="s">
        <v>1032</v>
      </c>
      <c r="C493" t="s">
        <v>44</v>
      </c>
      <c r="D493" s="75" t="s">
        <v>45</v>
      </c>
      <c r="E493" s="47">
        <f>SUMIFS(LS[Unit],LS[Investor ID],INVESTORS_LIST[[#This Row],[INVESTOR CODE]],LS[B/S],"B")</f>
        <v>0</v>
      </c>
      <c r="F493" s="47">
        <f>-SUMIFS(LS[Unit],LS[Investor ID],INVESTORS_LIST[[#This Row],[INVESTOR CODE]],LS[B/S],"S")</f>
        <v>0</v>
      </c>
      <c r="G493" s="47">
        <f>IF(INVESTORS_LIST[[#This Row],[LS_TOTAL UNITS BUY]]=0,0,INVESTORS_LIST[[#This Row],[LS_TOTAL UNITS BUY]]-INVESTORS_LIST[[#This Row],[LS_TOTAL UNITS SOLD]])</f>
        <v>0</v>
      </c>
      <c r="H493" s="49">
        <f>IF(INVESTORS_LIST[[#This Row],[LS_TOTAL UNITS BUY]]=0,0,SUMIFS(LS[Amount],LS[Investor ID],INVESTORS_LIST[[#This Row],[INVESTOR CODE]],LS[B/S],"B"))</f>
        <v>0</v>
      </c>
      <c r="I493" s="48">
        <f>IF(INVESTORS_LIST[[#This Row],[LS_TOTAL UNITS SOLD]]=0,0,SUMIFS(LS[Cost of Units Sold],LS[Investor ID],INVESTORS_LIST[[#This Row],[INVESTOR CODE]],LS[B/S],"S"))</f>
        <v>0</v>
      </c>
      <c r="J493" s="48">
        <f>IF(INVESTORS_LIST[[#This Row],[LS_TOTAL CURRENT UNITS]]=0,0,INVESTORS_LIST[[#This Row],[LS_TOTAL CURRENT UNITS]]*INVESTORS_LIST[[#This Row],[LS_AVERAGE COST]])</f>
        <v>0</v>
      </c>
      <c r="K493" s="49">
        <f>IF(INVESTORS_LIST[[#This Row],[LS_TOTAL UNITS SOLD]]=0,0,SUMIFS(LS[Realized Gain],LS[Investor ID],INVESTORS_LIST[[#This Row],[INVESTOR CODE]],LS[B/S],"S"))</f>
        <v>0</v>
      </c>
      <c r="L493" s="47">
        <f>SUMIFS(SIP[Unit],SIP[Investor ID],INVESTORS_LIST[[#This Row],[INVESTOR CODE]],SIP[B/S],"B")</f>
        <v>14055</v>
      </c>
      <c r="M493" s="47">
        <f>-SUMIFS(SIP[Unit],SIP[Investor ID],INVESTORS_LIST[[#This Row],[INVESTOR CODE]],SIP[B/S],"S")</f>
        <v>0</v>
      </c>
      <c r="N493" s="50">
        <f>IF(INVESTORS_LIST[[#This Row],[SIP_TOTAL UNITS BUY]]=0,0,INVESTORS_LIST[[#This Row],[SIP_TOTAL UNITS BUY]]-INVESTORS_LIST[[#This Row],[SIP_TOTAL UNITS SOLD]])</f>
        <v>14055</v>
      </c>
      <c r="O493" s="49">
        <f>IF(INVESTORS_LIST[[#This Row],[SIP_TOTAL UNITS BUY]]=0,0,SUMIFS(SIP[Amount],SIP[Investor ID],INVESTORS_LIST[[#This Row],[INVESTOR CODE]],SIP[B/S],"B"))</f>
        <v>165000</v>
      </c>
      <c r="P493" s="49">
        <f>IF(INVESTORS_LIST[[#This Row],[SIP_TOTAL UNITS SOLD]]=0,0,SUMIFS(SIP[Cost of Units Sold],SIP[Investor ID],INVESTORS_LIST[[#This Row],[INVESTOR CODE]],SIP[B/S],"S"))</f>
        <v>0</v>
      </c>
      <c r="Q493" s="48">
        <f>IF(INVESTORS_LIST[[#This Row],[SIP_TOTAL CURRENT UNITS]]=0,0,INVESTORS_LIST[[#This Row],[SIP_TOTAL CURRENT UNITS]]*INVESTORS_LIST[[#This Row],[SIP_AVERAGE COST]])</f>
        <v>165000</v>
      </c>
      <c r="R493" s="48">
        <f>IF(INVESTORS_LIST[[#This Row],[SIP_TOTAL UNITS SOLD]]=0,0,SUMIFS(SIP[Realized Gain],SIP[Investor ID],INVESTORS_LIST[[#This Row],[INVESTOR CODE]],SIP[B/S],"S"))</f>
        <v>0</v>
      </c>
      <c r="S493" s="50">
        <f>INVESTORS_LIST[[#This Row],[LS_TOTAL UNITS BUY]]+INVESTORS_LIST[[#This Row],[SIP_TOTAL UNITS BUY]]</f>
        <v>14055</v>
      </c>
      <c r="T493" s="50">
        <f>INVESTORS_LIST[[#This Row],[LS_TOTAL UNITS SOLD]]+INVESTORS_LIST[[#This Row],[SIP_TOTAL UNITS SOLD]]</f>
        <v>0</v>
      </c>
      <c r="U493" s="50"/>
      <c r="V493" s="50">
        <f>SUMIFS(LS[BO UNIT TRANSFER],LS[Investor ID],INVESTORS_LIST[[#This Row],[INVESTOR CODE]],LS[B/S],"B")</f>
        <v>0</v>
      </c>
      <c r="W493" s="50">
        <f>SUMIFS(SIP[BO UNIT TRANSFER],SIP[Investor ID],INVESTORS_LIST[[#This Row],[INVESTOR CODE]],SIP[B/S],"B")</f>
        <v>0</v>
      </c>
      <c r="X493" s="50">
        <f>SUMIFS(LS[BO UNIT TRANSFER],LS[Investor ID],INVESTORS_LIST[[#This Row],[INVESTOR CODE]],LS[B/S],"S")</f>
        <v>0</v>
      </c>
      <c r="Y493" s="50">
        <f>SUMIFS(SIP[BO UNIT TRANSFER],SIP[Investor ID],INVESTORS_LIST[[#This Row],[INVESTOR CODE]],SIP[B/S],"S")</f>
        <v>0</v>
      </c>
      <c r="Z493" s="106">
        <f>SUM(INVESTORS_LIST[[#This Row],[BO OPENING BALANCE]:[BO SIP UNITS REPURCHASE]])</f>
        <v>0</v>
      </c>
      <c r="AA493" s="107">
        <f>INVESTORS_LIST[[#This Row],[TOTAL UNITS BUY]]-INVESTORS_LIST[[#This Row],[TOTAL UNITS SOLD]]</f>
        <v>14055</v>
      </c>
      <c r="AB493" s="107">
        <f>INVESTORS_LIST[[#This Row],[TOTAL CURRENT UNITS]]-INVESTORS_LIST[[#This Row],[BO UNITS HOLD]]</f>
        <v>14055</v>
      </c>
      <c r="AC493" s="201" t="e">
        <f>INDEX([3]!Table_1[BO ID],MATCH(INVESTORS_LIST[[#This Row],[INVESTOR CODE]],[3]!Table_1[INVESTOR CODE],0))</f>
        <v>#REF!</v>
      </c>
      <c r="AD493" s="201" t="e">
        <f>INDEX([3]!Table_1[Brokerage Name2],MATCH(INVESTORS_LIST[[#This Row],[INVESTOR CODE]],[3]!Table_1[INVESTOR CODE],0))</f>
        <v>#REF!</v>
      </c>
      <c r="AE493" s="201" t="e">
        <f>MID(INVESTORS_LIST[[#This Row],[BO ID]],4,5)</f>
        <v>#REF!</v>
      </c>
      <c r="AF493" s="201" t="e">
        <f>MID(INVESTORS_LIST[[#This Row],[BO ID]],2,7)</f>
        <v>#REF!</v>
      </c>
      <c r="AG493" s="201" t="e">
        <f>MID(INVESTORS_LIST[[#This Row],[BO ID]],9,7)</f>
        <v>#REF!</v>
      </c>
      <c r="AH493" s="201" t="e">
        <f>RIGHT(INVESTORS_LIST[[#This Row],[BO ID]],1)</f>
        <v>#REF!</v>
      </c>
      <c r="AI493" s="50">
        <f>INVESTORS_LIST[[#This Row],[LS_TOTAL COST VALUE OF CURRENT UNITS]]+INVESTORS_LIST[[#This Row],[SIP_TOTAL COST VALUE OF CURRENT UNITS]]</f>
        <v>165000</v>
      </c>
      <c r="AJ493" s="109">
        <f>IF(INVESTORS_LIST[[#This Row],[TOTAL CURRENT UNITS]]=0,0,INVESTORS_LIST[[#This Row],[LS_TOTAL CURRENT UNITS]]/INVESTORS_LIST[[#This Row],[TOTAL CURRENT UNITS]])</f>
        <v>0</v>
      </c>
      <c r="AK493" s="109">
        <f>IF(INVESTORS_LIST[[#This Row],[TOTAL CURRENT UNITS]]=0,0,INVESTORS_LIST[[#This Row],[SIP_TOTAL CURRENT UNITS]]/INVESTORS_LIST[[#This Row],[TOTAL CURRENT UNITS]])</f>
        <v>1</v>
      </c>
      <c r="AL493" s="49" cm="1">
        <f t="array" ref="AL4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93" s="49" cm="1">
        <f t="array" ref="AM493">IF(INVESTORS_LIST[[#This Row],[SIP_TOTAL UNITS BUY]]&gt;0,INDEX(SIP[NAV at Cost (Average)],MATCH(CONCATENATE(COUNTIFS(SIP[Investor ID],INVESTORS_LIST[[#This Row],[INVESTOR CODE]]),INVESTORS_LIST[[#This Row],[INVESTOR CODE]]),SIP[Unique Code],0),),0)</f>
        <v>11.739594450373533</v>
      </c>
      <c r="AN493" s="105">
        <f>IF(INVESTORS_LIST[[#This Row],[TOTAL CURRENT UNITS]]=0,0,(INVESTORS_LIST[[#This Row],[LS_WEIGHT]]*INVESTORS_LIST[[#This Row],[LS_AVERAGE COST]])+(INVESTORS_LIST[[#This Row],[SIP_WEIGHT]]*INVESTORS_LIST[[#This Row],[SIP_AVERAGE COST]]))</f>
        <v>11.739594450373533</v>
      </c>
      <c r="AO493" s="105">
        <f t="shared" si="8"/>
        <v>14.224</v>
      </c>
      <c r="AP493" s="112">
        <f>IF(INVESTORS_LIST[[#This Row],[TOTAL CURRENT UNITS]]=0,0,INVESTORS_LIST[[#This Row],[TOTAL CURRENT UNITS]]*INVESTORS_LIST[[#This Row],[NAV]])</f>
        <v>199918.32</v>
      </c>
      <c r="AQ493" s="49">
        <f>IF(INVESTORS_LIST[[#This Row],[LS_TOTAL CURRENT UNITS]]=0,0,INVESTORS_LIST[[#This Row],[LS_TOTAL CURRENT UNITS]]*INVESTORS_LIST[[#This Row],[NAV]])</f>
        <v>0</v>
      </c>
      <c r="AR493" s="48">
        <f>IF(INVESTORS_LIST[[#This Row],[SIP_TOTAL CURRENT UNITS]]=0,0,INVESTORS_LIST[[#This Row],[SIP_TOTAL CURRENT UNITS]]*INVESTORS_LIST[[#This Row],[NAV]])</f>
        <v>199918.32</v>
      </c>
      <c r="AS493" s="50">
        <f>INVESTORS_LIST[[#This Row],[TOTAL CURRENT UNITS]]</f>
        <v>14055</v>
      </c>
      <c r="AT493" s="48">
        <f>IF(INVESTORS_LIST[[#This Row],[TOTAL SELLABLE UNITS]]=0,0,INVESTORS_LIST[[#This Row],[TOTAL SELLABLE UNITS]]*INVESTORS_LIST[[#This Row],[NAV]])</f>
        <v>199918.32</v>
      </c>
      <c r="AU493" s="48">
        <f>INVESTORS_LIST[[#This Row],[LS_TOTAL REALIZED GAIN]]+INVESTORS_LIST[[#This Row],[SIP_TOTAL REALIZED GAIN]]</f>
        <v>0</v>
      </c>
      <c r="AV493" s="48">
        <f>INVESTORS_LIST[[#This Row],[TOTAL MARKET VALUE]]-INVESTORS_LIST[[#This Row],[TOTAL COST VALUE OF CURRENT INVESTMENT]]</f>
        <v>34918.320000000007</v>
      </c>
      <c r="AW493" s="108">
        <f>IFERROR(INVESTORS_LIST[[#This Row],[TOTAL CURRENT UNITS]]/SUM(INVESTORS_LIST[TOTAL CURRENT UNITS]),0)</f>
        <v>3.4120210197973691E-4</v>
      </c>
    </row>
    <row r="494" spans="1:49">
      <c r="A494" s="262" t="s">
        <v>1033</v>
      </c>
      <c r="B494" s="97" t="s">
        <v>1034</v>
      </c>
      <c r="C494" t="s">
        <v>44</v>
      </c>
      <c r="D494" s="75" t="s">
        <v>45</v>
      </c>
      <c r="E494" s="47">
        <f>SUMIFS(LS[Unit],LS[Investor ID],INVESTORS_LIST[[#This Row],[INVESTOR CODE]],LS[B/S],"B")</f>
        <v>222572</v>
      </c>
      <c r="F494" s="47">
        <f>-SUMIFS(LS[Unit],LS[Investor ID],INVESTORS_LIST[[#This Row],[INVESTOR CODE]],LS[B/S],"S")</f>
        <v>185560</v>
      </c>
      <c r="G494" s="47">
        <f>IF(INVESTORS_LIST[[#This Row],[LS_TOTAL UNITS BUY]]=0,0,INVESTORS_LIST[[#This Row],[LS_TOTAL UNITS BUY]]-INVESTORS_LIST[[#This Row],[LS_TOTAL UNITS SOLD]])</f>
        <v>37012</v>
      </c>
      <c r="H494" s="49">
        <f>IF(INVESTORS_LIST[[#This Row],[LS_TOTAL UNITS BUY]]=0,0,SUMIFS(LS[Amount],LS[Investor ID],INVESTORS_LIST[[#This Row],[INVESTOR CODE]],LS[B/S],"B"))</f>
        <v>2640000</v>
      </c>
      <c r="I494" s="48">
        <f>IF(INVESTORS_LIST[[#This Row],[LS_TOTAL UNITS SOLD]]=0,0,SUMIFS(LS[Cost of Units Sold],LS[Investor ID],INVESTORS_LIST[[#This Row],[INVESTOR CODE]],LS[B/S],"S"))</f>
        <v>2140000</v>
      </c>
      <c r="J494" s="48">
        <f>IF(INVESTORS_LIST[[#This Row],[LS_TOTAL CURRENT UNITS]]=0,0,INVESTORS_LIST[[#This Row],[LS_TOTAL CURRENT UNITS]]*INVESTORS_LIST[[#This Row],[LS_AVERAGE COST]])</f>
        <v>499999.99999999994</v>
      </c>
      <c r="K494" s="49">
        <f>IF(INVESTORS_LIST[[#This Row],[LS_TOTAL UNITS SOLD]]=0,0,SUMIFS(LS[Realized Gain],LS[Investor ID],INVESTORS_LIST[[#This Row],[INVESTOR CODE]],LS[B/S],"S"))</f>
        <v>113783.53</v>
      </c>
      <c r="L494" s="47">
        <f>SUMIFS(SIP[Unit],SIP[Investor ID],INVESTORS_LIST[[#This Row],[INVESTOR CODE]],SIP[B/S],"B")</f>
        <v>0</v>
      </c>
      <c r="M494" s="47">
        <f>-SUMIFS(SIP[Unit],SIP[Investor ID],INVESTORS_LIST[[#This Row],[INVESTOR CODE]],SIP[B/S],"S")</f>
        <v>0</v>
      </c>
      <c r="N494" s="50">
        <f>IF(INVESTORS_LIST[[#This Row],[SIP_TOTAL UNITS BUY]]=0,0,INVESTORS_LIST[[#This Row],[SIP_TOTAL UNITS BUY]]-INVESTORS_LIST[[#This Row],[SIP_TOTAL UNITS SOLD]])</f>
        <v>0</v>
      </c>
      <c r="O494" s="49">
        <f>IF(INVESTORS_LIST[[#This Row],[SIP_TOTAL UNITS BUY]]=0,0,SUMIFS(SIP[Amount],SIP[Investor ID],INVESTORS_LIST[[#This Row],[INVESTOR CODE]],SIP[B/S],"B"))</f>
        <v>0</v>
      </c>
      <c r="P494" s="49">
        <f>IF(INVESTORS_LIST[[#This Row],[SIP_TOTAL UNITS SOLD]]=0,0,SUMIFS(SIP[Cost of Units Sold],SIP[Investor ID],INVESTORS_LIST[[#This Row],[INVESTOR CODE]],SIP[B/S],"S"))</f>
        <v>0</v>
      </c>
      <c r="Q494" s="48">
        <f>IF(INVESTORS_LIST[[#This Row],[SIP_TOTAL CURRENT UNITS]]=0,0,INVESTORS_LIST[[#This Row],[SIP_TOTAL CURRENT UNITS]]*INVESTORS_LIST[[#This Row],[SIP_AVERAGE COST]])</f>
        <v>0</v>
      </c>
      <c r="R494" s="48">
        <f>IF(INVESTORS_LIST[[#This Row],[SIP_TOTAL UNITS SOLD]]=0,0,SUMIFS(SIP[Realized Gain],SIP[Investor ID],INVESTORS_LIST[[#This Row],[INVESTOR CODE]],SIP[B/S],"S"))</f>
        <v>0</v>
      </c>
      <c r="S494" s="50">
        <f>INVESTORS_LIST[[#This Row],[LS_TOTAL UNITS BUY]]+INVESTORS_LIST[[#This Row],[SIP_TOTAL UNITS BUY]]</f>
        <v>222572</v>
      </c>
      <c r="T494" s="50">
        <f>INVESTORS_LIST[[#This Row],[LS_TOTAL UNITS SOLD]]+INVESTORS_LIST[[#This Row],[SIP_TOTAL UNITS SOLD]]</f>
        <v>185560</v>
      </c>
      <c r="U494" s="50">
        <v>56018</v>
      </c>
      <c r="V494" s="50">
        <f>SUMIFS(LS[BO UNIT TRANSFER],LS[Investor ID],INVESTORS_LIST[[#This Row],[INVESTOR CODE]],LS[B/S],"B")</f>
        <v>0</v>
      </c>
      <c r="W494" s="50">
        <f>SUMIFS(SIP[BO UNIT TRANSFER],SIP[Investor ID],INVESTORS_LIST[[#This Row],[INVESTOR CODE]],SIP[B/S],"B")</f>
        <v>0</v>
      </c>
      <c r="X494" s="50">
        <f>SUMIFS(LS[BO UNIT TRANSFER],LS[Investor ID],INVESTORS_LIST[[#This Row],[INVESTOR CODE]],LS[B/S],"S")</f>
        <v>0</v>
      </c>
      <c r="Y494" s="50">
        <f>SUMIFS(SIP[BO UNIT TRANSFER],SIP[Investor ID],INVESTORS_LIST[[#This Row],[INVESTOR CODE]],SIP[B/S],"S")</f>
        <v>0</v>
      </c>
      <c r="Z494" s="106">
        <f>SUM(INVESTORS_LIST[[#This Row],[BO OPENING BALANCE]:[BO SIP UNITS REPURCHASE]])</f>
        <v>56018</v>
      </c>
      <c r="AA494" s="107">
        <f>INVESTORS_LIST[[#This Row],[TOTAL UNITS BUY]]-INVESTORS_LIST[[#This Row],[TOTAL UNITS SOLD]]</f>
        <v>37012</v>
      </c>
      <c r="AB494" s="107">
        <f>INVESTORS_LIST[[#This Row],[TOTAL CURRENT UNITS]]-INVESTORS_LIST[[#This Row],[BO UNITS HOLD]]</f>
        <v>-19006</v>
      </c>
      <c r="AC494" s="201" t="e">
        <f>INDEX([3]!Table_1[BO ID],MATCH(INVESTORS_LIST[[#This Row],[INVESTOR CODE]],[3]!Table_1[INVESTOR CODE],0))</f>
        <v>#REF!</v>
      </c>
      <c r="AD494" s="201" t="e">
        <f>INDEX([3]!Table_1[Brokerage Name2],MATCH(INVESTORS_LIST[[#This Row],[INVESTOR CODE]],[3]!Table_1[INVESTOR CODE],0))</f>
        <v>#REF!</v>
      </c>
      <c r="AE494" s="201" t="e">
        <f>MID(INVESTORS_LIST[[#This Row],[BO ID]],4,5)</f>
        <v>#REF!</v>
      </c>
      <c r="AF494" s="201" t="e">
        <f>MID(INVESTORS_LIST[[#This Row],[BO ID]],2,7)</f>
        <v>#REF!</v>
      </c>
      <c r="AG494" s="201" t="e">
        <f>MID(INVESTORS_LIST[[#This Row],[BO ID]],9,7)</f>
        <v>#REF!</v>
      </c>
      <c r="AH494" s="201" t="e">
        <f>RIGHT(INVESTORS_LIST[[#This Row],[BO ID]],1)</f>
        <v>#REF!</v>
      </c>
      <c r="AI494" s="50">
        <f>INVESTORS_LIST[[#This Row],[LS_TOTAL COST VALUE OF CURRENT UNITS]]+INVESTORS_LIST[[#This Row],[SIP_TOTAL COST VALUE OF CURRENT UNITS]]</f>
        <v>499999.99999999994</v>
      </c>
      <c r="AJ494" s="109">
        <f>IF(INVESTORS_LIST[[#This Row],[TOTAL CURRENT UNITS]]=0,0,INVESTORS_LIST[[#This Row],[LS_TOTAL CURRENT UNITS]]/INVESTORS_LIST[[#This Row],[TOTAL CURRENT UNITS]])</f>
        <v>1</v>
      </c>
      <c r="AK494" s="109">
        <f>IF(INVESTORS_LIST[[#This Row],[TOTAL CURRENT UNITS]]=0,0,INVESTORS_LIST[[#This Row],[SIP_TOTAL CURRENT UNITS]]/INVESTORS_LIST[[#This Row],[TOTAL CURRENT UNITS]])</f>
        <v>0</v>
      </c>
      <c r="AL494" s="49" cm="1">
        <f t="array" ref="AL494">IF(INVESTORS_LIST[[#This Row],[LS_TOTAL UNITS BUY]]&gt;0,INDEX(LS[NAV at Cost (Average)],MATCH(CONCATENATE(COUNTIFS(LS[Investor ID],INVESTORS_LIST[[#This Row],[INVESTOR CODE]]),INVESTORS_LIST[[#This Row],[INVESTOR CODE]]),LS[Unique Code],0),),0)</f>
        <v>13.509132173349183</v>
      </c>
      <c r="AM494" s="49" cm="1">
        <f t="array" ref="AM4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4" s="105">
        <f>IF(INVESTORS_LIST[[#This Row],[TOTAL CURRENT UNITS]]=0,0,(INVESTORS_LIST[[#This Row],[LS_WEIGHT]]*INVESTORS_LIST[[#This Row],[LS_AVERAGE COST]])+(INVESTORS_LIST[[#This Row],[SIP_WEIGHT]]*INVESTORS_LIST[[#This Row],[SIP_AVERAGE COST]]))</f>
        <v>13.509132173349183</v>
      </c>
      <c r="AO494" s="105">
        <f t="shared" si="8"/>
        <v>14.224</v>
      </c>
      <c r="AP494" s="112">
        <f>IF(INVESTORS_LIST[[#This Row],[TOTAL CURRENT UNITS]]=0,0,INVESTORS_LIST[[#This Row],[TOTAL CURRENT UNITS]]*INVESTORS_LIST[[#This Row],[NAV]])</f>
        <v>526458.68799999997</v>
      </c>
      <c r="AQ494" s="49">
        <f>IF(INVESTORS_LIST[[#This Row],[LS_TOTAL CURRENT UNITS]]=0,0,INVESTORS_LIST[[#This Row],[LS_TOTAL CURRENT UNITS]]*INVESTORS_LIST[[#This Row],[NAV]])</f>
        <v>526458.68799999997</v>
      </c>
      <c r="AR494" s="48">
        <f>IF(INVESTORS_LIST[[#This Row],[SIP_TOTAL CURRENT UNITS]]=0,0,INVESTORS_LIST[[#This Row],[SIP_TOTAL CURRENT UNITS]]*INVESTORS_LIST[[#This Row],[NAV]])</f>
        <v>0</v>
      </c>
      <c r="AS494" s="50">
        <f>INVESTORS_LIST[[#This Row],[TOTAL CURRENT UNITS]]</f>
        <v>37012</v>
      </c>
      <c r="AT494" s="48">
        <f>IF(INVESTORS_LIST[[#This Row],[TOTAL SELLABLE UNITS]]=0,0,INVESTORS_LIST[[#This Row],[TOTAL SELLABLE UNITS]]*INVESTORS_LIST[[#This Row],[NAV]])</f>
        <v>526458.68799999997</v>
      </c>
      <c r="AU494" s="48">
        <f>INVESTORS_LIST[[#This Row],[LS_TOTAL REALIZED GAIN]]+INVESTORS_LIST[[#This Row],[SIP_TOTAL REALIZED GAIN]]</f>
        <v>113783.53</v>
      </c>
      <c r="AV494" s="48">
        <f>INVESTORS_LIST[[#This Row],[TOTAL MARKET VALUE]]-INVESTORS_LIST[[#This Row],[TOTAL COST VALUE OF CURRENT INVESTMENT]]</f>
        <v>26458.688000000024</v>
      </c>
      <c r="AW494" s="48">
        <f>IFERROR(INVESTORS_LIST[[#This Row],[TOTAL CURRENT UNITS]]/SUM(INVESTORS_LIST[TOTAL CURRENT UNITS]),0)</f>
        <v>8.9851100665058856E-4</v>
      </c>
    </row>
    <row r="495" spans="1:49">
      <c r="A495" s="262" t="s">
        <v>1035</v>
      </c>
      <c r="B495" s="97" t="s">
        <v>1036</v>
      </c>
      <c r="C495" t="s">
        <v>67</v>
      </c>
      <c r="D495" s="75" t="s">
        <v>45</v>
      </c>
      <c r="E495" s="47">
        <f>SUMIFS(LS[Unit],LS[Investor ID],INVESTORS_LIST[[#This Row],[INVESTOR CODE]],LS[B/S],"B")</f>
        <v>88726</v>
      </c>
      <c r="F495" s="47">
        <f>-SUMIFS(LS[Unit],LS[Investor ID],INVESTORS_LIST[[#This Row],[INVESTOR CODE]],LS[B/S],"S")</f>
        <v>0</v>
      </c>
      <c r="G495" s="47">
        <f>IF(INVESTORS_LIST[[#This Row],[LS_TOTAL UNITS BUY]]=0,0,INVESTORS_LIST[[#This Row],[LS_TOTAL UNITS BUY]]-INVESTORS_LIST[[#This Row],[LS_TOTAL UNITS SOLD]])</f>
        <v>88726</v>
      </c>
      <c r="H495" s="49">
        <f>IF(INVESTORS_LIST[[#This Row],[LS_TOTAL UNITS BUY]]=0,0,SUMIFS(LS[Amount],LS[Investor ID],INVESTORS_LIST[[#This Row],[INVESTOR CODE]],LS[B/S],"B"))</f>
        <v>1000000</v>
      </c>
      <c r="I495" s="48">
        <f>IF(INVESTORS_LIST[[#This Row],[LS_TOTAL UNITS SOLD]]=0,0,SUMIFS(LS[Cost of Units Sold],LS[Investor ID],INVESTORS_LIST[[#This Row],[INVESTOR CODE]],LS[B/S],"S"))</f>
        <v>0</v>
      </c>
      <c r="J495" s="48">
        <f>IF(INVESTORS_LIST[[#This Row],[LS_TOTAL CURRENT UNITS]]=0,0,INVESTORS_LIST[[#This Row],[LS_TOTAL CURRENT UNITS]]*INVESTORS_LIST[[#This Row],[LS_AVERAGE COST]])</f>
        <v>1000000.0000000001</v>
      </c>
      <c r="K495" s="49">
        <f>IF(INVESTORS_LIST[[#This Row],[LS_TOTAL UNITS SOLD]]=0,0,SUMIFS(LS[Realized Gain],LS[Investor ID],INVESTORS_LIST[[#This Row],[INVESTOR CODE]],LS[B/S],"S"))</f>
        <v>0</v>
      </c>
      <c r="L495" s="47">
        <f>SUMIFS(SIP[Unit],SIP[Investor ID],INVESTORS_LIST[[#This Row],[INVESTOR CODE]],SIP[B/S],"B")</f>
        <v>0</v>
      </c>
      <c r="M495" s="47">
        <f>-SUMIFS(SIP[Unit],SIP[Investor ID],INVESTORS_LIST[[#This Row],[INVESTOR CODE]],SIP[B/S],"S")</f>
        <v>0</v>
      </c>
      <c r="N495" s="50">
        <f>IF(INVESTORS_LIST[[#This Row],[SIP_TOTAL UNITS BUY]]=0,0,INVESTORS_LIST[[#This Row],[SIP_TOTAL UNITS BUY]]-INVESTORS_LIST[[#This Row],[SIP_TOTAL UNITS SOLD]])</f>
        <v>0</v>
      </c>
      <c r="O495" s="49">
        <f>IF(INVESTORS_LIST[[#This Row],[SIP_TOTAL UNITS BUY]]=0,0,SUMIFS(SIP[Amount],SIP[Investor ID],INVESTORS_LIST[[#This Row],[INVESTOR CODE]],SIP[B/S],"B"))</f>
        <v>0</v>
      </c>
      <c r="P495" s="49">
        <f>IF(INVESTORS_LIST[[#This Row],[SIP_TOTAL UNITS SOLD]]=0,0,SUMIFS(SIP[Cost of Units Sold],SIP[Investor ID],INVESTORS_LIST[[#This Row],[INVESTOR CODE]],SIP[B/S],"S"))</f>
        <v>0</v>
      </c>
      <c r="Q495" s="48">
        <f>IF(INVESTORS_LIST[[#This Row],[SIP_TOTAL CURRENT UNITS]]=0,0,INVESTORS_LIST[[#This Row],[SIP_TOTAL CURRENT UNITS]]*INVESTORS_LIST[[#This Row],[SIP_AVERAGE COST]])</f>
        <v>0</v>
      </c>
      <c r="R495" s="48">
        <f>IF(INVESTORS_LIST[[#This Row],[SIP_TOTAL UNITS SOLD]]=0,0,SUMIFS(SIP[Realized Gain],SIP[Investor ID],INVESTORS_LIST[[#This Row],[INVESTOR CODE]],SIP[B/S],"S"))</f>
        <v>0</v>
      </c>
      <c r="S495" s="50">
        <f>INVESTORS_LIST[[#This Row],[LS_TOTAL UNITS BUY]]+INVESTORS_LIST[[#This Row],[SIP_TOTAL UNITS BUY]]</f>
        <v>88726</v>
      </c>
      <c r="T495" s="50">
        <f>INVESTORS_LIST[[#This Row],[LS_TOTAL UNITS SOLD]]+INVESTORS_LIST[[#This Row],[SIP_TOTAL UNITS SOLD]]</f>
        <v>0</v>
      </c>
      <c r="U495" s="50">
        <v>88726</v>
      </c>
      <c r="V495" s="50">
        <f>SUMIFS(LS[BO UNIT TRANSFER],LS[Investor ID],INVESTORS_LIST[[#This Row],[INVESTOR CODE]],LS[B/S],"B")</f>
        <v>0</v>
      </c>
      <c r="W495" s="50">
        <f>SUMIFS(SIP[BO UNIT TRANSFER],SIP[Investor ID],INVESTORS_LIST[[#This Row],[INVESTOR CODE]],SIP[B/S],"B")</f>
        <v>0</v>
      </c>
      <c r="X495" s="50">
        <f>SUMIFS(LS[BO UNIT TRANSFER],LS[Investor ID],INVESTORS_LIST[[#This Row],[INVESTOR CODE]],LS[B/S],"S")</f>
        <v>0</v>
      </c>
      <c r="Y495" s="50">
        <f>SUMIFS(SIP[BO UNIT TRANSFER],SIP[Investor ID],INVESTORS_LIST[[#This Row],[INVESTOR CODE]],SIP[B/S],"S")</f>
        <v>0</v>
      </c>
      <c r="Z495" s="106">
        <f>SUM(INVESTORS_LIST[[#This Row],[BO OPENING BALANCE]:[BO SIP UNITS REPURCHASE]])</f>
        <v>88726</v>
      </c>
      <c r="AA495" s="107">
        <f>INVESTORS_LIST[[#This Row],[TOTAL UNITS BUY]]-INVESTORS_LIST[[#This Row],[TOTAL UNITS SOLD]]</f>
        <v>88726</v>
      </c>
      <c r="AB495" s="107">
        <f>INVESTORS_LIST[[#This Row],[TOTAL CURRENT UNITS]]-INVESTORS_LIST[[#This Row],[BO UNITS HOLD]]</f>
        <v>0</v>
      </c>
      <c r="AC495" s="201" t="e">
        <f>INDEX([3]!Table_1[BO ID],MATCH(INVESTORS_LIST[[#This Row],[INVESTOR CODE]],[3]!Table_1[INVESTOR CODE],0))</f>
        <v>#REF!</v>
      </c>
      <c r="AD495" s="201" t="e">
        <f>INDEX([3]!Table_1[Brokerage Name2],MATCH(INVESTORS_LIST[[#This Row],[INVESTOR CODE]],[3]!Table_1[INVESTOR CODE],0))</f>
        <v>#REF!</v>
      </c>
      <c r="AE495" s="201" t="e">
        <f>MID(INVESTORS_LIST[[#This Row],[BO ID]],4,5)</f>
        <v>#REF!</v>
      </c>
      <c r="AF495" s="201" t="e">
        <f>MID(INVESTORS_LIST[[#This Row],[BO ID]],2,7)</f>
        <v>#REF!</v>
      </c>
      <c r="AG495" s="201" t="e">
        <f>MID(INVESTORS_LIST[[#This Row],[BO ID]],9,7)</f>
        <v>#REF!</v>
      </c>
      <c r="AH495" s="201" t="e">
        <f>RIGHT(INVESTORS_LIST[[#This Row],[BO ID]],1)</f>
        <v>#REF!</v>
      </c>
      <c r="AI495" s="50">
        <f>INVESTORS_LIST[[#This Row],[LS_TOTAL COST VALUE OF CURRENT UNITS]]+INVESTORS_LIST[[#This Row],[SIP_TOTAL COST VALUE OF CURRENT UNITS]]</f>
        <v>1000000.0000000001</v>
      </c>
      <c r="AJ495" s="109">
        <f>IF(INVESTORS_LIST[[#This Row],[TOTAL CURRENT UNITS]]=0,0,INVESTORS_LIST[[#This Row],[LS_TOTAL CURRENT UNITS]]/INVESTORS_LIST[[#This Row],[TOTAL CURRENT UNITS]])</f>
        <v>1</v>
      </c>
      <c r="AK495" s="109">
        <f>IF(INVESTORS_LIST[[#This Row],[TOTAL CURRENT UNITS]]=0,0,INVESTORS_LIST[[#This Row],[SIP_TOTAL CURRENT UNITS]]/INVESTORS_LIST[[#This Row],[TOTAL CURRENT UNITS]])</f>
        <v>0</v>
      </c>
      <c r="AL495" s="49" cm="1">
        <f t="array" ref="AL495">IF(INVESTORS_LIST[[#This Row],[LS_TOTAL UNITS BUY]]&gt;0,INDEX(LS[NAV at Cost (Average)],MATCH(CONCATENATE(COUNTIFS(LS[Investor ID],INVESTORS_LIST[[#This Row],[INVESTOR CODE]]),INVESTORS_LIST[[#This Row],[INVESTOR CODE]]),LS[Unique Code],0),),0)</f>
        <v>11.270653472488336</v>
      </c>
      <c r="AM495" s="49" cm="1">
        <f t="array" ref="AM4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5" s="105">
        <f>IF(INVESTORS_LIST[[#This Row],[TOTAL CURRENT UNITS]]=0,0,(INVESTORS_LIST[[#This Row],[LS_WEIGHT]]*INVESTORS_LIST[[#This Row],[LS_AVERAGE COST]])+(INVESTORS_LIST[[#This Row],[SIP_WEIGHT]]*INVESTORS_LIST[[#This Row],[SIP_AVERAGE COST]]))</f>
        <v>11.270653472488336</v>
      </c>
      <c r="AO495" s="105">
        <f t="shared" si="8"/>
        <v>14.224</v>
      </c>
      <c r="AP495" s="112">
        <f>IF(INVESTORS_LIST[[#This Row],[TOTAL CURRENT UNITS]]=0,0,INVESTORS_LIST[[#This Row],[TOTAL CURRENT UNITS]]*INVESTORS_LIST[[#This Row],[NAV]])</f>
        <v>1262038.6240000001</v>
      </c>
      <c r="AQ495" s="49">
        <f>IF(INVESTORS_LIST[[#This Row],[LS_TOTAL CURRENT UNITS]]=0,0,INVESTORS_LIST[[#This Row],[LS_TOTAL CURRENT UNITS]]*INVESTORS_LIST[[#This Row],[NAV]])</f>
        <v>1262038.6240000001</v>
      </c>
      <c r="AR495" s="48">
        <f>IF(INVESTORS_LIST[[#This Row],[SIP_TOTAL CURRENT UNITS]]=0,0,INVESTORS_LIST[[#This Row],[SIP_TOTAL CURRENT UNITS]]*INVESTORS_LIST[[#This Row],[NAV]])</f>
        <v>0</v>
      </c>
      <c r="AS495" s="50">
        <f>INVESTORS_LIST[[#This Row],[TOTAL CURRENT UNITS]]</f>
        <v>88726</v>
      </c>
      <c r="AT495" s="48">
        <f>IF(INVESTORS_LIST[[#This Row],[TOTAL SELLABLE UNITS]]=0,0,INVESTORS_LIST[[#This Row],[TOTAL SELLABLE UNITS]]*INVESTORS_LIST[[#This Row],[NAV]])</f>
        <v>1262038.6240000001</v>
      </c>
      <c r="AU495" s="48">
        <f>INVESTORS_LIST[[#This Row],[LS_TOTAL REALIZED GAIN]]+INVESTORS_LIST[[#This Row],[SIP_TOTAL REALIZED GAIN]]</f>
        <v>0</v>
      </c>
      <c r="AV495" s="48">
        <f>INVESTORS_LIST[[#This Row],[TOTAL MARKET VALUE]]-INVESTORS_LIST[[#This Row],[TOTAL COST VALUE OF CURRENT INVESTMENT]]</f>
        <v>262038.62399999995</v>
      </c>
      <c r="AW495" s="108">
        <f>IFERROR(INVESTORS_LIST[[#This Row],[TOTAL CURRENT UNITS]]/SUM(INVESTORS_LIST[TOTAL CURRENT UNITS]),0)</f>
        <v>2.1539308217896932E-3</v>
      </c>
    </row>
    <row r="496" spans="1:49">
      <c r="A496" s="262" t="s">
        <v>1037</v>
      </c>
      <c r="B496" s="97" t="s">
        <v>1038</v>
      </c>
      <c r="C496" t="s">
        <v>44</v>
      </c>
      <c r="D496" s="75" t="s">
        <v>45</v>
      </c>
      <c r="E496" s="47">
        <f>SUMIFS(LS[Unit],LS[Investor ID],INVESTORS_LIST[[#This Row],[INVESTOR CODE]],LS[B/S],"B")</f>
        <v>1541382</v>
      </c>
      <c r="F496" s="47">
        <f>-SUMIFS(LS[Unit],LS[Investor ID],INVESTORS_LIST[[#This Row],[INVESTOR CODE]],LS[B/S],"S")</f>
        <v>1315080</v>
      </c>
      <c r="G496" s="47">
        <f>IF(INVESTORS_LIST[[#This Row],[LS_TOTAL UNITS BUY]]=0,0,INVESTORS_LIST[[#This Row],[LS_TOTAL UNITS BUY]]-INVESTORS_LIST[[#This Row],[LS_TOTAL UNITS SOLD]])</f>
        <v>226302</v>
      </c>
      <c r="H496" s="49">
        <f>IF(INVESTORS_LIST[[#This Row],[LS_TOTAL UNITS BUY]]=0,0,SUMIFS(LS[Amount],LS[Investor ID],INVESTORS_LIST[[#This Row],[INVESTOR CODE]],LS[B/S],"B"))</f>
        <v>18500000</v>
      </c>
      <c r="I496" s="48">
        <f>IF(INVESTORS_LIST[[#This Row],[LS_TOTAL UNITS SOLD]]=0,0,SUMIFS(LS[Cost of Units Sold],LS[Investor ID],INVESTORS_LIST[[#This Row],[INVESTOR CODE]],LS[B/S],"S"))</f>
        <v>15499999.999999998</v>
      </c>
      <c r="J496" s="48">
        <f>IF(INVESTORS_LIST[[#This Row],[LS_TOTAL CURRENT UNITS]]=0,0,INVESTORS_LIST[[#This Row],[LS_TOTAL CURRENT UNITS]]*INVESTORS_LIST[[#This Row],[LS_AVERAGE COST]])</f>
        <v>3000000.0000000005</v>
      </c>
      <c r="K496" s="49">
        <f>IF(INVESTORS_LIST[[#This Row],[LS_TOTAL UNITS SOLD]]=0,0,SUMIFS(LS[Realized Gain],LS[Investor ID],INVESTORS_LIST[[#This Row],[INVESTOR CODE]],LS[B/S],"S"))</f>
        <v>957206.08000000205</v>
      </c>
      <c r="L496" s="47">
        <f>SUMIFS(SIP[Unit],SIP[Investor ID],INVESTORS_LIST[[#This Row],[INVESTOR CODE]],SIP[B/S],"B")</f>
        <v>0</v>
      </c>
      <c r="M496" s="47">
        <f>-SUMIFS(SIP[Unit],SIP[Investor ID],INVESTORS_LIST[[#This Row],[INVESTOR CODE]],SIP[B/S],"S")</f>
        <v>0</v>
      </c>
      <c r="N496" s="50">
        <f>IF(INVESTORS_LIST[[#This Row],[SIP_TOTAL UNITS BUY]]=0,0,INVESTORS_LIST[[#This Row],[SIP_TOTAL UNITS BUY]]-INVESTORS_LIST[[#This Row],[SIP_TOTAL UNITS SOLD]])</f>
        <v>0</v>
      </c>
      <c r="O496" s="49">
        <f>IF(INVESTORS_LIST[[#This Row],[SIP_TOTAL UNITS BUY]]=0,0,SUMIFS(SIP[Amount],SIP[Investor ID],INVESTORS_LIST[[#This Row],[INVESTOR CODE]],SIP[B/S],"B"))</f>
        <v>0</v>
      </c>
      <c r="P496" s="49">
        <f>IF(INVESTORS_LIST[[#This Row],[SIP_TOTAL UNITS SOLD]]=0,0,SUMIFS(SIP[Cost of Units Sold],SIP[Investor ID],INVESTORS_LIST[[#This Row],[INVESTOR CODE]],SIP[B/S],"S"))</f>
        <v>0</v>
      </c>
      <c r="Q496" s="48">
        <f>IF(INVESTORS_LIST[[#This Row],[SIP_TOTAL CURRENT UNITS]]=0,0,INVESTORS_LIST[[#This Row],[SIP_TOTAL CURRENT UNITS]]*INVESTORS_LIST[[#This Row],[SIP_AVERAGE COST]])</f>
        <v>0</v>
      </c>
      <c r="R496" s="48">
        <f>IF(INVESTORS_LIST[[#This Row],[SIP_TOTAL UNITS SOLD]]=0,0,SUMIFS(SIP[Realized Gain],SIP[Investor ID],INVESTORS_LIST[[#This Row],[INVESTOR CODE]],SIP[B/S],"S"))</f>
        <v>0</v>
      </c>
      <c r="S496" s="50">
        <f>INVESTORS_LIST[[#This Row],[LS_TOTAL UNITS BUY]]+INVESTORS_LIST[[#This Row],[SIP_TOTAL UNITS BUY]]</f>
        <v>1541382</v>
      </c>
      <c r="T496" s="50">
        <f>INVESTORS_LIST[[#This Row],[LS_TOTAL UNITS SOLD]]+INVESTORS_LIST[[#This Row],[SIP_TOTAL UNITS SOLD]]</f>
        <v>1315080</v>
      </c>
      <c r="U496" s="50">
        <v>226302</v>
      </c>
      <c r="V496" s="50">
        <f>SUMIFS(LS[BO UNIT TRANSFER],LS[Investor ID],INVESTORS_LIST[[#This Row],[INVESTOR CODE]],LS[B/S],"B")</f>
        <v>0</v>
      </c>
      <c r="W496" s="50">
        <f>SUMIFS(SIP[BO UNIT TRANSFER],SIP[Investor ID],INVESTORS_LIST[[#This Row],[INVESTOR CODE]],SIP[B/S],"B")</f>
        <v>0</v>
      </c>
      <c r="X496" s="50">
        <f>SUMIFS(LS[BO UNIT TRANSFER],LS[Investor ID],INVESTORS_LIST[[#This Row],[INVESTOR CODE]],LS[B/S],"S")</f>
        <v>0</v>
      </c>
      <c r="Y496" s="50">
        <f>SUMIFS(SIP[BO UNIT TRANSFER],SIP[Investor ID],INVESTORS_LIST[[#This Row],[INVESTOR CODE]],SIP[B/S],"S")</f>
        <v>0</v>
      </c>
      <c r="Z496" s="106">
        <f>SUM(INVESTORS_LIST[[#This Row],[BO OPENING BALANCE]:[BO SIP UNITS REPURCHASE]])</f>
        <v>226302</v>
      </c>
      <c r="AA496" s="107">
        <f>INVESTORS_LIST[[#This Row],[TOTAL UNITS BUY]]-INVESTORS_LIST[[#This Row],[TOTAL UNITS SOLD]]</f>
        <v>226302</v>
      </c>
      <c r="AB496" s="107">
        <f>INVESTORS_LIST[[#This Row],[TOTAL CURRENT UNITS]]-INVESTORS_LIST[[#This Row],[BO UNITS HOLD]]</f>
        <v>0</v>
      </c>
      <c r="AC496" s="201" t="s">
        <v>1390</v>
      </c>
      <c r="AD496" s="201" t="s">
        <v>1391</v>
      </c>
      <c r="AE496" s="201" t="str">
        <f>MID(INVESTORS_LIST[[#This Row],[BO ID]],4,5)</f>
        <v>50800</v>
      </c>
      <c r="AF496" s="201" t="str">
        <f>MID(INVESTORS_LIST[[#This Row],[BO ID]],2,7)</f>
        <v>2050800</v>
      </c>
      <c r="AG496" s="201" t="str">
        <f>MID(INVESTORS_LIST[[#This Row],[BO ID]],9,7)</f>
        <v>7606417</v>
      </c>
      <c r="AH496" s="201" t="str">
        <f>RIGHT(INVESTORS_LIST[[#This Row],[BO ID]],1)</f>
        <v>6</v>
      </c>
      <c r="AI496" s="50">
        <f>INVESTORS_LIST[[#This Row],[LS_TOTAL COST VALUE OF CURRENT UNITS]]+INVESTORS_LIST[[#This Row],[SIP_TOTAL COST VALUE OF CURRENT UNITS]]</f>
        <v>3000000.0000000005</v>
      </c>
      <c r="AJ496" s="109">
        <f>IF(INVESTORS_LIST[[#This Row],[TOTAL CURRENT UNITS]]=0,0,INVESTORS_LIST[[#This Row],[LS_TOTAL CURRENT UNITS]]/INVESTORS_LIST[[#This Row],[TOTAL CURRENT UNITS]])</f>
        <v>1</v>
      </c>
      <c r="AK496" s="109">
        <f>IF(INVESTORS_LIST[[#This Row],[TOTAL CURRENT UNITS]]=0,0,INVESTORS_LIST[[#This Row],[SIP_TOTAL CURRENT UNITS]]/INVESTORS_LIST[[#This Row],[TOTAL CURRENT UNITS]])</f>
        <v>0</v>
      </c>
      <c r="AL496" s="49" cm="1">
        <f t="array" ref="AL496">IF(INVESTORS_LIST[[#This Row],[LS_TOTAL UNITS BUY]]&gt;0,INDEX(LS[NAV at Cost (Average)],MATCH(CONCATENATE(COUNTIFS(LS[Investor ID],INVESTORS_LIST[[#This Row],[INVESTOR CODE]]),INVESTORS_LIST[[#This Row],[INVESTOR CODE]]),LS[Unique Code],0),),0)</f>
        <v>13.256621682530426</v>
      </c>
      <c r="AM496" s="49" cm="1">
        <f t="array" ref="AM4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6" s="105">
        <f>IF(INVESTORS_LIST[[#This Row],[TOTAL CURRENT UNITS]]=0,0,(INVESTORS_LIST[[#This Row],[LS_WEIGHT]]*INVESTORS_LIST[[#This Row],[LS_AVERAGE COST]])+(INVESTORS_LIST[[#This Row],[SIP_WEIGHT]]*INVESTORS_LIST[[#This Row],[SIP_AVERAGE COST]]))</f>
        <v>13.256621682530426</v>
      </c>
      <c r="AO496" s="105">
        <f t="shared" si="8"/>
        <v>14.224</v>
      </c>
      <c r="AP496" s="112">
        <f>IF(INVESTORS_LIST[[#This Row],[TOTAL CURRENT UNITS]]=0,0,INVESTORS_LIST[[#This Row],[TOTAL CURRENT UNITS]]*INVESTORS_LIST[[#This Row],[NAV]])</f>
        <v>3218919.648</v>
      </c>
      <c r="AQ496" s="49">
        <f>IF(INVESTORS_LIST[[#This Row],[LS_TOTAL CURRENT UNITS]]=0,0,INVESTORS_LIST[[#This Row],[LS_TOTAL CURRENT UNITS]]*INVESTORS_LIST[[#This Row],[NAV]])</f>
        <v>3218919.648</v>
      </c>
      <c r="AR496" s="48">
        <f>IF(INVESTORS_LIST[[#This Row],[SIP_TOTAL CURRENT UNITS]]=0,0,INVESTORS_LIST[[#This Row],[SIP_TOTAL CURRENT UNITS]]*INVESTORS_LIST[[#This Row],[NAV]])</f>
        <v>0</v>
      </c>
      <c r="AS496" s="50">
        <f>INVESTORS_LIST[[#This Row],[TOTAL CURRENT UNITS]]</f>
        <v>226302</v>
      </c>
      <c r="AT496" s="48">
        <f>IF(INVESTORS_LIST[[#This Row],[TOTAL SELLABLE UNITS]]=0,0,INVESTORS_LIST[[#This Row],[TOTAL SELLABLE UNITS]]*INVESTORS_LIST[[#This Row],[NAV]])</f>
        <v>3218919.648</v>
      </c>
      <c r="AU496" s="48">
        <f>INVESTORS_LIST[[#This Row],[LS_TOTAL REALIZED GAIN]]+INVESTORS_LIST[[#This Row],[SIP_TOTAL REALIZED GAIN]]</f>
        <v>957206.08000000205</v>
      </c>
      <c r="AV496" s="48">
        <f>INVESTORS_LIST[[#This Row],[TOTAL MARKET VALUE]]-INVESTORS_LIST[[#This Row],[TOTAL COST VALUE OF CURRENT INVESTMENT]]</f>
        <v>218919.64799999958</v>
      </c>
      <c r="AW496" s="108">
        <f>IFERROR(INVESTORS_LIST[[#This Row],[TOTAL CURRENT UNITS]]/SUM(INVESTORS_LIST[TOTAL CURRENT UNITS]),0)</f>
        <v>5.4937543993040499E-3</v>
      </c>
    </row>
    <row r="497" spans="1:49" hidden="1">
      <c r="A497" s="262" t="s">
        <v>1039</v>
      </c>
      <c r="B497" s="97" t="s">
        <v>1040</v>
      </c>
      <c r="C497" t="s">
        <v>44</v>
      </c>
      <c r="D497" s="75" t="s">
        <v>45</v>
      </c>
      <c r="E497" s="47">
        <f>SUMIFS(LS[Unit],LS[Investor ID],INVESTORS_LIST[[#This Row],[INVESTOR CODE]],LS[B/S],"B")</f>
        <v>68877</v>
      </c>
      <c r="F497" s="47">
        <f>-SUMIFS(LS[Unit],LS[Investor ID],INVESTORS_LIST[[#This Row],[INVESTOR CODE]],LS[B/S],"S")</f>
        <v>68877</v>
      </c>
      <c r="G497" s="47">
        <f>IF(INVESTORS_LIST[[#This Row],[LS_TOTAL UNITS BUY]]=0,0,INVESTORS_LIST[[#This Row],[LS_TOTAL UNITS BUY]]-INVESTORS_LIST[[#This Row],[LS_TOTAL UNITS SOLD]])</f>
        <v>0</v>
      </c>
      <c r="H497" s="49">
        <f>IF(INVESTORS_LIST[[#This Row],[LS_TOTAL UNITS BUY]]=0,0,SUMIFS(LS[Amount],LS[Investor ID],INVESTORS_LIST[[#This Row],[INVESTOR CODE]],LS[B/S],"B"))</f>
        <v>743000</v>
      </c>
      <c r="I497" s="48">
        <f>IF(INVESTORS_LIST[[#This Row],[LS_TOTAL UNITS SOLD]]=0,0,SUMIFS(LS[Cost of Units Sold],LS[Investor ID],INVESTORS_LIST[[#This Row],[INVESTOR CODE]],LS[B/S],"S"))</f>
        <v>743000</v>
      </c>
      <c r="J497" s="48">
        <f>IF(INVESTORS_LIST[[#This Row],[LS_TOTAL CURRENT UNITS]]=0,0,INVESTORS_LIST[[#This Row],[LS_TOTAL CURRENT UNITS]]*INVESTORS_LIST[[#This Row],[LS_AVERAGE COST]])</f>
        <v>0</v>
      </c>
      <c r="K497" s="49">
        <f>IF(INVESTORS_LIST[[#This Row],[LS_TOTAL UNITS SOLD]]=0,0,SUMIFS(LS[Realized Gain],LS[Investor ID],INVESTORS_LIST[[#This Row],[INVESTOR CODE]],LS[B/S],"S"))</f>
        <v>19910.76999999999</v>
      </c>
      <c r="L497" s="47">
        <f>SUMIFS(SIP[Unit],SIP[Investor ID],INVESTORS_LIST[[#This Row],[INVESTOR CODE]],SIP[B/S],"B")</f>
        <v>0</v>
      </c>
      <c r="M497" s="47">
        <f>-SUMIFS(SIP[Unit],SIP[Investor ID],INVESTORS_LIST[[#This Row],[INVESTOR CODE]],SIP[B/S],"S")</f>
        <v>0</v>
      </c>
      <c r="N497" s="50">
        <f>IF(INVESTORS_LIST[[#This Row],[SIP_TOTAL UNITS BUY]]=0,0,INVESTORS_LIST[[#This Row],[SIP_TOTAL UNITS BUY]]-INVESTORS_LIST[[#This Row],[SIP_TOTAL UNITS SOLD]])</f>
        <v>0</v>
      </c>
      <c r="O497" s="49">
        <f>IF(INVESTORS_LIST[[#This Row],[SIP_TOTAL UNITS BUY]]=0,0,SUMIFS(SIP[Amount],SIP[Investor ID],INVESTORS_LIST[[#This Row],[INVESTOR CODE]],SIP[B/S],"B"))</f>
        <v>0</v>
      </c>
      <c r="P497" s="49">
        <f>IF(INVESTORS_LIST[[#This Row],[SIP_TOTAL UNITS SOLD]]=0,0,SUMIFS(SIP[Cost of Units Sold],SIP[Investor ID],INVESTORS_LIST[[#This Row],[INVESTOR CODE]],SIP[B/S],"S"))</f>
        <v>0</v>
      </c>
      <c r="Q497" s="48">
        <f>IF(INVESTORS_LIST[[#This Row],[SIP_TOTAL CURRENT UNITS]]=0,0,INVESTORS_LIST[[#This Row],[SIP_TOTAL CURRENT UNITS]]*INVESTORS_LIST[[#This Row],[SIP_AVERAGE COST]])</f>
        <v>0</v>
      </c>
      <c r="R497" s="48">
        <f>IF(INVESTORS_LIST[[#This Row],[SIP_TOTAL UNITS SOLD]]=0,0,SUMIFS(SIP[Realized Gain],SIP[Investor ID],INVESTORS_LIST[[#This Row],[INVESTOR CODE]],SIP[B/S],"S"))</f>
        <v>0</v>
      </c>
      <c r="S497" s="50">
        <f>INVESTORS_LIST[[#This Row],[LS_TOTAL UNITS BUY]]+INVESTORS_LIST[[#This Row],[SIP_TOTAL UNITS BUY]]</f>
        <v>68877</v>
      </c>
      <c r="T497" s="50">
        <f>INVESTORS_LIST[[#This Row],[LS_TOTAL UNITS SOLD]]+INVESTORS_LIST[[#This Row],[SIP_TOTAL UNITS SOLD]]</f>
        <v>68877</v>
      </c>
      <c r="U497" s="50"/>
      <c r="V497" s="50">
        <f>SUMIFS(LS[BO UNIT TRANSFER],LS[Investor ID],INVESTORS_LIST[[#This Row],[INVESTOR CODE]],LS[B/S],"B")</f>
        <v>0</v>
      </c>
      <c r="W497" s="50">
        <f>SUMIFS(SIP[BO UNIT TRANSFER],SIP[Investor ID],INVESTORS_LIST[[#This Row],[INVESTOR CODE]],SIP[B/S],"B")</f>
        <v>0</v>
      </c>
      <c r="X497" s="50">
        <f>SUMIFS(LS[BO UNIT TRANSFER],LS[Investor ID],INVESTORS_LIST[[#This Row],[INVESTOR CODE]],LS[B/S],"S")</f>
        <v>0</v>
      </c>
      <c r="Y497" s="50">
        <f>SUMIFS(SIP[BO UNIT TRANSFER],SIP[Investor ID],INVESTORS_LIST[[#This Row],[INVESTOR CODE]],SIP[B/S],"S")</f>
        <v>0</v>
      </c>
      <c r="Z497" s="106">
        <f>SUM(INVESTORS_LIST[[#This Row],[BO OPENING BALANCE]:[BO SIP UNITS REPURCHASE]])</f>
        <v>0</v>
      </c>
      <c r="AA497" s="107">
        <f>INVESTORS_LIST[[#This Row],[TOTAL UNITS BUY]]-INVESTORS_LIST[[#This Row],[TOTAL UNITS SOLD]]</f>
        <v>0</v>
      </c>
      <c r="AB497" s="107">
        <f>INVESTORS_LIST[[#This Row],[TOTAL CURRENT UNITS]]-INVESTORS_LIST[[#This Row],[BO UNITS HOLD]]</f>
        <v>0</v>
      </c>
      <c r="AC497" s="201" t="e">
        <f>INDEX([3]!Table_1[BO ID],MATCH(INVESTORS_LIST[[#This Row],[INVESTOR CODE]],[3]!Table_1[INVESTOR CODE],0))</f>
        <v>#REF!</v>
      </c>
      <c r="AD497" s="201" t="e">
        <f>INDEX([3]!Table_1[Brokerage Name2],MATCH(INVESTORS_LIST[[#This Row],[INVESTOR CODE]],[3]!Table_1[INVESTOR CODE],0))</f>
        <v>#REF!</v>
      </c>
      <c r="AE497" s="201" t="e">
        <f>MID(INVESTORS_LIST[[#This Row],[BO ID]],4,5)</f>
        <v>#REF!</v>
      </c>
      <c r="AF497" s="201" t="e">
        <f>MID(INVESTORS_LIST[[#This Row],[BO ID]],2,7)</f>
        <v>#REF!</v>
      </c>
      <c r="AG497" s="201" t="e">
        <f>MID(INVESTORS_LIST[[#This Row],[BO ID]],9,7)</f>
        <v>#REF!</v>
      </c>
      <c r="AH497" s="201" t="e">
        <f>RIGHT(INVESTORS_LIST[[#This Row],[BO ID]],1)</f>
        <v>#REF!</v>
      </c>
      <c r="AI497" s="50">
        <f>INVESTORS_LIST[[#This Row],[LS_TOTAL COST VALUE OF CURRENT UNITS]]+INVESTORS_LIST[[#This Row],[SIP_TOTAL COST VALUE OF CURRENT UNITS]]</f>
        <v>0</v>
      </c>
      <c r="AJ497" s="109">
        <f>IF(INVESTORS_LIST[[#This Row],[TOTAL CURRENT UNITS]]=0,0,INVESTORS_LIST[[#This Row],[LS_TOTAL CURRENT UNITS]]/INVESTORS_LIST[[#This Row],[TOTAL CURRENT UNITS]])</f>
        <v>0</v>
      </c>
      <c r="AK497" s="109">
        <f>IF(INVESTORS_LIST[[#This Row],[TOTAL CURRENT UNITS]]=0,0,INVESTORS_LIST[[#This Row],[SIP_TOTAL CURRENT UNITS]]/INVESTORS_LIST[[#This Row],[TOTAL CURRENT UNITS]])</f>
        <v>0</v>
      </c>
      <c r="AL497" s="49" cm="1">
        <f t="array" ref="AL4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97" s="49" cm="1">
        <f t="array" ref="AM4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97" s="105">
        <f t="shared" si="8"/>
        <v>14.224</v>
      </c>
      <c r="AP497" s="112">
        <f>IF(INVESTORS_LIST[[#This Row],[TOTAL CURRENT UNITS]]=0,0,INVESTORS_LIST[[#This Row],[TOTAL CURRENT UNITS]]*INVESTORS_LIST[[#This Row],[NAV]])</f>
        <v>0</v>
      </c>
      <c r="AQ497" s="49">
        <f>IF(INVESTORS_LIST[[#This Row],[LS_TOTAL CURRENT UNITS]]=0,0,INVESTORS_LIST[[#This Row],[LS_TOTAL CURRENT UNITS]]*INVESTORS_LIST[[#This Row],[NAV]])</f>
        <v>0</v>
      </c>
      <c r="AR497" s="48">
        <f>IF(INVESTORS_LIST[[#This Row],[SIP_TOTAL CURRENT UNITS]]=0,0,INVESTORS_LIST[[#This Row],[SIP_TOTAL CURRENT UNITS]]*INVESTORS_LIST[[#This Row],[NAV]])</f>
        <v>0</v>
      </c>
      <c r="AS497" s="50">
        <f>INVESTORS_LIST[[#This Row],[TOTAL CURRENT UNITS]]</f>
        <v>0</v>
      </c>
      <c r="AT497" s="48">
        <f>IF(INVESTORS_LIST[[#This Row],[TOTAL SELLABLE UNITS]]=0,0,INVESTORS_LIST[[#This Row],[TOTAL SELLABLE UNITS]]*INVESTORS_LIST[[#This Row],[NAV]])</f>
        <v>0</v>
      </c>
      <c r="AU497" s="48">
        <f>INVESTORS_LIST[[#This Row],[LS_TOTAL REALIZED GAIN]]+INVESTORS_LIST[[#This Row],[SIP_TOTAL REALIZED GAIN]]</f>
        <v>19910.76999999999</v>
      </c>
      <c r="AV497" s="48">
        <f>INVESTORS_LIST[[#This Row],[TOTAL MARKET VALUE]]-INVESTORS_LIST[[#This Row],[TOTAL COST VALUE OF CURRENT INVESTMENT]]</f>
        <v>0</v>
      </c>
      <c r="AW497" s="108">
        <f>IFERROR(INVESTORS_LIST[[#This Row],[TOTAL CURRENT UNITS]]/SUM(INVESTORS_LIST[TOTAL CURRENT UNITS]),0)</f>
        <v>0</v>
      </c>
    </row>
    <row r="498" spans="1:49">
      <c r="A498" s="262" t="s">
        <v>1041</v>
      </c>
      <c r="B498" s="97" t="s">
        <v>1042</v>
      </c>
      <c r="C498" t="s">
        <v>44</v>
      </c>
      <c r="D498" s="75" t="s">
        <v>45</v>
      </c>
      <c r="E498" s="47">
        <f>SUMIFS(LS[Unit],LS[Investor ID],INVESTORS_LIST[[#This Row],[INVESTOR CODE]],LS[B/S],"B")</f>
        <v>29314</v>
      </c>
      <c r="F498" s="47">
        <f>-SUMIFS(LS[Unit],LS[Investor ID],INVESTORS_LIST[[#This Row],[INVESTOR CODE]],LS[B/S],"S")</f>
        <v>0</v>
      </c>
      <c r="G498" s="47">
        <f>IF(INVESTORS_LIST[[#This Row],[LS_TOTAL UNITS BUY]]=0,0,INVESTORS_LIST[[#This Row],[LS_TOTAL UNITS BUY]]-INVESTORS_LIST[[#This Row],[LS_TOTAL UNITS SOLD]])</f>
        <v>29314</v>
      </c>
      <c r="H498" s="49">
        <f>IF(INVESTORS_LIST[[#This Row],[LS_TOTAL UNITS BUY]]=0,0,SUMIFS(LS[Amount],LS[Investor ID],INVESTORS_LIST[[#This Row],[INVESTOR CODE]],LS[B/S],"B"))</f>
        <v>300000</v>
      </c>
      <c r="I498" s="48">
        <f>IF(INVESTORS_LIST[[#This Row],[LS_TOTAL UNITS SOLD]]=0,0,SUMIFS(LS[Cost of Units Sold],LS[Investor ID],INVESTORS_LIST[[#This Row],[INVESTOR CODE]],LS[B/S],"S"))</f>
        <v>0</v>
      </c>
      <c r="J498" s="48">
        <f>IF(INVESTORS_LIST[[#This Row],[LS_TOTAL CURRENT UNITS]]=0,0,INVESTORS_LIST[[#This Row],[LS_TOTAL CURRENT UNITS]]*INVESTORS_LIST[[#This Row],[LS_AVERAGE COST]])</f>
        <v>300000</v>
      </c>
      <c r="K498" s="49">
        <f>IF(INVESTORS_LIST[[#This Row],[LS_TOTAL UNITS SOLD]]=0,0,SUMIFS(LS[Realized Gain],LS[Investor ID],INVESTORS_LIST[[#This Row],[INVESTOR CODE]],LS[B/S],"S"))</f>
        <v>0</v>
      </c>
      <c r="L498" s="47">
        <f>SUMIFS(SIP[Unit],SIP[Investor ID],INVESTORS_LIST[[#This Row],[INVESTOR CODE]],SIP[B/S],"B")</f>
        <v>0</v>
      </c>
      <c r="M498" s="47">
        <f>-SUMIFS(SIP[Unit],SIP[Investor ID],INVESTORS_LIST[[#This Row],[INVESTOR CODE]],SIP[B/S],"S")</f>
        <v>0</v>
      </c>
      <c r="N498" s="50">
        <f>IF(INVESTORS_LIST[[#This Row],[SIP_TOTAL UNITS BUY]]=0,0,INVESTORS_LIST[[#This Row],[SIP_TOTAL UNITS BUY]]-INVESTORS_LIST[[#This Row],[SIP_TOTAL UNITS SOLD]])</f>
        <v>0</v>
      </c>
      <c r="O498" s="49">
        <f>IF(INVESTORS_LIST[[#This Row],[SIP_TOTAL UNITS BUY]]=0,0,SUMIFS(SIP[Amount],SIP[Investor ID],INVESTORS_LIST[[#This Row],[INVESTOR CODE]],SIP[B/S],"B"))</f>
        <v>0</v>
      </c>
      <c r="P498" s="49">
        <f>IF(INVESTORS_LIST[[#This Row],[SIP_TOTAL UNITS SOLD]]=0,0,SUMIFS(SIP[Cost of Units Sold],SIP[Investor ID],INVESTORS_LIST[[#This Row],[INVESTOR CODE]],SIP[B/S],"S"))</f>
        <v>0</v>
      </c>
      <c r="Q498" s="48">
        <f>IF(INVESTORS_LIST[[#This Row],[SIP_TOTAL CURRENT UNITS]]=0,0,INVESTORS_LIST[[#This Row],[SIP_TOTAL CURRENT UNITS]]*INVESTORS_LIST[[#This Row],[SIP_AVERAGE COST]])</f>
        <v>0</v>
      </c>
      <c r="R498" s="48">
        <f>IF(INVESTORS_LIST[[#This Row],[SIP_TOTAL UNITS SOLD]]=0,0,SUMIFS(SIP[Realized Gain],SIP[Investor ID],INVESTORS_LIST[[#This Row],[INVESTOR CODE]],SIP[B/S],"S"))</f>
        <v>0</v>
      </c>
      <c r="S498" s="50">
        <f>INVESTORS_LIST[[#This Row],[LS_TOTAL UNITS BUY]]+INVESTORS_LIST[[#This Row],[SIP_TOTAL UNITS BUY]]</f>
        <v>29314</v>
      </c>
      <c r="T498" s="50">
        <f>INVESTORS_LIST[[#This Row],[LS_TOTAL UNITS SOLD]]+INVESTORS_LIST[[#This Row],[SIP_TOTAL UNITS SOLD]]</f>
        <v>0</v>
      </c>
      <c r="U498" s="50">
        <v>29314</v>
      </c>
      <c r="V498" s="50">
        <f>SUMIFS(LS[BO UNIT TRANSFER],LS[Investor ID],INVESTORS_LIST[[#This Row],[INVESTOR CODE]],LS[B/S],"B")</f>
        <v>0</v>
      </c>
      <c r="W498" s="50">
        <f>SUMIFS(SIP[BO UNIT TRANSFER],SIP[Investor ID],INVESTORS_LIST[[#This Row],[INVESTOR CODE]],SIP[B/S],"B")</f>
        <v>0</v>
      </c>
      <c r="X498" s="50">
        <f>SUMIFS(LS[BO UNIT TRANSFER],LS[Investor ID],INVESTORS_LIST[[#This Row],[INVESTOR CODE]],LS[B/S],"S")</f>
        <v>0</v>
      </c>
      <c r="Y498" s="50">
        <f>SUMIFS(SIP[BO UNIT TRANSFER],SIP[Investor ID],INVESTORS_LIST[[#This Row],[INVESTOR CODE]],SIP[B/S],"S")</f>
        <v>0</v>
      </c>
      <c r="Z498" s="106">
        <f>SUM(INVESTORS_LIST[[#This Row],[BO OPENING BALANCE]:[BO SIP UNITS REPURCHASE]])</f>
        <v>29314</v>
      </c>
      <c r="AA498" s="107">
        <f>INVESTORS_LIST[[#This Row],[TOTAL UNITS BUY]]-INVESTORS_LIST[[#This Row],[TOTAL UNITS SOLD]]</f>
        <v>29314</v>
      </c>
      <c r="AB498" s="107">
        <f>INVESTORS_LIST[[#This Row],[TOTAL CURRENT UNITS]]-INVESTORS_LIST[[#This Row],[BO UNITS HOLD]]</f>
        <v>0</v>
      </c>
      <c r="AC498" s="201" t="e">
        <f>INDEX([3]!Table_1[BO ID],MATCH(INVESTORS_LIST[[#This Row],[INVESTOR CODE]],[3]!Table_1[INVESTOR CODE],0))</f>
        <v>#REF!</v>
      </c>
      <c r="AD498" s="201" t="e">
        <f>INDEX([3]!Table_1[Brokerage Name2],MATCH(INVESTORS_LIST[[#This Row],[INVESTOR CODE]],[3]!Table_1[INVESTOR CODE],0))</f>
        <v>#REF!</v>
      </c>
      <c r="AE498" s="201" t="e">
        <f>MID(INVESTORS_LIST[[#This Row],[BO ID]],4,5)</f>
        <v>#REF!</v>
      </c>
      <c r="AF498" s="201" t="e">
        <f>MID(INVESTORS_LIST[[#This Row],[BO ID]],2,7)</f>
        <v>#REF!</v>
      </c>
      <c r="AG498" s="201" t="e">
        <f>MID(INVESTORS_LIST[[#This Row],[BO ID]],9,7)</f>
        <v>#REF!</v>
      </c>
      <c r="AH498" s="201" t="e">
        <f>RIGHT(INVESTORS_LIST[[#This Row],[BO ID]],1)</f>
        <v>#REF!</v>
      </c>
      <c r="AI498" s="50">
        <f>INVESTORS_LIST[[#This Row],[LS_TOTAL COST VALUE OF CURRENT UNITS]]+INVESTORS_LIST[[#This Row],[SIP_TOTAL COST VALUE OF CURRENT UNITS]]</f>
        <v>300000</v>
      </c>
      <c r="AJ498" s="109">
        <f>IF(INVESTORS_LIST[[#This Row],[TOTAL CURRENT UNITS]]=0,0,INVESTORS_LIST[[#This Row],[LS_TOTAL CURRENT UNITS]]/INVESTORS_LIST[[#This Row],[TOTAL CURRENT UNITS]])</f>
        <v>1</v>
      </c>
      <c r="AK498" s="109">
        <f>IF(INVESTORS_LIST[[#This Row],[TOTAL CURRENT UNITS]]=0,0,INVESTORS_LIST[[#This Row],[SIP_TOTAL CURRENT UNITS]]/INVESTORS_LIST[[#This Row],[TOTAL CURRENT UNITS]])</f>
        <v>0</v>
      </c>
      <c r="AL498" s="49" cm="1">
        <f t="array" ref="AL498">IF(INVESTORS_LIST[[#This Row],[LS_TOTAL UNITS BUY]]&gt;0,INDEX(LS[NAV at Cost (Average)],MATCH(CONCATENATE(COUNTIFS(LS[Investor ID],INVESTORS_LIST[[#This Row],[INVESTOR CODE]]),INVESTORS_LIST[[#This Row],[INVESTOR CODE]]),LS[Unique Code],0),),0)</f>
        <v>10.234017875417889</v>
      </c>
      <c r="AM498" s="49" cm="1">
        <f t="array" ref="AM4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8" s="105">
        <f>IF(INVESTORS_LIST[[#This Row],[TOTAL CURRENT UNITS]]=0,0,(INVESTORS_LIST[[#This Row],[LS_WEIGHT]]*INVESTORS_LIST[[#This Row],[LS_AVERAGE COST]])+(INVESTORS_LIST[[#This Row],[SIP_WEIGHT]]*INVESTORS_LIST[[#This Row],[SIP_AVERAGE COST]]))</f>
        <v>10.234017875417889</v>
      </c>
      <c r="AO498" s="105">
        <f t="shared" si="8"/>
        <v>14.224</v>
      </c>
      <c r="AP498" s="112">
        <f>IF(INVESTORS_LIST[[#This Row],[TOTAL CURRENT UNITS]]=0,0,INVESTORS_LIST[[#This Row],[TOTAL CURRENT UNITS]]*INVESTORS_LIST[[#This Row],[NAV]])</f>
        <v>416962.33600000001</v>
      </c>
      <c r="AQ498" s="49">
        <f>IF(INVESTORS_LIST[[#This Row],[LS_TOTAL CURRENT UNITS]]=0,0,INVESTORS_LIST[[#This Row],[LS_TOTAL CURRENT UNITS]]*INVESTORS_LIST[[#This Row],[NAV]])</f>
        <v>416962.33600000001</v>
      </c>
      <c r="AR498" s="48">
        <f>IF(INVESTORS_LIST[[#This Row],[SIP_TOTAL CURRENT UNITS]]=0,0,INVESTORS_LIST[[#This Row],[SIP_TOTAL CURRENT UNITS]]*INVESTORS_LIST[[#This Row],[NAV]])</f>
        <v>0</v>
      </c>
      <c r="AS498" s="50">
        <f>INVESTORS_LIST[[#This Row],[TOTAL CURRENT UNITS]]</f>
        <v>29314</v>
      </c>
      <c r="AT498" s="48">
        <f>IF(INVESTORS_LIST[[#This Row],[TOTAL SELLABLE UNITS]]=0,0,INVESTORS_LIST[[#This Row],[TOTAL SELLABLE UNITS]]*INVESTORS_LIST[[#This Row],[NAV]])</f>
        <v>416962.33600000001</v>
      </c>
      <c r="AU498" s="48">
        <f>INVESTORS_LIST[[#This Row],[LS_TOTAL REALIZED GAIN]]+INVESTORS_LIST[[#This Row],[SIP_TOTAL REALIZED GAIN]]</f>
        <v>0</v>
      </c>
      <c r="AV498" s="48">
        <f>INVESTORS_LIST[[#This Row],[TOTAL MARKET VALUE]]-INVESTORS_LIST[[#This Row],[TOTAL COST VALUE OF CURRENT INVESTMENT]]</f>
        <v>116962.33600000001</v>
      </c>
      <c r="AW498" s="108">
        <f>IFERROR(INVESTORS_LIST[[#This Row],[TOTAL CURRENT UNITS]]/SUM(INVESTORS_LIST[TOTAL CURRENT UNITS]),0)</f>
        <v>7.1163275826638254E-4</v>
      </c>
    </row>
    <row r="499" spans="1:49" hidden="1">
      <c r="A499" s="262" t="s">
        <v>1043</v>
      </c>
      <c r="B499" s="97" t="s">
        <v>1044</v>
      </c>
      <c r="C499" t="s">
        <v>44</v>
      </c>
      <c r="D499" s="75" t="s">
        <v>45</v>
      </c>
      <c r="E499" s="47">
        <f>SUMIFS(LS[Unit],LS[Investor ID],INVESTORS_LIST[[#This Row],[INVESTOR CODE]],LS[B/S],"B")</f>
        <v>0</v>
      </c>
      <c r="F499" s="47">
        <f>-SUMIFS(LS[Unit],LS[Investor ID],INVESTORS_LIST[[#This Row],[INVESTOR CODE]],LS[B/S],"S")</f>
        <v>0</v>
      </c>
      <c r="G499" s="47">
        <f>IF(INVESTORS_LIST[[#This Row],[LS_TOTAL UNITS BUY]]=0,0,INVESTORS_LIST[[#This Row],[LS_TOTAL UNITS BUY]]-INVESTORS_LIST[[#This Row],[LS_TOTAL UNITS SOLD]])</f>
        <v>0</v>
      </c>
      <c r="H499" s="49">
        <f>IF(INVESTORS_LIST[[#This Row],[LS_TOTAL UNITS BUY]]=0,0,SUMIFS(LS[Amount],LS[Investor ID],INVESTORS_LIST[[#This Row],[INVESTOR CODE]],LS[B/S],"B"))</f>
        <v>0</v>
      </c>
      <c r="I499" s="48">
        <f>IF(INVESTORS_LIST[[#This Row],[LS_TOTAL UNITS SOLD]]=0,0,SUMIFS(LS[Cost of Units Sold],LS[Investor ID],INVESTORS_LIST[[#This Row],[INVESTOR CODE]],LS[B/S],"S"))</f>
        <v>0</v>
      </c>
      <c r="J499" s="48">
        <f>IF(INVESTORS_LIST[[#This Row],[LS_TOTAL CURRENT UNITS]]=0,0,INVESTORS_LIST[[#This Row],[LS_TOTAL CURRENT UNITS]]*INVESTORS_LIST[[#This Row],[LS_AVERAGE COST]])</f>
        <v>0</v>
      </c>
      <c r="K499" s="49">
        <f>IF(INVESTORS_LIST[[#This Row],[LS_TOTAL UNITS SOLD]]=0,0,SUMIFS(LS[Realized Gain],LS[Investor ID],INVESTORS_LIST[[#This Row],[INVESTOR CODE]],LS[B/S],"S"))</f>
        <v>0</v>
      </c>
      <c r="L499" s="47">
        <f>SUMIFS(SIP[Unit],SIP[Investor ID],INVESTORS_LIST[[#This Row],[INVESTOR CODE]],SIP[B/S],"B")</f>
        <v>0</v>
      </c>
      <c r="M499" s="47">
        <f>-SUMIFS(SIP[Unit],SIP[Investor ID],INVESTORS_LIST[[#This Row],[INVESTOR CODE]],SIP[B/S],"S")</f>
        <v>0</v>
      </c>
      <c r="N499" s="50">
        <f>IF(INVESTORS_LIST[[#This Row],[SIP_TOTAL UNITS BUY]]=0,0,INVESTORS_LIST[[#This Row],[SIP_TOTAL UNITS BUY]]-INVESTORS_LIST[[#This Row],[SIP_TOTAL UNITS SOLD]])</f>
        <v>0</v>
      </c>
      <c r="O499" s="49">
        <f>IF(INVESTORS_LIST[[#This Row],[SIP_TOTAL UNITS BUY]]=0,0,SUMIFS(SIP[Amount],SIP[Investor ID],INVESTORS_LIST[[#This Row],[INVESTOR CODE]],SIP[B/S],"B"))</f>
        <v>0</v>
      </c>
      <c r="P499" s="49">
        <f>IF(INVESTORS_LIST[[#This Row],[SIP_TOTAL UNITS SOLD]]=0,0,SUMIFS(SIP[Cost of Units Sold],SIP[Investor ID],INVESTORS_LIST[[#This Row],[INVESTOR CODE]],SIP[B/S],"S"))</f>
        <v>0</v>
      </c>
      <c r="Q499" s="48">
        <f>IF(INVESTORS_LIST[[#This Row],[SIP_TOTAL CURRENT UNITS]]=0,0,INVESTORS_LIST[[#This Row],[SIP_TOTAL CURRENT UNITS]]*INVESTORS_LIST[[#This Row],[SIP_AVERAGE COST]])</f>
        <v>0</v>
      </c>
      <c r="R499" s="48">
        <f>IF(INVESTORS_LIST[[#This Row],[SIP_TOTAL UNITS SOLD]]=0,0,SUMIFS(SIP[Realized Gain],SIP[Investor ID],INVESTORS_LIST[[#This Row],[INVESTOR CODE]],SIP[B/S],"S"))</f>
        <v>0</v>
      </c>
      <c r="S499" s="50">
        <f>INVESTORS_LIST[[#This Row],[LS_TOTAL UNITS BUY]]+INVESTORS_LIST[[#This Row],[SIP_TOTAL UNITS BUY]]</f>
        <v>0</v>
      </c>
      <c r="T499" s="50">
        <f>INVESTORS_LIST[[#This Row],[LS_TOTAL UNITS SOLD]]+INVESTORS_LIST[[#This Row],[SIP_TOTAL UNITS SOLD]]</f>
        <v>0</v>
      </c>
      <c r="U499" s="50"/>
      <c r="V499" s="50">
        <f>SUMIFS(LS[BO UNIT TRANSFER],LS[Investor ID],INVESTORS_LIST[[#This Row],[INVESTOR CODE]],LS[B/S],"B")</f>
        <v>0</v>
      </c>
      <c r="W499" s="50">
        <f>SUMIFS(SIP[BO UNIT TRANSFER],SIP[Investor ID],INVESTORS_LIST[[#This Row],[INVESTOR CODE]],SIP[B/S],"B")</f>
        <v>0</v>
      </c>
      <c r="X499" s="50">
        <f>SUMIFS(LS[BO UNIT TRANSFER],LS[Investor ID],INVESTORS_LIST[[#This Row],[INVESTOR CODE]],LS[B/S],"S")</f>
        <v>0</v>
      </c>
      <c r="Y499" s="50">
        <f>SUMIFS(SIP[BO UNIT TRANSFER],SIP[Investor ID],INVESTORS_LIST[[#This Row],[INVESTOR CODE]],SIP[B/S],"S")</f>
        <v>0</v>
      </c>
      <c r="Z499" s="106">
        <f>SUM(INVESTORS_LIST[[#This Row],[BO OPENING BALANCE]:[BO SIP UNITS REPURCHASE]])</f>
        <v>0</v>
      </c>
      <c r="AA499" s="107">
        <f>INVESTORS_LIST[[#This Row],[TOTAL UNITS BUY]]-INVESTORS_LIST[[#This Row],[TOTAL UNITS SOLD]]</f>
        <v>0</v>
      </c>
      <c r="AB499" s="107">
        <f>INVESTORS_LIST[[#This Row],[TOTAL CURRENT UNITS]]-INVESTORS_LIST[[#This Row],[BO UNITS HOLD]]</f>
        <v>0</v>
      </c>
      <c r="AC499" s="201" t="e">
        <f>INDEX([3]!Table_1[BO ID],MATCH(INVESTORS_LIST[[#This Row],[INVESTOR CODE]],[3]!Table_1[INVESTOR CODE],0))</f>
        <v>#REF!</v>
      </c>
      <c r="AD499" s="201" t="e">
        <f>INDEX([3]!Table_1[Brokerage Name2],MATCH(INVESTORS_LIST[[#This Row],[INVESTOR CODE]],[3]!Table_1[INVESTOR CODE],0))</f>
        <v>#REF!</v>
      </c>
      <c r="AE499" s="201" t="e">
        <f>MID(INVESTORS_LIST[[#This Row],[BO ID]],4,5)</f>
        <v>#REF!</v>
      </c>
      <c r="AF499" s="201" t="e">
        <f>MID(INVESTORS_LIST[[#This Row],[BO ID]],2,7)</f>
        <v>#REF!</v>
      </c>
      <c r="AG499" s="201" t="e">
        <f>MID(INVESTORS_LIST[[#This Row],[BO ID]],9,7)</f>
        <v>#REF!</v>
      </c>
      <c r="AH499" s="201" t="e">
        <f>RIGHT(INVESTORS_LIST[[#This Row],[BO ID]],1)</f>
        <v>#REF!</v>
      </c>
      <c r="AI499" s="50">
        <f>INVESTORS_LIST[[#This Row],[LS_TOTAL COST VALUE OF CURRENT UNITS]]+INVESTORS_LIST[[#This Row],[SIP_TOTAL COST VALUE OF CURRENT UNITS]]</f>
        <v>0</v>
      </c>
      <c r="AJ499" s="109">
        <f>IF(INVESTORS_LIST[[#This Row],[TOTAL CURRENT UNITS]]=0,0,INVESTORS_LIST[[#This Row],[LS_TOTAL CURRENT UNITS]]/INVESTORS_LIST[[#This Row],[TOTAL CURRENT UNITS]])</f>
        <v>0</v>
      </c>
      <c r="AK499" s="109">
        <f>IF(INVESTORS_LIST[[#This Row],[TOTAL CURRENT UNITS]]=0,0,INVESTORS_LIST[[#This Row],[SIP_TOTAL CURRENT UNITS]]/INVESTORS_LIST[[#This Row],[TOTAL CURRENT UNITS]])</f>
        <v>0</v>
      </c>
      <c r="AL499" s="49" cm="1">
        <f t="array" ref="AL4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499" s="49" cm="1">
        <f t="array" ref="AM4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4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499" s="105">
        <f t="shared" si="8"/>
        <v>14.224</v>
      </c>
      <c r="AP499" s="112">
        <f>IF(INVESTORS_LIST[[#This Row],[TOTAL CURRENT UNITS]]=0,0,INVESTORS_LIST[[#This Row],[TOTAL CURRENT UNITS]]*INVESTORS_LIST[[#This Row],[NAV]])</f>
        <v>0</v>
      </c>
      <c r="AQ499" s="49">
        <f>IF(INVESTORS_LIST[[#This Row],[LS_TOTAL CURRENT UNITS]]=0,0,INVESTORS_LIST[[#This Row],[LS_TOTAL CURRENT UNITS]]*INVESTORS_LIST[[#This Row],[NAV]])</f>
        <v>0</v>
      </c>
      <c r="AR499" s="48">
        <f>IF(INVESTORS_LIST[[#This Row],[SIP_TOTAL CURRENT UNITS]]=0,0,INVESTORS_LIST[[#This Row],[SIP_TOTAL CURRENT UNITS]]*INVESTORS_LIST[[#This Row],[NAV]])</f>
        <v>0</v>
      </c>
      <c r="AS499" s="50">
        <f>INVESTORS_LIST[[#This Row],[TOTAL CURRENT UNITS]]</f>
        <v>0</v>
      </c>
      <c r="AT499" s="48">
        <f>IF(INVESTORS_LIST[[#This Row],[TOTAL SELLABLE UNITS]]=0,0,INVESTORS_LIST[[#This Row],[TOTAL SELLABLE UNITS]]*INVESTORS_LIST[[#This Row],[NAV]])</f>
        <v>0</v>
      </c>
      <c r="AU499" s="48">
        <f>INVESTORS_LIST[[#This Row],[LS_TOTAL REALIZED GAIN]]+INVESTORS_LIST[[#This Row],[SIP_TOTAL REALIZED GAIN]]</f>
        <v>0</v>
      </c>
      <c r="AV499" s="48">
        <f>INVESTORS_LIST[[#This Row],[TOTAL MARKET VALUE]]-INVESTORS_LIST[[#This Row],[TOTAL COST VALUE OF CURRENT INVESTMENT]]</f>
        <v>0</v>
      </c>
      <c r="AW499" s="48">
        <f>IFERROR(INVESTORS_LIST[[#This Row],[TOTAL CURRENT UNITS]]/SUM(INVESTORS_LIST[TOTAL CURRENT UNITS]),0)</f>
        <v>0</v>
      </c>
    </row>
    <row r="500" spans="1:49" hidden="1">
      <c r="A500" s="262" t="s">
        <v>1045</v>
      </c>
      <c r="B500" s="97" t="s">
        <v>1046</v>
      </c>
      <c r="C500" t="s">
        <v>44</v>
      </c>
      <c r="D500" s="75" t="s">
        <v>45</v>
      </c>
      <c r="E500" s="47">
        <f>SUMIFS(LS[Unit],LS[Investor ID],INVESTORS_LIST[[#This Row],[INVESTOR CODE]],LS[B/S],"B")</f>
        <v>24380</v>
      </c>
      <c r="F500" s="47">
        <f>-SUMIFS(LS[Unit],LS[Investor ID],INVESTORS_LIST[[#This Row],[INVESTOR CODE]],LS[B/S],"S")</f>
        <v>24380</v>
      </c>
      <c r="G500" s="47">
        <f>IF(INVESTORS_LIST[[#This Row],[LS_TOTAL UNITS BUY]]=0,0,INVESTORS_LIST[[#This Row],[LS_TOTAL UNITS BUY]]-INVESTORS_LIST[[#This Row],[LS_TOTAL UNITS SOLD]])</f>
        <v>0</v>
      </c>
      <c r="H500" s="49">
        <f>IF(INVESTORS_LIST[[#This Row],[LS_TOTAL UNITS BUY]]=0,0,SUMIFS(LS[Amount],LS[Investor ID],INVESTORS_LIST[[#This Row],[INVESTOR CODE]],LS[B/S],"B"))</f>
        <v>250000</v>
      </c>
      <c r="I500" s="48">
        <f>IF(INVESTORS_LIST[[#This Row],[LS_TOTAL UNITS SOLD]]=0,0,SUMIFS(LS[Cost of Units Sold],LS[Investor ID],INVESTORS_LIST[[#This Row],[INVESTOR CODE]],LS[B/S],"S"))</f>
        <v>249999.99999999997</v>
      </c>
      <c r="J500" s="48">
        <f>IF(INVESTORS_LIST[[#This Row],[LS_TOTAL CURRENT UNITS]]=0,0,INVESTORS_LIST[[#This Row],[LS_TOTAL CURRENT UNITS]]*INVESTORS_LIST[[#This Row],[LS_AVERAGE COST]])</f>
        <v>0</v>
      </c>
      <c r="K500" s="49">
        <f>IF(INVESTORS_LIST[[#This Row],[LS_TOTAL UNITS SOLD]]=0,0,SUMIFS(LS[Realized Gain],LS[Investor ID],INVESTORS_LIST[[#This Row],[INVESTOR CODE]],LS[B/S],"S"))</f>
        <v>9890.8000000000247</v>
      </c>
      <c r="L500" s="47">
        <f>SUMIFS(SIP[Unit],SIP[Investor ID],INVESTORS_LIST[[#This Row],[INVESTOR CODE]],SIP[B/S],"B")</f>
        <v>0</v>
      </c>
      <c r="M500" s="47">
        <f>-SUMIFS(SIP[Unit],SIP[Investor ID],INVESTORS_LIST[[#This Row],[INVESTOR CODE]],SIP[B/S],"S")</f>
        <v>0</v>
      </c>
      <c r="N500" s="50">
        <f>IF(INVESTORS_LIST[[#This Row],[SIP_TOTAL UNITS BUY]]=0,0,INVESTORS_LIST[[#This Row],[SIP_TOTAL UNITS BUY]]-INVESTORS_LIST[[#This Row],[SIP_TOTAL UNITS SOLD]])</f>
        <v>0</v>
      </c>
      <c r="O500" s="49">
        <f>IF(INVESTORS_LIST[[#This Row],[SIP_TOTAL UNITS BUY]]=0,0,SUMIFS(SIP[Amount],SIP[Investor ID],INVESTORS_LIST[[#This Row],[INVESTOR CODE]],SIP[B/S],"B"))</f>
        <v>0</v>
      </c>
      <c r="P500" s="49">
        <f>IF(INVESTORS_LIST[[#This Row],[SIP_TOTAL UNITS SOLD]]=0,0,SUMIFS(SIP[Cost of Units Sold],SIP[Investor ID],INVESTORS_LIST[[#This Row],[INVESTOR CODE]],SIP[B/S],"S"))</f>
        <v>0</v>
      </c>
      <c r="Q500" s="48">
        <f>IF(INVESTORS_LIST[[#This Row],[SIP_TOTAL CURRENT UNITS]]=0,0,INVESTORS_LIST[[#This Row],[SIP_TOTAL CURRENT UNITS]]*INVESTORS_LIST[[#This Row],[SIP_AVERAGE COST]])</f>
        <v>0</v>
      </c>
      <c r="R500" s="48">
        <f>IF(INVESTORS_LIST[[#This Row],[SIP_TOTAL UNITS SOLD]]=0,0,SUMIFS(SIP[Realized Gain],SIP[Investor ID],INVESTORS_LIST[[#This Row],[INVESTOR CODE]],SIP[B/S],"S"))</f>
        <v>0</v>
      </c>
      <c r="S500" s="50">
        <f>INVESTORS_LIST[[#This Row],[LS_TOTAL UNITS BUY]]+INVESTORS_LIST[[#This Row],[SIP_TOTAL UNITS BUY]]</f>
        <v>24380</v>
      </c>
      <c r="T500" s="50">
        <f>INVESTORS_LIST[[#This Row],[LS_TOTAL UNITS SOLD]]+INVESTORS_LIST[[#This Row],[SIP_TOTAL UNITS SOLD]]</f>
        <v>24380</v>
      </c>
      <c r="U500" s="50"/>
      <c r="V500" s="50">
        <f>SUMIFS(LS[BO UNIT TRANSFER],LS[Investor ID],INVESTORS_LIST[[#This Row],[INVESTOR CODE]],LS[B/S],"B")</f>
        <v>0</v>
      </c>
      <c r="W500" s="50">
        <f>SUMIFS(SIP[BO UNIT TRANSFER],SIP[Investor ID],INVESTORS_LIST[[#This Row],[INVESTOR CODE]],SIP[B/S],"B")</f>
        <v>0</v>
      </c>
      <c r="X500" s="50">
        <f>SUMIFS(LS[BO UNIT TRANSFER],LS[Investor ID],INVESTORS_LIST[[#This Row],[INVESTOR CODE]],LS[B/S],"S")</f>
        <v>0</v>
      </c>
      <c r="Y500" s="50">
        <f>SUMIFS(SIP[BO UNIT TRANSFER],SIP[Investor ID],INVESTORS_LIST[[#This Row],[INVESTOR CODE]],SIP[B/S],"S")</f>
        <v>0</v>
      </c>
      <c r="Z500" s="106">
        <f>SUM(INVESTORS_LIST[[#This Row],[BO OPENING BALANCE]:[BO SIP UNITS REPURCHASE]])</f>
        <v>0</v>
      </c>
      <c r="AA500" s="107">
        <f>INVESTORS_LIST[[#This Row],[TOTAL UNITS BUY]]-INVESTORS_LIST[[#This Row],[TOTAL UNITS SOLD]]</f>
        <v>0</v>
      </c>
      <c r="AB500" s="107">
        <f>INVESTORS_LIST[[#This Row],[TOTAL CURRENT UNITS]]-INVESTORS_LIST[[#This Row],[BO UNITS HOLD]]</f>
        <v>0</v>
      </c>
      <c r="AC500" s="201" t="e">
        <f>INDEX([3]!Table_1[BO ID],MATCH(INVESTORS_LIST[[#This Row],[INVESTOR CODE]],[3]!Table_1[INVESTOR CODE],0))</f>
        <v>#REF!</v>
      </c>
      <c r="AD500" s="201" t="e">
        <f>INDEX([3]!Table_1[Brokerage Name2],MATCH(INVESTORS_LIST[[#This Row],[INVESTOR CODE]],[3]!Table_1[INVESTOR CODE],0))</f>
        <v>#REF!</v>
      </c>
      <c r="AE500" s="201" t="e">
        <f>MID(INVESTORS_LIST[[#This Row],[BO ID]],4,5)</f>
        <v>#REF!</v>
      </c>
      <c r="AF500" s="201" t="e">
        <f>MID(INVESTORS_LIST[[#This Row],[BO ID]],2,7)</f>
        <v>#REF!</v>
      </c>
      <c r="AG500" s="201" t="e">
        <f>MID(INVESTORS_LIST[[#This Row],[BO ID]],9,7)</f>
        <v>#REF!</v>
      </c>
      <c r="AH500" s="201" t="e">
        <f>RIGHT(INVESTORS_LIST[[#This Row],[BO ID]],1)</f>
        <v>#REF!</v>
      </c>
      <c r="AI500" s="50">
        <f>INVESTORS_LIST[[#This Row],[LS_TOTAL COST VALUE OF CURRENT UNITS]]+INVESTORS_LIST[[#This Row],[SIP_TOTAL COST VALUE OF CURRENT UNITS]]</f>
        <v>0</v>
      </c>
      <c r="AJ500" s="109">
        <f>IF(INVESTORS_LIST[[#This Row],[TOTAL CURRENT UNITS]]=0,0,INVESTORS_LIST[[#This Row],[LS_TOTAL CURRENT UNITS]]/INVESTORS_LIST[[#This Row],[TOTAL CURRENT UNITS]])</f>
        <v>0</v>
      </c>
      <c r="AK500" s="109">
        <f>IF(INVESTORS_LIST[[#This Row],[TOTAL CURRENT UNITS]]=0,0,INVESTORS_LIST[[#This Row],[SIP_TOTAL CURRENT UNITS]]/INVESTORS_LIST[[#This Row],[TOTAL CURRENT UNITS]])</f>
        <v>0</v>
      </c>
      <c r="AL500" s="49" cm="1">
        <f t="array" ref="AL5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0" s="49" cm="1">
        <f t="array" ref="AM5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0" s="105">
        <f t="shared" si="8"/>
        <v>14.224</v>
      </c>
      <c r="AP500" s="112">
        <f>IF(INVESTORS_LIST[[#This Row],[TOTAL CURRENT UNITS]]=0,0,INVESTORS_LIST[[#This Row],[TOTAL CURRENT UNITS]]*INVESTORS_LIST[[#This Row],[NAV]])</f>
        <v>0</v>
      </c>
      <c r="AQ500" s="49">
        <f>IF(INVESTORS_LIST[[#This Row],[LS_TOTAL CURRENT UNITS]]=0,0,INVESTORS_LIST[[#This Row],[LS_TOTAL CURRENT UNITS]]*INVESTORS_LIST[[#This Row],[NAV]])</f>
        <v>0</v>
      </c>
      <c r="AR500" s="48">
        <f>IF(INVESTORS_LIST[[#This Row],[SIP_TOTAL CURRENT UNITS]]=0,0,INVESTORS_LIST[[#This Row],[SIP_TOTAL CURRENT UNITS]]*INVESTORS_LIST[[#This Row],[NAV]])</f>
        <v>0</v>
      </c>
      <c r="AS500" s="50">
        <f>INVESTORS_LIST[[#This Row],[TOTAL CURRENT UNITS]]</f>
        <v>0</v>
      </c>
      <c r="AT500" s="48">
        <f>IF(INVESTORS_LIST[[#This Row],[TOTAL SELLABLE UNITS]]=0,0,INVESTORS_LIST[[#This Row],[TOTAL SELLABLE UNITS]]*INVESTORS_LIST[[#This Row],[NAV]])</f>
        <v>0</v>
      </c>
      <c r="AU500" s="48">
        <f>INVESTORS_LIST[[#This Row],[LS_TOTAL REALIZED GAIN]]+INVESTORS_LIST[[#This Row],[SIP_TOTAL REALIZED GAIN]]</f>
        <v>9890.8000000000247</v>
      </c>
      <c r="AV500" s="48">
        <f>INVESTORS_LIST[[#This Row],[TOTAL MARKET VALUE]]-INVESTORS_LIST[[#This Row],[TOTAL COST VALUE OF CURRENT INVESTMENT]]</f>
        <v>0</v>
      </c>
      <c r="AW500" s="108">
        <f>IFERROR(INVESTORS_LIST[[#This Row],[TOTAL CURRENT UNITS]]/SUM(INVESTORS_LIST[TOTAL CURRENT UNITS]),0)</f>
        <v>0</v>
      </c>
    </row>
    <row r="501" spans="1:49" hidden="1">
      <c r="A501" s="262" t="s">
        <v>1047</v>
      </c>
      <c r="B501" s="97" t="s">
        <v>1048</v>
      </c>
      <c r="C501" t="s">
        <v>44</v>
      </c>
      <c r="D501" s="75" t="s">
        <v>45</v>
      </c>
      <c r="E501" s="47">
        <f>SUMIFS(LS[Unit],LS[Investor ID],INVESTORS_LIST[[#This Row],[INVESTOR CODE]],LS[B/S],"B")</f>
        <v>55765</v>
      </c>
      <c r="F501" s="47">
        <f>-SUMIFS(LS[Unit],LS[Investor ID],INVESTORS_LIST[[#This Row],[INVESTOR CODE]],LS[B/S],"S")</f>
        <v>55765</v>
      </c>
      <c r="G501" s="47">
        <f>IF(INVESTORS_LIST[[#This Row],[LS_TOTAL UNITS BUY]]=0,0,INVESTORS_LIST[[#This Row],[LS_TOTAL UNITS BUY]]-INVESTORS_LIST[[#This Row],[LS_TOTAL UNITS SOLD]])</f>
        <v>0</v>
      </c>
      <c r="H501" s="49">
        <f>IF(INVESTORS_LIST[[#This Row],[LS_TOTAL UNITS BUY]]=0,0,SUMIFS(LS[Amount],LS[Investor ID],INVESTORS_LIST[[#This Row],[INVESTOR CODE]],LS[B/S],"B"))</f>
        <v>600000</v>
      </c>
      <c r="I501" s="48">
        <f>IF(INVESTORS_LIST[[#This Row],[LS_TOTAL UNITS SOLD]]=0,0,SUMIFS(LS[Cost of Units Sold],LS[Investor ID],INVESTORS_LIST[[#This Row],[INVESTOR CODE]],LS[B/S],"S"))</f>
        <v>599999.99999999988</v>
      </c>
      <c r="J501" s="48">
        <f>IF(INVESTORS_LIST[[#This Row],[LS_TOTAL CURRENT UNITS]]=0,0,INVESTORS_LIST[[#This Row],[LS_TOTAL CURRENT UNITS]]*INVESTORS_LIST[[#This Row],[LS_AVERAGE COST]])</f>
        <v>0</v>
      </c>
      <c r="K501" s="49">
        <f>IF(INVESTORS_LIST[[#This Row],[LS_TOTAL UNITS SOLD]]=0,0,SUMIFS(LS[Realized Gain],LS[Investor ID],INVESTORS_LIST[[#This Row],[INVESTOR CODE]],LS[B/S],"S"))</f>
        <v>10400.000000000069</v>
      </c>
      <c r="L501" s="47">
        <f>SUMIFS(SIP[Unit],SIP[Investor ID],INVESTORS_LIST[[#This Row],[INVESTOR CODE]],SIP[B/S],"B")</f>
        <v>0</v>
      </c>
      <c r="M501" s="47">
        <f>-SUMIFS(SIP[Unit],SIP[Investor ID],INVESTORS_LIST[[#This Row],[INVESTOR CODE]],SIP[B/S],"S")</f>
        <v>0</v>
      </c>
      <c r="N501" s="50">
        <f>IF(INVESTORS_LIST[[#This Row],[SIP_TOTAL UNITS BUY]]=0,0,INVESTORS_LIST[[#This Row],[SIP_TOTAL UNITS BUY]]-INVESTORS_LIST[[#This Row],[SIP_TOTAL UNITS SOLD]])</f>
        <v>0</v>
      </c>
      <c r="O501" s="49">
        <f>IF(INVESTORS_LIST[[#This Row],[SIP_TOTAL UNITS BUY]]=0,0,SUMIFS(SIP[Amount],SIP[Investor ID],INVESTORS_LIST[[#This Row],[INVESTOR CODE]],SIP[B/S],"B"))</f>
        <v>0</v>
      </c>
      <c r="P501" s="49">
        <f>IF(INVESTORS_LIST[[#This Row],[SIP_TOTAL UNITS SOLD]]=0,0,SUMIFS(SIP[Cost of Units Sold],SIP[Investor ID],INVESTORS_LIST[[#This Row],[INVESTOR CODE]],SIP[B/S],"S"))</f>
        <v>0</v>
      </c>
      <c r="Q501" s="48">
        <f>IF(INVESTORS_LIST[[#This Row],[SIP_TOTAL CURRENT UNITS]]=0,0,INVESTORS_LIST[[#This Row],[SIP_TOTAL CURRENT UNITS]]*INVESTORS_LIST[[#This Row],[SIP_AVERAGE COST]])</f>
        <v>0</v>
      </c>
      <c r="R501" s="48">
        <f>IF(INVESTORS_LIST[[#This Row],[SIP_TOTAL UNITS SOLD]]=0,0,SUMIFS(SIP[Realized Gain],SIP[Investor ID],INVESTORS_LIST[[#This Row],[INVESTOR CODE]],SIP[B/S],"S"))</f>
        <v>0</v>
      </c>
      <c r="S501" s="50">
        <f>INVESTORS_LIST[[#This Row],[LS_TOTAL UNITS BUY]]+INVESTORS_LIST[[#This Row],[SIP_TOTAL UNITS BUY]]</f>
        <v>55765</v>
      </c>
      <c r="T501" s="50">
        <f>INVESTORS_LIST[[#This Row],[LS_TOTAL UNITS SOLD]]+INVESTORS_LIST[[#This Row],[SIP_TOTAL UNITS SOLD]]</f>
        <v>55765</v>
      </c>
      <c r="U501" s="50"/>
      <c r="V501" s="50">
        <f>SUMIFS(LS[BO UNIT TRANSFER],LS[Investor ID],INVESTORS_LIST[[#This Row],[INVESTOR CODE]],LS[B/S],"B")</f>
        <v>0</v>
      </c>
      <c r="W501" s="50">
        <f>SUMIFS(SIP[BO UNIT TRANSFER],SIP[Investor ID],INVESTORS_LIST[[#This Row],[INVESTOR CODE]],SIP[B/S],"B")</f>
        <v>0</v>
      </c>
      <c r="X501" s="50">
        <f>SUMIFS(LS[BO UNIT TRANSFER],LS[Investor ID],INVESTORS_LIST[[#This Row],[INVESTOR CODE]],LS[B/S],"S")</f>
        <v>0</v>
      </c>
      <c r="Y501" s="50">
        <f>SUMIFS(SIP[BO UNIT TRANSFER],SIP[Investor ID],INVESTORS_LIST[[#This Row],[INVESTOR CODE]],SIP[B/S],"S")</f>
        <v>0</v>
      </c>
      <c r="Z501" s="106">
        <f>SUM(INVESTORS_LIST[[#This Row],[BO OPENING BALANCE]:[BO SIP UNITS REPURCHASE]])</f>
        <v>0</v>
      </c>
      <c r="AA501" s="107">
        <f>INVESTORS_LIST[[#This Row],[TOTAL UNITS BUY]]-INVESTORS_LIST[[#This Row],[TOTAL UNITS SOLD]]</f>
        <v>0</v>
      </c>
      <c r="AB501" s="107">
        <f>INVESTORS_LIST[[#This Row],[TOTAL CURRENT UNITS]]-INVESTORS_LIST[[#This Row],[BO UNITS HOLD]]</f>
        <v>0</v>
      </c>
      <c r="AC501" s="201" t="e">
        <f>INDEX([3]!Table_1[BO ID],MATCH(INVESTORS_LIST[[#This Row],[INVESTOR CODE]],[3]!Table_1[INVESTOR CODE],0))</f>
        <v>#REF!</v>
      </c>
      <c r="AD501" s="201" t="e">
        <f>INDEX([3]!Table_1[Brokerage Name2],MATCH(INVESTORS_LIST[[#This Row],[INVESTOR CODE]],[3]!Table_1[INVESTOR CODE],0))</f>
        <v>#REF!</v>
      </c>
      <c r="AE501" s="201" t="e">
        <f>MID(INVESTORS_LIST[[#This Row],[BO ID]],4,5)</f>
        <v>#REF!</v>
      </c>
      <c r="AF501" s="201" t="e">
        <f>MID(INVESTORS_LIST[[#This Row],[BO ID]],2,7)</f>
        <v>#REF!</v>
      </c>
      <c r="AG501" s="201" t="e">
        <f>MID(INVESTORS_LIST[[#This Row],[BO ID]],9,7)</f>
        <v>#REF!</v>
      </c>
      <c r="AH501" s="201" t="e">
        <f>RIGHT(INVESTORS_LIST[[#This Row],[BO ID]],1)</f>
        <v>#REF!</v>
      </c>
      <c r="AI501" s="50">
        <f>INVESTORS_LIST[[#This Row],[LS_TOTAL COST VALUE OF CURRENT UNITS]]+INVESTORS_LIST[[#This Row],[SIP_TOTAL COST VALUE OF CURRENT UNITS]]</f>
        <v>0</v>
      </c>
      <c r="AJ501" s="109">
        <f>IF(INVESTORS_LIST[[#This Row],[TOTAL CURRENT UNITS]]=0,0,INVESTORS_LIST[[#This Row],[LS_TOTAL CURRENT UNITS]]/INVESTORS_LIST[[#This Row],[TOTAL CURRENT UNITS]])</f>
        <v>0</v>
      </c>
      <c r="AK501" s="109">
        <f>IF(INVESTORS_LIST[[#This Row],[TOTAL CURRENT UNITS]]=0,0,INVESTORS_LIST[[#This Row],[SIP_TOTAL CURRENT UNITS]]/INVESTORS_LIST[[#This Row],[TOTAL CURRENT UNITS]])</f>
        <v>0</v>
      </c>
      <c r="AL501" s="49" cm="1">
        <f t="array" ref="AL5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1" s="49" cm="1">
        <f t="array" ref="AM5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1" s="105">
        <f t="shared" si="8"/>
        <v>14.224</v>
      </c>
      <c r="AP501" s="112">
        <f>IF(INVESTORS_LIST[[#This Row],[TOTAL CURRENT UNITS]]=0,0,INVESTORS_LIST[[#This Row],[TOTAL CURRENT UNITS]]*INVESTORS_LIST[[#This Row],[NAV]])</f>
        <v>0</v>
      </c>
      <c r="AQ501" s="49">
        <f>IF(INVESTORS_LIST[[#This Row],[LS_TOTAL CURRENT UNITS]]=0,0,INVESTORS_LIST[[#This Row],[LS_TOTAL CURRENT UNITS]]*INVESTORS_LIST[[#This Row],[NAV]])</f>
        <v>0</v>
      </c>
      <c r="AR501" s="48">
        <f>IF(INVESTORS_LIST[[#This Row],[SIP_TOTAL CURRENT UNITS]]=0,0,INVESTORS_LIST[[#This Row],[SIP_TOTAL CURRENT UNITS]]*INVESTORS_LIST[[#This Row],[NAV]])</f>
        <v>0</v>
      </c>
      <c r="AS501" s="50">
        <f>INVESTORS_LIST[[#This Row],[TOTAL CURRENT UNITS]]</f>
        <v>0</v>
      </c>
      <c r="AT501" s="48">
        <f>IF(INVESTORS_LIST[[#This Row],[TOTAL SELLABLE UNITS]]=0,0,INVESTORS_LIST[[#This Row],[TOTAL SELLABLE UNITS]]*INVESTORS_LIST[[#This Row],[NAV]])</f>
        <v>0</v>
      </c>
      <c r="AU501" s="48">
        <f>INVESTORS_LIST[[#This Row],[LS_TOTAL REALIZED GAIN]]+INVESTORS_LIST[[#This Row],[SIP_TOTAL REALIZED GAIN]]</f>
        <v>10400.000000000069</v>
      </c>
      <c r="AV501" s="48">
        <f>INVESTORS_LIST[[#This Row],[TOTAL MARKET VALUE]]-INVESTORS_LIST[[#This Row],[TOTAL COST VALUE OF CURRENT INVESTMENT]]</f>
        <v>0</v>
      </c>
      <c r="AW501" s="48">
        <f>IFERROR(INVESTORS_LIST[[#This Row],[TOTAL CURRENT UNITS]]/SUM(INVESTORS_LIST[TOTAL CURRENT UNITS]),0)</f>
        <v>0</v>
      </c>
    </row>
    <row r="502" spans="1:49" hidden="1">
      <c r="A502" s="262" t="s">
        <v>1049</v>
      </c>
      <c r="B502" s="97" t="s">
        <v>1050</v>
      </c>
      <c r="C502" t="s">
        <v>44</v>
      </c>
      <c r="D502" s="75" t="s">
        <v>45</v>
      </c>
      <c r="E502" s="47">
        <f>SUMIFS(LS[Unit],LS[Investor ID],INVESTORS_LIST[[#This Row],[INVESTOR CODE]],LS[B/S],"B")</f>
        <v>0</v>
      </c>
      <c r="F502" s="47">
        <f>-SUMIFS(LS[Unit],LS[Investor ID],INVESTORS_LIST[[#This Row],[INVESTOR CODE]],LS[B/S],"S")</f>
        <v>0</v>
      </c>
      <c r="G502" s="47">
        <f>IF(INVESTORS_LIST[[#This Row],[LS_TOTAL UNITS BUY]]=0,0,INVESTORS_LIST[[#This Row],[LS_TOTAL UNITS BUY]]-INVESTORS_LIST[[#This Row],[LS_TOTAL UNITS SOLD]])</f>
        <v>0</v>
      </c>
      <c r="H502" s="49">
        <f>IF(INVESTORS_LIST[[#This Row],[LS_TOTAL UNITS BUY]]=0,0,SUMIFS(LS[Amount],LS[Investor ID],INVESTORS_LIST[[#This Row],[INVESTOR CODE]],LS[B/S],"B"))</f>
        <v>0</v>
      </c>
      <c r="I502" s="48">
        <f>IF(INVESTORS_LIST[[#This Row],[LS_TOTAL UNITS SOLD]]=0,0,SUMIFS(LS[Cost of Units Sold],LS[Investor ID],INVESTORS_LIST[[#This Row],[INVESTOR CODE]],LS[B/S],"S"))</f>
        <v>0</v>
      </c>
      <c r="J502" s="48">
        <f>IF(INVESTORS_LIST[[#This Row],[LS_TOTAL CURRENT UNITS]]=0,0,INVESTORS_LIST[[#This Row],[LS_TOTAL CURRENT UNITS]]*INVESTORS_LIST[[#This Row],[LS_AVERAGE COST]])</f>
        <v>0</v>
      </c>
      <c r="K502" s="49">
        <f>IF(INVESTORS_LIST[[#This Row],[LS_TOTAL UNITS SOLD]]=0,0,SUMIFS(LS[Realized Gain],LS[Investor ID],INVESTORS_LIST[[#This Row],[INVESTOR CODE]],LS[B/S],"S"))</f>
        <v>0</v>
      </c>
      <c r="L502" s="47">
        <f>SUMIFS(SIP[Unit],SIP[Investor ID],INVESTORS_LIST[[#This Row],[INVESTOR CODE]],SIP[B/S],"B")</f>
        <v>31747</v>
      </c>
      <c r="M502" s="47">
        <f>-SUMIFS(SIP[Unit],SIP[Investor ID],INVESTORS_LIST[[#This Row],[INVESTOR CODE]],SIP[B/S],"S")</f>
        <v>31747</v>
      </c>
      <c r="N502" s="50">
        <f>IF(INVESTORS_LIST[[#This Row],[SIP_TOTAL UNITS BUY]]=0,0,INVESTORS_LIST[[#This Row],[SIP_TOTAL UNITS BUY]]-INVESTORS_LIST[[#This Row],[SIP_TOTAL UNITS SOLD]])</f>
        <v>0</v>
      </c>
      <c r="O502" s="49">
        <f>IF(INVESTORS_LIST[[#This Row],[SIP_TOTAL UNITS BUY]]=0,0,SUMIFS(SIP[Amount],SIP[Investor ID],INVESTORS_LIST[[#This Row],[INVESTOR CODE]],SIP[B/S],"B"))</f>
        <v>345000</v>
      </c>
      <c r="P502" s="49">
        <f>IF(INVESTORS_LIST[[#This Row],[SIP_TOTAL UNITS SOLD]]=0,0,SUMIFS(SIP[Cost of Units Sold],SIP[Investor ID],INVESTORS_LIST[[#This Row],[INVESTOR CODE]],SIP[B/S],"S"))</f>
        <v>345000.00000000006</v>
      </c>
      <c r="Q502" s="48">
        <f>IF(INVESTORS_LIST[[#This Row],[SIP_TOTAL CURRENT UNITS]]=0,0,INVESTORS_LIST[[#This Row],[SIP_TOTAL CURRENT UNITS]]*INVESTORS_LIST[[#This Row],[SIP_AVERAGE COST]])</f>
        <v>0</v>
      </c>
      <c r="R502" s="48">
        <f>IF(INVESTORS_LIST[[#This Row],[SIP_TOTAL UNITS SOLD]]=0,0,SUMIFS(SIP[Realized Gain],SIP[Investor ID],INVESTORS_LIST[[#This Row],[INVESTOR CODE]],SIP[B/S],"S"))</f>
        <v>9190.7599999999984</v>
      </c>
      <c r="S502" s="50">
        <f>INVESTORS_LIST[[#This Row],[LS_TOTAL UNITS BUY]]+INVESTORS_LIST[[#This Row],[SIP_TOTAL UNITS BUY]]</f>
        <v>31747</v>
      </c>
      <c r="T502" s="50">
        <f>INVESTORS_LIST[[#This Row],[LS_TOTAL UNITS SOLD]]+INVESTORS_LIST[[#This Row],[SIP_TOTAL UNITS SOLD]]</f>
        <v>31747</v>
      </c>
      <c r="U502" s="50"/>
      <c r="V502" s="50">
        <f>SUMIFS(LS[BO UNIT TRANSFER],LS[Investor ID],INVESTORS_LIST[[#This Row],[INVESTOR CODE]],LS[B/S],"B")</f>
        <v>0</v>
      </c>
      <c r="W502" s="50">
        <f>SUMIFS(SIP[BO UNIT TRANSFER],SIP[Investor ID],INVESTORS_LIST[[#This Row],[INVESTOR CODE]],SIP[B/S],"B")</f>
        <v>0</v>
      </c>
      <c r="X502" s="50">
        <f>SUMIFS(LS[BO UNIT TRANSFER],LS[Investor ID],INVESTORS_LIST[[#This Row],[INVESTOR CODE]],LS[B/S],"S")</f>
        <v>0</v>
      </c>
      <c r="Y502" s="50">
        <f>SUMIFS(SIP[BO UNIT TRANSFER],SIP[Investor ID],INVESTORS_LIST[[#This Row],[INVESTOR CODE]],SIP[B/S],"S")</f>
        <v>0</v>
      </c>
      <c r="Z502" s="106">
        <f>SUM(INVESTORS_LIST[[#This Row],[BO OPENING BALANCE]:[BO SIP UNITS REPURCHASE]])</f>
        <v>0</v>
      </c>
      <c r="AA502" s="107">
        <f>INVESTORS_LIST[[#This Row],[TOTAL UNITS BUY]]-INVESTORS_LIST[[#This Row],[TOTAL UNITS SOLD]]</f>
        <v>0</v>
      </c>
      <c r="AB502" s="107">
        <f>INVESTORS_LIST[[#This Row],[TOTAL CURRENT UNITS]]-INVESTORS_LIST[[#This Row],[BO UNITS HOLD]]</f>
        <v>0</v>
      </c>
      <c r="AC502" s="201" t="e">
        <f>INDEX([3]!Table_1[BO ID],MATCH(INVESTORS_LIST[[#This Row],[INVESTOR CODE]],[3]!Table_1[INVESTOR CODE],0))</f>
        <v>#REF!</v>
      </c>
      <c r="AD502" s="201" t="e">
        <f>INDEX([3]!Table_1[Brokerage Name2],MATCH(INVESTORS_LIST[[#This Row],[INVESTOR CODE]],[3]!Table_1[INVESTOR CODE],0))</f>
        <v>#REF!</v>
      </c>
      <c r="AE502" s="201" t="e">
        <f>MID(INVESTORS_LIST[[#This Row],[BO ID]],4,5)</f>
        <v>#REF!</v>
      </c>
      <c r="AF502" s="201" t="e">
        <f>MID(INVESTORS_LIST[[#This Row],[BO ID]],2,7)</f>
        <v>#REF!</v>
      </c>
      <c r="AG502" s="201" t="e">
        <f>MID(INVESTORS_LIST[[#This Row],[BO ID]],9,7)</f>
        <v>#REF!</v>
      </c>
      <c r="AH502" s="201" t="e">
        <f>RIGHT(INVESTORS_LIST[[#This Row],[BO ID]],1)</f>
        <v>#REF!</v>
      </c>
      <c r="AI502" s="50">
        <f>INVESTORS_LIST[[#This Row],[LS_TOTAL COST VALUE OF CURRENT UNITS]]+INVESTORS_LIST[[#This Row],[SIP_TOTAL COST VALUE OF CURRENT UNITS]]</f>
        <v>0</v>
      </c>
      <c r="AJ502" s="109">
        <f>IF(INVESTORS_LIST[[#This Row],[TOTAL CURRENT UNITS]]=0,0,INVESTORS_LIST[[#This Row],[LS_TOTAL CURRENT UNITS]]/INVESTORS_LIST[[#This Row],[TOTAL CURRENT UNITS]])</f>
        <v>0</v>
      </c>
      <c r="AK502" s="109">
        <f>IF(INVESTORS_LIST[[#This Row],[TOTAL CURRENT UNITS]]=0,0,INVESTORS_LIST[[#This Row],[SIP_TOTAL CURRENT UNITS]]/INVESTORS_LIST[[#This Row],[TOTAL CURRENT UNITS]])</f>
        <v>0</v>
      </c>
      <c r="AL502" s="49" cm="1">
        <f t="array" ref="AL5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2" s="49" cm="1">
        <f t="array" ref="AM5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2" s="105">
        <f t="shared" si="8"/>
        <v>14.224</v>
      </c>
      <c r="AP502" s="112">
        <f>IF(INVESTORS_LIST[[#This Row],[TOTAL CURRENT UNITS]]=0,0,INVESTORS_LIST[[#This Row],[TOTAL CURRENT UNITS]]*INVESTORS_LIST[[#This Row],[NAV]])</f>
        <v>0</v>
      </c>
      <c r="AQ502" s="49">
        <f>IF(INVESTORS_LIST[[#This Row],[LS_TOTAL CURRENT UNITS]]=0,0,INVESTORS_LIST[[#This Row],[LS_TOTAL CURRENT UNITS]]*INVESTORS_LIST[[#This Row],[NAV]])</f>
        <v>0</v>
      </c>
      <c r="AR502" s="48">
        <f>IF(INVESTORS_LIST[[#This Row],[SIP_TOTAL CURRENT UNITS]]=0,0,INVESTORS_LIST[[#This Row],[SIP_TOTAL CURRENT UNITS]]*INVESTORS_LIST[[#This Row],[NAV]])</f>
        <v>0</v>
      </c>
      <c r="AS502" s="50">
        <f>INVESTORS_LIST[[#This Row],[TOTAL CURRENT UNITS]]</f>
        <v>0</v>
      </c>
      <c r="AT502" s="48">
        <f>IF(INVESTORS_LIST[[#This Row],[TOTAL SELLABLE UNITS]]=0,0,INVESTORS_LIST[[#This Row],[TOTAL SELLABLE UNITS]]*INVESTORS_LIST[[#This Row],[NAV]])</f>
        <v>0</v>
      </c>
      <c r="AU502" s="48">
        <f>INVESTORS_LIST[[#This Row],[LS_TOTAL REALIZED GAIN]]+INVESTORS_LIST[[#This Row],[SIP_TOTAL REALIZED GAIN]]</f>
        <v>9190.7599999999984</v>
      </c>
      <c r="AV502" s="48">
        <f>INVESTORS_LIST[[#This Row],[TOTAL MARKET VALUE]]-INVESTORS_LIST[[#This Row],[TOTAL COST VALUE OF CURRENT INVESTMENT]]</f>
        <v>0</v>
      </c>
      <c r="AW502" s="108">
        <f>IFERROR(INVESTORS_LIST[[#This Row],[TOTAL CURRENT UNITS]]/SUM(INVESTORS_LIST[TOTAL CURRENT UNITS]),0)</f>
        <v>0</v>
      </c>
    </row>
    <row r="503" spans="1:49">
      <c r="A503" s="262" t="s">
        <v>1051</v>
      </c>
      <c r="B503" s="97" t="s">
        <v>1052</v>
      </c>
      <c r="C503" t="s">
        <v>67</v>
      </c>
      <c r="D503" s="75" t="s">
        <v>45</v>
      </c>
      <c r="E503" s="47">
        <f>SUMIFS(LS[Unit],LS[Investor ID],INVESTORS_LIST[[#This Row],[INVESTOR CODE]],LS[B/S],"B")</f>
        <v>11999</v>
      </c>
      <c r="F503" s="47">
        <f>-SUMIFS(LS[Unit],LS[Investor ID],INVESTORS_LIST[[#This Row],[INVESTOR CODE]],LS[B/S],"S")</f>
        <v>11999</v>
      </c>
      <c r="G503" s="47">
        <f>IF(INVESTORS_LIST[[#This Row],[LS_TOTAL UNITS BUY]]=0,0,INVESTORS_LIST[[#This Row],[LS_TOTAL UNITS BUY]]-INVESTORS_LIST[[#This Row],[LS_TOTAL UNITS SOLD]])</f>
        <v>0</v>
      </c>
      <c r="H503" s="49">
        <f>IF(INVESTORS_LIST[[#This Row],[LS_TOTAL UNITS BUY]]=0,0,SUMIFS(LS[Amount],LS[Investor ID],INVESTORS_LIST[[#This Row],[INVESTOR CODE]],LS[B/S],"B"))</f>
        <v>125320</v>
      </c>
      <c r="I503" s="48">
        <f>IF(INVESTORS_LIST[[#This Row],[LS_TOTAL UNITS SOLD]]=0,0,SUMIFS(LS[Cost of Units Sold],LS[Investor ID],INVESTORS_LIST[[#This Row],[INVESTOR CODE]],LS[B/S],"S"))</f>
        <v>125320</v>
      </c>
      <c r="J503" s="48">
        <f>IF(INVESTORS_LIST[[#This Row],[LS_TOTAL CURRENT UNITS]]=0,0,INVESTORS_LIST[[#This Row],[LS_TOTAL CURRENT UNITS]]*INVESTORS_LIST[[#This Row],[LS_AVERAGE COST]])</f>
        <v>0</v>
      </c>
      <c r="K503" s="49">
        <f>IF(INVESTORS_LIST[[#This Row],[LS_TOTAL UNITS SOLD]]=0,0,SUMIFS(LS[Realized Gain],LS[Investor ID],INVESTORS_LIST[[#This Row],[INVESTOR CODE]],LS[B/S],"S"))</f>
        <v>2961.4899999999971</v>
      </c>
      <c r="L503" s="47">
        <f>SUMIFS(SIP[Unit],SIP[Investor ID],INVESTORS_LIST[[#This Row],[INVESTOR CODE]],SIP[B/S],"B")</f>
        <v>4517</v>
      </c>
      <c r="M503" s="47">
        <f>-SUMIFS(SIP[Unit],SIP[Investor ID],INVESTORS_LIST[[#This Row],[INVESTOR CODE]],SIP[B/S],"S")</f>
        <v>0</v>
      </c>
      <c r="N503" s="50">
        <f>IF(INVESTORS_LIST[[#This Row],[SIP_TOTAL UNITS BUY]]=0,0,INVESTORS_LIST[[#This Row],[SIP_TOTAL UNITS BUY]]-INVESTORS_LIST[[#This Row],[SIP_TOTAL UNITS SOLD]])</f>
        <v>4517</v>
      </c>
      <c r="O503" s="49">
        <f>IF(INVESTORS_LIST[[#This Row],[SIP_TOTAL UNITS BUY]]=0,0,SUMIFS(SIP[Amount],SIP[Investor ID],INVESTORS_LIST[[#This Row],[INVESTOR CODE]],SIP[B/S],"B"))</f>
        <v>57000</v>
      </c>
      <c r="P503" s="49">
        <f>IF(INVESTORS_LIST[[#This Row],[SIP_TOTAL UNITS SOLD]]=0,0,SUMIFS(SIP[Cost of Units Sold],SIP[Investor ID],INVESTORS_LIST[[#This Row],[INVESTOR CODE]],SIP[B/S],"S"))</f>
        <v>0</v>
      </c>
      <c r="Q503" s="48">
        <f>IF(INVESTORS_LIST[[#This Row],[SIP_TOTAL CURRENT UNITS]]=0,0,INVESTORS_LIST[[#This Row],[SIP_TOTAL CURRENT UNITS]]*INVESTORS_LIST[[#This Row],[SIP_AVERAGE COST]])</f>
        <v>57000</v>
      </c>
      <c r="R503" s="48">
        <f>IF(INVESTORS_LIST[[#This Row],[SIP_TOTAL UNITS SOLD]]=0,0,SUMIFS(SIP[Realized Gain],SIP[Investor ID],INVESTORS_LIST[[#This Row],[INVESTOR CODE]],SIP[B/S],"S"))</f>
        <v>0</v>
      </c>
      <c r="S503" s="50">
        <f>INVESTORS_LIST[[#This Row],[LS_TOTAL UNITS BUY]]+INVESTORS_LIST[[#This Row],[SIP_TOTAL UNITS BUY]]</f>
        <v>16516</v>
      </c>
      <c r="T503" s="50">
        <f>INVESTORS_LIST[[#This Row],[LS_TOTAL UNITS SOLD]]+INVESTORS_LIST[[#This Row],[SIP_TOTAL UNITS SOLD]]</f>
        <v>11999</v>
      </c>
      <c r="U503" s="50"/>
      <c r="V503" s="50">
        <f>SUMIFS(LS[BO UNIT TRANSFER],LS[Investor ID],INVESTORS_LIST[[#This Row],[INVESTOR CODE]],LS[B/S],"B")</f>
        <v>0</v>
      </c>
      <c r="W503" s="50">
        <f>SUMIFS(SIP[BO UNIT TRANSFER],SIP[Investor ID],INVESTORS_LIST[[#This Row],[INVESTOR CODE]],SIP[B/S],"B")</f>
        <v>0</v>
      </c>
      <c r="X503" s="50">
        <f>SUMIFS(LS[BO UNIT TRANSFER],LS[Investor ID],INVESTORS_LIST[[#This Row],[INVESTOR CODE]],LS[B/S],"S")</f>
        <v>0</v>
      </c>
      <c r="Y503" s="50">
        <f>SUMIFS(SIP[BO UNIT TRANSFER],SIP[Investor ID],INVESTORS_LIST[[#This Row],[INVESTOR CODE]],SIP[B/S],"S")</f>
        <v>0</v>
      </c>
      <c r="Z503" s="106">
        <f>SUM(INVESTORS_LIST[[#This Row],[BO OPENING BALANCE]:[BO SIP UNITS REPURCHASE]])</f>
        <v>0</v>
      </c>
      <c r="AA503" s="107">
        <f>INVESTORS_LIST[[#This Row],[TOTAL UNITS BUY]]-INVESTORS_LIST[[#This Row],[TOTAL UNITS SOLD]]</f>
        <v>4517</v>
      </c>
      <c r="AB503" s="107">
        <f>INVESTORS_LIST[[#This Row],[TOTAL CURRENT UNITS]]-INVESTORS_LIST[[#This Row],[BO UNITS HOLD]]</f>
        <v>4517</v>
      </c>
      <c r="AC503" s="201" t="e">
        <f>INDEX([3]!Table_1[BO ID],MATCH(INVESTORS_LIST[[#This Row],[INVESTOR CODE]],[3]!Table_1[INVESTOR CODE],0))</f>
        <v>#REF!</v>
      </c>
      <c r="AD503" s="201" t="e">
        <f>INDEX([3]!Table_1[Brokerage Name2],MATCH(INVESTORS_LIST[[#This Row],[INVESTOR CODE]],[3]!Table_1[INVESTOR CODE],0))</f>
        <v>#REF!</v>
      </c>
      <c r="AE503" s="201" t="e">
        <f>MID(INVESTORS_LIST[[#This Row],[BO ID]],4,5)</f>
        <v>#REF!</v>
      </c>
      <c r="AF503" s="201" t="e">
        <f>MID(INVESTORS_LIST[[#This Row],[BO ID]],2,7)</f>
        <v>#REF!</v>
      </c>
      <c r="AG503" s="201" t="e">
        <f>MID(INVESTORS_LIST[[#This Row],[BO ID]],9,7)</f>
        <v>#REF!</v>
      </c>
      <c r="AH503" s="201" t="e">
        <f>RIGHT(INVESTORS_LIST[[#This Row],[BO ID]],1)</f>
        <v>#REF!</v>
      </c>
      <c r="AI503" s="50">
        <f>INVESTORS_LIST[[#This Row],[LS_TOTAL COST VALUE OF CURRENT UNITS]]+INVESTORS_LIST[[#This Row],[SIP_TOTAL COST VALUE OF CURRENT UNITS]]</f>
        <v>57000</v>
      </c>
      <c r="AJ503" s="109">
        <f>IF(INVESTORS_LIST[[#This Row],[TOTAL CURRENT UNITS]]=0,0,INVESTORS_LIST[[#This Row],[LS_TOTAL CURRENT UNITS]]/INVESTORS_LIST[[#This Row],[TOTAL CURRENT UNITS]])</f>
        <v>0</v>
      </c>
      <c r="AK503" s="109">
        <f>IF(INVESTORS_LIST[[#This Row],[TOTAL CURRENT UNITS]]=0,0,INVESTORS_LIST[[#This Row],[SIP_TOTAL CURRENT UNITS]]/INVESTORS_LIST[[#This Row],[TOTAL CURRENT UNITS]])</f>
        <v>1</v>
      </c>
      <c r="AL503" s="49" cm="1">
        <f t="array" ref="AL5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3" s="49" cm="1">
        <f t="array" ref="AM503">IF(INVESTORS_LIST[[#This Row],[SIP_TOTAL UNITS BUY]]&gt;0,INDEX(SIP[NAV at Cost (Average)],MATCH(CONCATENATE(COUNTIFS(SIP[Investor ID],INVESTORS_LIST[[#This Row],[INVESTOR CODE]]),INVESTORS_LIST[[#This Row],[INVESTOR CODE]]),SIP[Unique Code],0),),0)</f>
        <v>12.618994908124861</v>
      </c>
      <c r="AN503" s="105">
        <f>IF(INVESTORS_LIST[[#This Row],[TOTAL CURRENT UNITS]]=0,0,(INVESTORS_LIST[[#This Row],[LS_WEIGHT]]*INVESTORS_LIST[[#This Row],[LS_AVERAGE COST]])+(INVESTORS_LIST[[#This Row],[SIP_WEIGHT]]*INVESTORS_LIST[[#This Row],[SIP_AVERAGE COST]]))</f>
        <v>12.618994908124861</v>
      </c>
      <c r="AO503" s="105">
        <f t="shared" si="8"/>
        <v>14.224</v>
      </c>
      <c r="AP503" s="112">
        <f>IF(INVESTORS_LIST[[#This Row],[TOTAL CURRENT UNITS]]=0,0,INVESTORS_LIST[[#This Row],[TOTAL CURRENT UNITS]]*INVESTORS_LIST[[#This Row],[NAV]])</f>
        <v>64249.807999999997</v>
      </c>
      <c r="AQ503" s="49">
        <f>IF(INVESTORS_LIST[[#This Row],[LS_TOTAL CURRENT UNITS]]=0,0,INVESTORS_LIST[[#This Row],[LS_TOTAL CURRENT UNITS]]*INVESTORS_LIST[[#This Row],[NAV]])</f>
        <v>0</v>
      </c>
      <c r="AR503" s="48">
        <f>IF(INVESTORS_LIST[[#This Row],[SIP_TOTAL CURRENT UNITS]]=0,0,INVESTORS_LIST[[#This Row],[SIP_TOTAL CURRENT UNITS]]*INVESTORS_LIST[[#This Row],[NAV]])</f>
        <v>64249.807999999997</v>
      </c>
      <c r="AS503" s="50">
        <f>INVESTORS_LIST[[#This Row],[TOTAL CURRENT UNITS]]</f>
        <v>4517</v>
      </c>
      <c r="AT503" s="48">
        <f>IF(INVESTORS_LIST[[#This Row],[TOTAL SELLABLE UNITS]]=0,0,INVESTORS_LIST[[#This Row],[TOTAL SELLABLE UNITS]]*INVESTORS_LIST[[#This Row],[NAV]])</f>
        <v>64249.807999999997</v>
      </c>
      <c r="AU503" s="48">
        <f>INVESTORS_LIST[[#This Row],[LS_TOTAL REALIZED GAIN]]+INVESTORS_LIST[[#This Row],[SIP_TOTAL REALIZED GAIN]]</f>
        <v>2961.4899999999971</v>
      </c>
      <c r="AV503" s="48">
        <f>INVESTORS_LIST[[#This Row],[TOTAL MARKET VALUE]]-INVESTORS_LIST[[#This Row],[TOTAL COST VALUE OF CURRENT INVESTMENT]]</f>
        <v>7249.8079999999973</v>
      </c>
      <c r="AW503" s="48">
        <f>IFERROR(INVESTORS_LIST[[#This Row],[TOTAL CURRENT UNITS]]/SUM(INVESTORS_LIST[TOTAL CURRENT UNITS]),0)</f>
        <v>1.0965563106670022E-4</v>
      </c>
    </row>
    <row r="504" spans="1:49" hidden="1">
      <c r="A504" s="262" t="s">
        <v>1053</v>
      </c>
      <c r="B504" s="97" t="s">
        <v>1054</v>
      </c>
      <c r="C504" t="s">
        <v>67</v>
      </c>
      <c r="D504" s="75" t="s">
        <v>45</v>
      </c>
      <c r="E504" s="47">
        <f>SUMIFS(LS[Unit],LS[Investor ID],INVESTORS_LIST[[#This Row],[INVESTOR CODE]],LS[B/S],"B")</f>
        <v>7314</v>
      </c>
      <c r="F504" s="47">
        <f>-SUMIFS(LS[Unit],LS[Investor ID],INVESTORS_LIST[[#This Row],[INVESTOR CODE]],LS[B/S],"S")</f>
        <v>7314</v>
      </c>
      <c r="G504" s="47">
        <f>IF(INVESTORS_LIST[[#This Row],[LS_TOTAL UNITS BUY]]=0,0,INVESTORS_LIST[[#This Row],[LS_TOTAL UNITS BUY]]-INVESTORS_LIST[[#This Row],[LS_TOTAL UNITS SOLD]])</f>
        <v>0</v>
      </c>
      <c r="H504" s="49">
        <f>IF(INVESTORS_LIST[[#This Row],[LS_TOTAL UNITS BUY]]=0,0,SUMIFS(LS[Amount],LS[Investor ID],INVESTORS_LIST[[#This Row],[INVESTOR CODE]],LS[B/S],"B"))</f>
        <v>75000</v>
      </c>
      <c r="I504" s="48">
        <f>IF(INVESTORS_LIST[[#This Row],[LS_TOTAL UNITS SOLD]]=0,0,SUMIFS(LS[Cost of Units Sold],LS[Investor ID],INVESTORS_LIST[[#This Row],[INVESTOR CODE]],LS[B/S],"S"))</f>
        <v>75000</v>
      </c>
      <c r="J504" s="48">
        <f>IF(INVESTORS_LIST[[#This Row],[LS_TOTAL CURRENT UNITS]]=0,0,INVESTORS_LIST[[#This Row],[LS_TOTAL CURRENT UNITS]]*INVESTORS_LIST[[#This Row],[LS_AVERAGE COST]])</f>
        <v>0</v>
      </c>
      <c r="K504" s="49">
        <f>IF(INVESTORS_LIST[[#This Row],[LS_TOTAL UNITS SOLD]]=0,0,SUMIFS(LS[Realized Gain],LS[Investor ID],INVESTORS_LIST[[#This Row],[INVESTOR CODE]],LS[B/S],"S"))</f>
        <v>4451.9800000000041</v>
      </c>
      <c r="L504" s="47">
        <f>SUMIFS(SIP[Unit],SIP[Investor ID],INVESTORS_LIST[[#This Row],[INVESTOR CODE]],SIP[B/S],"B")</f>
        <v>0</v>
      </c>
      <c r="M504" s="47">
        <f>-SUMIFS(SIP[Unit],SIP[Investor ID],INVESTORS_LIST[[#This Row],[INVESTOR CODE]],SIP[B/S],"S")</f>
        <v>0</v>
      </c>
      <c r="N504" s="50">
        <f>IF(INVESTORS_LIST[[#This Row],[SIP_TOTAL UNITS BUY]]=0,0,INVESTORS_LIST[[#This Row],[SIP_TOTAL UNITS BUY]]-INVESTORS_LIST[[#This Row],[SIP_TOTAL UNITS SOLD]])</f>
        <v>0</v>
      </c>
      <c r="O504" s="49">
        <f>IF(INVESTORS_LIST[[#This Row],[SIP_TOTAL UNITS BUY]]=0,0,SUMIFS(SIP[Amount],SIP[Investor ID],INVESTORS_LIST[[#This Row],[INVESTOR CODE]],SIP[B/S],"B"))</f>
        <v>0</v>
      </c>
      <c r="P504" s="49">
        <f>IF(INVESTORS_LIST[[#This Row],[SIP_TOTAL UNITS SOLD]]=0,0,SUMIFS(SIP[Cost of Units Sold],SIP[Investor ID],INVESTORS_LIST[[#This Row],[INVESTOR CODE]],SIP[B/S],"S"))</f>
        <v>0</v>
      </c>
      <c r="Q504" s="48">
        <f>IF(INVESTORS_LIST[[#This Row],[SIP_TOTAL CURRENT UNITS]]=0,0,INVESTORS_LIST[[#This Row],[SIP_TOTAL CURRENT UNITS]]*INVESTORS_LIST[[#This Row],[SIP_AVERAGE COST]])</f>
        <v>0</v>
      </c>
      <c r="R504" s="48">
        <f>IF(INVESTORS_LIST[[#This Row],[SIP_TOTAL UNITS SOLD]]=0,0,SUMIFS(SIP[Realized Gain],SIP[Investor ID],INVESTORS_LIST[[#This Row],[INVESTOR CODE]],SIP[B/S],"S"))</f>
        <v>0</v>
      </c>
      <c r="S504" s="50">
        <f>INVESTORS_LIST[[#This Row],[LS_TOTAL UNITS BUY]]+INVESTORS_LIST[[#This Row],[SIP_TOTAL UNITS BUY]]</f>
        <v>7314</v>
      </c>
      <c r="T504" s="50">
        <f>INVESTORS_LIST[[#This Row],[LS_TOTAL UNITS SOLD]]+INVESTORS_LIST[[#This Row],[SIP_TOTAL UNITS SOLD]]</f>
        <v>7314</v>
      </c>
      <c r="U504" s="50"/>
      <c r="V504" s="50">
        <f>SUMIFS(LS[BO UNIT TRANSFER],LS[Investor ID],INVESTORS_LIST[[#This Row],[INVESTOR CODE]],LS[B/S],"B")</f>
        <v>0</v>
      </c>
      <c r="W504" s="50">
        <f>SUMIFS(SIP[BO UNIT TRANSFER],SIP[Investor ID],INVESTORS_LIST[[#This Row],[INVESTOR CODE]],SIP[B/S],"B")</f>
        <v>0</v>
      </c>
      <c r="X504" s="50">
        <f>SUMIFS(LS[BO UNIT TRANSFER],LS[Investor ID],INVESTORS_LIST[[#This Row],[INVESTOR CODE]],LS[B/S],"S")</f>
        <v>0</v>
      </c>
      <c r="Y504" s="50">
        <f>SUMIFS(SIP[BO UNIT TRANSFER],SIP[Investor ID],INVESTORS_LIST[[#This Row],[INVESTOR CODE]],SIP[B/S],"S")</f>
        <v>0</v>
      </c>
      <c r="Z504" s="106">
        <f>SUM(INVESTORS_LIST[[#This Row],[BO OPENING BALANCE]:[BO SIP UNITS REPURCHASE]])</f>
        <v>0</v>
      </c>
      <c r="AA504" s="107">
        <f>INVESTORS_LIST[[#This Row],[TOTAL UNITS BUY]]-INVESTORS_LIST[[#This Row],[TOTAL UNITS SOLD]]</f>
        <v>0</v>
      </c>
      <c r="AB504" s="107">
        <f>INVESTORS_LIST[[#This Row],[TOTAL CURRENT UNITS]]-INVESTORS_LIST[[#This Row],[BO UNITS HOLD]]</f>
        <v>0</v>
      </c>
      <c r="AC504" s="201" t="e">
        <f>INDEX([3]!Table_1[BO ID],MATCH(INVESTORS_LIST[[#This Row],[INVESTOR CODE]],[3]!Table_1[INVESTOR CODE],0))</f>
        <v>#REF!</v>
      </c>
      <c r="AD504" s="201" t="e">
        <f>INDEX([3]!Table_1[Brokerage Name2],MATCH(INVESTORS_LIST[[#This Row],[INVESTOR CODE]],[3]!Table_1[INVESTOR CODE],0))</f>
        <v>#REF!</v>
      </c>
      <c r="AE504" s="201" t="e">
        <f>MID(INVESTORS_LIST[[#This Row],[BO ID]],4,5)</f>
        <v>#REF!</v>
      </c>
      <c r="AF504" s="201" t="e">
        <f>MID(INVESTORS_LIST[[#This Row],[BO ID]],2,7)</f>
        <v>#REF!</v>
      </c>
      <c r="AG504" s="201" t="e">
        <f>MID(INVESTORS_LIST[[#This Row],[BO ID]],9,7)</f>
        <v>#REF!</v>
      </c>
      <c r="AH504" s="201" t="e">
        <f>RIGHT(INVESTORS_LIST[[#This Row],[BO ID]],1)</f>
        <v>#REF!</v>
      </c>
      <c r="AI504" s="50">
        <f>INVESTORS_LIST[[#This Row],[LS_TOTAL COST VALUE OF CURRENT UNITS]]+INVESTORS_LIST[[#This Row],[SIP_TOTAL COST VALUE OF CURRENT UNITS]]</f>
        <v>0</v>
      </c>
      <c r="AJ504" s="109">
        <f>IF(INVESTORS_LIST[[#This Row],[TOTAL CURRENT UNITS]]=0,0,INVESTORS_LIST[[#This Row],[LS_TOTAL CURRENT UNITS]]/INVESTORS_LIST[[#This Row],[TOTAL CURRENT UNITS]])</f>
        <v>0</v>
      </c>
      <c r="AK504" s="109">
        <f>IF(INVESTORS_LIST[[#This Row],[TOTAL CURRENT UNITS]]=0,0,INVESTORS_LIST[[#This Row],[SIP_TOTAL CURRENT UNITS]]/INVESTORS_LIST[[#This Row],[TOTAL CURRENT UNITS]])</f>
        <v>0</v>
      </c>
      <c r="AL504" s="49" cm="1">
        <f t="array" ref="AL5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4" s="49" cm="1">
        <f t="array" ref="AM5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4" s="105">
        <f t="shared" si="8"/>
        <v>14.224</v>
      </c>
      <c r="AP504" s="112">
        <f>IF(INVESTORS_LIST[[#This Row],[TOTAL CURRENT UNITS]]=0,0,INVESTORS_LIST[[#This Row],[TOTAL CURRENT UNITS]]*INVESTORS_LIST[[#This Row],[NAV]])</f>
        <v>0</v>
      </c>
      <c r="AQ504" s="49">
        <f>IF(INVESTORS_LIST[[#This Row],[LS_TOTAL CURRENT UNITS]]=0,0,INVESTORS_LIST[[#This Row],[LS_TOTAL CURRENT UNITS]]*INVESTORS_LIST[[#This Row],[NAV]])</f>
        <v>0</v>
      </c>
      <c r="AR504" s="48">
        <f>IF(INVESTORS_LIST[[#This Row],[SIP_TOTAL CURRENT UNITS]]=0,0,INVESTORS_LIST[[#This Row],[SIP_TOTAL CURRENT UNITS]]*INVESTORS_LIST[[#This Row],[NAV]])</f>
        <v>0</v>
      </c>
      <c r="AS504" s="50">
        <f>INVESTORS_LIST[[#This Row],[TOTAL CURRENT UNITS]]</f>
        <v>0</v>
      </c>
      <c r="AT504" s="48">
        <f>IF(INVESTORS_LIST[[#This Row],[TOTAL SELLABLE UNITS]]=0,0,INVESTORS_LIST[[#This Row],[TOTAL SELLABLE UNITS]]*INVESTORS_LIST[[#This Row],[NAV]])</f>
        <v>0</v>
      </c>
      <c r="AU504" s="48">
        <f>INVESTORS_LIST[[#This Row],[LS_TOTAL REALIZED GAIN]]+INVESTORS_LIST[[#This Row],[SIP_TOTAL REALIZED GAIN]]</f>
        <v>4451.9800000000041</v>
      </c>
      <c r="AV504" s="48">
        <f>INVESTORS_LIST[[#This Row],[TOTAL MARKET VALUE]]-INVESTORS_LIST[[#This Row],[TOTAL COST VALUE OF CURRENT INVESTMENT]]</f>
        <v>0</v>
      </c>
      <c r="AW504" s="108">
        <f>IFERROR(INVESTORS_LIST[[#This Row],[TOTAL CURRENT UNITS]]/SUM(INVESTORS_LIST[TOTAL CURRENT UNITS]),0)</f>
        <v>0</v>
      </c>
    </row>
    <row r="505" spans="1:49">
      <c r="A505" s="262" t="s">
        <v>1055</v>
      </c>
      <c r="B505" s="97" t="s">
        <v>1056</v>
      </c>
      <c r="C505" t="s">
        <v>44</v>
      </c>
      <c r="D505" s="75" t="s">
        <v>45</v>
      </c>
      <c r="E505" s="47">
        <f>SUMIFS(LS[Unit],LS[Investor ID],INVESTORS_LIST[[#This Row],[INVESTOR CODE]],LS[B/S],"B")</f>
        <v>279345</v>
      </c>
      <c r="F505" s="47">
        <f>-SUMIFS(LS[Unit],LS[Investor ID],INVESTORS_LIST[[#This Row],[INVESTOR CODE]],LS[B/S],"S")</f>
        <v>98133</v>
      </c>
      <c r="G505" s="47">
        <f>IF(INVESTORS_LIST[[#This Row],[LS_TOTAL UNITS BUY]]=0,0,INVESTORS_LIST[[#This Row],[LS_TOTAL UNITS BUY]]-INVESTORS_LIST[[#This Row],[LS_TOTAL UNITS SOLD]])</f>
        <v>181212</v>
      </c>
      <c r="H505" s="49">
        <f>IF(INVESTORS_LIST[[#This Row],[LS_TOTAL UNITS BUY]]=0,0,SUMIFS(LS[Amount],LS[Investor ID],INVESTORS_LIST[[#This Row],[INVESTOR CODE]],LS[B/S],"B"))</f>
        <v>3600000</v>
      </c>
      <c r="I505" s="48">
        <f>IF(INVESTORS_LIST[[#This Row],[LS_TOTAL UNITS SOLD]]=0,0,SUMIFS(LS[Cost of Units Sold],LS[Investor ID],INVESTORS_LIST[[#This Row],[INVESTOR CODE]],LS[B/S],"S"))</f>
        <v>1100000</v>
      </c>
      <c r="J505" s="48">
        <f>IF(INVESTORS_LIST[[#This Row],[LS_TOTAL CURRENT UNITS]]=0,0,INVESTORS_LIST[[#This Row],[LS_TOTAL CURRENT UNITS]]*INVESTORS_LIST[[#This Row],[LS_AVERAGE COST]])</f>
        <v>2500000</v>
      </c>
      <c r="K505" s="49">
        <f>IF(INVESTORS_LIST[[#This Row],[LS_TOTAL UNITS SOLD]]=0,0,SUMIFS(LS[Realized Gain],LS[Investor ID],INVESTORS_LIST[[#This Row],[INVESTOR CODE]],LS[B/S],"S"))</f>
        <v>240496.77999999991</v>
      </c>
      <c r="L505" s="47">
        <f>SUMIFS(SIP[Unit],SIP[Investor ID],INVESTORS_LIST[[#This Row],[INVESTOR CODE]],SIP[B/S],"B")</f>
        <v>0</v>
      </c>
      <c r="M505" s="47">
        <f>-SUMIFS(SIP[Unit],SIP[Investor ID],INVESTORS_LIST[[#This Row],[INVESTOR CODE]],SIP[B/S],"S")</f>
        <v>0</v>
      </c>
      <c r="N505" s="50">
        <f>IF(INVESTORS_LIST[[#This Row],[SIP_TOTAL UNITS BUY]]=0,0,INVESTORS_LIST[[#This Row],[SIP_TOTAL UNITS BUY]]-INVESTORS_LIST[[#This Row],[SIP_TOTAL UNITS SOLD]])</f>
        <v>0</v>
      </c>
      <c r="O505" s="49">
        <f>IF(INVESTORS_LIST[[#This Row],[SIP_TOTAL UNITS BUY]]=0,0,SUMIFS(SIP[Amount],SIP[Investor ID],INVESTORS_LIST[[#This Row],[INVESTOR CODE]],SIP[B/S],"B"))</f>
        <v>0</v>
      </c>
      <c r="P505" s="49">
        <f>IF(INVESTORS_LIST[[#This Row],[SIP_TOTAL UNITS SOLD]]=0,0,SUMIFS(SIP[Cost of Units Sold],SIP[Investor ID],INVESTORS_LIST[[#This Row],[INVESTOR CODE]],SIP[B/S],"S"))</f>
        <v>0</v>
      </c>
      <c r="Q505" s="48">
        <f>IF(INVESTORS_LIST[[#This Row],[SIP_TOTAL CURRENT UNITS]]=0,0,INVESTORS_LIST[[#This Row],[SIP_TOTAL CURRENT UNITS]]*INVESTORS_LIST[[#This Row],[SIP_AVERAGE COST]])</f>
        <v>0</v>
      </c>
      <c r="R505" s="48">
        <f>IF(INVESTORS_LIST[[#This Row],[SIP_TOTAL UNITS SOLD]]=0,0,SUMIFS(SIP[Realized Gain],SIP[Investor ID],INVESTORS_LIST[[#This Row],[INVESTOR CODE]],SIP[B/S],"S"))</f>
        <v>0</v>
      </c>
      <c r="S505" s="50">
        <f>INVESTORS_LIST[[#This Row],[LS_TOTAL UNITS BUY]]+INVESTORS_LIST[[#This Row],[SIP_TOTAL UNITS BUY]]</f>
        <v>279345</v>
      </c>
      <c r="T505" s="50">
        <f>INVESTORS_LIST[[#This Row],[LS_TOTAL UNITS SOLD]]+INVESTORS_LIST[[#This Row],[SIP_TOTAL UNITS SOLD]]</f>
        <v>98133</v>
      </c>
      <c r="U505" s="50">
        <v>181212</v>
      </c>
      <c r="V505" s="50">
        <f>SUMIFS(LS[BO UNIT TRANSFER],LS[Investor ID],INVESTORS_LIST[[#This Row],[INVESTOR CODE]],LS[B/S],"B")</f>
        <v>0</v>
      </c>
      <c r="W505" s="50">
        <f>SUMIFS(SIP[BO UNIT TRANSFER],SIP[Investor ID],INVESTORS_LIST[[#This Row],[INVESTOR CODE]],SIP[B/S],"B")</f>
        <v>0</v>
      </c>
      <c r="X505" s="50">
        <f>SUMIFS(LS[BO UNIT TRANSFER],LS[Investor ID],INVESTORS_LIST[[#This Row],[INVESTOR CODE]],LS[B/S],"S")</f>
        <v>0</v>
      </c>
      <c r="Y505" s="50">
        <f>SUMIFS(SIP[BO UNIT TRANSFER],SIP[Investor ID],INVESTORS_LIST[[#This Row],[INVESTOR CODE]],SIP[B/S],"S")</f>
        <v>0</v>
      </c>
      <c r="Z505" s="106">
        <f>SUM(INVESTORS_LIST[[#This Row],[BO OPENING BALANCE]:[BO SIP UNITS REPURCHASE]])</f>
        <v>181212</v>
      </c>
      <c r="AA505" s="107">
        <f>INVESTORS_LIST[[#This Row],[TOTAL UNITS BUY]]-INVESTORS_LIST[[#This Row],[TOTAL UNITS SOLD]]</f>
        <v>181212</v>
      </c>
      <c r="AB505" s="107">
        <f>INVESTORS_LIST[[#This Row],[TOTAL CURRENT UNITS]]-INVESTORS_LIST[[#This Row],[BO UNITS HOLD]]</f>
        <v>0</v>
      </c>
      <c r="AC505" s="201" t="e">
        <f>INDEX([3]!Table_1[BO ID],MATCH(INVESTORS_LIST[[#This Row],[INVESTOR CODE]],[3]!Table_1[INVESTOR CODE],0))</f>
        <v>#REF!</v>
      </c>
      <c r="AD505" s="201" t="e">
        <f>INDEX([3]!Table_1[Brokerage Name2],MATCH(INVESTORS_LIST[[#This Row],[INVESTOR CODE]],[3]!Table_1[INVESTOR CODE],0))</f>
        <v>#REF!</v>
      </c>
      <c r="AE505" s="201" t="e">
        <f>MID(INVESTORS_LIST[[#This Row],[BO ID]],4,5)</f>
        <v>#REF!</v>
      </c>
      <c r="AF505" s="201" t="e">
        <f>MID(INVESTORS_LIST[[#This Row],[BO ID]],2,7)</f>
        <v>#REF!</v>
      </c>
      <c r="AG505" s="201" t="e">
        <f>MID(INVESTORS_LIST[[#This Row],[BO ID]],9,7)</f>
        <v>#REF!</v>
      </c>
      <c r="AH505" s="201" t="e">
        <f>RIGHT(INVESTORS_LIST[[#This Row],[BO ID]],1)</f>
        <v>#REF!</v>
      </c>
      <c r="AI505" s="50">
        <f>INVESTORS_LIST[[#This Row],[LS_TOTAL COST VALUE OF CURRENT UNITS]]+INVESTORS_LIST[[#This Row],[SIP_TOTAL COST VALUE OF CURRENT UNITS]]</f>
        <v>2500000</v>
      </c>
      <c r="AJ505" s="109">
        <f>IF(INVESTORS_LIST[[#This Row],[TOTAL CURRENT UNITS]]=0,0,INVESTORS_LIST[[#This Row],[LS_TOTAL CURRENT UNITS]]/INVESTORS_LIST[[#This Row],[TOTAL CURRENT UNITS]])</f>
        <v>1</v>
      </c>
      <c r="AK505" s="109">
        <f>IF(INVESTORS_LIST[[#This Row],[TOTAL CURRENT UNITS]]=0,0,INVESTORS_LIST[[#This Row],[SIP_TOTAL CURRENT UNITS]]/INVESTORS_LIST[[#This Row],[TOTAL CURRENT UNITS]])</f>
        <v>0</v>
      </c>
      <c r="AL505" s="49" cm="1">
        <f t="array" ref="AL505">IF(INVESTORS_LIST[[#This Row],[LS_TOTAL UNITS BUY]]&gt;0,INDEX(LS[NAV at Cost (Average)],MATCH(CONCATENATE(COUNTIFS(LS[Investor ID],INVESTORS_LIST[[#This Row],[INVESTOR CODE]]),INVESTORS_LIST[[#This Row],[INVESTOR CODE]]),LS[Unique Code],0),),0)</f>
        <v>13.795995850164449</v>
      </c>
      <c r="AM505" s="49" cm="1">
        <f t="array" ref="AM5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5" s="105">
        <f>IF(INVESTORS_LIST[[#This Row],[TOTAL CURRENT UNITS]]=0,0,(INVESTORS_LIST[[#This Row],[LS_WEIGHT]]*INVESTORS_LIST[[#This Row],[LS_AVERAGE COST]])+(INVESTORS_LIST[[#This Row],[SIP_WEIGHT]]*INVESTORS_LIST[[#This Row],[SIP_AVERAGE COST]]))</f>
        <v>13.795995850164449</v>
      </c>
      <c r="AO505" s="105">
        <f t="shared" si="8"/>
        <v>14.224</v>
      </c>
      <c r="AP505" s="112">
        <f>IF(INVESTORS_LIST[[#This Row],[TOTAL CURRENT UNITS]]=0,0,INVESTORS_LIST[[#This Row],[TOTAL CURRENT UNITS]]*INVESTORS_LIST[[#This Row],[NAV]])</f>
        <v>2577559.4879999999</v>
      </c>
      <c r="AQ505" s="49">
        <f>IF(INVESTORS_LIST[[#This Row],[LS_TOTAL CURRENT UNITS]]=0,0,INVESTORS_LIST[[#This Row],[LS_TOTAL CURRENT UNITS]]*INVESTORS_LIST[[#This Row],[NAV]])</f>
        <v>2577559.4879999999</v>
      </c>
      <c r="AR505" s="48">
        <f>IF(INVESTORS_LIST[[#This Row],[SIP_TOTAL CURRENT UNITS]]=0,0,INVESTORS_LIST[[#This Row],[SIP_TOTAL CURRENT UNITS]]*INVESTORS_LIST[[#This Row],[NAV]])</f>
        <v>0</v>
      </c>
      <c r="AS505" s="50">
        <f>INVESTORS_LIST[[#This Row],[TOTAL CURRENT UNITS]]</f>
        <v>181212</v>
      </c>
      <c r="AT505" s="48">
        <f>IF(INVESTORS_LIST[[#This Row],[TOTAL SELLABLE UNITS]]=0,0,INVESTORS_LIST[[#This Row],[TOTAL SELLABLE UNITS]]*INVESTORS_LIST[[#This Row],[NAV]])</f>
        <v>2577559.4879999999</v>
      </c>
      <c r="AU505" s="48">
        <f>INVESTORS_LIST[[#This Row],[LS_TOTAL REALIZED GAIN]]+INVESTORS_LIST[[#This Row],[SIP_TOTAL REALIZED GAIN]]</f>
        <v>240496.77999999991</v>
      </c>
      <c r="AV505" s="48">
        <f>INVESTORS_LIST[[#This Row],[TOTAL MARKET VALUE]]-INVESTORS_LIST[[#This Row],[TOTAL COST VALUE OF CURRENT INVESTMENT]]</f>
        <v>77559.487999999896</v>
      </c>
      <c r="AW505" s="108">
        <f>IFERROR(INVESTORS_LIST[[#This Row],[TOTAL CURRENT UNITS]]/SUM(INVESTORS_LIST[TOTAL CURRENT UNITS]),0)</f>
        <v>4.3991401852687354E-3</v>
      </c>
    </row>
    <row r="506" spans="1:49" hidden="1">
      <c r="A506" s="262" t="s">
        <v>273</v>
      </c>
      <c r="B506" s="97" t="s">
        <v>1057</v>
      </c>
      <c r="C506" t="s">
        <v>44</v>
      </c>
      <c r="D506" s="75" t="s">
        <v>45</v>
      </c>
      <c r="E506" s="47">
        <f>SUMIFS(LS[Unit],LS[Investor ID],INVESTORS_LIST[[#This Row],[INVESTOR CODE]],LS[B/S],"B")</f>
        <v>9646</v>
      </c>
      <c r="F506" s="47">
        <f>-SUMIFS(LS[Unit],LS[Investor ID],INVESTORS_LIST[[#This Row],[INVESTOR CODE]],LS[B/S],"S")</f>
        <v>9646</v>
      </c>
      <c r="G506" s="47">
        <f>IF(INVESTORS_LIST[[#This Row],[LS_TOTAL UNITS BUY]]=0,0,INVESTORS_LIST[[#This Row],[LS_TOTAL UNITS BUY]]-INVESTORS_LIST[[#This Row],[LS_TOTAL UNITS SOLD]])</f>
        <v>0</v>
      </c>
      <c r="H506" s="49">
        <f>IF(INVESTORS_LIST[[#This Row],[LS_TOTAL UNITS BUY]]=0,0,SUMIFS(LS[Amount],LS[Investor ID],INVESTORS_LIST[[#This Row],[INVESTOR CODE]],LS[B/S],"B"))</f>
        <v>100000</v>
      </c>
      <c r="I506" s="48">
        <f>IF(INVESTORS_LIST[[#This Row],[LS_TOTAL UNITS SOLD]]=0,0,SUMIFS(LS[Cost of Units Sold],LS[Investor ID],INVESTORS_LIST[[#This Row],[INVESTOR CODE]],LS[B/S],"S"))</f>
        <v>100000</v>
      </c>
      <c r="J506" s="48">
        <f>IF(INVESTORS_LIST[[#This Row],[LS_TOTAL CURRENT UNITS]]=0,0,INVESTORS_LIST[[#This Row],[LS_TOTAL CURRENT UNITS]]*INVESTORS_LIST[[#This Row],[LS_AVERAGE COST]])</f>
        <v>0</v>
      </c>
      <c r="K506" s="49">
        <f>IF(INVESTORS_LIST[[#This Row],[LS_TOTAL UNITS SOLD]]=0,0,SUMIFS(LS[Realized Gain],LS[Investor ID],INVESTORS_LIST[[#This Row],[INVESTOR CODE]],LS[B/S],"S"))</f>
        <v>7118.8299999999981</v>
      </c>
      <c r="L506" s="47">
        <f>SUMIFS(SIP[Unit],SIP[Investor ID],INVESTORS_LIST[[#This Row],[INVESTOR CODE]],SIP[B/S],"B")</f>
        <v>0</v>
      </c>
      <c r="M506" s="47">
        <f>-SUMIFS(SIP[Unit],SIP[Investor ID],INVESTORS_LIST[[#This Row],[INVESTOR CODE]],SIP[B/S],"S")</f>
        <v>0</v>
      </c>
      <c r="N506" s="50">
        <f>IF(INVESTORS_LIST[[#This Row],[SIP_TOTAL UNITS BUY]]=0,0,INVESTORS_LIST[[#This Row],[SIP_TOTAL UNITS BUY]]-INVESTORS_LIST[[#This Row],[SIP_TOTAL UNITS SOLD]])</f>
        <v>0</v>
      </c>
      <c r="O506" s="49">
        <f>IF(INVESTORS_LIST[[#This Row],[SIP_TOTAL UNITS BUY]]=0,0,SUMIFS(SIP[Amount],SIP[Investor ID],INVESTORS_LIST[[#This Row],[INVESTOR CODE]],SIP[B/S],"B"))</f>
        <v>0</v>
      </c>
      <c r="P506" s="49">
        <f>IF(INVESTORS_LIST[[#This Row],[SIP_TOTAL UNITS SOLD]]=0,0,SUMIFS(SIP[Cost of Units Sold],SIP[Investor ID],INVESTORS_LIST[[#This Row],[INVESTOR CODE]],SIP[B/S],"S"))</f>
        <v>0</v>
      </c>
      <c r="Q506" s="48">
        <f>IF(INVESTORS_LIST[[#This Row],[SIP_TOTAL CURRENT UNITS]]=0,0,INVESTORS_LIST[[#This Row],[SIP_TOTAL CURRENT UNITS]]*INVESTORS_LIST[[#This Row],[SIP_AVERAGE COST]])</f>
        <v>0</v>
      </c>
      <c r="R506" s="48">
        <f>IF(INVESTORS_LIST[[#This Row],[SIP_TOTAL UNITS SOLD]]=0,0,SUMIFS(SIP[Realized Gain],SIP[Investor ID],INVESTORS_LIST[[#This Row],[INVESTOR CODE]],SIP[B/S],"S"))</f>
        <v>0</v>
      </c>
      <c r="S506" s="50">
        <f>INVESTORS_LIST[[#This Row],[LS_TOTAL UNITS BUY]]+INVESTORS_LIST[[#This Row],[SIP_TOTAL UNITS BUY]]</f>
        <v>9646</v>
      </c>
      <c r="T506" s="50">
        <f>INVESTORS_LIST[[#This Row],[LS_TOTAL UNITS SOLD]]+INVESTORS_LIST[[#This Row],[SIP_TOTAL UNITS SOLD]]</f>
        <v>9646</v>
      </c>
      <c r="U506" s="50">
        <v>9646</v>
      </c>
      <c r="V506" s="50">
        <f>SUMIFS(LS[BO UNIT TRANSFER],LS[Investor ID],INVESTORS_LIST[[#This Row],[INVESTOR CODE]],LS[B/S],"B")</f>
        <v>0</v>
      </c>
      <c r="W506" s="50">
        <f>SUMIFS(SIP[BO UNIT TRANSFER],SIP[Investor ID],INVESTORS_LIST[[#This Row],[INVESTOR CODE]],SIP[B/S],"B")</f>
        <v>0</v>
      </c>
      <c r="X506" s="50">
        <f>SUMIFS(LS[BO UNIT TRANSFER],LS[Investor ID],INVESTORS_LIST[[#This Row],[INVESTOR CODE]],LS[B/S],"S")</f>
        <v>0</v>
      </c>
      <c r="Y506" s="50">
        <f>SUMIFS(SIP[BO UNIT TRANSFER],SIP[Investor ID],INVESTORS_LIST[[#This Row],[INVESTOR CODE]],SIP[B/S],"S")</f>
        <v>0</v>
      </c>
      <c r="Z506" s="106">
        <f>SUM(INVESTORS_LIST[[#This Row],[BO OPENING BALANCE]:[BO SIP UNITS REPURCHASE]])</f>
        <v>9646</v>
      </c>
      <c r="AA506" s="107">
        <f>INVESTORS_LIST[[#This Row],[TOTAL UNITS BUY]]-INVESTORS_LIST[[#This Row],[TOTAL UNITS SOLD]]</f>
        <v>0</v>
      </c>
      <c r="AB506" s="107">
        <f>INVESTORS_LIST[[#This Row],[TOTAL CURRENT UNITS]]-INVESTORS_LIST[[#This Row],[BO UNITS HOLD]]</f>
        <v>-9646</v>
      </c>
      <c r="AC506" s="201" t="e">
        <f>INDEX([3]!Table_1[BO ID],MATCH(INVESTORS_LIST[[#This Row],[INVESTOR CODE]],[3]!Table_1[INVESTOR CODE],0))</f>
        <v>#REF!</v>
      </c>
      <c r="AD506" s="201" t="e">
        <f>INDEX([3]!Table_1[Brokerage Name2],MATCH(INVESTORS_LIST[[#This Row],[INVESTOR CODE]],[3]!Table_1[INVESTOR CODE],0))</f>
        <v>#REF!</v>
      </c>
      <c r="AE506" s="201" t="e">
        <f>MID(INVESTORS_LIST[[#This Row],[BO ID]],4,5)</f>
        <v>#REF!</v>
      </c>
      <c r="AF506" s="201" t="e">
        <f>MID(INVESTORS_LIST[[#This Row],[BO ID]],2,7)</f>
        <v>#REF!</v>
      </c>
      <c r="AG506" s="201" t="e">
        <f>MID(INVESTORS_LIST[[#This Row],[BO ID]],9,7)</f>
        <v>#REF!</v>
      </c>
      <c r="AH506" s="201" t="e">
        <f>RIGHT(INVESTORS_LIST[[#This Row],[BO ID]],1)</f>
        <v>#REF!</v>
      </c>
      <c r="AI506" s="50">
        <f>INVESTORS_LIST[[#This Row],[LS_TOTAL COST VALUE OF CURRENT UNITS]]+INVESTORS_LIST[[#This Row],[SIP_TOTAL COST VALUE OF CURRENT UNITS]]</f>
        <v>0</v>
      </c>
      <c r="AJ506" s="109">
        <f>IF(INVESTORS_LIST[[#This Row],[TOTAL CURRENT UNITS]]=0,0,INVESTORS_LIST[[#This Row],[LS_TOTAL CURRENT UNITS]]/INVESTORS_LIST[[#This Row],[TOTAL CURRENT UNITS]])</f>
        <v>0</v>
      </c>
      <c r="AK506" s="109">
        <f>IF(INVESTORS_LIST[[#This Row],[TOTAL CURRENT UNITS]]=0,0,INVESTORS_LIST[[#This Row],[SIP_TOTAL CURRENT UNITS]]/INVESTORS_LIST[[#This Row],[TOTAL CURRENT UNITS]])</f>
        <v>0</v>
      </c>
      <c r="AL506" s="49" cm="1">
        <f t="array" ref="AL5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6" s="49" cm="1">
        <f t="array" ref="AM5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6" s="105">
        <f t="shared" si="8"/>
        <v>14.224</v>
      </c>
      <c r="AP506" s="112">
        <f>IF(INVESTORS_LIST[[#This Row],[TOTAL CURRENT UNITS]]=0,0,INVESTORS_LIST[[#This Row],[TOTAL CURRENT UNITS]]*INVESTORS_LIST[[#This Row],[NAV]])</f>
        <v>0</v>
      </c>
      <c r="AQ506" s="49">
        <f>IF(INVESTORS_LIST[[#This Row],[LS_TOTAL CURRENT UNITS]]=0,0,INVESTORS_LIST[[#This Row],[LS_TOTAL CURRENT UNITS]]*INVESTORS_LIST[[#This Row],[NAV]])</f>
        <v>0</v>
      </c>
      <c r="AR506" s="48">
        <f>IF(INVESTORS_LIST[[#This Row],[SIP_TOTAL CURRENT UNITS]]=0,0,INVESTORS_LIST[[#This Row],[SIP_TOTAL CURRENT UNITS]]*INVESTORS_LIST[[#This Row],[NAV]])</f>
        <v>0</v>
      </c>
      <c r="AS506" s="50">
        <f>INVESTORS_LIST[[#This Row],[TOTAL CURRENT UNITS]]</f>
        <v>0</v>
      </c>
      <c r="AT506" s="48">
        <f>IF(INVESTORS_LIST[[#This Row],[TOTAL SELLABLE UNITS]]=0,0,INVESTORS_LIST[[#This Row],[TOTAL SELLABLE UNITS]]*INVESTORS_LIST[[#This Row],[NAV]])</f>
        <v>0</v>
      </c>
      <c r="AU506" s="48">
        <f>INVESTORS_LIST[[#This Row],[LS_TOTAL REALIZED GAIN]]+INVESTORS_LIST[[#This Row],[SIP_TOTAL REALIZED GAIN]]</f>
        <v>7118.8299999999981</v>
      </c>
      <c r="AV506" s="48">
        <f>INVESTORS_LIST[[#This Row],[TOTAL MARKET VALUE]]-INVESTORS_LIST[[#This Row],[TOTAL COST VALUE OF CURRENT INVESTMENT]]</f>
        <v>0</v>
      </c>
      <c r="AW506" s="108">
        <f>IFERROR(INVESTORS_LIST[[#This Row],[TOTAL CURRENT UNITS]]/SUM(INVESTORS_LIST[TOTAL CURRENT UNITS]),0)</f>
        <v>0</v>
      </c>
    </row>
    <row r="507" spans="1:49">
      <c r="A507" s="262" t="s">
        <v>1058</v>
      </c>
      <c r="B507" s="97" t="s">
        <v>1059</v>
      </c>
      <c r="C507" t="s">
        <v>67</v>
      </c>
      <c r="D507" s="75" t="s">
        <v>45</v>
      </c>
      <c r="E507" s="47">
        <f>SUMIFS(LS[Unit],LS[Investor ID],INVESTORS_LIST[[#This Row],[INVESTOR CODE]],LS[B/S],"B")</f>
        <v>67895</v>
      </c>
      <c r="F507" s="47">
        <f>-SUMIFS(LS[Unit],LS[Investor ID],INVESTORS_LIST[[#This Row],[INVESTOR CODE]],LS[B/S],"S")</f>
        <v>0</v>
      </c>
      <c r="G507" s="47">
        <f>IF(INVESTORS_LIST[[#This Row],[LS_TOTAL UNITS BUY]]=0,0,INVESTORS_LIST[[#This Row],[LS_TOTAL UNITS BUY]]-INVESTORS_LIST[[#This Row],[LS_TOTAL UNITS SOLD]])</f>
        <v>67895</v>
      </c>
      <c r="H507" s="49">
        <f>IF(INVESTORS_LIST[[#This Row],[LS_TOTAL UNITS BUY]]=0,0,SUMIFS(LS[Amount],LS[Investor ID],INVESTORS_LIST[[#This Row],[INVESTOR CODE]],LS[B/S],"B"))</f>
        <v>700000</v>
      </c>
      <c r="I507" s="48">
        <f>IF(INVESTORS_LIST[[#This Row],[LS_TOTAL UNITS SOLD]]=0,0,SUMIFS(LS[Cost of Units Sold],LS[Investor ID],INVESTORS_LIST[[#This Row],[INVESTOR CODE]],LS[B/S],"S"))</f>
        <v>0</v>
      </c>
      <c r="J507" s="48">
        <f>IF(INVESTORS_LIST[[#This Row],[LS_TOTAL CURRENT UNITS]]=0,0,INVESTORS_LIST[[#This Row],[LS_TOTAL CURRENT UNITS]]*INVESTORS_LIST[[#This Row],[LS_AVERAGE COST]])</f>
        <v>700000</v>
      </c>
      <c r="K507" s="49">
        <f>IF(INVESTORS_LIST[[#This Row],[LS_TOTAL UNITS SOLD]]=0,0,SUMIFS(LS[Realized Gain],LS[Investor ID],INVESTORS_LIST[[#This Row],[INVESTOR CODE]],LS[B/S],"S"))</f>
        <v>0</v>
      </c>
      <c r="L507" s="47">
        <f>SUMIFS(SIP[Unit],SIP[Investor ID],INVESTORS_LIST[[#This Row],[INVESTOR CODE]],SIP[B/S],"B")</f>
        <v>0</v>
      </c>
      <c r="M507" s="47">
        <f>-SUMIFS(SIP[Unit],SIP[Investor ID],INVESTORS_LIST[[#This Row],[INVESTOR CODE]],SIP[B/S],"S")</f>
        <v>0</v>
      </c>
      <c r="N507" s="50">
        <f>IF(INVESTORS_LIST[[#This Row],[SIP_TOTAL UNITS BUY]]=0,0,INVESTORS_LIST[[#This Row],[SIP_TOTAL UNITS BUY]]-INVESTORS_LIST[[#This Row],[SIP_TOTAL UNITS SOLD]])</f>
        <v>0</v>
      </c>
      <c r="O507" s="49">
        <f>IF(INVESTORS_LIST[[#This Row],[SIP_TOTAL UNITS BUY]]=0,0,SUMIFS(SIP[Amount],SIP[Investor ID],INVESTORS_LIST[[#This Row],[INVESTOR CODE]],SIP[B/S],"B"))</f>
        <v>0</v>
      </c>
      <c r="P507" s="49">
        <f>IF(INVESTORS_LIST[[#This Row],[SIP_TOTAL UNITS SOLD]]=0,0,SUMIFS(SIP[Cost of Units Sold],SIP[Investor ID],INVESTORS_LIST[[#This Row],[INVESTOR CODE]],SIP[B/S],"S"))</f>
        <v>0</v>
      </c>
      <c r="Q507" s="48">
        <f>IF(INVESTORS_LIST[[#This Row],[SIP_TOTAL CURRENT UNITS]]=0,0,INVESTORS_LIST[[#This Row],[SIP_TOTAL CURRENT UNITS]]*INVESTORS_LIST[[#This Row],[SIP_AVERAGE COST]])</f>
        <v>0</v>
      </c>
      <c r="R507" s="48">
        <f>IF(INVESTORS_LIST[[#This Row],[SIP_TOTAL UNITS SOLD]]=0,0,SUMIFS(SIP[Realized Gain],SIP[Investor ID],INVESTORS_LIST[[#This Row],[INVESTOR CODE]],SIP[B/S],"S"))</f>
        <v>0</v>
      </c>
      <c r="S507" s="50">
        <f>INVESTORS_LIST[[#This Row],[LS_TOTAL UNITS BUY]]+INVESTORS_LIST[[#This Row],[SIP_TOTAL UNITS BUY]]</f>
        <v>67895</v>
      </c>
      <c r="T507" s="50">
        <f>INVESTORS_LIST[[#This Row],[LS_TOTAL UNITS SOLD]]+INVESTORS_LIST[[#This Row],[SIP_TOTAL UNITS SOLD]]</f>
        <v>0</v>
      </c>
      <c r="U507" s="50">
        <v>67895</v>
      </c>
      <c r="V507" s="50">
        <f>SUMIFS(LS[BO UNIT TRANSFER],LS[Investor ID],INVESTORS_LIST[[#This Row],[INVESTOR CODE]],LS[B/S],"B")</f>
        <v>0</v>
      </c>
      <c r="W507" s="50">
        <f>SUMIFS(SIP[BO UNIT TRANSFER],SIP[Investor ID],INVESTORS_LIST[[#This Row],[INVESTOR CODE]],SIP[B/S],"B")</f>
        <v>0</v>
      </c>
      <c r="X507" s="50">
        <f>SUMIFS(LS[BO UNIT TRANSFER],LS[Investor ID],INVESTORS_LIST[[#This Row],[INVESTOR CODE]],LS[B/S],"S")</f>
        <v>0</v>
      </c>
      <c r="Y507" s="50">
        <f>SUMIFS(SIP[BO UNIT TRANSFER],SIP[Investor ID],INVESTORS_LIST[[#This Row],[INVESTOR CODE]],SIP[B/S],"S")</f>
        <v>0</v>
      </c>
      <c r="Z507" s="106">
        <f>SUM(INVESTORS_LIST[[#This Row],[BO OPENING BALANCE]:[BO SIP UNITS REPURCHASE]])</f>
        <v>67895</v>
      </c>
      <c r="AA507" s="107">
        <f>INVESTORS_LIST[[#This Row],[TOTAL UNITS BUY]]-INVESTORS_LIST[[#This Row],[TOTAL UNITS SOLD]]</f>
        <v>67895</v>
      </c>
      <c r="AB507" s="107">
        <f>INVESTORS_LIST[[#This Row],[TOTAL CURRENT UNITS]]-INVESTORS_LIST[[#This Row],[BO UNITS HOLD]]</f>
        <v>0</v>
      </c>
      <c r="AC507" s="201" t="e">
        <f>INDEX([3]!Table_1[BO ID],MATCH(INVESTORS_LIST[[#This Row],[INVESTOR CODE]],[3]!Table_1[INVESTOR CODE],0))</f>
        <v>#REF!</v>
      </c>
      <c r="AD507" s="201" t="e">
        <f>INDEX([3]!Table_1[Brokerage Name2],MATCH(INVESTORS_LIST[[#This Row],[INVESTOR CODE]],[3]!Table_1[INVESTOR CODE],0))</f>
        <v>#REF!</v>
      </c>
      <c r="AE507" s="201" t="e">
        <f>MID(INVESTORS_LIST[[#This Row],[BO ID]],4,5)</f>
        <v>#REF!</v>
      </c>
      <c r="AF507" s="201" t="e">
        <f>MID(INVESTORS_LIST[[#This Row],[BO ID]],2,7)</f>
        <v>#REF!</v>
      </c>
      <c r="AG507" s="201" t="e">
        <f>MID(INVESTORS_LIST[[#This Row],[BO ID]],9,7)</f>
        <v>#REF!</v>
      </c>
      <c r="AH507" s="201" t="e">
        <f>RIGHT(INVESTORS_LIST[[#This Row],[BO ID]],1)</f>
        <v>#REF!</v>
      </c>
      <c r="AI507" s="50">
        <f>INVESTORS_LIST[[#This Row],[LS_TOTAL COST VALUE OF CURRENT UNITS]]+INVESTORS_LIST[[#This Row],[SIP_TOTAL COST VALUE OF CURRENT UNITS]]</f>
        <v>700000</v>
      </c>
      <c r="AJ507" s="109">
        <f>IF(INVESTORS_LIST[[#This Row],[TOTAL CURRENT UNITS]]=0,0,INVESTORS_LIST[[#This Row],[LS_TOTAL CURRENT UNITS]]/INVESTORS_LIST[[#This Row],[TOTAL CURRENT UNITS]])</f>
        <v>1</v>
      </c>
      <c r="AK507" s="109">
        <f>IF(INVESTORS_LIST[[#This Row],[TOTAL CURRENT UNITS]]=0,0,INVESTORS_LIST[[#This Row],[SIP_TOTAL CURRENT UNITS]]/INVESTORS_LIST[[#This Row],[TOTAL CURRENT UNITS]])</f>
        <v>0</v>
      </c>
      <c r="AL507" s="49" cm="1">
        <f t="array" ref="AL507">IF(INVESTORS_LIST[[#This Row],[LS_TOTAL UNITS BUY]]&gt;0,INDEX(LS[NAV at Cost (Average)],MATCH(CONCATENATE(COUNTIFS(LS[Investor ID],INVESTORS_LIST[[#This Row],[INVESTOR CODE]]),INVESTORS_LIST[[#This Row],[INVESTOR CODE]]),LS[Unique Code],0),),0)</f>
        <v>10.310037557993962</v>
      </c>
      <c r="AM507" s="49" cm="1">
        <f t="array" ref="AM5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7" s="105">
        <f>IF(INVESTORS_LIST[[#This Row],[TOTAL CURRENT UNITS]]=0,0,(INVESTORS_LIST[[#This Row],[LS_WEIGHT]]*INVESTORS_LIST[[#This Row],[LS_AVERAGE COST]])+(INVESTORS_LIST[[#This Row],[SIP_WEIGHT]]*INVESTORS_LIST[[#This Row],[SIP_AVERAGE COST]]))</f>
        <v>10.310037557993962</v>
      </c>
      <c r="AO507" s="105">
        <f t="shared" si="8"/>
        <v>14.224</v>
      </c>
      <c r="AP507" s="112">
        <f>IF(INVESTORS_LIST[[#This Row],[TOTAL CURRENT UNITS]]=0,0,INVESTORS_LIST[[#This Row],[TOTAL CURRENT UNITS]]*INVESTORS_LIST[[#This Row],[NAV]])</f>
        <v>965738.48</v>
      </c>
      <c r="AQ507" s="49">
        <f>IF(INVESTORS_LIST[[#This Row],[LS_TOTAL CURRENT UNITS]]=0,0,INVESTORS_LIST[[#This Row],[LS_TOTAL CURRENT UNITS]]*INVESTORS_LIST[[#This Row],[NAV]])</f>
        <v>965738.48</v>
      </c>
      <c r="AR507" s="48">
        <f>IF(INVESTORS_LIST[[#This Row],[SIP_TOTAL CURRENT UNITS]]=0,0,INVESTORS_LIST[[#This Row],[SIP_TOTAL CURRENT UNITS]]*INVESTORS_LIST[[#This Row],[NAV]])</f>
        <v>0</v>
      </c>
      <c r="AS507" s="50">
        <f>INVESTORS_LIST[[#This Row],[TOTAL CURRENT UNITS]]</f>
        <v>67895</v>
      </c>
      <c r="AT507" s="48">
        <f>IF(INVESTORS_LIST[[#This Row],[TOTAL SELLABLE UNITS]]=0,0,INVESTORS_LIST[[#This Row],[TOTAL SELLABLE UNITS]]*INVESTORS_LIST[[#This Row],[NAV]])</f>
        <v>965738.48</v>
      </c>
      <c r="AU507" s="48">
        <f>INVESTORS_LIST[[#This Row],[LS_TOTAL REALIZED GAIN]]+INVESTORS_LIST[[#This Row],[SIP_TOTAL REALIZED GAIN]]</f>
        <v>0</v>
      </c>
      <c r="AV507" s="48">
        <f>INVESTORS_LIST[[#This Row],[TOTAL MARKET VALUE]]-INVESTORS_LIST[[#This Row],[TOTAL COST VALUE OF CURRENT INVESTMENT]]</f>
        <v>265738.48</v>
      </c>
      <c r="AW507" s="108">
        <f>IFERROR(INVESTORS_LIST[[#This Row],[TOTAL CURRENT UNITS]]/SUM(INVESTORS_LIST[TOTAL CURRENT UNITS]),0)</f>
        <v>1.6482331351059577E-3</v>
      </c>
    </row>
    <row r="508" spans="1:49" hidden="1">
      <c r="A508" s="263" t="s">
        <v>1060</v>
      </c>
      <c r="B508" s="113" t="s">
        <v>1061</v>
      </c>
      <c r="C508" t="s">
        <v>52</v>
      </c>
      <c r="D508" s="75" t="s">
        <v>45</v>
      </c>
      <c r="E508" s="47">
        <f>SUMIFS(LS[Unit],LS[Investor ID],INVESTORS_LIST[[#This Row],[INVESTOR CODE]],LS[B/S],"B")</f>
        <v>28888</v>
      </c>
      <c r="F508" s="47">
        <f>-SUMIFS(LS[Unit],LS[Investor ID],INVESTORS_LIST[[#This Row],[INVESTOR CODE]],LS[B/S],"S")</f>
        <v>28888</v>
      </c>
      <c r="G508" s="47">
        <f>IF(INVESTORS_LIST[[#This Row],[LS_TOTAL UNITS BUY]]=0,0,INVESTORS_LIST[[#This Row],[LS_TOTAL UNITS BUY]]-INVESTORS_LIST[[#This Row],[LS_TOTAL UNITS SOLD]])</f>
        <v>0</v>
      </c>
      <c r="H508" s="49">
        <f>IF(INVESTORS_LIST[[#This Row],[LS_TOTAL UNITS BUY]]=0,0,SUMIFS(LS[Amount],LS[Investor ID],INVESTORS_LIST[[#This Row],[INVESTOR CODE]],LS[B/S],"B"))</f>
        <v>300000</v>
      </c>
      <c r="I508" s="48">
        <f>IF(INVESTORS_LIST[[#This Row],[LS_TOTAL UNITS SOLD]]=0,0,SUMIFS(LS[Cost of Units Sold],LS[Investor ID],INVESTORS_LIST[[#This Row],[INVESTOR CODE]],LS[B/S],"S"))</f>
        <v>300000</v>
      </c>
      <c r="J508" s="48">
        <f>IF(INVESTORS_LIST[[#This Row],[LS_TOTAL CURRENT UNITS]]=0,0,INVESTORS_LIST[[#This Row],[LS_TOTAL CURRENT UNITS]]*INVESTORS_LIST[[#This Row],[LS_AVERAGE COST]])</f>
        <v>0</v>
      </c>
      <c r="K508" s="49">
        <f>IF(INVESTORS_LIST[[#This Row],[LS_TOTAL UNITS SOLD]]=0,0,SUMIFS(LS[Realized Gain],LS[Investor ID],INVESTORS_LIST[[#This Row],[INVESTOR CODE]],LS[B/S],"S"))</f>
        <v>59724.920000000013</v>
      </c>
      <c r="L508" s="47">
        <f>SUMIFS(SIP[Unit],SIP[Investor ID],INVESTORS_LIST[[#This Row],[INVESTOR CODE]],SIP[B/S],"B")</f>
        <v>0</v>
      </c>
      <c r="M508" s="47">
        <f>-SUMIFS(SIP[Unit],SIP[Investor ID],INVESTORS_LIST[[#This Row],[INVESTOR CODE]],SIP[B/S],"S")</f>
        <v>0</v>
      </c>
      <c r="N508" s="50">
        <f>IF(INVESTORS_LIST[[#This Row],[SIP_TOTAL UNITS BUY]]=0,0,INVESTORS_LIST[[#This Row],[SIP_TOTAL UNITS BUY]]-INVESTORS_LIST[[#This Row],[SIP_TOTAL UNITS SOLD]])</f>
        <v>0</v>
      </c>
      <c r="O508" s="49">
        <f>IF(INVESTORS_LIST[[#This Row],[SIP_TOTAL UNITS BUY]]=0,0,SUMIFS(SIP[Amount],SIP[Investor ID],INVESTORS_LIST[[#This Row],[INVESTOR CODE]],SIP[B/S],"B"))</f>
        <v>0</v>
      </c>
      <c r="P508" s="49">
        <f>IF(INVESTORS_LIST[[#This Row],[SIP_TOTAL UNITS SOLD]]=0,0,SUMIFS(SIP[Cost of Units Sold],SIP[Investor ID],INVESTORS_LIST[[#This Row],[INVESTOR CODE]],SIP[B/S],"S"))</f>
        <v>0</v>
      </c>
      <c r="Q508" s="48">
        <f>IF(INVESTORS_LIST[[#This Row],[SIP_TOTAL CURRENT UNITS]]=0,0,INVESTORS_LIST[[#This Row],[SIP_TOTAL CURRENT UNITS]]*INVESTORS_LIST[[#This Row],[SIP_AVERAGE COST]])</f>
        <v>0</v>
      </c>
      <c r="R508" s="48">
        <f>IF(INVESTORS_LIST[[#This Row],[SIP_TOTAL UNITS SOLD]]=0,0,SUMIFS(SIP[Realized Gain],SIP[Investor ID],INVESTORS_LIST[[#This Row],[INVESTOR CODE]],SIP[B/S],"S"))</f>
        <v>0</v>
      </c>
      <c r="S508" s="50">
        <f>INVESTORS_LIST[[#This Row],[LS_TOTAL UNITS BUY]]+INVESTORS_LIST[[#This Row],[SIP_TOTAL UNITS BUY]]</f>
        <v>28888</v>
      </c>
      <c r="T508" s="50">
        <f>INVESTORS_LIST[[#This Row],[LS_TOTAL UNITS SOLD]]+INVESTORS_LIST[[#This Row],[SIP_TOTAL UNITS SOLD]]</f>
        <v>28888</v>
      </c>
      <c r="U508" s="50"/>
      <c r="V508" s="50">
        <f>SUMIFS(LS[BO UNIT TRANSFER],LS[Investor ID],INVESTORS_LIST[[#This Row],[INVESTOR CODE]],LS[B/S],"B")</f>
        <v>0</v>
      </c>
      <c r="W508" s="50">
        <f>SUMIFS(SIP[BO UNIT TRANSFER],SIP[Investor ID],INVESTORS_LIST[[#This Row],[INVESTOR CODE]],SIP[B/S],"B")</f>
        <v>0</v>
      </c>
      <c r="X508" s="50">
        <f>SUMIFS(LS[BO UNIT TRANSFER],LS[Investor ID],INVESTORS_LIST[[#This Row],[INVESTOR CODE]],LS[B/S],"S")</f>
        <v>0</v>
      </c>
      <c r="Y508" s="50">
        <f>SUMIFS(SIP[BO UNIT TRANSFER],SIP[Investor ID],INVESTORS_LIST[[#This Row],[INVESTOR CODE]],SIP[B/S],"S")</f>
        <v>0</v>
      </c>
      <c r="Z508" s="106">
        <f>SUM(INVESTORS_LIST[[#This Row],[BO OPENING BALANCE]:[BO SIP UNITS REPURCHASE]])</f>
        <v>0</v>
      </c>
      <c r="AA508" s="107">
        <f>INVESTORS_LIST[[#This Row],[TOTAL UNITS BUY]]-INVESTORS_LIST[[#This Row],[TOTAL UNITS SOLD]]</f>
        <v>0</v>
      </c>
      <c r="AB508" s="107">
        <f>INVESTORS_LIST[[#This Row],[TOTAL CURRENT UNITS]]-INVESTORS_LIST[[#This Row],[BO UNITS HOLD]]</f>
        <v>0</v>
      </c>
      <c r="AC508" s="201" t="e">
        <f>INDEX([3]!Table_1[BO ID],MATCH(INVESTORS_LIST[[#This Row],[INVESTOR CODE]],[3]!Table_1[INVESTOR CODE],0))</f>
        <v>#REF!</v>
      </c>
      <c r="AD508" s="201" t="e">
        <f>INDEX([3]!Table_1[Brokerage Name2],MATCH(INVESTORS_LIST[[#This Row],[INVESTOR CODE]],[3]!Table_1[INVESTOR CODE],0))</f>
        <v>#REF!</v>
      </c>
      <c r="AE508" s="201" t="e">
        <f>MID(INVESTORS_LIST[[#This Row],[BO ID]],4,5)</f>
        <v>#REF!</v>
      </c>
      <c r="AF508" s="201" t="e">
        <f>MID(INVESTORS_LIST[[#This Row],[BO ID]],2,7)</f>
        <v>#REF!</v>
      </c>
      <c r="AG508" s="201" t="e">
        <f>MID(INVESTORS_LIST[[#This Row],[BO ID]],9,7)</f>
        <v>#REF!</v>
      </c>
      <c r="AH508" s="201" t="e">
        <f>RIGHT(INVESTORS_LIST[[#This Row],[BO ID]],1)</f>
        <v>#REF!</v>
      </c>
      <c r="AI508" s="50">
        <f>INVESTORS_LIST[[#This Row],[LS_TOTAL COST VALUE OF CURRENT UNITS]]+INVESTORS_LIST[[#This Row],[SIP_TOTAL COST VALUE OF CURRENT UNITS]]</f>
        <v>0</v>
      </c>
      <c r="AJ508" s="109">
        <f>IF(INVESTORS_LIST[[#This Row],[TOTAL CURRENT UNITS]]=0,0,INVESTORS_LIST[[#This Row],[LS_TOTAL CURRENT UNITS]]/INVESTORS_LIST[[#This Row],[TOTAL CURRENT UNITS]])</f>
        <v>0</v>
      </c>
      <c r="AK508" s="109">
        <f>IF(INVESTORS_LIST[[#This Row],[TOTAL CURRENT UNITS]]=0,0,INVESTORS_LIST[[#This Row],[SIP_TOTAL CURRENT UNITS]]/INVESTORS_LIST[[#This Row],[TOTAL CURRENT UNITS]])</f>
        <v>0</v>
      </c>
      <c r="AL508" s="49" cm="1">
        <f t="array" ref="AL5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8" s="49" cm="1">
        <f t="array" ref="AM5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8" s="105">
        <f t="shared" si="8"/>
        <v>14.224</v>
      </c>
      <c r="AP508" s="112">
        <f>IF(INVESTORS_LIST[[#This Row],[TOTAL CURRENT UNITS]]=0,0,INVESTORS_LIST[[#This Row],[TOTAL CURRENT UNITS]]*INVESTORS_LIST[[#This Row],[NAV]])</f>
        <v>0</v>
      </c>
      <c r="AQ508" s="49">
        <f>IF(INVESTORS_LIST[[#This Row],[LS_TOTAL CURRENT UNITS]]=0,0,INVESTORS_LIST[[#This Row],[LS_TOTAL CURRENT UNITS]]*INVESTORS_LIST[[#This Row],[NAV]])</f>
        <v>0</v>
      </c>
      <c r="AR508" s="48">
        <f>IF(INVESTORS_LIST[[#This Row],[SIP_TOTAL CURRENT UNITS]]=0,0,INVESTORS_LIST[[#This Row],[SIP_TOTAL CURRENT UNITS]]*INVESTORS_LIST[[#This Row],[NAV]])</f>
        <v>0</v>
      </c>
      <c r="AS508" s="50">
        <f>INVESTORS_LIST[[#This Row],[TOTAL CURRENT UNITS]]</f>
        <v>0</v>
      </c>
      <c r="AT508" s="48">
        <f>IF(INVESTORS_LIST[[#This Row],[TOTAL SELLABLE UNITS]]=0,0,INVESTORS_LIST[[#This Row],[TOTAL SELLABLE UNITS]]*INVESTORS_LIST[[#This Row],[NAV]])</f>
        <v>0</v>
      </c>
      <c r="AU508" s="48">
        <f>INVESTORS_LIST[[#This Row],[LS_TOTAL REALIZED GAIN]]+INVESTORS_LIST[[#This Row],[SIP_TOTAL REALIZED GAIN]]</f>
        <v>59724.920000000013</v>
      </c>
      <c r="AV508" s="48">
        <f>INVESTORS_LIST[[#This Row],[TOTAL MARKET VALUE]]-INVESTORS_LIST[[#This Row],[TOTAL COST VALUE OF CURRENT INVESTMENT]]</f>
        <v>0</v>
      </c>
      <c r="AW508" s="108">
        <f>IFERROR(INVESTORS_LIST[[#This Row],[TOTAL CURRENT UNITS]]/SUM(INVESTORS_LIST[TOTAL CURRENT UNITS]),0)</f>
        <v>0</v>
      </c>
    </row>
    <row r="509" spans="1:49" hidden="1">
      <c r="A509" s="262" t="s">
        <v>1062</v>
      </c>
      <c r="B509" s="97" t="s">
        <v>1063</v>
      </c>
      <c r="C509" t="s">
        <v>67</v>
      </c>
      <c r="D509" s="75" t="s">
        <v>45</v>
      </c>
      <c r="E509" s="47">
        <f>SUMIFS(LS[Unit],LS[Investor ID],INVESTORS_LIST[[#This Row],[INVESTOR CODE]],LS[B/S],"B")</f>
        <v>28857</v>
      </c>
      <c r="F509" s="47">
        <f>-SUMIFS(LS[Unit],LS[Investor ID],INVESTORS_LIST[[#This Row],[INVESTOR CODE]],LS[B/S],"S")</f>
        <v>28857</v>
      </c>
      <c r="G509" s="47">
        <f>IF(INVESTORS_LIST[[#This Row],[LS_TOTAL UNITS BUY]]=0,0,INVESTORS_LIST[[#This Row],[LS_TOTAL UNITS BUY]]-INVESTORS_LIST[[#This Row],[LS_TOTAL UNITS SOLD]])</f>
        <v>0</v>
      </c>
      <c r="H509" s="49">
        <f>IF(INVESTORS_LIST[[#This Row],[LS_TOTAL UNITS BUY]]=0,0,SUMIFS(LS[Amount],LS[Investor ID],INVESTORS_LIST[[#This Row],[INVESTOR CODE]],LS[B/S],"B"))</f>
        <v>300000</v>
      </c>
      <c r="I509" s="48">
        <f>IF(INVESTORS_LIST[[#This Row],[LS_TOTAL UNITS SOLD]]=0,0,SUMIFS(LS[Cost of Units Sold],LS[Investor ID],INVESTORS_LIST[[#This Row],[INVESTOR CODE]],LS[B/S],"S"))</f>
        <v>300000</v>
      </c>
      <c r="J509" s="48">
        <f>IF(INVESTORS_LIST[[#This Row],[LS_TOTAL CURRENT UNITS]]=0,0,INVESTORS_LIST[[#This Row],[LS_TOTAL CURRENT UNITS]]*INVESTORS_LIST[[#This Row],[LS_AVERAGE COST]])</f>
        <v>0</v>
      </c>
      <c r="K509" s="49">
        <f>IF(INVESTORS_LIST[[#This Row],[LS_TOTAL UNITS SOLD]]=0,0,SUMIFS(LS[Realized Gain],LS[Investor ID],INVESTORS_LIST[[#This Row],[INVESTOR CODE]],LS[B/S],"S"))</f>
        <v>6230.4839999999958</v>
      </c>
      <c r="L509" s="47">
        <f>SUMIFS(SIP[Unit],SIP[Investor ID],INVESTORS_LIST[[#This Row],[INVESTOR CODE]],SIP[B/S],"B")</f>
        <v>0</v>
      </c>
      <c r="M509" s="47">
        <f>-SUMIFS(SIP[Unit],SIP[Investor ID],INVESTORS_LIST[[#This Row],[INVESTOR CODE]],SIP[B/S],"S")</f>
        <v>0</v>
      </c>
      <c r="N509" s="50">
        <f>IF(INVESTORS_LIST[[#This Row],[SIP_TOTAL UNITS BUY]]=0,0,INVESTORS_LIST[[#This Row],[SIP_TOTAL UNITS BUY]]-INVESTORS_LIST[[#This Row],[SIP_TOTAL UNITS SOLD]])</f>
        <v>0</v>
      </c>
      <c r="O509" s="49">
        <f>IF(INVESTORS_LIST[[#This Row],[SIP_TOTAL UNITS BUY]]=0,0,SUMIFS(SIP[Amount],SIP[Investor ID],INVESTORS_LIST[[#This Row],[INVESTOR CODE]],SIP[B/S],"B"))</f>
        <v>0</v>
      </c>
      <c r="P509" s="49">
        <f>IF(INVESTORS_LIST[[#This Row],[SIP_TOTAL UNITS SOLD]]=0,0,SUMIFS(SIP[Cost of Units Sold],SIP[Investor ID],INVESTORS_LIST[[#This Row],[INVESTOR CODE]],SIP[B/S],"S"))</f>
        <v>0</v>
      </c>
      <c r="Q509" s="48">
        <f>IF(INVESTORS_LIST[[#This Row],[SIP_TOTAL CURRENT UNITS]]=0,0,INVESTORS_LIST[[#This Row],[SIP_TOTAL CURRENT UNITS]]*INVESTORS_LIST[[#This Row],[SIP_AVERAGE COST]])</f>
        <v>0</v>
      </c>
      <c r="R509" s="48">
        <f>IF(INVESTORS_LIST[[#This Row],[SIP_TOTAL UNITS SOLD]]=0,0,SUMIFS(SIP[Realized Gain],SIP[Investor ID],INVESTORS_LIST[[#This Row],[INVESTOR CODE]],SIP[B/S],"S"))</f>
        <v>0</v>
      </c>
      <c r="S509" s="50">
        <f>INVESTORS_LIST[[#This Row],[LS_TOTAL UNITS BUY]]+INVESTORS_LIST[[#This Row],[SIP_TOTAL UNITS BUY]]</f>
        <v>28857</v>
      </c>
      <c r="T509" s="50">
        <f>INVESTORS_LIST[[#This Row],[LS_TOTAL UNITS SOLD]]+INVESTORS_LIST[[#This Row],[SIP_TOTAL UNITS SOLD]]</f>
        <v>28857</v>
      </c>
      <c r="U509" s="50"/>
      <c r="V509" s="50">
        <f>SUMIFS(LS[BO UNIT TRANSFER],LS[Investor ID],INVESTORS_LIST[[#This Row],[INVESTOR CODE]],LS[B/S],"B")</f>
        <v>0</v>
      </c>
      <c r="W509" s="50">
        <f>SUMIFS(SIP[BO UNIT TRANSFER],SIP[Investor ID],INVESTORS_LIST[[#This Row],[INVESTOR CODE]],SIP[B/S],"B")</f>
        <v>0</v>
      </c>
      <c r="X509" s="50">
        <f>SUMIFS(LS[BO UNIT TRANSFER],LS[Investor ID],INVESTORS_LIST[[#This Row],[INVESTOR CODE]],LS[B/S],"S")</f>
        <v>0</v>
      </c>
      <c r="Y509" s="50">
        <f>SUMIFS(SIP[BO UNIT TRANSFER],SIP[Investor ID],INVESTORS_LIST[[#This Row],[INVESTOR CODE]],SIP[B/S],"S")</f>
        <v>0</v>
      </c>
      <c r="Z509" s="106">
        <f>SUM(INVESTORS_LIST[[#This Row],[BO OPENING BALANCE]:[BO SIP UNITS REPURCHASE]])</f>
        <v>0</v>
      </c>
      <c r="AA509" s="107">
        <f>INVESTORS_LIST[[#This Row],[TOTAL UNITS BUY]]-INVESTORS_LIST[[#This Row],[TOTAL UNITS SOLD]]</f>
        <v>0</v>
      </c>
      <c r="AB509" s="107">
        <f>INVESTORS_LIST[[#This Row],[TOTAL CURRENT UNITS]]-INVESTORS_LIST[[#This Row],[BO UNITS HOLD]]</f>
        <v>0</v>
      </c>
      <c r="AC509" s="201" t="e">
        <f>INDEX([3]!Table_1[BO ID],MATCH(INVESTORS_LIST[[#This Row],[INVESTOR CODE]],[3]!Table_1[INVESTOR CODE],0))</f>
        <v>#REF!</v>
      </c>
      <c r="AD509" s="201" t="e">
        <f>INDEX([3]!Table_1[Brokerage Name2],MATCH(INVESTORS_LIST[[#This Row],[INVESTOR CODE]],[3]!Table_1[INVESTOR CODE],0))</f>
        <v>#REF!</v>
      </c>
      <c r="AE509" s="201" t="e">
        <f>MID(INVESTORS_LIST[[#This Row],[BO ID]],4,5)</f>
        <v>#REF!</v>
      </c>
      <c r="AF509" s="201" t="e">
        <f>MID(INVESTORS_LIST[[#This Row],[BO ID]],2,7)</f>
        <v>#REF!</v>
      </c>
      <c r="AG509" s="201" t="e">
        <f>MID(INVESTORS_LIST[[#This Row],[BO ID]],9,7)</f>
        <v>#REF!</v>
      </c>
      <c r="AH509" s="201" t="e">
        <f>RIGHT(INVESTORS_LIST[[#This Row],[BO ID]],1)</f>
        <v>#REF!</v>
      </c>
      <c r="AI509" s="50">
        <f>INVESTORS_LIST[[#This Row],[LS_TOTAL COST VALUE OF CURRENT UNITS]]+INVESTORS_LIST[[#This Row],[SIP_TOTAL COST VALUE OF CURRENT UNITS]]</f>
        <v>0</v>
      </c>
      <c r="AJ509" s="109">
        <f>IF(INVESTORS_LIST[[#This Row],[TOTAL CURRENT UNITS]]=0,0,INVESTORS_LIST[[#This Row],[LS_TOTAL CURRENT UNITS]]/INVESTORS_LIST[[#This Row],[TOTAL CURRENT UNITS]])</f>
        <v>0</v>
      </c>
      <c r="AK509" s="109">
        <f>IF(INVESTORS_LIST[[#This Row],[TOTAL CURRENT UNITS]]=0,0,INVESTORS_LIST[[#This Row],[SIP_TOTAL CURRENT UNITS]]/INVESTORS_LIST[[#This Row],[TOTAL CURRENT UNITS]])</f>
        <v>0</v>
      </c>
      <c r="AL509" s="49" cm="1">
        <f t="array" ref="AL5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09" s="49" cm="1">
        <f t="array" ref="AM5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0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09" s="105">
        <f t="shared" si="8"/>
        <v>14.224</v>
      </c>
      <c r="AP509" s="112">
        <f>IF(INVESTORS_LIST[[#This Row],[TOTAL CURRENT UNITS]]=0,0,INVESTORS_LIST[[#This Row],[TOTAL CURRENT UNITS]]*INVESTORS_LIST[[#This Row],[NAV]])</f>
        <v>0</v>
      </c>
      <c r="AQ509" s="49">
        <f>IF(INVESTORS_LIST[[#This Row],[LS_TOTAL CURRENT UNITS]]=0,0,INVESTORS_LIST[[#This Row],[LS_TOTAL CURRENT UNITS]]*INVESTORS_LIST[[#This Row],[NAV]])</f>
        <v>0</v>
      </c>
      <c r="AR509" s="48">
        <f>IF(INVESTORS_LIST[[#This Row],[SIP_TOTAL CURRENT UNITS]]=0,0,INVESTORS_LIST[[#This Row],[SIP_TOTAL CURRENT UNITS]]*INVESTORS_LIST[[#This Row],[NAV]])</f>
        <v>0</v>
      </c>
      <c r="AS509" s="50">
        <f>INVESTORS_LIST[[#This Row],[TOTAL CURRENT UNITS]]</f>
        <v>0</v>
      </c>
      <c r="AT509" s="48">
        <f>IF(INVESTORS_LIST[[#This Row],[TOTAL SELLABLE UNITS]]=0,0,INVESTORS_LIST[[#This Row],[TOTAL SELLABLE UNITS]]*INVESTORS_LIST[[#This Row],[NAV]])</f>
        <v>0</v>
      </c>
      <c r="AU509" s="48">
        <f>INVESTORS_LIST[[#This Row],[LS_TOTAL REALIZED GAIN]]+INVESTORS_LIST[[#This Row],[SIP_TOTAL REALIZED GAIN]]</f>
        <v>6230.4839999999958</v>
      </c>
      <c r="AV509" s="48">
        <f>INVESTORS_LIST[[#This Row],[TOTAL MARKET VALUE]]-INVESTORS_LIST[[#This Row],[TOTAL COST VALUE OF CURRENT INVESTMENT]]</f>
        <v>0</v>
      </c>
      <c r="AW509" s="108">
        <f>IFERROR(INVESTORS_LIST[[#This Row],[TOTAL CURRENT UNITS]]/SUM(INVESTORS_LIST[TOTAL CURRENT UNITS]),0)</f>
        <v>0</v>
      </c>
    </row>
    <row r="510" spans="1:49">
      <c r="A510" s="262" t="s">
        <v>1064</v>
      </c>
      <c r="B510" s="97" t="s">
        <v>1065</v>
      </c>
      <c r="C510" t="s">
        <v>67</v>
      </c>
      <c r="D510" s="75" t="s">
        <v>45</v>
      </c>
      <c r="E510" s="47">
        <f>SUMIFS(LS[Unit],LS[Investor ID],INVESTORS_LIST[[#This Row],[INVESTOR CODE]],LS[B/S],"B")</f>
        <v>0</v>
      </c>
      <c r="F510" s="47">
        <f>-SUMIFS(LS[Unit],LS[Investor ID],INVESTORS_LIST[[#This Row],[INVESTOR CODE]],LS[B/S],"S")</f>
        <v>0</v>
      </c>
      <c r="G510" s="47">
        <f>IF(INVESTORS_LIST[[#This Row],[LS_TOTAL UNITS BUY]]=0,0,INVESTORS_LIST[[#This Row],[LS_TOTAL UNITS BUY]]-INVESTORS_LIST[[#This Row],[LS_TOTAL UNITS SOLD]])</f>
        <v>0</v>
      </c>
      <c r="H510" s="49">
        <f>IF(INVESTORS_LIST[[#This Row],[LS_TOTAL UNITS BUY]]=0,0,SUMIFS(LS[Amount],LS[Investor ID],INVESTORS_LIST[[#This Row],[INVESTOR CODE]],LS[B/S],"B"))</f>
        <v>0</v>
      </c>
      <c r="I510" s="48">
        <f>IF(INVESTORS_LIST[[#This Row],[LS_TOTAL UNITS SOLD]]=0,0,SUMIFS(LS[Cost of Units Sold],LS[Investor ID],INVESTORS_LIST[[#This Row],[INVESTOR CODE]],LS[B/S],"S"))</f>
        <v>0</v>
      </c>
      <c r="J510" s="48">
        <f>IF(INVESTORS_LIST[[#This Row],[LS_TOTAL CURRENT UNITS]]=0,0,INVESTORS_LIST[[#This Row],[LS_TOTAL CURRENT UNITS]]*INVESTORS_LIST[[#This Row],[LS_AVERAGE COST]])</f>
        <v>0</v>
      </c>
      <c r="K510" s="49">
        <f>IF(INVESTORS_LIST[[#This Row],[LS_TOTAL UNITS SOLD]]=0,0,SUMIFS(LS[Realized Gain],LS[Investor ID],INVESTORS_LIST[[#This Row],[INVESTOR CODE]],LS[B/S],"S"))</f>
        <v>0</v>
      </c>
      <c r="L510" s="47">
        <f>SUMIFS(SIP[Unit],SIP[Investor ID],INVESTORS_LIST[[#This Row],[INVESTOR CODE]],SIP[B/S],"B")</f>
        <v>12605</v>
      </c>
      <c r="M510" s="47">
        <f>-SUMIFS(SIP[Unit],SIP[Investor ID],INVESTORS_LIST[[#This Row],[INVESTOR CODE]],SIP[B/S],"S")</f>
        <v>474</v>
      </c>
      <c r="N510" s="50">
        <f>IF(INVESTORS_LIST[[#This Row],[SIP_TOTAL UNITS BUY]]=0,0,INVESTORS_LIST[[#This Row],[SIP_TOTAL UNITS BUY]]-INVESTORS_LIST[[#This Row],[SIP_TOTAL UNITS SOLD]])</f>
        <v>12131</v>
      </c>
      <c r="O510" s="49">
        <f>IF(INVESTORS_LIST[[#This Row],[SIP_TOTAL UNITS BUY]]=0,0,SUMIFS(SIP[Amount],SIP[Investor ID],INVESTORS_LIST[[#This Row],[INVESTOR CODE]],SIP[B/S],"B"))</f>
        <v>150000</v>
      </c>
      <c r="P510" s="49">
        <f>IF(INVESTORS_LIST[[#This Row],[SIP_TOTAL UNITS SOLD]]=0,0,SUMIFS(SIP[Cost of Units Sold],SIP[Investor ID],INVESTORS_LIST[[#This Row],[INVESTOR CODE]],SIP[B/S],"S"))</f>
        <v>4984.2271293375397</v>
      </c>
      <c r="Q510" s="48">
        <f>IF(INVESTORS_LIST[[#This Row],[SIP_TOTAL CURRENT UNITS]]=0,0,INVESTORS_LIST[[#This Row],[SIP_TOTAL CURRENT UNITS]]*INVESTORS_LIST[[#This Row],[SIP_AVERAGE COST]])</f>
        <v>145015.77287066251</v>
      </c>
      <c r="R510" s="48">
        <f>IF(INVESTORS_LIST[[#This Row],[SIP_TOTAL UNITS SOLD]]=0,0,SUMIFS(SIP[Realized Gain],SIP[Investor ID],INVESTORS_LIST[[#This Row],[INVESTOR CODE]],SIP[B/S],"S"))</f>
        <v>15.772870662460384</v>
      </c>
      <c r="S510" s="50">
        <f>INVESTORS_LIST[[#This Row],[LS_TOTAL UNITS BUY]]+INVESTORS_LIST[[#This Row],[SIP_TOTAL UNITS BUY]]</f>
        <v>12605</v>
      </c>
      <c r="T510" s="50">
        <f>INVESTORS_LIST[[#This Row],[LS_TOTAL UNITS SOLD]]+INVESTORS_LIST[[#This Row],[SIP_TOTAL UNITS SOLD]]</f>
        <v>474</v>
      </c>
      <c r="U510" s="50"/>
      <c r="V510" s="50">
        <f>SUMIFS(LS[BO UNIT TRANSFER],LS[Investor ID],INVESTORS_LIST[[#This Row],[INVESTOR CODE]],LS[B/S],"B")</f>
        <v>0</v>
      </c>
      <c r="W510" s="50">
        <f>SUMIFS(SIP[BO UNIT TRANSFER],SIP[Investor ID],INVESTORS_LIST[[#This Row],[INVESTOR CODE]],SIP[B/S],"B")</f>
        <v>0</v>
      </c>
      <c r="X510" s="50">
        <f>SUMIFS(LS[BO UNIT TRANSFER],LS[Investor ID],INVESTORS_LIST[[#This Row],[INVESTOR CODE]],LS[B/S],"S")</f>
        <v>0</v>
      </c>
      <c r="Y510" s="50">
        <f>SUMIFS(SIP[BO UNIT TRANSFER],SIP[Investor ID],INVESTORS_LIST[[#This Row],[INVESTOR CODE]],SIP[B/S],"S")</f>
        <v>0</v>
      </c>
      <c r="Z510" s="106">
        <f>SUM(INVESTORS_LIST[[#This Row],[BO OPENING BALANCE]:[BO SIP UNITS REPURCHASE]])</f>
        <v>0</v>
      </c>
      <c r="AA510" s="107">
        <f>INVESTORS_LIST[[#This Row],[TOTAL UNITS BUY]]-INVESTORS_LIST[[#This Row],[TOTAL UNITS SOLD]]</f>
        <v>12131</v>
      </c>
      <c r="AB510" s="107">
        <f>INVESTORS_LIST[[#This Row],[TOTAL CURRENT UNITS]]-INVESTORS_LIST[[#This Row],[BO UNITS HOLD]]</f>
        <v>12131</v>
      </c>
      <c r="AC510" s="201" t="e">
        <f>INDEX([3]!Table_1[BO ID],MATCH(INVESTORS_LIST[[#This Row],[INVESTOR CODE]],[3]!Table_1[INVESTOR CODE],0))</f>
        <v>#REF!</v>
      </c>
      <c r="AD510" s="201" t="e">
        <f>INDEX([3]!Table_1[Brokerage Name2],MATCH(INVESTORS_LIST[[#This Row],[INVESTOR CODE]],[3]!Table_1[INVESTOR CODE],0))</f>
        <v>#REF!</v>
      </c>
      <c r="AE510" s="201" t="e">
        <f>MID(INVESTORS_LIST[[#This Row],[BO ID]],4,5)</f>
        <v>#REF!</v>
      </c>
      <c r="AF510" s="201" t="e">
        <f>MID(INVESTORS_LIST[[#This Row],[BO ID]],2,7)</f>
        <v>#REF!</v>
      </c>
      <c r="AG510" s="201" t="e">
        <f>MID(INVESTORS_LIST[[#This Row],[BO ID]],9,7)</f>
        <v>#REF!</v>
      </c>
      <c r="AH510" s="201" t="e">
        <f>RIGHT(INVESTORS_LIST[[#This Row],[BO ID]],1)</f>
        <v>#REF!</v>
      </c>
      <c r="AI510" s="50">
        <f>INVESTORS_LIST[[#This Row],[LS_TOTAL COST VALUE OF CURRENT UNITS]]+INVESTORS_LIST[[#This Row],[SIP_TOTAL COST VALUE OF CURRENT UNITS]]</f>
        <v>145015.77287066251</v>
      </c>
      <c r="AJ510" s="109">
        <f>IF(INVESTORS_LIST[[#This Row],[TOTAL CURRENT UNITS]]=0,0,INVESTORS_LIST[[#This Row],[LS_TOTAL CURRENT UNITS]]/INVESTORS_LIST[[#This Row],[TOTAL CURRENT UNITS]])</f>
        <v>0</v>
      </c>
      <c r="AK510" s="109">
        <f>IF(INVESTORS_LIST[[#This Row],[TOTAL CURRENT UNITS]]=0,0,INVESTORS_LIST[[#This Row],[SIP_TOTAL CURRENT UNITS]]/INVESTORS_LIST[[#This Row],[TOTAL CURRENT UNITS]])</f>
        <v>1</v>
      </c>
      <c r="AL510" s="49" cm="1">
        <f t="array" ref="AL5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0" s="49" cm="1">
        <f t="array" ref="AM510">IF(INVESTORS_LIST[[#This Row],[SIP_TOTAL UNITS BUY]]&gt;0,INDEX(SIP[NAV at Cost (Average)],MATCH(CONCATENATE(COUNTIFS(SIP[Investor ID],INVESTORS_LIST[[#This Row],[INVESTOR CODE]]),INVESTORS_LIST[[#This Row],[INVESTOR CODE]]),SIP[Unique Code],0),),0)</f>
        <v>11.954148287087833</v>
      </c>
      <c r="AN510" s="105">
        <f>IF(INVESTORS_LIST[[#This Row],[TOTAL CURRENT UNITS]]=0,0,(INVESTORS_LIST[[#This Row],[LS_WEIGHT]]*INVESTORS_LIST[[#This Row],[LS_AVERAGE COST]])+(INVESTORS_LIST[[#This Row],[SIP_WEIGHT]]*INVESTORS_LIST[[#This Row],[SIP_AVERAGE COST]]))</f>
        <v>11.954148287087833</v>
      </c>
      <c r="AO510" s="105">
        <f t="shared" si="8"/>
        <v>14.224</v>
      </c>
      <c r="AP510" s="112">
        <f>IF(INVESTORS_LIST[[#This Row],[TOTAL CURRENT UNITS]]=0,0,INVESTORS_LIST[[#This Row],[TOTAL CURRENT UNITS]]*INVESTORS_LIST[[#This Row],[NAV]])</f>
        <v>172551.34400000001</v>
      </c>
      <c r="AQ510" s="49">
        <f>IF(INVESTORS_LIST[[#This Row],[LS_TOTAL CURRENT UNITS]]=0,0,INVESTORS_LIST[[#This Row],[LS_TOTAL CURRENT UNITS]]*INVESTORS_LIST[[#This Row],[NAV]])</f>
        <v>0</v>
      </c>
      <c r="AR510" s="48">
        <f>IF(INVESTORS_LIST[[#This Row],[SIP_TOTAL CURRENT UNITS]]=0,0,INVESTORS_LIST[[#This Row],[SIP_TOTAL CURRENT UNITS]]*INVESTORS_LIST[[#This Row],[NAV]])</f>
        <v>172551.34400000001</v>
      </c>
      <c r="AS510" s="50">
        <f>INVESTORS_LIST[[#This Row],[TOTAL CURRENT UNITS]]</f>
        <v>12131</v>
      </c>
      <c r="AT510" s="48">
        <f>IF(INVESTORS_LIST[[#This Row],[TOTAL SELLABLE UNITS]]=0,0,INVESTORS_LIST[[#This Row],[TOTAL SELLABLE UNITS]]*INVESTORS_LIST[[#This Row],[NAV]])</f>
        <v>172551.34400000001</v>
      </c>
      <c r="AU510" s="48">
        <f>INVESTORS_LIST[[#This Row],[LS_TOTAL REALIZED GAIN]]+INVESTORS_LIST[[#This Row],[SIP_TOTAL REALIZED GAIN]]</f>
        <v>15.772870662460384</v>
      </c>
      <c r="AV510" s="48">
        <f>INVESTORS_LIST[[#This Row],[TOTAL MARKET VALUE]]-INVESTORS_LIST[[#This Row],[TOTAL COST VALUE OF CURRENT INVESTMENT]]</f>
        <v>27535.571129337506</v>
      </c>
      <c r="AW510" s="108">
        <f>IFERROR(INVESTORS_LIST[[#This Row],[TOTAL CURRENT UNITS]]/SUM(INVESTORS_LIST[TOTAL CURRENT UNITS]),0)</f>
        <v>2.9449467798763345E-4</v>
      </c>
    </row>
    <row r="511" spans="1:49" hidden="1">
      <c r="A511" s="262" t="s">
        <v>1066</v>
      </c>
      <c r="B511" s="97" t="s">
        <v>1067</v>
      </c>
      <c r="C511" t="s">
        <v>44</v>
      </c>
      <c r="D511" s="75" t="s">
        <v>45</v>
      </c>
      <c r="E511" s="47">
        <f>SUMIFS(LS[Unit],LS[Investor ID],INVESTORS_LIST[[#This Row],[INVESTOR CODE]],LS[B/S],"B")</f>
        <v>35000</v>
      </c>
      <c r="F511" s="47">
        <f>-SUMIFS(LS[Unit],LS[Investor ID],INVESTORS_LIST[[#This Row],[INVESTOR CODE]],LS[B/S],"S")</f>
        <v>35000</v>
      </c>
      <c r="G511" s="47">
        <f>IF(INVESTORS_LIST[[#This Row],[LS_TOTAL UNITS BUY]]=0,0,INVESTORS_LIST[[#This Row],[LS_TOTAL UNITS BUY]]-INVESTORS_LIST[[#This Row],[LS_TOTAL UNITS SOLD]])</f>
        <v>0</v>
      </c>
      <c r="H511" s="49">
        <f>IF(INVESTORS_LIST[[#This Row],[LS_TOTAL UNITS BUY]]=0,0,SUMIFS(LS[Amount],LS[Investor ID],INVESTORS_LIST[[#This Row],[INVESTOR CODE]],LS[B/S],"B"))</f>
        <v>365365</v>
      </c>
      <c r="I511" s="48">
        <f>IF(INVESTORS_LIST[[#This Row],[LS_TOTAL UNITS SOLD]]=0,0,SUMIFS(LS[Cost of Units Sold],LS[Investor ID],INVESTORS_LIST[[#This Row],[INVESTOR CODE]],LS[B/S],"S"))</f>
        <v>365365</v>
      </c>
      <c r="J511" s="48">
        <f>IF(INVESTORS_LIST[[#This Row],[LS_TOTAL CURRENT UNITS]]=0,0,INVESTORS_LIST[[#This Row],[LS_TOTAL CURRENT UNITS]]*INVESTORS_LIST[[#This Row],[LS_AVERAGE COST]])</f>
        <v>0</v>
      </c>
      <c r="K511" s="49">
        <f>IF(INVESTORS_LIST[[#This Row],[LS_TOTAL UNITS SOLD]]=0,0,SUMIFS(LS[Realized Gain],LS[Investor ID],INVESTORS_LIST[[#This Row],[INVESTOR CODE]],LS[B/S],"S"))</f>
        <v>71995.000000000015</v>
      </c>
      <c r="L511" s="47">
        <f>SUMIFS(SIP[Unit],SIP[Investor ID],INVESTORS_LIST[[#This Row],[INVESTOR CODE]],SIP[B/S],"B")</f>
        <v>0</v>
      </c>
      <c r="M511" s="47">
        <f>-SUMIFS(SIP[Unit],SIP[Investor ID],INVESTORS_LIST[[#This Row],[INVESTOR CODE]],SIP[B/S],"S")</f>
        <v>0</v>
      </c>
      <c r="N511" s="50">
        <f>IF(INVESTORS_LIST[[#This Row],[SIP_TOTAL UNITS BUY]]=0,0,INVESTORS_LIST[[#This Row],[SIP_TOTAL UNITS BUY]]-INVESTORS_LIST[[#This Row],[SIP_TOTAL UNITS SOLD]])</f>
        <v>0</v>
      </c>
      <c r="O511" s="49">
        <f>IF(INVESTORS_LIST[[#This Row],[SIP_TOTAL UNITS BUY]]=0,0,SUMIFS(SIP[Amount],SIP[Investor ID],INVESTORS_LIST[[#This Row],[INVESTOR CODE]],SIP[B/S],"B"))</f>
        <v>0</v>
      </c>
      <c r="P511" s="49">
        <f>IF(INVESTORS_LIST[[#This Row],[SIP_TOTAL UNITS SOLD]]=0,0,SUMIFS(SIP[Cost of Units Sold],SIP[Investor ID],INVESTORS_LIST[[#This Row],[INVESTOR CODE]],SIP[B/S],"S"))</f>
        <v>0</v>
      </c>
      <c r="Q511" s="48">
        <f>IF(INVESTORS_LIST[[#This Row],[SIP_TOTAL CURRENT UNITS]]=0,0,INVESTORS_LIST[[#This Row],[SIP_TOTAL CURRENT UNITS]]*INVESTORS_LIST[[#This Row],[SIP_AVERAGE COST]])</f>
        <v>0</v>
      </c>
      <c r="R511" s="48">
        <f>IF(INVESTORS_LIST[[#This Row],[SIP_TOTAL UNITS SOLD]]=0,0,SUMIFS(SIP[Realized Gain],SIP[Investor ID],INVESTORS_LIST[[#This Row],[INVESTOR CODE]],SIP[B/S],"S"))</f>
        <v>0</v>
      </c>
      <c r="S511" s="50">
        <f>INVESTORS_LIST[[#This Row],[LS_TOTAL UNITS BUY]]+INVESTORS_LIST[[#This Row],[SIP_TOTAL UNITS BUY]]</f>
        <v>35000</v>
      </c>
      <c r="T511" s="50">
        <f>INVESTORS_LIST[[#This Row],[LS_TOTAL UNITS SOLD]]+INVESTORS_LIST[[#This Row],[SIP_TOTAL UNITS SOLD]]</f>
        <v>35000</v>
      </c>
      <c r="U511" s="50"/>
      <c r="V511" s="50">
        <f>SUMIFS(LS[BO UNIT TRANSFER],LS[Investor ID],INVESTORS_LIST[[#This Row],[INVESTOR CODE]],LS[B/S],"B")</f>
        <v>0</v>
      </c>
      <c r="W511" s="50">
        <f>SUMIFS(SIP[BO UNIT TRANSFER],SIP[Investor ID],INVESTORS_LIST[[#This Row],[INVESTOR CODE]],SIP[B/S],"B")</f>
        <v>0</v>
      </c>
      <c r="X511" s="50">
        <f>SUMIFS(LS[BO UNIT TRANSFER],LS[Investor ID],INVESTORS_LIST[[#This Row],[INVESTOR CODE]],LS[B/S],"S")</f>
        <v>0</v>
      </c>
      <c r="Y511" s="50">
        <f>SUMIFS(SIP[BO UNIT TRANSFER],SIP[Investor ID],INVESTORS_LIST[[#This Row],[INVESTOR CODE]],SIP[B/S],"S")</f>
        <v>0</v>
      </c>
      <c r="Z511" s="106">
        <f>SUM(INVESTORS_LIST[[#This Row],[BO OPENING BALANCE]:[BO SIP UNITS REPURCHASE]])</f>
        <v>0</v>
      </c>
      <c r="AA511" s="107">
        <f>INVESTORS_LIST[[#This Row],[TOTAL UNITS BUY]]-INVESTORS_LIST[[#This Row],[TOTAL UNITS SOLD]]</f>
        <v>0</v>
      </c>
      <c r="AB511" s="107">
        <f>INVESTORS_LIST[[#This Row],[TOTAL CURRENT UNITS]]-INVESTORS_LIST[[#This Row],[BO UNITS HOLD]]</f>
        <v>0</v>
      </c>
      <c r="AC511" s="201" t="e">
        <f>INDEX([3]!Table_1[BO ID],MATCH(INVESTORS_LIST[[#This Row],[INVESTOR CODE]],[3]!Table_1[INVESTOR CODE],0))</f>
        <v>#REF!</v>
      </c>
      <c r="AD511" s="201" t="e">
        <f>INDEX([3]!Table_1[Brokerage Name2],MATCH(INVESTORS_LIST[[#This Row],[INVESTOR CODE]],[3]!Table_1[INVESTOR CODE],0))</f>
        <v>#REF!</v>
      </c>
      <c r="AE511" s="201" t="e">
        <f>MID(INVESTORS_LIST[[#This Row],[BO ID]],4,5)</f>
        <v>#REF!</v>
      </c>
      <c r="AF511" s="201" t="e">
        <f>MID(INVESTORS_LIST[[#This Row],[BO ID]],2,7)</f>
        <v>#REF!</v>
      </c>
      <c r="AG511" s="201" t="e">
        <f>MID(INVESTORS_LIST[[#This Row],[BO ID]],9,7)</f>
        <v>#REF!</v>
      </c>
      <c r="AH511" s="201" t="e">
        <f>RIGHT(INVESTORS_LIST[[#This Row],[BO ID]],1)</f>
        <v>#REF!</v>
      </c>
      <c r="AI511" s="50">
        <f>INVESTORS_LIST[[#This Row],[LS_TOTAL COST VALUE OF CURRENT UNITS]]+INVESTORS_LIST[[#This Row],[SIP_TOTAL COST VALUE OF CURRENT UNITS]]</f>
        <v>0</v>
      </c>
      <c r="AJ511" s="109">
        <f>IF(INVESTORS_LIST[[#This Row],[TOTAL CURRENT UNITS]]=0,0,INVESTORS_LIST[[#This Row],[LS_TOTAL CURRENT UNITS]]/INVESTORS_LIST[[#This Row],[TOTAL CURRENT UNITS]])</f>
        <v>0</v>
      </c>
      <c r="AK511" s="109">
        <f>IF(INVESTORS_LIST[[#This Row],[TOTAL CURRENT UNITS]]=0,0,INVESTORS_LIST[[#This Row],[SIP_TOTAL CURRENT UNITS]]/INVESTORS_LIST[[#This Row],[TOTAL CURRENT UNITS]])</f>
        <v>0</v>
      </c>
      <c r="AL511" s="49" cm="1">
        <f t="array" ref="AL5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1" s="49" cm="1">
        <f t="array" ref="AM5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1" s="105">
        <f t="shared" si="8"/>
        <v>14.224</v>
      </c>
      <c r="AP511" s="112">
        <f>IF(INVESTORS_LIST[[#This Row],[TOTAL CURRENT UNITS]]=0,0,INVESTORS_LIST[[#This Row],[TOTAL CURRENT UNITS]]*INVESTORS_LIST[[#This Row],[NAV]])</f>
        <v>0</v>
      </c>
      <c r="AQ511" s="49">
        <f>IF(INVESTORS_LIST[[#This Row],[LS_TOTAL CURRENT UNITS]]=0,0,INVESTORS_LIST[[#This Row],[LS_TOTAL CURRENT UNITS]]*INVESTORS_LIST[[#This Row],[NAV]])</f>
        <v>0</v>
      </c>
      <c r="AR511" s="48">
        <f>IF(INVESTORS_LIST[[#This Row],[SIP_TOTAL CURRENT UNITS]]=0,0,INVESTORS_LIST[[#This Row],[SIP_TOTAL CURRENT UNITS]]*INVESTORS_LIST[[#This Row],[NAV]])</f>
        <v>0</v>
      </c>
      <c r="AS511" s="50">
        <f>INVESTORS_LIST[[#This Row],[TOTAL CURRENT UNITS]]</f>
        <v>0</v>
      </c>
      <c r="AT511" s="48">
        <f>IF(INVESTORS_LIST[[#This Row],[TOTAL SELLABLE UNITS]]=0,0,INVESTORS_LIST[[#This Row],[TOTAL SELLABLE UNITS]]*INVESTORS_LIST[[#This Row],[NAV]])</f>
        <v>0</v>
      </c>
      <c r="AU511" s="48">
        <f>INVESTORS_LIST[[#This Row],[LS_TOTAL REALIZED GAIN]]+INVESTORS_LIST[[#This Row],[SIP_TOTAL REALIZED GAIN]]</f>
        <v>71995.000000000015</v>
      </c>
      <c r="AV511" s="48">
        <f>INVESTORS_LIST[[#This Row],[TOTAL MARKET VALUE]]-INVESTORS_LIST[[#This Row],[TOTAL COST VALUE OF CURRENT INVESTMENT]]</f>
        <v>0</v>
      </c>
      <c r="AW511" s="108">
        <f>IFERROR(INVESTORS_LIST[[#This Row],[TOTAL CURRENT UNITS]]/SUM(INVESTORS_LIST[TOTAL CURRENT UNITS]),0)</f>
        <v>0</v>
      </c>
    </row>
    <row r="512" spans="1:49" hidden="1">
      <c r="A512" s="262" t="s">
        <v>1068</v>
      </c>
      <c r="B512" s="97" t="s">
        <v>1069</v>
      </c>
      <c r="C512" t="s">
        <v>67</v>
      </c>
      <c r="D512" s="75" t="s">
        <v>45</v>
      </c>
      <c r="E512" s="47">
        <f>SUMIFS(LS[Unit],LS[Investor ID],INVESTORS_LIST[[#This Row],[INVESTOR CODE]],LS[B/S],"B")</f>
        <v>178850</v>
      </c>
      <c r="F512" s="47">
        <f>-SUMIFS(LS[Unit],LS[Investor ID],INVESTORS_LIST[[#This Row],[INVESTOR CODE]],LS[B/S],"S")</f>
        <v>178850</v>
      </c>
      <c r="G512" s="47">
        <f>IF(INVESTORS_LIST[[#This Row],[LS_TOTAL UNITS BUY]]=0,0,INVESTORS_LIST[[#This Row],[LS_TOTAL UNITS BUY]]-INVESTORS_LIST[[#This Row],[LS_TOTAL UNITS SOLD]])</f>
        <v>0</v>
      </c>
      <c r="H512" s="49">
        <f>IF(INVESTORS_LIST[[#This Row],[LS_TOTAL UNITS BUY]]=0,0,SUMIFS(LS[Amount],LS[Investor ID],INVESTORS_LIST[[#This Row],[INVESTOR CODE]],LS[B/S],"B"))</f>
        <v>2077361</v>
      </c>
      <c r="I512" s="48">
        <f>IF(INVESTORS_LIST[[#This Row],[LS_TOTAL UNITS SOLD]]=0,0,SUMIFS(LS[Cost of Units Sold],LS[Investor ID],INVESTORS_LIST[[#This Row],[INVESTOR CODE]],LS[B/S],"S"))</f>
        <v>2077361</v>
      </c>
      <c r="J512" s="48">
        <f>IF(INVESTORS_LIST[[#This Row],[LS_TOTAL CURRENT UNITS]]=0,0,INVESTORS_LIST[[#This Row],[LS_TOTAL CURRENT UNITS]]*INVESTORS_LIST[[#This Row],[LS_AVERAGE COST]])</f>
        <v>0</v>
      </c>
      <c r="K512" s="49">
        <f>IF(INVESTORS_LIST[[#This Row],[LS_TOTAL UNITS SOLD]]=0,0,SUMIFS(LS[Realized Gain],LS[Investor ID],INVESTORS_LIST[[#This Row],[INVESTOR CODE]],LS[B/S],"S"))</f>
        <v>39443.560000000114</v>
      </c>
      <c r="L512" s="47">
        <f>SUMIFS(SIP[Unit],SIP[Investor ID],INVESTORS_LIST[[#This Row],[INVESTOR CODE]],SIP[B/S],"B")</f>
        <v>0</v>
      </c>
      <c r="M512" s="47">
        <f>-SUMIFS(SIP[Unit],SIP[Investor ID],INVESTORS_LIST[[#This Row],[INVESTOR CODE]],SIP[B/S],"S")</f>
        <v>0</v>
      </c>
      <c r="N512" s="50">
        <f>IF(INVESTORS_LIST[[#This Row],[SIP_TOTAL UNITS BUY]]=0,0,INVESTORS_LIST[[#This Row],[SIP_TOTAL UNITS BUY]]-INVESTORS_LIST[[#This Row],[SIP_TOTAL UNITS SOLD]])</f>
        <v>0</v>
      </c>
      <c r="O512" s="49">
        <f>IF(INVESTORS_LIST[[#This Row],[SIP_TOTAL UNITS BUY]]=0,0,SUMIFS(SIP[Amount],SIP[Investor ID],INVESTORS_LIST[[#This Row],[INVESTOR CODE]],SIP[B/S],"B"))</f>
        <v>0</v>
      </c>
      <c r="P512" s="49">
        <f>IF(INVESTORS_LIST[[#This Row],[SIP_TOTAL UNITS SOLD]]=0,0,SUMIFS(SIP[Cost of Units Sold],SIP[Investor ID],INVESTORS_LIST[[#This Row],[INVESTOR CODE]],SIP[B/S],"S"))</f>
        <v>0</v>
      </c>
      <c r="Q512" s="48">
        <f>IF(INVESTORS_LIST[[#This Row],[SIP_TOTAL CURRENT UNITS]]=0,0,INVESTORS_LIST[[#This Row],[SIP_TOTAL CURRENT UNITS]]*INVESTORS_LIST[[#This Row],[SIP_AVERAGE COST]])</f>
        <v>0</v>
      </c>
      <c r="R512" s="48">
        <f>IF(INVESTORS_LIST[[#This Row],[SIP_TOTAL UNITS SOLD]]=0,0,SUMIFS(SIP[Realized Gain],SIP[Investor ID],INVESTORS_LIST[[#This Row],[INVESTOR CODE]],SIP[B/S],"S"))</f>
        <v>0</v>
      </c>
      <c r="S512" s="50">
        <f>INVESTORS_LIST[[#This Row],[LS_TOTAL UNITS BUY]]+INVESTORS_LIST[[#This Row],[SIP_TOTAL UNITS BUY]]</f>
        <v>178850</v>
      </c>
      <c r="T512" s="50">
        <f>INVESTORS_LIST[[#This Row],[LS_TOTAL UNITS SOLD]]+INVESTORS_LIST[[#This Row],[SIP_TOTAL UNITS SOLD]]</f>
        <v>178850</v>
      </c>
      <c r="U512" s="50"/>
      <c r="V512" s="50">
        <f>SUMIFS(LS[BO UNIT TRANSFER],LS[Investor ID],INVESTORS_LIST[[#This Row],[INVESTOR CODE]],LS[B/S],"B")</f>
        <v>0</v>
      </c>
      <c r="W512" s="50">
        <f>SUMIFS(SIP[BO UNIT TRANSFER],SIP[Investor ID],INVESTORS_LIST[[#This Row],[INVESTOR CODE]],SIP[B/S],"B")</f>
        <v>0</v>
      </c>
      <c r="X512" s="50">
        <f>SUMIFS(LS[BO UNIT TRANSFER],LS[Investor ID],INVESTORS_LIST[[#This Row],[INVESTOR CODE]],LS[B/S],"S")</f>
        <v>0</v>
      </c>
      <c r="Y512" s="50">
        <f>SUMIFS(SIP[BO UNIT TRANSFER],SIP[Investor ID],INVESTORS_LIST[[#This Row],[INVESTOR CODE]],SIP[B/S],"S")</f>
        <v>0</v>
      </c>
      <c r="Z512" s="106">
        <f>SUM(INVESTORS_LIST[[#This Row],[BO OPENING BALANCE]:[BO SIP UNITS REPURCHASE]])</f>
        <v>0</v>
      </c>
      <c r="AA512" s="107">
        <f>INVESTORS_LIST[[#This Row],[TOTAL UNITS BUY]]-INVESTORS_LIST[[#This Row],[TOTAL UNITS SOLD]]</f>
        <v>0</v>
      </c>
      <c r="AB512" s="107">
        <f>INVESTORS_LIST[[#This Row],[TOTAL CURRENT UNITS]]-INVESTORS_LIST[[#This Row],[BO UNITS HOLD]]</f>
        <v>0</v>
      </c>
      <c r="AC512" s="201" t="e">
        <f>INDEX([3]!Table_1[BO ID],MATCH(INVESTORS_LIST[[#This Row],[INVESTOR CODE]],[3]!Table_1[INVESTOR CODE],0))</f>
        <v>#REF!</v>
      </c>
      <c r="AD512" s="201" t="e">
        <f>INDEX([3]!Table_1[Brokerage Name2],MATCH(INVESTORS_LIST[[#This Row],[INVESTOR CODE]],[3]!Table_1[INVESTOR CODE],0))</f>
        <v>#REF!</v>
      </c>
      <c r="AE512" s="201" t="e">
        <f>MID(INVESTORS_LIST[[#This Row],[BO ID]],4,5)</f>
        <v>#REF!</v>
      </c>
      <c r="AF512" s="201" t="e">
        <f>MID(INVESTORS_LIST[[#This Row],[BO ID]],2,7)</f>
        <v>#REF!</v>
      </c>
      <c r="AG512" s="201" t="e">
        <f>MID(INVESTORS_LIST[[#This Row],[BO ID]],9,7)</f>
        <v>#REF!</v>
      </c>
      <c r="AH512" s="201" t="e">
        <f>RIGHT(INVESTORS_LIST[[#This Row],[BO ID]],1)</f>
        <v>#REF!</v>
      </c>
      <c r="AI512" s="50">
        <f>INVESTORS_LIST[[#This Row],[LS_TOTAL COST VALUE OF CURRENT UNITS]]+INVESTORS_LIST[[#This Row],[SIP_TOTAL COST VALUE OF CURRENT UNITS]]</f>
        <v>0</v>
      </c>
      <c r="AJ512" s="109">
        <f>IF(INVESTORS_LIST[[#This Row],[TOTAL CURRENT UNITS]]=0,0,INVESTORS_LIST[[#This Row],[LS_TOTAL CURRENT UNITS]]/INVESTORS_LIST[[#This Row],[TOTAL CURRENT UNITS]])</f>
        <v>0</v>
      </c>
      <c r="AK512" s="109">
        <f>IF(INVESTORS_LIST[[#This Row],[TOTAL CURRENT UNITS]]=0,0,INVESTORS_LIST[[#This Row],[SIP_TOTAL CURRENT UNITS]]/INVESTORS_LIST[[#This Row],[TOTAL CURRENT UNITS]])</f>
        <v>0</v>
      </c>
      <c r="AL512" s="49" cm="1">
        <f t="array" ref="AL5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2" s="49" cm="1">
        <f t="array" ref="AM5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2" s="105">
        <f t="shared" si="8"/>
        <v>14.224</v>
      </c>
      <c r="AP512" s="112">
        <f>IF(INVESTORS_LIST[[#This Row],[TOTAL CURRENT UNITS]]=0,0,INVESTORS_LIST[[#This Row],[TOTAL CURRENT UNITS]]*INVESTORS_LIST[[#This Row],[NAV]])</f>
        <v>0</v>
      </c>
      <c r="AQ512" s="49">
        <f>IF(INVESTORS_LIST[[#This Row],[LS_TOTAL CURRENT UNITS]]=0,0,INVESTORS_LIST[[#This Row],[LS_TOTAL CURRENT UNITS]]*INVESTORS_LIST[[#This Row],[NAV]])</f>
        <v>0</v>
      </c>
      <c r="AR512" s="48">
        <f>IF(INVESTORS_LIST[[#This Row],[SIP_TOTAL CURRENT UNITS]]=0,0,INVESTORS_LIST[[#This Row],[SIP_TOTAL CURRENT UNITS]]*INVESTORS_LIST[[#This Row],[NAV]])</f>
        <v>0</v>
      </c>
      <c r="AS512" s="50">
        <f>INVESTORS_LIST[[#This Row],[TOTAL CURRENT UNITS]]</f>
        <v>0</v>
      </c>
      <c r="AT512" s="48">
        <f>IF(INVESTORS_LIST[[#This Row],[TOTAL SELLABLE UNITS]]=0,0,INVESTORS_LIST[[#This Row],[TOTAL SELLABLE UNITS]]*INVESTORS_LIST[[#This Row],[NAV]])</f>
        <v>0</v>
      </c>
      <c r="AU512" s="48">
        <f>INVESTORS_LIST[[#This Row],[LS_TOTAL REALIZED GAIN]]+INVESTORS_LIST[[#This Row],[SIP_TOTAL REALIZED GAIN]]</f>
        <v>39443.560000000114</v>
      </c>
      <c r="AV512" s="48">
        <f>INVESTORS_LIST[[#This Row],[TOTAL MARKET VALUE]]-INVESTORS_LIST[[#This Row],[TOTAL COST VALUE OF CURRENT INVESTMENT]]</f>
        <v>0</v>
      </c>
      <c r="AW512" s="108">
        <f>IFERROR(INVESTORS_LIST[[#This Row],[TOTAL CURRENT UNITS]]/SUM(INVESTORS_LIST[TOTAL CURRENT UNITS]),0)</f>
        <v>0</v>
      </c>
    </row>
    <row r="513" spans="1:49" hidden="1">
      <c r="A513" s="262" t="s">
        <v>1070</v>
      </c>
      <c r="B513" s="97" t="s">
        <v>1071</v>
      </c>
      <c r="C513" t="s">
        <v>44</v>
      </c>
      <c r="D513" s="75" t="s">
        <v>45</v>
      </c>
      <c r="E513" s="47">
        <f>SUMIFS(LS[Unit],LS[Investor ID],INVESTORS_LIST[[#This Row],[INVESTOR CODE]],LS[B/S],"B")</f>
        <v>9503896</v>
      </c>
      <c r="F513" s="47">
        <f>-SUMIFS(LS[Unit],LS[Investor ID],INVESTORS_LIST[[#This Row],[INVESTOR CODE]],LS[B/S],"S")</f>
        <v>9503896</v>
      </c>
      <c r="G513" s="47">
        <f>IF(INVESTORS_LIST[[#This Row],[LS_TOTAL UNITS BUY]]=0,0,INVESTORS_LIST[[#This Row],[LS_TOTAL UNITS BUY]]-INVESTORS_LIST[[#This Row],[LS_TOTAL UNITS SOLD]])</f>
        <v>0</v>
      </c>
      <c r="H513" s="49">
        <f>IF(INVESTORS_LIST[[#This Row],[LS_TOTAL UNITS BUY]]=0,0,SUMIFS(LS[Amount],LS[Investor ID],INVESTORS_LIST[[#This Row],[INVESTOR CODE]],LS[B/S],"B"))</f>
        <v>100000000</v>
      </c>
      <c r="I513" s="48">
        <f>IF(INVESTORS_LIST[[#This Row],[LS_TOTAL UNITS SOLD]]=0,0,SUMIFS(LS[Cost of Units Sold],LS[Investor ID],INVESTORS_LIST[[#This Row],[INVESTOR CODE]],LS[B/S],"S"))</f>
        <v>100000000</v>
      </c>
      <c r="J513" s="48">
        <f>IF(INVESTORS_LIST[[#This Row],[LS_TOTAL CURRENT UNITS]]=0,0,INVESTORS_LIST[[#This Row],[LS_TOTAL CURRENT UNITS]]*INVESTORS_LIST[[#This Row],[LS_AVERAGE COST]])</f>
        <v>0</v>
      </c>
      <c r="K513" s="49">
        <f>IF(INVESTORS_LIST[[#This Row],[LS_TOTAL UNITS SOLD]]=0,0,SUMIFS(LS[Realized Gain],LS[Investor ID],INVESTORS_LIST[[#This Row],[INVESTOR CODE]],LS[B/S],"S"))</f>
        <v>2011495.320000004</v>
      </c>
      <c r="L513" s="47">
        <f>SUMIFS(SIP[Unit],SIP[Investor ID],INVESTORS_LIST[[#This Row],[INVESTOR CODE]],SIP[B/S],"B")</f>
        <v>0</v>
      </c>
      <c r="M513" s="47">
        <f>-SUMIFS(SIP[Unit],SIP[Investor ID],INVESTORS_LIST[[#This Row],[INVESTOR CODE]],SIP[B/S],"S")</f>
        <v>0</v>
      </c>
      <c r="N513" s="50">
        <f>IF(INVESTORS_LIST[[#This Row],[SIP_TOTAL UNITS BUY]]=0,0,INVESTORS_LIST[[#This Row],[SIP_TOTAL UNITS BUY]]-INVESTORS_LIST[[#This Row],[SIP_TOTAL UNITS SOLD]])</f>
        <v>0</v>
      </c>
      <c r="O513" s="49">
        <f>IF(INVESTORS_LIST[[#This Row],[SIP_TOTAL UNITS BUY]]=0,0,SUMIFS(SIP[Amount],SIP[Investor ID],INVESTORS_LIST[[#This Row],[INVESTOR CODE]],SIP[B/S],"B"))</f>
        <v>0</v>
      </c>
      <c r="P513" s="49">
        <f>IF(INVESTORS_LIST[[#This Row],[SIP_TOTAL UNITS SOLD]]=0,0,SUMIFS(SIP[Cost of Units Sold],SIP[Investor ID],INVESTORS_LIST[[#This Row],[INVESTOR CODE]],SIP[B/S],"S"))</f>
        <v>0</v>
      </c>
      <c r="Q513" s="48">
        <f>IF(INVESTORS_LIST[[#This Row],[SIP_TOTAL CURRENT UNITS]]=0,0,INVESTORS_LIST[[#This Row],[SIP_TOTAL CURRENT UNITS]]*INVESTORS_LIST[[#This Row],[SIP_AVERAGE COST]])</f>
        <v>0</v>
      </c>
      <c r="R513" s="48">
        <f>IF(INVESTORS_LIST[[#This Row],[SIP_TOTAL UNITS SOLD]]=0,0,SUMIFS(SIP[Realized Gain],SIP[Investor ID],INVESTORS_LIST[[#This Row],[INVESTOR CODE]],SIP[B/S],"S"))</f>
        <v>0</v>
      </c>
      <c r="S513" s="50">
        <f>INVESTORS_LIST[[#This Row],[LS_TOTAL UNITS BUY]]+INVESTORS_LIST[[#This Row],[SIP_TOTAL UNITS BUY]]</f>
        <v>9503896</v>
      </c>
      <c r="T513" s="50">
        <f>INVESTORS_LIST[[#This Row],[LS_TOTAL UNITS SOLD]]+INVESTORS_LIST[[#This Row],[SIP_TOTAL UNITS SOLD]]</f>
        <v>9503896</v>
      </c>
      <c r="U513" s="50"/>
      <c r="V513" s="50">
        <f>SUMIFS(LS[BO UNIT TRANSFER],LS[Investor ID],INVESTORS_LIST[[#This Row],[INVESTOR CODE]],LS[B/S],"B")</f>
        <v>0</v>
      </c>
      <c r="W513" s="50">
        <f>SUMIFS(SIP[BO UNIT TRANSFER],SIP[Investor ID],INVESTORS_LIST[[#This Row],[INVESTOR CODE]],SIP[B/S],"B")</f>
        <v>0</v>
      </c>
      <c r="X513" s="50">
        <f>SUMIFS(LS[BO UNIT TRANSFER],LS[Investor ID],INVESTORS_LIST[[#This Row],[INVESTOR CODE]],LS[B/S],"S")</f>
        <v>0</v>
      </c>
      <c r="Y513" s="50">
        <f>SUMIFS(SIP[BO UNIT TRANSFER],SIP[Investor ID],INVESTORS_LIST[[#This Row],[INVESTOR CODE]],SIP[B/S],"S")</f>
        <v>0</v>
      </c>
      <c r="Z513" s="106">
        <f>SUM(INVESTORS_LIST[[#This Row],[BO OPENING BALANCE]:[BO SIP UNITS REPURCHASE]])</f>
        <v>0</v>
      </c>
      <c r="AA513" s="107">
        <f>INVESTORS_LIST[[#This Row],[TOTAL UNITS BUY]]-INVESTORS_LIST[[#This Row],[TOTAL UNITS SOLD]]</f>
        <v>0</v>
      </c>
      <c r="AB513" s="107">
        <f>INVESTORS_LIST[[#This Row],[TOTAL CURRENT UNITS]]-INVESTORS_LIST[[#This Row],[BO UNITS HOLD]]</f>
        <v>0</v>
      </c>
      <c r="AC513" s="201" t="e">
        <f>INDEX([3]!Table_1[BO ID],MATCH(INVESTORS_LIST[[#This Row],[INVESTOR CODE]],[3]!Table_1[INVESTOR CODE],0))</f>
        <v>#REF!</v>
      </c>
      <c r="AD513" s="201" t="e">
        <f>INDEX([3]!Table_1[Brokerage Name2],MATCH(INVESTORS_LIST[[#This Row],[INVESTOR CODE]],[3]!Table_1[INVESTOR CODE],0))</f>
        <v>#REF!</v>
      </c>
      <c r="AE513" s="201" t="e">
        <f>MID(INVESTORS_LIST[[#This Row],[BO ID]],4,5)</f>
        <v>#REF!</v>
      </c>
      <c r="AF513" s="201" t="e">
        <f>MID(INVESTORS_LIST[[#This Row],[BO ID]],2,7)</f>
        <v>#REF!</v>
      </c>
      <c r="AG513" s="201" t="e">
        <f>MID(INVESTORS_LIST[[#This Row],[BO ID]],9,7)</f>
        <v>#REF!</v>
      </c>
      <c r="AH513" s="201" t="e">
        <f>RIGHT(INVESTORS_LIST[[#This Row],[BO ID]],1)</f>
        <v>#REF!</v>
      </c>
      <c r="AI513" s="50">
        <f>INVESTORS_LIST[[#This Row],[LS_TOTAL COST VALUE OF CURRENT UNITS]]+INVESTORS_LIST[[#This Row],[SIP_TOTAL COST VALUE OF CURRENT UNITS]]</f>
        <v>0</v>
      </c>
      <c r="AJ513" s="109">
        <f>IF(INVESTORS_LIST[[#This Row],[TOTAL CURRENT UNITS]]=0,0,INVESTORS_LIST[[#This Row],[LS_TOTAL CURRENT UNITS]]/INVESTORS_LIST[[#This Row],[TOTAL CURRENT UNITS]])</f>
        <v>0</v>
      </c>
      <c r="AK513" s="109">
        <f>IF(INVESTORS_LIST[[#This Row],[TOTAL CURRENT UNITS]]=0,0,INVESTORS_LIST[[#This Row],[SIP_TOTAL CURRENT UNITS]]/INVESTORS_LIST[[#This Row],[TOTAL CURRENT UNITS]])</f>
        <v>0</v>
      </c>
      <c r="AL513" s="49" cm="1">
        <f t="array" ref="AL5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3" s="49" cm="1">
        <f t="array" ref="AM5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3" s="105">
        <f t="shared" si="8"/>
        <v>14.224</v>
      </c>
      <c r="AP513" s="112">
        <f>IF(INVESTORS_LIST[[#This Row],[TOTAL CURRENT UNITS]]=0,0,INVESTORS_LIST[[#This Row],[TOTAL CURRENT UNITS]]*INVESTORS_LIST[[#This Row],[NAV]])</f>
        <v>0</v>
      </c>
      <c r="AQ513" s="49">
        <f>IF(INVESTORS_LIST[[#This Row],[LS_TOTAL CURRENT UNITS]]=0,0,INVESTORS_LIST[[#This Row],[LS_TOTAL CURRENT UNITS]]*INVESTORS_LIST[[#This Row],[NAV]])</f>
        <v>0</v>
      </c>
      <c r="AR513" s="48">
        <f>IF(INVESTORS_LIST[[#This Row],[SIP_TOTAL CURRENT UNITS]]=0,0,INVESTORS_LIST[[#This Row],[SIP_TOTAL CURRENT UNITS]]*INVESTORS_LIST[[#This Row],[NAV]])</f>
        <v>0</v>
      </c>
      <c r="AS513" s="50">
        <f>INVESTORS_LIST[[#This Row],[TOTAL CURRENT UNITS]]</f>
        <v>0</v>
      </c>
      <c r="AT513" s="48">
        <f>IF(INVESTORS_LIST[[#This Row],[TOTAL SELLABLE UNITS]]=0,0,INVESTORS_LIST[[#This Row],[TOTAL SELLABLE UNITS]]*INVESTORS_LIST[[#This Row],[NAV]])</f>
        <v>0</v>
      </c>
      <c r="AU513" s="48">
        <f>INVESTORS_LIST[[#This Row],[LS_TOTAL REALIZED GAIN]]+INVESTORS_LIST[[#This Row],[SIP_TOTAL REALIZED GAIN]]</f>
        <v>2011495.320000004</v>
      </c>
      <c r="AV513" s="48">
        <f>INVESTORS_LIST[[#This Row],[TOTAL MARKET VALUE]]-INVESTORS_LIST[[#This Row],[TOTAL COST VALUE OF CURRENT INVESTMENT]]</f>
        <v>0</v>
      </c>
      <c r="AW513" s="108">
        <f>IFERROR(INVESTORS_LIST[[#This Row],[TOTAL CURRENT UNITS]]/SUM(INVESTORS_LIST[TOTAL CURRENT UNITS]),0)</f>
        <v>0</v>
      </c>
    </row>
    <row r="514" spans="1:49">
      <c r="A514" s="262" t="s">
        <v>1072</v>
      </c>
      <c r="B514" s="97" t="s">
        <v>1073</v>
      </c>
      <c r="C514" t="s">
        <v>67</v>
      </c>
      <c r="D514" s="75" t="s">
        <v>45</v>
      </c>
      <c r="E514" s="47">
        <f>SUMIFS(LS[Unit],LS[Investor ID],INVESTORS_LIST[[#This Row],[INVESTOR CODE]],LS[B/S],"B")</f>
        <v>189107</v>
      </c>
      <c r="F514" s="47">
        <f>-SUMIFS(LS[Unit],LS[Investor ID],INVESTORS_LIST[[#This Row],[INVESTOR CODE]],LS[B/S],"S")</f>
        <v>0</v>
      </c>
      <c r="G514" s="47">
        <f>IF(INVESTORS_LIST[[#This Row],[LS_TOTAL UNITS BUY]]=0,0,INVESTORS_LIST[[#This Row],[LS_TOTAL UNITS BUY]]-INVESTORS_LIST[[#This Row],[LS_TOTAL UNITS SOLD]])</f>
        <v>189107</v>
      </c>
      <c r="H514" s="49">
        <f>IF(INVESTORS_LIST[[#This Row],[LS_TOTAL UNITS BUY]]=0,0,SUMIFS(LS[Amount],LS[Investor ID],INVESTORS_LIST[[#This Row],[INVESTOR CODE]],LS[B/S],"B"))</f>
        <v>2000000</v>
      </c>
      <c r="I514" s="48">
        <f>IF(INVESTORS_LIST[[#This Row],[LS_TOTAL UNITS SOLD]]=0,0,SUMIFS(LS[Cost of Units Sold],LS[Investor ID],INVESTORS_LIST[[#This Row],[INVESTOR CODE]],LS[B/S],"S"))</f>
        <v>0</v>
      </c>
      <c r="J514" s="48">
        <f>IF(INVESTORS_LIST[[#This Row],[LS_TOTAL CURRENT UNITS]]=0,0,INVESTORS_LIST[[#This Row],[LS_TOTAL CURRENT UNITS]]*INVESTORS_LIST[[#This Row],[LS_AVERAGE COST]])</f>
        <v>2000000</v>
      </c>
      <c r="K514" s="49">
        <f>IF(INVESTORS_LIST[[#This Row],[LS_TOTAL UNITS SOLD]]=0,0,SUMIFS(LS[Realized Gain],LS[Investor ID],INVESTORS_LIST[[#This Row],[INVESTOR CODE]],LS[B/S],"S"))</f>
        <v>0</v>
      </c>
      <c r="L514" s="47">
        <f>SUMIFS(SIP[Unit],SIP[Investor ID],INVESTORS_LIST[[#This Row],[INVESTOR CODE]],SIP[B/S],"B")</f>
        <v>0</v>
      </c>
      <c r="M514" s="47">
        <f>-SUMIFS(SIP[Unit],SIP[Investor ID],INVESTORS_LIST[[#This Row],[INVESTOR CODE]],SIP[B/S],"S")</f>
        <v>0</v>
      </c>
      <c r="N514" s="50">
        <f>IF(INVESTORS_LIST[[#This Row],[SIP_TOTAL UNITS BUY]]=0,0,INVESTORS_LIST[[#This Row],[SIP_TOTAL UNITS BUY]]-INVESTORS_LIST[[#This Row],[SIP_TOTAL UNITS SOLD]])</f>
        <v>0</v>
      </c>
      <c r="O514" s="49">
        <f>IF(INVESTORS_LIST[[#This Row],[SIP_TOTAL UNITS BUY]]=0,0,SUMIFS(SIP[Amount],SIP[Investor ID],INVESTORS_LIST[[#This Row],[INVESTOR CODE]],SIP[B/S],"B"))</f>
        <v>0</v>
      </c>
      <c r="P514" s="49">
        <f>IF(INVESTORS_LIST[[#This Row],[SIP_TOTAL UNITS SOLD]]=0,0,SUMIFS(SIP[Cost of Units Sold],SIP[Investor ID],INVESTORS_LIST[[#This Row],[INVESTOR CODE]],SIP[B/S],"S"))</f>
        <v>0</v>
      </c>
      <c r="Q514" s="48">
        <f>IF(INVESTORS_LIST[[#This Row],[SIP_TOTAL CURRENT UNITS]]=0,0,INVESTORS_LIST[[#This Row],[SIP_TOTAL CURRENT UNITS]]*INVESTORS_LIST[[#This Row],[SIP_AVERAGE COST]])</f>
        <v>0</v>
      </c>
      <c r="R514" s="48">
        <f>IF(INVESTORS_LIST[[#This Row],[SIP_TOTAL UNITS SOLD]]=0,0,SUMIFS(SIP[Realized Gain],SIP[Investor ID],INVESTORS_LIST[[#This Row],[INVESTOR CODE]],SIP[B/S],"S"))</f>
        <v>0</v>
      </c>
      <c r="S514" s="50">
        <f>INVESTORS_LIST[[#This Row],[LS_TOTAL UNITS BUY]]+INVESTORS_LIST[[#This Row],[SIP_TOTAL UNITS BUY]]</f>
        <v>189107</v>
      </c>
      <c r="T514" s="50">
        <f>INVESTORS_LIST[[#This Row],[LS_TOTAL UNITS SOLD]]+INVESTORS_LIST[[#This Row],[SIP_TOTAL UNITS SOLD]]</f>
        <v>0</v>
      </c>
      <c r="U514" s="50"/>
      <c r="V514" s="50">
        <f>SUMIFS(LS[BO UNIT TRANSFER],LS[Investor ID],INVESTORS_LIST[[#This Row],[INVESTOR CODE]],LS[B/S],"B")</f>
        <v>0</v>
      </c>
      <c r="W514" s="50">
        <f>SUMIFS(SIP[BO UNIT TRANSFER],SIP[Investor ID],INVESTORS_LIST[[#This Row],[INVESTOR CODE]],SIP[B/S],"B")</f>
        <v>0</v>
      </c>
      <c r="X514" s="50">
        <f>SUMIFS(LS[BO UNIT TRANSFER],LS[Investor ID],INVESTORS_LIST[[#This Row],[INVESTOR CODE]],LS[B/S],"S")</f>
        <v>0</v>
      </c>
      <c r="Y514" s="50">
        <f>SUMIFS(SIP[BO UNIT TRANSFER],SIP[Investor ID],INVESTORS_LIST[[#This Row],[INVESTOR CODE]],SIP[B/S],"S")</f>
        <v>0</v>
      </c>
      <c r="Z514" s="106">
        <f>SUM(INVESTORS_LIST[[#This Row],[BO OPENING BALANCE]:[BO SIP UNITS REPURCHASE]])</f>
        <v>0</v>
      </c>
      <c r="AA514" s="107">
        <f>INVESTORS_LIST[[#This Row],[TOTAL UNITS BUY]]-INVESTORS_LIST[[#This Row],[TOTAL UNITS SOLD]]</f>
        <v>189107</v>
      </c>
      <c r="AB514" s="107">
        <f>INVESTORS_LIST[[#This Row],[TOTAL CURRENT UNITS]]-INVESTORS_LIST[[#This Row],[BO UNITS HOLD]]</f>
        <v>189107</v>
      </c>
      <c r="AC514" s="201" t="e">
        <f>INDEX([3]!Table_1[BO ID],MATCH(INVESTORS_LIST[[#This Row],[INVESTOR CODE]],[3]!Table_1[INVESTOR CODE],0))</f>
        <v>#REF!</v>
      </c>
      <c r="AD514" s="201" t="e">
        <f>INDEX([3]!Table_1[Brokerage Name2],MATCH(INVESTORS_LIST[[#This Row],[INVESTOR CODE]],[3]!Table_1[INVESTOR CODE],0))</f>
        <v>#REF!</v>
      </c>
      <c r="AE514" s="201" t="e">
        <f>MID(INVESTORS_LIST[[#This Row],[BO ID]],4,5)</f>
        <v>#REF!</v>
      </c>
      <c r="AF514" s="201" t="e">
        <f>MID(INVESTORS_LIST[[#This Row],[BO ID]],2,7)</f>
        <v>#REF!</v>
      </c>
      <c r="AG514" s="201" t="e">
        <f>MID(INVESTORS_LIST[[#This Row],[BO ID]],9,7)</f>
        <v>#REF!</v>
      </c>
      <c r="AH514" s="201" t="e">
        <f>RIGHT(INVESTORS_LIST[[#This Row],[BO ID]],1)</f>
        <v>#REF!</v>
      </c>
      <c r="AI514" s="50">
        <f>INVESTORS_LIST[[#This Row],[LS_TOTAL COST VALUE OF CURRENT UNITS]]+INVESTORS_LIST[[#This Row],[SIP_TOTAL COST VALUE OF CURRENT UNITS]]</f>
        <v>2000000</v>
      </c>
      <c r="AJ514" s="109">
        <f>IF(INVESTORS_LIST[[#This Row],[TOTAL CURRENT UNITS]]=0,0,INVESTORS_LIST[[#This Row],[LS_TOTAL CURRENT UNITS]]/INVESTORS_LIST[[#This Row],[TOTAL CURRENT UNITS]])</f>
        <v>1</v>
      </c>
      <c r="AK514" s="109">
        <f>IF(INVESTORS_LIST[[#This Row],[TOTAL CURRENT UNITS]]=0,0,INVESTORS_LIST[[#This Row],[SIP_TOTAL CURRENT UNITS]]/INVESTORS_LIST[[#This Row],[TOTAL CURRENT UNITS]])</f>
        <v>0</v>
      </c>
      <c r="AL514" s="49" cm="1">
        <f t="array" ref="AL514">IF(INVESTORS_LIST[[#This Row],[LS_TOTAL UNITS BUY]]&gt;0,INDEX(LS[NAV at Cost (Average)],MATCH(CONCATENATE(COUNTIFS(LS[Investor ID],INVESTORS_LIST[[#This Row],[INVESTOR CODE]]),INVESTORS_LIST[[#This Row],[INVESTOR CODE]]),LS[Unique Code],0),),0)</f>
        <v>10.576023098034446</v>
      </c>
      <c r="AM514" s="49" cm="1">
        <f t="array" ref="AM5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4" s="105">
        <f>IF(INVESTORS_LIST[[#This Row],[TOTAL CURRENT UNITS]]=0,0,(INVESTORS_LIST[[#This Row],[LS_WEIGHT]]*INVESTORS_LIST[[#This Row],[LS_AVERAGE COST]])+(INVESTORS_LIST[[#This Row],[SIP_WEIGHT]]*INVESTORS_LIST[[#This Row],[SIP_AVERAGE COST]]))</f>
        <v>10.576023098034446</v>
      </c>
      <c r="AO514" s="105">
        <f t="shared" si="8"/>
        <v>14.224</v>
      </c>
      <c r="AP514" s="112">
        <f>IF(INVESTORS_LIST[[#This Row],[TOTAL CURRENT UNITS]]=0,0,INVESTORS_LIST[[#This Row],[TOTAL CURRENT UNITS]]*INVESTORS_LIST[[#This Row],[NAV]])</f>
        <v>2689857.9679999999</v>
      </c>
      <c r="AQ514" s="49">
        <f>IF(INVESTORS_LIST[[#This Row],[LS_TOTAL CURRENT UNITS]]=0,0,INVESTORS_LIST[[#This Row],[LS_TOTAL CURRENT UNITS]]*INVESTORS_LIST[[#This Row],[NAV]])</f>
        <v>2689857.9679999999</v>
      </c>
      <c r="AR514" s="48">
        <f>IF(INVESTORS_LIST[[#This Row],[SIP_TOTAL CURRENT UNITS]]=0,0,INVESTORS_LIST[[#This Row],[SIP_TOTAL CURRENT UNITS]]*INVESTORS_LIST[[#This Row],[NAV]])</f>
        <v>0</v>
      </c>
      <c r="AS514" s="50">
        <f>INVESTORS_LIST[[#This Row],[TOTAL CURRENT UNITS]]</f>
        <v>189107</v>
      </c>
      <c r="AT514" s="48">
        <f>IF(INVESTORS_LIST[[#This Row],[TOTAL SELLABLE UNITS]]=0,0,INVESTORS_LIST[[#This Row],[TOTAL SELLABLE UNITS]]*INVESTORS_LIST[[#This Row],[NAV]])</f>
        <v>2689857.9679999999</v>
      </c>
      <c r="AU514" s="48">
        <f>INVESTORS_LIST[[#This Row],[LS_TOTAL REALIZED GAIN]]+INVESTORS_LIST[[#This Row],[SIP_TOTAL REALIZED GAIN]]</f>
        <v>0</v>
      </c>
      <c r="AV514" s="48">
        <f>INVESTORS_LIST[[#This Row],[TOTAL MARKET VALUE]]-INVESTORS_LIST[[#This Row],[TOTAL COST VALUE OF CURRENT INVESTMENT]]</f>
        <v>689857.96799999988</v>
      </c>
      <c r="AW514" s="48">
        <f>IFERROR(INVESTORS_LIST[[#This Row],[TOTAL CURRENT UNITS]]/SUM(INVESTORS_LIST[TOTAL CURRENT UNITS]),0)</f>
        <v>4.5908008466084742E-3</v>
      </c>
    </row>
    <row r="515" spans="1:49">
      <c r="A515" s="262" t="s">
        <v>1074</v>
      </c>
      <c r="B515" s="97" t="s">
        <v>1075</v>
      </c>
      <c r="C515" t="s">
        <v>67</v>
      </c>
      <c r="D515" s="75" t="s">
        <v>45</v>
      </c>
      <c r="E515" s="47">
        <f>SUMIFS(LS[Unit],LS[Investor ID],INVESTORS_LIST[[#This Row],[INVESTOR CODE]],LS[B/S],"B")</f>
        <v>4440</v>
      </c>
      <c r="F515" s="47">
        <f>-SUMIFS(LS[Unit],LS[Investor ID],INVESTORS_LIST[[#This Row],[INVESTOR CODE]],LS[B/S],"S")</f>
        <v>2906</v>
      </c>
      <c r="G515" s="47">
        <f>IF(INVESTORS_LIST[[#This Row],[LS_TOTAL UNITS BUY]]=0,0,INVESTORS_LIST[[#This Row],[LS_TOTAL UNITS BUY]]-INVESTORS_LIST[[#This Row],[LS_TOTAL UNITS SOLD]])</f>
        <v>1534</v>
      </c>
      <c r="H515" s="49">
        <f>IF(INVESTORS_LIST[[#This Row],[LS_TOTAL UNITS BUY]]=0,0,SUMIFS(LS[Amount],LS[Investor ID],INVESTORS_LIST[[#This Row],[INVESTOR CODE]],LS[B/S],"B"))</f>
        <v>54000</v>
      </c>
      <c r="I515" s="48">
        <f>IF(INVESTORS_LIST[[#This Row],[LS_TOTAL UNITS SOLD]]=0,0,SUMIFS(LS[Cost of Units Sold],LS[Investor ID],INVESTORS_LIST[[#This Row],[INVESTOR CODE]],LS[B/S],"S"))</f>
        <v>35343.24324324324</v>
      </c>
      <c r="J515" s="48">
        <f>IF(INVESTORS_LIST[[#This Row],[LS_TOTAL CURRENT UNITS]]=0,0,INVESTORS_LIST[[#This Row],[LS_TOTAL CURRENT UNITS]]*INVESTORS_LIST[[#This Row],[LS_AVERAGE COST]])</f>
        <v>18656.756756756757</v>
      </c>
      <c r="K515" s="49">
        <f>IF(INVESTORS_LIST[[#This Row],[LS_TOTAL UNITS SOLD]]=0,0,SUMIFS(LS[Realized Gain],LS[Investor ID],INVESTORS_LIST[[#This Row],[INVESTOR CODE]],LS[B/S],"S"))</f>
        <v>4656.7567567567576</v>
      </c>
      <c r="L515" s="47">
        <f>SUMIFS(SIP[Unit],SIP[Investor ID],INVESTORS_LIST[[#This Row],[INVESTOR CODE]],SIP[B/S],"B")</f>
        <v>3174</v>
      </c>
      <c r="M515" s="47">
        <f>-SUMIFS(SIP[Unit],SIP[Investor ID],INVESTORS_LIST[[#This Row],[INVESTOR CODE]],SIP[B/S],"S")</f>
        <v>0</v>
      </c>
      <c r="N515" s="50">
        <f>IF(INVESTORS_LIST[[#This Row],[SIP_TOTAL UNITS BUY]]=0,0,INVESTORS_LIST[[#This Row],[SIP_TOTAL UNITS BUY]]-INVESTORS_LIST[[#This Row],[SIP_TOTAL UNITS SOLD]])</f>
        <v>3174</v>
      </c>
      <c r="O515" s="49">
        <f>IF(INVESTORS_LIST[[#This Row],[SIP_TOTAL UNITS BUY]]=0,0,SUMIFS(SIP[Amount],SIP[Investor ID],INVESTORS_LIST[[#This Row],[INVESTOR CODE]],SIP[B/S],"B"))</f>
        <v>42000</v>
      </c>
      <c r="P515" s="49">
        <f>IF(INVESTORS_LIST[[#This Row],[SIP_TOTAL UNITS SOLD]]=0,0,SUMIFS(SIP[Cost of Units Sold],SIP[Investor ID],INVESTORS_LIST[[#This Row],[INVESTOR CODE]],SIP[B/S],"S"))</f>
        <v>0</v>
      </c>
      <c r="Q515" s="48">
        <f>IF(INVESTORS_LIST[[#This Row],[SIP_TOTAL CURRENT UNITS]]=0,0,INVESTORS_LIST[[#This Row],[SIP_TOTAL CURRENT UNITS]]*INVESTORS_LIST[[#This Row],[SIP_AVERAGE COST]])</f>
        <v>42000</v>
      </c>
      <c r="R515" s="48">
        <f>IF(INVESTORS_LIST[[#This Row],[SIP_TOTAL UNITS SOLD]]=0,0,SUMIFS(SIP[Realized Gain],SIP[Investor ID],INVESTORS_LIST[[#This Row],[INVESTOR CODE]],SIP[B/S],"S"))</f>
        <v>0</v>
      </c>
      <c r="S515" s="50">
        <f>INVESTORS_LIST[[#This Row],[LS_TOTAL UNITS BUY]]+INVESTORS_LIST[[#This Row],[SIP_TOTAL UNITS BUY]]</f>
        <v>7614</v>
      </c>
      <c r="T515" s="50">
        <f>INVESTORS_LIST[[#This Row],[LS_TOTAL UNITS SOLD]]+INVESTORS_LIST[[#This Row],[SIP_TOTAL UNITS SOLD]]</f>
        <v>2906</v>
      </c>
      <c r="U515" s="50"/>
      <c r="V515" s="50">
        <f>SUMIFS(LS[BO UNIT TRANSFER],LS[Investor ID],INVESTORS_LIST[[#This Row],[INVESTOR CODE]],LS[B/S],"B")</f>
        <v>0</v>
      </c>
      <c r="W515" s="50">
        <f>SUMIFS(SIP[BO UNIT TRANSFER],SIP[Investor ID],INVESTORS_LIST[[#This Row],[INVESTOR CODE]],SIP[B/S],"B")</f>
        <v>0</v>
      </c>
      <c r="X515" s="50">
        <f>SUMIFS(LS[BO UNIT TRANSFER],LS[Investor ID],INVESTORS_LIST[[#This Row],[INVESTOR CODE]],LS[B/S],"S")</f>
        <v>0</v>
      </c>
      <c r="Y515" s="50">
        <f>SUMIFS(SIP[BO UNIT TRANSFER],SIP[Investor ID],INVESTORS_LIST[[#This Row],[INVESTOR CODE]],SIP[B/S],"S")</f>
        <v>0</v>
      </c>
      <c r="Z515" s="106">
        <f>SUM(INVESTORS_LIST[[#This Row],[BO OPENING BALANCE]:[BO SIP UNITS REPURCHASE]])</f>
        <v>0</v>
      </c>
      <c r="AA515" s="107">
        <f>INVESTORS_LIST[[#This Row],[TOTAL UNITS BUY]]-INVESTORS_LIST[[#This Row],[TOTAL UNITS SOLD]]</f>
        <v>4708</v>
      </c>
      <c r="AB515" s="107">
        <f>INVESTORS_LIST[[#This Row],[TOTAL CURRENT UNITS]]-INVESTORS_LIST[[#This Row],[BO UNITS HOLD]]</f>
        <v>4708</v>
      </c>
      <c r="AC515" s="201" t="e">
        <f>INDEX([3]!Table_1[BO ID],MATCH(INVESTORS_LIST[[#This Row],[INVESTOR CODE]],[3]!Table_1[INVESTOR CODE],0))</f>
        <v>#REF!</v>
      </c>
      <c r="AD515" s="201" t="e">
        <f>INDEX([3]!Table_1[Brokerage Name2],MATCH(INVESTORS_LIST[[#This Row],[INVESTOR CODE]],[3]!Table_1[INVESTOR CODE],0))</f>
        <v>#REF!</v>
      </c>
      <c r="AE515" s="201" t="e">
        <f>MID(INVESTORS_LIST[[#This Row],[BO ID]],4,5)</f>
        <v>#REF!</v>
      </c>
      <c r="AF515" s="201" t="e">
        <f>MID(INVESTORS_LIST[[#This Row],[BO ID]],2,7)</f>
        <v>#REF!</v>
      </c>
      <c r="AG515" s="201" t="e">
        <f>MID(INVESTORS_LIST[[#This Row],[BO ID]],9,7)</f>
        <v>#REF!</v>
      </c>
      <c r="AH515" s="201" t="e">
        <f>RIGHT(INVESTORS_LIST[[#This Row],[BO ID]],1)</f>
        <v>#REF!</v>
      </c>
      <c r="AI515" s="50">
        <f>INVESTORS_LIST[[#This Row],[LS_TOTAL COST VALUE OF CURRENT UNITS]]+INVESTORS_LIST[[#This Row],[SIP_TOTAL COST VALUE OF CURRENT UNITS]]</f>
        <v>60656.75675675676</v>
      </c>
      <c r="AJ515" s="109">
        <f>IF(INVESTORS_LIST[[#This Row],[TOTAL CURRENT UNITS]]=0,0,INVESTORS_LIST[[#This Row],[LS_TOTAL CURRENT UNITS]]/INVESTORS_LIST[[#This Row],[TOTAL CURRENT UNITS]])</f>
        <v>0.32582837723024638</v>
      </c>
      <c r="AK515" s="109">
        <f>IF(INVESTORS_LIST[[#This Row],[TOTAL CURRENT UNITS]]=0,0,INVESTORS_LIST[[#This Row],[SIP_TOTAL CURRENT UNITS]]/INVESTORS_LIST[[#This Row],[TOTAL CURRENT UNITS]])</f>
        <v>0.67417162276975362</v>
      </c>
      <c r="AL515" s="49" cm="1">
        <f t="array" ref="AL515">IF(INVESTORS_LIST[[#This Row],[LS_TOTAL UNITS BUY]]&gt;0,INDEX(LS[NAV at Cost (Average)],MATCH(CONCATENATE(COUNTIFS(LS[Investor ID],INVESTORS_LIST[[#This Row],[INVESTOR CODE]]),INVESTORS_LIST[[#This Row],[INVESTOR CODE]]),LS[Unique Code],0),),0)</f>
        <v>12.162162162162161</v>
      </c>
      <c r="AM515" s="49" cm="1">
        <f t="array" ref="AM515">IF(INVESTORS_LIST[[#This Row],[SIP_TOTAL UNITS BUY]]&gt;0,INDEX(SIP[NAV at Cost (Average)],MATCH(CONCATENATE(COUNTIFS(SIP[Investor ID],INVESTORS_LIST[[#This Row],[INVESTOR CODE]]),INVESTORS_LIST[[#This Row],[INVESTOR CODE]]),SIP[Unique Code],0),),0)</f>
        <v>13.232514177693762</v>
      </c>
      <c r="AN515" s="105">
        <f>IF(INVESTORS_LIST[[#This Row],[TOTAL CURRENT UNITS]]=0,0,(INVESTORS_LIST[[#This Row],[LS_WEIGHT]]*INVESTORS_LIST[[#This Row],[LS_AVERAGE COST]])+(INVESTORS_LIST[[#This Row],[SIP_WEIGHT]]*INVESTORS_LIST[[#This Row],[SIP_AVERAGE COST]]))</f>
        <v>12.883763117407977</v>
      </c>
      <c r="AO515" s="105">
        <f t="shared" ref="AO515:AO578" si="9">NAV_MKT</f>
        <v>14.224</v>
      </c>
      <c r="AP515" s="112">
        <f>IF(INVESTORS_LIST[[#This Row],[TOTAL CURRENT UNITS]]=0,0,INVESTORS_LIST[[#This Row],[TOTAL CURRENT UNITS]]*INVESTORS_LIST[[#This Row],[NAV]])</f>
        <v>66966.592000000004</v>
      </c>
      <c r="AQ515" s="49">
        <f>IF(INVESTORS_LIST[[#This Row],[LS_TOTAL CURRENT UNITS]]=0,0,INVESTORS_LIST[[#This Row],[LS_TOTAL CURRENT UNITS]]*INVESTORS_LIST[[#This Row],[NAV]])</f>
        <v>21819.616000000002</v>
      </c>
      <c r="AR515" s="48">
        <f>IF(INVESTORS_LIST[[#This Row],[SIP_TOTAL CURRENT UNITS]]=0,0,INVESTORS_LIST[[#This Row],[SIP_TOTAL CURRENT UNITS]]*INVESTORS_LIST[[#This Row],[NAV]])</f>
        <v>45146.976000000002</v>
      </c>
      <c r="AS515" s="50">
        <f>INVESTORS_LIST[[#This Row],[TOTAL CURRENT UNITS]]</f>
        <v>4708</v>
      </c>
      <c r="AT515" s="48">
        <f>IF(INVESTORS_LIST[[#This Row],[TOTAL SELLABLE UNITS]]=0,0,INVESTORS_LIST[[#This Row],[TOTAL SELLABLE UNITS]]*INVESTORS_LIST[[#This Row],[NAV]])</f>
        <v>66966.592000000004</v>
      </c>
      <c r="AU515" s="48">
        <f>INVESTORS_LIST[[#This Row],[LS_TOTAL REALIZED GAIN]]+INVESTORS_LIST[[#This Row],[SIP_TOTAL REALIZED GAIN]]</f>
        <v>4656.7567567567576</v>
      </c>
      <c r="AV515" s="48">
        <f>INVESTORS_LIST[[#This Row],[TOTAL MARKET VALUE]]-INVESTORS_LIST[[#This Row],[TOTAL COST VALUE OF CURRENT INVESTMENT]]</f>
        <v>6309.8352432432439</v>
      </c>
      <c r="AW515" s="48">
        <f>IFERROR(INVESTORS_LIST[[#This Row],[TOTAL CURRENT UNITS]]/SUM(INVESTORS_LIST[TOTAL CURRENT UNITS]),0)</f>
        <v>1.1429238677485601E-4</v>
      </c>
    </row>
    <row r="516" spans="1:49" hidden="1">
      <c r="A516" s="262" t="s">
        <v>1076</v>
      </c>
      <c r="B516" s="97" t="s">
        <v>1077</v>
      </c>
      <c r="C516" t="s">
        <v>44</v>
      </c>
      <c r="D516" s="75" t="s">
        <v>45</v>
      </c>
      <c r="E516" s="47">
        <f>SUMIFS(LS[Unit],LS[Investor ID],INVESTORS_LIST[[#This Row],[INVESTOR CODE]],LS[B/S],"B")</f>
        <v>78009</v>
      </c>
      <c r="F516" s="47">
        <f>-SUMIFS(LS[Unit],LS[Investor ID],INVESTORS_LIST[[#This Row],[INVESTOR CODE]],LS[B/S],"S")</f>
        <v>78009</v>
      </c>
      <c r="G516" s="47">
        <f>IF(INVESTORS_LIST[[#This Row],[LS_TOTAL UNITS BUY]]=0,0,INVESTORS_LIST[[#This Row],[LS_TOTAL UNITS BUY]]-INVESTORS_LIST[[#This Row],[LS_TOTAL UNITS SOLD]])</f>
        <v>0</v>
      </c>
      <c r="H516" s="49">
        <f>IF(INVESTORS_LIST[[#This Row],[LS_TOTAL UNITS BUY]]=0,0,SUMIFS(LS[Amount],LS[Investor ID],INVESTORS_LIST[[#This Row],[INVESTOR CODE]],LS[B/S],"B"))</f>
        <v>878043.64</v>
      </c>
      <c r="I516" s="48">
        <f>IF(INVESTORS_LIST[[#This Row],[LS_TOTAL UNITS SOLD]]=0,0,SUMIFS(LS[Cost of Units Sold],LS[Investor ID],INVESTORS_LIST[[#This Row],[INVESTOR CODE]],LS[B/S],"S"))</f>
        <v>878043.64</v>
      </c>
      <c r="J516" s="48">
        <f>IF(INVESTORS_LIST[[#This Row],[LS_TOTAL CURRENT UNITS]]=0,0,INVESTORS_LIST[[#This Row],[LS_TOTAL CURRENT UNITS]]*INVESTORS_LIST[[#This Row],[LS_AVERAGE COST]])</f>
        <v>0</v>
      </c>
      <c r="K516" s="49">
        <f>IF(INVESTORS_LIST[[#This Row],[LS_TOTAL UNITS SOLD]]=0,0,SUMIFS(LS[Realized Gain],LS[Investor ID],INVESTORS_LIST[[#This Row],[INVESTOR CODE]],LS[B/S],"S"))</f>
        <v>43731.069999999956</v>
      </c>
      <c r="L516" s="47">
        <f>SUMIFS(SIP[Unit],SIP[Investor ID],INVESTORS_LIST[[#This Row],[INVESTOR CODE]],SIP[B/S],"B")</f>
        <v>0</v>
      </c>
      <c r="M516" s="47">
        <f>-SUMIFS(SIP[Unit],SIP[Investor ID],INVESTORS_LIST[[#This Row],[INVESTOR CODE]],SIP[B/S],"S")</f>
        <v>0</v>
      </c>
      <c r="N516" s="50">
        <f>IF(INVESTORS_LIST[[#This Row],[SIP_TOTAL UNITS BUY]]=0,0,INVESTORS_LIST[[#This Row],[SIP_TOTAL UNITS BUY]]-INVESTORS_LIST[[#This Row],[SIP_TOTAL UNITS SOLD]])</f>
        <v>0</v>
      </c>
      <c r="O516" s="49">
        <f>IF(INVESTORS_LIST[[#This Row],[SIP_TOTAL UNITS BUY]]=0,0,SUMIFS(SIP[Amount],SIP[Investor ID],INVESTORS_LIST[[#This Row],[INVESTOR CODE]],SIP[B/S],"B"))</f>
        <v>0</v>
      </c>
      <c r="P516" s="49">
        <f>IF(INVESTORS_LIST[[#This Row],[SIP_TOTAL UNITS SOLD]]=0,0,SUMIFS(SIP[Cost of Units Sold],SIP[Investor ID],INVESTORS_LIST[[#This Row],[INVESTOR CODE]],SIP[B/S],"S"))</f>
        <v>0</v>
      </c>
      <c r="Q516" s="48">
        <f>IF(INVESTORS_LIST[[#This Row],[SIP_TOTAL CURRENT UNITS]]=0,0,INVESTORS_LIST[[#This Row],[SIP_TOTAL CURRENT UNITS]]*INVESTORS_LIST[[#This Row],[SIP_AVERAGE COST]])</f>
        <v>0</v>
      </c>
      <c r="R516" s="48">
        <f>IF(INVESTORS_LIST[[#This Row],[SIP_TOTAL UNITS SOLD]]=0,0,SUMIFS(SIP[Realized Gain],SIP[Investor ID],INVESTORS_LIST[[#This Row],[INVESTOR CODE]],SIP[B/S],"S"))</f>
        <v>0</v>
      </c>
      <c r="S516" s="50">
        <f>INVESTORS_LIST[[#This Row],[LS_TOTAL UNITS BUY]]+INVESTORS_LIST[[#This Row],[SIP_TOTAL UNITS BUY]]</f>
        <v>78009</v>
      </c>
      <c r="T516" s="50">
        <f>INVESTORS_LIST[[#This Row],[LS_TOTAL UNITS SOLD]]+INVESTORS_LIST[[#This Row],[SIP_TOTAL UNITS SOLD]]</f>
        <v>78009</v>
      </c>
      <c r="U516" s="50"/>
      <c r="V516" s="50">
        <f>SUMIFS(LS[BO UNIT TRANSFER],LS[Investor ID],INVESTORS_LIST[[#This Row],[INVESTOR CODE]],LS[B/S],"B")</f>
        <v>0</v>
      </c>
      <c r="W516" s="50">
        <f>SUMIFS(SIP[BO UNIT TRANSFER],SIP[Investor ID],INVESTORS_LIST[[#This Row],[INVESTOR CODE]],SIP[B/S],"B")</f>
        <v>0</v>
      </c>
      <c r="X516" s="50">
        <f>SUMIFS(LS[BO UNIT TRANSFER],LS[Investor ID],INVESTORS_LIST[[#This Row],[INVESTOR CODE]],LS[B/S],"S")</f>
        <v>0</v>
      </c>
      <c r="Y516" s="50">
        <f>SUMIFS(SIP[BO UNIT TRANSFER],SIP[Investor ID],INVESTORS_LIST[[#This Row],[INVESTOR CODE]],SIP[B/S],"S")</f>
        <v>0</v>
      </c>
      <c r="Z516" s="106">
        <f>SUM(INVESTORS_LIST[[#This Row],[BO OPENING BALANCE]:[BO SIP UNITS REPURCHASE]])</f>
        <v>0</v>
      </c>
      <c r="AA516" s="107">
        <f>INVESTORS_LIST[[#This Row],[TOTAL UNITS BUY]]-INVESTORS_LIST[[#This Row],[TOTAL UNITS SOLD]]</f>
        <v>0</v>
      </c>
      <c r="AB516" s="107">
        <f>INVESTORS_LIST[[#This Row],[TOTAL CURRENT UNITS]]-INVESTORS_LIST[[#This Row],[BO UNITS HOLD]]</f>
        <v>0</v>
      </c>
      <c r="AC516" s="201" t="e">
        <f>INDEX([3]!Table_1[BO ID],MATCH(INVESTORS_LIST[[#This Row],[INVESTOR CODE]],[3]!Table_1[INVESTOR CODE],0))</f>
        <v>#REF!</v>
      </c>
      <c r="AD516" s="201" t="e">
        <f>INDEX([3]!Table_1[Brokerage Name2],MATCH(INVESTORS_LIST[[#This Row],[INVESTOR CODE]],[3]!Table_1[INVESTOR CODE],0))</f>
        <v>#REF!</v>
      </c>
      <c r="AE516" s="201" t="e">
        <f>MID(INVESTORS_LIST[[#This Row],[BO ID]],4,5)</f>
        <v>#REF!</v>
      </c>
      <c r="AF516" s="201" t="e">
        <f>MID(INVESTORS_LIST[[#This Row],[BO ID]],2,7)</f>
        <v>#REF!</v>
      </c>
      <c r="AG516" s="201" t="e">
        <f>MID(INVESTORS_LIST[[#This Row],[BO ID]],9,7)</f>
        <v>#REF!</v>
      </c>
      <c r="AH516" s="201" t="e">
        <f>RIGHT(INVESTORS_LIST[[#This Row],[BO ID]],1)</f>
        <v>#REF!</v>
      </c>
      <c r="AI516" s="50">
        <f>INVESTORS_LIST[[#This Row],[LS_TOTAL COST VALUE OF CURRENT UNITS]]+INVESTORS_LIST[[#This Row],[SIP_TOTAL COST VALUE OF CURRENT UNITS]]</f>
        <v>0</v>
      </c>
      <c r="AJ516" s="109">
        <f>IF(INVESTORS_LIST[[#This Row],[TOTAL CURRENT UNITS]]=0,0,INVESTORS_LIST[[#This Row],[LS_TOTAL CURRENT UNITS]]/INVESTORS_LIST[[#This Row],[TOTAL CURRENT UNITS]])</f>
        <v>0</v>
      </c>
      <c r="AK516" s="109">
        <f>IF(INVESTORS_LIST[[#This Row],[TOTAL CURRENT UNITS]]=0,0,INVESTORS_LIST[[#This Row],[SIP_TOTAL CURRENT UNITS]]/INVESTORS_LIST[[#This Row],[TOTAL CURRENT UNITS]])</f>
        <v>0</v>
      </c>
      <c r="AL516" s="49" cm="1">
        <f t="array" ref="AL5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6" s="49" cm="1">
        <f t="array" ref="AM5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6" s="105">
        <f t="shared" si="9"/>
        <v>14.224</v>
      </c>
      <c r="AP516" s="112">
        <f>IF(INVESTORS_LIST[[#This Row],[TOTAL CURRENT UNITS]]=0,0,INVESTORS_LIST[[#This Row],[TOTAL CURRENT UNITS]]*INVESTORS_LIST[[#This Row],[NAV]])</f>
        <v>0</v>
      </c>
      <c r="AQ516" s="49">
        <f>IF(INVESTORS_LIST[[#This Row],[LS_TOTAL CURRENT UNITS]]=0,0,INVESTORS_LIST[[#This Row],[LS_TOTAL CURRENT UNITS]]*INVESTORS_LIST[[#This Row],[NAV]])</f>
        <v>0</v>
      </c>
      <c r="AR516" s="48">
        <f>IF(INVESTORS_LIST[[#This Row],[SIP_TOTAL CURRENT UNITS]]=0,0,INVESTORS_LIST[[#This Row],[SIP_TOTAL CURRENT UNITS]]*INVESTORS_LIST[[#This Row],[NAV]])</f>
        <v>0</v>
      </c>
      <c r="AS516" s="50">
        <f>INVESTORS_LIST[[#This Row],[TOTAL CURRENT UNITS]]</f>
        <v>0</v>
      </c>
      <c r="AT516" s="48">
        <f>IF(INVESTORS_LIST[[#This Row],[TOTAL SELLABLE UNITS]]=0,0,INVESTORS_LIST[[#This Row],[TOTAL SELLABLE UNITS]]*INVESTORS_LIST[[#This Row],[NAV]])</f>
        <v>0</v>
      </c>
      <c r="AU516" s="48">
        <f>INVESTORS_LIST[[#This Row],[LS_TOTAL REALIZED GAIN]]+INVESTORS_LIST[[#This Row],[SIP_TOTAL REALIZED GAIN]]</f>
        <v>43731.069999999956</v>
      </c>
      <c r="AV516" s="48">
        <f>INVESTORS_LIST[[#This Row],[TOTAL MARKET VALUE]]-INVESTORS_LIST[[#This Row],[TOTAL COST VALUE OF CURRENT INVESTMENT]]</f>
        <v>0</v>
      </c>
      <c r="AW516" s="48">
        <f>IFERROR(INVESTORS_LIST[[#This Row],[TOTAL CURRENT UNITS]]/SUM(INVESTORS_LIST[TOTAL CURRENT UNITS]),0)</f>
        <v>0</v>
      </c>
    </row>
    <row r="517" spans="1:49" hidden="1">
      <c r="A517" s="262" t="s">
        <v>1078</v>
      </c>
      <c r="B517" s="97" t="s">
        <v>1079</v>
      </c>
      <c r="C517" t="s">
        <v>67</v>
      </c>
      <c r="D517" s="75" t="s">
        <v>45</v>
      </c>
      <c r="E517" s="47">
        <f>SUMIFS(LS[Unit],LS[Investor ID],INVESTORS_LIST[[#This Row],[INVESTOR CODE]],LS[B/S],"B")</f>
        <v>200000</v>
      </c>
      <c r="F517" s="47">
        <f>-SUMIFS(LS[Unit],LS[Investor ID],INVESTORS_LIST[[#This Row],[INVESTOR CODE]],LS[B/S],"S")</f>
        <v>200000</v>
      </c>
      <c r="G517" s="47">
        <f>IF(INVESTORS_LIST[[#This Row],[LS_TOTAL UNITS BUY]]=0,0,INVESTORS_LIST[[#This Row],[LS_TOTAL UNITS BUY]]-INVESTORS_LIST[[#This Row],[LS_TOTAL UNITS SOLD]])</f>
        <v>0</v>
      </c>
      <c r="H517" s="49">
        <f>IF(INVESTORS_LIST[[#This Row],[LS_TOTAL UNITS BUY]]=0,0,SUMIFS(LS[Amount],LS[Investor ID],INVESTORS_LIST[[#This Row],[INVESTOR CODE]],LS[B/S],"B"))</f>
        <v>2125400</v>
      </c>
      <c r="I517" s="48">
        <f>IF(INVESTORS_LIST[[#This Row],[LS_TOTAL UNITS SOLD]]=0,0,SUMIFS(LS[Cost of Units Sold],LS[Investor ID],INVESTORS_LIST[[#This Row],[INVESTOR CODE]],LS[B/S],"S"))</f>
        <v>2125400</v>
      </c>
      <c r="J517" s="48">
        <f>IF(INVESTORS_LIST[[#This Row],[LS_TOTAL CURRENT UNITS]]=0,0,INVESTORS_LIST[[#This Row],[LS_TOTAL CURRENT UNITS]]*INVESTORS_LIST[[#This Row],[LS_AVERAGE COST]])</f>
        <v>0</v>
      </c>
      <c r="K517" s="49">
        <f>IF(INVESTORS_LIST[[#This Row],[LS_TOTAL UNITS SOLD]]=0,0,SUMIFS(LS[Realized Gain],LS[Investor ID],INVESTORS_LIST[[#This Row],[INVESTOR CODE]],LS[B/S],"S"))</f>
        <v>630399.99999999988</v>
      </c>
      <c r="L517" s="47">
        <f>SUMIFS(SIP[Unit],SIP[Investor ID],INVESTORS_LIST[[#This Row],[INVESTOR CODE]],SIP[B/S],"B")</f>
        <v>0</v>
      </c>
      <c r="M517" s="47">
        <f>-SUMIFS(SIP[Unit],SIP[Investor ID],INVESTORS_LIST[[#This Row],[INVESTOR CODE]],SIP[B/S],"S")</f>
        <v>0</v>
      </c>
      <c r="N517" s="50">
        <f>IF(INVESTORS_LIST[[#This Row],[SIP_TOTAL UNITS BUY]]=0,0,INVESTORS_LIST[[#This Row],[SIP_TOTAL UNITS BUY]]-INVESTORS_LIST[[#This Row],[SIP_TOTAL UNITS SOLD]])</f>
        <v>0</v>
      </c>
      <c r="O517" s="49">
        <f>IF(INVESTORS_LIST[[#This Row],[SIP_TOTAL UNITS BUY]]=0,0,SUMIFS(SIP[Amount],SIP[Investor ID],INVESTORS_LIST[[#This Row],[INVESTOR CODE]],SIP[B/S],"B"))</f>
        <v>0</v>
      </c>
      <c r="P517" s="49">
        <f>IF(INVESTORS_LIST[[#This Row],[SIP_TOTAL UNITS SOLD]]=0,0,SUMIFS(SIP[Cost of Units Sold],SIP[Investor ID],INVESTORS_LIST[[#This Row],[INVESTOR CODE]],SIP[B/S],"S"))</f>
        <v>0</v>
      </c>
      <c r="Q517" s="48">
        <f>IF(INVESTORS_LIST[[#This Row],[SIP_TOTAL CURRENT UNITS]]=0,0,INVESTORS_LIST[[#This Row],[SIP_TOTAL CURRENT UNITS]]*INVESTORS_LIST[[#This Row],[SIP_AVERAGE COST]])</f>
        <v>0</v>
      </c>
      <c r="R517" s="48">
        <f>IF(INVESTORS_LIST[[#This Row],[SIP_TOTAL UNITS SOLD]]=0,0,SUMIFS(SIP[Realized Gain],SIP[Investor ID],INVESTORS_LIST[[#This Row],[INVESTOR CODE]],SIP[B/S],"S"))</f>
        <v>0</v>
      </c>
      <c r="S517" s="50">
        <f>INVESTORS_LIST[[#This Row],[LS_TOTAL UNITS BUY]]+INVESTORS_LIST[[#This Row],[SIP_TOTAL UNITS BUY]]</f>
        <v>200000</v>
      </c>
      <c r="T517" s="50">
        <f>INVESTORS_LIST[[#This Row],[LS_TOTAL UNITS SOLD]]+INVESTORS_LIST[[#This Row],[SIP_TOTAL UNITS SOLD]]</f>
        <v>200000</v>
      </c>
      <c r="U517" s="50"/>
      <c r="V517" s="50">
        <f>SUMIFS(LS[BO UNIT TRANSFER],LS[Investor ID],INVESTORS_LIST[[#This Row],[INVESTOR CODE]],LS[B/S],"B")</f>
        <v>0</v>
      </c>
      <c r="W517" s="50">
        <f>SUMIFS(SIP[BO UNIT TRANSFER],SIP[Investor ID],INVESTORS_LIST[[#This Row],[INVESTOR CODE]],SIP[B/S],"B")</f>
        <v>0</v>
      </c>
      <c r="X517" s="50">
        <f>SUMIFS(LS[BO UNIT TRANSFER],LS[Investor ID],INVESTORS_LIST[[#This Row],[INVESTOR CODE]],LS[B/S],"S")</f>
        <v>0</v>
      </c>
      <c r="Y517" s="50">
        <f>SUMIFS(SIP[BO UNIT TRANSFER],SIP[Investor ID],INVESTORS_LIST[[#This Row],[INVESTOR CODE]],SIP[B/S],"S")</f>
        <v>0</v>
      </c>
      <c r="Z517" s="106">
        <f>SUM(INVESTORS_LIST[[#This Row],[BO OPENING BALANCE]:[BO SIP UNITS REPURCHASE]])</f>
        <v>0</v>
      </c>
      <c r="AA517" s="107">
        <f>INVESTORS_LIST[[#This Row],[TOTAL UNITS BUY]]-INVESTORS_LIST[[#This Row],[TOTAL UNITS SOLD]]</f>
        <v>0</v>
      </c>
      <c r="AB517" s="107">
        <f>INVESTORS_LIST[[#This Row],[TOTAL CURRENT UNITS]]-INVESTORS_LIST[[#This Row],[BO UNITS HOLD]]</f>
        <v>0</v>
      </c>
      <c r="AC517" s="201" t="e">
        <f>INDEX([3]!Table_1[BO ID],MATCH(INVESTORS_LIST[[#This Row],[INVESTOR CODE]],[3]!Table_1[INVESTOR CODE],0))</f>
        <v>#REF!</v>
      </c>
      <c r="AD517" s="201" t="e">
        <f>INDEX([3]!Table_1[Brokerage Name2],MATCH(INVESTORS_LIST[[#This Row],[INVESTOR CODE]],[3]!Table_1[INVESTOR CODE],0))</f>
        <v>#REF!</v>
      </c>
      <c r="AE517" s="201" t="e">
        <f>MID(INVESTORS_LIST[[#This Row],[BO ID]],4,5)</f>
        <v>#REF!</v>
      </c>
      <c r="AF517" s="201" t="e">
        <f>MID(INVESTORS_LIST[[#This Row],[BO ID]],2,7)</f>
        <v>#REF!</v>
      </c>
      <c r="AG517" s="201" t="e">
        <f>MID(INVESTORS_LIST[[#This Row],[BO ID]],9,7)</f>
        <v>#REF!</v>
      </c>
      <c r="AH517" s="201" t="e">
        <f>RIGHT(INVESTORS_LIST[[#This Row],[BO ID]],1)</f>
        <v>#REF!</v>
      </c>
      <c r="AI517" s="50">
        <f>INVESTORS_LIST[[#This Row],[LS_TOTAL COST VALUE OF CURRENT UNITS]]+INVESTORS_LIST[[#This Row],[SIP_TOTAL COST VALUE OF CURRENT UNITS]]</f>
        <v>0</v>
      </c>
      <c r="AJ517" s="109">
        <f>IF(INVESTORS_LIST[[#This Row],[TOTAL CURRENT UNITS]]=0,0,INVESTORS_LIST[[#This Row],[LS_TOTAL CURRENT UNITS]]/INVESTORS_LIST[[#This Row],[TOTAL CURRENT UNITS]])</f>
        <v>0</v>
      </c>
      <c r="AK517" s="109">
        <f>IF(INVESTORS_LIST[[#This Row],[TOTAL CURRENT UNITS]]=0,0,INVESTORS_LIST[[#This Row],[SIP_TOTAL CURRENT UNITS]]/INVESTORS_LIST[[#This Row],[TOTAL CURRENT UNITS]])</f>
        <v>0</v>
      </c>
      <c r="AL517" s="49" cm="1">
        <f t="array" ref="AL5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7" s="49" cm="1">
        <f t="array" ref="AM5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7" s="105">
        <f t="shared" si="9"/>
        <v>14.224</v>
      </c>
      <c r="AP517" s="112">
        <f>IF(INVESTORS_LIST[[#This Row],[TOTAL CURRENT UNITS]]=0,0,INVESTORS_LIST[[#This Row],[TOTAL CURRENT UNITS]]*INVESTORS_LIST[[#This Row],[NAV]])</f>
        <v>0</v>
      </c>
      <c r="AQ517" s="49">
        <f>IF(INVESTORS_LIST[[#This Row],[LS_TOTAL CURRENT UNITS]]=0,0,INVESTORS_LIST[[#This Row],[LS_TOTAL CURRENT UNITS]]*INVESTORS_LIST[[#This Row],[NAV]])</f>
        <v>0</v>
      </c>
      <c r="AR517" s="48">
        <f>IF(INVESTORS_LIST[[#This Row],[SIP_TOTAL CURRENT UNITS]]=0,0,INVESTORS_LIST[[#This Row],[SIP_TOTAL CURRENT UNITS]]*INVESTORS_LIST[[#This Row],[NAV]])</f>
        <v>0</v>
      </c>
      <c r="AS517" s="50">
        <f>INVESTORS_LIST[[#This Row],[TOTAL CURRENT UNITS]]</f>
        <v>0</v>
      </c>
      <c r="AT517" s="48">
        <f>IF(INVESTORS_LIST[[#This Row],[TOTAL SELLABLE UNITS]]=0,0,INVESTORS_LIST[[#This Row],[TOTAL SELLABLE UNITS]]*INVESTORS_LIST[[#This Row],[NAV]])</f>
        <v>0</v>
      </c>
      <c r="AU517" s="48">
        <f>INVESTORS_LIST[[#This Row],[LS_TOTAL REALIZED GAIN]]+INVESTORS_LIST[[#This Row],[SIP_TOTAL REALIZED GAIN]]</f>
        <v>630399.99999999988</v>
      </c>
      <c r="AV517" s="48">
        <f>INVESTORS_LIST[[#This Row],[TOTAL MARKET VALUE]]-INVESTORS_LIST[[#This Row],[TOTAL COST VALUE OF CURRENT INVESTMENT]]</f>
        <v>0</v>
      </c>
      <c r="AW517" s="48">
        <f>IFERROR(INVESTORS_LIST[[#This Row],[TOTAL CURRENT UNITS]]/SUM(INVESTORS_LIST[TOTAL CURRENT UNITS]),0)</f>
        <v>0</v>
      </c>
    </row>
    <row r="518" spans="1:49" hidden="1">
      <c r="A518" s="262" t="s">
        <v>1080</v>
      </c>
      <c r="B518" s="97" t="s">
        <v>1081</v>
      </c>
      <c r="C518" t="s">
        <v>67</v>
      </c>
      <c r="D518" s="75" t="s">
        <v>45</v>
      </c>
      <c r="E518" s="47">
        <f>SUMIFS(LS[Unit],LS[Investor ID],INVESTORS_LIST[[#This Row],[INVESTOR CODE]],LS[B/S],"B")</f>
        <v>324804</v>
      </c>
      <c r="F518" s="47">
        <f>-SUMIFS(LS[Unit],LS[Investor ID],INVESTORS_LIST[[#This Row],[INVESTOR CODE]],LS[B/S],"S")</f>
        <v>324804</v>
      </c>
      <c r="G518" s="47">
        <f>IF(INVESTORS_LIST[[#This Row],[LS_TOTAL UNITS BUY]]=0,0,INVESTORS_LIST[[#This Row],[LS_TOTAL UNITS BUY]]-INVESTORS_LIST[[#This Row],[LS_TOTAL UNITS SOLD]])</f>
        <v>0</v>
      </c>
      <c r="H518" s="49">
        <f>IF(INVESTORS_LIST[[#This Row],[LS_TOTAL UNITS BUY]]=0,0,SUMIFS(LS[Amount],LS[Investor ID],INVESTORS_LIST[[#This Row],[INVESTOR CODE]],LS[B/S],"B"))</f>
        <v>3574556</v>
      </c>
      <c r="I518" s="48">
        <f>IF(INVESTORS_LIST[[#This Row],[LS_TOTAL UNITS SOLD]]=0,0,SUMIFS(LS[Cost of Units Sold],LS[Investor ID],INVESTORS_LIST[[#This Row],[INVESTOR CODE]],LS[B/S],"S"))</f>
        <v>3574556</v>
      </c>
      <c r="J518" s="48">
        <f>IF(INVESTORS_LIST[[#This Row],[LS_TOTAL CURRENT UNITS]]=0,0,INVESTORS_LIST[[#This Row],[LS_TOTAL CURRENT UNITS]]*INVESTORS_LIST[[#This Row],[LS_AVERAGE COST]])</f>
        <v>0</v>
      </c>
      <c r="K518" s="49">
        <f>IF(INVESTORS_LIST[[#This Row],[LS_TOTAL UNITS SOLD]]=0,0,SUMIFS(LS[Realized Gain],LS[Investor ID],INVESTORS_LIST[[#This Row],[INVESTOR CODE]],LS[B/S],"S"))</f>
        <v>113112.09</v>
      </c>
      <c r="L518" s="47">
        <f>SUMIFS(SIP[Unit],SIP[Investor ID],INVESTORS_LIST[[#This Row],[INVESTOR CODE]],SIP[B/S],"B")</f>
        <v>0</v>
      </c>
      <c r="M518" s="47">
        <f>-SUMIFS(SIP[Unit],SIP[Investor ID],INVESTORS_LIST[[#This Row],[INVESTOR CODE]],SIP[B/S],"S")</f>
        <v>0</v>
      </c>
      <c r="N518" s="50">
        <f>IF(INVESTORS_LIST[[#This Row],[SIP_TOTAL UNITS BUY]]=0,0,INVESTORS_LIST[[#This Row],[SIP_TOTAL UNITS BUY]]-INVESTORS_LIST[[#This Row],[SIP_TOTAL UNITS SOLD]])</f>
        <v>0</v>
      </c>
      <c r="O518" s="49">
        <f>IF(INVESTORS_LIST[[#This Row],[SIP_TOTAL UNITS BUY]]=0,0,SUMIFS(SIP[Amount],SIP[Investor ID],INVESTORS_LIST[[#This Row],[INVESTOR CODE]],SIP[B/S],"B"))</f>
        <v>0</v>
      </c>
      <c r="P518" s="49">
        <f>IF(INVESTORS_LIST[[#This Row],[SIP_TOTAL UNITS SOLD]]=0,0,SUMIFS(SIP[Cost of Units Sold],SIP[Investor ID],INVESTORS_LIST[[#This Row],[INVESTOR CODE]],SIP[B/S],"S"))</f>
        <v>0</v>
      </c>
      <c r="Q518" s="48">
        <f>IF(INVESTORS_LIST[[#This Row],[SIP_TOTAL CURRENT UNITS]]=0,0,INVESTORS_LIST[[#This Row],[SIP_TOTAL CURRENT UNITS]]*INVESTORS_LIST[[#This Row],[SIP_AVERAGE COST]])</f>
        <v>0</v>
      </c>
      <c r="R518" s="48">
        <f>IF(INVESTORS_LIST[[#This Row],[SIP_TOTAL UNITS SOLD]]=0,0,SUMIFS(SIP[Realized Gain],SIP[Investor ID],INVESTORS_LIST[[#This Row],[INVESTOR CODE]],SIP[B/S],"S"))</f>
        <v>0</v>
      </c>
      <c r="S518" s="50">
        <f>INVESTORS_LIST[[#This Row],[LS_TOTAL UNITS BUY]]+INVESTORS_LIST[[#This Row],[SIP_TOTAL UNITS BUY]]</f>
        <v>324804</v>
      </c>
      <c r="T518" s="50">
        <f>INVESTORS_LIST[[#This Row],[LS_TOTAL UNITS SOLD]]+INVESTORS_LIST[[#This Row],[SIP_TOTAL UNITS SOLD]]</f>
        <v>324804</v>
      </c>
      <c r="U518" s="50"/>
      <c r="V518" s="50">
        <f>SUMIFS(LS[BO UNIT TRANSFER],LS[Investor ID],INVESTORS_LIST[[#This Row],[INVESTOR CODE]],LS[B/S],"B")</f>
        <v>0</v>
      </c>
      <c r="W518" s="50">
        <f>SUMIFS(SIP[BO UNIT TRANSFER],SIP[Investor ID],INVESTORS_LIST[[#This Row],[INVESTOR CODE]],SIP[B/S],"B")</f>
        <v>0</v>
      </c>
      <c r="X518" s="50">
        <f>SUMIFS(LS[BO UNIT TRANSFER],LS[Investor ID],INVESTORS_LIST[[#This Row],[INVESTOR CODE]],LS[B/S],"S")</f>
        <v>0</v>
      </c>
      <c r="Y518" s="50">
        <f>SUMIFS(SIP[BO UNIT TRANSFER],SIP[Investor ID],INVESTORS_LIST[[#This Row],[INVESTOR CODE]],SIP[B/S],"S")</f>
        <v>0</v>
      </c>
      <c r="Z518" s="106">
        <f>SUM(INVESTORS_LIST[[#This Row],[BO OPENING BALANCE]:[BO SIP UNITS REPURCHASE]])</f>
        <v>0</v>
      </c>
      <c r="AA518" s="107">
        <f>INVESTORS_LIST[[#This Row],[TOTAL UNITS BUY]]-INVESTORS_LIST[[#This Row],[TOTAL UNITS SOLD]]</f>
        <v>0</v>
      </c>
      <c r="AB518" s="107">
        <f>INVESTORS_LIST[[#This Row],[TOTAL CURRENT UNITS]]-INVESTORS_LIST[[#This Row],[BO UNITS HOLD]]</f>
        <v>0</v>
      </c>
      <c r="AC518" s="201" t="e">
        <f>INDEX([3]!Table_1[BO ID],MATCH(INVESTORS_LIST[[#This Row],[INVESTOR CODE]],[3]!Table_1[INVESTOR CODE],0))</f>
        <v>#REF!</v>
      </c>
      <c r="AD518" s="201" t="e">
        <f>INDEX([3]!Table_1[Brokerage Name2],MATCH(INVESTORS_LIST[[#This Row],[INVESTOR CODE]],[3]!Table_1[INVESTOR CODE],0))</f>
        <v>#REF!</v>
      </c>
      <c r="AE518" s="201" t="e">
        <f>MID(INVESTORS_LIST[[#This Row],[BO ID]],4,5)</f>
        <v>#REF!</v>
      </c>
      <c r="AF518" s="201" t="e">
        <f>MID(INVESTORS_LIST[[#This Row],[BO ID]],2,7)</f>
        <v>#REF!</v>
      </c>
      <c r="AG518" s="201" t="e">
        <f>MID(INVESTORS_LIST[[#This Row],[BO ID]],9,7)</f>
        <v>#REF!</v>
      </c>
      <c r="AH518" s="201" t="e">
        <f>RIGHT(INVESTORS_LIST[[#This Row],[BO ID]],1)</f>
        <v>#REF!</v>
      </c>
      <c r="AI518" s="50">
        <f>INVESTORS_LIST[[#This Row],[LS_TOTAL COST VALUE OF CURRENT UNITS]]+INVESTORS_LIST[[#This Row],[SIP_TOTAL COST VALUE OF CURRENT UNITS]]</f>
        <v>0</v>
      </c>
      <c r="AJ518" s="109">
        <f>IF(INVESTORS_LIST[[#This Row],[TOTAL CURRENT UNITS]]=0,0,INVESTORS_LIST[[#This Row],[LS_TOTAL CURRENT UNITS]]/INVESTORS_LIST[[#This Row],[TOTAL CURRENT UNITS]])</f>
        <v>0</v>
      </c>
      <c r="AK518" s="109">
        <f>IF(INVESTORS_LIST[[#This Row],[TOTAL CURRENT UNITS]]=0,0,INVESTORS_LIST[[#This Row],[SIP_TOTAL CURRENT UNITS]]/INVESTORS_LIST[[#This Row],[TOTAL CURRENT UNITS]])</f>
        <v>0</v>
      </c>
      <c r="AL518" s="49" cm="1">
        <f t="array" ref="AL5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8" s="49" cm="1">
        <f t="array" ref="AM5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8" s="105">
        <f t="shared" si="9"/>
        <v>14.224</v>
      </c>
      <c r="AP518" s="112">
        <f>IF(INVESTORS_LIST[[#This Row],[TOTAL CURRENT UNITS]]=0,0,INVESTORS_LIST[[#This Row],[TOTAL CURRENT UNITS]]*INVESTORS_LIST[[#This Row],[NAV]])</f>
        <v>0</v>
      </c>
      <c r="AQ518" s="49">
        <f>IF(INVESTORS_LIST[[#This Row],[LS_TOTAL CURRENT UNITS]]=0,0,INVESTORS_LIST[[#This Row],[LS_TOTAL CURRENT UNITS]]*INVESTORS_LIST[[#This Row],[NAV]])</f>
        <v>0</v>
      </c>
      <c r="AR518" s="48">
        <f>IF(INVESTORS_LIST[[#This Row],[SIP_TOTAL CURRENT UNITS]]=0,0,INVESTORS_LIST[[#This Row],[SIP_TOTAL CURRENT UNITS]]*INVESTORS_LIST[[#This Row],[NAV]])</f>
        <v>0</v>
      </c>
      <c r="AS518" s="50">
        <f>INVESTORS_LIST[[#This Row],[TOTAL CURRENT UNITS]]</f>
        <v>0</v>
      </c>
      <c r="AT518" s="48">
        <f>IF(INVESTORS_LIST[[#This Row],[TOTAL SELLABLE UNITS]]=0,0,INVESTORS_LIST[[#This Row],[TOTAL SELLABLE UNITS]]*INVESTORS_LIST[[#This Row],[NAV]])</f>
        <v>0</v>
      </c>
      <c r="AU518" s="48">
        <f>INVESTORS_LIST[[#This Row],[LS_TOTAL REALIZED GAIN]]+INVESTORS_LIST[[#This Row],[SIP_TOTAL REALIZED GAIN]]</f>
        <v>113112.09</v>
      </c>
      <c r="AV518" s="48">
        <f>INVESTORS_LIST[[#This Row],[TOTAL MARKET VALUE]]-INVESTORS_LIST[[#This Row],[TOTAL COST VALUE OF CURRENT INVESTMENT]]</f>
        <v>0</v>
      </c>
      <c r="AW518" s="48">
        <f>IFERROR(INVESTORS_LIST[[#This Row],[TOTAL CURRENT UNITS]]/SUM(INVESTORS_LIST[TOTAL CURRENT UNITS]),0)</f>
        <v>0</v>
      </c>
    </row>
    <row r="519" spans="1:49" hidden="1">
      <c r="A519" s="262" t="s">
        <v>1082</v>
      </c>
      <c r="B519" s="97" t="s">
        <v>1083</v>
      </c>
      <c r="C519" t="s">
        <v>44</v>
      </c>
      <c r="D519" s="75" t="s">
        <v>45</v>
      </c>
      <c r="E519" s="47">
        <f>SUMIFS(LS[Unit],LS[Investor ID],INVESTORS_LIST[[#This Row],[INVESTOR CODE]],LS[B/S],"B")</f>
        <v>1551</v>
      </c>
      <c r="F519" s="47">
        <f>-SUMIFS(LS[Unit],LS[Investor ID],INVESTORS_LIST[[#This Row],[INVESTOR CODE]],LS[B/S],"S")</f>
        <v>1551</v>
      </c>
      <c r="G519" s="47">
        <f>IF(INVESTORS_LIST[[#This Row],[LS_TOTAL UNITS BUY]]=0,0,INVESTORS_LIST[[#This Row],[LS_TOTAL UNITS BUY]]-INVESTORS_LIST[[#This Row],[LS_TOTAL UNITS SOLD]])</f>
        <v>0</v>
      </c>
      <c r="H519" s="49">
        <f>IF(INVESTORS_LIST[[#This Row],[LS_TOTAL UNITS BUY]]=0,0,SUMIFS(LS[Amount],LS[Investor ID],INVESTORS_LIST[[#This Row],[INVESTOR CODE]],LS[B/S],"B"))</f>
        <v>16500</v>
      </c>
      <c r="I519" s="48">
        <f>IF(INVESTORS_LIST[[#This Row],[LS_TOTAL UNITS SOLD]]=0,0,SUMIFS(LS[Cost of Units Sold],LS[Investor ID],INVESTORS_LIST[[#This Row],[INVESTOR CODE]],LS[B/S],"S"))</f>
        <v>16500</v>
      </c>
      <c r="J519" s="48">
        <f>IF(INVESTORS_LIST[[#This Row],[LS_TOTAL CURRENT UNITS]]=0,0,INVESTORS_LIST[[#This Row],[LS_TOTAL CURRENT UNITS]]*INVESTORS_LIST[[#This Row],[LS_AVERAGE COST]])</f>
        <v>0</v>
      </c>
      <c r="K519" s="49">
        <f>IF(INVESTORS_LIST[[#This Row],[LS_TOTAL UNITS SOLD]]=0,0,SUMIFS(LS[Realized Gain],LS[Investor ID],INVESTORS_LIST[[#This Row],[INVESTOR CODE]],LS[B/S],"S"))</f>
        <v>2718.4400000000005</v>
      </c>
      <c r="L519" s="47">
        <f>SUMIFS(SIP[Unit],SIP[Investor ID],INVESTORS_LIST[[#This Row],[INVESTOR CODE]],SIP[B/S],"B")</f>
        <v>0</v>
      </c>
      <c r="M519" s="47">
        <f>-SUMIFS(SIP[Unit],SIP[Investor ID],INVESTORS_LIST[[#This Row],[INVESTOR CODE]],SIP[B/S],"S")</f>
        <v>0</v>
      </c>
      <c r="N519" s="50">
        <f>IF(INVESTORS_LIST[[#This Row],[SIP_TOTAL UNITS BUY]]=0,0,INVESTORS_LIST[[#This Row],[SIP_TOTAL UNITS BUY]]-INVESTORS_LIST[[#This Row],[SIP_TOTAL UNITS SOLD]])</f>
        <v>0</v>
      </c>
      <c r="O519" s="49">
        <f>IF(INVESTORS_LIST[[#This Row],[SIP_TOTAL UNITS BUY]]=0,0,SUMIFS(SIP[Amount],SIP[Investor ID],INVESTORS_LIST[[#This Row],[INVESTOR CODE]],SIP[B/S],"B"))</f>
        <v>0</v>
      </c>
      <c r="P519" s="49">
        <f>IF(INVESTORS_LIST[[#This Row],[SIP_TOTAL UNITS SOLD]]=0,0,SUMIFS(SIP[Cost of Units Sold],SIP[Investor ID],INVESTORS_LIST[[#This Row],[INVESTOR CODE]],SIP[B/S],"S"))</f>
        <v>0</v>
      </c>
      <c r="Q519" s="48">
        <f>IF(INVESTORS_LIST[[#This Row],[SIP_TOTAL CURRENT UNITS]]=0,0,INVESTORS_LIST[[#This Row],[SIP_TOTAL CURRENT UNITS]]*INVESTORS_LIST[[#This Row],[SIP_AVERAGE COST]])</f>
        <v>0</v>
      </c>
      <c r="R519" s="48">
        <f>IF(INVESTORS_LIST[[#This Row],[SIP_TOTAL UNITS SOLD]]=0,0,SUMIFS(SIP[Realized Gain],SIP[Investor ID],INVESTORS_LIST[[#This Row],[INVESTOR CODE]],SIP[B/S],"S"))</f>
        <v>0</v>
      </c>
      <c r="S519" s="50">
        <f>INVESTORS_LIST[[#This Row],[LS_TOTAL UNITS BUY]]+INVESTORS_LIST[[#This Row],[SIP_TOTAL UNITS BUY]]</f>
        <v>1551</v>
      </c>
      <c r="T519" s="50">
        <f>INVESTORS_LIST[[#This Row],[LS_TOTAL UNITS SOLD]]+INVESTORS_LIST[[#This Row],[SIP_TOTAL UNITS SOLD]]</f>
        <v>1551</v>
      </c>
      <c r="U519" s="50"/>
      <c r="V519" s="50">
        <f>SUMIFS(LS[BO UNIT TRANSFER],LS[Investor ID],INVESTORS_LIST[[#This Row],[INVESTOR CODE]],LS[B/S],"B")</f>
        <v>0</v>
      </c>
      <c r="W519" s="50">
        <f>SUMIFS(SIP[BO UNIT TRANSFER],SIP[Investor ID],INVESTORS_LIST[[#This Row],[INVESTOR CODE]],SIP[B/S],"B")</f>
        <v>0</v>
      </c>
      <c r="X519" s="50">
        <f>SUMIFS(LS[BO UNIT TRANSFER],LS[Investor ID],INVESTORS_LIST[[#This Row],[INVESTOR CODE]],LS[B/S],"S")</f>
        <v>0</v>
      </c>
      <c r="Y519" s="50">
        <f>SUMIFS(SIP[BO UNIT TRANSFER],SIP[Investor ID],INVESTORS_LIST[[#This Row],[INVESTOR CODE]],SIP[B/S],"S")</f>
        <v>0</v>
      </c>
      <c r="Z519" s="106">
        <f>SUM(INVESTORS_LIST[[#This Row],[BO OPENING BALANCE]:[BO SIP UNITS REPURCHASE]])</f>
        <v>0</v>
      </c>
      <c r="AA519" s="107">
        <f>INVESTORS_LIST[[#This Row],[TOTAL UNITS BUY]]-INVESTORS_LIST[[#This Row],[TOTAL UNITS SOLD]]</f>
        <v>0</v>
      </c>
      <c r="AB519" s="107">
        <f>INVESTORS_LIST[[#This Row],[TOTAL CURRENT UNITS]]-INVESTORS_LIST[[#This Row],[BO UNITS HOLD]]</f>
        <v>0</v>
      </c>
      <c r="AC519" s="201" t="e">
        <f>INDEX([3]!Table_1[BO ID],MATCH(INVESTORS_LIST[[#This Row],[INVESTOR CODE]],[3]!Table_1[INVESTOR CODE],0))</f>
        <v>#REF!</v>
      </c>
      <c r="AD519" s="201" t="e">
        <f>INDEX([3]!Table_1[Brokerage Name2],MATCH(INVESTORS_LIST[[#This Row],[INVESTOR CODE]],[3]!Table_1[INVESTOR CODE],0))</f>
        <v>#REF!</v>
      </c>
      <c r="AE519" s="201" t="e">
        <f>MID(INVESTORS_LIST[[#This Row],[BO ID]],4,5)</f>
        <v>#REF!</v>
      </c>
      <c r="AF519" s="201" t="e">
        <f>MID(INVESTORS_LIST[[#This Row],[BO ID]],2,7)</f>
        <v>#REF!</v>
      </c>
      <c r="AG519" s="201" t="e">
        <f>MID(INVESTORS_LIST[[#This Row],[BO ID]],9,7)</f>
        <v>#REF!</v>
      </c>
      <c r="AH519" s="201" t="e">
        <f>RIGHT(INVESTORS_LIST[[#This Row],[BO ID]],1)</f>
        <v>#REF!</v>
      </c>
      <c r="AI519" s="50">
        <f>INVESTORS_LIST[[#This Row],[LS_TOTAL COST VALUE OF CURRENT UNITS]]+INVESTORS_LIST[[#This Row],[SIP_TOTAL COST VALUE OF CURRENT UNITS]]</f>
        <v>0</v>
      </c>
      <c r="AJ519" s="109">
        <f>IF(INVESTORS_LIST[[#This Row],[TOTAL CURRENT UNITS]]=0,0,INVESTORS_LIST[[#This Row],[LS_TOTAL CURRENT UNITS]]/INVESTORS_LIST[[#This Row],[TOTAL CURRENT UNITS]])</f>
        <v>0</v>
      </c>
      <c r="AK519" s="109">
        <f>IF(INVESTORS_LIST[[#This Row],[TOTAL CURRENT UNITS]]=0,0,INVESTORS_LIST[[#This Row],[SIP_TOTAL CURRENT UNITS]]/INVESTORS_LIST[[#This Row],[TOTAL CURRENT UNITS]])</f>
        <v>0</v>
      </c>
      <c r="AL519" s="49" cm="1">
        <f t="array" ref="AL5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19" s="49" cm="1">
        <f t="array" ref="AM5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19" s="105">
        <f t="shared" si="9"/>
        <v>14.224</v>
      </c>
      <c r="AP519" s="112">
        <f>IF(INVESTORS_LIST[[#This Row],[TOTAL CURRENT UNITS]]=0,0,INVESTORS_LIST[[#This Row],[TOTAL CURRENT UNITS]]*INVESTORS_LIST[[#This Row],[NAV]])</f>
        <v>0</v>
      </c>
      <c r="AQ519" s="49">
        <f>IF(INVESTORS_LIST[[#This Row],[LS_TOTAL CURRENT UNITS]]=0,0,INVESTORS_LIST[[#This Row],[LS_TOTAL CURRENT UNITS]]*INVESTORS_LIST[[#This Row],[NAV]])</f>
        <v>0</v>
      </c>
      <c r="AR519" s="48">
        <f>IF(INVESTORS_LIST[[#This Row],[SIP_TOTAL CURRENT UNITS]]=0,0,INVESTORS_LIST[[#This Row],[SIP_TOTAL CURRENT UNITS]]*INVESTORS_LIST[[#This Row],[NAV]])</f>
        <v>0</v>
      </c>
      <c r="AS519" s="50">
        <f>INVESTORS_LIST[[#This Row],[TOTAL CURRENT UNITS]]</f>
        <v>0</v>
      </c>
      <c r="AT519" s="48">
        <f>IF(INVESTORS_LIST[[#This Row],[TOTAL SELLABLE UNITS]]=0,0,INVESTORS_LIST[[#This Row],[TOTAL SELLABLE UNITS]]*INVESTORS_LIST[[#This Row],[NAV]])</f>
        <v>0</v>
      </c>
      <c r="AU519" s="48">
        <f>INVESTORS_LIST[[#This Row],[LS_TOTAL REALIZED GAIN]]+INVESTORS_LIST[[#This Row],[SIP_TOTAL REALIZED GAIN]]</f>
        <v>2718.4400000000005</v>
      </c>
      <c r="AV519" s="48">
        <f>INVESTORS_LIST[[#This Row],[TOTAL MARKET VALUE]]-INVESTORS_LIST[[#This Row],[TOTAL COST VALUE OF CURRENT INVESTMENT]]</f>
        <v>0</v>
      </c>
      <c r="AW519" s="48">
        <f>IFERROR(INVESTORS_LIST[[#This Row],[TOTAL CURRENT UNITS]]/SUM(INVESTORS_LIST[TOTAL CURRENT UNITS]),0)</f>
        <v>0</v>
      </c>
    </row>
    <row r="520" spans="1:49" hidden="1">
      <c r="A520" s="262" t="s">
        <v>1086</v>
      </c>
      <c r="B520" s="97" t="s">
        <v>1087</v>
      </c>
      <c r="C520" t="s">
        <v>44</v>
      </c>
      <c r="D520" s="75" t="s">
        <v>45</v>
      </c>
      <c r="E520" s="47">
        <f>SUMIFS(LS[Unit],LS[Investor ID],INVESTORS_LIST[[#This Row],[INVESTOR CODE]],LS[B/S],"B")</f>
        <v>109787</v>
      </c>
      <c r="F520" s="47">
        <f>-SUMIFS(LS[Unit],LS[Investor ID],INVESTORS_LIST[[#This Row],[INVESTOR CODE]],LS[B/S],"S")</f>
        <v>109787</v>
      </c>
      <c r="G520" s="47">
        <f>IF(INVESTORS_LIST[[#This Row],[LS_TOTAL UNITS BUY]]=0,0,INVESTORS_LIST[[#This Row],[LS_TOTAL UNITS BUY]]-INVESTORS_LIST[[#This Row],[LS_TOTAL UNITS SOLD]])</f>
        <v>0</v>
      </c>
      <c r="H520" s="49">
        <f>IF(INVESTORS_LIST[[#This Row],[LS_TOTAL UNITS BUY]]=0,0,SUMIFS(LS[Amount],LS[Investor ID],INVESTORS_LIST[[#This Row],[INVESTOR CODE]],LS[B/S],"B"))</f>
        <v>1198500</v>
      </c>
      <c r="I520" s="48">
        <f>IF(INVESTORS_LIST[[#This Row],[LS_TOTAL UNITS SOLD]]=0,0,SUMIFS(LS[Cost of Units Sold],LS[Investor ID],INVESTORS_LIST[[#This Row],[INVESTOR CODE]],LS[B/S],"S"))</f>
        <v>1198500</v>
      </c>
      <c r="J520" s="48">
        <f>IF(INVESTORS_LIST[[#This Row],[LS_TOTAL CURRENT UNITS]]=0,0,INVESTORS_LIST[[#This Row],[LS_TOTAL CURRENT UNITS]]*INVESTORS_LIST[[#This Row],[LS_AVERAGE COST]])</f>
        <v>0</v>
      </c>
      <c r="K520" s="49">
        <f>IF(INVESTORS_LIST[[#This Row],[LS_TOTAL UNITS SOLD]]=0,0,SUMIFS(LS[Realized Gain],LS[Investor ID],INVESTORS_LIST[[#This Row],[INVESTOR CODE]],LS[B/S],"S"))</f>
        <v>95719.039999999892</v>
      </c>
      <c r="L520" s="47">
        <f>SUMIFS(SIP[Unit],SIP[Investor ID],INVESTORS_LIST[[#This Row],[INVESTOR CODE]],SIP[B/S],"B")</f>
        <v>0</v>
      </c>
      <c r="M520" s="47">
        <f>-SUMIFS(SIP[Unit],SIP[Investor ID],INVESTORS_LIST[[#This Row],[INVESTOR CODE]],SIP[B/S],"S")</f>
        <v>0</v>
      </c>
      <c r="N520" s="50">
        <f>IF(INVESTORS_LIST[[#This Row],[SIP_TOTAL UNITS BUY]]=0,0,INVESTORS_LIST[[#This Row],[SIP_TOTAL UNITS BUY]]-INVESTORS_LIST[[#This Row],[SIP_TOTAL UNITS SOLD]])</f>
        <v>0</v>
      </c>
      <c r="O520" s="49">
        <f>IF(INVESTORS_LIST[[#This Row],[SIP_TOTAL UNITS BUY]]=0,0,SUMIFS(SIP[Amount],SIP[Investor ID],INVESTORS_LIST[[#This Row],[INVESTOR CODE]],SIP[B/S],"B"))</f>
        <v>0</v>
      </c>
      <c r="P520" s="49">
        <f>IF(INVESTORS_LIST[[#This Row],[SIP_TOTAL UNITS SOLD]]=0,0,SUMIFS(SIP[Cost of Units Sold],SIP[Investor ID],INVESTORS_LIST[[#This Row],[INVESTOR CODE]],SIP[B/S],"S"))</f>
        <v>0</v>
      </c>
      <c r="Q520" s="48">
        <f>IF(INVESTORS_LIST[[#This Row],[SIP_TOTAL CURRENT UNITS]]=0,0,INVESTORS_LIST[[#This Row],[SIP_TOTAL CURRENT UNITS]]*INVESTORS_LIST[[#This Row],[SIP_AVERAGE COST]])</f>
        <v>0</v>
      </c>
      <c r="R520" s="48">
        <f>IF(INVESTORS_LIST[[#This Row],[SIP_TOTAL UNITS SOLD]]=0,0,SUMIFS(SIP[Realized Gain],SIP[Investor ID],INVESTORS_LIST[[#This Row],[INVESTOR CODE]],SIP[B/S],"S"))</f>
        <v>0</v>
      </c>
      <c r="S520" s="50">
        <f>INVESTORS_LIST[[#This Row],[LS_TOTAL UNITS BUY]]+INVESTORS_LIST[[#This Row],[SIP_TOTAL UNITS BUY]]</f>
        <v>109787</v>
      </c>
      <c r="T520" s="50">
        <f>INVESTORS_LIST[[#This Row],[LS_TOTAL UNITS SOLD]]+INVESTORS_LIST[[#This Row],[SIP_TOTAL UNITS SOLD]]</f>
        <v>109787</v>
      </c>
      <c r="U520" s="50"/>
      <c r="V520" s="50">
        <f>SUMIFS(LS[BO UNIT TRANSFER],LS[Investor ID],INVESTORS_LIST[[#This Row],[INVESTOR CODE]],LS[B/S],"B")</f>
        <v>0</v>
      </c>
      <c r="W520" s="50">
        <f>SUMIFS(SIP[BO UNIT TRANSFER],SIP[Investor ID],INVESTORS_LIST[[#This Row],[INVESTOR CODE]],SIP[B/S],"B")</f>
        <v>0</v>
      </c>
      <c r="X520" s="50">
        <f>SUMIFS(LS[BO UNIT TRANSFER],LS[Investor ID],INVESTORS_LIST[[#This Row],[INVESTOR CODE]],LS[B/S],"S")</f>
        <v>0</v>
      </c>
      <c r="Y520" s="50">
        <f>SUMIFS(SIP[BO UNIT TRANSFER],SIP[Investor ID],INVESTORS_LIST[[#This Row],[INVESTOR CODE]],SIP[B/S],"S")</f>
        <v>0</v>
      </c>
      <c r="Z520" s="106">
        <f>SUM(INVESTORS_LIST[[#This Row],[BO OPENING BALANCE]:[BO SIP UNITS REPURCHASE]])</f>
        <v>0</v>
      </c>
      <c r="AA520" s="107">
        <f>INVESTORS_LIST[[#This Row],[TOTAL UNITS BUY]]-INVESTORS_LIST[[#This Row],[TOTAL UNITS SOLD]]</f>
        <v>0</v>
      </c>
      <c r="AB520" s="107">
        <f>INVESTORS_LIST[[#This Row],[TOTAL CURRENT UNITS]]-INVESTORS_LIST[[#This Row],[BO UNITS HOLD]]</f>
        <v>0</v>
      </c>
      <c r="AC520" s="201" t="e">
        <f>INDEX([3]!Table_1[BO ID],MATCH(INVESTORS_LIST[[#This Row],[INVESTOR CODE]],[3]!Table_1[INVESTOR CODE],0))</f>
        <v>#REF!</v>
      </c>
      <c r="AD520" s="201" t="e">
        <f>INDEX([3]!Table_1[Brokerage Name2],MATCH(INVESTORS_LIST[[#This Row],[INVESTOR CODE]],[3]!Table_1[INVESTOR CODE],0))</f>
        <v>#REF!</v>
      </c>
      <c r="AE520" s="201" t="e">
        <f>MID(INVESTORS_LIST[[#This Row],[BO ID]],4,5)</f>
        <v>#REF!</v>
      </c>
      <c r="AF520" s="201" t="e">
        <f>MID(INVESTORS_LIST[[#This Row],[BO ID]],2,7)</f>
        <v>#REF!</v>
      </c>
      <c r="AG520" s="201" t="e">
        <f>MID(INVESTORS_LIST[[#This Row],[BO ID]],9,7)</f>
        <v>#REF!</v>
      </c>
      <c r="AH520" s="201" t="e">
        <f>RIGHT(INVESTORS_LIST[[#This Row],[BO ID]],1)</f>
        <v>#REF!</v>
      </c>
      <c r="AI520" s="50">
        <f>INVESTORS_LIST[[#This Row],[LS_TOTAL COST VALUE OF CURRENT UNITS]]+INVESTORS_LIST[[#This Row],[SIP_TOTAL COST VALUE OF CURRENT UNITS]]</f>
        <v>0</v>
      </c>
      <c r="AJ520" s="109">
        <f>IF(INVESTORS_LIST[[#This Row],[TOTAL CURRENT UNITS]]=0,0,INVESTORS_LIST[[#This Row],[LS_TOTAL CURRENT UNITS]]/INVESTORS_LIST[[#This Row],[TOTAL CURRENT UNITS]])</f>
        <v>0</v>
      </c>
      <c r="AK520" s="109">
        <f>IF(INVESTORS_LIST[[#This Row],[TOTAL CURRENT UNITS]]=0,0,INVESTORS_LIST[[#This Row],[SIP_TOTAL CURRENT UNITS]]/INVESTORS_LIST[[#This Row],[TOTAL CURRENT UNITS]])</f>
        <v>0</v>
      </c>
      <c r="AL520" s="49" cm="1">
        <f t="array" ref="AL5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0" s="49" cm="1">
        <f t="array" ref="AM5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0" s="105">
        <f t="shared" si="9"/>
        <v>14.224</v>
      </c>
      <c r="AP520" s="112">
        <f>IF(INVESTORS_LIST[[#This Row],[TOTAL CURRENT UNITS]]=0,0,INVESTORS_LIST[[#This Row],[TOTAL CURRENT UNITS]]*INVESTORS_LIST[[#This Row],[NAV]])</f>
        <v>0</v>
      </c>
      <c r="AQ520" s="49">
        <f>IF(INVESTORS_LIST[[#This Row],[LS_TOTAL CURRENT UNITS]]=0,0,INVESTORS_LIST[[#This Row],[LS_TOTAL CURRENT UNITS]]*INVESTORS_LIST[[#This Row],[NAV]])</f>
        <v>0</v>
      </c>
      <c r="AR520" s="48">
        <f>IF(INVESTORS_LIST[[#This Row],[SIP_TOTAL CURRENT UNITS]]=0,0,INVESTORS_LIST[[#This Row],[SIP_TOTAL CURRENT UNITS]]*INVESTORS_LIST[[#This Row],[NAV]])</f>
        <v>0</v>
      </c>
      <c r="AS520" s="50">
        <f>INVESTORS_LIST[[#This Row],[TOTAL CURRENT UNITS]]</f>
        <v>0</v>
      </c>
      <c r="AT520" s="48">
        <f>IF(INVESTORS_LIST[[#This Row],[TOTAL SELLABLE UNITS]]=0,0,INVESTORS_LIST[[#This Row],[TOTAL SELLABLE UNITS]]*INVESTORS_LIST[[#This Row],[NAV]])</f>
        <v>0</v>
      </c>
      <c r="AU520" s="48">
        <f>INVESTORS_LIST[[#This Row],[LS_TOTAL REALIZED GAIN]]+INVESTORS_LIST[[#This Row],[SIP_TOTAL REALIZED GAIN]]</f>
        <v>95719.039999999892</v>
      </c>
      <c r="AV520" s="48">
        <f>INVESTORS_LIST[[#This Row],[TOTAL MARKET VALUE]]-INVESTORS_LIST[[#This Row],[TOTAL COST VALUE OF CURRENT INVESTMENT]]</f>
        <v>0</v>
      </c>
      <c r="AW520" s="48">
        <f>IFERROR(INVESTORS_LIST[[#This Row],[TOTAL CURRENT UNITS]]/SUM(INVESTORS_LIST[TOTAL CURRENT UNITS]),0)</f>
        <v>0</v>
      </c>
    </row>
    <row r="521" spans="1:49" hidden="1">
      <c r="A521" s="262" t="s">
        <v>1088</v>
      </c>
      <c r="B521" s="97" t="s">
        <v>1089</v>
      </c>
      <c r="C521" t="s">
        <v>44</v>
      </c>
      <c r="D521" s="75" t="s">
        <v>45</v>
      </c>
      <c r="E521" s="47">
        <f>SUMIFS(LS[Unit],LS[Investor ID],INVESTORS_LIST[[#This Row],[INVESTOR CODE]],LS[B/S],"B")</f>
        <v>0</v>
      </c>
      <c r="F521" s="47">
        <f>-SUMIFS(LS[Unit],LS[Investor ID],INVESTORS_LIST[[#This Row],[INVESTOR CODE]],LS[B/S],"S")</f>
        <v>0</v>
      </c>
      <c r="G521" s="47">
        <f>IF(INVESTORS_LIST[[#This Row],[LS_TOTAL UNITS BUY]]=0,0,INVESTORS_LIST[[#This Row],[LS_TOTAL UNITS BUY]]-INVESTORS_LIST[[#This Row],[LS_TOTAL UNITS SOLD]])</f>
        <v>0</v>
      </c>
      <c r="H521" s="49">
        <f>IF(INVESTORS_LIST[[#This Row],[LS_TOTAL UNITS BUY]]=0,0,SUMIFS(LS[Amount],LS[Investor ID],INVESTORS_LIST[[#This Row],[INVESTOR CODE]],LS[B/S],"B"))</f>
        <v>0</v>
      </c>
      <c r="I521" s="48">
        <f>IF(INVESTORS_LIST[[#This Row],[LS_TOTAL UNITS SOLD]]=0,0,SUMIFS(LS[Cost of Units Sold],LS[Investor ID],INVESTORS_LIST[[#This Row],[INVESTOR CODE]],LS[B/S],"S"))</f>
        <v>0</v>
      </c>
      <c r="J521" s="48">
        <f>IF(INVESTORS_LIST[[#This Row],[LS_TOTAL CURRENT UNITS]]=0,0,INVESTORS_LIST[[#This Row],[LS_TOTAL CURRENT UNITS]]*INVESTORS_LIST[[#This Row],[LS_AVERAGE COST]])</f>
        <v>0</v>
      </c>
      <c r="K521" s="49">
        <f>IF(INVESTORS_LIST[[#This Row],[LS_TOTAL UNITS SOLD]]=0,0,SUMIFS(LS[Realized Gain],LS[Investor ID],INVESTORS_LIST[[#This Row],[INVESTOR CODE]],LS[B/S],"S"))</f>
        <v>0</v>
      </c>
      <c r="L521" s="47">
        <f>SUMIFS(SIP[Unit],SIP[Investor ID],INVESTORS_LIST[[#This Row],[INVESTOR CODE]],SIP[B/S],"B")</f>
        <v>0</v>
      </c>
      <c r="M521" s="47">
        <f>-SUMIFS(SIP[Unit],SIP[Investor ID],INVESTORS_LIST[[#This Row],[INVESTOR CODE]],SIP[B/S],"S")</f>
        <v>0</v>
      </c>
      <c r="N521" s="50">
        <f>IF(INVESTORS_LIST[[#This Row],[SIP_TOTAL UNITS BUY]]=0,0,INVESTORS_LIST[[#This Row],[SIP_TOTAL UNITS BUY]]-INVESTORS_LIST[[#This Row],[SIP_TOTAL UNITS SOLD]])</f>
        <v>0</v>
      </c>
      <c r="O521" s="49">
        <f>IF(INVESTORS_LIST[[#This Row],[SIP_TOTAL UNITS BUY]]=0,0,SUMIFS(SIP[Amount],SIP[Investor ID],INVESTORS_LIST[[#This Row],[INVESTOR CODE]],SIP[B/S],"B"))</f>
        <v>0</v>
      </c>
      <c r="P521" s="49">
        <f>IF(INVESTORS_LIST[[#This Row],[SIP_TOTAL UNITS SOLD]]=0,0,SUMIFS(SIP[Cost of Units Sold],SIP[Investor ID],INVESTORS_LIST[[#This Row],[INVESTOR CODE]],SIP[B/S],"S"))</f>
        <v>0</v>
      </c>
      <c r="Q521" s="48">
        <f>IF(INVESTORS_LIST[[#This Row],[SIP_TOTAL CURRENT UNITS]]=0,0,INVESTORS_LIST[[#This Row],[SIP_TOTAL CURRENT UNITS]]*INVESTORS_LIST[[#This Row],[SIP_AVERAGE COST]])</f>
        <v>0</v>
      </c>
      <c r="R521" s="48">
        <f>IF(INVESTORS_LIST[[#This Row],[SIP_TOTAL UNITS SOLD]]=0,0,SUMIFS(SIP[Realized Gain],SIP[Investor ID],INVESTORS_LIST[[#This Row],[INVESTOR CODE]],SIP[B/S],"S"))</f>
        <v>0</v>
      </c>
      <c r="S521" s="50">
        <f>INVESTORS_LIST[[#This Row],[LS_TOTAL UNITS BUY]]+INVESTORS_LIST[[#This Row],[SIP_TOTAL UNITS BUY]]</f>
        <v>0</v>
      </c>
      <c r="T521" s="50">
        <f>INVESTORS_LIST[[#This Row],[LS_TOTAL UNITS SOLD]]+INVESTORS_LIST[[#This Row],[SIP_TOTAL UNITS SOLD]]</f>
        <v>0</v>
      </c>
      <c r="U521" s="50"/>
      <c r="V521" s="50">
        <f>SUMIFS(LS[BO UNIT TRANSFER],LS[Investor ID],INVESTORS_LIST[[#This Row],[INVESTOR CODE]],LS[B/S],"B")</f>
        <v>0</v>
      </c>
      <c r="W521" s="50">
        <f>SUMIFS(SIP[BO UNIT TRANSFER],SIP[Investor ID],INVESTORS_LIST[[#This Row],[INVESTOR CODE]],SIP[B/S],"B")</f>
        <v>0</v>
      </c>
      <c r="X521" s="50">
        <f>SUMIFS(LS[BO UNIT TRANSFER],LS[Investor ID],INVESTORS_LIST[[#This Row],[INVESTOR CODE]],LS[B/S],"S")</f>
        <v>0</v>
      </c>
      <c r="Y521" s="50">
        <f>SUMIFS(SIP[BO UNIT TRANSFER],SIP[Investor ID],INVESTORS_LIST[[#This Row],[INVESTOR CODE]],SIP[B/S],"S")</f>
        <v>0</v>
      </c>
      <c r="Z521" s="106">
        <f>SUM(INVESTORS_LIST[[#This Row],[BO OPENING BALANCE]:[BO SIP UNITS REPURCHASE]])</f>
        <v>0</v>
      </c>
      <c r="AA521" s="107">
        <f>INVESTORS_LIST[[#This Row],[TOTAL UNITS BUY]]-INVESTORS_LIST[[#This Row],[TOTAL UNITS SOLD]]</f>
        <v>0</v>
      </c>
      <c r="AB521" s="107">
        <f>INVESTORS_LIST[[#This Row],[TOTAL CURRENT UNITS]]-INVESTORS_LIST[[#This Row],[BO UNITS HOLD]]</f>
        <v>0</v>
      </c>
      <c r="AC521" s="201" t="e">
        <f>INDEX([3]!Table_1[BO ID],MATCH(INVESTORS_LIST[[#This Row],[INVESTOR CODE]],[3]!Table_1[INVESTOR CODE],0))</f>
        <v>#REF!</v>
      </c>
      <c r="AD521" s="201" t="e">
        <f>INDEX([3]!Table_1[Brokerage Name2],MATCH(INVESTORS_LIST[[#This Row],[INVESTOR CODE]],[3]!Table_1[INVESTOR CODE],0))</f>
        <v>#REF!</v>
      </c>
      <c r="AE521" s="201" t="e">
        <f>MID(INVESTORS_LIST[[#This Row],[BO ID]],4,5)</f>
        <v>#REF!</v>
      </c>
      <c r="AF521" s="201" t="e">
        <f>MID(INVESTORS_LIST[[#This Row],[BO ID]],2,7)</f>
        <v>#REF!</v>
      </c>
      <c r="AG521" s="201" t="e">
        <f>MID(INVESTORS_LIST[[#This Row],[BO ID]],9,7)</f>
        <v>#REF!</v>
      </c>
      <c r="AH521" s="201" t="e">
        <f>RIGHT(INVESTORS_LIST[[#This Row],[BO ID]],1)</f>
        <v>#REF!</v>
      </c>
      <c r="AI521" s="50">
        <f>INVESTORS_LIST[[#This Row],[LS_TOTAL COST VALUE OF CURRENT UNITS]]+INVESTORS_LIST[[#This Row],[SIP_TOTAL COST VALUE OF CURRENT UNITS]]</f>
        <v>0</v>
      </c>
      <c r="AJ521" s="109">
        <f>IF(INVESTORS_LIST[[#This Row],[TOTAL CURRENT UNITS]]=0,0,INVESTORS_LIST[[#This Row],[LS_TOTAL CURRENT UNITS]]/INVESTORS_LIST[[#This Row],[TOTAL CURRENT UNITS]])</f>
        <v>0</v>
      </c>
      <c r="AK521" s="109">
        <f>IF(INVESTORS_LIST[[#This Row],[TOTAL CURRENT UNITS]]=0,0,INVESTORS_LIST[[#This Row],[SIP_TOTAL CURRENT UNITS]]/INVESTORS_LIST[[#This Row],[TOTAL CURRENT UNITS]])</f>
        <v>0</v>
      </c>
      <c r="AL521" s="49" cm="1">
        <f t="array" ref="AL5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1" s="49" cm="1">
        <f t="array" ref="AM5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1" s="105">
        <f t="shared" si="9"/>
        <v>14.224</v>
      </c>
      <c r="AP521" s="112">
        <f>IF(INVESTORS_LIST[[#This Row],[TOTAL CURRENT UNITS]]=0,0,INVESTORS_LIST[[#This Row],[TOTAL CURRENT UNITS]]*INVESTORS_LIST[[#This Row],[NAV]])</f>
        <v>0</v>
      </c>
      <c r="AQ521" s="49">
        <f>IF(INVESTORS_LIST[[#This Row],[LS_TOTAL CURRENT UNITS]]=0,0,INVESTORS_LIST[[#This Row],[LS_TOTAL CURRENT UNITS]]*INVESTORS_LIST[[#This Row],[NAV]])</f>
        <v>0</v>
      </c>
      <c r="AR521" s="48">
        <f>IF(INVESTORS_LIST[[#This Row],[SIP_TOTAL CURRENT UNITS]]=0,0,INVESTORS_LIST[[#This Row],[SIP_TOTAL CURRENT UNITS]]*INVESTORS_LIST[[#This Row],[NAV]])</f>
        <v>0</v>
      </c>
      <c r="AS521" s="50">
        <f>INVESTORS_LIST[[#This Row],[TOTAL CURRENT UNITS]]</f>
        <v>0</v>
      </c>
      <c r="AT521" s="48">
        <f>IF(INVESTORS_LIST[[#This Row],[TOTAL SELLABLE UNITS]]=0,0,INVESTORS_LIST[[#This Row],[TOTAL SELLABLE UNITS]]*INVESTORS_LIST[[#This Row],[NAV]])</f>
        <v>0</v>
      </c>
      <c r="AU521" s="48">
        <f>INVESTORS_LIST[[#This Row],[LS_TOTAL REALIZED GAIN]]+INVESTORS_LIST[[#This Row],[SIP_TOTAL REALIZED GAIN]]</f>
        <v>0</v>
      </c>
      <c r="AV521" s="48">
        <f>INVESTORS_LIST[[#This Row],[TOTAL MARKET VALUE]]-INVESTORS_LIST[[#This Row],[TOTAL COST VALUE OF CURRENT INVESTMENT]]</f>
        <v>0</v>
      </c>
      <c r="AW521" s="48">
        <f>IFERROR(INVESTORS_LIST[[#This Row],[TOTAL CURRENT UNITS]]/SUM(INVESTORS_LIST[TOTAL CURRENT UNITS]),0)</f>
        <v>0</v>
      </c>
    </row>
    <row r="522" spans="1:49" hidden="1">
      <c r="A522" s="262" t="s">
        <v>1090</v>
      </c>
      <c r="B522" s="97" t="s">
        <v>1091</v>
      </c>
      <c r="C522" t="s">
        <v>48</v>
      </c>
      <c r="D522" s="75" t="s">
        <v>132</v>
      </c>
      <c r="E522" s="47">
        <f>SUMIFS(LS[Unit],LS[Investor ID],INVESTORS_LIST[[#This Row],[INVESTOR CODE]],LS[B/S],"B")</f>
        <v>656660</v>
      </c>
      <c r="F522" s="47">
        <f>-SUMIFS(LS[Unit],LS[Investor ID],INVESTORS_LIST[[#This Row],[INVESTOR CODE]],LS[B/S],"S")</f>
        <v>656660</v>
      </c>
      <c r="G522" s="47">
        <f>IF(INVESTORS_LIST[[#This Row],[LS_TOTAL UNITS BUY]]=0,0,INVESTORS_LIST[[#This Row],[LS_TOTAL UNITS BUY]]-INVESTORS_LIST[[#This Row],[LS_TOTAL UNITS SOLD]])</f>
        <v>0</v>
      </c>
      <c r="H522" s="49">
        <f>IF(INVESTORS_LIST[[#This Row],[LS_TOTAL UNITS BUY]]=0,0,SUMIFS(LS[Amount],LS[Investor ID],INVESTORS_LIST[[#This Row],[INVESTOR CODE]],LS[B/S],"B"))</f>
        <v>7000000</v>
      </c>
      <c r="I522" s="48">
        <f>IF(INVESTORS_LIST[[#This Row],[LS_TOTAL UNITS SOLD]]=0,0,SUMIFS(LS[Cost of Units Sold],LS[Investor ID],INVESTORS_LIST[[#This Row],[INVESTOR CODE]],LS[B/S],"S"))</f>
        <v>7000000</v>
      </c>
      <c r="J522" s="48">
        <f>IF(INVESTORS_LIST[[#This Row],[LS_TOTAL CURRENT UNITS]]=0,0,INVESTORS_LIST[[#This Row],[LS_TOTAL CURRENT UNITS]]*INVESTORS_LIST[[#This Row],[LS_AVERAGE COST]])</f>
        <v>0</v>
      </c>
      <c r="K522" s="49">
        <f>IF(INVESTORS_LIST[[#This Row],[LS_TOTAL UNITS SOLD]]=0,0,SUMIFS(LS[Realized Gain],LS[Investor ID],INVESTORS_LIST[[#This Row],[INVESTOR CODE]],LS[B/S],"S"))</f>
        <v>331360.94000000064</v>
      </c>
      <c r="L522" s="47">
        <f>SUMIFS(SIP[Unit],SIP[Investor ID],INVESTORS_LIST[[#This Row],[INVESTOR CODE]],SIP[B/S],"B")</f>
        <v>0</v>
      </c>
      <c r="M522" s="47">
        <f>-SUMIFS(SIP[Unit],SIP[Investor ID],INVESTORS_LIST[[#This Row],[INVESTOR CODE]],SIP[B/S],"S")</f>
        <v>0</v>
      </c>
      <c r="N522" s="50">
        <f>IF(INVESTORS_LIST[[#This Row],[SIP_TOTAL UNITS BUY]]=0,0,INVESTORS_LIST[[#This Row],[SIP_TOTAL UNITS BUY]]-INVESTORS_LIST[[#This Row],[SIP_TOTAL UNITS SOLD]])</f>
        <v>0</v>
      </c>
      <c r="O522" s="49">
        <f>IF(INVESTORS_LIST[[#This Row],[SIP_TOTAL UNITS BUY]]=0,0,SUMIFS(SIP[Amount],SIP[Investor ID],INVESTORS_LIST[[#This Row],[INVESTOR CODE]],SIP[B/S],"B"))</f>
        <v>0</v>
      </c>
      <c r="P522" s="49">
        <f>IF(INVESTORS_LIST[[#This Row],[SIP_TOTAL UNITS SOLD]]=0,0,SUMIFS(SIP[Cost of Units Sold],SIP[Investor ID],INVESTORS_LIST[[#This Row],[INVESTOR CODE]],SIP[B/S],"S"))</f>
        <v>0</v>
      </c>
      <c r="Q522" s="48">
        <f>IF(INVESTORS_LIST[[#This Row],[SIP_TOTAL CURRENT UNITS]]=0,0,INVESTORS_LIST[[#This Row],[SIP_TOTAL CURRENT UNITS]]*INVESTORS_LIST[[#This Row],[SIP_AVERAGE COST]])</f>
        <v>0</v>
      </c>
      <c r="R522" s="48">
        <f>IF(INVESTORS_LIST[[#This Row],[SIP_TOTAL UNITS SOLD]]=0,0,SUMIFS(SIP[Realized Gain],SIP[Investor ID],INVESTORS_LIST[[#This Row],[INVESTOR CODE]],SIP[B/S],"S"))</f>
        <v>0</v>
      </c>
      <c r="S522" s="50">
        <f>INVESTORS_LIST[[#This Row],[LS_TOTAL UNITS BUY]]+INVESTORS_LIST[[#This Row],[SIP_TOTAL UNITS BUY]]</f>
        <v>656660</v>
      </c>
      <c r="T522" s="50">
        <f>INVESTORS_LIST[[#This Row],[LS_TOTAL UNITS SOLD]]+INVESTORS_LIST[[#This Row],[SIP_TOTAL UNITS SOLD]]</f>
        <v>656660</v>
      </c>
      <c r="U522" s="50"/>
      <c r="V522" s="50">
        <f>SUMIFS(LS[BO UNIT TRANSFER],LS[Investor ID],INVESTORS_LIST[[#This Row],[INVESTOR CODE]],LS[B/S],"B")</f>
        <v>0</v>
      </c>
      <c r="W522" s="50">
        <f>SUMIFS(SIP[BO UNIT TRANSFER],SIP[Investor ID],INVESTORS_LIST[[#This Row],[INVESTOR CODE]],SIP[B/S],"B")</f>
        <v>0</v>
      </c>
      <c r="X522" s="50">
        <f>SUMIFS(LS[BO UNIT TRANSFER],LS[Investor ID],INVESTORS_LIST[[#This Row],[INVESTOR CODE]],LS[B/S],"S")</f>
        <v>0</v>
      </c>
      <c r="Y522" s="50">
        <f>SUMIFS(SIP[BO UNIT TRANSFER],SIP[Investor ID],INVESTORS_LIST[[#This Row],[INVESTOR CODE]],SIP[B/S],"S")</f>
        <v>0</v>
      </c>
      <c r="Z522" s="106">
        <f>SUM(INVESTORS_LIST[[#This Row],[BO OPENING BALANCE]:[BO SIP UNITS REPURCHASE]])</f>
        <v>0</v>
      </c>
      <c r="AA522" s="107">
        <f>INVESTORS_LIST[[#This Row],[TOTAL UNITS BUY]]-INVESTORS_LIST[[#This Row],[TOTAL UNITS SOLD]]</f>
        <v>0</v>
      </c>
      <c r="AB522" s="107">
        <f>INVESTORS_LIST[[#This Row],[TOTAL CURRENT UNITS]]-INVESTORS_LIST[[#This Row],[BO UNITS HOLD]]</f>
        <v>0</v>
      </c>
      <c r="AC522" s="201" t="e">
        <f>INDEX([3]!Table_1[BO ID],MATCH(INVESTORS_LIST[[#This Row],[INVESTOR CODE]],[3]!Table_1[INVESTOR CODE],0))</f>
        <v>#REF!</v>
      </c>
      <c r="AD522" s="201" t="e">
        <f>INDEX([3]!Table_1[Brokerage Name2],MATCH(INVESTORS_LIST[[#This Row],[INVESTOR CODE]],[3]!Table_1[INVESTOR CODE],0))</f>
        <v>#REF!</v>
      </c>
      <c r="AE522" s="201" t="e">
        <f>MID(INVESTORS_LIST[[#This Row],[BO ID]],4,5)</f>
        <v>#REF!</v>
      </c>
      <c r="AF522" s="201" t="e">
        <f>MID(INVESTORS_LIST[[#This Row],[BO ID]],2,7)</f>
        <v>#REF!</v>
      </c>
      <c r="AG522" s="201" t="e">
        <f>MID(INVESTORS_LIST[[#This Row],[BO ID]],9,7)</f>
        <v>#REF!</v>
      </c>
      <c r="AH522" s="201" t="e">
        <f>RIGHT(INVESTORS_LIST[[#This Row],[BO ID]],1)</f>
        <v>#REF!</v>
      </c>
      <c r="AI522" s="50">
        <f>INVESTORS_LIST[[#This Row],[LS_TOTAL COST VALUE OF CURRENT UNITS]]+INVESTORS_LIST[[#This Row],[SIP_TOTAL COST VALUE OF CURRENT UNITS]]</f>
        <v>0</v>
      </c>
      <c r="AJ522" s="109">
        <f>IF(INVESTORS_LIST[[#This Row],[TOTAL CURRENT UNITS]]=0,0,INVESTORS_LIST[[#This Row],[LS_TOTAL CURRENT UNITS]]/INVESTORS_LIST[[#This Row],[TOTAL CURRENT UNITS]])</f>
        <v>0</v>
      </c>
      <c r="AK522" s="109">
        <f>IF(INVESTORS_LIST[[#This Row],[TOTAL CURRENT UNITS]]=0,0,INVESTORS_LIST[[#This Row],[SIP_TOTAL CURRENT UNITS]]/INVESTORS_LIST[[#This Row],[TOTAL CURRENT UNITS]])</f>
        <v>0</v>
      </c>
      <c r="AL522" s="49" cm="1">
        <f t="array" ref="AL5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2" s="49" cm="1">
        <f t="array" ref="AM5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2" s="105">
        <f t="shared" si="9"/>
        <v>14.224</v>
      </c>
      <c r="AP522" s="112">
        <f>IF(INVESTORS_LIST[[#This Row],[TOTAL CURRENT UNITS]]=0,0,INVESTORS_LIST[[#This Row],[TOTAL CURRENT UNITS]]*INVESTORS_LIST[[#This Row],[NAV]])</f>
        <v>0</v>
      </c>
      <c r="AQ522" s="49">
        <f>IF(INVESTORS_LIST[[#This Row],[LS_TOTAL CURRENT UNITS]]=0,0,INVESTORS_LIST[[#This Row],[LS_TOTAL CURRENT UNITS]]*INVESTORS_LIST[[#This Row],[NAV]])</f>
        <v>0</v>
      </c>
      <c r="AR522" s="48">
        <f>IF(INVESTORS_LIST[[#This Row],[SIP_TOTAL CURRENT UNITS]]=0,0,INVESTORS_LIST[[#This Row],[SIP_TOTAL CURRENT UNITS]]*INVESTORS_LIST[[#This Row],[NAV]])</f>
        <v>0</v>
      </c>
      <c r="AS522" s="50">
        <f>INVESTORS_LIST[[#This Row],[TOTAL CURRENT UNITS]]</f>
        <v>0</v>
      </c>
      <c r="AT522" s="48">
        <f>IF(INVESTORS_LIST[[#This Row],[TOTAL SELLABLE UNITS]]=0,0,INVESTORS_LIST[[#This Row],[TOTAL SELLABLE UNITS]]*INVESTORS_LIST[[#This Row],[NAV]])</f>
        <v>0</v>
      </c>
      <c r="AU522" s="48">
        <f>INVESTORS_LIST[[#This Row],[LS_TOTAL REALIZED GAIN]]+INVESTORS_LIST[[#This Row],[SIP_TOTAL REALIZED GAIN]]</f>
        <v>331360.94000000064</v>
      </c>
      <c r="AV522" s="48">
        <f>INVESTORS_LIST[[#This Row],[TOTAL MARKET VALUE]]-INVESTORS_LIST[[#This Row],[TOTAL COST VALUE OF CURRENT INVESTMENT]]</f>
        <v>0</v>
      </c>
      <c r="AW522" s="48">
        <f>IFERROR(INVESTORS_LIST[[#This Row],[TOTAL CURRENT UNITS]]/SUM(INVESTORS_LIST[TOTAL CURRENT UNITS]),0)</f>
        <v>0</v>
      </c>
    </row>
    <row r="523" spans="1:49" hidden="1">
      <c r="A523" s="262" t="s">
        <v>1092</v>
      </c>
      <c r="B523" s="97" t="s">
        <v>1093</v>
      </c>
      <c r="C523" t="s">
        <v>48</v>
      </c>
      <c r="D523" s="75" t="s">
        <v>132</v>
      </c>
      <c r="E523" s="47">
        <f>SUMIFS(LS[Unit],LS[Investor ID],INVESTORS_LIST[[#This Row],[INVESTOR CODE]],LS[B/S],"B")</f>
        <v>750469</v>
      </c>
      <c r="F523" s="47">
        <f>-SUMIFS(LS[Unit],LS[Investor ID],INVESTORS_LIST[[#This Row],[INVESTOR CODE]],LS[B/S],"S")</f>
        <v>750469</v>
      </c>
      <c r="G523" s="47">
        <f>IF(INVESTORS_LIST[[#This Row],[LS_TOTAL UNITS BUY]]=0,0,INVESTORS_LIST[[#This Row],[LS_TOTAL UNITS BUY]]-INVESTORS_LIST[[#This Row],[LS_TOTAL UNITS SOLD]])</f>
        <v>0</v>
      </c>
      <c r="H523" s="49">
        <f>IF(INVESTORS_LIST[[#This Row],[LS_TOTAL UNITS BUY]]=0,0,SUMIFS(LS[Amount],LS[Investor ID],INVESTORS_LIST[[#This Row],[INVESTOR CODE]],LS[B/S],"B"))</f>
        <v>8000000</v>
      </c>
      <c r="I523" s="48">
        <f>IF(INVESTORS_LIST[[#This Row],[LS_TOTAL UNITS SOLD]]=0,0,SUMIFS(LS[Cost of Units Sold],LS[Investor ID],INVESTORS_LIST[[#This Row],[INVESTOR CODE]],LS[B/S],"S"))</f>
        <v>8000000</v>
      </c>
      <c r="J523" s="48">
        <f>IF(INVESTORS_LIST[[#This Row],[LS_TOTAL CURRENT UNITS]]=0,0,INVESTORS_LIST[[#This Row],[LS_TOTAL CURRENT UNITS]]*INVESTORS_LIST[[#This Row],[LS_AVERAGE COST]])</f>
        <v>0</v>
      </c>
      <c r="K523" s="49">
        <f>IF(INVESTORS_LIST[[#This Row],[LS_TOTAL UNITS SOLD]]=0,0,SUMIFS(LS[Realized Gain],LS[Investor ID],INVESTORS_LIST[[#This Row],[INVESTOR CODE]],LS[B/S],"S"))</f>
        <v>399282.59999999945</v>
      </c>
      <c r="L523" s="47">
        <f>SUMIFS(SIP[Unit],SIP[Investor ID],INVESTORS_LIST[[#This Row],[INVESTOR CODE]],SIP[B/S],"B")</f>
        <v>0</v>
      </c>
      <c r="M523" s="47">
        <f>-SUMIFS(SIP[Unit],SIP[Investor ID],INVESTORS_LIST[[#This Row],[INVESTOR CODE]],SIP[B/S],"S")</f>
        <v>0</v>
      </c>
      <c r="N523" s="50">
        <f>IF(INVESTORS_LIST[[#This Row],[SIP_TOTAL UNITS BUY]]=0,0,INVESTORS_LIST[[#This Row],[SIP_TOTAL UNITS BUY]]-INVESTORS_LIST[[#This Row],[SIP_TOTAL UNITS SOLD]])</f>
        <v>0</v>
      </c>
      <c r="O523" s="49">
        <f>IF(INVESTORS_LIST[[#This Row],[SIP_TOTAL UNITS BUY]]=0,0,SUMIFS(SIP[Amount],SIP[Investor ID],INVESTORS_LIST[[#This Row],[INVESTOR CODE]],SIP[B/S],"B"))</f>
        <v>0</v>
      </c>
      <c r="P523" s="49">
        <f>IF(INVESTORS_LIST[[#This Row],[SIP_TOTAL UNITS SOLD]]=0,0,SUMIFS(SIP[Cost of Units Sold],SIP[Investor ID],INVESTORS_LIST[[#This Row],[INVESTOR CODE]],SIP[B/S],"S"))</f>
        <v>0</v>
      </c>
      <c r="Q523" s="48">
        <f>IF(INVESTORS_LIST[[#This Row],[SIP_TOTAL CURRENT UNITS]]=0,0,INVESTORS_LIST[[#This Row],[SIP_TOTAL CURRENT UNITS]]*INVESTORS_LIST[[#This Row],[SIP_AVERAGE COST]])</f>
        <v>0</v>
      </c>
      <c r="R523" s="48">
        <f>IF(INVESTORS_LIST[[#This Row],[SIP_TOTAL UNITS SOLD]]=0,0,SUMIFS(SIP[Realized Gain],SIP[Investor ID],INVESTORS_LIST[[#This Row],[INVESTOR CODE]],SIP[B/S],"S"))</f>
        <v>0</v>
      </c>
      <c r="S523" s="50">
        <f>INVESTORS_LIST[[#This Row],[LS_TOTAL UNITS BUY]]+INVESTORS_LIST[[#This Row],[SIP_TOTAL UNITS BUY]]</f>
        <v>750469</v>
      </c>
      <c r="T523" s="50">
        <f>INVESTORS_LIST[[#This Row],[LS_TOTAL UNITS SOLD]]+INVESTORS_LIST[[#This Row],[SIP_TOTAL UNITS SOLD]]</f>
        <v>750469</v>
      </c>
      <c r="U523" s="50"/>
      <c r="V523" s="50">
        <f>SUMIFS(LS[BO UNIT TRANSFER],LS[Investor ID],INVESTORS_LIST[[#This Row],[INVESTOR CODE]],LS[B/S],"B")</f>
        <v>0</v>
      </c>
      <c r="W523" s="50">
        <f>SUMIFS(SIP[BO UNIT TRANSFER],SIP[Investor ID],INVESTORS_LIST[[#This Row],[INVESTOR CODE]],SIP[B/S],"B")</f>
        <v>0</v>
      </c>
      <c r="X523" s="50">
        <f>SUMIFS(LS[BO UNIT TRANSFER],LS[Investor ID],INVESTORS_LIST[[#This Row],[INVESTOR CODE]],LS[B/S],"S")</f>
        <v>0</v>
      </c>
      <c r="Y523" s="50">
        <f>SUMIFS(SIP[BO UNIT TRANSFER],SIP[Investor ID],INVESTORS_LIST[[#This Row],[INVESTOR CODE]],SIP[B/S],"S")</f>
        <v>0</v>
      </c>
      <c r="Z523" s="106">
        <f>SUM(INVESTORS_LIST[[#This Row],[BO OPENING BALANCE]:[BO SIP UNITS REPURCHASE]])</f>
        <v>0</v>
      </c>
      <c r="AA523" s="107">
        <f>INVESTORS_LIST[[#This Row],[TOTAL UNITS BUY]]-INVESTORS_LIST[[#This Row],[TOTAL UNITS SOLD]]</f>
        <v>0</v>
      </c>
      <c r="AB523" s="107">
        <f>INVESTORS_LIST[[#This Row],[TOTAL CURRENT UNITS]]-INVESTORS_LIST[[#This Row],[BO UNITS HOLD]]</f>
        <v>0</v>
      </c>
      <c r="AC523" s="201" t="e">
        <f>INDEX([3]!Table_1[BO ID],MATCH(INVESTORS_LIST[[#This Row],[INVESTOR CODE]],[3]!Table_1[INVESTOR CODE],0))</f>
        <v>#REF!</v>
      </c>
      <c r="AD523" s="201" t="e">
        <f>INDEX([3]!Table_1[Brokerage Name2],MATCH(INVESTORS_LIST[[#This Row],[INVESTOR CODE]],[3]!Table_1[INVESTOR CODE],0))</f>
        <v>#REF!</v>
      </c>
      <c r="AE523" s="201" t="e">
        <f>MID(INVESTORS_LIST[[#This Row],[BO ID]],4,5)</f>
        <v>#REF!</v>
      </c>
      <c r="AF523" s="201" t="e">
        <f>MID(INVESTORS_LIST[[#This Row],[BO ID]],2,7)</f>
        <v>#REF!</v>
      </c>
      <c r="AG523" s="201" t="e">
        <f>MID(INVESTORS_LIST[[#This Row],[BO ID]],9,7)</f>
        <v>#REF!</v>
      </c>
      <c r="AH523" s="201" t="e">
        <f>RIGHT(INVESTORS_LIST[[#This Row],[BO ID]],1)</f>
        <v>#REF!</v>
      </c>
      <c r="AI523" s="50">
        <f>INVESTORS_LIST[[#This Row],[LS_TOTAL COST VALUE OF CURRENT UNITS]]+INVESTORS_LIST[[#This Row],[SIP_TOTAL COST VALUE OF CURRENT UNITS]]</f>
        <v>0</v>
      </c>
      <c r="AJ523" s="109">
        <f>IF(INVESTORS_LIST[[#This Row],[TOTAL CURRENT UNITS]]=0,0,INVESTORS_LIST[[#This Row],[LS_TOTAL CURRENT UNITS]]/INVESTORS_LIST[[#This Row],[TOTAL CURRENT UNITS]])</f>
        <v>0</v>
      </c>
      <c r="AK523" s="109">
        <f>IF(INVESTORS_LIST[[#This Row],[TOTAL CURRENT UNITS]]=0,0,INVESTORS_LIST[[#This Row],[SIP_TOTAL CURRENT UNITS]]/INVESTORS_LIST[[#This Row],[TOTAL CURRENT UNITS]])</f>
        <v>0</v>
      </c>
      <c r="AL523" s="49" cm="1">
        <f t="array" ref="AL5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3" s="49" cm="1">
        <f t="array" ref="AM5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3" s="105">
        <f t="shared" si="9"/>
        <v>14.224</v>
      </c>
      <c r="AP523" s="112">
        <f>IF(INVESTORS_LIST[[#This Row],[TOTAL CURRENT UNITS]]=0,0,INVESTORS_LIST[[#This Row],[TOTAL CURRENT UNITS]]*INVESTORS_LIST[[#This Row],[NAV]])</f>
        <v>0</v>
      </c>
      <c r="AQ523" s="49">
        <f>IF(INVESTORS_LIST[[#This Row],[LS_TOTAL CURRENT UNITS]]=0,0,INVESTORS_LIST[[#This Row],[LS_TOTAL CURRENT UNITS]]*INVESTORS_LIST[[#This Row],[NAV]])</f>
        <v>0</v>
      </c>
      <c r="AR523" s="48">
        <f>IF(INVESTORS_LIST[[#This Row],[SIP_TOTAL CURRENT UNITS]]=0,0,INVESTORS_LIST[[#This Row],[SIP_TOTAL CURRENT UNITS]]*INVESTORS_LIST[[#This Row],[NAV]])</f>
        <v>0</v>
      </c>
      <c r="AS523" s="50">
        <f>INVESTORS_LIST[[#This Row],[TOTAL CURRENT UNITS]]</f>
        <v>0</v>
      </c>
      <c r="AT523" s="48">
        <f>IF(INVESTORS_LIST[[#This Row],[TOTAL SELLABLE UNITS]]=0,0,INVESTORS_LIST[[#This Row],[TOTAL SELLABLE UNITS]]*INVESTORS_LIST[[#This Row],[NAV]])</f>
        <v>0</v>
      </c>
      <c r="AU523" s="48">
        <f>INVESTORS_LIST[[#This Row],[LS_TOTAL REALIZED GAIN]]+INVESTORS_LIST[[#This Row],[SIP_TOTAL REALIZED GAIN]]</f>
        <v>399282.59999999945</v>
      </c>
      <c r="AV523" s="48">
        <f>INVESTORS_LIST[[#This Row],[TOTAL MARKET VALUE]]-INVESTORS_LIST[[#This Row],[TOTAL COST VALUE OF CURRENT INVESTMENT]]</f>
        <v>0</v>
      </c>
      <c r="AW523" s="48">
        <f>IFERROR(INVESTORS_LIST[[#This Row],[TOTAL CURRENT UNITS]]/SUM(INVESTORS_LIST[TOTAL CURRENT UNITS]),0)</f>
        <v>0</v>
      </c>
    </row>
    <row r="524" spans="1:49" hidden="1">
      <c r="A524" s="262" t="s">
        <v>1094</v>
      </c>
      <c r="B524" s="97" t="s">
        <v>1095</v>
      </c>
      <c r="C524" t="s">
        <v>48</v>
      </c>
      <c r="D524" s="75" t="s">
        <v>132</v>
      </c>
      <c r="E524" s="47">
        <f>SUMIFS(LS[Unit],LS[Investor ID],INVESTORS_LIST[[#This Row],[INVESTOR CODE]],LS[B/S],"B")</f>
        <v>703565</v>
      </c>
      <c r="F524" s="47">
        <f>-SUMIFS(LS[Unit],LS[Investor ID],INVESTORS_LIST[[#This Row],[INVESTOR CODE]],LS[B/S],"S")</f>
        <v>703565</v>
      </c>
      <c r="G524" s="47">
        <f>IF(INVESTORS_LIST[[#This Row],[LS_TOTAL UNITS BUY]]=0,0,INVESTORS_LIST[[#This Row],[LS_TOTAL UNITS BUY]]-INVESTORS_LIST[[#This Row],[LS_TOTAL UNITS SOLD]])</f>
        <v>0</v>
      </c>
      <c r="H524" s="49">
        <f>IF(INVESTORS_LIST[[#This Row],[LS_TOTAL UNITS BUY]]=0,0,SUMIFS(LS[Amount],LS[Investor ID],INVESTORS_LIST[[#This Row],[INVESTOR CODE]],LS[B/S],"B"))</f>
        <v>7500000</v>
      </c>
      <c r="I524" s="48">
        <f>IF(INVESTORS_LIST[[#This Row],[LS_TOTAL UNITS SOLD]]=0,0,SUMIFS(LS[Cost of Units Sold],LS[Investor ID],INVESTORS_LIST[[#This Row],[INVESTOR CODE]],LS[B/S],"S"))</f>
        <v>7500000</v>
      </c>
      <c r="J524" s="48">
        <f>IF(INVESTORS_LIST[[#This Row],[LS_TOTAL CURRENT UNITS]]=0,0,INVESTORS_LIST[[#This Row],[LS_TOTAL CURRENT UNITS]]*INVESTORS_LIST[[#This Row],[LS_AVERAGE COST]])</f>
        <v>0</v>
      </c>
      <c r="K524" s="49">
        <f>IF(INVESTORS_LIST[[#This Row],[LS_TOTAL UNITS SOLD]]=0,0,SUMIFS(LS[Realized Gain],LS[Investor ID],INVESTORS_LIST[[#This Row],[INVESTOR CODE]],LS[B/S],"S"))</f>
        <v>365327.4600000002</v>
      </c>
      <c r="L524" s="47">
        <f>SUMIFS(SIP[Unit],SIP[Investor ID],INVESTORS_LIST[[#This Row],[INVESTOR CODE]],SIP[B/S],"B")</f>
        <v>0</v>
      </c>
      <c r="M524" s="47">
        <f>-SUMIFS(SIP[Unit],SIP[Investor ID],INVESTORS_LIST[[#This Row],[INVESTOR CODE]],SIP[B/S],"S")</f>
        <v>0</v>
      </c>
      <c r="N524" s="50">
        <f>IF(INVESTORS_LIST[[#This Row],[SIP_TOTAL UNITS BUY]]=0,0,INVESTORS_LIST[[#This Row],[SIP_TOTAL UNITS BUY]]-INVESTORS_LIST[[#This Row],[SIP_TOTAL UNITS SOLD]])</f>
        <v>0</v>
      </c>
      <c r="O524" s="49">
        <f>IF(INVESTORS_LIST[[#This Row],[SIP_TOTAL UNITS BUY]]=0,0,SUMIFS(SIP[Amount],SIP[Investor ID],INVESTORS_LIST[[#This Row],[INVESTOR CODE]],SIP[B/S],"B"))</f>
        <v>0</v>
      </c>
      <c r="P524" s="49">
        <f>IF(INVESTORS_LIST[[#This Row],[SIP_TOTAL UNITS SOLD]]=0,0,SUMIFS(SIP[Cost of Units Sold],SIP[Investor ID],INVESTORS_LIST[[#This Row],[INVESTOR CODE]],SIP[B/S],"S"))</f>
        <v>0</v>
      </c>
      <c r="Q524" s="48">
        <f>IF(INVESTORS_LIST[[#This Row],[SIP_TOTAL CURRENT UNITS]]=0,0,INVESTORS_LIST[[#This Row],[SIP_TOTAL CURRENT UNITS]]*INVESTORS_LIST[[#This Row],[SIP_AVERAGE COST]])</f>
        <v>0</v>
      </c>
      <c r="R524" s="48">
        <f>IF(INVESTORS_LIST[[#This Row],[SIP_TOTAL UNITS SOLD]]=0,0,SUMIFS(SIP[Realized Gain],SIP[Investor ID],INVESTORS_LIST[[#This Row],[INVESTOR CODE]],SIP[B/S],"S"))</f>
        <v>0</v>
      </c>
      <c r="S524" s="50">
        <f>INVESTORS_LIST[[#This Row],[LS_TOTAL UNITS BUY]]+INVESTORS_LIST[[#This Row],[SIP_TOTAL UNITS BUY]]</f>
        <v>703565</v>
      </c>
      <c r="T524" s="50">
        <f>INVESTORS_LIST[[#This Row],[LS_TOTAL UNITS SOLD]]+INVESTORS_LIST[[#This Row],[SIP_TOTAL UNITS SOLD]]</f>
        <v>703565</v>
      </c>
      <c r="U524" s="50"/>
      <c r="V524" s="50">
        <f>SUMIFS(LS[BO UNIT TRANSFER],LS[Investor ID],INVESTORS_LIST[[#This Row],[INVESTOR CODE]],LS[B/S],"B")</f>
        <v>0</v>
      </c>
      <c r="W524" s="50">
        <f>SUMIFS(SIP[BO UNIT TRANSFER],SIP[Investor ID],INVESTORS_LIST[[#This Row],[INVESTOR CODE]],SIP[B/S],"B")</f>
        <v>0</v>
      </c>
      <c r="X524" s="50">
        <f>SUMIFS(LS[BO UNIT TRANSFER],LS[Investor ID],INVESTORS_LIST[[#This Row],[INVESTOR CODE]],LS[B/S],"S")</f>
        <v>0</v>
      </c>
      <c r="Y524" s="50">
        <f>SUMIFS(SIP[BO UNIT TRANSFER],SIP[Investor ID],INVESTORS_LIST[[#This Row],[INVESTOR CODE]],SIP[B/S],"S")</f>
        <v>0</v>
      </c>
      <c r="Z524" s="106">
        <f>SUM(INVESTORS_LIST[[#This Row],[BO OPENING BALANCE]:[BO SIP UNITS REPURCHASE]])</f>
        <v>0</v>
      </c>
      <c r="AA524" s="107">
        <f>INVESTORS_LIST[[#This Row],[TOTAL UNITS BUY]]-INVESTORS_LIST[[#This Row],[TOTAL UNITS SOLD]]</f>
        <v>0</v>
      </c>
      <c r="AB524" s="107">
        <f>INVESTORS_LIST[[#This Row],[TOTAL CURRENT UNITS]]-INVESTORS_LIST[[#This Row],[BO UNITS HOLD]]</f>
        <v>0</v>
      </c>
      <c r="AC524" s="201" t="e">
        <f>INDEX([3]!Table_1[BO ID],MATCH(INVESTORS_LIST[[#This Row],[INVESTOR CODE]],[3]!Table_1[INVESTOR CODE],0))</f>
        <v>#REF!</v>
      </c>
      <c r="AD524" s="201" t="e">
        <f>INDEX([3]!Table_1[Brokerage Name2],MATCH(INVESTORS_LIST[[#This Row],[INVESTOR CODE]],[3]!Table_1[INVESTOR CODE],0))</f>
        <v>#REF!</v>
      </c>
      <c r="AE524" s="201" t="e">
        <f>MID(INVESTORS_LIST[[#This Row],[BO ID]],4,5)</f>
        <v>#REF!</v>
      </c>
      <c r="AF524" s="201" t="e">
        <f>MID(INVESTORS_LIST[[#This Row],[BO ID]],2,7)</f>
        <v>#REF!</v>
      </c>
      <c r="AG524" s="201" t="e">
        <f>MID(INVESTORS_LIST[[#This Row],[BO ID]],9,7)</f>
        <v>#REF!</v>
      </c>
      <c r="AH524" s="201" t="e">
        <f>RIGHT(INVESTORS_LIST[[#This Row],[BO ID]],1)</f>
        <v>#REF!</v>
      </c>
      <c r="AI524" s="50">
        <f>INVESTORS_LIST[[#This Row],[LS_TOTAL COST VALUE OF CURRENT UNITS]]+INVESTORS_LIST[[#This Row],[SIP_TOTAL COST VALUE OF CURRENT UNITS]]</f>
        <v>0</v>
      </c>
      <c r="AJ524" s="109">
        <f>IF(INVESTORS_LIST[[#This Row],[TOTAL CURRENT UNITS]]=0,0,INVESTORS_LIST[[#This Row],[LS_TOTAL CURRENT UNITS]]/INVESTORS_LIST[[#This Row],[TOTAL CURRENT UNITS]])</f>
        <v>0</v>
      </c>
      <c r="AK524" s="109">
        <f>IF(INVESTORS_LIST[[#This Row],[TOTAL CURRENT UNITS]]=0,0,INVESTORS_LIST[[#This Row],[SIP_TOTAL CURRENT UNITS]]/INVESTORS_LIST[[#This Row],[TOTAL CURRENT UNITS]])</f>
        <v>0</v>
      </c>
      <c r="AL524" s="49" cm="1">
        <f t="array" ref="AL5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4" s="49" cm="1">
        <f t="array" ref="AM5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4" s="105">
        <f t="shared" si="9"/>
        <v>14.224</v>
      </c>
      <c r="AP524" s="112">
        <f>IF(INVESTORS_LIST[[#This Row],[TOTAL CURRENT UNITS]]=0,0,INVESTORS_LIST[[#This Row],[TOTAL CURRENT UNITS]]*INVESTORS_LIST[[#This Row],[NAV]])</f>
        <v>0</v>
      </c>
      <c r="AQ524" s="49">
        <f>IF(INVESTORS_LIST[[#This Row],[LS_TOTAL CURRENT UNITS]]=0,0,INVESTORS_LIST[[#This Row],[LS_TOTAL CURRENT UNITS]]*INVESTORS_LIST[[#This Row],[NAV]])</f>
        <v>0</v>
      </c>
      <c r="AR524" s="48">
        <f>IF(INVESTORS_LIST[[#This Row],[SIP_TOTAL CURRENT UNITS]]=0,0,INVESTORS_LIST[[#This Row],[SIP_TOTAL CURRENT UNITS]]*INVESTORS_LIST[[#This Row],[NAV]])</f>
        <v>0</v>
      </c>
      <c r="AS524" s="50">
        <f>INVESTORS_LIST[[#This Row],[TOTAL CURRENT UNITS]]</f>
        <v>0</v>
      </c>
      <c r="AT524" s="48">
        <f>IF(INVESTORS_LIST[[#This Row],[TOTAL SELLABLE UNITS]]=0,0,INVESTORS_LIST[[#This Row],[TOTAL SELLABLE UNITS]]*INVESTORS_LIST[[#This Row],[NAV]])</f>
        <v>0</v>
      </c>
      <c r="AU524" s="48">
        <f>INVESTORS_LIST[[#This Row],[LS_TOTAL REALIZED GAIN]]+INVESTORS_LIST[[#This Row],[SIP_TOTAL REALIZED GAIN]]</f>
        <v>365327.4600000002</v>
      </c>
      <c r="AV524" s="48">
        <f>INVESTORS_LIST[[#This Row],[TOTAL MARKET VALUE]]-INVESTORS_LIST[[#This Row],[TOTAL COST VALUE OF CURRENT INVESTMENT]]</f>
        <v>0</v>
      </c>
      <c r="AW524" s="48">
        <f>IFERROR(INVESTORS_LIST[[#This Row],[TOTAL CURRENT UNITS]]/SUM(INVESTORS_LIST[TOTAL CURRENT UNITS]),0)</f>
        <v>0</v>
      </c>
    </row>
    <row r="525" spans="1:49" hidden="1">
      <c r="A525" s="262" t="s">
        <v>1096</v>
      </c>
      <c r="B525" s="97" t="s">
        <v>1097</v>
      </c>
      <c r="C525" t="s">
        <v>67</v>
      </c>
      <c r="D525" s="75" t="s">
        <v>45</v>
      </c>
      <c r="E525" s="47">
        <f>SUMIFS(LS[Unit],LS[Investor ID],INVESTORS_LIST[[#This Row],[INVESTOR CODE]],LS[B/S],"B")</f>
        <v>93484</v>
      </c>
      <c r="F525" s="47">
        <f>-SUMIFS(LS[Unit],LS[Investor ID],INVESTORS_LIST[[#This Row],[INVESTOR CODE]],LS[B/S],"S")</f>
        <v>93484</v>
      </c>
      <c r="G525" s="47">
        <f>IF(INVESTORS_LIST[[#This Row],[LS_TOTAL UNITS BUY]]=0,0,INVESTORS_LIST[[#This Row],[LS_TOTAL UNITS BUY]]-INVESTORS_LIST[[#This Row],[LS_TOTAL UNITS SOLD]])</f>
        <v>0</v>
      </c>
      <c r="H525" s="49">
        <f>IF(INVESTORS_LIST[[#This Row],[LS_TOTAL UNITS BUY]]=0,0,SUMIFS(LS[Amount],LS[Investor ID],INVESTORS_LIST[[#This Row],[INVESTOR CODE]],LS[B/S],"B"))</f>
        <v>1000000</v>
      </c>
      <c r="I525" s="48">
        <f>IF(INVESTORS_LIST[[#This Row],[LS_TOTAL UNITS SOLD]]=0,0,SUMIFS(LS[Cost of Units Sold],LS[Investor ID],INVESTORS_LIST[[#This Row],[INVESTOR CODE]],LS[B/S],"S"))</f>
        <v>1000000.0000000001</v>
      </c>
      <c r="J525" s="48">
        <f>IF(INVESTORS_LIST[[#This Row],[LS_TOTAL CURRENT UNITS]]=0,0,INVESTORS_LIST[[#This Row],[LS_TOTAL CURRENT UNITS]]*INVESTORS_LIST[[#This Row],[LS_AVERAGE COST]])</f>
        <v>0</v>
      </c>
      <c r="K525" s="49">
        <f>IF(INVESTORS_LIST[[#This Row],[LS_TOTAL UNITS SOLD]]=0,0,SUMIFS(LS[Realized Gain],LS[Investor ID],INVESTORS_LIST[[#This Row],[INVESTOR CODE]],LS[B/S],"S"))</f>
        <v>31502.459999999915</v>
      </c>
      <c r="L525" s="47">
        <f>SUMIFS(SIP[Unit],SIP[Investor ID],INVESTORS_LIST[[#This Row],[INVESTOR CODE]],SIP[B/S],"B")</f>
        <v>0</v>
      </c>
      <c r="M525" s="47">
        <f>-SUMIFS(SIP[Unit],SIP[Investor ID],INVESTORS_LIST[[#This Row],[INVESTOR CODE]],SIP[B/S],"S")</f>
        <v>0</v>
      </c>
      <c r="N525" s="50">
        <f>IF(INVESTORS_LIST[[#This Row],[SIP_TOTAL UNITS BUY]]=0,0,INVESTORS_LIST[[#This Row],[SIP_TOTAL UNITS BUY]]-INVESTORS_LIST[[#This Row],[SIP_TOTAL UNITS SOLD]])</f>
        <v>0</v>
      </c>
      <c r="O525" s="49">
        <f>IF(INVESTORS_LIST[[#This Row],[SIP_TOTAL UNITS BUY]]=0,0,SUMIFS(SIP[Amount],SIP[Investor ID],INVESTORS_LIST[[#This Row],[INVESTOR CODE]],SIP[B/S],"B"))</f>
        <v>0</v>
      </c>
      <c r="P525" s="49">
        <f>IF(INVESTORS_LIST[[#This Row],[SIP_TOTAL UNITS SOLD]]=0,0,SUMIFS(SIP[Cost of Units Sold],SIP[Investor ID],INVESTORS_LIST[[#This Row],[INVESTOR CODE]],SIP[B/S],"S"))</f>
        <v>0</v>
      </c>
      <c r="Q525" s="48">
        <f>IF(INVESTORS_LIST[[#This Row],[SIP_TOTAL CURRENT UNITS]]=0,0,INVESTORS_LIST[[#This Row],[SIP_TOTAL CURRENT UNITS]]*INVESTORS_LIST[[#This Row],[SIP_AVERAGE COST]])</f>
        <v>0</v>
      </c>
      <c r="R525" s="48">
        <f>IF(INVESTORS_LIST[[#This Row],[SIP_TOTAL UNITS SOLD]]=0,0,SUMIFS(SIP[Realized Gain],SIP[Investor ID],INVESTORS_LIST[[#This Row],[INVESTOR CODE]],SIP[B/S],"S"))</f>
        <v>0</v>
      </c>
      <c r="S525" s="50">
        <f>INVESTORS_LIST[[#This Row],[LS_TOTAL UNITS BUY]]+INVESTORS_LIST[[#This Row],[SIP_TOTAL UNITS BUY]]</f>
        <v>93484</v>
      </c>
      <c r="T525" s="50">
        <f>INVESTORS_LIST[[#This Row],[LS_TOTAL UNITS SOLD]]+INVESTORS_LIST[[#This Row],[SIP_TOTAL UNITS SOLD]]</f>
        <v>93484</v>
      </c>
      <c r="U525" s="50"/>
      <c r="V525" s="50">
        <f>SUMIFS(LS[BO UNIT TRANSFER],LS[Investor ID],INVESTORS_LIST[[#This Row],[INVESTOR CODE]],LS[B/S],"B")</f>
        <v>0</v>
      </c>
      <c r="W525" s="50">
        <f>SUMIFS(SIP[BO UNIT TRANSFER],SIP[Investor ID],INVESTORS_LIST[[#This Row],[INVESTOR CODE]],SIP[B/S],"B")</f>
        <v>0</v>
      </c>
      <c r="X525" s="50">
        <f>SUMIFS(LS[BO UNIT TRANSFER],LS[Investor ID],INVESTORS_LIST[[#This Row],[INVESTOR CODE]],LS[B/S],"S")</f>
        <v>0</v>
      </c>
      <c r="Y525" s="50">
        <f>SUMIFS(SIP[BO UNIT TRANSFER],SIP[Investor ID],INVESTORS_LIST[[#This Row],[INVESTOR CODE]],SIP[B/S],"S")</f>
        <v>0</v>
      </c>
      <c r="Z525" s="106">
        <f>SUM(INVESTORS_LIST[[#This Row],[BO OPENING BALANCE]:[BO SIP UNITS REPURCHASE]])</f>
        <v>0</v>
      </c>
      <c r="AA525" s="107">
        <f>INVESTORS_LIST[[#This Row],[TOTAL UNITS BUY]]-INVESTORS_LIST[[#This Row],[TOTAL UNITS SOLD]]</f>
        <v>0</v>
      </c>
      <c r="AB525" s="107">
        <f>INVESTORS_LIST[[#This Row],[TOTAL CURRENT UNITS]]-INVESTORS_LIST[[#This Row],[BO UNITS HOLD]]</f>
        <v>0</v>
      </c>
      <c r="AC525" s="201" t="e">
        <f>INDEX([3]!Table_1[BO ID],MATCH(INVESTORS_LIST[[#This Row],[INVESTOR CODE]],[3]!Table_1[INVESTOR CODE],0))</f>
        <v>#REF!</v>
      </c>
      <c r="AD525" s="201" t="e">
        <f>INDEX([3]!Table_1[Brokerage Name2],MATCH(INVESTORS_LIST[[#This Row],[INVESTOR CODE]],[3]!Table_1[INVESTOR CODE],0))</f>
        <v>#REF!</v>
      </c>
      <c r="AE525" s="201" t="e">
        <f>MID(INVESTORS_LIST[[#This Row],[BO ID]],4,5)</f>
        <v>#REF!</v>
      </c>
      <c r="AF525" s="201" t="e">
        <f>MID(INVESTORS_LIST[[#This Row],[BO ID]],2,7)</f>
        <v>#REF!</v>
      </c>
      <c r="AG525" s="201" t="e">
        <f>MID(INVESTORS_LIST[[#This Row],[BO ID]],9,7)</f>
        <v>#REF!</v>
      </c>
      <c r="AH525" s="201" t="e">
        <f>RIGHT(INVESTORS_LIST[[#This Row],[BO ID]],1)</f>
        <v>#REF!</v>
      </c>
      <c r="AI525" s="50">
        <f>INVESTORS_LIST[[#This Row],[LS_TOTAL COST VALUE OF CURRENT UNITS]]+INVESTORS_LIST[[#This Row],[SIP_TOTAL COST VALUE OF CURRENT UNITS]]</f>
        <v>0</v>
      </c>
      <c r="AJ525" s="109">
        <f>IF(INVESTORS_LIST[[#This Row],[TOTAL CURRENT UNITS]]=0,0,INVESTORS_LIST[[#This Row],[LS_TOTAL CURRENT UNITS]]/INVESTORS_LIST[[#This Row],[TOTAL CURRENT UNITS]])</f>
        <v>0</v>
      </c>
      <c r="AK525" s="109">
        <f>IF(INVESTORS_LIST[[#This Row],[TOTAL CURRENT UNITS]]=0,0,INVESTORS_LIST[[#This Row],[SIP_TOTAL CURRENT UNITS]]/INVESTORS_LIST[[#This Row],[TOTAL CURRENT UNITS]])</f>
        <v>0</v>
      </c>
      <c r="AL525" s="49" cm="1">
        <f t="array" ref="AL5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5" s="49" cm="1">
        <f t="array" ref="AM5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5" s="105">
        <f t="shared" si="9"/>
        <v>14.224</v>
      </c>
      <c r="AP525" s="112">
        <f>IF(INVESTORS_LIST[[#This Row],[TOTAL CURRENT UNITS]]=0,0,INVESTORS_LIST[[#This Row],[TOTAL CURRENT UNITS]]*INVESTORS_LIST[[#This Row],[NAV]])</f>
        <v>0</v>
      </c>
      <c r="AQ525" s="49">
        <f>IF(INVESTORS_LIST[[#This Row],[LS_TOTAL CURRENT UNITS]]=0,0,INVESTORS_LIST[[#This Row],[LS_TOTAL CURRENT UNITS]]*INVESTORS_LIST[[#This Row],[NAV]])</f>
        <v>0</v>
      </c>
      <c r="AR525" s="48">
        <f>IF(INVESTORS_LIST[[#This Row],[SIP_TOTAL CURRENT UNITS]]=0,0,INVESTORS_LIST[[#This Row],[SIP_TOTAL CURRENT UNITS]]*INVESTORS_LIST[[#This Row],[NAV]])</f>
        <v>0</v>
      </c>
      <c r="AS525" s="50">
        <f>INVESTORS_LIST[[#This Row],[TOTAL CURRENT UNITS]]</f>
        <v>0</v>
      </c>
      <c r="AT525" s="48">
        <f>IF(INVESTORS_LIST[[#This Row],[TOTAL SELLABLE UNITS]]=0,0,INVESTORS_LIST[[#This Row],[TOTAL SELLABLE UNITS]]*INVESTORS_LIST[[#This Row],[NAV]])</f>
        <v>0</v>
      </c>
      <c r="AU525" s="48">
        <f>INVESTORS_LIST[[#This Row],[LS_TOTAL REALIZED GAIN]]+INVESTORS_LIST[[#This Row],[SIP_TOTAL REALIZED GAIN]]</f>
        <v>31502.459999999915</v>
      </c>
      <c r="AV525" s="48">
        <f>INVESTORS_LIST[[#This Row],[TOTAL MARKET VALUE]]-INVESTORS_LIST[[#This Row],[TOTAL COST VALUE OF CURRENT INVESTMENT]]</f>
        <v>0</v>
      </c>
      <c r="AW525" s="48">
        <f>IFERROR(INVESTORS_LIST[[#This Row],[TOTAL CURRENT UNITS]]/SUM(INVESTORS_LIST[TOTAL CURRENT UNITS]),0)</f>
        <v>0</v>
      </c>
    </row>
    <row r="526" spans="1:49">
      <c r="A526" s="262" t="s">
        <v>1098</v>
      </c>
      <c r="B526" s="97" t="s">
        <v>1099</v>
      </c>
      <c r="C526" t="s">
        <v>44</v>
      </c>
      <c r="D526" s="75" t="s">
        <v>45</v>
      </c>
      <c r="E526" s="47">
        <f>SUMIFS(LS[Unit],LS[Investor ID],INVESTORS_LIST[[#This Row],[INVESTOR CODE]],LS[B/S],"B")</f>
        <v>62250</v>
      </c>
      <c r="F526" s="47">
        <f>-SUMIFS(LS[Unit],LS[Investor ID],INVESTORS_LIST[[#This Row],[INVESTOR CODE]],LS[B/S],"S")</f>
        <v>61722</v>
      </c>
      <c r="G526" s="47">
        <f>IF(INVESTORS_LIST[[#This Row],[LS_TOTAL UNITS BUY]]=0,0,INVESTORS_LIST[[#This Row],[LS_TOTAL UNITS BUY]]-INVESTORS_LIST[[#This Row],[LS_TOTAL UNITS SOLD]])</f>
        <v>528</v>
      </c>
      <c r="H526" s="49">
        <f>IF(INVESTORS_LIST[[#This Row],[LS_TOTAL UNITS BUY]]=0,0,SUMIFS(LS[Amount],LS[Investor ID],INVESTORS_LIST[[#This Row],[INVESTOR CODE]],LS[B/S],"B"))</f>
        <v>700000</v>
      </c>
      <c r="I526" s="48">
        <f>IF(INVESTORS_LIST[[#This Row],[LS_TOTAL UNITS SOLD]]=0,0,SUMIFS(LS[Cost of Units Sold],LS[Investor ID],INVESTORS_LIST[[#This Row],[INVESTOR CODE]],LS[B/S],"S"))</f>
        <v>694062.65060240962</v>
      </c>
      <c r="J526" s="48">
        <f>IF(INVESTORS_LIST[[#This Row],[LS_TOTAL CURRENT UNITS]]=0,0,INVESTORS_LIST[[#This Row],[LS_TOTAL CURRENT UNITS]]*INVESTORS_LIST[[#This Row],[LS_AVERAGE COST]])</f>
        <v>5937.3493975903611</v>
      </c>
      <c r="K526" s="49">
        <f>IF(INVESTORS_LIST[[#This Row],[LS_TOTAL UNITS SOLD]]=0,0,SUMIFS(LS[Realized Gain],LS[Investor ID],INVESTORS_LIST[[#This Row],[INVESTOR CODE]],LS[B/S],"S"))</f>
        <v>151866.84939759038</v>
      </c>
      <c r="L526" s="47">
        <f>SUMIFS(SIP[Unit],SIP[Investor ID],INVESTORS_LIST[[#This Row],[INVESTOR CODE]],SIP[B/S],"B")</f>
        <v>0</v>
      </c>
      <c r="M526" s="47">
        <f>-SUMIFS(SIP[Unit],SIP[Investor ID],INVESTORS_LIST[[#This Row],[INVESTOR CODE]],SIP[B/S],"S")</f>
        <v>0</v>
      </c>
      <c r="N526" s="50">
        <f>IF(INVESTORS_LIST[[#This Row],[SIP_TOTAL UNITS BUY]]=0,0,INVESTORS_LIST[[#This Row],[SIP_TOTAL UNITS BUY]]-INVESTORS_LIST[[#This Row],[SIP_TOTAL UNITS SOLD]])</f>
        <v>0</v>
      </c>
      <c r="O526" s="49">
        <f>IF(INVESTORS_LIST[[#This Row],[SIP_TOTAL UNITS BUY]]=0,0,SUMIFS(SIP[Amount],SIP[Investor ID],INVESTORS_LIST[[#This Row],[INVESTOR CODE]],SIP[B/S],"B"))</f>
        <v>0</v>
      </c>
      <c r="P526" s="49">
        <f>IF(INVESTORS_LIST[[#This Row],[SIP_TOTAL UNITS SOLD]]=0,0,SUMIFS(SIP[Cost of Units Sold],SIP[Investor ID],INVESTORS_LIST[[#This Row],[INVESTOR CODE]],SIP[B/S],"S"))</f>
        <v>0</v>
      </c>
      <c r="Q526" s="48">
        <f>IF(INVESTORS_LIST[[#This Row],[SIP_TOTAL CURRENT UNITS]]=0,0,INVESTORS_LIST[[#This Row],[SIP_TOTAL CURRENT UNITS]]*INVESTORS_LIST[[#This Row],[SIP_AVERAGE COST]])</f>
        <v>0</v>
      </c>
      <c r="R526" s="48">
        <f>IF(INVESTORS_LIST[[#This Row],[SIP_TOTAL UNITS SOLD]]=0,0,SUMIFS(SIP[Realized Gain],SIP[Investor ID],INVESTORS_LIST[[#This Row],[INVESTOR CODE]],SIP[B/S],"S"))</f>
        <v>0</v>
      </c>
      <c r="S526" s="50">
        <f>INVESTORS_LIST[[#This Row],[LS_TOTAL UNITS BUY]]+INVESTORS_LIST[[#This Row],[SIP_TOTAL UNITS BUY]]</f>
        <v>62250</v>
      </c>
      <c r="T526" s="50">
        <f>INVESTORS_LIST[[#This Row],[LS_TOTAL UNITS SOLD]]+INVESTORS_LIST[[#This Row],[SIP_TOTAL UNITS SOLD]]</f>
        <v>61722</v>
      </c>
      <c r="U526" s="50"/>
      <c r="V526" s="50">
        <f>SUMIFS(LS[BO UNIT TRANSFER],LS[Investor ID],INVESTORS_LIST[[#This Row],[INVESTOR CODE]],LS[B/S],"B")</f>
        <v>0</v>
      </c>
      <c r="W526" s="50">
        <f>SUMIFS(SIP[BO UNIT TRANSFER],SIP[Investor ID],INVESTORS_LIST[[#This Row],[INVESTOR CODE]],SIP[B/S],"B")</f>
        <v>0</v>
      </c>
      <c r="X526" s="50">
        <f>SUMIFS(LS[BO UNIT TRANSFER],LS[Investor ID],INVESTORS_LIST[[#This Row],[INVESTOR CODE]],LS[B/S],"S")</f>
        <v>0</v>
      </c>
      <c r="Y526" s="50">
        <f>SUMIFS(SIP[BO UNIT TRANSFER],SIP[Investor ID],INVESTORS_LIST[[#This Row],[INVESTOR CODE]],SIP[B/S],"S")</f>
        <v>0</v>
      </c>
      <c r="Z526" s="106">
        <f>SUM(INVESTORS_LIST[[#This Row],[BO OPENING BALANCE]:[BO SIP UNITS REPURCHASE]])</f>
        <v>0</v>
      </c>
      <c r="AA526" s="107">
        <f>INVESTORS_LIST[[#This Row],[TOTAL UNITS BUY]]-INVESTORS_LIST[[#This Row],[TOTAL UNITS SOLD]]</f>
        <v>528</v>
      </c>
      <c r="AB526" s="107">
        <f>INVESTORS_LIST[[#This Row],[TOTAL CURRENT UNITS]]-INVESTORS_LIST[[#This Row],[BO UNITS HOLD]]</f>
        <v>528</v>
      </c>
      <c r="AC526" s="201" t="e">
        <f>INDEX([3]!Table_1[BO ID],MATCH(INVESTORS_LIST[[#This Row],[INVESTOR CODE]],[3]!Table_1[INVESTOR CODE],0))</f>
        <v>#REF!</v>
      </c>
      <c r="AD526" s="201" t="e">
        <f>INDEX([3]!Table_1[Brokerage Name2],MATCH(INVESTORS_LIST[[#This Row],[INVESTOR CODE]],[3]!Table_1[INVESTOR CODE],0))</f>
        <v>#REF!</v>
      </c>
      <c r="AE526" s="201" t="e">
        <f>MID(INVESTORS_LIST[[#This Row],[BO ID]],4,5)</f>
        <v>#REF!</v>
      </c>
      <c r="AF526" s="201" t="e">
        <f>MID(INVESTORS_LIST[[#This Row],[BO ID]],2,7)</f>
        <v>#REF!</v>
      </c>
      <c r="AG526" s="201" t="e">
        <f>MID(INVESTORS_LIST[[#This Row],[BO ID]],9,7)</f>
        <v>#REF!</v>
      </c>
      <c r="AH526" s="201" t="e">
        <f>RIGHT(INVESTORS_LIST[[#This Row],[BO ID]],1)</f>
        <v>#REF!</v>
      </c>
      <c r="AI526" s="50">
        <f>INVESTORS_LIST[[#This Row],[LS_TOTAL COST VALUE OF CURRENT UNITS]]+INVESTORS_LIST[[#This Row],[SIP_TOTAL COST VALUE OF CURRENT UNITS]]</f>
        <v>5937.3493975903611</v>
      </c>
      <c r="AJ526" s="109">
        <f>IF(INVESTORS_LIST[[#This Row],[TOTAL CURRENT UNITS]]=0,0,INVESTORS_LIST[[#This Row],[LS_TOTAL CURRENT UNITS]]/INVESTORS_LIST[[#This Row],[TOTAL CURRENT UNITS]])</f>
        <v>1</v>
      </c>
      <c r="AK526" s="109">
        <f>IF(INVESTORS_LIST[[#This Row],[TOTAL CURRENT UNITS]]=0,0,INVESTORS_LIST[[#This Row],[SIP_TOTAL CURRENT UNITS]]/INVESTORS_LIST[[#This Row],[TOTAL CURRENT UNITS]])</f>
        <v>0</v>
      </c>
      <c r="AL526" s="49" cm="1">
        <f t="array" ref="AL526">IF(INVESTORS_LIST[[#This Row],[LS_TOTAL UNITS BUY]]&gt;0,INDEX(LS[NAV at Cost (Average)],MATCH(CONCATENATE(COUNTIFS(LS[Investor ID],INVESTORS_LIST[[#This Row],[INVESTOR CODE]]),INVESTORS_LIST[[#This Row],[INVESTOR CODE]]),LS[Unique Code],0),),0)</f>
        <v>11.244979919678714</v>
      </c>
      <c r="AM526" s="49" cm="1">
        <f t="array" ref="AM5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6" s="105">
        <f>IF(INVESTORS_LIST[[#This Row],[TOTAL CURRENT UNITS]]=0,0,(INVESTORS_LIST[[#This Row],[LS_WEIGHT]]*INVESTORS_LIST[[#This Row],[LS_AVERAGE COST]])+(INVESTORS_LIST[[#This Row],[SIP_WEIGHT]]*INVESTORS_LIST[[#This Row],[SIP_AVERAGE COST]]))</f>
        <v>11.244979919678714</v>
      </c>
      <c r="AO526" s="105">
        <f t="shared" si="9"/>
        <v>14.224</v>
      </c>
      <c r="AP526" s="112">
        <f>IF(INVESTORS_LIST[[#This Row],[TOTAL CURRENT UNITS]]=0,0,INVESTORS_LIST[[#This Row],[TOTAL CURRENT UNITS]]*INVESTORS_LIST[[#This Row],[NAV]])</f>
        <v>7510.2719999999999</v>
      </c>
      <c r="AQ526" s="49">
        <f>IF(INVESTORS_LIST[[#This Row],[LS_TOTAL CURRENT UNITS]]=0,0,INVESTORS_LIST[[#This Row],[LS_TOTAL CURRENT UNITS]]*INVESTORS_LIST[[#This Row],[NAV]])</f>
        <v>7510.2719999999999</v>
      </c>
      <c r="AR526" s="48">
        <f>IF(INVESTORS_LIST[[#This Row],[SIP_TOTAL CURRENT UNITS]]=0,0,INVESTORS_LIST[[#This Row],[SIP_TOTAL CURRENT UNITS]]*INVESTORS_LIST[[#This Row],[NAV]])</f>
        <v>0</v>
      </c>
      <c r="AS526" s="50">
        <f>INVESTORS_LIST[[#This Row],[TOTAL CURRENT UNITS]]</f>
        <v>528</v>
      </c>
      <c r="AT526" s="48">
        <f>IF(INVESTORS_LIST[[#This Row],[TOTAL SELLABLE UNITS]]=0,0,INVESTORS_LIST[[#This Row],[TOTAL SELLABLE UNITS]]*INVESTORS_LIST[[#This Row],[NAV]])</f>
        <v>7510.2719999999999</v>
      </c>
      <c r="AU526" s="48">
        <f>INVESTORS_LIST[[#This Row],[LS_TOTAL REALIZED GAIN]]+INVESTORS_LIST[[#This Row],[SIP_TOTAL REALIZED GAIN]]</f>
        <v>151866.84939759038</v>
      </c>
      <c r="AV526" s="48">
        <f>INVESTORS_LIST[[#This Row],[TOTAL MARKET VALUE]]-INVESTORS_LIST[[#This Row],[TOTAL COST VALUE OF CURRENT INVESTMENT]]</f>
        <v>1572.9226024096388</v>
      </c>
      <c r="AW526" s="48">
        <f>IFERROR(INVESTORS_LIST[[#This Row],[TOTAL CURRENT UNITS]]/SUM(INVESTORS_LIST[TOTAL CURRENT UNITS]),0)</f>
        <v>1.2817837769142731E-5</v>
      </c>
    </row>
    <row r="527" spans="1:49">
      <c r="A527" s="262" t="s">
        <v>1100</v>
      </c>
      <c r="B527" s="97" t="s">
        <v>1101</v>
      </c>
      <c r="C527" t="s">
        <v>44</v>
      </c>
      <c r="D527" s="75" t="s">
        <v>45</v>
      </c>
      <c r="E527" s="47">
        <f>SUMIFS(LS[Unit],LS[Investor ID],INVESTORS_LIST[[#This Row],[INVESTOR CODE]],LS[B/S],"B")</f>
        <v>1388</v>
      </c>
      <c r="F527" s="47">
        <f>-SUMIFS(LS[Unit],LS[Investor ID],INVESTORS_LIST[[#This Row],[INVESTOR CODE]],LS[B/S],"S")</f>
        <v>1388</v>
      </c>
      <c r="G527" s="47">
        <f>IF(INVESTORS_LIST[[#This Row],[LS_TOTAL UNITS BUY]]=0,0,INVESTORS_LIST[[#This Row],[LS_TOTAL UNITS BUY]]-INVESTORS_LIST[[#This Row],[LS_TOTAL UNITS SOLD]])</f>
        <v>0</v>
      </c>
      <c r="H527" s="49">
        <f>IF(INVESTORS_LIST[[#This Row],[LS_TOTAL UNITS BUY]]=0,0,SUMIFS(LS[Amount],LS[Investor ID],INVESTORS_LIST[[#This Row],[INVESTOR CODE]],LS[B/S],"B"))</f>
        <v>15000</v>
      </c>
      <c r="I527" s="48">
        <f>IF(INVESTORS_LIST[[#This Row],[LS_TOTAL UNITS SOLD]]=0,0,SUMIFS(LS[Cost of Units Sold],LS[Investor ID],INVESTORS_LIST[[#This Row],[INVESTOR CODE]],LS[B/S],"S"))</f>
        <v>15000</v>
      </c>
      <c r="J527" s="48">
        <f>IF(INVESTORS_LIST[[#This Row],[LS_TOTAL CURRENT UNITS]]=0,0,INVESTORS_LIST[[#This Row],[LS_TOTAL CURRENT UNITS]]*INVESTORS_LIST[[#This Row],[LS_AVERAGE COST]])</f>
        <v>0</v>
      </c>
      <c r="K527" s="49">
        <f>IF(INVESTORS_LIST[[#This Row],[LS_TOTAL UNITS SOLD]]=0,0,SUMIFS(LS[Realized Gain],LS[Investor ID],INVESTORS_LIST[[#This Row],[INVESTOR CODE]],LS[B/S],"S"))</f>
        <v>1324.4999999999993</v>
      </c>
      <c r="L527" s="47">
        <f>SUMIFS(SIP[Unit],SIP[Investor ID],INVESTORS_LIST[[#This Row],[INVESTOR CODE]],SIP[B/S],"B")</f>
        <v>2379</v>
      </c>
      <c r="M527" s="47">
        <f>-SUMIFS(SIP[Unit],SIP[Investor ID],INVESTORS_LIST[[#This Row],[INVESTOR CODE]],SIP[B/S],"S")</f>
        <v>2017</v>
      </c>
      <c r="N527" s="50">
        <f>IF(INVESTORS_LIST[[#This Row],[SIP_TOTAL UNITS BUY]]=0,0,INVESTORS_LIST[[#This Row],[SIP_TOTAL UNITS BUY]]-INVESTORS_LIST[[#This Row],[SIP_TOTAL UNITS SOLD]])</f>
        <v>362</v>
      </c>
      <c r="O527" s="49">
        <f>IF(INVESTORS_LIST[[#This Row],[SIP_TOTAL UNITS BUY]]=0,0,SUMIFS(SIP[Amount],SIP[Investor ID],INVESTORS_LIST[[#This Row],[INVESTOR CODE]],SIP[B/S],"B"))</f>
        <v>30000</v>
      </c>
      <c r="P527" s="49">
        <f>IF(INVESTORS_LIST[[#This Row],[SIP_TOTAL UNITS SOLD]]=0,0,SUMIFS(SIP[Cost of Units Sold],SIP[Investor ID],INVESTORS_LIST[[#This Row],[INVESTOR CODE]],SIP[B/S],"S"))</f>
        <v>24993.08437067773</v>
      </c>
      <c r="Q527" s="48">
        <f>IF(INVESTORS_LIST[[#This Row],[SIP_TOTAL CURRENT UNITS]]=0,0,INVESTORS_LIST[[#This Row],[SIP_TOTAL CURRENT UNITS]]*INVESTORS_LIST[[#This Row],[SIP_AVERAGE COST]])</f>
        <v>5006.9156293222686</v>
      </c>
      <c r="R527" s="48">
        <f>IF(INVESTORS_LIST[[#This Row],[SIP_TOTAL UNITS SOLD]]=0,0,SUMIFS(SIP[Realized Gain],SIP[Investor ID],INVESTORS_LIST[[#This Row],[INVESTOR CODE]],SIP[B/S],"S"))</f>
        <v>698.14662932226827</v>
      </c>
      <c r="S527" s="50">
        <f>INVESTORS_LIST[[#This Row],[LS_TOTAL UNITS BUY]]+INVESTORS_LIST[[#This Row],[SIP_TOTAL UNITS BUY]]</f>
        <v>3767</v>
      </c>
      <c r="T527" s="50">
        <f>INVESTORS_LIST[[#This Row],[LS_TOTAL UNITS SOLD]]+INVESTORS_LIST[[#This Row],[SIP_TOTAL UNITS SOLD]]</f>
        <v>3405</v>
      </c>
      <c r="U527" s="50"/>
      <c r="V527" s="50">
        <f>SUMIFS(LS[BO UNIT TRANSFER],LS[Investor ID],INVESTORS_LIST[[#This Row],[INVESTOR CODE]],LS[B/S],"B")</f>
        <v>0</v>
      </c>
      <c r="W527" s="50">
        <f>SUMIFS(SIP[BO UNIT TRANSFER],SIP[Investor ID],INVESTORS_LIST[[#This Row],[INVESTOR CODE]],SIP[B/S],"B")</f>
        <v>0</v>
      </c>
      <c r="X527" s="50">
        <f>SUMIFS(LS[BO UNIT TRANSFER],LS[Investor ID],INVESTORS_LIST[[#This Row],[INVESTOR CODE]],LS[B/S],"S")</f>
        <v>0</v>
      </c>
      <c r="Y527" s="50">
        <f>SUMIFS(SIP[BO UNIT TRANSFER],SIP[Investor ID],INVESTORS_LIST[[#This Row],[INVESTOR CODE]],SIP[B/S],"S")</f>
        <v>0</v>
      </c>
      <c r="Z527" s="106">
        <f>SUM(INVESTORS_LIST[[#This Row],[BO OPENING BALANCE]:[BO SIP UNITS REPURCHASE]])</f>
        <v>0</v>
      </c>
      <c r="AA527" s="107">
        <f>INVESTORS_LIST[[#This Row],[TOTAL UNITS BUY]]-INVESTORS_LIST[[#This Row],[TOTAL UNITS SOLD]]</f>
        <v>362</v>
      </c>
      <c r="AB527" s="107">
        <f>INVESTORS_LIST[[#This Row],[TOTAL CURRENT UNITS]]-INVESTORS_LIST[[#This Row],[BO UNITS HOLD]]</f>
        <v>362</v>
      </c>
      <c r="AC527" s="201" t="e">
        <f>INDEX([3]!Table_1[BO ID],MATCH(INVESTORS_LIST[[#This Row],[INVESTOR CODE]],[3]!Table_1[INVESTOR CODE],0))</f>
        <v>#REF!</v>
      </c>
      <c r="AD527" s="201" t="e">
        <f>INDEX([3]!Table_1[Brokerage Name2],MATCH(INVESTORS_LIST[[#This Row],[INVESTOR CODE]],[3]!Table_1[INVESTOR CODE],0))</f>
        <v>#REF!</v>
      </c>
      <c r="AE527" s="201" t="e">
        <f>MID(INVESTORS_LIST[[#This Row],[BO ID]],4,5)</f>
        <v>#REF!</v>
      </c>
      <c r="AF527" s="201" t="e">
        <f>MID(INVESTORS_LIST[[#This Row],[BO ID]],2,7)</f>
        <v>#REF!</v>
      </c>
      <c r="AG527" s="201" t="e">
        <f>MID(INVESTORS_LIST[[#This Row],[BO ID]],9,7)</f>
        <v>#REF!</v>
      </c>
      <c r="AH527" s="201" t="e">
        <f>RIGHT(INVESTORS_LIST[[#This Row],[BO ID]],1)</f>
        <v>#REF!</v>
      </c>
      <c r="AI527" s="50">
        <f>INVESTORS_LIST[[#This Row],[LS_TOTAL COST VALUE OF CURRENT UNITS]]+INVESTORS_LIST[[#This Row],[SIP_TOTAL COST VALUE OF CURRENT UNITS]]</f>
        <v>5006.9156293222686</v>
      </c>
      <c r="AJ527" s="109">
        <f>IF(INVESTORS_LIST[[#This Row],[TOTAL CURRENT UNITS]]=0,0,INVESTORS_LIST[[#This Row],[LS_TOTAL CURRENT UNITS]]/INVESTORS_LIST[[#This Row],[TOTAL CURRENT UNITS]])</f>
        <v>0</v>
      </c>
      <c r="AK527" s="109">
        <f>IF(INVESTORS_LIST[[#This Row],[TOTAL CURRENT UNITS]]=0,0,INVESTORS_LIST[[#This Row],[SIP_TOTAL CURRENT UNITS]]/INVESTORS_LIST[[#This Row],[TOTAL CURRENT UNITS]])</f>
        <v>1</v>
      </c>
      <c r="AL527" s="49" cm="1">
        <f t="array" ref="AL5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7" s="49" cm="1">
        <f t="array" ref="AM527">IF(INVESTORS_LIST[[#This Row],[SIP_TOTAL UNITS BUY]]&gt;0,INDEX(SIP[NAV at Cost (Average)],MATCH(CONCATENATE(COUNTIFS(SIP[Investor ID],INVESTORS_LIST[[#This Row],[INVESTOR CODE]]),INVESTORS_LIST[[#This Row],[INVESTOR CODE]]),SIP[Unique Code],0),),0)</f>
        <v>13.831258644536653</v>
      </c>
      <c r="AN527" s="105">
        <f>IF(INVESTORS_LIST[[#This Row],[TOTAL CURRENT UNITS]]=0,0,(INVESTORS_LIST[[#This Row],[LS_WEIGHT]]*INVESTORS_LIST[[#This Row],[LS_AVERAGE COST]])+(INVESTORS_LIST[[#This Row],[SIP_WEIGHT]]*INVESTORS_LIST[[#This Row],[SIP_AVERAGE COST]]))</f>
        <v>13.831258644536653</v>
      </c>
      <c r="AO527" s="105">
        <f t="shared" si="9"/>
        <v>14.224</v>
      </c>
      <c r="AP527" s="112">
        <f>IF(INVESTORS_LIST[[#This Row],[TOTAL CURRENT UNITS]]=0,0,INVESTORS_LIST[[#This Row],[TOTAL CURRENT UNITS]]*INVESTORS_LIST[[#This Row],[NAV]])</f>
        <v>5149.0879999999997</v>
      </c>
      <c r="AQ527" s="49">
        <f>IF(INVESTORS_LIST[[#This Row],[LS_TOTAL CURRENT UNITS]]=0,0,INVESTORS_LIST[[#This Row],[LS_TOTAL CURRENT UNITS]]*INVESTORS_LIST[[#This Row],[NAV]])</f>
        <v>0</v>
      </c>
      <c r="AR527" s="48">
        <f>IF(INVESTORS_LIST[[#This Row],[SIP_TOTAL CURRENT UNITS]]=0,0,INVESTORS_LIST[[#This Row],[SIP_TOTAL CURRENT UNITS]]*INVESTORS_LIST[[#This Row],[NAV]])</f>
        <v>5149.0879999999997</v>
      </c>
      <c r="AS527" s="50">
        <f>INVESTORS_LIST[[#This Row],[TOTAL CURRENT UNITS]]</f>
        <v>362</v>
      </c>
      <c r="AT527" s="48">
        <f>IF(INVESTORS_LIST[[#This Row],[TOTAL SELLABLE UNITS]]=0,0,INVESTORS_LIST[[#This Row],[TOTAL SELLABLE UNITS]]*INVESTORS_LIST[[#This Row],[NAV]])</f>
        <v>5149.0879999999997</v>
      </c>
      <c r="AU527" s="48">
        <f>INVESTORS_LIST[[#This Row],[LS_TOTAL REALIZED GAIN]]+INVESTORS_LIST[[#This Row],[SIP_TOTAL REALIZED GAIN]]</f>
        <v>2022.6466293222675</v>
      </c>
      <c r="AV527" s="48">
        <f>INVESTORS_LIST[[#This Row],[TOTAL MARKET VALUE]]-INVESTORS_LIST[[#This Row],[TOTAL COST VALUE OF CURRENT INVESTMENT]]</f>
        <v>142.17237067773112</v>
      </c>
      <c r="AW527" s="48">
        <f>IFERROR(INVESTORS_LIST[[#This Row],[TOTAL CURRENT UNITS]]/SUM(INVESTORS_LIST[TOTAL CURRENT UNITS]),0)</f>
        <v>8.7879872583895239E-6</v>
      </c>
    </row>
    <row r="528" spans="1:49" hidden="1">
      <c r="A528" s="262" t="s">
        <v>1102</v>
      </c>
      <c r="B528" s="97" t="s">
        <v>1103</v>
      </c>
      <c r="C528" t="s">
        <v>44</v>
      </c>
      <c r="D528" s="75" t="s">
        <v>45</v>
      </c>
      <c r="E528" s="47">
        <f>SUMIFS(LS[Unit],LS[Investor ID],INVESTORS_LIST[[#This Row],[INVESTOR CODE]],LS[B/S],"B")</f>
        <v>679444</v>
      </c>
      <c r="F528" s="47">
        <f>-SUMIFS(LS[Unit],LS[Investor ID],INVESTORS_LIST[[#This Row],[INVESTOR CODE]],LS[B/S],"S")</f>
        <v>679444</v>
      </c>
      <c r="G528" s="47">
        <f>IF(INVESTORS_LIST[[#This Row],[LS_TOTAL UNITS BUY]]=0,0,INVESTORS_LIST[[#This Row],[LS_TOTAL UNITS BUY]]-INVESTORS_LIST[[#This Row],[LS_TOTAL UNITS SOLD]])</f>
        <v>0</v>
      </c>
      <c r="H528" s="49">
        <f>IF(INVESTORS_LIST[[#This Row],[LS_TOTAL UNITS BUY]]=0,0,SUMIFS(LS[Amount],LS[Investor ID],INVESTORS_LIST[[#This Row],[INVESTOR CODE]],LS[B/S],"B"))</f>
        <v>7545456.9800000004</v>
      </c>
      <c r="I528" s="48">
        <f>IF(INVESTORS_LIST[[#This Row],[LS_TOTAL UNITS SOLD]]=0,0,SUMIFS(LS[Cost of Units Sold],LS[Investor ID],INVESTORS_LIST[[#This Row],[INVESTOR CODE]],LS[B/S],"S"))</f>
        <v>7545456.9800000004</v>
      </c>
      <c r="J528" s="48">
        <f>IF(INVESTORS_LIST[[#This Row],[LS_TOTAL CURRENT UNITS]]=0,0,INVESTORS_LIST[[#This Row],[LS_TOTAL CURRENT UNITS]]*INVESTORS_LIST[[#This Row],[LS_AVERAGE COST]])</f>
        <v>0</v>
      </c>
      <c r="K528" s="49">
        <f>IF(INVESTORS_LIST[[#This Row],[LS_TOTAL UNITS SOLD]]=0,0,SUMIFS(LS[Realized Gain],LS[Investor ID],INVESTORS_LIST[[#This Row],[INVESTOR CODE]],LS[B/S],"S"))</f>
        <v>429233.34999999928</v>
      </c>
      <c r="L528" s="47">
        <f>SUMIFS(SIP[Unit],SIP[Investor ID],INVESTORS_LIST[[#This Row],[INVESTOR CODE]],SIP[B/S],"B")</f>
        <v>0</v>
      </c>
      <c r="M528" s="47">
        <f>-SUMIFS(SIP[Unit],SIP[Investor ID],INVESTORS_LIST[[#This Row],[INVESTOR CODE]],SIP[B/S],"S")</f>
        <v>0</v>
      </c>
      <c r="N528" s="50">
        <f>IF(INVESTORS_LIST[[#This Row],[SIP_TOTAL UNITS BUY]]=0,0,INVESTORS_LIST[[#This Row],[SIP_TOTAL UNITS BUY]]-INVESTORS_LIST[[#This Row],[SIP_TOTAL UNITS SOLD]])</f>
        <v>0</v>
      </c>
      <c r="O528" s="49">
        <f>IF(INVESTORS_LIST[[#This Row],[SIP_TOTAL UNITS BUY]]=0,0,SUMIFS(SIP[Amount],SIP[Investor ID],INVESTORS_LIST[[#This Row],[INVESTOR CODE]],SIP[B/S],"B"))</f>
        <v>0</v>
      </c>
      <c r="P528" s="49">
        <f>IF(INVESTORS_LIST[[#This Row],[SIP_TOTAL UNITS SOLD]]=0,0,SUMIFS(SIP[Cost of Units Sold],SIP[Investor ID],INVESTORS_LIST[[#This Row],[INVESTOR CODE]],SIP[B/S],"S"))</f>
        <v>0</v>
      </c>
      <c r="Q528" s="48">
        <f>IF(INVESTORS_LIST[[#This Row],[SIP_TOTAL CURRENT UNITS]]=0,0,INVESTORS_LIST[[#This Row],[SIP_TOTAL CURRENT UNITS]]*INVESTORS_LIST[[#This Row],[SIP_AVERAGE COST]])</f>
        <v>0</v>
      </c>
      <c r="R528" s="48">
        <f>IF(INVESTORS_LIST[[#This Row],[SIP_TOTAL UNITS SOLD]]=0,0,SUMIFS(SIP[Realized Gain],SIP[Investor ID],INVESTORS_LIST[[#This Row],[INVESTOR CODE]],SIP[B/S],"S"))</f>
        <v>0</v>
      </c>
      <c r="S528" s="50">
        <f>INVESTORS_LIST[[#This Row],[LS_TOTAL UNITS BUY]]+INVESTORS_LIST[[#This Row],[SIP_TOTAL UNITS BUY]]</f>
        <v>679444</v>
      </c>
      <c r="T528" s="50">
        <f>INVESTORS_LIST[[#This Row],[LS_TOTAL UNITS SOLD]]+INVESTORS_LIST[[#This Row],[SIP_TOTAL UNITS SOLD]]</f>
        <v>679444</v>
      </c>
      <c r="U528" s="50"/>
      <c r="V528" s="50">
        <f>SUMIFS(LS[BO UNIT TRANSFER],LS[Investor ID],INVESTORS_LIST[[#This Row],[INVESTOR CODE]],LS[B/S],"B")</f>
        <v>0</v>
      </c>
      <c r="W528" s="50">
        <f>SUMIFS(SIP[BO UNIT TRANSFER],SIP[Investor ID],INVESTORS_LIST[[#This Row],[INVESTOR CODE]],SIP[B/S],"B")</f>
        <v>0</v>
      </c>
      <c r="X528" s="50">
        <f>SUMIFS(LS[BO UNIT TRANSFER],LS[Investor ID],INVESTORS_LIST[[#This Row],[INVESTOR CODE]],LS[B/S],"S")</f>
        <v>0</v>
      </c>
      <c r="Y528" s="50">
        <f>SUMIFS(SIP[BO UNIT TRANSFER],SIP[Investor ID],INVESTORS_LIST[[#This Row],[INVESTOR CODE]],SIP[B/S],"S")</f>
        <v>0</v>
      </c>
      <c r="Z528" s="106">
        <f>SUM(INVESTORS_LIST[[#This Row],[BO OPENING BALANCE]:[BO SIP UNITS REPURCHASE]])</f>
        <v>0</v>
      </c>
      <c r="AA528" s="107">
        <f>INVESTORS_LIST[[#This Row],[TOTAL UNITS BUY]]-INVESTORS_LIST[[#This Row],[TOTAL UNITS SOLD]]</f>
        <v>0</v>
      </c>
      <c r="AB528" s="107">
        <f>INVESTORS_LIST[[#This Row],[TOTAL CURRENT UNITS]]-INVESTORS_LIST[[#This Row],[BO UNITS HOLD]]</f>
        <v>0</v>
      </c>
      <c r="AC528" s="201" t="e">
        <f>INDEX([3]!Table_1[BO ID],MATCH(INVESTORS_LIST[[#This Row],[INVESTOR CODE]],[3]!Table_1[INVESTOR CODE],0))</f>
        <v>#REF!</v>
      </c>
      <c r="AD528" s="201" t="e">
        <f>INDEX([3]!Table_1[Brokerage Name2],MATCH(INVESTORS_LIST[[#This Row],[INVESTOR CODE]],[3]!Table_1[INVESTOR CODE],0))</f>
        <v>#REF!</v>
      </c>
      <c r="AE528" s="201" t="e">
        <f>MID(INVESTORS_LIST[[#This Row],[BO ID]],4,5)</f>
        <v>#REF!</v>
      </c>
      <c r="AF528" s="201" t="e">
        <f>MID(INVESTORS_LIST[[#This Row],[BO ID]],2,7)</f>
        <v>#REF!</v>
      </c>
      <c r="AG528" s="201" t="e">
        <f>MID(INVESTORS_LIST[[#This Row],[BO ID]],9,7)</f>
        <v>#REF!</v>
      </c>
      <c r="AH528" s="201" t="e">
        <f>RIGHT(INVESTORS_LIST[[#This Row],[BO ID]],1)</f>
        <v>#REF!</v>
      </c>
      <c r="AI528" s="50">
        <f>INVESTORS_LIST[[#This Row],[LS_TOTAL COST VALUE OF CURRENT UNITS]]+INVESTORS_LIST[[#This Row],[SIP_TOTAL COST VALUE OF CURRENT UNITS]]</f>
        <v>0</v>
      </c>
      <c r="AJ528" s="109">
        <f>IF(INVESTORS_LIST[[#This Row],[TOTAL CURRENT UNITS]]=0,0,INVESTORS_LIST[[#This Row],[LS_TOTAL CURRENT UNITS]]/INVESTORS_LIST[[#This Row],[TOTAL CURRENT UNITS]])</f>
        <v>0</v>
      </c>
      <c r="AK528" s="109">
        <f>IF(INVESTORS_LIST[[#This Row],[TOTAL CURRENT UNITS]]=0,0,INVESTORS_LIST[[#This Row],[SIP_TOTAL CURRENT UNITS]]/INVESTORS_LIST[[#This Row],[TOTAL CURRENT UNITS]])</f>
        <v>0</v>
      </c>
      <c r="AL528" s="49" cm="1">
        <f t="array" ref="AL5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28" s="49" cm="1">
        <f t="array" ref="AM5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28" s="105">
        <f t="shared" si="9"/>
        <v>14.224</v>
      </c>
      <c r="AP528" s="112">
        <f>IF(INVESTORS_LIST[[#This Row],[TOTAL CURRENT UNITS]]=0,0,INVESTORS_LIST[[#This Row],[TOTAL CURRENT UNITS]]*INVESTORS_LIST[[#This Row],[NAV]])</f>
        <v>0</v>
      </c>
      <c r="AQ528" s="49">
        <f>IF(INVESTORS_LIST[[#This Row],[LS_TOTAL CURRENT UNITS]]=0,0,INVESTORS_LIST[[#This Row],[LS_TOTAL CURRENT UNITS]]*INVESTORS_LIST[[#This Row],[NAV]])</f>
        <v>0</v>
      </c>
      <c r="AR528" s="48">
        <f>IF(INVESTORS_LIST[[#This Row],[SIP_TOTAL CURRENT UNITS]]=0,0,INVESTORS_LIST[[#This Row],[SIP_TOTAL CURRENT UNITS]]*INVESTORS_LIST[[#This Row],[NAV]])</f>
        <v>0</v>
      </c>
      <c r="AS528" s="50">
        <f>INVESTORS_LIST[[#This Row],[TOTAL CURRENT UNITS]]</f>
        <v>0</v>
      </c>
      <c r="AT528" s="48">
        <f>IF(INVESTORS_LIST[[#This Row],[TOTAL SELLABLE UNITS]]=0,0,INVESTORS_LIST[[#This Row],[TOTAL SELLABLE UNITS]]*INVESTORS_LIST[[#This Row],[NAV]])</f>
        <v>0</v>
      </c>
      <c r="AU528" s="48">
        <f>INVESTORS_LIST[[#This Row],[LS_TOTAL REALIZED GAIN]]+INVESTORS_LIST[[#This Row],[SIP_TOTAL REALIZED GAIN]]</f>
        <v>429233.34999999928</v>
      </c>
      <c r="AV528" s="48">
        <f>INVESTORS_LIST[[#This Row],[TOTAL MARKET VALUE]]-INVESTORS_LIST[[#This Row],[TOTAL COST VALUE OF CURRENT INVESTMENT]]</f>
        <v>0</v>
      </c>
      <c r="AW528" s="48">
        <f>IFERROR(INVESTORS_LIST[[#This Row],[TOTAL CURRENT UNITS]]/SUM(INVESTORS_LIST[TOTAL CURRENT UNITS]),0)</f>
        <v>0</v>
      </c>
    </row>
    <row r="529" spans="1:49">
      <c r="A529" s="262" t="s">
        <v>1104</v>
      </c>
      <c r="B529" s="97" t="s">
        <v>1105</v>
      </c>
      <c r="C529" t="s">
        <v>44</v>
      </c>
      <c r="D529" s="75" t="s">
        <v>45</v>
      </c>
      <c r="E529" s="47">
        <f>SUMIFS(LS[Unit],LS[Investor ID],INVESTORS_LIST[[#This Row],[INVESTOR CODE]],LS[B/S],"B")</f>
        <v>184383</v>
      </c>
      <c r="F529" s="47">
        <f>-SUMIFS(LS[Unit],LS[Investor ID],INVESTORS_LIST[[#This Row],[INVESTOR CODE]],LS[B/S],"S")</f>
        <v>118936</v>
      </c>
      <c r="G529" s="47">
        <f>IF(INVESTORS_LIST[[#This Row],[LS_TOTAL UNITS BUY]]=0,0,INVESTORS_LIST[[#This Row],[LS_TOTAL UNITS BUY]]-INVESTORS_LIST[[#This Row],[LS_TOTAL UNITS SOLD]])</f>
        <v>65447</v>
      </c>
      <c r="H529" s="49">
        <f>IF(INVESTORS_LIST[[#This Row],[LS_TOTAL UNITS BUY]]=0,0,SUMIFS(LS[Amount],LS[Investor ID],INVESTORS_LIST[[#This Row],[INVESTOR CODE]],LS[B/S],"B"))</f>
        <v>2000000</v>
      </c>
      <c r="I529" s="48">
        <f>IF(INVESTORS_LIST[[#This Row],[LS_TOTAL UNITS SOLD]]=0,0,SUMIFS(LS[Cost of Units Sold],LS[Investor ID],INVESTORS_LIST[[#This Row],[INVESTOR CODE]],LS[B/S],"S"))</f>
        <v>1290097.2432382593</v>
      </c>
      <c r="J529" s="48">
        <f>IF(INVESTORS_LIST[[#This Row],[LS_TOTAL CURRENT UNITS]]=0,0,INVESTORS_LIST[[#This Row],[LS_TOTAL CURRENT UNITS]]*INVESTORS_LIST[[#This Row],[LS_AVERAGE COST]])</f>
        <v>709902.75676174043</v>
      </c>
      <c r="K529" s="49">
        <f>IF(INVESTORS_LIST[[#This Row],[LS_TOTAL UNITS SOLD]]=0,0,SUMIFS(LS[Realized Gain],LS[Investor ID],INVESTORS_LIST[[#This Row],[INVESTOR CODE]],LS[B/S],"S"))</f>
        <v>209902.75676174066</v>
      </c>
      <c r="L529" s="47">
        <f>SUMIFS(SIP[Unit],SIP[Investor ID],INVESTORS_LIST[[#This Row],[INVESTOR CODE]],SIP[B/S],"B")</f>
        <v>0</v>
      </c>
      <c r="M529" s="47">
        <f>-SUMIFS(SIP[Unit],SIP[Investor ID],INVESTORS_LIST[[#This Row],[INVESTOR CODE]],SIP[B/S],"S")</f>
        <v>0</v>
      </c>
      <c r="N529" s="50">
        <f>IF(INVESTORS_LIST[[#This Row],[SIP_TOTAL UNITS BUY]]=0,0,INVESTORS_LIST[[#This Row],[SIP_TOTAL UNITS BUY]]-INVESTORS_LIST[[#This Row],[SIP_TOTAL UNITS SOLD]])</f>
        <v>0</v>
      </c>
      <c r="O529" s="49">
        <f>IF(INVESTORS_LIST[[#This Row],[SIP_TOTAL UNITS BUY]]=0,0,SUMIFS(SIP[Amount],SIP[Investor ID],INVESTORS_LIST[[#This Row],[INVESTOR CODE]],SIP[B/S],"B"))</f>
        <v>0</v>
      </c>
      <c r="P529" s="49">
        <f>IF(INVESTORS_LIST[[#This Row],[SIP_TOTAL UNITS SOLD]]=0,0,SUMIFS(SIP[Cost of Units Sold],SIP[Investor ID],INVESTORS_LIST[[#This Row],[INVESTOR CODE]],SIP[B/S],"S"))</f>
        <v>0</v>
      </c>
      <c r="Q529" s="48">
        <f>IF(INVESTORS_LIST[[#This Row],[SIP_TOTAL CURRENT UNITS]]=0,0,INVESTORS_LIST[[#This Row],[SIP_TOTAL CURRENT UNITS]]*INVESTORS_LIST[[#This Row],[SIP_AVERAGE COST]])</f>
        <v>0</v>
      </c>
      <c r="R529" s="48">
        <f>IF(INVESTORS_LIST[[#This Row],[SIP_TOTAL UNITS SOLD]]=0,0,SUMIFS(SIP[Realized Gain],SIP[Investor ID],INVESTORS_LIST[[#This Row],[INVESTOR CODE]],SIP[B/S],"S"))</f>
        <v>0</v>
      </c>
      <c r="S529" s="50">
        <f>INVESTORS_LIST[[#This Row],[LS_TOTAL UNITS BUY]]+INVESTORS_LIST[[#This Row],[SIP_TOTAL UNITS BUY]]</f>
        <v>184383</v>
      </c>
      <c r="T529" s="50">
        <f>INVESTORS_LIST[[#This Row],[LS_TOTAL UNITS SOLD]]+INVESTORS_LIST[[#This Row],[SIP_TOTAL UNITS SOLD]]</f>
        <v>118936</v>
      </c>
      <c r="U529" s="50"/>
      <c r="V529" s="50">
        <f>SUMIFS(LS[BO UNIT TRANSFER],LS[Investor ID],INVESTORS_LIST[[#This Row],[INVESTOR CODE]],LS[B/S],"B")</f>
        <v>0</v>
      </c>
      <c r="W529" s="50">
        <f>SUMIFS(SIP[BO UNIT TRANSFER],SIP[Investor ID],INVESTORS_LIST[[#This Row],[INVESTOR CODE]],SIP[B/S],"B")</f>
        <v>0</v>
      </c>
      <c r="X529" s="50">
        <f>SUMIFS(LS[BO UNIT TRANSFER],LS[Investor ID],INVESTORS_LIST[[#This Row],[INVESTOR CODE]],LS[B/S],"S")</f>
        <v>0</v>
      </c>
      <c r="Y529" s="50">
        <f>SUMIFS(SIP[BO UNIT TRANSFER],SIP[Investor ID],INVESTORS_LIST[[#This Row],[INVESTOR CODE]],SIP[B/S],"S")</f>
        <v>0</v>
      </c>
      <c r="Z529" s="106">
        <f>SUM(INVESTORS_LIST[[#This Row],[BO OPENING BALANCE]:[BO SIP UNITS REPURCHASE]])</f>
        <v>0</v>
      </c>
      <c r="AA529" s="107">
        <f>INVESTORS_LIST[[#This Row],[TOTAL UNITS BUY]]-INVESTORS_LIST[[#This Row],[TOTAL UNITS SOLD]]</f>
        <v>65447</v>
      </c>
      <c r="AB529" s="107">
        <f>INVESTORS_LIST[[#This Row],[TOTAL CURRENT UNITS]]-INVESTORS_LIST[[#This Row],[BO UNITS HOLD]]</f>
        <v>65447</v>
      </c>
      <c r="AC529" s="201" t="e">
        <f>INDEX([3]!Table_1[BO ID],MATCH(INVESTORS_LIST[[#This Row],[INVESTOR CODE]],[3]!Table_1[INVESTOR CODE],0))</f>
        <v>#REF!</v>
      </c>
      <c r="AD529" s="201" t="e">
        <f>INDEX([3]!Table_1[Brokerage Name2],MATCH(INVESTORS_LIST[[#This Row],[INVESTOR CODE]],[3]!Table_1[INVESTOR CODE],0))</f>
        <v>#REF!</v>
      </c>
      <c r="AE529" s="201" t="e">
        <f>MID(INVESTORS_LIST[[#This Row],[BO ID]],4,5)</f>
        <v>#REF!</v>
      </c>
      <c r="AF529" s="201" t="e">
        <f>MID(INVESTORS_LIST[[#This Row],[BO ID]],2,7)</f>
        <v>#REF!</v>
      </c>
      <c r="AG529" s="201" t="e">
        <f>MID(INVESTORS_LIST[[#This Row],[BO ID]],9,7)</f>
        <v>#REF!</v>
      </c>
      <c r="AH529" s="201" t="e">
        <f>RIGHT(INVESTORS_LIST[[#This Row],[BO ID]],1)</f>
        <v>#REF!</v>
      </c>
      <c r="AI529" s="50">
        <f>INVESTORS_LIST[[#This Row],[LS_TOTAL COST VALUE OF CURRENT UNITS]]+INVESTORS_LIST[[#This Row],[SIP_TOTAL COST VALUE OF CURRENT UNITS]]</f>
        <v>709902.75676174043</v>
      </c>
      <c r="AJ529" s="109">
        <f>IF(INVESTORS_LIST[[#This Row],[TOTAL CURRENT UNITS]]=0,0,INVESTORS_LIST[[#This Row],[LS_TOTAL CURRENT UNITS]]/INVESTORS_LIST[[#This Row],[TOTAL CURRENT UNITS]])</f>
        <v>1</v>
      </c>
      <c r="AK529" s="109">
        <f>IF(INVESTORS_LIST[[#This Row],[TOTAL CURRENT UNITS]]=0,0,INVESTORS_LIST[[#This Row],[SIP_TOTAL CURRENT UNITS]]/INVESTORS_LIST[[#This Row],[TOTAL CURRENT UNITS]])</f>
        <v>0</v>
      </c>
      <c r="AL529" s="49" cm="1">
        <f t="array" ref="AL529">IF(INVESTORS_LIST[[#This Row],[LS_TOTAL UNITS BUY]]&gt;0,INDEX(LS[NAV at Cost (Average)],MATCH(CONCATENATE(COUNTIFS(LS[Investor ID],INVESTORS_LIST[[#This Row],[INVESTOR CODE]]),INVESTORS_LIST[[#This Row],[INVESTOR CODE]]),LS[Unique Code],0),),0)</f>
        <v>10.846986978192131</v>
      </c>
      <c r="AM529" s="49" cm="1">
        <f t="array" ref="AM5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29" s="105">
        <f>IF(INVESTORS_LIST[[#This Row],[TOTAL CURRENT UNITS]]=0,0,(INVESTORS_LIST[[#This Row],[LS_WEIGHT]]*INVESTORS_LIST[[#This Row],[LS_AVERAGE COST]])+(INVESTORS_LIST[[#This Row],[SIP_WEIGHT]]*INVESTORS_LIST[[#This Row],[SIP_AVERAGE COST]]))</f>
        <v>10.846986978192131</v>
      </c>
      <c r="AO529" s="105">
        <f t="shared" si="9"/>
        <v>14.224</v>
      </c>
      <c r="AP529" s="112">
        <f>IF(INVESTORS_LIST[[#This Row],[TOTAL CURRENT UNITS]]=0,0,INVESTORS_LIST[[#This Row],[TOTAL CURRENT UNITS]]*INVESTORS_LIST[[#This Row],[NAV]])</f>
        <v>930918.12800000003</v>
      </c>
      <c r="AQ529" s="49">
        <f>IF(INVESTORS_LIST[[#This Row],[LS_TOTAL CURRENT UNITS]]=0,0,INVESTORS_LIST[[#This Row],[LS_TOTAL CURRENT UNITS]]*INVESTORS_LIST[[#This Row],[NAV]])</f>
        <v>930918.12800000003</v>
      </c>
      <c r="AR529" s="48">
        <f>IF(INVESTORS_LIST[[#This Row],[SIP_TOTAL CURRENT UNITS]]=0,0,INVESTORS_LIST[[#This Row],[SIP_TOTAL CURRENT UNITS]]*INVESTORS_LIST[[#This Row],[NAV]])</f>
        <v>0</v>
      </c>
      <c r="AS529" s="50">
        <f>INVESTORS_LIST[[#This Row],[TOTAL CURRENT UNITS]]</f>
        <v>65447</v>
      </c>
      <c r="AT529" s="48">
        <f>IF(INVESTORS_LIST[[#This Row],[TOTAL SELLABLE UNITS]]=0,0,INVESTORS_LIST[[#This Row],[TOTAL SELLABLE UNITS]]*INVESTORS_LIST[[#This Row],[NAV]])</f>
        <v>930918.12800000003</v>
      </c>
      <c r="AU529" s="48">
        <f>INVESTORS_LIST[[#This Row],[LS_TOTAL REALIZED GAIN]]+INVESTORS_LIST[[#This Row],[SIP_TOTAL REALIZED GAIN]]</f>
        <v>209902.75676174066</v>
      </c>
      <c r="AV529" s="48">
        <f>INVESTORS_LIST[[#This Row],[TOTAL MARKET VALUE]]-INVESTORS_LIST[[#This Row],[TOTAL COST VALUE OF CURRENT INVESTMENT]]</f>
        <v>221015.3712382596</v>
      </c>
      <c r="AW529" s="48">
        <f>IFERROR(INVESTORS_LIST[[#This Row],[TOTAL CURRENT UNITS]]/SUM(INVESTORS_LIST[TOTAL CURRENT UNITS]),0)</f>
        <v>1.5888049781762959E-3</v>
      </c>
    </row>
    <row r="530" spans="1:49" hidden="1">
      <c r="A530" s="262" t="s">
        <v>1110</v>
      </c>
      <c r="B530" s="97" t="s">
        <v>1111</v>
      </c>
      <c r="C530" t="s">
        <v>44</v>
      </c>
      <c r="D530" s="75" t="s">
        <v>45</v>
      </c>
      <c r="E530" s="47">
        <f>SUMIFS(LS[Unit],LS[Investor ID],INVESTORS_LIST[[#This Row],[INVESTOR CODE]],LS[B/S],"B")</f>
        <v>32480</v>
      </c>
      <c r="F530" s="47">
        <f>-SUMIFS(LS[Unit],LS[Investor ID],INVESTORS_LIST[[#This Row],[INVESTOR CODE]],LS[B/S],"S")</f>
        <v>32480</v>
      </c>
      <c r="G530" s="47">
        <f>IF(INVESTORS_LIST[[#This Row],[LS_TOTAL UNITS BUY]]=0,0,INVESTORS_LIST[[#This Row],[LS_TOTAL UNITS BUY]]-INVESTORS_LIST[[#This Row],[LS_TOTAL UNITS SOLD]])</f>
        <v>0</v>
      </c>
      <c r="H530" s="49">
        <f>IF(INVESTORS_LIST[[#This Row],[LS_TOTAL UNITS BUY]]=0,0,SUMIFS(LS[Amount],LS[Investor ID],INVESTORS_LIST[[#This Row],[INVESTOR CODE]],LS[B/S],"B"))</f>
        <v>352310</v>
      </c>
      <c r="I530" s="48">
        <f>IF(INVESTORS_LIST[[#This Row],[LS_TOTAL UNITS SOLD]]=0,0,SUMIFS(LS[Cost of Units Sold],LS[Investor ID],INVESTORS_LIST[[#This Row],[INVESTOR CODE]],LS[B/S],"S"))</f>
        <v>352310</v>
      </c>
      <c r="J530" s="48">
        <f>IF(INVESTORS_LIST[[#This Row],[LS_TOTAL CURRENT UNITS]]=0,0,INVESTORS_LIST[[#This Row],[LS_TOTAL CURRENT UNITS]]*INVESTORS_LIST[[#This Row],[LS_AVERAGE COST]])</f>
        <v>0</v>
      </c>
      <c r="K530" s="49">
        <f>IF(INVESTORS_LIST[[#This Row],[LS_TOTAL UNITS SOLD]]=0,0,SUMIFS(LS[Realized Gain],LS[Investor ID],INVESTORS_LIST[[#This Row],[INVESTOR CODE]],LS[B/S],"S"))</f>
        <v>37969.679999999978</v>
      </c>
      <c r="L530" s="47">
        <f>SUMIFS(SIP[Unit],SIP[Investor ID],INVESTORS_LIST[[#This Row],[INVESTOR CODE]],SIP[B/S],"B")</f>
        <v>0</v>
      </c>
      <c r="M530" s="47">
        <f>-SUMIFS(SIP[Unit],SIP[Investor ID],INVESTORS_LIST[[#This Row],[INVESTOR CODE]],SIP[B/S],"S")</f>
        <v>0</v>
      </c>
      <c r="N530" s="50">
        <f>IF(INVESTORS_LIST[[#This Row],[SIP_TOTAL UNITS BUY]]=0,0,INVESTORS_LIST[[#This Row],[SIP_TOTAL UNITS BUY]]-INVESTORS_LIST[[#This Row],[SIP_TOTAL UNITS SOLD]])</f>
        <v>0</v>
      </c>
      <c r="O530" s="49">
        <f>IF(INVESTORS_LIST[[#This Row],[SIP_TOTAL UNITS BUY]]=0,0,SUMIFS(SIP[Amount],SIP[Investor ID],INVESTORS_LIST[[#This Row],[INVESTOR CODE]],SIP[B/S],"B"))</f>
        <v>0</v>
      </c>
      <c r="P530" s="49">
        <f>IF(INVESTORS_LIST[[#This Row],[SIP_TOTAL UNITS SOLD]]=0,0,SUMIFS(SIP[Cost of Units Sold],SIP[Investor ID],INVESTORS_LIST[[#This Row],[INVESTOR CODE]],SIP[B/S],"S"))</f>
        <v>0</v>
      </c>
      <c r="Q530" s="48">
        <f>IF(INVESTORS_LIST[[#This Row],[SIP_TOTAL CURRENT UNITS]]=0,0,INVESTORS_LIST[[#This Row],[SIP_TOTAL CURRENT UNITS]]*INVESTORS_LIST[[#This Row],[SIP_AVERAGE COST]])</f>
        <v>0</v>
      </c>
      <c r="R530" s="48">
        <f>IF(INVESTORS_LIST[[#This Row],[SIP_TOTAL UNITS SOLD]]=0,0,SUMIFS(SIP[Realized Gain],SIP[Investor ID],INVESTORS_LIST[[#This Row],[INVESTOR CODE]],SIP[B/S],"S"))</f>
        <v>0</v>
      </c>
      <c r="S530" s="50">
        <f>INVESTORS_LIST[[#This Row],[LS_TOTAL UNITS BUY]]+INVESTORS_LIST[[#This Row],[SIP_TOTAL UNITS BUY]]</f>
        <v>32480</v>
      </c>
      <c r="T530" s="50">
        <f>INVESTORS_LIST[[#This Row],[LS_TOTAL UNITS SOLD]]+INVESTORS_LIST[[#This Row],[SIP_TOTAL UNITS SOLD]]</f>
        <v>32480</v>
      </c>
      <c r="U530" s="50"/>
      <c r="V530" s="50">
        <f>SUMIFS(LS[BO UNIT TRANSFER],LS[Investor ID],INVESTORS_LIST[[#This Row],[INVESTOR CODE]],LS[B/S],"B")</f>
        <v>0</v>
      </c>
      <c r="W530" s="50">
        <f>SUMIFS(SIP[BO UNIT TRANSFER],SIP[Investor ID],INVESTORS_LIST[[#This Row],[INVESTOR CODE]],SIP[B/S],"B")</f>
        <v>0</v>
      </c>
      <c r="X530" s="50">
        <f>SUMIFS(LS[BO UNIT TRANSFER],LS[Investor ID],INVESTORS_LIST[[#This Row],[INVESTOR CODE]],LS[B/S],"S")</f>
        <v>0</v>
      </c>
      <c r="Y530" s="50">
        <f>SUMIFS(SIP[BO UNIT TRANSFER],SIP[Investor ID],INVESTORS_LIST[[#This Row],[INVESTOR CODE]],SIP[B/S],"S")</f>
        <v>0</v>
      </c>
      <c r="Z530" s="106">
        <f>SUM(INVESTORS_LIST[[#This Row],[BO OPENING BALANCE]:[BO SIP UNITS REPURCHASE]])</f>
        <v>0</v>
      </c>
      <c r="AA530" s="107">
        <f>INVESTORS_LIST[[#This Row],[TOTAL UNITS BUY]]-INVESTORS_LIST[[#This Row],[TOTAL UNITS SOLD]]</f>
        <v>0</v>
      </c>
      <c r="AB530" s="107">
        <f>INVESTORS_LIST[[#This Row],[TOTAL CURRENT UNITS]]-INVESTORS_LIST[[#This Row],[BO UNITS HOLD]]</f>
        <v>0</v>
      </c>
      <c r="AC530" s="201" t="e">
        <f>INDEX([3]!Table_1[BO ID],MATCH(INVESTORS_LIST[[#This Row],[INVESTOR CODE]],[3]!Table_1[INVESTOR CODE],0))</f>
        <v>#REF!</v>
      </c>
      <c r="AD530" s="201" t="e">
        <f>INDEX([3]!Table_1[Brokerage Name2],MATCH(INVESTORS_LIST[[#This Row],[INVESTOR CODE]],[3]!Table_1[INVESTOR CODE],0))</f>
        <v>#REF!</v>
      </c>
      <c r="AE530" s="201" t="e">
        <f>MID(INVESTORS_LIST[[#This Row],[BO ID]],4,5)</f>
        <v>#REF!</v>
      </c>
      <c r="AF530" s="201" t="e">
        <f>MID(INVESTORS_LIST[[#This Row],[BO ID]],2,7)</f>
        <v>#REF!</v>
      </c>
      <c r="AG530" s="201" t="e">
        <f>MID(INVESTORS_LIST[[#This Row],[BO ID]],9,7)</f>
        <v>#REF!</v>
      </c>
      <c r="AH530" s="201" t="e">
        <f>RIGHT(INVESTORS_LIST[[#This Row],[BO ID]],1)</f>
        <v>#REF!</v>
      </c>
      <c r="AI530" s="50">
        <f>INVESTORS_LIST[[#This Row],[LS_TOTAL COST VALUE OF CURRENT UNITS]]+INVESTORS_LIST[[#This Row],[SIP_TOTAL COST VALUE OF CURRENT UNITS]]</f>
        <v>0</v>
      </c>
      <c r="AJ530" s="109">
        <f>IF(INVESTORS_LIST[[#This Row],[TOTAL CURRENT UNITS]]=0,0,INVESTORS_LIST[[#This Row],[LS_TOTAL CURRENT UNITS]]/INVESTORS_LIST[[#This Row],[TOTAL CURRENT UNITS]])</f>
        <v>0</v>
      </c>
      <c r="AK530" s="109">
        <f>IF(INVESTORS_LIST[[#This Row],[TOTAL CURRENT UNITS]]=0,0,INVESTORS_LIST[[#This Row],[SIP_TOTAL CURRENT UNITS]]/INVESTORS_LIST[[#This Row],[TOTAL CURRENT UNITS]])</f>
        <v>0</v>
      </c>
      <c r="AL530" s="49" cm="1">
        <f t="array" ref="AL5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0" s="49" cm="1">
        <f t="array" ref="AM5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0" s="105">
        <f t="shared" si="9"/>
        <v>14.224</v>
      </c>
      <c r="AP530" s="112">
        <f>IF(INVESTORS_LIST[[#This Row],[TOTAL CURRENT UNITS]]=0,0,INVESTORS_LIST[[#This Row],[TOTAL CURRENT UNITS]]*INVESTORS_LIST[[#This Row],[NAV]])</f>
        <v>0</v>
      </c>
      <c r="AQ530" s="49">
        <f>IF(INVESTORS_LIST[[#This Row],[LS_TOTAL CURRENT UNITS]]=0,0,INVESTORS_LIST[[#This Row],[LS_TOTAL CURRENT UNITS]]*INVESTORS_LIST[[#This Row],[NAV]])</f>
        <v>0</v>
      </c>
      <c r="AR530" s="48">
        <f>IF(INVESTORS_LIST[[#This Row],[SIP_TOTAL CURRENT UNITS]]=0,0,INVESTORS_LIST[[#This Row],[SIP_TOTAL CURRENT UNITS]]*INVESTORS_LIST[[#This Row],[NAV]])</f>
        <v>0</v>
      </c>
      <c r="AS530" s="50">
        <f>INVESTORS_LIST[[#This Row],[TOTAL CURRENT UNITS]]</f>
        <v>0</v>
      </c>
      <c r="AT530" s="48">
        <f>IF(INVESTORS_LIST[[#This Row],[TOTAL SELLABLE UNITS]]=0,0,INVESTORS_LIST[[#This Row],[TOTAL SELLABLE UNITS]]*INVESTORS_LIST[[#This Row],[NAV]])</f>
        <v>0</v>
      </c>
      <c r="AU530" s="48">
        <f>INVESTORS_LIST[[#This Row],[LS_TOTAL REALIZED GAIN]]+INVESTORS_LIST[[#This Row],[SIP_TOTAL REALIZED GAIN]]</f>
        <v>37969.679999999978</v>
      </c>
      <c r="AV530" s="48">
        <f>INVESTORS_LIST[[#This Row],[TOTAL MARKET VALUE]]-INVESTORS_LIST[[#This Row],[TOTAL COST VALUE OF CURRENT INVESTMENT]]</f>
        <v>0</v>
      </c>
      <c r="AW530" s="48">
        <f>IFERROR(INVESTORS_LIST[[#This Row],[TOTAL CURRENT UNITS]]/SUM(INVESTORS_LIST[TOTAL CURRENT UNITS]),0)</f>
        <v>0</v>
      </c>
    </row>
    <row r="531" spans="1:49" hidden="1">
      <c r="A531" s="262" t="s">
        <v>1112</v>
      </c>
      <c r="B531" s="97" t="s">
        <v>1113</v>
      </c>
      <c r="C531" t="s">
        <v>48</v>
      </c>
      <c r="D531" s="75" t="s">
        <v>49</v>
      </c>
      <c r="E531" s="47">
        <f>SUMIFS(LS[Unit],LS[Investor ID],INVESTORS_LIST[[#This Row],[INVESTOR CODE]],LS[B/S],"B")</f>
        <v>854658</v>
      </c>
      <c r="F531" s="47">
        <f>-SUMIFS(LS[Unit],LS[Investor ID],INVESTORS_LIST[[#This Row],[INVESTOR CODE]],LS[B/S],"S")</f>
        <v>854658</v>
      </c>
      <c r="G531" s="47">
        <f>IF(INVESTORS_LIST[[#This Row],[LS_TOTAL UNITS BUY]]=0,0,INVESTORS_LIST[[#This Row],[LS_TOTAL UNITS BUY]]-INVESTORS_LIST[[#This Row],[LS_TOTAL UNITS SOLD]])</f>
        <v>0</v>
      </c>
      <c r="H531" s="49">
        <f>IF(INVESTORS_LIST[[#This Row],[LS_TOTAL UNITS BUY]]=0,0,SUMIFS(LS[Amount],LS[Investor ID],INVESTORS_LIST[[#This Row],[INVESTOR CODE]],LS[B/S],"B"))</f>
        <v>10000000</v>
      </c>
      <c r="I531" s="48">
        <f>IF(INVESTORS_LIST[[#This Row],[LS_TOTAL UNITS SOLD]]=0,0,SUMIFS(LS[Cost of Units Sold],LS[Investor ID],INVESTORS_LIST[[#This Row],[INVESTOR CODE]],LS[B/S],"S"))</f>
        <v>10000000</v>
      </c>
      <c r="J531" s="48">
        <f>IF(INVESTORS_LIST[[#This Row],[LS_TOTAL CURRENT UNITS]]=0,0,INVESTORS_LIST[[#This Row],[LS_TOTAL CURRENT UNITS]]*INVESTORS_LIST[[#This Row],[LS_AVERAGE COST]])</f>
        <v>0</v>
      </c>
      <c r="K531" s="49">
        <f>IF(INVESTORS_LIST[[#This Row],[LS_TOTAL UNITS SOLD]]=0,0,SUMIFS(LS[Realized Gain],LS[Investor ID],INVESTORS_LIST[[#This Row],[INVESTOR CODE]],LS[B/S],"S"))</f>
        <v>1175387.1099999999</v>
      </c>
      <c r="L531" s="47">
        <f>SUMIFS(SIP[Unit],SIP[Investor ID],INVESTORS_LIST[[#This Row],[INVESTOR CODE]],SIP[B/S],"B")</f>
        <v>0</v>
      </c>
      <c r="M531" s="47">
        <f>-SUMIFS(SIP[Unit],SIP[Investor ID],INVESTORS_LIST[[#This Row],[INVESTOR CODE]],SIP[B/S],"S")</f>
        <v>0</v>
      </c>
      <c r="N531" s="50">
        <f>IF(INVESTORS_LIST[[#This Row],[SIP_TOTAL UNITS BUY]]=0,0,INVESTORS_LIST[[#This Row],[SIP_TOTAL UNITS BUY]]-INVESTORS_LIST[[#This Row],[SIP_TOTAL UNITS SOLD]])</f>
        <v>0</v>
      </c>
      <c r="O531" s="49">
        <f>IF(INVESTORS_LIST[[#This Row],[SIP_TOTAL UNITS BUY]]=0,0,SUMIFS(SIP[Amount],SIP[Investor ID],INVESTORS_LIST[[#This Row],[INVESTOR CODE]],SIP[B/S],"B"))</f>
        <v>0</v>
      </c>
      <c r="P531" s="49">
        <f>IF(INVESTORS_LIST[[#This Row],[SIP_TOTAL UNITS SOLD]]=0,0,SUMIFS(SIP[Cost of Units Sold],SIP[Investor ID],INVESTORS_LIST[[#This Row],[INVESTOR CODE]],SIP[B/S],"S"))</f>
        <v>0</v>
      </c>
      <c r="Q531" s="48">
        <f>IF(INVESTORS_LIST[[#This Row],[SIP_TOTAL CURRENT UNITS]]=0,0,INVESTORS_LIST[[#This Row],[SIP_TOTAL CURRENT UNITS]]*INVESTORS_LIST[[#This Row],[SIP_AVERAGE COST]])</f>
        <v>0</v>
      </c>
      <c r="R531" s="48">
        <f>IF(INVESTORS_LIST[[#This Row],[SIP_TOTAL UNITS SOLD]]=0,0,SUMIFS(SIP[Realized Gain],SIP[Investor ID],INVESTORS_LIST[[#This Row],[INVESTOR CODE]],SIP[B/S],"S"))</f>
        <v>0</v>
      </c>
      <c r="S531" s="50">
        <f>INVESTORS_LIST[[#This Row],[LS_TOTAL UNITS BUY]]+INVESTORS_LIST[[#This Row],[SIP_TOTAL UNITS BUY]]</f>
        <v>854658</v>
      </c>
      <c r="T531" s="50">
        <f>INVESTORS_LIST[[#This Row],[LS_TOTAL UNITS SOLD]]+INVESTORS_LIST[[#This Row],[SIP_TOTAL UNITS SOLD]]</f>
        <v>854658</v>
      </c>
      <c r="U531" s="50"/>
      <c r="V531" s="50">
        <f>SUMIFS(LS[BO UNIT TRANSFER],LS[Investor ID],INVESTORS_LIST[[#This Row],[INVESTOR CODE]],LS[B/S],"B")</f>
        <v>0</v>
      </c>
      <c r="W531" s="50">
        <f>SUMIFS(SIP[BO UNIT TRANSFER],SIP[Investor ID],INVESTORS_LIST[[#This Row],[INVESTOR CODE]],SIP[B/S],"B")</f>
        <v>0</v>
      </c>
      <c r="X531" s="50">
        <f>SUMIFS(LS[BO UNIT TRANSFER],LS[Investor ID],INVESTORS_LIST[[#This Row],[INVESTOR CODE]],LS[B/S],"S")</f>
        <v>0</v>
      </c>
      <c r="Y531" s="50">
        <f>SUMIFS(SIP[BO UNIT TRANSFER],SIP[Investor ID],INVESTORS_LIST[[#This Row],[INVESTOR CODE]],SIP[B/S],"S")</f>
        <v>0</v>
      </c>
      <c r="Z531" s="106">
        <f>SUM(INVESTORS_LIST[[#This Row],[BO OPENING BALANCE]:[BO SIP UNITS REPURCHASE]])</f>
        <v>0</v>
      </c>
      <c r="AA531" s="107">
        <f>INVESTORS_LIST[[#This Row],[TOTAL UNITS BUY]]-INVESTORS_LIST[[#This Row],[TOTAL UNITS SOLD]]</f>
        <v>0</v>
      </c>
      <c r="AB531" s="107">
        <f>INVESTORS_LIST[[#This Row],[TOTAL CURRENT UNITS]]-INVESTORS_LIST[[#This Row],[BO UNITS HOLD]]</f>
        <v>0</v>
      </c>
      <c r="AC531" s="201" t="e">
        <f>INDEX([3]!Table_1[BO ID],MATCH(INVESTORS_LIST[[#This Row],[INVESTOR CODE]],[3]!Table_1[INVESTOR CODE],0))</f>
        <v>#REF!</v>
      </c>
      <c r="AD531" s="201" t="e">
        <f>INDEX([3]!Table_1[Brokerage Name2],MATCH(INVESTORS_LIST[[#This Row],[INVESTOR CODE]],[3]!Table_1[INVESTOR CODE],0))</f>
        <v>#REF!</v>
      </c>
      <c r="AE531" s="201" t="e">
        <f>MID(INVESTORS_LIST[[#This Row],[BO ID]],4,5)</f>
        <v>#REF!</v>
      </c>
      <c r="AF531" s="201" t="e">
        <f>MID(INVESTORS_LIST[[#This Row],[BO ID]],2,7)</f>
        <v>#REF!</v>
      </c>
      <c r="AG531" s="201" t="e">
        <f>MID(INVESTORS_LIST[[#This Row],[BO ID]],9,7)</f>
        <v>#REF!</v>
      </c>
      <c r="AH531" s="201" t="e">
        <f>RIGHT(INVESTORS_LIST[[#This Row],[BO ID]],1)</f>
        <v>#REF!</v>
      </c>
      <c r="AI531" s="50">
        <f>INVESTORS_LIST[[#This Row],[LS_TOTAL COST VALUE OF CURRENT UNITS]]+INVESTORS_LIST[[#This Row],[SIP_TOTAL COST VALUE OF CURRENT UNITS]]</f>
        <v>0</v>
      </c>
      <c r="AJ531" s="109">
        <f>IF(INVESTORS_LIST[[#This Row],[TOTAL CURRENT UNITS]]=0,0,INVESTORS_LIST[[#This Row],[LS_TOTAL CURRENT UNITS]]/INVESTORS_LIST[[#This Row],[TOTAL CURRENT UNITS]])</f>
        <v>0</v>
      </c>
      <c r="AK531" s="109">
        <f>IF(INVESTORS_LIST[[#This Row],[TOTAL CURRENT UNITS]]=0,0,INVESTORS_LIST[[#This Row],[SIP_TOTAL CURRENT UNITS]]/INVESTORS_LIST[[#This Row],[TOTAL CURRENT UNITS]])</f>
        <v>0</v>
      </c>
      <c r="AL531" s="49" cm="1">
        <f t="array" ref="AL5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1" s="49" cm="1">
        <f t="array" ref="AM5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1" s="105">
        <f t="shared" si="9"/>
        <v>14.224</v>
      </c>
      <c r="AP531" s="112">
        <f>IF(INVESTORS_LIST[[#This Row],[TOTAL CURRENT UNITS]]=0,0,INVESTORS_LIST[[#This Row],[TOTAL CURRENT UNITS]]*INVESTORS_LIST[[#This Row],[NAV]])</f>
        <v>0</v>
      </c>
      <c r="AQ531" s="49">
        <f>IF(INVESTORS_LIST[[#This Row],[LS_TOTAL CURRENT UNITS]]=0,0,INVESTORS_LIST[[#This Row],[LS_TOTAL CURRENT UNITS]]*INVESTORS_LIST[[#This Row],[NAV]])</f>
        <v>0</v>
      </c>
      <c r="AR531" s="48">
        <f>IF(INVESTORS_LIST[[#This Row],[SIP_TOTAL CURRENT UNITS]]=0,0,INVESTORS_LIST[[#This Row],[SIP_TOTAL CURRENT UNITS]]*INVESTORS_LIST[[#This Row],[NAV]])</f>
        <v>0</v>
      </c>
      <c r="AS531" s="50">
        <f>INVESTORS_LIST[[#This Row],[TOTAL CURRENT UNITS]]</f>
        <v>0</v>
      </c>
      <c r="AT531" s="48">
        <f>IF(INVESTORS_LIST[[#This Row],[TOTAL SELLABLE UNITS]]=0,0,INVESTORS_LIST[[#This Row],[TOTAL SELLABLE UNITS]]*INVESTORS_LIST[[#This Row],[NAV]])</f>
        <v>0</v>
      </c>
      <c r="AU531" s="48">
        <f>INVESTORS_LIST[[#This Row],[LS_TOTAL REALIZED GAIN]]+INVESTORS_LIST[[#This Row],[SIP_TOTAL REALIZED GAIN]]</f>
        <v>1175387.1099999999</v>
      </c>
      <c r="AV531" s="48">
        <f>INVESTORS_LIST[[#This Row],[TOTAL MARKET VALUE]]-INVESTORS_LIST[[#This Row],[TOTAL COST VALUE OF CURRENT INVESTMENT]]</f>
        <v>0</v>
      </c>
      <c r="AW531" s="48">
        <f>IFERROR(INVESTORS_LIST[[#This Row],[TOTAL CURRENT UNITS]]/SUM(INVESTORS_LIST[TOTAL CURRENT UNITS]),0)</f>
        <v>0</v>
      </c>
    </row>
    <row r="532" spans="1:49" hidden="1">
      <c r="A532" s="262" t="s">
        <v>1110</v>
      </c>
      <c r="B532" s="97" t="s">
        <v>1114</v>
      </c>
      <c r="C532" t="s">
        <v>44</v>
      </c>
      <c r="D532" s="75" t="s">
        <v>45</v>
      </c>
      <c r="E532" s="47">
        <f>SUMIFS(LS[Unit],LS[Investor ID],INVESTORS_LIST[[#This Row],[INVESTOR CODE]],LS[B/S],"B")</f>
        <v>1588538</v>
      </c>
      <c r="F532" s="47">
        <f>-SUMIFS(LS[Unit],LS[Investor ID],INVESTORS_LIST[[#This Row],[INVESTOR CODE]],LS[B/S],"S")</f>
        <v>1588538</v>
      </c>
      <c r="G532" s="47">
        <f>IF(INVESTORS_LIST[[#This Row],[LS_TOTAL UNITS BUY]]=0,0,INVESTORS_LIST[[#This Row],[LS_TOTAL UNITS BUY]]-INVESTORS_LIST[[#This Row],[LS_TOTAL UNITS SOLD]])</f>
        <v>0</v>
      </c>
      <c r="H532" s="49">
        <f>IF(INVESTORS_LIST[[#This Row],[LS_TOTAL UNITS BUY]]=0,0,SUMIFS(LS[Amount],LS[Investor ID],INVESTORS_LIST[[#This Row],[INVESTOR CODE]],LS[B/S],"B"))</f>
        <v>17986586</v>
      </c>
      <c r="I532" s="48">
        <f>IF(INVESTORS_LIST[[#This Row],[LS_TOTAL UNITS SOLD]]=0,0,SUMIFS(LS[Cost of Units Sold],LS[Investor ID],INVESTORS_LIST[[#This Row],[INVESTOR CODE]],LS[B/S],"S"))</f>
        <v>17986586.000000004</v>
      </c>
      <c r="J532" s="48">
        <f>IF(INVESTORS_LIST[[#This Row],[LS_TOTAL CURRENT UNITS]]=0,0,INVESTORS_LIST[[#This Row],[LS_TOTAL CURRENT UNITS]]*INVESTORS_LIST[[#This Row],[LS_AVERAGE COST]])</f>
        <v>0</v>
      </c>
      <c r="K532" s="49">
        <f>IF(INVESTORS_LIST[[#This Row],[LS_TOTAL UNITS SOLD]]=0,0,SUMIFS(LS[Realized Gain],LS[Investor ID],INVESTORS_LIST[[#This Row],[INVESTOR CODE]],LS[B/S],"S"))</f>
        <v>992299.43999999762</v>
      </c>
      <c r="L532" s="47">
        <f>SUMIFS(SIP[Unit],SIP[Investor ID],INVESTORS_LIST[[#This Row],[INVESTOR CODE]],SIP[B/S],"B")</f>
        <v>0</v>
      </c>
      <c r="M532" s="47">
        <f>-SUMIFS(SIP[Unit],SIP[Investor ID],INVESTORS_LIST[[#This Row],[INVESTOR CODE]],SIP[B/S],"S")</f>
        <v>0</v>
      </c>
      <c r="N532" s="50">
        <f>IF(INVESTORS_LIST[[#This Row],[SIP_TOTAL UNITS BUY]]=0,0,INVESTORS_LIST[[#This Row],[SIP_TOTAL UNITS BUY]]-INVESTORS_LIST[[#This Row],[SIP_TOTAL UNITS SOLD]])</f>
        <v>0</v>
      </c>
      <c r="O532" s="49">
        <f>IF(INVESTORS_LIST[[#This Row],[SIP_TOTAL UNITS BUY]]=0,0,SUMIFS(SIP[Amount],SIP[Investor ID],INVESTORS_LIST[[#This Row],[INVESTOR CODE]],SIP[B/S],"B"))</f>
        <v>0</v>
      </c>
      <c r="P532" s="49">
        <f>IF(INVESTORS_LIST[[#This Row],[SIP_TOTAL UNITS SOLD]]=0,0,SUMIFS(SIP[Cost of Units Sold],SIP[Investor ID],INVESTORS_LIST[[#This Row],[INVESTOR CODE]],SIP[B/S],"S"))</f>
        <v>0</v>
      </c>
      <c r="Q532" s="48">
        <f>IF(INVESTORS_LIST[[#This Row],[SIP_TOTAL CURRENT UNITS]]=0,0,INVESTORS_LIST[[#This Row],[SIP_TOTAL CURRENT UNITS]]*INVESTORS_LIST[[#This Row],[SIP_AVERAGE COST]])</f>
        <v>0</v>
      </c>
      <c r="R532" s="48">
        <f>IF(INVESTORS_LIST[[#This Row],[SIP_TOTAL UNITS SOLD]]=0,0,SUMIFS(SIP[Realized Gain],SIP[Investor ID],INVESTORS_LIST[[#This Row],[INVESTOR CODE]],SIP[B/S],"S"))</f>
        <v>0</v>
      </c>
      <c r="S532" s="50">
        <f>INVESTORS_LIST[[#This Row],[LS_TOTAL UNITS BUY]]+INVESTORS_LIST[[#This Row],[SIP_TOTAL UNITS BUY]]</f>
        <v>1588538</v>
      </c>
      <c r="T532" s="50">
        <f>INVESTORS_LIST[[#This Row],[LS_TOTAL UNITS SOLD]]+INVESTORS_LIST[[#This Row],[SIP_TOTAL UNITS SOLD]]</f>
        <v>1588538</v>
      </c>
      <c r="U532" s="50"/>
      <c r="V532" s="50">
        <f>SUMIFS(LS[BO UNIT TRANSFER],LS[Investor ID],INVESTORS_LIST[[#This Row],[INVESTOR CODE]],LS[B/S],"B")</f>
        <v>0</v>
      </c>
      <c r="W532" s="50">
        <f>SUMIFS(SIP[BO UNIT TRANSFER],SIP[Investor ID],INVESTORS_LIST[[#This Row],[INVESTOR CODE]],SIP[B/S],"B")</f>
        <v>0</v>
      </c>
      <c r="X532" s="50">
        <f>SUMIFS(LS[BO UNIT TRANSFER],LS[Investor ID],INVESTORS_LIST[[#This Row],[INVESTOR CODE]],LS[B/S],"S")</f>
        <v>0</v>
      </c>
      <c r="Y532" s="50">
        <f>SUMIFS(SIP[BO UNIT TRANSFER],SIP[Investor ID],INVESTORS_LIST[[#This Row],[INVESTOR CODE]],SIP[B/S],"S")</f>
        <v>0</v>
      </c>
      <c r="Z532" s="106">
        <f>SUM(INVESTORS_LIST[[#This Row],[BO OPENING BALANCE]:[BO SIP UNITS REPURCHASE]])</f>
        <v>0</v>
      </c>
      <c r="AA532" s="107">
        <f>INVESTORS_LIST[[#This Row],[TOTAL UNITS BUY]]-INVESTORS_LIST[[#This Row],[TOTAL UNITS SOLD]]</f>
        <v>0</v>
      </c>
      <c r="AB532" s="107">
        <f>INVESTORS_LIST[[#This Row],[TOTAL CURRENT UNITS]]-INVESTORS_LIST[[#This Row],[BO UNITS HOLD]]</f>
        <v>0</v>
      </c>
      <c r="AC532" s="201" t="e">
        <f>INDEX([3]!Table_1[BO ID],MATCH(INVESTORS_LIST[[#This Row],[INVESTOR CODE]],[3]!Table_1[INVESTOR CODE],0))</f>
        <v>#REF!</v>
      </c>
      <c r="AD532" s="201" t="e">
        <f>INDEX([3]!Table_1[Brokerage Name2],MATCH(INVESTORS_LIST[[#This Row],[INVESTOR CODE]],[3]!Table_1[INVESTOR CODE],0))</f>
        <v>#REF!</v>
      </c>
      <c r="AE532" s="201" t="e">
        <f>MID(INVESTORS_LIST[[#This Row],[BO ID]],4,5)</f>
        <v>#REF!</v>
      </c>
      <c r="AF532" s="201" t="e">
        <f>MID(INVESTORS_LIST[[#This Row],[BO ID]],2,7)</f>
        <v>#REF!</v>
      </c>
      <c r="AG532" s="201" t="e">
        <f>MID(INVESTORS_LIST[[#This Row],[BO ID]],9,7)</f>
        <v>#REF!</v>
      </c>
      <c r="AH532" s="201" t="e">
        <f>RIGHT(INVESTORS_LIST[[#This Row],[BO ID]],1)</f>
        <v>#REF!</v>
      </c>
      <c r="AI532" s="50">
        <f>INVESTORS_LIST[[#This Row],[LS_TOTAL COST VALUE OF CURRENT UNITS]]+INVESTORS_LIST[[#This Row],[SIP_TOTAL COST VALUE OF CURRENT UNITS]]</f>
        <v>0</v>
      </c>
      <c r="AJ532" s="109">
        <f>IF(INVESTORS_LIST[[#This Row],[TOTAL CURRENT UNITS]]=0,0,INVESTORS_LIST[[#This Row],[LS_TOTAL CURRENT UNITS]]/INVESTORS_LIST[[#This Row],[TOTAL CURRENT UNITS]])</f>
        <v>0</v>
      </c>
      <c r="AK532" s="109">
        <f>IF(INVESTORS_LIST[[#This Row],[TOTAL CURRENT UNITS]]=0,0,INVESTORS_LIST[[#This Row],[SIP_TOTAL CURRENT UNITS]]/INVESTORS_LIST[[#This Row],[TOTAL CURRENT UNITS]])</f>
        <v>0</v>
      </c>
      <c r="AL532" s="49" cm="1">
        <f t="array" ref="AL5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2" s="49" cm="1">
        <f t="array" ref="AM5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2" s="105">
        <f t="shared" si="9"/>
        <v>14.224</v>
      </c>
      <c r="AP532" s="112">
        <f>IF(INVESTORS_LIST[[#This Row],[TOTAL CURRENT UNITS]]=0,0,INVESTORS_LIST[[#This Row],[TOTAL CURRENT UNITS]]*INVESTORS_LIST[[#This Row],[NAV]])</f>
        <v>0</v>
      </c>
      <c r="AQ532" s="49">
        <f>IF(INVESTORS_LIST[[#This Row],[LS_TOTAL CURRENT UNITS]]=0,0,INVESTORS_LIST[[#This Row],[LS_TOTAL CURRENT UNITS]]*INVESTORS_LIST[[#This Row],[NAV]])</f>
        <v>0</v>
      </c>
      <c r="AR532" s="48">
        <f>IF(INVESTORS_LIST[[#This Row],[SIP_TOTAL CURRENT UNITS]]=0,0,INVESTORS_LIST[[#This Row],[SIP_TOTAL CURRENT UNITS]]*INVESTORS_LIST[[#This Row],[NAV]])</f>
        <v>0</v>
      </c>
      <c r="AS532" s="50">
        <f>INVESTORS_LIST[[#This Row],[TOTAL CURRENT UNITS]]</f>
        <v>0</v>
      </c>
      <c r="AT532" s="48">
        <f>IF(INVESTORS_LIST[[#This Row],[TOTAL SELLABLE UNITS]]=0,0,INVESTORS_LIST[[#This Row],[TOTAL SELLABLE UNITS]]*INVESTORS_LIST[[#This Row],[NAV]])</f>
        <v>0</v>
      </c>
      <c r="AU532" s="48">
        <f>INVESTORS_LIST[[#This Row],[LS_TOTAL REALIZED GAIN]]+INVESTORS_LIST[[#This Row],[SIP_TOTAL REALIZED GAIN]]</f>
        <v>992299.43999999762</v>
      </c>
      <c r="AV532" s="48">
        <f>INVESTORS_LIST[[#This Row],[TOTAL MARKET VALUE]]-INVESTORS_LIST[[#This Row],[TOTAL COST VALUE OF CURRENT INVESTMENT]]</f>
        <v>0</v>
      </c>
      <c r="AW532" s="48">
        <f>IFERROR(INVESTORS_LIST[[#This Row],[TOTAL CURRENT UNITS]]/SUM(INVESTORS_LIST[TOTAL CURRENT UNITS]),0)</f>
        <v>0</v>
      </c>
    </row>
    <row r="533" spans="1:49">
      <c r="A533" s="262" t="s">
        <v>1115</v>
      </c>
      <c r="B533" s="97" t="s">
        <v>1116</v>
      </c>
      <c r="C533" t="s">
        <v>44</v>
      </c>
      <c r="D533" s="75" t="s">
        <v>45</v>
      </c>
      <c r="E533" s="47">
        <f>SUMIFS(LS[Unit],LS[Investor ID],INVESTORS_LIST[[#This Row],[INVESTOR CODE]],LS[B/S],"B")</f>
        <v>920</v>
      </c>
      <c r="F533" s="47">
        <f>-SUMIFS(LS[Unit],LS[Investor ID],INVESTORS_LIST[[#This Row],[INVESTOR CODE]],LS[B/S],"S")</f>
        <v>920</v>
      </c>
      <c r="G533" s="47">
        <f>IF(INVESTORS_LIST[[#This Row],[LS_TOTAL UNITS BUY]]=0,0,INVESTORS_LIST[[#This Row],[LS_TOTAL UNITS BUY]]-INVESTORS_LIST[[#This Row],[LS_TOTAL UNITS SOLD]])</f>
        <v>0</v>
      </c>
      <c r="H533" s="49">
        <f>IF(INVESTORS_LIST[[#This Row],[LS_TOTAL UNITS BUY]]=0,0,SUMIFS(LS[Amount],LS[Investor ID],INVESTORS_LIST[[#This Row],[INVESTOR CODE]],LS[B/S],"B"))</f>
        <v>10000</v>
      </c>
      <c r="I533" s="48">
        <f>IF(INVESTORS_LIST[[#This Row],[LS_TOTAL UNITS SOLD]]=0,0,SUMIFS(LS[Cost of Units Sold],LS[Investor ID],INVESTORS_LIST[[#This Row],[INVESTOR CODE]],LS[B/S],"S"))</f>
        <v>10000</v>
      </c>
      <c r="J533" s="48">
        <f>IF(INVESTORS_LIST[[#This Row],[LS_TOTAL CURRENT UNITS]]=0,0,INVESTORS_LIST[[#This Row],[LS_TOTAL CURRENT UNITS]]*INVESTORS_LIST[[#This Row],[LS_AVERAGE COST]])</f>
        <v>0</v>
      </c>
      <c r="K533" s="49">
        <f>IF(INVESTORS_LIST[[#This Row],[LS_TOTAL UNITS SOLD]]=0,0,SUMIFS(LS[Realized Gain],LS[Investor ID],INVESTORS_LIST[[#This Row],[INVESTOR CODE]],LS[B/S],"S"))</f>
        <v>700.52</v>
      </c>
      <c r="L533" s="47">
        <f>SUMIFS(SIP[Unit],SIP[Investor ID],INVESTORS_LIST[[#This Row],[INVESTOR CODE]],SIP[B/S],"B")</f>
        <v>5390</v>
      </c>
      <c r="M533" s="47">
        <f>-SUMIFS(SIP[Unit],SIP[Investor ID],INVESTORS_LIST[[#This Row],[INVESTOR CODE]],SIP[B/S],"S")</f>
        <v>3589</v>
      </c>
      <c r="N533" s="50">
        <f>IF(INVESTORS_LIST[[#This Row],[SIP_TOTAL UNITS BUY]]=0,0,INVESTORS_LIST[[#This Row],[SIP_TOTAL UNITS BUY]]-INVESTORS_LIST[[#This Row],[SIP_TOTAL UNITS SOLD]])</f>
        <v>1801</v>
      </c>
      <c r="O533" s="49">
        <f>IF(INVESTORS_LIST[[#This Row],[SIP_TOTAL UNITS BUY]]=0,0,SUMIFS(SIP[Amount],SIP[Investor ID],INVESTORS_LIST[[#This Row],[INVESTOR CODE]],SIP[B/S],"B"))</f>
        <v>68000</v>
      </c>
      <c r="P533" s="49">
        <f>IF(INVESTORS_LIST[[#This Row],[SIP_TOTAL UNITS SOLD]]=0,0,SUMIFS(SIP[Cost of Units Sold],SIP[Investor ID],INVESTORS_LIST[[#This Row],[INVESTOR CODE]],SIP[B/S],"S"))</f>
        <v>43909.478342904156</v>
      </c>
      <c r="Q533" s="48">
        <f>IF(INVESTORS_LIST[[#This Row],[SIP_TOTAL CURRENT UNITS]]=0,0,INVESTORS_LIST[[#This Row],[SIP_TOTAL CURRENT UNITS]]*INVESTORS_LIST[[#This Row],[SIP_AVERAGE COST]])</f>
        <v>24090.521657095855</v>
      </c>
      <c r="R533" s="48">
        <f>IF(INVESTORS_LIST[[#This Row],[SIP_TOTAL UNITS SOLD]]=0,0,SUMIFS(SIP[Realized Gain],SIP[Investor ID],INVESTORS_LIST[[#This Row],[INVESTOR CODE]],SIP[B/S],"S"))</f>
        <v>1780.9216570958451</v>
      </c>
      <c r="S533" s="50">
        <f>INVESTORS_LIST[[#This Row],[LS_TOTAL UNITS BUY]]+INVESTORS_LIST[[#This Row],[SIP_TOTAL UNITS BUY]]</f>
        <v>6310</v>
      </c>
      <c r="T533" s="50">
        <f>INVESTORS_LIST[[#This Row],[LS_TOTAL UNITS SOLD]]+INVESTORS_LIST[[#This Row],[SIP_TOTAL UNITS SOLD]]</f>
        <v>4509</v>
      </c>
      <c r="U533" s="50"/>
      <c r="V533" s="50">
        <f>SUMIFS(LS[BO UNIT TRANSFER],LS[Investor ID],INVESTORS_LIST[[#This Row],[INVESTOR CODE]],LS[B/S],"B")</f>
        <v>0</v>
      </c>
      <c r="W533" s="50">
        <f>SUMIFS(SIP[BO UNIT TRANSFER],SIP[Investor ID],INVESTORS_LIST[[#This Row],[INVESTOR CODE]],SIP[B/S],"B")</f>
        <v>0</v>
      </c>
      <c r="X533" s="50">
        <f>SUMIFS(LS[BO UNIT TRANSFER],LS[Investor ID],INVESTORS_LIST[[#This Row],[INVESTOR CODE]],LS[B/S],"S")</f>
        <v>0</v>
      </c>
      <c r="Y533" s="50">
        <f>SUMIFS(SIP[BO UNIT TRANSFER],SIP[Investor ID],INVESTORS_LIST[[#This Row],[INVESTOR CODE]],SIP[B/S],"S")</f>
        <v>0</v>
      </c>
      <c r="Z533" s="106">
        <f>SUM(INVESTORS_LIST[[#This Row],[BO OPENING BALANCE]:[BO SIP UNITS REPURCHASE]])</f>
        <v>0</v>
      </c>
      <c r="AA533" s="107">
        <f>INVESTORS_LIST[[#This Row],[TOTAL UNITS BUY]]-INVESTORS_LIST[[#This Row],[TOTAL UNITS SOLD]]</f>
        <v>1801</v>
      </c>
      <c r="AB533" s="107">
        <f>INVESTORS_LIST[[#This Row],[TOTAL CURRENT UNITS]]-INVESTORS_LIST[[#This Row],[BO UNITS HOLD]]</f>
        <v>1801</v>
      </c>
      <c r="AC533" s="201" t="e">
        <f>INDEX([3]!Table_1[BO ID],MATCH(INVESTORS_LIST[[#This Row],[INVESTOR CODE]],[3]!Table_1[INVESTOR CODE],0))</f>
        <v>#REF!</v>
      </c>
      <c r="AD533" s="201" t="e">
        <f>INDEX([3]!Table_1[Brokerage Name2],MATCH(INVESTORS_LIST[[#This Row],[INVESTOR CODE]],[3]!Table_1[INVESTOR CODE],0))</f>
        <v>#REF!</v>
      </c>
      <c r="AE533" s="201" t="e">
        <f>MID(INVESTORS_LIST[[#This Row],[BO ID]],4,5)</f>
        <v>#REF!</v>
      </c>
      <c r="AF533" s="201" t="e">
        <f>MID(INVESTORS_LIST[[#This Row],[BO ID]],2,7)</f>
        <v>#REF!</v>
      </c>
      <c r="AG533" s="201" t="e">
        <f>MID(INVESTORS_LIST[[#This Row],[BO ID]],9,7)</f>
        <v>#REF!</v>
      </c>
      <c r="AH533" s="201" t="e">
        <f>RIGHT(INVESTORS_LIST[[#This Row],[BO ID]],1)</f>
        <v>#REF!</v>
      </c>
      <c r="AI533" s="50">
        <f>INVESTORS_LIST[[#This Row],[LS_TOTAL COST VALUE OF CURRENT UNITS]]+INVESTORS_LIST[[#This Row],[SIP_TOTAL COST VALUE OF CURRENT UNITS]]</f>
        <v>24090.521657095855</v>
      </c>
      <c r="AJ533" s="109">
        <f>IF(INVESTORS_LIST[[#This Row],[TOTAL CURRENT UNITS]]=0,0,INVESTORS_LIST[[#This Row],[LS_TOTAL CURRENT UNITS]]/INVESTORS_LIST[[#This Row],[TOTAL CURRENT UNITS]])</f>
        <v>0</v>
      </c>
      <c r="AK533" s="109">
        <f>IF(INVESTORS_LIST[[#This Row],[TOTAL CURRENT UNITS]]=0,0,INVESTORS_LIST[[#This Row],[SIP_TOTAL CURRENT UNITS]]/INVESTORS_LIST[[#This Row],[TOTAL CURRENT UNITS]])</f>
        <v>1</v>
      </c>
      <c r="AL533" s="49" cm="1">
        <f t="array" ref="AL5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3" s="49" cm="1">
        <f t="array" ref="AM533">IF(INVESTORS_LIST[[#This Row],[SIP_TOTAL UNITS BUY]]&gt;0,INDEX(SIP[NAV at Cost (Average)],MATCH(CONCATENATE(COUNTIFS(SIP[Investor ID],INVESTORS_LIST[[#This Row],[INVESTOR CODE]]),INVESTORS_LIST[[#This Row],[INVESTOR CODE]]),SIP[Unique Code],0),),0)</f>
        <v>13.376191925094867</v>
      </c>
      <c r="AN533" s="105">
        <f>IF(INVESTORS_LIST[[#This Row],[TOTAL CURRENT UNITS]]=0,0,(INVESTORS_LIST[[#This Row],[LS_WEIGHT]]*INVESTORS_LIST[[#This Row],[LS_AVERAGE COST]])+(INVESTORS_LIST[[#This Row],[SIP_WEIGHT]]*INVESTORS_LIST[[#This Row],[SIP_AVERAGE COST]]))</f>
        <v>13.376191925094867</v>
      </c>
      <c r="AO533" s="105">
        <f t="shared" si="9"/>
        <v>14.224</v>
      </c>
      <c r="AP533" s="112">
        <f>IF(INVESTORS_LIST[[#This Row],[TOTAL CURRENT UNITS]]=0,0,INVESTORS_LIST[[#This Row],[TOTAL CURRENT UNITS]]*INVESTORS_LIST[[#This Row],[NAV]])</f>
        <v>25617.423999999999</v>
      </c>
      <c r="AQ533" s="49">
        <f>IF(INVESTORS_LIST[[#This Row],[LS_TOTAL CURRENT UNITS]]=0,0,INVESTORS_LIST[[#This Row],[LS_TOTAL CURRENT UNITS]]*INVESTORS_LIST[[#This Row],[NAV]])</f>
        <v>0</v>
      </c>
      <c r="AR533" s="48">
        <f>IF(INVESTORS_LIST[[#This Row],[SIP_TOTAL CURRENT UNITS]]=0,0,INVESTORS_LIST[[#This Row],[SIP_TOTAL CURRENT UNITS]]*INVESTORS_LIST[[#This Row],[NAV]])</f>
        <v>25617.423999999999</v>
      </c>
      <c r="AS533" s="50">
        <f>INVESTORS_LIST[[#This Row],[TOTAL CURRENT UNITS]]</f>
        <v>1801</v>
      </c>
      <c r="AT533" s="48">
        <f>IF(INVESTORS_LIST[[#This Row],[TOTAL SELLABLE UNITS]]=0,0,INVESTORS_LIST[[#This Row],[TOTAL SELLABLE UNITS]]*INVESTORS_LIST[[#This Row],[NAV]])</f>
        <v>25617.423999999999</v>
      </c>
      <c r="AU533" s="48">
        <f>INVESTORS_LIST[[#This Row],[LS_TOTAL REALIZED GAIN]]+INVESTORS_LIST[[#This Row],[SIP_TOTAL REALIZED GAIN]]</f>
        <v>2481.4416570958451</v>
      </c>
      <c r="AV533" s="48">
        <f>INVESTORS_LIST[[#This Row],[TOTAL MARKET VALUE]]-INVESTORS_LIST[[#This Row],[TOTAL COST VALUE OF CURRENT INVESTMENT]]</f>
        <v>1526.9023429041445</v>
      </c>
      <c r="AW533" s="48">
        <f>IFERROR(INVESTORS_LIST[[#This Row],[TOTAL CURRENT UNITS]]/SUM(INVESTORS_LIST[TOTAL CURRENT UNITS]),0)</f>
        <v>4.3721450420882684E-5</v>
      </c>
    </row>
    <row r="534" spans="1:49">
      <c r="A534" s="262" t="s">
        <v>1117</v>
      </c>
      <c r="B534" s="97" t="s">
        <v>1118</v>
      </c>
      <c r="C534" t="s">
        <v>67</v>
      </c>
      <c r="D534" s="75" t="s">
        <v>45</v>
      </c>
      <c r="E534" s="47">
        <f>SUMIFS(LS[Unit],LS[Investor ID],INVESTORS_LIST[[#This Row],[INVESTOR CODE]],LS[B/S],"B")</f>
        <v>110041</v>
      </c>
      <c r="F534" s="47">
        <f>-SUMIFS(LS[Unit],LS[Investor ID],INVESTORS_LIST[[#This Row],[INVESTOR CODE]],LS[B/S],"S")</f>
        <v>0</v>
      </c>
      <c r="G534" s="47">
        <f>IF(INVESTORS_LIST[[#This Row],[LS_TOTAL UNITS BUY]]=0,0,INVESTORS_LIST[[#This Row],[LS_TOTAL UNITS BUY]]-INVESTORS_LIST[[#This Row],[LS_TOTAL UNITS SOLD]])</f>
        <v>110041</v>
      </c>
      <c r="H534" s="49">
        <f>IF(INVESTORS_LIST[[#This Row],[LS_TOTAL UNITS BUY]]=0,0,SUMIFS(LS[Amount],LS[Investor ID],INVESTORS_LIST[[#This Row],[INVESTOR CODE]],LS[B/S],"B"))</f>
        <v>1200000</v>
      </c>
      <c r="I534" s="48">
        <f>IF(INVESTORS_LIST[[#This Row],[LS_TOTAL UNITS SOLD]]=0,0,SUMIFS(LS[Cost of Units Sold],LS[Investor ID],INVESTORS_LIST[[#This Row],[INVESTOR CODE]],LS[B/S],"S"))</f>
        <v>0</v>
      </c>
      <c r="J534" s="48">
        <f>IF(INVESTORS_LIST[[#This Row],[LS_TOTAL CURRENT UNITS]]=0,0,INVESTORS_LIST[[#This Row],[LS_TOTAL CURRENT UNITS]]*INVESTORS_LIST[[#This Row],[LS_AVERAGE COST]])</f>
        <v>1200000</v>
      </c>
      <c r="K534" s="49">
        <f>IF(INVESTORS_LIST[[#This Row],[LS_TOTAL UNITS SOLD]]=0,0,SUMIFS(LS[Realized Gain],LS[Investor ID],INVESTORS_LIST[[#This Row],[INVESTOR CODE]],LS[B/S],"S"))</f>
        <v>0</v>
      </c>
      <c r="L534" s="47">
        <f>SUMIFS(SIP[Unit],SIP[Investor ID],INVESTORS_LIST[[#This Row],[INVESTOR CODE]],SIP[B/S],"B")</f>
        <v>0</v>
      </c>
      <c r="M534" s="47">
        <f>-SUMIFS(SIP[Unit],SIP[Investor ID],INVESTORS_LIST[[#This Row],[INVESTOR CODE]],SIP[B/S],"S")</f>
        <v>0</v>
      </c>
      <c r="N534" s="50">
        <f>IF(INVESTORS_LIST[[#This Row],[SIP_TOTAL UNITS BUY]]=0,0,INVESTORS_LIST[[#This Row],[SIP_TOTAL UNITS BUY]]-INVESTORS_LIST[[#This Row],[SIP_TOTAL UNITS SOLD]])</f>
        <v>0</v>
      </c>
      <c r="O534" s="49">
        <f>IF(INVESTORS_LIST[[#This Row],[SIP_TOTAL UNITS BUY]]=0,0,SUMIFS(SIP[Amount],SIP[Investor ID],INVESTORS_LIST[[#This Row],[INVESTOR CODE]],SIP[B/S],"B"))</f>
        <v>0</v>
      </c>
      <c r="P534" s="49">
        <f>IF(INVESTORS_LIST[[#This Row],[SIP_TOTAL UNITS SOLD]]=0,0,SUMIFS(SIP[Cost of Units Sold],SIP[Investor ID],INVESTORS_LIST[[#This Row],[INVESTOR CODE]],SIP[B/S],"S"))</f>
        <v>0</v>
      </c>
      <c r="Q534" s="48">
        <f>IF(INVESTORS_LIST[[#This Row],[SIP_TOTAL CURRENT UNITS]]=0,0,INVESTORS_LIST[[#This Row],[SIP_TOTAL CURRENT UNITS]]*INVESTORS_LIST[[#This Row],[SIP_AVERAGE COST]])</f>
        <v>0</v>
      </c>
      <c r="R534" s="48">
        <f>IF(INVESTORS_LIST[[#This Row],[SIP_TOTAL UNITS SOLD]]=0,0,SUMIFS(SIP[Realized Gain],SIP[Investor ID],INVESTORS_LIST[[#This Row],[INVESTOR CODE]],SIP[B/S],"S"))</f>
        <v>0</v>
      </c>
      <c r="S534" s="50">
        <f>INVESTORS_LIST[[#This Row],[LS_TOTAL UNITS BUY]]+INVESTORS_LIST[[#This Row],[SIP_TOTAL UNITS BUY]]</f>
        <v>110041</v>
      </c>
      <c r="T534" s="50">
        <f>INVESTORS_LIST[[#This Row],[LS_TOTAL UNITS SOLD]]+INVESTORS_LIST[[#This Row],[SIP_TOTAL UNITS SOLD]]</f>
        <v>0</v>
      </c>
      <c r="U534" s="50"/>
      <c r="V534" s="50">
        <f>SUMIFS(LS[BO UNIT TRANSFER],LS[Investor ID],INVESTORS_LIST[[#This Row],[INVESTOR CODE]],LS[B/S],"B")</f>
        <v>0</v>
      </c>
      <c r="W534" s="50">
        <f>SUMIFS(SIP[BO UNIT TRANSFER],SIP[Investor ID],INVESTORS_LIST[[#This Row],[INVESTOR CODE]],SIP[B/S],"B")</f>
        <v>0</v>
      </c>
      <c r="X534" s="50">
        <f>SUMIFS(LS[BO UNIT TRANSFER],LS[Investor ID],INVESTORS_LIST[[#This Row],[INVESTOR CODE]],LS[B/S],"S")</f>
        <v>0</v>
      </c>
      <c r="Y534" s="50">
        <f>SUMIFS(SIP[BO UNIT TRANSFER],SIP[Investor ID],INVESTORS_LIST[[#This Row],[INVESTOR CODE]],SIP[B/S],"S")</f>
        <v>0</v>
      </c>
      <c r="Z534" s="106">
        <f>SUM(INVESTORS_LIST[[#This Row],[BO OPENING BALANCE]:[BO SIP UNITS REPURCHASE]])</f>
        <v>0</v>
      </c>
      <c r="AA534" s="107">
        <f>INVESTORS_LIST[[#This Row],[TOTAL UNITS BUY]]-INVESTORS_LIST[[#This Row],[TOTAL UNITS SOLD]]</f>
        <v>110041</v>
      </c>
      <c r="AB534" s="107">
        <f>INVESTORS_LIST[[#This Row],[TOTAL CURRENT UNITS]]-INVESTORS_LIST[[#This Row],[BO UNITS HOLD]]</f>
        <v>110041</v>
      </c>
      <c r="AC534" s="201" t="e">
        <f>INDEX([3]!Table_1[BO ID],MATCH(INVESTORS_LIST[[#This Row],[INVESTOR CODE]],[3]!Table_1[INVESTOR CODE],0))</f>
        <v>#REF!</v>
      </c>
      <c r="AD534" s="201" t="e">
        <f>INDEX([3]!Table_1[Brokerage Name2],MATCH(INVESTORS_LIST[[#This Row],[INVESTOR CODE]],[3]!Table_1[INVESTOR CODE],0))</f>
        <v>#REF!</v>
      </c>
      <c r="AE534" s="201" t="e">
        <f>MID(INVESTORS_LIST[[#This Row],[BO ID]],4,5)</f>
        <v>#REF!</v>
      </c>
      <c r="AF534" s="201" t="e">
        <f>MID(INVESTORS_LIST[[#This Row],[BO ID]],2,7)</f>
        <v>#REF!</v>
      </c>
      <c r="AG534" s="201" t="e">
        <f>MID(INVESTORS_LIST[[#This Row],[BO ID]],9,7)</f>
        <v>#REF!</v>
      </c>
      <c r="AH534" s="201" t="e">
        <f>RIGHT(INVESTORS_LIST[[#This Row],[BO ID]],1)</f>
        <v>#REF!</v>
      </c>
      <c r="AI534" s="50">
        <f>INVESTORS_LIST[[#This Row],[LS_TOTAL COST VALUE OF CURRENT UNITS]]+INVESTORS_LIST[[#This Row],[SIP_TOTAL COST VALUE OF CURRENT UNITS]]</f>
        <v>1200000</v>
      </c>
      <c r="AJ534" s="109">
        <f>IF(INVESTORS_LIST[[#This Row],[TOTAL CURRENT UNITS]]=0,0,INVESTORS_LIST[[#This Row],[LS_TOTAL CURRENT UNITS]]/INVESTORS_LIST[[#This Row],[TOTAL CURRENT UNITS]])</f>
        <v>1</v>
      </c>
      <c r="AK534" s="109">
        <f>IF(INVESTORS_LIST[[#This Row],[TOTAL CURRENT UNITS]]=0,0,INVESTORS_LIST[[#This Row],[SIP_TOTAL CURRENT UNITS]]/INVESTORS_LIST[[#This Row],[TOTAL CURRENT UNITS]])</f>
        <v>0</v>
      </c>
      <c r="AL534" s="49" cm="1">
        <f t="array" ref="AL534">IF(INVESTORS_LIST[[#This Row],[LS_TOTAL UNITS BUY]]&gt;0,INDEX(LS[NAV at Cost (Average)],MATCH(CONCATENATE(COUNTIFS(LS[Investor ID],INVESTORS_LIST[[#This Row],[INVESTOR CODE]]),INVESTORS_LIST[[#This Row],[INVESTOR CODE]]),LS[Unique Code],0),),0)</f>
        <v>10.90502630837597</v>
      </c>
      <c r="AM534" s="49" cm="1">
        <f t="array" ref="AM5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4" s="105">
        <f>IF(INVESTORS_LIST[[#This Row],[TOTAL CURRENT UNITS]]=0,0,(INVESTORS_LIST[[#This Row],[LS_WEIGHT]]*INVESTORS_LIST[[#This Row],[LS_AVERAGE COST]])+(INVESTORS_LIST[[#This Row],[SIP_WEIGHT]]*INVESTORS_LIST[[#This Row],[SIP_AVERAGE COST]]))</f>
        <v>10.90502630837597</v>
      </c>
      <c r="AO534" s="105">
        <f t="shared" si="9"/>
        <v>14.224</v>
      </c>
      <c r="AP534" s="112">
        <f>IF(INVESTORS_LIST[[#This Row],[TOTAL CURRENT UNITS]]=0,0,INVESTORS_LIST[[#This Row],[TOTAL CURRENT UNITS]]*INVESTORS_LIST[[#This Row],[NAV]])</f>
        <v>1565223.1840000001</v>
      </c>
      <c r="AQ534" s="49">
        <f>IF(INVESTORS_LIST[[#This Row],[LS_TOTAL CURRENT UNITS]]=0,0,INVESTORS_LIST[[#This Row],[LS_TOTAL CURRENT UNITS]]*INVESTORS_LIST[[#This Row],[NAV]])</f>
        <v>1565223.1840000001</v>
      </c>
      <c r="AR534" s="48">
        <f>IF(INVESTORS_LIST[[#This Row],[SIP_TOTAL CURRENT UNITS]]=0,0,INVESTORS_LIST[[#This Row],[SIP_TOTAL CURRENT UNITS]]*INVESTORS_LIST[[#This Row],[NAV]])</f>
        <v>0</v>
      </c>
      <c r="AS534" s="50">
        <f>INVESTORS_LIST[[#This Row],[TOTAL CURRENT UNITS]]</f>
        <v>110041</v>
      </c>
      <c r="AT534" s="48">
        <f>IF(INVESTORS_LIST[[#This Row],[TOTAL SELLABLE UNITS]]=0,0,INVESTORS_LIST[[#This Row],[TOTAL SELLABLE UNITS]]*INVESTORS_LIST[[#This Row],[NAV]])</f>
        <v>1565223.1840000001</v>
      </c>
      <c r="AU534" s="48">
        <f>INVESTORS_LIST[[#This Row],[LS_TOTAL REALIZED GAIN]]+INVESTORS_LIST[[#This Row],[SIP_TOTAL REALIZED GAIN]]</f>
        <v>0</v>
      </c>
      <c r="AV534" s="48">
        <f>INVESTORS_LIST[[#This Row],[TOTAL MARKET VALUE]]-INVESTORS_LIST[[#This Row],[TOTAL COST VALUE OF CURRENT INVESTMENT]]</f>
        <v>365223.18400000012</v>
      </c>
      <c r="AW534" s="48">
        <f>IFERROR(INVESTORS_LIST[[#This Row],[TOTAL CURRENT UNITS]]/SUM(INVESTORS_LIST[TOTAL CURRENT UNITS]),0)</f>
        <v>2.6713781930951426E-3</v>
      </c>
    </row>
    <row r="535" spans="1:49">
      <c r="A535" s="262" t="s">
        <v>1119</v>
      </c>
      <c r="B535" s="97" t="s">
        <v>1120</v>
      </c>
      <c r="C535" t="s">
        <v>44</v>
      </c>
      <c r="D535" s="75" t="s">
        <v>45</v>
      </c>
      <c r="E535" s="47">
        <f>SUMIFS(LS[Unit],LS[Investor ID],INVESTORS_LIST[[#This Row],[INVESTOR CODE]],LS[B/S],"B")</f>
        <v>4577</v>
      </c>
      <c r="F535" s="47">
        <f>-SUMIFS(LS[Unit],LS[Investor ID],INVESTORS_LIST[[#This Row],[INVESTOR CODE]],LS[B/S],"S")</f>
        <v>0</v>
      </c>
      <c r="G535" s="47">
        <f>IF(INVESTORS_LIST[[#This Row],[LS_TOTAL UNITS BUY]]=0,0,INVESTORS_LIST[[#This Row],[LS_TOTAL UNITS BUY]]-INVESTORS_LIST[[#This Row],[LS_TOTAL UNITS SOLD]])</f>
        <v>4577</v>
      </c>
      <c r="H535" s="49">
        <f>IF(INVESTORS_LIST[[#This Row],[LS_TOTAL UNITS BUY]]=0,0,SUMIFS(LS[Amount],LS[Investor ID],INVESTORS_LIST[[#This Row],[INVESTOR CODE]],LS[B/S],"B"))</f>
        <v>50008</v>
      </c>
      <c r="I535" s="48">
        <f>IF(INVESTORS_LIST[[#This Row],[LS_TOTAL UNITS SOLD]]=0,0,SUMIFS(LS[Cost of Units Sold],LS[Investor ID],INVESTORS_LIST[[#This Row],[INVESTOR CODE]],LS[B/S],"S"))</f>
        <v>0</v>
      </c>
      <c r="J535" s="48">
        <f>IF(INVESTORS_LIST[[#This Row],[LS_TOTAL CURRENT UNITS]]=0,0,INVESTORS_LIST[[#This Row],[LS_TOTAL CURRENT UNITS]]*INVESTORS_LIST[[#This Row],[LS_AVERAGE COST]])</f>
        <v>50008</v>
      </c>
      <c r="K535" s="49">
        <f>IF(INVESTORS_LIST[[#This Row],[LS_TOTAL UNITS SOLD]]=0,0,SUMIFS(LS[Realized Gain],LS[Investor ID],INVESTORS_LIST[[#This Row],[INVESTOR CODE]],LS[B/S],"S"))</f>
        <v>0</v>
      </c>
      <c r="L535" s="47">
        <f>SUMIFS(SIP[Unit],SIP[Investor ID],INVESTORS_LIST[[#This Row],[INVESTOR CODE]],SIP[B/S],"B")</f>
        <v>0</v>
      </c>
      <c r="M535" s="47">
        <f>-SUMIFS(SIP[Unit],SIP[Investor ID],INVESTORS_LIST[[#This Row],[INVESTOR CODE]],SIP[B/S],"S")</f>
        <v>0</v>
      </c>
      <c r="N535" s="50">
        <f>IF(INVESTORS_LIST[[#This Row],[SIP_TOTAL UNITS BUY]]=0,0,INVESTORS_LIST[[#This Row],[SIP_TOTAL UNITS BUY]]-INVESTORS_LIST[[#This Row],[SIP_TOTAL UNITS SOLD]])</f>
        <v>0</v>
      </c>
      <c r="O535" s="49">
        <f>IF(INVESTORS_LIST[[#This Row],[SIP_TOTAL UNITS BUY]]=0,0,SUMIFS(SIP[Amount],SIP[Investor ID],INVESTORS_LIST[[#This Row],[INVESTOR CODE]],SIP[B/S],"B"))</f>
        <v>0</v>
      </c>
      <c r="P535" s="49">
        <f>IF(INVESTORS_LIST[[#This Row],[SIP_TOTAL UNITS SOLD]]=0,0,SUMIFS(SIP[Cost of Units Sold],SIP[Investor ID],INVESTORS_LIST[[#This Row],[INVESTOR CODE]],SIP[B/S],"S"))</f>
        <v>0</v>
      </c>
      <c r="Q535" s="48">
        <f>IF(INVESTORS_LIST[[#This Row],[SIP_TOTAL CURRENT UNITS]]=0,0,INVESTORS_LIST[[#This Row],[SIP_TOTAL CURRENT UNITS]]*INVESTORS_LIST[[#This Row],[SIP_AVERAGE COST]])</f>
        <v>0</v>
      </c>
      <c r="R535" s="48">
        <f>IF(INVESTORS_LIST[[#This Row],[SIP_TOTAL UNITS SOLD]]=0,0,SUMIFS(SIP[Realized Gain],SIP[Investor ID],INVESTORS_LIST[[#This Row],[INVESTOR CODE]],SIP[B/S],"S"))</f>
        <v>0</v>
      </c>
      <c r="S535" s="50">
        <f>INVESTORS_LIST[[#This Row],[LS_TOTAL UNITS BUY]]+INVESTORS_LIST[[#This Row],[SIP_TOTAL UNITS BUY]]</f>
        <v>4577</v>
      </c>
      <c r="T535" s="50">
        <f>INVESTORS_LIST[[#This Row],[LS_TOTAL UNITS SOLD]]+INVESTORS_LIST[[#This Row],[SIP_TOTAL UNITS SOLD]]</f>
        <v>0</v>
      </c>
      <c r="U535" s="50"/>
      <c r="V535" s="50">
        <f>SUMIFS(LS[BO UNIT TRANSFER],LS[Investor ID],INVESTORS_LIST[[#This Row],[INVESTOR CODE]],LS[B/S],"B")</f>
        <v>0</v>
      </c>
      <c r="W535" s="50">
        <f>SUMIFS(SIP[BO UNIT TRANSFER],SIP[Investor ID],INVESTORS_LIST[[#This Row],[INVESTOR CODE]],SIP[B/S],"B")</f>
        <v>0</v>
      </c>
      <c r="X535" s="50">
        <f>SUMIFS(LS[BO UNIT TRANSFER],LS[Investor ID],INVESTORS_LIST[[#This Row],[INVESTOR CODE]],LS[B/S],"S")</f>
        <v>0</v>
      </c>
      <c r="Y535" s="50">
        <f>SUMIFS(SIP[BO UNIT TRANSFER],SIP[Investor ID],INVESTORS_LIST[[#This Row],[INVESTOR CODE]],SIP[B/S],"S")</f>
        <v>0</v>
      </c>
      <c r="Z535" s="106">
        <f>SUM(INVESTORS_LIST[[#This Row],[BO OPENING BALANCE]:[BO SIP UNITS REPURCHASE]])</f>
        <v>0</v>
      </c>
      <c r="AA535" s="107">
        <f>INVESTORS_LIST[[#This Row],[TOTAL UNITS BUY]]-INVESTORS_LIST[[#This Row],[TOTAL UNITS SOLD]]</f>
        <v>4577</v>
      </c>
      <c r="AB535" s="107">
        <f>INVESTORS_LIST[[#This Row],[TOTAL CURRENT UNITS]]-INVESTORS_LIST[[#This Row],[BO UNITS HOLD]]</f>
        <v>4577</v>
      </c>
      <c r="AC535" s="201" t="e">
        <f>INDEX([3]!Table_1[BO ID],MATCH(INVESTORS_LIST[[#This Row],[INVESTOR CODE]],[3]!Table_1[INVESTOR CODE],0))</f>
        <v>#REF!</v>
      </c>
      <c r="AD535" s="201" t="e">
        <f>INDEX([3]!Table_1[Brokerage Name2],MATCH(INVESTORS_LIST[[#This Row],[INVESTOR CODE]],[3]!Table_1[INVESTOR CODE],0))</f>
        <v>#REF!</v>
      </c>
      <c r="AE535" s="201" t="e">
        <f>MID(INVESTORS_LIST[[#This Row],[BO ID]],4,5)</f>
        <v>#REF!</v>
      </c>
      <c r="AF535" s="201" t="e">
        <f>MID(INVESTORS_LIST[[#This Row],[BO ID]],2,7)</f>
        <v>#REF!</v>
      </c>
      <c r="AG535" s="201" t="e">
        <f>MID(INVESTORS_LIST[[#This Row],[BO ID]],9,7)</f>
        <v>#REF!</v>
      </c>
      <c r="AH535" s="201" t="e">
        <f>RIGHT(INVESTORS_LIST[[#This Row],[BO ID]],1)</f>
        <v>#REF!</v>
      </c>
      <c r="AI535" s="50">
        <f>INVESTORS_LIST[[#This Row],[LS_TOTAL COST VALUE OF CURRENT UNITS]]+INVESTORS_LIST[[#This Row],[SIP_TOTAL COST VALUE OF CURRENT UNITS]]</f>
        <v>50008</v>
      </c>
      <c r="AJ535" s="109">
        <f>IF(INVESTORS_LIST[[#This Row],[TOTAL CURRENT UNITS]]=0,0,INVESTORS_LIST[[#This Row],[LS_TOTAL CURRENT UNITS]]/INVESTORS_LIST[[#This Row],[TOTAL CURRENT UNITS]])</f>
        <v>1</v>
      </c>
      <c r="AK535" s="109">
        <f>IF(INVESTORS_LIST[[#This Row],[TOTAL CURRENT UNITS]]=0,0,INVESTORS_LIST[[#This Row],[SIP_TOTAL CURRENT UNITS]]/INVESTORS_LIST[[#This Row],[TOTAL CURRENT UNITS]])</f>
        <v>0</v>
      </c>
      <c r="AL535" s="49" cm="1">
        <f t="array" ref="AL535">IF(INVESTORS_LIST[[#This Row],[LS_TOTAL UNITS BUY]]&gt;0,INDEX(LS[NAV at Cost (Average)],MATCH(CONCATENATE(COUNTIFS(LS[Investor ID],INVESTORS_LIST[[#This Row],[INVESTOR CODE]]),INVESTORS_LIST[[#This Row],[INVESTOR CODE]]),LS[Unique Code],0),),0)</f>
        <v>10.925934017915665</v>
      </c>
      <c r="AM535" s="49" cm="1">
        <f t="array" ref="AM5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5" s="105">
        <f>IF(INVESTORS_LIST[[#This Row],[TOTAL CURRENT UNITS]]=0,0,(INVESTORS_LIST[[#This Row],[LS_WEIGHT]]*INVESTORS_LIST[[#This Row],[LS_AVERAGE COST]])+(INVESTORS_LIST[[#This Row],[SIP_WEIGHT]]*INVESTORS_LIST[[#This Row],[SIP_AVERAGE COST]]))</f>
        <v>10.925934017915665</v>
      </c>
      <c r="AO535" s="105">
        <f t="shared" si="9"/>
        <v>14.224</v>
      </c>
      <c r="AP535" s="112">
        <f>IF(INVESTORS_LIST[[#This Row],[TOTAL CURRENT UNITS]]=0,0,INVESTORS_LIST[[#This Row],[TOTAL CURRENT UNITS]]*INVESTORS_LIST[[#This Row],[NAV]])</f>
        <v>65103.248</v>
      </c>
      <c r="AQ535" s="49">
        <f>IF(INVESTORS_LIST[[#This Row],[LS_TOTAL CURRENT UNITS]]=0,0,INVESTORS_LIST[[#This Row],[LS_TOTAL CURRENT UNITS]]*INVESTORS_LIST[[#This Row],[NAV]])</f>
        <v>65103.248</v>
      </c>
      <c r="AR535" s="48">
        <f>IF(INVESTORS_LIST[[#This Row],[SIP_TOTAL CURRENT UNITS]]=0,0,INVESTORS_LIST[[#This Row],[SIP_TOTAL CURRENT UNITS]]*INVESTORS_LIST[[#This Row],[NAV]])</f>
        <v>0</v>
      </c>
      <c r="AS535" s="50">
        <f>INVESTORS_LIST[[#This Row],[TOTAL CURRENT UNITS]]</f>
        <v>4577</v>
      </c>
      <c r="AT535" s="48">
        <f>IF(INVESTORS_LIST[[#This Row],[TOTAL SELLABLE UNITS]]=0,0,INVESTORS_LIST[[#This Row],[TOTAL SELLABLE UNITS]]*INVESTORS_LIST[[#This Row],[NAV]])</f>
        <v>65103.248</v>
      </c>
      <c r="AU535" s="48">
        <f>INVESTORS_LIST[[#This Row],[LS_TOTAL REALIZED GAIN]]+INVESTORS_LIST[[#This Row],[SIP_TOTAL REALIZED GAIN]]</f>
        <v>0</v>
      </c>
      <c r="AV535" s="48">
        <f>INVESTORS_LIST[[#This Row],[TOTAL MARKET VALUE]]-INVESTORS_LIST[[#This Row],[TOTAL COST VALUE OF CURRENT INVESTMENT]]</f>
        <v>15095.248</v>
      </c>
      <c r="AW535" s="48">
        <f>IFERROR(INVESTORS_LIST[[#This Row],[TOTAL CURRENT UNITS]]/SUM(INVESTORS_LIST[TOTAL CURRENT UNITS]),0)</f>
        <v>1.1111220354046644E-4</v>
      </c>
    </row>
    <row r="536" spans="1:49">
      <c r="A536" s="262" t="s">
        <v>1121</v>
      </c>
      <c r="B536" s="97" t="s">
        <v>1122</v>
      </c>
      <c r="C536" t="s">
        <v>44</v>
      </c>
      <c r="D536" s="75" t="s">
        <v>45</v>
      </c>
      <c r="E536" s="47">
        <f>SUMIFS(LS[Unit],LS[Investor ID],INVESTORS_LIST[[#This Row],[INVESTOR CODE]],LS[B/S],"B")</f>
        <v>154780</v>
      </c>
      <c r="F536" s="47">
        <f>-SUMIFS(LS[Unit],LS[Investor ID],INVESTORS_LIST[[#This Row],[INVESTOR CODE]],LS[B/S],"S")</f>
        <v>0</v>
      </c>
      <c r="G536" s="47">
        <f>IF(INVESTORS_LIST[[#This Row],[LS_TOTAL UNITS BUY]]=0,0,INVESTORS_LIST[[#This Row],[LS_TOTAL UNITS BUY]]-INVESTORS_LIST[[#This Row],[LS_TOTAL UNITS SOLD]])</f>
        <v>154780</v>
      </c>
      <c r="H536" s="49">
        <f>IF(INVESTORS_LIST[[#This Row],[LS_TOTAL UNITS BUY]]=0,0,SUMIFS(LS[Amount],LS[Investor ID],INVESTORS_LIST[[#This Row],[INVESTOR CODE]],LS[B/S],"B"))</f>
        <v>2170000</v>
      </c>
      <c r="I536" s="48">
        <f>IF(INVESTORS_LIST[[#This Row],[LS_TOTAL UNITS SOLD]]=0,0,SUMIFS(LS[Cost of Units Sold],LS[Investor ID],INVESTORS_LIST[[#This Row],[INVESTOR CODE]],LS[B/S],"S"))</f>
        <v>0</v>
      </c>
      <c r="J536" s="48">
        <f>IF(INVESTORS_LIST[[#This Row],[LS_TOTAL CURRENT UNITS]]=0,0,INVESTORS_LIST[[#This Row],[LS_TOTAL CURRENT UNITS]]*INVESTORS_LIST[[#This Row],[LS_AVERAGE COST]])</f>
        <v>2170000</v>
      </c>
      <c r="K536" s="49">
        <f>IF(INVESTORS_LIST[[#This Row],[LS_TOTAL UNITS SOLD]]=0,0,SUMIFS(LS[Realized Gain],LS[Investor ID],INVESTORS_LIST[[#This Row],[INVESTOR CODE]],LS[B/S],"S"))</f>
        <v>0</v>
      </c>
      <c r="L536" s="47">
        <f>SUMIFS(SIP[Unit],SIP[Investor ID],INVESTORS_LIST[[#This Row],[INVESTOR CODE]],SIP[B/S],"B")</f>
        <v>9327</v>
      </c>
      <c r="M536" s="47">
        <f>-SUMIFS(SIP[Unit],SIP[Investor ID],INVESTORS_LIST[[#This Row],[INVESTOR CODE]],SIP[B/S],"S")</f>
        <v>0</v>
      </c>
      <c r="N536" s="50">
        <f>IF(INVESTORS_LIST[[#This Row],[SIP_TOTAL UNITS BUY]]=0,0,INVESTORS_LIST[[#This Row],[SIP_TOTAL UNITS BUY]]-INVESTORS_LIST[[#This Row],[SIP_TOTAL UNITS SOLD]])</f>
        <v>9327</v>
      </c>
      <c r="O536" s="49">
        <f>IF(INVESTORS_LIST[[#This Row],[SIP_TOTAL UNITS BUY]]=0,0,SUMIFS(SIP[Amount],SIP[Investor ID],INVESTORS_LIST[[#This Row],[INVESTOR CODE]],SIP[B/S],"B"))</f>
        <v>115000</v>
      </c>
      <c r="P536" s="49">
        <f>IF(INVESTORS_LIST[[#This Row],[SIP_TOTAL UNITS SOLD]]=0,0,SUMIFS(SIP[Cost of Units Sold],SIP[Investor ID],INVESTORS_LIST[[#This Row],[INVESTOR CODE]],SIP[B/S],"S"))</f>
        <v>0</v>
      </c>
      <c r="Q536" s="48">
        <f>IF(INVESTORS_LIST[[#This Row],[SIP_TOTAL CURRENT UNITS]]=0,0,INVESTORS_LIST[[#This Row],[SIP_TOTAL CURRENT UNITS]]*INVESTORS_LIST[[#This Row],[SIP_AVERAGE COST]])</f>
        <v>114999.99999999997</v>
      </c>
      <c r="R536" s="48">
        <f>IF(INVESTORS_LIST[[#This Row],[SIP_TOTAL UNITS SOLD]]=0,0,SUMIFS(SIP[Realized Gain],SIP[Investor ID],INVESTORS_LIST[[#This Row],[INVESTOR CODE]],SIP[B/S],"S"))</f>
        <v>0</v>
      </c>
      <c r="S536" s="50">
        <f>INVESTORS_LIST[[#This Row],[LS_TOTAL UNITS BUY]]+INVESTORS_LIST[[#This Row],[SIP_TOTAL UNITS BUY]]</f>
        <v>164107</v>
      </c>
      <c r="T536" s="50">
        <f>INVESTORS_LIST[[#This Row],[LS_TOTAL UNITS SOLD]]+INVESTORS_LIST[[#This Row],[SIP_TOTAL UNITS SOLD]]</f>
        <v>0</v>
      </c>
      <c r="U536" s="50"/>
      <c r="V536" s="50">
        <f>SUMIFS(LS[BO UNIT TRANSFER],LS[Investor ID],INVESTORS_LIST[[#This Row],[INVESTOR CODE]],LS[B/S],"B")</f>
        <v>0</v>
      </c>
      <c r="W536" s="50">
        <f>SUMIFS(SIP[BO UNIT TRANSFER],SIP[Investor ID],INVESTORS_LIST[[#This Row],[INVESTOR CODE]],SIP[B/S],"B")</f>
        <v>0</v>
      </c>
      <c r="X536" s="50">
        <f>SUMIFS(LS[BO UNIT TRANSFER],LS[Investor ID],INVESTORS_LIST[[#This Row],[INVESTOR CODE]],LS[B/S],"S")</f>
        <v>0</v>
      </c>
      <c r="Y536" s="50">
        <f>SUMIFS(SIP[BO UNIT TRANSFER],SIP[Investor ID],INVESTORS_LIST[[#This Row],[INVESTOR CODE]],SIP[B/S],"S")</f>
        <v>0</v>
      </c>
      <c r="Z536" s="106">
        <f>SUM(INVESTORS_LIST[[#This Row],[BO OPENING BALANCE]:[BO SIP UNITS REPURCHASE]])</f>
        <v>0</v>
      </c>
      <c r="AA536" s="107">
        <f>INVESTORS_LIST[[#This Row],[TOTAL UNITS BUY]]-INVESTORS_LIST[[#This Row],[TOTAL UNITS SOLD]]</f>
        <v>164107</v>
      </c>
      <c r="AB536" s="107">
        <f>INVESTORS_LIST[[#This Row],[TOTAL CURRENT UNITS]]-INVESTORS_LIST[[#This Row],[BO UNITS HOLD]]</f>
        <v>164107</v>
      </c>
      <c r="AC536" s="201" t="e">
        <f>INDEX([3]!Table_1[BO ID],MATCH(INVESTORS_LIST[[#This Row],[INVESTOR CODE]],[3]!Table_1[INVESTOR CODE],0))</f>
        <v>#REF!</v>
      </c>
      <c r="AD536" s="201" t="e">
        <f>INDEX([3]!Table_1[Brokerage Name2],MATCH(INVESTORS_LIST[[#This Row],[INVESTOR CODE]],[3]!Table_1[INVESTOR CODE],0))</f>
        <v>#REF!</v>
      </c>
      <c r="AE536" s="201" t="e">
        <f>MID(INVESTORS_LIST[[#This Row],[BO ID]],4,5)</f>
        <v>#REF!</v>
      </c>
      <c r="AF536" s="201" t="e">
        <f>MID(INVESTORS_LIST[[#This Row],[BO ID]],2,7)</f>
        <v>#REF!</v>
      </c>
      <c r="AG536" s="201" t="e">
        <f>MID(INVESTORS_LIST[[#This Row],[BO ID]],9,7)</f>
        <v>#REF!</v>
      </c>
      <c r="AH536" s="201" t="e">
        <f>RIGHT(INVESTORS_LIST[[#This Row],[BO ID]],1)</f>
        <v>#REF!</v>
      </c>
      <c r="AI536" s="50">
        <f>INVESTORS_LIST[[#This Row],[LS_TOTAL COST VALUE OF CURRENT UNITS]]+INVESTORS_LIST[[#This Row],[SIP_TOTAL COST VALUE OF CURRENT UNITS]]</f>
        <v>2285000</v>
      </c>
      <c r="AJ536" s="109">
        <f>IF(INVESTORS_LIST[[#This Row],[TOTAL CURRENT UNITS]]=0,0,INVESTORS_LIST[[#This Row],[LS_TOTAL CURRENT UNITS]]/INVESTORS_LIST[[#This Row],[TOTAL CURRENT UNITS]])</f>
        <v>0.94316513006757785</v>
      </c>
      <c r="AK536" s="109">
        <f>IF(INVESTORS_LIST[[#This Row],[TOTAL CURRENT UNITS]]=0,0,INVESTORS_LIST[[#This Row],[SIP_TOTAL CURRENT UNITS]]/INVESTORS_LIST[[#This Row],[TOTAL CURRENT UNITS]])</f>
        <v>5.6834869932422143E-2</v>
      </c>
      <c r="AL536" s="49" cm="1">
        <f t="array" ref="AL536">IF(INVESTORS_LIST[[#This Row],[LS_TOTAL UNITS BUY]]&gt;0,INDEX(LS[NAV at Cost (Average)],MATCH(CONCATENATE(COUNTIFS(LS[Investor ID],INVESTORS_LIST[[#This Row],[INVESTOR CODE]]),INVESTORS_LIST[[#This Row],[INVESTOR CODE]]),LS[Unique Code],0),),0)</f>
        <v>14.01989921178447</v>
      </c>
      <c r="AM536" s="49" cm="1">
        <f t="array" ref="AM536">IF(INVESTORS_LIST[[#This Row],[SIP_TOTAL UNITS BUY]]&gt;0,INDEX(SIP[NAV at Cost (Average)],MATCH(CONCATENATE(COUNTIFS(SIP[Investor ID],INVESTORS_LIST[[#This Row],[INVESTOR CODE]]),INVESTORS_LIST[[#This Row],[INVESTOR CODE]]),SIP[Unique Code],0),),0)</f>
        <v>12.329795218183765</v>
      </c>
      <c r="AN536" s="105">
        <f>IF(INVESTORS_LIST[[#This Row],[TOTAL CURRENT UNITS]]=0,0,(INVESTORS_LIST[[#This Row],[LS_WEIGHT]]*INVESTORS_LIST[[#This Row],[LS_AVERAGE COST]])+(INVESTORS_LIST[[#This Row],[SIP_WEIGHT]]*INVESTORS_LIST[[#This Row],[SIP_AVERAGE COST]]))</f>
        <v>13.923842371135907</v>
      </c>
      <c r="AO536" s="105">
        <f t="shared" si="9"/>
        <v>14.224</v>
      </c>
      <c r="AP536" s="112">
        <f>IF(INVESTORS_LIST[[#This Row],[TOTAL CURRENT UNITS]]=0,0,INVESTORS_LIST[[#This Row],[TOTAL CURRENT UNITS]]*INVESTORS_LIST[[#This Row],[NAV]])</f>
        <v>2334257.9679999999</v>
      </c>
      <c r="AQ536" s="49">
        <f>IF(INVESTORS_LIST[[#This Row],[LS_TOTAL CURRENT UNITS]]=0,0,INVESTORS_LIST[[#This Row],[LS_TOTAL CURRENT UNITS]]*INVESTORS_LIST[[#This Row],[NAV]])</f>
        <v>2201590.7200000002</v>
      </c>
      <c r="AR536" s="48">
        <f>IF(INVESTORS_LIST[[#This Row],[SIP_TOTAL CURRENT UNITS]]=0,0,INVESTORS_LIST[[#This Row],[SIP_TOTAL CURRENT UNITS]]*INVESTORS_LIST[[#This Row],[NAV]])</f>
        <v>132667.24799999999</v>
      </c>
      <c r="AS536" s="50">
        <f>INVESTORS_LIST[[#This Row],[TOTAL CURRENT UNITS]]</f>
        <v>164107</v>
      </c>
      <c r="AT536" s="48">
        <f>IF(INVESTORS_LIST[[#This Row],[TOTAL SELLABLE UNITS]]=0,0,INVESTORS_LIST[[#This Row],[TOTAL SELLABLE UNITS]]*INVESTORS_LIST[[#This Row],[NAV]])</f>
        <v>2334257.9679999999</v>
      </c>
      <c r="AU536" s="48">
        <f>INVESTORS_LIST[[#This Row],[LS_TOTAL REALIZED GAIN]]+INVESTORS_LIST[[#This Row],[SIP_TOTAL REALIZED GAIN]]</f>
        <v>0</v>
      </c>
      <c r="AV536" s="48">
        <f>INVESTORS_LIST[[#This Row],[TOTAL MARKET VALUE]]-INVESTORS_LIST[[#This Row],[TOTAL COST VALUE OF CURRENT INVESTMENT]]</f>
        <v>49257.967999999877</v>
      </c>
      <c r="AW536" s="48">
        <f>IFERROR(INVESTORS_LIST[[#This Row],[TOTAL CURRENT UNITS]]/SUM(INVESTORS_LIST[TOTAL CURRENT UNITS]),0)</f>
        <v>3.9838956492058829E-3</v>
      </c>
    </row>
    <row r="537" spans="1:49" hidden="1">
      <c r="A537" s="262" t="s">
        <v>1123</v>
      </c>
      <c r="B537" s="97" t="s">
        <v>1124</v>
      </c>
      <c r="C537" t="s">
        <v>48</v>
      </c>
      <c r="D537" s="75" t="s">
        <v>49</v>
      </c>
      <c r="E537" s="47">
        <f>SUMIFS(LS[Unit],LS[Investor ID],INVESTORS_LIST[[#This Row],[INVESTOR CODE]],LS[B/S],"B")</f>
        <v>580638</v>
      </c>
      <c r="F537" s="47">
        <f>-SUMIFS(LS[Unit],LS[Investor ID],INVESTORS_LIST[[#This Row],[INVESTOR CODE]],LS[B/S],"S")</f>
        <v>580638</v>
      </c>
      <c r="G537" s="47">
        <f>IF(INVESTORS_LIST[[#This Row],[LS_TOTAL UNITS BUY]]=0,0,INVESTORS_LIST[[#This Row],[LS_TOTAL UNITS BUY]]-INVESTORS_LIST[[#This Row],[LS_TOTAL UNITS SOLD]])</f>
        <v>0</v>
      </c>
      <c r="H537" s="49">
        <f>IF(INVESTORS_LIST[[#This Row],[LS_TOTAL UNITS BUY]]=0,0,SUMIFS(LS[Amount],LS[Investor ID],INVESTORS_LIST[[#This Row],[INVESTOR CODE]],LS[B/S],"B"))</f>
        <v>6500000</v>
      </c>
      <c r="I537" s="48">
        <f>IF(INVESTORS_LIST[[#This Row],[LS_TOTAL UNITS SOLD]]=0,0,SUMIFS(LS[Cost of Units Sold],LS[Investor ID],INVESTORS_LIST[[#This Row],[INVESTOR CODE]],LS[B/S],"S"))</f>
        <v>6500000</v>
      </c>
      <c r="J537" s="48">
        <f>IF(INVESTORS_LIST[[#This Row],[LS_TOTAL CURRENT UNITS]]=0,0,INVESTORS_LIST[[#This Row],[LS_TOTAL CURRENT UNITS]]*INVESTORS_LIST[[#This Row],[LS_AVERAGE COST]])</f>
        <v>0</v>
      </c>
      <c r="K537" s="49">
        <f>IF(INVESTORS_LIST[[#This Row],[LS_TOTAL UNITS SOLD]]=0,0,SUMIFS(LS[Realized Gain],LS[Investor ID],INVESTORS_LIST[[#This Row],[INVESTOR CODE]],LS[B/S],"S"))</f>
        <v>872683.96999999986</v>
      </c>
      <c r="L537" s="47">
        <f>SUMIFS(SIP[Unit],SIP[Investor ID],INVESTORS_LIST[[#This Row],[INVESTOR CODE]],SIP[B/S],"B")</f>
        <v>0</v>
      </c>
      <c r="M537" s="47">
        <f>-SUMIFS(SIP[Unit],SIP[Investor ID],INVESTORS_LIST[[#This Row],[INVESTOR CODE]],SIP[B/S],"S")</f>
        <v>0</v>
      </c>
      <c r="N537" s="50">
        <f>IF(INVESTORS_LIST[[#This Row],[SIP_TOTAL UNITS BUY]]=0,0,INVESTORS_LIST[[#This Row],[SIP_TOTAL UNITS BUY]]-INVESTORS_LIST[[#This Row],[SIP_TOTAL UNITS SOLD]])</f>
        <v>0</v>
      </c>
      <c r="O537" s="49">
        <f>IF(INVESTORS_LIST[[#This Row],[SIP_TOTAL UNITS BUY]]=0,0,SUMIFS(SIP[Amount],SIP[Investor ID],INVESTORS_LIST[[#This Row],[INVESTOR CODE]],SIP[B/S],"B"))</f>
        <v>0</v>
      </c>
      <c r="P537" s="49">
        <f>IF(INVESTORS_LIST[[#This Row],[SIP_TOTAL UNITS SOLD]]=0,0,SUMIFS(SIP[Cost of Units Sold],SIP[Investor ID],INVESTORS_LIST[[#This Row],[INVESTOR CODE]],SIP[B/S],"S"))</f>
        <v>0</v>
      </c>
      <c r="Q537" s="48">
        <f>IF(INVESTORS_LIST[[#This Row],[SIP_TOTAL CURRENT UNITS]]=0,0,INVESTORS_LIST[[#This Row],[SIP_TOTAL CURRENT UNITS]]*INVESTORS_LIST[[#This Row],[SIP_AVERAGE COST]])</f>
        <v>0</v>
      </c>
      <c r="R537" s="48">
        <f>IF(INVESTORS_LIST[[#This Row],[SIP_TOTAL UNITS SOLD]]=0,0,SUMIFS(SIP[Realized Gain],SIP[Investor ID],INVESTORS_LIST[[#This Row],[INVESTOR CODE]],SIP[B/S],"S"))</f>
        <v>0</v>
      </c>
      <c r="S537" s="50">
        <f>INVESTORS_LIST[[#This Row],[LS_TOTAL UNITS BUY]]+INVESTORS_LIST[[#This Row],[SIP_TOTAL UNITS BUY]]</f>
        <v>580638</v>
      </c>
      <c r="T537" s="50">
        <f>INVESTORS_LIST[[#This Row],[LS_TOTAL UNITS SOLD]]+INVESTORS_LIST[[#This Row],[SIP_TOTAL UNITS SOLD]]</f>
        <v>580638</v>
      </c>
      <c r="U537" s="50"/>
      <c r="V537" s="50">
        <f>SUMIFS(LS[BO UNIT TRANSFER],LS[Investor ID],INVESTORS_LIST[[#This Row],[INVESTOR CODE]],LS[B/S],"B")</f>
        <v>0</v>
      </c>
      <c r="W537" s="50">
        <f>SUMIFS(SIP[BO UNIT TRANSFER],SIP[Investor ID],INVESTORS_LIST[[#This Row],[INVESTOR CODE]],SIP[B/S],"B")</f>
        <v>0</v>
      </c>
      <c r="X537" s="50">
        <f>SUMIFS(LS[BO UNIT TRANSFER],LS[Investor ID],INVESTORS_LIST[[#This Row],[INVESTOR CODE]],LS[B/S],"S")</f>
        <v>0</v>
      </c>
      <c r="Y537" s="50">
        <f>SUMIFS(SIP[BO UNIT TRANSFER],SIP[Investor ID],INVESTORS_LIST[[#This Row],[INVESTOR CODE]],SIP[B/S],"S")</f>
        <v>0</v>
      </c>
      <c r="Z537" s="106">
        <f>SUM(INVESTORS_LIST[[#This Row],[BO OPENING BALANCE]:[BO SIP UNITS REPURCHASE]])</f>
        <v>0</v>
      </c>
      <c r="AA537" s="107">
        <f>INVESTORS_LIST[[#This Row],[TOTAL UNITS BUY]]-INVESTORS_LIST[[#This Row],[TOTAL UNITS SOLD]]</f>
        <v>0</v>
      </c>
      <c r="AB537" s="107">
        <f>INVESTORS_LIST[[#This Row],[TOTAL CURRENT UNITS]]-INVESTORS_LIST[[#This Row],[BO UNITS HOLD]]</f>
        <v>0</v>
      </c>
      <c r="AC537" s="201" t="e">
        <f>INDEX([3]!Table_1[BO ID],MATCH(INVESTORS_LIST[[#This Row],[INVESTOR CODE]],[3]!Table_1[INVESTOR CODE],0))</f>
        <v>#REF!</v>
      </c>
      <c r="AD537" s="201" t="e">
        <f>INDEX([3]!Table_1[Brokerage Name2],MATCH(INVESTORS_LIST[[#This Row],[INVESTOR CODE]],[3]!Table_1[INVESTOR CODE],0))</f>
        <v>#REF!</v>
      </c>
      <c r="AE537" s="201" t="e">
        <f>MID(INVESTORS_LIST[[#This Row],[BO ID]],4,5)</f>
        <v>#REF!</v>
      </c>
      <c r="AF537" s="201" t="e">
        <f>MID(INVESTORS_LIST[[#This Row],[BO ID]],2,7)</f>
        <v>#REF!</v>
      </c>
      <c r="AG537" s="201" t="e">
        <f>MID(INVESTORS_LIST[[#This Row],[BO ID]],9,7)</f>
        <v>#REF!</v>
      </c>
      <c r="AH537" s="201" t="e">
        <f>RIGHT(INVESTORS_LIST[[#This Row],[BO ID]],1)</f>
        <v>#REF!</v>
      </c>
      <c r="AI537" s="50">
        <f>INVESTORS_LIST[[#This Row],[LS_TOTAL COST VALUE OF CURRENT UNITS]]+INVESTORS_LIST[[#This Row],[SIP_TOTAL COST VALUE OF CURRENT UNITS]]</f>
        <v>0</v>
      </c>
      <c r="AJ537" s="109">
        <f>IF(INVESTORS_LIST[[#This Row],[TOTAL CURRENT UNITS]]=0,0,INVESTORS_LIST[[#This Row],[LS_TOTAL CURRENT UNITS]]/INVESTORS_LIST[[#This Row],[TOTAL CURRENT UNITS]])</f>
        <v>0</v>
      </c>
      <c r="AK537" s="109">
        <f>IF(INVESTORS_LIST[[#This Row],[TOTAL CURRENT UNITS]]=0,0,INVESTORS_LIST[[#This Row],[SIP_TOTAL CURRENT UNITS]]/INVESTORS_LIST[[#This Row],[TOTAL CURRENT UNITS]])</f>
        <v>0</v>
      </c>
      <c r="AL537" s="49" cm="1">
        <f t="array" ref="AL5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7" s="49" cm="1">
        <f t="array" ref="AM5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7" s="105">
        <f t="shared" si="9"/>
        <v>14.224</v>
      </c>
      <c r="AP537" s="112">
        <f>IF(INVESTORS_LIST[[#This Row],[TOTAL CURRENT UNITS]]=0,0,INVESTORS_LIST[[#This Row],[TOTAL CURRENT UNITS]]*INVESTORS_LIST[[#This Row],[NAV]])</f>
        <v>0</v>
      </c>
      <c r="AQ537" s="49">
        <f>IF(INVESTORS_LIST[[#This Row],[LS_TOTAL CURRENT UNITS]]=0,0,INVESTORS_LIST[[#This Row],[LS_TOTAL CURRENT UNITS]]*INVESTORS_LIST[[#This Row],[NAV]])</f>
        <v>0</v>
      </c>
      <c r="AR537" s="48">
        <f>IF(INVESTORS_LIST[[#This Row],[SIP_TOTAL CURRENT UNITS]]=0,0,INVESTORS_LIST[[#This Row],[SIP_TOTAL CURRENT UNITS]]*INVESTORS_LIST[[#This Row],[NAV]])</f>
        <v>0</v>
      </c>
      <c r="AS537" s="50">
        <f>INVESTORS_LIST[[#This Row],[TOTAL CURRENT UNITS]]</f>
        <v>0</v>
      </c>
      <c r="AT537" s="48">
        <f>IF(INVESTORS_LIST[[#This Row],[TOTAL SELLABLE UNITS]]=0,0,INVESTORS_LIST[[#This Row],[TOTAL SELLABLE UNITS]]*INVESTORS_LIST[[#This Row],[NAV]])</f>
        <v>0</v>
      </c>
      <c r="AU537" s="48">
        <f>INVESTORS_LIST[[#This Row],[LS_TOTAL REALIZED GAIN]]+INVESTORS_LIST[[#This Row],[SIP_TOTAL REALIZED GAIN]]</f>
        <v>872683.96999999986</v>
      </c>
      <c r="AV537" s="48">
        <f>INVESTORS_LIST[[#This Row],[TOTAL MARKET VALUE]]-INVESTORS_LIST[[#This Row],[TOTAL COST VALUE OF CURRENT INVESTMENT]]</f>
        <v>0</v>
      </c>
      <c r="AW537" s="48">
        <f>IFERROR(INVESTORS_LIST[[#This Row],[TOTAL CURRENT UNITS]]/SUM(INVESTORS_LIST[TOTAL CURRENT UNITS]),0)</f>
        <v>0</v>
      </c>
    </row>
    <row r="538" spans="1:49" hidden="1">
      <c r="A538" s="262" t="s">
        <v>1125</v>
      </c>
      <c r="B538" s="97" t="s">
        <v>1126</v>
      </c>
      <c r="C538" t="s">
        <v>44</v>
      </c>
      <c r="D538" s="75" t="s">
        <v>45</v>
      </c>
      <c r="E538" s="47">
        <f>SUMIFS(LS[Unit],LS[Investor ID],INVESTORS_LIST[[#This Row],[INVESTOR CODE]],LS[B/S],"B")</f>
        <v>397239</v>
      </c>
      <c r="F538" s="47">
        <f>-SUMIFS(LS[Unit],LS[Investor ID],INVESTORS_LIST[[#This Row],[INVESTOR CODE]],LS[B/S],"S")</f>
        <v>397239</v>
      </c>
      <c r="G538" s="47">
        <f>IF(INVESTORS_LIST[[#This Row],[LS_TOTAL UNITS BUY]]=0,0,INVESTORS_LIST[[#This Row],[LS_TOTAL UNITS BUY]]-INVESTORS_LIST[[#This Row],[LS_TOTAL UNITS SOLD]])</f>
        <v>0</v>
      </c>
      <c r="H538" s="49">
        <f>IF(INVESTORS_LIST[[#This Row],[LS_TOTAL UNITS BUY]]=0,0,SUMIFS(LS[Amount],LS[Investor ID],INVESTORS_LIST[[#This Row],[INVESTOR CODE]],LS[B/S],"B"))</f>
        <v>4500000</v>
      </c>
      <c r="I538" s="48">
        <f>IF(INVESTORS_LIST[[#This Row],[LS_TOTAL UNITS SOLD]]=0,0,SUMIFS(LS[Cost of Units Sold],LS[Investor ID],INVESTORS_LIST[[#This Row],[INVESTOR CODE]],LS[B/S],"S"))</f>
        <v>4500000</v>
      </c>
      <c r="J538" s="48">
        <f>IF(INVESTORS_LIST[[#This Row],[LS_TOTAL CURRENT UNITS]]=0,0,INVESTORS_LIST[[#This Row],[LS_TOTAL CURRENT UNITS]]*INVESTORS_LIST[[#This Row],[LS_AVERAGE COST]])</f>
        <v>0</v>
      </c>
      <c r="K538" s="49">
        <f>IF(INVESTORS_LIST[[#This Row],[LS_TOTAL UNITS SOLD]]=0,0,SUMIFS(LS[Realized Gain],LS[Investor ID],INVESTORS_LIST[[#This Row],[INVESTOR CODE]],LS[B/S],"S"))</f>
        <v>121723.58999999988</v>
      </c>
      <c r="L538" s="47">
        <f>SUMIFS(SIP[Unit],SIP[Investor ID],INVESTORS_LIST[[#This Row],[INVESTOR CODE]],SIP[B/S],"B")</f>
        <v>0</v>
      </c>
      <c r="M538" s="47">
        <f>-SUMIFS(SIP[Unit],SIP[Investor ID],INVESTORS_LIST[[#This Row],[INVESTOR CODE]],SIP[B/S],"S")</f>
        <v>0</v>
      </c>
      <c r="N538" s="50">
        <f>IF(INVESTORS_LIST[[#This Row],[SIP_TOTAL UNITS BUY]]=0,0,INVESTORS_LIST[[#This Row],[SIP_TOTAL UNITS BUY]]-INVESTORS_LIST[[#This Row],[SIP_TOTAL UNITS SOLD]])</f>
        <v>0</v>
      </c>
      <c r="O538" s="49">
        <f>IF(INVESTORS_LIST[[#This Row],[SIP_TOTAL UNITS BUY]]=0,0,SUMIFS(SIP[Amount],SIP[Investor ID],INVESTORS_LIST[[#This Row],[INVESTOR CODE]],SIP[B/S],"B"))</f>
        <v>0</v>
      </c>
      <c r="P538" s="49">
        <f>IF(INVESTORS_LIST[[#This Row],[SIP_TOTAL UNITS SOLD]]=0,0,SUMIFS(SIP[Cost of Units Sold],SIP[Investor ID],INVESTORS_LIST[[#This Row],[INVESTOR CODE]],SIP[B/S],"S"))</f>
        <v>0</v>
      </c>
      <c r="Q538" s="48">
        <f>IF(INVESTORS_LIST[[#This Row],[SIP_TOTAL CURRENT UNITS]]=0,0,INVESTORS_LIST[[#This Row],[SIP_TOTAL CURRENT UNITS]]*INVESTORS_LIST[[#This Row],[SIP_AVERAGE COST]])</f>
        <v>0</v>
      </c>
      <c r="R538" s="48">
        <f>IF(INVESTORS_LIST[[#This Row],[SIP_TOTAL UNITS SOLD]]=0,0,SUMIFS(SIP[Realized Gain],SIP[Investor ID],INVESTORS_LIST[[#This Row],[INVESTOR CODE]],SIP[B/S],"S"))</f>
        <v>0</v>
      </c>
      <c r="S538" s="50">
        <f>INVESTORS_LIST[[#This Row],[LS_TOTAL UNITS BUY]]+INVESTORS_LIST[[#This Row],[SIP_TOTAL UNITS BUY]]</f>
        <v>397239</v>
      </c>
      <c r="T538" s="50">
        <f>INVESTORS_LIST[[#This Row],[LS_TOTAL UNITS SOLD]]+INVESTORS_LIST[[#This Row],[SIP_TOTAL UNITS SOLD]]</f>
        <v>397239</v>
      </c>
      <c r="U538" s="50"/>
      <c r="V538" s="50">
        <f>SUMIFS(LS[BO UNIT TRANSFER],LS[Investor ID],INVESTORS_LIST[[#This Row],[INVESTOR CODE]],LS[B/S],"B")</f>
        <v>0</v>
      </c>
      <c r="W538" s="50">
        <f>SUMIFS(SIP[BO UNIT TRANSFER],SIP[Investor ID],INVESTORS_LIST[[#This Row],[INVESTOR CODE]],SIP[B/S],"B")</f>
        <v>0</v>
      </c>
      <c r="X538" s="50">
        <f>SUMIFS(LS[BO UNIT TRANSFER],LS[Investor ID],INVESTORS_LIST[[#This Row],[INVESTOR CODE]],LS[B/S],"S")</f>
        <v>0</v>
      </c>
      <c r="Y538" s="50">
        <f>SUMIFS(SIP[BO UNIT TRANSFER],SIP[Investor ID],INVESTORS_LIST[[#This Row],[INVESTOR CODE]],SIP[B/S],"S")</f>
        <v>0</v>
      </c>
      <c r="Z538" s="106">
        <f>SUM(INVESTORS_LIST[[#This Row],[BO OPENING BALANCE]:[BO SIP UNITS REPURCHASE]])</f>
        <v>0</v>
      </c>
      <c r="AA538" s="107">
        <f>INVESTORS_LIST[[#This Row],[TOTAL UNITS BUY]]-INVESTORS_LIST[[#This Row],[TOTAL UNITS SOLD]]</f>
        <v>0</v>
      </c>
      <c r="AB538" s="107">
        <f>INVESTORS_LIST[[#This Row],[TOTAL CURRENT UNITS]]-INVESTORS_LIST[[#This Row],[BO UNITS HOLD]]</f>
        <v>0</v>
      </c>
      <c r="AC538" s="201" t="e">
        <f>INDEX([3]!Table_1[BO ID],MATCH(INVESTORS_LIST[[#This Row],[INVESTOR CODE]],[3]!Table_1[INVESTOR CODE],0))</f>
        <v>#REF!</v>
      </c>
      <c r="AD538" s="201" t="e">
        <f>INDEX([3]!Table_1[Brokerage Name2],MATCH(INVESTORS_LIST[[#This Row],[INVESTOR CODE]],[3]!Table_1[INVESTOR CODE],0))</f>
        <v>#REF!</v>
      </c>
      <c r="AE538" s="201" t="e">
        <f>MID(INVESTORS_LIST[[#This Row],[BO ID]],4,5)</f>
        <v>#REF!</v>
      </c>
      <c r="AF538" s="201" t="e">
        <f>MID(INVESTORS_LIST[[#This Row],[BO ID]],2,7)</f>
        <v>#REF!</v>
      </c>
      <c r="AG538" s="201" t="e">
        <f>MID(INVESTORS_LIST[[#This Row],[BO ID]],9,7)</f>
        <v>#REF!</v>
      </c>
      <c r="AH538" s="201" t="e">
        <f>RIGHT(INVESTORS_LIST[[#This Row],[BO ID]],1)</f>
        <v>#REF!</v>
      </c>
      <c r="AI538" s="50">
        <f>INVESTORS_LIST[[#This Row],[LS_TOTAL COST VALUE OF CURRENT UNITS]]+INVESTORS_LIST[[#This Row],[SIP_TOTAL COST VALUE OF CURRENT UNITS]]</f>
        <v>0</v>
      </c>
      <c r="AJ538" s="109">
        <f>IF(INVESTORS_LIST[[#This Row],[TOTAL CURRENT UNITS]]=0,0,INVESTORS_LIST[[#This Row],[LS_TOTAL CURRENT UNITS]]/INVESTORS_LIST[[#This Row],[TOTAL CURRENT UNITS]])</f>
        <v>0</v>
      </c>
      <c r="AK538" s="109">
        <f>IF(INVESTORS_LIST[[#This Row],[TOTAL CURRENT UNITS]]=0,0,INVESTORS_LIST[[#This Row],[SIP_TOTAL CURRENT UNITS]]/INVESTORS_LIST[[#This Row],[TOTAL CURRENT UNITS]])</f>
        <v>0</v>
      </c>
      <c r="AL538" s="49" cm="1">
        <f t="array" ref="AL5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38" s="49" cm="1">
        <f t="array" ref="AM5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38" s="105">
        <f t="shared" si="9"/>
        <v>14.224</v>
      </c>
      <c r="AP538" s="112">
        <f>IF(INVESTORS_LIST[[#This Row],[TOTAL CURRENT UNITS]]=0,0,INVESTORS_LIST[[#This Row],[TOTAL CURRENT UNITS]]*INVESTORS_LIST[[#This Row],[NAV]])</f>
        <v>0</v>
      </c>
      <c r="AQ538" s="49">
        <f>IF(INVESTORS_LIST[[#This Row],[LS_TOTAL CURRENT UNITS]]=0,0,INVESTORS_LIST[[#This Row],[LS_TOTAL CURRENT UNITS]]*INVESTORS_LIST[[#This Row],[NAV]])</f>
        <v>0</v>
      </c>
      <c r="AR538" s="48">
        <f>IF(INVESTORS_LIST[[#This Row],[SIP_TOTAL CURRENT UNITS]]=0,0,INVESTORS_LIST[[#This Row],[SIP_TOTAL CURRENT UNITS]]*INVESTORS_LIST[[#This Row],[NAV]])</f>
        <v>0</v>
      </c>
      <c r="AS538" s="50">
        <f>INVESTORS_LIST[[#This Row],[TOTAL CURRENT UNITS]]</f>
        <v>0</v>
      </c>
      <c r="AT538" s="48">
        <f>IF(INVESTORS_LIST[[#This Row],[TOTAL SELLABLE UNITS]]=0,0,INVESTORS_LIST[[#This Row],[TOTAL SELLABLE UNITS]]*INVESTORS_LIST[[#This Row],[NAV]])</f>
        <v>0</v>
      </c>
      <c r="AU538" s="48">
        <f>INVESTORS_LIST[[#This Row],[LS_TOTAL REALIZED GAIN]]+INVESTORS_LIST[[#This Row],[SIP_TOTAL REALIZED GAIN]]</f>
        <v>121723.58999999988</v>
      </c>
      <c r="AV538" s="48">
        <f>INVESTORS_LIST[[#This Row],[TOTAL MARKET VALUE]]-INVESTORS_LIST[[#This Row],[TOTAL COST VALUE OF CURRENT INVESTMENT]]</f>
        <v>0</v>
      </c>
      <c r="AW538" s="48">
        <f>IFERROR(INVESTORS_LIST[[#This Row],[TOTAL CURRENT UNITS]]/SUM(INVESTORS_LIST[TOTAL CURRENT UNITS]),0)</f>
        <v>0</v>
      </c>
    </row>
    <row r="539" spans="1:49">
      <c r="A539" s="262" t="s">
        <v>1127</v>
      </c>
      <c r="B539" s="97" t="s">
        <v>1128</v>
      </c>
      <c r="C539" t="s">
        <v>44</v>
      </c>
      <c r="D539" s="75" t="s">
        <v>45</v>
      </c>
      <c r="E539" s="47">
        <f>SUMIFS(LS[Unit],LS[Investor ID],INVESTORS_LIST[[#This Row],[INVESTOR CODE]],LS[B/S],"B")</f>
        <v>181604</v>
      </c>
      <c r="F539" s="47">
        <f>-SUMIFS(LS[Unit],LS[Investor ID],INVESTORS_LIST[[#This Row],[INVESTOR CODE]],LS[B/S],"S")</f>
        <v>0</v>
      </c>
      <c r="G539" s="47">
        <f>IF(INVESTORS_LIST[[#This Row],[LS_TOTAL UNITS BUY]]=0,0,INVESTORS_LIST[[#This Row],[LS_TOTAL UNITS BUY]]-INVESTORS_LIST[[#This Row],[LS_TOTAL UNITS SOLD]])</f>
        <v>181604</v>
      </c>
      <c r="H539" s="49">
        <f>IF(INVESTORS_LIST[[#This Row],[LS_TOTAL UNITS BUY]]=0,0,SUMIFS(LS[Amount],LS[Investor ID],INVESTORS_LIST[[#This Row],[INVESTOR CODE]],LS[B/S],"B"))</f>
        <v>2000000</v>
      </c>
      <c r="I539" s="48">
        <f>IF(INVESTORS_LIST[[#This Row],[LS_TOTAL UNITS SOLD]]=0,0,SUMIFS(LS[Cost of Units Sold],LS[Investor ID],INVESTORS_LIST[[#This Row],[INVESTOR CODE]],LS[B/S],"S"))</f>
        <v>0</v>
      </c>
      <c r="J539" s="48">
        <f>IF(INVESTORS_LIST[[#This Row],[LS_TOTAL CURRENT UNITS]]=0,0,INVESTORS_LIST[[#This Row],[LS_TOTAL CURRENT UNITS]]*INVESTORS_LIST[[#This Row],[LS_AVERAGE COST]])</f>
        <v>2000000</v>
      </c>
      <c r="K539" s="49">
        <f>IF(INVESTORS_LIST[[#This Row],[LS_TOTAL UNITS SOLD]]=0,0,SUMIFS(LS[Realized Gain],LS[Investor ID],INVESTORS_LIST[[#This Row],[INVESTOR CODE]],LS[B/S],"S"))</f>
        <v>0</v>
      </c>
      <c r="L539" s="47">
        <f>SUMIFS(SIP[Unit],SIP[Investor ID],INVESTORS_LIST[[#This Row],[INVESTOR CODE]],SIP[B/S],"B")</f>
        <v>0</v>
      </c>
      <c r="M539" s="47">
        <f>-SUMIFS(SIP[Unit],SIP[Investor ID],INVESTORS_LIST[[#This Row],[INVESTOR CODE]],SIP[B/S],"S")</f>
        <v>0</v>
      </c>
      <c r="N539" s="50">
        <f>IF(INVESTORS_LIST[[#This Row],[SIP_TOTAL UNITS BUY]]=0,0,INVESTORS_LIST[[#This Row],[SIP_TOTAL UNITS BUY]]-INVESTORS_LIST[[#This Row],[SIP_TOTAL UNITS SOLD]])</f>
        <v>0</v>
      </c>
      <c r="O539" s="49">
        <f>IF(INVESTORS_LIST[[#This Row],[SIP_TOTAL UNITS BUY]]=0,0,SUMIFS(SIP[Amount],SIP[Investor ID],INVESTORS_LIST[[#This Row],[INVESTOR CODE]],SIP[B/S],"B"))</f>
        <v>0</v>
      </c>
      <c r="P539" s="49">
        <f>IF(INVESTORS_LIST[[#This Row],[SIP_TOTAL UNITS SOLD]]=0,0,SUMIFS(SIP[Cost of Units Sold],SIP[Investor ID],INVESTORS_LIST[[#This Row],[INVESTOR CODE]],SIP[B/S],"S"))</f>
        <v>0</v>
      </c>
      <c r="Q539" s="48">
        <f>IF(INVESTORS_LIST[[#This Row],[SIP_TOTAL CURRENT UNITS]]=0,0,INVESTORS_LIST[[#This Row],[SIP_TOTAL CURRENT UNITS]]*INVESTORS_LIST[[#This Row],[SIP_AVERAGE COST]])</f>
        <v>0</v>
      </c>
      <c r="R539" s="48">
        <f>IF(INVESTORS_LIST[[#This Row],[SIP_TOTAL UNITS SOLD]]=0,0,SUMIFS(SIP[Realized Gain],SIP[Investor ID],INVESTORS_LIST[[#This Row],[INVESTOR CODE]],SIP[B/S],"S"))</f>
        <v>0</v>
      </c>
      <c r="S539" s="50">
        <f>INVESTORS_LIST[[#This Row],[LS_TOTAL UNITS BUY]]+INVESTORS_LIST[[#This Row],[SIP_TOTAL UNITS BUY]]</f>
        <v>181604</v>
      </c>
      <c r="T539" s="50">
        <f>INVESTORS_LIST[[#This Row],[LS_TOTAL UNITS SOLD]]+INVESTORS_LIST[[#This Row],[SIP_TOTAL UNITS SOLD]]</f>
        <v>0</v>
      </c>
      <c r="U539" s="50">
        <v>181604</v>
      </c>
      <c r="V539" s="50">
        <f>SUMIFS(LS[BO UNIT TRANSFER],LS[Investor ID],INVESTORS_LIST[[#This Row],[INVESTOR CODE]],LS[B/S],"B")</f>
        <v>0</v>
      </c>
      <c r="W539" s="50">
        <f>SUMIFS(SIP[BO UNIT TRANSFER],SIP[Investor ID],INVESTORS_LIST[[#This Row],[INVESTOR CODE]],SIP[B/S],"B")</f>
        <v>0</v>
      </c>
      <c r="X539" s="50">
        <f>SUMIFS(LS[BO UNIT TRANSFER],LS[Investor ID],INVESTORS_LIST[[#This Row],[INVESTOR CODE]],LS[B/S],"S")</f>
        <v>0</v>
      </c>
      <c r="Y539" s="50">
        <f>SUMIFS(SIP[BO UNIT TRANSFER],SIP[Investor ID],INVESTORS_LIST[[#This Row],[INVESTOR CODE]],SIP[B/S],"S")</f>
        <v>0</v>
      </c>
      <c r="Z539" s="106">
        <f>SUM(INVESTORS_LIST[[#This Row],[BO OPENING BALANCE]:[BO SIP UNITS REPURCHASE]])</f>
        <v>181604</v>
      </c>
      <c r="AA539" s="107">
        <f>INVESTORS_LIST[[#This Row],[TOTAL UNITS BUY]]-INVESTORS_LIST[[#This Row],[TOTAL UNITS SOLD]]</f>
        <v>181604</v>
      </c>
      <c r="AB539" s="107">
        <f>INVESTORS_LIST[[#This Row],[TOTAL CURRENT UNITS]]-INVESTORS_LIST[[#This Row],[BO UNITS HOLD]]</f>
        <v>0</v>
      </c>
      <c r="AC539" s="201" t="e">
        <f>INDEX([3]!Table_1[BO ID],MATCH(INVESTORS_LIST[[#This Row],[INVESTOR CODE]],[3]!Table_1[INVESTOR CODE],0))</f>
        <v>#REF!</v>
      </c>
      <c r="AD539" s="201" t="e">
        <f>INDEX([3]!Table_1[Brokerage Name2],MATCH(INVESTORS_LIST[[#This Row],[INVESTOR CODE]],[3]!Table_1[INVESTOR CODE],0))</f>
        <v>#REF!</v>
      </c>
      <c r="AE539" s="201" t="e">
        <f>MID(INVESTORS_LIST[[#This Row],[BO ID]],4,5)</f>
        <v>#REF!</v>
      </c>
      <c r="AF539" s="201" t="e">
        <f>MID(INVESTORS_LIST[[#This Row],[BO ID]],2,7)</f>
        <v>#REF!</v>
      </c>
      <c r="AG539" s="201" t="e">
        <f>MID(INVESTORS_LIST[[#This Row],[BO ID]],9,7)</f>
        <v>#REF!</v>
      </c>
      <c r="AH539" s="201" t="e">
        <f>RIGHT(INVESTORS_LIST[[#This Row],[BO ID]],1)</f>
        <v>#REF!</v>
      </c>
      <c r="AI539" s="50">
        <f>INVESTORS_LIST[[#This Row],[LS_TOTAL COST VALUE OF CURRENT UNITS]]+INVESTORS_LIST[[#This Row],[SIP_TOTAL COST VALUE OF CURRENT UNITS]]</f>
        <v>2000000</v>
      </c>
      <c r="AJ539" s="109">
        <f>IF(INVESTORS_LIST[[#This Row],[TOTAL CURRENT UNITS]]=0,0,INVESTORS_LIST[[#This Row],[LS_TOTAL CURRENT UNITS]]/INVESTORS_LIST[[#This Row],[TOTAL CURRENT UNITS]])</f>
        <v>1</v>
      </c>
      <c r="AK539" s="109">
        <f>IF(INVESTORS_LIST[[#This Row],[TOTAL CURRENT UNITS]]=0,0,INVESTORS_LIST[[#This Row],[SIP_TOTAL CURRENT UNITS]]/INVESTORS_LIST[[#This Row],[TOTAL CURRENT UNITS]])</f>
        <v>0</v>
      </c>
      <c r="AL539" s="49" cm="1">
        <f t="array" ref="AL539">IF(INVESTORS_LIST[[#This Row],[LS_TOTAL UNITS BUY]]&gt;0,INDEX(LS[NAV at Cost (Average)],MATCH(CONCATENATE(COUNTIFS(LS[Investor ID],INVESTORS_LIST[[#This Row],[INVESTOR CODE]]),INVESTORS_LIST[[#This Row],[INVESTOR CODE]]),LS[Unique Code],0),),0)</f>
        <v>11.012973282526817</v>
      </c>
      <c r="AM539" s="49" cm="1">
        <f t="array" ref="AM5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39" s="105">
        <f>IF(INVESTORS_LIST[[#This Row],[TOTAL CURRENT UNITS]]=0,0,(INVESTORS_LIST[[#This Row],[LS_WEIGHT]]*INVESTORS_LIST[[#This Row],[LS_AVERAGE COST]])+(INVESTORS_LIST[[#This Row],[SIP_WEIGHT]]*INVESTORS_LIST[[#This Row],[SIP_AVERAGE COST]]))</f>
        <v>11.012973282526817</v>
      </c>
      <c r="AO539" s="105">
        <f t="shared" si="9"/>
        <v>14.224</v>
      </c>
      <c r="AP539" s="112">
        <f>IF(INVESTORS_LIST[[#This Row],[TOTAL CURRENT UNITS]]=0,0,INVESTORS_LIST[[#This Row],[TOTAL CURRENT UNITS]]*INVESTORS_LIST[[#This Row],[NAV]])</f>
        <v>2583135.2960000001</v>
      </c>
      <c r="AQ539" s="49">
        <f>IF(INVESTORS_LIST[[#This Row],[LS_TOTAL CURRENT UNITS]]=0,0,INVESTORS_LIST[[#This Row],[LS_TOTAL CURRENT UNITS]]*INVESTORS_LIST[[#This Row],[NAV]])</f>
        <v>2583135.2960000001</v>
      </c>
      <c r="AR539" s="48">
        <f>IF(INVESTORS_LIST[[#This Row],[SIP_TOTAL CURRENT UNITS]]=0,0,INVESTORS_LIST[[#This Row],[SIP_TOTAL CURRENT UNITS]]*INVESTORS_LIST[[#This Row],[NAV]])</f>
        <v>0</v>
      </c>
      <c r="AS539" s="50">
        <f>INVESTORS_LIST[[#This Row],[TOTAL CURRENT UNITS]]</f>
        <v>181604</v>
      </c>
      <c r="AT539" s="48">
        <f>IF(INVESTORS_LIST[[#This Row],[TOTAL SELLABLE UNITS]]=0,0,INVESTORS_LIST[[#This Row],[TOTAL SELLABLE UNITS]]*INVESTORS_LIST[[#This Row],[NAV]])</f>
        <v>2583135.2960000001</v>
      </c>
      <c r="AU539" s="48">
        <f>INVESTORS_LIST[[#This Row],[LS_TOTAL REALIZED GAIN]]+INVESTORS_LIST[[#This Row],[SIP_TOTAL REALIZED GAIN]]</f>
        <v>0</v>
      </c>
      <c r="AV539" s="48">
        <f>INVESTORS_LIST[[#This Row],[TOTAL MARKET VALUE]]-INVESTORS_LIST[[#This Row],[TOTAL COST VALUE OF CURRENT INVESTMENT]]</f>
        <v>583135.29600000009</v>
      </c>
      <c r="AW539" s="48">
        <f>IFERROR(INVESTORS_LIST[[#This Row],[TOTAL CURRENT UNITS]]/SUM(INVESTORS_LIST[TOTAL CURRENT UNITS]),0)</f>
        <v>4.4086564587640081E-3</v>
      </c>
    </row>
    <row r="540" spans="1:49">
      <c r="A540" s="262" t="s">
        <v>1129</v>
      </c>
      <c r="B540" s="97" t="s">
        <v>1130</v>
      </c>
      <c r="C540" t="s">
        <v>44</v>
      </c>
      <c r="D540" s="75" t="s">
        <v>45</v>
      </c>
      <c r="E540" s="47">
        <f>SUMIFS(LS[Unit],LS[Investor ID],INVESTORS_LIST[[#This Row],[INVESTOR CODE]],LS[B/S],"B")</f>
        <v>17220</v>
      </c>
      <c r="F540" s="47">
        <f>-SUMIFS(LS[Unit],LS[Investor ID],INVESTORS_LIST[[#This Row],[INVESTOR CODE]],LS[B/S],"S")</f>
        <v>17220</v>
      </c>
      <c r="G540" s="47">
        <f>IF(INVESTORS_LIST[[#This Row],[LS_TOTAL UNITS BUY]]=0,0,INVESTORS_LIST[[#This Row],[LS_TOTAL UNITS BUY]]-INVESTORS_LIST[[#This Row],[LS_TOTAL UNITS SOLD]])</f>
        <v>0</v>
      </c>
      <c r="H540" s="49">
        <f>IF(INVESTORS_LIST[[#This Row],[LS_TOTAL UNITS BUY]]=0,0,SUMIFS(LS[Amount],LS[Investor ID],INVESTORS_LIST[[#This Row],[INVESTOR CODE]],LS[B/S],"B"))</f>
        <v>190000</v>
      </c>
      <c r="I540" s="48">
        <f>IF(INVESTORS_LIST[[#This Row],[LS_TOTAL UNITS SOLD]]=0,0,SUMIFS(LS[Cost of Units Sold],LS[Investor ID],INVESTORS_LIST[[#This Row],[INVESTOR CODE]],LS[B/S],"S"))</f>
        <v>190000</v>
      </c>
      <c r="J540" s="48">
        <f>IF(INVESTORS_LIST[[#This Row],[LS_TOTAL CURRENT UNITS]]=0,0,INVESTORS_LIST[[#This Row],[LS_TOTAL CURRENT UNITS]]*INVESTORS_LIST[[#This Row],[LS_AVERAGE COST]])</f>
        <v>0</v>
      </c>
      <c r="K540" s="49">
        <f>IF(INVESTORS_LIST[[#This Row],[LS_TOTAL UNITS SOLD]]=0,0,SUMIFS(LS[Realized Gain],LS[Investor ID],INVESTORS_LIST[[#This Row],[INVESTOR CODE]],LS[B/S],"S"))</f>
        <v>32447.959999999974</v>
      </c>
      <c r="L540" s="47">
        <f>SUMIFS(SIP[Unit],SIP[Investor ID],INVESTORS_LIST[[#This Row],[INVESTOR CODE]],SIP[B/S],"B")</f>
        <v>96002</v>
      </c>
      <c r="M540" s="47">
        <f>-SUMIFS(SIP[Unit],SIP[Investor ID],INVESTORS_LIST[[#This Row],[INVESTOR CODE]],SIP[B/S],"S")</f>
        <v>82667</v>
      </c>
      <c r="N540" s="50">
        <f>IF(INVESTORS_LIST[[#This Row],[SIP_TOTAL UNITS BUY]]=0,0,INVESTORS_LIST[[#This Row],[SIP_TOTAL UNITS BUY]]-INVESTORS_LIST[[#This Row],[SIP_TOTAL UNITS SOLD]])</f>
        <v>13335</v>
      </c>
      <c r="O540" s="49">
        <f>IF(INVESTORS_LIST[[#This Row],[SIP_TOTAL UNITS BUY]]=0,0,SUMIFS(SIP[Amount],SIP[Investor ID],INVESTORS_LIST[[#This Row],[INVESTOR CODE]],SIP[B/S],"B"))</f>
        <v>1210000</v>
      </c>
      <c r="P540" s="49">
        <f>IF(INVESTORS_LIST[[#This Row],[SIP_TOTAL UNITS SOLD]]=0,0,SUMIFS(SIP[Cost of Units Sold],SIP[Investor ID],INVESTORS_LIST[[#This Row],[INVESTOR CODE]],SIP[B/S],"S"))</f>
        <v>1023678.7223501432</v>
      </c>
      <c r="Q540" s="48">
        <f>IF(INVESTORS_LIST[[#This Row],[SIP_TOTAL CURRENT UNITS]]=0,0,INVESTORS_LIST[[#This Row],[SIP_TOTAL CURRENT UNITS]]*INVESTORS_LIST[[#This Row],[SIP_AVERAGE COST]])</f>
        <v>186321.27764985678</v>
      </c>
      <c r="R540" s="48">
        <f>IF(INVESTORS_LIST[[#This Row],[SIP_TOTAL UNITS SOLD]]=0,0,SUMIFS(SIP[Realized Gain],SIP[Investor ID],INVESTORS_LIST[[#This Row],[INVESTOR CODE]],SIP[B/S],"S"))</f>
        <v>63873.317649856835</v>
      </c>
      <c r="S540" s="50">
        <f>INVESTORS_LIST[[#This Row],[LS_TOTAL UNITS BUY]]+INVESTORS_LIST[[#This Row],[SIP_TOTAL UNITS BUY]]</f>
        <v>113222</v>
      </c>
      <c r="T540" s="50">
        <f>INVESTORS_LIST[[#This Row],[LS_TOTAL UNITS SOLD]]+INVESTORS_LIST[[#This Row],[SIP_TOTAL UNITS SOLD]]</f>
        <v>99887</v>
      </c>
      <c r="U540" s="50"/>
      <c r="V540" s="50">
        <f>SUMIFS(LS[BO UNIT TRANSFER],LS[Investor ID],INVESTORS_LIST[[#This Row],[INVESTOR CODE]],LS[B/S],"B")</f>
        <v>0</v>
      </c>
      <c r="W540" s="50">
        <f>SUMIFS(SIP[BO UNIT TRANSFER],SIP[Investor ID],INVESTORS_LIST[[#This Row],[INVESTOR CODE]],SIP[B/S],"B")</f>
        <v>0</v>
      </c>
      <c r="X540" s="50">
        <f>SUMIFS(LS[BO UNIT TRANSFER],LS[Investor ID],INVESTORS_LIST[[#This Row],[INVESTOR CODE]],LS[B/S],"S")</f>
        <v>0</v>
      </c>
      <c r="Y540" s="50">
        <f>SUMIFS(SIP[BO UNIT TRANSFER],SIP[Investor ID],INVESTORS_LIST[[#This Row],[INVESTOR CODE]],SIP[B/S],"S")</f>
        <v>0</v>
      </c>
      <c r="Z540" s="106">
        <f>SUM(INVESTORS_LIST[[#This Row],[BO OPENING BALANCE]:[BO SIP UNITS REPURCHASE]])</f>
        <v>0</v>
      </c>
      <c r="AA540" s="107">
        <f>INVESTORS_LIST[[#This Row],[TOTAL UNITS BUY]]-INVESTORS_LIST[[#This Row],[TOTAL UNITS SOLD]]</f>
        <v>13335</v>
      </c>
      <c r="AB540" s="107">
        <f>INVESTORS_LIST[[#This Row],[TOTAL CURRENT UNITS]]-INVESTORS_LIST[[#This Row],[BO UNITS HOLD]]</f>
        <v>13335</v>
      </c>
      <c r="AC540" s="201" t="e">
        <f>INDEX([3]!Table_1[BO ID],MATCH(INVESTORS_LIST[[#This Row],[INVESTOR CODE]],[3]!Table_1[INVESTOR CODE],0))</f>
        <v>#REF!</v>
      </c>
      <c r="AD540" s="201" t="e">
        <f>INDEX([3]!Table_1[Brokerage Name2],MATCH(INVESTORS_LIST[[#This Row],[INVESTOR CODE]],[3]!Table_1[INVESTOR CODE],0))</f>
        <v>#REF!</v>
      </c>
      <c r="AE540" s="201" t="e">
        <f>MID(INVESTORS_LIST[[#This Row],[BO ID]],4,5)</f>
        <v>#REF!</v>
      </c>
      <c r="AF540" s="201" t="e">
        <f>MID(INVESTORS_LIST[[#This Row],[BO ID]],2,7)</f>
        <v>#REF!</v>
      </c>
      <c r="AG540" s="201" t="e">
        <f>MID(INVESTORS_LIST[[#This Row],[BO ID]],9,7)</f>
        <v>#REF!</v>
      </c>
      <c r="AH540" s="201" t="e">
        <f>RIGHT(INVESTORS_LIST[[#This Row],[BO ID]],1)</f>
        <v>#REF!</v>
      </c>
      <c r="AI540" s="50">
        <f>INVESTORS_LIST[[#This Row],[LS_TOTAL COST VALUE OF CURRENT UNITS]]+INVESTORS_LIST[[#This Row],[SIP_TOTAL COST VALUE OF CURRENT UNITS]]</f>
        <v>186321.27764985678</v>
      </c>
      <c r="AJ540" s="109">
        <f>IF(INVESTORS_LIST[[#This Row],[TOTAL CURRENT UNITS]]=0,0,INVESTORS_LIST[[#This Row],[LS_TOTAL CURRENT UNITS]]/INVESTORS_LIST[[#This Row],[TOTAL CURRENT UNITS]])</f>
        <v>0</v>
      </c>
      <c r="AK540" s="109">
        <f>IF(INVESTORS_LIST[[#This Row],[TOTAL CURRENT UNITS]]=0,0,INVESTORS_LIST[[#This Row],[SIP_TOTAL CURRENT UNITS]]/INVESTORS_LIST[[#This Row],[TOTAL CURRENT UNITS]])</f>
        <v>1</v>
      </c>
      <c r="AL540" s="49" cm="1">
        <f t="array" ref="AL5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0" s="49" cm="1">
        <f t="array" ref="AM540">IF(INVESTORS_LIST[[#This Row],[SIP_TOTAL UNITS BUY]]&gt;0,INDEX(SIP[NAV at Cost (Average)],MATCH(CONCATENATE(COUNTIFS(SIP[Investor ID],INVESTORS_LIST[[#This Row],[INVESTOR CODE]]),INVESTORS_LIST[[#This Row],[INVESTOR CODE]]),SIP[Unique Code],0),),0)</f>
        <v>13.97234928007925</v>
      </c>
      <c r="AN540" s="105">
        <f>IF(INVESTORS_LIST[[#This Row],[TOTAL CURRENT UNITS]]=0,0,(INVESTORS_LIST[[#This Row],[LS_WEIGHT]]*INVESTORS_LIST[[#This Row],[LS_AVERAGE COST]])+(INVESTORS_LIST[[#This Row],[SIP_WEIGHT]]*INVESTORS_LIST[[#This Row],[SIP_AVERAGE COST]]))</f>
        <v>13.97234928007925</v>
      </c>
      <c r="AO540" s="105">
        <f t="shared" si="9"/>
        <v>14.224</v>
      </c>
      <c r="AP540" s="112">
        <f>IF(INVESTORS_LIST[[#This Row],[TOTAL CURRENT UNITS]]=0,0,INVESTORS_LIST[[#This Row],[TOTAL CURRENT UNITS]]*INVESTORS_LIST[[#This Row],[NAV]])</f>
        <v>189677.04</v>
      </c>
      <c r="AQ540" s="49">
        <f>IF(INVESTORS_LIST[[#This Row],[LS_TOTAL CURRENT UNITS]]=0,0,INVESTORS_LIST[[#This Row],[LS_TOTAL CURRENT UNITS]]*INVESTORS_LIST[[#This Row],[NAV]])</f>
        <v>0</v>
      </c>
      <c r="AR540" s="48">
        <f>IF(INVESTORS_LIST[[#This Row],[SIP_TOTAL CURRENT UNITS]]=0,0,INVESTORS_LIST[[#This Row],[SIP_TOTAL CURRENT UNITS]]*INVESTORS_LIST[[#This Row],[NAV]])</f>
        <v>189677.04</v>
      </c>
      <c r="AS540" s="50">
        <f>INVESTORS_LIST[[#This Row],[TOTAL CURRENT UNITS]]</f>
        <v>13335</v>
      </c>
      <c r="AT540" s="48">
        <f>IF(INVESTORS_LIST[[#This Row],[TOTAL SELLABLE UNITS]]=0,0,INVESTORS_LIST[[#This Row],[TOTAL SELLABLE UNITS]]*INVESTORS_LIST[[#This Row],[NAV]])</f>
        <v>189677.04</v>
      </c>
      <c r="AU540" s="48">
        <f>INVESTORS_LIST[[#This Row],[LS_TOTAL REALIZED GAIN]]+INVESTORS_LIST[[#This Row],[SIP_TOTAL REALIZED GAIN]]</f>
        <v>96321.277649856813</v>
      </c>
      <c r="AV540" s="48">
        <f>INVESTORS_LIST[[#This Row],[TOTAL MARKET VALUE]]-INVESTORS_LIST[[#This Row],[TOTAL COST VALUE OF CURRENT INVESTMENT]]</f>
        <v>3355.7623501432245</v>
      </c>
      <c r="AW540" s="48">
        <f>IFERROR(INVESTORS_LIST[[#This Row],[TOTAL CURRENT UNITS]]/SUM(INVESTORS_LIST[TOTAL CURRENT UNITS]),0)</f>
        <v>3.2372323229454226E-4</v>
      </c>
    </row>
    <row r="541" spans="1:49" hidden="1">
      <c r="A541" s="262" t="s">
        <v>1123</v>
      </c>
      <c r="B541" s="97" t="s">
        <v>1131</v>
      </c>
      <c r="C541" t="s">
        <v>48</v>
      </c>
      <c r="D541" s="75" t="s">
        <v>49</v>
      </c>
      <c r="E541" s="47">
        <f>SUMIFS(LS[Unit],LS[Investor ID],INVESTORS_LIST[[#This Row],[INVESTOR CODE]],LS[B/S],"B")</f>
        <v>1905943</v>
      </c>
      <c r="F541" s="47">
        <f>-SUMIFS(LS[Unit],LS[Investor ID],INVESTORS_LIST[[#This Row],[INVESTOR CODE]],LS[B/S],"S")</f>
        <v>1905943</v>
      </c>
      <c r="G541" s="47">
        <f>IF(INVESTORS_LIST[[#This Row],[LS_TOTAL UNITS BUY]]=0,0,INVESTORS_LIST[[#This Row],[LS_TOTAL UNITS BUY]]-INVESTORS_LIST[[#This Row],[LS_TOTAL UNITS SOLD]])</f>
        <v>0</v>
      </c>
      <c r="H541" s="49">
        <f>IF(INVESTORS_LIST[[#This Row],[LS_TOTAL UNITS BUY]]=0,0,SUMIFS(LS[Amount],LS[Investor ID],INVESTORS_LIST[[#This Row],[INVESTOR CODE]],LS[B/S],"B"))</f>
        <v>23629000</v>
      </c>
      <c r="I541" s="48">
        <f>IF(INVESTORS_LIST[[#This Row],[LS_TOTAL UNITS SOLD]]=0,0,SUMIFS(LS[Cost of Units Sold],LS[Investor ID],INVESTORS_LIST[[#This Row],[INVESTOR CODE]],LS[B/S],"S"))</f>
        <v>23629000</v>
      </c>
      <c r="J541" s="48">
        <f>IF(INVESTORS_LIST[[#This Row],[LS_TOTAL CURRENT UNITS]]=0,0,INVESTORS_LIST[[#This Row],[LS_TOTAL CURRENT UNITS]]*INVESTORS_LIST[[#This Row],[LS_AVERAGE COST]])</f>
        <v>0</v>
      </c>
      <c r="K541" s="49">
        <f>IF(INVESTORS_LIST[[#This Row],[LS_TOTAL UNITS SOLD]]=0,0,SUMIFS(LS[Realized Gain],LS[Investor ID],INVESTORS_LIST[[#This Row],[INVESTOR CODE]],LS[B/S],"S"))</f>
        <v>1945635.6800000016</v>
      </c>
      <c r="L541" s="47">
        <f>SUMIFS(SIP[Unit],SIP[Investor ID],INVESTORS_LIST[[#This Row],[INVESTOR CODE]],SIP[B/S],"B")</f>
        <v>0</v>
      </c>
      <c r="M541" s="47">
        <f>-SUMIFS(SIP[Unit],SIP[Investor ID],INVESTORS_LIST[[#This Row],[INVESTOR CODE]],SIP[B/S],"S")</f>
        <v>0</v>
      </c>
      <c r="N541" s="50">
        <f>IF(INVESTORS_LIST[[#This Row],[SIP_TOTAL UNITS BUY]]=0,0,INVESTORS_LIST[[#This Row],[SIP_TOTAL UNITS BUY]]-INVESTORS_LIST[[#This Row],[SIP_TOTAL UNITS SOLD]])</f>
        <v>0</v>
      </c>
      <c r="O541" s="49">
        <f>IF(INVESTORS_LIST[[#This Row],[SIP_TOTAL UNITS BUY]]=0,0,SUMIFS(SIP[Amount],SIP[Investor ID],INVESTORS_LIST[[#This Row],[INVESTOR CODE]],SIP[B/S],"B"))</f>
        <v>0</v>
      </c>
      <c r="P541" s="49">
        <f>IF(INVESTORS_LIST[[#This Row],[SIP_TOTAL UNITS SOLD]]=0,0,SUMIFS(SIP[Cost of Units Sold],SIP[Investor ID],INVESTORS_LIST[[#This Row],[INVESTOR CODE]],SIP[B/S],"S"))</f>
        <v>0</v>
      </c>
      <c r="Q541" s="48">
        <f>IF(INVESTORS_LIST[[#This Row],[SIP_TOTAL CURRENT UNITS]]=0,0,INVESTORS_LIST[[#This Row],[SIP_TOTAL CURRENT UNITS]]*INVESTORS_LIST[[#This Row],[SIP_AVERAGE COST]])</f>
        <v>0</v>
      </c>
      <c r="R541" s="48">
        <f>IF(INVESTORS_LIST[[#This Row],[SIP_TOTAL UNITS SOLD]]=0,0,SUMIFS(SIP[Realized Gain],SIP[Investor ID],INVESTORS_LIST[[#This Row],[INVESTOR CODE]],SIP[B/S],"S"))</f>
        <v>0</v>
      </c>
      <c r="S541" s="50">
        <f>INVESTORS_LIST[[#This Row],[LS_TOTAL UNITS BUY]]+INVESTORS_LIST[[#This Row],[SIP_TOTAL UNITS BUY]]</f>
        <v>1905943</v>
      </c>
      <c r="T541" s="50">
        <f>INVESTORS_LIST[[#This Row],[LS_TOTAL UNITS SOLD]]+INVESTORS_LIST[[#This Row],[SIP_TOTAL UNITS SOLD]]</f>
        <v>1905943</v>
      </c>
      <c r="U541" s="50"/>
      <c r="V541" s="50">
        <f>SUMIFS(LS[BO UNIT TRANSFER],LS[Investor ID],INVESTORS_LIST[[#This Row],[INVESTOR CODE]],LS[B/S],"B")</f>
        <v>0</v>
      </c>
      <c r="W541" s="50">
        <f>SUMIFS(SIP[BO UNIT TRANSFER],SIP[Investor ID],INVESTORS_LIST[[#This Row],[INVESTOR CODE]],SIP[B/S],"B")</f>
        <v>0</v>
      </c>
      <c r="X541" s="50">
        <f>SUMIFS(LS[BO UNIT TRANSFER],LS[Investor ID],INVESTORS_LIST[[#This Row],[INVESTOR CODE]],LS[B/S],"S")</f>
        <v>0</v>
      </c>
      <c r="Y541" s="50">
        <f>SUMIFS(SIP[BO UNIT TRANSFER],SIP[Investor ID],INVESTORS_LIST[[#This Row],[INVESTOR CODE]],SIP[B/S],"S")</f>
        <v>0</v>
      </c>
      <c r="Z541" s="106">
        <f>SUM(INVESTORS_LIST[[#This Row],[BO OPENING BALANCE]:[BO SIP UNITS REPURCHASE]])</f>
        <v>0</v>
      </c>
      <c r="AA541" s="107">
        <f>INVESTORS_LIST[[#This Row],[TOTAL UNITS BUY]]-INVESTORS_LIST[[#This Row],[TOTAL UNITS SOLD]]</f>
        <v>0</v>
      </c>
      <c r="AB541" s="107">
        <f>INVESTORS_LIST[[#This Row],[TOTAL CURRENT UNITS]]-INVESTORS_LIST[[#This Row],[BO UNITS HOLD]]</f>
        <v>0</v>
      </c>
      <c r="AC541" s="201" t="e">
        <f>INDEX([3]!Table_1[BO ID],MATCH(INVESTORS_LIST[[#This Row],[INVESTOR CODE]],[3]!Table_1[INVESTOR CODE],0))</f>
        <v>#REF!</v>
      </c>
      <c r="AD541" s="201" t="e">
        <f>INDEX([3]!Table_1[Brokerage Name2],MATCH(INVESTORS_LIST[[#This Row],[INVESTOR CODE]],[3]!Table_1[INVESTOR CODE],0))</f>
        <v>#REF!</v>
      </c>
      <c r="AE541" s="201" t="e">
        <f>MID(INVESTORS_LIST[[#This Row],[BO ID]],4,5)</f>
        <v>#REF!</v>
      </c>
      <c r="AF541" s="201" t="e">
        <f>MID(INVESTORS_LIST[[#This Row],[BO ID]],2,7)</f>
        <v>#REF!</v>
      </c>
      <c r="AG541" s="201" t="e">
        <f>MID(INVESTORS_LIST[[#This Row],[BO ID]],9,7)</f>
        <v>#REF!</v>
      </c>
      <c r="AH541" s="201" t="e">
        <f>RIGHT(INVESTORS_LIST[[#This Row],[BO ID]],1)</f>
        <v>#REF!</v>
      </c>
      <c r="AI541" s="50">
        <f>INVESTORS_LIST[[#This Row],[LS_TOTAL COST VALUE OF CURRENT UNITS]]+INVESTORS_LIST[[#This Row],[SIP_TOTAL COST VALUE OF CURRENT UNITS]]</f>
        <v>0</v>
      </c>
      <c r="AJ541" s="109">
        <f>IF(INVESTORS_LIST[[#This Row],[TOTAL CURRENT UNITS]]=0,0,INVESTORS_LIST[[#This Row],[LS_TOTAL CURRENT UNITS]]/INVESTORS_LIST[[#This Row],[TOTAL CURRENT UNITS]])</f>
        <v>0</v>
      </c>
      <c r="AK541" s="109">
        <f>IF(INVESTORS_LIST[[#This Row],[TOTAL CURRENT UNITS]]=0,0,INVESTORS_LIST[[#This Row],[SIP_TOTAL CURRENT UNITS]]/INVESTORS_LIST[[#This Row],[TOTAL CURRENT UNITS]])</f>
        <v>0</v>
      </c>
      <c r="AL541" s="49" cm="1">
        <f t="array" ref="AL5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1" s="49" cm="1">
        <f t="array" ref="AM5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41" s="105">
        <f t="shared" si="9"/>
        <v>14.224</v>
      </c>
      <c r="AP541" s="112">
        <f>IF(INVESTORS_LIST[[#This Row],[TOTAL CURRENT UNITS]]=0,0,INVESTORS_LIST[[#This Row],[TOTAL CURRENT UNITS]]*INVESTORS_LIST[[#This Row],[NAV]])</f>
        <v>0</v>
      </c>
      <c r="AQ541" s="49">
        <f>IF(INVESTORS_LIST[[#This Row],[LS_TOTAL CURRENT UNITS]]=0,0,INVESTORS_LIST[[#This Row],[LS_TOTAL CURRENT UNITS]]*INVESTORS_LIST[[#This Row],[NAV]])</f>
        <v>0</v>
      </c>
      <c r="AR541" s="48">
        <f>IF(INVESTORS_LIST[[#This Row],[SIP_TOTAL CURRENT UNITS]]=0,0,INVESTORS_LIST[[#This Row],[SIP_TOTAL CURRENT UNITS]]*INVESTORS_LIST[[#This Row],[NAV]])</f>
        <v>0</v>
      </c>
      <c r="AS541" s="50">
        <f>INVESTORS_LIST[[#This Row],[TOTAL CURRENT UNITS]]</f>
        <v>0</v>
      </c>
      <c r="AT541" s="48">
        <f>IF(INVESTORS_LIST[[#This Row],[TOTAL SELLABLE UNITS]]=0,0,INVESTORS_LIST[[#This Row],[TOTAL SELLABLE UNITS]]*INVESTORS_LIST[[#This Row],[NAV]])</f>
        <v>0</v>
      </c>
      <c r="AU541" s="48">
        <f>INVESTORS_LIST[[#This Row],[LS_TOTAL REALIZED GAIN]]+INVESTORS_LIST[[#This Row],[SIP_TOTAL REALIZED GAIN]]</f>
        <v>1945635.6800000016</v>
      </c>
      <c r="AV541" s="48">
        <f>INVESTORS_LIST[[#This Row],[TOTAL MARKET VALUE]]-INVESTORS_LIST[[#This Row],[TOTAL COST VALUE OF CURRENT INVESTMENT]]</f>
        <v>0</v>
      </c>
      <c r="AW541" s="48">
        <f>IFERROR(INVESTORS_LIST[[#This Row],[TOTAL CURRENT UNITS]]/SUM(INVESTORS_LIST[TOTAL CURRENT UNITS]),0)</f>
        <v>0</v>
      </c>
    </row>
    <row r="542" spans="1:49" hidden="1">
      <c r="A542" s="262" t="s">
        <v>1132</v>
      </c>
      <c r="B542" s="97" t="s">
        <v>1133</v>
      </c>
      <c r="C542" t="s">
        <v>67</v>
      </c>
      <c r="D542" s="75" t="s">
        <v>45</v>
      </c>
      <c r="E542" s="47">
        <f>SUMIFS(LS[Unit],LS[Investor ID],INVESTORS_LIST[[#This Row],[INVESTOR CODE]],LS[B/S],"B")</f>
        <v>163132</v>
      </c>
      <c r="F542" s="47">
        <f>-SUMIFS(LS[Unit],LS[Investor ID],INVESTORS_LIST[[#This Row],[INVESTOR CODE]],LS[B/S],"S")</f>
        <v>163132</v>
      </c>
      <c r="G542" s="47">
        <f>IF(INVESTORS_LIST[[#This Row],[LS_TOTAL UNITS BUY]]=0,0,INVESTORS_LIST[[#This Row],[LS_TOTAL UNITS BUY]]-INVESTORS_LIST[[#This Row],[LS_TOTAL UNITS SOLD]])</f>
        <v>0</v>
      </c>
      <c r="H542" s="49">
        <f>IF(INVESTORS_LIST[[#This Row],[LS_TOTAL UNITS BUY]]=0,0,SUMIFS(LS[Amount],LS[Investor ID],INVESTORS_LIST[[#This Row],[INVESTOR CODE]],LS[B/S],"B"))</f>
        <v>1800000</v>
      </c>
      <c r="I542" s="48">
        <f>IF(INVESTORS_LIST[[#This Row],[LS_TOTAL UNITS SOLD]]=0,0,SUMIFS(LS[Cost of Units Sold],LS[Investor ID],INVESTORS_LIST[[#This Row],[INVESTOR CODE]],LS[B/S],"S"))</f>
        <v>1800000</v>
      </c>
      <c r="J542" s="48">
        <f>IF(INVESTORS_LIST[[#This Row],[LS_TOTAL CURRENT UNITS]]=0,0,INVESTORS_LIST[[#This Row],[LS_TOTAL CURRENT UNITS]]*INVESTORS_LIST[[#This Row],[LS_AVERAGE COST]])</f>
        <v>0</v>
      </c>
      <c r="K542" s="49">
        <f>IF(INVESTORS_LIST[[#This Row],[LS_TOTAL UNITS SOLD]]=0,0,SUMIFS(LS[Realized Gain],LS[Investor ID],INVESTORS_LIST[[#This Row],[INVESTOR CODE]],LS[B/S],"S"))</f>
        <v>352526.74000000028</v>
      </c>
      <c r="L542" s="47">
        <f>SUMIFS(SIP[Unit],SIP[Investor ID],INVESTORS_LIST[[#This Row],[INVESTOR CODE]],SIP[B/S],"B")</f>
        <v>0</v>
      </c>
      <c r="M542" s="47">
        <f>-SUMIFS(SIP[Unit],SIP[Investor ID],INVESTORS_LIST[[#This Row],[INVESTOR CODE]],SIP[B/S],"S")</f>
        <v>0</v>
      </c>
      <c r="N542" s="50">
        <f>IF(INVESTORS_LIST[[#This Row],[SIP_TOTAL UNITS BUY]]=0,0,INVESTORS_LIST[[#This Row],[SIP_TOTAL UNITS BUY]]-INVESTORS_LIST[[#This Row],[SIP_TOTAL UNITS SOLD]])</f>
        <v>0</v>
      </c>
      <c r="O542" s="49">
        <f>IF(INVESTORS_LIST[[#This Row],[SIP_TOTAL UNITS BUY]]=0,0,SUMIFS(SIP[Amount],SIP[Investor ID],INVESTORS_LIST[[#This Row],[INVESTOR CODE]],SIP[B/S],"B"))</f>
        <v>0</v>
      </c>
      <c r="P542" s="49">
        <f>IF(INVESTORS_LIST[[#This Row],[SIP_TOTAL UNITS SOLD]]=0,0,SUMIFS(SIP[Cost of Units Sold],SIP[Investor ID],INVESTORS_LIST[[#This Row],[INVESTOR CODE]],SIP[B/S],"S"))</f>
        <v>0</v>
      </c>
      <c r="Q542" s="48">
        <f>IF(INVESTORS_LIST[[#This Row],[SIP_TOTAL CURRENT UNITS]]=0,0,INVESTORS_LIST[[#This Row],[SIP_TOTAL CURRENT UNITS]]*INVESTORS_LIST[[#This Row],[SIP_AVERAGE COST]])</f>
        <v>0</v>
      </c>
      <c r="R542" s="48">
        <f>IF(INVESTORS_LIST[[#This Row],[SIP_TOTAL UNITS SOLD]]=0,0,SUMIFS(SIP[Realized Gain],SIP[Investor ID],INVESTORS_LIST[[#This Row],[INVESTOR CODE]],SIP[B/S],"S"))</f>
        <v>0</v>
      </c>
      <c r="S542" s="50">
        <f>INVESTORS_LIST[[#This Row],[LS_TOTAL UNITS BUY]]+INVESTORS_LIST[[#This Row],[SIP_TOTAL UNITS BUY]]</f>
        <v>163132</v>
      </c>
      <c r="T542" s="50">
        <f>INVESTORS_LIST[[#This Row],[LS_TOTAL UNITS SOLD]]+INVESTORS_LIST[[#This Row],[SIP_TOTAL UNITS SOLD]]</f>
        <v>163132</v>
      </c>
      <c r="U542" s="50"/>
      <c r="V542" s="50">
        <f>SUMIFS(LS[BO UNIT TRANSFER],LS[Investor ID],INVESTORS_LIST[[#This Row],[INVESTOR CODE]],LS[B/S],"B")</f>
        <v>0</v>
      </c>
      <c r="W542" s="50">
        <f>SUMIFS(SIP[BO UNIT TRANSFER],SIP[Investor ID],INVESTORS_LIST[[#This Row],[INVESTOR CODE]],SIP[B/S],"B")</f>
        <v>0</v>
      </c>
      <c r="X542" s="50">
        <f>SUMIFS(LS[BO UNIT TRANSFER],LS[Investor ID],INVESTORS_LIST[[#This Row],[INVESTOR CODE]],LS[B/S],"S")</f>
        <v>0</v>
      </c>
      <c r="Y542" s="50">
        <f>SUMIFS(SIP[BO UNIT TRANSFER],SIP[Investor ID],INVESTORS_LIST[[#This Row],[INVESTOR CODE]],SIP[B/S],"S")</f>
        <v>0</v>
      </c>
      <c r="Z542" s="106">
        <f>SUM(INVESTORS_LIST[[#This Row],[BO OPENING BALANCE]:[BO SIP UNITS REPURCHASE]])</f>
        <v>0</v>
      </c>
      <c r="AA542" s="107">
        <f>INVESTORS_LIST[[#This Row],[TOTAL UNITS BUY]]-INVESTORS_LIST[[#This Row],[TOTAL UNITS SOLD]]</f>
        <v>0</v>
      </c>
      <c r="AB542" s="107">
        <f>INVESTORS_LIST[[#This Row],[TOTAL CURRENT UNITS]]-INVESTORS_LIST[[#This Row],[BO UNITS HOLD]]</f>
        <v>0</v>
      </c>
      <c r="AC542" s="201" t="e">
        <f>INDEX([3]!Table_1[BO ID],MATCH(INVESTORS_LIST[[#This Row],[INVESTOR CODE]],[3]!Table_1[INVESTOR CODE],0))</f>
        <v>#REF!</v>
      </c>
      <c r="AD542" s="201" t="e">
        <f>INDEX([3]!Table_1[Brokerage Name2],MATCH(INVESTORS_LIST[[#This Row],[INVESTOR CODE]],[3]!Table_1[INVESTOR CODE],0))</f>
        <v>#REF!</v>
      </c>
      <c r="AE542" s="201" t="e">
        <f>MID(INVESTORS_LIST[[#This Row],[BO ID]],4,5)</f>
        <v>#REF!</v>
      </c>
      <c r="AF542" s="201" t="e">
        <f>MID(INVESTORS_LIST[[#This Row],[BO ID]],2,7)</f>
        <v>#REF!</v>
      </c>
      <c r="AG542" s="201" t="e">
        <f>MID(INVESTORS_LIST[[#This Row],[BO ID]],9,7)</f>
        <v>#REF!</v>
      </c>
      <c r="AH542" s="201" t="e">
        <f>RIGHT(INVESTORS_LIST[[#This Row],[BO ID]],1)</f>
        <v>#REF!</v>
      </c>
      <c r="AI542" s="50">
        <f>INVESTORS_LIST[[#This Row],[LS_TOTAL COST VALUE OF CURRENT UNITS]]+INVESTORS_LIST[[#This Row],[SIP_TOTAL COST VALUE OF CURRENT UNITS]]</f>
        <v>0</v>
      </c>
      <c r="AJ542" s="109">
        <f>IF(INVESTORS_LIST[[#This Row],[TOTAL CURRENT UNITS]]=0,0,INVESTORS_LIST[[#This Row],[LS_TOTAL CURRENT UNITS]]/INVESTORS_LIST[[#This Row],[TOTAL CURRENT UNITS]])</f>
        <v>0</v>
      </c>
      <c r="AK542" s="109">
        <f>IF(INVESTORS_LIST[[#This Row],[TOTAL CURRENT UNITS]]=0,0,INVESTORS_LIST[[#This Row],[SIP_TOTAL CURRENT UNITS]]/INVESTORS_LIST[[#This Row],[TOTAL CURRENT UNITS]])</f>
        <v>0</v>
      </c>
      <c r="AL542" s="49" cm="1">
        <f t="array" ref="AL5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2" s="49" cm="1">
        <f t="array" ref="AM5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42" s="105">
        <f t="shared" si="9"/>
        <v>14.224</v>
      </c>
      <c r="AP542" s="112">
        <f>IF(INVESTORS_LIST[[#This Row],[TOTAL CURRENT UNITS]]=0,0,INVESTORS_LIST[[#This Row],[TOTAL CURRENT UNITS]]*INVESTORS_LIST[[#This Row],[NAV]])</f>
        <v>0</v>
      </c>
      <c r="AQ542" s="49">
        <f>IF(INVESTORS_LIST[[#This Row],[LS_TOTAL CURRENT UNITS]]=0,0,INVESTORS_LIST[[#This Row],[LS_TOTAL CURRENT UNITS]]*INVESTORS_LIST[[#This Row],[NAV]])</f>
        <v>0</v>
      </c>
      <c r="AR542" s="48">
        <f>IF(INVESTORS_LIST[[#This Row],[SIP_TOTAL CURRENT UNITS]]=0,0,INVESTORS_LIST[[#This Row],[SIP_TOTAL CURRENT UNITS]]*INVESTORS_LIST[[#This Row],[NAV]])</f>
        <v>0</v>
      </c>
      <c r="AS542" s="50">
        <f>INVESTORS_LIST[[#This Row],[TOTAL CURRENT UNITS]]</f>
        <v>0</v>
      </c>
      <c r="AT542" s="48">
        <f>IF(INVESTORS_LIST[[#This Row],[TOTAL SELLABLE UNITS]]=0,0,INVESTORS_LIST[[#This Row],[TOTAL SELLABLE UNITS]]*INVESTORS_LIST[[#This Row],[NAV]])</f>
        <v>0</v>
      </c>
      <c r="AU542" s="48">
        <f>INVESTORS_LIST[[#This Row],[LS_TOTAL REALIZED GAIN]]+INVESTORS_LIST[[#This Row],[SIP_TOTAL REALIZED GAIN]]</f>
        <v>352526.74000000028</v>
      </c>
      <c r="AV542" s="48">
        <f>INVESTORS_LIST[[#This Row],[TOTAL MARKET VALUE]]-INVESTORS_LIST[[#This Row],[TOTAL COST VALUE OF CURRENT INVESTMENT]]</f>
        <v>0</v>
      </c>
      <c r="AW542" s="48">
        <f>IFERROR(INVESTORS_LIST[[#This Row],[TOTAL CURRENT UNITS]]/SUM(INVESTORS_LIST[TOTAL CURRENT UNITS]),0)</f>
        <v>0</v>
      </c>
    </row>
    <row r="543" spans="1:49" hidden="1">
      <c r="A543" s="262" t="s">
        <v>1134</v>
      </c>
      <c r="B543" s="97" t="s">
        <v>1135</v>
      </c>
      <c r="C543" t="s">
        <v>67</v>
      </c>
      <c r="D543" s="75" t="s">
        <v>45</v>
      </c>
      <c r="E543" s="47">
        <f>SUMIFS(LS[Unit],LS[Investor ID],INVESTORS_LIST[[#This Row],[INVESTOR CODE]],LS[B/S],"B")</f>
        <v>27015</v>
      </c>
      <c r="F543" s="47">
        <f>-SUMIFS(LS[Unit],LS[Investor ID],INVESTORS_LIST[[#This Row],[INVESTOR CODE]],LS[B/S],"S")</f>
        <v>27015</v>
      </c>
      <c r="G543" s="47">
        <f>IF(INVESTORS_LIST[[#This Row],[LS_TOTAL UNITS BUY]]=0,0,INVESTORS_LIST[[#This Row],[LS_TOTAL UNITS BUY]]-INVESTORS_LIST[[#This Row],[LS_TOTAL UNITS SOLD]])</f>
        <v>0</v>
      </c>
      <c r="H543" s="49">
        <f>IF(INVESTORS_LIST[[#This Row],[LS_TOTAL UNITS BUY]]=0,0,SUMIFS(LS[Amount],LS[Investor ID],INVESTORS_LIST[[#This Row],[INVESTOR CODE]],LS[B/S],"B"))</f>
        <v>300000</v>
      </c>
      <c r="I543" s="48">
        <f>IF(INVESTORS_LIST[[#This Row],[LS_TOTAL UNITS SOLD]]=0,0,SUMIFS(LS[Cost of Units Sold],LS[Investor ID],INVESTORS_LIST[[#This Row],[INVESTOR CODE]],LS[B/S],"S"))</f>
        <v>300000</v>
      </c>
      <c r="J543" s="48">
        <f>IF(INVESTORS_LIST[[#This Row],[LS_TOTAL CURRENT UNITS]]=0,0,INVESTORS_LIST[[#This Row],[LS_TOTAL CURRENT UNITS]]*INVESTORS_LIST[[#This Row],[LS_AVERAGE COST]])</f>
        <v>0</v>
      </c>
      <c r="K543" s="49">
        <f>IF(INVESTORS_LIST[[#This Row],[LS_TOTAL UNITS SOLD]]=0,0,SUMIFS(LS[Realized Gain],LS[Investor ID],INVESTORS_LIST[[#This Row],[INVESTOR CODE]],LS[B/S],"S"))</f>
        <v>73104.169999999984</v>
      </c>
      <c r="L543" s="47">
        <f>SUMIFS(SIP[Unit],SIP[Investor ID],INVESTORS_LIST[[#This Row],[INVESTOR CODE]],SIP[B/S],"B")</f>
        <v>0</v>
      </c>
      <c r="M543" s="47">
        <f>-SUMIFS(SIP[Unit],SIP[Investor ID],INVESTORS_LIST[[#This Row],[INVESTOR CODE]],SIP[B/S],"S")</f>
        <v>0</v>
      </c>
      <c r="N543" s="50">
        <f>IF(INVESTORS_LIST[[#This Row],[SIP_TOTAL UNITS BUY]]=0,0,INVESTORS_LIST[[#This Row],[SIP_TOTAL UNITS BUY]]-INVESTORS_LIST[[#This Row],[SIP_TOTAL UNITS SOLD]])</f>
        <v>0</v>
      </c>
      <c r="O543" s="49">
        <f>IF(INVESTORS_LIST[[#This Row],[SIP_TOTAL UNITS BUY]]=0,0,SUMIFS(SIP[Amount],SIP[Investor ID],INVESTORS_LIST[[#This Row],[INVESTOR CODE]],SIP[B/S],"B"))</f>
        <v>0</v>
      </c>
      <c r="P543" s="49">
        <f>IF(INVESTORS_LIST[[#This Row],[SIP_TOTAL UNITS SOLD]]=0,0,SUMIFS(SIP[Cost of Units Sold],SIP[Investor ID],INVESTORS_LIST[[#This Row],[INVESTOR CODE]],SIP[B/S],"S"))</f>
        <v>0</v>
      </c>
      <c r="Q543" s="48">
        <f>IF(INVESTORS_LIST[[#This Row],[SIP_TOTAL CURRENT UNITS]]=0,0,INVESTORS_LIST[[#This Row],[SIP_TOTAL CURRENT UNITS]]*INVESTORS_LIST[[#This Row],[SIP_AVERAGE COST]])</f>
        <v>0</v>
      </c>
      <c r="R543" s="48">
        <f>IF(INVESTORS_LIST[[#This Row],[SIP_TOTAL UNITS SOLD]]=0,0,SUMIFS(SIP[Realized Gain],SIP[Investor ID],INVESTORS_LIST[[#This Row],[INVESTOR CODE]],SIP[B/S],"S"))</f>
        <v>0</v>
      </c>
      <c r="S543" s="50">
        <f>INVESTORS_LIST[[#This Row],[LS_TOTAL UNITS BUY]]+INVESTORS_LIST[[#This Row],[SIP_TOTAL UNITS BUY]]</f>
        <v>27015</v>
      </c>
      <c r="T543" s="50">
        <f>INVESTORS_LIST[[#This Row],[LS_TOTAL UNITS SOLD]]+INVESTORS_LIST[[#This Row],[SIP_TOTAL UNITS SOLD]]</f>
        <v>27015</v>
      </c>
      <c r="U543" s="50"/>
      <c r="V543" s="50">
        <f>SUMIFS(LS[BO UNIT TRANSFER],LS[Investor ID],INVESTORS_LIST[[#This Row],[INVESTOR CODE]],LS[B/S],"B")</f>
        <v>0</v>
      </c>
      <c r="W543" s="50">
        <f>SUMIFS(SIP[BO UNIT TRANSFER],SIP[Investor ID],INVESTORS_LIST[[#This Row],[INVESTOR CODE]],SIP[B/S],"B")</f>
        <v>0</v>
      </c>
      <c r="X543" s="50">
        <f>SUMIFS(LS[BO UNIT TRANSFER],LS[Investor ID],INVESTORS_LIST[[#This Row],[INVESTOR CODE]],LS[B/S],"S")</f>
        <v>0</v>
      </c>
      <c r="Y543" s="50">
        <f>SUMIFS(SIP[BO UNIT TRANSFER],SIP[Investor ID],INVESTORS_LIST[[#This Row],[INVESTOR CODE]],SIP[B/S],"S")</f>
        <v>0</v>
      </c>
      <c r="Z543" s="106">
        <f>SUM(INVESTORS_LIST[[#This Row],[BO OPENING BALANCE]:[BO SIP UNITS REPURCHASE]])</f>
        <v>0</v>
      </c>
      <c r="AA543" s="107">
        <f>INVESTORS_LIST[[#This Row],[TOTAL UNITS BUY]]-INVESTORS_LIST[[#This Row],[TOTAL UNITS SOLD]]</f>
        <v>0</v>
      </c>
      <c r="AB543" s="107">
        <f>INVESTORS_LIST[[#This Row],[TOTAL CURRENT UNITS]]-INVESTORS_LIST[[#This Row],[BO UNITS HOLD]]</f>
        <v>0</v>
      </c>
      <c r="AC543" s="201" t="e">
        <f>INDEX([3]!Table_1[BO ID],MATCH(INVESTORS_LIST[[#This Row],[INVESTOR CODE]],[3]!Table_1[INVESTOR CODE],0))</f>
        <v>#REF!</v>
      </c>
      <c r="AD543" s="201" t="e">
        <f>INDEX([3]!Table_1[Brokerage Name2],MATCH(INVESTORS_LIST[[#This Row],[INVESTOR CODE]],[3]!Table_1[INVESTOR CODE],0))</f>
        <v>#REF!</v>
      </c>
      <c r="AE543" s="201" t="e">
        <f>MID(INVESTORS_LIST[[#This Row],[BO ID]],4,5)</f>
        <v>#REF!</v>
      </c>
      <c r="AF543" s="201" t="e">
        <f>MID(INVESTORS_LIST[[#This Row],[BO ID]],2,7)</f>
        <v>#REF!</v>
      </c>
      <c r="AG543" s="201" t="e">
        <f>MID(INVESTORS_LIST[[#This Row],[BO ID]],9,7)</f>
        <v>#REF!</v>
      </c>
      <c r="AH543" s="201" t="e">
        <f>RIGHT(INVESTORS_LIST[[#This Row],[BO ID]],1)</f>
        <v>#REF!</v>
      </c>
      <c r="AI543" s="50">
        <f>INVESTORS_LIST[[#This Row],[LS_TOTAL COST VALUE OF CURRENT UNITS]]+INVESTORS_LIST[[#This Row],[SIP_TOTAL COST VALUE OF CURRENT UNITS]]</f>
        <v>0</v>
      </c>
      <c r="AJ543" s="109">
        <f>IF(INVESTORS_LIST[[#This Row],[TOTAL CURRENT UNITS]]=0,0,INVESTORS_LIST[[#This Row],[LS_TOTAL CURRENT UNITS]]/INVESTORS_LIST[[#This Row],[TOTAL CURRENT UNITS]])</f>
        <v>0</v>
      </c>
      <c r="AK543" s="109">
        <f>IF(INVESTORS_LIST[[#This Row],[TOTAL CURRENT UNITS]]=0,0,INVESTORS_LIST[[#This Row],[SIP_TOTAL CURRENT UNITS]]/INVESTORS_LIST[[#This Row],[TOTAL CURRENT UNITS]])</f>
        <v>0</v>
      </c>
      <c r="AL543" s="49" cm="1">
        <f t="array" ref="AL5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3" s="49" cm="1">
        <f t="array" ref="AM5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43" s="105">
        <f t="shared" si="9"/>
        <v>14.224</v>
      </c>
      <c r="AP543" s="112">
        <f>IF(INVESTORS_LIST[[#This Row],[TOTAL CURRENT UNITS]]=0,0,INVESTORS_LIST[[#This Row],[TOTAL CURRENT UNITS]]*INVESTORS_LIST[[#This Row],[NAV]])</f>
        <v>0</v>
      </c>
      <c r="AQ543" s="49">
        <f>IF(INVESTORS_LIST[[#This Row],[LS_TOTAL CURRENT UNITS]]=0,0,INVESTORS_LIST[[#This Row],[LS_TOTAL CURRENT UNITS]]*INVESTORS_LIST[[#This Row],[NAV]])</f>
        <v>0</v>
      </c>
      <c r="AR543" s="48">
        <f>IF(INVESTORS_LIST[[#This Row],[SIP_TOTAL CURRENT UNITS]]=0,0,INVESTORS_LIST[[#This Row],[SIP_TOTAL CURRENT UNITS]]*INVESTORS_LIST[[#This Row],[NAV]])</f>
        <v>0</v>
      </c>
      <c r="AS543" s="50">
        <f>INVESTORS_LIST[[#This Row],[TOTAL CURRENT UNITS]]</f>
        <v>0</v>
      </c>
      <c r="AT543" s="48">
        <f>IF(INVESTORS_LIST[[#This Row],[TOTAL SELLABLE UNITS]]=0,0,INVESTORS_LIST[[#This Row],[TOTAL SELLABLE UNITS]]*INVESTORS_LIST[[#This Row],[NAV]])</f>
        <v>0</v>
      </c>
      <c r="AU543" s="48">
        <f>INVESTORS_LIST[[#This Row],[LS_TOTAL REALIZED GAIN]]+INVESTORS_LIST[[#This Row],[SIP_TOTAL REALIZED GAIN]]</f>
        <v>73104.169999999984</v>
      </c>
      <c r="AV543" s="48">
        <f>INVESTORS_LIST[[#This Row],[TOTAL MARKET VALUE]]-INVESTORS_LIST[[#This Row],[TOTAL COST VALUE OF CURRENT INVESTMENT]]</f>
        <v>0</v>
      </c>
      <c r="AW543" s="48">
        <f>IFERROR(INVESTORS_LIST[[#This Row],[TOTAL CURRENT UNITS]]/SUM(INVESTORS_LIST[TOTAL CURRENT UNITS]),0)</f>
        <v>0</v>
      </c>
    </row>
    <row r="544" spans="1:49">
      <c r="A544" s="262" t="s">
        <v>1136</v>
      </c>
      <c r="B544" s="97" t="s">
        <v>1137</v>
      </c>
      <c r="C544" t="s">
        <v>44</v>
      </c>
      <c r="D544" s="75" t="s">
        <v>45</v>
      </c>
      <c r="E544" s="47">
        <f>SUMIFS(LS[Unit],LS[Investor ID],INVESTORS_LIST[[#This Row],[INVESTOR CODE]],LS[B/S],"B")</f>
        <v>270107</v>
      </c>
      <c r="F544" s="47">
        <f>-SUMIFS(LS[Unit],LS[Investor ID],INVESTORS_LIST[[#This Row],[INVESTOR CODE]],LS[B/S],"S")</f>
        <v>54482</v>
      </c>
      <c r="G544" s="47">
        <f>IF(INVESTORS_LIST[[#This Row],[LS_TOTAL UNITS BUY]]=0,0,INVESTORS_LIST[[#This Row],[LS_TOTAL UNITS BUY]]-INVESTORS_LIST[[#This Row],[LS_TOTAL UNITS SOLD]])</f>
        <v>215625</v>
      </c>
      <c r="H544" s="49">
        <f>IF(INVESTORS_LIST[[#This Row],[LS_TOTAL UNITS BUY]]=0,0,SUMIFS(LS[Amount],LS[Investor ID],INVESTORS_LIST[[#This Row],[INVESTOR CODE]],LS[B/S],"B"))</f>
        <v>3000000</v>
      </c>
      <c r="I544" s="48">
        <f>IF(INVESTORS_LIST[[#This Row],[LS_TOTAL UNITS SOLD]]=0,0,SUMIFS(LS[Cost of Units Sold],LS[Investor ID],INVESTORS_LIST[[#This Row],[INVESTOR CODE]],LS[B/S],"S"))</f>
        <v>605115.75042483164</v>
      </c>
      <c r="J544" s="48">
        <f>IF(INVESTORS_LIST[[#This Row],[LS_TOTAL CURRENT UNITS]]=0,0,INVESTORS_LIST[[#This Row],[LS_TOTAL CURRENT UNITS]]*INVESTORS_LIST[[#This Row],[LS_AVERAGE COST]])</f>
        <v>2394884.2495751684</v>
      </c>
      <c r="K544" s="49">
        <f>IF(INVESTORS_LIST[[#This Row],[LS_TOTAL UNITS SOLD]]=0,0,SUMIFS(LS[Realized Gain],LS[Investor ID],INVESTORS_LIST[[#This Row],[INVESTOR CODE]],LS[B/S],"S"))</f>
        <v>144884.24957516836</v>
      </c>
      <c r="L544" s="47">
        <f>SUMIFS(SIP[Unit],SIP[Investor ID],INVESTORS_LIST[[#This Row],[INVESTOR CODE]],SIP[B/S],"B")</f>
        <v>0</v>
      </c>
      <c r="M544" s="47">
        <f>-SUMIFS(SIP[Unit],SIP[Investor ID],INVESTORS_LIST[[#This Row],[INVESTOR CODE]],SIP[B/S],"S")</f>
        <v>0</v>
      </c>
      <c r="N544" s="50">
        <f>IF(INVESTORS_LIST[[#This Row],[SIP_TOTAL UNITS BUY]]=0,0,INVESTORS_LIST[[#This Row],[SIP_TOTAL UNITS BUY]]-INVESTORS_LIST[[#This Row],[SIP_TOTAL UNITS SOLD]])</f>
        <v>0</v>
      </c>
      <c r="O544" s="49">
        <f>IF(INVESTORS_LIST[[#This Row],[SIP_TOTAL UNITS BUY]]=0,0,SUMIFS(SIP[Amount],SIP[Investor ID],INVESTORS_LIST[[#This Row],[INVESTOR CODE]],SIP[B/S],"B"))</f>
        <v>0</v>
      </c>
      <c r="P544" s="49">
        <f>IF(INVESTORS_LIST[[#This Row],[SIP_TOTAL UNITS SOLD]]=0,0,SUMIFS(SIP[Cost of Units Sold],SIP[Investor ID],INVESTORS_LIST[[#This Row],[INVESTOR CODE]],SIP[B/S],"S"))</f>
        <v>0</v>
      </c>
      <c r="Q544" s="48">
        <f>IF(INVESTORS_LIST[[#This Row],[SIP_TOTAL CURRENT UNITS]]=0,0,INVESTORS_LIST[[#This Row],[SIP_TOTAL CURRENT UNITS]]*INVESTORS_LIST[[#This Row],[SIP_AVERAGE COST]])</f>
        <v>0</v>
      </c>
      <c r="R544" s="48">
        <f>IF(INVESTORS_LIST[[#This Row],[SIP_TOTAL UNITS SOLD]]=0,0,SUMIFS(SIP[Realized Gain],SIP[Investor ID],INVESTORS_LIST[[#This Row],[INVESTOR CODE]],SIP[B/S],"S"))</f>
        <v>0</v>
      </c>
      <c r="S544" s="50">
        <f>INVESTORS_LIST[[#This Row],[LS_TOTAL UNITS BUY]]+INVESTORS_LIST[[#This Row],[SIP_TOTAL UNITS BUY]]</f>
        <v>270107</v>
      </c>
      <c r="T544" s="50">
        <f>INVESTORS_LIST[[#This Row],[LS_TOTAL UNITS SOLD]]+INVESTORS_LIST[[#This Row],[SIP_TOTAL UNITS SOLD]]</f>
        <v>54482</v>
      </c>
      <c r="U544" s="50">
        <v>270107</v>
      </c>
      <c r="V544" s="50">
        <f>SUMIFS(LS[BO UNIT TRANSFER],LS[Investor ID],INVESTORS_LIST[[#This Row],[INVESTOR CODE]],LS[B/S],"B")</f>
        <v>0</v>
      </c>
      <c r="W544" s="50">
        <f>SUMIFS(SIP[BO UNIT TRANSFER],SIP[Investor ID],INVESTORS_LIST[[#This Row],[INVESTOR CODE]],SIP[B/S],"B")</f>
        <v>0</v>
      </c>
      <c r="X544" s="50">
        <f>SUMIFS(LS[BO UNIT TRANSFER],LS[Investor ID],INVESTORS_LIST[[#This Row],[INVESTOR CODE]],LS[B/S],"S")</f>
        <v>0</v>
      </c>
      <c r="Y544" s="50">
        <f>SUMIFS(SIP[BO UNIT TRANSFER],SIP[Investor ID],INVESTORS_LIST[[#This Row],[INVESTOR CODE]],SIP[B/S],"S")</f>
        <v>0</v>
      </c>
      <c r="Z544" s="106">
        <f>SUM(INVESTORS_LIST[[#This Row],[BO OPENING BALANCE]:[BO SIP UNITS REPURCHASE]])</f>
        <v>270107</v>
      </c>
      <c r="AA544" s="107">
        <f>INVESTORS_LIST[[#This Row],[TOTAL UNITS BUY]]-INVESTORS_LIST[[#This Row],[TOTAL UNITS SOLD]]</f>
        <v>215625</v>
      </c>
      <c r="AB544" s="107">
        <f>INVESTORS_LIST[[#This Row],[TOTAL CURRENT UNITS]]-INVESTORS_LIST[[#This Row],[BO UNITS HOLD]]</f>
        <v>-54482</v>
      </c>
      <c r="AC544" s="201" t="e">
        <f>INDEX([3]!Table_1[BO ID],MATCH(INVESTORS_LIST[[#This Row],[INVESTOR CODE]],[3]!Table_1[INVESTOR CODE],0))</f>
        <v>#REF!</v>
      </c>
      <c r="AD544" s="201" t="e">
        <f>INDEX([3]!Table_1[Brokerage Name2],MATCH(INVESTORS_LIST[[#This Row],[INVESTOR CODE]],[3]!Table_1[INVESTOR CODE],0))</f>
        <v>#REF!</v>
      </c>
      <c r="AE544" s="201" t="e">
        <f>MID(INVESTORS_LIST[[#This Row],[BO ID]],4,5)</f>
        <v>#REF!</v>
      </c>
      <c r="AF544" s="201" t="e">
        <f>MID(INVESTORS_LIST[[#This Row],[BO ID]],2,7)</f>
        <v>#REF!</v>
      </c>
      <c r="AG544" s="201" t="e">
        <f>MID(INVESTORS_LIST[[#This Row],[BO ID]],9,7)</f>
        <v>#REF!</v>
      </c>
      <c r="AH544" s="201" t="e">
        <f>RIGHT(INVESTORS_LIST[[#This Row],[BO ID]],1)</f>
        <v>#REF!</v>
      </c>
      <c r="AI544" s="50">
        <f>INVESTORS_LIST[[#This Row],[LS_TOTAL COST VALUE OF CURRENT UNITS]]+INVESTORS_LIST[[#This Row],[SIP_TOTAL COST VALUE OF CURRENT UNITS]]</f>
        <v>2394884.2495751684</v>
      </c>
      <c r="AJ544" s="109">
        <f>IF(INVESTORS_LIST[[#This Row],[TOTAL CURRENT UNITS]]=0,0,INVESTORS_LIST[[#This Row],[LS_TOTAL CURRENT UNITS]]/INVESTORS_LIST[[#This Row],[TOTAL CURRENT UNITS]])</f>
        <v>1</v>
      </c>
      <c r="AK544" s="109">
        <f>IF(INVESTORS_LIST[[#This Row],[TOTAL CURRENT UNITS]]=0,0,INVESTORS_LIST[[#This Row],[SIP_TOTAL CURRENT UNITS]]/INVESTORS_LIST[[#This Row],[TOTAL CURRENT UNITS]])</f>
        <v>0</v>
      </c>
      <c r="AL544" s="49" cm="1">
        <f t="array" ref="AL544">IF(INVESTORS_LIST[[#This Row],[LS_TOTAL UNITS BUY]]&gt;0,INDEX(LS[NAV at Cost (Average)],MATCH(CONCATENATE(COUNTIFS(LS[Investor ID],INVESTORS_LIST[[#This Row],[INVESTOR CODE]]),INVESTORS_LIST[[#This Row],[INVESTOR CODE]]),LS[Unique Code],0),),0)</f>
        <v>11.106709563247158</v>
      </c>
      <c r="AM544" s="49" cm="1">
        <f t="array" ref="AM5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4" s="105">
        <f>IF(INVESTORS_LIST[[#This Row],[TOTAL CURRENT UNITS]]=0,0,(INVESTORS_LIST[[#This Row],[LS_WEIGHT]]*INVESTORS_LIST[[#This Row],[LS_AVERAGE COST]])+(INVESTORS_LIST[[#This Row],[SIP_WEIGHT]]*INVESTORS_LIST[[#This Row],[SIP_AVERAGE COST]]))</f>
        <v>11.106709563247158</v>
      </c>
      <c r="AO544" s="105">
        <f t="shared" si="9"/>
        <v>14.224</v>
      </c>
      <c r="AP544" s="112">
        <f>IF(INVESTORS_LIST[[#This Row],[TOTAL CURRENT UNITS]]=0,0,INVESTORS_LIST[[#This Row],[TOTAL CURRENT UNITS]]*INVESTORS_LIST[[#This Row],[NAV]])</f>
        <v>3067050</v>
      </c>
      <c r="AQ544" s="49">
        <f>IF(INVESTORS_LIST[[#This Row],[LS_TOTAL CURRENT UNITS]]=0,0,INVESTORS_LIST[[#This Row],[LS_TOTAL CURRENT UNITS]]*INVESTORS_LIST[[#This Row],[NAV]])</f>
        <v>3067050</v>
      </c>
      <c r="AR544" s="48">
        <f>IF(INVESTORS_LIST[[#This Row],[SIP_TOTAL CURRENT UNITS]]=0,0,INVESTORS_LIST[[#This Row],[SIP_TOTAL CURRENT UNITS]]*INVESTORS_LIST[[#This Row],[NAV]])</f>
        <v>0</v>
      </c>
      <c r="AS544" s="50">
        <f>INVESTORS_LIST[[#This Row],[TOTAL CURRENT UNITS]]</f>
        <v>215625</v>
      </c>
      <c r="AT544" s="48">
        <f>IF(INVESTORS_LIST[[#This Row],[TOTAL SELLABLE UNITS]]=0,0,INVESTORS_LIST[[#This Row],[TOTAL SELLABLE UNITS]]*INVESTORS_LIST[[#This Row],[NAV]])</f>
        <v>3067050</v>
      </c>
      <c r="AU544" s="48">
        <f>INVESTORS_LIST[[#This Row],[LS_TOTAL REALIZED GAIN]]+INVESTORS_LIST[[#This Row],[SIP_TOTAL REALIZED GAIN]]</f>
        <v>144884.24957516836</v>
      </c>
      <c r="AV544" s="48">
        <f>INVESTORS_LIST[[#This Row],[TOTAL MARKET VALUE]]-INVESTORS_LIST[[#This Row],[TOTAL COST VALUE OF CURRENT INVESTMENT]]</f>
        <v>672165.75042483164</v>
      </c>
      <c r="AW544" s="48">
        <f>IFERROR(INVESTORS_LIST[[#This Row],[TOTAL CURRENT UNITS]]/SUM(INVESTORS_LIST[TOTAL CURRENT UNITS]),0)</f>
        <v>5.2345573275973511E-3</v>
      </c>
    </row>
    <row r="545" spans="1:49">
      <c r="A545" s="262" t="s">
        <v>1138</v>
      </c>
      <c r="B545" s="97" t="s">
        <v>1139</v>
      </c>
      <c r="C545" t="s">
        <v>44</v>
      </c>
      <c r="D545" s="75" t="s">
        <v>45</v>
      </c>
      <c r="E545" s="47">
        <f>SUMIFS(LS[Unit],LS[Investor ID],INVESTORS_LIST[[#This Row],[INVESTOR CODE]],LS[B/S],"B")</f>
        <v>850962</v>
      </c>
      <c r="F545" s="47">
        <f>-SUMIFS(LS[Unit],LS[Investor ID],INVESTORS_LIST[[#This Row],[INVESTOR CODE]],LS[B/S],"S")</f>
        <v>122371</v>
      </c>
      <c r="G545" s="47">
        <f>IF(INVESTORS_LIST[[#This Row],[LS_TOTAL UNITS BUY]]=0,0,INVESTORS_LIST[[#This Row],[LS_TOTAL UNITS BUY]]-INVESTORS_LIST[[#This Row],[LS_TOTAL UNITS SOLD]])</f>
        <v>728591</v>
      </c>
      <c r="H545" s="49">
        <f>IF(INVESTORS_LIST[[#This Row],[LS_TOTAL UNITS BUY]]=0,0,SUMIFS(LS[Amount],LS[Investor ID],INVESTORS_LIST[[#This Row],[INVESTOR CODE]],LS[B/S],"B"))</f>
        <v>10000000</v>
      </c>
      <c r="I545" s="48">
        <f>IF(INVESTORS_LIST[[#This Row],[LS_TOTAL UNITS SOLD]]=0,0,SUMIFS(LS[Cost of Units Sold],LS[Investor ID],INVESTORS_LIST[[#This Row],[INVESTOR CODE]],LS[B/S],"S"))</f>
        <v>1381839.0703266924</v>
      </c>
      <c r="J545" s="48">
        <f>IF(INVESTORS_LIST[[#This Row],[LS_TOTAL CURRENT UNITS]]=0,0,INVESTORS_LIST[[#This Row],[LS_TOTAL CURRENT UNITS]]*INVESTORS_LIST[[#This Row],[LS_AVERAGE COST]])</f>
        <v>8618160.9296733066</v>
      </c>
      <c r="K545" s="49">
        <f>IF(INVESTORS_LIST[[#This Row],[LS_TOTAL UNITS SOLD]]=0,0,SUMIFS(LS[Realized Gain],LS[Investor ID],INVESTORS_LIST[[#This Row],[INVESTOR CODE]],LS[B/S],"S"))</f>
        <v>188160.9296733076</v>
      </c>
      <c r="L545" s="47">
        <f>SUMIFS(SIP[Unit],SIP[Investor ID],INVESTORS_LIST[[#This Row],[INVESTOR CODE]],SIP[B/S],"B")</f>
        <v>0</v>
      </c>
      <c r="M545" s="47">
        <f>-SUMIFS(SIP[Unit],SIP[Investor ID],INVESTORS_LIST[[#This Row],[INVESTOR CODE]],SIP[B/S],"S")</f>
        <v>0</v>
      </c>
      <c r="N545" s="50">
        <f>IF(INVESTORS_LIST[[#This Row],[SIP_TOTAL UNITS BUY]]=0,0,INVESTORS_LIST[[#This Row],[SIP_TOTAL UNITS BUY]]-INVESTORS_LIST[[#This Row],[SIP_TOTAL UNITS SOLD]])</f>
        <v>0</v>
      </c>
      <c r="O545" s="49">
        <f>IF(INVESTORS_LIST[[#This Row],[SIP_TOTAL UNITS BUY]]=0,0,SUMIFS(SIP[Amount],SIP[Investor ID],INVESTORS_LIST[[#This Row],[INVESTOR CODE]],SIP[B/S],"B"))</f>
        <v>0</v>
      </c>
      <c r="P545" s="49">
        <f>IF(INVESTORS_LIST[[#This Row],[SIP_TOTAL UNITS SOLD]]=0,0,SUMIFS(SIP[Cost of Units Sold],SIP[Investor ID],INVESTORS_LIST[[#This Row],[INVESTOR CODE]],SIP[B/S],"S"))</f>
        <v>0</v>
      </c>
      <c r="Q545" s="48">
        <f>IF(INVESTORS_LIST[[#This Row],[SIP_TOTAL CURRENT UNITS]]=0,0,INVESTORS_LIST[[#This Row],[SIP_TOTAL CURRENT UNITS]]*INVESTORS_LIST[[#This Row],[SIP_AVERAGE COST]])</f>
        <v>0</v>
      </c>
      <c r="R545" s="48">
        <f>IF(INVESTORS_LIST[[#This Row],[SIP_TOTAL UNITS SOLD]]=0,0,SUMIFS(SIP[Realized Gain],SIP[Investor ID],INVESTORS_LIST[[#This Row],[INVESTOR CODE]],SIP[B/S],"S"))</f>
        <v>0</v>
      </c>
      <c r="S545" s="50">
        <f>INVESTORS_LIST[[#This Row],[LS_TOTAL UNITS BUY]]+INVESTORS_LIST[[#This Row],[SIP_TOTAL UNITS BUY]]</f>
        <v>850962</v>
      </c>
      <c r="T545" s="50">
        <f>INVESTORS_LIST[[#This Row],[LS_TOTAL UNITS SOLD]]+INVESTORS_LIST[[#This Row],[SIP_TOTAL UNITS SOLD]]</f>
        <v>122371</v>
      </c>
      <c r="U545" s="50"/>
      <c r="V545" s="50">
        <f>SUMIFS(LS[BO UNIT TRANSFER],LS[Investor ID],INVESTORS_LIST[[#This Row],[INVESTOR CODE]],LS[B/S],"B")</f>
        <v>0</v>
      </c>
      <c r="W545" s="50">
        <f>SUMIFS(SIP[BO UNIT TRANSFER],SIP[Investor ID],INVESTORS_LIST[[#This Row],[INVESTOR CODE]],SIP[B/S],"B")</f>
        <v>0</v>
      </c>
      <c r="X545" s="50">
        <f>SUMIFS(LS[BO UNIT TRANSFER],LS[Investor ID],INVESTORS_LIST[[#This Row],[INVESTOR CODE]],LS[B/S],"S")</f>
        <v>0</v>
      </c>
      <c r="Y545" s="50">
        <f>SUMIFS(SIP[BO UNIT TRANSFER],SIP[Investor ID],INVESTORS_LIST[[#This Row],[INVESTOR CODE]],SIP[B/S],"S")</f>
        <v>0</v>
      </c>
      <c r="Z545" s="106">
        <f>SUM(INVESTORS_LIST[[#This Row],[BO OPENING BALANCE]:[BO SIP UNITS REPURCHASE]])</f>
        <v>0</v>
      </c>
      <c r="AA545" s="107">
        <f>INVESTORS_LIST[[#This Row],[TOTAL UNITS BUY]]-INVESTORS_LIST[[#This Row],[TOTAL UNITS SOLD]]</f>
        <v>728591</v>
      </c>
      <c r="AB545" s="107">
        <f>INVESTORS_LIST[[#This Row],[TOTAL CURRENT UNITS]]-INVESTORS_LIST[[#This Row],[BO UNITS HOLD]]</f>
        <v>728591</v>
      </c>
      <c r="AC545" s="201" t="e">
        <f>INDEX([3]!Table_1[BO ID],MATCH(INVESTORS_LIST[[#This Row],[INVESTOR CODE]],[3]!Table_1[INVESTOR CODE],0))</f>
        <v>#REF!</v>
      </c>
      <c r="AD545" s="201" t="e">
        <f>INDEX([3]!Table_1[Brokerage Name2],MATCH(INVESTORS_LIST[[#This Row],[INVESTOR CODE]],[3]!Table_1[INVESTOR CODE],0))</f>
        <v>#REF!</v>
      </c>
      <c r="AE545" s="201" t="e">
        <f>MID(INVESTORS_LIST[[#This Row],[BO ID]],4,5)</f>
        <v>#REF!</v>
      </c>
      <c r="AF545" s="201" t="e">
        <f>MID(INVESTORS_LIST[[#This Row],[BO ID]],2,7)</f>
        <v>#REF!</v>
      </c>
      <c r="AG545" s="201" t="e">
        <f>MID(INVESTORS_LIST[[#This Row],[BO ID]],9,7)</f>
        <v>#REF!</v>
      </c>
      <c r="AH545" s="201" t="e">
        <f>RIGHT(INVESTORS_LIST[[#This Row],[BO ID]],1)</f>
        <v>#REF!</v>
      </c>
      <c r="AI545" s="50">
        <f>INVESTORS_LIST[[#This Row],[LS_TOTAL COST VALUE OF CURRENT UNITS]]+INVESTORS_LIST[[#This Row],[SIP_TOTAL COST VALUE OF CURRENT UNITS]]</f>
        <v>8618160.9296733066</v>
      </c>
      <c r="AJ545" s="109">
        <f>IF(INVESTORS_LIST[[#This Row],[TOTAL CURRENT UNITS]]=0,0,INVESTORS_LIST[[#This Row],[LS_TOTAL CURRENT UNITS]]/INVESTORS_LIST[[#This Row],[TOTAL CURRENT UNITS]])</f>
        <v>1</v>
      </c>
      <c r="AK545" s="109">
        <f>IF(INVESTORS_LIST[[#This Row],[TOTAL CURRENT UNITS]]=0,0,INVESTORS_LIST[[#This Row],[SIP_TOTAL CURRENT UNITS]]/INVESTORS_LIST[[#This Row],[TOTAL CURRENT UNITS]])</f>
        <v>0</v>
      </c>
      <c r="AL545" s="49" cm="1">
        <f t="array" ref="AL545">IF(INVESTORS_LIST[[#This Row],[LS_TOTAL UNITS BUY]]&gt;0,INDEX(LS[NAV at Cost (Average)],MATCH(CONCATENATE(COUNTIFS(LS[Investor ID],INVESTORS_LIST[[#This Row],[INVESTOR CODE]]),INVESTORS_LIST[[#This Row],[INVESTOR CODE]]),LS[Unique Code],0),),0)</f>
        <v>11.828530588043645</v>
      </c>
      <c r="AM545" s="49" cm="1">
        <f t="array" ref="AM5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5" s="105">
        <f>IF(INVESTORS_LIST[[#This Row],[TOTAL CURRENT UNITS]]=0,0,(INVESTORS_LIST[[#This Row],[LS_WEIGHT]]*INVESTORS_LIST[[#This Row],[LS_AVERAGE COST]])+(INVESTORS_LIST[[#This Row],[SIP_WEIGHT]]*INVESTORS_LIST[[#This Row],[SIP_AVERAGE COST]]))</f>
        <v>11.828530588043645</v>
      </c>
      <c r="AO545" s="105">
        <f t="shared" si="9"/>
        <v>14.224</v>
      </c>
      <c r="AP545" s="112">
        <f>IF(INVESTORS_LIST[[#This Row],[TOTAL CURRENT UNITS]]=0,0,INVESTORS_LIST[[#This Row],[TOTAL CURRENT UNITS]]*INVESTORS_LIST[[#This Row],[NAV]])</f>
        <v>10363478.384</v>
      </c>
      <c r="AQ545" s="49">
        <f>IF(INVESTORS_LIST[[#This Row],[LS_TOTAL CURRENT UNITS]]=0,0,INVESTORS_LIST[[#This Row],[LS_TOTAL CURRENT UNITS]]*INVESTORS_LIST[[#This Row],[NAV]])</f>
        <v>10363478.384</v>
      </c>
      <c r="AR545" s="48">
        <f>IF(INVESTORS_LIST[[#This Row],[SIP_TOTAL CURRENT UNITS]]=0,0,INVESTORS_LIST[[#This Row],[SIP_TOTAL CURRENT UNITS]]*INVESTORS_LIST[[#This Row],[NAV]])</f>
        <v>0</v>
      </c>
      <c r="AS545" s="50">
        <f>INVESTORS_LIST[[#This Row],[TOTAL CURRENT UNITS]]</f>
        <v>728591</v>
      </c>
      <c r="AT545" s="48">
        <f>IF(INVESTORS_LIST[[#This Row],[TOTAL SELLABLE UNITS]]=0,0,INVESTORS_LIST[[#This Row],[TOTAL SELLABLE UNITS]]*INVESTORS_LIST[[#This Row],[NAV]])</f>
        <v>10363478.384</v>
      </c>
      <c r="AU545" s="48">
        <f>INVESTORS_LIST[[#This Row],[LS_TOTAL REALIZED GAIN]]+INVESTORS_LIST[[#This Row],[SIP_TOTAL REALIZED GAIN]]</f>
        <v>188160.9296733076</v>
      </c>
      <c r="AV545" s="48">
        <f>INVESTORS_LIST[[#This Row],[TOTAL MARKET VALUE]]-INVESTORS_LIST[[#This Row],[TOTAL COST VALUE OF CURRENT INVESTMENT]]</f>
        <v>1745317.454326693</v>
      </c>
      <c r="AW545" s="48">
        <f>IFERROR(INVESTORS_LIST[[#This Row],[TOTAL CURRENT UNITS]]/SUM(INVESTORS_LIST[TOTAL CURRENT UNITS]),0)</f>
        <v>1.7687426587230059E-2</v>
      </c>
    </row>
    <row r="546" spans="1:49">
      <c r="A546" s="262" t="s">
        <v>1140</v>
      </c>
      <c r="B546" s="97" t="s">
        <v>1141</v>
      </c>
      <c r="C546" t="s">
        <v>67</v>
      </c>
      <c r="D546" s="75" t="s">
        <v>45</v>
      </c>
      <c r="E546" s="47">
        <f>SUMIFS(LS[Unit],LS[Investor ID],INVESTORS_LIST[[#This Row],[INVESTOR CODE]],LS[B/S],"B")</f>
        <v>171165</v>
      </c>
      <c r="F546" s="47">
        <f>-SUMIFS(LS[Unit],LS[Investor ID],INVESTORS_LIST[[#This Row],[INVESTOR CODE]],LS[B/S],"S")</f>
        <v>62769</v>
      </c>
      <c r="G546" s="47">
        <f>IF(INVESTORS_LIST[[#This Row],[LS_TOTAL UNITS BUY]]=0,0,INVESTORS_LIST[[#This Row],[LS_TOTAL UNITS BUY]]-INVESTORS_LIST[[#This Row],[LS_TOTAL UNITS SOLD]])</f>
        <v>108396</v>
      </c>
      <c r="H546" s="49">
        <f>IF(INVESTORS_LIST[[#This Row],[LS_TOTAL UNITS BUY]]=0,0,SUMIFS(LS[Amount],LS[Investor ID],INVESTORS_LIST[[#This Row],[INVESTOR CODE]],LS[B/S],"B"))</f>
        <v>2030000</v>
      </c>
      <c r="I546" s="48">
        <f>IF(INVESTORS_LIST[[#This Row],[LS_TOTAL UNITS SOLD]]=0,0,SUMIFS(LS[Cost of Units Sold],LS[Investor ID],INVESTORS_LIST[[#This Row],[INVESTOR CODE]],LS[B/S],"S"))</f>
        <v>693848.4496766706</v>
      </c>
      <c r="J546" s="48">
        <f>IF(INVESTORS_LIST[[#This Row],[LS_TOTAL CURRENT UNITS]]=0,0,INVESTORS_LIST[[#This Row],[LS_TOTAL CURRENT UNITS]]*INVESTORS_LIST[[#This Row],[LS_AVERAGE COST]])</f>
        <v>1336151.5503233296</v>
      </c>
      <c r="K546" s="49">
        <f>IF(INVESTORS_LIST[[#This Row],[LS_TOTAL UNITS SOLD]]=0,0,SUMIFS(LS[Realized Gain],LS[Investor ID],INVESTORS_LIST[[#This Row],[INVESTOR CODE]],LS[B/S],"S"))</f>
        <v>6151.5503233294367</v>
      </c>
      <c r="L546" s="47">
        <f>SUMIFS(SIP[Unit],SIP[Investor ID],INVESTORS_LIST[[#This Row],[INVESTOR CODE]],SIP[B/S],"B")</f>
        <v>0</v>
      </c>
      <c r="M546" s="47">
        <f>-SUMIFS(SIP[Unit],SIP[Investor ID],INVESTORS_LIST[[#This Row],[INVESTOR CODE]],SIP[B/S],"S")</f>
        <v>0</v>
      </c>
      <c r="N546" s="50">
        <f>IF(INVESTORS_LIST[[#This Row],[SIP_TOTAL UNITS BUY]]=0,0,INVESTORS_LIST[[#This Row],[SIP_TOTAL UNITS BUY]]-INVESTORS_LIST[[#This Row],[SIP_TOTAL UNITS SOLD]])</f>
        <v>0</v>
      </c>
      <c r="O546" s="49">
        <f>IF(INVESTORS_LIST[[#This Row],[SIP_TOTAL UNITS BUY]]=0,0,SUMIFS(SIP[Amount],SIP[Investor ID],INVESTORS_LIST[[#This Row],[INVESTOR CODE]],SIP[B/S],"B"))</f>
        <v>0</v>
      </c>
      <c r="P546" s="49">
        <f>IF(INVESTORS_LIST[[#This Row],[SIP_TOTAL UNITS SOLD]]=0,0,SUMIFS(SIP[Cost of Units Sold],SIP[Investor ID],INVESTORS_LIST[[#This Row],[INVESTOR CODE]],SIP[B/S],"S"))</f>
        <v>0</v>
      </c>
      <c r="Q546" s="48">
        <f>IF(INVESTORS_LIST[[#This Row],[SIP_TOTAL CURRENT UNITS]]=0,0,INVESTORS_LIST[[#This Row],[SIP_TOTAL CURRENT UNITS]]*INVESTORS_LIST[[#This Row],[SIP_AVERAGE COST]])</f>
        <v>0</v>
      </c>
      <c r="R546" s="48">
        <f>IF(INVESTORS_LIST[[#This Row],[SIP_TOTAL UNITS SOLD]]=0,0,SUMIFS(SIP[Realized Gain],SIP[Investor ID],INVESTORS_LIST[[#This Row],[INVESTOR CODE]],SIP[B/S],"S"))</f>
        <v>0</v>
      </c>
      <c r="S546" s="50">
        <f>INVESTORS_LIST[[#This Row],[LS_TOTAL UNITS BUY]]+INVESTORS_LIST[[#This Row],[SIP_TOTAL UNITS BUY]]</f>
        <v>171165</v>
      </c>
      <c r="T546" s="50">
        <f>INVESTORS_LIST[[#This Row],[LS_TOTAL UNITS SOLD]]+INVESTORS_LIST[[#This Row],[SIP_TOTAL UNITS SOLD]]</f>
        <v>62769</v>
      </c>
      <c r="U546" s="50">
        <v>63882</v>
      </c>
      <c r="V546" s="50">
        <f>SUMIFS(LS[BO UNIT TRANSFER],LS[Investor ID],INVESTORS_LIST[[#This Row],[INVESTOR CODE]],LS[B/S],"B")</f>
        <v>0</v>
      </c>
      <c r="W546" s="50">
        <f>SUMIFS(SIP[BO UNIT TRANSFER],SIP[Investor ID],INVESTORS_LIST[[#This Row],[INVESTOR CODE]],SIP[B/S],"B")</f>
        <v>0</v>
      </c>
      <c r="X546" s="50">
        <f>SUMIFS(LS[BO UNIT TRANSFER],LS[Investor ID],INVESTORS_LIST[[#This Row],[INVESTOR CODE]],LS[B/S],"S")</f>
        <v>0</v>
      </c>
      <c r="Y546" s="50">
        <f>SUMIFS(SIP[BO UNIT TRANSFER],SIP[Investor ID],INVESTORS_LIST[[#This Row],[INVESTOR CODE]],SIP[B/S],"S")</f>
        <v>0</v>
      </c>
      <c r="Z546" s="106">
        <f>SUM(INVESTORS_LIST[[#This Row],[BO OPENING BALANCE]:[BO SIP UNITS REPURCHASE]])</f>
        <v>63882</v>
      </c>
      <c r="AA546" s="107">
        <f>INVESTORS_LIST[[#This Row],[TOTAL UNITS BUY]]-INVESTORS_LIST[[#This Row],[TOTAL UNITS SOLD]]</f>
        <v>108396</v>
      </c>
      <c r="AB546" s="107">
        <f>INVESTORS_LIST[[#This Row],[TOTAL CURRENT UNITS]]-INVESTORS_LIST[[#This Row],[BO UNITS HOLD]]</f>
        <v>44514</v>
      </c>
      <c r="AC546" s="201" t="e">
        <f>INDEX([3]!Table_1[BO ID],MATCH(INVESTORS_LIST[[#This Row],[INVESTOR CODE]],[3]!Table_1[INVESTOR CODE],0))</f>
        <v>#REF!</v>
      </c>
      <c r="AD546" s="201" t="e">
        <f>INDEX([3]!Table_1[Brokerage Name2],MATCH(INVESTORS_LIST[[#This Row],[INVESTOR CODE]],[3]!Table_1[INVESTOR CODE],0))</f>
        <v>#REF!</v>
      </c>
      <c r="AE546" s="201" t="e">
        <f>MID(INVESTORS_LIST[[#This Row],[BO ID]],4,5)</f>
        <v>#REF!</v>
      </c>
      <c r="AF546" s="201" t="e">
        <f>MID(INVESTORS_LIST[[#This Row],[BO ID]],2,7)</f>
        <v>#REF!</v>
      </c>
      <c r="AG546" s="201" t="e">
        <f>MID(INVESTORS_LIST[[#This Row],[BO ID]],9,7)</f>
        <v>#REF!</v>
      </c>
      <c r="AH546" s="201" t="e">
        <f>RIGHT(INVESTORS_LIST[[#This Row],[BO ID]],1)</f>
        <v>#REF!</v>
      </c>
      <c r="AI546" s="50">
        <f>INVESTORS_LIST[[#This Row],[LS_TOTAL COST VALUE OF CURRENT UNITS]]+INVESTORS_LIST[[#This Row],[SIP_TOTAL COST VALUE OF CURRENT UNITS]]</f>
        <v>1336151.5503233296</v>
      </c>
      <c r="AJ546" s="109">
        <f>IF(INVESTORS_LIST[[#This Row],[TOTAL CURRENT UNITS]]=0,0,INVESTORS_LIST[[#This Row],[LS_TOTAL CURRENT UNITS]]/INVESTORS_LIST[[#This Row],[TOTAL CURRENT UNITS]])</f>
        <v>1</v>
      </c>
      <c r="AK546" s="109">
        <f>IF(INVESTORS_LIST[[#This Row],[TOTAL CURRENT UNITS]]=0,0,INVESTORS_LIST[[#This Row],[SIP_TOTAL CURRENT UNITS]]/INVESTORS_LIST[[#This Row],[TOTAL CURRENT UNITS]])</f>
        <v>0</v>
      </c>
      <c r="AL546" s="49" cm="1">
        <f t="array" ref="AL546">IF(INVESTORS_LIST[[#This Row],[LS_TOTAL UNITS BUY]]&gt;0,INDEX(LS[NAV at Cost (Average)],MATCH(CONCATENATE(COUNTIFS(LS[Investor ID],INVESTORS_LIST[[#This Row],[INVESTOR CODE]]),INVESTORS_LIST[[#This Row],[INVESTOR CODE]]),LS[Unique Code],0),),0)</f>
        <v>12.326576168155002</v>
      </c>
      <c r="AM546" s="49" cm="1">
        <f t="array" ref="AM5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6" s="105">
        <f>IF(INVESTORS_LIST[[#This Row],[TOTAL CURRENT UNITS]]=0,0,(INVESTORS_LIST[[#This Row],[LS_WEIGHT]]*INVESTORS_LIST[[#This Row],[LS_AVERAGE COST]])+(INVESTORS_LIST[[#This Row],[SIP_WEIGHT]]*INVESTORS_LIST[[#This Row],[SIP_AVERAGE COST]]))</f>
        <v>12.326576168155002</v>
      </c>
      <c r="AO546" s="105">
        <f t="shared" si="9"/>
        <v>14.224</v>
      </c>
      <c r="AP546" s="112">
        <f>IF(INVESTORS_LIST[[#This Row],[TOTAL CURRENT UNITS]]=0,0,INVESTORS_LIST[[#This Row],[TOTAL CURRENT UNITS]]*INVESTORS_LIST[[#This Row],[NAV]])</f>
        <v>1541824.7039999999</v>
      </c>
      <c r="AQ546" s="49">
        <f>IF(INVESTORS_LIST[[#This Row],[LS_TOTAL CURRENT UNITS]]=0,0,INVESTORS_LIST[[#This Row],[LS_TOTAL CURRENT UNITS]]*INVESTORS_LIST[[#This Row],[NAV]])</f>
        <v>1541824.7039999999</v>
      </c>
      <c r="AR546" s="48">
        <f>IF(INVESTORS_LIST[[#This Row],[SIP_TOTAL CURRENT UNITS]]=0,0,INVESTORS_LIST[[#This Row],[SIP_TOTAL CURRENT UNITS]]*INVESTORS_LIST[[#This Row],[NAV]])</f>
        <v>0</v>
      </c>
      <c r="AS546" s="50">
        <f>INVESTORS_LIST[[#This Row],[TOTAL CURRENT UNITS]]</f>
        <v>108396</v>
      </c>
      <c r="AT546" s="48">
        <f>IF(INVESTORS_LIST[[#This Row],[TOTAL SELLABLE UNITS]]=0,0,INVESTORS_LIST[[#This Row],[TOTAL SELLABLE UNITS]]*INVESTORS_LIST[[#This Row],[NAV]])</f>
        <v>1541824.7039999999</v>
      </c>
      <c r="AU546" s="48">
        <f>INVESTORS_LIST[[#This Row],[LS_TOTAL REALIZED GAIN]]+INVESTORS_LIST[[#This Row],[SIP_TOTAL REALIZED GAIN]]</f>
        <v>6151.5503233294367</v>
      </c>
      <c r="AV546" s="48">
        <f>INVESTORS_LIST[[#This Row],[TOTAL MARKET VALUE]]-INVESTORS_LIST[[#This Row],[TOTAL COST VALUE OF CURRENT INVESTMENT]]</f>
        <v>205673.15367667028</v>
      </c>
      <c r="AW546" s="48">
        <f>IFERROR(INVESTORS_LIST[[#This Row],[TOTAL CURRENT UNITS]]/SUM(INVESTORS_LIST[TOTAL CURRENT UNITS]),0)</f>
        <v>2.6314438311060518E-3</v>
      </c>
    </row>
    <row r="547" spans="1:49" hidden="1">
      <c r="A547" s="262" t="s">
        <v>1142</v>
      </c>
      <c r="B547" s="97" t="s">
        <v>1143</v>
      </c>
      <c r="C547" t="s">
        <v>44</v>
      </c>
      <c r="D547" s="75" t="s">
        <v>45</v>
      </c>
      <c r="E547" s="47">
        <f>SUMIFS(LS[Unit],LS[Investor ID],INVESTORS_LIST[[#This Row],[INVESTOR CODE]],LS[B/S],"B")</f>
        <v>238361</v>
      </c>
      <c r="F547" s="47">
        <f>-SUMIFS(LS[Unit],LS[Investor ID],INVESTORS_LIST[[#This Row],[INVESTOR CODE]],LS[B/S],"S")</f>
        <v>238361</v>
      </c>
      <c r="G547" s="47">
        <f>IF(INVESTORS_LIST[[#This Row],[LS_TOTAL UNITS BUY]]=0,0,INVESTORS_LIST[[#This Row],[LS_TOTAL UNITS BUY]]-INVESTORS_LIST[[#This Row],[LS_TOTAL UNITS SOLD]])</f>
        <v>0</v>
      </c>
      <c r="H547" s="49">
        <f>IF(INVESTORS_LIST[[#This Row],[LS_TOTAL UNITS BUY]]=0,0,SUMIFS(LS[Amount],LS[Investor ID],INVESTORS_LIST[[#This Row],[INVESTOR CODE]],LS[B/S],"B"))</f>
        <v>2700000</v>
      </c>
      <c r="I547" s="48">
        <f>IF(INVESTORS_LIST[[#This Row],[LS_TOTAL UNITS SOLD]]=0,0,SUMIFS(LS[Cost of Units Sold],LS[Investor ID],INVESTORS_LIST[[#This Row],[INVESTOR CODE]],LS[B/S],"S"))</f>
        <v>2700000</v>
      </c>
      <c r="J547" s="48">
        <f>IF(INVESTORS_LIST[[#This Row],[LS_TOTAL CURRENT UNITS]]=0,0,INVESTORS_LIST[[#This Row],[LS_TOTAL CURRENT UNITS]]*INVESTORS_LIST[[#This Row],[LS_AVERAGE COST]])</f>
        <v>0</v>
      </c>
      <c r="K547" s="49">
        <f>IF(INVESTORS_LIST[[#This Row],[LS_TOTAL UNITS SOLD]]=0,0,SUMIFS(LS[Realized Gain],LS[Investor ID],INVESTORS_LIST[[#This Row],[INVESTOR CODE]],LS[B/S],"S"))</f>
        <v>354901.25999999983</v>
      </c>
      <c r="L547" s="47">
        <f>SUMIFS(SIP[Unit],SIP[Investor ID],INVESTORS_LIST[[#This Row],[INVESTOR CODE]],SIP[B/S],"B")</f>
        <v>0</v>
      </c>
      <c r="M547" s="47">
        <f>-SUMIFS(SIP[Unit],SIP[Investor ID],INVESTORS_LIST[[#This Row],[INVESTOR CODE]],SIP[B/S],"S")</f>
        <v>0</v>
      </c>
      <c r="N547" s="50">
        <f>IF(INVESTORS_LIST[[#This Row],[SIP_TOTAL UNITS BUY]]=0,0,INVESTORS_LIST[[#This Row],[SIP_TOTAL UNITS BUY]]-INVESTORS_LIST[[#This Row],[SIP_TOTAL UNITS SOLD]])</f>
        <v>0</v>
      </c>
      <c r="O547" s="49">
        <f>IF(INVESTORS_LIST[[#This Row],[SIP_TOTAL UNITS BUY]]=0,0,SUMIFS(SIP[Amount],SIP[Investor ID],INVESTORS_LIST[[#This Row],[INVESTOR CODE]],SIP[B/S],"B"))</f>
        <v>0</v>
      </c>
      <c r="P547" s="49">
        <f>IF(INVESTORS_LIST[[#This Row],[SIP_TOTAL UNITS SOLD]]=0,0,SUMIFS(SIP[Cost of Units Sold],SIP[Investor ID],INVESTORS_LIST[[#This Row],[INVESTOR CODE]],SIP[B/S],"S"))</f>
        <v>0</v>
      </c>
      <c r="Q547" s="48">
        <f>IF(INVESTORS_LIST[[#This Row],[SIP_TOTAL CURRENT UNITS]]=0,0,INVESTORS_LIST[[#This Row],[SIP_TOTAL CURRENT UNITS]]*INVESTORS_LIST[[#This Row],[SIP_AVERAGE COST]])</f>
        <v>0</v>
      </c>
      <c r="R547" s="48">
        <f>IF(INVESTORS_LIST[[#This Row],[SIP_TOTAL UNITS SOLD]]=0,0,SUMIFS(SIP[Realized Gain],SIP[Investor ID],INVESTORS_LIST[[#This Row],[INVESTOR CODE]],SIP[B/S],"S"))</f>
        <v>0</v>
      </c>
      <c r="S547" s="50">
        <f>INVESTORS_LIST[[#This Row],[LS_TOTAL UNITS BUY]]+INVESTORS_LIST[[#This Row],[SIP_TOTAL UNITS BUY]]</f>
        <v>238361</v>
      </c>
      <c r="T547" s="50">
        <f>INVESTORS_LIST[[#This Row],[LS_TOTAL UNITS SOLD]]+INVESTORS_LIST[[#This Row],[SIP_TOTAL UNITS SOLD]]</f>
        <v>238361</v>
      </c>
      <c r="U547" s="50">
        <v>238361</v>
      </c>
      <c r="V547" s="50">
        <f>SUMIFS(LS[BO UNIT TRANSFER],LS[Investor ID],INVESTORS_LIST[[#This Row],[INVESTOR CODE]],LS[B/S],"B")</f>
        <v>0</v>
      </c>
      <c r="W547" s="50">
        <f>SUMIFS(SIP[BO UNIT TRANSFER],SIP[Investor ID],INVESTORS_LIST[[#This Row],[INVESTOR CODE]],SIP[B/S],"B")</f>
        <v>0</v>
      </c>
      <c r="X547" s="50">
        <f>SUMIFS(LS[BO UNIT TRANSFER],LS[Investor ID],INVESTORS_LIST[[#This Row],[INVESTOR CODE]],LS[B/S],"S")</f>
        <v>0</v>
      </c>
      <c r="Y547" s="50">
        <f>SUMIFS(SIP[BO UNIT TRANSFER],SIP[Investor ID],INVESTORS_LIST[[#This Row],[INVESTOR CODE]],SIP[B/S],"S")</f>
        <v>0</v>
      </c>
      <c r="Z547" s="106">
        <f>SUM(INVESTORS_LIST[[#This Row],[BO OPENING BALANCE]:[BO SIP UNITS REPURCHASE]])</f>
        <v>238361</v>
      </c>
      <c r="AA547" s="107">
        <f>INVESTORS_LIST[[#This Row],[TOTAL UNITS BUY]]-INVESTORS_LIST[[#This Row],[TOTAL UNITS SOLD]]</f>
        <v>0</v>
      </c>
      <c r="AB547" s="107">
        <f>INVESTORS_LIST[[#This Row],[TOTAL CURRENT UNITS]]-INVESTORS_LIST[[#This Row],[BO UNITS HOLD]]</f>
        <v>-238361</v>
      </c>
      <c r="AC547" s="201" t="e">
        <f>INDEX([3]!Table_1[BO ID],MATCH(INVESTORS_LIST[[#This Row],[INVESTOR CODE]],[3]!Table_1[INVESTOR CODE],0))</f>
        <v>#REF!</v>
      </c>
      <c r="AD547" s="201" t="e">
        <f>INDEX([3]!Table_1[Brokerage Name2],MATCH(INVESTORS_LIST[[#This Row],[INVESTOR CODE]],[3]!Table_1[INVESTOR CODE],0))</f>
        <v>#REF!</v>
      </c>
      <c r="AE547" s="201" t="e">
        <f>MID(INVESTORS_LIST[[#This Row],[BO ID]],4,5)</f>
        <v>#REF!</v>
      </c>
      <c r="AF547" s="201" t="e">
        <f>MID(INVESTORS_LIST[[#This Row],[BO ID]],2,7)</f>
        <v>#REF!</v>
      </c>
      <c r="AG547" s="201" t="e">
        <f>MID(INVESTORS_LIST[[#This Row],[BO ID]],9,7)</f>
        <v>#REF!</v>
      </c>
      <c r="AH547" s="201" t="e">
        <f>RIGHT(INVESTORS_LIST[[#This Row],[BO ID]],1)</f>
        <v>#REF!</v>
      </c>
      <c r="AI547" s="50">
        <f>INVESTORS_LIST[[#This Row],[LS_TOTAL COST VALUE OF CURRENT UNITS]]+INVESTORS_LIST[[#This Row],[SIP_TOTAL COST VALUE OF CURRENT UNITS]]</f>
        <v>0</v>
      </c>
      <c r="AJ547" s="109">
        <f>IF(INVESTORS_LIST[[#This Row],[TOTAL CURRENT UNITS]]=0,0,INVESTORS_LIST[[#This Row],[LS_TOTAL CURRENT UNITS]]/INVESTORS_LIST[[#This Row],[TOTAL CURRENT UNITS]])</f>
        <v>0</v>
      </c>
      <c r="AK547" s="109">
        <f>IF(INVESTORS_LIST[[#This Row],[TOTAL CURRENT UNITS]]=0,0,INVESTORS_LIST[[#This Row],[SIP_TOTAL CURRENT UNITS]]/INVESTORS_LIST[[#This Row],[TOTAL CURRENT UNITS]])</f>
        <v>0</v>
      </c>
      <c r="AL547" s="49" cm="1">
        <f t="array" ref="AL5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47" s="49" cm="1">
        <f t="array" ref="AM5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47" s="105">
        <f t="shared" si="9"/>
        <v>14.224</v>
      </c>
      <c r="AP547" s="112">
        <f>IF(INVESTORS_LIST[[#This Row],[TOTAL CURRENT UNITS]]=0,0,INVESTORS_LIST[[#This Row],[TOTAL CURRENT UNITS]]*INVESTORS_LIST[[#This Row],[NAV]])</f>
        <v>0</v>
      </c>
      <c r="AQ547" s="49">
        <f>IF(INVESTORS_LIST[[#This Row],[LS_TOTAL CURRENT UNITS]]=0,0,INVESTORS_LIST[[#This Row],[LS_TOTAL CURRENT UNITS]]*INVESTORS_LIST[[#This Row],[NAV]])</f>
        <v>0</v>
      </c>
      <c r="AR547" s="48">
        <f>IF(INVESTORS_LIST[[#This Row],[SIP_TOTAL CURRENT UNITS]]=0,0,INVESTORS_LIST[[#This Row],[SIP_TOTAL CURRENT UNITS]]*INVESTORS_LIST[[#This Row],[NAV]])</f>
        <v>0</v>
      </c>
      <c r="AS547" s="50">
        <f>INVESTORS_LIST[[#This Row],[TOTAL CURRENT UNITS]]</f>
        <v>0</v>
      </c>
      <c r="AT547" s="48">
        <f>IF(INVESTORS_LIST[[#This Row],[TOTAL SELLABLE UNITS]]=0,0,INVESTORS_LIST[[#This Row],[TOTAL SELLABLE UNITS]]*INVESTORS_LIST[[#This Row],[NAV]])</f>
        <v>0</v>
      </c>
      <c r="AU547" s="48">
        <f>INVESTORS_LIST[[#This Row],[LS_TOTAL REALIZED GAIN]]+INVESTORS_LIST[[#This Row],[SIP_TOTAL REALIZED GAIN]]</f>
        <v>354901.25999999983</v>
      </c>
      <c r="AV547" s="48">
        <f>INVESTORS_LIST[[#This Row],[TOTAL MARKET VALUE]]-INVESTORS_LIST[[#This Row],[TOTAL COST VALUE OF CURRENT INVESTMENT]]</f>
        <v>0</v>
      </c>
      <c r="AW547" s="48">
        <f>IFERROR(INVESTORS_LIST[[#This Row],[TOTAL CURRENT UNITS]]/SUM(INVESTORS_LIST[TOTAL CURRENT UNITS]),0)</f>
        <v>0</v>
      </c>
    </row>
    <row r="548" spans="1:49">
      <c r="A548" s="262" t="s">
        <v>1144</v>
      </c>
      <c r="B548" s="97" t="s">
        <v>1145</v>
      </c>
      <c r="C548" t="s">
        <v>67</v>
      </c>
      <c r="D548" s="75" t="s">
        <v>45</v>
      </c>
      <c r="E548" s="47">
        <f>SUMIFS(LS[Unit],LS[Investor ID],INVESTORS_LIST[[#This Row],[INVESTOR CODE]],LS[B/S],"B")</f>
        <v>45118</v>
      </c>
      <c r="F548" s="47">
        <f>-SUMIFS(LS[Unit],LS[Investor ID],INVESTORS_LIST[[#This Row],[INVESTOR CODE]],LS[B/S],"S")</f>
        <v>44674</v>
      </c>
      <c r="G548" s="47">
        <f>IF(INVESTORS_LIST[[#This Row],[LS_TOTAL UNITS BUY]]=0,0,INVESTORS_LIST[[#This Row],[LS_TOTAL UNITS BUY]]-INVESTORS_LIST[[#This Row],[LS_TOTAL UNITS SOLD]])</f>
        <v>444</v>
      </c>
      <c r="H548" s="49">
        <f>IF(INVESTORS_LIST[[#This Row],[LS_TOTAL UNITS BUY]]=0,0,SUMIFS(LS[Amount],LS[Investor ID],INVESTORS_LIST[[#This Row],[INVESTOR CODE]],LS[B/S],"B"))</f>
        <v>500000</v>
      </c>
      <c r="I548" s="48">
        <f>IF(INVESTORS_LIST[[#This Row],[LS_TOTAL UNITS SOLD]]=0,0,SUMIFS(LS[Cost of Units Sold],LS[Investor ID],INVESTORS_LIST[[#This Row],[INVESTOR CODE]],LS[B/S],"S"))</f>
        <v>495079.56912983733</v>
      </c>
      <c r="J548" s="48">
        <f>IF(INVESTORS_LIST[[#This Row],[LS_TOTAL CURRENT UNITS]]=0,0,INVESTORS_LIST[[#This Row],[LS_TOTAL CURRENT UNITS]]*INVESTORS_LIST[[#This Row],[LS_AVERAGE COST]])</f>
        <v>4920.4308701626851</v>
      </c>
      <c r="K548" s="49">
        <f>IF(INVESTORS_LIST[[#This Row],[LS_TOTAL UNITS SOLD]]=0,0,SUMIFS(LS[Realized Gain],LS[Investor ID],INVESTORS_LIST[[#This Row],[INVESTOR CODE]],LS[B/S],"S"))</f>
        <v>102295.25087016262</v>
      </c>
      <c r="L548" s="47">
        <f>SUMIFS(SIP[Unit],SIP[Investor ID],INVESTORS_LIST[[#This Row],[INVESTOR CODE]],SIP[B/S],"B")</f>
        <v>0</v>
      </c>
      <c r="M548" s="47">
        <f>-SUMIFS(SIP[Unit],SIP[Investor ID],INVESTORS_LIST[[#This Row],[INVESTOR CODE]],SIP[B/S],"S")</f>
        <v>0</v>
      </c>
      <c r="N548" s="50">
        <f>IF(INVESTORS_LIST[[#This Row],[SIP_TOTAL UNITS BUY]]=0,0,INVESTORS_LIST[[#This Row],[SIP_TOTAL UNITS BUY]]-INVESTORS_LIST[[#This Row],[SIP_TOTAL UNITS SOLD]])</f>
        <v>0</v>
      </c>
      <c r="O548" s="49">
        <f>IF(INVESTORS_LIST[[#This Row],[SIP_TOTAL UNITS BUY]]=0,0,SUMIFS(SIP[Amount],SIP[Investor ID],INVESTORS_LIST[[#This Row],[INVESTOR CODE]],SIP[B/S],"B"))</f>
        <v>0</v>
      </c>
      <c r="P548" s="49">
        <f>IF(INVESTORS_LIST[[#This Row],[SIP_TOTAL UNITS SOLD]]=0,0,SUMIFS(SIP[Cost of Units Sold],SIP[Investor ID],INVESTORS_LIST[[#This Row],[INVESTOR CODE]],SIP[B/S],"S"))</f>
        <v>0</v>
      </c>
      <c r="Q548" s="48">
        <f>IF(INVESTORS_LIST[[#This Row],[SIP_TOTAL CURRENT UNITS]]=0,0,INVESTORS_LIST[[#This Row],[SIP_TOTAL CURRENT UNITS]]*INVESTORS_LIST[[#This Row],[SIP_AVERAGE COST]])</f>
        <v>0</v>
      </c>
      <c r="R548" s="48">
        <f>IF(INVESTORS_LIST[[#This Row],[SIP_TOTAL UNITS SOLD]]=0,0,SUMIFS(SIP[Realized Gain],SIP[Investor ID],INVESTORS_LIST[[#This Row],[INVESTOR CODE]],SIP[B/S],"S"))</f>
        <v>0</v>
      </c>
      <c r="S548" s="50">
        <f>INVESTORS_LIST[[#This Row],[LS_TOTAL UNITS BUY]]+INVESTORS_LIST[[#This Row],[SIP_TOTAL UNITS BUY]]</f>
        <v>45118</v>
      </c>
      <c r="T548" s="50">
        <f>INVESTORS_LIST[[#This Row],[LS_TOTAL UNITS SOLD]]+INVESTORS_LIST[[#This Row],[SIP_TOTAL UNITS SOLD]]</f>
        <v>44674</v>
      </c>
      <c r="U548" s="50"/>
      <c r="V548" s="50">
        <f>SUMIFS(LS[BO UNIT TRANSFER],LS[Investor ID],INVESTORS_LIST[[#This Row],[INVESTOR CODE]],LS[B/S],"B")</f>
        <v>0</v>
      </c>
      <c r="W548" s="50">
        <f>SUMIFS(SIP[BO UNIT TRANSFER],SIP[Investor ID],INVESTORS_LIST[[#This Row],[INVESTOR CODE]],SIP[B/S],"B")</f>
        <v>0</v>
      </c>
      <c r="X548" s="50">
        <f>SUMIFS(LS[BO UNIT TRANSFER],LS[Investor ID],INVESTORS_LIST[[#This Row],[INVESTOR CODE]],LS[B/S],"S")</f>
        <v>0</v>
      </c>
      <c r="Y548" s="50">
        <f>SUMIFS(SIP[BO UNIT TRANSFER],SIP[Investor ID],INVESTORS_LIST[[#This Row],[INVESTOR CODE]],SIP[B/S],"S")</f>
        <v>0</v>
      </c>
      <c r="Z548" s="106">
        <f>SUM(INVESTORS_LIST[[#This Row],[BO OPENING BALANCE]:[BO SIP UNITS REPURCHASE]])</f>
        <v>0</v>
      </c>
      <c r="AA548" s="107">
        <f>INVESTORS_LIST[[#This Row],[TOTAL UNITS BUY]]-INVESTORS_LIST[[#This Row],[TOTAL UNITS SOLD]]</f>
        <v>444</v>
      </c>
      <c r="AB548" s="107">
        <f>INVESTORS_LIST[[#This Row],[TOTAL CURRENT UNITS]]-INVESTORS_LIST[[#This Row],[BO UNITS HOLD]]</f>
        <v>444</v>
      </c>
      <c r="AC548" s="201" t="e">
        <f>INDEX([3]!Table_1[BO ID],MATCH(INVESTORS_LIST[[#This Row],[INVESTOR CODE]],[3]!Table_1[INVESTOR CODE],0))</f>
        <v>#REF!</v>
      </c>
      <c r="AD548" s="201" t="e">
        <f>INDEX([3]!Table_1[Brokerage Name2],MATCH(INVESTORS_LIST[[#This Row],[INVESTOR CODE]],[3]!Table_1[INVESTOR CODE],0))</f>
        <v>#REF!</v>
      </c>
      <c r="AE548" s="201" t="e">
        <f>MID(INVESTORS_LIST[[#This Row],[BO ID]],4,5)</f>
        <v>#REF!</v>
      </c>
      <c r="AF548" s="201" t="e">
        <f>MID(INVESTORS_LIST[[#This Row],[BO ID]],2,7)</f>
        <v>#REF!</v>
      </c>
      <c r="AG548" s="201" t="e">
        <f>MID(INVESTORS_LIST[[#This Row],[BO ID]],9,7)</f>
        <v>#REF!</v>
      </c>
      <c r="AH548" s="201" t="e">
        <f>RIGHT(INVESTORS_LIST[[#This Row],[BO ID]],1)</f>
        <v>#REF!</v>
      </c>
      <c r="AI548" s="50">
        <f>INVESTORS_LIST[[#This Row],[LS_TOTAL COST VALUE OF CURRENT UNITS]]+INVESTORS_LIST[[#This Row],[SIP_TOTAL COST VALUE OF CURRENT UNITS]]</f>
        <v>4920.4308701626851</v>
      </c>
      <c r="AJ548" s="109">
        <f>IF(INVESTORS_LIST[[#This Row],[TOTAL CURRENT UNITS]]=0,0,INVESTORS_LIST[[#This Row],[LS_TOTAL CURRENT UNITS]]/INVESTORS_LIST[[#This Row],[TOTAL CURRENT UNITS]])</f>
        <v>1</v>
      </c>
      <c r="AK548" s="109">
        <f>IF(INVESTORS_LIST[[#This Row],[TOTAL CURRENT UNITS]]=0,0,INVESTORS_LIST[[#This Row],[SIP_TOTAL CURRENT UNITS]]/INVESTORS_LIST[[#This Row],[TOTAL CURRENT UNITS]])</f>
        <v>0</v>
      </c>
      <c r="AL548" s="49" cm="1">
        <f t="array" ref="AL548">IF(INVESTORS_LIST[[#This Row],[LS_TOTAL UNITS BUY]]&gt;0,INDEX(LS[NAV at Cost (Average)],MATCH(CONCATENATE(COUNTIFS(LS[Investor ID],INVESTORS_LIST[[#This Row],[INVESTOR CODE]]),INVESTORS_LIST[[#This Row],[INVESTOR CODE]]),LS[Unique Code],0),),0)</f>
        <v>11.082051509375416</v>
      </c>
      <c r="AM548" s="49" cm="1">
        <f t="array" ref="AM5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8" s="105">
        <f>IF(INVESTORS_LIST[[#This Row],[TOTAL CURRENT UNITS]]=0,0,(INVESTORS_LIST[[#This Row],[LS_WEIGHT]]*INVESTORS_LIST[[#This Row],[LS_AVERAGE COST]])+(INVESTORS_LIST[[#This Row],[SIP_WEIGHT]]*INVESTORS_LIST[[#This Row],[SIP_AVERAGE COST]]))</f>
        <v>11.082051509375416</v>
      </c>
      <c r="AO548" s="105">
        <f t="shared" si="9"/>
        <v>14.224</v>
      </c>
      <c r="AP548" s="112">
        <f>IF(INVESTORS_LIST[[#This Row],[TOTAL CURRENT UNITS]]=0,0,INVESTORS_LIST[[#This Row],[TOTAL CURRENT UNITS]]*INVESTORS_LIST[[#This Row],[NAV]])</f>
        <v>6315.4560000000001</v>
      </c>
      <c r="AQ548" s="49">
        <f>IF(INVESTORS_LIST[[#This Row],[LS_TOTAL CURRENT UNITS]]=0,0,INVESTORS_LIST[[#This Row],[LS_TOTAL CURRENT UNITS]]*INVESTORS_LIST[[#This Row],[NAV]])</f>
        <v>6315.4560000000001</v>
      </c>
      <c r="AR548" s="48">
        <f>IF(INVESTORS_LIST[[#This Row],[SIP_TOTAL CURRENT UNITS]]=0,0,INVESTORS_LIST[[#This Row],[SIP_TOTAL CURRENT UNITS]]*INVESTORS_LIST[[#This Row],[NAV]])</f>
        <v>0</v>
      </c>
      <c r="AS548" s="50">
        <f>INVESTORS_LIST[[#This Row],[TOTAL CURRENT UNITS]]</f>
        <v>444</v>
      </c>
      <c r="AT548" s="48">
        <f>IF(INVESTORS_LIST[[#This Row],[TOTAL SELLABLE UNITS]]=0,0,INVESTORS_LIST[[#This Row],[TOTAL SELLABLE UNITS]]*INVESTORS_LIST[[#This Row],[NAV]])</f>
        <v>6315.4560000000001</v>
      </c>
      <c r="AU548" s="48">
        <f>INVESTORS_LIST[[#This Row],[LS_TOTAL REALIZED GAIN]]+INVESTORS_LIST[[#This Row],[SIP_TOTAL REALIZED GAIN]]</f>
        <v>102295.25087016262</v>
      </c>
      <c r="AV548" s="48">
        <f>INVESTORS_LIST[[#This Row],[TOTAL MARKET VALUE]]-INVESTORS_LIST[[#This Row],[TOTAL COST VALUE OF CURRENT INVESTMENT]]</f>
        <v>1395.025129837315</v>
      </c>
      <c r="AW548" s="48">
        <f>IFERROR(INVESTORS_LIST[[#This Row],[TOTAL CURRENT UNITS]]/SUM(INVESTORS_LIST[TOTAL CURRENT UNITS]),0)</f>
        <v>1.0778636305870023E-5</v>
      </c>
    </row>
    <row r="549" spans="1:49">
      <c r="A549" s="262" t="s">
        <v>1146</v>
      </c>
      <c r="B549" s="97" t="s">
        <v>1147</v>
      </c>
      <c r="C549" t="s">
        <v>67</v>
      </c>
      <c r="D549" s="75" t="s">
        <v>45</v>
      </c>
      <c r="E549" s="47">
        <f>SUMIFS(LS[Unit],LS[Investor ID],INVESTORS_LIST[[#This Row],[INVESTOR CODE]],LS[B/S],"B")</f>
        <v>2262</v>
      </c>
      <c r="F549" s="47">
        <f>-SUMIFS(LS[Unit],LS[Investor ID],INVESTORS_LIST[[#This Row],[INVESTOR CODE]],LS[B/S],"S")</f>
        <v>0</v>
      </c>
      <c r="G549" s="47">
        <f>IF(INVESTORS_LIST[[#This Row],[LS_TOTAL UNITS BUY]]=0,0,INVESTORS_LIST[[#This Row],[LS_TOTAL UNITS BUY]]-INVESTORS_LIST[[#This Row],[LS_TOTAL UNITS SOLD]])</f>
        <v>2262</v>
      </c>
      <c r="H549" s="49">
        <f>IF(INVESTORS_LIST[[#This Row],[LS_TOTAL UNITS BUY]]=0,0,SUMIFS(LS[Amount],LS[Investor ID],INVESTORS_LIST[[#This Row],[INVESTOR CODE]],LS[B/S],"B"))</f>
        <v>25000</v>
      </c>
      <c r="I549" s="48">
        <f>IF(INVESTORS_LIST[[#This Row],[LS_TOTAL UNITS SOLD]]=0,0,SUMIFS(LS[Cost of Units Sold],LS[Investor ID],INVESTORS_LIST[[#This Row],[INVESTOR CODE]],LS[B/S],"S"))</f>
        <v>0</v>
      </c>
      <c r="J549" s="48">
        <f>IF(INVESTORS_LIST[[#This Row],[LS_TOTAL CURRENT UNITS]]=0,0,INVESTORS_LIST[[#This Row],[LS_TOTAL CURRENT UNITS]]*INVESTORS_LIST[[#This Row],[LS_AVERAGE COST]])</f>
        <v>25000</v>
      </c>
      <c r="K549" s="49">
        <f>IF(INVESTORS_LIST[[#This Row],[LS_TOTAL UNITS SOLD]]=0,0,SUMIFS(LS[Realized Gain],LS[Investor ID],INVESTORS_LIST[[#This Row],[INVESTOR CODE]],LS[B/S],"S"))</f>
        <v>0</v>
      </c>
      <c r="L549" s="47">
        <f>SUMIFS(SIP[Unit],SIP[Investor ID],INVESTORS_LIST[[#This Row],[INVESTOR CODE]],SIP[B/S],"B")</f>
        <v>0</v>
      </c>
      <c r="M549" s="47">
        <f>-SUMIFS(SIP[Unit],SIP[Investor ID],INVESTORS_LIST[[#This Row],[INVESTOR CODE]],SIP[B/S],"S")</f>
        <v>0</v>
      </c>
      <c r="N549" s="50">
        <f>IF(INVESTORS_LIST[[#This Row],[SIP_TOTAL UNITS BUY]]=0,0,INVESTORS_LIST[[#This Row],[SIP_TOTAL UNITS BUY]]-INVESTORS_LIST[[#This Row],[SIP_TOTAL UNITS SOLD]])</f>
        <v>0</v>
      </c>
      <c r="O549" s="49">
        <f>IF(INVESTORS_LIST[[#This Row],[SIP_TOTAL UNITS BUY]]=0,0,SUMIFS(SIP[Amount],SIP[Investor ID],INVESTORS_LIST[[#This Row],[INVESTOR CODE]],SIP[B/S],"B"))</f>
        <v>0</v>
      </c>
      <c r="P549" s="49">
        <f>IF(INVESTORS_LIST[[#This Row],[SIP_TOTAL UNITS SOLD]]=0,0,SUMIFS(SIP[Cost of Units Sold],SIP[Investor ID],INVESTORS_LIST[[#This Row],[INVESTOR CODE]],SIP[B/S],"S"))</f>
        <v>0</v>
      </c>
      <c r="Q549" s="48">
        <f>IF(INVESTORS_LIST[[#This Row],[SIP_TOTAL CURRENT UNITS]]=0,0,INVESTORS_LIST[[#This Row],[SIP_TOTAL CURRENT UNITS]]*INVESTORS_LIST[[#This Row],[SIP_AVERAGE COST]])</f>
        <v>0</v>
      </c>
      <c r="R549" s="48">
        <f>IF(INVESTORS_LIST[[#This Row],[SIP_TOTAL UNITS SOLD]]=0,0,SUMIFS(SIP[Realized Gain],SIP[Investor ID],INVESTORS_LIST[[#This Row],[INVESTOR CODE]],SIP[B/S],"S"))</f>
        <v>0</v>
      </c>
      <c r="S549" s="50">
        <f>INVESTORS_LIST[[#This Row],[LS_TOTAL UNITS BUY]]+INVESTORS_LIST[[#This Row],[SIP_TOTAL UNITS BUY]]</f>
        <v>2262</v>
      </c>
      <c r="T549" s="50">
        <f>INVESTORS_LIST[[#This Row],[LS_TOTAL UNITS SOLD]]+INVESTORS_LIST[[#This Row],[SIP_TOTAL UNITS SOLD]]</f>
        <v>0</v>
      </c>
      <c r="U549" s="50"/>
      <c r="V549" s="50">
        <f>SUMIFS(LS[BO UNIT TRANSFER],LS[Investor ID],INVESTORS_LIST[[#This Row],[INVESTOR CODE]],LS[B/S],"B")</f>
        <v>0</v>
      </c>
      <c r="W549" s="50">
        <f>SUMIFS(SIP[BO UNIT TRANSFER],SIP[Investor ID],INVESTORS_LIST[[#This Row],[INVESTOR CODE]],SIP[B/S],"B")</f>
        <v>0</v>
      </c>
      <c r="X549" s="50">
        <f>SUMIFS(LS[BO UNIT TRANSFER],LS[Investor ID],INVESTORS_LIST[[#This Row],[INVESTOR CODE]],LS[B/S],"S")</f>
        <v>0</v>
      </c>
      <c r="Y549" s="50">
        <f>SUMIFS(SIP[BO UNIT TRANSFER],SIP[Investor ID],INVESTORS_LIST[[#This Row],[INVESTOR CODE]],SIP[B/S],"S")</f>
        <v>0</v>
      </c>
      <c r="Z549" s="106">
        <f>SUM(INVESTORS_LIST[[#This Row],[BO OPENING BALANCE]:[BO SIP UNITS REPURCHASE]])</f>
        <v>0</v>
      </c>
      <c r="AA549" s="107">
        <f>INVESTORS_LIST[[#This Row],[TOTAL UNITS BUY]]-INVESTORS_LIST[[#This Row],[TOTAL UNITS SOLD]]</f>
        <v>2262</v>
      </c>
      <c r="AB549" s="107">
        <f>INVESTORS_LIST[[#This Row],[TOTAL CURRENT UNITS]]-INVESTORS_LIST[[#This Row],[BO UNITS HOLD]]</f>
        <v>2262</v>
      </c>
      <c r="AC549" s="201" t="e">
        <f>INDEX([3]!Table_1[BO ID],MATCH(INVESTORS_LIST[[#This Row],[INVESTOR CODE]],[3]!Table_1[INVESTOR CODE],0))</f>
        <v>#REF!</v>
      </c>
      <c r="AD549" s="201" t="e">
        <f>INDEX([3]!Table_1[Brokerage Name2],MATCH(INVESTORS_LIST[[#This Row],[INVESTOR CODE]],[3]!Table_1[INVESTOR CODE],0))</f>
        <v>#REF!</v>
      </c>
      <c r="AE549" s="201" t="e">
        <f>MID(INVESTORS_LIST[[#This Row],[BO ID]],4,5)</f>
        <v>#REF!</v>
      </c>
      <c r="AF549" s="201" t="e">
        <f>MID(INVESTORS_LIST[[#This Row],[BO ID]],2,7)</f>
        <v>#REF!</v>
      </c>
      <c r="AG549" s="201" t="e">
        <f>MID(INVESTORS_LIST[[#This Row],[BO ID]],9,7)</f>
        <v>#REF!</v>
      </c>
      <c r="AH549" s="201" t="e">
        <f>RIGHT(INVESTORS_LIST[[#This Row],[BO ID]],1)</f>
        <v>#REF!</v>
      </c>
      <c r="AI549" s="50">
        <f>INVESTORS_LIST[[#This Row],[LS_TOTAL COST VALUE OF CURRENT UNITS]]+INVESTORS_LIST[[#This Row],[SIP_TOTAL COST VALUE OF CURRENT UNITS]]</f>
        <v>25000</v>
      </c>
      <c r="AJ549" s="109">
        <f>IF(INVESTORS_LIST[[#This Row],[TOTAL CURRENT UNITS]]=0,0,INVESTORS_LIST[[#This Row],[LS_TOTAL CURRENT UNITS]]/INVESTORS_LIST[[#This Row],[TOTAL CURRENT UNITS]])</f>
        <v>1</v>
      </c>
      <c r="AK549" s="109">
        <f>IF(INVESTORS_LIST[[#This Row],[TOTAL CURRENT UNITS]]=0,0,INVESTORS_LIST[[#This Row],[SIP_TOTAL CURRENT UNITS]]/INVESTORS_LIST[[#This Row],[TOTAL CURRENT UNITS]])</f>
        <v>0</v>
      </c>
      <c r="AL549" s="49" cm="1">
        <f t="array" ref="AL549">IF(INVESTORS_LIST[[#This Row],[LS_TOTAL UNITS BUY]]&gt;0,INDEX(LS[NAV at Cost (Average)],MATCH(CONCATENATE(COUNTIFS(LS[Investor ID],INVESTORS_LIST[[#This Row],[INVESTOR CODE]]),INVESTORS_LIST[[#This Row],[INVESTOR CODE]]),LS[Unique Code],0),),0)</f>
        <v>11.052166224580018</v>
      </c>
      <c r="AM549" s="49" cm="1">
        <f t="array" ref="AM5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49" s="105">
        <f>IF(INVESTORS_LIST[[#This Row],[TOTAL CURRENT UNITS]]=0,0,(INVESTORS_LIST[[#This Row],[LS_WEIGHT]]*INVESTORS_LIST[[#This Row],[LS_AVERAGE COST]])+(INVESTORS_LIST[[#This Row],[SIP_WEIGHT]]*INVESTORS_LIST[[#This Row],[SIP_AVERAGE COST]]))</f>
        <v>11.052166224580018</v>
      </c>
      <c r="AO549" s="105">
        <f t="shared" si="9"/>
        <v>14.224</v>
      </c>
      <c r="AP549" s="112">
        <f>IF(INVESTORS_LIST[[#This Row],[TOTAL CURRENT UNITS]]=0,0,INVESTORS_LIST[[#This Row],[TOTAL CURRENT UNITS]]*INVESTORS_LIST[[#This Row],[NAV]])</f>
        <v>32174.688000000002</v>
      </c>
      <c r="AQ549" s="49">
        <f>IF(INVESTORS_LIST[[#This Row],[LS_TOTAL CURRENT UNITS]]=0,0,INVESTORS_LIST[[#This Row],[LS_TOTAL CURRENT UNITS]]*INVESTORS_LIST[[#This Row],[NAV]])</f>
        <v>32174.688000000002</v>
      </c>
      <c r="AR549" s="48">
        <f>IF(INVESTORS_LIST[[#This Row],[SIP_TOTAL CURRENT UNITS]]=0,0,INVESTORS_LIST[[#This Row],[SIP_TOTAL CURRENT UNITS]]*INVESTORS_LIST[[#This Row],[NAV]])</f>
        <v>0</v>
      </c>
      <c r="AS549" s="50">
        <f>INVESTORS_LIST[[#This Row],[TOTAL CURRENT UNITS]]</f>
        <v>2262</v>
      </c>
      <c r="AT549" s="48">
        <f>IF(INVESTORS_LIST[[#This Row],[TOTAL SELLABLE UNITS]]=0,0,INVESTORS_LIST[[#This Row],[TOTAL SELLABLE UNITS]]*INVESTORS_LIST[[#This Row],[NAV]])</f>
        <v>32174.688000000002</v>
      </c>
      <c r="AU549" s="48">
        <f>INVESTORS_LIST[[#This Row],[LS_TOTAL REALIZED GAIN]]+INVESTORS_LIST[[#This Row],[SIP_TOTAL REALIZED GAIN]]</f>
        <v>0</v>
      </c>
      <c r="AV549" s="48">
        <f>INVESTORS_LIST[[#This Row],[TOTAL MARKET VALUE]]-INVESTORS_LIST[[#This Row],[TOTAL COST VALUE OF CURRENT INVESTMENT]]</f>
        <v>7174.6880000000019</v>
      </c>
      <c r="AW549" s="48">
        <f>IFERROR(INVESTORS_LIST[[#This Row],[TOTAL CURRENT UNITS]]/SUM(INVESTORS_LIST[TOTAL CURRENT UNITS]),0)</f>
        <v>5.4912782260986468E-5</v>
      </c>
    </row>
    <row r="550" spans="1:49">
      <c r="A550" s="262" t="s">
        <v>1148</v>
      </c>
      <c r="B550" s="97" t="s">
        <v>1149</v>
      </c>
      <c r="C550" t="s">
        <v>44</v>
      </c>
      <c r="D550" s="75" t="s">
        <v>45</v>
      </c>
      <c r="E550" s="47">
        <f>SUMIFS(LS[Unit],LS[Investor ID],INVESTORS_LIST[[#This Row],[INVESTOR CODE]],LS[B/S],"B")</f>
        <v>220342</v>
      </c>
      <c r="F550" s="47">
        <f>-SUMIFS(LS[Unit],LS[Investor ID],INVESTORS_LIST[[#This Row],[INVESTOR CODE]],LS[B/S],"S")</f>
        <v>0</v>
      </c>
      <c r="G550" s="47">
        <f>IF(INVESTORS_LIST[[#This Row],[LS_TOTAL UNITS BUY]]=0,0,INVESTORS_LIST[[#This Row],[LS_TOTAL UNITS BUY]]-INVESTORS_LIST[[#This Row],[LS_TOTAL UNITS SOLD]])</f>
        <v>220342</v>
      </c>
      <c r="H550" s="49">
        <f>IF(INVESTORS_LIST[[#This Row],[LS_TOTAL UNITS BUY]]=0,0,SUMIFS(LS[Amount],LS[Investor ID],INVESTORS_LIST[[#This Row],[INVESTOR CODE]],LS[B/S],"B"))</f>
        <v>2500000</v>
      </c>
      <c r="I550" s="48">
        <f>IF(INVESTORS_LIST[[#This Row],[LS_TOTAL UNITS SOLD]]=0,0,SUMIFS(LS[Cost of Units Sold],LS[Investor ID],INVESTORS_LIST[[#This Row],[INVESTOR CODE]],LS[B/S],"S"))</f>
        <v>0</v>
      </c>
      <c r="J550" s="48">
        <f>IF(INVESTORS_LIST[[#This Row],[LS_TOTAL CURRENT UNITS]]=0,0,INVESTORS_LIST[[#This Row],[LS_TOTAL CURRENT UNITS]]*INVESTORS_LIST[[#This Row],[LS_AVERAGE COST]])</f>
        <v>2500000</v>
      </c>
      <c r="K550" s="49">
        <f>IF(INVESTORS_LIST[[#This Row],[LS_TOTAL UNITS SOLD]]=0,0,SUMIFS(LS[Realized Gain],LS[Investor ID],INVESTORS_LIST[[#This Row],[INVESTOR CODE]],LS[B/S],"S"))</f>
        <v>0</v>
      </c>
      <c r="L550" s="47">
        <f>SUMIFS(SIP[Unit],SIP[Investor ID],INVESTORS_LIST[[#This Row],[INVESTOR CODE]],SIP[B/S],"B")</f>
        <v>0</v>
      </c>
      <c r="M550" s="47">
        <f>-SUMIFS(SIP[Unit],SIP[Investor ID],INVESTORS_LIST[[#This Row],[INVESTOR CODE]],SIP[B/S],"S")</f>
        <v>0</v>
      </c>
      <c r="N550" s="50">
        <f>IF(INVESTORS_LIST[[#This Row],[SIP_TOTAL UNITS BUY]]=0,0,INVESTORS_LIST[[#This Row],[SIP_TOTAL UNITS BUY]]-INVESTORS_LIST[[#This Row],[SIP_TOTAL UNITS SOLD]])</f>
        <v>0</v>
      </c>
      <c r="O550" s="49">
        <f>IF(INVESTORS_LIST[[#This Row],[SIP_TOTAL UNITS BUY]]=0,0,SUMIFS(SIP[Amount],SIP[Investor ID],INVESTORS_LIST[[#This Row],[INVESTOR CODE]],SIP[B/S],"B"))</f>
        <v>0</v>
      </c>
      <c r="P550" s="49">
        <f>IF(INVESTORS_LIST[[#This Row],[SIP_TOTAL UNITS SOLD]]=0,0,SUMIFS(SIP[Cost of Units Sold],SIP[Investor ID],INVESTORS_LIST[[#This Row],[INVESTOR CODE]],SIP[B/S],"S"))</f>
        <v>0</v>
      </c>
      <c r="Q550" s="48">
        <f>IF(INVESTORS_LIST[[#This Row],[SIP_TOTAL CURRENT UNITS]]=0,0,INVESTORS_LIST[[#This Row],[SIP_TOTAL CURRENT UNITS]]*INVESTORS_LIST[[#This Row],[SIP_AVERAGE COST]])</f>
        <v>0</v>
      </c>
      <c r="R550" s="48">
        <f>IF(INVESTORS_LIST[[#This Row],[SIP_TOTAL UNITS SOLD]]=0,0,SUMIFS(SIP[Realized Gain],SIP[Investor ID],INVESTORS_LIST[[#This Row],[INVESTOR CODE]],SIP[B/S],"S"))</f>
        <v>0</v>
      </c>
      <c r="S550" s="50">
        <f>INVESTORS_LIST[[#This Row],[LS_TOTAL UNITS BUY]]+INVESTORS_LIST[[#This Row],[SIP_TOTAL UNITS BUY]]</f>
        <v>220342</v>
      </c>
      <c r="T550" s="50">
        <f>INVESTORS_LIST[[#This Row],[LS_TOTAL UNITS SOLD]]+INVESTORS_LIST[[#This Row],[SIP_TOTAL UNITS SOLD]]</f>
        <v>0</v>
      </c>
      <c r="U550" s="50">
        <v>220342</v>
      </c>
      <c r="V550" s="50">
        <f>SUMIFS(LS[BO UNIT TRANSFER],LS[Investor ID],INVESTORS_LIST[[#This Row],[INVESTOR CODE]],LS[B/S],"B")</f>
        <v>0</v>
      </c>
      <c r="W550" s="50">
        <f>SUMIFS(SIP[BO UNIT TRANSFER],SIP[Investor ID],INVESTORS_LIST[[#This Row],[INVESTOR CODE]],SIP[B/S],"B")</f>
        <v>0</v>
      </c>
      <c r="X550" s="50">
        <f>SUMIFS(LS[BO UNIT TRANSFER],LS[Investor ID],INVESTORS_LIST[[#This Row],[INVESTOR CODE]],LS[B/S],"S")</f>
        <v>0</v>
      </c>
      <c r="Y550" s="50">
        <f>SUMIFS(SIP[BO UNIT TRANSFER],SIP[Investor ID],INVESTORS_LIST[[#This Row],[INVESTOR CODE]],SIP[B/S],"S")</f>
        <v>0</v>
      </c>
      <c r="Z550" s="106">
        <f>SUM(INVESTORS_LIST[[#This Row],[BO OPENING BALANCE]:[BO SIP UNITS REPURCHASE]])</f>
        <v>220342</v>
      </c>
      <c r="AA550" s="107">
        <f>INVESTORS_LIST[[#This Row],[TOTAL UNITS BUY]]-INVESTORS_LIST[[#This Row],[TOTAL UNITS SOLD]]</f>
        <v>220342</v>
      </c>
      <c r="AB550" s="107">
        <f>INVESTORS_LIST[[#This Row],[TOTAL CURRENT UNITS]]-INVESTORS_LIST[[#This Row],[BO UNITS HOLD]]</f>
        <v>0</v>
      </c>
      <c r="AC550" s="201" t="e">
        <f>INDEX([3]!Table_1[BO ID],MATCH(INVESTORS_LIST[[#This Row],[INVESTOR CODE]],[3]!Table_1[INVESTOR CODE],0))</f>
        <v>#REF!</v>
      </c>
      <c r="AD550" s="201" t="e">
        <f>INDEX([3]!Table_1[Brokerage Name2],MATCH(INVESTORS_LIST[[#This Row],[INVESTOR CODE]],[3]!Table_1[INVESTOR CODE],0))</f>
        <v>#REF!</v>
      </c>
      <c r="AE550" s="201" t="e">
        <f>MID(INVESTORS_LIST[[#This Row],[BO ID]],4,5)</f>
        <v>#REF!</v>
      </c>
      <c r="AF550" s="201" t="e">
        <f>MID(INVESTORS_LIST[[#This Row],[BO ID]],2,7)</f>
        <v>#REF!</v>
      </c>
      <c r="AG550" s="201" t="e">
        <f>MID(INVESTORS_LIST[[#This Row],[BO ID]],9,7)</f>
        <v>#REF!</v>
      </c>
      <c r="AH550" s="201" t="e">
        <f>RIGHT(INVESTORS_LIST[[#This Row],[BO ID]],1)</f>
        <v>#REF!</v>
      </c>
      <c r="AI550" s="50">
        <f>INVESTORS_LIST[[#This Row],[LS_TOTAL COST VALUE OF CURRENT UNITS]]+INVESTORS_LIST[[#This Row],[SIP_TOTAL COST VALUE OF CURRENT UNITS]]</f>
        <v>2500000</v>
      </c>
      <c r="AJ550" s="109">
        <f>IF(INVESTORS_LIST[[#This Row],[TOTAL CURRENT UNITS]]=0,0,INVESTORS_LIST[[#This Row],[LS_TOTAL CURRENT UNITS]]/INVESTORS_LIST[[#This Row],[TOTAL CURRENT UNITS]])</f>
        <v>1</v>
      </c>
      <c r="AK550" s="109">
        <f>IF(INVESTORS_LIST[[#This Row],[TOTAL CURRENT UNITS]]=0,0,INVESTORS_LIST[[#This Row],[SIP_TOTAL CURRENT UNITS]]/INVESTORS_LIST[[#This Row],[TOTAL CURRENT UNITS]])</f>
        <v>0</v>
      </c>
      <c r="AL550" s="49" cm="1">
        <f t="array" ref="AL550">IF(INVESTORS_LIST[[#This Row],[LS_TOTAL UNITS BUY]]&gt;0,INDEX(LS[NAV at Cost (Average)],MATCH(CONCATENATE(COUNTIFS(LS[Investor ID],INVESTORS_LIST[[#This Row],[INVESTOR CODE]]),INVESTORS_LIST[[#This Row],[INVESTOR CODE]]),LS[Unique Code],0),),0)</f>
        <v>11.3459984932514</v>
      </c>
      <c r="AM550" s="49" cm="1">
        <f t="array" ref="AM5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0" s="105">
        <f>IF(INVESTORS_LIST[[#This Row],[TOTAL CURRENT UNITS]]=0,0,(INVESTORS_LIST[[#This Row],[LS_WEIGHT]]*INVESTORS_LIST[[#This Row],[LS_AVERAGE COST]])+(INVESTORS_LIST[[#This Row],[SIP_WEIGHT]]*INVESTORS_LIST[[#This Row],[SIP_AVERAGE COST]]))</f>
        <v>11.3459984932514</v>
      </c>
      <c r="AO550" s="105">
        <f t="shared" si="9"/>
        <v>14.224</v>
      </c>
      <c r="AP550" s="112">
        <f>IF(INVESTORS_LIST[[#This Row],[TOTAL CURRENT UNITS]]=0,0,INVESTORS_LIST[[#This Row],[TOTAL CURRENT UNITS]]*INVESTORS_LIST[[#This Row],[NAV]])</f>
        <v>3134144.608</v>
      </c>
      <c r="AQ550" s="49">
        <f>IF(INVESTORS_LIST[[#This Row],[LS_TOTAL CURRENT UNITS]]=0,0,INVESTORS_LIST[[#This Row],[LS_TOTAL CURRENT UNITS]]*INVESTORS_LIST[[#This Row],[NAV]])</f>
        <v>3134144.608</v>
      </c>
      <c r="AR550" s="48">
        <f>IF(INVESTORS_LIST[[#This Row],[SIP_TOTAL CURRENT UNITS]]=0,0,INVESTORS_LIST[[#This Row],[SIP_TOTAL CURRENT UNITS]]*INVESTORS_LIST[[#This Row],[NAV]])</f>
        <v>0</v>
      </c>
      <c r="AS550" s="50">
        <f>INVESTORS_LIST[[#This Row],[TOTAL CURRENT UNITS]]</f>
        <v>220342</v>
      </c>
      <c r="AT550" s="48">
        <f>IF(INVESTORS_LIST[[#This Row],[TOTAL SELLABLE UNITS]]=0,0,INVESTORS_LIST[[#This Row],[TOTAL SELLABLE UNITS]]*INVESTORS_LIST[[#This Row],[NAV]])</f>
        <v>3134144.608</v>
      </c>
      <c r="AU550" s="48">
        <f>INVESTORS_LIST[[#This Row],[LS_TOTAL REALIZED GAIN]]+INVESTORS_LIST[[#This Row],[SIP_TOTAL REALIZED GAIN]]</f>
        <v>0</v>
      </c>
      <c r="AV550" s="48">
        <f>INVESTORS_LIST[[#This Row],[TOTAL MARKET VALUE]]-INVESTORS_LIST[[#This Row],[TOTAL COST VALUE OF CURRENT INVESTMENT]]</f>
        <v>634144.60800000001</v>
      </c>
      <c r="AW550" s="48">
        <f>IFERROR(INVESTORS_LIST[[#This Row],[TOTAL CURRENT UNITS]]/SUM(INVESTORS_LIST[TOTAL CURRENT UNITS]),0)</f>
        <v>5.3490682002432718E-3</v>
      </c>
    </row>
    <row r="551" spans="1:49">
      <c r="A551" s="262" t="s">
        <v>1150</v>
      </c>
      <c r="B551" s="97" t="s">
        <v>1151</v>
      </c>
      <c r="C551" t="s">
        <v>48</v>
      </c>
      <c r="D551" s="75" t="s">
        <v>49</v>
      </c>
      <c r="E551" s="47">
        <f>SUMIFS(LS[Unit],LS[Investor ID],INVESTORS_LIST[[#This Row],[INVESTOR CODE]],LS[B/S],"B")</f>
        <v>6648047</v>
      </c>
      <c r="F551" s="47">
        <f>-SUMIFS(LS[Unit],LS[Investor ID],INVESTORS_LIST[[#This Row],[INVESTOR CODE]],LS[B/S],"S")</f>
        <v>3609457</v>
      </c>
      <c r="G551" s="47">
        <f>IF(INVESTORS_LIST[[#This Row],[LS_TOTAL UNITS BUY]]=0,0,INVESTORS_LIST[[#This Row],[LS_TOTAL UNITS BUY]]-INVESTORS_LIST[[#This Row],[LS_TOTAL UNITS SOLD]])</f>
        <v>3038590</v>
      </c>
      <c r="H551" s="49">
        <f>IF(INVESTORS_LIST[[#This Row],[LS_TOTAL UNITS BUY]]=0,0,SUMIFS(LS[Amount],LS[Investor ID],INVESTORS_LIST[[#This Row],[INVESTOR CODE]],LS[B/S],"B"))</f>
        <v>80000000</v>
      </c>
      <c r="I551" s="48">
        <f>IF(INVESTORS_LIST[[#This Row],[LS_TOTAL UNITS SOLD]]=0,0,SUMIFS(LS[Cost of Units Sold],LS[Investor ID],INVESTORS_LIST[[#This Row],[INVESTOR CODE]],LS[B/S],"S"))</f>
        <v>40000000</v>
      </c>
      <c r="J551" s="48">
        <f>IF(INVESTORS_LIST[[#This Row],[LS_TOTAL CURRENT UNITS]]=0,0,INVESTORS_LIST[[#This Row],[LS_TOTAL CURRENT UNITS]]*INVESTORS_LIST[[#This Row],[LS_AVERAGE COST]])</f>
        <v>40000000</v>
      </c>
      <c r="K551" s="49">
        <f>IF(INVESTORS_LIST[[#This Row],[LS_TOTAL UNITS SOLD]]=0,0,SUMIFS(LS[Realized Gain],LS[Investor ID],INVESTORS_LIST[[#This Row],[INVESTOR CODE]],LS[B/S],"S"))</f>
        <v>7514891.9900000039</v>
      </c>
      <c r="L551" s="47">
        <f>SUMIFS(SIP[Unit],SIP[Investor ID],INVESTORS_LIST[[#This Row],[INVESTOR CODE]],SIP[B/S],"B")</f>
        <v>0</v>
      </c>
      <c r="M551" s="47">
        <f>-SUMIFS(SIP[Unit],SIP[Investor ID],INVESTORS_LIST[[#This Row],[INVESTOR CODE]],SIP[B/S],"S")</f>
        <v>0</v>
      </c>
      <c r="N551" s="50">
        <f>IF(INVESTORS_LIST[[#This Row],[SIP_TOTAL UNITS BUY]]=0,0,INVESTORS_LIST[[#This Row],[SIP_TOTAL UNITS BUY]]-INVESTORS_LIST[[#This Row],[SIP_TOTAL UNITS SOLD]])</f>
        <v>0</v>
      </c>
      <c r="O551" s="49">
        <f>IF(INVESTORS_LIST[[#This Row],[SIP_TOTAL UNITS BUY]]=0,0,SUMIFS(SIP[Amount],SIP[Investor ID],INVESTORS_LIST[[#This Row],[INVESTOR CODE]],SIP[B/S],"B"))</f>
        <v>0</v>
      </c>
      <c r="P551" s="49">
        <f>IF(INVESTORS_LIST[[#This Row],[SIP_TOTAL UNITS SOLD]]=0,0,SUMIFS(SIP[Cost of Units Sold],SIP[Investor ID],INVESTORS_LIST[[#This Row],[INVESTOR CODE]],SIP[B/S],"S"))</f>
        <v>0</v>
      </c>
      <c r="Q551" s="48">
        <f>IF(INVESTORS_LIST[[#This Row],[SIP_TOTAL CURRENT UNITS]]=0,0,INVESTORS_LIST[[#This Row],[SIP_TOTAL CURRENT UNITS]]*INVESTORS_LIST[[#This Row],[SIP_AVERAGE COST]])</f>
        <v>0</v>
      </c>
      <c r="R551" s="48">
        <f>IF(INVESTORS_LIST[[#This Row],[SIP_TOTAL UNITS SOLD]]=0,0,SUMIFS(SIP[Realized Gain],SIP[Investor ID],INVESTORS_LIST[[#This Row],[INVESTOR CODE]],SIP[B/S],"S"))</f>
        <v>0</v>
      </c>
      <c r="S551" s="50">
        <f>INVESTORS_LIST[[#This Row],[LS_TOTAL UNITS BUY]]+INVESTORS_LIST[[#This Row],[SIP_TOTAL UNITS BUY]]</f>
        <v>6648047</v>
      </c>
      <c r="T551" s="50">
        <f>INVESTORS_LIST[[#This Row],[LS_TOTAL UNITS SOLD]]+INVESTORS_LIST[[#This Row],[SIP_TOTAL UNITS SOLD]]</f>
        <v>3609457</v>
      </c>
      <c r="U551" s="50">
        <v>3038590</v>
      </c>
      <c r="V551" s="50">
        <f>SUMIFS(LS[BO UNIT TRANSFER],LS[Investor ID],INVESTORS_LIST[[#This Row],[INVESTOR CODE]],LS[B/S],"B")</f>
        <v>0</v>
      </c>
      <c r="W551" s="50">
        <f>SUMIFS(SIP[BO UNIT TRANSFER],SIP[Investor ID],INVESTORS_LIST[[#This Row],[INVESTOR CODE]],SIP[B/S],"B")</f>
        <v>0</v>
      </c>
      <c r="X551" s="50">
        <f>SUMIFS(LS[BO UNIT TRANSFER],LS[Investor ID],INVESTORS_LIST[[#This Row],[INVESTOR CODE]],LS[B/S],"S")</f>
        <v>0</v>
      </c>
      <c r="Y551" s="50">
        <f>SUMIFS(SIP[BO UNIT TRANSFER],SIP[Investor ID],INVESTORS_LIST[[#This Row],[INVESTOR CODE]],SIP[B/S],"S")</f>
        <v>0</v>
      </c>
      <c r="Z551" s="106">
        <f>SUM(INVESTORS_LIST[[#This Row],[BO OPENING BALANCE]:[BO SIP UNITS REPURCHASE]])</f>
        <v>3038590</v>
      </c>
      <c r="AA551" s="107">
        <f>INVESTORS_LIST[[#This Row],[TOTAL UNITS BUY]]-INVESTORS_LIST[[#This Row],[TOTAL UNITS SOLD]]</f>
        <v>3038590</v>
      </c>
      <c r="AB551" s="107">
        <f>INVESTORS_LIST[[#This Row],[TOTAL CURRENT UNITS]]-INVESTORS_LIST[[#This Row],[BO UNITS HOLD]]</f>
        <v>0</v>
      </c>
      <c r="AC551" s="201" t="e">
        <f>INDEX([3]!Table_1[BO ID],MATCH(INVESTORS_LIST[[#This Row],[INVESTOR CODE]],[3]!Table_1[INVESTOR CODE],0))</f>
        <v>#REF!</v>
      </c>
      <c r="AD551" s="201" t="e">
        <f>INDEX([3]!Table_1[Brokerage Name2],MATCH(INVESTORS_LIST[[#This Row],[INVESTOR CODE]],[3]!Table_1[INVESTOR CODE],0))</f>
        <v>#REF!</v>
      </c>
      <c r="AE551" s="201" t="e">
        <f>MID(INVESTORS_LIST[[#This Row],[BO ID]],4,5)</f>
        <v>#REF!</v>
      </c>
      <c r="AF551" s="201" t="e">
        <f>MID(INVESTORS_LIST[[#This Row],[BO ID]],2,7)</f>
        <v>#REF!</v>
      </c>
      <c r="AG551" s="201" t="e">
        <f>MID(INVESTORS_LIST[[#This Row],[BO ID]],9,7)</f>
        <v>#REF!</v>
      </c>
      <c r="AH551" s="201" t="e">
        <f>RIGHT(INVESTORS_LIST[[#This Row],[BO ID]],1)</f>
        <v>#REF!</v>
      </c>
      <c r="AI551" s="50">
        <f>INVESTORS_LIST[[#This Row],[LS_TOTAL COST VALUE OF CURRENT UNITS]]+INVESTORS_LIST[[#This Row],[SIP_TOTAL COST VALUE OF CURRENT UNITS]]</f>
        <v>40000000</v>
      </c>
      <c r="AJ551" s="109">
        <f>IF(INVESTORS_LIST[[#This Row],[TOTAL CURRENT UNITS]]=0,0,INVESTORS_LIST[[#This Row],[LS_TOTAL CURRENT UNITS]]/INVESTORS_LIST[[#This Row],[TOTAL CURRENT UNITS]])</f>
        <v>1</v>
      </c>
      <c r="AK551" s="109">
        <f>IF(INVESTORS_LIST[[#This Row],[TOTAL CURRENT UNITS]]=0,0,INVESTORS_LIST[[#This Row],[SIP_TOTAL CURRENT UNITS]]/INVESTORS_LIST[[#This Row],[TOTAL CURRENT UNITS]])</f>
        <v>0</v>
      </c>
      <c r="AL551" s="49" cm="1">
        <f t="array" ref="AL551">IF(INVESTORS_LIST[[#This Row],[LS_TOTAL UNITS BUY]]&gt;0,INDEX(LS[NAV at Cost (Average)],MATCH(CONCATENATE(COUNTIFS(LS[Investor ID],INVESTORS_LIST[[#This Row],[INVESTOR CODE]]),INVESTORS_LIST[[#This Row],[INVESTOR CODE]]),LS[Unique Code],0),),0)</f>
        <v>13.164000408084013</v>
      </c>
      <c r="AM551" s="49" cm="1">
        <f t="array" ref="AM5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1" s="105">
        <f>IF(INVESTORS_LIST[[#This Row],[TOTAL CURRENT UNITS]]=0,0,(INVESTORS_LIST[[#This Row],[LS_WEIGHT]]*INVESTORS_LIST[[#This Row],[LS_AVERAGE COST]])+(INVESTORS_LIST[[#This Row],[SIP_WEIGHT]]*INVESTORS_LIST[[#This Row],[SIP_AVERAGE COST]]))</f>
        <v>13.164000408084013</v>
      </c>
      <c r="AO551" s="105">
        <f t="shared" si="9"/>
        <v>14.224</v>
      </c>
      <c r="AP551" s="112">
        <f>IF(INVESTORS_LIST[[#This Row],[TOTAL CURRENT UNITS]]=0,0,INVESTORS_LIST[[#This Row],[TOTAL CURRENT UNITS]]*INVESTORS_LIST[[#This Row],[NAV]])</f>
        <v>43220904.160000004</v>
      </c>
      <c r="AQ551" s="49">
        <f>IF(INVESTORS_LIST[[#This Row],[LS_TOTAL CURRENT UNITS]]=0,0,INVESTORS_LIST[[#This Row],[LS_TOTAL CURRENT UNITS]]*INVESTORS_LIST[[#This Row],[NAV]])</f>
        <v>43220904.160000004</v>
      </c>
      <c r="AR551" s="48">
        <f>IF(INVESTORS_LIST[[#This Row],[SIP_TOTAL CURRENT UNITS]]=0,0,INVESTORS_LIST[[#This Row],[SIP_TOTAL CURRENT UNITS]]*INVESTORS_LIST[[#This Row],[NAV]])</f>
        <v>0</v>
      </c>
      <c r="AS551" s="50">
        <f>INVESTORS_LIST[[#This Row],[TOTAL CURRENT UNITS]]</f>
        <v>3038590</v>
      </c>
      <c r="AT551" s="48">
        <f>IF(INVESTORS_LIST[[#This Row],[TOTAL SELLABLE UNITS]]=0,0,INVESTORS_LIST[[#This Row],[TOTAL SELLABLE UNITS]]*INVESTORS_LIST[[#This Row],[NAV]])</f>
        <v>43220904.160000004</v>
      </c>
      <c r="AU551" s="48">
        <f>INVESTORS_LIST[[#This Row],[LS_TOTAL REALIZED GAIN]]+INVESTORS_LIST[[#This Row],[SIP_TOTAL REALIZED GAIN]]</f>
        <v>7514891.9900000039</v>
      </c>
      <c r="AV551" s="48">
        <f>INVESTORS_LIST[[#This Row],[TOTAL MARKET VALUE]]-INVESTORS_LIST[[#This Row],[TOTAL COST VALUE OF CURRENT INVESTMENT]]</f>
        <v>3220904.1600000039</v>
      </c>
      <c r="AW551" s="48">
        <f>IFERROR(INVESTORS_LIST[[#This Row],[TOTAL CURRENT UNITS]]/SUM(INVESTORS_LIST[TOTAL CURRENT UNITS]),0)</f>
        <v>7.3765442551021604E-2</v>
      </c>
    </row>
    <row r="552" spans="1:49">
      <c r="A552" s="262" t="s">
        <v>1152</v>
      </c>
      <c r="B552" s="97" t="s">
        <v>1153</v>
      </c>
      <c r="C552" t="s">
        <v>67</v>
      </c>
      <c r="D552" s="75" t="s">
        <v>45</v>
      </c>
      <c r="E552" s="47">
        <f>SUMIFS(LS[Unit],LS[Investor ID],INVESTORS_LIST[[#This Row],[INVESTOR CODE]],LS[B/S],"B")</f>
        <v>269126</v>
      </c>
      <c r="F552" s="47">
        <f>-SUMIFS(LS[Unit],LS[Investor ID],INVESTORS_LIST[[#This Row],[INVESTOR CODE]],LS[B/S],"S")</f>
        <v>0</v>
      </c>
      <c r="G552" s="47">
        <f>IF(INVESTORS_LIST[[#This Row],[LS_TOTAL UNITS BUY]]=0,0,INVESTORS_LIST[[#This Row],[LS_TOTAL UNITS BUY]]-INVESTORS_LIST[[#This Row],[LS_TOTAL UNITS SOLD]])</f>
        <v>269126</v>
      </c>
      <c r="H552" s="49">
        <f>IF(INVESTORS_LIST[[#This Row],[LS_TOTAL UNITS BUY]]=0,0,SUMIFS(LS[Amount],LS[Investor ID],INVESTORS_LIST[[#This Row],[INVESTOR CODE]],LS[B/S],"B"))</f>
        <v>3000000</v>
      </c>
      <c r="I552" s="48">
        <f>IF(INVESTORS_LIST[[#This Row],[LS_TOTAL UNITS SOLD]]=0,0,SUMIFS(LS[Cost of Units Sold],LS[Investor ID],INVESTORS_LIST[[#This Row],[INVESTOR CODE]],LS[B/S],"S"))</f>
        <v>0</v>
      </c>
      <c r="J552" s="48">
        <f>IF(INVESTORS_LIST[[#This Row],[LS_TOTAL CURRENT UNITS]]=0,0,INVESTORS_LIST[[#This Row],[LS_TOTAL CURRENT UNITS]]*INVESTORS_LIST[[#This Row],[LS_AVERAGE COST]])</f>
        <v>2999999.9999999995</v>
      </c>
      <c r="K552" s="49">
        <f>IF(INVESTORS_LIST[[#This Row],[LS_TOTAL UNITS SOLD]]=0,0,SUMIFS(LS[Realized Gain],LS[Investor ID],INVESTORS_LIST[[#This Row],[INVESTOR CODE]],LS[B/S],"S"))</f>
        <v>0</v>
      </c>
      <c r="L552" s="47">
        <f>SUMIFS(SIP[Unit],SIP[Investor ID],INVESTORS_LIST[[#This Row],[INVESTOR CODE]],SIP[B/S],"B")</f>
        <v>0</v>
      </c>
      <c r="M552" s="47">
        <f>-SUMIFS(SIP[Unit],SIP[Investor ID],INVESTORS_LIST[[#This Row],[INVESTOR CODE]],SIP[B/S],"S")</f>
        <v>0</v>
      </c>
      <c r="N552" s="50">
        <f>IF(INVESTORS_LIST[[#This Row],[SIP_TOTAL UNITS BUY]]=0,0,INVESTORS_LIST[[#This Row],[SIP_TOTAL UNITS BUY]]-INVESTORS_LIST[[#This Row],[SIP_TOTAL UNITS SOLD]])</f>
        <v>0</v>
      </c>
      <c r="O552" s="49">
        <f>IF(INVESTORS_LIST[[#This Row],[SIP_TOTAL UNITS BUY]]=0,0,SUMIFS(SIP[Amount],SIP[Investor ID],INVESTORS_LIST[[#This Row],[INVESTOR CODE]],SIP[B/S],"B"))</f>
        <v>0</v>
      </c>
      <c r="P552" s="49">
        <f>IF(INVESTORS_LIST[[#This Row],[SIP_TOTAL UNITS SOLD]]=0,0,SUMIFS(SIP[Cost of Units Sold],SIP[Investor ID],INVESTORS_LIST[[#This Row],[INVESTOR CODE]],SIP[B/S],"S"))</f>
        <v>0</v>
      </c>
      <c r="Q552" s="48">
        <f>IF(INVESTORS_LIST[[#This Row],[SIP_TOTAL CURRENT UNITS]]=0,0,INVESTORS_LIST[[#This Row],[SIP_TOTAL CURRENT UNITS]]*INVESTORS_LIST[[#This Row],[SIP_AVERAGE COST]])</f>
        <v>0</v>
      </c>
      <c r="R552" s="48">
        <f>IF(INVESTORS_LIST[[#This Row],[SIP_TOTAL UNITS SOLD]]=0,0,SUMIFS(SIP[Realized Gain],SIP[Investor ID],INVESTORS_LIST[[#This Row],[INVESTOR CODE]],SIP[B/S],"S"))</f>
        <v>0</v>
      </c>
      <c r="S552" s="50">
        <f>INVESTORS_LIST[[#This Row],[LS_TOTAL UNITS BUY]]+INVESTORS_LIST[[#This Row],[SIP_TOTAL UNITS BUY]]</f>
        <v>269126</v>
      </c>
      <c r="T552" s="50">
        <f>INVESTORS_LIST[[#This Row],[LS_TOTAL UNITS SOLD]]+INVESTORS_LIST[[#This Row],[SIP_TOTAL UNITS SOLD]]</f>
        <v>0</v>
      </c>
      <c r="U552" s="50">
        <v>269126</v>
      </c>
      <c r="V552" s="50">
        <f>SUMIFS(LS[BO UNIT TRANSFER],LS[Investor ID],INVESTORS_LIST[[#This Row],[INVESTOR CODE]],LS[B/S],"B")</f>
        <v>0</v>
      </c>
      <c r="W552" s="50">
        <f>SUMIFS(SIP[BO UNIT TRANSFER],SIP[Investor ID],INVESTORS_LIST[[#This Row],[INVESTOR CODE]],SIP[B/S],"B")</f>
        <v>0</v>
      </c>
      <c r="X552" s="50">
        <f>SUMIFS(LS[BO UNIT TRANSFER],LS[Investor ID],INVESTORS_LIST[[#This Row],[INVESTOR CODE]],LS[B/S],"S")</f>
        <v>0</v>
      </c>
      <c r="Y552" s="50">
        <f>SUMIFS(SIP[BO UNIT TRANSFER],SIP[Investor ID],INVESTORS_LIST[[#This Row],[INVESTOR CODE]],SIP[B/S],"S")</f>
        <v>0</v>
      </c>
      <c r="Z552" s="106">
        <f>SUM(INVESTORS_LIST[[#This Row],[BO OPENING BALANCE]:[BO SIP UNITS REPURCHASE]])</f>
        <v>269126</v>
      </c>
      <c r="AA552" s="107">
        <f>INVESTORS_LIST[[#This Row],[TOTAL UNITS BUY]]-INVESTORS_LIST[[#This Row],[TOTAL UNITS SOLD]]</f>
        <v>269126</v>
      </c>
      <c r="AB552" s="107">
        <f>INVESTORS_LIST[[#This Row],[TOTAL CURRENT UNITS]]-INVESTORS_LIST[[#This Row],[BO UNITS HOLD]]</f>
        <v>0</v>
      </c>
      <c r="AC552" s="201" t="e">
        <f>INDEX([3]!Table_1[BO ID],MATCH(INVESTORS_LIST[[#This Row],[INVESTOR CODE]],[3]!Table_1[INVESTOR CODE],0))</f>
        <v>#REF!</v>
      </c>
      <c r="AD552" s="201" t="e">
        <f>INDEX([3]!Table_1[Brokerage Name2],MATCH(INVESTORS_LIST[[#This Row],[INVESTOR CODE]],[3]!Table_1[INVESTOR CODE],0))</f>
        <v>#REF!</v>
      </c>
      <c r="AE552" s="201" t="e">
        <f>MID(INVESTORS_LIST[[#This Row],[BO ID]],4,5)</f>
        <v>#REF!</v>
      </c>
      <c r="AF552" s="201" t="e">
        <f>MID(INVESTORS_LIST[[#This Row],[BO ID]],2,7)</f>
        <v>#REF!</v>
      </c>
      <c r="AG552" s="201" t="e">
        <f>MID(INVESTORS_LIST[[#This Row],[BO ID]],9,7)</f>
        <v>#REF!</v>
      </c>
      <c r="AH552" s="201" t="e">
        <f>RIGHT(INVESTORS_LIST[[#This Row],[BO ID]],1)</f>
        <v>#REF!</v>
      </c>
      <c r="AI552" s="50">
        <f>INVESTORS_LIST[[#This Row],[LS_TOTAL COST VALUE OF CURRENT UNITS]]+INVESTORS_LIST[[#This Row],[SIP_TOTAL COST VALUE OF CURRENT UNITS]]</f>
        <v>2999999.9999999995</v>
      </c>
      <c r="AJ552" s="109">
        <f>IF(INVESTORS_LIST[[#This Row],[TOTAL CURRENT UNITS]]=0,0,INVESTORS_LIST[[#This Row],[LS_TOTAL CURRENT UNITS]]/INVESTORS_LIST[[#This Row],[TOTAL CURRENT UNITS]])</f>
        <v>1</v>
      </c>
      <c r="AK552" s="109">
        <f>IF(INVESTORS_LIST[[#This Row],[TOTAL CURRENT UNITS]]=0,0,INVESTORS_LIST[[#This Row],[SIP_TOTAL CURRENT UNITS]]/INVESTORS_LIST[[#This Row],[TOTAL CURRENT UNITS]])</f>
        <v>0</v>
      </c>
      <c r="AL552" s="49" cm="1">
        <f t="array" ref="AL552">IF(INVESTORS_LIST[[#This Row],[LS_TOTAL UNITS BUY]]&gt;0,INDEX(LS[NAV at Cost (Average)],MATCH(CONCATENATE(COUNTIFS(LS[Investor ID],INVESTORS_LIST[[#This Row],[INVESTOR CODE]]),INVESTORS_LIST[[#This Row],[INVESTOR CODE]]),LS[Unique Code],0),),0)</f>
        <v>11.1471949941663</v>
      </c>
      <c r="AM552" s="49" cm="1">
        <f t="array" ref="AM5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2" s="105">
        <f>IF(INVESTORS_LIST[[#This Row],[TOTAL CURRENT UNITS]]=0,0,(INVESTORS_LIST[[#This Row],[LS_WEIGHT]]*INVESTORS_LIST[[#This Row],[LS_AVERAGE COST]])+(INVESTORS_LIST[[#This Row],[SIP_WEIGHT]]*INVESTORS_LIST[[#This Row],[SIP_AVERAGE COST]]))</f>
        <v>11.1471949941663</v>
      </c>
      <c r="AO552" s="105">
        <f t="shared" si="9"/>
        <v>14.224</v>
      </c>
      <c r="AP552" s="112">
        <f>IF(INVESTORS_LIST[[#This Row],[TOTAL CURRENT UNITS]]=0,0,INVESTORS_LIST[[#This Row],[TOTAL CURRENT UNITS]]*INVESTORS_LIST[[#This Row],[NAV]])</f>
        <v>3828048.2239999999</v>
      </c>
      <c r="AQ552" s="49">
        <f>IF(INVESTORS_LIST[[#This Row],[LS_TOTAL CURRENT UNITS]]=0,0,INVESTORS_LIST[[#This Row],[LS_TOTAL CURRENT UNITS]]*INVESTORS_LIST[[#This Row],[NAV]])</f>
        <v>3828048.2239999999</v>
      </c>
      <c r="AR552" s="48">
        <f>IF(INVESTORS_LIST[[#This Row],[SIP_TOTAL CURRENT UNITS]]=0,0,INVESTORS_LIST[[#This Row],[SIP_TOTAL CURRENT UNITS]]*INVESTORS_LIST[[#This Row],[NAV]])</f>
        <v>0</v>
      </c>
      <c r="AS552" s="50">
        <f>INVESTORS_LIST[[#This Row],[TOTAL CURRENT UNITS]]</f>
        <v>269126</v>
      </c>
      <c r="AT552" s="48">
        <f>IF(INVESTORS_LIST[[#This Row],[TOTAL SELLABLE UNITS]]=0,0,INVESTORS_LIST[[#This Row],[TOTAL SELLABLE UNITS]]*INVESTORS_LIST[[#This Row],[NAV]])</f>
        <v>3828048.2239999999</v>
      </c>
      <c r="AU552" s="48">
        <f>INVESTORS_LIST[[#This Row],[LS_TOTAL REALIZED GAIN]]+INVESTORS_LIST[[#This Row],[SIP_TOTAL REALIZED GAIN]]</f>
        <v>0</v>
      </c>
      <c r="AV552" s="48">
        <f>INVESTORS_LIST[[#This Row],[TOTAL MARKET VALUE]]-INVESTORS_LIST[[#This Row],[TOTAL COST VALUE OF CURRENT INVESTMENT]]</f>
        <v>828048.22400000039</v>
      </c>
      <c r="AW552" s="48">
        <f>IFERROR(INVESTORS_LIST[[#This Row],[TOTAL CURRENT UNITS]]/SUM(INVESTORS_LIST[TOTAL CURRENT UNITS]),0)</f>
        <v>6.5333587262467923E-3</v>
      </c>
    </row>
    <row r="553" spans="1:49">
      <c r="A553" s="262" t="s">
        <v>1154</v>
      </c>
      <c r="B553" s="97" t="s">
        <v>1155</v>
      </c>
      <c r="C553" t="s">
        <v>67</v>
      </c>
      <c r="D553" s="75" t="s">
        <v>45</v>
      </c>
      <c r="E553" s="47">
        <f>SUMIFS(LS[Unit],LS[Investor ID],INVESTORS_LIST[[#This Row],[INVESTOR CODE]],LS[B/S],"B")</f>
        <v>68947</v>
      </c>
      <c r="F553" s="47">
        <f>-SUMIFS(LS[Unit],LS[Investor ID],INVESTORS_LIST[[#This Row],[INVESTOR CODE]],LS[B/S],"S")</f>
        <v>5464</v>
      </c>
      <c r="G553" s="47">
        <f>IF(INVESTORS_LIST[[#This Row],[LS_TOTAL UNITS BUY]]=0,0,INVESTORS_LIST[[#This Row],[LS_TOTAL UNITS BUY]]-INVESTORS_LIST[[#This Row],[LS_TOTAL UNITS SOLD]])</f>
        <v>63483</v>
      </c>
      <c r="H553" s="49">
        <f>IF(INVESTORS_LIST[[#This Row],[LS_TOTAL UNITS BUY]]=0,0,SUMIFS(LS[Amount],LS[Investor ID],INVESTORS_LIST[[#This Row],[INVESTOR CODE]],LS[B/S],"B"))</f>
        <v>800000</v>
      </c>
      <c r="I553" s="48">
        <f>IF(INVESTORS_LIST[[#This Row],[LS_TOTAL UNITS SOLD]]=0,0,SUMIFS(LS[Cost of Units Sold],LS[Investor ID],INVESTORS_LIST[[#This Row],[INVESTOR CODE]],LS[B/S],"S"))</f>
        <v>63399.422745007047</v>
      </c>
      <c r="J553" s="48">
        <f>IF(INVESTORS_LIST[[#This Row],[LS_TOTAL CURRENT UNITS]]=0,0,INVESTORS_LIST[[#This Row],[LS_TOTAL CURRENT UNITS]]*INVESTORS_LIST[[#This Row],[LS_AVERAGE COST]])</f>
        <v>736600.57725499303</v>
      </c>
      <c r="K553" s="49">
        <f>IF(INVESTORS_LIST[[#This Row],[LS_TOTAL UNITS SOLD]]=0,0,SUMIFS(LS[Realized Gain],LS[Investor ID],INVESTORS_LIST[[#This Row],[INVESTOR CODE]],LS[B/S],"S"))</f>
        <v>6600.5772549929561</v>
      </c>
      <c r="L553" s="47">
        <f>SUMIFS(SIP[Unit],SIP[Investor ID],INVESTORS_LIST[[#This Row],[INVESTOR CODE]],SIP[B/S],"B")</f>
        <v>0</v>
      </c>
      <c r="M553" s="47">
        <f>-SUMIFS(SIP[Unit],SIP[Investor ID],INVESTORS_LIST[[#This Row],[INVESTOR CODE]],SIP[B/S],"S")</f>
        <v>0</v>
      </c>
      <c r="N553" s="50">
        <f>IF(INVESTORS_LIST[[#This Row],[SIP_TOTAL UNITS BUY]]=0,0,INVESTORS_LIST[[#This Row],[SIP_TOTAL UNITS BUY]]-INVESTORS_LIST[[#This Row],[SIP_TOTAL UNITS SOLD]])</f>
        <v>0</v>
      </c>
      <c r="O553" s="49">
        <f>IF(INVESTORS_LIST[[#This Row],[SIP_TOTAL UNITS BUY]]=0,0,SUMIFS(SIP[Amount],SIP[Investor ID],INVESTORS_LIST[[#This Row],[INVESTOR CODE]],SIP[B/S],"B"))</f>
        <v>0</v>
      </c>
      <c r="P553" s="49">
        <f>IF(INVESTORS_LIST[[#This Row],[SIP_TOTAL UNITS SOLD]]=0,0,SUMIFS(SIP[Cost of Units Sold],SIP[Investor ID],INVESTORS_LIST[[#This Row],[INVESTOR CODE]],SIP[B/S],"S"))</f>
        <v>0</v>
      </c>
      <c r="Q553" s="48">
        <f>IF(INVESTORS_LIST[[#This Row],[SIP_TOTAL CURRENT UNITS]]=0,0,INVESTORS_LIST[[#This Row],[SIP_TOTAL CURRENT UNITS]]*INVESTORS_LIST[[#This Row],[SIP_AVERAGE COST]])</f>
        <v>0</v>
      </c>
      <c r="R553" s="48">
        <f>IF(INVESTORS_LIST[[#This Row],[SIP_TOTAL UNITS SOLD]]=0,0,SUMIFS(SIP[Realized Gain],SIP[Investor ID],INVESTORS_LIST[[#This Row],[INVESTOR CODE]],SIP[B/S],"S"))</f>
        <v>0</v>
      </c>
      <c r="S553" s="50">
        <f>INVESTORS_LIST[[#This Row],[LS_TOTAL UNITS BUY]]+INVESTORS_LIST[[#This Row],[SIP_TOTAL UNITS BUY]]</f>
        <v>68947</v>
      </c>
      <c r="T553" s="50">
        <f>INVESTORS_LIST[[#This Row],[LS_TOTAL UNITS SOLD]]+INVESTORS_LIST[[#This Row],[SIP_TOTAL UNITS SOLD]]</f>
        <v>5464</v>
      </c>
      <c r="U553" s="50">
        <v>68947</v>
      </c>
      <c r="V553" s="50">
        <f>SUMIFS(LS[BO UNIT TRANSFER],LS[Investor ID],INVESTORS_LIST[[#This Row],[INVESTOR CODE]],LS[B/S],"B")</f>
        <v>0</v>
      </c>
      <c r="W553" s="50">
        <f>SUMIFS(SIP[BO UNIT TRANSFER],SIP[Investor ID],INVESTORS_LIST[[#This Row],[INVESTOR CODE]],SIP[B/S],"B")</f>
        <v>0</v>
      </c>
      <c r="X553" s="50">
        <f>SUMIFS(LS[BO UNIT TRANSFER],LS[Investor ID],INVESTORS_LIST[[#This Row],[INVESTOR CODE]],LS[B/S],"S")</f>
        <v>0</v>
      </c>
      <c r="Y553" s="50">
        <f>SUMIFS(SIP[BO UNIT TRANSFER],SIP[Investor ID],INVESTORS_LIST[[#This Row],[INVESTOR CODE]],SIP[B/S],"S")</f>
        <v>0</v>
      </c>
      <c r="Z553" s="106">
        <f>SUM(INVESTORS_LIST[[#This Row],[BO OPENING BALANCE]:[BO SIP UNITS REPURCHASE]])</f>
        <v>68947</v>
      </c>
      <c r="AA553" s="107">
        <f>INVESTORS_LIST[[#This Row],[TOTAL UNITS BUY]]-INVESTORS_LIST[[#This Row],[TOTAL UNITS SOLD]]</f>
        <v>63483</v>
      </c>
      <c r="AB553" s="107">
        <f>INVESTORS_LIST[[#This Row],[TOTAL CURRENT UNITS]]-INVESTORS_LIST[[#This Row],[BO UNITS HOLD]]</f>
        <v>-5464</v>
      </c>
      <c r="AC553" s="201" t="e">
        <f>INDEX([3]!Table_1[BO ID],MATCH(INVESTORS_LIST[[#This Row],[INVESTOR CODE]],[3]!Table_1[INVESTOR CODE],0))</f>
        <v>#REF!</v>
      </c>
      <c r="AD553" s="201" t="e">
        <f>INDEX([3]!Table_1[Brokerage Name2],MATCH(INVESTORS_LIST[[#This Row],[INVESTOR CODE]],[3]!Table_1[INVESTOR CODE],0))</f>
        <v>#REF!</v>
      </c>
      <c r="AE553" s="201" t="e">
        <f>MID(INVESTORS_LIST[[#This Row],[BO ID]],4,5)</f>
        <v>#REF!</v>
      </c>
      <c r="AF553" s="201" t="e">
        <f>MID(INVESTORS_LIST[[#This Row],[BO ID]],2,7)</f>
        <v>#REF!</v>
      </c>
      <c r="AG553" s="201" t="e">
        <f>MID(INVESTORS_LIST[[#This Row],[BO ID]],9,7)</f>
        <v>#REF!</v>
      </c>
      <c r="AH553" s="201" t="e">
        <f>RIGHT(INVESTORS_LIST[[#This Row],[BO ID]],1)</f>
        <v>#REF!</v>
      </c>
      <c r="AI553" s="50">
        <f>INVESTORS_LIST[[#This Row],[LS_TOTAL COST VALUE OF CURRENT UNITS]]+INVESTORS_LIST[[#This Row],[SIP_TOTAL COST VALUE OF CURRENT UNITS]]</f>
        <v>736600.57725499303</v>
      </c>
      <c r="AJ553" s="109">
        <f>IF(INVESTORS_LIST[[#This Row],[TOTAL CURRENT UNITS]]=0,0,INVESTORS_LIST[[#This Row],[LS_TOTAL CURRENT UNITS]]/INVESTORS_LIST[[#This Row],[TOTAL CURRENT UNITS]])</f>
        <v>1</v>
      </c>
      <c r="AK553" s="109">
        <f>IF(INVESTORS_LIST[[#This Row],[TOTAL CURRENT UNITS]]=0,0,INVESTORS_LIST[[#This Row],[SIP_TOTAL CURRENT UNITS]]/INVESTORS_LIST[[#This Row],[TOTAL CURRENT UNITS]])</f>
        <v>0</v>
      </c>
      <c r="AL553" s="49" cm="1">
        <f t="array" ref="AL553">IF(INVESTORS_LIST[[#This Row],[LS_TOTAL UNITS BUY]]&gt;0,INDEX(LS[NAV at Cost (Average)],MATCH(CONCATENATE(COUNTIFS(LS[Investor ID],INVESTORS_LIST[[#This Row],[INVESTOR CODE]]),INVESTORS_LIST[[#This Row],[INVESTOR CODE]]),LS[Unique Code],0),),0)</f>
        <v>11.603115436494701</v>
      </c>
      <c r="AM553" s="49" cm="1">
        <f t="array" ref="AM5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3" s="105">
        <f>IF(INVESTORS_LIST[[#This Row],[TOTAL CURRENT UNITS]]=0,0,(INVESTORS_LIST[[#This Row],[LS_WEIGHT]]*INVESTORS_LIST[[#This Row],[LS_AVERAGE COST]])+(INVESTORS_LIST[[#This Row],[SIP_WEIGHT]]*INVESTORS_LIST[[#This Row],[SIP_AVERAGE COST]]))</f>
        <v>11.603115436494701</v>
      </c>
      <c r="AO553" s="105">
        <f t="shared" si="9"/>
        <v>14.224</v>
      </c>
      <c r="AP553" s="112">
        <f>IF(INVESTORS_LIST[[#This Row],[TOTAL CURRENT UNITS]]=0,0,INVESTORS_LIST[[#This Row],[TOTAL CURRENT UNITS]]*INVESTORS_LIST[[#This Row],[NAV]])</f>
        <v>902982.19200000004</v>
      </c>
      <c r="AQ553" s="49">
        <f>IF(INVESTORS_LIST[[#This Row],[LS_TOTAL CURRENT UNITS]]=0,0,INVESTORS_LIST[[#This Row],[LS_TOTAL CURRENT UNITS]]*INVESTORS_LIST[[#This Row],[NAV]])</f>
        <v>902982.19200000004</v>
      </c>
      <c r="AR553" s="48">
        <f>IF(INVESTORS_LIST[[#This Row],[SIP_TOTAL CURRENT UNITS]]=0,0,INVESTORS_LIST[[#This Row],[SIP_TOTAL CURRENT UNITS]]*INVESTORS_LIST[[#This Row],[NAV]])</f>
        <v>0</v>
      </c>
      <c r="AS553" s="50">
        <f>INVESTORS_LIST[[#This Row],[TOTAL CURRENT UNITS]]</f>
        <v>63483</v>
      </c>
      <c r="AT553" s="48">
        <f>IF(INVESTORS_LIST[[#This Row],[TOTAL SELLABLE UNITS]]=0,0,INVESTORS_LIST[[#This Row],[TOTAL SELLABLE UNITS]]*INVESTORS_LIST[[#This Row],[NAV]])</f>
        <v>902982.19200000004</v>
      </c>
      <c r="AU553" s="48">
        <f>INVESTORS_LIST[[#This Row],[LS_TOTAL REALIZED GAIN]]+INVESTORS_LIST[[#This Row],[SIP_TOTAL REALIZED GAIN]]</f>
        <v>6600.5772549929561</v>
      </c>
      <c r="AV553" s="48">
        <f>INVESTORS_LIST[[#This Row],[TOTAL MARKET VALUE]]-INVESTORS_LIST[[#This Row],[TOTAL COST VALUE OF CURRENT INVESTMENT]]</f>
        <v>166381.61474500701</v>
      </c>
      <c r="AW553" s="48">
        <f>IFERROR(INVESTORS_LIST[[#This Row],[TOTAL CURRENT UNITS]]/SUM(INVESTORS_LIST[TOTAL CURRENT UNITS]),0)</f>
        <v>1.5411265058683484E-3</v>
      </c>
    </row>
    <row r="554" spans="1:49">
      <c r="A554" s="262" t="s">
        <v>1156</v>
      </c>
      <c r="B554" s="97" t="s">
        <v>1157</v>
      </c>
      <c r="C554" t="s">
        <v>67</v>
      </c>
      <c r="D554" s="75" t="s">
        <v>45</v>
      </c>
      <c r="E554" s="47">
        <f>SUMIFS(LS[Unit],LS[Investor ID],INVESTORS_LIST[[#This Row],[INVESTOR CODE]],LS[B/S],"B")</f>
        <v>66864</v>
      </c>
      <c r="F554" s="47">
        <f>-SUMIFS(LS[Unit],LS[Investor ID],INVESTORS_LIST[[#This Row],[INVESTOR CODE]],LS[B/S],"S")</f>
        <v>58005</v>
      </c>
      <c r="G554" s="47">
        <f>IF(INVESTORS_LIST[[#This Row],[LS_TOTAL UNITS BUY]]=0,0,INVESTORS_LIST[[#This Row],[LS_TOTAL UNITS BUY]]-INVESTORS_LIST[[#This Row],[LS_TOTAL UNITS SOLD]])</f>
        <v>8859</v>
      </c>
      <c r="H554" s="49">
        <f>IF(INVESTORS_LIST[[#This Row],[LS_TOTAL UNITS BUY]]=0,0,SUMIFS(LS[Amount],LS[Investor ID],INVESTORS_LIST[[#This Row],[INVESTOR CODE]],LS[B/S],"B"))</f>
        <v>791600</v>
      </c>
      <c r="I554" s="48">
        <f>IF(INVESTORS_LIST[[#This Row],[LS_TOTAL UNITS SOLD]]=0,0,SUMIFS(LS[Cost of Units Sold],LS[Investor ID],INVESTORS_LIST[[#This Row],[INVESTOR CODE]],LS[B/S],"S"))</f>
        <v>681782.57646441937</v>
      </c>
      <c r="J554" s="48">
        <f>IF(INVESTORS_LIST[[#This Row],[LS_TOTAL CURRENT UNITS]]=0,0,INVESTORS_LIST[[#This Row],[LS_TOTAL CURRENT UNITS]]*INVESTORS_LIST[[#This Row],[LS_AVERAGE COST]])</f>
        <v>109817.42353558059</v>
      </c>
      <c r="K554" s="49">
        <f>IF(INVESTORS_LIST[[#This Row],[LS_TOTAL UNITS SOLD]]=0,0,SUMIFS(LS[Realized Gain],LS[Investor ID],INVESTORS_LIST[[#This Row],[INVESTOR CODE]],LS[B/S],"S"))</f>
        <v>14083.183535580609</v>
      </c>
      <c r="L554" s="47">
        <f>SUMIFS(SIP[Unit],SIP[Investor ID],INVESTORS_LIST[[#This Row],[INVESTOR CODE]],SIP[B/S],"B")</f>
        <v>0</v>
      </c>
      <c r="M554" s="47">
        <f>-SUMIFS(SIP[Unit],SIP[Investor ID],INVESTORS_LIST[[#This Row],[INVESTOR CODE]],SIP[B/S],"S")</f>
        <v>0</v>
      </c>
      <c r="N554" s="50">
        <f>IF(INVESTORS_LIST[[#This Row],[SIP_TOTAL UNITS BUY]]=0,0,INVESTORS_LIST[[#This Row],[SIP_TOTAL UNITS BUY]]-INVESTORS_LIST[[#This Row],[SIP_TOTAL UNITS SOLD]])</f>
        <v>0</v>
      </c>
      <c r="O554" s="49">
        <f>IF(INVESTORS_LIST[[#This Row],[SIP_TOTAL UNITS BUY]]=0,0,SUMIFS(SIP[Amount],SIP[Investor ID],INVESTORS_LIST[[#This Row],[INVESTOR CODE]],SIP[B/S],"B"))</f>
        <v>0</v>
      </c>
      <c r="P554" s="49">
        <f>IF(INVESTORS_LIST[[#This Row],[SIP_TOTAL UNITS SOLD]]=0,0,SUMIFS(SIP[Cost of Units Sold],SIP[Investor ID],INVESTORS_LIST[[#This Row],[INVESTOR CODE]],SIP[B/S],"S"))</f>
        <v>0</v>
      </c>
      <c r="Q554" s="48">
        <f>IF(INVESTORS_LIST[[#This Row],[SIP_TOTAL CURRENT UNITS]]=0,0,INVESTORS_LIST[[#This Row],[SIP_TOTAL CURRENT UNITS]]*INVESTORS_LIST[[#This Row],[SIP_AVERAGE COST]])</f>
        <v>0</v>
      </c>
      <c r="R554" s="48">
        <f>IF(INVESTORS_LIST[[#This Row],[SIP_TOTAL UNITS SOLD]]=0,0,SUMIFS(SIP[Realized Gain],SIP[Investor ID],INVESTORS_LIST[[#This Row],[INVESTOR CODE]],SIP[B/S],"S"))</f>
        <v>0</v>
      </c>
      <c r="S554" s="50">
        <f>INVESTORS_LIST[[#This Row],[LS_TOTAL UNITS BUY]]+INVESTORS_LIST[[#This Row],[SIP_TOTAL UNITS BUY]]</f>
        <v>66864</v>
      </c>
      <c r="T554" s="50">
        <f>INVESTORS_LIST[[#This Row],[LS_TOTAL UNITS SOLD]]+INVESTORS_LIST[[#This Row],[SIP_TOTAL UNITS SOLD]]</f>
        <v>58005</v>
      </c>
      <c r="U554" s="50"/>
      <c r="V554" s="50">
        <f>SUMIFS(LS[BO UNIT TRANSFER],LS[Investor ID],INVESTORS_LIST[[#This Row],[INVESTOR CODE]],LS[B/S],"B")</f>
        <v>0</v>
      </c>
      <c r="W554" s="50">
        <f>SUMIFS(SIP[BO UNIT TRANSFER],SIP[Investor ID],INVESTORS_LIST[[#This Row],[INVESTOR CODE]],SIP[B/S],"B")</f>
        <v>0</v>
      </c>
      <c r="X554" s="50">
        <f>SUMIFS(LS[BO UNIT TRANSFER],LS[Investor ID],INVESTORS_LIST[[#This Row],[INVESTOR CODE]],LS[B/S],"S")</f>
        <v>0</v>
      </c>
      <c r="Y554" s="50">
        <f>SUMIFS(SIP[BO UNIT TRANSFER],SIP[Investor ID],INVESTORS_LIST[[#This Row],[INVESTOR CODE]],SIP[B/S],"S")</f>
        <v>0</v>
      </c>
      <c r="Z554" s="106">
        <f>SUM(INVESTORS_LIST[[#This Row],[BO OPENING BALANCE]:[BO SIP UNITS REPURCHASE]])</f>
        <v>0</v>
      </c>
      <c r="AA554" s="107">
        <f>INVESTORS_LIST[[#This Row],[TOTAL UNITS BUY]]-INVESTORS_LIST[[#This Row],[TOTAL UNITS SOLD]]</f>
        <v>8859</v>
      </c>
      <c r="AB554" s="107">
        <f>INVESTORS_LIST[[#This Row],[TOTAL CURRENT UNITS]]-INVESTORS_LIST[[#This Row],[BO UNITS HOLD]]</f>
        <v>8859</v>
      </c>
      <c r="AC554" s="201" t="e">
        <f>INDEX([3]!Table_1[BO ID],MATCH(INVESTORS_LIST[[#This Row],[INVESTOR CODE]],[3]!Table_1[INVESTOR CODE],0))</f>
        <v>#REF!</v>
      </c>
      <c r="AD554" s="201" t="e">
        <f>INDEX([3]!Table_1[Brokerage Name2],MATCH(INVESTORS_LIST[[#This Row],[INVESTOR CODE]],[3]!Table_1[INVESTOR CODE],0))</f>
        <v>#REF!</v>
      </c>
      <c r="AE554" s="201" t="e">
        <f>MID(INVESTORS_LIST[[#This Row],[BO ID]],4,5)</f>
        <v>#REF!</v>
      </c>
      <c r="AF554" s="201" t="e">
        <f>MID(INVESTORS_LIST[[#This Row],[BO ID]],2,7)</f>
        <v>#REF!</v>
      </c>
      <c r="AG554" s="201" t="e">
        <f>MID(INVESTORS_LIST[[#This Row],[BO ID]],9,7)</f>
        <v>#REF!</v>
      </c>
      <c r="AH554" s="201" t="e">
        <f>RIGHT(INVESTORS_LIST[[#This Row],[BO ID]],1)</f>
        <v>#REF!</v>
      </c>
      <c r="AI554" s="50">
        <f>INVESTORS_LIST[[#This Row],[LS_TOTAL COST VALUE OF CURRENT UNITS]]+INVESTORS_LIST[[#This Row],[SIP_TOTAL COST VALUE OF CURRENT UNITS]]</f>
        <v>109817.42353558059</v>
      </c>
      <c r="AJ554" s="109">
        <f>IF(INVESTORS_LIST[[#This Row],[TOTAL CURRENT UNITS]]=0,0,INVESTORS_LIST[[#This Row],[LS_TOTAL CURRENT UNITS]]/INVESTORS_LIST[[#This Row],[TOTAL CURRENT UNITS]])</f>
        <v>1</v>
      </c>
      <c r="AK554" s="109">
        <f>IF(INVESTORS_LIST[[#This Row],[TOTAL CURRENT UNITS]]=0,0,INVESTORS_LIST[[#This Row],[SIP_TOTAL CURRENT UNITS]]/INVESTORS_LIST[[#This Row],[TOTAL CURRENT UNITS]])</f>
        <v>0</v>
      </c>
      <c r="AL554" s="49" cm="1">
        <f t="array" ref="AL554">IF(INVESTORS_LIST[[#This Row],[LS_TOTAL UNITS BUY]]&gt;0,INDEX(LS[NAV at Cost (Average)],MATCH(CONCATENATE(COUNTIFS(LS[Investor ID],INVESTORS_LIST[[#This Row],[INVESTOR CODE]]),INVESTORS_LIST[[#This Row],[INVESTOR CODE]]),LS[Unique Code],0),),0)</f>
        <v>12.396142175819007</v>
      </c>
      <c r="AM554" s="49" cm="1">
        <f t="array" ref="AM5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4" s="105">
        <f>IF(INVESTORS_LIST[[#This Row],[TOTAL CURRENT UNITS]]=0,0,(INVESTORS_LIST[[#This Row],[LS_WEIGHT]]*INVESTORS_LIST[[#This Row],[LS_AVERAGE COST]])+(INVESTORS_LIST[[#This Row],[SIP_WEIGHT]]*INVESTORS_LIST[[#This Row],[SIP_AVERAGE COST]]))</f>
        <v>12.396142175819007</v>
      </c>
      <c r="AO554" s="105">
        <f t="shared" si="9"/>
        <v>14.224</v>
      </c>
      <c r="AP554" s="112">
        <f>IF(INVESTORS_LIST[[#This Row],[TOTAL CURRENT UNITS]]=0,0,INVESTORS_LIST[[#This Row],[TOTAL CURRENT UNITS]]*INVESTORS_LIST[[#This Row],[NAV]])</f>
        <v>126010.416</v>
      </c>
      <c r="AQ554" s="49">
        <f>IF(INVESTORS_LIST[[#This Row],[LS_TOTAL CURRENT UNITS]]=0,0,INVESTORS_LIST[[#This Row],[LS_TOTAL CURRENT UNITS]]*INVESTORS_LIST[[#This Row],[NAV]])</f>
        <v>126010.416</v>
      </c>
      <c r="AR554" s="48">
        <f>IF(INVESTORS_LIST[[#This Row],[SIP_TOTAL CURRENT UNITS]]=0,0,INVESTORS_LIST[[#This Row],[SIP_TOTAL CURRENT UNITS]]*INVESTORS_LIST[[#This Row],[NAV]])</f>
        <v>0</v>
      </c>
      <c r="AS554" s="50">
        <f>INVESTORS_LIST[[#This Row],[TOTAL CURRENT UNITS]]</f>
        <v>8859</v>
      </c>
      <c r="AT554" s="48">
        <f>IF(INVESTORS_LIST[[#This Row],[TOTAL SELLABLE UNITS]]=0,0,INVESTORS_LIST[[#This Row],[TOTAL SELLABLE UNITS]]*INVESTORS_LIST[[#This Row],[NAV]])</f>
        <v>126010.416</v>
      </c>
      <c r="AU554" s="48">
        <f>INVESTORS_LIST[[#This Row],[LS_TOTAL REALIZED GAIN]]+INVESTORS_LIST[[#This Row],[SIP_TOTAL REALIZED GAIN]]</f>
        <v>14083.183535580609</v>
      </c>
      <c r="AV554" s="48">
        <f>INVESTORS_LIST[[#This Row],[TOTAL MARKET VALUE]]-INVESTORS_LIST[[#This Row],[TOTAL COST VALUE OF CURRENT INVESTMENT]]</f>
        <v>16192.992464419411</v>
      </c>
      <c r="AW554" s="48">
        <f>IFERROR(INVESTORS_LIST[[#This Row],[TOTAL CURRENT UNITS]]/SUM(INVESTORS_LIST[TOTAL CURRENT UNITS]),0)</f>
        <v>2.1506292575158229E-4</v>
      </c>
    </row>
    <row r="555" spans="1:49" hidden="1">
      <c r="A555" s="262" t="s">
        <v>1158</v>
      </c>
      <c r="B555" s="97" t="s">
        <v>1159</v>
      </c>
      <c r="C555" t="s">
        <v>44</v>
      </c>
      <c r="D555" s="75" t="s">
        <v>45</v>
      </c>
      <c r="E555" s="47">
        <f>SUMIFS(LS[Unit],LS[Investor ID],INVESTORS_LIST[[#This Row],[INVESTOR CODE]],LS[B/S],"B")</f>
        <v>17936</v>
      </c>
      <c r="F555" s="47">
        <f>-SUMIFS(LS[Unit],LS[Investor ID],INVESTORS_LIST[[#This Row],[INVESTOR CODE]],LS[B/S],"S")</f>
        <v>17936</v>
      </c>
      <c r="G555" s="47">
        <f>IF(INVESTORS_LIST[[#This Row],[LS_TOTAL UNITS BUY]]=0,0,INVESTORS_LIST[[#This Row],[LS_TOTAL UNITS BUY]]-INVESTORS_LIST[[#This Row],[LS_TOTAL UNITS SOLD]])</f>
        <v>0</v>
      </c>
      <c r="H555" s="49">
        <f>IF(INVESTORS_LIST[[#This Row],[LS_TOTAL UNITS BUY]]=0,0,SUMIFS(LS[Amount],LS[Investor ID],INVESTORS_LIST[[#This Row],[INVESTOR CODE]],LS[B/S],"B"))</f>
        <v>200000</v>
      </c>
      <c r="I555" s="48">
        <f>IF(INVESTORS_LIST[[#This Row],[LS_TOTAL UNITS SOLD]]=0,0,SUMIFS(LS[Cost of Units Sold],LS[Investor ID],INVESTORS_LIST[[#This Row],[INVESTOR CODE]],LS[B/S],"S"))</f>
        <v>199999.99999999997</v>
      </c>
      <c r="J555" s="48">
        <f>IF(INVESTORS_LIST[[#This Row],[LS_TOTAL CURRENT UNITS]]=0,0,INVESTORS_LIST[[#This Row],[LS_TOTAL CURRENT UNITS]]*INVESTORS_LIST[[#This Row],[LS_AVERAGE COST]])</f>
        <v>0</v>
      </c>
      <c r="K555" s="49">
        <f>IF(INVESTORS_LIST[[#This Row],[LS_TOTAL UNITS SOLD]]=0,0,SUMIFS(LS[Realized Gain],LS[Investor ID],INVESTORS_LIST[[#This Row],[INVESTOR CODE]],LS[B/S],"S"))</f>
        <v>865.2600000000582</v>
      </c>
      <c r="L555" s="47">
        <f>SUMIFS(SIP[Unit],SIP[Investor ID],INVESTORS_LIST[[#This Row],[INVESTOR CODE]],SIP[B/S],"B")</f>
        <v>0</v>
      </c>
      <c r="M555" s="47">
        <f>-SUMIFS(SIP[Unit],SIP[Investor ID],INVESTORS_LIST[[#This Row],[INVESTOR CODE]],SIP[B/S],"S")</f>
        <v>0</v>
      </c>
      <c r="N555" s="50">
        <f>IF(INVESTORS_LIST[[#This Row],[SIP_TOTAL UNITS BUY]]=0,0,INVESTORS_LIST[[#This Row],[SIP_TOTAL UNITS BUY]]-INVESTORS_LIST[[#This Row],[SIP_TOTAL UNITS SOLD]])</f>
        <v>0</v>
      </c>
      <c r="O555" s="49">
        <f>IF(INVESTORS_LIST[[#This Row],[SIP_TOTAL UNITS BUY]]=0,0,SUMIFS(SIP[Amount],SIP[Investor ID],INVESTORS_LIST[[#This Row],[INVESTOR CODE]],SIP[B/S],"B"))</f>
        <v>0</v>
      </c>
      <c r="P555" s="49">
        <f>IF(INVESTORS_LIST[[#This Row],[SIP_TOTAL UNITS SOLD]]=0,0,SUMIFS(SIP[Cost of Units Sold],SIP[Investor ID],INVESTORS_LIST[[#This Row],[INVESTOR CODE]],SIP[B/S],"S"))</f>
        <v>0</v>
      </c>
      <c r="Q555" s="48">
        <f>IF(INVESTORS_LIST[[#This Row],[SIP_TOTAL CURRENT UNITS]]=0,0,INVESTORS_LIST[[#This Row],[SIP_TOTAL CURRENT UNITS]]*INVESTORS_LIST[[#This Row],[SIP_AVERAGE COST]])</f>
        <v>0</v>
      </c>
      <c r="R555" s="48">
        <f>IF(INVESTORS_LIST[[#This Row],[SIP_TOTAL UNITS SOLD]]=0,0,SUMIFS(SIP[Realized Gain],SIP[Investor ID],INVESTORS_LIST[[#This Row],[INVESTOR CODE]],SIP[B/S],"S"))</f>
        <v>0</v>
      </c>
      <c r="S555" s="50">
        <f>INVESTORS_LIST[[#This Row],[LS_TOTAL UNITS BUY]]+INVESTORS_LIST[[#This Row],[SIP_TOTAL UNITS BUY]]</f>
        <v>17936</v>
      </c>
      <c r="T555" s="50">
        <f>INVESTORS_LIST[[#This Row],[LS_TOTAL UNITS SOLD]]+INVESTORS_LIST[[#This Row],[SIP_TOTAL UNITS SOLD]]</f>
        <v>17936</v>
      </c>
      <c r="U555" s="50"/>
      <c r="V555" s="50">
        <f>SUMIFS(LS[BO UNIT TRANSFER],LS[Investor ID],INVESTORS_LIST[[#This Row],[INVESTOR CODE]],LS[B/S],"B")</f>
        <v>0</v>
      </c>
      <c r="W555" s="50">
        <f>SUMIFS(SIP[BO UNIT TRANSFER],SIP[Investor ID],INVESTORS_LIST[[#This Row],[INVESTOR CODE]],SIP[B/S],"B")</f>
        <v>0</v>
      </c>
      <c r="X555" s="50">
        <f>SUMIFS(LS[BO UNIT TRANSFER],LS[Investor ID],INVESTORS_LIST[[#This Row],[INVESTOR CODE]],LS[B/S],"S")</f>
        <v>0</v>
      </c>
      <c r="Y555" s="50">
        <f>SUMIFS(SIP[BO UNIT TRANSFER],SIP[Investor ID],INVESTORS_LIST[[#This Row],[INVESTOR CODE]],SIP[B/S],"S")</f>
        <v>0</v>
      </c>
      <c r="Z555" s="106">
        <f>SUM(INVESTORS_LIST[[#This Row],[BO OPENING BALANCE]:[BO SIP UNITS REPURCHASE]])</f>
        <v>0</v>
      </c>
      <c r="AA555" s="107">
        <f>INVESTORS_LIST[[#This Row],[TOTAL UNITS BUY]]-INVESTORS_LIST[[#This Row],[TOTAL UNITS SOLD]]</f>
        <v>0</v>
      </c>
      <c r="AB555" s="107">
        <f>INVESTORS_LIST[[#This Row],[TOTAL CURRENT UNITS]]-INVESTORS_LIST[[#This Row],[BO UNITS HOLD]]</f>
        <v>0</v>
      </c>
      <c r="AC555" s="201" t="e">
        <f>INDEX([3]!Table_1[BO ID],MATCH(INVESTORS_LIST[[#This Row],[INVESTOR CODE]],[3]!Table_1[INVESTOR CODE],0))</f>
        <v>#REF!</v>
      </c>
      <c r="AD555" s="201" t="e">
        <f>INDEX([3]!Table_1[Brokerage Name2],MATCH(INVESTORS_LIST[[#This Row],[INVESTOR CODE]],[3]!Table_1[INVESTOR CODE],0))</f>
        <v>#REF!</v>
      </c>
      <c r="AE555" s="201" t="e">
        <f>MID(INVESTORS_LIST[[#This Row],[BO ID]],4,5)</f>
        <v>#REF!</v>
      </c>
      <c r="AF555" s="201" t="e">
        <f>MID(INVESTORS_LIST[[#This Row],[BO ID]],2,7)</f>
        <v>#REF!</v>
      </c>
      <c r="AG555" s="201" t="e">
        <f>MID(INVESTORS_LIST[[#This Row],[BO ID]],9,7)</f>
        <v>#REF!</v>
      </c>
      <c r="AH555" s="201" t="e">
        <f>RIGHT(INVESTORS_LIST[[#This Row],[BO ID]],1)</f>
        <v>#REF!</v>
      </c>
      <c r="AI555" s="50">
        <f>INVESTORS_LIST[[#This Row],[LS_TOTAL COST VALUE OF CURRENT UNITS]]+INVESTORS_LIST[[#This Row],[SIP_TOTAL COST VALUE OF CURRENT UNITS]]</f>
        <v>0</v>
      </c>
      <c r="AJ555" s="109">
        <f>IF(INVESTORS_LIST[[#This Row],[TOTAL CURRENT UNITS]]=0,0,INVESTORS_LIST[[#This Row],[LS_TOTAL CURRENT UNITS]]/INVESTORS_LIST[[#This Row],[TOTAL CURRENT UNITS]])</f>
        <v>0</v>
      </c>
      <c r="AK555" s="109">
        <f>IF(INVESTORS_LIST[[#This Row],[TOTAL CURRENT UNITS]]=0,0,INVESTORS_LIST[[#This Row],[SIP_TOTAL CURRENT UNITS]]/INVESTORS_LIST[[#This Row],[TOTAL CURRENT UNITS]])</f>
        <v>0</v>
      </c>
      <c r="AL555" s="49" cm="1">
        <f t="array" ref="AL5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55" s="49" cm="1">
        <f t="array" ref="AM5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55" s="105">
        <f t="shared" si="9"/>
        <v>14.224</v>
      </c>
      <c r="AP555" s="112">
        <f>IF(INVESTORS_LIST[[#This Row],[TOTAL CURRENT UNITS]]=0,0,INVESTORS_LIST[[#This Row],[TOTAL CURRENT UNITS]]*INVESTORS_LIST[[#This Row],[NAV]])</f>
        <v>0</v>
      </c>
      <c r="AQ555" s="49">
        <f>IF(INVESTORS_LIST[[#This Row],[LS_TOTAL CURRENT UNITS]]=0,0,INVESTORS_LIST[[#This Row],[LS_TOTAL CURRENT UNITS]]*INVESTORS_LIST[[#This Row],[NAV]])</f>
        <v>0</v>
      </c>
      <c r="AR555" s="48">
        <f>IF(INVESTORS_LIST[[#This Row],[SIP_TOTAL CURRENT UNITS]]=0,0,INVESTORS_LIST[[#This Row],[SIP_TOTAL CURRENT UNITS]]*INVESTORS_LIST[[#This Row],[NAV]])</f>
        <v>0</v>
      </c>
      <c r="AS555" s="50">
        <f>INVESTORS_LIST[[#This Row],[TOTAL CURRENT UNITS]]</f>
        <v>0</v>
      </c>
      <c r="AT555" s="48">
        <f>IF(INVESTORS_LIST[[#This Row],[TOTAL SELLABLE UNITS]]=0,0,INVESTORS_LIST[[#This Row],[TOTAL SELLABLE UNITS]]*INVESTORS_LIST[[#This Row],[NAV]])</f>
        <v>0</v>
      </c>
      <c r="AU555" s="48">
        <f>INVESTORS_LIST[[#This Row],[LS_TOTAL REALIZED GAIN]]+INVESTORS_LIST[[#This Row],[SIP_TOTAL REALIZED GAIN]]</f>
        <v>865.2600000000582</v>
      </c>
      <c r="AV555" s="48">
        <f>INVESTORS_LIST[[#This Row],[TOTAL MARKET VALUE]]-INVESTORS_LIST[[#This Row],[TOTAL COST VALUE OF CURRENT INVESTMENT]]</f>
        <v>0</v>
      </c>
      <c r="AW555" s="48">
        <f>IFERROR(INVESTORS_LIST[[#This Row],[TOTAL CURRENT UNITS]]/SUM(INVESTORS_LIST[TOTAL CURRENT UNITS]),0)</f>
        <v>0</v>
      </c>
    </row>
    <row r="556" spans="1:49" hidden="1">
      <c r="A556" s="262" t="s">
        <v>1160</v>
      </c>
      <c r="B556" s="97" t="s">
        <v>1161</v>
      </c>
      <c r="C556" t="s">
        <v>67</v>
      </c>
      <c r="D556" s="75" t="s">
        <v>45</v>
      </c>
      <c r="E556" s="47">
        <f>SUMIFS(LS[Unit],LS[Investor ID],INVESTORS_LIST[[#This Row],[INVESTOR CODE]],LS[B/S],"B")</f>
        <v>38616</v>
      </c>
      <c r="F556" s="47">
        <f>-SUMIFS(LS[Unit],LS[Investor ID],INVESTORS_LIST[[#This Row],[INVESTOR CODE]],LS[B/S],"S")</f>
        <v>38616</v>
      </c>
      <c r="G556" s="47">
        <f>IF(INVESTORS_LIST[[#This Row],[LS_TOTAL UNITS BUY]]=0,0,INVESTORS_LIST[[#This Row],[LS_TOTAL UNITS BUY]]-INVESTORS_LIST[[#This Row],[LS_TOTAL UNITS SOLD]])</f>
        <v>0</v>
      </c>
      <c r="H556" s="49">
        <f>IF(INVESTORS_LIST[[#This Row],[LS_TOTAL UNITS BUY]]=0,0,SUMIFS(LS[Amount],LS[Investor ID],INVESTORS_LIST[[#This Row],[INVESTOR CODE]],LS[B/S],"B"))</f>
        <v>450000</v>
      </c>
      <c r="I556" s="48">
        <f>IF(INVESTORS_LIST[[#This Row],[LS_TOTAL UNITS SOLD]]=0,0,SUMIFS(LS[Cost of Units Sold],LS[Investor ID],INVESTORS_LIST[[#This Row],[INVESTOR CODE]],LS[B/S],"S"))</f>
        <v>450000</v>
      </c>
      <c r="J556" s="48">
        <f>IF(INVESTORS_LIST[[#This Row],[LS_TOTAL CURRENT UNITS]]=0,0,INVESTORS_LIST[[#This Row],[LS_TOTAL CURRENT UNITS]]*INVESTORS_LIST[[#This Row],[LS_AVERAGE COST]])</f>
        <v>0</v>
      </c>
      <c r="K556" s="49">
        <f>IF(INVESTORS_LIST[[#This Row],[LS_TOTAL UNITS SOLD]]=0,0,SUMIFS(LS[Realized Gain],LS[Investor ID],INVESTORS_LIST[[#This Row],[INVESTOR CODE]],LS[B/S],"S"))</f>
        <v>8539.2200000000121</v>
      </c>
      <c r="L556" s="47">
        <f>SUMIFS(SIP[Unit],SIP[Investor ID],INVESTORS_LIST[[#This Row],[INVESTOR CODE]],SIP[B/S],"B")</f>
        <v>0</v>
      </c>
      <c r="M556" s="47">
        <f>-SUMIFS(SIP[Unit],SIP[Investor ID],INVESTORS_LIST[[#This Row],[INVESTOR CODE]],SIP[B/S],"S")</f>
        <v>0</v>
      </c>
      <c r="N556" s="50">
        <f>IF(INVESTORS_LIST[[#This Row],[SIP_TOTAL UNITS BUY]]=0,0,INVESTORS_LIST[[#This Row],[SIP_TOTAL UNITS BUY]]-INVESTORS_LIST[[#This Row],[SIP_TOTAL UNITS SOLD]])</f>
        <v>0</v>
      </c>
      <c r="O556" s="49">
        <f>IF(INVESTORS_LIST[[#This Row],[SIP_TOTAL UNITS BUY]]=0,0,SUMIFS(SIP[Amount],SIP[Investor ID],INVESTORS_LIST[[#This Row],[INVESTOR CODE]],SIP[B/S],"B"))</f>
        <v>0</v>
      </c>
      <c r="P556" s="49">
        <f>IF(INVESTORS_LIST[[#This Row],[SIP_TOTAL UNITS SOLD]]=0,0,SUMIFS(SIP[Cost of Units Sold],SIP[Investor ID],INVESTORS_LIST[[#This Row],[INVESTOR CODE]],SIP[B/S],"S"))</f>
        <v>0</v>
      </c>
      <c r="Q556" s="48">
        <f>IF(INVESTORS_LIST[[#This Row],[SIP_TOTAL CURRENT UNITS]]=0,0,INVESTORS_LIST[[#This Row],[SIP_TOTAL CURRENT UNITS]]*INVESTORS_LIST[[#This Row],[SIP_AVERAGE COST]])</f>
        <v>0</v>
      </c>
      <c r="R556" s="48">
        <f>IF(INVESTORS_LIST[[#This Row],[SIP_TOTAL UNITS SOLD]]=0,0,SUMIFS(SIP[Realized Gain],SIP[Investor ID],INVESTORS_LIST[[#This Row],[INVESTOR CODE]],SIP[B/S],"S"))</f>
        <v>0</v>
      </c>
      <c r="S556" s="50">
        <f>INVESTORS_LIST[[#This Row],[LS_TOTAL UNITS BUY]]+INVESTORS_LIST[[#This Row],[SIP_TOTAL UNITS BUY]]</f>
        <v>38616</v>
      </c>
      <c r="T556" s="50">
        <f>INVESTORS_LIST[[#This Row],[LS_TOTAL UNITS SOLD]]+INVESTORS_LIST[[#This Row],[SIP_TOTAL UNITS SOLD]]</f>
        <v>38616</v>
      </c>
      <c r="U556" s="50"/>
      <c r="V556" s="50">
        <f>SUMIFS(LS[BO UNIT TRANSFER],LS[Investor ID],INVESTORS_LIST[[#This Row],[INVESTOR CODE]],LS[B/S],"B")</f>
        <v>0</v>
      </c>
      <c r="W556" s="50">
        <f>SUMIFS(SIP[BO UNIT TRANSFER],SIP[Investor ID],INVESTORS_LIST[[#This Row],[INVESTOR CODE]],SIP[B/S],"B")</f>
        <v>0</v>
      </c>
      <c r="X556" s="50">
        <f>SUMIFS(LS[BO UNIT TRANSFER],LS[Investor ID],INVESTORS_LIST[[#This Row],[INVESTOR CODE]],LS[B/S],"S")</f>
        <v>0</v>
      </c>
      <c r="Y556" s="50">
        <f>SUMIFS(SIP[BO UNIT TRANSFER],SIP[Investor ID],INVESTORS_LIST[[#This Row],[INVESTOR CODE]],SIP[B/S],"S")</f>
        <v>0</v>
      </c>
      <c r="Z556" s="106">
        <f>SUM(INVESTORS_LIST[[#This Row],[BO OPENING BALANCE]:[BO SIP UNITS REPURCHASE]])</f>
        <v>0</v>
      </c>
      <c r="AA556" s="107">
        <f>INVESTORS_LIST[[#This Row],[TOTAL UNITS BUY]]-INVESTORS_LIST[[#This Row],[TOTAL UNITS SOLD]]</f>
        <v>0</v>
      </c>
      <c r="AB556" s="107">
        <f>INVESTORS_LIST[[#This Row],[TOTAL CURRENT UNITS]]-INVESTORS_LIST[[#This Row],[BO UNITS HOLD]]</f>
        <v>0</v>
      </c>
      <c r="AC556" s="201" t="e">
        <f>INDEX([3]!Table_1[BO ID],MATCH(INVESTORS_LIST[[#This Row],[INVESTOR CODE]],[3]!Table_1[INVESTOR CODE],0))</f>
        <v>#REF!</v>
      </c>
      <c r="AD556" s="201" t="e">
        <f>INDEX([3]!Table_1[Brokerage Name2],MATCH(INVESTORS_LIST[[#This Row],[INVESTOR CODE]],[3]!Table_1[INVESTOR CODE],0))</f>
        <v>#REF!</v>
      </c>
      <c r="AE556" s="201" t="e">
        <f>MID(INVESTORS_LIST[[#This Row],[BO ID]],4,5)</f>
        <v>#REF!</v>
      </c>
      <c r="AF556" s="201" t="e">
        <f>MID(INVESTORS_LIST[[#This Row],[BO ID]],2,7)</f>
        <v>#REF!</v>
      </c>
      <c r="AG556" s="201" t="e">
        <f>MID(INVESTORS_LIST[[#This Row],[BO ID]],9,7)</f>
        <v>#REF!</v>
      </c>
      <c r="AH556" s="201" t="e">
        <f>RIGHT(INVESTORS_LIST[[#This Row],[BO ID]],1)</f>
        <v>#REF!</v>
      </c>
      <c r="AI556" s="50">
        <f>INVESTORS_LIST[[#This Row],[LS_TOTAL COST VALUE OF CURRENT UNITS]]+INVESTORS_LIST[[#This Row],[SIP_TOTAL COST VALUE OF CURRENT UNITS]]</f>
        <v>0</v>
      </c>
      <c r="AJ556" s="109">
        <f>IF(INVESTORS_LIST[[#This Row],[TOTAL CURRENT UNITS]]=0,0,INVESTORS_LIST[[#This Row],[LS_TOTAL CURRENT UNITS]]/INVESTORS_LIST[[#This Row],[TOTAL CURRENT UNITS]])</f>
        <v>0</v>
      </c>
      <c r="AK556" s="109">
        <f>IF(INVESTORS_LIST[[#This Row],[TOTAL CURRENT UNITS]]=0,0,INVESTORS_LIST[[#This Row],[SIP_TOTAL CURRENT UNITS]]/INVESTORS_LIST[[#This Row],[TOTAL CURRENT UNITS]])</f>
        <v>0</v>
      </c>
      <c r="AL556" s="49" cm="1">
        <f t="array" ref="AL5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56" s="49" cm="1">
        <f t="array" ref="AM5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56" s="105">
        <f t="shared" si="9"/>
        <v>14.224</v>
      </c>
      <c r="AP556" s="112">
        <f>IF(INVESTORS_LIST[[#This Row],[TOTAL CURRENT UNITS]]=0,0,INVESTORS_LIST[[#This Row],[TOTAL CURRENT UNITS]]*INVESTORS_LIST[[#This Row],[NAV]])</f>
        <v>0</v>
      </c>
      <c r="AQ556" s="49">
        <f>IF(INVESTORS_LIST[[#This Row],[LS_TOTAL CURRENT UNITS]]=0,0,INVESTORS_LIST[[#This Row],[LS_TOTAL CURRENT UNITS]]*INVESTORS_LIST[[#This Row],[NAV]])</f>
        <v>0</v>
      </c>
      <c r="AR556" s="48">
        <f>IF(INVESTORS_LIST[[#This Row],[SIP_TOTAL CURRENT UNITS]]=0,0,INVESTORS_LIST[[#This Row],[SIP_TOTAL CURRENT UNITS]]*INVESTORS_LIST[[#This Row],[NAV]])</f>
        <v>0</v>
      </c>
      <c r="AS556" s="50">
        <f>INVESTORS_LIST[[#This Row],[TOTAL CURRENT UNITS]]</f>
        <v>0</v>
      </c>
      <c r="AT556" s="48">
        <f>IF(INVESTORS_LIST[[#This Row],[TOTAL SELLABLE UNITS]]=0,0,INVESTORS_LIST[[#This Row],[TOTAL SELLABLE UNITS]]*INVESTORS_LIST[[#This Row],[NAV]])</f>
        <v>0</v>
      </c>
      <c r="AU556" s="48">
        <f>INVESTORS_LIST[[#This Row],[LS_TOTAL REALIZED GAIN]]+INVESTORS_LIST[[#This Row],[SIP_TOTAL REALIZED GAIN]]</f>
        <v>8539.2200000000121</v>
      </c>
      <c r="AV556" s="48">
        <f>INVESTORS_LIST[[#This Row],[TOTAL MARKET VALUE]]-INVESTORS_LIST[[#This Row],[TOTAL COST VALUE OF CURRENT INVESTMENT]]</f>
        <v>0</v>
      </c>
      <c r="AW556" s="48">
        <f>IFERROR(INVESTORS_LIST[[#This Row],[TOTAL CURRENT UNITS]]/SUM(INVESTORS_LIST[TOTAL CURRENT UNITS]),0)</f>
        <v>0</v>
      </c>
    </row>
    <row r="557" spans="1:49" hidden="1">
      <c r="A557" s="262" t="s">
        <v>1162</v>
      </c>
      <c r="B557" s="97" t="s">
        <v>1163</v>
      </c>
      <c r="C557" t="s">
        <v>44</v>
      </c>
      <c r="D557" s="75" t="s">
        <v>45</v>
      </c>
      <c r="E557" s="47">
        <f>SUMIFS(LS[Unit],LS[Investor ID],INVESTORS_LIST[[#This Row],[INVESTOR CODE]],LS[B/S],"B")</f>
        <v>26901</v>
      </c>
      <c r="F557" s="47">
        <f>-SUMIFS(LS[Unit],LS[Investor ID],INVESTORS_LIST[[#This Row],[INVESTOR CODE]],LS[B/S],"S")</f>
        <v>26901</v>
      </c>
      <c r="G557" s="47">
        <f>IF(INVESTORS_LIST[[#This Row],[LS_TOTAL UNITS BUY]]=0,0,INVESTORS_LIST[[#This Row],[LS_TOTAL UNITS BUY]]-INVESTORS_LIST[[#This Row],[LS_TOTAL UNITS SOLD]])</f>
        <v>0</v>
      </c>
      <c r="H557" s="49">
        <f>IF(INVESTORS_LIST[[#This Row],[LS_TOTAL UNITS BUY]]=0,0,SUMIFS(LS[Amount],LS[Investor ID],INVESTORS_LIST[[#This Row],[INVESTOR CODE]],LS[B/S],"B"))</f>
        <v>300000</v>
      </c>
      <c r="I557" s="48">
        <f>IF(INVESTORS_LIST[[#This Row],[LS_TOTAL UNITS SOLD]]=0,0,SUMIFS(LS[Cost of Units Sold],LS[Investor ID],INVESTORS_LIST[[#This Row],[INVESTOR CODE]],LS[B/S],"S"))</f>
        <v>300000</v>
      </c>
      <c r="J557" s="48">
        <f>IF(INVESTORS_LIST[[#This Row],[LS_TOTAL CURRENT UNITS]]=0,0,INVESTORS_LIST[[#This Row],[LS_TOTAL CURRENT UNITS]]*INVESTORS_LIST[[#This Row],[LS_AVERAGE COST]])</f>
        <v>0</v>
      </c>
      <c r="K557" s="49">
        <f>IF(INVESTORS_LIST[[#This Row],[LS_TOTAL UNITS SOLD]]=0,0,SUMIFS(LS[Realized Gain],LS[Investor ID],INVESTORS_LIST[[#This Row],[INVESTOR CODE]],LS[B/S],"S"))</f>
        <v>1264.2999999999677</v>
      </c>
      <c r="L557" s="47">
        <f>SUMIFS(SIP[Unit],SIP[Investor ID],INVESTORS_LIST[[#This Row],[INVESTOR CODE]],SIP[B/S],"B")</f>
        <v>0</v>
      </c>
      <c r="M557" s="47">
        <f>-SUMIFS(SIP[Unit],SIP[Investor ID],INVESTORS_LIST[[#This Row],[INVESTOR CODE]],SIP[B/S],"S")</f>
        <v>0</v>
      </c>
      <c r="N557" s="50">
        <f>IF(INVESTORS_LIST[[#This Row],[SIP_TOTAL UNITS BUY]]=0,0,INVESTORS_LIST[[#This Row],[SIP_TOTAL UNITS BUY]]-INVESTORS_LIST[[#This Row],[SIP_TOTAL UNITS SOLD]])</f>
        <v>0</v>
      </c>
      <c r="O557" s="49">
        <f>IF(INVESTORS_LIST[[#This Row],[SIP_TOTAL UNITS BUY]]=0,0,SUMIFS(SIP[Amount],SIP[Investor ID],INVESTORS_LIST[[#This Row],[INVESTOR CODE]],SIP[B/S],"B"))</f>
        <v>0</v>
      </c>
      <c r="P557" s="49">
        <f>IF(INVESTORS_LIST[[#This Row],[SIP_TOTAL UNITS SOLD]]=0,0,SUMIFS(SIP[Cost of Units Sold],SIP[Investor ID],INVESTORS_LIST[[#This Row],[INVESTOR CODE]],SIP[B/S],"S"))</f>
        <v>0</v>
      </c>
      <c r="Q557" s="48">
        <f>IF(INVESTORS_LIST[[#This Row],[SIP_TOTAL CURRENT UNITS]]=0,0,INVESTORS_LIST[[#This Row],[SIP_TOTAL CURRENT UNITS]]*INVESTORS_LIST[[#This Row],[SIP_AVERAGE COST]])</f>
        <v>0</v>
      </c>
      <c r="R557" s="48">
        <f>IF(INVESTORS_LIST[[#This Row],[SIP_TOTAL UNITS SOLD]]=0,0,SUMIFS(SIP[Realized Gain],SIP[Investor ID],INVESTORS_LIST[[#This Row],[INVESTOR CODE]],SIP[B/S],"S"))</f>
        <v>0</v>
      </c>
      <c r="S557" s="50">
        <f>INVESTORS_LIST[[#This Row],[LS_TOTAL UNITS BUY]]+INVESTORS_LIST[[#This Row],[SIP_TOTAL UNITS BUY]]</f>
        <v>26901</v>
      </c>
      <c r="T557" s="50">
        <f>INVESTORS_LIST[[#This Row],[LS_TOTAL UNITS SOLD]]+INVESTORS_LIST[[#This Row],[SIP_TOTAL UNITS SOLD]]</f>
        <v>26901</v>
      </c>
      <c r="U557" s="50"/>
      <c r="V557" s="50">
        <f>SUMIFS(LS[BO UNIT TRANSFER],LS[Investor ID],INVESTORS_LIST[[#This Row],[INVESTOR CODE]],LS[B/S],"B")</f>
        <v>0</v>
      </c>
      <c r="W557" s="50">
        <f>SUMIFS(SIP[BO UNIT TRANSFER],SIP[Investor ID],INVESTORS_LIST[[#This Row],[INVESTOR CODE]],SIP[B/S],"B")</f>
        <v>0</v>
      </c>
      <c r="X557" s="50">
        <f>SUMIFS(LS[BO UNIT TRANSFER],LS[Investor ID],INVESTORS_LIST[[#This Row],[INVESTOR CODE]],LS[B/S],"S")</f>
        <v>0</v>
      </c>
      <c r="Y557" s="50">
        <f>SUMIFS(SIP[BO UNIT TRANSFER],SIP[Investor ID],INVESTORS_LIST[[#This Row],[INVESTOR CODE]],SIP[B/S],"S")</f>
        <v>0</v>
      </c>
      <c r="Z557" s="106">
        <f>SUM(INVESTORS_LIST[[#This Row],[BO OPENING BALANCE]:[BO SIP UNITS REPURCHASE]])</f>
        <v>0</v>
      </c>
      <c r="AA557" s="107">
        <f>INVESTORS_LIST[[#This Row],[TOTAL UNITS BUY]]-INVESTORS_LIST[[#This Row],[TOTAL UNITS SOLD]]</f>
        <v>0</v>
      </c>
      <c r="AB557" s="107">
        <f>INVESTORS_LIST[[#This Row],[TOTAL CURRENT UNITS]]-INVESTORS_LIST[[#This Row],[BO UNITS HOLD]]</f>
        <v>0</v>
      </c>
      <c r="AC557" s="201" t="e">
        <f>INDEX([3]!Table_1[BO ID],MATCH(INVESTORS_LIST[[#This Row],[INVESTOR CODE]],[3]!Table_1[INVESTOR CODE],0))</f>
        <v>#REF!</v>
      </c>
      <c r="AD557" s="201" t="e">
        <f>INDEX([3]!Table_1[Brokerage Name2],MATCH(INVESTORS_LIST[[#This Row],[INVESTOR CODE]],[3]!Table_1[INVESTOR CODE],0))</f>
        <v>#REF!</v>
      </c>
      <c r="AE557" s="201" t="e">
        <f>MID(INVESTORS_LIST[[#This Row],[BO ID]],4,5)</f>
        <v>#REF!</v>
      </c>
      <c r="AF557" s="201" t="e">
        <f>MID(INVESTORS_LIST[[#This Row],[BO ID]],2,7)</f>
        <v>#REF!</v>
      </c>
      <c r="AG557" s="201" t="e">
        <f>MID(INVESTORS_LIST[[#This Row],[BO ID]],9,7)</f>
        <v>#REF!</v>
      </c>
      <c r="AH557" s="201" t="e">
        <f>RIGHT(INVESTORS_LIST[[#This Row],[BO ID]],1)</f>
        <v>#REF!</v>
      </c>
      <c r="AI557" s="50">
        <f>INVESTORS_LIST[[#This Row],[LS_TOTAL COST VALUE OF CURRENT UNITS]]+INVESTORS_LIST[[#This Row],[SIP_TOTAL COST VALUE OF CURRENT UNITS]]</f>
        <v>0</v>
      </c>
      <c r="AJ557" s="109">
        <f>IF(INVESTORS_LIST[[#This Row],[TOTAL CURRENT UNITS]]=0,0,INVESTORS_LIST[[#This Row],[LS_TOTAL CURRENT UNITS]]/INVESTORS_LIST[[#This Row],[TOTAL CURRENT UNITS]])</f>
        <v>0</v>
      </c>
      <c r="AK557" s="109">
        <f>IF(INVESTORS_LIST[[#This Row],[TOTAL CURRENT UNITS]]=0,0,INVESTORS_LIST[[#This Row],[SIP_TOTAL CURRENT UNITS]]/INVESTORS_LIST[[#This Row],[TOTAL CURRENT UNITS]])</f>
        <v>0</v>
      </c>
      <c r="AL557" s="49" cm="1">
        <f t="array" ref="AL5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57" s="49" cm="1">
        <f t="array" ref="AM5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57" s="105">
        <f t="shared" si="9"/>
        <v>14.224</v>
      </c>
      <c r="AP557" s="112">
        <f>IF(INVESTORS_LIST[[#This Row],[TOTAL CURRENT UNITS]]=0,0,INVESTORS_LIST[[#This Row],[TOTAL CURRENT UNITS]]*INVESTORS_LIST[[#This Row],[NAV]])</f>
        <v>0</v>
      </c>
      <c r="AQ557" s="49">
        <f>IF(INVESTORS_LIST[[#This Row],[LS_TOTAL CURRENT UNITS]]=0,0,INVESTORS_LIST[[#This Row],[LS_TOTAL CURRENT UNITS]]*INVESTORS_LIST[[#This Row],[NAV]])</f>
        <v>0</v>
      </c>
      <c r="AR557" s="48">
        <f>IF(INVESTORS_LIST[[#This Row],[SIP_TOTAL CURRENT UNITS]]=0,0,INVESTORS_LIST[[#This Row],[SIP_TOTAL CURRENT UNITS]]*INVESTORS_LIST[[#This Row],[NAV]])</f>
        <v>0</v>
      </c>
      <c r="AS557" s="50">
        <f>INVESTORS_LIST[[#This Row],[TOTAL CURRENT UNITS]]</f>
        <v>0</v>
      </c>
      <c r="AT557" s="48">
        <f>IF(INVESTORS_LIST[[#This Row],[TOTAL SELLABLE UNITS]]=0,0,INVESTORS_LIST[[#This Row],[TOTAL SELLABLE UNITS]]*INVESTORS_LIST[[#This Row],[NAV]])</f>
        <v>0</v>
      </c>
      <c r="AU557" s="48">
        <f>INVESTORS_LIST[[#This Row],[LS_TOTAL REALIZED GAIN]]+INVESTORS_LIST[[#This Row],[SIP_TOTAL REALIZED GAIN]]</f>
        <v>1264.2999999999677</v>
      </c>
      <c r="AV557" s="48">
        <f>INVESTORS_LIST[[#This Row],[TOTAL MARKET VALUE]]-INVESTORS_LIST[[#This Row],[TOTAL COST VALUE OF CURRENT INVESTMENT]]</f>
        <v>0</v>
      </c>
      <c r="AW557" s="48">
        <f>IFERROR(INVESTORS_LIST[[#This Row],[TOTAL CURRENT UNITS]]/SUM(INVESTORS_LIST[TOTAL CURRENT UNITS]),0)</f>
        <v>0</v>
      </c>
    </row>
    <row r="558" spans="1:49">
      <c r="A558" s="262" t="s">
        <v>1164</v>
      </c>
      <c r="B558" s="97" t="s">
        <v>1165</v>
      </c>
      <c r="C558" t="s">
        <v>44</v>
      </c>
      <c r="D558" s="75" t="s">
        <v>45</v>
      </c>
      <c r="E558" s="47">
        <f>SUMIFS(LS[Unit],LS[Investor ID],INVESTORS_LIST[[#This Row],[INVESTOR CODE]],LS[B/S],"B")</f>
        <v>84895</v>
      </c>
      <c r="F558" s="47">
        <f>-SUMIFS(LS[Unit],LS[Investor ID],INVESTORS_LIST[[#This Row],[INVESTOR CODE]],LS[B/S],"S")</f>
        <v>39648</v>
      </c>
      <c r="G558" s="47">
        <f>IF(INVESTORS_LIST[[#This Row],[LS_TOTAL UNITS BUY]]=0,0,INVESTORS_LIST[[#This Row],[LS_TOTAL UNITS BUY]]-INVESTORS_LIST[[#This Row],[LS_TOTAL UNITS SOLD]])</f>
        <v>45247</v>
      </c>
      <c r="H558" s="49">
        <f>IF(INVESTORS_LIST[[#This Row],[LS_TOTAL UNITS BUY]]=0,0,SUMIFS(LS[Amount],LS[Investor ID],INVESTORS_LIST[[#This Row],[INVESTOR CODE]],LS[B/S],"B"))</f>
        <v>1000000</v>
      </c>
      <c r="I558" s="48">
        <f>IF(INVESTORS_LIST[[#This Row],[LS_TOTAL UNITS SOLD]]=0,0,SUMIFS(LS[Cost of Units Sold],LS[Investor ID],INVESTORS_LIST[[#This Row],[INVESTOR CODE]],LS[B/S],"S"))</f>
        <v>467023.9707874434</v>
      </c>
      <c r="J558" s="48">
        <f>IF(INVESTORS_LIST[[#This Row],[LS_TOTAL CURRENT UNITS]]=0,0,INVESTORS_LIST[[#This Row],[LS_TOTAL CURRENT UNITS]]*INVESTORS_LIST[[#This Row],[LS_AVERAGE COST]])</f>
        <v>532976.02921255678</v>
      </c>
      <c r="K558" s="49">
        <f>IF(INVESTORS_LIST[[#This Row],[LS_TOTAL UNITS SOLD]]=0,0,SUMIFS(LS[Realized Gain],LS[Investor ID],INVESTORS_LIST[[#This Row],[INVESTOR CODE]],LS[B/S],"S"))</f>
        <v>32976.029212556597</v>
      </c>
      <c r="L558" s="47">
        <f>SUMIFS(SIP[Unit],SIP[Investor ID],INVESTORS_LIST[[#This Row],[INVESTOR CODE]],SIP[B/S],"B")</f>
        <v>0</v>
      </c>
      <c r="M558" s="47">
        <f>-SUMIFS(SIP[Unit],SIP[Investor ID],INVESTORS_LIST[[#This Row],[INVESTOR CODE]],SIP[B/S],"S")</f>
        <v>0</v>
      </c>
      <c r="N558" s="50">
        <f>IF(INVESTORS_LIST[[#This Row],[SIP_TOTAL UNITS BUY]]=0,0,INVESTORS_LIST[[#This Row],[SIP_TOTAL UNITS BUY]]-INVESTORS_LIST[[#This Row],[SIP_TOTAL UNITS SOLD]])</f>
        <v>0</v>
      </c>
      <c r="O558" s="49">
        <f>IF(INVESTORS_LIST[[#This Row],[SIP_TOTAL UNITS BUY]]=0,0,SUMIFS(SIP[Amount],SIP[Investor ID],INVESTORS_LIST[[#This Row],[INVESTOR CODE]],SIP[B/S],"B"))</f>
        <v>0</v>
      </c>
      <c r="P558" s="49">
        <f>IF(INVESTORS_LIST[[#This Row],[SIP_TOTAL UNITS SOLD]]=0,0,SUMIFS(SIP[Cost of Units Sold],SIP[Investor ID],INVESTORS_LIST[[#This Row],[INVESTOR CODE]],SIP[B/S],"S"))</f>
        <v>0</v>
      </c>
      <c r="Q558" s="48">
        <f>IF(INVESTORS_LIST[[#This Row],[SIP_TOTAL CURRENT UNITS]]=0,0,INVESTORS_LIST[[#This Row],[SIP_TOTAL CURRENT UNITS]]*INVESTORS_LIST[[#This Row],[SIP_AVERAGE COST]])</f>
        <v>0</v>
      </c>
      <c r="R558" s="48">
        <f>IF(INVESTORS_LIST[[#This Row],[SIP_TOTAL UNITS SOLD]]=0,0,SUMIFS(SIP[Realized Gain],SIP[Investor ID],INVESTORS_LIST[[#This Row],[INVESTOR CODE]],SIP[B/S],"S"))</f>
        <v>0</v>
      </c>
      <c r="S558" s="50">
        <f>INVESTORS_LIST[[#This Row],[LS_TOTAL UNITS BUY]]+INVESTORS_LIST[[#This Row],[SIP_TOTAL UNITS BUY]]</f>
        <v>84895</v>
      </c>
      <c r="T558" s="50">
        <f>INVESTORS_LIST[[#This Row],[LS_TOTAL UNITS SOLD]]+INVESTORS_LIST[[#This Row],[SIP_TOTAL UNITS SOLD]]</f>
        <v>39648</v>
      </c>
      <c r="U558" s="50">
        <v>45247</v>
      </c>
      <c r="V558" s="50">
        <f>SUMIFS(LS[BO UNIT TRANSFER],LS[Investor ID],INVESTORS_LIST[[#This Row],[INVESTOR CODE]],LS[B/S],"B")</f>
        <v>0</v>
      </c>
      <c r="W558" s="50">
        <f>SUMIFS(SIP[BO UNIT TRANSFER],SIP[Investor ID],INVESTORS_LIST[[#This Row],[INVESTOR CODE]],SIP[B/S],"B")</f>
        <v>0</v>
      </c>
      <c r="X558" s="50">
        <f>SUMIFS(LS[BO UNIT TRANSFER],LS[Investor ID],INVESTORS_LIST[[#This Row],[INVESTOR CODE]],LS[B/S],"S")</f>
        <v>0</v>
      </c>
      <c r="Y558" s="50">
        <f>SUMIFS(SIP[BO UNIT TRANSFER],SIP[Investor ID],INVESTORS_LIST[[#This Row],[INVESTOR CODE]],SIP[B/S],"S")</f>
        <v>0</v>
      </c>
      <c r="Z558" s="106">
        <f>SUM(INVESTORS_LIST[[#This Row],[BO OPENING BALANCE]:[BO SIP UNITS REPURCHASE]])</f>
        <v>45247</v>
      </c>
      <c r="AA558" s="107">
        <f>INVESTORS_LIST[[#This Row],[TOTAL UNITS BUY]]-INVESTORS_LIST[[#This Row],[TOTAL UNITS SOLD]]</f>
        <v>45247</v>
      </c>
      <c r="AB558" s="107">
        <f>INVESTORS_LIST[[#This Row],[TOTAL CURRENT UNITS]]-INVESTORS_LIST[[#This Row],[BO UNITS HOLD]]</f>
        <v>0</v>
      </c>
      <c r="AC558" s="201" t="e">
        <f>INDEX([3]!Table_1[BO ID],MATCH(INVESTORS_LIST[[#This Row],[INVESTOR CODE]],[3]!Table_1[INVESTOR CODE],0))</f>
        <v>#REF!</v>
      </c>
      <c r="AD558" s="201" t="e">
        <f>INDEX([3]!Table_1[Brokerage Name2],MATCH(INVESTORS_LIST[[#This Row],[INVESTOR CODE]],[3]!Table_1[INVESTOR CODE],0))</f>
        <v>#REF!</v>
      </c>
      <c r="AE558" s="201" t="e">
        <f>MID(INVESTORS_LIST[[#This Row],[BO ID]],4,5)</f>
        <v>#REF!</v>
      </c>
      <c r="AF558" s="201" t="e">
        <f>MID(INVESTORS_LIST[[#This Row],[BO ID]],2,7)</f>
        <v>#REF!</v>
      </c>
      <c r="AG558" s="201" t="e">
        <f>MID(INVESTORS_LIST[[#This Row],[BO ID]],9,7)</f>
        <v>#REF!</v>
      </c>
      <c r="AH558" s="201" t="e">
        <f>RIGHT(INVESTORS_LIST[[#This Row],[BO ID]],1)</f>
        <v>#REF!</v>
      </c>
      <c r="AI558" s="50">
        <f>INVESTORS_LIST[[#This Row],[LS_TOTAL COST VALUE OF CURRENT UNITS]]+INVESTORS_LIST[[#This Row],[SIP_TOTAL COST VALUE OF CURRENT UNITS]]</f>
        <v>532976.02921255678</v>
      </c>
      <c r="AJ558" s="109">
        <f>IF(INVESTORS_LIST[[#This Row],[TOTAL CURRENT UNITS]]=0,0,INVESTORS_LIST[[#This Row],[LS_TOTAL CURRENT UNITS]]/INVESTORS_LIST[[#This Row],[TOTAL CURRENT UNITS]])</f>
        <v>1</v>
      </c>
      <c r="AK558" s="109">
        <f>IF(INVESTORS_LIST[[#This Row],[TOTAL CURRENT UNITS]]=0,0,INVESTORS_LIST[[#This Row],[SIP_TOTAL CURRENT UNITS]]/INVESTORS_LIST[[#This Row],[TOTAL CURRENT UNITS]])</f>
        <v>0</v>
      </c>
      <c r="AL558" s="49" cm="1">
        <f t="array" ref="AL558">IF(INVESTORS_LIST[[#This Row],[LS_TOTAL UNITS BUY]]&gt;0,INDEX(LS[NAV at Cost (Average)],MATCH(CONCATENATE(COUNTIFS(LS[Investor ID],INVESTORS_LIST[[#This Row],[INVESTOR CODE]]),INVESTORS_LIST[[#This Row],[INVESTOR CODE]]),LS[Unique Code],0),),0)</f>
        <v>11.779256728900409</v>
      </c>
      <c r="AM558" s="49" cm="1">
        <f t="array" ref="AM5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8" s="105">
        <f>IF(INVESTORS_LIST[[#This Row],[TOTAL CURRENT UNITS]]=0,0,(INVESTORS_LIST[[#This Row],[LS_WEIGHT]]*INVESTORS_LIST[[#This Row],[LS_AVERAGE COST]])+(INVESTORS_LIST[[#This Row],[SIP_WEIGHT]]*INVESTORS_LIST[[#This Row],[SIP_AVERAGE COST]]))</f>
        <v>11.779256728900409</v>
      </c>
      <c r="AO558" s="105">
        <f t="shared" si="9"/>
        <v>14.224</v>
      </c>
      <c r="AP558" s="112">
        <f>IF(INVESTORS_LIST[[#This Row],[TOTAL CURRENT UNITS]]=0,0,INVESTORS_LIST[[#This Row],[TOTAL CURRENT UNITS]]*INVESTORS_LIST[[#This Row],[NAV]])</f>
        <v>643593.32799999998</v>
      </c>
      <c r="AQ558" s="49">
        <f>IF(INVESTORS_LIST[[#This Row],[LS_TOTAL CURRENT UNITS]]=0,0,INVESTORS_LIST[[#This Row],[LS_TOTAL CURRENT UNITS]]*INVESTORS_LIST[[#This Row],[NAV]])</f>
        <v>643593.32799999998</v>
      </c>
      <c r="AR558" s="48">
        <f>IF(INVESTORS_LIST[[#This Row],[SIP_TOTAL CURRENT UNITS]]=0,0,INVESTORS_LIST[[#This Row],[SIP_TOTAL CURRENT UNITS]]*INVESTORS_LIST[[#This Row],[NAV]])</f>
        <v>0</v>
      </c>
      <c r="AS558" s="50">
        <f>INVESTORS_LIST[[#This Row],[TOTAL CURRENT UNITS]]</f>
        <v>45247</v>
      </c>
      <c r="AT558" s="48">
        <f>IF(INVESTORS_LIST[[#This Row],[TOTAL SELLABLE UNITS]]=0,0,INVESTORS_LIST[[#This Row],[TOTAL SELLABLE UNITS]]*INVESTORS_LIST[[#This Row],[NAV]])</f>
        <v>643593.32799999998</v>
      </c>
      <c r="AU558" s="48">
        <f>INVESTORS_LIST[[#This Row],[LS_TOTAL REALIZED GAIN]]+INVESTORS_LIST[[#This Row],[SIP_TOTAL REALIZED GAIN]]</f>
        <v>32976.029212556597</v>
      </c>
      <c r="AV558" s="48">
        <f>INVESTORS_LIST[[#This Row],[TOTAL MARKET VALUE]]-INVESTORS_LIST[[#This Row],[TOTAL COST VALUE OF CURRENT INVESTMENT]]</f>
        <v>110617.2987874432</v>
      </c>
      <c r="AW558" s="48">
        <f>IFERROR(INVESTORS_LIST[[#This Row],[TOTAL CURRENT UNITS]]/SUM(INVESTORS_LIST[TOTAL CURRENT UNITS]),0)</f>
        <v>1.0984255786750021E-3</v>
      </c>
    </row>
    <row r="559" spans="1:49">
      <c r="A559" s="262" t="s">
        <v>1166</v>
      </c>
      <c r="B559" s="97" t="s">
        <v>1167</v>
      </c>
      <c r="C559" t="s">
        <v>44</v>
      </c>
      <c r="D559" s="75" t="s">
        <v>45</v>
      </c>
      <c r="E559" s="47">
        <f>SUMIFS(LS[Unit],LS[Investor ID],INVESTORS_LIST[[#This Row],[INVESTOR CODE]],LS[B/S],"B")</f>
        <v>350542</v>
      </c>
      <c r="F559" s="47">
        <f>-SUMIFS(LS[Unit],LS[Investor ID],INVESTORS_LIST[[#This Row],[INVESTOR CODE]],LS[B/S],"S")</f>
        <v>0</v>
      </c>
      <c r="G559" s="47">
        <f>IF(INVESTORS_LIST[[#This Row],[LS_TOTAL UNITS BUY]]=0,0,INVESTORS_LIST[[#This Row],[LS_TOTAL UNITS BUY]]-INVESTORS_LIST[[#This Row],[LS_TOTAL UNITS SOLD]])</f>
        <v>350542</v>
      </c>
      <c r="H559" s="49">
        <f>IF(INVESTORS_LIST[[#This Row],[LS_TOTAL UNITS BUY]]=0,0,SUMIFS(LS[Amount],LS[Investor ID],INVESTORS_LIST[[#This Row],[INVESTOR CODE]],LS[B/S],"B"))</f>
        <v>3950000</v>
      </c>
      <c r="I559" s="48">
        <f>IF(INVESTORS_LIST[[#This Row],[LS_TOTAL UNITS SOLD]]=0,0,SUMIFS(LS[Cost of Units Sold],LS[Investor ID],INVESTORS_LIST[[#This Row],[INVESTOR CODE]],LS[B/S],"S"))</f>
        <v>0</v>
      </c>
      <c r="J559" s="48">
        <f>IF(INVESTORS_LIST[[#This Row],[LS_TOTAL CURRENT UNITS]]=0,0,INVESTORS_LIST[[#This Row],[LS_TOTAL CURRENT UNITS]]*INVESTORS_LIST[[#This Row],[LS_AVERAGE COST]])</f>
        <v>3950000</v>
      </c>
      <c r="K559" s="49">
        <f>IF(INVESTORS_LIST[[#This Row],[LS_TOTAL UNITS SOLD]]=0,0,SUMIFS(LS[Realized Gain],LS[Investor ID],INVESTORS_LIST[[#This Row],[INVESTOR CODE]],LS[B/S],"S"))</f>
        <v>0</v>
      </c>
      <c r="L559" s="47">
        <f>SUMIFS(SIP[Unit],SIP[Investor ID],INVESTORS_LIST[[#This Row],[INVESTOR CODE]],SIP[B/S],"B")</f>
        <v>0</v>
      </c>
      <c r="M559" s="47">
        <f>-SUMIFS(SIP[Unit],SIP[Investor ID],INVESTORS_LIST[[#This Row],[INVESTOR CODE]],SIP[B/S],"S")</f>
        <v>0</v>
      </c>
      <c r="N559" s="50">
        <f>IF(INVESTORS_LIST[[#This Row],[SIP_TOTAL UNITS BUY]]=0,0,INVESTORS_LIST[[#This Row],[SIP_TOTAL UNITS BUY]]-INVESTORS_LIST[[#This Row],[SIP_TOTAL UNITS SOLD]])</f>
        <v>0</v>
      </c>
      <c r="O559" s="49">
        <f>IF(INVESTORS_LIST[[#This Row],[SIP_TOTAL UNITS BUY]]=0,0,SUMIFS(SIP[Amount],SIP[Investor ID],INVESTORS_LIST[[#This Row],[INVESTOR CODE]],SIP[B/S],"B"))</f>
        <v>0</v>
      </c>
      <c r="P559" s="49">
        <f>IF(INVESTORS_LIST[[#This Row],[SIP_TOTAL UNITS SOLD]]=0,0,SUMIFS(SIP[Cost of Units Sold],SIP[Investor ID],INVESTORS_LIST[[#This Row],[INVESTOR CODE]],SIP[B/S],"S"))</f>
        <v>0</v>
      </c>
      <c r="Q559" s="48">
        <f>IF(INVESTORS_LIST[[#This Row],[SIP_TOTAL CURRENT UNITS]]=0,0,INVESTORS_LIST[[#This Row],[SIP_TOTAL CURRENT UNITS]]*INVESTORS_LIST[[#This Row],[SIP_AVERAGE COST]])</f>
        <v>0</v>
      </c>
      <c r="R559" s="48">
        <f>IF(INVESTORS_LIST[[#This Row],[SIP_TOTAL UNITS SOLD]]=0,0,SUMIFS(SIP[Realized Gain],SIP[Investor ID],INVESTORS_LIST[[#This Row],[INVESTOR CODE]],SIP[B/S],"S"))</f>
        <v>0</v>
      </c>
      <c r="S559" s="50">
        <f>INVESTORS_LIST[[#This Row],[LS_TOTAL UNITS BUY]]+INVESTORS_LIST[[#This Row],[SIP_TOTAL UNITS BUY]]</f>
        <v>350542</v>
      </c>
      <c r="T559" s="50">
        <f>INVESTORS_LIST[[#This Row],[LS_TOTAL UNITS SOLD]]+INVESTORS_LIST[[#This Row],[SIP_TOTAL UNITS SOLD]]</f>
        <v>0</v>
      </c>
      <c r="U559" s="50">
        <v>350542</v>
      </c>
      <c r="V559" s="50">
        <f>SUMIFS(LS[BO UNIT TRANSFER],LS[Investor ID],INVESTORS_LIST[[#This Row],[INVESTOR CODE]],LS[B/S],"B")</f>
        <v>0</v>
      </c>
      <c r="W559" s="50">
        <f>SUMIFS(SIP[BO UNIT TRANSFER],SIP[Investor ID],INVESTORS_LIST[[#This Row],[INVESTOR CODE]],SIP[B/S],"B")</f>
        <v>0</v>
      </c>
      <c r="X559" s="50">
        <f>SUMIFS(LS[BO UNIT TRANSFER],LS[Investor ID],INVESTORS_LIST[[#This Row],[INVESTOR CODE]],LS[B/S],"S")</f>
        <v>0</v>
      </c>
      <c r="Y559" s="50">
        <f>SUMIFS(SIP[BO UNIT TRANSFER],SIP[Investor ID],INVESTORS_LIST[[#This Row],[INVESTOR CODE]],SIP[B/S],"S")</f>
        <v>0</v>
      </c>
      <c r="Z559" s="106">
        <f>SUM(INVESTORS_LIST[[#This Row],[BO OPENING BALANCE]:[BO SIP UNITS REPURCHASE]])</f>
        <v>350542</v>
      </c>
      <c r="AA559" s="107">
        <f>INVESTORS_LIST[[#This Row],[TOTAL UNITS BUY]]-INVESTORS_LIST[[#This Row],[TOTAL UNITS SOLD]]</f>
        <v>350542</v>
      </c>
      <c r="AB559" s="107">
        <f>INVESTORS_LIST[[#This Row],[TOTAL CURRENT UNITS]]-INVESTORS_LIST[[#This Row],[BO UNITS HOLD]]</f>
        <v>0</v>
      </c>
      <c r="AC559" s="201" t="e">
        <f>INDEX([3]!Table_1[BO ID],MATCH(INVESTORS_LIST[[#This Row],[INVESTOR CODE]],[3]!Table_1[INVESTOR CODE],0))</f>
        <v>#REF!</v>
      </c>
      <c r="AD559" s="201" t="e">
        <f>INDEX([3]!Table_1[Brokerage Name2],MATCH(INVESTORS_LIST[[#This Row],[INVESTOR CODE]],[3]!Table_1[INVESTOR CODE],0))</f>
        <v>#REF!</v>
      </c>
      <c r="AE559" s="201" t="e">
        <f>MID(INVESTORS_LIST[[#This Row],[BO ID]],4,5)</f>
        <v>#REF!</v>
      </c>
      <c r="AF559" s="201" t="e">
        <f>MID(INVESTORS_LIST[[#This Row],[BO ID]],2,7)</f>
        <v>#REF!</v>
      </c>
      <c r="AG559" s="201" t="e">
        <f>MID(INVESTORS_LIST[[#This Row],[BO ID]],9,7)</f>
        <v>#REF!</v>
      </c>
      <c r="AH559" s="201" t="e">
        <f>RIGHT(INVESTORS_LIST[[#This Row],[BO ID]],1)</f>
        <v>#REF!</v>
      </c>
      <c r="AI559" s="50">
        <f>INVESTORS_LIST[[#This Row],[LS_TOTAL COST VALUE OF CURRENT UNITS]]+INVESTORS_LIST[[#This Row],[SIP_TOTAL COST VALUE OF CURRENT UNITS]]</f>
        <v>3950000</v>
      </c>
      <c r="AJ559" s="109">
        <f>IF(INVESTORS_LIST[[#This Row],[TOTAL CURRENT UNITS]]=0,0,INVESTORS_LIST[[#This Row],[LS_TOTAL CURRENT UNITS]]/INVESTORS_LIST[[#This Row],[TOTAL CURRENT UNITS]])</f>
        <v>1</v>
      </c>
      <c r="AK559" s="109">
        <f>IF(INVESTORS_LIST[[#This Row],[TOTAL CURRENT UNITS]]=0,0,INVESTORS_LIST[[#This Row],[SIP_TOTAL CURRENT UNITS]]/INVESTORS_LIST[[#This Row],[TOTAL CURRENT UNITS]])</f>
        <v>0</v>
      </c>
      <c r="AL559" s="49" cm="1">
        <f t="array" ref="AL559">IF(INVESTORS_LIST[[#This Row],[LS_TOTAL UNITS BUY]]&gt;0,INDEX(LS[NAV at Cost (Average)],MATCH(CONCATENATE(COUNTIFS(LS[Investor ID],INVESTORS_LIST[[#This Row],[INVESTOR CODE]]),INVESTORS_LIST[[#This Row],[INVESTOR CODE]]),LS[Unique Code],0),),0)</f>
        <v>11.268264573146727</v>
      </c>
      <c r="AM559" s="49" cm="1">
        <f t="array" ref="AM5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59" s="105">
        <f>IF(INVESTORS_LIST[[#This Row],[TOTAL CURRENT UNITS]]=0,0,(INVESTORS_LIST[[#This Row],[LS_WEIGHT]]*INVESTORS_LIST[[#This Row],[LS_AVERAGE COST]])+(INVESTORS_LIST[[#This Row],[SIP_WEIGHT]]*INVESTORS_LIST[[#This Row],[SIP_AVERAGE COST]]))</f>
        <v>11.268264573146727</v>
      </c>
      <c r="AO559" s="105">
        <f t="shared" si="9"/>
        <v>14.224</v>
      </c>
      <c r="AP559" s="112">
        <f>IF(INVESTORS_LIST[[#This Row],[TOTAL CURRENT UNITS]]=0,0,INVESTORS_LIST[[#This Row],[TOTAL CURRENT UNITS]]*INVESTORS_LIST[[#This Row],[NAV]])</f>
        <v>4986109.4079999998</v>
      </c>
      <c r="AQ559" s="49">
        <f>IF(INVESTORS_LIST[[#This Row],[LS_TOTAL CURRENT UNITS]]=0,0,INVESTORS_LIST[[#This Row],[LS_TOTAL CURRENT UNITS]]*INVESTORS_LIST[[#This Row],[NAV]])</f>
        <v>4986109.4079999998</v>
      </c>
      <c r="AR559" s="48">
        <f>IF(INVESTORS_LIST[[#This Row],[SIP_TOTAL CURRENT UNITS]]=0,0,INVESTORS_LIST[[#This Row],[SIP_TOTAL CURRENT UNITS]]*INVESTORS_LIST[[#This Row],[NAV]])</f>
        <v>0</v>
      </c>
      <c r="AS559" s="50">
        <f>INVESTORS_LIST[[#This Row],[TOTAL CURRENT UNITS]]</f>
        <v>350542</v>
      </c>
      <c r="AT559" s="48">
        <f>IF(INVESTORS_LIST[[#This Row],[TOTAL SELLABLE UNITS]]=0,0,INVESTORS_LIST[[#This Row],[TOTAL SELLABLE UNITS]]*INVESTORS_LIST[[#This Row],[NAV]])</f>
        <v>4986109.4079999998</v>
      </c>
      <c r="AU559" s="48">
        <f>INVESTORS_LIST[[#This Row],[LS_TOTAL REALIZED GAIN]]+INVESTORS_LIST[[#This Row],[SIP_TOTAL REALIZED GAIN]]</f>
        <v>0</v>
      </c>
      <c r="AV559" s="48">
        <f>INVESTORS_LIST[[#This Row],[TOTAL MARKET VALUE]]-INVESTORS_LIST[[#This Row],[TOTAL COST VALUE OF CURRENT INVESTMENT]]</f>
        <v>1036109.4079999998</v>
      </c>
      <c r="AW559" s="48">
        <f>IFERROR(INVESTORS_LIST[[#This Row],[TOTAL CURRENT UNITS]]/SUM(INVESTORS_LIST[TOTAL CURRENT UNITS]),0)</f>
        <v>8.5098304683159688E-3</v>
      </c>
    </row>
    <row r="560" spans="1:49" hidden="1">
      <c r="A560" s="262" t="s">
        <v>1168</v>
      </c>
      <c r="B560" s="97" t="s">
        <v>1169</v>
      </c>
      <c r="C560" t="s">
        <v>44</v>
      </c>
      <c r="D560" s="75" t="s">
        <v>45</v>
      </c>
      <c r="E560" s="47">
        <f>SUMIFS(LS[Unit],LS[Investor ID],INVESTORS_LIST[[#This Row],[INVESTOR CODE]],LS[B/S],"B")</f>
        <v>38366</v>
      </c>
      <c r="F560" s="47">
        <f>-SUMIFS(LS[Unit],LS[Investor ID],INVESTORS_LIST[[#This Row],[INVESTOR CODE]],LS[B/S],"S")</f>
        <v>38366</v>
      </c>
      <c r="G560" s="47">
        <f>IF(INVESTORS_LIST[[#This Row],[LS_TOTAL UNITS BUY]]=0,0,INVESTORS_LIST[[#This Row],[LS_TOTAL UNITS BUY]]-INVESTORS_LIST[[#This Row],[LS_TOTAL UNITS SOLD]])</f>
        <v>0</v>
      </c>
      <c r="H560" s="49">
        <f>IF(INVESTORS_LIST[[#This Row],[LS_TOTAL UNITS BUY]]=0,0,SUMIFS(LS[Amount],LS[Investor ID],INVESTORS_LIST[[#This Row],[INVESTOR CODE]],LS[B/S],"B"))</f>
        <v>450000</v>
      </c>
      <c r="I560" s="48">
        <f>IF(INVESTORS_LIST[[#This Row],[LS_TOTAL UNITS SOLD]]=0,0,SUMIFS(LS[Cost of Units Sold],LS[Investor ID],INVESTORS_LIST[[#This Row],[INVESTOR CODE]],LS[B/S],"S"))</f>
        <v>450000</v>
      </c>
      <c r="J560" s="48">
        <f>IF(INVESTORS_LIST[[#This Row],[LS_TOTAL CURRENT UNITS]]=0,0,INVESTORS_LIST[[#This Row],[LS_TOTAL CURRENT UNITS]]*INVESTORS_LIST[[#This Row],[LS_AVERAGE COST]])</f>
        <v>0</v>
      </c>
      <c r="K560" s="49">
        <f>IF(INVESTORS_LIST[[#This Row],[LS_TOTAL UNITS SOLD]]=0,0,SUMIFS(LS[Realized Gain],LS[Investor ID],INVESTORS_LIST[[#This Row],[INVESTOR CODE]],LS[B/S],"S"))</f>
        <v>4712.6499999999724</v>
      </c>
      <c r="L560" s="47">
        <f>SUMIFS(SIP[Unit],SIP[Investor ID],INVESTORS_LIST[[#This Row],[INVESTOR CODE]],SIP[B/S],"B")</f>
        <v>0</v>
      </c>
      <c r="M560" s="47">
        <f>-SUMIFS(SIP[Unit],SIP[Investor ID],INVESTORS_LIST[[#This Row],[INVESTOR CODE]],SIP[B/S],"S")</f>
        <v>0</v>
      </c>
      <c r="N560" s="50">
        <f>IF(INVESTORS_LIST[[#This Row],[SIP_TOTAL UNITS BUY]]=0,0,INVESTORS_LIST[[#This Row],[SIP_TOTAL UNITS BUY]]-INVESTORS_LIST[[#This Row],[SIP_TOTAL UNITS SOLD]])</f>
        <v>0</v>
      </c>
      <c r="O560" s="49">
        <f>IF(INVESTORS_LIST[[#This Row],[SIP_TOTAL UNITS BUY]]=0,0,SUMIFS(SIP[Amount],SIP[Investor ID],INVESTORS_LIST[[#This Row],[INVESTOR CODE]],SIP[B/S],"B"))</f>
        <v>0</v>
      </c>
      <c r="P560" s="49">
        <f>IF(INVESTORS_LIST[[#This Row],[SIP_TOTAL UNITS SOLD]]=0,0,SUMIFS(SIP[Cost of Units Sold],SIP[Investor ID],INVESTORS_LIST[[#This Row],[INVESTOR CODE]],SIP[B/S],"S"))</f>
        <v>0</v>
      </c>
      <c r="Q560" s="48">
        <f>IF(INVESTORS_LIST[[#This Row],[SIP_TOTAL CURRENT UNITS]]=0,0,INVESTORS_LIST[[#This Row],[SIP_TOTAL CURRENT UNITS]]*INVESTORS_LIST[[#This Row],[SIP_AVERAGE COST]])</f>
        <v>0</v>
      </c>
      <c r="R560" s="48">
        <f>IF(INVESTORS_LIST[[#This Row],[SIP_TOTAL UNITS SOLD]]=0,0,SUMIFS(SIP[Realized Gain],SIP[Investor ID],INVESTORS_LIST[[#This Row],[INVESTOR CODE]],SIP[B/S],"S"))</f>
        <v>0</v>
      </c>
      <c r="S560" s="50">
        <f>INVESTORS_LIST[[#This Row],[LS_TOTAL UNITS BUY]]+INVESTORS_LIST[[#This Row],[SIP_TOTAL UNITS BUY]]</f>
        <v>38366</v>
      </c>
      <c r="T560" s="50">
        <f>INVESTORS_LIST[[#This Row],[LS_TOTAL UNITS SOLD]]+INVESTORS_LIST[[#This Row],[SIP_TOTAL UNITS SOLD]]</f>
        <v>38366</v>
      </c>
      <c r="U560" s="50">
        <v>22418</v>
      </c>
      <c r="V560" s="50">
        <f>SUMIFS(LS[BO UNIT TRANSFER],LS[Investor ID],INVESTORS_LIST[[#This Row],[INVESTOR CODE]],LS[B/S],"B")</f>
        <v>0</v>
      </c>
      <c r="W560" s="50">
        <f>SUMIFS(SIP[BO UNIT TRANSFER],SIP[Investor ID],INVESTORS_LIST[[#This Row],[INVESTOR CODE]],SIP[B/S],"B")</f>
        <v>0</v>
      </c>
      <c r="X560" s="50">
        <f>SUMIFS(LS[BO UNIT TRANSFER],LS[Investor ID],INVESTORS_LIST[[#This Row],[INVESTOR CODE]],LS[B/S],"S")</f>
        <v>0</v>
      </c>
      <c r="Y560" s="50">
        <f>SUMIFS(SIP[BO UNIT TRANSFER],SIP[Investor ID],INVESTORS_LIST[[#This Row],[INVESTOR CODE]],SIP[B/S],"S")</f>
        <v>0</v>
      </c>
      <c r="Z560" s="106">
        <f>SUM(INVESTORS_LIST[[#This Row],[BO OPENING BALANCE]:[BO SIP UNITS REPURCHASE]])</f>
        <v>22418</v>
      </c>
      <c r="AA560" s="107">
        <f>INVESTORS_LIST[[#This Row],[TOTAL UNITS BUY]]-INVESTORS_LIST[[#This Row],[TOTAL UNITS SOLD]]</f>
        <v>0</v>
      </c>
      <c r="AB560" s="107">
        <f>INVESTORS_LIST[[#This Row],[TOTAL CURRENT UNITS]]-INVESTORS_LIST[[#This Row],[BO UNITS HOLD]]</f>
        <v>-22418</v>
      </c>
      <c r="AC560" s="201" t="e">
        <f>INDEX([3]!Table_1[BO ID],MATCH(INVESTORS_LIST[[#This Row],[INVESTOR CODE]],[3]!Table_1[INVESTOR CODE],0))</f>
        <v>#REF!</v>
      </c>
      <c r="AD560" s="201" t="e">
        <f>INDEX([3]!Table_1[Brokerage Name2],MATCH(INVESTORS_LIST[[#This Row],[INVESTOR CODE]],[3]!Table_1[INVESTOR CODE],0))</f>
        <v>#REF!</v>
      </c>
      <c r="AE560" s="201" t="e">
        <f>MID(INVESTORS_LIST[[#This Row],[BO ID]],4,5)</f>
        <v>#REF!</v>
      </c>
      <c r="AF560" s="201" t="e">
        <f>MID(INVESTORS_LIST[[#This Row],[BO ID]],2,7)</f>
        <v>#REF!</v>
      </c>
      <c r="AG560" s="201" t="e">
        <f>MID(INVESTORS_LIST[[#This Row],[BO ID]],9,7)</f>
        <v>#REF!</v>
      </c>
      <c r="AH560" s="201" t="e">
        <f>RIGHT(INVESTORS_LIST[[#This Row],[BO ID]],1)</f>
        <v>#REF!</v>
      </c>
      <c r="AI560" s="50">
        <f>INVESTORS_LIST[[#This Row],[LS_TOTAL COST VALUE OF CURRENT UNITS]]+INVESTORS_LIST[[#This Row],[SIP_TOTAL COST VALUE OF CURRENT UNITS]]</f>
        <v>0</v>
      </c>
      <c r="AJ560" s="109">
        <f>IF(INVESTORS_LIST[[#This Row],[TOTAL CURRENT UNITS]]=0,0,INVESTORS_LIST[[#This Row],[LS_TOTAL CURRENT UNITS]]/INVESTORS_LIST[[#This Row],[TOTAL CURRENT UNITS]])</f>
        <v>0</v>
      </c>
      <c r="AK560" s="109">
        <f>IF(INVESTORS_LIST[[#This Row],[TOTAL CURRENT UNITS]]=0,0,INVESTORS_LIST[[#This Row],[SIP_TOTAL CURRENT UNITS]]/INVESTORS_LIST[[#This Row],[TOTAL CURRENT UNITS]])</f>
        <v>0</v>
      </c>
      <c r="AL560" s="49" cm="1">
        <f t="array" ref="AL5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0" s="49" cm="1">
        <f t="array" ref="AM5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60" s="105">
        <f t="shared" si="9"/>
        <v>14.224</v>
      </c>
      <c r="AP560" s="112">
        <f>IF(INVESTORS_LIST[[#This Row],[TOTAL CURRENT UNITS]]=0,0,INVESTORS_LIST[[#This Row],[TOTAL CURRENT UNITS]]*INVESTORS_LIST[[#This Row],[NAV]])</f>
        <v>0</v>
      </c>
      <c r="AQ560" s="49">
        <f>IF(INVESTORS_LIST[[#This Row],[LS_TOTAL CURRENT UNITS]]=0,0,INVESTORS_LIST[[#This Row],[LS_TOTAL CURRENT UNITS]]*INVESTORS_LIST[[#This Row],[NAV]])</f>
        <v>0</v>
      </c>
      <c r="AR560" s="48">
        <f>IF(INVESTORS_LIST[[#This Row],[SIP_TOTAL CURRENT UNITS]]=0,0,INVESTORS_LIST[[#This Row],[SIP_TOTAL CURRENT UNITS]]*INVESTORS_LIST[[#This Row],[NAV]])</f>
        <v>0</v>
      </c>
      <c r="AS560" s="50">
        <f>INVESTORS_LIST[[#This Row],[TOTAL CURRENT UNITS]]</f>
        <v>0</v>
      </c>
      <c r="AT560" s="48">
        <f>IF(INVESTORS_LIST[[#This Row],[TOTAL SELLABLE UNITS]]=0,0,INVESTORS_LIST[[#This Row],[TOTAL SELLABLE UNITS]]*INVESTORS_LIST[[#This Row],[NAV]])</f>
        <v>0</v>
      </c>
      <c r="AU560" s="48">
        <f>INVESTORS_LIST[[#This Row],[LS_TOTAL REALIZED GAIN]]+INVESTORS_LIST[[#This Row],[SIP_TOTAL REALIZED GAIN]]</f>
        <v>4712.6499999999724</v>
      </c>
      <c r="AV560" s="48">
        <f>INVESTORS_LIST[[#This Row],[TOTAL MARKET VALUE]]-INVESTORS_LIST[[#This Row],[TOTAL COST VALUE OF CURRENT INVESTMENT]]</f>
        <v>0</v>
      </c>
      <c r="AW560" s="48">
        <f>IFERROR(INVESTORS_LIST[[#This Row],[TOTAL CURRENT UNITS]]/SUM(INVESTORS_LIST[TOTAL CURRENT UNITS]),0)</f>
        <v>0</v>
      </c>
    </row>
    <row r="561" spans="1:49">
      <c r="A561" s="262" t="s">
        <v>1170</v>
      </c>
      <c r="B561" s="97" t="s">
        <v>1171</v>
      </c>
      <c r="C561" t="s">
        <v>67</v>
      </c>
      <c r="D561" s="75" t="s">
        <v>45</v>
      </c>
      <c r="E561" s="47">
        <f>SUMIFS(LS[Unit],LS[Investor ID],INVESTORS_LIST[[#This Row],[INVESTOR CODE]],LS[B/S],"B")</f>
        <v>33877</v>
      </c>
      <c r="F561" s="47">
        <f>-SUMIFS(LS[Unit],LS[Investor ID],INVESTORS_LIST[[#This Row],[INVESTOR CODE]],LS[B/S],"S")</f>
        <v>0</v>
      </c>
      <c r="G561" s="47">
        <f>IF(INVESTORS_LIST[[#This Row],[LS_TOTAL UNITS BUY]]=0,0,INVESTORS_LIST[[#This Row],[LS_TOTAL UNITS BUY]]-INVESTORS_LIST[[#This Row],[LS_TOTAL UNITS SOLD]])</f>
        <v>33877</v>
      </c>
      <c r="H561" s="49">
        <f>IF(INVESTORS_LIST[[#This Row],[LS_TOTAL UNITS BUY]]=0,0,SUMIFS(LS[Amount],LS[Investor ID],INVESTORS_LIST[[#This Row],[INVESTOR CODE]],LS[B/S],"B"))</f>
        <v>400000</v>
      </c>
      <c r="I561" s="48">
        <f>IF(INVESTORS_LIST[[#This Row],[LS_TOTAL UNITS SOLD]]=0,0,SUMIFS(LS[Cost of Units Sold],LS[Investor ID],INVESTORS_LIST[[#This Row],[INVESTOR CODE]],LS[B/S],"S"))</f>
        <v>0</v>
      </c>
      <c r="J561" s="48">
        <f>IF(INVESTORS_LIST[[#This Row],[LS_TOTAL CURRENT UNITS]]=0,0,INVESTORS_LIST[[#This Row],[LS_TOTAL CURRENT UNITS]]*INVESTORS_LIST[[#This Row],[LS_AVERAGE COST]])</f>
        <v>400000</v>
      </c>
      <c r="K561" s="49">
        <f>IF(INVESTORS_LIST[[#This Row],[LS_TOTAL UNITS SOLD]]=0,0,SUMIFS(LS[Realized Gain],LS[Investor ID],INVESTORS_LIST[[#This Row],[INVESTOR CODE]],LS[B/S],"S"))</f>
        <v>0</v>
      </c>
      <c r="L561" s="47">
        <f>SUMIFS(SIP[Unit],SIP[Investor ID],INVESTORS_LIST[[#This Row],[INVESTOR CODE]],SIP[B/S],"B")</f>
        <v>0</v>
      </c>
      <c r="M561" s="47">
        <f>-SUMIFS(SIP[Unit],SIP[Investor ID],INVESTORS_LIST[[#This Row],[INVESTOR CODE]],SIP[B/S],"S")</f>
        <v>0</v>
      </c>
      <c r="N561" s="50">
        <f>IF(INVESTORS_LIST[[#This Row],[SIP_TOTAL UNITS BUY]]=0,0,INVESTORS_LIST[[#This Row],[SIP_TOTAL UNITS BUY]]-INVESTORS_LIST[[#This Row],[SIP_TOTAL UNITS SOLD]])</f>
        <v>0</v>
      </c>
      <c r="O561" s="49">
        <f>IF(INVESTORS_LIST[[#This Row],[SIP_TOTAL UNITS BUY]]=0,0,SUMIFS(SIP[Amount],SIP[Investor ID],INVESTORS_LIST[[#This Row],[INVESTOR CODE]],SIP[B/S],"B"))</f>
        <v>0</v>
      </c>
      <c r="P561" s="49">
        <f>IF(INVESTORS_LIST[[#This Row],[SIP_TOTAL UNITS SOLD]]=0,0,SUMIFS(SIP[Cost of Units Sold],SIP[Investor ID],INVESTORS_LIST[[#This Row],[INVESTOR CODE]],SIP[B/S],"S"))</f>
        <v>0</v>
      </c>
      <c r="Q561" s="48">
        <f>IF(INVESTORS_LIST[[#This Row],[SIP_TOTAL CURRENT UNITS]]=0,0,INVESTORS_LIST[[#This Row],[SIP_TOTAL CURRENT UNITS]]*INVESTORS_LIST[[#This Row],[SIP_AVERAGE COST]])</f>
        <v>0</v>
      </c>
      <c r="R561" s="48">
        <f>IF(INVESTORS_LIST[[#This Row],[SIP_TOTAL UNITS SOLD]]=0,0,SUMIFS(SIP[Realized Gain],SIP[Investor ID],INVESTORS_LIST[[#This Row],[INVESTOR CODE]],SIP[B/S],"S"))</f>
        <v>0</v>
      </c>
      <c r="S561" s="50">
        <f>INVESTORS_LIST[[#This Row],[LS_TOTAL UNITS BUY]]+INVESTORS_LIST[[#This Row],[SIP_TOTAL UNITS BUY]]</f>
        <v>33877</v>
      </c>
      <c r="T561" s="50">
        <f>INVESTORS_LIST[[#This Row],[LS_TOTAL UNITS SOLD]]+INVESTORS_LIST[[#This Row],[SIP_TOTAL UNITS SOLD]]</f>
        <v>0</v>
      </c>
      <c r="U561" s="50">
        <v>33877</v>
      </c>
      <c r="V561" s="50">
        <f>SUMIFS(LS[BO UNIT TRANSFER],LS[Investor ID],INVESTORS_LIST[[#This Row],[INVESTOR CODE]],LS[B/S],"B")</f>
        <v>0</v>
      </c>
      <c r="W561" s="50">
        <f>SUMIFS(SIP[BO UNIT TRANSFER],SIP[Investor ID],INVESTORS_LIST[[#This Row],[INVESTOR CODE]],SIP[B/S],"B")</f>
        <v>0</v>
      </c>
      <c r="X561" s="50">
        <f>SUMIFS(LS[BO UNIT TRANSFER],LS[Investor ID],INVESTORS_LIST[[#This Row],[INVESTOR CODE]],LS[B/S],"S")</f>
        <v>0</v>
      </c>
      <c r="Y561" s="50">
        <f>SUMIFS(SIP[BO UNIT TRANSFER],SIP[Investor ID],INVESTORS_LIST[[#This Row],[INVESTOR CODE]],SIP[B/S],"S")</f>
        <v>0</v>
      </c>
      <c r="Z561" s="106">
        <f>SUM(INVESTORS_LIST[[#This Row],[BO OPENING BALANCE]:[BO SIP UNITS REPURCHASE]])</f>
        <v>33877</v>
      </c>
      <c r="AA561" s="107">
        <f>INVESTORS_LIST[[#This Row],[TOTAL UNITS BUY]]-INVESTORS_LIST[[#This Row],[TOTAL UNITS SOLD]]</f>
        <v>33877</v>
      </c>
      <c r="AB561" s="107">
        <f>INVESTORS_LIST[[#This Row],[TOTAL CURRENT UNITS]]-INVESTORS_LIST[[#This Row],[BO UNITS HOLD]]</f>
        <v>0</v>
      </c>
      <c r="AC561" s="201" t="e">
        <f>INDEX([3]!Table_1[BO ID],MATCH(INVESTORS_LIST[[#This Row],[INVESTOR CODE]],[3]!Table_1[INVESTOR CODE],0))</f>
        <v>#REF!</v>
      </c>
      <c r="AD561" s="201" t="e">
        <f>INDEX([3]!Table_1[Brokerage Name2],MATCH(INVESTORS_LIST[[#This Row],[INVESTOR CODE]],[3]!Table_1[INVESTOR CODE],0))</f>
        <v>#REF!</v>
      </c>
      <c r="AE561" s="201" t="e">
        <f>MID(INVESTORS_LIST[[#This Row],[BO ID]],4,5)</f>
        <v>#REF!</v>
      </c>
      <c r="AF561" s="201" t="e">
        <f>MID(INVESTORS_LIST[[#This Row],[BO ID]],2,7)</f>
        <v>#REF!</v>
      </c>
      <c r="AG561" s="201" t="e">
        <f>MID(INVESTORS_LIST[[#This Row],[BO ID]],9,7)</f>
        <v>#REF!</v>
      </c>
      <c r="AH561" s="201" t="e">
        <f>RIGHT(INVESTORS_LIST[[#This Row],[BO ID]],1)</f>
        <v>#REF!</v>
      </c>
      <c r="AI561" s="50">
        <f>INVESTORS_LIST[[#This Row],[LS_TOTAL COST VALUE OF CURRENT UNITS]]+INVESTORS_LIST[[#This Row],[SIP_TOTAL COST VALUE OF CURRENT UNITS]]</f>
        <v>400000</v>
      </c>
      <c r="AJ561" s="109">
        <f>IF(INVESTORS_LIST[[#This Row],[TOTAL CURRENT UNITS]]=0,0,INVESTORS_LIST[[#This Row],[LS_TOTAL CURRENT UNITS]]/INVESTORS_LIST[[#This Row],[TOTAL CURRENT UNITS]])</f>
        <v>1</v>
      </c>
      <c r="AK561" s="109">
        <f>IF(INVESTORS_LIST[[#This Row],[TOTAL CURRENT UNITS]]=0,0,INVESTORS_LIST[[#This Row],[SIP_TOTAL CURRENT UNITS]]/INVESTORS_LIST[[#This Row],[TOTAL CURRENT UNITS]])</f>
        <v>0</v>
      </c>
      <c r="AL561" s="49" cm="1">
        <f t="array" ref="AL561">IF(INVESTORS_LIST[[#This Row],[LS_TOTAL UNITS BUY]]&gt;0,INDEX(LS[NAV at Cost (Average)],MATCH(CONCATENATE(COUNTIFS(LS[Investor ID],INVESTORS_LIST[[#This Row],[INVESTOR CODE]]),INVESTORS_LIST[[#This Row],[INVESTOR CODE]]),LS[Unique Code],0),),0)</f>
        <v>11.807420964075922</v>
      </c>
      <c r="AM561" s="49" cm="1">
        <f t="array" ref="AM5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1" s="105">
        <f>IF(INVESTORS_LIST[[#This Row],[TOTAL CURRENT UNITS]]=0,0,(INVESTORS_LIST[[#This Row],[LS_WEIGHT]]*INVESTORS_LIST[[#This Row],[LS_AVERAGE COST]])+(INVESTORS_LIST[[#This Row],[SIP_WEIGHT]]*INVESTORS_LIST[[#This Row],[SIP_AVERAGE COST]]))</f>
        <v>11.807420964075922</v>
      </c>
      <c r="AO561" s="105">
        <f t="shared" si="9"/>
        <v>14.224</v>
      </c>
      <c r="AP561" s="112">
        <f>IF(INVESTORS_LIST[[#This Row],[TOTAL CURRENT UNITS]]=0,0,INVESTORS_LIST[[#This Row],[TOTAL CURRENT UNITS]]*INVESTORS_LIST[[#This Row],[NAV]])</f>
        <v>481866.44800000003</v>
      </c>
      <c r="AQ561" s="49">
        <f>IF(INVESTORS_LIST[[#This Row],[LS_TOTAL CURRENT UNITS]]=0,0,INVESTORS_LIST[[#This Row],[LS_TOTAL CURRENT UNITS]]*INVESTORS_LIST[[#This Row],[NAV]])</f>
        <v>481866.44800000003</v>
      </c>
      <c r="AR561" s="48">
        <f>IF(INVESTORS_LIST[[#This Row],[SIP_TOTAL CURRENT UNITS]]=0,0,INVESTORS_LIST[[#This Row],[SIP_TOTAL CURRENT UNITS]]*INVESTORS_LIST[[#This Row],[NAV]])</f>
        <v>0</v>
      </c>
      <c r="AS561" s="50">
        <f>INVESTORS_LIST[[#This Row],[TOTAL CURRENT UNITS]]</f>
        <v>33877</v>
      </c>
      <c r="AT561" s="48">
        <f>IF(INVESTORS_LIST[[#This Row],[TOTAL SELLABLE UNITS]]=0,0,INVESTORS_LIST[[#This Row],[TOTAL SELLABLE UNITS]]*INVESTORS_LIST[[#This Row],[NAV]])</f>
        <v>481866.44800000003</v>
      </c>
      <c r="AU561" s="48">
        <f>INVESTORS_LIST[[#This Row],[LS_TOTAL REALIZED GAIN]]+INVESTORS_LIST[[#This Row],[SIP_TOTAL REALIZED GAIN]]</f>
        <v>0</v>
      </c>
      <c r="AV561" s="48">
        <f>INVESTORS_LIST[[#This Row],[TOTAL MARKET VALUE]]-INVESTORS_LIST[[#This Row],[TOTAL COST VALUE OF CURRENT INVESTMENT]]</f>
        <v>81866.448000000033</v>
      </c>
      <c r="AW561" s="48">
        <f>IFERROR(INVESTORS_LIST[[#This Row],[TOTAL CURRENT UNITS]]/SUM(INVESTORS_LIST[TOTAL CURRENT UNITS]),0)</f>
        <v>8.2240509489630361E-4</v>
      </c>
    </row>
    <row r="562" spans="1:49">
      <c r="A562" s="262" t="s">
        <v>1262</v>
      </c>
      <c r="B562" s="97" t="s">
        <v>1173</v>
      </c>
      <c r="C562" t="s">
        <v>44</v>
      </c>
      <c r="D562" s="75" t="s">
        <v>45</v>
      </c>
      <c r="E562" s="47">
        <f>SUMIFS(LS[Unit],LS[Investor ID],INVESTORS_LIST[[#This Row],[INVESTOR CODE]],LS[B/S],"B")</f>
        <v>85192</v>
      </c>
      <c r="F562" s="47">
        <f>-SUMIFS(LS[Unit],LS[Investor ID],INVESTORS_LIST[[#This Row],[INVESTOR CODE]],LS[B/S],"S")</f>
        <v>84538</v>
      </c>
      <c r="G562" s="47">
        <f>IF(INVESTORS_LIST[[#This Row],[LS_TOTAL UNITS BUY]]=0,0,INVESTORS_LIST[[#This Row],[LS_TOTAL UNITS BUY]]-INVESTORS_LIST[[#This Row],[LS_TOTAL UNITS SOLD]])</f>
        <v>654</v>
      </c>
      <c r="H562" s="49">
        <f>IF(INVESTORS_LIST[[#This Row],[LS_TOTAL UNITS BUY]]=0,0,SUMIFS(LS[Amount],LS[Investor ID],INVESTORS_LIST[[#This Row],[INVESTOR CODE]],LS[B/S],"B"))</f>
        <v>1000000</v>
      </c>
      <c r="I562" s="48">
        <f>IF(INVESTORS_LIST[[#This Row],[LS_TOTAL UNITS SOLD]]=0,0,SUMIFS(LS[Cost of Units Sold],LS[Investor ID],INVESTORS_LIST[[#This Row],[INVESTOR CODE]],LS[B/S],"S"))</f>
        <v>992068.28399930138</v>
      </c>
      <c r="J562" s="48">
        <f>IF(INVESTORS_LIST[[#This Row],[LS_TOTAL CURRENT UNITS]]=0,0,INVESTORS_LIST[[#This Row],[LS_TOTAL CURRENT UNITS]]*INVESTORS_LIST[[#This Row],[LS_AVERAGE COST]])</f>
        <v>7931.7160006987069</v>
      </c>
      <c r="K562" s="49">
        <f>IF(INVESTORS_LIST[[#This Row],[LS_TOTAL UNITS SOLD]]=0,0,SUMIFS(LS[Realized Gain],LS[Investor ID],INVESTORS_LIST[[#This Row],[INVESTOR CODE]],LS[B/S],"S"))</f>
        <v>51931.716000698667</v>
      </c>
      <c r="L562" s="47">
        <f>SUMIFS(SIP[Unit],SIP[Investor ID],INVESTORS_LIST[[#This Row],[INVESTOR CODE]],SIP[B/S],"B")</f>
        <v>0</v>
      </c>
      <c r="M562" s="47">
        <f>-SUMIFS(SIP[Unit],SIP[Investor ID],INVESTORS_LIST[[#This Row],[INVESTOR CODE]],SIP[B/S],"S")</f>
        <v>0</v>
      </c>
      <c r="N562" s="50">
        <f>IF(INVESTORS_LIST[[#This Row],[SIP_TOTAL UNITS BUY]]=0,0,INVESTORS_LIST[[#This Row],[SIP_TOTAL UNITS BUY]]-INVESTORS_LIST[[#This Row],[SIP_TOTAL UNITS SOLD]])</f>
        <v>0</v>
      </c>
      <c r="O562" s="49">
        <f>IF(INVESTORS_LIST[[#This Row],[SIP_TOTAL UNITS BUY]]=0,0,SUMIFS(SIP[Amount],SIP[Investor ID],INVESTORS_LIST[[#This Row],[INVESTOR CODE]],SIP[B/S],"B"))</f>
        <v>0</v>
      </c>
      <c r="P562" s="49">
        <f>IF(INVESTORS_LIST[[#This Row],[SIP_TOTAL UNITS SOLD]]=0,0,SUMIFS(SIP[Cost of Units Sold],SIP[Investor ID],INVESTORS_LIST[[#This Row],[INVESTOR CODE]],SIP[B/S],"S"))</f>
        <v>0</v>
      </c>
      <c r="Q562" s="48">
        <f>IF(INVESTORS_LIST[[#This Row],[SIP_TOTAL CURRENT UNITS]]=0,0,INVESTORS_LIST[[#This Row],[SIP_TOTAL CURRENT UNITS]]*INVESTORS_LIST[[#This Row],[SIP_AVERAGE COST]])</f>
        <v>0</v>
      </c>
      <c r="R562" s="48">
        <f>IF(INVESTORS_LIST[[#This Row],[SIP_TOTAL UNITS SOLD]]=0,0,SUMIFS(SIP[Realized Gain],SIP[Investor ID],INVESTORS_LIST[[#This Row],[INVESTOR CODE]],SIP[B/S],"S"))</f>
        <v>0</v>
      </c>
      <c r="S562" s="50">
        <f>INVESTORS_LIST[[#This Row],[LS_TOTAL UNITS BUY]]+INVESTORS_LIST[[#This Row],[SIP_TOTAL UNITS BUY]]</f>
        <v>85192</v>
      </c>
      <c r="T562" s="50">
        <f>INVESTORS_LIST[[#This Row],[LS_TOTAL UNITS SOLD]]+INVESTORS_LIST[[#This Row],[SIP_TOTAL UNITS SOLD]]</f>
        <v>84538</v>
      </c>
      <c r="U562" s="50"/>
      <c r="V562" s="50">
        <f>SUMIFS(LS[BO UNIT TRANSFER],LS[Investor ID],INVESTORS_LIST[[#This Row],[INVESTOR CODE]],LS[B/S],"B")</f>
        <v>0</v>
      </c>
      <c r="W562" s="50">
        <f>SUMIFS(SIP[BO UNIT TRANSFER],SIP[Investor ID],INVESTORS_LIST[[#This Row],[INVESTOR CODE]],SIP[B/S],"B")</f>
        <v>0</v>
      </c>
      <c r="X562" s="50">
        <f>SUMIFS(LS[BO UNIT TRANSFER],LS[Investor ID],INVESTORS_LIST[[#This Row],[INVESTOR CODE]],LS[B/S],"S")</f>
        <v>0</v>
      </c>
      <c r="Y562" s="50">
        <f>SUMIFS(SIP[BO UNIT TRANSFER],SIP[Investor ID],INVESTORS_LIST[[#This Row],[INVESTOR CODE]],SIP[B/S],"S")</f>
        <v>0</v>
      </c>
      <c r="Z562" s="106">
        <f>SUM(INVESTORS_LIST[[#This Row],[BO OPENING BALANCE]:[BO SIP UNITS REPURCHASE]])</f>
        <v>0</v>
      </c>
      <c r="AA562" s="107">
        <f>INVESTORS_LIST[[#This Row],[TOTAL UNITS BUY]]-INVESTORS_LIST[[#This Row],[TOTAL UNITS SOLD]]</f>
        <v>654</v>
      </c>
      <c r="AB562" s="107">
        <f>INVESTORS_LIST[[#This Row],[TOTAL CURRENT UNITS]]-INVESTORS_LIST[[#This Row],[BO UNITS HOLD]]</f>
        <v>654</v>
      </c>
      <c r="AC562" s="201" t="e">
        <f>INDEX([3]!Table_1[BO ID],MATCH(INVESTORS_LIST[[#This Row],[INVESTOR CODE]],[3]!Table_1[INVESTOR CODE],0))</f>
        <v>#REF!</v>
      </c>
      <c r="AD562" s="201" t="e">
        <f>INDEX([3]!Table_1[Brokerage Name2],MATCH(INVESTORS_LIST[[#This Row],[INVESTOR CODE]],[3]!Table_1[INVESTOR CODE],0))</f>
        <v>#REF!</v>
      </c>
      <c r="AE562" s="201" t="e">
        <f>MID(INVESTORS_LIST[[#This Row],[BO ID]],4,5)</f>
        <v>#REF!</v>
      </c>
      <c r="AF562" s="201" t="e">
        <f>MID(INVESTORS_LIST[[#This Row],[BO ID]],2,7)</f>
        <v>#REF!</v>
      </c>
      <c r="AG562" s="201" t="e">
        <f>MID(INVESTORS_LIST[[#This Row],[BO ID]],9,7)</f>
        <v>#REF!</v>
      </c>
      <c r="AH562" s="201" t="e">
        <f>RIGHT(INVESTORS_LIST[[#This Row],[BO ID]],1)</f>
        <v>#REF!</v>
      </c>
      <c r="AI562" s="50">
        <f>INVESTORS_LIST[[#This Row],[LS_TOTAL COST VALUE OF CURRENT UNITS]]+INVESTORS_LIST[[#This Row],[SIP_TOTAL COST VALUE OF CURRENT UNITS]]</f>
        <v>7931.7160006987069</v>
      </c>
      <c r="AJ562" s="109">
        <f>IF(INVESTORS_LIST[[#This Row],[TOTAL CURRENT UNITS]]=0,0,INVESTORS_LIST[[#This Row],[LS_TOTAL CURRENT UNITS]]/INVESTORS_LIST[[#This Row],[TOTAL CURRENT UNITS]])</f>
        <v>1</v>
      </c>
      <c r="AK562" s="109">
        <f>IF(INVESTORS_LIST[[#This Row],[TOTAL CURRENT UNITS]]=0,0,INVESTORS_LIST[[#This Row],[SIP_TOTAL CURRENT UNITS]]/INVESTORS_LIST[[#This Row],[TOTAL CURRENT UNITS]])</f>
        <v>0</v>
      </c>
      <c r="AL562" s="49" cm="1">
        <f t="array" ref="AL562">IF(INVESTORS_LIST[[#This Row],[LS_TOTAL UNITS BUY]]&gt;0,INDEX(LS[NAV at Cost (Average)],MATCH(CONCATENATE(COUNTIFS(LS[Investor ID],INVESTORS_LIST[[#This Row],[INVESTOR CODE]]),INVESTORS_LIST[[#This Row],[INVESTOR CODE]]),LS[Unique Code],0),),0)</f>
        <v>12.128006117276311</v>
      </c>
      <c r="AM562" s="49" cm="1">
        <f t="array" ref="AM5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2" s="105">
        <f>IF(INVESTORS_LIST[[#This Row],[TOTAL CURRENT UNITS]]=0,0,(INVESTORS_LIST[[#This Row],[LS_WEIGHT]]*INVESTORS_LIST[[#This Row],[LS_AVERAGE COST]])+(INVESTORS_LIST[[#This Row],[SIP_WEIGHT]]*INVESTORS_LIST[[#This Row],[SIP_AVERAGE COST]]))</f>
        <v>12.128006117276311</v>
      </c>
      <c r="AO562" s="105">
        <f t="shared" si="9"/>
        <v>14.224</v>
      </c>
      <c r="AP562" s="112">
        <f>IF(INVESTORS_LIST[[#This Row],[TOTAL CURRENT UNITS]]=0,0,INVESTORS_LIST[[#This Row],[TOTAL CURRENT UNITS]]*INVESTORS_LIST[[#This Row],[NAV]])</f>
        <v>9302.496000000001</v>
      </c>
      <c r="AQ562" s="49">
        <f>IF(INVESTORS_LIST[[#This Row],[LS_TOTAL CURRENT UNITS]]=0,0,INVESTORS_LIST[[#This Row],[LS_TOTAL CURRENT UNITS]]*INVESTORS_LIST[[#This Row],[NAV]])</f>
        <v>9302.496000000001</v>
      </c>
      <c r="AR562" s="48">
        <f>IF(INVESTORS_LIST[[#This Row],[SIP_TOTAL CURRENT UNITS]]=0,0,INVESTORS_LIST[[#This Row],[SIP_TOTAL CURRENT UNITS]]*INVESTORS_LIST[[#This Row],[NAV]])</f>
        <v>0</v>
      </c>
      <c r="AS562" s="50">
        <f>INVESTORS_LIST[[#This Row],[TOTAL CURRENT UNITS]]</f>
        <v>654</v>
      </c>
      <c r="AT562" s="48">
        <f>IF(INVESTORS_LIST[[#This Row],[TOTAL SELLABLE UNITS]]=0,0,INVESTORS_LIST[[#This Row],[TOTAL SELLABLE UNITS]]*INVESTORS_LIST[[#This Row],[NAV]])</f>
        <v>9302.496000000001</v>
      </c>
      <c r="AU562" s="48">
        <f>INVESTORS_LIST[[#This Row],[LS_TOTAL REALIZED GAIN]]+INVESTORS_LIST[[#This Row],[SIP_TOTAL REALIZED GAIN]]</f>
        <v>51931.716000698667</v>
      </c>
      <c r="AV562" s="48">
        <f>INVESTORS_LIST[[#This Row],[TOTAL MARKET VALUE]]-INVESTORS_LIST[[#This Row],[TOTAL COST VALUE OF CURRENT INVESTMENT]]</f>
        <v>1370.7799993012941</v>
      </c>
      <c r="AW562" s="48">
        <f>IFERROR(INVESTORS_LIST[[#This Row],[TOTAL CURRENT UNITS]]/SUM(INVESTORS_LIST[TOTAL CURRENT UNITS]),0)</f>
        <v>1.5876639964051792E-5</v>
      </c>
    </row>
    <row r="563" spans="1:49">
      <c r="A563" s="262" t="s">
        <v>1174</v>
      </c>
      <c r="B563" s="97" t="s">
        <v>1175</v>
      </c>
      <c r="C563" t="s">
        <v>44</v>
      </c>
      <c r="D563" s="75" t="s">
        <v>45</v>
      </c>
      <c r="E563" s="47">
        <f>SUMIFS(LS[Unit],LS[Investor ID],INVESTORS_LIST[[#This Row],[INVESTOR CODE]],LS[B/S],"B")</f>
        <v>71254</v>
      </c>
      <c r="F563" s="47">
        <f>-SUMIFS(LS[Unit],LS[Investor ID],INVESTORS_LIST[[#This Row],[INVESTOR CODE]],LS[B/S],"S")</f>
        <v>31385</v>
      </c>
      <c r="G563" s="47">
        <f>IF(INVESTORS_LIST[[#This Row],[LS_TOTAL UNITS BUY]]=0,0,INVESTORS_LIST[[#This Row],[LS_TOTAL UNITS BUY]]-INVESTORS_LIST[[#This Row],[LS_TOTAL UNITS SOLD]])</f>
        <v>39869</v>
      </c>
      <c r="H563" s="49">
        <f>IF(INVESTORS_LIST[[#This Row],[LS_TOTAL UNITS BUY]]=0,0,SUMIFS(LS[Amount],LS[Investor ID],INVESTORS_LIST[[#This Row],[INVESTOR CODE]],LS[B/S],"B"))</f>
        <v>850000</v>
      </c>
      <c r="I563" s="48">
        <f>IF(INVESTORS_LIST[[#This Row],[LS_TOTAL UNITS SOLD]]=0,0,SUMIFS(LS[Cost of Units Sold],LS[Investor ID],INVESTORS_LIST[[#This Row],[INVESTOR CODE]],LS[B/S],"S"))</f>
        <v>350000</v>
      </c>
      <c r="J563" s="48">
        <f>IF(INVESTORS_LIST[[#This Row],[LS_TOTAL CURRENT UNITS]]=0,0,INVESTORS_LIST[[#This Row],[LS_TOTAL CURRENT UNITS]]*INVESTORS_LIST[[#This Row],[LS_AVERAGE COST]])</f>
        <v>500000.00000000006</v>
      </c>
      <c r="K563" s="49">
        <f>IF(INVESTORS_LIST[[#This Row],[LS_TOTAL UNITS SOLD]]=0,0,SUMIFS(LS[Realized Gain],LS[Investor ID],INVESTORS_LIST[[#This Row],[INVESTOR CODE]],LS[B/S],"S"))</f>
        <v>43724.830000000031</v>
      </c>
      <c r="L563" s="47">
        <f>SUMIFS(SIP[Unit],SIP[Investor ID],INVESTORS_LIST[[#This Row],[INVESTOR CODE]],SIP[B/S],"B")</f>
        <v>0</v>
      </c>
      <c r="M563" s="47">
        <f>-SUMIFS(SIP[Unit],SIP[Investor ID],INVESTORS_LIST[[#This Row],[INVESTOR CODE]],SIP[B/S],"S")</f>
        <v>0</v>
      </c>
      <c r="N563" s="50">
        <f>IF(INVESTORS_LIST[[#This Row],[SIP_TOTAL UNITS BUY]]=0,0,INVESTORS_LIST[[#This Row],[SIP_TOTAL UNITS BUY]]-INVESTORS_LIST[[#This Row],[SIP_TOTAL UNITS SOLD]])</f>
        <v>0</v>
      </c>
      <c r="O563" s="49">
        <f>IF(INVESTORS_LIST[[#This Row],[SIP_TOTAL UNITS BUY]]=0,0,SUMIFS(SIP[Amount],SIP[Investor ID],INVESTORS_LIST[[#This Row],[INVESTOR CODE]],SIP[B/S],"B"))</f>
        <v>0</v>
      </c>
      <c r="P563" s="49">
        <f>IF(INVESTORS_LIST[[#This Row],[SIP_TOTAL UNITS SOLD]]=0,0,SUMIFS(SIP[Cost of Units Sold],SIP[Investor ID],INVESTORS_LIST[[#This Row],[INVESTOR CODE]],SIP[B/S],"S"))</f>
        <v>0</v>
      </c>
      <c r="Q563" s="48">
        <f>IF(INVESTORS_LIST[[#This Row],[SIP_TOTAL CURRENT UNITS]]=0,0,INVESTORS_LIST[[#This Row],[SIP_TOTAL CURRENT UNITS]]*INVESTORS_LIST[[#This Row],[SIP_AVERAGE COST]])</f>
        <v>0</v>
      </c>
      <c r="R563" s="48">
        <f>IF(INVESTORS_LIST[[#This Row],[SIP_TOTAL UNITS SOLD]]=0,0,SUMIFS(SIP[Realized Gain],SIP[Investor ID],INVESTORS_LIST[[#This Row],[INVESTOR CODE]],SIP[B/S],"S"))</f>
        <v>0</v>
      </c>
      <c r="S563" s="50">
        <f>INVESTORS_LIST[[#This Row],[LS_TOTAL UNITS BUY]]+INVESTORS_LIST[[#This Row],[SIP_TOTAL UNITS BUY]]</f>
        <v>71254</v>
      </c>
      <c r="T563" s="50">
        <f>INVESTORS_LIST[[#This Row],[LS_TOTAL UNITS SOLD]]+INVESTORS_LIST[[#This Row],[SIP_TOTAL UNITS SOLD]]</f>
        <v>31385</v>
      </c>
      <c r="U563" s="50">
        <v>39869</v>
      </c>
      <c r="V563" s="50">
        <f>SUMIFS(LS[BO UNIT TRANSFER],LS[Investor ID],INVESTORS_LIST[[#This Row],[INVESTOR CODE]],LS[B/S],"B")</f>
        <v>0</v>
      </c>
      <c r="W563" s="50">
        <f>SUMIFS(SIP[BO UNIT TRANSFER],SIP[Investor ID],INVESTORS_LIST[[#This Row],[INVESTOR CODE]],SIP[B/S],"B")</f>
        <v>0</v>
      </c>
      <c r="X563" s="50">
        <f>SUMIFS(LS[BO UNIT TRANSFER],LS[Investor ID],INVESTORS_LIST[[#This Row],[INVESTOR CODE]],LS[B/S],"S")</f>
        <v>0</v>
      </c>
      <c r="Y563" s="50">
        <f>SUMIFS(SIP[BO UNIT TRANSFER],SIP[Investor ID],INVESTORS_LIST[[#This Row],[INVESTOR CODE]],SIP[B/S],"S")</f>
        <v>0</v>
      </c>
      <c r="Z563" s="106">
        <f>SUM(INVESTORS_LIST[[#This Row],[BO OPENING BALANCE]:[BO SIP UNITS REPURCHASE]])</f>
        <v>39869</v>
      </c>
      <c r="AA563" s="107">
        <f>INVESTORS_LIST[[#This Row],[TOTAL UNITS BUY]]-INVESTORS_LIST[[#This Row],[TOTAL UNITS SOLD]]</f>
        <v>39869</v>
      </c>
      <c r="AB563" s="107">
        <f>INVESTORS_LIST[[#This Row],[TOTAL CURRENT UNITS]]-INVESTORS_LIST[[#This Row],[BO UNITS HOLD]]</f>
        <v>0</v>
      </c>
      <c r="AC563" s="201" t="e">
        <f>INDEX([3]!Table_1[BO ID],MATCH(INVESTORS_LIST[[#This Row],[INVESTOR CODE]],[3]!Table_1[INVESTOR CODE],0))</f>
        <v>#REF!</v>
      </c>
      <c r="AD563" s="201" t="e">
        <f>INDEX([3]!Table_1[Brokerage Name2],MATCH(INVESTORS_LIST[[#This Row],[INVESTOR CODE]],[3]!Table_1[INVESTOR CODE],0))</f>
        <v>#REF!</v>
      </c>
      <c r="AE563" s="201" t="e">
        <f>MID(INVESTORS_LIST[[#This Row],[BO ID]],4,5)</f>
        <v>#REF!</v>
      </c>
      <c r="AF563" s="201" t="e">
        <f>MID(INVESTORS_LIST[[#This Row],[BO ID]],2,7)</f>
        <v>#REF!</v>
      </c>
      <c r="AG563" s="201" t="e">
        <f>MID(INVESTORS_LIST[[#This Row],[BO ID]],9,7)</f>
        <v>#REF!</v>
      </c>
      <c r="AH563" s="201" t="e">
        <f>RIGHT(INVESTORS_LIST[[#This Row],[BO ID]],1)</f>
        <v>#REF!</v>
      </c>
      <c r="AI563" s="50">
        <f>INVESTORS_LIST[[#This Row],[LS_TOTAL COST VALUE OF CURRENT UNITS]]+INVESTORS_LIST[[#This Row],[SIP_TOTAL COST VALUE OF CURRENT UNITS]]</f>
        <v>500000.00000000006</v>
      </c>
      <c r="AJ563" s="109">
        <f>IF(INVESTORS_LIST[[#This Row],[TOTAL CURRENT UNITS]]=0,0,INVESTORS_LIST[[#This Row],[LS_TOTAL CURRENT UNITS]]/INVESTORS_LIST[[#This Row],[TOTAL CURRENT UNITS]])</f>
        <v>1</v>
      </c>
      <c r="AK563" s="109">
        <f>IF(INVESTORS_LIST[[#This Row],[TOTAL CURRENT UNITS]]=0,0,INVESTORS_LIST[[#This Row],[SIP_TOTAL CURRENT UNITS]]/INVESTORS_LIST[[#This Row],[TOTAL CURRENT UNITS]])</f>
        <v>0</v>
      </c>
      <c r="AL563" s="49" cm="1">
        <f t="array" ref="AL563"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563" s="49" cm="1">
        <f t="array" ref="AM5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3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563" s="105">
        <f t="shared" si="9"/>
        <v>14.224</v>
      </c>
      <c r="AP563" s="112">
        <f>IF(INVESTORS_LIST[[#This Row],[TOTAL CURRENT UNITS]]=0,0,INVESTORS_LIST[[#This Row],[TOTAL CURRENT UNITS]]*INVESTORS_LIST[[#This Row],[NAV]])</f>
        <v>567096.65599999996</v>
      </c>
      <c r="AQ563" s="49">
        <f>IF(INVESTORS_LIST[[#This Row],[LS_TOTAL CURRENT UNITS]]=0,0,INVESTORS_LIST[[#This Row],[LS_TOTAL CURRENT UNITS]]*INVESTORS_LIST[[#This Row],[NAV]])</f>
        <v>567096.65599999996</v>
      </c>
      <c r="AR563" s="48">
        <f>IF(INVESTORS_LIST[[#This Row],[SIP_TOTAL CURRENT UNITS]]=0,0,INVESTORS_LIST[[#This Row],[SIP_TOTAL CURRENT UNITS]]*INVESTORS_LIST[[#This Row],[NAV]])</f>
        <v>0</v>
      </c>
      <c r="AS563" s="50">
        <f>INVESTORS_LIST[[#This Row],[TOTAL CURRENT UNITS]]</f>
        <v>39869</v>
      </c>
      <c r="AT563" s="48">
        <f>IF(INVESTORS_LIST[[#This Row],[TOTAL SELLABLE UNITS]]=0,0,INVESTORS_LIST[[#This Row],[TOTAL SELLABLE UNITS]]*INVESTORS_LIST[[#This Row],[NAV]])</f>
        <v>567096.65599999996</v>
      </c>
      <c r="AU563" s="48">
        <f>INVESTORS_LIST[[#This Row],[LS_TOTAL REALIZED GAIN]]+INVESTORS_LIST[[#This Row],[SIP_TOTAL REALIZED GAIN]]</f>
        <v>43724.830000000031</v>
      </c>
      <c r="AV563" s="48">
        <f>INVESTORS_LIST[[#This Row],[TOTAL MARKET VALUE]]-INVESTORS_LIST[[#This Row],[TOTAL COST VALUE OF CURRENT INVESTMENT]]</f>
        <v>67096.655999999901</v>
      </c>
      <c r="AW563" s="48">
        <f>IFERROR(INVESTORS_LIST[[#This Row],[TOTAL CURRENT UNITS]]/SUM(INVESTORS_LIST[TOTAL CURRENT UNITS]),0)</f>
        <v>9.6786813260975671E-4</v>
      </c>
    </row>
    <row r="564" spans="1:49" hidden="1">
      <c r="A564" s="262" t="s">
        <v>1176</v>
      </c>
      <c r="B564" s="97" t="s">
        <v>1177</v>
      </c>
      <c r="C564" t="s">
        <v>44</v>
      </c>
      <c r="D564" s="75" t="s">
        <v>45</v>
      </c>
      <c r="E564" s="50">
        <f>SUMIFS(LS[Unit],LS[Investor ID],INVESTORS_LIST[[#This Row],[INVESTOR CODE]],LS[B/S],"B")</f>
        <v>10760</v>
      </c>
      <c r="F564" s="50">
        <f>-SUMIFS(LS[Unit],LS[Investor ID],INVESTORS_LIST[[#This Row],[INVESTOR CODE]],LS[B/S],"S")</f>
        <v>10760</v>
      </c>
      <c r="G564" s="50">
        <f>IF(INVESTORS_LIST[[#This Row],[LS_TOTAL UNITS BUY]]=0,0,INVESTORS_LIST[[#This Row],[LS_TOTAL UNITS BUY]]-INVESTORS_LIST[[#This Row],[LS_TOTAL UNITS SOLD]])</f>
        <v>0</v>
      </c>
      <c r="H564" s="102">
        <f>IF(INVESTORS_LIST[[#This Row],[LS_TOTAL UNITS BUY]]=0,0,SUMIFS(LS[Amount],LS[Investor ID],INVESTORS_LIST[[#This Row],[INVESTOR CODE]],LS[B/S],"B"))</f>
        <v>120000</v>
      </c>
      <c r="I564" s="48">
        <f>IF(INVESTORS_LIST[[#This Row],[LS_TOTAL UNITS SOLD]]=0,0,SUMIFS(LS[Cost of Units Sold],LS[Investor ID],INVESTORS_LIST[[#This Row],[INVESTOR CODE]],LS[B/S],"S"))</f>
        <v>120000</v>
      </c>
      <c r="J564" s="48">
        <f>IF(INVESTORS_LIST[[#This Row],[LS_TOTAL CURRENT UNITS]]=0,0,INVESTORS_LIST[[#This Row],[LS_TOTAL CURRENT UNITS]]*INVESTORS_LIST[[#This Row],[LS_AVERAGE COST]])</f>
        <v>0</v>
      </c>
      <c r="K564" s="48">
        <f>IF(INVESTORS_LIST[[#This Row],[LS_TOTAL UNITS SOLD]]=0,0,SUMIFS(LS[Realized Gain],LS[Investor ID],INVESTORS_LIST[[#This Row],[INVESTOR CODE]],LS[B/S],"S"))</f>
        <v>4880.560000000004</v>
      </c>
      <c r="L564" s="104">
        <f>SUMIFS(SIP[Unit],SIP[Investor ID],INVESTORS_LIST[[#This Row],[INVESTOR CODE]],SIP[B/S],"B")</f>
        <v>0</v>
      </c>
      <c r="M564" s="50">
        <f>-SUMIFS(SIP[Unit],SIP[Investor ID],INVESTORS_LIST[[#This Row],[INVESTOR CODE]],SIP[B/S],"S")</f>
        <v>0</v>
      </c>
      <c r="N564" s="50">
        <f>IF(INVESTORS_LIST[[#This Row],[SIP_TOTAL UNITS BUY]]=0,0,INVESTORS_LIST[[#This Row],[SIP_TOTAL UNITS BUY]]-INVESTORS_LIST[[#This Row],[SIP_TOTAL UNITS SOLD]])</f>
        <v>0</v>
      </c>
      <c r="O564" s="48">
        <f>IF(INVESTORS_LIST[[#This Row],[SIP_TOTAL UNITS BUY]]=0,0,SUMIFS(SIP[Amount],SIP[Investor ID],INVESTORS_LIST[[#This Row],[INVESTOR CODE]],SIP[B/S],"B"))</f>
        <v>0</v>
      </c>
      <c r="P564" s="48">
        <f>IF(INVESTORS_LIST[[#This Row],[SIP_TOTAL UNITS SOLD]]=0,0,SUMIFS(SIP[Cost of Units Sold],SIP[Investor ID],INVESTORS_LIST[[#This Row],[INVESTOR CODE]],SIP[B/S],"S"))</f>
        <v>0</v>
      </c>
      <c r="Q564" s="48">
        <f>IF(INVESTORS_LIST[[#This Row],[SIP_TOTAL CURRENT UNITS]]=0,0,INVESTORS_LIST[[#This Row],[SIP_TOTAL CURRENT UNITS]]*INVESTORS_LIST[[#This Row],[SIP_AVERAGE COST]])</f>
        <v>0</v>
      </c>
      <c r="R564" s="48">
        <f>IF(INVESTORS_LIST[[#This Row],[SIP_TOTAL UNITS SOLD]]=0,0,SUMIFS(SIP[Realized Gain],SIP[Investor ID],INVESTORS_LIST[[#This Row],[INVESTOR CODE]],SIP[B/S],"S"))</f>
        <v>0</v>
      </c>
      <c r="S564" s="50">
        <f>INVESTORS_LIST[[#This Row],[LS_TOTAL UNITS BUY]]+INVESTORS_LIST[[#This Row],[SIP_TOTAL UNITS BUY]]</f>
        <v>10760</v>
      </c>
      <c r="T564" s="50">
        <f>INVESTORS_LIST[[#This Row],[LS_TOTAL UNITS SOLD]]+INVESTORS_LIST[[#This Row],[SIP_TOTAL UNITS SOLD]]</f>
        <v>10760</v>
      </c>
      <c r="U564" s="50"/>
      <c r="V564" s="50">
        <f>SUMIFS(LS[BO UNIT TRANSFER],LS[Investor ID],INVESTORS_LIST[[#This Row],[INVESTOR CODE]],LS[B/S],"B")</f>
        <v>0</v>
      </c>
      <c r="W564" s="50">
        <f>SUMIFS(SIP[BO UNIT TRANSFER],SIP[Investor ID],INVESTORS_LIST[[#This Row],[INVESTOR CODE]],SIP[B/S],"B")</f>
        <v>0</v>
      </c>
      <c r="X564" s="50">
        <f>SUMIFS(LS[BO UNIT TRANSFER],LS[Investor ID],INVESTORS_LIST[[#This Row],[INVESTOR CODE]],LS[B/S],"S")</f>
        <v>0</v>
      </c>
      <c r="Y564" s="50">
        <f>SUMIFS(SIP[BO UNIT TRANSFER],SIP[Investor ID],INVESTORS_LIST[[#This Row],[INVESTOR CODE]],SIP[B/S],"S")</f>
        <v>0</v>
      </c>
      <c r="Z564" s="106">
        <f>SUM(INVESTORS_LIST[[#This Row],[BO OPENING BALANCE]:[BO SIP UNITS REPURCHASE]])</f>
        <v>0</v>
      </c>
      <c r="AA564" s="107">
        <f>INVESTORS_LIST[[#This Row],[TOTAL UNITS BUY]]-INVESTORS_LIST[[#This Row],[TOTAL UNITS SOLD]]</f>
        <v>0</v>
      </c>
      <c r="AB564" s="107">
        <f>INVESTORS_LIST[[#This Row],[TOTAL CURRENT UNITS]]-INVESTORS_LIST[[#This Row],[BO UNITS HOLD]]</f>
        <v>0</v>
      </c>
      <c r="AC564" s="201" t="e">
        <f>INDEX([3]!Table_1[BO ID],MATCH(INVESTORS_LIST[[#This Row],[INVESTOR CODE]],[3]!Table_1[INVESTOR CODE],0))</f>
        <v>#REF!</v>
      </c>
      <c r="AD564" s="201" t="e">
        <f>INDEX([3]!Table_1[Brokerage Name2],MATCH(INVESTORS_LIST[[#This Row],[INVESTOR CODE]],[3]!Table_1[INVESTOR CODE],0))</f>
        <v>#REF!</v>
      </c>
      <c r="AE564" s="201" t="e">
        <f>MID(INVESTORS_LIST[[#This Row],[BO ID]],4,5)</f>
        <v>#REF!</v>
      </c>
      <c r="AF564" s="201" t="e">
        <f>MID(INVESTORS_LIST[[#This Row],[BO ID]],2,7)</f>
        <v>#REF!</v>
      </c>
      <c r="AG564" s="201" t="e">
        <f>MID(INVESTORS_LIST[[#This Row],[BO ID]],9,7)</f>
        <v>#REF!</v>
      </c>
      <c r="AH564" s="201" t="e">
        <f>RIGHT(INVESTORS_LIST[[#This Row],[BO ID]],1)</f>
        <v>#REF!</v>
      </c>
      <c r="AI564" s="50">
        <f>INVESTORS_LIST[[#This Row],[LS_TOTAL COST VALUE OF CURRENT UNITS]]+INVESTORS_LIST[[#This Row],[SIP_TOTAL COST VALUE OF CURRENT UNITS]]</f>
        <v>0</v>
      </c>
      <c r="AJ564" s="109">
        <f>IF(INVESTORS_LIST[[#This Row],[TOTAL CURRENT UNITS]]=0,0,INVESTORS_LIST[[#This Row],[LS_TOTAL CURRENT UNITS]]/INVESTORS_LIST[[#This Row],[TOTAL CURRENT UNITS]])</f>
        <v>0</v>
      </c>
      <c r="AK564" s="109">
        <f>IF(INVESTORS_LIST[[#This Row],[TOTAL CURRENT UNITS]]=0,0,INVESTORS_LIST[[#This Row],[SIP_TOTAL CURRENT UNITS]]/INVESTORS_LIST[[#This Row],[TOTAL CURRENT UNITS]])</f>
        <v>0</v>
      </c>
      <c r="AL564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4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64" s="105">
        <f t="shared" si="9"/>
        <v>14.224</v>
      </c>
      <c r="AP564" s="112">
        <f>IF(INVESTORS_LIST[[#This Row],[TOTAL CURRENT UNITS]]=0,0,INVESTORS_LIST[[#This Row],[TOTAL CURRENT UNITS]]*INVESTORS_LIST[[#This Row],[NAV]])</f>
        <v>0</v>
      </c>
      <c r="AQ564" s="102">
        <f>IF(INVESTORS_LIST[[#This Row],[LS_TOTAL CURRENT UNITS]]=0,0,INVESTORS_LIST[[#This Row],[LS_TOTAL CURRENT UNITS]]*INVESTORS_LIST[[#This Row],[NAV]])</f>
        <v>0</v>
      </c>
      <c r="AR564" s="48">
        <f>IF(INVESTORS_LIST[[#This Row],[SIP_TOTAL CURRENT UNITS]]=0,0,INVESTORS_LIST[[#This Row],[SIP_TOTAL CURRENT UNITS]]*INVESTORS_LIST[[#This Row],[NAV]])</f>
        <v>0</v>
      </c>
      <c r="AS564" s="50">
        <f>INVESTORS_LIST[[#This Row],[TOTAL CURRENT UNITS]]</f>
        <v>0</v>
      </c>
      <c r="AT564" s="48">
        <f>IF(INVESTORS_LIST[[#This Row],[TOTAL SELLABLE UNITS]]=0,0,INVESTORS_LIST[[#This Row],[TOTAL SELLABLE UNITS]]*INVESTORS_LIST[[#This Row],[NAV]])</f>
        <v>0</v>
      </c>
      <c r="AU564" s="48">
        <f>INVESTORS_LIST[[#This Row],[LS_TOTAL REALIZED GAIN]]+INVESTORS_LIST[[#This Row],[SIP_TOTAL REALIZED GAIN]]</f>
        <v>4880.560000000004</v>
      </c>
      <c r="AV564" s="48">
        <f>INVESTORS_LIST[[#This Row],[TOTAL MARKET VALUE]]-INVESTORS_LIST[[#This Row],[TOTAL COST VALUE OF CURRENT INVESTMENT]]</f>
        <v>0</v>
      </c>
      <c r="AW564" s="48">
        <f>IFERROR(INVESTORS_LIST[[#This Row],[TOTAL CURRENT UNITS]]/SUM(INVESTORS_LIST[TOTAL CURRENT UNITS]),0)</f>
        <v>0</v>
      </c>
    </row>
    <row r="565" spans="1:49" hidden="1">
      <c r="A565" s="262" t="s">
        <v>1178</v>
      </c>
      <c r="B565" s="97" t="s">
        <v>1179</v>
      </c>
      <c r="C565" t="s">
        <v>44</v>
      </c>
      <c r="D565" s="75" t="s">
        <v>45</v>
      </c>
      <c r="E565" s="50">
        <f>SUMIFS(LS[Unit],LS[Investor ID],INVESTORS_LIST[[#This Row],[INVESTOR CODE]],LS[B/S],"B")</f>
        <v>36572</v>
      </c>
      <c r="F565" s="50">
        <f>-SUMIFS(LS[Unit],LS[Investor ID],INVESTORS_LIST[[#This Row],[INVESTOR CODE]],LS[B/S],"S")</f>
        <v>36572</v>
      </c>
      <c r="G565" s="50">
        <f>IF(INVESTORS_LIST[[#This Row],[LS_TOTAL UNITS BUY]]=0,0,INVESTORS_LIST[[#This Row],[LS_TOTAL UNITS BUY]]-INVESTORS_LIST[[#This Row],[LS_TOTAL UNITS SOLD]])</f>
        <v>0</v>
      </c>
      <c r="H565" s="102">
        <f>IF(INVESTORS_LIST[[#This Row],[LS_TOTAL UNITS BUY]]=0,0,SUMIFS(LS[Amount],LS[Investor ID],INVESTORS_LIST[[#This Row],[INVESTOR CODE]],LS[B/S],"B"))</f>
        <v>430000</v>
      </c>
      <c r="I565" s="48">
        <f>IF(INVESTORS_LIST[[#This Row],[LS_TOTAL UNITS SOLD]]=0,0,SUMIFS(LS[Cost of Units Sold],LS[Investor ID],INVESTORS_LIST[[#This Row],[INVESTOR CODE]],LS[B/S],"S"))</f>
        <v>430000</v>
      </c>
      <c r="J565" s="48">
        <f>IF(INVESTORS_LIST[[#This Row],[LS_TOTAL CURRENT UNITS]]=0,0,INVESTORS_LIST[[#This Row],[LS_TOTAL CURRENT UNITS]]*INVESTORS_LIST[[#This Row],[LS_AVERAGE COST]])</f>
        <v>0</v>
      </c>
      <c r="K565" s="48">
        <f>IF(INVESTORS_LIST[[#This Row],[LS_TOTAL UNITS SOLD]]=0,0,SUMIFS(LS[Realized Gain],LS[Investor ID],INVESTORS_LIST[[#This Row],[INVESTOR CODE]],LS[B/S],"S"))</f>
        <v>6602.6199999999899</v>
      </c>
      <c r="L565" s="104">
        <f>SUMIFS(SIP[Unit],SIP[Investor ID],INVESTORS_LIST[[#This Row],[INVESTOR CODE]],SIP[B/S],"B")</f>
        <v>0</v>
      </c>
      <c r="M565" s="50">
        <f>-SUMIFS(SIP[Unit],SIP[Investor ID],INVESTORS_LIST[[#This Row],[INVESTOR CODE]],SIP[B/S],"S")</f>
        <v>0</v>
      </c>
      <c r="N565" s="50">
        <f>IF(INVESTORS_LIST[[#This Row],[SIP_TOTAL UNITS BUY]]=0,0,INVESTORS_LIST[[#This Row],[SIP_TOTAL UNITS BUY]]-INVESTORS_LIST[[#This Row],[SIP_TOTAL UNITS SOLD]])</f>
        <v>0</v>
      </c>
      <c r="O565" s="48">
        <f>IF(INVESTORS_LIST[[#This Row],[SIP_TOTAL UNITS BUY]]=0,0,SUMIFS(SIP[Amount],SIP[Investor ID],INVESTORS_LIST[[#This Row],[INVESTOR CODE]],SIP[B/S],"B"))</f>
        <v>0</v>
      </c>
      <c r="P565" s="48">
        <f>IF(INVESTORS_LIST[[#This Row],[SIP_TOTAL UNITS SOLD]]=0,0,SUMIFS(SIP[Cost of Units Sold],SIP[Investor ID],INVESTORS_LIST[[#This Row],[INVESTOR CODE]],SIP[B/S],"S"))</f>
        <v>0</v>
      </c>
      <c r="Q565" s="48">
        <f>IF(INVESTORS_LIST[[#This Row],[SIP_TOTAL CURRENT UNITS]]=0,0,INVESTORS_LIST[[#This Row],[SIP_TOTAL CURRENT UNITS]]*INVESTORS_LIST[[#This Row],[SIP_AVERAGE COST]])</f>
        <v>0</v>
      </c>
      <c r="R565" s="48">
        <f>IF(INVESTORS_LIST[[#This Row],[SIP_TOTAL UNITS SOLD]]=0,0,SUMIFS(SIP[Realized Gain],SIP[Investor ID],INVESTORS_LIST[[#This Row],[INVESTOR CODE]],SIP[B/S],"S"))</f>
        <v>0</v>
      </c>
      <c r="S565" s="50">
        <f>INVESTORS_LIST[[#This Row],[LS_TOTAL UNITS BUY]]+INVESTORS_LIST[[#This Row],[SIP_TOTAL UNITS BUY]]</f>
        <v>36572</v>
      </c>
      <c r="T565" s="50">
        <f>INVESTORS_LIST[[#This Row],[LS_TOTAL UNITS SOLD]]+INVESTORS_LIST[[#This Row],[SIP_TOTAL UNITS SOLD]]</f>
        <v>36572</v>
      </c>
      <c r="U565" s="50"/>
      <c r="V565" s="50">
        <f>SUMIFS(LS[BO UNIT TRANSFER],LS[Investor ID],INVESTORS_LIST[[#This Row],[INVESTOR CODE]],LS[B/S],"B")</f>
        <v>0</v>
      </c>
      <c r="W565" s="50">
        <f>SUMIFS(SIP[BO UNIT TRANSFER],SIP[Investor ID],INVESTORS_LIST[[#This Row],[INVESTOR CODE]],SIP[B/S],"B")</f>
        <v>0</v>
      </c>
      <c r="X565" s="50">
        <f>SUMIFS(LS[BO UNIT TRANSFER],LS[Investor ID],INVESTORS_LIST[[#This Row],[INVESTOR CODE]],LS[B/S],"S")</f>
        <v>0</v>
      </c>
      <c r="Y565" s="50">
        <f>SUMIFS(SIP[BO UNIT TRANSFER],SIP[Investor ID],INVESTORS_LIST[[#This Row],[INVESTOR CODE]],SIP[B/S],"S")</f>
        <v>0</v>
      </c>
      <c r="Z565" s="106">
        <f>SUM(INVESTORS_LIST[[#This Row],[BO OPENING BALANCE]:[BO SIP UNITS REPURCHASE]])</f>
        <v>0</v>
      </c>
      <c r="AA565" s="107">
        <f>INVESTORS_LIST[[#This Row],[TOTAL UNITS BUY]]-INVESTORS_LIST[[#This Row],[TOTAL UNITS SOLD]]</f>
        <v>0</v>
      </c>
      <c r="AB565" s="107">
        <f>INVESTORS_LIST[[#This Row],[TOTAL CURRENT UNITS]]-INVESTORS_LIST[[#This Row],[BO UNITS HOLD]]</f>
        <v>0</v>
      </c>
      <c r="AC565" s="201" t="e">
        <f>INDEX([3]!Table_1[BO ID],MATCH(INVESTORS_LIST[[#This Row],[INVESTOR CODE]],[3]!Table_1[INVESTOR CODE],0))</f>
        <v>#REF!</v>
      </c>
      <c r="AD565" s="201" t="e">
        <f>INDEX([3]!Table_1[Brokerage Name2],MATCH(INVESTORS_LIST[[#This Row],[INVESTOR CODE]],[3]!Table_1[INVESTOR CODE],0))</f>
        <v>#REF!</v>
      </c>
      <c r="AE565" s="201" t="e">
        <f>MID(INVESTORS_LIST[[#This Row],[BO ID]],4,5)</f>
        <v>#REF!</v>
      </c>
      <c r="AF565" s="201" t="e">
        <f>MID(INVESTORS_LIST[[#This Row],[BO ID]],2,7)</f>
        <v>#REF!</v>
      </c>
      <c r="AG565" s="201" t="e">
        <f>MID(INVESTORS_LIST[[#This Row],[BO ID]],9,7)</f>
        <v>#REF!</v>
      </c>
      <c r="AH565" s="201" t="e">
        <f>RIGHT(INVESTORS_LIST[[#This Row],[BO ID]],1)</f>
        <v>#REF!</v>
      </c>
      <c r="AI565" s="50">
        <f>INVESTORS_LIST[[#This Row],[LS_TOTAL COST VALUE OF CURRENT UNITS]]+INVESTORS_LIST[[#This Row],[SIP_TOTAL COST VALUE OF CURRENT UNITS]]</f>
        <v>0</v>
      </c>
      <c r="AJ565" s="109">
        <f>IF(INVESTORS_LIST[[#This Row],[TOTAL CURRENT UNITS]]=0,0,INVESTORS_LIST[[#This Row],[LS_TOTAL CURRENT UNITS]]/INVESTORS_LIST[[#This Row],[TOTAL CURRENT UNITS]])</f>
        <v>0</v>
      </c>
      <c r="AK565" s="109">
        <f>IF(INVESTORS_LIST[[#This Row],[TOTAL CURRENT UNITS]]=0,0,INVESTORS_LIST[[#This Row],[SIP_TOTAL CURRENT UNITS]]/INVESTORS_LIST[[#This Row],[TOTAL CURRENT UNITS]])</f>
        <v>0</v>
      </c>
      <c r="AL565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5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65" s="105">
        <f t="shared" si="9"/>
        <v>14.224</v>
      </c>
      <c r="AP565" s="112">
        <f>IF(INVESTORS_LIST[[#This Row],[TOTAL CURRENT UNITS]]=0,0,INVESTORS_LIST[[#This Row],[TOTAL CURRENT UNITS]]*INVESTORS_LIST[[#This Row],[NAV]])</f>
        <v>0</v>
      </c>
      <c r="AQ565" s="102">
        <f>IF(INVESTORS_LIST[[#This Row],[LS_TOTAL CURRENT UNITS]]=0,0,INVESTORS_LIST[[#This Row],[LS_TOTAL CURRENT UNITS]]*INVESTORS_LIST[[#This Row],[NAV]])</f>
        <v>0</v>
      </c>
      <c r="AR565" s="48">
        <f>IF(INVESTORS_LIST[[#This Row],[SIP_TOTAL CURRENT UNITS]]=0,0,INVESTORS_LIST[[#This Row],[SIP_TOTAL CURRENT UNITS]]*INVESTORS_LIST[[#This Row],[NAV]])</f>
        <v>0</v>
      </c>
      <c r="AS565" s="50">
        <f>INVESTORS_LIST[[#This Row],[TOTAL CURRENT UNITS]]</f>
        <v>0</v>
      </c>
      <c r="AT565" s="48">
        <f>IF(INVESTORS_LIST[[#This Row],[TOTAL SELLABLE UNITS]]=0,0,INVESTORS_LIST[[#This Row],[TOTAL SELLABLE UNITS]]*INVESTORS_LIST[[#This Row],[NAV]])</f>
        <v>0</v>
      </c>
      <c r="AU565" s="48">
        <f>INVESTORS_LIST[[#This Row],[LS_TOTAL REALIZED GAIN]]+INVESTORS_LIST[[#This Row],[SIP_TOTAL REALIZED GAIN]]</f>
        <v>6602.6199999999899</v>
      </c>
      <c r="AV565" s="48">
        <f>INVESTORS_LIST[[#This Row],[TOTAL MARKET VALUE]]-INVESTORS_LIST[[#This Row],[TOTAL COST VALUE OF CURRENT INVESTMENT]]</f>
        <v>0</v>
      </c>
      <c r="AW565" s="48">
        <f>IFERROR(INVESTORS_LIST[[#This Row],[TOTAL CURRENT UNITS]]/SUM(INVESTORS_LIST[TOTAL CURRENT UNITS]),0)</f>
        <v>0</v>
      </c>
    </row>
    <row r="566" spans="1:49" hidden="1">
      <c r="A566" s="262" t="s">
        <v>1172</v>
      </c>
      <c r="B566" s="97" t="s">
        <v>1180</v>
      </c>
      <c r="C566" t="s">
        <v>67</v>
      </c>
      <c r="D566" s="75" t="s">
        <v>45</v>
      </c>
      <c r="E566" s="50">
        <f>SUMIFS(LS[Unit],LS[Investor ID],INVESTORS_LIST[[#This Row],[INVESTOR CODE]],LS[B/S],"B")</f>
        <v>131714</v>
      </c>
      <c r="F566" s="50">
        <f>-SUMIFS(LS[Unit],LS[Investor ID],INVESTORS_LIST[[#This Row],[INVESTOR CODE]],LS[B/S],"S")</f>
        <v>131714</v>
      </c>
      <c r="G566" s="50">
        <f>IF(INVESTORS_LIST[[#This Row],[LS_TOTAL UNITS BUY]]=0,0,INVESTORS_LIST[[#This Row],[LS_TOTAL UNITS BUY]]-INVESTORS_LIST[[#This Row],[LS_TOTAL UNITS SOLD]])</f>
        <v>0</v>
      </c>
      <c r="H566" s="102">
        <f>IF(INVESTORS_LIST[[#This Row],[LS_TOTAL UNITS BUY]]=0,0,SUMIFS(LS[Amount],LS[Investor ID],INVESTORS_LIST[[#This Row],[INVESTOR CODE]],LS[B/S],"B"))</f>
        <v>1500000</v>
      </c>
      <c r="I566" s="48">
        <f>IF(INVESTORS_LIST[[#This Row],[LS_TOTAL UNITS SOLD]]=0,0,SUMIFS(LS[Cost of Units Sold],LS[Investor ID],INVESTORS_LIST[[#This Row],[INVESTOR CODE]],LS[B/S],"S"))</f>
        <v>1500000.0000000002</v>
      </c>
      <c r="J566" s="48">
        <f>IF(INVESTORS_LIST[[#This Row],[LS_TOTAL CURRENT UNITS]]=0,0,INVESTORS_LIST[[#This Row],[LS_TOTAL CURRENT UNITS]]*INVESTORS_LIST[[#This Row],[LS_AVERAGE COST]])</f>
        <v>0</v>
      </c>
      <c r="K566" s="48">
        <f>IF(INVESTORS_LIST[[#This Row],[LS_TOTAL UNITS SOLD]]=0,0,SUMIFS(LS[Realized Gain],LS[Investor ID],INVESTORS_LIST[[#This Row],[INVESTOR CODE]],LS[B/S],"S"))</f>
        <v>365070.23999999982</v>
      </c>
      <c r="L566" s="104">
        <f>SUMIFS(SIP[Unit],SIP[Investor ID],INVESTORS_LIST[[#This Row],[INVESTOR CODE]],SIP[B/S],"B")</f>
        <v>0</v>
      </c>
      <c r="M566" s="50">
        <f>-SUMIFS(SIP[Unit],SIP[Investor ID],INVESTORS_LIST[[#This Row],[INVESTOR CODE]],SIP[B/S],"S")</f>
        <v>0</v>
      </c>
      <c r="N566" s="50">
        <f>IF(INVESTORS_LIST[[#This Row],[SIP_TOTAL UNITS BUY]]=0,0,INVESTORS_LIST[[#This Row],[SIP_TOTAL UNITS BUY]]-INVESTORS_LIST[[#This Row],[SIP_TOTAL UNITS SOLD]])</f>
        <v>0</v>
      </c>
      <c r="O566" s="48">
        <f>IF(INVESTORS_LIST[[#This Row],[SIP_TOTAL UNITS BUY]]=0,0,SUMIFS(SIP[Amount],SIP[Investor ID],INVESTORS_LIST[[#This Row],[INVESTOR CODE]],SIP[B/S],"B"))</f>
        <v>0</v>
      </c>
      <c r="P566" s="48">
        <f>IF(INVESTORS_LIST[[#This Row],[SIP_TOTAL UNITS SOLD]]=0,0,SUMIFS(SIP[Cost of Units Sold],SIP[Investor ID],INVESTORS_LIST[[#This Row],[INVESTOR CODE]],SIP[B/S],"S"))</f>
        <v>0</v>
      </c>
      <c r="Q566" s="48">
        <f>IF(INVESTORS_LIST[[#This Row],[SIP_TOTAL CURRENT UNITS]]=0,0,INVESTORS_LIST[[#This Row],[SIP_TOTAL CURRENT UNITS]]*INVESTORS_LIST[[#This Row],[SIP_AVERAGE COST]])</f>
        <v>0</v>
      </c>
      <c r="R566" s="48">
        <f>IF(INVESTORS_LIST[[#This Row],[SIP_TOTAL UNITS SOLD]]=0,0,SUMIFS(SIP[Realized Gain],SIP[Investor ID],INVESTORS_LIST[[#This Row],[INVESTOR CODE]],SIP[B/S],"S"))</f>
        <v>0</v>
      </c>
      <c r="S566" s="50">
        <f>INVESTORS_LIST[[#This Row],[LS_TOTAL UNITS BUY]]+INVESTORS_LIST[[#This Row],[SIP_TOTAL UNITS BUY]]</f>
        <v>131714</v>
      </c>
      <c r="T566" s="50">
        <f>INVESTORS_LIST[[#This Row],[LS_TOTAL UNITS SOLD]]+INVESTORS_LIST[[#This Row],[SIP_TOTAL UNITS SOLD]]</f>
        <v>131714</v>
      </c>
      <c r="U566" s="50"/>
      <c r="V566" s="50">
        <f>SUMIFS(LS[BO UNIT TRANSFER],LS[Investor ID],INVESTORS_LIST[[#This Row],[INVESTOR CODE]],LS[B/S],"B")</f>
        <v>0</v>
      </c>
      <c r="W566" s="50">
        <f>SUMIFS(SIP[BO UNIT TRANSFER],SIP[Investor ID],INVESTORS_LIST[[#This Row],[INVESTOR CODE]],SIP[B/S],"B")</f>
        <v>0</v>
      </c>
      <c r="X566" s="50">
        <f>SUMIFS(LS[BO UNIT TRANSFER],LS[Investor ID],INVESTORS_LIST[[#This Row],[INVESTOR CODE]],LS[B/S],"S")</f>
        <v>0</v>
      </c>
      <c r="Y566" s="50">
        <f>SUMIFS(SIP[BO UNIT TRANSFER],SIP[Investor ID],INVESTORS_LIST[[#This Row],[INVESTOR CODE]],SIP[B/S],"S")</f>
        <v>0</v>
      </c>
      <c r="Z566" s="106">
        <f>SUM(INVESTORS_LIST[[#This Row],[BO OPENING BALANCE]:[BO SIP UNITS REPURCHASE]])</f>
        <v>0</v>
      </c>
      <c r="AA566" s="107">
        <f>INVESTORS_LIST[[#This Row],[TOTAL UNITS BUY]]-INVESTORS_LIST[[#This Row],[TOTAL UNITS SOLD]]</f>
        <v>0</v>
      </c>
      <c r="AB566" s="107">
        <f>INVESTORS_LIST[[#This Row],[TOTAL CURRENT UNITS]]-INVESTORS_LIST[[#This Row],[BO UNITS HOLD]]</f>
        <v>0</v>
      </c>
      <c r="AC566" s="201" t="e">
        <f>INDEX([3]!Table_1[BO ID],MATCH(INVESTORS_LIST[[#This Row],[INVESTOR CODE]],[3]!Table_1[INVESTOR CODE],0))</f>
        <v>#REF!</v>
      </c>
      <c r="AD566" s="201" t="e">
        <f>INDEX([3]!Table_1[Brokerage Name2],MATCH(INVESTORS_LIST[[#This Row],[INVESTOR CODE]],[3]!Table_1[INVESTOR CODE],0))</f>
        <v>#REF!</v>
      </c>
      <c r="AE566" s="201" t="e">
        <f>MID(INVESTORS_LIST[[#This Row],[BO ID]],4,5)</f>
        <v>#REF!</v>
      </c>
      <c r="AF566" s="201" t="e">
        <f>MID(INVESTORS_LIST[[#This Row],[BO ID]],2,7)</f>
        <v>#REF!</v>
      </c>
      <c r="AG566" s="201" t="e">
        <f>MID(INVESTORS_LIST[[#This Row],[BO ID]],9,7)</f>
        <v>#REF!</v>
      </c>
      <c r="AH566" s="201" t="e">
        <f>RIGHT(INVESTORS_LIST[[#This Row],[BO ID]],1)</f>
        <v>#REF!</v>
      </c>
      <c r="AI566" s="50">
        <f>INVESTORS_LIST[[#This Row],[LS_TOTAL COST VALUE OF CURRENT UNITS]]+INVESTORS_LIST[[#This Row],[SIP_TOTAL COST VALUE OF CURRENT UNITS]]</f>
        <v>0</v>
      </c>
      <c r="AJ566" s="109">
        <f>IF(INVESTORS_LIST[[#This Row],[TOTAL CURRENT UNITS]]=0,0,INVESTORS_LIST[[#This Row],[LS_TOTAL CURRENT UNITS]]/INVESTORS_LIST[[#This Row],[TOTAL CURRENT UNITS]])</f>
        <v>0</v>
      </c>
      <c r="AK566" s="109">
        <f>IF(INVESTORS_LIST[[#This Row],[TOTAL CURRENT UNITS]]=0,0,INVESTORS_LIST[[#This Row],[SIP_TOTAL CURRENT UNITS]]/INVESTORS_LIST[[#This Row],[TOTAL CURRENT UNITS]])</f>
        <v>0</v>
      </c>
      <c r="AL566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6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66" s="105">
        <f t="shared" si="9"/>
        <v>14.224</v>
      </c>
      <c r="AP566" s="112">
        <f>IF(INVESTORS_LIST[[#This Row],[TOTAL CURRENT UNITS]]=0,0,INVESTORS_LIST[[#This Row],[TOTAL CURRENT UNITS]]*INVESTORS_LIST[[#This Row],[NAV]])</f>
        <v>0</v>
      </c>
      <c r="AQ566" s="102">
        <f>IF(INVESTORS_LIST[[#This Row],[LS_TOTAL CURRENT UNITS]]=0,0,INVESTORS_LIST[[#This Row],[LS_TOTAL CURRENT UNITS]]*INVESTORS_LIST[[#This Row],[NAV]])</f>
        <v>0</v>
      </c>
      <c r="AR566" s="48">
        <f>IF(INVESTORS_LIST[[#This Row],[SIP_TOTAL CURRENT UNITS]]=0,0,INVESTORS_LIST[[#This Row],[SIP_TOTAL CURRENT UNITS]]*INVESTORS_LIST[[#This Row],[NAV]])</f>
        <v>0</v>
      </c>
      <c r="AS566" s="50">
        <f>INVESTORS_LIST[[#This Row],[TOTAL CURRENT UNITS]]</f>
        <v>0</v>
      </c>
      <c r="AT566" s="48">
        <f>IF(INVESTORS_LIST[[#This Row],[TOTAL SELLABLE UNITS]]=0,0,INVESTORS_LIST[[#This Row],[TOTAL SELLABLE UNITS]]*INVESTORS_LIST[[#This Row],[NAV]])</f>
        <v>0</v>
      </c>
      <c r="AU566" s="48">
        <f>INVESTORS_LIST[[#This Row],[LS_TOTAL REALIZED GAIN]]+INVESTORS_LIST[[#This Row],[SIP_TOTAL REALIZED GAIN]]</f>
        <v>365070.23999999982</v>
      </c>
      <c r="AV566" s="48">
        <f>INVESTORS_LIST[[#This Row],[TOTAL MARKET VALUE]]-INVESTORS_LIST[[#This Row],[TOTAL COST VALUE OF CURRENT INVESTMENT]]</f>
        <v>0</v>
      </c>
      <c r="AW566" s="48">
        <f>IFERROR(INVESTORS_LIST[[#This Row],[TOTAL CURRENT UNITS]]/SUM(INVESTORS_LIST[TOTAL CURRENT UNITS]),0)</f>
        <v>0</v>
      </c>
    </row>
    <row r="567" spans="1:49" hidden="1">
      <c r="A567" s="262" t="s">
        <v>1181</v>
      </c>
      <c r="B567" s="97" t="s">
        <v>1182</v>
      </c>
      <c r="C567" t="s">
        <v>44</v>
      </c>
      <c r="D567" s="75" t="s">
        <v>45</v>
      </c>
      <c r="E567" s="50">
        <f>SUMIFS(LS[Unit],LS[Investor ID],INVESTORS_LIST[[#This Row],[INVESTOR CODE]],LS[B/S],"B")</f>
        <v>0</v>
      </c>
      <c r="F567" s="50">
        <f>-SUMIFS(LS[Unit],LS[Investor ID],INVESTORS_LIST[[#This Row],[INVESTOR CODE]],LS[B/S],"S")</f>
        <v>0</v>
      </c>
      <c r="G567" s="50">
        <f>IF(INVESTORS_LIST[[#This Row],[LS_TOTAL UNITS BUY]]=0,0,INVESTORS_LIST[[#This Row],[LS_TOTAL UNITS BUY]]-INVESTORS_LIST[[#This Row],[LS_TOTAL UNITS SOLD]])</f>
        <v>0</v>
      </c>
      <c r="H567" s="102">
        <f>IF(INVESTORS_LIST[[#This Row],[LS_TOTAL UNITS BUY]]=0,0,SUMIFS(LS[Amount],LS[Investor ID],INVESTORS_LIST[[#This Row],[INVESTOR CODE]],LS[B/S],"B"))</f>
        <v>0</v>
      </c>
      <c r="I567" s="48">
        <f>IF(INVESTORS_LIST[[#This Row],[LS_TOTAL UNITS SOLD]]=0,0,SUMIFS(LS[Cost of Units Sold],LS[Investor ID],INVESTORS_LIST[[#This Row],[INVESTOR CODE]],LS[B/S],"S"))</f>
        <v>0</v>
      </c>
      <c r="J567" s="48">
        <f>IF(INVESTORS_LIST[[#This Row],[LS_TOTAL CURRENT UNITS]]=0,0,INVESTORS_LIST[[#This Row],[LS_TOTAL CURRENT UNITS]]*INVESTORS_LIST[[#This Row],[LS_AVERAGE COST]])</f>
        <v>0</v>
      </c>
      <c r="K567" s="48">
        <f>IF(INVESTORS_LIST[[#This Row],[LS_TOTAL UNITS SOLD]]=0,0,SUMIFS(LS[Realized Gain],LS[Investor ID],INVESTORS_LIST[[#This Row],[INVESTOR CODE]],LS[B/S],"S"))</f>
        <v>0</v>
      </c>
      <c r="L567" s="104">
        <f>SUMIFS(SIP[Unit],SIP[Investor ID],INVESTORS_LIST[[#This Row],[INVESTOR CODE]],SIP[B/S],"B")</f>
        <v>0</v>
      </c>
      <c r="M567" s="50">
        <f>-SUMIFS(SIP[Unit],SIP[Investor ID],INVESTORS_LIST[[#This Row],[INVESTOR CODE]],SIP[B/S],"S")</f>
        <v>0</v>
      </c>
      <c r="N567" s="50">
        <f>IF(INVESTORS_LIST[[#This Row],[SIP_TOTAL UNITS BUY]]=0,0,INVESTORS_LIST[[#This Row],[SIP_TOTAL UNITS BUY]]-INVESTORS_LIST[[#This Row],[SIP_TOTAL UNITS SOLD]])</f>
        <v>0</v>
      </c>
      <c r="O567" s="48">
        <f>IF(INVESTORS_LIST[[#This Row],[SIP_TOTAL UNITS BUY]]=0,0,SUMIFS(SIP[Amount],SIP[Investor ID],INVESTORS_LIST[[#This Row],[INVESTOR CODE]],SIP[B/S],"B"))</f>
        <v>0</v>
      </c>
      <c r="P567" s="48">
        <f>IF(INVESTORS_LIST[[#This Row],[SIP_TOTAL UNITS SOLD]]=0,0,SUMIFS(SIP[Cost of Units Sold],SIP[Investor ID],INVESTORS_LIST[[#This Row],[INVESTOR CODE]],SIP[B/S],"S"))</f>
        <v>0</v>
      </c>
      <c r="Q567" s="48">
        <f>IF(INVESTORS_LIST[[#This Row],[SIP_TOTAL CURRENT UNITS]]=0,0,INVESTORS_LIST[[#This Row],[SIP_TOTAL CURRENT UNITS]]*INVESTORS_LIST[[#This Row],[SIP_AVERAGE COST]])</f>
        <v>0</v>
      </c>
      <c r="R567" s="48">
        <f>IF(INVESTORS_LIST[[#This Row],[SIP_TOTAL UNITS SOLD]]=0,0,SUMIFS(SIP[Realized Gain],SIP[Investor ID],INVESTORS_LIST[[#This Row],[INVESTOR CODE]],SIP[B/S],"S"))</f>
        <v>0</v>
      </c>
      <c r="S567" s="50">
        <f>INVESTORS_LIST[[#This Row],[LS_TOTAL UNITS BUY]]+INVESTORS_LIST[[#This Row],[SIP_TOTAL UNITS BUY]]</f>
        <v>0</v>
      </c>
      <c r="T567" s="50">
        <f>INVESTORS_LIST[[#This Row],[LS_TOTAL UNITS SOLD]]+INVESTORS_LIST[[#This Row],[SIP_TOTAL UNITS SOLD]]</f>
        <v>0</v>
      </c>
      <c r="U567" s="50"/>
      <c r="V567" s="50">
        <f>SUMIFS(LS[BO UNIT TRANSFER],LS[Investor ID],INVESTORS_LIST[[#This Row],[INVESTOR CODE]],LS[B/S],"B")</f>
        <v>0</v>
      </c>
      <c r="W567" s="50">
        <f>SUMIFS(SIP[BO UNIT TRANSFER],SIP[Investor ID],INVESTORS_LIST[[#This Row],[INVESTOR CODE]],SIP[B/S],"B")</f>
        <v>0</v>
      </c>
      <c r="X567" s="50">
        <f>SUMIFS(LS[BO UNIT TRANSFER],LS[Investor ID],INVESTORS_LIST[[#This Row],[INVESTOR CODE]],LS[B/S],"S")</f>
        <v>0</v>
      </c>
      <c r="Y567" s="50">
        <f>SUMIFS(SIP[BO UNIT TRANSFER],SIP[Investor ID],INVESTORS_LIST[[#This Row],[INVESTOR CODE]],SIP[B/S],"S")</f>
        <v>0</v>
      </c>
      <c r="Z567" s="106">
        <f>SUM(INVESTORS_LIST[[#This Row],[BO OPENING BALANCE]:[BO SIP UNITS REPURCHASE]])</f>
        <v>0</v>
      </c>
      <c r="AA567" s="107">
        <f>INVESTORS_LIST[[#This Row],[TOTAL UNITS BUY]]-INVESTORS_LIST[[#This Row],[TOTAL UNITS SOLD]]</f>
        <v>0</v>
      </c>
      <c r="AB567" s="107">
        <f>INVESTORS_LIST[[#This Row],[TOTAL CURRENT UNITS]]-INVESTORS_LIST[[#This Row],[BO UNITS HOLD]]</f>
        <v>0</v>
      </c>
      <c r="AC567" s="201" t="e">
        <f>INDEX([3]!Table_1[BO ID],MATCH(INVESTORS_LIST[[#This Row],[INVESTOR CODE]],[3]!Table_1[INVESTOR CODE],0))</f>
        <v>#REF!</v>
      </c>
      <c r="AD567" s="201" t="e">
        <f>INDEX([3]!Table_1[Brokerage Name2],MATCH(INVESTORS_LIST[[#This Row],[INVESTOR CODE]],[3]!Table_1[INVESTOR CODE],0))</f>
        <v>#REF!</v>
      </c>
      <c r="AE567" s="201" t="e">
        <f>MID(INVESTORS_LIST[[#This Row],[BO ID]],4,5)</f>
        <v>#REF!</v>
      </c>
      <c r="AF567" s="201" t="e">
        <f>MID(INVESTORS_LIST[[#This Row],[BO ID]],2,7)</f>
        <v>#REF!</v>
      </c>
      <c r="AG567" s="201" t="e">
        <f>MID(INVESTORS_LIST[[#This Row],[BO ID]],9,7)</f>
        <v>#REF!</v>
      </c>
      <c r="AH567" s="201" t="e">
        <f>RIGHT(INVESTORS_LIST[[#This Row],[BO ID]],1)</f>
        <v>#REF!</v>
      </c>
      <c r="AI567" s="50">
        <f>INVESTORS_LIST[[#This Row],[LS_TOTAL COST VALUE OF CURRENT UNITS]]+INVESTORS_LIST[[#This Row],[SIP_TOTAL COST VALUE OF CURRENT UNITS]]</f>
        <v>0</v>
      </c>
      <c r="AJ567" s="109">
        <f>IF(INVESTORS_LIST[[#This Row],[TOTAL CURRENT UNITS]]=0,0,INVESTORS_LIST[[#This Row],[LS_TOTAL CURRENT UNITS]]/INVESTORS_LIST[[#This Row],[TOTAL CURRENT UNITS]])</f>
        <v>0</v>
      </c>
      <c r="AK567" s="109">
        <f>IF(INVESTORS_LIST[[#This Row],[TOTAL CURRENT UNITS]]=0,0,INVESTORS_LIST[[#This Row],[SIP_TOTAL CURRENT UNITS]]/INVESTORS_LIST[[#This Row],[TOTAL CURRENT UNITS]])</f>
        <v>0</v>
      </c>
      <c r="AL567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67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67" s="105">
        <f t="shared" si="9"/>
        <v>14.224</v>
      </c>
      <c r="AP567" s="112">
        <f>IF(INVESTORS_LIST[[#This Row],[TOTAL CURRENT UNITS]]=0,0,INVESTORS_LIST[[#This Row],[TOTAL CURRENT UNITS]]*INVESTORS_LIST[[#This Row],[NAV]])</f>
        <v>0</v>
      </c>
      <c r="AQ567" s="102">
        <f>IF(INVESTORS_LIST[[#This Row],[LS_TOTAL CURRENT UNITS]]=0,0,INVESTORS_LIST[[#This Row],[LS_TOTAL CURRENT UNITS]]*INVESTORS_LIST[[#This Row],[NAV]])</f>
        <v>0</v>
      </c>
      <c r="AR567" s="48">
        <f>IF(INVESTORS_LIST[[#This Row],[SIP_TOTAL CURRENT UNITS]]=0,0,INVESTORS_LIST[[#This Row],[SIP_TOTAL CURRENT UNITS]]*INVESTORS_LIST[[#This Row],[NAV]])</f>
        <v>0</v>
      </c>
      <c r="AS567" s="50">
        <f>INVESTORS_LIST[[#This Row],[TOTAL CURRENT UNITS]]</f>
        <v>0</v>
      </c>
      <c r="AT567" s="48">
        <f>IF(INVESTORS_LIST[[#This Row],[TOTAL SELLABLE UNITS]]=0,0,INVESTORS_LIST[[#This Row],[TOTAL SELLABLE UNITS]]*INVESTORS_LIST[[#This Row],[NAV]])</f>
        <v>0</v>
      </c>
      <c r="AU567" s="48">
        <f>INVESTORS_LIST[[#This Row],[LS_TOTAL REALIZED GAIN]]+INVESTORS_LIST[[#This Row],[SIP_TOTAL REALIZED GAIN]]</f>
        <v>0</v>
      </c>
      <c r="AV567" s="48">
        <f>INVESTORS_LIST[[#This Row],[TOTAL MARKET VALUE]]-INVESTORS_LIST[[#This Row],[TOTAL COST VALUE OF CURRENT INVESTMENT]]</f>
        <v>0</v>
      </c>
      <c r="AW567" s="48">
        <f>IFERROR(INVESTORS_LIST[[#This Row],[TOTAL CURRENT UNITS]]/SUM(INVESTORS_LIST[TOTAL CURRENT UNITS]),0)</f>
        <v>0</v>
      </c>
    </row>
    <row r="568" spans="1:49">
      <c r="A568" s="262" t="s">
        <v>1183</v>
      </c>
      <c r="B568" s="97" t="s">
        <v>1184</v>
      </c>
      <c r="C568" t="s">
        <v>44</v>
      </c>
      <c r="D568" s="75" t="s">
        <v>45</v>
      </c>
      <c r="E568" s="50">
        <f>SUMIFS(LS[Unit],LS[Investor ID],INVESTORS_LIST[[#This Row],[INVESTOR CODE]],LS[B/S],"B")</f>
        <v>38339</v>
      </c>
      <c r="F568" s="50">
        <f>-SUMIFS(LS[Unit],LS[Investor ID],INVESTORS_LIST[[#This Row],[INVESTOR CODE]],LS[B/S],"S")</f>
        <v>0</v>
      </c>
      <c r="G568" s="50">
        <f>IF(INVESTORS_LIST[[#This Row],[LS_TOTAL UNITS BUY]]=0,0,INVESTORS_LIST[[#This Row],[LS_TOTAL UNITS BUY]]-INVESTORS_LIST[[#This Row],[LS_TOTAL UNITS SOLD]])</f>
        <v>38339</v>
      </c>
      <c r="H568" s="102">
        <f>IF(INVESTORS_LIST[[#This Row],[LS_TOTAL UNITS BUY]]=0,0,SUMIFS(LS[Amount],LS[Investor ID],INVESTORS_LIST[[#This Row],[INVESTOR CODE]],LS[B/S],"B"))</f>
        <v>450000</v>
      </c>
      <c r="I568" s="48">
        <f>IF(INVESTORS_LIST[[#This Row],[LS_TOTAL UNITS SOLD]]=0,0,SUMIFS(LS[Cost of Units Sold],LS[Investor ID],INVESTORS_LIST[[#This Row],[INVESTOR CODE]],LS[B/S],"S"))</f>
        <v>0</v>
      </c>
      <c r="J568" s="48">
        <f>IF(INVESTORS_LIST[[#This Row],[LS_TOTAL CURRENT UNITS]]=0,0,INVESTORS_LIST[[#This Row],[LS_TOTAL CURRENT UNITS]]*INVESTORS_LIST[[#This Row],[LS_AVERAGE COST]])</f>
        <v>450000</v>
      </c>
      <c r="K568" s="48">
        <f>IF(INVESTORS_LIST[[#This Row],[LS_TOTAL UNITS SOLD]]=0,0,SUMIFS(LS[Realized Gain],LS[Investor ID],INVESTORS_LIST[[#This Row],[INVESTOR CODE]],LS[B/S],"S"))</f>
        <v>0</v>
      </c>
      <c r="L568" s="104">
        <f>SUMIFS(SIP[Unit],SIP[Investor ID],INVESTORS_LIST[[#This Row],[INVESTOR CODE]],SIP[B/S],"B")</f>
        <v>0</v>
      </c>
      <c r="M568" s="50">
        <f>-SUMIFS(SIP[Unit],SIP[Investor ID],INVESTORS_LIST[[#This Row],[INVESTOR CODE]],SIP[B/S],"S")</f>
        <v>0</v>
      </c>
      <c r="N568" s="50">
        <f>IF(INVESTORS_LIST[[#This Row],[SIP_TOTAL UNITS BUY]]=0,0,INVESTORS_LIST[[#This Row],[SIP_TOTAL UNITS BUY]]-INVESTORS_LIST[[#This Row],[SIP_TOTAL UNITS SOLD]])</f>
        <v>0</v>
      </c>
      <c r="O568" s="48">
        <f>IF(INVESTORS_LIST[[#This Row],[SIP_TOTAL UNITS BUY]]=0,0,SUMIFS(SIP[Amount],SIP[Investor ID],INVESTORS_LIST[[#This Row],[INVESTOR CODE]],SIP[B/S],"B"))</f>
        <v>0</v>
      </c>
      <c r="P568" s="48">
        <f>IF(INVESTORS_LIST[[#This Row],[SIP_TOTAL UNITS SOLD]]=0,0,SUMIFS(SIP[Cost of Units Sold],SIP[Investor ID],INVESTORS_LIST[[#This Row],[INVESTOR CODE]],SIP[B/S],"S"))</f>
        <v>0</v>
      </c>
      <c r="Q568" s="48">
        <f>IF(INVESTORS_LIST[[#This Row],[SIP_TOTAL CURRENT UNITS]]=0,0,INVESTORS_LIST[[#This Row],[SIP_TOTAL CURRENT UNITS]]*INVESTORS_LIST[[#This Row],[SIP_AVERAGE COST]])</f>
        <v>0</v>
      </c>
      <c r="R568" s="48">
        <f>IF(INVESTORS_LIST[[#This Row],[SIP_TOTAL UNITS SOLD]]=0,0,SUMIFS(SIP[Realized Gain],SIP[Investor ID],INVESTORS_LIST[[#This Row],[INVESTOR CODE]],SIP[B/S],"S"))</f>
        <v>0</v>
      </c>
      <c r="S568" s="50">
        <f>INVESTORS_LIST[[#This Row],[LS_TOTAL UNITS BUY]]+INVESTORS_LIST[[#This Row],[SIP_TOTAL UNITS BUY]]</f>
        <v>38339</v>
      </c>
      <c r="T568" s="50">
        <f>INVESTORS_LIST[[#This Row],[LS_TOTAL UNITS SOLD]]+INVESTORS_LIST[[#This Row],[SIP_TOTAL UNITS SOLD]]</f>
        <v>0</v>
      </c>
      <c r="U568" s="50">
        <v>38339</v>
      </c>
      <c r="V568" s="50">
        <f>SUMIFS(LS[BO UNIT TRANSFER],LS[Investor ID],INVESTORS_LIST[[#This Row],[INVESTOR CODE]],LS[B/S],"B")</f>
        <v>0</v>
      </c>
      <c r="W568" s="50">
        <f>SUMIFS(SIP[BO UNIT TRANSFER],SIP[Investor ID],INVESTORS_LIST[[#This Row],[INVESTOR CODE]],SIP[B/S],"B")</f>
        <v>0</v>
      </c>
      <c r="X568" s="50">
        <f>SUMIFS(LS[BO UNIT TRANSFER],LS[Investor ID],INVESTORS_LIST[[#This Row],[INVESTOR CODE]],LS[B/S],"S")</f>
        <v>0</v>
      </c>
      <c r="Y568" s="50">
        <f>SUMIFS(SIP[BO UNIT TRANSFER],SIP[Investor ID],INVESTORS_LIST[[#This Row],[INVESTOR CODE]],SIP[B/S],"S")</f>
        <v>0</v>
      </c>
      <c r="Z568" s="106">
        <f>SUM(INVESTORS_LIST[[#This Row],[BO OPENING BALANCE]:[BO SIP UNITS REPURCHASE]])</f>
        <v>38339</v>
      </c>
      <c r="AA568" s="107">
        <f>INVESTORS_LIST[[#This Row],[TOTAL UNITS BUY]]-INVESTORS_LIST[[#This Row],[TOTAL UNITS SOLD]]</f>
        <v>38339</v>
      </c>
      <c r="AB568" s="107">
        <f>INVESTORS_LIST[[#This Row],[TOTAL CURRENT UNITS]]-INVESTORS_LIST[[#This Row],[BO UNITS HOLD]]</f>
        <v>0</v>
      </c>
      <c r="AC568" s="201" t="e">
        <f>INDEX([3]!Table_1[BO ID],MATCH(INVESTORS_LIST[[#This Row],[INVESTOR CODE]],[3]!Table_1[INVESTOR CODE],0))</f>
        <v>#REF!</v>
      </c>
      <c r="AD568" s="201" t="e">
        <f>INDEX([3]!Table_1[Brokerage Name2],MATCH(INVESTORS_LIST[[#This Row],[INVESTOR CODE]],[3]!Table_1[INVESTOR CODE],0))</f>
        <v>#REF!</v>
      </c>
      <c r="AE568" s="201" t="e">
        <f>MID(INVESTORS_LIST[[#This Row],[BO ID]],4,5)</f>
        <v>#REF!</v>
      </c>
      <c r="AF568" s="201" t="e">
        <f>MID(INVESTORS_LIST[[#This Row],[BO ID]],2,7)</f>
        <v>#REF!</v>
      </c>
      <c r="AG568" s="201" t="e">
        <f>MID(INVESTORS_LIST[[#This Row],[BO ID]],9,7)</f>
        <v>#REF!</v>
      </c>
      <c r="AH568" s="201" t="e">
        <f>RIGHT(INVESTORS_LIST[[#This Row],[BO ID]],1)</f>
        <v>#REF!</v>
      </c>
      <c r="AI568" s="50">
        <f>INVESTORS_LIST[[#This Row],[LS_TOTAL COST VALUE OF CURRENT UNITS]]+INVESTORS_LIST[[#This Row],[SIP_TOTAL COST VALUE OF CURRENT UNITS]]</f>
        <v>450000</v>
      </c>
      <c r="AJ568" s="109">
        <f>IF(INVESTORS_LIST[[#This Row],[TOTAL CURRENT UNITS]]=0,0,INVESTORS_LIST[[#This Row],[LS_TOTAL CURRENT UNITS]]/INVESTORS_LIST[[#This Row],[TOTAL CURRENT UNITS]])</f>
        <v>1</v>
      </c>
      <c r="AK568" s="109">
        <f>IF(INVESTORS_LIST[[#This Row],[TOTAL CURRENT UNITS]]=0,0,INVESTORS_LIST[[#This Row],[SIP_TOTAL CURRENT UNITS]]/INVESTORS_LIST[[#This Row],[TOTAL CURRENT UNITS]])</f>
        <v>0</v>
      </c>
      <c r="AL568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11.737395341558205</v>
      </c>
      <c r="AM568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8" s="105">
        <f>IF(INVESTORS_LIST[[#This Row],[TOTAL CURRENT UNITS]]=0,0,(INVESTORS_LIST[[#This Row],[LS_WEIGHT]]*INVESTORS_LIST[[#This Row],[LS_AVERAGE COST]])+(INVESTORS_LIST[[#This Row],[SIP_WEIGHT]]*INVESTORS_LIST[[#This Row],[SIP_AVERAGE COST]]))</f>
        <v>11.737395341558205</v>
      </c>
      <c r="AO568" s="105">
        <f t="shared" si="9"/>
        <v>14.224</v>
      </c>
      <c r="AP568" s="112">
        <f>IF(INVESTORS_LIST[[#This Row],[TOTAL CURRENT UNITS]]=0,0,INVESTORS_LIST[[#This Row],[TOTAL CURRENT UNITS]]*INVESTORS_LIST[[#This Row],[NAV]])</f>
        <v>545333.93599999999</v>
      </c>
      <c r="AQ568" s="102">
        <f>IF(INVESTORS_LIST[[#This Row],[LS_TOTAL CURRENT UNITS]]=0,0,INVESTORS_LIST[[#This Row],[LS_TOTAL CURRENT UNITS]]*INVESTORS_LIST[[#This Row],[NAV]])</f>
        <v>545333.93599999999</v>
      </c>
      <c r="AR568" s="48">
        <f>IF(INVESTORS_LIST[[#This Row],[SIP_TOTAL CURRENT UNITS]]=0,0,INVESTORS_LIST[[#This Row],[SIP_TOTAL CURRENT UNITS]]*INVESTORS_LIST[[#This Row],[NAV]])</f>
        <v>0</v>
      </c>
      <c r="AS568" s="50">
        <f>INVESTORS_LIST[[#This Row],[TOTAL CURRENT UNITS]]</f>
        <v>38339</v>
      </c>
      <c r="AT568" s="48">
        <f>IF(INVESTORS_LIST[[#This Row],[TOTAL SELLABLE UNITS]]=0,0,INVESTORS_LIST[[#This Row],[TOTAL SELLABLE UNITS]]*INVESTORS_LIST[[#This Row],[NAV]])</f>
        <v>545333.93599999999</v>
      </c>
      <c r="AU568" s="48">
        <f>INVESTORS_LIST[[#This Row],[LS_TOTAL REALIZED GAIN]]+INVESTORS_LIST[[#This Row],[SIP_TOTAL REALIZED GAIN]]</f>
        <v>0</v>
      </c>
      <c r="AV568" s="48">
        <f>INVESTORS_LIST[[#This Row],[TOTAL MARKET VALUE]]-INVESTORS_LIST[[#This Row],[TOTAL COST VALUE OF CURRENT INVESTMENT]]</f>
        <v>95333.935999999987</v>
      </c>
      <c r="AW568" s="48">
        <f>IFERROR(INVESTORS_LIST[[#This Row],[TOTAL CURRENT UNITS]]/SUM(INVESTORS_LIST[TOTAL CURRENT UNITS]),0)</f>
        <v>9.3072553452871814E-4</v>
      </c>
    </row>
    <row r="569" spans="1:49">
      <c r="A569" s="262" t="s">
        <v>1185</v>
      </c>
      <c r="B569" s="97" t="s">
        <v>1186</v>
      </c>
      <c r="C569" t="s">
        <v>44</v>
      </c>
      <c r="D569" s="75" t="s">
        <v>45</v>
      </c>
      <c r="E569" s="50">
        <f>SUMIFS(LS[Unit],LS[Investor ID],INVESTORS_LIST[[#This Row],[INVESTOR CODE]],LS[B/S],"B")</f>
        <v>50963</v>
      </c>
      <c r="F569" s="50">
        <f>-SUMIFS(LS[Unit],LS[Investor ID],INVESTORS_LIST[[#This Row],[INVESTOR CODE]],LS[B/S],"S")</f>
        <v>0</v>
      </c>
      <c r="G569" s="50">
        <f>IF(INVESTORS_LIST[[#This Row],[LS_TOTAL UNITS BUY]]=0,0,INVESTORS_LIST[[#This Row],[LS_TOTAL UNITS BUY]]-INVESTORS_LIST[[#This Row],[LS_TOTAL UNITS SOLD]])</f>
        <v>50963</v>
      </c>
      <c r="H569" s="102">
        <f>IF(INVESTORS_LIST[[#This Row],[LS_TOTAL UNITS BUY]]=0,0,SUMIFS(LS[Amount],LS[Investor ID],INVESTORS_LIST[[#This Row],[INVESTOR CODE]],LS[B/S],"B"))</f>
        <v>600000</v>
      </c>
      <c r="I569" s="48">
        <f>IF(INVESTORS_LIST[[#This Row],[LS_TOTAL UNITS SOLD]]=0,0,SUMIFS(LS[Cost of Units Sold],LS[Investor ID],INVESTORS_LIST[[#This Row],[INVESTOR CODE]],LS[B/S],"S"))</f>
        <v>0</v>
      </c>
      <c r="J569" s="48">
        <f>IF(INVESTORS_LIST[[#This Row],[LS_TOTAL CURRENT UNITS]]=0,0,INVESTORS_LIST[[#This Row],[LS_TOTAL CURRENT UNITS]]*INVESTORS_LIST[[#This Row],[LS_AVERAGE COST]])</f>
        <v>600000</v>
      </c>
      <c r="K569" s="48">
        <f>IF(INVESTORS_LIST[[#This Row],[LS_TOTAL UNITS SOLD]]=0,0,SUMIFS(LS[Realized Gain],LS[Investor ID],INVESTORS_LIST[[#This Row],[INVESTOR CODE]],LS[B/S],"S"))</f>
        <v>0</v>
      </c>
      <c r="L569" s="104">
        <f>SUMIFS(SIP[Unit],SIP[Investor ID],INVESTORS_LIST[[#This Row],[INVESTOR CODE]],SIP[B/S],"B")</f>
        <v>0</v>
      </c>
      <c r="M569" s="50">
        <f>-SUMIFS(SIP[Unit],SIP[Investor ID],INVESTORS_LIST[[#This Row],[INVESTOR CODE]],SIP[B/S],"S")</f>
        <v>0</v>
      </c>
      <c r="N569" s="50">
        <f>IF(INVESTORS_LIST[[#This Row],[SIP_TOTAL UNITS BUY]]=0,0,INVESTORS_LIST[[#This Row],[SIP_TOTAL UNITS BUY]]-INVESTORS_LIST[[#This Row],[SIP_TOTAL UNITS SOLD]])</f>
        <v>0</v>
      </c>
      <c r="O569" s="48">
        <f>IF(INVESTORS_LIST[[#This Row],[SIP_TOTAL UNITS BUY]]=0,0,SUMIFS(SIP[Amount],SIP[Investor ID],INVESTORS_LIST[[#This Row],[INVESTOR CODE]],SIP[B/S],"B"))</f>
        <v>0</v>
      </c>
      <c r="P569" s="48">
        <f>IF(INVESTORS_LIST[[#This Row],[SIP_TOTAL UNITS SOLD]]=0,0,SUMIFS(SIP[Cost of Units Sold],SIP[Investor ID],INVESTORS_LIST[[#This Row],[INVESTOR CODE]],SIP[B/S],"S"))</f>
        <v>0</v>
      </c>
      <c r="Q569" s="48">
        <f>IF(INVESTORS_LIST[[#This Row],[SIP_TOTAL CURRENT UNITS]]=0,0,INVESTORS_LIST[[#This Row],[SIP_TOTAL CURRENT UNITS]]*INVESTORS_LIST[[#This Row],[SIP_AVERAGE COST]])</f>
        <v>0</v>
      </c>
      <c r="R569" s="48">
        <f>IF(INVESTORS_LIST[[#This Row],[SIP_TOTAL UNITS SOLD]]=0,0,SUMIFS(SIP[Realized Gain],SIP[Investor ID],INVESTORS_LIST[[#This Row],[INVESTOR CODE]],SIP[B/S],"S"))</f>
        <v>0</v>
      </c>
      <c r="S569" s="50">
        <f>INVESTORS_LIST[[#This Row],[LS_TOTAL UNITS BUY]]+INVESTORS_LIST[[#This Row],[SIP_TOTAL UNITS BUY]]</f>
        <v>50963</v>
      </c>
      <c r="T569" s="50">
        <f>INVESTORS_LIST[[#This Row],[LS_TOTAL UNITS SOLD]]+INVESTORS_LIST[[#This Row],[SIP_TOTAL UNITS SOLD]]</f>
        <v>0</v>
      </c>
      <c r="U569" s="50"/>
      <c r="V569" s="50">
        <f>SUMIFS(LS[BO UNIT TRANSFER],LS[Investor ID],INVESTORS_LIST[[#This Row],[INVESTOR CODE]],LS[B/S],"B")</f>
        <v>0</v>
      </c>
      <c r="W569" s="50">
        <f>SUMIFS(SIP[BO UNIT TRANSFER],SIP[Investor ID],INVESTORS_LIST[[#This Row],[INVESTOR CODE]],SIP[B/S],"B")</f>
        <v>0</v>
      </c>
      <c r="X569" s="50">
        <f>SUMIFS(LS[BO UNIT TRANSFER],LS[Investor ID],INVESTORS_LIST[[#This Row],[INVESTOR CODE]],LS[B/S],"S")</f>
        <v>0</v>
      </c>
      <c r="Y569" s="50">
        <f>SUMIFS(SIP[BO UNIT TRANSFER],SIP[Investor ID],INVESTORS_LIST[[#This Row],[INVESTOR CODE]],SIP[B/S],"S")</f>
        <v>0</v>
      </c>
      <c r="Z569" s="106">
        <f>SUM(INVESTORS_LIST[[#This Row],[BO OPENING BALANCE]:[BO SIP UNITS REPURCHASE]])</f>
        <v>0</v>
      </c>
      <c r="AA569" s="107">
        <f>INVESTORS_LIST[[#This Row],[TOTAL UNITS BUY]]-INVESTORS_LIST[[#This Row],[TOTAL UNITS SOLD]]</f>
        <v>50963</v>
      </c>
      <c r="AB569" s="107">
        <f>INVESTORS_LIST[[#This Row],[TOTAL CURRENT UNITS]]-INVESTORS_LIST[[#This Row],[BO UNITS HOLD]]</f>
        <v>50963</v>
      </c>
      <c r="AC569" s="201" t="e">
        <f>INDEX([3]!Table_1[BO ID],MATCH(INVESTORS_LIST[[#This Row],[INVESTOR CODE]],[3]!Table_1[INVESTOR CODE],0))</f>
        <v>#REF!</v>
      </c>
      <c r="AD569" s="201" t="e">
        <f>INDEX([3]!Table_1[Brokerage Name2],MATCH(INVESTORS_LIST[[#This Row],[INVESTOR CODE]],[3]!Table_1[INVESTOR CODE],0))</f>
        <v>#REF!</v>
      </c>
      <c r="AE569" s="201" t="e">
        <f>MID(INVESTORS_LIST[[#This Row],[BO ID]],4,5)</f>
        <v>#REF!</v>
      </c>
      <c r="AF569" s="201" t="e">
        <f>MID(INVESTORS_LIST[[#This Row],[BO ID]],2,7)</f>
        <v>#REF!</v>
      </c>
      <c r="AG569" s="201" t="e">
        <f>MID(INVESTORS_LIST[[#This Row],[BO ID]],9,7)</f>
        <v>#REF!</v>
      </c>
      <c r="AH569" s="201" t="e">
        <f>RIGHT(INVESTORS_LIST[[#This Row],[BO ID]],1)</f>
        <v>#REF!</v>
      </c>
      <c r="AI569" s="50">
        <f>INVESTORS_LIST[[#This Row],[LS_TOTAL COST VALUE OF CURRENT UNITS]]+INVESTORS_LIST[[#This Row],[SIP_TOTAL COST VALUE OF CURRENT UNITS]]</f>
        <v>600000</v>
      </c>
      <c r="AJ569" s="109">
        <f>IF(INVESTORS_LIST[[#This Row],[TOTAL CURRENT UNITS]]=0,0,INVESTORS_LIST[[#This Row],[LS_TOTAL CURRENT UNITS]]/INVESTORS_LIST[[#This Row],[TOTAL CURRENT UNITS]])</f>
        <v>1</v>
      </c>
      <c r="AK569" s="109">
        <f>IF(INVESTORS_LIST[[#This Row],[TOTAL CURRENT UNITS]]=0,0,INVESTORS_LIST[[#This Row],[SIP_TOTAL CURRENT UNITS]]/INVESTORS_LIST[[#This Row],[TOTAL CURRENT UNITS]])</f>
        <v>0</v>
      </c>
      <c r="AL569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11.773247257814493</v>
      </c>
      <c r="AM569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69" s="105">
        <f>IF(INVESTORS_LIST[[#This Row],[TOTAL CURRENT UNITS]]=0,0,(INVESTORS_LIST[[#This Row],[LS_WEIGHT]]*INVESTORS_LIST[[#This Row],[LS_AVERAGE COST]])+(INVESTORS_LIST[[#This Row],[SIP_WEIGHT]]*INVESTORS_LIST[[#This Row],[SIP_AVERAGE COST]]))</f>
        <v>11.773247257814493</v>
      </c>
      <c r="AO569" s="105">
        <f t="shared" si="9"/>
        <v>14.224</v>
      </c>
      <c r="AP569" s="112">
        <f>IF(INVESTORS_LIST[[#This Row],[TOTAL CURRENT UNITS]]=0,0,INVESTORS_LIST[[#This Row],[TOTAL CURRENT UNITS]]*INVESTORS_LIST[[#This Row],[NAV]])</f>
        <v>724897.71200000006</v>
      </c>
      <c r="AQ569" s="102">
        <f>IF(INVESTORS_LIST[[#This Row],[LS_TOTAL CURRENT UNITS]]=0,0,INVESTORS_LIST[[#This Row],[LS_TOTAL CURRENT UNITS]]*INVESTORS_LIST[[#This Row],[NAV]])</f>
        <v>724897.71200000006</v>
      </c>
      <c r="AR569" s="48">
        <f>IF(INVESTORS_LIST[[#This Row],[SIP_TOTAL CURRENT UNITS]]=0,0,INVESTORS_LIST[[#This Row],[SIP_TOTAL CURRENT UNITS]]*INVESTORS_LIST[[#This Row],[NAV]])</f>
        <v>0</v>
      </c>
      <c r="AS569" s="50">
        <f>INVESTORS_LIST[[#This Row],[TOTAL CURRENT UNITS]]</f>
        <v>50963</v>
      </c>
      <c r="AT569" s="48">
        <f>IF(INVESTORS_LIST[[#This Row],[TOTAL SELLABLE UNITS]]=0,0,INVESTORS_LIST[[#This Row],[TOTAL SELLABLE UNITS]]*INVESTORS_LIST[[#This Row],[NAV]])</f>
        <v>724897.71200000006</v>
      </c>
      <c r="AU569" s="48">
        <f>INVESTORS_LIST[[#This Row],[LS_TOTAL REALIZED GAIN]]+INVESTORS_LIST[[#This Row],[SIP_TOTAL REALIZED GAIN]]</f>
        <v>0</v>
      </c>
      <c r="AV569" s="48">
        <f>INVESTORS_LIST[[#This Row],[TOTAL MARKET VALUE]]-INVESTORS_LIST[[#This Row],[TOTAL COST VALUE OF CURRENT INVESTMENT]]</f>
        <v>124897.71200000006</v>
      </c>
      <c r="AW569" s="48">
        <f>IFERROR(INVESTORS_LIST[[#This Row],[TOTAL CURRENT UNITS]]/SUM(INVESTORS_LIST[TOTAL CURRENT UNITS]),0)</f>
        <v>1.2371883830091307E-3</v>
      </c>
    </row>
    <row r="570" spans="1:49">
      <c r="A570" s="262" t="s">
        <v>1187</v>
      </c>
      <c r="B570" s="97" t="s">
        <v>1188</v>
      </c>
      <c r="C570" t="s">
        <v>44</v>
      </c>
      <c r="D570" s="75" t="s">
        <v>45</v>
      </c>
      <c r="E570" s="50">
        <f>SUMIFS(LS[Unit],LS[Investor ID],INVESTORS_LIST[[#This Row],[INVESTOR CODE]],LS[B/S],"B")</f>
        <v>44835</v>
      </c>
      <c r="F570" s="50">
        <f>-SUMIFS(LS[Unit],LS[Investor ID],INVESTORS_LIST[[#This Row],[INVESTOR CODE]],LS[B/S],"S")</f>
        <v>0</v>
      </c>
      <c r="G570" s="50">
        <f>IF(INVESTORS_LIST[[#This Row],[LS_TOTAL UNITS BUY]]=0,0,INVESTORS_LIST[[#This Row],[LS_TOTAL UNITS BUY]]-INVESTORS_LIST[[#This Row],[LS_TOTAL UNITS SOLD]])</f>
        <v>44835</v>
      </c>
      <c r="H570" s="102">
        <f>IF(INVESTORS_LIST[[#This Row],[LS_TOTAL UNITS BUY]]=0,0,SUMIFS(LS[Amount],LS[Investor ID],INVESTORS_LIST[[#This Row],[INVESTOR CODE]],LS[B/S],"B"))</f>
        <v>500000</v>
      </c>
      <c r="I570" s="48">
        <f>IF(INVESTORS_LIST[[#This Row],[LS_TOTAL UNITS SOLD]]=0,0,SUMIFS(LS[Cost of Units Sold],LS[Investor ID],INVESTORS_LIST[[#This Row],[INVESTOR CODE]],LS[B/S],"S"))</f>
        <v>0</v>
      </c>
      <c r="J570" s="48">
        <f>IF(INVESTORS_LIST[[#This Row],[LS_TOTAL CURRENT UNITS]]=0,0,INVESTORS_LIST[[#This Row],[LS_TOTAL CURRENT UNITS]]*INVESTORS_LIST[[#This Row],[LS_AVERAGE COST]])</f>
        <v>500000</v>
      </c>
      <c r="K570" s="48">
        <f>IF(INVESTORS_LIST[[#This Row],[LS_TOTAL UNITS SOLD]]=0,0,SUMIFS(LS[Realized Gain],LS[Investor ID],INVESTORS_LIST[[#This Row],[INVESTOR CODE]],LS[B/S],"S"))</f>
        <v>0</v>
      </c>
      <c r="L570" s="104">
        <f>SUMIFS(SIP[Unit],SIP[Investor ID],INVESTORS_LIST[[#This Row],[INVESTOR CODE]],SIP[B/S],"B")</f>
        <v>0</v>
      </c>
      <c r="M570" s="50">
        <f>-SUMIFS(SIP[Unit],SIP[Investor ID],INVESTORS_LIST[[#This Row],[INVESTOR CODE]],SIP[B/S],"S")</f>
        <v>0</v>
      </c>
      <c r="N570" s="50">
        <f>IF(INVESTORS_LIST[[#This Row],[SIP_TOTAL UNITS BUY]]=0,0,INVESTORS_LIST[[#This Row],[SIP_TOTAL UNITS BUY]]-INVESTORS_LIST[[#This Row],[SIP_TOTAL UNITS SOLD]])</f>
        <v>0</v>
      </c>
      <c r="O570" s="48">
        <f>IF(INVESTORS_LIST[[#This Row],[SIP_TOTAL UNITS BUY]]=0,0,SUMIFS(SIP[Amount],SIP[Investor ID],INVESTORS_LIST[[#This Row],[INVESTOR CODE]],SIP[B/S],"B"))</f>
        <v>0</v>
      </c>
      <c r="P570" s="48">
        <f>IF(INVESTORS_LIST[[#This Row],[SIP_TOTAL UNITS SOLD]]=0,0,SUMIFS(SIP[Cost of Units Sold],SIP[Investor ID],INVESTORS_LIST[[#This Row],[INVESTOR CODE]],SIP[B/S],"S"))</f>
        <v>0</v>
      </c>
      <c r="Q570" s="48">
        <f>IF(INVESTORS_LIST[[#This Row],[SIP_TOTAL CURRENT UNITS]]=0,0,INVESTORS_LIST[[#This Row],[SIP_TOTAL CURRENT UNITS]]*INVESTORS_LIST[[#This Row],[SIP_AVERAGE COST]])</f>
        <v>0</v>
      </c>
      <c r="R570" s="48">
        <f>IF(INVESTORS_LIST[[#This Row],[SIP_TOTAL UNITS SOLD]]=0,0,SUMIFS(SIP[Realized Gain],SIP[Investor ID],INVESTORS_LIST[[#This Row],[INVESTOR CODE]],SIP[B/S],"S"))</f>
        <v>0</v>
      </c>
      <c r="S570" s="50">
        <f>INVESTORS_LIST[[#This Row],[LS_TOTAL UNITS BUY]]+INVESTORS_LIST[[#This Row],[SIP_TOTAL UNITS BUY]]</f>
        <v>44835</v>
      </c>
      <c r="T570" s="50">
        <f>INVESTORS_LIST[[#This Row],[LS_TOTAL UNITS SOLD]]+INVESTORS_LIST[[#This Row],[SIP_TOTAL UNITS SOLD]]</f>
        <v>0</v>
      </c>
      <c r="U570" s="50">
        <v>44835</v>
      </c>
      <c r="V570" s="50">
        <f>SUMIFS(LS[BO UNIT TRANSFER],LS[Investor ID],INVESTORS_LIST[[#This Row],[INVESTOR CODE]],LS[B/S],"B")</f>
        <v>0</v>
      </c>
      <c r="W570" s="50">
        <f>SUMIFS(SIP[BO UNIT TRANSFER],SIP[Investor ID],INVESTORS_LIST[[#This Row],[INVESTOR CODE]],SIP[B/S],"B")</f>
        <v>0</v>
      </c>
      <c r="X570" s="50">
        <f>SUMIFS(LS[BO UNIT TRANSFER],LS[Investor ID],INVESTORS_LIST[[#This Row],[INVESTOR CODE]],LS[B/S],"S")</f>
        <v>0</v>
      </c>
      <c r="Y570" s="50">
        <f>SUMIFS(SIP[BO UNIT TRANSFER],SIP[Investor ID],INVESTORS_LIST[[#This Row],[INVESTOR CODE]],SIP[B/S],"S")</f>
        <v>0</v>
      </c>
      <c r="Z570" s="106">
        <f>SUM(INVESTORS_LIST[[#This Row],[BO OPENING BALANCE]:[BO SIP UNITS REPURCHASE]])</f>
        <v>44835</v>
      </c>
      <c r="AA570" s="107">
        <f>INVESTORS_LIST[[#This Row],[TOTAL UNITS BUY]]-INVESTORS_LIST[[#This Row],[TOTAL UNITS SOLD]]</f>
        <v>44835</v>
      </c>
      <c r="AB570" s="107">
        <f>INVESTORS_LIST[[#This Row],[TOTAL CURRENT UNITS]]-INVESTORS_LIST[[#This Row],[BO UNITS HOLD]]</f>
        <v>0</v>
      </c>
      <c r="AC570" s="201" t="e">
        <f>INDEX([3]!Table_1[BO ID],MATCH(INVESTORS_LIST[[#This Row],[INVESTOR CODE]],[3]!Table_1[INVESTOR CODE],0))</f>
        <v>#REF!</v>
      </c>
      <c r="AD570" s="201" t="e">
        <f>INDEX([3]!Table_1[Brokerage Name2],MATCH(INVESTORS_LIST[[#This Row],[INVESTOR CODE]],[3]!Table_1[INVESTOR CODE],0))</f>
        <v>#REF!</v>
      </c>
      <c r="AE570" s="201" t="e">
        <f>MID(INVESTORS_LIST[[#This Row],[BO ID]],4,5)</f>
        <v>#REF!</v>
      </c>
      <c r="AF570" s="201" t="e">
        <f>MID(INVESTORS_LIST[[#This Row],[BO ID]],2,7)</f>
        <v>#REF!</v>
      </c>
      <c r="AG570" s="201" t="e">
        <f>MID(INVESTORS_LIST[[#This Row],[BO ID]],9,7)</f>
        <v>#REF!</v>
      </c>
      <c r="AH570" s="201" t="e">
        <f>RIGHT(INVESTORS_LIST[[#This Row],[BO ID]],1)</f>
        <v>#REF!</v>
      </c>
      <c r="AI570" s="50">
        <f>INVESTORS_LIST[[#This Row],[LS_TOTAL COST VALUE OF CURRENT UNITS]]+INVESTORS_LIST[[#This Row],[SIP_TOTAL COST VALUE OF CURRENT UNITS]]</f>
        <v>500000</v>
      </c>
      <c r="AJ570" s="109">
        <f>IF(INVESTORS_LIST[[#This Row],[TOTAL CURRENT UNITS]]=0,0,INVESTORS_LIST[[#This Row],[LS_TOTAL CURRENT UNITS]]/INVESTORS_LIST[[#This Row],[TOTAL CURRENT UNITS]])</f>
        <v>1</v>
      </c>
      <c r="AK570" s="109">
        <f>IF(INVESTORS_LIST[[#This Row],[TOTAL CURRENT UNITS]]=0,0,INVESTORS_LIST[[#This Row],[SIP_TOTAL CURRENT UNITS]]/INVESTORS_LIST[[#This Row],[TOTAL CURRENT UNITS]])</f>
        <v>0</v>
      </c>
      <c r="AL570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11.152001784320285</v>
      </c>
      <c r="AM570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0" s="105">
        <f>IF(INVESTORS_LIST[[#This Row],[TOTAL CURRENT UNITS]]=0,0,(INVESTORS_LIST[[#This Row],[LS_WEIGHT]]*INVESTORS_LIST[[#This Row],[LS_AVERAGE COST]])+(INVESTORS_LIST[[#This Row],[SIP_WEIGHT]]*INVESTORS_LIST[[#This Row],[SIP_AVERAGE COST]]))</f>
        <v>11.152001784320285</v>
      </c>
      <c r="AO570" s="105">
        <f t="shared" si="9"/>
        <v>14.224</v>
      </c>
      <c r="AP570" s="112">
        <f>IF(INVESTORS_LIST[[#This Row],[TOTAL CURRENT UNITS]]=0,0,INVESTORS_LIST[[#This Row],[TOTAL CURRENT UNITS]]*INVESTORS_LIST[[#This Row],[NAV]])</f>
        <v>637733.04</v>
      </c>
      <c r="AQ570" s="102">
        <f>IF(INVESTORS_LIST[[#This Row],[LS_TOTAL CURRENT UNITS]]=0,0,INVESTORS_LIST[[#This Row],[LS_TOTAL CURRENT UNITS]]*INVESTORS_LIST[[#This Row],[NAV]])</f>
        <v>637733.04</v>
      </c>
      <c r="AR570" s="48">
        <f>IF(INVESTORS_LIST[[#This Row],[SIP_TOTAL CURRENT UNITS]]=0,0,INVESTORS_LIST[[#This Row],[SIP_TOTAL CURRENT UNITS]]*INVESTORS_LIST[[#This Row],[NAV]])</f>
        <v>0</v>
      </c>
      <c r="AS570" s="50">
        <f>INVESTORS_LIST[[#This Row],[TOTAL CURRENT UNITS]]</f>
        <v>44835</v>
      </c>
      <c r="AT570" s="48">
        <f>IF(INVESTORS_LIST[[#This Row],[TOTAL SELLABLE UNITS]]=0,0,INVESTORS_LIST[[#This Row],[TOTAL SELLABLE UNITS]]*INVESTORS_LIST[[#This Row],[NAV]])</f>
        <v>637733.04</v>
      </c>
      <c r="AU570" s="48">
        <f>INVESTORS_LIST[[#This Row],[LS_TOTAL REALIZED GAIN]]+INVESTORS_LIST[[#This Row],[SIP_TOTAL REALIZED GAIN]]</f>
        <v>0</v>
      </c>
      <c r="AV570" s="48">
        <f>INVESTORS_LIST[[#This Row],[TOTAL MARKET VALUE]]-INVESTORS_LIST[[#This Row],[TOTAL COST VALUE OF CURRENT INVESTMENT]]</f>
        <v>137733.04000000004</v>
      </c>
      <c r="AW570" s="48">
        <f>IFERROR(INVESTORS_LIST[[#This Row],[TOTAL CURRENT UNITS]]/SUM(INVESTORS_LIST[TOTAL CURRENT UNITS]),0)</f>
        <v>1.0884237810218074E-3</v>
      </c>
    </row>
    <row r="571" spans="1:49">
      <c r="A571" s="262" t="s">
        <v>1189</v>
      </c>
      <c r="B571" s="97" t="s">
        <v>1190</v>
      </c>
      <c r="C571" t="s">
        <v>67</v>
      </c>
      <c r="D571" s="75" t="s">
        <v>45</v>
      </c>
      <c r="E571" s="50">
        <f>SUMIFS(LS[Unit],LS[Investor ID],INVESTORS_LIST[[#This Row],[INVESTOR CODE]],LS[B/S],"B")</f>
        <v>3138</v>
      </c>
      <c r="F571" s="50">
        <f>-SUMIFS(LS[Unit],LS[Investor ID],INVESTORS_LIST[[#This Row],[INVESTOR CODE]],LS[B/S],"S")</f>
        <v>3000</v>
      </c>
      <c r="G571" s="50">
        <f>IF(INVESTORS_LIST[[#This Row],[LS_TOTAL UNITS BUY]]=0,0,INVESTORS_LIST[[#This Row],[LS_TOTAL UNITS BUY]]-INVESTORS_LIST[[#This Row],[LS_TOTAL UNITS SOLD]])</f>
        <v>138</v>
      </c>
      <c r="H571" s="102">
        <f>IF(INVESTORS_LIST[[#This Row],[LS_TOTAL UNITS BUY]]=0,0,SUMIFS(LS[Amount],LS[Investor ID],INVESTORS_LIST[[#This Row],[INVESTOR CODE]],LS[B/S],"B"))</f>
        <v>35000</v>
      </c>
      <c r="I571" s="48">
        <f>IF(INVESTORS_LIST[[#This Row],[LS_TOTAL UNITS SOLD]]=0,0,SUMIFS(LS[Cost of Units Sold],LS[Investor ID],INVESTORS_LIST[[#This Row],[INVESTOR CODE]],LS[B/S],"S"))</f>
        <v>33460.803059273421</v>
      </c>
      <c r="J571" s="48">
        <f>IF(INVESTORS_LIST[[#This Row],[LS_TOTAL CURRENT UNITS]]=0,0,INVESTORS_LIST[[#This Row],[LS_TOTAL CURRENT UNITS]]*INVESTORS_LIST[[#This Row],[LS_AVERAGE COST]])</f>
        <v>1539.1969407265774</v>
      </c>
      <c r="K571" s="48">
        <f>IF(INVESTORS_LIST[[#This Row],[LS_TOTAL UNITS SOLD]]=0,0,SUMIFS(LS[Realized Gain],LS[Investor ID],INVESTORS_LIST[[#This Row],[INVESTOR CODE]],LS[B/S],"S"))</f>
        <v>7264.1969407265742</v>
      </c>
      <c r="L571" s="104">
        <f>SUMIFS(SIP[Unit],SIP[Investor ID],INVESTORS_LIST[[#This Row],[INVESTOR CODE]],SIP[B/S],"B")</f>
        <v>1968</v>
      </c>
      <c r="M571" s="50">
        <f>-SUMIFS(SIP[Unit],SIP[Investor ID],INVESTORS_LIST[[#This Row],[INVESTOR CODE]],SIP[B/S],"S")</f>
        <v>0</v>
      </c>
      <c r="N571" s="50">
        <f>IF(INVESTORS_LIST[[#This Row],[SIP_TOTAL UNITS BUY]]=0,0,INVESTORS_LIST[[#This Row],[SIP_TOTAL UNITS BUY]]-INVESTORS_LIST[[#This Row],[SIP_TOTAL UNITS SOLD]])</f>
        <v>1968</v>
      </c>
      <c r="O571" s="48">
        <f>IF(INVESTORS_LIST[[#This Row],[SIP_TOTAL UNITS BUY]]=0,0,SUMIFS(SIP[Amount],SIP[Investor ID],INVESTORS_LIST[[#This Row],[INVESTOR CODE]],SIP[B/S],"B"))</f>
        <v>26000</v>
      </c>
      <c r="P571" s="48">
        <f>IF(INVESTORS_LIST[[#This Row],[SIP_TOTAL UNITS SOLD]]=0,0,SUMIFS(SIP[Cost of Units Sold],SIP[Investor ID],INVESTORS_LIST[[#This Row],[INVESTOR CODE]],SIP[B/S],"S"))</f>
        <v>0</v>
      </c>
      <c r="Q571" s="48">
        <f>IF(INVESTORS_LIST[[#This Row],[SIP_TOTAL CURRENT UNITS]]=0,0,INVESTORS_LIST[[#This Row],[SIP_TOTAL CURRENT UNITS]]*INVESTORS_LIST[[#This Row],[SIP_AVERAGE COST]])</f>
        <v>25999.999999999993</v>
      </c>
      <c r="R571" s="48">
        <f>IF(INVESTORS_LIST[[#This Row],[SIP_TOTAL UNITS SOLD]]=0,0,SUMIFS(SIP[Realized Gain],SIP[Investor ID],INVESTORS_LIST[[#This Row],[INVESTOR CODE]],SIP[B/S],"S"))</f>
        <v>0</v>
      </c>
      <c r="S571" s="50">
        <f>INVESTORS_LIST[[#This Row],[LS_TOTAL UNITS BUY]]+INVESTORS_LIST[[#This Row],[SIP_TOTAL UNITS BUY]]</f>
        <v>5106</v>
      </c>
      <c r="T571" s="50">
        <f>INVESTORS_LIST[[#This Row],[LS_TOTAL UNITS SOLD]]+INVESTORS_LIST[[#This Row],[SIP_TOTAL UNITS SOLD]]</f>
        <v>3000</v>
      </c>
      <c r="U571" s="50">
        <v>3138</v>
      </c>
      <c r="V571" s="50">
        <f>SUMIFS(LS[BO UNIT TRANSFER],LS[Investor ID],INVESTORS_LIST[[#This Row],[INVESTOR CODE]],LS[B/S],"B")</f>
        <v>0</v>
      </c>
      <c r="W571" s="50">
        <f>SUMIFS(SIP[BO UNIT TRANSFER],SIP[Investor ID],INVESTORS_LIST[[#This Row],[INVESTOR CODE]],SIP[B/S],"B")</f>
        <v>0</v>
      </c>
      <c r="X571" s="50">
        <f>SUMIFS(LS[BO UNIT TRANSFER],LS[Investor ID],INVESTORS_LIST[[#This Row],[INVESTOR CODE]],LS[B/S],"S")</f>
        <v>0</v>
      </c>
      <c r="Y571" s="50">
        <f>SUMIFS(SIP[BO UNIT TRANSFER],SIP[Investor ID],INVESTORS_LIST[[#This Row],[INVESTOR CODE]],SIP[B/S],"S")</f>
        <v>0</v>
      </c>
      <c r="Z571" s="106">
        <f>SUM(INVESTORS_LIST[[#This Row],[BO OPENING BALANCE]:[BO SIP UNITS REPURCHASE]])</f>
        <v>3138</v>
      </c>
      <c r="AA571" s="107">
        <f>INVESTORS_LIST[[#This Row],[TOTAL UNITS BUY]]-INVESTORS_LIST[[#This Row],[TOTAL UNITS SOLD]]</f>
        <v>2106</v>
      </c>
      <c r="AB571" s="107">
        <f>INVESTORS_LIST[[#This Row],[TOTAL CURRENT UNITS]]-INVESTORS_LIST[[#This Row],[BO UNITS HOLD]]</f>
        <v>-1032</v>
      </c>
      <c r="AC571" s="201" t="e">
        <f>INDEX([3]!Table_1[BO ID],MATCH(INVESTORS_LIST[[#This Row],[INVESTOR CODE]],[3]!Table_1[INVESTOR CODE],0))</f>
        <v>#REF!</v>
      </c>
      <c r="AD571" s="201" t="e">
        <f>INDEX([3]!Table_1[Brokerage Name2],MATCH(INVESTORS_LIST[[#This Row],[INVESTOR CODE]],[3]!Table_1[INVESTOR CODE],0))</f>
        <v>#REF!</v>
      </c>
      <c r="AE571" s="201" t="e">
        <f>MID(INVESTORS_LIST[[#This Row],[BO ID]],4,5)</f>
        <v>#REF!</v>
      </c>
      <c r="AF571" s="201" t="e">
        <f>MID(INVESTORS_LIST[[#This Row],[BO ID]],2,7)</f>
        <v>#REF!</v>
      </c>
      <c r="AG571" s="201" t="e">
        <f>MID(INVESTORS_LIST[[#This Row],[BO ID]],9,7)</f>
        <v>#REF!</v>
      </c>
      <c r="AH571" s="201" t="e">
        <f>RIGHT(INVESTORS_LIST[[#This Row],[BO ID]],1)</f>
        <v>#REF!</v>
      </c>
      <c r="AI571" s="50">
        <f>INVESTORS_LIST[[#This Row],[LS_TOTAL COST VALUE OF CURRENT UNITS]]+INVESTORS_LIST[[#This Row],[SIP_TOTAL COST VALUE OF CURRENT UNITS]]</f>
        <v>27539.196940726571</v>
      </c>
      <c r="AJ571" s="109">
        <f>IF(INVESTORS_LIST[[#This Row],[TOTAL CURRENT UNITS]]=0,0,INVESTORS_LIST[[#This Row],[LS_TOTAL CURRENT UNITS]]/INVESTORS_LIST[[#This Row],[TOTAL CURRENT UNITS]])</f>
        <v>6.5527065527065526E-2</v>
      </c>
      <c r="AK571" s="109">
        <f>IF(INVESTORS_LIST[[#This Row],[TOTAL CURRENT UNITS]]=0,0,INVESTORS_LIST[[#This Row],[SIP_TOTAL CURRENT UNITS]]/INVESTORS_LIST[[#This Row],[TOTAL CURRENT UNITS]])</f>
        <v>0.93447293447293445</v>
      </c>
      <c r="AL571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11.153601019757808</v>
      </c>
      <c r="AM571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13.211382113821134</v>
      </c>
      <c r="AN571" s="105">
        <f>IF(INVESTORS_LIST[[#This Row],[TOTAL CURRENT UNITS]]=0,0,(INVESTORS_LIST[[#This Row],[LS_WEIGHT]]*INVESTORS_LIST[[#This Row],[LS_AVERAGE COST]])+(INVESTORS_LIST[[#This Row],[SIP_WEIGHT]]*INVESTORS_LIST[[#This Row],[SIP_AVERAGE COST]]))</f>
        <v>13.076541757230089</v>
      </c>
      <c r="AO571" s="105">
        <f t="shared" si="9"/>
        <v>14.224</v>
      </c>
      <c r="AP571" s="112">
        <f>IF(INVESTORS_LIST[[#This Row],[TOTAL CURRENT UNITS]]=0,0,INVESTORS_LIST[[#This Row],[TOTAL CURRENT UNITS]]*INVESTORS_LIST[[#This Row],[NAV]])</f>
        <v>29955.743999999999</v>
      </c>
      <c r="AQ571" s="102">
        <f>IF(INVESTORS_LIST[[#This Row],[LS_TOTAL CURRENT UNITS]]=0,0,INVESTORS_LIST[[#This Row],[LS_TOTAL CURRENT UNITS]]*INVESTORS_LIST[[#This Row],[NAV]])</f>
        <v>1962.912</v>
      </c>
      <c r="AR571" s="48">
        <f>IF(INVESTORS_LIST[[#This Row],[SIP_TOTAL CURRENT UNITS]]=0,0,INVESTORS_LIST[[#This Row],[SIP_TOTAL CURRENT UNITS]]*INVESTORS_LIST[[#This Row],[NAV]])</f>
        <v>27992.832000000002</v>
      </c>
      <c r="AS571" s="50">
        <f>INVESTORS_LIST[[#This Row],[TOTAL CURRENT UNITS]]</f>
        <v>2106</v>
      </c>
      <c r="AT571" s="48">
        <f>IF(INVESTORS_LIST[[#This Row],[TOTAL SELLABLE UNITS]]=0,0,INVESTORS_LIST[[#This Row],[TOTAL SELLABLE UNITS]]*INVESTORS_LIST[[#This Row],[NAV]])</f>
        <v>29955.743999999999</v>
      </c>
      <c r="AU571" s="48">
        <f>INVESTORS_LIST[[#This Row],[LS_TOTAL REALIZED GAIN]]+INVESTORS_LIST[[#This Row],[SIP_TOTAL REALIZED GAIN]]</f>
        <v>7264.1969407265742</v>
      </c>
      <c r="AV571" s="48">
        <f>INVESTORS_LIST[[#This Row],[TOTAL MARKET VALUE]]-INVESTORS_LIST[[#This Row],[TOTAL COST VALUE OF CURRENT INVESTMENT]]</f>
        <v>2416.5470592734273</v>
      </c>
      <c r="AW571" s="48">
        <f>IFERROR(INVESTORS_LIST[[#This Row],[TOTAL CURRENT UNITS]]/SUM(INVESTORS_LIST[TOTAL CURRENT UNITS]),0)</f>
        <v>5.1125693829194303E-5</v>
      </c>
    </row>
    <row r="572" spans="1:49" hidden="1">
      <c r="A572" s="262" t="s">
        <v>1191</v>
      </c>
      <c r="B572" s="97" t="s">
        <v>1192</v>
      </c>
      <c r="C572" t="s">
        <v>67</v>
      </c>
      <c r="D572" s="75" t="s">
        <v>45</v>
      </c>
      <c r="E572" s="50">
        <f>SUMIFS(LS[Unit],LS[Investor ID],INVESTORS_LIST[[#This Row],[INVESTOR CODE]],LS[B/S],"B")</f>
        <v>31194</v>
      </c>
      <c r="F572" s="50">
        <f>-SUMIFS(LS[Unit],LS[Investor ID],INVESTORS_LIST[[#This Row],[INVESTOR CODE]],LS[B/S],"S")</f>
        <v>31194</v>
      </c>
      <c r="G572" s="50">
        <f>IF(INVESTORS_LIST[[#This Row],[LS_TOTAL UNITS BUY]]=0,0,INVESTORS_LIST[[#This Row],[LS_TOTAL UNITS BUY]]-INVESTORS_LIST[[#This Row],[LS_TOTAL UNITS SOLD]])</f>
        <v>0</v>
      </c>
      <c r="H572" s="102">
        <f>IF(INVESTORS_LIST[[#This Row],[LS_TOTAL UNITS BUY]]=0,0,SUMIFS(LS[Amount],LS[Investor ID],INVESTORS_LIST[[#This Row],[INVESTOR CODE]],LS[B/S],"B"))</f>
        <v>350000</v>
      </c>
      <c r="I572" s="48">
        <f>IF(INVESTORS_LIST[[#This Row],[LS_TOTAL UNITS SOLD]]=0,0,SUMIFS(LS[Cost of Units Sold],LS[Investor ID],INVESTORS_LIST[[#This Row],[INVESTOR CODE]],LS[B/S],"S"))</f>
        <v>350000</v>
      </c>
      <c r="J572" s="48">
        <f>IF(INVESTORS_LIST[[#This Row],[LS_TOTAL CURRENT UNITS]]=0,0,INVESTORS_LIST[[#This Row],[LS_TOTAL CURRENT UNITS]]*INVESTORS_LIST[[#This Row],[LS_AVERAGE COST]])</f>
        <v>0</v>
      </c>
      <c r="K572" s="48">
        <f>IF(INVESTORS_LIST[[#This Row],[LS_TOTAL UNITS SOLD]]=0,0,SUMIFS(LS[Realized Gain],LS[Investor ID],INVESTORS_LIST[[#This Row],[INVESTOR CODE]],LS[B/S],"S"))</f>
        <v>27912.200000000004</v>
      </c>
      <c r="L572" s="104">
        <f>SUMIFS(SIP[Unit],SIP[Investor ID],INVESTORS_LIST[[#This Row],[INVESTOR CODE]],SIP[B/S],"B")</f>
        <v>0</v>
      </c>
      <c r="M572" s="50">
        <f>-SUMIFS(SIP[Unit],SIP[Investor ID],INVESTORS_LIST[[#This Row],[INVESTOR CODE]],SIP[B/S],"S")</f>
        <v>0</v>
      </c>
      <c r="N572" s="50">
        <f>IF(INVESTORS_LIST[[#This Row],[SIP_TOTAL UNITS BUY]]=0,0,INVESTORS_LIST[[#This Row],[SIP_TOTAL UNITS BUY]]-INVESTORS_LIST[[#This Row],[SIP_TOTAL UNITS SOLD]])</f>
        <v>0</v>
      </c>
      <c r="O572" s="48">
        <f>IF(INVESTORS_LIST[[#This Row],[SIP_TOTAL UNITS BUY]]=0,0,SUMIFS(SIP[Amount],SIP[Investor ID],INVESTORS_LIST[[#This Row],[INVESTOR CODE]],SIP[B/S],"B"))</f>
        <v>0</v>
      </c>
      <c r="P572" s="48">
        <f>IF(INVESTORS_LIST[[#This Row],[SIP_TOTAL UNITS SOLD]]=0,0,SUMIFS(SIP[Cost of Units Sold],SIP[Investor ID],INVESTORS_LIST[[#This Row],[INVESTOR CODE]],SIP[B/S],"S"))</f>
        <v>0</v>
      </c>
      <c r="Q572" s="48">
        <f>IF(INVESTORS_LIST[[#This Row],[SIP_TOTAL CURRENT UNITS]]=0,0,INVESTORS_LIST[[#This Row],[SIP_TOTAL CURRENT UNITS]]*INVESTORS_LIST[[#This Row],[SIP_AVERAGE COST]])</f>
        <v>0</v>
      </c>
      <c r="R572" s="48">
        <f>IF(INVESTORS_LIST[[#This Row],[SIP_TOTAL UNITS SOLD]]=0,0,SUMIFS(SIP[Realized Gain],SIP[Investor ID],INVESTORS_LIST[[#This Row],[INVESTOR CODE]],SIP[B/S],"S"))</f>
        <v>0</v>
      </c>
      <c r="S572" s="50">
        <f>INVESTORS_LIST[[#This Row],[LS_TOTAL UNITS BUY]]+INVESTORS_LIST[[#This Row],[SIP_TOTAL UNITS BUY]]</f>
        <v>31194</v>
      </c>
      <c r="T572" s="50">
        <f>INVESTORS_LIST[[#This Row],[LS_TOTAL UNITS SOLD]]+INVESTORS_LIST[[#This Row],[SIP_TOTAL UNITS SOLD]]</f>
        <v>31194</v>
      </c>
      <c r="U572" s="50"/>
      <c r="V572" s="50">
        <f>SUMIFS(LS[BO UNIT TRANSFER],LS[Investor ID],INVESTORS_LIST[[#This Row],[INVESTOR CODE]],LS[B/S],"B")</f>
        <v>0</v>
      </c>
      <c r="W572" s="50">
        <f>SUMIFS(SIP[BO UNIT TRANSFER],SIP[Investor ID],INVESTORS_LIST[[#This Row],[INVESTOR CODE]],SIP[B/S],"B")</f>
        <v>0</v>
      </c>
      <c r="X572" s="50">
        <f>SUMIFS(LS[BO UNIT TRANSFER],LS[Investor ID],INVESTORS_LIST[[#This Row],[INVESTOR CODE]],LS[B/S],"S")</f>
        <v>0</v>
      </c>
      <c r="Y572" s="50">
        <f>SUMIFS(SIP[BO UNIT TRANSFER],SIP[Investor ID],INVESTORS_LIST[[#This Row],[INVESTOR CODE]],SIP[B/S],"S")</f>
        <v>0</v>
      </c>
      <c r="Z572" s="106">
        <f>SUM(INVESTORS_LIST[[#This Row],[BO OPENING BALANCE]:[BO SIP UNITS REPURCHASE]])</f>
        <v>0</v>
      </c>
      <c r="AA572" s="107">
        <f>INVESTORS_LIST[[#This Row],[TOTAL UNITS BUY]]-INVESTORS_LIST[[#This Row],[TOTAL UNITS SOLD]]</f>
        <v>0</v>
      </c>
      <c r="AB572" s="107">
        <f>INVESTORS_LIST[[#This Row],[TOTAL CURRENT UNITS]]-INVESTORS_LIST[[#This Row],[BO UNITS HOLD]]</f>
        <v>0</v>
      </c>
      <c r="AC572" s="201" t="e">
        <f>INDEX([3]!Table_1[BO ID],MATCH(INVESTORS_LIST[[#This Row],[INVESTOR CODE]],[3]!Table_1[INVESTOR CODE],0))</f>
        <v>#REF!</v>
      </c>
      <c r="AD572" s="201" t="e">
        <f>INDEX([3]!Table_1[Brokerage Name2],MATCH(INVESTORS_LIST[[#This Row],[INVESTOR CODE]],[3]!Table_1[INVESTOR CODE],0))</f>
        <v>#REF!</v>
      </c>
      <c r="AE572" s="201" t="e">
        <f>MID(INVESTORS_LIST[[#This Row],[BO ID]],4,5)</f>
        <v>#REF!</v>
      </c>
      <c r="AF572" s="201" t="e">
        <f>MID(INVESTORS_LIST[[#This Row],[BO ID]],2,7)</f>
        <v>#REF!</v>
      </c>
      <c r="AG572" s="201" t="e">
        <f>MID(INVESTORS_LIST[[#This Row],[BO ID]],9,7)</f>
        <v>#REF!</v>
      </c>
      <c r="AH572" s="201" t="e">
        <f>RIGHT(INVESTORS_LIST[[#This Row],[BO ID]],1)</f>
        <v>#REF!</v>
      </c>
      <c r="AI572" s="50">
        <f>INVESTORS_LIST[[#This Row],[LS_TOTAL COST VALUE OF CURRENT UNITS]]+INVESTORS_LIST[[#This Row],[SIP_TOTAL COST VALUE OF CURRENT UNITS]]</f>
        <v>0</v>
      </c>
      <c r="AJ572" s="109">
        <f>IF(INVESTORS_LIST[[#This Row],[TOTAL CURRENT UNITS]]=0,0,INVESTORS_LIST[[#This Row],[LS_TOTAL CURRENT UNITS]]/INVESTORS_LIST[[#This Row],[TOTAL CURRENT UNITS]])</f>
        <v>0</v>
      </c>
      <c r="AK572" s="109">
        <f>IF(INVESTORS_LIST[[#This Row],[TOTAL CURRENT UNITS]]=0,0,INVESTORS_LIST[[#This Row],[SIP_TOTAL CURRENT UNITS]]/INVESTORS_LIST[[#This Row],[TOTAL CURRENT UNITS]])</f>
        <v>0</v>
      </c>
      <c r="AL572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2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2" s="105">
        <f t="shared" si="9"/>
        <v>14.224</v>
      </c>
      <c r="AP572" s="112">
        <f>IF(INVESTORS_LIST[[#This Row],[TOTAL CURRENT UNITS]]=0,0,INVESTORS_LIST[[#This Row],[TOTAL CURRENT UNITS]]*INVESTORS_LIST[[#This Row],[NAV]])</f>
        <v>0</v>
      </c>
      <c r="AQ572" s="102">
        <f>IF(INVESTORS_LIST[[#This Row],[LS_TOTAL CURRENT UNITS]]=0,0,INVESTORS_LIST[[#This Row],[LS_TOTAL CURRENT UNITS]]*INVESTORS_LIST[[#This Row],[NAV]])</f>
        <v>0</v>
      </c>
      <c r="AR572" s="48">
        <f>IF(INVESTORS_LIST[[#This Row],[SIP_TOTAL CURRENT UNITS]]=0,0,INVESTORS_LIST[[#This Row],[SIP_TOTAL CURRENT UNITS]]*INVESTORS_LIST[[#This Row],[NAV]])</f>
        <v>0</v>
      </c>
      <c r="AS572" s="50">
        <f>INVESTORS_LIST[[#This Row],[TOTAL CURRENT UNITS]]</f>
        <v>0</v>
      </c>
      <c r="AT572" s="48">
        <f>IF(INVESTORS_LIST[[#This Row],[TOTAL SELLABLE UNITS]]=0,0,INVESTORS_LIST[[#This Row],[TOTAL SELLABLE UNITS]]*INVESTORS_LIST[[#This Row],[NAV]])</f>
        <v>0</v>
      </c>
      <c r="AU572" s="48">
        <f>INVESTORS_LIST[[#This Row],[LS_TOTAL REALIZED GAIN]]+INVESTORS_LIST[[#This Row],[SIP_TOTAL REALIZED GAIN]]</f>
        <v>27912.200000000004</v>
      </c>
      <c r="AV572" s="48">
        <f>INVESTORS_LIST[[#This Row],[TOTAL MARKET VALUE]]-INVESTORS_LIST[[#This Row],[TOTAL COST VALUE OF CURRENT INVESTMENT]]</f>
        <v>0</v>
      </c>
      <c r="AW572" s="48">
        <f>IFERROR(INVESTORS_LIST[[#This Row],[TOTAL CURRENT UNITS]]/SUM(INVESTORS_LIST[TOTAL CURRENT UNITS]),0)</f>
        <v>0</v>
      </c>
    </row>
    <row r="573" spans="1:49" hidden="1">
      <c r="A573" s="262" t="s">
        <v>1193</v>
      </c>
      <c r="B573" s="97" t="s">
        <v>1194</v>
      </c>
      <c r="C573" t="s">
        <v>44</v>
      </c>
      <c r="D573" s="75" t="s">
        <v>45</v>
      </c>
      <c r="E573" s="50">
        <f>SUMIFS(LS[Unit],LS[Investor ID],INVESTORS_LIST[[#This Row],[INVESTOR CODE]],LS[B/S],"B")</f>
        <v>41816</v>
      </c>
      <c r="F573" s="50">
        <f>-SUMIFS(LS[Unit],LS[Investor ID],INVESTORS_LIST[[#This Row],[INVESTOR CODE]],LS[B/S],"S")</f>
        <v>41816</v>
      </c>
      <c r="G573" s="50">
        <f>IF(INVESTORS_LIST[[#This Row],[LS_TOTAL UNITS BUY]]=0,0,INVESTORS_LIST[[#This Row],[LS_TOTAL UNITS BUY]]-INVESTORS_LIST[[#This Row],[LS_TOTAL UNITS SOLD]])</f>
        <v>0</v>
      </c>
      <c r="H573" s="102">
        <f>IF(INVESTORS_LIST[[#This Row],[LS_TOTAL UNITS BUY]]=0,0,SUMIFS(LS[Amount],LS[Investor ID],INVESTORS_LIST[[#This Row],[INVESTOR CODE]],LS[B/S],"B"))</f>
        <v>500000</v>
      </c>
      <c r="I573" s="48">
        <f>IF(INVESTORS_LIST[[#This Row],[LS_TOTAL UNITS SOLD]]=0,0,SUMIFS(LS[Cost of Units Sold],LS[Investor ID],INVESTORS_LIST[[#This Row],[INVESTOR CODE]],LS[B/S],"S"))</f>
        <v>499999.99999999994</v>
      </c>
      <c r="J573" s="48">
        <f>IF(INVESTORS_LIST[[#This Row],[LS_TOTAL CURRENT UNITS]]=0,0,INVESTORS_LIST[[#This Row],[LS_TOTAL CURRENT UNITS]]*INVESTORS_LIST[[#This Row],[LS_AVERAGE COST]])</f>
        <v>0</v>
      </c>
      <c r="K573" s="48">
        <f>IF(INVESTORS_LIST[[#This Row],[LS_TOTAL UNITS SOLD]]=0,0,SUMIFS(LS[Realized Gain],LS[Investor ID],INVESTORS_LIST[[#This Row],[INVESTOR CODE]],LS[B/S],"S"))</f>
        <v>70913.850000000049</v>
      </c>
      <c r="L573" s="104">
        <f>SUMIFS(SIP[Unit],SIP[Investor ID],INVESTORS_LIST[[#This Row],[INVESTOR CODE]],SIP[B/S],"B")</f>
        <v>0</v>
      </c>
      <c r="M573" s="50">
        <f>-SUMIFS(SIP[Unit],SIP[Investor ID],INVESTORS_LIST[[#This Row],[INVESTOR CODE]],SIP[B/S],"S")</f>
        <v>0</v>
      </c>
      <c r="N573" s="50">
        <f>IF(INVESTORS_LIST[[#This Row],[SIP_TOTAL UNITS BUY]]=0,0,INVESTORS_LIST[[#This Row],[SIP_TOTAL UNITS BUY]]-INVESTORS_LIST[[#This Row],[SIP_TOTAL UNITS SOLD]])</f>
        <v>0</v>
      </c>
      <c r="O573" s="48">
        <f>IF(INVESTORS_LIST[[#This Row],[SIP_TOTAL UNITS BUY]]=0,0,SUMIFS(SIP[Amount],SIP[Investor ID],INVESTORS_LIST[[#This Row],[INVESTOR CODE]],SIP[B/S],"B"))</f>
        <v>0</v>
      </c>
      <c r="P573" s="48">
        <f>IF(INVESTORS_LIST[[#This Row],[SIP_TOTAL UNITS SOLD]]=0,0,SUMIFS(SIP[Cost of Units Sold],SIP[Investor ID],INVESTORS_LIST[[#This Row],[INVESTOR CODE]],SIP[B/S],"S"))</f>
        <v>0</v>
      </c>
      <c r="Q573" s="48">
        <f>IF(INVESTORS_LIST[[#This Row],[SIP_TOTAL CURRENT UNITS]]=0,0,INVESTORS_LIST[[#This Row],[SIP_TOTAL CURRENT UNITS]]*INVESTORS_LIST[[#This Row],[SIP_AVERAGE COST]])</f>
        <v>0</v>
      </c>
      <c r="R573" s="48">
        <f>IF(INVESTORS_LIST[[#This Row],[SIP_TOTAL UNITS SOLD]]=0,0,SUMIFS(SIP[Realized Gain],SIP[Investor ID],INVESTORS_LIST[[#This Row],[INVESTOR CODE]],SIP[B/S],"S"))</f>
        <v>0</v>
      </c>
      <c r="S573" s="50">
        <f>INVESTORS_LIST[[#This Row],[LS_TOTAL UNITS BUY]]+INVESTORS_LIST[[#This Row],[SIP_TOTAL UNITS BUY]]</f>
        <v>41816</v>
      </c>
      <c r="T573" s="50">
        <f>INVESTORS_LIST[[#This Row],[LS_TOTAL UNITS SOLD]]+INVESTORS_LIST[[#This Row],[SIP_TOTAL UNITS SOLD]]</f>
        <v>41816</v>
      </c>
      <c r="U573" s="50"/>
      <c r="V573" s="50">
        <f>SUMIFS(LS[BO UNIT TRANSFER],LS[Investor ID],INVESTORS_LIST[[#This Row],[INVESTOR CODE]],LS[B/S],"B")</f>
        <v>0</v>
      </c>
      <c r="W573" s="50">
        <f>SUMIFS(SIP[BO UNIT TRANSFER],SIP[Investor ID],INVESTORS_LIST[[#This Row],[INVESTOR CODE]],SIP[B/S],"B")</f>
        <v>0</v>
      </c>
      <c r="X573" s="50">
        <f>SUMIFS(LS[BO UNIT TRANSFER],LS[Investor ID],INVESTORS_LIST[[#This Row],[INVESTOR CODE]],LS[B/S],"S")</f>
        <v>0</v>
      </c>
      <c r="Y573" s="50">
        <f>SUMIFS(SIP[BO UNIT TRANSFER],SIP[Investor ID],INVESTORS_LIST[[#This Row],[INVESTOR CODE]],SIP[B/S],"S")</f>
        <v>0</v>
      </c>
      <c r="Z573" s="106">
        <f>SUM(INVESTORS_LIST[[#This Row],[BO OPENING BALANCE]:[BO SIP UNITS REPURCHASE]])</f>
        <v>0</v>
      </c>
      <c r="AA573" s="107">
        <f>INVESTORS_LIST[[#This Row],[TOTAL UNITS BUY]]-INVESTORS_LIST[[#This Row],[TOTAL UNITS SOLD]]</f>
        <v>0</v>
      </c>
      <c r="AB573" s="107">
        <f>INVESTORS_LIST[[#This Row],[TOTAL CURRENT UNITS]]-INVESTORS_LIST[[#This Row],[BO UNITS HOLD]]</f>
        <v>0</v>
      </c>
      <c r="AC573" s="201" t="e">
        <f>INDEX([3]!Table_1[BO ID],MATCH(INVESTORS_LIST[[#This Row],[INVESTOR CODE]],[3]!Table_1[INVESTOR CODE],0))</f>
        <v>#REF!</v>
      </c>
      <c r="AD573" s="201" t="e">
        <f>INDEX([3]!Table_1[Brokerage Name2],MATCH(INVESTORS_LIST[[#This Row],[INVESTOR CODE]],[3]!Table_1[INVESTOR CODE],0))</f>
        <v>#REF!</v>
      </c>
      <c r="AE573" s="201" t="e">
        <f>MID(INVESTORS_LIST[[#This Row],[BO ID]],4,5)</f>
        <v>#REF!</v>
      </c>
      <c r="AF573" s="201" t="e">
        <f>MID(INVESTORS_LIST[[#This Row],[BO ID]],2,7)</f>
        <v>#REF!</v>
      </c>
      <c r="AG573" s="201" t="e">
        <f>MID(INVESTORS_LIST[[#This Row],[BO ID]],9,7)</f>
        <v>#REF!</v>
      </c>
      <c r="AH573" s="201" t="e">
        <f>RIGHT(INVESTORS_LIST[[#This Row],[BO ID]],1)</f>
        <v>#REF!</v>
      </c>
      <c r="AI573" s="50">
        <f>INVESTORS_LIST[[#This Row],[LS_TOTAL COST VALUE OF CURRENT UNITS]]+INVESTORS_LIST[[#This Row],[SIP_TOTAL COST VALUE OF CURRENT UNITS]]</f>
        <v>0</v>
      </c>
      <c r="AJ573" s="109">
        <f>IF(INVESTORS_LIST[[#This Row],[TOTAL CURRENT UNITS]]=0,0,INVESTORS_LIST[[#This Row],[LS_TOTAL CURRENT UNITS]]/INVESTORS_LIST[[#This Row],[TOTAL CURRENT UNITS]])</f>
        <v>0</v>
      </c>
      <c r="AK573" s="109">
        <f>IF(INVESTORS_LIST[[#This Row],[TOTAL CURRENT UNITS]]=0,0,INVESTORS_LIST[[#This Row],[SIP_TOTAL CURRENT UNITS]]/INVESTORS_LIST[[#This Row],[TOTAL CURRENT UNITS]])</f>
        <v>0</v>
      </c>
      <c r="AL573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3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3" s="105">
        <f t="shared" si="9"/>
        <v>14.224</v>
      </c>
      <c r="AP573" s="112">
        <f>IF(INVESTORS_LIST[[#This Row],[TOTAL CURRENT UNITS]]=0,0,INVESTORS_LIST[[#This Row],[TOTAL CURRENT UNITS]]*INVESTORS_LIST[[#This Row],[NAV]])</f>
        <v>0</v>
      </c>
      <c r="AQ573" s="102">
        <f>IF(INVESTORS_LIST[[#This Row],[LS_TOTAL CURRENT UNITS]]=0,0,INVESTORS_LIST[[#This Row],[LS_TOTAL CURRENT UNITS]]*INVESTORS_LIST[[#This Row],[NAV]])</f>
        <v>0</v>
      </c>
      <c r="AR573" s="48">
        <f>IF(INVESTORS_LIST[[#This Row],[SIP_TOTAL CURRENT UNITS]]=0,0,INVESTORS_LIST[[#This Row],[SIP_TOTAL CURRENT UNITS]]*INVESTORS_LIST[[#This Row],[NAV]])</f>
        <v>0</v>
      </c>
      <c r="AS573" s="50">
        <f>INVESTORS_LIST[[#This Row],[TOTAL CURRENT UNITS]]</f>
        <v>0</v>
      </c>
      <c r="AT573" s="48">
        <f>IF(INVESTORS_LIST[[#This Row],[TOTAL SELLABLE UNITS]]=0,0,INVESTORS_LIST[[#This Row],[TOTAL SELLABLE UNITS]]*INVESTORS_LIST[[#This Row],[NAV]])</f>
        <v>0</v>
      </c>
      <c r="AU573" s="48">
        <f>INVESTORS_LIST[[#This Row],[LS_TOTAL REALIZED GAIN]]+INVESTORS_LIST[[#This Row],[SIP_TOTAL REALIZED GAIN]]</f>
        <v>70913.850000000049</v>
      </c>
      <c r="AV573" s="48">
        <f>INVESTORS_LIST[[#This Row],[TOTAL MARKET VALUE]]-INVESTORS_LIST[[#This Row],[TOTAL COST VALUE OF CURRENT INVESTMENT]]</f>
        <v>0</v>
      </c>
      <c r="AW573" s="48">
        <f>IFERROR(INVESTORS_LIST[[#This Row],[TOTAL CURRENT UNITS]]/SUM(INVESTORS_LIST[TOTAL CURRENT UNITS]),0)</f>
        <v>0</v>
      </c>
    </row>
    <row r="574" spans="1:49">
      <c r="A574" s="262" t="s">
        <v>1195</v>
      </c>
      <c r="B574" s="97" t="s">
        <v>1196</v>
      </c>
      <c r="C574" t="s">
        <v>44</v>
      </c>
      <c r="D574" s="75" t="s">
        <v>45</v>
      </c>
      <c r="E574" s="50">
        <f>SUMIFS(LS[Unit],LS[Investor ID],INVESTORS_LIST[[#This Row],[INVESTOR CODE]],LS[B/S],"B")</f>
        <v>84704</v>
      </c>
      <c r="F574" s="50">
        <f>-SUMIFS(LS[Unit],LS[Investor ID],INVESTORS_LIST[[#This Row],[INVESTOR CODE]],LS[B/S],"S")</f>
        <v>44835</v>
      </c>
      <c r="G574" s="50">
        <f>IF(INVESTORS_LIST[[#This Row],[LS_TOTAL UNITS BUY]]=0,0,INVESTORS_LIST[[#This Row],[LS_TOTAL UNITS BUY]]-INVESTORS_LIST[[#This Row],[LS_TOTAL UNITS SOLD]])</f>
        <v>39869</v>
      </c>
      <c r="H574" s="102">
        <f>IF(INVESTORS_LIST[[#This Row],[LS_TOTAL UNITS BUY]]=0,0,SUMIFS(LS[Amount],LS[Investor ID],INVESTORS_LIST[[#This Row],[INVESTOR CODE]],LS[B/S],"B"))</f>
        <v>1000000</v>
      </c>
      <c r="I574" s="48">
        <f>IF(INVESTORS_LIST[[#This Row],[LS_TOTAL UNITS SOLD]]=0,0,SUMIFS(LS[Cost of Units Sold],LS[Investor ID],INVESTORS_LIST[[#This Row],[INVESTOR CODE]],LS[B/S],"S"))</f>
        <v>500000</v>
      </c>
      <c r="J574" s="48">
        <f>IF(INVESTORS_LIST[[#This Row],[LS_TOTAL CURRENT UNITS]]=0,0,INVESTORS_LIST[[#This Row],[LS_TOTAL CURRENT UNITS]]*INVESTORS_LIST[[#This Row],[LS_AVERAGE COST]])</f>
        <v>500000.00000000006</v>
      </c>
      <c r="K574" s="48">
        <f>IF(INVESTORS_LIST[[#This Row],[LS_TOTAL UNITS SOLD]]=0,0,SUMIFS(LS[Realized Gain],LS[Investor ID],INVESTORS_LIST[[#This Row],[INVESTOR CODE]],LS[B/S],"S"))</f>
        <v>32550.130000000008</v>
      </c>
      <c r="L574" s="104">
        <f>SUMIFS(SIP[Unit],SIP[Investor ID],INVESTORS_LIST[[#This Row],[INVESTOR CODE]],SIP[B/S],"B")</f>
        <v>0</v>
      </c>
      <c r="M574" s="50">
        <f>-SUMIFS(SIP[Unit],SIP[Investor ID],INVESTORS_LIST[[#This Row],[INVESTOR CODE]],SIP[B/S],"S")</f>
        <v>0</v>
      </c>
      <c r="N574" s="50">
        <f>IF(INVESTORS_LIST[[#This Row],[SIP_TOTAL UNITS BUY]]=0,0,INVESTORS_LIST[[#This Row],[SIP_TOTAL UNITS BUY]]-INVESTORS_LIST[[#This Row],[SIP_TOTAL UNITS SOLD]])</f>
        <v>0</v>
      </c>
      <c r="O574" s="48">
        <f>IF(INVESTORS_LIST[[#This Row],[SIP_TOTAL UNITS BUY]]=0,0,SUMIFS(SIP[Amount],SIP[Investor ID],INVESTORS_LIST[[#This Row],[INVESTOR CODE]],SIP[B/S],"B"))</f>
        <v>0</v>
      </c>
      <c r="P574" s="48">
        <f>IF(INVESTORS_LIST[[#This Row],[SIP_TOTAL UNITS SOLD]]=0,0,SUMIFS(SIP[Cost of Units Sold],SIP[Investor ID],INVESTORS_LIST[[#This Row],[INVESTOR CODE]],SIP[B/S],"S"))</f>
        <v>0</v>
      </c>
      <c r="Q574" s="48">
        <f>IF(INVESTORS_LIST[[#This Row],[SIP_TOTAL CURRENT UNITS]]=0,0,INVESTORS_LIST[[#This Row],[SIP_TOTAL CURRENT UNITS]]*INVESTORS_LIST[[#This Row],[SIP_AVERAGE COST]])</f>
        <v>0</v>
      </c>
      <c r="R574" s="48">
        <f>IF(INVESTORS_LIST[[#This Row],[SIP_TOTAL UNITS SOLD]]=0,0,SUMIFS(SIP[Realized Gain],SIP[Investor ID],INVESTORS_LIST[[#This Row],[INVESTOR CODE]],SIP[B/S],"S"))</f>
        <v>0</v>
      </c>
      <c r="S574" s="50">
        <f>INVESTORS_LIST[[#This Row],[LS_TOTAL UNITS BUY]]+INVESTORS_LIST[[#This Row],[SIP_TOTAL UNITS BUY]]</f>
        <v>84704</v>
      </c>
      <c r="T574" s="50">
        <f>INVESTORS_LIST[[#This Row],[LS_TOTAL UNITS SOLD]]+INVESTORS_LIST[[#This Row],[SIP_TOTAL UNITS SOLD]]</f>
        <v>44835</v>
      </c>
      <c r="U574" s="50">
        <v>39869</v>
      </c>
      <c r="V574" s="50">
        <f>SUMIFS(LS[BO UNIT TRANSFER],LS[Investor ID],INVESTORS_LIST[[#This Row],[INVESTOR CODE]],LS[B/S],"B")</f>
        <v>0</v>
      </c>
      <c r="W574" s="50">
        <f>SUMIFS(SIP[BO UNIT TRANSFER],SIP[Investor ID],INVESTORS_LIST[[#This Row],[INVESTOR CODE]],SIP[B/S],"B")</f>
        <v>0</v>
      </c>
      <c r="X574" s="50">
        <f>SUMIFS(LS[BO UNIT TRANSFER],LS[Investor ID],INVESTORS_LIST[[#This Row],[INVESTOR CODE]],LS[B/S],"S")</f>
        <v>0</v>
      </c>
      <c r="Y574" s="50">
        <f>SUMIFS(SIP[BO UNIT TRANSFER],SIP[Investor ID],INVESTORS_LIST[[#This Row],[INVESTOR CODE]],SIP[B/S],"S")</f>
        <v>0</v>
      </c>
      <c r="Z574" s="106">
        <f>SUM(INVESTORS_LIST[[#This Row],[BO OPENING BALANCE]:[BO SIP UNITS REPURCHASE]])</f>
        <v>39869</v>
      </c>
      <c r="AA574" s="107">
        <f>INVESTORS_LIST[[#This Row],[TOTAL UNITS BUY]]-INVESTORS_LIST[[#This Row],[TOTAL UNITS SOLD]]</f>
        <v>39869</v>
      </c>
      <c r="AB574" s="107">
        <f>INVESTORS_LIST[[#This Row],[TOTAL CURRENT UNITS]]-INVESTORS_LIST[[#This Row],[BO UNITS HOLD]]</f>
        <v>0</v>
      </c>
      <c r="AC574" s="201" t="e">
        <f>INDEX([3]!Table_1[BO ID],MATCH(INVESTORS_LIST[[#This Row],[INVESTOR CODE]],[3]!Table_1[INVESTOR CODE],0))</f>
        <v>#REF!</v>
      </c>
      <c r="AD574" s="201" t="e">
        <f>INDEX([3]!Table_1[Brokerage Name2],MATCH(INVESTORS_LIST[[#This Row],[INVESTOR CODE]],[3]!Table_1[INVESTOR CODE],0))</f>
        <v>#REF!</v>
      </c>
      <c r="AE574" s="201" t="e">
        <f>MID(INVESTORS_LIST[[#This Row],[BO ID]],4,5)</f>
        <v>#REF!</v>
      </c>
      <c r="AF574" s="201" t="e">
        <f>MID(INVESTORS_LIST[[#This Row],[BO ID]],2,7)</f>
        <v>#REF!</v>
      </c>
      <c r="AG574" s="201" t="e">
        <f>MID(INVESTORS_LIST[[#This Row],[BO ID]],9,7)</f>
        <v>#REF!</v>
      </c>
      <c r="AH574" s="201" t="e">
        <f>RIGHT(INVESTORS_LIST[[#This Row],[BO ID]],1)</f>
        <v>#REF!</v>
      </c>
      <c r="AI574" s="50">
        <f>INVESTORS_LIST[[#This Row],[LS_TOTAL COST VALUE OF CURRENT UNITS]]+INVESTORS_LIST[[#This Row],[SIP_TOTAL COST VALUE OF CURRENT UNITS]]</f>
        <v>500000.00000000006</v>
      </c>
      <c r="AJ574" s="109">
        <f>IF(INVESTORS_LIST[[#This Row],[TOTAL CURRENT UNITS]]=0,0,INVESTORS_LIST[[#This Row],[LS_TOTAL CURRENT UNITS]]/INVESTORS_LIST[[#This Row],[TOTAL CURRENT UNITS]])</f>
        <v>1</v>
      </c>
      <c r="AK574" s="109">
        <f>IF(INVESTORS_LIST[[#This Row],[TOTAL CURRENT UNITS]]=0,0,INVESTORS_LIST[[#This Row],[SIP_TOTAL CURRENT UNITS]]/INVESTORS_LIST[[#This Row],[TOTAL CURRENT UNITS]])</f>
        <v>0</v>
      </c>
      <c r="AL574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574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4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574" s="105">
        <f t="shared" si="9"/>
        <v>14.224</v>
      </c>
      <c r="AP574" s="112">
        <f>IF(INVESTORS_LIST[[#This Row],[TOTAL CURRENT UNITS]]=0,0,INVESTORS_LIST[[#This Row],[TOTAL CURRENT UNITS]]*INVESTORS_LIST[[#This Row],[NAV]])</f>
        <v>567096.65599999996</v>
      </c>
      <c r="AQ574" s="102">
        <f>IF(INVESTORS_LIST[[#This Row],[LS_TOTAL CURRENT UNITS]]=0,0,INVESTORS_LIST[[#This Row],[LS_TOTAL CURRENT UNITS]]*INVESTORS_LIST[[#This Row],[NAV]])</f>
        <v>567096.65599999996</v>
      </c>
      <c r="AR574" s="48">
        <f>IF(INVESTORS_LIST[[#This Row],[SIP_TOTAL CURRENT UNITS]]=0,0,INVESTORS_LIST[[#This Row],[SIP_TOTAL CURRENT UNITS]]*INVESTORS_LIST[[#This Row],[NAV]])</f>
        <v>0</v>
      </c>
      <c r="AS574" s="50">
        <f>INVESTORS_LIST[[#This Row],[TOTAL CURRENT UNITS]]</f>
        <v>39869</v>
      </c>
      <c r="AT574" s="48">
        <f>IF(INVESTORS_LIST[[#This Row],[TOTAL SELLABLE UNITS]]=0,0,INVESTORS_LIST[[#This Row],[TOTAL SELLABLE UNITS]]*INVESTORS_LIST[[#This Row],[NAV]])</f>
        <v>567096.65599999996</v>
      </c>
      <c r="AU574" s="48">
        <f>INVESTORS_LIST[[#This Row],[LS_TOTAL REALIZED GAIN]]+INVESTORS_LIST[[#This Row],[SIP_TOTAL REALIZED GAIN]]</f>
        <v>32550.130000000008</v>
      </c>
      <c r="AV574" s="48">
        <f>INVESTORS_LIST[[#This Row],[TOTAL MARKET VALUE]]-INVESTORS_LIST[[#This Row],[TOTAL COST VALUE OF CURRENT INVESTMENT]]</f>
        <v>67096.655999999901</v>
      </c>
      <c r="AW574" s="48">
        <f>IFERROR(INVESTORS_LIST[[#This Row],[TOTAL CURRENT UNITS]]/SUM(INVESTORS_LIST[TOTAL CURRENT UNITS]),0)</f>
        <v>9.6786813260975671E-4</v>
      </c>
    </row>
    <row r="575" spans="1:49" hidden="1">
      <c r="A575" s="262" t="s">
        <v>1197</v>
      </c>
      <c r="B575" s="97" t="s">
        <v>1198</v>
      </c>
      <c r="C575" t="s">
        <v>44</v>
      </c>
      <c r="D575" s="75" t="s">
        <v>45</v>
      </c>
      <c r="E575" s="50">
        <f>SUMIFS(LS[Unit],LS[Investor ID],INVESTORS_LIST[[#This Row],[INVESTOR CODE]],LS[B/S],"B")</f>
        <v>44835</v>
      </c>
      <c r="F575" s="50">
        <f>-SUMIFS(LS[Unit],LS[Investor ID],INVESTORS_LIST[[#This Row],[INVESTOR CODE]],LS[B/S],"S")</f>
        <v>44835</v>
      </c>
      <c r="G575" s="50">
        <f>IF(INVESTORS_LIST[[#This Row],[LS_TOTAL UNITS BUY]]=0,0,INVESTORS_LIST[[#This Row],[LS_TOTAL UNITS BUY]]-INVESTORS_LIST[[#This Row],[LS_TOTAL UNITS SOLD]])</f>
        <v>0</v>
      </c>
      <c r="H575" s="102">
        <f>IF(INVESTORS_LIST[[#This Row],[LS_TOTAL UNITS BUY]]=0,0,SUMIFS(LS[Amount],LS[Investor ID],INVESTORS_LIST[[#This Row],[INVESTOR CODE]],LS[B/S],"B"))</f>
        <v>500000</v>
      </c>
      <c r="I575" s="48">
        <f>IF(INVESTORS_LIST[[#This Row],[LS_TOTAL UNITS SOLD]]=0,0,SUMIFS(LS[Cost of Units Sold],LS[Investor ID],INVESTORS_LIST[[#This Row],[INVESTOR CODE]],LS[B/S],"S"))</f>
        <v>500000</v>
      </c>
      <c r="J575" s="48">
        <f>IF(INVESTORS_LIST[[#This Row],[LS_TOTAL CURRENT UNITS]]=0,0,INVESTORS_LIST[[#This Row],[LS_TOTAL CURRENT UNITS]]*INVESTORS_LIST[[#This Row],[LS_AVERAGE COST]])</f>
        <v>0</v>
      </c>
      <c r="K575" s="48">
        <f>IF(INVESTORS_LIST[[#This Row],[LS_TOTAL UNITS SOLD]]=0,0,SUMIFS(LS[Realized Gain],LS[Investor ID],INVESTORS_LIST[[#This Row],[INVESTOR CODE]],LS[B/S],"S"))</f>
        <v>11567.350000000009</v>
      </c>
      <c r="L575" s="104">
        <f>SUMIFS(SIP[Unit],SIP[Investor ID],INVESTORS_LIST[[#This Row],[INVESTOR CODE]],SIP[B/S],"B")</f>
        <v>0</v>
      </c>
      <c r="M575" s="50">
        <f>-SUMIFS(SIP[Unit],SIP[Investor ID],INVESTORS_LIST[[#This Row],[INVESTOR CODE]],SIP[B/S],"S")</f>
        <v>0</v>
      </c>
      <c r="N575" s="50">
        <f>IF(INVESTORS_LIST[[#This Row],[SIP_TOTAL UNITS BUY]]=0,0,INVESTORS_LIST[[#This Row],[SIP_TOTAL UNITS BUY]]-INVESTORS_LIST[[#This Row],[SIP_TOTAL UNITS SOLD]])</f>
        <v>0</v>
      </c>
      <c r="O575" s="48">
        <f>IF(INVESTORS_LIST[[#This Row],[SIP_TOTAL UNITS BUY]]=0,0,SUMIFS(SIP[Amount],SIP[Investor ID],INVESTORS_LIST[[#This Row],[INVESTOR CODE]],SIP[B/S],"B"))</f>
        <v>0</v>
      </c>
      <c r="P575" s="48">
        <f>IF(INVESTORS_LIST[[#This Row],[SIP_TOTAL UNITS SOLD]]=0,0,SUMIFS(SIP[Cost of Units Sold],SIP[Investor ID],INVESTORS_LIST[[#This Row],[INVESTOR CODE]],SIP[B/S],"S"))</f>
        <v>0</v>
      </c>
      <c r="Q575" s="48">
        <f>IF(INVESTORS_LIST[[#This Row],[SIP_TOTAL CURRENT UNITS]]=0,0,INVESTORS_LIST[[#This Row],[SIP_TOTAL CURRENT UNITS]]*INVESTORS_LIST[[#This Row],[SIP_AVERAGE COST]])</f>
        <v>0</v>
      </c>
      <c r="R575" s="48">
        <f>IF(INVESTORS_LIST[[#This Row],[SIP_TOTAL UNITS SOLD]]=0,0,SUMIFS(SIP[Realized Gain],SIP[Investor ID],INVESTORS_LIST[[#This Row],[INVESTOR CODE]],SIP[B/S],"S"))</f>
        <v>0</v>
      </c>
      <c r="S575" s="50">
        <f>INVESTORS_LIST[[#This Row],[LS_TOTAL UNITS BUY]]+INVESTORS_LIST[[#This Row],[SIP_TOTAL UNITS BUY]]</f>
        <v>44835</v>
      </c>
      <c r="T575" s="50">
        <f>INVESTORS_LIST[[#This Row],[LS_TOTAL UNITS SOLD]]+INVESTORS_LIST[[#This Row],[SIP_TOTAL UNITS SOLD]]</f>
        <v>44835</v>
      </c>
      <c r="U575" s="50"/>
      <c r="V575" s="50">
        <f>SUMIFS(LS[BO UNIT TRANSFER],LS[Investor ID],INVESTORS_LIST[[#This Row],[INVESTOR CODE]],LS[B/S],"B")</f>
        <v>0</v>
      </c>
      <c r="W575" s="50">
        <f>SUMIFS(SIP[BO UNIT TRANSFER],SIP[Investor ID],INVESTORS_LIST[[#This Row],[INVESTOR CODE]],SIP[B/S],"B")</f>
        <v>0</v>
      </c>
      <c r="X575" s="50">
        <f>SUMIFS(LS[BO UNIT TRANSFER],LS[Investor ID],INVESTORS_LIST[[#This Row],[INVESTOR CODE]],LS[B/S],"S")</f>
        <v>0</v>
      </c>
      <c r="Y575" s="50">
        <f>SUMIFS(SIP[BO UNIT TRANSFER],SIP[Investor ID],INVESTORS_LIST[[#This Row],[INVESTOR CODE]],SIP[B/S],"S")</f>
        <v>0</v>
      </c>
      <c r="Z575" s="106">
        <f>SUM(INVESTORS_LIST[[#This Row],[BO OPENING BALANCE]:[BO SIP UNITS REPURCHASE]])</f>
        <v>0</v>
      </c>
      <c r="AA575" s="107">
        <f>INVESTORS_LIST[[#This Row],[TOTAL UNITS BUY]]-INVESTORS_LIST[[#This Row],[TOTAL UNITS SOLD]]</f>
        <v>0</v>
      </c>
      <c r="AB575" s="107">
        <f>INVESTORS_LIST[[#This Row],[TOTAL CURRENT UNITS]]-INVESTORS_LIST[[#This Row],[BO UNITS HOLD]]</f>
        <v>0</v>
      </c>
      <c r="AC575" s="201" t="e">
        <f>INDEX([3]!Table_1[BO ID],MATCH(INVESTORS_LIST[[#This Row],[INVESTOR CODE]],[3]!Table_1[INVESTOR CODE],0))</f>
        <v>#REF!</v>
      </c>
      <c r="AD575" s="201" t="e">
        <f>INDEX([3]!Table_1[Brokerage Name2],MATCH(INVESTORS_LIST[[#This Row],[INVESTOR CODE]],[3]!Table_1[INVESTOR CODE],0))</f>
        <v>#REF!</v>
      </c>
      <c r="AE575" s="201" t="e">
        <f>MID(INVESTORS_LIST[[#This Row],[BO ID]],4,5)</f>
        <v>#REF!</v>
      </c>
      <c r="AF575" s="201" t="e">
        <f>MID(INVESTORS_LIST[[#This Row],[BO ID]],2,7)</f>
        <v>#REF!</v>
      </c>
      <c r="AG575" s="201" t="e">
        <f>MID(INVESTORS_LIST[[#This Row],[BO ID]],9,7)</f>
        <v>#REF!</v>
      </c>
      <c r="AH575" s="201" t="e">
        <f>RIGHT(INVESTORS_LIST[[#This Row],[BO ID]],1)</f>
        <v>#REF!</v>
      </c>
      <c r="AI575" s="50">
        <f>INVESTORS_LIST[[#This Row],[LS_TOTAL COST VALUE OF CURRENT UNITS]]+INVESTORS_LIST[[#This Row],[SIP_TOTAL COST VALUE OF CURRENT UNITS]]</f>
        <v>0</v>
      </c>
      <c r="AJ575" s="109">
        <f>IF(INVESTORS_LIST[[#This Row],[TOTAL CURRENT UNITS]]=0,0,INVESTORS_LIST[[#This Row],[LS_TOTAL CURRENT UNITS]]/INVESTORS_LIST[[#This Row],[TOTAL CURRENT UNITS]])</f>
        <v>0</v>
      </c>
      <c r="AK575" s="109">
        <f>IF(INVESTORS_LIST[[#This Row],[TOTAL CURRENT UNITS]]=0,0,INVESTORS_LIST[[#This Row],[SIP_TOTAL CURRENT UNITS]]/INVESTORS_LIST[[#This Row],[TOTAL CURRENT UNITS]])</f>
        <v>0</v>
      </c>
      <c r="AL575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5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5" s="105">
        <f t="shared" si="9"/>
        <v>14.224</v>
      </c>
      <c r="AP575" s="112">
        <f>IF(INVESTORS_LIST[[#This Row],[TOTAL CURRENT UNITS]]=0,0,INVESTORS_LIST[[#This Row],[TOTAL CURRENT UNITS]]*INVESTORS_LIST[[#This Row],[NAV]])</f>
        <v>0</v>
      </c>
      <c r="AQ575" s="102">
        <f>IF(INVESTORS_LIST[[#This Row],[LS_TOTAL CURRENT UNITS]]=0,0,INVESTORS_LIST[[#This Row],[LS_TOTAL CURRENT UNITS]]*INVESTORS_LIST[[#This Row],[NAV]])</f>
        <v>0</v>
      </c>
      <c r="AR575" s="48">
        <f>IF(INVESTORS_LIST[[#This Row],[SIP_TOTAL CURRENT UNITS]]=0,0,INVESTORS_LIST[[#This Row],[SIP_TOTAL CURRENT UNITS]]*INVESTORS_LIST[[#This Row],[NAV]])</f>
        <v>0</v>
      </c>
      <c r="AS575" s="50">
        <f>INVESTORS_LIST[[#This Row],[TOTAL CURRENT UNITS]]</f>
        <v>0</v>
      </c>
      <c r="AT575" s="48">
        <f>IF(INVESTORS_LIST[[#This Row],[TOTAL SELLABLE UNITS]]=0,0,INVESTORS_LIST[[#This Row],[TOTAL SELLABLE UNITS]]*INVESTORS_LIST[[#This Row],[NAV]])</f>
        <v>0</v>
      </c>
      <c r="AU575" s="48">
        <f>INVESTORS_LIST[[#This Row],[LS_TOTAL REALIZED GAIN]]+INVESTORS_LIST[[#This Row],[SIP_TOTAL REALIZED GAIN]]</f>
        <v>11567.350000000009</v>
      </c>
      <c r="AV575" s="48">
        <f>INVESTORS_LIST[[#This Row],[TOTAL MARKET VALUE]]-INVESTORS_LIST[[#This Row],[TOTAL COST VALUE OF CURRENT INVESTMENT]]</f>
        <v>0</v>
      </c>
      <c r="AW575" s="48">
        <f>IFERROR(INVESTORS_LIST[[#This Row],[TOTAL CURRENT UNITS]]/SUM(INVESTORS_LIST[TOTAL CURRENT UNITS]),0)</f>
        <v>0</v>
      </c>
    </row>
    <row r="576" spans="1:49" hidden="1">
      <c r="A576" s="262" t="s">
        <v>1199</v>
      </c>
      <c r="B576" s="97" t="s">
        <v>1200</v>
      </c>
      <c r="C576" t="s">
        <v>67</v>
      </c>
      <c r="D576" s="75" t="s">
        <v>45</v>
      </c>
      <c r="E576" s="50">
        <f>SUMIFS(LS[Unit],LS[Investor ID],INVESTORS_LIST[[#This Row],[INVESTOR CODE]],LS[B/S],"B")</f>
        <v>84704</v>
      </c>
      <c r="F576" s="50">
        <f>-SUMIFS(LS[Unit],LS[Investor ID],INVESTORS_LIST[[#This Row],[INVESTOR CODE]],LS[B/S],"S")</f>
        <v>84704</v>
      </c>
      <c r="G576" s="50">
        <f>IF(INVESTORS_LIST[[#This Row],[LS_TOTAL UNITS BUY]]=0,0,INVESTORS_LIST[[#This Row],[LS_TOTAL UNITS BUY]]-INVESTORS_LIST[[#This Row],[LS_TOTAL UNITS SOLD]])</f>
        <v>0</v>
      </c>
      <c r="H576" s="102">
        <f>IF(INVESTORS_LIST[[#This Row],[LS_TOTAL UNITS BUY]]=0,0,SUMIFS(LS[Amount],LS[Investor ID],INVESTORS_LIST[[#This Row],[INVESTOR CODE]],LS[B/S],"B"))</f>
        <v>1000000</v>
      </c>
      <c r="I576" s="48">
        <f>IF(INVESTORS_LIST[[#This Row],[LS_TOTAL UNITS SOLD]]=0,0,SUMIFS(LS[Cost of Units Sold],LS[Investor ID],INVESTORS_LIST[[#This Row],[INVESTOR CODE]],LS[B/S],"S"))</f>
        <v>1000000</v>
      </c>
      <c r="J576" s="48">
        <f>IF(INVESTORS_LIST[[#This Row],[LS_TOTAL CURRENT UNITS]]=0,0,INVESTORS_LIST[[#This Row],[LS_TOTAL CURRENT UNITS]]*INVESTORS_LIST[[#This Row],[LS_AVERAGE COST]])</f>
        <v>0</v>
      </c>
      <c r="K576" s="48">
        <f>IF(INVESTORS_LIST[[#This Row],[LS_TOTAL UNITS SOLD]]=0,0,SUMIFS(LS[Realized Gain],LS[Investor ID],INVESTORS_LIST[[#This Row],[INVESTOR CODE]],LS[B/S],"S"))</f>
        <v>8885.4400000000242</v>
      </c>
      <c r="L576" s="104">
        <f>SUMIFS(SIP[Unit],SIP[Investor ID],INVESTORS_LIST[[#This Row],[INVESTOR CODE]],SIP[B/S],"B")</f>
        <v>0</v>
      </c>
      <c r="M576" s="50">
        <f>-SUMIFS(SIP[Unit],SIP[Investor ID],INVESTORS_LIST[[#This Row],[INVESTOR CODE]],SIP[B/S],"S")</f>
        <v>0</v>
      </c>
      <c r="N576" s="50">
        <f>IF(INVESTORS_LIST[[#This Row],[SIP_TOTAL UNITS BUY]]=0,0,INVESTORS_LIST[[#This Row],[SIP_TOTAL UNITS BUY]]-INVESTORS_LIST[[#This Row],[SIP_TOTAL UNITS SOLD]])</f>
        <v>0</v>
      </c>
      <c r="O576" s="48">
        <f>IF(INVESTORS_LIST[[#This Row],[SIP_TOTAL UNITS BUY]]=0,0,SUMIFS(SIP[Amount],SIP[Investor ID],INVESTORS_LIST[[#This Row],[INVESTOR CODE]],SIP[B/S],"B"))</f>
        <v>0</v>
      </c>
      <c r="P576" s="48">
        <f>IF(INVESTORS_LIST[[#This Row],[SIP_TOTAL UNITS SOLD]]=0,0,SUMIFS(SIP[Cost of Units Sold],SIP[Investor ID],INVESTORS_LIST[[#This Row],[INVESTOR CODE]],SIP[B/S],"S"))</f>
        <v>0</v>
      </c>
      <c r="Q576" s="48">
        <f>IF(INVESTORS_LIST[[#This Row],[SIP_TOTAL CURRENT UNITS]]=0,0,INVESTORS_LIST[[#This Row],[SIP_TOTAL CURRENT UNITS]]*INVESTORS_LIST[[#This Row],[SIP_AVERAGE COST]])</f>
        <v>0</v>
      </c>
      <c r="R576" s="48">
        <f>IF(INVESTORS_LIST[[#This Row],[SIP_TOTAL UNITS SOLD]]=0,0,SUMIFS(SIP[Realized Gain],SIP[Investor ID],INVESTORS_LIST[[#This Row],[INVESTOR CODE]],SIP[B/S],"S"))</f>
        <v>0</v>
      </c>
      <c r="S576" s="50">
        <f>INVESTORS_LIST[[#This Row],[LS_TOTAL UNITS BUY]]+INVESTORS_LIST[[#This Row],[SIP_TOTAL UNITS BUY]]</f>
        <v>84704</v>
      </c>
      <c r="T576" s="50">
        <f>INVESTORS_LIST[[#This Row],[LS_TOTAL UNITS SOLD]]+INVESTORS_LIST[[#This Row],[SIP_TOTAL UNITS SOLD]]</f>
        <v>84704</v>
      </c>
      <c r="U576" s="50">
        <v>39869</v>
      </c>
      <c r="V576" s="50">
        <f>SUMIFS(LS[BO UNIT TRANSFER],LS[Investor ID],INVESTORS_LIST[[#This Row],[INVESTOR CODE]],LS[B/S],"B")</f>
        <v>0</v>
      </c>
      <c r="W576" s="50">
        <f>SUMIFS(SIP[BO UNIT TRANSFER],SIP[Investor ID],INVESTORS_LIST[[#This Row],[INVESTOR CODE]],SIP[B/S],"B")</f>
        <v>0</v>
      </c>
      <c r="X576" s="50">
        <f>SUMIFS(LS[BO UNIT TRANSFER],LS[Investor ID],INVESTORS_LIST[[#This Row],[INVESTOR CODE]],LS[B/S],"S")</f>
        <v>0</v>
      </c>
      <c r="Y576" s="50">
        <f>SUMIFS(SIP[BO UNIT TRANSFER],SIP[Investor ID],INVESTORS_LIST[[#This Row],[INVESTOR CODE]],SIP[B/S],"S")</f>
        <v>0</v>
      </c>
      <c r="Z576" s="106">
        <f>SUM(INVESTORS_LIST[[#This Row],[BO OPENING BALANCE]:[BO SIP UNITS REPURCHASE]])</f>
        <v>39869</v>
      </c>
      <c r="AA576" s="107">
        <f>INVESTORS_LIST[[#This Row],[TOTAL UNITS BUY]]-INVESTORS_LIST[[#This Row],[TOTAL UNITS SOLD]]</f>
        <v>0</v>
      </c>
      <c r="AB576" s="107">
        <f>INVESTORS_LIST[[#This Row],[TOTAL CURRENT UNITS]]-INVESTORS_LIST[[#This Row],[BO UNITS HOLD]]</f>
        <v>-39869</v>
      </c>
      <c r="AC576" s="201" t="e">
        <f>INDEX([3]!Table_1[BO ID],MATCH(INVESTORS_LIST[[#This Row],[INVESTOR CODE]],[3]!Table_1[INVESTOR CODE],0))</f>
        <v>#REF!</v>
      </c>
      <c r="AD576" s="201" t="e">
        <f>INDEX([3]!Table_1[Brokerage Name2],MATCH(INVESTORS_LIST[[#This Row],[INVESTOR CODE]],[3]!Table_1[INVESTOR CODE],0))</f>
        <v>#REF!</v>
      </c>
      <c r="AE576" s="201" t="e">
        <f>MID(INVESTORS_LIST[[#This Row],[BO ID]],4,5)</f>
        <v>#REF!</v>
      </c>
      <c r="AF576" s="201" t="e">
        <f>MID(INVESTORS_LIST[[#This Row],[BO ID]],2,7)</f>
        <v>#REF!</v>
      </c>
      <c r="AG576" s="201" t="e">
        <f>MID(INVESTORS_LIST[[#This Row],[BO ID]],9,7)</f>
        <v>#REF!</v>
      </c>
      <c r="AH576" s="201" t="e">
        <f>RIGHT(INVESTORS_LIST[[#This Row],[BO ID]],1)</f>
        <v>#REF!</v>
      </c>
      <c r="AI576" s="50">
        <f>INVESTORS_LIST[[#This Row],[LS_TOTAL COST VALUE OF CURRENT UNITS]]+INVESTORS_LIST[[#This Row],[SIP_TOTAL COST VALUE OF CURRENT UNITS]]</f>
        <v>0</v>
      </c>
      <c r="AJ576" s="109">
        <f>IF(INVESTORS_LIST[[#This Row],[TOTAL CURRENT UNITS]]=0,0,INVESTORS_LIST[[#This Row],[LS_TOTAL CURRENT UNITS]]/INVESTORS_LIST[[#This Row],[TOTAL CURRENT UNITS]])</f>
        <v>0</v>
      </c>
      <c r="AK576" s="109">
        <f>IF(INVESTORS_LIST[[#This Row],[TOTAL CURRENT UNITS]]=0,0,INVESTORS_LIST[[#This Row],[SIP_TOTAL CURRENT UNITS]]/INVESTORS_LIST[[#This Row],[TOTAL CURRENT UNITS]])</f>
        <v>0</v>
      </c>
      <c r="AL576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6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6" s="105">
        <f t="shared" si="9"/>
        <v>14.224</v>
      </c>
      <c r="AP576" s="112">
        <f>IF(INVESTORS_LIST[[#This Row],[TOTAL CURRENT UNITS]]=0,0,INVESTORS_LIST[[#This Row],[TOTAL CURRENT UNITS]]*INVESTORS_LIST[[#This Row],[NAV]])</f>
        <v>0</v>
      </c>
      <c r="AQ576" s="102">
        <f>IF(INVESTORS_LIST[[#This Row],[LS_TOTAL CURRENT UNITS]]=0,0,INVESTORS_LIST[[#This Row],[LS_TOTAL CURRENT UNITS]]*INVESTORS_LIST[[#This Row],[NAV]])</f>
        <v>0</v>
      </c>
      <c r="AR576" s="48">
        <f>IF(INVESTORS_LIST[[#This Row],[SIP_TOTAL CURRENT UNITS]]=0,0,INVESTORS_LIST[[#This Row],[SIP_TOTAL CURRENT UNITS]]*INVESTORS_LIST[[#This Row],[NAV]])</f>
        <v>0</v>
      </c>
      <c r="AS576" s="50">
        <f>INVESTORS_LIST[[#This Row],[TOTAL CURRENT UNITS]]</f>
        <v>0</v>
      </c>
      <c r="AT576" s="48">
        <f>IF(INVESTORS_LIST[[#This Row],[TOTAL SELLABLE UNITS]]=0,0,INVESTORS_LIST[[#This Row],[TOTAL SELLABLE UNITS]]*INVESTORS_LIST[[#This Row],[NAV]])</f>
        <v>0</v>
      </c>
      <c r="AU576" s="48">
        <f>INVESTORS_LIST[[#This Row],[LS_TOTAL REALIZED GAIN]]+INVESTORS_LIST[[#This Row],[SIP_TOTAL REALIZED GAIN]]</f>
        <v>8885.4400000000242</v>
      </c>
      <c r="AV576" s="48">
        <f>INVESTORS_LIST[[#This Row],[TOTAL MARKET VALUE]]-INVESTORS_LIST[[#This Row],[TOTAL COST VALUE OF CURRENT INVESTMENT]]</f>
        <v>0</v>
      </c>
      <c r="AW576" s="48">
        <f>IFERROR(INVESTORS_LIST[[#This Row],[TOTAL CURRENT UNITS]]/SUM(INVESTORS_LIST[TOTAL CURRENT UNITS]),0)</f>
        <v>0</v>
      </c>
    </row>
    <row r="577" spans="1:49">
      <c r="A577" s="262" t="s">
        <v>1201</v>
      </c>
      <c r="B577" s="97" t="s">
        <v>1202</v>
      </c>
      <c r="C577" t="s">
        <v>44</v>
      </c>
      <c r="D577" s="75" t="s">
        <v>45</v>
      </c>
      <c r="E577" s="50">
        <f>SUMIFS(LS[Unit],LS[Investor ID],INVESTORS_LIST[[#This Row],[INVESTOR CODE]],LS[B/S],"B")</f>
        <v>84704</v>
      </c>
      <c r="F577" s="50">
        <f>-SUMIFS(LS[Unit],LS[Investor ID],INVESTORS_LIST[[#This Row],[INVESTOR CODE]],LS[B/S],"S")</f>
        <v>0</v>
      </c>
      <c r="G577" s="50">
        <f>IF(INVESTORS_LIST[[#This Row],[LS_TOTAL UNITS BUY]]=0,0,INVESTORS_LIST[[#This Row],[LS_TOTAL UNITS BUY]]-INVESTORS_LIST[[#This Row],[LS_TOTAL UNITS SOLD]])</f>
        <v>84704</v>
      </c>
      <c r="H577" s="102">
        <f>IF(INVESTORS_LIST[[#This Row],[LS_TOTAL UNITS BUY]]=0,0,SUMIFS(LS[Amount],LS[Investor ID],INVESTORS_LIST[[#This Row],[INVESTOR CODE]],LS[B/S],"B"))</f>
        <v>1000000</v>
      </c>
      <c r="I577" s="48">
        <f>IF(INVESTORS_LIST[[#This Row],[LS_TOTAL UNITS SOLD]]=0,0,SUMIFS(LS[Cost of Units Sold],LS[Investor ID],INVESTORS_LIST[[#This Row],[INVESTOR CODE]],LS[B/S],"S"))</f>
        <v>0</v>
      </c>
      <c r="J577" s="48">
        <f>IF(INVESTORS_LIST[[#This Row],[LS_TOTAL CURRENT UNITS]]=0,0,INVESTORS_LIST[[#This Row],[LS_TOTAL CURRENT UNITS]]*INVESTORS_LIST[[#This Row],[LS_AVERAGE COST]])</f>
        <v>999999.99999999988</v>
      </c>
      <c r="K577" s="48">
        <f>IF(INVESTORS_LIST[[#This Row],[LS_TOTAL UNITS SOLD]]=0,0,SUMIFS(LS[Realized Gain],LS[Investor ID],INVESTORS_LIST[[#This Row],[INVESTOR CODE]],LS[B/S],"S"))</f>
        <v>0</v>
      </c>
      <c r="L577" s="104">
        <f>SUMIFS(SIP[Unit],SIP[Investor ID],INVESTORS_LIST[[#This Row],[INVESTOR CODE]],SIP[B/S],"B")</f>
        <v>0</v>
      </c>
      <c r="M577" s="50">
        <f>-SUMIFS(SIP[Unit],SIP[Investor ID],INVESTORS_LIST[[#This Row],[INVESTOR CODE]],SIP[B/S],"S")</f>
        <v>0</v>
      </c>
      <c r="N577" s="50">
        <f>IF(INVESTORS_LIST[[#This Row],[SIP_TOTAL UNITS BUY]]=0,0,INVESTORS_LIST[[#This Row],[SIP_TOTAL UNITS BUY]]-INVESTORS_LIST[[#This Row],[SIP_TOTAL UNITS SOLD]])</f>
        <v>0</v>
      </c>
      <c r="O577" s="48">
        <f>IF(INVESTORS_LIST[[#This Row],[SIP_TOTAL UNITS BUY]]=0,0,SUMIFS(SIP[Amount],SIP[Investor ID],INVESTORS_LIST[[#This Row],[INVESTOR CODE]],SIP[B/S],"B"))</f>
        <v>0</v>
      </c>
      <c r="P577" s="48">
        <f>IF(INVESTORS_LIST[[#This Row],[SIP_TOTAL UNITS SOLD]]=0,0,SUMIFS(SIP[Cost of Units Sold],SIP[Investor ID],INVESTORS_LIST[[#This Row],[INVESTOR CODE]],SIP[B/S],"S"))</f>
        <v>0</v>
      </c>
      <c r="Q577" s="48">
        <f>IF(INVESTORS_LIST[[#This Row],[SIP_TOTAL CURRENT UNITS]]=0,0,INVESTORS_LIST[[#This Row],[SIP_TOTAL CURRENT UNITS]]*INVESTORS_LIST[[#This Row],[SIP_AVERAGE COST]])</f>
        <v>0</v>
      </c>
      <c r="R577" s="48">
        <f>IF(INVESTORS_LIST[[#This Row],[SIP_TOTAL UNITS SOLD]]=0,0,SUMIFS(SIP[Realized Gain],SIP[Investor ID],INVESTORS_LIST[[#This Row],[INVESTOR CODE]],SIP[B/S],"S"))</f>
        <v>0</v>
      </c>
      <c r="S577" s="50">
        <f>INVESTORS_LIST[[#This Row],[LS_TOTAL UNITS BUY]]+INVESTORS_LIST[[#This Row],[SIP_TOTAL UNITS BUY]]</f>
        <v>84704</v>
      </c>
      <c r="T577" s="50">
        <f>INVESTORS_LIST[[#This Row],[LS_TOTAL UNITS SOLD]]+INVESTORS_LIST[[#This Row],[SIP_TOTAL UNITS SOLD]]</f>
        <v>0</v>
      </c>
      <c r="U577" s="50"/>
      <c r="V577" s="50">
        <f>SUMIFS(LS[BO UNIT TRANSFER],LS[Investor ID],INVESTORS_LIST[[#This Row],[INVESTOR CODE]],LS[B/S],"B")</f>
        <v>0</v>
      </c>
      <c r="W577" s="50">
        <f>SUMIFS(SIP[BO UNIT TRANSFER],SIP[Investor ID],INVESTORS_LIST[[#This Row],[INVESTOR CODE]],SIP[B/S],"B")</f>
        <v>0</v>
      </c>
      <c r="X577" s="50">
        <f>SUMIFS(LS[BO UNIT TRANSFER],LS[Investor ID],INVESTORS_LIST[[#This Row],[INVESTOR CODE]],LS[B/S],"S")</f>
        <v>0</v>
      </c>
      <c r="Y577" s="50">
        <f>SUMIFS(SIP[BO UNIT TRANSFER],SIP[Investor ID],INVESTORS_LIST[[#This Row],[INVESTOR CODE]],SIP[B/S],"S")</f>
        <v>0</v>
      </c>
      <c r="Z577" s="106">
        <f>SUM(INVESTORS_LIST[[#This Row],[BO OPENING BALANCE]:[BO SIP UNITS REPURCHASE]])</f>
        <v>0</v>
      </c>
      <c r="AA577" s="107">
        <f>INVESTORS_LIST[[#This Row],[TOTAL UNITS BUY]]-INVESTORS_LIST[[#This Row],[TOTAL UNITS SOLD]]</f>
        <v>84704</v>
      </c>
      <c r="AB577" s="107">
        <f>INVESTORS_LIST[[#This Row],[TOTAL CURRENT UNITS]]-INVESTORS_LIST[[#This Row],[BO UNITS HOLD]]</f>
        <v>84704</v>
      </c>
      <c r="AC577" s="201" t="e">
        <f>INDEX([3]!Table_1[BO ID],MATCH(INVESTORS_LIST[[#This Row],[INVESTOR CODE]],[3]!Table_1[INVESTOR CODE],0))</f>
        <v>#REF!</v>
      </c>
      <c r="AD577" s="201" t="e">
        <f>INDEX([3]!Table_1[Brokerage Name2],MATCH(INVESTORS_LIST[[#This Row],[INVESTOR CODE]],[3]!Table_1[INVESTOR CODE],0))</f>
        <v>#REF!</v>
      </c>
      <c r="AE577" s="201" t="e">
        <f>MID(INVESTORS_LIST[[#This Row],[BO ID]],4,5)</f>
        <v>#REF!</v>
      </c>
      <c r="AF577" s="201" t="e">
        <f>MID(INVESTORS_LIST[[#This Row],[BO ID]],2,7)</f>
        <v>#REF!</v>
      </c>
      <c r="AG577" s="201" t="e">
        <f>MID(INVESTORS_LIST[[#This Row],[BO ID]],9,7)</f>
        <v>#REF!</v>
      </c>
      <c r="AH577" s="201" t="e">
        <f>RIGHT(INVESTORS_LIST[[#This Row],[BO ID]],1)</f>
        <v>#REF!</v>
      </c>
      <c r="AI577" s="50">
        <f>INVESTORS_LIST[[#This Row],[LS_TOTAL COST VALUE OF CURRENT UNITS]]+INVESTORS_LIST[[#This Row],[SIP_TOTAL COST VALUE OF CURRENT UNITS]]</f>
        <v>999999.99999999988</v>
      </c>
      <c r="AJ577" s="109">
        <f>IF(INVESTORS_LIST[[#This Row],[TOTAL CURRENT UNITS]]=0,0,INVESTORS_LIST[[#This Row],[LS_TOTAL CURRENT UNITS]]/INVESTORS_LIST[[#This Row],[TOTAL CURRENT UNITS]])</f>
        <v>1</v>
      </c>
      <c r="AK577" s="109">
        <f>IF(INVESTORS_LIST[[#This Row],[TOTAL CURRENT UNITS]]=0,0,INVESTORS_LIST[[#This Row],[SIP_TOTAL CURRENT UNITS]]/INVESTORS_LIST[[#This Row],[TOTAL CURRENT UNITS]])</f>
        <v>0</v>
      </c>
      <c r="AL577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11.805817907064601</v>
      </c>
      <c r="AM577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7" s="105">
        <f>IF(INVESTORS_LIST[[#This Row],[TOTAL CURRENT UNITS]]=0,0,(INVESTORS_LIST[[#This Row],[LS_WEIGHT]]*INVESTORS_LIST[[#This Row],[LS_AVERAGE COST]])+(INVESTORS_LIST[[#This Row],[SIP_WEIGHT]]*INVESTORS_LIST[[#This Row],[SIP_AVERAGE COST]]))</f>
        <v>11.805817907064601</v>
      </c>
      <c r="AO577" s="105">
        <f t="shared" si="9"/>
        <v>14.224</v>
      </c>
      <c r="AP577" s="112">
        <f>IF(INVESTORS_LIST[[#This Row],[TOTAL CURRENT UNITS]]=0,0,INVESTORS_LIST[[#This Row],[TOTAL CURRENT UNITS]]*INVESTORS_LIST[[#This Row],[NAV]])</f>
        <v>1204829.696</v>
      </c>
      <c r="AQ577" s="102">
        <f>IF(INVESTORS_LIST[[#This Row],[LS_TOTAL CURRENT UNITS]]=0,0,INVESTORS_LIST[[#This Row],[LS_TOTAL CURRENT UNITS]]*INVESTORS_LIST[[#This Row],[NAV]])</f>
        <v>1204829.696</v>
      </c>
      <c r="AR577" s="48">
        <f>IF(INVESTORS_LIST[[#This Row],[SIP_TOTAL CURRENT UNITS]]=0,0,INVESTORS_LIST[[#This Row],[SIP_TOTAL CURRENT UNITS]]*INVESTORS_LIST[[#This Row],[NAV]])</f>
        <v>0</v>
      </c>
      <c r="AS577" s="50">
        <f>INVESTORS_LIST[[#This Row],[TOTAL CURRENT UNITS]]</f>
        <v>84704</v>
      </c>
      <c r="AT577" s="48">
        <f>IF(INVESTORS_LIST[[#This Row],[TOTAL SELLABLE UNITS]]=0,0,INVESTORS_LIST[[#This Row],[TOTAL SELLABLE UNITS]]*INVESTORS_LIST[[#This Row],[NAV]])</f>
        <v>1204829.696</v>
      </c>
      <c r="AU577" s="48">
        <f>INVESTORS_LIST[[#This Row],[LS_TOTAL REALIZED GAIN]]+INVESTORS_LIST[[#This Row],[SIP_TOTAL REALIZED GAIN]]</f>
        <v>0</v>
      </c>
      <c r="AV577" s="48">
        <f>INVESTORS_LIST[[#This Row],[TOTAL MARKET VALUE]]-INVESTORS_LIST[[#This Row],[TOTAL COST VALUE OF CURRENT INVESTMENT]]</f>
        <v>204829.69600000011</v>
      </c>
      <c r="AW577" s="48">
        <f>IFERROR(INVESTORS_LIST[[#This Row],[TOTAL CURRENT UNITS]]/SUM(INVESTORS_LIST[TOTAL CURRENT UNITS]),0)</f>
        <v>2.0562919136315641E-3</v>
      </c>
    </row>
    <row r="578" spans="1:49" hidden="1">
      <c r="A578" s="262" t="s">
        <v>1203</v>
      </c>
      <c r="B578" s="97" t="s">
        <v>1204</v>
      </c>
      <c r="C578" t="s">
        <v>44</v>
      </c>
      <c r="D578" s="75" t="s">
        <v>45</v>
      </c>
      <c r="E578" s="50">
        <f>SUMIFS(LS[Unit],LS[Investor ID],INVESTORS_LIST[[#This Row],[INVESTOR CODE]],LS[B/S],"B")</f>
        <v>84704</v>
      </c>
      <c r="F578" s="50">
        <f>-SUMIFS(LS[Unit],LS[Investor ID],INVESTORS_LIST[[#This Row],[INVESTOR CODE]],LS[B/S],"S")</f>
        <v>84704</v>
      </c>
      <c r="G578" s="50">
        <f>IF(INVESTORS_LIST[[#This Row],[LS_TOTAL UNITS BUY]]=0,0,INVESTORS_LIST[[#This Row],[LS_TOTAL UNITS BUY]]-INVESTORS_LIST[[#This Row],[LS_TOTAL UNITS SOLD]])</f>
        <v>0</v>
      </c>
      <c r="H578" s="102">
        <f>IF(INVESTORS_LIST[[#This Row],[LS_TOTAL UNITS BUY]]=0,0,SUMIFS(LS[Amount],LS[Investor ID],INVESTORS_LIST[[#This Row],[INVESTOR CODE]],LS[B/S],"B"))</f>
        <v>1000000</v>
      </c>
      <c r="I578" s="48">
        <f>IF(INVESTORS_LIST[[#This Row],[LS_TOTAL UNITS SOLD]]=0,0,SUMIFS(LS[Cost of Units Sold],LS[Investor ID],INVESTORS_LIST[[#This Row],[INVESTOR CODE]],LS[B/S],"S"))</f>
        <v>999999.99999999988</v>
      </c>
      <c r="J578" s="48">
        <f>IF(INVESTORS_LIST[[#This Row],[LS_TOTAL CURRENT UNITS]]=0,0,INVESTORS_LIST[[#This Row],[LS_TOTAL CURRENT UNITS]]*INVESTORS_LIST[[#This Row],[LS_AVERAGE COST]])</f>
        <v>0</v>
      </c>
      <c r="K578" s="48">
        <f>IF(INVESTORS_LIST[[#This Row],[LS_TOTAL UNITS SOLD]]=0,0,SUMIFS(LS[Realized Gain],LS[Investor ID],INVESTORS_LIST[[#This Row],[INVESTOR CODE]],LS[B/S],"S"))</f>
        <v>115043.45999999996</v>
      </c>
      <c r="L578" s="104">
        <f>SUMIFS(SIP[Unit],SIP[Investor ID],INVESTORS_LIST[[#This Row],[INVESTOR CODE]],SIP[B/S],"B")</f>
        <v>0</v>
      </c>
      <c r="M578" s="50">
        <f>-SUMIFS(SIP[Unit],SIP[Investor ID],INVESTORS_LIST[[#This Row],[INVESTOR CODE]],SIP[B/S],"S")</f>
        <v>0</v>
      </c>
      <c r="N578" s="50">
        <f>IF(INVESTORS_LIST[[#This Row],[SIP_TOTAL UNITS BUY]]=0,0,INVESTORS_LIST[[#This Row],[SIP_TOTAL UNITS BUY]]-INVESTORS_LIST[[#This Row],[SIP_TOTAL UNITS SOLD]])</f>
        <v>0</v>
      </c>
      <c r="O578" s="48">
        <f>IF(INVESTORS_LIST[[#This Row],[SIP_TOTAL UNITS BUY]]=0,0,SUMIFS(SIP[Amount],SIP[Investor ID],INVESTORS_LIST[[#This Row],[INVESTOR CODE]],SIP[B/S],"B"))</f>
        <v>0</v>
      </c>
      <c r="P578" s="48">
        <f>IF(INVESTORS_LIST[[#This Row],[SIP_TOTAL UNITS SOLD]]=0,0,SUMIFS(SIP[Cost of Units Sold],SIP[Investor ID],INVESTORS_LIST[[#This Row],[INVESTOR CODE]],SIP[B/S],"S"))</f>
        <v>0</v>
      </c>
      <c r="Q578" s="48">
        <f>IF(INVESTORS_LIST[[#This Row],[SIP_TOTAL CURRENT UNITS]]=0,0,INVESTORS_LIST[[#This Row],[SIP_TOTAL CURRENT UNITS]]*INVESTORS_LIST[[#This Row],[SIP_AVERAGE COST]])</f>
        <v>0</v>
      </c>
      <c r="R578" s="48">
        <f>IF(INVESTORS_LIST[[#This Row],[SIP_TOTAL UNITS SOLD]]=0,0,SUMIFS(SIP[Realized Gain],SIP[Investor ID],INVESTORS_LIST[[#This Row],[INVESTOR CODE]],SIP[B/S],"S"))</f>
        <v>0</v>
      </c>
      <c r="S578" s="50">
        <f>INVESTORS_LIST[[#This Row],[LS_TOTAL UNITS BUY]]+INVESTORS_LIST[[#This Row],[SIP_TOTAL UNITS BUY]]</f>
        <v>84704</v>
      </c>
      <c r="T578" s="50">
        <f>INVESTORS_LIST[[#This Row],[LS_TOTAL UNITS SOLD]]+INVESTORS_LIST[[#This Row],[SIP_TOTAL UNITS SOLD]]</f>
        <v>84704</v>
      </c>
      <c r="U578" s="50">
        <v>84704</v>
      </c>
      <c r="V578" s="50">
        <f>SUMIFS(LS[BO UNIT TRANSFER],LS[Investor ID],INVESTORS_LIST[[#This Row],[INVESTOR CODE]],LS[B/S],"B")</f>
        <v>0</v>
      </c>
      <c r="W578" s="50">
        <f>SUMIFS(SIP[BO UNIT TRANSFER],SIP[Investor ID],INVESTORS_LIST[[#This Row],[INVESTOR CODE]],SIP[B/S],"B")</f>
        <v>0</v>
      </c>
      <c r="X578" s="50">
        <f>SUMIFS(LS[BO UNIT TRANSFER],LS[Investor ID],INVESTORS_LIST[[#This Row],[INVESTOR CODE]],LS[B/S],"S")</f>
        <v>0</v>
      </c>
      <c r="Y578" s="50">
        <f>SUMIFS(SIP[BO UNIT TRANSFER],SIP[Investor ID],INVESTORS_LIST[[#This Row],[INVESTOR CODE]],SIP[B/S],"S")</f>
        <v>0</v>
      </c>
      <c r="Z578" s="106">
        <f>SUM(INVESTORS_LIST[[#This Row],[BO OPENING BALANCE]:[BO SIP UNITS REPURCHASE]])</f>
        <v>84704</v>
      </c>
      <c r="AA578" s="107">
        <f>INVESTORS_LIST[[#This Row],[TOTAL UNITS BUY]]-INVESTORS_LIST[[#This Row],[TOTAL UNITS SOLD]]</f>
        <v>0</v>
      </c>
      <c r="AB578" s="107">
        <f>INVESTORS_LIST[[#This Row],[TOTAL CURRENT UNITS]]-INVESTORS_LIST[[#This Row],[BO UNITS HOLD]]</f>
        <v>-84704</v>
      </c>
      <c r="AC578" s="201" t="e">
        <f>INDEX([3]!Table_1[BO ID],MATCH(INVESTORS_LIST[[#This Row],[INVESTOR CODE]],[3]!Table_1[INVESTOR CODE],0))</f>
        <v>#REF!</v>
      </c>
      <c r="AD578" s="201" t="e">
        <f>INDEX([3]!Table_1[Brokerage Name2],MATCH(INVESTORS_LIST[[#This Row],[INVESTOR CODE]],[3]!Table_1[INVESTOR CODE],0))</f>
        <v>#REF!</v>
      </c>
      <c r="AE578" s="201" t="e">
        <f>MID(INVESTORS_LIST[[#This Row],[BO ID]],4,5)</f>
        <v>#REF!</v>
      </c>
      <c r="AF578" s="201" t="e">
        <f>MID(INVESTORS_LIST[[#This Row],[BO ID]],2,7)</f>
        <v>#REF!</v>
      </c>
      <c r="AG578" s="201" t="e">
        <f>MID(INVESTORS_LIST[[#This Row],[BO ID]],9,7)</f>
        <v>#REF!</v>
      </c>
      <c r="AH578" s="201" t="e">
        <f>RIGHT(INVESTORS_LIST[[#This Row],[BO ID]],1)</f>
        <v>#REF!</v>
      </c>
      <c r="AI578" s="50">
        <f>INVESTORS_LIST[[#This Row],[LS_TOTAL COST VALUE OF CURRENT UNITS]]+INVESTORS_LIST[[#This Row],[SIP_TOTAL COST VALUE OF CURRENT UNITS]]</f>
        <v>0</v>
      </c>
      <c r="AJ578" s="109">
        <f>IF(INVESTORS_LIST[[#This Row],[TOTAL CURRENT UNITS]]=0,0,INVESTORS_LIST[[#This Row],[LS_TOTAL CURRENT UNITS]]/INVESTORS_LIST[[#This Row],[TOTAL CURRENT UNITS]])</f>
        <v>0</v>
      </c>
      <c r="AK578" s="109">
        <f>IF(INVESTORS_LIST[[#This Row],[TOTAL CURRENT UNITS]]=0,0,INVESTORS_LIST[[#This Row],[SIP_TOTAL CURRENT UNITS]]/INVESTORS_LIST[[#This Row],[TOTAL CURRENT UNITS]])</f>
        <v>0</v>
      </c>
      <c r="AL578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78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78" s="105">
        <f t="shared" si="9"/>
        <v>14.224</v>
      </c>
      <c r="AP578" s="112">
        <f>IF(INVESTORS_LIST[[#This Row],[TOTAL CURRENT UNITS]]=0,0,INVESTORS_LIST[[#This Row],[TOTAL CURRENT UNITS]]*INVESTORS_LIST[[#This Row],[NAV]])</f>
        <v>0</v>
      </c>
      <c r="AQ578" s="102">
        <f>IF(INVESTORS_LIST[[#This Row],[LS_TOTAL CURRENT UNITS]]=0,0,INVESTORS_LIST[[#This Row],[LS_TOTAL CURRENT UNITS]]*INVESTORS_LIST[[#This Row],[NAV]])</f>
        <v>0</v>
      </c>
      <c r="AR578" s="48">
        <f>IF(INVESTORS_LIST[[#This Row],[SIP_TOTAL CURRENT UNITS]]=0,0,INVESTORS_LIST[[#This Row],[SIP_TOTAL CURRENT UNITS]]*INVESTORS_LIST[[#This Row],[NAV]])</f>
        <v>0</v>
      </c>
      <c r="AS578" s="50">
        <f>INVESTORS_LIST[[#This Row],[TOTAL CURRENT UNITS]]</f>
        <v>0</v>
      </c>
      <c r="AT578" s="48">
        <f>IF(INVESTORS_LIST[[#This Row],[TOTAL SELLABLE UNITS]]=0,0,INVESTORS_LIST[[#This Row],[TOTAL SELLABLE UNITS]]*INVESTORS_LIST[[#This Row],[NAV]])</f>
        <v>0</v>
      </c>
      <c r="AU578" s="48">
        <f>INVESTORS_LIST[[#This Row],[LS_TOTAL REALIZED GAIN]]+INVESTORS_LIST[[#This Row],[SIP_TOTAL REALIZED GAIN]]</f>
        <v>115043.45999999996</v>
      </c>
      <c r="AV578" s="48">
        <f>INVESTORS_LIST[[#This Row],[TOTAL MARKET VALUE]]-INVESTORS_LIST[[#This Row],[TOTAL COST VALUE OF CURRENT INVESTMENT]]</f>
        <v>0</v>
      </c>
      <c r="AW578" s="48">
        <f>IFERROR(INVESTORS_LIST[[#This Row],[TOTAL CURRENT UNITS]]/SUM(INVESTORS_LIST[TOTAL CURRENT UNITS]),0)</f>
        <v>0</v>
      </c>
    </row>
    <row r="579" spans="1:49">
      <c r="A579" s="262" t="s">
        <v>1205</v>
      </c>
      <c r="B579" s="97" t="s">
        <v>1206</v>
      </c>
      <c r="C579" t="s">
        <v>44</v>
      </c>
      <c r="D579" s="75" t="s">
        <v>45</v>
      </c>
      <c r="E579" s="50">
        <f>SUMIFS(LS[Unit],LS[Investor ID],INVESTORS_LIST[[#This Row],[INVESTOR CODE]],LS[B/S],"B")</f>
        <v>14347</v>
      </c>
      <c r="F579" s="50">
        <f>-SUMIFS(LS[Unit],LS[Investor ID],INVESTORS_LIST[[#This Row],[INVESTOR CODE]],LS[B/S],"S")</f>
        <v>0</v>
      </c>
      <c r="G579" s="50">
        <f>IF(INVESTORS_LIST[[#This Row],[LS_TOTAL UNITS BUY]]=0,0,INVESTORS_LIST[[#This Row],[LS_TOTAL UNITS BUY]]-INVESTORS_LIST[[#This Row],[LS_TOTAL UNITS SOLD]])</f>
        <v>14347</v>
      </c>
      <c r="H579" s="102">
        <f>IF(INVESTORS_LIST[[#This Row],[LS_TOTAL UNITS BUY]]=0,0,SUMIFS(LS[Amount],LS[Investor ID],INVESTORS_LIST[[#This Row],[INVESTOR CODE]],LS[B/S],"B"))</f>
        <v>160000</v>
      </c>
      <c r="I579" s="48">
        <f>IF(INVESTORS_LIST[[#This Row],[LS_TOTAL UNITS SOLD]]=0,0,SUMIFS(LS[Cost of Units Sold],LS[Investor ID],INVESTORS_LIST[[#This Row],[INVESTOR CODE]],LS[B/S],"S"))</f>
        <v>0</v>
      </c>
      <c r="J579" s="48">
        <f>IF(INVESTORS_LIST[[#This Row],[LS_TOTAL CURRENT UNITS]]=0,0,INVESTORS_LIST[[#This Row],[LS_TOTAL CURRENT UNITS]]*INVESTORS_LIST[[#This Row],[LS_AVERAGE COST]])</f>
        <v>160000</v>
      </c>
      <c r="K579" s="48">
        <f>IF(INVESTORS_LIST[[#This Row],[LS_TOTAL UNITS SOLD]]=0,0,SUMIFS(LS[Realized Gain],LS[Investor ID],INVESTORS_LIST[[#This Row],[INVESTOR CODE]],LS[B/S],"S"))</f>
        <v>0</v>
      </c>
      <c r="L579" s="104">
        <f>SUMIFS(SIP[Unit],SIP[Investor ID],INVESTORS_LIST[[#This Row],[INVESTOR CODE]],SIP[B/S],"B")</f>
        <v>0</v>
      </c>
      <c r="M579" s="50">
        <f>-SUMIFS(SIP[Unit],SIP[Investor ID],INVESTORS_LIST[[#This Row],[INVESTOR CODE]],SIP[B/S],"S")</f>
        <v>0</v>
      </c>
      <c r="N579" s="50">
        <f>IF(INVESTORS_LIST[[#This Row],[SIP_TOTAL UNITS BUY]]=0,0,INVESTORS_LIST[[#This Row],[SIP_TOTAL UNITS BUY]]-INVESTORS_LIST[[#This Row],[SIP_TOTAL UNITS SOLD]])</f>
        <v>0</v>
      </c>
      <c r="O579" s="48">
        <f>IF(INVESTORS_LIST[[#This Row],[SIP_TOTAL UNITS BUY]]=0,0,SUMIFS(SIP[Amount],SIP[Investor ID],INVESTORS_LIST[[#This Row],[INVESTOR CODE]],SIP[B/S],"B"))</f>
        <v>0</v>
      </c>
      <c r="P579" s="48">
        <f>IF(INVESTORS_LIST[[#This Row],[SIP_TOTAL UNITS SOLD]]=0,0,SUMIFS(SIP[Cost of Units Sold],SIP[Investor ID],INVESTORS_LIST[[#This Row],[INVESTOR CODE]],SIP[B/S],"S"))</f>
        <v>0</v>
      </c>
      <c r="Q579" s="48">
        <f>IF(INVESTORS_LIST[[#This Row],[SIP_TOTAL CURRENT UNITS]]=0,0,INVESTORS_LIST[[#This Row],[SIP_TOTAL CURRENT UNITS]]*INVESTORS_LIST[[#This Row],[SIP_AVERAGE COST]])</f>
        <v>0</v>
      </c>
      <c r="R579" s="48">
        <f>IF(INVESTORS_LIST[[#This Row],[SIP_TOTAL UNITS SOLD]]=0,0,SUMIFS(SIP[Realized Gain],SIP[Investor ID],INVESTORS_LIST[[#This Row],[INVESTOR CODE]],SIP[B/S],"S"))</f>
        <v>0</v>
      </c>
      <c r="S579" s="50">
        <f>INVESTORS_LIST[[#This Row],[LS_TOTAL UNITS BUY]]+INVESTORS_LIST[[#This Row],[SIP_TOTAL UNITS BUY]]</f>
        <v>14347</v>
      </c>
      <c r="T579" s="50">
        <f>INVESTORS_LIST[[#This Row],[LS_TOTAL UNITS SOLD]]+INVESTORS_LIST[[#This Row],[SIP_TOTAL UNITS SOLD]]</f>
        <v>0</v>
      </c>
      <c r="U579" s="50"/>
      <c r="V579" s="50">
        <f>SUMIFS(LS[BO UNIT TRANSFER],LS[Investor ID],INVESTORS_LIST[[#This Row],[INVESTOR CODE]],LS[B/S],"B")</f>
        <v>0</v>
      </c>
      <c r="W579" s="50">
        <f>SUMIFS(SIP[BO UNIT TRANSFER],SIP[Investor ID],INVESTORS_LIST[[#This Row],[INVESTOR CODE]],SIP[B/S],"B")</f>
        <v>0</v>
      </c>
      <c r="X579" s="50">
        <f>SUMIFS(LS[BO UNIT TRANSFER],LS[Investor ID],INVESTORS_LIST[[#This Row],[INVESTOR CODE]],LS[B/S],"S")</f>
        <v>0</v>
      </c>
      <c r="Y579" s="50">
        <f>SUMIFS(SIP[BO UNIT TRANSFER],SIP[Investor ID],INVESTORS_LIST[[#This Row],[INVESTOR CODE]],SIP[B/S],"S")</f>
        <v>0</v>
      </c>
      <c r="Z579" s="106">
        <f>SUM(INVESTORS_LIST[[#This Row],[BO OPENING BALANCE]:[BO SIP UNITS REPURCHASE]])</f>
        <v>0</v>
      </c>
      <c r="AA579" s="107">
        <f>INVESTORS_LIST[[#This Row],[TOTAL UNITS BUY]]-INVESTORS_LIST[[#This Row],[TOTAL UNITS SOLD]]</f>
        <v>14347</v>
      </c>
      <c r="AB579" s="107">
        <f>INVESTORS_LIST[[#This Row],[TOTAL CURRENT UNITS]]-INVESTORS_LIST[[#This Row],[BO UNITS HOLD]]</f>
        <v>14347</v>
      </c>
      <c r="AC579" s="201" t="e">
        <f>INDEX([3]!Table_1[BO ID],MATCH(INVESTORS_LIST[[#This Row],[INVESTOR CODE]],[3]!Table_1[INVESTOR CODE],0))</f>
        <v>#REF!</v>
      </c>
      <c r="AD579" s="201" t="e">
        <f>INDEX([3]!Table_1[Brokerage Name2],MATCH(INVESTORS_LIST[[#This Row],[INVESTOR CODE]],[3]!Table_1[INVESTOR CODE],0))</f>
        <v>#REF!</v>
      </c>
      <c r="AE579" s="201" t="e">
        <f>MID(INVESTORS_LIST[[#This Row],[BO ID]],4,5)</f>
        <v>#REF!</v>
      </c>
      <c r="AF579" s="201" t="e">
        <f>MID(INVESTORS_LIST[[#This Row],[BO ID]],2,7)</f>
        <v>#REF!</v>
      </c>
      <c r="AG579" s="201" t="e">
        <f>MID(INVESTORS_LIST[[#This Row],[BO ID]],9,7)</f>
        <v>#REF!</v>
      </c>
      <c r="AH579" s="201" t="e">
        <f>RIGHT(INVESTORS_LIST[[#This Row],[BO ID]],1)</f>
        <v>#REF!</v>
      </c>
      <c r="AI579" s="50">
        <f>INVESTORS_LIST[[#This Row],[LS_TOTAL COST VALUE OF CURRENT UNITS]]+INVESTORS_LIST[[#This Row],[SIP_TOTAL COST VALUE OF CURRENT UNITS]]</f>
        <v>160000</v>
      </c>
      <c r="AJ579" s="109">
        <f>IF(INVESTORS_LIST[[#This Row],[TOTAL CURRENT UNITS]]=0,0,INVESTORS_LIST[[#This Row],[LS_TOTAL CURRENT UNITS]]/INVESTORS_LIST[[#This Row],[TOTAL CURRENT UNITS]])</f>
        <v>1</v>
      </c>
      <c r="AK579" s="109">
        <f>IF(INVESTORS_LIST[[#This Row],[TOTAL CURRENT UNITS]]=0,0,INVESTORS_LIST[[#This Row],[SIP_TOTAL CURRENT UNITS]]/INVESTORS_LIST[[#This Row],[TOTAL CURRENT UNITS]])</f>
        <v>0</v>
      </c>
      <c r="AL579" s="99">
        <f>IF(INVESTORS_LIST[[#This Row],[LS_TOTAL UNITS BUY]]&gt;0,INDEX(LS[NAV at Cost (Average)],MATCH(CONCATENATE(COUNTIFS(LS[Investor ID],INVESTORS_LIST[[#This Row],[INVESTOR CODE]]),INVESTORS_LIST[[#This Row],[INVESTOR CODE]]),LS[Unique Code],0),),0)</f>
        <v>11.152157245417161</v>
      </c>
      <c r="AM579" s="99">
        <f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79" s="105">
        <f>IF(INVESTORS_LIST[[#This Row],[TOTAL CURRENT UNITS]]=0,0,(INVESTORS_LIST[[#This Row],[LS_WEIGHT]]*INVESTORS_LIST[[#This Row],[LS_AVERAGE COST]])+(INVESTORS_LIST[[#This Row],[SIP_WEIGHT]]*INVESTORS_LIST[[#This Row],[SIP_AVERAGE COST]]))</f>
        <v>11.152157245417161</v>
      </c>
      <c r="AO579" s="105">
        <f t="shared" ref="AO579:AO642" si="10">NAV_MKT</f>
        <v>14.224</v>
      </c>
      <c r="AP579" s="112">
        <f>IF(INVESTORS_LIST[[#This Row],[TOTAL CURRENT UNITS]]=0,0,INVESTORS_LIST[[#This Row],[TOTAL CURRENT UNITS]]*INVESTORS_LIST[[#This Row],[NAV]])</f>
        <v>204071.728</v>
      </c>
      <c r="AQ579" s="102">
        <f>IF(INVESTORS_LIST[[#This Row],[LS_TOTAL CURRENT UNITS]]=0,0,INVESTORS_LIST[[#This Row],[LS_TOTAL CURRENT UNITS]]*INVESTORS_LIST[[#This Row],[NAV]])</f>
        <v>204071.728</v>
      </c>
      <c r="AR579" s="48">
        <f>IF(INVESTORS_LIST[[#This Row],[SIP_TOTAL CURRENT UNITS]]=0,0,INVESTORS_LIST[[#This Row],[SIP_TOTAL CURRENT UNITS]]*INVESTORS_LIST[[#This Row],[NAV]])</f>
        <v>0</v>
      </c>
      <c r="AS579" s="50">
        <f>INVESTORS_LIST[[#This Row],[TOTAL CURRENT UNITS]]</f>
        <v>14347</v>
      </c>
      <c r="AT579" s="48">
        <f>IF(INVESTORS_LIST[[#This Row],[TOTAL SELLABLE UNITS]]=0,0,INVESTORS_LIST[[#This Row],[TOTAL SELLABLE UNITS]]*INVESTORS_LIST[[#This Row],[NAV]])</f>
        <v>204071.728</v>
      </c>
      <c r="AU579" s="48">
        <f>INVESTORS_LIST[[#This Row],[LS_TOTAL REALIZED GAIN]]+INVESTORS_LIST[[#This Row],[SIP_TOTAL REALIZED GAIN]]</f>
        <v>0</v>
      </c>
      <c r="AV579" s="48">
        <f>INVESTORS_LIST[[#This Row],[TOTAL MARKET VALUE]]-INVESTORS_LIST[[#This Row],[TOTAL COST VALUE OF CURRENT INVESTMENT]]</f>
        <v>44071.728000000003</v>
      </c>
      <c r="AW579" s="48">
        <f>IFERROR(INVESTORS_LIST[[#This Row],[TOTAL CURRENT UNITS]]/SUM(INVESTORS_LIST[TOTAL CURRENT UNITS]),0)</f>
        <v>3.4829075468539915E-4</v>
      </c>
    </row>
    <row r="580" spans="1:49" hidden="1">
      <c r="A580" s="262" t="s">
        <v>1265</v>
      </c>
      <c r="B580" s="127" t="s">
        <v>1264</v>
      </c>
      <c r="C580" t="s">
        <v>44</v>
      </c>
      <c r="D580" s="75" t="s">
        <v>45</v>
      </c>
      <c r="E580" s="50">
        <f>SUMIFS(LS[Unit],LS[Investor ID],INVESTORS_LIST[[#This Row],[INVESTOR CODE]],LS[B/S],"B")</f>
        <v>26850</v>
      </c>
      <c r="F580" s="50">
        <f>-SUMIFS(LS[Unit],LS[Investor ID],INVESTORS_LIST[[#This Row],[INVESTOR CODE]],LS[B/S],"S")</f>
        <v>26850</v>
      </c>
      <c r="G580" s="50">
        <f>IF(INVESTORS_LIST[[#This Row],[LS_TOTAL UNITS BUY]]=0,0,INVESTORS_LIST[[#This Row],[LS_TOTAL UNITS BUY]]-INVESTORS_LIST[[#This Row],[LS_TOTAL UNITS SOLD]])</f>
        <v>0</v>
      </c>
      <c r="H580" s="102">
        <f>IF(INVESTORS_LIST[[#This Row],[LS_TOTAL UNITS BUY]]=0,0,SUMIFS(LS[Amount],LS[Investor ID],INVESTORS_LIST[[#This Row],[INVESTOR CODE]],LS[B/S],"B"))</f>
        <v>300000</v>
      </c>
      <c r="I580" s="48">
        <f>IF(INVESTORS_LIST[[#This Row],[LS_TOTAL UNITS SOLD]]=0,0,SUMIFS(LS[Cost of Units Sold],LS[Investor ID],INVESTORS_LIST[[#This Row],[INVESTOR CODE]],LS[B/S],"S"))</f>
        <v>300000</v>
      </c>
      <c r="J580" s="48">
        <f>IF(INVESTORS_LIST[[#This Row],[LS_TOTAL CURRENT UNITS]]=0,0,INVESTORS_LIST[[#This Row],[LS_TOTAL CURRENT UNITS]]*INVESTORS_LIST[[#This Row],[LS_AVERAGE COST]])</f>
        <v>0</v>
      </c>
      <c r="K580" s="48">
        <f>IF(INVESTORS_LIST[[#This Row],[LS_TOTAL UNITS SOLD]]=0,0,SUMIFS(LS[Realized Gain],LS[Investor ID],INVESTORS_LIST[[#This Row],[INVESTOR CODE]],LS[B/S],"S"))</f>
        <v>45129.900000000031</v>
      </c>
      <c r="L580" s="104">
        <f>SUMIFS(SIP[Unit],SIP[Investor ID],INVESTORS_LIST[[#This Row],[INVESTOR CODE]],SIP[B/S],"B")</f>
        <v>0</v>
      </c>
      <c r="M580" s="50">
        <f>-SUMIFS(SIP[Unit],SIP[Investor ID],INVESTORS_LIST[[#This Row],[INVESTOR CODE]],SIP[B/S],"S")</f>
        <v>0</v>
      </c>
      <c r="N580" s="50">
        <f>IF(INVESTORS_LIST[[#This Row],[SIP_TOTAL UNITS BUY]]=0,0,INVESTORS_LIST[[#This Row],[SIP_TOTAL UNITS BUY]]-INVESTORS_LIST[[#This Row],[SIP_TOTAL UNITS SOLD]])</f>
        <v>0</v>
      </c>
      <c r="O580" s="48">
        <f>IF(INVESTORS_LIST[[#This Row],[SIP_TOTAL UNITS BUY]]=0,0,SUMIFS(SIP[Amount],SIP[Investor ID],INVESTORS_LIST[[#This Row],[INVESTOR CODE]],SIP[B/S],"B"))</f>
        <v>0</v>
      </c>
      <c r="P580" s="48">
        <f>IF(INVESTORS_LIST[[#This Row],[SIP_TOTAL UNITS SOLD]]=0,0,SUMIFS(SIP[Cost of Units Sold],SIP[Investor ID],INVESTORS_LIST[[#This Row],[INVESTOR CODE]],SIP[B/S],"S"))</f>
        <v>0</v>
      </c>
      <c r="Q580" s="48">
        <f>IF(INVESTORS_LIST[[#This Row],[SIP_TOTAL CURRENT UNITS]]=0,0,INVESTORS_LIST[[#This Row],[SIP_TOTAL CURRENT UNITS]]*INVESTORS_LIST[[#This Row],[SIP_AVERAGE COST]])</f>
        <v>0</v>
      </c>
      <c r="R580" s="48">
        <f>IF(INVESTORS_LIST[[#This Row],[SIP_TOTAL UNITS SOLD]]=0,0,SUMIFS(SIP[Realized Gain],SIP[Investor ID],INVESTORS_LIST[[#This Row],[INVESTOR CODE]],SIP[B/S],"S"))</f>
        <v>0</v>
      </c>
      <c r="S580" s="50">
        <f>INVESTORS_LIST[[#This Row],[LS_TOTAL UNITS BUY]]+INVESTORS_LIST[[#This Row],[SIP_TOTAL UNITS BUY]]</f>
        <v>26850</v>
      </c>
      <c r="T580" s="50">
        <f>INVESTORS_LIST[[#This Row],[LS_TOTAL UNITS SOLD]]+INVESTORS_LIST[[#This Row],[SIP_TOTAL UNITS SOLD]]</f>
        <v>26850</v>
      </c>
      <c r="U580" s="50"/>
      <c r="V580" s="50">
        <f>SUMIFS(LS[BO UNIT TRANSFER],LS[Investor ID],INVESTORS_LIST[[#This Row],[INVESTOR CODE]],LS[B/S],"B")</f>
        <v>0</v>
      </c>
      <c r="W580" s="50">
        <f>SUMIFS(SIP[BO UNIT TRANSFER],SIP[Investor ID],INVESTORS_LIST[[#This Row],[INVESTOR CODE]],SIP[B/S],"B")</f>
        <v>0</v>
      </c>
      <c r="X580" s="50">
        <f>SUMIFS(LS[BO UNIT TRANSFER],LS[Investor ID],INVESTORS_LIST[[#This Row],[INVESTOR CODE]],LS[B/S],"S")</f>
        <v>0</v>
      </c>
      <c r="Y580" s="50">
        <f>SUMIFS(SIP[BO UNIT TRANSFER],SIP[Investor ID],INVESTORS_LIST[[#This Row],[INVESTOR CODE]],SIP[B/S],"S")</f>
        <v>0</v>
      </c>
      <c r="Z580" s="106">
        <f>SUM(INVESTORS_LIST[[#This Row],[BO OPENING BALANCE]:[BO SIP UNITS REPURCHASE]])</f>
        <v>0</v>
      </c>
      <c r="AA580" s="107">
        <f>INVESTORS_LIST[[#This Row],[TOTAL UNITS BUY]]-INVESTORS_LIST[[#This Row],[TOTAL UNITS SOLD]]</f>
        <v>0</v>
      </c>
      <c r="AB580" s="107">
        <f>INVESTORS_LIST[[#This Row],[TOTAL CURRENT UNITS]]-INVESTORS_LIST[[#This Row],[BO UNITS HOLD]]</f>
        <v>0</v>
      </c>
      <c r="AC580" s="201" t="e">
        <f>INDEX([3]!Table_1[BO ID],MATCH(INVESTORS_LIST[[#This Row],[INVESTOR CODE]],[3]!Table_1[INVESTOR CODE],0))</f>
        <v>#REF!</v>
      </c>
      <c r="AD580" s="201" t="e">
        <f>INDEX([3]!Table_1[Brokerage Name2],MATCH(INVESTORS_LIST[[#This Row],[INVESTOR CODE]],[3]!Table_1[INVESTOR CODE],0))</f>
        <v>#REF!</v>
      </c>
      <c r="AE580" s="201" t="e">
        <f>MID(INVESTORS_LIST[[#This Row],[BO ID]],4,5)</f>
        <v>#REF!</v>
      </c>
      <c r="AF580" s="201" t="e">
        <f>MID(INVESTORS_LIST[[#This Row],[BO ID]],2,7)</f>
        <v>#REF!</v>
      </c>
      <c r="AG580" s="201" t="e">
        <f>MID(INVESTORS_LIST[[#This Row],[BO ID]],9,7)</f>
        <v>#REF!</v>
      </c>
      <c r="AH580" s="201" t="e">
        <f>RIGHT(INVESTORS_LIST[[#This Row],[BO ID]],1)</f>
        <v>#REF!</v>
      </c>
      <c r="AI580" s="50">
        <f>INVESTORS_LIST[[#This Row],[LS_TOTAL COST VALUE OF CURRENT UNITS]]+INVESTORS_LIST[[#This Row],[SIP_TOTAL COST VALUE OF CURRENT UNITS]]</f>
        <v>0</v>
      </c>
      <c r="AJ580" s="109">
        <f>IF(INVESTORS_LIST[[#This Row],[TOTAL CURRENT UNITS]]=0,0,INVESTORS_LIST[[#This Row],[LS_TOTAL CURRENT UNITS]]/INVESTORS_LIST[[#This Row],[TOTAL CURRENT UNITS]])</f>
        <v>0</v>
      </c>
      <c r="AK580" s="109">
        <f>IF(INVESTORS_LIST[[#This Row],[TOTAL CURRENT UNITS]]=0,0,INVESTORS_LIST[[#This Row],[SIP_TOTAL CURRENT UNITS]]/INVESTORS_LIST[[#This Row],[TOTAL CURRENT UNITS]])</f>
        <v>0</v>
      </c>
      <c r="AL580" s="99" cm="1">
        <f t="array" ref="AL5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0" s="99" cm="1">
        <f t="array" ref="AM5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80" s="105">
        <f t="shared" si="10"/>
        <v>14.224</v>
      </c>
      <c r="AP580" s="112">
        <f>IF(INVESTORS_LIST[[#This Row],[TOTAL CURRENT UNITS]]=0,0,INVESTORS_LIST[[#This Row],[TOTAL CURRENT UNITS]]*INVESTORS_LIST[[#This Row],[NAV]])</f>
        <v>0</v>
      </c>
      <c r="AQ580" s="102">
        <f>IF(INVESTORS_LIST[[#This Row],[LS_TOTAL CURRENT UNITS]]=0,0,INVESTORS_LIST[[#This Row],[LS_TOTAL CURRENT UNITS]]*INVESTORS_LIST[[#This Row],[NAV]])</f>
        <v>0</v>
      </c>
      <c r="AR580" s="48">
        <f>IF(INVESTORS_LIST[[#This Row],[SIP_TOTAL CURRENT UNITS]]=0,0,INVESTORS_LIST[[#This Row],[SIP_TOTAL CURRENT UNITS]]*INVESTORS_LIST[[#This Row],[NAV]])</f>
        <v>0</v>
      </c>
      <c r="AS580" s="50">
        <f>INVESTORS_LIST[[#This Row],[TOTAL CURRENT UNITS]]</f>
        <v>0</v>
      </c>
      <c r="AT580" s="48">
        <f>IF(INVESTORS_LIST[[#This Row],[TOTAL SELLABLE UNITS]]=0,0,INVESTORS_LIST[[#This Row],[TOTAL SELLABLE UNITS]]*INVESTORS_LIST[[#This Row],[NAV]])</f>
        <v>0</v>
      </c>
      <c r="AU580" s="48">
        <f>INVESTORS_LIST[[#This Row],[LS_TOTAL REALIZED GAIN]]+INVESTORS_LIST[[#This Row],[SIP_TOTAL REALIZED GAIN]]</f>
        <v>45129.900000000031</v>
      </c>
      <c r="AV580" s="48">
        <f>INVESTORS_LIST[[#This Row],[TOTAL MARKET VALUE]]-INVESTORS_LIST[[#This Row],[TOTAL COST VALUE OF CURRENT INVESTMENT]]</f>
        <v>0</v>
      </c>
      <c r="AW580" s="48">
        <f>IFERROR(INVESTORS_LIST[[#This Row],[TOTAL CURRENT UNITS]]/SUM(INVESTORS_LIST[TOTAL CURRENT UNITS]),0)</f>
        <v>0</v>
      </c>
    </row>
    <row r="581" spans="1:49" hidden="1">
      <c r="A581" s="262" t="s">
        <v>1266</v>
      </c>
      <c r="B581" s="127" t="s">
        <v>1263</v>
      </c>
      <c r="C581" t="s">
        <v>44</v>
      </c>
      <c r="D581" s="75" t="s">
        <v>45</v>
      </c>
      <c r="E581" s="50">
        <f>SUMIFS(LS[Unit],LS[Investor ID],INVESTORS_LIST[[#This Row],[INVESTOR CODE]],LS[B/S],"B")</f>
        <v>33864</v>
      </c>
      <c r="F581" s="50">
        <f>-SUMIFS(LS[Unit],LS[Investor ID],INVESTORS_LIST[[#This Row],[INVESTOR CODE]],LS[B/S],"S")</f>
        <v>33864</v>
      </c>
      <c r="G581" s="50">
        <f>IF(INVESTORS_LIST[[#This Row],[LS_TOTAL UNITS BUY]]=0,0,INVESTORS_LIST[[#This Row],[LS_TOTAL UNITS BUY]]-INVESTORS_LIST[[#This Row],[LS_TOTAL UNITS SOLD]])</f>
        <v>0</v>
      </c>
      <c r="H581" s="102">
        <f>IF(INVESTORS_LIST[[#This Row],[LS_TOTAL UNITS BUY]]=0,0,SUMIFS(LS[Amount],LS[Investor ID],INVESTORS_LIST[[#This Row],[INVESTOR CODE]],LS[B/S],"B"))</f>
        <v>410000</v>
      </c>
      <c r="I581" s="48">
        <f>IF(INVESTORS_LIST[[#This Row],[LS_TOTAL UNITS SOLD]]=0,0,SUMIFS(LS[Cost of Units Sold],LS[Investor ID],INVESTORS_LIST[[#This Row],[INVESTOR CODE]],LS[B/S],"S"))</f>
        <v>410000</v>
      </c>
      <c r="J581" s="48">
        <f>IF(INVESTORS_LIST[[#This Row],[LS_TOTAL CURRENT UNITS]]=0,0,INVESTORS_LIST[[#This Row],[LS_TOTAL CURRENT UNITS]]*INVESTORS_LIST[[#This Row],[LS_AVERAGE COST]])</f>
        <v>0</v>
      </c>
      <c r="K581" s="48">
        <f>IF(INVESTORS_LIST[[#This Row],[LS_TOTAL UNITS SOLD]]=0,0,SUMIFS(LS[Realized Gain],LS[Investor ID],INVESTORS_LIST[[#This Row],[INVESTOR CODE]],LS[B/S],"S"))</f>
        <v>39687.219999999987</v>
      </c>
      <c r="L581" s="104">
        <f>SUMIFS(SIP[Unit],SIP[Investor ID],INVESTORS_LIST[[#This Row],[INVESTOR CODE]],SIP[B/S],"B")</f>
        <v>0</v>
      </c>
      <c r="M581" s="50">
        <f>-SUMIFS(SIP[Unit],SIP[Investor ID],INVESTORS_LIST[[#This Row],[INVESTOR CODE]],SIP[B/S],"S")</f>
        <v>0</v>
      </c>
      <c r="N581" s="50">
        <f>IF(INVESTORS_LIST[[#This Row],[SIP_TOTAL UNITS BUY]]=0,0,INVESTORS_LIST[[#This Row],[SIP_TOTAL UNITS BUY]]-INVESTORS_LIST[[#This Row],[SIP_TOTAL UNITS SOLD]])</f>
        <v>0</v>
      </c>
      <c r="O581" s="48">
        <f>IF(INVESTORS_LIST[[#This Row],[SIP_TOTAL UNITS BUY]]=0,0,SUMIFS(SIP[Amount],SIP[Investor ID],INVESTORS_LIST[[#This Row],[INVESTOR CODE]],SIP[B/S],"B"))</f>
        <v>0</v>
      </c>
      <c r="P581" s="48">
        <f>IF(INVESTORS_LIST[[#This Row],[SIP_TOTAL UNITS SOLD]]=0,0,SUMIFS(SIP[Cost of Units Sold],SIP[Investor ID],INVESTORS_LIST[[#This Row],[INVESTOR CODE]],SIP[B/S],"S"))</f>
        <v>0</v>
      </c>
      <c r="Q581" s="48">
        <f>IF(INVESTORS_LIST[[#This Row],[SIP_TOTAL CURRENT UNITS]]=0,0,INVESTORS_LIST[[#This Row],[SIP_TOTAL CURRENT UNITS]]*INVESTORS_LIST[[#This Row],[SIP_AVERAGE COST]])</f>
        <v>0</v>
      </c>
      <c r="R581" s="48">
        <f>IF(INVESTORS_LIST[[#This Row],[SIP_TOTAL UNITS SOLD]]=0,0,SUMIFS(SIP[Realized Gain],SIP[Investor ID],INVESTORS_LIST[[#This Row],[INVESTOR CODE]],SIP[B/S],"S"))</f>
        <v>0</v>
      </c>
      <c r="S581" s="50">
        <f>INVESTORS_LIST[[#This Row],[LS_TOTAL UNITS BUY]]+INVESTORS_LIST[[#This Row],[SIP_TOTAL UNITS BUY]]</f>
        <v>33864</v>
      </c>
      <c r="T581" s="50">
        <f>INVESTORS_LIST[[#This Row],[LS_TOTAL UNITS SOLD]]+INVESTORS_LIST[[#This Row],[SIP_TOTAL UNITS SOLD]]</f>
        <v>33864</v>
      </c>
      <c r="U581" s="50"/>
      <c r="V581" s="50">
        <f>SUMIFS(LS[BO UNIT TRANSFER],LS[Investor ID],INVESTORS_LIST[[#This Row],[INVESTOR CODE]],LS[B/S],"B")</f>
        <v>0</v>
      </c>
      <c r="W581" s="50">
        <f>SUMIFS(SIP[BO UNIT TRANSFER],SIP[Investor ID],INVESTORS_LIST[[#This Row],[INVESTOR CODE]],SIP[B/S],"B")</f>
        <v>0</v>
      </c>
      <c r="X581" s="50">
        <f>SUMIFS(LS[BO UNIT TRANSFER],LS[Investor ID],INVESTORS_LIST[[#This Row],[INVESTOR CODE]],LS[B/S],"S")</f>
        <v>0</v>
      </c>
      <c r="Y581" s="50">
        <f>SUMIFS(SIP[BO UNIT TRANSFER],SIP[Investor ID],INVESTORS_LIST[[#This Row],[INVESTOR CODE]],SIP[B/S],"S")</f>
        <v>0</v>
      </c>
      <c r="Z581" s="106">
        <f>SUM(INVESTORS_LIST[[#This Row],[BO OPENING BALANCE]:[BO SIP UNITS REPURCHASE]])</f>
        <v>0</v>
      </c>
      <c r="AA581" s="107">
        <f>INVESTORS_LIST[[#This Row],[TOTAL UNITS BUY]]-INVESTORS_LIST[[#This Row],[TOTAL UNITS SOLD]]</f>
        <v>0</v>
      </c>
      <c r="AB581" s="107">
        <f>INVESTORS_LIST[[#This Row],[TOTAL CURRENT UNITS]]-INVESTORS_LIST[[#This Row],[BO UNITS HOLD]]</f>
        <v>0</v>
      </c>
      <c r="AC581" s="201" t="e">
        <f>INDEX([3]!Table_1[BO ID],MATCH(INVESTORS_LIST[[#This Row],[INVESTOR CODE]],[3]!Table_1[INVESTOR CODE],0))</f>
        <v>#REF!</v>
      </c>
      <c r="AD581" s="201" t="e">
        <f>INDEX([3]!Table_1[Brokerage Name2],MATCH(INVESTORS_LIST[[#This Row],[INVESTOR CODE]],[3]!Table_1[INVESTOR CODE],0))</f>
        <v>#REF!</v>
      </c>
      <c r="AE581" s="201" t="e">
        <f>MID(INVESTORS_LIST[[#This Row],[BO ID]],4,5)</f>
        <v>#REF!</v>
      </c>
      <c r="AF581" s="201" t="e">
        <f>MID(INVESTORS_LIST[[#This Row],[BO ID]],2,7)</f>
        <v>#REF!</v>
      </c>
      <c r="AG581" s="201" t="e">
        <f>MID(INVESTORS_LIST[[#This Row],[BO ID]],9,7)</f>
        <v>#REF!</v>
      </c>
      <c r="AH581" s="201" t="e">
        <f>RIGHT(INVESTORS_LIST[[#This Row],[BO ID]],1)</f>
        <v>#REF!</v>
      </c>
      <c r="AI581" s="50">
        <f>INVESTORS_LIST[[#This Row],[LS_TOTAL COST VALUE OF CURRENT UNITS]]+INVESTORS_LIST[[#This Row],[SIP_TOTAL COST VALUE OF CURRENT UNITS]]</f>
        <v>0</v>
      </c>
      <c r="AJ581" s="109">
        <f>IF(INVESTORS_LIST[[#This Row],[TOTAL CURRENT UNITS]]=0,0,INVESTORS_LIST[[#This Row],[LS_TOTAL CURRENT UNITS]]/INVESTORS_LIST[[#This Row],[TOTAL CURRENT UNITS]])</f>
        <v>0</v>
      </c>
      <c r="AK581" s="109">
        <f>IF(INVESTORS_LIST[[#This Row],[TOTAL CURRENT UNITS]]=0,0,INVESTORS_LIST[[#This Row],[SIP_TOTAL CURRENT UNITS]]/INVESTORS_LIST[[#This Row],[TOTAL CURRENT UNITS]])</f>
        <v>0</v>
      </c>
      <c r="AL581" s="99" cm="1">
        <f t="array" ref="AL5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1" s="99" cm="1">
        <f t="array" ref="AM5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81" s="105">
        <f t="shared" si="10"/>
        <v>14.224</v>
      </c>
      <c r="AP581" s="112">
        <f>IF(INVESTORS_LIST[[#This Row],[TOTAL CURRENT UNITS]]=0,0,INVESTORS_LIST[[#This Row],[TOTAL CURRENT UNITS]]*INVESTORS_LIST[[#This Row],[NAV]])</f>
        <v>0</v>
      </c>
      <c r="AQ581" s="102">
        <f>IF(INVESTORS_LIST[[#This Row],[LS_TOTAL CURRENT UNITS]]=0,0,INVESTORS_LIST[[#This Row],[LS_TOTAL CURRENT UNITS]]*INVESTORS_LIST[[#This Row],[NAV]])</f>
        <v>0</v>
      </c>
      <c r="AR581" s="48">
        <f>IF(INVESTORS_LIST[[#This Row],[SIP_TOTAL CURRENT UNITS]]=0,0,INVESTORS_LIST[[#This Row],[SIP_TOTAL CURRENT UNITS]]*INVESTORS_LIST[[#This Row],[NAV]])</f>
        <v>0</v>
      </c>
      <c r="AS581" s="50">
        <f>INVESTORS_LIST[[#This Row],[TOTAL CURRENT UNITS]]</f>
        <v>0</v>
      </c>
      <c r="AT581" s="48">
        <f>IF(INVESTORS_LIST[[#This Row],[TOTAL SELLABLE UNITS]]=0,0,INVESTORS_LIST[[#This Row],[TOTAL SELLABLE UNITS]]*INVESTORS_LIST[[#This Row],[NAV]])</f>
        <v>0</v>
      </c>
      <c r="AU581" s="48">
        <f>INVESTORS_LIST[[#This Row],[LS_TOTAL REALIZED GAIN]]+INVESTORS_LIST[[#This Row],[SIP_TOTAL REALIZED GAIN]]</f>
        <v>39687.219999999987</v>
      </c>
      <c r="AV581" s="48">
        <f>INVESTORS_LIST[[#This Row],[TOTAL MARKET VALUE]]-INVESTORS_LIST[[#This Row],[TOTAL COST VALUE OF CURRENT INVESTMENT]]</f>
        <v>0</v>
      </c>
      <c r="AW581" s="48">
        <f>IFERROR(INVESTORS_LIST[[#This Row],[TOTAL CURRENT UNITS]]/SUM(INVESTORS_LIST[TOTAL CURRENT UNITS]),0)</f>
        <v>0</v>
      </c>
    </row>
    <row r="582" spans="1:49" hidden="1">
      <c r="A582" s="262" t="s">
        <v>1270</v>
      </c>
      <c r="B582" s="97" t="s">
        <v>1271</v>
      </c>
      <c r="C582" t="s">
        <v>67</v>
      </c>
      <c r="D582" s="75" t="s">
        <v>45</v>
      </c>
      <c r="E582" s="50">
        <f>SUMIFS(LS[Unit],LS[Investor ID],INVESTORS_LIST[[#This Row],[INVESTOR CODE]],LS[B/S],"B")</f>
        <v>13425</v>
      </c>
      <c r="F582" s="50">
        <f>-SUMIFS(LS[Unit],LS[Investor ID],INVESTORS_LIST[[#This Row],[INVESTOR CODE]],LS[B/S],"S")</f>
        <v>13425</v>
      </c>
      <c r="G582" s="50">
        <f>IF(INVESTORS_LIST[[#This Row],[LS_TOTAL UNITS BUY]]=0,0,INVESTORS_LIST[[#This Row],[LS_TOTAL UNITS BUY]]-INVESTORS_LIST[[#This Row],[LS_TOTAL UNITS SOLD]])</f>
        <v>0</v>
      </c>
      <c r="H582" s="142">
        <f>IF(INVESTORS_LIST[[#This Row],[LS_TOTAL UNITS BUY]]=0,0,SUMIFS(LS[Amount],LS[Investor ID],INVESTORS_LIST[[#This Row],[INVESTOR CODE]],LS[B/S],"B"))</f>
        <v>150000</v>
      </c>
      <c r="I582" s="48">
        <f>IF(INVESTORS_LIST[[#This Row],[LS_TOTAL UNITS SOLD]]=0,0,SUMIFS(LS[Cost of Units Sold],LS[Investor ID],INVESTORS_LIST[[#This Row],[INVESTOR CODE]],LS[B/S],"S"))</f>
        <v>150000</v>
      </c>
      <c r="J582" s="48">
        <f>IF(INVESTORS_LIST[[#This Row],[LS_TOTAL CURRENT UNITS]]=0,0,INVESTORS_LIST[[#This Row],[LS_TOTAL CURRENT UNITS]]*INVESTORS_LIST[[#This Row],[LS_AVERAGE COST]])</f>
        <v>0</v>
      </c>
      <c r="K582" s="48">
        <f>IF(INVESTORS_LIST[[#This Row],[LS_TOTAL UNITS SOLD]]=0,0,SUMIFS(LS[Realized Gain],LS[Investor ID],INVESTORS_LIST[[#This Row],[INVESTOR CODE]],LS[B/S],"S"))</f>
        <v>2185.7999999999834</v>
      </c>
      <c r="L582" s="143">
        <f>SUMIFS(SIP[Unit],SIP[Investor ID],INVESTORS_LIST[[#This Row],[INVESTOR CODE]],SIP[B/S],"B")</f>
        <v>0</v>
      </c>
      <c r="M582" s="50">
        <f>-SUMIFS(SIP[Unit],SIP[Investor ID],INVESTORS_LIST[[#This Row],[INVESTOR CODE]],SIP[B/S],"S")</f>
        <v>0</v>
      </c>
      <c r="N582" s="50">
        <f>IF(INVESTORS_LIST[[#This Row],[SIP_TOTAL UNITS BUY]]=0,0,INVESTORS_LIST[[#This Row],[SIP_TOTAL UNITS BUY]]-INVESTORS_LIST[[#This Row],[SIP_TOTAL UNITS SOLD]])</f>
        <v>0</v>
      </c>
      <c r="O582" s="48">
        <f>IF(INVESTORS_LIST[[#This Row],[SIP_TOTAL UNITS BUY]]=0,0,SUMIFS(SIP[Amount],SIP[Investor ID],INVESTORS_LIST[[#This Row],[INVESTOR CODE]],SIP[B/S],"B"))</f>
        <v>0</v>
      </c>
      <c r="P582" s="48">
        <f>IF(INVESTORS_LIST[[#This Row],[SIP_TOTAL UNITS SOLD]]=0,0,SUMIFS(SIP[Cost of Units Sold],SIP[Investor ID],INVESTORS_LIST[[#This Row],[INVESTOR CODE]],SIP[B/S],"S"))</f>
        <v>0</v>
      </c>
      <c r="Q582" s="48">
        <f>IF(INVESTORS_LIST[[#This Row],[SIP_TOTAL CURRENT UNITS]]=0,0,INVESTORS_LIST[[#This Row],[SIP_TOTAL CURRENT UNITS]]*INVESTORS_LIST[[#This Row],[SIP_AVERAGE COST]])</f>
        <v>0</v>
      </c>
      <c r="R582" s="48">
        <f>IF(INVESTORS_LIST[[#This Row],[SIP_TOTAL UNITS SOLD]]=0,0,SUMIFS(SIP[Realized Gain],SIP[Investor ID],INVESTORS_LIST[[#This Row],[INVESTOR CODE]],SIP[B/S],"S"))</f>
        <v>0</v>
      </c>
      <c r="S582" s="50">
        <f>INVESTORS_LIST[[#This Row],[LS_TOTAL UNITS BUY]]+INVESTORS_LIST[[#This Row],[SIP_TOTAL UNITS BUY]]</f>
        <v>13425</v>
      </c>
      <c r="T582" s="50">
        <f>INVESTORS_LIST[[#This Row],[LS_TOTAL UNITS SOLD]]+INVESTORS_LIST[[#This Row],[SIP_TOTAL UNITS SOLD]]</f>
        <v>13425</v>
      </c>
      <c r="U582" s="50"/>
      <c r="V582" s="50">
        <f>SUMIFS(LS[BO UNIT TRANSFER],LS[Investor ID],INVESTORS_LIST[[#This Row],[INVESTOR CODE]],LS[B/S],"B")</f>
        <v>0</v>
      </c>
      <c r="W582" s="50">
        <f>SUMIFS(SIP[BO UNIT TRANSFER],SIP[Investor ID],INVESTORS_LIST[[#This Row],[INVESTOR CODE]],SIP[B/S],"B")</f>
        <v>0</v>
      </c>
      <c r="X582" s="50">
        <f>SUMIFS(LS[BO UNIT TRANSFER],LS[Investor ID],INVESTORS_LIST[[#This Row],[INVESTOR CODE]],LS[B/S],"S")</f>
        <v>0</v>
      </c>
      <c r="Y582" s="50">
        <f>SUMIFS(SIP[BO UNIT TRANSFER],SIP[Investor ID],INVESTORS_LIST[[#This Row],[INVESTOR CODE]],SIP[B/S],"S")</f>
        <v>0</v>
      </c>
      <c r="Z582" s="106">
        <f>SUM(INVESTORS_LIST[[#This Row],[BO OPENING BALANCE]:[BO SIP UNITS REPURCHASE]])</f>
        <v>0</v>
      </c>
      <c r="AA582" s="107">
        <f>INVESTORS_LIST[[#This Row],[TOTAL UNITS BUY]]-INVESTORS_LIST[[#This Row],[TOTAL UNITS SOLD]]</f>
        <v>0</v>
      </c>
      <c r="AB582" s="107">
        <f>INVESTORS_LIST[[#This Row],[TOTAL CURRENT UNITS]]-INVESTORS_LIST[[#This Row],[BO UNITS HOLD]]</f>
        <v>0</v>
      </c>
      <c r="AC582" s="201" t="e">
        <f>INDEX([3]!Table_1[BO ID],MATCH(INVESTORS_LIST[[#This Row],[INVESTOR CODE]],[3]!Table_1[INVESTOR CODE],0))</f>
        <v>#REF!</v>
      </c>
      <c r="AD582" s="201" t="e">
        <f>INDEX([3]!Table_1[Brokerage Name2],MATCH(INVESTORS_LIST[[#This Row],[INVESTOR CODE]],[3]!Table_1[INVESTOR CODE],0))</f>
        <v>#REF!</v>
      </c>
      <c r="AE582" s="201" t="e">
        <f>MID(INVESTORS_LIST[[#This Row],[BO ID]],4,5)</f>
        <v>#REF!</v>
      </c>
      <c r="AF582" s="201" t="e">
        <f>MID(INVESTORS_LIST[[#This Row],[BO ID]],2,7)</f>
        <v>#REF!</v>
      </c>
      <c r="AG582" s="201" t="e">
        <f>MID(INVESTORS_LIST[[#This Row],[BO ID]],9,7)</f>
        <v>#REF!</v>
      </c>
      <c r="AH582" s="201" t="e">
        <f>RIGHT(INVESTORS_LIST[[#This Row],[BO ID]],1)</f>
        <v>#REF!</v>
      </c>
      <c r="AI582" s="50">
        <f>INVESTORS_LIST[[#This Row],[LS_TOTAL COST VALUE OF CURRENT UNITS]]+INVESTORS_LIST[[#This Row],[SIP_TOTAL COST VALUE OF CURRENT UNITS]]</f>
        <v>0</v>
      </c>
      <c r="AJ582" s="109">
        <f>IF(INVESTORS_LIST[[#This Row],[TOTAL CURRENT UNITS]]=0,0,INVESTORS_LIST[[#This Row],[LS_TOTAL CURRENT UNITS]]/INVESTORS_LIST[[#This Row],[TOTAL CURRENT UNITS]])</f>
        <v>0</v>
      </c>
      <c r="AK582" s="109">
        <f>IF(INVESTORS_LIST[[#This Row],[TOTAL CURRENT UNITS]]=0,0,INVESTORS_LIST[[#This Row],[SIP_TOTAL CURRENT UNITS]]/INVESTORS_LIST[[#This Row],[TOTAL CURRENT UNITS]])</f>
        <v>0</v>
      </c>
      <c r="AL582" s="144" cm="1">
        <f t="array" ref="AL5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2" s="144" cm="1">
        <f t="array" ref="AM5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82" s="105">
        <f t="shared" si="10"/>
        <v>14.224</v>
      </c>
      <c r="AP582" s="112">
        <f>IF(INVESTORS_LIST[[#This Row],[TOTAL CURRENT UNITS]]=0,0,INVESTORS_LIST[[#This Row],[TOTAL CURRENT UNITS]]*INVESTORS_LIST[[#This Row],[NAV]])</f>
        <v>0</v>
      </c>
      <c r="AQ582" s="142">
        <f>IF(INVESTORS_LIST[[#This Row],[LS_TOTAL CURRENT UNITS]]=0,0,INVESTORS_LIST[[#This Row],[LS_TOTAL CURRENT UNITS]]*INVESTORS_LIST[[#This Row],[NAV]])</f>
        <v>0</v>
      </c>
      <c r="AR582" s="48">
        <f>IF(INVESTORS_LIST[[#This Row],[SIP_TOTAL CURRENT UNITS]]=0,0,INVESTORS_LIST[[#This Row],[SIP_TOTAL CURRENT UNITS]]*INVESTORS_LIST[[#This Row],[NAV]])</f>
        <v>0</v>
      </c>
      <c r="AS582" s="50">
        <f>INVESTORS_LIST[[#This Row],[TOTAL CURRENT UNITS]]</f>
        <v>0</v>
      </c>
      <c r="AT582" s="48">
        <f>IF(INVESTORS_LIST[[#This Row],[TOTAL SELLABLE UNITS]]=0,0,INVESTORS_LIST[[#This Row],[TOTAL SELLABLE UNITS]]*INVESTORS_LIST[[#This Row],[NAV]])</f>
        <v>0</v>
      </c>
      <c r="AU582" s="48">
        <f>INVESTORS_LIST[[#This Row],[LS_TOTAL REALIZED GAIN]]+INVESTORS_LIST[[#This Row],[SIP_TOTAL REALIZED GAIN]]</f>
        <v>2185.7999999999834</v>
      </c>
      <c r="AV582" s="48">
        <f>INVESTORS_LIST[[#This Row],[TOTAL MARKET VALUE]]-INVESTORS_LIST[[#This Row],[TOTAL COST VALUE OF CURRENT INVESTMENT]]</f>
        <v>0</v>
      </c>
      <c r="AW582" s="48">
        <f>IFERROR(INVESTORS_LIST[[#This Row],[TOTAL CURRENT UNITS]]/SUM(INVESTORS_LIST[TOTAL CURRENT UNITS]),0)</f>
        <v>0</v>
      </c>
    </row>
    <row r="583" spans="1:49">
      <c r="A583" s="262" t="s">
        <v>983</v>
      </c>
      <c r="B583" s="97" t="s">
        <v>1272</v>
      </c>
      <c r="C583" t="s">
        <v>44</v>
      </c>
      <c r="D583" s="75" t="s">
        <v>45</v>
      </c>
      <c r="E583" s="50">
        <f>SUMIFS(LS[Unit],LS[Investor ID],INVESTORS_LIST[[#This Row],[INVESTOR CODE]],LS[B/S],"B")</f>
        <v>161192</v>
      </c>
      <c r="F583" s="50">
        <f>-SUMIFS(LS[Unit],LS[Investor ID],INVESTORS_LIST[[#This Row],[INVESTOR CODE]],LS[B/S],"S")</f>
        <v>98476</v>
      </c>
      <c r="G583" s="50">
        <f>IF(INVESTORS_LIST[[#This Row],[LS_TOTAL UNITS BUY]]=0,0,INVESTORS_LIST[[#This Row],[LS_TOTAL UNITS BUY]]-INVESTORS_LIST[[#This Row],[LS_TOTAL UNITS SOLD]])</f>
        <v>62716</v>
      </c>
      <c r="H583" s="102">
        <f>IF(INVESTORS_LIST[[#This Row],[LS_TOTAL UNITS BUY]]=0,0,SUMIFS(LS[Amount],LS[Investor ID],INVESTORS_LIST[[#This Row],[INVESTOR CODE]],LS[B/S],"B"))</f>
        <v>1954600</v>
      </c>
      <c r="I583" s="48">
        <f>IF(INVESTORS_LIST[[#This Row],[LS_TOTAL UNITS SOLD]]=0,0,SUMIFS(LS[Cost of Units Sold],LS[Investor ID],INVESTORS_LIST[[#This Row],[INVESTOR CODE]],LS[B/S],"S"))</f>
        <v>1126198.561929178</v>
      </c>
      <c r="J583" s="48">
        <f>IF(INVESTORS_LIST[[#This Row],[LS_TOTAL CURRENT UNITS]]=0,0,INVESTORS_LIST[[#This Row],[LS_TOTAL CURRENT UNITS]]*INVESTORS_LIST[[#This Row],[LS_AVERAGE COST]])</f>
        <v>828401.43807082204</v>
      </c>
      <c r="K583" s="48">
        <f>IF(INVESTORS_LIST[[#This Row],[LS_TOTAL UNITS SOLD]]=0,0,SUMIFS(LS[Realized Gain],LS[Investor ID],INVESTORS_LIST[[#This Row],[INVESTOR CODE]],LS[B/S],"S"))</f>
        <v>50134.498070822076</v>
      </c>
      <c r="L583" s="104">
        <f>SUMIFS(SIP[Unit],SIP[Investor ID],INVESTORS_LIST[[#This Row],[INVESTOR CODE]],SIP[B/S],"B")</f>
        <v>0</v>
      </c>
      <c r="M583" s="50">
        <f>-SUMIFS(SIP[Unit],SIP[Investor ID],INVESTORS_LIST[[#This Row],[INVESTOR CODE]],SIP[B/S],"S")</f>
        <v>0</v>
      </c>
      <c r="N583" s="50">
        <f>IF(INVESTORS_LIST[[#This Row],[SIP_TOTAL UNITS BUY]]=0,0,INVESTORS_LIST[[#This Row],[SIP_TOTAL UNITS BUY]]-INVESTORS_LIST[[#This Row],[SIP_TOTAL UNITS SOLD]])</f>
        <v>0</v>
      </c>
      <c r="O583" s="48">
        <f>IF(INVESTORS_LIST[[#This Row],[SIP_TOTAL UNITS BUY]]=0,0,SUMIFS(SIP[Amount],SIP[Investor ID],INVESTORS_LIST[[#This Row],[INVESTOR CODE]],SIP[B/S],"B"))</f>
        <v>0</v>
      </c>
      <c r="P583" s="48">
        <f>IF(INVESTORS_LIST[[#This Row],[SIP_TOTAL UNITS SOLD]]=0,0,SUMIFS(SIP[Cost of Units Sold],SIP[Investor ID],INVESTORS_LIST[[#This Row],[INVESTOR CODE]],SIP[B/S],"S"))</f>
        <v>0</v>
      </c>
      <c r="Q583" s="48">
        <f>IF(INVESTORS_LIST[[#This Row],[SIP_TOTAL CURRENT UNITS]]=0,0,INVESTORS_LIST[[#This Row],[SIP_TOTAL CURRENT UNITS]]*INVESTORS_LIST[[#This Row],[SIP_AVERAGE COST]])</f>
        <v>0</v>
      </c>
      <c r="R583" s="48">
        <f>IF(INVESTORS_LIST[[#This Row],[SIP_TOTAL UNITS SOLD]]=0,0,SUMIFS(SIP[Realized Gain],SIP[Investor ID],INVESTORS_LIST[[#This Row],[INVESTOR CODE]],SIP[B/S],"S"))</f>
        <v>0</v>
      </c>
      <c r="S583" s="50">
        <f>INVESTORS_LIST[[#This Row],[LS_TOTAL UNITS BUY]]+INVESTORS_LIST[[#This Row],[SIP_TOTAL UNITS BUY]]</f>
        <v>161192</v>
      </c>
      <c r="T583" s="50">
        <f>INVESTORS_LIST[[#This Row],[LS_TOTAL UNITS SOLD]]+INVESTORS_LIST[[#This Row],[SIP_TOTAL UNITS SOLD]]</f>
        <v>98476</v>
      </c>
      <c r="U583" s="50">
        <v>27373</v>
      </c>
      <c r="V583" s="50">
        <f>SUMIFS(LS[BO UNIT TRANSFER],LS[Investor ID],INVESTORS_LIST[[#This Row],[INVESTOR CODE]],LS[B/S],"B")</f>
        <v>0</v>
      </c>
      <c r="W583" s="50">
        <f>SUMIFS(SIP[BO UNIT TRANSFER],SIP[Investor ID],INVESTORS_LIST[[#This Row],[INVESTOR CODE]],SIP[B/S],"B")</f>
        <v>0</v>
      </c>
      <c r="X583" s="50">
        <f>SUMIFS(LS[BO UNIT TRANSFER],LS[Investor ID],INVESTORS_LIST[[#This Row],[INVESTOR CODE]],LS[B/S],"S")</f>
        <v>0</v>
      </c>
      <c r="Y583" s="50">
        <f>SUMIFS(SIP[BO UNIT TRANSFER],SIP[Investor ID],INVESTORS_LIST[[#This Row],[INVESTOR CODE]],SIP[B/S],"S")</f>
        <v>0</v>
      </c>
      <c r="Z583" s="106">
        <f>SUM(INVESTORS_LIST[[#This Row],[BO OPENING BALANCE]:[BO SIP UNITS REPURCHASE]])</f>
        <v>27373</v>
      </c>
      <c r="AA583" s="107">
        <f>INVESTORS_LIST[[#This Row],[TOTAL UNITS BUY]]-INVESTORS_LIST[[#This Row],[TOTAL UNITS SOLD]]</f>
        <v>62716</v>
      </c>
      <c r="AB583" s="107">
        <f>INVESTORS_LIST[[#This Row],[TOTAL CURRENT UNITS]]-INVESTORS_LIST[[#This Row],[BO UNITS HOLD]]</f>
        <v>35343</v>
      </c>
      <c r="AC583" s="201" t="e">
        <f>INDEX([3]!Table_1[BO ID],MATCH(INVESTORS_LIST[[#This Row],[INVESTOR CODE]],[3]!Table_1[INVESTOR CODE],0))</f>
        <v>#REF!</v>
      </c>
      <c r="AD583" s="201" t="e">
        <f>INDEX([3]!Table_1[Brokerage Name2],MATCH(INVESTORS_LIST[[#This Row],[INVESTOR CODE]],[3]!Table_1[INVESTOR CODE],0))</f>
        <v>#REF!</v>
      </c>
      <c r="AE583" s="201" t="e">
        <f>MID(INVESTORS_LIST[[#This Row],[BO ID]],4,5)</f>
        <v>#REF!</v>
      </c>
      <c r="AF583" s="201" t="e">
        <f>MID(INVESTORS_LIST[[#This Row],[BO ID]],2,7)</f>
        <v>#REF!</v>
      </c>
      <c r="AG583" s="201" t="e">
        <f>MID(INVESTORS_LIST[[#This Row],[BO ID]],9,7)</f>
        <v>#REF!</v>
      </c>
      <c r="AH583" s="201" t="e">
        <f>RIGHT(INVESTORS_LIST[[#This Row],[BO ID]],1)</f>
        <v>#REF!</v>
      </c>
      <c r="AI583" s="50">
        <f>INVESTORS_LIST[[#This Row],[LS_TOTAL COST VALUE OF CURRENT UNITS]]+INVESTORS_LIST[[#This Row],[SIP_TOTAL COST VALUE OF CURRENT UNITS]]</f>
        <v>828401.43807082204</v>
      </c>
      <c r="AJ583" s="109">
        <f>IF(INVESTORS_LIST[[#This Row],[TOTAL CURRENT UNITS]]=0,0,INVESTORS_LIST[[#This Row],[LS_TOTAL CURRENT UNITS]]/INVESTORS_LIST[[#This Row],[TOTAL CURRENT UNITS]])</f>
        <v>1</v>
      </c>
      <c r="AK583" s="109">
        <f>IF(INVESTORS_LIST[[#This Row],[TOTAL CURRENT UNITS]]=0,0,INVESTORS_LIST[[#This Row],[SIP_TOTAL CURRENT UNITS]]/INVESTORS_LIST[[#This Row],[TOTAL CURRENT UNITS]])</f>
        <v>0</v>
      </c>
      <c r="AL583" s="99" cm="1">
        <f t="array" ref="AL583">IF(INVESTORS_LIST[[#This Row],[LS_TOTAL UNITS BUY]]&gt;0,INDEX(LS[NAV at Cost (Average)],MATCH(CONCATENATE(COUNTIFS(LS[Investor ID],INVESTORS_LIST[[#This Row],[INVESTOR CODE]]),INVESTORS_LIST[[#This Row],[INVESTOR CODE]]),LS[Unique Code],0),),0)</f>
        <v>13.208773487958767</v>
      </c>
      <c r="AM583" s="99" cm="1">
        <f t="array" ref="AM5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3" s="105">
        <f>IF(INVESTORS_LIST[[#This Row],[TOTAL CURRENT UNITS]]=0,0,(INVESTORS_LIST[[#This Row],[LS_WEIGHT]]*INVESTORS_LIST[[#This Row],[LS_AVERAGE COST]])+(INVESTORS_LIST[[#This Row],[SIP_WEIGHT]]*INVESTORS_LIST[[#This Row],[SIP_AVERAGE COST]]))</f>
        <v>13.208773487958767</v>
      </c>
      <c r="AO583" s="105">
        <f t="shared" si="10"/>
        <v>14.224</v>
      </c>
      <c r="AP583" s="112">
        <f>IF(INVESTORS_LIST[[#This Row],[TOTAL CURRENT UNITS]]=0,0,INVESTORS_LIST[[#This Row],[TOTAL CURRENT UNITS]]*INVESTORS_LIST[[#This Row],[NAV]])</f>
        <v>892072.38399999996</v>
      </c>
      <c r="AQ583" s="102">
        <f>IF(INVESTORS_LIST[[#This Row],[LS_TOTAL CURRENT UNITS]]=0,0,INVESTORS_LIST[[#This Row],[LS_TOTAL CURRENT UNITS]]*INVESTORS_LIST[[#This Row],[NAV]])</f>
        <v>892072.38399999996</v>
      </c>
      <c r="AR583" s="48">
        <f>IF(INVESTORS_LIST[[#This Row],[SIP_TOTAL CURRENT UNITS]]=0,0,INVESTORS_LIST[[#This Row],[SIP_TOTAL CURRENT UNITS]]*INVESTORS_LIST[[#This Row],[NAV]])</f>
        <v>0</v>
      </c>
      <c r="AS583" s="50">
        <f>INVESTORS_LIST[[#This Row],[TOTAL CURRENT UNITS]]</f>
        <v>62716</v>
      </c>
      <c r="AT583" s="48">
        <f>IF(INVESTORS_LIST[[#This Row],[TOTAL SELLABLE UNITS]]=0,0,INVESTORS_LIST[[#This Row],[TOTAL SELLABLE UNITS]]*INVESTORS_LIST[[#This Row],[NAV]])</f>
        <v>892072.38399999996</v>
      </c>
      <c r="AU583" s="48">
        <f>INVESTORS_LIST[[#This Row],[LS_TOTAL REALIZED GAIN]]+INVESTORS_LIST[[#This Row],[SIP_TOTAL REALIZED GAIN]]</f>
        <v>50134.498070822076</v>
      </c>
      <c r="AV583" s="48">
        <f>INVESTORS_LIST[[#This Row],[TOTAL MARKET VALUE]]-INVESTORS_LIST[[#This Row],[TOTAL COST VALUE OF CURRENT INVESTMENT]]</f>
        <v>63670.94592917792</v>
      </c>
      <c r="AW583" s="48">
        <f>IFERROR(INVESTORS_LIST[[#This Row],[TOTAL CURRENT UNITS]]/SUM(INVESTORS_LIST[TOTAL CURRENT UNITS]),0)</f>
        <v>1.522506654412037E-3</v>
      </c>
    </row>
    <row r="584" spans="1:49">
      <c r="A584" s="262" t="s">
        <v>1273</v>
      </c>
      <c r="B584" s="97" t="s">
        <v>1274</v>
      </c>
      <c r="C584" t="s">
        <v>44</v>
      </c>
      <c r="D584" s="75" t="s">
        <v>45</v>
      </c>
      <c r="E584" s="50">
        <f>SUMIFS(LS[Unit],LS[Investor ID],INVESTORS_LIST[[#This Row],[INVESTOR CODE]],LS[B/S],"B")</f>
        <v>71899</v>
      </c>
      <c r="F584" s="50">
        <f>-SUMIFS(LS[Unit],LS[Investor ID],INVESTORS_LIST[[#This Row],[INVESTOR CODE]],LS[B/S],"S")</f>
        <v>36318</v>
      </c>
      <c r="G584" s="50">
        <f>IF(INVESTORS_LIST[[#This Row],[LS_TOTAL UNITS BUY]]=0,0,INVESTORS_LIST[[#This Row],[LS_TOTAL UNITS BUY]]-INVESTORS_LIST[[#This Row],[LS_TOTAL UNITS SOLD]])</f>
        <v>35581</v>
      </c>
      <c r="H584" s="102">
        <f>IF(INVESTORS_LIST[[#This Row],[LS_TOTAL UNITS BUY]]=0,0,SUMIFS(LS[Amount],LS[Investor ID],INVESTORS_LIST[[#This Row],[INVESTOR CODE]],LS[B/S],"B"))</f>
        <v>900000</v>
      </c>
      <c r="I584" s="48">
        <f>IF(INVESTORS_LIST[[#This Row],[LS_TOTAL UNITS SOLD]]=0,0,SUMIFS(LS[Cost of Units Sold],LS[Investor ID],INVESTORS_LIST[[#This Row],[INVESTOR CODE]],LS[B/S],"S"))</f>
        <v>454612.72062198364</v>
      </c>
      <c r="J584" s="48">
        <f>IF(INVESTORS_LIST[[#This Row],[LS_TOTAL CURRENT UNITS]]=0,0,INVESTORS_LIST[[#This Row],[LS_TOTAL CURRENT UNITS]]*INVESTORS_LIST[[#This Row],[LS_AVERAGE COST]])</f>
        <v>445387.27937801642</v>
      </c>
      <c r="K584" s="48">
        <f>IF(INVESTORS_LIST[[#This Row],[LS_TOTAL UNITS SOLD]]=0,0,SUMIFS(LS[Realized Gain],LS[Investor ID],INVESTORS_LIST[[#This Row],[INVESTOR CODE]],LS[B/S],"S"))</f>
        <v>45387.279378016312</v>
      </c>
      <c r="L584" s="104">
        <f>SUMIFS(SIP[Unit],SIP[Investor ID],INVESTORS_LIST[[#This Row],[INVESTOR CODE]],SIP[B/S],"B")</f>
        <v>0</v>
      </c>
      <c r="M584" s="50">
        <f>-SUMIFS(SIP[Unit],SIP[Investor ID],INVESTORS_LIST[[#This Row],[INVESTOR CODE]],SIP[B/S],"S")</f>
        <v>0</v>
      </c>
      <c r="N584" s="50">
        <f>IF(INVESTORS_LIST[[#This Row],[SIP_TOTAL UNITS BUY]]=0,0,INVESTORS_LIST[[#This Row],[SIP_TOTAL UNITS BUY]]-INVESTORS_LIST[[#This Row],[SIP_TOTAL UNITS SOLD]])</f>
        <v>0</v>
      </c>
      <c r="O584" s="48">
        <f>IF(INVESTORS_LIST[[#This Row],[SIP_TOTAL UNITS BUY]]=0,0,SUMIFS(SIP[Amount],SIP[Investor ID],INVESTORS_LIST[[#This Row],[INVESTOR CODE]],SIP[B/S],"B"))</f>
        <v>0</v>
      </c>
      <c r="P584" s="48">
        <f>IF(INVESTORS_LIST[[#This Row],[SIP_TOTAL UNITS SOLD]]=0,0,SUMIFS(SIP[Cost of Units Sold],SIP[Investor ID],INVESTORS_LIST[[#This Row],[INVESTOR CODE]],SIP[B/S],"S"))</f>
        <v>0</v>
      </c>
      <c r="Q584" s="48">
        <f>IF(INVESTORS_LIST[[#This Row],[SIP_TOTAL CURRENT UNITS]]=0,0,INVESTORS_LIST[[#This Row],[SIP_TOTAL CURRENT UNITS]]*INVESTORS_LIST[[#This Row],[SIP_AVERAGE COST]])</f>
        <v>0</v>
      </c>
      <c r="R584" s="48">
        <f>IF(INVESTORS_LIST[[#This Row],[SIP_TOTAL UNITS SOLD]]=0,0,SUMIFS(SIP[Realized Gain],SIP[Investor ID],INVESTORS_LIST[[#This Row],[INVESTOR CODE]],SIP[B/S],"S"))</f>
        <v>0</v>
      </c>
      <c r="S584" s="50">
        <f>INVESTORS_LIST[[#This Row],[LS_TOTAL UNITS BUY]]+INVESTORS_LIST[[#This Row],[SIP_TOTAL UNITS BUY]]</f>
        <v>71899</v>
      </c>
      <c r="T584" s="50">
        <f>INVESTORS_LIST[[#This Row],[LS_TOTAL UNITS SOLD]]+INVESTORS_LIST[[#This Row],[SIP_TOTAL UNITS SOLD]]</f>
        <v>36318</v>
      </c>
      <c r="U584" s="50">
        <v>71899</v>
      </c>
      <c r="V584" s="50">
        <f>SUMIFS(LS[BO UNIT TRANSFER],LS[Investor ID],INVESTORS_LIST[[#This Row],[INVESTOR CODE]],LS[B/S],"B")</f>
        <v>0</v>
      </c>
      <c r="W584" s="50">
        <f>SUMIFS(SIP[BO UNIT TRANSFER],SIP[Investor ID],INVESTORS_LIST[[#This Row],[INVESTOR CODE]],SIP[B/S],"B")</f>
        <v>0</v>
      </c>
      <c r="X584" s="50">
        <f>SUMIFS(LS[BO UNIT TRANSFER],LS[Investor ID],INVESTORS_LIST[[#This Row],[INVESTOR CODE]],LS[B/S],"S")</f>
        <v>0</v>
      </c>
      <c r="Y584" s="50">
        <f>SUMIFS(SIP[BO UNIT TRANSFER],SIP[Investor ID],INVESTORS_LIST[[#This Row],[INVESTOR CODE]],SIP[B/S],"S")</f>
        <v>0</v>
      </c>
      <c r="Z584" s="106">
        <f>SUM(INVESTORS_LIST[[#This Row],[BO OPENING BALANCE]:[BO SIP UNITS REPURCHASE]])</f>
        <v>71899</v>
      </c>
      <c r="AA584" s="107">
        <f>INVESTORS_LIST[[#This Row],[TOTAL UNITS BUY]]-INVESTORS_LIST[[#This Row],[TOTAL UNITS SOLD]]</f>
        <v>35581</v>
      </c>
      <c r="AB584" s="107">
        <f>INVESTORS_LIST[[#This Row],[TOTAL CURRENT UNITS]]-INVESTORS_LIST[[#This Row],[BO UNITS HOLD]]</f>
        <v>-36318</v>
      </c>
      <c r="AC584" s="201" t="e">
        <f>INDEX([3]!Table_1[BO ID],MATCH(INVESTORS_LIST[[#This Row],[INVESTOR CODE]],[3]!Table_1[INVESTOR CODE],0))</f>
        <v>#REF!</v>
      </c>
      <c r="AD584" s="201" t="e">
        <f>INDEX([3]!Table_1[Brokerage Name2],MATCH(INVESTORS_LIST[[#This Row],[INVESTOR CODE]],[3]!Table_1[INVESTOR CODE],0))</f>
        <v>#REF!</v>
      </c>
      <c r="AE584" s="201" t="e">
        <f>MID(INVESTORS_LIST[[#This Row],[BO ID]],4,5)</f>
        <v>#REF!</v>
      </c>
      <c r="AF584" s="201" t="e">
        <f>MID(INVESTORS_LIST[[#This Row],[BO ID]],2,7)</f>
        <v>#REF!</v>
      </c>
      <c r="AG584" s="201" t="e">
        <f>MID(INVESTORS_LIST[[#This Row],[BO ID]],9,7)</f>
        <v>#REF!</v>
      </c>
      <c r="AH584" s="201" t="e">
        <f>RIGHT(INVESTORS_LIST[[#This Row],[BO ID]],1)</f>
        <v>#REF!</v>
      </c>
      <c r="AI584" s="50">
        <f>INVESTORS_LIST[[#This Row],[LS_TOTAL COST VALUE OF CURRENT UNITS]]+INVESTORS_LIST[[#This Row],[SIP_TOTAL COST VALUE OF CURRENT UNITS]]</f>
        <v>445387.27937801642</v>
      </c>
      <c r="AJ584" s="109">
        <f>IF(INVESTORS_LIST[[#This Row],[TOTAL CURRENT UNITS]]=0,0,INVESTORS_LIST[[#This Row],[LS_TOTAL CURRENT UNITS]]/INVESTORS_LIST[[#This Row],[TOTAL CURRENT UNITS]])</f>
        <v>1</v>
      </c>
      <c r="AK584" s="109">
        <f>IF(INVESTORS_LIST[[#This Row],[TOTAL CURRENT UNITS]]=0,0,INVESTORS_LIST[[#This Row],[SIP_TOTAL CURRENT UNITS]]/INVESTORS_LIST[[#This Row],[TOTAL CURRENT UNITS]])</f>
        <v>0</v>
      </c>
      <c r="AL584" s="99" cm="1">
        <f t="array" ref="AL584">IF(INVESTORS_LIST[[#This Row],[LS_TOTAL UNITS BUY]]&gt;0,INDEX(LS[NAV at Cost (Average)],MATCH(CONCATENATE(COUNTIFS(LS[Investor ID],INVESTORS_LIST[[#This Row],[INVESTOR CODE]]),INVESTORS_LIST[[#This Row],[INVESTOR CODE]]),LS[Unique Code],0),),0)</f>
        <v>12.517559354093938</v>
      </c>
      <c r="AM584" s="99" cm="1">
        <f t="array" ref="AM5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4" s="105">
        <f>IF(INVESTORS_LIST[[#This Row],[TOTAL CURRENT UNITS]]=0,0,(INVESTORS_LIST[[#This Row],[LS_WEIGHT]]*INVESTORS_LIST[[#This Row],[LS_AVERAGE COST]])+(INVESTORS_LIST[[#This Row],[SIP_WEIGHT]]*INVESTORS_LIST[[#This Row],[SIP_AVERAGE COST]]))</f>
        <v>12.517559354093938</v>
      </c>
      <c r="AO584" s="105">
        <f t="shared" si="10"/>
        <v>14.224</v>
      </c>
      <c r="AP584" s="112">
        <f>IF(INVESTORS_LIST[[#This Row],[TOTAL CURRENT UNITS]]=0,0,INVESTORS_LIST[[#This Row],[TOTAL CURRENT UNITS]]*INVESTORS_LIST[[#This Row],[NAV]])</f>
        <v>506104.14400000003</v>
      </c>
      <c r="AQ584" s="102">
        <f>IF(INVESTORS_LIST[[#This Row],[LS_TOTAL CURRENT UNITS]]=0,0,INVESTORS_LIST[[#This Row],[LS_TOTAL CURRENT UNITS]]*INVESTORS_LIST[[#This Row],[NAV]])</f>
        <v>506104.14400000003</v>
      </c>
      <c r="AR584" s="48">
        <f>IF(INVESTORS_LIST[[#This Row],[SIP_TOTAL CURRENT UNITS]]=0,0,INVESTORS_LIST[[#This Row],[SIP_TOTAL CURRENT UNITS]]*INVESTORS_LIST[[#This Row],[NAV]])</f>
        <v>0</v>
      </c>
      <c r="AS584" s="50">
        <f>INVESTORS_LIST[[#This Row],[TOTAL CURRENT UNITS]]</f>
        <v>35581</v>
      </c>
      <c r="AT584" s="48">
        <f>IF(INVESTORS_LIST[[#This Row],[TOTAL SELLABLE UNITS]]=0,0,INVESTORS_LIST[[#This Row],[TOTAL SELLABLE UNITS]]*INVESTORS_LIST[[#This Row],[NAV]])</f>
        <v>506104.14400000003</v>
      </c>
      <c r="AU584" s="48">
        <f>INVESTORS_LIST[[#This Row],[LS_TOTAL REALIZED GAIN]]+INVESTORS_LIST[[#This Row],[SIP_TOTAL REALIZED GAIN]]</f>
        <v>45387.279378016312</v>
      </c>
      <c r="AV584" s="48">
        <f>INVESTORS_LIST[[#This Row],[TOTAL MARKET VALUE]]-INVESTORS_LIST[[#This Row],[TOTAL COST VALUE OF CURRENT INVESTMENT]]</f>
        <v>60716.864621983608</v>
      </c>
      <c r="AW584" s="48">
        <f>IFERROR(INVESTORS_LIST[[#This Row],[TOTAL CURRENT UNITS]]/SUM(INVESTORS_LIST[TOTAL CURRENT UNITS]),0)</f>
        <v>8.6377175315126417E-4</v>
      </c>
    </row>
    <row r="585" spans="1:49">
      <c r="A585" s="262" t="s">
        <v>1276</v>
      </c>
      <c r="B585" s="97" t="s">
        <v>1277</v>
      </c>
      <c r="C585" t="s">
        <v>67</v>
      </c>
      <c r="D585" s="75" t="s">
        <v>45</v>
      </c>
      <c r="E585" s="50">
        <f>SUMIFS(LS[Unit],LS[Investor ID],INVESTORS_LIST[[#This Row],[INVESTOR CODE]],LS[B/S],"B")</f>
        <v>0</v>
      </c>
      <c r="F585" s="50">
        <f>-SUMIFS(LS[Unit],LS[Investor ID],INVESTORS_LIST[[#This Row],[INVESTOR CODE]],LS[B/S],"S")</f>
        <v>0</v>
      </c>
      <c r="G585" s="50">
        <f>IF(INVESTORS_LIST[[#This Row],[LS_TOTAL UNITS BUY]]=0,0,INVESTORS_LIST[[#This Row],[LS_TOTAL UNITS BUY]]-INVESTORS_LIST[[#This Row],[LS_TOTAL UNITS SOLD]])</f>
        <v>0</v>
      </c>
      <c r="H585" s="102">
        <f>IF(INVESTORS_LIST[[#This Row],[LS_TOTAL UNITS BUY]]=0,0,SUMIFS(LS[Amount],LS[Investor ID],INVESTORS_LIST[[#This Row],[INVESTOR CODE]],LS[B/S],"B"))</f>
        <v>0</v>
      </c>
      <c r="I585" s="48">
        <f>IF(INVESTORS_LIST[[#This Row],[LS_TOTAL UNITS SOLD]]=0,0,SUMIFS(LS[Cost of Units Sold],LS[Investor ID],INVESTORS_LIST[[#This Row],[INVESTOR CODE]],LS[B/S],"S"))</f>
        <v>0</v>
      </c>
      <c r="J585" s="48">
        <f>IF(INVESTORS_LIST[[#This Row],[LS_TOTAL CURRENT UNITS]]=0,0,INVESTORS_LIST[[#This Row],[LS_TOTAL CURRENT UNITS]]*INVESTORS_LIST[[#This Row],[LS_AVERAGE COST]])</f>
        <v>0</v>
      </c>
      <c r="K585" s="48">
        <f>IF(INVESTORS_LIST[[#This Row],[LS_TOTAL UNITS SOLD]]=0,0,SUMIFS(LS[Realized Gain],LS[Investor ID],INVESTORS_LIST[[#This Row],[INVESTOR CODE]],LS[B/S],"S"))</f>
        <v>0</v>
      </c>
      <c r="L585" s="104">
        <f>SUMIFS(SIP[Unit],SIP[Investor ID],INVESTORS_LIST[[#This Row],[INVESTOR CODE]],SIP[B/S],"B")</f>
        <v>3165</v>
      </c>
      <c r="M585" s="50">
        <f>-SUMIFS(SIP[Unit],SIP[Investor ID],INVESTORS_LIST[[#This Row],[INVESTOR CODE]],SIP[B/S],"S")</f>
        <v>2997</v>
      </c>
      <c r="N585" s="50">
        <f>IF(INVESTORS_LIST[[#This Row],[SIP_TOTAL UNITS BUY]]=0,0,INVESTORS_LIST[[#This Row],[SIP_TOTAL UNITS BUY]]-INVESTORS_LIST[[#This Row],[SIP_TOTAL UNITS SOLD]])</f>
        <v>168</v>
      </c>
      <c r="O585" s="48">
        <f>IF(INVESTORS_LIST[[#This Row],[SIP_TOTAL UNITS BUY]]=0,0,SUMIFS(SIP[Amount],SIP[Investor ID],INVESTORS_LIST[[#This Row],[INVESTOR CODE]],SIP[B/S],"B"))</f>
        <v>40000</v>
      </c>
      <c r="P585" s="48">
        <f>IF(INVESTORS_LIST[[#This Row],[SIP_TOTAL UNITS SOLD]]=0,0,SUMIFS(SIP[Cost of Units Sold],SIP[Investor ID],INVESTORS_LIST[[#This Row],[INVESTOR CODE]],SIP[B/S],"S"))</f>
        <v>37635.967000099787</v>
      </c>
      <c r="Q585" s="48">
        <f>IF(INVESTORS_LIST[[#This Row],[SIP_TOTAL CURRENT UNITS]]=0,0,INVESTORS_LIST[[#This Row],[SIP_TOTAL CURRENT UNITS]]*INVESTORS_LIST[[#This Row],[SIP_AVERAGE COST]])</f>
        <v>2364.0329999002161</v>
      </c>
      <c r="R585" s="48">
        <f>IF(INVESTORS_LIST[[#This Row],[SIP_TOTAL UNITS SOLD]]=0,0,SUMIFS(SIP[Realized Gain],SIP[Investor ID],INVESTORS_LIST[[#This Row],[INVESTOR CODE]],SIP[B/S],"S"))</f>
        <v>1902.0029999002195</v>
      </c>
      <c r="S585" s="50">
        <f>INVESTORS_LIST[[#This Row],[LS_TOTAL UNITS BUY]]+INVESTORS_LIST[[#This Row],[SIP_TOTAL UNITS BUY]]</f>
        <v>3165</v>
      </c>
      <c r="T585" s="50">
        <f>INVESTORS_LIST[[#This Row],[LS_TOTAL UNITS SOLD]]+INVESTORS_LIST[[#This Row],[SIP_TOTAL UNITS SOLD]]</f>
        <v>2997</v>
      </c>
      <c r="U585" s="50"/>
      <c r="V585" s="50">
        <f>SUMIFS(LS[BO UNIT TRANSFER],LS[Investor ID],INVESTORS_LIST[[#This Row],[INVESTOR CODE]],LS[B/S],"B")</f>
        <v>0</v>
      </c>
      <c r="W585" s="50">
        <f>SUMIFS(SIP[BO UNIT TRANSFER],SIP[Investor ID],INVESTORS_LIST[[#This Row],[INVESTOR CODE]],SIP[B/S],"B")</f>
        <v>0</v>
      </c>
      <c r="X585" s="50">
        <f>SUMIFS(LS[BO UNIT TRANSFER],LS[Investor ID],INVESTORS_LIST[[#This Row],[INVESTOR CODE]],LS[B/S],"S")</f>
        <v>0</v>
      </c>
      <c r="Y585" s="50">
        <f>SUMIFS(SIP[BO UNIT TRANSFER],SIP[Investor ID],INVESTORS_LIST[[#This Row],[INVESTOR CODE]],SIP[B/S],"S")</f>
        <v>0</v>
      </c>
      <c r="Z585" s="106">
        <f>SUM(INVESTORS_LIST[[#This Row],[BO OPENING BALANCE]:[BO SIP UNITS REPURCHASE]])</f>
        <v>0</v>
      </c>
      <c r="AA585" s="107">
        <f>INVESTORS_LIST[[#This Row],[TOTAL UNITS BUY]]-INVESTORS_LIST[[#This Row],[TOTAL UNITS SOLD]]</f>
        <v>168</v>
      </c>
      <c r="AB585" s="107">
        <f>INVESTORS_LIST[[#This Row],[TOTAL CURRENT UNITS]]-INVESTORS_LIST[[#This Row],[BO UNITS HOLD]]</f>
        <v>168</v>
      </c>
      <c r="AC585" s="201" t="e">
        <f>INDEX([3]!Table_1[BO ID],MATCH(INVESTORS_LIST[[#This Row],[INVESTOR CODE]],[3]!Table_1[INVESTOR CODE],0))</f>
        <v>#REF!</v>
      </c>
      <c r="AD585" s="201" t="e">
        <f>INDEX([3]!Table_1[Brokerage Name2],MATCH(INVESTORS_LIST[[#This Row],[INVESTOR CODE]],[3]!Table_1[INVESTOR CODE],0))</f>
        <v>#REF!</v>
      </c>
      <c r="AE585" s="201" t="e">
        <f>MID(INVESTORS_LIST[[#This Row],[BO ID]],4,5)</f>
        <v>#REF!</v>
      </c>
      <c r="AF585" s="201" t="e">
        <f>MID(INVESTORS_LIST[[#This Row],[BO ID]],2,7)</f>
        <v>#REF!</v>
      </c>
      <c r="AG585" s="201" t="e">
        <f>MID(INVESTORS_LIST[[#This Row],[BO ID]],9,7)</f>
        <v>#REF!</v>
      </c>
      <c r="AH585" s="201" t="e">
        <f>RIGHT(INVESTORS_LIST[[#This Row],[BO ID]],1)</f>
        <v>#REF!</v>
      </c>
      <c r="AI585" s="47">
        <f>INVESTORS_LIST[[#This Row],[LS_TOTAL COST VALUE OF CURRENT UNITS]]+INVESTORS_LIST[[#This Row],[SIP_TOTAL COST VALUE OF CURRENT UNITS]]</f>
        <v>2364.0329999002161</v>
      </c>
      <c r="AJ585" s="109">
        <f>IF(INVESTORS_LIST[[#This Row],[TOTAL CURRENT UNITS]]=0,0,INVESTORS_LIST[[#This Row],[LS_TOTAL CURRENT UNITS]]/INVESTORS_LIST[[#This Row],[TOTAL CURRENT UNITS]])</f>
        <v>0</v>
      </c>
      <c r="AK585" s="109">
        <f>IF(INVESTORS_LIST[[#This Row],[TOTAL CURRENT UNITS]]=0,0,INVESTORS_LIST[[#This Row],[SIP_TOTAL CURRENT UNITS]]/INVESTORS_LIST[[#This Row],[TOTAL CURRENT UNITS]])</f>
        <v>1</v>
      </c>
      <c r="AL585" s="99" cm="1">
        <f t="array" ref="AL5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5" s="99" cm="1">
        <f t="array" ref="AM585">IF(INVESTORS_LIST[[#This Row],[SIP_TOTAL UNITS BUY]]&gt;0,INDEX(SIP[NAV at Cost (Average)],MATCH(CONCATENATE(COUNTIFS(SIP[Investor ID],INVESTORS_LIST[[#This Row],[INVESTOR CODE]]),INVESTORS_LIST[[#This Row],[INVESTOR CODE]]),SIP[Unique Code],0),),0)</f>
        <v>14.071624999406048</v>
      </c>
      <c r="AN585" s="105">
        <f>IF(INVESTORS_LIST[[#This Row],[TOTAL CURRENT UNITS]]=0,0,(INVESTORS_LIST[[#This Row],[LS_WEIGHT]]*INVESTORS_LIST[[#This Row],[LS_AVERAGE COST]])+(INVESTORS_LIST[[#This Row],[SIP_WEIGHT]]*INVESTORS_LIST[[#This Row],[SIP_AVERAGE COST]]))</f>
        <v>14.071624999406048</v>
      </c>
      <c r="AO585" s="105">
        <f t="shared" si="10"/>
        <v>14.224</v>
      </c>
      <c r="AP585" s="112">
        <f>IF(INVESTORS_LIST[[#This Row],[TOTAL CURRENT UNITS]]=0,0,INVESTORS_LIST[[#This Row],[TOTAL CURRENT UNITS]]*INVESTORS_LIST[[#This Row],[NAV]])</f>
        <v>2389.6320000000001</v>
      </c>
      <c r="AQ585" s="102">
        <f>IF(INVESTORS_LIST[[#This Row],[LS_TOTAL CURRENT UNITS]]=0,0,INVESTORS_LIST[[#This Row],[LS_TOTAL CURRENT UNITS]]*INVESTORS_LIST[[#This Row],[NAV]])</f>
        <v>0</v>
      </c>
      <c r="AR585" s="48">
        <f>IF(INVESTORS_LIST[[#This Row],[SIP_TOTAL CURRENT UNITS]]=0,0,INVESTORS_LIST[[#This Row],[SIP_TOTAL CURRENT UNITS]]*INVESTORS_LIST[[#This Row],[NAV]])</f>
        <v>2389.6320000000001</v>
      </c>
      <c r="AS585" s="50">
        <f>INVESTORS_LIST[[#This Row],[TOTAL CURRENT UNITS]]</f>
        <v>168</v>
      </c>
      <c r="AT585" s="48">
        <f>IF(INVESTORS_LIST[[#This Row],[TOTAL SELLABLE UNITS]]=0,0,INVESTORS_LIST[[#This Row],[TOTAL SELLABLE UNITS]]*INVESTORS_LIST[[#This Row],[NAV]])</f>
        <v>2389.6320000000001</v>
      </c>
      <c r="AU585" s="48">
        <f>INVESTORS_LIST[[#This Row],[LS_TOTAL REALIZED GAIN]]+INVESTORS_LIST[[#This Row],[SIP_TOTAL REALIZED GAIN]]</f>
        <v>1902.0029999002195</v>
      </c>
      <c r="AV585" s="48">
        <f>INVESTORS_LIST[[#This Row],[TOTAL MARKET VALUE]]-INVESTORS_LIST[[#This Row],[TOTAL COST VALUE OF CURRENT INVESTMENT]]</f>
        <v>25.599000099784007</v>
      </c>
      <c r="AW585" s="48">
        <f>IFERROR(INVESTORS_LIST[[#This Row],[TOTAL CURRENT UNITS]]/SUM(INVESTORS_LIST[TOTAL CURRENT UNITS]),0)</f>
        <v>4.0784029265454143E-6</v>
      </c>
    </row>
    <row r="586" spans="1:49">
      <c r="A586" s="262" t="s">
        <v>1278</v>
      </c>
      <c r="B586" s="97" t="s">
        <v>1275</v>
      </c>
      <c r="C586" t="s">
        <v>48</v>
      </c>
      <c r="D586" s="75" t="s">
        <v>49</v>
      </c>
      <c r="E586" s="50">
        <f>SUMIFS(LS[Unit],LS[Investor ID],INVESTORS_LIST[[#This Row],[INVESTOR CODE]],LS[B/S],"B")</f>
        <v>2000409</v>
      </c>
      <c r="F586" s="50">
        <f>-SUMIFS(LS[Unit],LS[Investor ID],INVESTORS_LIST[[#This Row],[INVESTOR CODE]],LS[B/S],"S")</f>
        <v>0</v>
      </c>
      <c r="G586" s="50">
        <f>IF(INVESTORS_LIST[[#This Row],[LS_TOTAL UNITS BUY]]=0,0,INVESTORS_LIST[[#This Row],[LS_TOTAL UNITS BUY]]-INVESTORS_LIST[[#This Row],[LS_TOTAL UNITS SOLD]])</f>
        <v>2000409</v>
      </c>
      <c r="H586" s="102">
        <f>IF(INVESTORS_LIST[[#This Row],[LS_TOTAL UNITS BUY]]=0,0,SUMIFS(LS[Amount],LS[Investor ID],INVESTORS_LIST[[#This Row],[INVESTOR CODE]],LS[B/S],"B"))</f>
        <v>24382571.880000003</v>
      </c>
      <c r="I586" s="48">
        <f>IF(INVESTORS_LIST[[#This Row],[LS_TOTAL UNITS SOLD]]=0,0,SUMIFS(LS[Cost of Units Sold],LS[Investor ID],INVESTORS_LIST[[#This Row],[INVESTOR CODE]],LS[B/S],"S"))</f>
        <v>0</v>
      </c>
      <c r="J586" s="48">
        <f>IF(INVESTORS_LIST[[#This Row],[LS_TOTAL CURRENT UNITS]]=0,0,INVESTORS_LIST[[#This Row],[LS_TOTAL CURRENT UNITS]]*INVESTORS_LIST[[#This Row],[LS_AVERAGE COST]])</f>
        <v>24382571.879999999</v>
      </c>
      <c r="K586" s="48">
        <f>IF(INVESTORS_LIST[[#This Row],[LS_TOTAL UNITS SOLD]]=0,0,SUMIFS(LS[Realized Gain],LS[Investor ID],INVESTORS_LIST[[#This Row],[INVESTOR CODE]],LS[B/S],"S"))</f>
        <v>0</v>
      </c>
      <c r="L586" s="104">
        <f>SUMIFS(SIP[Unit],SIP[Investor ID],INVESTORS_LIST[[#This Row],[INVESTOR CODE]],SIP[B/S],"B")</f>
        <v>0</v>
      </c>
      <c r="M586" s="50">
        <f>-SUMIFS(SIP[Unit],SIP[Investor ID],INVESTORS_LIST[[#This Row],[INVESTOR CODE]],SIP[B/S],"S")</f>
        <v>0</v>
      </c>
      <c r="N586" s="50">
        <f>IF(INVESTORS_LIST[[#This Row],[SIP_TOTAL UNITS BUY]]=0,0,INVESTORS_LIST[[#This Row],[SIP_TOTAL UNITS BUY]]-INVESTORS_LIST[[#This Row],[SIP_TOTAL UNITS SOLD]])</f>
        <v>0</v>
      </c>
      <c r="O586" s="48">
        <f>IF(INVESTORS_LIST[[#This Row],[SIP_TOTAL UNITS BUY]]=0,0,SUMIFS(SIP[Amount],SIP[Investor ID],INVESTORS_LIST[[#This Row],[INVESTOR CODE]],SIP[B/S],"B"))</f>
        <v>0</v>
      </c>
      <c r="P586" s="48">
        <f>IF(INVESTORS_LIST[[#This Row],[SIP_TOTAL UNITS SOLD]]=0,0,SUMIFS(SIP[Cost of Units Sold],SIP[Investor ID],INVESTORS_LIST[[#This Row],[INVESTOR CODE]],SIP[B/S],"S"))</f>
        <v>0</v>
      </c>
      <c r="Q586" s="48">
        <f>IF(INVESTORS_LIST[[#This Row],[SIP_TOTAL CURRENT UNITS]]=0,0,INVESTORS_LIST[[#This Row],[SIP_TOTAL CURRENT UNITS]]*INVESTORS_LIST[[#This Row],[SIP_AVERAGE COST]])</f>
        <v>0</v>
      </c>
      <c r="R586" s="48">
        <f>IF(INVESTORS_LIST[[#This Row],[SIP_TOTAL UNITS SOLD]]=0,0,SUMIFS(SIP[Realized Gain],SIP[Investor ID],INVESTORS_LIST[[#This Row],[INVESTOR CODE]],SIP[B/S],"S"))</f>
        <v>0</v>
      </c>
      <c r="S586" s="50">
        <f>INVESTORS_LIST[[#This Row],[LS_TOTAL UNITS BUY]]+INVESTORS_LIST[[#This Row],[SIP_TOTAL UNITS BUY]]</f>
        <v>2000409</v>
      </c>
      <c r="T586" s="50">
        <f>INVESTORS_LIST[[#This Row],[LS_TOTAL UNITS SOLD]]+INVESTORS_LIST[[#This Row],[SIP_TOTAL UNITS SOLD]]</f>
        <v>0</v>
      </c>
      <c r="U586" s="50">
        <v>2000409</v>
      </c>
      <c r="V586" s="50">
        <f>SUMIFS(LS[BO UNIT TRANSFER],LS[Investor ID],INVESTORS_LIST[[#This Row],[INVESTOR CODE]],LS[B/S],"B")</f>
        <v>0</v>
      </c>
      <c r="W586" s="50">
        <f>SUMIFS(SIP[BO UNIT TRANSFER],SIP[Investor ID],INVESTORS_LIST[[#This Row],[INVESTOR CODE]],SIP[B/S],"B")</f>
        <v>0</v>
      </c>
      <c r="X586" s="50">
        <f>SUMIFS(LS[BO UNIT TRANSFER],LS[Investor ID],INVESTORS_LIST[[#This Row],[INVESTOR CODE]],LS[B/S],"S")</f>
        <v>0</v>
      </c>
      <c r="Y586" s="50">
        <f>SUMIFS(SIP[BO UNIT TRANSFER],SIP[Investor ID],INVESTORS_LIST[[#This Row],[INVESTOR CODE]],SIP[B/S],"S")</f>
        <v>0</v>
      </c>
      <c r="Z586" s="106">
        <f>SUM(INVESTORS_LIST[[#This Row],[BO OPENING BALANCE]:[BO SIP UNITS REPURCHASE]])</f>
        <v>2000409</v>
      </c>
      <c r="AA586" s="107">
        <f>INVESTORS_LIST[[#This Row],[TOTAL UNITS BUY]]-INVESTORS_LIST[[#This Row],[TOTAL UNITS SOLD]]</f>
        <v>2000409</v>
      </c>
      <c r="AB586" s="107">
        <f>INVESTORS_LIST[[#This Row],[TOTAL CURRENT UNITS]]-INVESTORS_LIST[[#This Row],[BO UNITS HOLD]]</f>
        <v>0</v>
      </c>
      <c r="AC586" s="201" t="e">
        <f>INDEX([3]!Table_1[BO ID],MATCH(INVESTORS_LIST[[#This Row],[INVESTOR CODE]],[3]!Table_1[INVESTOR CODE],0))</f>
        <v>#REF!</v>
      </c>
      <c r="AD586" s="201" t="e">
        <f>INDEX([3]!Table_1[Brokerage Name2],MATCH(INVESTORS_LIST[[#This Row],[INVESTOR CODE]],[3]!Table_1[INVESTOR CODE],0))</f>
        <v>#REF!</v>
      </c>
      <c r="AE586" s="201" t="e">
        <f>MID(INVESTORS_LIST[[#This Row],[BO ID]],4,5)</f>
        <v>#REF!</v>
      </c>
      <c r="AF586" s="201" t="e">
        <f>MID(INVESTORS_LIST[[#This Row],[BO ID]],2,7)</f>
        <v>#REF!</v>
      </c>
      <c r="AG586" s="201" t="e">
        <f>MID(INVESTORS_LIST[[#This Row],[BO ID]],9,7)</f>
        <v>#REF!</v>
      </c>
      <c r="AH586" s="201" t="e">
        <f>RIGHT(INVESTORS_LIST[[#This Row],[BO ID]],1)</f>
        <v>#REF!</v>
      </c>
      <c r="AI586" s="50">
        <f>INVESTORS_LIST[[#This Row],[LS_TOTAL COST VALUE OF CURRENT UNITS]]+INVESTORS_LIST[[#This Row],[SIP_TOTAL COST VALUE OF CURRENT UNITS]]</f>
        <v>24382571.879999999</v>
      </c>
      <c r="AJ586" s="109">
        <f>IF(INVESTORS_LIST[[#This Row],[TOTAL CURRENT UNITS]]=0,0,INVESTORS_LIST[[#This Row],[LS_TOTAL CURRENT UNITS]]/INVESTORS_LIST[[#This Row],[TOTAL CURRENT UNITS]])</f>
        <v>1</v>
      </c>
      <c r="AK586" s="109">
        <f>IF(INVESTORS_LIST[[#This Row],[TOTAL CURRENT UNITS]]=0,0,INVESTORS_LIST[[#This Row],[SIP_TOTAL CURRENT UNITS]]/INVESTORS_LIST[[#This Row],[TOTAL CURRENT UNITS]])</f>
        <v>0</v>
      </c>
      <c r="AL586" s="99" cm="1">
        <f t="array" ref="AL586">IF(INVESTORS_LIST[[#This Row],[LS_TOTAL UNITS BUY]]&gt;0,INDEX(LS[NAV at Cost (Average)],MATCH(CONCATENATE(COUNTIFS(LS[Investor ID],INVESTORS_LIST[[#This Row],[INVESTOR CODE]]),INVESTORS_LIST[[#This Row],[INVESTOR CODE]]),LS[Unique Code],0),),0)</f>
        <v>12.188793331763653</v>
      </c>
      <c r="AM586" s="99" cm="1">
        <f t="array" ref="AM5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6" s="105">
        <f>IF(INVESTORS_LIST[[#This Row],[TOTAL CURRENT UNITS]]=0,0,(INVESTORS_LIST[[#This Row],[LS_WEIGHT]]*INVESTORS_LIST[[#This Row],[LS_AVERAGE COST]])+(INVESTORS_LIST[[#This Row],[SIP_WEIGHT]]*INVESTORS_LIST[[#This Row],[SIP_AVERAGE COST]]))</f>
        <v>12.188793331763653</v>
      </c>
      <c r="AO586" s="105">
        <f t="shared" si="10"/>
        <v>14.224</v>
      </c>
      <c r="AP586" s="112">
        <f>IF(INVESTORS_LIST[[#This Row],[TOTAL CURRENT UNITS]]=0,0,INVESTORS_LIST[[#This Row],[TOTAL CURRENT UNITS]]*INVESTORS_LIST[[#This Row],[NAV]])</f>
        <v>28453817.616</v>
      </c>
      <c r="AQ586" s="102">
        <f>IF(INVESTORS_LIST[[#This Row],[LS_TOTAL CURRENT UNITS]]=0,0,INVESTORS_LIST[[#This Row],[LS_TOTAL CURRENT UNITS]]*INVESTORS_LIST[[#This Row],[NAV]])</f>
        <v>28453817.616</v>
      </c>
      <c r="AR586" s="48">
        <f>IF(INVESTORS_LIST[[#This Row],[SIP_TOTAL CURRENT UNITS]]=0,0,INVESTORS_LIST[[#This Row],[SIP_TOTAL CURRENT UNITS]]*INVESTORS_LIST[[#This Row],[NAV]])</f>
        <v>0</v>
      </c>
      <c r="AS586" s="50">
        <f>INVESTORS_LIST[[#This Row],[TOTAL CURRENT UNITS]]</f>
        <v>2000409</v>
      </c>
      <c r="AT586" s="48">
        <f>IF(INVESTORS_LIST[[#This Row],[TOTAL SELLABLE UNITS]]=0,0,INVESTORS_LIST[[#This Row],[TOTAL SELLABLE UNITS]]*INVESTORS_LIST[[#This Row],[NAV]])</f>
        <v>28453817.616</v>
      </c>
      <c r="AU586" s="48">
        <f>INVESTORS_LIST[[#This Row],[LS_TOTAL REALIZED GAIN]]+INVESTORS_LIST[[#This Row],[SIP_TOTAL REALIZED GAIN]]</f>
        <v>0</v>
      </c>
      <c r="AV586" s="48">
        <f>INVESTORS_LIST[[#This Row],[TOTAL MARKET VALUE]]-INVESTORS_LIST[[#This Row],[TOTAL COST VALUE OF CURRENT INVESTMENT]]</f>
        <v>4071245.7360000014</v>
      </c>
      <c r="AW586" s="48">
        <f>IFERROR(INVESTORS_LIST[[#This Row],[TOTAL CURRENT UNITS]]/SUM(INVESTORS_LIST[TOTAL CURRENT UNITS]),0)</f>
        <v>4.8562344761236817E-2</v>
      </c>
    </row>
    <row r="587" spans="1:49">
      <c r="A587" s="262" t="s">
        <v>1279</v>
      </c>
      <c r="B587" s="97" t="s">
        <v>1280</v>
      </c>
      <c r="C587" t="s">
        <v>67</v>
      </c>
      <c r="D587" s="75" t="s">
        <v>45</v>
      </c>
      <c r="E587" s="50">
        <f>SUMIFS(LS[Unit],LS[Investor ID],INVESTORS_LIST[[#This Row],[INVESTOR CODE]],LS[B/S],"B")</f>
        <v>21961</v>
      </c>
      <c r="F587" s="50">
        <f>-SUMIFS(LS[Unit],LS[Investor ID],INVESTORS_LIST[[#This Row],[INVESTOR CODE]],LS[B/S],"S")</f>
        <v>0</v>
      </c>
      <c r="G587" s="50">
        <f>IF(INVESTORS_LIST[[#This Row],[LS_TOTAL UNITS BUY]]=0,0,INVESTORS_LIST[[#This Row],[LS_TOTAL UNITS BUY]]-INVESTORS_LIST[[#This Row],[LS_TOTAL UNITS SOLD]])</f>
        <v>21961</v>
      </c>
      <c r="H587" s="102">
        <f>IF(INVESTORS_LIST[[#This Row],[LS_TOTAL UNITS BUY]]=0,0,SUMIFS(LS[Amount],LS[Investor ID],INVESTORS_LIST[[#This Row],[INVESTOR CODE]],LS[B/S],"B"))</f>
        <v>250000</v>
      </c>
      <c r="I587" s="48">
        <f>IF(INVESTORS_LIST[[#This Row],[LS_TOTAL UNITS SOLD]]=0,0,SUMIFS(LS[Cost of Units Sold],LS[Investor ID],INVESTORS_LIST[[#This Row],[INVESTOR CODE]],LS[B/S],"S"))</f>
        <v>0</v>
      </c>
      <c r="J587" s="48">
        <f>IF(INVESTORS_LIST[[#This Row],[LS_TOTAL CURRENT UNITS]]=0,0,INVESTORS_LIST[[#This Row],[LS_TOTAL CURRENT UNITS]]*INVESTORS_LIST[[#This Row],[LS_AVERAGE COST]])</f>
        <v>250000</v>
      </c>
      <c r="K587" s="48">
        <f>IF(INVESTORS_LIST[[#This Row],[LS_TOTAL UNITS SOLD]]=0,0,SUMIFS(LS[Realized Gain],LS[Investor ID],INVESTORS_LIST[[#This Row],[INVESTOR CODE]],LS[B/S],"S"))</f>
        <v>0</v>
      </c>
      <c r="L587" s="104">
        <f>SUMIFS(SIP[Unit],SIP[Investor ID],INVESTORS_LIST[[#This Row],[INVESTOR CODE]],SIP[B/S],"B")</f>
        <v>0</v>
      </c>
      <c r="M587" s="50">
        <f>-SUMIFS(SIP[Unit],SIP[Investor ID],INVESTORS_LIST[[#This Row],[INVESTOR CODE]],SIP[B/S],"S")</f>
        <v>0</v>
      </c>
      <c r="N587" s="50">
        <f>IF(INVESTORS_LIST[[#This Row],[SIP_TOTAL UNITS BUY]]=0,0,INVESTORS_LIST[[#This Row],[SIP_TOTAL UNITS BUY]]-INVESTORS_LIST[[#This Row],[SIP_TOTAL UNITS SOLD]])</f>
        <v>0</v>
      </c>
      <c r="O587" s="48">
        <f>IF(INVESTORS_LIST[[#This Row],[SIP_TOTAL UNITS BUY]]=0,0,SUMIFS(SIP[Amount],SIP[Investor ID],INVESTORS_LIST[[#This Row],[INVESTOR CODE]],SIP[B/S],"B"))</f>
        <v>0</v>
      </c>
      <c r="P587" s="48">
        <f>IF(INVESTORS_LIST[[#This Row],[SIP_TOTAL UNITS SOLD]]=0,0,SUMIFS(SIP[Cost of Units Sold],SIP[Investor ID],INVESTORS_LIST[[#This Row],[INVESTOR CODE]],SIP[B/S],"S"))</f>
        <v>0</v>
      </c>
      <c r="Q587" s="48">
        <f>IF(INVESTORS_LIST[[#This Row],[SIP_TOTAL CURRENT UNITS]]=0,0,INVESTORS_LIST[[#This Row],[SIP_TOTAL CURRENT UNITS]]*INVESTORS_LIST[[#This Row],[SIP_AVERAGE COST]])</f>
        <v>0</v>
      </c>
      <c r="R587" s="48">
        <f>IF(INVESTORS_LIST[[#This Row],[SIP_TOTAL UNITS SOLD]]=0,0,SUMIFS(SIP[Realized Gain],SIP[Investor ID],INVESTORS_LIST[[#This Row],[INVESTOR CODE]],SIP[B/S],"S"))</f>
        <v>0</v>
      </c>
      <c r="S587" s="50">
        <f>INVESTORS_LIST[[#This Row],[LS_TOTAL UNITS BUY]]+INVESTORS_LIST[[#This Row],[SIP_TOTAL UNITS BUY]]</f>
        <v>21961</v>
      </c>
      <c r="T587" s="50">
        <f>INVESTORS_LIST[[#This Row],[LS_TOTAL UNITS SOLD]]+INVESTORS_LIST[[#This Row],[SIP_TOTAL UNITS SOLD]]</f>
        <v>0</v>
      </c>
      <c r="U587" s="50">
        <v>21961</v>
      </c>
      <c r="V587" s="50">
        <f>SUMIFS(LS[BO UNIT TRANSFER],LS[Investor ID],INVESTORS_LIST[[#This Row],[INVESTOR CODE]],LS[B/S],"B")</f>
        <v>0</v>
      </c>
      <c r="W587" s="50">
        <f>SUMIFS(SIP[BO UNIT TRANSFER],SIP[Investor ID],INVESTORS_LIST[[#This Row],[INVESTOR CODE]],SIP[B/S],"B")</f>
        <v>0</v>
      </c>
      <c r="X587" s="50">
        <f>SUMIFS(LS[BO UNIT TRANSFER],LS[Investor ID],INVESTORS_LIST[[#This Row],[INVESTOR CODE]],LS[B/S],"S")</f>
        <v>0</v>
      </c>
      <c r="Y587" s="50">
        <f>SUMIFS(SIP[BO UNIT TRANSFER],SIP[Investor ID],INVESTORS_LIST[[#This Row],[INVESTOR CODE]],SIP[B/S],"S")</f>
        <v>0</v>
      </c>
      <c r="Z587" s="106">
        <f>SUM(INVESTORS_LIST[[#This Row],[BO OPENING BALANCE]:[BO SIP UNITS REPURCHASE]])</f>
        <v>21961</v>
      </c>
      <c r="AA587" s="107">
        <f>INVESTORS_LIST[[#This Row],[TOTAL UNITS BUY]]-INVESTORS_LIST[[#This Row],[TOTAL UNITS SOLD]]</f>
        <v>21961</v>
      </c>
      <c r="AB587" s="107">
        <f>INVESTORS_LIST[[#This Row],[TOTAL CURRENT UNITS]]-INVESTORS_LIST[[#This Row],[BO UNITS HOLD]]</f>
        <v>0</v>
      </c>
      <c r="AC587" s="201" t="e">
        <f>INDEX([3]!Table_1[BO ID],MATCH(INVESTORS_LIST[[#This Row],[INVESTOR CODE]],[3]!Table_1[INVESTOR CODE],0))</f>
        <v>#REF!</v>
      </c>
      <c r="AD587" s="201" t="e">
        <f>INDEX([3]!Table_1[Brokerage Name2],MATCH(INVESTORS_LIST[[#This Row],[INVESTOR CODE]],[3]!Table_1[INVESTOR CODE],0))</f>
        <v>#REF!</v>
      </c>
      <c r="AE587" s="201" t="e">
        <f>MID(INVESTORS_LIST[[#This Row],[BO ID]],4,5)</f>
        <v>#REF!</v>
      </c>
      <c r="AF587" s="201" t="e">
        <f>MID(INVESTORS_LIST[[#This Row],[BO ID]],2,7)</f>
        <v>#REF!</v>
      </c>
      <c r="AG587" s="201" t="e">
        <f>MID(INVESTORS_LIST[[#This Row],[BO ID]],9,7)</f>
        <v>#REF!</v>
      </c>
      <c r="AH587" s="201" t="e">
        <f>RIGHT(INVESTORS_LIST[[#This Row],[BO ID]],1)</f>
        <v>#REF!</v>
      </c>
      <c r="AI587" s="50">
        <f>INVESTORS_LIST[[#This Row],[LS_TOTAL COST VALUE OF CURRENT UNITS]]+INVESTORS_LIST[[#This Row],[SIP_TOTAL COST VALUE OF CURRENT UNITS]]</f>
        <v>250000</v>
      </c>
      <c r="AJ587" s="109">
        <f>IF(INVESTORS_LIST[[#This Row],[TOTAL CURRENT UNITS]]=0,0,INVESTORS_LIST[[#This Row],[LS_TOTAL CURRENT UNITS]]/INVESTORS_LIST[[#This Row],[TOTAL CURRENT UNITS]])</f>
        <v>1</v>
      </c>
      <c r="AK587" s="109">
        <f>IF(INVESTORS_LIST[[#This Row],[TOTAL CURRENT UNITS]]=0,0,INVESTORS_LIST[[#This Row],[SIP_TOTAL CURRENT UNITS]]/INVESTORS_LIST[[#This Row],[TOTAL CURRENT UNITS]])</f>
        <v>0</v>
      </c>
      <c r="AL587" s="99" cm="1">
        <f t="array" ref="AL587">IF(INVESTORS_LIST[[#This Row],[LS_TOTAL UNITS BUY]]&gt;0,INDEX(LS[NAV at Cost (Average)],MATCH(CONCATENATE(COUNTIFS(LS[Investor ID],INVESTORS_LIST[[#This Row],[INVESTOR CODE]]),INVESTORS_LIST[[#This Row],[INVESTOR CODE]]),LS[Unique Code],0),),0)</f>
        <v>11.383816766085333</v>
      </c>
      <c r="AM587" s="99" cm="1">
        <f t="array" ref="AM5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7" s="105">
        <f>IF(INVESTORS_LIST[[#This Row],[TOTAL CURRENT UNITS]]=0,0,(INVESTORS_LIST[[#This Row],[LS_WEIGHT]]*INVESTORS_LIST[[#This Row],[LS_AVERAGE COST]])+(INVESTORS_LIST[[#This Row],[SIP_WEIGHT]]*INVESTORS_LIST[[#This Row],[SIP_AVERAGE COST]]))</f>
        <v>11.383816766085333</v>
      </c>
      <c r="AO587" s="105">
        <f t="shared" si="10"/>
        <v>14.224</v>
      </c>
      <c r="AP587" s="112">
        <f>IF(INVESTORS_LIST[[#This Row],[TOTAL CURRENT UNITS]]=0,0,INVESTORS_LIST[[#This Row],[TOTAL CURRENT UNITS]]*INVESTORS_LIST[[#This Row],[NAV]])</f>
        <v>312373.26400000002</v>
      </c>
      <c r="AQ587" s="102">
        <f>IF(INVESTORS_LIST[[#This Row],[LS_TOTAL CURRENT UNITS]]=0,0,INVESTORS_LIST[[#This Row],[LS_TOTAL CURRENT UNITS]]*INVESTORS_LIST[[#This Row],[NAV]])</f>
        <v>312373.26400000002</v>
      </c>
      <c r="AR587" s="48">
        <f>IF(INVESTORS_LIST[[#This Row],[SIP_TOTAL CURRENT UNITS]]=0,0,INVESTORS_LIST[[#This Row],[SIP_TOTAL CURRENT UNITS]]*INVESTORS_LIST[[#This Row],[NAV]])</f>
        <v>0</v>
      </c>
      <c r="AS587" s="50">
        <f>INVESTORS_LIST[[#This Row],[TOTAL CURRENT UNITS]]</f>
        <v>21961</v>
      </c>
      <c r="AT587" s="48">
        <f>IF(INVESTORS_LIST[[#This Row],[TOTAL SELLABLE UNITS]]=0,0,INVESTORS_LIST[[#This Row],[TOTAL SELLABLE UNITS]]*INVESTORS_LIST[[#This Row],[NAV]])</f>
        <v>312373.26400000002</v>
      </c>
      <c r="AU587" s="48">
        <f>INVESTORS_LIST[[#This Row],[LS_TOTAL REALIZED GAIN]]+INVESTORS_LIST[[#This Row],[SIP_TOTAL REALIZED GAIN]]</f>
        <v>0</v>
      </c>
      <c r="AV587" s="48">
        <f>INVESTORS_LIST[[#This Row],[TOTAL MARKET VALUE]]-INVESTORS_LIST[[#This Row],[TOTAL COST VALUE OF CURRENT INVESTMENT]]</f>
        <v>62373.264000000025</v>
      </c>
      <c r="AW587" s="48">
        <f>IFERROR(INVESTORS_LIST[[#This Row],[TOTAL CURRENT UNITS]]/SUM(INVESTORS_LIST[TOTAL CURRENT UNITS]),0)</f>
        <v>5.3312980160633244E-4</v>
      </c>
    </row>
    <row r="588" spans="1:49">
      <c r="A588" s="262" t="s">
        <v>1282</v>
      </c>
      <c r="B588" s="127" t="s">
        <v>1281</v>
      </c>
      <c r="C588" t="s">
        <v>48</v>
      </c>
      <c r="D588" s="75" t="s">
        <v>45</v>
      </c>
      <c r="E588" s="50">
        <f>SUMIFS(LS[Unit],LS[Investor ID],INVESTORS_LIST[[#This Row],[INVESTOR CODE]],LS[B/S],"B")</f>
        <v>664868</v>
      </c>
      <c r="F588" s="50">
        <f>-SUMIFS(LS[Unit],LS[Investor ID],INVESTORS_LIST[[#This Row],[INVESTOR CODE]],LS[B/S],"S")</f>
        <v>0</v>
      </c>
      <c r="G588" s="50">
        <f>IF(INVESTORS_LIST[[#This Row],[LS_TOTAL UNITS BUY]]=0,0,INVESTORS_LIST[[#This Row],[LS_TOTAL UNITS BUY]]-INVESTORS_LIST[[#This Row],[LS_TOTAL UNITS SOLD]])</f>
        <v>664868</v>
      </c>
      <c r="H588" s="156">
        <f>IF(INVESTORS_LIST[[#This Row],[LS_TOTAL UNITS BUY]]=0,0,SUMIFS(LS[Amount],LS[Investor ID],INVESTORS_LIST[[#This Row],[INVESTOR CODE]],LS[B/S],"B"))</f>
        <v>8050000</v>
      </c>
      <c r="I588" s="48">
        <f>IF(INVESTORS_LIST[[#This Row],[LS_TOTAL UNITS SOLD]]=0,0,SUMIFS(LS[Cost of Units Sold],LS[Investor ID],INVESTORS_LIST[[#This Row],[INVESTOR CODE]],LS[B/S],"S"))</f>
        <v>0</v>
      </c>
      <c r="J588" s="48">
        <f>IF(INVESTORS_LIST[[#This Row],[LS_TOTAL CURRENT UNITS]]=0,0,INVESTORS_LIST[[#This Row],[LS_TOTAL CURRENT UNITS]]*INVESTORS_LIST[[#This Row],[LS_AVERAGE COST]])</f>
        <v>8050000.0000000009</v>
      </c>
      <c r="K588" s="48">
        <f>IF(INVESTORS_LIST[[#This Row],[LS_TOTAL UNITS SOLD]]=0,0,SUMIFS(LS[Realized Gain],LS[Investor ID],INVESTORS_LIST[[#This Row],[INVESTOR CODE]],LS[B/S],"S"))</f>
        <v>0</v>
      </c>
      <c r="L588" s="157">
        <f>SUMIFS(SIP[Unit],SIP[Investor ID],INVESTORS_LIST[[#This Row],[INVESTOR CODE]],SIP[B/S],"B")</f>
        <v>0</v>
      </c>
      <c r="M588" s="50">
        <f>-SUMIFS(SIP[Unit],SIP[Investor ID],INVESTORS_LIST[[#This Row],[INVESTOR CODE]],SIP[B/S],"S")</f>
        <v>0</v>
      </c>
      <c r="N588" s="50">
        <f>IF(INVESTORS_LIST[[#This Row],[SIP_TOTAL UNITS BUY]]=0,0,INVESTORS_LIST[[#This Row],[SIP_TOTAL UNITS BUY]]-INVESTORS_LIST[[#This Row],[SIP_TOTAL UNITS SOLD]])</f>
        <v>0</v>
      </c>
      <c r="O588" s="48">
        <f>IF(INVESTORS_LIST[[#This Row],[SIP_TOTAL UNITS BUY]]=0,0,SUMIFS(SIP[Amount],SIP[Investor ID],INVESTORS_LIST[[#This Row],[INVESTOR CODE]],SIP[B/S],"B"))</f>
        <v>0</v>
      </c>
      <c r="P588" s="48">
        <f>IF(INVESTORS_LIST[[#This Row],[SIP_TOTAL UNITS SOLD]]=0,0,SUMIFS(SIP[Cost of Units Sold],SIP[Investor ID],INVESTORS_LIST[[#This Row],[INVESTOR CODE]],SIP[B/S],"S"))</f>
        <v>0</v>
      </c>
      <c r="Q588" s="48">
        <f>IF(INVESTORS_LIST[[#This Row],[SIP_TOTAL CURRENT UNITS]]=0,0,INVESTORS_LIST[[#This Row],[SIP_TOTAL CURRENT UNITS]]*INVESTORS_LIST[[#This Row],[SIP_AVERAGE COST]])</f>
        <v>0</v>
      </c>
      <c r="R588" s="48">
        <f>IF(INVESTORS_LIST[[#This Row],[SIP_TOTAL UNITS SOLD]]=0,0,SUMIFS(SIP[Realized Gain],SIP[Investor ID],INVESTORS_LIST[[#This Row],[INVESTOR CODE]],SIP[B/S],"S"))</f>
        <v>0</v>
      </c>
      <c r="S588" s="50">
        <f>INVESTORS_LIST[[#This Row],[LS_TOTAL UNITS BUY]]+INVESTORS_LIST[[#This Row],[SIP_TOTAL UNITS BUY]]</f>
        <v>664868</v>
      </c>
      <c r="T588" s="50">
        <f>INVESTORS_LIST[[#This Row],[LS_TOTAL UNITS SOLD]]+INVESTORS_LIST[[#This Row],[SIP_TOTAL UNITS SOLD]]</f>
        <v>0</v>
      </c>
      <c r="U588" s="50">
        <v>664868</v>
      </c>
      <c r="V588" s="50">
        <f>SUMIFS(LS[BO UNIT TRANSFER],LS[Investor ID],INVESTORS_LIST[[#This Row],[INVESTOR CODE]],LS[B/S],"B")</f>
        <v>0</v>
      </c>
      <c r="W588" s="50">
        <f>SUMIFS(SIP[BO UNIT TRANSFER],SIP[Investor ID],INVESTORS_LIST[[#This Row],[INVESTOR CODE]],SIP[B/S],"B")</f>
        <v>0</v>
      </c>
      <c r="X588" s="50">
        <f>SUMIFS(LS[BO UNIT TRANSFER],LS[Investor ID],INVESTORS_LIST[[#This Row],[INVESTOR CODE]],LS[B/S],"S")</f>
        <v>0</v>
      </c>
      <c r="Y588" s="50">
        <f>SUMIFS(SIP[BO UNIT TRANSFER],SIP[Investor ID],INVESTORS_LIST[[#This Row],[INVESTOR CODE]],SIP[B/S],"S")</f>
        <v>0</v>
      </c>
      <c r="Z588" s="106">
        <f>SUM(INVESTORS_LIST[[#This Row],[BO OPENING BALANCE]:[BO SIP UNITS REPURCHASE]])</f>
        <v>664868</v>
      </c>
      <c r="AA588" s="107">
        <f>INVESTORS_LIST[[#This Row],[TOTAL UNITS BUY]]-INVESTORS_LIST[[#This Row],[TOTAL UNITS SOLD]]</f>
        <v>664868</v>
      </c>
      <c r="AB588" s="107">
        <f>INVESTORS_LIST[[#This Row],[TOTAL CURRENT UNITS]]-INVESTORS_LIST[[#This Row],[BO UNITS HOLD]]</f>
        <v>0</v>
      </c>
      <c r="AC588" s="201" t="e">
        <f>INDEX([3]!Table_1[BO ID],MATCH(INVESTORS_LIST[[#This Row],[INVESTOR CODE]],[3]!Table_1[INVESTOR CODE],0))</f>
        <v>#REF!</v>
      </c>
      <c r="AD588" s="201" t="e">
        <f>INDEX([3]!Table_1[Brokerage Name2],MATCH(INVESTORS_LIST[[#This Row],[INVESTOR CODE]],[3]!Table_1[INVESTOR CODE],0))</f>
        <v>#REF!</v>
      </c>
      <c r="AE588" s="201" t="e">
        <f>MID(INVESTORS_LIST[[#This Row],[BO ID]],4,5)</f>
        <v>#REF!</v>
      </c>
      <c r="AF588" s="201" t="e">
        <f>MID(INVESTORS_LIST[[#This Row],[BO ID]],2,7)</f>
        <v>#REF!</v>
      </c>
      <c r="AG588" s="201" t="e">
        <f>MID(INVESTORS_LIST[[#This Row],[BO ID]],9,7)</f>
        <v>#REF!</v>
      </c>
      <c r="AH588" s="201" t="e">
        <f>RIGHT(INVESTORS_LIST[[#This Row],[BO ID]],1)</f>
        <v>#REF!</v>
      </c>
      <c r="AI588" s="50">
        <f>INVESTORS_LIST[[#This Row],[LS_TOTAL COST VALUE OF CURRENT UNITS]]+INVESTORS_LIST[[#This Row],[SIP_TOTAL COST VALUE OF CURRENT UNITS]]</f>
        <v>8050000.0000000009</v>
      </c>
      <c r="AJ588" s="109">
        <f>IF(INVESTORS_LIST[[#This Row],[TOTAL CURRENT UNITS]]=0,0,INVESTORS_LIST[[#This Row],[LS_TOTAL CURRENT UNITS]]/INVESTORS_LIST[[#This Row],[TOTAL CURRENT UNITS]])</f>
        <v>1</v>
      </c>
      <c r="AK588" s="109">
        <f>IF(INVESTORS_LIST[[#This Row],[TOTAL CURRENT UNITS]]=0,0,INVESTORS_LIST[[#This Row],[SIP_TOTAL CURRENT UNITS]]/INVESTORS_LIST[[#This Row],[TOTAL CURRENT UNITS]])</f>
        <v>0</v>
      </c>
      <c r="AL588" s="158" cm="1">
        <f t="array" ref="AL588">IF(INVESTORS_LIST[[#This Row],[LS_TOTAL UNITS BUY]]&gt;0,INDEX(LS[NAV at Cost (Average)],MATCH(CONCATENATE(COUNTIFS(LS[Investor ID],INVESTORS_LIST[[#This Row],[INVESTOR CODE]]),INVESTORS_LIST[[#This Row],[INVESTOR CODE]]),LS[Unique Code],0),),0)</f>
        <v>12.107666484174304</v>
      </c>
      <c r="AM588" s="158" cm="1">
        <f t="array" ref="AM5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8" s="105">
        <f>IF(INVESTORS_LIST[[#This Row],[TOTAL CURRENT UNITS]]=0,0,(INVESTORS_LIST[[#This Row],[LS_WEIGHT]]*INVESTORS_LIST[[#This Row],[LS_AVERAGE COST]])+(INVESTORS_LIST[[#This Row],[SIP_WEIGHT]]*INVESTORS_LIST[[#This Row],[SIP_AVERAGE COST]]))</f>
        <v>12.107666484174304</v>
      </c>
      <c r="AO588" s="105">
        <f t="shared" si="10"/>
        <v>14.224</v>
      </c>
      <c r="AP588" s="112">
        <f>IF(INVESTORS_LIST[[#This Row],[TOTAL CURRENT UNITS]]=0,0,INVESTORS_LIST[[#This Row],[TOTAL CURRENT UNITS]]*INVESTORS_LIST[[#This Row],[NAV]])</f>
        <v>9457082.432</v>
      </c>
      <c r="AQ588" s="156">
        <f>IF(INVESTORS_LIST[[#This Row],[LS_TOTAL CURRENT UNITS]]=0,0,INVESTORS_LIST[[#This Row],[LS_TOTAL CURRENT UNITS]]*INVESTORS_LIST[[#This Row],[NAV]])</f>
        <v>9457082.432</v>
      </c>
      <c r="AR588" s="48">
        <f>IF(INVESTORS_LIST[[#This Row],[SIP_TOTAL CURRENT UNITS]]=0,0,INVESTORS_LIST[[#This Row],[SIP_TOTAL CURRENT UNITS]]*INVESTORS_LIST[[#This Row],[NAV]])</f>
        <v>0</v>
      </c>
      <c r="AS588" s="50">
        <f>INVESTORS_LIST[[#This Row],[TOTAL CURRENT UNITS]]</f>
        <v>664868</v>
      </c>
      <c r="AT588" s="48">
        <f>IF(INVESTORS_LIST[[#This Row],[TOTAL SELLABLE UNITS]]=0,0,INVESTORS_LIST[[#This Row],[TOTAL SELLABLE UNITS]]*INVESTORS_LIST[[#This Row],[NAV]])</f>
        <v>9457082.432</v>
      </c>
      <c r="AU588" s="48">
        <f>INVESTORS_LIST[[#This Row],[LS_TOTAL REALIZED GAIN]]+INVESTORS_LIST[[#This Row],[SIP_TOTAL REALIZED GAIN]]</f>
        <v>0</v>
      </c>
      <c r="AV588" s="48">
        <f>INVESTORS_LIST[[#This Row],[TOTAL MARKET VALUE]]-INVESTORS_LIST[[#This Row],[TOTAL COST VALUE OF CURRENT INVESTMENT]]</f>
        <v>1407082.4319999991</v>
      </c>
      <c r="AW588" s="48">
        <f>IFERROR(INVESTORS_LIST[[#This Row],[TOTAL CURRENT UNITS]]/SUM(INVESTORS_LIST[TOTAL CURRENT UNITS]),0)</f>
        <v>1.6140473791466645E-2</v>
      </c>
    </row>
    <row r="589" spans="1:49" hidden="1">
      <c r="A589" s="262" t="s">
        <v>1283</v>
      </c>
      <c r="B589" s="97" t="s">
        <v>1284</v>
      </c>
      <c r="C589" t="s">
        <v>44</v>
      </c>
      <c r="D589" s="75" t="s">
        <v>45</v>
      </c>
      <c r="E589" s="50">
        <f>SUMIFS(LS[Unit],LS[Investor ID],INVESTORS_LIST[[#This Row],[INVESTOR CODE]],LS[B/S],"B")</f>
        <v>174140</v>
      </c>
      <c r="F589" s="50">
        <f>-SUMIFS(LS[Unit],LS[Investor ID],INVESTORS_LIST[[#This Row],[INVESTOR CODE]],LS[B/S],"S")</f>
        <v>174140</v>
      </c>
      <c r="G589" s="50">
        <f>IF(INVESTORS_LIST[[#This Row],[LS_TOTAL UNITS BUY]]=0,0,INVESTORS_LIST[[#This Row],[LS_TOTAL UNITS BUY]]-INVESTORS_LIST[[#This Row],[LS_TOTAL UNITS SOLD]])</f>
        <v>0</v>
      </c>
      <c r="H589" s="102">
        <f>IF(INVESTORS_LIST[[#This Row],[LS_TOTAL UNITS BUY]]=0,0,SUMIFS(LS[Amount],LS[Investor ID],INVESTORS_LIST[[#This Row],[INVESTOR CODE]],LS[B/S],"B"))</f>
        <v>2000000</v>
      </c>
      <c r="I589" s="48">
        <f>IF(INVESTORS_LIST[[#This Row],[LS_TOTAL UNITS SOLD]]=0,0,SUMIFS(LS[Cost of Units Sold],LS[Investor ID],INVESTORS_LIST[[#This Row],[INVESTOR CODE]],LS[B/S],"S"))</f>
        <v>2000000</v>
      </c>
      <c r="J589" s="48">
        <f>IF(INVESTORS_LIST[[#This Row],[LS_TOTAL CURRENT UNITS]]=0,0,INVESTORS_LIST[[#This Row],[LS_TOTAL CURRENT UNITS]]*INVESTORS_LIST[[#This Row],[LS_AVERAGE COST]])</f>
        <v>0</v>
      </c>
      <c r="K589" s="48">
        <f>IF(INVESTORS_LIST[[#This Row],[LS_TOTAL UNITS SOLD]]=0,0,SUMIFS(LS[Realized Gain],LS[Investor ID],INVESTORS_LIST[[#This Row],[INVESTOR CODE]],LS[B/S],"S"))</f>
        <v>158813.58000000013</v>
      </c>
      <c r="L589" s="104">
        <f>SUMIFS(SIP[Unit],SIP[Investor ID],INVESTORS_LIST[[#This Row],[INVESTOR CODE]],SIP[B/S],"B")</f>
        <v>0</v>
      </c>
      <c r="M589" s="50">
        <f>-SUMIFS(SIP[Unit],SIP[Investor ID],INVESTORS_LIST[[#This Row],[INVESTOR CODE]],SIP[B/S],"S")</f>
        <v>0</v>
      </c>
      <c r="N589" s="50">
        <f>IF(INVESTORS_LIST[[#This Row],[SIP_TOTAL UNITS BUY]]=0,0,INVESTORS_LIST[[#This Row],[SIP_TOTAL UNITS BUY]]-INVESTORS_LIST[[#This Row],[SIP_TOTAL UNITS SOLD]])</f>
        <v>0</v>
      </c>
      <c r="O589" s="48">
        <f>IF(INVESTORS_LIST[[#This Row],[SIP_TOTAL UNITS BUY]]=0,0,SUMIFS(SIP[Amount],SIP[Investor ID],INVESTORS_LIST[[#This Row],[INVESTOR CODE]],SIP[B/S],"B"))</f>
        <v>0</v>
      </c>
      <c r="P589" s="48">
        <f>IF(INVESTORS_LIST[[#This Row],[SIP_TOTAL UNITS SOLD]]=0,0,SUMIFS(SIP[Cost of Units Sold],SIP[Investor ID],INVESTORS_LIST[[#This Row],[INVESTOR CODE]],SIP[B/S],"S"))</f>
        <v>0</v>
      </c>
      <c r="Q589" s="48">
        <f>IF(INVESTORS_LIST[[#This Row],[SIP_TOTAL CURRENT UNITS]]=0,0,INVESTORS_LIST[[#This Row],[SIP_TOTAL CURRENT UNITS]]*INVESTORS_LIST[[#This Row],[SIP_AVERAGE COST]])</f>
        <v>0</v>
      </c>
      <c r="R589" s="48">
        <f>IF(INVESTORS_LIST[[#This Row],[SIP_TOTAL UNITS SOLD]]=0,0,SUMIFS(SIP[Realized Gain],SIP[Investor ID],INVESTORS_LIST[[#This Row],[INVESTOR CODE]],SIP[B/S],"S"))</f>
        <v>0</v>
      </c>
      <c r="S589" s="50">
        <f>INVESTORS_LIST[[#This Row],[LS_TOTAL UNITS BUY]]+INVESTORS_LIST[[#This Row],[SIP_TOTAL UNITS BUY]]</f>
        <v>174140</v>
      </c>
      <c r="T589" s="50">
        <f>INVESTORS_LIST[[#This Row],[LS_TOTAL UNITS SOLD]]+INVESTORS_LIST[[#This Row],[SIP_TOTAL UNITS SOLD]]</f>
        <v>174140</v>
      </c>
      <c r="U589" s="50"/>
      <c r="V589" s="50">
        <f>SUMIFS(LS[BO UNIT TRANSFER],LS[Investor ID],INVESTORS_LIST[[#This Row],[INVESTOR CODE]],LS[B/S],"B")</f>
        <v>0</v>
      </c>
      <c r="W589" s="50">
        <f>SUMIFS(SIP[BO UNIT TRANSFER],SIP[Investor ID],INVESTORS_LIST[[#This Row],[INVESTOR CODE]],SIP[B/S],"B")</f>
        <v>0</v>
      </c>
      <c r="X589" s="50">
        <f>SUMIFS(LS[BO UNIT TRANSFER],LS[Investor ID],INVESTORS_LIST[[#This Row],[INVESTOR CODE]],LS[B/S],"S")</f>
        <v>0</v>
      </c>
      <c r="Y589" s="50">
        <f>SUMIFS(SIP[BO UNIT TRANSFER],SIP[Investor ID],INVESTORS_LIST[[#This Row],[INVESTOR CODE]],SIP[B/S],"S")</f>
        <v>0</v>
      </c>
      <c r="Z589" s="106">
        <f>SUM(INVESTORS_LIST[[#This Row],[BO OPENING BALANCE]:[BO SIP UNITS REPURCHASE]])</f>
        <v>0</v>
      </c>
      <c r="AA589" s="107">
        <f>INVESTORS_LIST[[#This Row],[TOTAL UNITS BUY]]-INVESTORS_LIST[[#This Row],[TOTAL UNITS SOLD]]</f>
        <v>0</v>
      </c>
      <c r="AB589" s="107">
        <f>INVESTORS_LIST[[#This Row],[TOTAL CURRENT UNITS]]-INVESTORS_LIST[[#This Row],[BO UNITS HOLD]]</f>
        <v>0</v>
      </c>
      <c r="AC589" s="201" t="e">
        <f>INDEX([3]!Table_1[BO ID],MATCH(INVESTORS_LIST[[#This Row],[INVESTOR CODE]],[3]!Table_1[INVESTOR CODE],0))</f>
        <v>#REF!</v>
      </c>
      <c r="AD589" s="201" t="e">
        <f>INDEX([3]!Table_1[Brokerage Name2],MATCH(INVESTORS_LIST[[#This Row],[INVESTOR CODE]],[3]!Table_1[INVESTOR CODE],0))</f>
        <v>#REF!</v>
      </c>
      <c r="AE589" s="201" t="e">
        <f>MID(INVESTORS_LIST[[#This Row],[BO ID]],4,5)</f>
        <v>#REF!</v>
      </c>
      <c r="AF589" s="201" t="e">
        <f>MID(INVESTORS_LIST[[#This Row],[BO ID]],2,7)</f>
        <v>#REF!</v>
      </c>
      <c r="AG589" s="201" t="e">
        <f>MID(INVESTORS_LIST[[#This Row],[BO ID]],9,7)</f>
        <v>#REF!</v>
      </c>
      <c r="AH589" s="201" t="e">
        <f>RIGHT(INVESTORS_LIST[[#This Row],[BO ID]],1)</f>
        <v>#REF!</v>
      </c>
      <c r="AI589" s="50">
        <f>INVESTORS_LIST[[#This Row],[LS_TOTAL COST VALUE OF CURRENT UNITS]]+INVESTORS_LIST[[#This Row],[SIP_TOTAL COST VALUE OF CURRENT UNITS]]</f>
        <v>0</v>
      </c>
      <c r="AJ589" s="109">
        <f>IF(INVESTORS_LIST[[#This Row],[TOTAL CURRENT UNITS]]=0,0,INVESTORS_LIST[[#This Row],[LS_TOTAL CURRENT UNITS]]/INVESTORS_LIST[[#This Row],[TOTAL CURRENT UNITS]])</f>
        <v>0</v>
      </c>
      <c r="AK589" s="109">
        <f>IF(INVESTORS_LIST[[#This Row],[TOTAL CURRENT UNITS]]=0,0,INVESTORS_LIST[[#This Row],[SIP_TOTAL CURRENT UNITS]]/INVESTORS_LIST[[#This Row],[TOTAL CURRENT UNITS]])</f>
        <v>0</v>
      </c>
      <c r="AL589" s="99" cm="1">
        <f t="array" ref="AL5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89" s="99" cm="1">
        <f t="array" ref="AM5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8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89" s="105">
        <f t="shared" si="10"/>
        <v>14.224</v>
      </c>
      <c r="AP589" s="112">
        <f>IF(INVESTORS_LIST[[#This Row],[TOTAL CURRENT UNITS]]=0,0,INVESTORS_LIST[[#This Row],[TOTAL CURRENT UNITS]]*INVESTORS_LIST[[#This Row],[NAV]])</f>
        <v>0</v>
      </c>
      <c r="AQ589" s="102">
        <f>IF(INVESTORS_LIST[[#This Row],[LS_TOTAL CURRENT UNITS]]=0,0,INVESTORS_LIST[[#This Row],[LS_TOTAL CURRENT UNITS]]*INVESTORS_LIST[[#This Row],[NAV]])</f>
        <v>0</v>
      </c>
      <c r="AR589" s="48">
        <f>IF(INVESTORS_LIST[[#This Row],[SIP_TOTAL CURRENT UNITS]]=0,0,INVESTORS_LIST[[#This Row],[SIP_TOTAL CURRENT UNITS]]*INVESTORS_LIST[[#This Row],[NAV]])</f>
        <v>0</v>
      </c>
      <c r="AS589" s="50">
        <f>INVESTORS_LIST[[#This Row],[TOTAL CURRENT UNITS]]</f>
        <v>0</v>
      </c>
      <c r="AT589" s="48">
        <f>IF(INVESTORS_LIST[[#This Row],[TOTAL SELLABLE UNITS]]=0,0,INVESTORS_LIST[[#This Row],[TOTAL SELLABLE UNITS]]*INVESTORS_LIST[[#This Row],[NAV]])</f>
        <v>0</v>
      </c>
      <c r="AU589" s="48">
        <f>INVESTORS_LIST[[#This Row],[LS_TOTAL REALIZED GAIN]]+INVESTORS_LIST[[#This Row],[SIP_TOTAL REALIZED GAIN]]</f>
        <v>158813.58000000013</v>
      </c>
      <c r="AV589" s="48">
        <f>INVESTORS_LIST[[#This Row],[TOTAL MARKET VALUE]]-INVESTORS_LIST[[#This Row],[TOTAL COST VALUE OF CURRENT INVESTMENT]]</f>
        <v>0</v>
      </c>
      <c r="AW589" s="48">
        <f>IFERROR(INVESTORS_LIST[[#This Row],[TOTAL CURRENT UNITS]]/SUM(INVESTORS_LIST[TOTAL CURRENT UNITS]),0)</f>
        <v>0</v>
      </c>
    </row>
    <row r="590" spans="1:49" hidden="1">
      <c r="A590" s="262" t="s">
        <v>1285</v>
      </c>
      <c r="B590" s="97" t="s">
        <v>1286</v>
      </c>
      <c r="C590" t="s">
        <v>67</v>
      </c>
      <c r="D590" s="75" t="s">
        <v>45</v>
      </c>
      <c r="E590" s="50">
        <f>SUMIFS(LS[Unit],LS[Investor ID],INVESTORS_LIST[[#This Row],[INVESTOR CODE]],LS[B/S],"B")</f>
        <v>119960</v>
      </c>
      <c r="F590" s="50">
        <f>-SUMIFS(LS[Unit],LS[Investor ID],INVESTORS_LIST[[#This Row],[INVESTOR CODE]],LS[B/S],"S")</f>
        <v>119960</v>
      </c>
      <c r="G590" s="50">
        <f>IF(INVESTORS_LIST[[#This Row],[LS_TOTAL UNITS BUY]]=0,0,INVESTORS_LIST[[#This Row],[LS_TOTAL UNITS BUY]]-INVESTORS_LIST[[#This Row],[LS_TOTAL UNITS SOLD]])</f>
        <v>0</v>
      </c>
      <c r="H590" s="163">
        <f>IF(INVESTORS_LIST[[#This Row],[LS_TOTAL UNITS BUY]]=0,0,SUMIFS(LS[Amount],LS[Investor ID],INVESTORS_LIST[[#This Row],[INVESTOR CODE]],LS[B/S],"B"))</f>
        <v>1450000</v>
      </c>
      <c r="I590" s="48">
        <f>IF(INVESTORS_LIST[[#This Row],[LS_TOTAL UNITS SOLD]]=0,0,SUMIFS(LS[Cost of Units Sold],LS[Investor ID],INVESTORS_LIST[[#This Row],[INVESTOR CODE]],LS[B/S],"S"))</f>
        <v>1450000</v>
      </c>
      <c r="J590" s="48">
        <f>IF(INVESTORS_LIST[[#This Row],[LS_TOTAL CURRENT UNITS]]=0,0,INVESTORS_LIST[[#This Row],[LS_TOTAL CURRENT UNITS]]*INVESTORS_LIST[[#This Row],[LS_AVERAGE COST]])</f>
        <v>0</v>
      </c>
      <c r="K590" s="48">
        <f>IF(INVESTORS_LIST[[#This Row],[LS_TOTAL UNITS SOLD]]=0,0,SUMIFS(LS[Realized Gain],LS[Investor ID],INVESTORS_LIST[[#This Row],[INVESTOR CODE]],LS[B/S],"S"))</f>
        <v>133888.55999999994</v>
      </c>
      <c r="L590" s="164">
        <f>SUMIFS(SIP[Unit],SIP[Investor ID],INVESTORS_LIST[[#This Row],[INVESTOR CODE]],SIP[B/S],"B")</f>
        <v>0</v>
      </c>
      <c r="M590" s="50">
        <f>-SUMIFS(SIP[Unit],SIP[Investor ID],INVESTORS_LIST[[#This Row],[INVESTOR CODE]],SIP[B/S],"S")</f>
        <v>0</v>
      </c>
      <c r="N590" s="50">
        <f>IF(INVESTORS_LIST[[#This Row],[SIP_TOTAL UNITS BUY]]=0,0,INVESTORS_LIST[[#This Row],[SIP_TOTAL UNITS BUY]]-INVESTORS_LIST[[#This Row],[SIP_TOTAL UNITS SOLD]])</f>
        <v>0</v>
      </c>
      <c r="O590" s="48">
        <f>IF(INVESTORS_LIST[[#This Row],[SIP_TOTAL UNITS BUY]]=0,0,SUMIFS(SIP[Amount],SIP[Investor ID],INVESTORS_LIST[[#This Row],[INVESTOR CODE]],SIP[B/S],"B"))</f>
        <v>0</v>
      </c>
      <c r="P590" s="48">
        <f>IF(INVESTORS_LIST[[#This Row],[SIP_TOTAL UNITS SOLD]]=0,0,SUMIFS(SIP[Cost of Units Sold],SIP[Investor ID],INVESTORS_LIST[[#This Row],[INVESTOR CODE]],SIP[B/S],"S"))</f>
        <v>0</v>
      </c>
      <c r="Q590" s="48">
        <f>IF(INVESTORS_LIST[[#This Row],[SIP_TOTAL CURRENT UNITS]]=0,0,INVESTORS_LIST[[#This Row],[SIP_TOTAL CURRENT UNITS]]*INVESTORS_LIST[[#This Row],[SIP_AVERAGE COST]])</f>
        <v>0</v>
      </c>
      <c r="R590" s="48">
        <f>IF(INVESTORS_LIST[[#This Row],[SIP_TOTAL UNITS SOLD]]=0,0,SUMIFS(SIP[Realized Gain],SIP[Investor ID],INVESTORS_LIST[[#This Row],[INVESTOR CODE]],SIP[B/S],"S"))</f>
        <v>0</v>
      </c>
      <c r="S590" s="50">
        <f>INVESTORS_LIST[[#This Row],[LS_TOTAL UNITS BUY]]+INVESTORS_LIST[[#This Row],[SIP_TOTAL UNITS BUY]]</f>
        <v>119960</v>
      </c>
      <c r="T590" s="50">
        <f>INVESTORS_LIST[[#This Row],[LS_TOTAL UNITS SOLD]]+INVESTORS_LIST[[#This Row],[SIP_TOTAL UNITS SOLD]]</f>
        <v>119960</v>
      </c>
      <c r="U590" s="50">
        <v>46239</v>
      </c>
      <c r="V590" s="50">
        <f>SUMIFS(LS[BO UNIT TRANSFER],LS[Investor ID],INVESTORS_LIST[[#This Row],[INVESTOR CODE]],LS[B/S],"B")</f>
        <v>0</v>
      </c>
      <c r="W590" s="50">
        <f>SUMIFS(SIP[BO UNIT TRANSFER],SIP[Investor ID],INVESTORS_LIST[[#This Row],[INVESTOR CODE]],SIP[B/S],"B")</f>
        <v>0</v>
      </c>
      <c r="X590" s="50">
        <f>SUMIFS(LS[BO UNIT TRANSFER],LS[Investor ID],INVESTORS_LIST[[#This Row],[INVESTOR CODE]],LS[B/S],"S")</f>
        <v>0</v>
      </c>
      <c r="Y590" s="50">
        <f>SUMIFS(SIP[BO UNIT TRANSFER],SIP[Investor ID],INVESTORS_LIST[[#This Row],[INVESTOR CODE]],SIP[B/S],"S")</f>
        <v>0</v>
      </c>
      <c r="Z590" s="106">
        <f>SUM(INVESTORS_LIST[[#This Row],[BO OPENING BALANCE]:[BO SIP UNITS REPURCHASE]])</f>
        <v>46239</v>
      </c>
      <c r="AA590" s="107">
        <f>INVESTORS_LIST[[#This Row],[TOTAL UNITS BUY]]-INVESTORS_LIST[[#This Row],[TOTAL UNITS SOLD]]</f>
        <v>0</v>
      </c>
      <c r="AB590" s="107">
        <f>INVESTORS_LIST[[#This Row],[TOTAL CURRENT UNITS]]-INVESTORS_LIST[[#This Row],[BO UNITS HOLD]]</f>
        <v>-46239</v>
      </c>
      <c r="AC590" s="201" t="e">
        <f>INDEX([3]!Table_1[BO ID],MATCH(INVESTORS_LIST[[#This Row],[INVESTOR CODE]],[3]!Table_1[INVESTOR CODE],0))</f>
        <v>#REF!</v>
      </c>
      <c r="AD590" s="201" t="e">
        <f>INDEX([3]!Table_1[Brokerage Name2],MATCH(INVESTORS_LIST[[#This Row],[INVESTOR CODE]],[3]!Table_1[INVESTOR CODE],0))</f>
        <v>#REF!</v>
      </c>
      <c r="AE590" s="201" t="e">
        <f>MID(INVESTORS_LIST[[#This Row],[BO ID]],4,5)</f>
        <v>#REF!</v>
      </c>
      <c r="AF590" s="201" t="e">
        <f>MID(INVESTORS_LIST[[#This Row],[BO ID]],2,7)</f>
        <v>#REF!</v>
      </c>
      <c r="AG590" s="201" t="e">
        <f>MID(INVESTORS_LIST[[#This Row],[BO ID]],9,7)</f>
        <v>#REF!</v>
      </c>
      <c r="AH590" s="201" t="e">
        <f>RIGHT(INVESTORS_LIST[[#This Row],[BO ID]],1)</f>
        <v>#REF!</v>
      </c>
      <c r="AI590" s="50">
        <f>INVESTORS_LIST[[#This Row],[LS_TOTAL COST VALUE OF CURRENT UNITS]]+INVESTORS_LIST[[#This Row],[SIP_TOTAL COST VALUE OF CURRENT UNITS]]</f>
        <v>0</v>
      </c>
      <c r="AJ590" s="109">
        <f>IF(INVESTORS_LIST[[#This Row],[TOTAL CURRENT UNITS]]=0,0,INVESTORS_LIST[[#This Row],[LS_TOTAL CURRENT UNITS]]/INVESTORS_LIST[[#This Row],[TOTAL CURRENT UNITS]])</f>
        <v>0</v>
      </c>
      <c r="AK590" s="109">
        <f>IF(INVESTORS_LIST[[#This Row],[TOTAL CURRENT UNITS]]=0,0,INVESTORS_LIST[[#This Row],[SIP_TOTAL CURRENT UNITS]]/INVESTORS_LIST[[#This Row],[TOTAL CURRENT UNITS]])</f>
        <v>0</v>
      </c>
      <c r="AL590" s="165" cm="1">
        <f t="array" ref="AL5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0" s="165" cm="1">
        <f t="array" ref="AM5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0" s="105">
        <f t="shared" si="10"/>
        <v>14.224</v>
      </c>
      <c r="AP590" s="112">
        <f>IF(INVESTORS_LIST[[#This Row],[TOTAL CURRENT UNITS]]=0,0,INVESTORS_LIST[[#This Row],[TOTAL CURRENT UNITS]]*INVESTORS_LIST[[#This Row],[NAV]])</f>
        <v>0</v>
      </c>
      <c r="AQ590" s="163">
        <f>IF(INVESTORS_LIST[[#This Row],[LS_TOTAL CURRENT UNITS]]=0,0,INVESTORS_LIST[[#This Row],[LS_TOTAL CURRENT UNITS]]*INVESTORS_LIST[[#This Row],[NAV]])</f>
        <v>0</v>
      </c>
      <c r="AR590" s="48">
        <f>IF(INVESTORS_LIST[[#This Row],[SIP_TOTAL CURRENT UNITS]]=0,0,INVESTORS_LIST[[#This Row],[SIP_TOTAL CURRENT UNITS]]*INVESTORS_LIST[[#This Row],[NAV]])</f>
        <v>0</v>
      </c>
      <c r="AS590" s="50">
        <f>INVESTORS_LIST[[#This Row],[TOTAL CURRENT UNITS]]</f>
        <v>0</v>
      </c>
      <c r="AT590" s="48">
        <f>IF(INVESTORS_LIST[[#This Row],[TOTAL SELLABLE UNITS]]=0,0,INVESTORS_LIST[[#This Row],[TOTAL SELLABLE UNITS]]*INVESTORS_LIST[[#This Row],[NAV]])</f>
        <v>0</v>
      </c>
      <c r="AU590" s="48">
        <f>INVESTORS_LIST[[#This Row],[LS_TOTAL REALIZED GAIN]]+INVESTORS_LIST[[#This Row],[SIP_TOTAL REALIZED GAIN]]</f>
        <v>133888.55999999994</v>
      </c>
      <c r="AV590" s="48">
        <f>INVESTORS_LIST[[#This Row],[TOTAL MARKET VALUE]]-INVESTORS_LIST[[#This Row],[TOTAL COST VALUE OF CURRENT INVESTMENT]]</f>
        <v>0</v>
      </c>
      <c r="AW590" s="48">
        <f>IFERROR(INVESTORS_LIST[[#This Row],[TOTAL CURRENT UNITS]]/SUM(INVESTORS_LIST[TOTAL CURRENT UNITS]),0)</f>
        <v>0</v>
      </c>
    </row>
    <row r="591" spans="1:49" hidden="1">
      <c r="A591" s="262" t="s">
        <v>1287</v>
      </c>
      <c r="B591" s="97" t="s">
        <v>1288</v>
      </c>
      <c r="C591" t="s">
        <v>44</v>
      </c>
      <c r="D591" s="75" t="s">
        <v>45</v>
      </c>
      <c r="E591" s="50">
        <f>SUMIFS(LS[Unit],LS[Investor ID],INVESTORS_LIST[[#This Row],[INVESTOR CODE]],LS[B/S],"B")</f>
        <v>0</v>
      </c>
      <c r="F591" s="50">
        <f>-SUMIFS(LS[Unit],LS[Investor ID],INVESTORS_LIST[[#This Row],[INVESTOR CODE]],LS[B/S],"S")</f>
        <v>0</v>
      </c>
      <c r="G591" s="50">
        <f>IF(INVESTORS_LIST[[#This Row],[LS_TOTAL UNITS BUY]]=0,0,INVESTORS_LIST[[#This Row],[LS_TOTAL UNITS BUY]]-INVESTORS_LIST[[#This Row],[LS_TOTAL UNITS SOLD]])</f>
        <v>0</v>
      </c>
      <c r="H591" s="163">
        <f>IF(INVESTORS_LIST[[#This Row],[LS_TOTAL UNITS BUY]]=0,0,SUMIFS(LS[Amount],LS[Investor ID],INVESTORS_LIST[[#This Row],[INVESTOR CODE]],LS[B/S],"B"))</f>
        <v>0</v>
      </c>
      <c r="I591" s="48">
        <f>IF(INVESTORS_LIST[[#This Row],[LS_TOTAL UNITS SOLD]]=0,0,SUMIFS(LS[Cost of Units Sold],LS[Investor ID],INVESTORS_LIST[[#This Row],[INVESTOR CODE]],LS[B/S],"S"))</f>
        <v>0</v>
      </c>
      <c r="J591" s="48">
        <f>IF(INVESTORS_LIST[[#This Row],[LS_TOTAL CURRENT UNITS]]=0,0,INVESTORS_LIST[[#This Row],[LS_TOTAL CURRENT UNITS]]*INVESTORS_LIST[[#This Row],[LS_AVERAGE COST]])</f>
        <v>0</v>
      </c>
      <c r="K591" s="48">
        <f>IF(INVESTORS_LIST[[#This Row],[LS_TOTAL UNITS SOLD]]=0,0,SUMIFS(LS[Realized Gain],LS[Investor ID],INVESTORS_LIST[[#This Row],[INVESTOR CODE]],LS[B/S],"S"))</f>
        <v>0</v>
      </c>
      <c r="L591" s="164">
        <f>SUMIFS(SIP[Unit],SIP[Investor ID],INVESTORS_LIST[[#This Row],[INVESTOR CODE]],SIP[B/S],"B")</f>
        <v>0</v>
      </c>
      <c r="M591" s="50">
        <f>-SUMIFS(SIP[Unit],SIP[Investor ID],INVESTORS_LIST[[#This Row],[INVESTOR CODE]],SIP[B/S],"S")</f>
        <v>0</v>
      </c>
      <c r="N591" s="50">
        <f>IF(INVESTORS_LIST[[#This Row],[SIP_TOTAL UNITS BUY]]=0,0,INVESTORS_LIST[[#This Row],[SIP_TOTAL UNITS BUY]]-INVESTORS_LIST[[#This Row],[SIP_TOTAL UNITS SOLD]])</f>
        <v>0</v>
      </c>
      <c r="O591" s="48">
        <f>IF(INVESTORS_LIST[[#This Row],[SIP_TOTAL UNITS BUY]]=0,0,SUMIFS(SIP[Amount],SIP[Investor ID],INVESTORS_LIST[[#This Row],[INVESTOR CODE]],SIP[B/S],"B"))</f>
        <v>0</v>
      </c>
      <c r="P591" s="48">
        <f>IF(INVESTORS_LIST[[#This Row],[SIP_TOTAL UNITS SOLD]]=0,0,SUMIFS(SIP[Cost of Units Sold],SIP[Investor ID],INVESTORS_LIST[[#This Row],[INVESTOR CODE]],SIP[B/S],"S"))</f>
        <v>0</v>
      </c>
      <c r="Q591" s="48">
        <f>IF(INVESTORS_LIST[[#This Row],[SIP_TOTAL CURRENT UNITS]]=0,0,INVESTORS_LIST[[#This Row],[SIP_TOTAL CURRENT UNITS]]*INVESTORS_LIST[[#This Row],[SIP_AVERAGE COST]])</f>
        <v>0</v>
      </c>
      <c r="R591" s="48">
        <f>IF(INVESTORS_LIST[[#This Row],[SIP_TOTAL UNITS SOLD]]=0,0,SUMIFS(SIP[Realized Gain],SIP[Investor ID],INVESTORS_LIST[[#This Row],[INVESTOR CODE]],SIP[B/S],"S"))</f>
        <v>0</v>
      </c>
      <c r="S591" s="50">
        <f>INVESTORS_LIST[[#This Row],[LS_TOTAL UNITS BUY]]+INVESTORS_LIST[[#This Row],[SIP_TOTAL UNITS BUY]]</f>
        <v>0</v>
      </c>
      <c r="T591" s="50">
        <f>INVESTORS_LIST[[#This Row],[LS_TOTAL UNITS SOLD]]+INVESTORS_LIST[[#This Row],[SIP_TOTAL UNITS SOLD]]</f>
        <v>0</v>
      </c>
      <c r="U591" s="50"/>
      <c r="V591" s="50">
        <f>SUMIFS(LS[BO UNIT TRANSFER],LS[Investor ID],INVESTORS_LIST[[#This Row],[INVESTOR CODE]],LS[B/S],"B")</f>
        <v>0</v>
      </c>
      <c r="W591" s="50">
        <f>SUMIFS(SIP[BO UNIT TRANSFER],SIP[Investor ID],INVESTORS_LIST[[#This Row],[INVESTOR CODE]],SIP[B/S],"B")</f>
        <v>0</v>
      </c>
      <c r="X591" s="50">
        <f>SUMIFS(LS[BO UNIT TRANSFER],LS[Investor ID],INVESTORS_LIST[[#This Row],[INVESTOR CODE]],LS[B/S],"S")</f>
        <v>0</v>
      </c>
      <c r="Y591" s="50">
        <f>SUMIFS(SIP[BO UNIT TRANSFER],SIP[Investor ID],INVESTORS_LIST[[#This Row],[INVESTOR CODE]],SIP[B/S],"S")</f>
        <v>0</v>
      </c>
      <c r="Z591" s="106">
        <f>SUM(INVESTORS_LIST[[#This Row],[BO OPENING BALANCE]:[BO SIP UNITS REPURCHASE]])</f>
        <v>0</v>
      </c>
      <c r="AA591" s="107">
        <f>INVESTORS_LIST[[#This Row],[TOTAL UNITS BUY]]-INVESTORS_LIST[[#This Row],[TOTAL UNITS SOLD]]</f>
        <v>0</v>
      </c>
      <c r="AB591" s="107">
        <f>INVESTORS_LIST[[#This Row],[TOTAL CURRENT UNITS]]-INVESTORS_LIST[[#This Row],[BO UNITS HOLD]]</f>
        <v>0</v>
      </c>
      <c r="AC591" s="201" t="e">
        <f>INDEX([3]!Table_1[BO ID],MATCH(INVESTORS_LIST[[#This Row],[INVESTOR CODE]],[3]!Table_1[INVESTOR CODE],0))</f>
        <v>#REF!</v>
      </c>
      <c r="AD591" s="201" t="e">
        <f>INDEX([3]!Table_1[Brokerage Name2],MATCH(INVESTORS_LIST[[#This Row],[INVESTOR CODE]],[3]!Table_1[INVESTOR CODE],0))</f>
        <v>#REF!</v>
      </c>
      <c r="AE591" s="201" t="e">
        <f>MID(INVESTORS_LIST[[#This Row],[BO ID]],4,5)</f>
        <v>#REF!</v>
      </c>
      <c r="AF591" s="201" t="e">
        <f>MID(INVESTORS_LIST[[#This Row],[BO ID]],2,7)</f>
        <v>#REF!</v>
      </c>
      <c r="AG591" s="201" t="e">
        <f>MID(INVESTORS_LIST[[#This Row],[BO ID]],9,7)</f>
        <v>#REF!</v>
      </c>
      <c r="AH591" s="201" t="e">
        <f>RIGHT(INVESTORS_LIST[[#This Row],[BO ID]],1)</f>
        <v>#REF!</v>
      </c>
      <c r="AI591" s="50">
        <f>INVESTORS_LIST[[#This Row],[LS_TOTAL COST VALUE OF CURRENT UNITS]]+INVESTORS_LIST[[#This Row],[SIP_TOTAL COST VALUE OF CURRENT UNITS]]</f>
        <v>0</v>
      </c>
      <c r="AJ591" s="109">
        <f>IF(INVESTORS_LIST[[#This Row],[TOTAL CURRENT UNITS]]=0,0,INVESTORS_LIST[[#This Row],[LS_TOTAL CURRENT UNITS]]/INVESTORS_LIST[[#This Row],[TOTAL CURRENT UNITS]])</f>
        <v>0</v>
      </c>
      <c r="AK591" s="109">
        <f>IF(INVESTORS_LIST[[#This Row],[TOTAL CURRENT UNITS]]=0,0,INVESTORS_LIST[[#This Row],[SIP_TOTAL CURRENT UNITS]]/INVESTORS_LIST[[#This Row],[TOTAL CURRENT UNITS]])</f>
        <v>0</v>
      </c>
      <c r="AL591" s="165" cm="1">
        <f t="array" ref="AL5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1" s="165" cm="1">
        <f t="array" ref="AM5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1" s="105">
        <f t="shared" si="10"/>
        <v>14.224</v>
      </c>
      <c r="AP591" s="112">
        <f>IF(INVESTORS_LIST[[#This Row],[TOTAL CURRENT UNITS]]=0,0,INVESTORS_LIST[[#This Row],[TOTAL CURRENT UNITS]]*INVESTORS_LIST[[#This Row],[NAV]])</f>
        <v>0</v>
      </c>
      <c r="AQ591" s="163">
        <f>IF(INVESTORS_LIST[[#This Row],[LS_TOTAL CURRENT UNITS]]=0,0,INVESTORS_LIST[[#This Row],[LS_TOTAL CURRENT UNITS]]*INVESTORS_LIST[[#This Row],[NAV]])</f>
        <v>0</v>
      </c>
      <c r="AR591" s="48">
        <f>IF(INVESTORS_LIST[[#This Row],[SIP_TOTAL CURRENT UNITS]]=0,0,INVESTORS_LIST[[#This Row],[SIP_TOTAL CURRENT UNITS]]*INVESTORS_LIST[[#This Row],[NAV]])</f>
        <v>0</v>
      </c>
      <c r="AS591" s="50">
        <f>INVESTORS_LIST[[#This Row],[TOTAL CURRENT UNITS]]</f>
        <v>0</v>
      </c>
      <c r="AT591" s="48">
        <f>IF(INVESTORS_LIST[[#This Row],[TOTAL SELLABLE UNITS]]=0,0,INVESTORS_LIST[[#This Row],[TOTAL SELLABLE UNITS]]*INVESTORS_LIST[[#This Row],[NAV]])</f>
        <v>0</v>
      </c>
      <c r="AU591" s="48">
        <f>INVESTORS_LIST[[#This Row],[LS_TOTAL REALIZED GAIN]]+INVESTORS_LIST[[#This Row],[SIP_TOTAL REALIZED GAIN]]</f>
        <v>0</v>
      </c>
      <c r="AV591" s="48">
        <f>INVESTORS_LIST[[#This Row],[TOTAL MARKET VALUE]]-INVESTORS_LIST[[#This Row],[TOTAL COST VALUE OF CURRENT INVESTMENT]]</f>
        <v>0</v>
      </c>
      <c r="AW591" s="48">
        <f>IFERROR(INVESTORS_LIST[[#This Row],[TOTAL CURRENT UNITS]]/SUM(INVESTORS_LIST[TOTAL CURRENT UNITS]),0)</f>
        <v>0</v>
      </c>
    </row>
    <row r="592" spans="1:49">
      <c r="A592" s="262" t="s">
        <v>1290</v>
      </c>
      <c r="B592" s="97" t="s">
        <v>1289</v>
      </c>
      <c r="C592" t="s">
        <v>44</v>
      </c>
      <c r="D592" s="75" t="s">
        <v>45</v>
      </c>
      <c r="E592" s="50">
        <f>SUMIFS(LS[Unit],LS[Investor ID],INVESTORS_LIST[[#This Row],[INVESTOR CODE]],LS[B/S],"B")</f>
        <v>128083</v>
      </c>
      <c r="F592" s="50">
        <f>-SUMIFS(LS[Unit],LS[Investor ID],INVESTORS_LIST[[#This Row],[INVESTOR CODE]],LS[B/S],"S")</f>
        <v>0</v>
      </c>
      <c r="G592" s="50">
        <f>IF(INVESTORS_LIST[[#This Row],[LS_TOTAL UNITS BUY]]=0,0,INVESTORS_LIST[[#This Row],[LS_TOTAL UNITS BUY]]-INVESTORS_LIST[[#This Row],[LS_TOTAL UNITS SOLD]])</f>
        <v>128083</v>
      </c>
      <c r="H592" s="102">
        <f>IF(INVESTORS_LIST[[#This Row],[LS_TOTAL UNITS BUY]]=0,0,SUMIFS(LS[Amount],LS[Investor ID],INVESTORS_LIST[[#This Row],[INVESTOR CODE]],LS[B/S],"B"))</f>
        <v>1500000</v>
      </c>
      <c r="I592" s="48">
        <f>IF(INVESTORS_LIST[[#This Row],[LS_TOTAL UNITS SOLD]]=0,0,SUMIFS(LS[Cost of Units Sold],LS[Investor ID],INVESTORS_LIST[[#This Row],[INVESTOR CODE]],LS[B/S],"S"))</f>
        <v>0</v>
      </c>
      <c r="J592" s="48">
        <f>IF(INVESTORS_LIST[[#This Row],[LS_TOTAL CURRENT UNITS]]=0,0,INVESTORS_LIST[[#This Row],[LS_TOTAL CURRENT UNITS]]*INVESTORS_LIST[[#This Row],[LS_AVERAGE COST]])</f>
        <v>1500000.0000000002</v>
      </c>
      <c r="K592" s="48">
        <f>IF(INVESTORS_LIST[[#This Row],[LS_TOTAL UNITS SOLD]]=0,0,SUMIFS(LS[Realized Gain],LS[Investor ID],INVESTORS_LIST[[#This Row],[INVESTOR CODE]],LS[B/S],"S"))</f>
        <v>0</v>
      </c>
      <c r="L592" s="104">
        <f>SUMIFS(SIP[Unit],SIP[Investor ID],INVESTORS_LIST[[#This Row],[INVESTOR CODE]],SIP[B/S],"B")</f>
        <v>0</v>
      </c>
      <c r="M592" s="50">
        <f>-SUMIFS(SIP[Unit],SIP[Investor ID],INVESTORS_LIST[[#This Row],[INVESTOR CODE]],SIP[B/S],"S")</f>
        <v>0</v>
      </c>
      <c r="N592" s="50">
        <f>IF(INVESTORS_LIST[[#This Row],[SIP_TOTAL UNITS BUY]]=0,0,INVESTORS_LIST[[#This Row],[SIP_TOTAL UNITS BUY]]-INVESTORS_LIST[[#This Row],[SIP_TOTAL UNITS SOLD]])</f>
        <v>0</v>
      </c>
      <c r="O592" s="48">
        <f>IF(INVESTORS_LIST[[#This Row],[SIP_TOTAL UNITS BUY]]=0,0,SUMIFS(SIP[Amount],SIP[Investor ID],INVESTORS_LIST[[#This Row],[INVESTOR CODE]],SIP[B/S],"B"))</f>
        <v>0</v>
      </c>
      <c r="P592" s="48">
        <f>IF(INVESTORS_LIST[[#This Row],[SIP_TOTAL UNITS SOLD]]=0,0,SUMIFS(SIP[Cost of Units Sold],SIP[Investor ID],INVESTORS_LIST[[#This Row],[INVESTOR CODE]],SIP[B/S],"S"))</f>
        <v>0</v>
      </c>
      <c r="Q592" s="48">
        <f>IF(INVESTORS_LIST[[#This Row],[SIP_TOTAL CURRENT UNITS]]=0,0,INVESTORS_LIST[[#This Row],[SIP_TOTAL CURRENT UNITS]]*INVESTORS_LIST[[#This Row],[SIP_AVERAGE COST]])</f>
        <v>0</v>
      </c>
      <c r="R592" s="48">
        <f>IF(INVESTORS_LIST[[#This Row],[SIP_TOTAL UNITS SOLD]]=0,0,SUMIFS(SIP[Realized Gain],SIP[Investor ID],INVESTORS_LIST[[#This Row],[INVESTOR CODE]],SIP[B/S],"S"))</f>
        <v>0</v>
      </c>
      <c r="S592" s="50">
        <f>INVESTORS_LIST[[#This Row],[LS_TOTAL UNITS BUY]]+INVESTORS_LIST[[#This Row],[SIP_TOTAL UNITS BUY]]</f>
        <v>128083</v>
      </c>
      <c r="T592" s="50">
        <f>INVESTORS_LIST[[#This Row],[LS_TOTAL UNITS SOLD]]+INVESTORS_LIST[[#This Row],[SIP_TOTAL UNITS SOLD]]</f>
        <v>0</v>
      </c>
      <c r="U592" s="50">
        <v>128172</v>
      </c>
      <c r="V592" s="50">
        <f>SUMIFS(LS[BO UNIT TRANSFER],LS[Investor ID],INVESTORS_LIST[[#This Row],[INVESTOR CODE]],LS[B/S],"B")</f>
        <v>0</v>
      </c>
      <c r="W592" s="50">
        <f>SUMIFS(SIP[BO UNIT TRANSFER],SIP[Investor ID],INVESTORS_LIST[[#This Row],[INVESTOR CODE]],SIP[B/S],"B")</f>
        <v>0</v>
      </c>
      <c r="X592" s="50">
        <f>SUMIFS(LS[BO UNIT TRANSFER],LS[Investor ID],INVESTORS_LIST[[#This Row],[INVESTOR CODE]],LS[B/S],"S")</f>
        <v>0</v>
      </c>
      <c r="Y592" s="50">
        <f>SUMIFS(SIP[BO UNIT TRANSFER],SIP[Investor ID],INVESTORS_LIST[[#This Row],[INVESTOR CODE]],SIP[B/S],"S")</f>
        <v>0</v>
      </c>
      <c r="Z592" s="106">
        <f>SUM(INVESTORS_LIST[[#This Row],[BO OPENING BALANCE]:[BO SIP UNITS REPURCHASE]])</f>
        <v>128172</v>
      </c>
      <c r="AA592" s="107">
        <f>INVESTORS_LIST[[#This Row],[TOTAL UNITS BUY]]-INVESTORS_LIST[[#This Row],[TOTAL UNITS SOLD]]</f>
        <v>128083</v>
      </c>
      <c r="AB592" s="107">
        <f>INVESTORS_LIST[[#This Row],[TOTAL CURRENT UNITS]]-INVESTORS_LIST[[#This Row],[BO UNITS HOLD]]</f>
        <v>-89</v>
      </c>
      <c r="AC592" s="201" t="e">
        <f>INDEX([3]!Table_1[BO ID],MATCH(INVESTORS_LIST[[#This Row],[INVESTOR CODE]],[3]!Table_1[INVESTOR CODE],0))</f>
        <v>#REF!</v>
      </c>
      <c r="AD592" s="201" t="e">
        <f>INDEX([3]!Table_1[Brokerage Name2],MATCH(INVESTORS_LIST[[#This Row],[INVESTOR CODE]],[3]!Table_1[INVESTOR CODE],0))</f>
        <v>#REF!</v>
      </c>
      <c r="AE592" s="201" t="e">
        <f>MID(INVESTORS_LIST[[#This Row],[BO ID]],4,5)</f>
        <v>#REF!</v>
      </c>
      <c r="AF592" s="201" t="e">
        <f>MID(INVESTORS_LIST[[#This Row],[BO ID]],2,7)</f>
        <v>#REF!</v>
      </c>
      <c r="AG592" s="201" t="e">
        <f>MID(INVESTORS_LIST[[#This Row],[BO ID]],9,7)</f>
        <v>#REF!</v>
      </c>
      <c r="AH592" s="201" t="e">
        <f>RIGHT(INVESTORS_LIST[[#This Row],[BO ID]],1)</f>
        <v>#REF!</v>
      </c>
      <c r="AI592" s="50">
        <f>INVESTORS_LIST[[#This Row],[LS_TOTAL COST VALUE OF CURRENT UNITS]]+INVESTORS_LIST[[#This Row],[SIP_TOTAL COST VALUE OF CURRENT UNITS]]</f>
        <v>1500000.0000000002</v>
      </c>
      <c r="AJ592" s="109">
        <f>IF(INVESTORS_LIST[[#This Row],[TOTAL CURRENT UNITS]]=0,0,INVESTORS_LIST[[#This Row],[LS_TOTAL CURRENT UNITS]]/INVESTORS_LIST[[#This Row],[TOTAL CURRENT UNITS]])</f>
        <v>1</v>
      </c>
      <c r="AK592" s="109">
        <f>IF(INVESTORS_LIST[[#This Row],[TOTAL CURRENT UNITS]]=0,0,INVESTORS_LIST[[#This Row],[SIP_TOTAL CURRENT UNITS]]/INVESTORS_LIST[[#This Row],[TOTAL CURRENT UNITS]])</f>
        <v>0</v>
      </c>
      <c r="AL592" s="99" cm="1">
        <f t="array" ref="AL592">IF(INVESTORS_LIST[[#This Row],[LS_TOTAL UNITS BUY]]&gt;0,INDEX(LS[NAV at Cost (Average)],MATCH(CONCATENATE(COUNTIFS(LS[Investor ID],INVESTORS_LIST[[#This Row],[INVESTOR CODE]]),INVESTORS_LIST[[#This Row],[INVESTOR CODE]]),LS[Unique Code],0),),0)</f>
        <v>11.711156047250613</v>
      </c>
      <c r="AM592" s="99" cm="1">
        <f t="array" ref="AM5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2" s="105">
        <f>IF(INVESTORS_LIST[[#This Row],[TOTAL CURRENT UNITS]]=0,0,(INVESTORS_LIST[[#This Row],[LS_WEIGHT]]*INVESTORS_LIST[[#This Row],[LS_AVERAGE COST]])+(INVESTORS_LIST[[#This Row],[SIP_WEIGHT]]*INVESTORS_LIST[[#This Row],[SIP_AVERAGE COST]]))</f>
        <v>11.711156047250613</v>
      </c>
      <c r="AO592" s="105">
        <f t="shared" si="10"/>
        <v>14.224</v>
      </c>
      <c r="AP592" s="112">
        <f>IF(INVESTORS_LIST[[#This Row],[TOTAL CURRENT UNITS]]=0,0,INVESTORS_LIST[[#This Row],[TOTAL CURRENT UNITS]]*INVESTORS_LIST[[#This Row],[NAV]])</f>
        <v>1821852.5919999999</v>
      </c>
      <c r="AQ592" s="102">
        <f>IF(INVESTORS_LIST[[#This Row],[LS_TOTAL CURRENT UNITS]]=0,0,INVESTORS_LIST[[#This Row],[LS_TOTAL CURRENT UNITS]]*INVESTORS_LIST[[#This Row],[NAV]])</f>
        <v>1821852.5919999999</v>
      </c>
      <c r="AR592" s="48">
        <f>IF(INVESTORS_LIST[[#This Row],[SIP_TOTAL CURRENT UNITS]]=0,0,INVESTORS_LIST[[#This Row],[SIP_TOTAL CURRENT UNITS]]*INVESTORS_LIST[[#This Row],[NAV]])</f>
        <v>0</v>
      </c>
      <c r="AS592" s="50">
        <f>INVESTORS_LIST[[#This Row],[TOTAL CURRENT UNITS]]</f>
        <v>128083</v>
      </c>
      <c r="AT592" s="48">
        <f>IF(INVESTORS_LIST[[#This Row],[TOTAL SELLABLE UNITS]]=0,0,INVESTORS_LIST[[#This Row],[TOTAL SELLABLE UNITS]]*INVESTORS_LIST[[#This Row],[NAV]])</f>
        <v>1821852.5919999999</v>
      </c>
      <c r="AU592" s="48">
        <f>INVESTORS_LIST[[#This Row],[LS_TOTAL REALIZED GAIN]]+INVESTORS_LIST[[#This Row],[SIP_TOTAL REALIZED GAIN]]</f>
        <v>0</v>
      </c>
      <c r="AV592" s="48">
        <f>INVESTORS_LIST[[#This Row],[TOTAL MARKET VALUE]]-INVESTORS_LIST[[#This Row],[TOTAL COST VALUE OF CURRENT INVESTMENT]]</f>
        <v>321852.59199999971</v>
      </c>
      <c r="AW592" s="48">
        <f>IFERROR(INVESTORS_LIST[[#This Row],[TOTAL CURRENT UNITS]]/SUM(INVESTORS_LIST[TOTAL CURRENT UNITS]),0)</f>
        <v>3.1093695359566448E-3</v>
      </c>
    </row>
    <row r="593" spans="1:49">
      <c r="A593" s="262" t="s">
        <v>1291</v>
      </c>
      <c r="B593" s="97" t="s">
        <v>1292</v>
      </c>
      <c r="C593" t="s">
        <v>67</v>
      </c>
      <c r="D593" s="75" t="s">
        <v>45</v>
      </c>
      <c r="E593" s="50">
        <f>SUMIFS(LS[Unit],LS[Investor ID],INVESTORS_LIST[[#This Row],[INVESTOR CODE]],LS[B/S],"B")</f>
        <v>34692</v>
      </c>
      <c r="F593" s="50">
        <f>-SUMIFS(LS[Unit],LS[Investor ID],INVESTORS_LIST[[#This Row],[INVESTOR CODE]],LS[B/S],"S")</f>
        <v>7338</v>
      </c>
      <c r="G593" s="50">
        <f>IF(INVESTORS_LIST[[#This Row],[LS_TOTAL UNITS BUY]]=0,0,INVESTORS_LIST[[#This Row],[LS_TOTAL UNITS BUY]]-INVESTORS_LIST[[#This Row],[LS_TOTAL UNITS SOLD]])</f>
        <v>27354</v>
      </c>
      <c r="H593" s="102">
        <f>IF(INVESTORS_LIST[[#This Row],[LS_TOTAL UNITS BUY]]=0,0,SUMIFS(LS[Amount],LS[Investor ID],INVESTORS_LIST[[#This Row],[INVESTOR CODE]],LS[B/S],"B"))</f>
        <v>465000</v>
      </c>
      <c r="I593" s="48">
        <f>IF(INVESTORS_LIST[[#This Row],[LS_TOTAL UNITS SOLD]]=0,0,SUMIFS(LS[Cost of Units Sold],LS[Investor ID],INVESTORS_LIST[[#This Row],[INVESTOR CODE]],LS[B/S],"S"))</f>
        <v>96699.087831587924</v>
      </c>
      <c r="J593" s="48">
        <f>IF(INVESTORS_LIST[[#This Row],[LS_TOTAL CURRENT UNITS]]=0,0,INVESTORS_LIST[[#This Row],[LS_TOTAL CURRENT UNITS]]*INVESTORS_LIST[[#This Row],[LS_AVERAGE COST]])</f>
        <v>368300.91216841206</v>
      </c>
      <c r="K593" s="48">
        <f>IF(INVESTORS_LIST[[#This Row],[LS_TOTAL UNITS SOLD]]=0,0,SUMIFS(LS[Realized Gain],LS[Investor ID],INVESTORS_LIST[[#This Row],[INVESTOR CODE]],LS[B/S],"S"))</f>
        <v>6300.9121684120691</v>
      </c>
      <c r="L593" s="104">
        <f>SUMIFS(SIP[Unit],SIP[Investor ID],INVESTORS_LIST[[#This Row],[INVESTOR CODE]],SIP[B/S],"B")</f>
        <v>1246</v>
      </c>
      <c r="M593" s="50">
        <f>-SUMIFS(SIP[Unit],SIP[Investor ID],INVESTORS_LIST[[#This Row],[INVESTOR CODE]],SIP[B/S],"S")</f>
        <v>73</v>
      </c>
      <c r="N593" s="50">
        <f>IF(INVESTORS_LIST[[#This Row],[SIP_TOTAL UNITS BUY]]=0,0,INVESTORS_LIST[[#This Row],[SIP_TOTAL UNITS BUY]]-INVESTORS_LIST[[#This Row],[SIP_TOTAL UNITS SOLD]])</f>
        <v>1173</v>
      </c>
      <c r="O593" s="48">
        <f>IF(INVESTORS_LIST[[#This Row],[SIP_TOTAL UNITS BUY]]=0,0,SUMIFS(SIP[Amount],SIP[Investor ID],INVESTORS_LIST[[#This Row],[INVESTOR CODE]],SIP[B/S],"B"))</f>
        <v>16000</v>
      </c>
      <c r="P593" s="48">
        <f>IF(INVESTORS_LIST[[#This Row],[SIP_TOTAL UNITS SOLD]]=0,0,SUMIFS(SIP[Cost of Units Sold],SIP[Investor ID],INVESTORS_LIST[[#This Row],[INVESTOR CODE]],SIP[B/S],"S"))</f>
        <v>926.563916591115</v>
      </c>
      <c r="Q593" s="48">
        <f>IF(INVESTORS_LIST[[#This Row],[SIP_TOTAL CURRENT UNITS]]=0,0,INVESTORS_LIST[[#This Row],[SIP_TOTAL CURRENT UNITS]]*INVESTORS_LIST[[#This Row],[SIP_AVERAGE COST]])</f>
        <v>15073.436083408886</v>
      </c>
      <c r="R593" s="48">
        <f>IF(INVESTORS_LIST[[#This Row],[SIP_TOTAL UNITS SOLD]]=0,0,SUMIFS(SIP[Realized Gain],SIP[Investor ID],INVESTORS_LIST[[#This Row],[INVESTOR CODE]],SIP[B/S],"S"))</f>
        <v>73.436083408884954</v>
      </c>
      <c r="S593" s="50">
        <f>INVESTORS_LIST[[#This Row],[LS_TOTAL UNITS BUY]]+INVESTORS_LIST[[#This Row],[SIP_TOTAL UNITS BUY]]</f>
        <v>35938</v>
      </c>
      <c r="T593" s="50">
        <f>INVESTORS_LIST[[#This Row],[LS_TOTAL UNITS SOLD]]+INVESTORS_LIST[[#This Row],[SIP_TOTAL UNITS SOLD]]</f>
        <v>7411</v>
      </c>
      <c r="U593" s="50"/>
      <c r="V593" s="50">
        <f>SUMIFS(LS[BO UNIT TRANSFER],LS[Investor ID],INVESTORS_LIST[[#This Row],[INVESTOR CODE]],LS[B/S],"B")</f>
        <v>0</v>
      </c>
      <c r="W593" s="50">
        <f>SUMIFS(SIP[BO UNIT TRANSFER],SIP[Investor ID],INVESTORS_LIST[[#This Row],[INVESTOR CODE]],SIP[B/S],"B")</f>
        <v>0</v>
      </c>
      <c r="X593" s="50">
        <f>SUMIFS(LS[BO UNIT TRANSFER],LS[Investor ID],INVESTORS_LIST[[#This Row],[INVESTOR CODE]],LS[B/S],"S")</f>
        <v>0</v>
      </c>
      <c r="Y593" s="50">
        <f>SUMIFS(SIP[BO UNIT TRANSFER],SIP[Investor ID],INVESTORS_LIST[[#This Row],[INVESTOR CODE]],SIP[B/S],"S")</f>
        <v>0</v>
      </c>
      <c r="Z593" s="106">
        <f>SUM(INVESTORS_LIST[[#This Row],[BO OPENING BALANCE]:[BO SIP UNITS REPURCHASE]])</f>
        <v>0</v>
      </c>
      <c r="AA593" s="107">
        <f>INVESTORS_LIST[[#This Row],[TOTAL UNITS BUY]]-INVESTORS_LIST[[#This Row],[TOTAL UNITS SOLD]]</f>
        <v>28527</v>
      </c>
      <c r="AB593" s="107">
        <f>INVESTORS_LIST[[#This Row],[TOTAL CURRENT UNITS]]-INVESTORS_LIST[[#This Row],[BO UNITS HOLD]]</f>
        <v>28527</v>
      </c>
      <c r="AC593" s="201" t="e">
        <f>INDEX([3]!Table_1[BO ID],MATCH(INVESTORS_LIST[[#This Row],[INVESTOR CODE]],[3]!Table_1[INVESTOR CODE],0))</f>
        <v>#REF!</v>
      </c>
      <c r="AD593" s="201" t="e">
        <f>INDEX([3]!Table_1[Brokerage Name2],MATCH(INVESTORS_LIST[[#This Row],[INVESTOR CODE]],[3]!Table_1[INVESTOR CODE],0))</f>
        <v>#REF!</v>
      </c>
      <c r="AE593" s="201" t="e">
        <f>MID(INVESTORS_LIST[[#This Row],[BO ID]],4,5)</f>
        <v>#REF!</v>
      </c>
      <c r="AF593" s="201" t="e">
        <f>MID(INVESTORS_LIST[[#This Row],[BO ID]],2,7)</f>
        <v>#REF!</v>
      </c>
      <c r="AG593" s="201" t="e">
        <f>MID(INVESTORS_LIST[[#This Row],[BO ID]],9,7)</f>
        <v>#REF!</v>
      </c>
      <c r="AH593" s="201" t="e">
        <f>RIGHT(INVESTORS_LIST[[#This Row],[BO ID]],1)</f>
        <v>#REF!</v>
      </c>
      <c r="AI593" s="50">
        <f>INVESTORS_LIST[[#This Row],[LS_TOTAL COST VALUE OF CURRENT UNITS]]+INVESTORS_LIST[[#This Row],[SIP_TOTAL COST VALUE OF CURRENT UNITS]]</f>
        <v>383374.34825182095</v>
      </c>
      <c r="AJ593" s="109">
        <f>IF(INVESTORS_LIST[[#This Row],[TOTAL CURRENT UNITS]]=0,0,INVESTORS_LIST[[#This Row],[LS_TOTAL CURRENT UNITS]]/INVESTORS_LIST[[#This Row],[TOTAL CURRENT UNITS]])</f>
        <v>0.95888106004837526</v>
      </c>
      <c r="AK593" s="109">
        <f>IF(INVESTORS_LIST[[#This Row],[TOTAL CURRENT UNITS]]=0,0,INVESTORS_LIST[[#This Row],[SIP_TOTAL CURRENT UNITS]]/INVESTORS_LIST[[#This Row],[TOTAL CURRENT UNITS]])</f>
        <v>4.1118939951624779E-2</v>
      </c>
      <c r="AL593" s="99" cm="1">
        <f t="array" ref="AL593">IF(INVESTORS_LIST[[#This Row],[LS_TOTAL UNITS BUY]]&gt;0,INDEX(LS[NAV at Cost (Average)],MATCH(CONCATENATE(COUNTIFS(LS[Investor ID],INVESTORS_LIST[[#This Row],[INVESTOR CODE]]),INVESTORS_LIST[[#This Row],[INVESTOR CODE]]),LS[Unique Code],0),),0)</f>
        <v>13.464243334372014</v>
      </c>
      <c r="AM593" s="99" cm="1">
        <f t="array" ref="AM593">IF(INVESTORS_LIST[[#This Row],[SIP_TOTAL UNITS BUY]]&gt;0,INDEX(SIP[NAV at Cost (Average)],MATCH(CONCATENATE(COUNTIFS(SIP[Investor ID],INVESTORS_LIST[[#This Row],[INVESTOR CODE]]),INVESTORS_LIST[[#This Row],[INVESTOR CODE]]),SIP[Unique Code],0),),0)</f>
        <v>12.850329141866057</v>
      </c>
      <c r="AN593" s="105">
        <f>IF(INVESTORS_LIST[[#This Row],[TOTAL CURRENT UNITS]]=0,0,(INVESTORS_LIST[[#This Row],[LS_WEIGHT]]*INVESTORS_LIST[[#This Row],[LS_AVERAGE COST]])+(INVESTORS_LIST[[#This Row],[SIP_WEIGHT]]*INVESTORS_LIST[[#This Row],[SIP_AVERAGE COST]]))</f>
        <v>13.438999833554911</v>
      </c>
      <c r="AO593" s="105">
        <f t="shared" si="10"/>
        <v>14.224</v>
      </c>
      <c r="AP593" s="112">
        <f>IF(INVESTORS_LIST[[#This Row],[TOTAL CURRENT UNITS]]=0,0,INVESTORS_LIST[[#This Row],[TOTAL CURRENT UNITS]]*INVESTORS_LIST[[#This Row],[NAV]])</f>
        <v>405768.04800000001</v>
      </c>
      <c r="AQ593" s="102">
        <f>IF(INVESTORS_LIST[[#This Row],[LS_TOTAL CURRENT UNITS]]=0,0,INVESTORS_LIST[[#This Row],[LS_TOTAL CURRENT UNITS]]*INVESTORS_LIST[[#This Row],[NAV]])</f>
        <v>389083.29600000003</v>
      </c>
      <c r="AR593" s="48">
        <f>IF(INVESTORS_LIST[[#This Row],[SIP_TOTAL CURRENT UNITS]]=0,0,INVESTORS_LIST[[#This Row],[SIP_TOTAL CURRENT UNITS]]*INVESTORS_LIST[[#This Row],[NAV]])</f>
        <v>16684.752</v>
      </c>
      <c r="AS593" s="50">
        <f>INVESTORS_LIST[[#This Row],[TOTAL CURRENT UNITS]]</f>
        <v>28527</v>
      </c>
      <c r="AT593" s="48">
        <f>IF(INVESTORS_LIST[[#This Row],[TOTAL SELLABLE UNITS]]=0,0,INVESTORS_LIST[[#This Row],[TOTAL SELLABLE UNITS]]*INVESTORS_LIST[[#This Row],[NAV]])</f>
        <v>405768.04800000001</v>
      </c>
      <c r="AU593" s="48">
        <f>INVESTORS_LIST[[#This Row],[LS_TOTAL REALIZED GAIN]]+INVESTORS_LIST[[#This Row],[SIP_TOTAL REALIZED GAIN]]</f>
        <v>6374.3482518209539</v>
      </c>
      <c r="AV593" s="48">
        <f>INVESTORS_LIST[[#This Row],[TOTAL MARKET VALUE]]-INVESTORS_LIST[[#This Row],[TOTAL COST VALUE OF CURRENT INVESTMENT]]</f>
        <v>22393.69974817906</v>
      </c>
      <c r="AW593" s="48">
        <f>IFERROR(INVESTORS_LIST[[#This Row],[TOTAL CURRENT UNITS]]/SUM(INVESTORS_LIST[TOTAL CURRENT UNITS]),0)</f>
        <v>6.9252738265214897E-4</v>
      </c>
    </row>
    <row r="594" spans="1:49" hidden="1">
      <c r="A594" s="262" t="s">
        <v>1293</v>
      </c>
      <c r="B594" s="97" t="s">
        <v>1294</v>
      </c>
      <c r="C594" t="s">
        <v>44</v>
      </c>
      <c r="D594" s="75" t="s">
        <v>45</v>
      </c>
      <c r="E594" s="50">
        <f>SUMIFS(LS[Unit],LS[Investor ID],INVESTORS_LIST[[#This Row],[INVESTOR CODE]],LS[B/S],"B")</f>
        <v>17232</v>
      </c>
      <c r="F594" s="50">
        <f>-SUMIFS(LS[Unit],LS[Investor ID],INVESTORS_LIST[[#This Row],[INVESTOR CODE]],LS[B/S],"S")</f>
        <v>17232</v>
      </c>
      <c r="G594" s="50">
        <f>IF(INVESTORS_LIST[[#This Row],[LS_TOTAL UNITS BUY]]=0,0,INVESTORS_LIST[[#This Row],[LS_TOTAL UNITS BUY]]-INVESTORS_LIST[[#This Row],[LS_TOTAL UNITS SOLD]])</f>
        <v>0</v>
      </c>
      <c r="H594" s="102">
        <f>IF(INVESTORS_LIST[[#This Row],[LS_TOTAL UNITS BUY]]=0,0,SUMIFS(LS[Amount],LS[Investor ID],INVESTORS_LIST[[#This Row],[INVESTOR CODE]],LS[B/S],"B"))</f>
        <v>200000</v>
      </c>
      <c r="I594" s="48">
        <f>IF(INVESTORS_LIST[[#This Row],[LS_TOTAL UNITS SOLD]]=0,0,SUMIFS(LS[Cost of Units Sold],LS[Investor ID],INVESTORS_LIST[[#This Row],[INVESTOR CODE]],LS[B/S],"S"))</f>
        <v>200000</v>
      </c>
      <c r="J594" s="48">
        <f>IF(INVESTORS_LIST[[#This Row],[LS_TOTAL CURRENT UNITS]]=0,0,INVESTORS_LIST[[#This Row],[LS_TOTAL CURRENT UNITS]]*INVESTORS_LIST[[#This Row],[LS_AVERAGE COST]])</f>
        <v>0</v>
      </c>
      <c r="K594" s="48">
        <f>IF(INVESTORS_LIST[[#This Row],[LS_TOTAL UNITS SOLD]]=0,0,SUMIFS(LS[Realized Gain],LS[Investor ID],INVESTORS_LIST[[#This Row],[INVESTOR CODE]],LS[B/S],"S"))</f>
        <v>17967.569999999982</v>
      </c>
      <c r="L594" s="104">
        <f>SUMIFS(SIP[Unit],SIP[Investor ID],INVESTORS_LIST[[#This Row],[INVESTOR CODE]],SIP[B/S],"B")</f>
        <v>0</v>
      </c>
      <c r="M594" s="50">
        <f>-SUMIFS(SIP[Unit],SIP[Investor ID],INVESTORS_LIST[[#This Row],[INVESTOR CODE]],SIP[B/S],"S")</f>
        <v>0</v>
      </c>
      <c r="N594" s="50">
        <f>IF(INVESTORS_LIST[[#This Row],[SIP_TOTAL UNITS BUY]]=0,0,INVESTORS_LIST[[#This Row],[SIP_TOTAL UNITS BUY]]-INVESTORS_LIST[[#This Row],[SIP_TOTAL UNITS SOLD]])</f>
        <v>0</v>
      </c>
      <c r="O594" s="48">
        <f>IF(INVESTORS_LIST[[#This Row],[SIP_TOTAL UNITS BUY]]=0,0,SUMIFS(SIP[Amount],SIP[Investor ID],INVESTORS_LIST[[#This Row],[INVESTOR CODE]],SIP[B/S],"B"))</f>
        <v>0</v>
      </c>
      <c r="P594" s="48">
        <f>IF(INVESTORS_LIST[[#This Row],[SIP_TOTAL UNITS SOLD]]=0,0,SUMIFS(SIP[Cost of Units Sold],SIP[Investor ID],INVESTORS_LIST[[#This Row],[INVESTOR CODE]],SIP[B/S],"S"))</f>
        <v>0</v>
      </c>
      <c r="Q594" s="48">
        <f>IF(INVESTORS_LIST[[#This Row],[SIP_TOTAL CURRENT UNITS]]=0,0,INVESTORS_LIST[[#This Row],[SIP_TOTAL CURRENT UNITS]]*INVESTORS_LIST[[#This Row],[SIP_AVERAGE COST]])</f>
        <v>0</v>
      </c>
      <c r="R594" s="48">
        <f>IF(INVESTORS_LIST[[#This Row],[SIP_TOTAL UNITS SOLD]]=0,0,SUMIFS(SIP[Realized Gain],SIP[Investor ID],INVESTORS_LIST[[#This Row],[INVESTOR CODE]],SIP[B/S],"S"))</f>
        <v>0</v>
      </c>
      <c r="S594" s="50">
        <f>INVESTORS_LIST[[#This Row],[LS_TOTAL UNITS BUY]]+INVESTORS_LIST[[#This Row],[SIP_TOTAL UNITS BUY]]</f>
        <v>17232</v>
      </c>
      <c r="T594" s="50">
        <f>INVESTORS_LIST[[#This Row],[LS_TOTAL UNITS SOLD]]+INVESTORS_LIST[[#This Row],[SIP_TOTAL UNITS SOLD]]</f>
        <v>17232</v>
      </c>
      <c r="U594" s="50"/>
      <c r="V594" s="50">
        <f>SUMIFS(LS[BO UNIT TRANSFER],LS[Investor ID],INVESTORS_LIST[[#This Row],[INVESTOR CODE]],LS[B/S],"B")</f>
        <v>0</v>
      </c>
      <c r="W594" s="50">
        <f>SUMIFS(SIP[BO UNIT TRANSFER],SIP[Investor ID],INVESTORS_LIST[[#This Row],[INVESTOR CODE]],SIP[B/S],"B")</f>
        <v>0</v>
      </c>
      <c r="X594" s="50">
        <f>SUMIFS(LS[BO UNIT TRANSFER],LS[Investor ID],INVESTORS_LIST[[#This Row],[INVESTOR CODE]],LS[B/S],"S")</f>
        <v>0</v>
      </c>
      <c r="Y594" s="50">
        <f>SUMIFS(SIP[BO UNIT TRANSFER],SIP[Investor ID],INVESTORS_LIST[[#This Row],[INVESTOR CODE]],SIP[B/S],"S")</f>
        <v>0</v>
      </c>
      <c r="Z594" s="106">
        <f>SUM(INVESTORS_LIST[[#This Row],[BO OPENING BALANCE]:[BO SIP UNITS REPURCHASE]])</f>
        <v>0</v>
      </c>
      <c r="AA594" s="107">
        <f>INVESTORS_LIST[[#This Row],[TOTAL UNITS BUY]]-INVESTORS_LIST[[#This Row],[TOTAL UNITS SOLD]]</f>
        <v>0</v>
      </c>
      <c r="AB594" s="107">
        <f>INVESTORS_LIST[[#This Row],[TOTAL CURRENT UNITS]]-INVESTORS_LIST[[#This Row],[BO UNITS HOLD]]</f>
        <v>0</v>
      </c>
      <c r="AC594" s="201" t="e">
        <f>INDEX([3]!Table_1[BO ID],MATCH(INVESTORS_LIST[[#This Row],[INVESTOR CODE]],[3]!Table_1[INVESTOR CODE],0))</f>
        <v>#REF!</v>
      </c>
      <c r="AD594" s="201" t="e">
        <f>INDEX([3]!Table_1[Brokerage Name2],MATCH(INVESTORS_LIST[[#This Row],[INVESTOR CODE]],[3]!Table_1[INVESTOR CODE],0))</f>
        <v>#REF!</v>
      </c>
      <c r="AE594" s="201" t="e">
        <f>MID(INVESTORS_LIST[[#This Row],[BO ID]],4,5)</f>
        <v>#REF!</v>
      </c>
      <c r="AF594" s="201" t="e">
        <f>MID(INVESTORS_LIST[[#This Row],[BO ID]],2,7)</f>
        <v>#REF!</v>
      </c>
      <c r="AG594" s="201" t="e">
        <f>MID(INVESTORS_LIST[[#This Row],[BO ID]],9,7)</f>
        <v>#REF!</v>
      </c>
      <c r="AH594" s="201" t="e">
        <f>RIGHT(INVESTORS_LIST[[#This Row],[BO ID]],1)</f>
        <v>#REF!</v>
      </c>
      <c r="AI594" s="50">
        <f>INVESTORS_LIST[[#This Row],[LS_TOTAL COST VALUE OF CURRENT UNITS]]+INVESTORS_LIST[[#This Row],[SIP_TOTAL COST VALUE OF CURRENT UNITS]]</f>
        <v>0</v>
      </c>
      <c r="AJ594" s="109">
        <f>IF(INVESTORS_LIST[[#This Row],[TOTAL CURRENT UNITS]]=0,0,INVESTORS_LIST[[#This Row],[LS_TOTAL CURRENT UNITS]]/INVESTORS_LIST[[#This Row],[TOTAL CURRENT UNITS]])</f>
        <v>0</v>
      </c>
      <c r="AK594" s="109">
        <f>IF(INVESTORS_LIST[[#This Row],[TOTAL CURRENT UNITS]]=0,0,INVESTORS_LIST[[#This Row],[SIP_TOTAL CURRENT UNITS]]/INVESTORS_LIST[[#This Row],[TOTAL CURRENT UNITS]])</f>
        <v>0</v>
      </c>
      <c r="AL594" s="99" cm="1">
        <f t="array" ref="AL5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4" s="99" cm="1">
        <f t="array" ref="AM5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4" s="105">
        <f t="shared" si="10"/>
        <v>14.224</v>
      </c>
      <c r="AP594" s="112">
        <f>IF(INVESTORS_LIST[[#This Row],[TOTAL CURRENT UNITS]]=0,0,INVESTORS_LIST[[#This Row],[TOTAL CURRENT UNITS]]*INVESTORS_LIST[[#This Row],[NAV]])</f>
        <v>0</v>
      </c>
      <c r="AQ594" s="102">
        <f>IF(INVESTORS_LIST[[#This Row],[LS_TOTAL CURRENT UNITS]]=0,0,INVESTORS_LIST[[#This Row],[LS_TOTAL CURRENT UNITS]]*INVESTORS_LIST[[#This Row],[NAV]])</f>
        <v>0</v>
      </c>
      <c r="AR594" s="48">
        <f>IF(INVESTORS_LIST[[#This Row],[SIP_TOTAL CURRENT UNITS]]=0,0,INVESTORS_LIST[[#This Row],[SIP_TOTAL CURRENT UNITS]]*INVESTORS_LIST[[#This Row],[NAV]])</f>
        <v>0</v>
      </c>
      <c r="AS594" s="50">
        <f>INVESTORS_LIST[[#This Row],[TOTAL CURRENT UNITS]]</f>
        <v>0</v>
      </c>
      <c r="AT594" s="48">
        <f>IF(INVESTORS_LIST[[#This Row],[TOTAL SELLABLE UNITS]]=0,0,INVESTORS_LIST[[#This Row],[TOTAL SELLABLE UNITS]]*INVESTORS_LIST[[#This Row],[NAV]])</f>
        <v>0</v>
      </c>
      <c r="AU594" s="48">
        <f>INVESTORS_LIST[[#This Row],[LS_TOTAL REALIZED GAIN]]+INVESTORS_LIST[[#This Row],[SIP_TOTAL REALIZED GAIN]]</f>
        <v>17967.569999999982</v>
      </c>
      <c r="AV594" s="48">
        <f>INVESTORS_LIST[[#This Row],[TOTAL MARKET VALUE]]-INVESTORS_LIST[[#This Row],[TOTAL COST VALUE OF CURRENT INVESTMENT]]</f>
        <v>0</v>
      </c>
      <c r="AW594" s="48">
        <f>IFERROR(INVESTORS_LIST[[#This Row],[TOTAL CURRENT UNITS]]/SUM(INVESTORS_LIST[TOTAL CURRENT UNITS]),0)</f>
        <v>0</v>
      </c>
    </row>
    <row r="595" spans="1:49" hidden="1">
      <c r="A595" s="262" t="s">
        <v>1295</v>
      </c>
      <c r="B595" s="97" t="s">
        <v>1296</v>
      </c>
      <c r="C595" t="s">
        <v>67</v>
      </c>
      <c r="D595" s="75" t="s">
        <v>45</v>
      </c>
      <c r="E595" s="50">
        <f>SUMIFS(LS[Unit],LS[Investor ID],INVESTORS_LIST[[#This Row],[INVESTOR CODE]],LS[B/S],"B")</f>
        <v>10000</v>
      </c>
      <c r="F595" s="50">
        <f>-SUMIFS(LS[Unit],LS[Investor ID],INVESTORS_LIST[[#This Row],[INVESTOR CODE]],LS[B/S],"S")</f>
        <v>10000</v>
      </c>
      <c r="G595" s="50">
        <f>IF(INVESTORS_LIST[[#This Row],[LS_TOTAL UNITS BUY]]=0,0,INVESTORS_LIST[[#This Row],[LS_TOTAL UNITS BUY]]-INVESTORS_LIST[[#This Row],[LS_TOTAL UNITS SOLD]])</f>
        <v>0</v>
      </c>
      <c r="H595" s="102">
        <f>IF(INVESTORS_LIST[[#This Row],[LS_TOTAL UNITS BUY]]=0,0,SUMIFS(LS[Amount],LS[Investor ID],INVESTORS_LIST[[#This Row],[INVESTOR CODE]],LS[B/S],"B"))</f>
        <v>117030</v>
      </c>
      <c r="I595" s="48">
        <f>IF(INVESTORS_LIST[[#This Row],[LS_TOTAL UNITS SOLD]]=0,0,SUMIFS(LS[Cost of Units Sold],LS[Investor ID],INVESTORS_LIST[[#This Row],[INVESTOR CODE]],LS[B/S],"S"))</f>
        <v>117030</v>
      </c>
      <c r="J595" s="48">
        <f>IF(INVESTORS_LIST[[#This Row],[LS_TOTAL CURRENT UNITS]]=0,0,INVESTORS_LIST[[#This Row],[LS_TOTAL CURRENT UNITS]]*INVESTORS_LIST[[#This Row],[LS_AVERAGE COST]])</f>
        <v>0</v>
      </c>
      <c r="K595" s="48">
        <f>IF(INVESTORS_LIST[[#This Row],[LS_TOTAL UNITS SOLD]]=0,0,SUMIFS(LS[Realized Gain],LS[Investor ID],INVESTORS_LIST[[#This Row],[INVESTOR CODE]],LS[B/S],"S"))</f>
        <v>9770</v>
      </c>
      <c r="L595" s="104">
        <f>SUMIFS(SIP[Unit],SIP[Investor ID],INVESTORS_LIST[[#This Row],[INVESTOR CODE]],SIP[B/S],"B")</f>
        <v>0</v>
      </c>
      <c r="M595" s="50">
        <f>-SUMIFS(SIP[Unit],SIP[Investor ID],INVESTORS_LIST[[#This Row],[INVESTOR CODE]],SIP[B/S],"S")</f>
        <v>0</v>
      </c>
      <c r="N595" s="50">
        <f>IF(INVESTORS_LIST[[#This Row],[SIP_TOTAL UNITS BUY]]=0,0,INVESTORS_LIST[[#This Row],[SIP_TOTAL UNITS BUY]]-INVESTORS_LIST[[#This Row],[SIP_TOTAL UNITS SOLD]])</f>
        <v>0</v>
      </c>
      <c r="O595" s="48">
        <f>IF(INVESTORS_LIST[[#This Row],[SIP_TOTAL UNITS BUY]]=0,0,SUMIFS(SIP[Amount],SIP[Investor ID],INVESTORS_LIST[[#This Row],[INVESTOR CODE]],SIP[B/S],"B"))</f>
        <v>0</v>
      </c>
      <c r="P595" s="48">
        <f>IF(INVESTORS_LIST[[#This Row],[SIP_TOTAL UNITS SOLD]]=0,0,SUMIFS(SIP[Cost of Units Sold],SIP[Investor ID],INVESTORS_LIST[[#This Row],[INVESTOR CODE]],SIP[B/S],"S"))</f>
        <v>0</v>
      </c>
      <c r="Q595" s="48">
        <f>IF(INVESTORS_LIST[[#This Row],[SIP_TOTAL CURRENT UNITS]]=0,0,INVESTORS_LIST[[#This Row],[SIP_TOTAL CURRENT UNITS]]*INVESTORS_LIST[[#This Row],[SIP_AVERAGE COST]])</f>
        <v>0</v>
      </c>
      <c r="R595" s="48">
        <f>IF(INVESTORS_LIST[[#This Row],[SIP_TOTAL UNITS SOLD]]=0,0,SUMIFS(SIP[Realized Gain],SIP[Investor ID],INVESTORS_LIST[[#This Row],[INVESTOR CODE]],SIP[B/S],"S"))</f>
        <v>0</v>
      </c>
      <c r="S595" s="50">
        <f>INVESTORS_LIST[[#This Row],[LS_TOTAL UNITS BUY]]+INVESTORS_LIST[[#This Row],[SIP_TOTAL UNITS BUY]]</f>
        <v>10000</v>
      </c>
      <c r="T595" s="50">
        <f>INVESTORS_LIST[[#This Row],[LS_TOTAL UNITS SOLD]]+INVESTORS_LIST[[#This Row],[SIP_TOTAL UNITS SOLD]]</f>
        <v>10000</v>
      </c>
      <c r="U595" s="50"/>
      <c r="V595" s="50">
        <f>SUMIFS(LS[BO UNIT TRANSFER],LS[Investor ID],INVESTORS_LIST[[#This Row],[INVESTOR CODE]],LS[B/S],"B")</f>
        <v>0</v>
      </c>
      <c r="W595" s="50">
        <f>SUMIFS(SIP[BO UNIT TRANSFER],SIP[Investor ID],INVESTORS_LIST[[#This Row],[INVESTOR CODE]],SIP[B/S],"B")</f>
        <v>0</v>
      </c>
      <c r="X595" s="50">
        <f>SUMIFS(LS[BO UNIT TRANSFER],LS[Investor ID],INVESTORS_LIST[[#This Row],[INVESTOR CODE]],LS[B/S],"S")</f>
        <v>0</v>
      </c>
      <c r="Y595" s="50">
        <f>SUMIFS(SIP[BO UNIT TRANSFER],SIP[Investor ID],INVESTORS_LIST[[#This Row],[INVESTOR CODE]],SIP[B/S],"S")</f>
        <v>0</v>
      </c>
      <c r="Z595" s="106">
        <f>SUM(INVESTORS_LIST[[#This Row],[BO OPENING BALANCE]:[BO SIP UNITS REPURCHASE]])</f>
        <v>0</v>
      </c>
      <c r="AA595" s="107">
        <f>INVESTORS_LIST[[#This Row],[TOTAL UNITS BUY]]-INVESTORS_LIST[[#This Row],[TOTAL UNITS SOLD]]</f>
        <v>0</v>
      </c>
      <c r="AB595" s="107">
        <f>INVESTORS_LIST[[#This Row],[TOTAL CURRENT UNITS]]-INVESTORS_LIST[[#This Row],[BO UNITS HOLD]]</f>
        <v>0</v>
      </c>
      <c r="AC595" s="201" t="e">
        <f>INDEX([3]!Table_1[BO ID],MATCH(INVESTORS_LIST[[#This Row],[INVESTOR CODE]],[3]!Table_1[INVESTOR CODE],0))</f>
        <v>#REF!</v>
      </c>
      <c r="AD595" s="201" t="e">
        <f>INDEX([3]!Table_1[Brokerage Name2],MATCH(INVESTORS_LIST[[#This Row],[INVESTOR CODE]],[3]!Table_1[INVESTOR CODE],0))</f>
        <v>#REF!</v>
      </c>
      <c r="AE595" s="201" t="e">
        <f>MID(INVESTORS_LIST[[#This Row],[BO ID]],4,5)</f>
        <v>#REF!</v>
      </c>
      <c r="AF595" s="201" t="e">
        <f>MID(INVESTORS_LIST[[#This Row],[BO ID]],2,7)</f>
        <v>#REF!</v>
      </c>
      <c r="AG595" s="201" t="e">
        <f>MID(INVESTORS_LIST[[#This Row],[BO ID]],9,7)</f>
        <v>#REF!</v>
      </c>
      <c r="AH595" s="201" t="e">
        <f>RIGHT(INVESTORS_LIST[[#This Row],[BO ID]],1)</f>
        <v>#REF!</v>
      </c>
      <c r="AI595" s="50">
        <f>INVESTORS_LIST[[#This Row],[LS_TOTAL COST VALUE OF CURRENT UNITS]]+INVESTORS_LIST[[#This Row],[SIP_TOTAL COST VALUE OF CURRENT UNITS]]</f>
        <v>0</v>
      </c>
      <c r="AJ595" s="109">
        <f>IF(INVESTORS_LIST[[#This Row],[TOTAL CURRENT UNITS]]=0,0,INVESTORS_LIST[[#This Row],[LS_TOTAL CURRENT UNITS]]/INVESTORS_LIST[[#This Row],[TOTAL CURRENT UNITS]])</f>
        <v>0</v>
      </c>
      <c r="AK595" s="109">
        <f>IF(INVESTORS_LIST[[#This Row],[TOTAL CURRENT UNITS]]=0,0,INVESTORS_LIST[[#This Row],[SIP_TOTAL CURRENT UNITS]]/INVESTORS_LIST[[#This Row],[TOTAL CURRENT UNITS]])</f>
        <v>0</v>
      </c>
      <c r="AL595" s="99" cm="1">
        <f t="array" ref="AL5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5" s="99" cm="1">
        <f t="array" ref="AM5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5" s="105">
        <f t="shared" si="10"/>
        <v>14.224</v>
      </c>
      <c r="AP595" s="112">
        <f>IF(INVESTORS_LIST[[#This Row],[TOTAL CURRENT UNITS]]=0,0,INVESTORS_LIST[[#This Row],[TOTAL CURRENT UNITS]]*INVESTORS_LIST[[#This Row],[NAV]])</f>
        <v>0</v>
      </c>
      <c r="AQ595" s="102">
        <f>IF(INVESTORS_LIST[[#This Row],[LS_TOTAL CURRENT UNITS]]=0,0,INVESTORS_LIST[[#This Row],[LS_TOTAL CURRENT UNITS]]*INVESTORS_LIST[[#This Row],[NAV]])</f>
        <v>0</v>
      </c>
      <c r="AR595" s="48">
        <f>IF(INVESTORS_LIST[[#This Row],[SIP_TOTAL CURRENT UNITS]]=0,0,INVESTORS_LIST[[#This Row],[SIP_TOTAL CURRENT UNITS]]*INVESTORS_LIST[[#This Row],[NAV]])</f>
        <v>0</v>
      </c>
      <c r="AS595" s="50">
        <f>INVESTORS_LIST[[#This Row],[TOTAL CURRENT UNITS]]</f>
        <v>0</v>
      </c>
      <c r="AT595" s="48">
        <f>IF(INVESTORS_LIST[[#This Row],[TOTAL SELLABLE UNITS]]=0,0,INVESTORS_LIST[[#This Row],[TOTAL SELLABLE UNITS]]*INVESTORS_LIST[[#This Row],[NAV]])</f>
        <v>0</v>
      </c>
      <c r="AU595" s="48">
        <f>INVESTORS_LIST[[#This Row],[LS_TOTAL REALIZED GAIN]]+INVESTORS_LIST[[#This Row],[SIP_TOTAL REALIZED GAIN]]</f>
        <v>9770</v>
      </c>
      <c r="AV595" s="48">
        <f>INVESTORS_LIST[[#This Row],[TOTAL MARKET VALUE]]-INVESTORS_LIST[[#This Row],[TOTAL COST VALUE OF CURRENT INVESTMENT]]</f>
        <v>0</v>
      </c>
      <c r="AW595" s="48">
        <f>IFERROR(INVESTORS_LIST[[#This Row],[TOTAL CURRENT UNITS]]/SUM(INVESTORS_LIST[TOTAL CURRENT UNITS]),0)</f>
        <v>0</v>
      </c>
    </row>
    <row r="596" spans="1:49" hidden="1">
      <c r="A596" s="262" t="s">
        <v>1297</v>
      </c>
      <c r="B596" s="97" t="s">
        <v>1298</v>
      </c>
      <c r="C596" t="s">
        <v>67</v>
      </c>
      <c r="D596" s="75" t="s">
        <v>45</v>
      </c>
      <c r="E596" s="50">
        <f>SUMIFS(LS[Unit],LS[Investor ID],INVESTORS_LIST[[#This Row],[INVESTOR CODE]],LS[B/S],"B")</f>
        <v>25580</v>
      </c>
      <c r="F596" s="50">
        <f>-SUMIFS(LS[Unit],LS[Investor ID],INVESTORS_LIST[[#This Row],[INVESTOR CODE]],LS[B/S],"S")</f>
        <v>25580</v>
      </c>
      <c r="G596" s="50">
        <f>IF(INVESTORS_LIST[[#This Row],[LS_TOTAL UNITS BUY]]=0,0,INVESTORS_LIST[[#This Row],[LS_TOTAL UNITS BUY]]-INVESTORS_LIST[[#This Row],[LS_TOTAL UNITS SOLD]])</f>
        <v>0</v>
      </c>
      <c r="H596" s="102">
        <f>IF(INVESTORS_LIST[[#This Row],[LS_TOTAL UNITS BUY]]=0,0,SUMIFS(LS[Amount],LS[Investor ID],INVESTORS_LIST[[#This Row],[INVESTOR CODE]],LS[B/S],"B"))</f>
        <v>300000</v>
      </c>
      <c r="I596" s="48">
        <f>IF(INVESTORS_LIST[[#This Row],[LS_TOTAL UNITS SOLD]]=0,0,SUMIFS(LS[Cost of Units Sold],LS[Investor ID],INVESTORS_LIST[[#This Row],[INVESTOR CODE]],LS[B/S],"S"))</f>
        <v>300000.00000000006</v>
      </c>
      <c r="J596" s="48">
        <f>IF(INVESTORS_LIST[[#This Row],[LS_TOTAL CURRENT UNITS]]=0,0,INVESTORS_LIST[[#This Row],[LS_TOTAL CURRENT UNITS]]*INVESTORS_LIST[[#This Row],[LS_AVERAGE COST]])</f>
        <v>0</v>
      </c>
      <c r="K596" s="48">
        <f>IF(INVESTORS_LIST[[#This Row],[LS_TOTAL UNITS SOLD]]=0,0,SUMIFS(LS[Realized Gain],LS[Investor ID],INVESTORS_LIST[[#This Row],[INVESTOR CODE]],LS[B/S],"S"))</f>
        <v>23561.419999999976</v>
      </c>
      <c r="L596" s="104">
        <f>SUMIFS(SIP[Unit],SIP[Investor ID],INVESTORS_LIST[[#This Row],[INVESTOR CODE]],SIP[B/S],"B")</f>
        <v>0</v>
      </c>
      <c r="M596" s="50">
        <f>-SUMIFS(SIP[Unit],SIP[Investor ID],INVESTORS_LIST[[#This Row],[INVESTOR CODE]],SIP[B/S],"S")</f>
        <v>0</v>
      </c>
      <c r="N596" s="50">
        <f>IF(INVESTORS_LIST[[#This Row],[SIP_TOTAL UNITS BUY]]=0,0,INVESTORS_LIST[[#This Row],[SIP_TOTAL UNITS BUY]]-INVESTORS_LIST[[#This Row],[SIP_TOTAL UNITS SOLD]])</f>
        <v>0</v>
      </c>
      <c r="O596" s="48">
        <f>IF(INVESTORS_LIST[[#This Row],[SIP_TOTAL UNITS BUY]]=0,0,SUMIFS(SIP[Amount],SIP[Investor ID],INVESTORS_LIST[[#This Row],[INVESTOR CODE]],SIP[B/S],"B"))</f>
        <v>0</v>
      </c>
      <c r="P596" s="48">
        <f>IF(INVESTORS_LIST[[#This Row],[SIP_TOTAL UNITS SOLD]]=0,0,SUMIFS(SIP[Cost of Units Sold],SIP[Investor ID],INVESTORS_LIST[[#This Row],[INVESTOR CODE]],SIP[B/S],"S"))</f>
        <v>0</v>
      </c>
      <c r="Q596" s="48">
        <f>IF(INVESTORS_LIST[[#This Row],[SIP_TOTAL CURRENT UNITS]]=0,0,INVESTORS_LIST[[#This Row],[SIP_TOTAL CURRENT UNITS]]*INVESTORS_LIST[[#This Row],[SIP_AVERAGE COST]])</f>
        <v>0</v>
      </c>
      <c r="R596" s="48">
        <f>IF(INVESTORS_LIST[[#This Row],[SIP_TOTAL UNITS SOLD]]=0,0,SUMIFS(SIP[Realized Gain],SIP[Investor ID],INVESTORS_LIST[[#This Row],[INVESTOR CODE]],SIP[B/S],"S"))</f>
        <v>0</v>
      </c>
      <c r="S596" s="50">
        <f>INVESTORS_LIST[[#This Row],[LS_TOTAL UNITS BUY]]+INVESTORS_LIST[[#This Row],[SIP_TOTAL UNITS BUY]]</f>
        <v>25580</v>
      </c>
      <c r="T596" s="50">
        <f>INVESTORS_LIST[[#This Row],[LS_TOTAL UNITS SOLD]]+INVESTORS_LIST[[#This Row],[SIP_TOTAL UNITS SOLD]]</f>
        <v>25580</v>
      </c>
      <c r="U596" s="168"/>
      <c r="V596" s="50">
        <f>SUMIFS(LS[BO UNIT TRANSFER],LS[Investor ID],INVESTORS_LIST[[#This Row],[INVESTOR CODE]],LS[B/S],"B")</f>
        <v>0</v>
      </c>
      <c r="W596" s="50">
        <f>SUMIFS(SIP[BO UNIT TRANSFER],SIP[Investor ID],INVESTORS_LIST[[#This Row],[INVESTOR CODE]],SIP[B/S],"B")</f>
        <v>0</v>
      </c>
      <c r="X596" s="50">
        <f>SUMIFS(LS[BO UNIT TRANSFER],LS[Investor ID],INVESTORS_LIST[[#This Row],[INVESTOR CODE]],LS[B/S],"S")</f>
        <v>0</v>
      </c>
      <c r="Y596" s="50">
        <f>SUMIFS(SIP[BO UNIT TRANSFER],SIP[Investor ID],INVESTORS_LIST[[#This Row],[INVESTOR CODE]],SIP[B/S],"S")</f>
        <v>0</v>
      </c>
      <c r="Z596" s="106">
        <f>SUM(INVESTORS_LIST[[#This Row],[BO OPENING BALANCE]:[BO SIP UNITS REPURCHASE]])</f>
        <v>0</v>
      </c>
      <c r="AA596" s="107">
        <f>INVESTORS_LIST[[#This Row],[TOTAL UNITS BUY]]-INVESTORS_LIST[[#This Row],[TOTAL UNITS SOLD]]</f>
        <v>0</v>
      </c>
      <c r="AB596" s="107">
        <f>INVESTORS_LIST[[#This Row],[TOTAL CURRENT UNITS]]-INVESTORS_LIST[[#This Row],[BO UNITS HOLD]]</f>
        <v>0</v>
      </c>
      <c r="AC596" s="201" t="e">
        <f>INDEX([3]!Table_1[BO ID],MATCH(INVESTORS_LIST[[#This Row],[INVESTOR CODE]],[3]!Table_1[INVESTOR CODE],0))</f>
        <v>#REF!</v>
      </c>
      <c r="AD596" s="201" t="e">
        <f>INDEX([3]!Table_1[Brokerage Name2],MATCH(INVESTORS_LIST[[#This Row],[INVESTOR CODE]],[3]!Table_1[INVESTOR CODE],0))</f>
        <v>#REF!</v>
      </c>
      <c r="AE596" s="201" t="e">
        <f>MID(INVESTORS_LIST[[#This Row],[BO ID]],4,5)</f>
        <v>#REF!</v>
      </c>
      <c r="AF596" s="201" t="e">
        <f>MID(INVESTORS_LIST[[#This Row],[BO ID]],2,7)</f>
        <v>#REF!</v>
      </c>
      <c r="AG596" s="201" t="e">
        <f>MID(INVESTORS_LIST[[#This Row],[BO ID]],9,7)</f>
        <v>#REF!</v>
      </c>
      <c r="AH596" s="201" t="e">
        <f>RIGHT(INVESTORS_LIST[[#This Row],[BO ID]],1)</f>
        <v>#REF!</v>
      </c>
      <c r="AI596" s="50">
        <f>INVESTORS_LIST[[#This Row],[LS_TOTAL COST VALUE OF CURRENT UNITS]]+INVESTORS_LIST[[#This Row],[SIP_TOTAL COST VALUE OF CURRENT UNITS]]</f>
        <v>0</v>
      </c>
      <c r="AJ596" s="109">
        <f>IF(INVESTORS_LIST[[#This Row],[TOTAL CURRENT UNITS]]=0,0,INVESTORS_LIST[[#This Row],[LS_TOTAL CURRENT UNITS]]/INVESTORS_LIST[[#This Row],[TOTAL CURRENT UNITS]])</f>
        <v>0</v>
      </c>
      <c r="AK596" s="109">
        <f>IF(INVESTORS_LIST[[#This Row],[TOTAL CURRENT UNITS]]=0,0,INVESTORS_LIST[[#This Row],[SIP_TOTAL CURRENT UNITS]]/INVESTORS_LIST[[#This Row],[TOTAL CURRENT UNITS]])</f>
        <v>0</v>
      </c>
      <c r="AL596" s="99" cm="1">
        <f t="array" ref="AL5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6" s="99" cm="1">
        <f t="array" ref="AM5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6" s="105">
        <f t="shared" si="10"/>
        <v>14.224</v>
      </c>
      <c r="AP596" s="112">
        <f>IF(INVESTORS_LIST[[#This Row],[TOTAL CURRENT UNITS]]=0,0,INVESTORS_LIST[[#This Row],[TOTAL CURRENT UNITS]]*INVESTORS_LIST[[#This Row],[NAV]])</f>
        <v>0</v>
      </c>
      <c r="AQ596" s="102">
        <f>IF(INVESTORS_LIST[[#This Row],[LS_TOTAL CURRENT UNITS]]=0,0,INVESTORS_LIST[[#This Row],[LS_TOTAL CURRENT UNITS]]*INVESTORS_LIST[[#This Row],[NAV]])</f>
        <v>0</v>
      </c>
      <c r="AR596" s="48">
        <f>IF(INVESTORS_LIST[[#This Row],[SIP_TOTAL CURRENT UNITS]]=0,0,INVESTORS_LIST[[#This Row],[SIP_TOTAL CURRENT UNITS]]*INVESTORS_LIST[[#This Row],[NAV]])</f>
        <v>0</v>
      </c>
      <c r="AS596" s="50">
        <f>INVESTORS_LIST[[#This Row],[TOTAL CURRENT UNITS]]</f>
        <v>0</v>
      </c>
      <c r="AT596" s="48">
        <f>IF(INVESTORS_LIST[[#This Row],[TOTAL SELLABLE UNITS]]=0,0,INVESTORS_LIST[[#This Row],[TOTAL SELLABLE UNITS]]*INVESTORS_LIST[[#This Row],[NAV]])</f>
        <v>0</v>
      </c>
      <c r="AU596" s="48">
        <f>INVESTORS_LIST[[#This Row],[LS_TOTAL REALIZED GAIN]]+INVESTORS_LIST[[#This Row],[SIP_TOTAL REALIZED GAIN]]</f>
        <v>23561.419999999976</v>
      </c>
      <c r="AV596" s="48">
        <f>INVESTORS_LIST[[#This Row],[TOTAL MARKET VALUE]]-INVESTORS_LIST[[#This Row],[TOTAL COST VALUE OF CURRENT INVESTMENT]]</f>
        <v>0</v>
      </c>
      <c r="AW596" s="48">
        <f>IFERROR(INVESTORS_LIST[[#This Row],[TOTAL CURRENT UNITS]]/SUM(INVESTORS_LIST[TOTAL CURRENT UNITS]),0)</f>
        <v>0</v>
      </c>
    </row>
    <row r="597" spans="1:49" hidden="1">
      <c r="A597" s="262" t="s">
        <v>1299</v>
      </c>
      <c r="B597" s="97" t="s">
        <v>1300</v>
      </c>
      <c r="C597" t="s">
        <v>44</v>
      </c>
      <c r="D597" s="75" t="s">
        <v>45</v>
      </c>
      <c r="E597" s="50">
        <f>SUMIFS(LS[Unit],LS[Investor ID],INVESTORS_LIST[[#This Row],[INVESTOR CODE]],LS[B/S],"B")</f>
        <v>270843</v>
      </c>
      <c r="F597" s="50">
        <f>-SUMIFS(LS[Unit],LS[Investor ID],INVESTORS_LIST[[#This Row],[INVESTOR CODE]],LS[B/S],"S")</f>
        <v>270843</v>
      </c>
      <c r="G597" s="50">
        <f>IF(INVESTORS_LIST[[#This Row],[LS_TOTAL UNITS BUY]]=0,0,INVESTORS_LIST[[#This Row],[LS_TOTAL UNITS BUY]]-INVESTORS_LIST[[#This Row],[LS_TOTAL UNITS SOLD]])</f>
        <v>0</v>
      </c>
      <c r="H597" s="102">
        <f>IF(INVESTORS_LIST[[#This Row],[LS_TOTAL UNITS BUY]]=0,0,SUMIFS(LS[Amount],LS[Investor ID],INVESTORS_LIST[[#This Row],[INVESTOR CODE]],LS[B/S],"B"))</f>
        <v>3425000</v>
      </c>
      <c r="I597" s="48">
        <f>IF(INVESTORS_LIST[[#This Row],[LS_TOTAL UNITS SOLD]]=0,0,SUMIFS(LS[Cost of Units Sold],LS[Investor ID],INVESTORS_LIST[[#This Row],[INVESTOR CODE]],LS[B/S],"S"))</f>
        <v>3425000</v>
      </c>
      <c r="J597" s="48">
        <f>IF(INVESTORS_LIST[[#This Row],[LS_TOTAL CURRENT UNITS]]=0,0,INVESTORS_LIST[[#This Row],[LS_TOTAL CURRENT UNITS]]*INVESTORS_LIST[[#This Row],[LS_AVERAGE COST]])</f>
        <v>0</v>
      </c>
      <c r="K597" s="48">
        <f>IF(INVESTORS_LIST[[#This Row],[LS_TOTAL UNITS SOLD]]=0,0,SUMIFS(LS[Realized Gain],LS[Investor ID],INVESTORS_LIST[[#This Row],[INVESTOR CODE]],LS[B/S],"S"))</f>
        <v>94456.869999999923</v>
      </c>
      <c r="L597" s="104">
        <f>SUMIFS(SIP[Unit],SIP[Investor ID],INVESTORS_LIST[[#This Row],[INVESTOR CODE]],SIP[B/S],"B")</f>
        <v>0</v>
      </c>
      <c r="M597" s="50">
        <f>-SUMIFS(SIP[Unit],SIP[Investor ID],INVESTORS_LIST[[#This Row],[INVESTOR CODE]],SIP[B/S],"S")</f>
        <v>0</v>
      </c>
      <c r="N597" s="50">
        <f>IF(INVESTORS_LIST[[#This Row],[SIP_TOTAL UNITS BUY]]=0,0,INVESTORS_LIST[[#This Row],[SIP_TOTAL UNITS BUY]]-INVESTORS_LIST[[#This Row],[SIP_TOTAL UNITS SOLD]])</f>
        <v>0</v>
      </c>
      <c r="O597" s="48">
        <f>IF(INVESTORS_LIST[[#This Row],[SIP_TOTAL UNITS BUY]]=0,0,SUMIFS(SIP[Amount],SIP[Investor ID],INVESTORS_LIST[[#This Row],[INVESTOR CODE]],SIP[B/S],"B"))</f>
        <v>0</v>
      </c>
      <c r="P597" s="48">
        <f>IF(INVESTORS_LIST[[#This Row],[SIP_TOTAL UNITS SOLD]]=0,0,SUMIFS(SIP[Cost of Units Sold],SIP[Investor ID],INVESTORS_LIST[[#This Row],[INVESTOR CODE]],SIP[B/S],"S"))</f>
        <v>0</v>
      </c>
      <c r="Q597" s="48">
        <f>IF(INVESTORS_LIST[[#This Row],[SIP_TOTAL CURRENT UNITS]]=0,0,INVESTORS_LIST[[#This Row],[SIP_TOTAL CURRENT UNITS]]*INVESTORS_LIST[[#This Row],[SIP_AVERAGE COST]])</f>
        <v>0</v>
      </c>
      <c r="R597" s="48">
        <f>IF(INVESTORS_LIST[[#This Row],[SIP_TOTAL UNITS SOLD]]=0,0,SUMIFS(SIP[Realized Gain],SIP[Investor ID],INVESTORS_LIST[[#This Row],[INVESTOR CODE]],SIP[B/S],"S"))</f>
        <v>0</v>
      </c>
      <c r="S597" s="50">
        <f>INVESTORS_LIST[[#This Row],[LS_TOTAL UNITS BUY]]+INVESTORS_LIST[[#This Row],[SIP_TOTAL UNITS BUY]]</f>
        <v>270843</v>
      </c>
      <c r="T597" s="50">
        <f>INVESTORS_LIST[[#This Row],[LS_TOTAL UNITS SOLD]]+INVESTORS_LIST[[#This Row],[SIP_TOTAL UNITS SOLD]]</f>
        <v>270843</v>
      </c>
      <c r="U597" s="50">
        <v>19935</v>
      </c>
      <c r="V597" s="50">
        <f>SUMIFS(LS[BO UNIT TRANSFER],LS[Investor ID],INVESTORS_LIST[[#This Row],[INVESTOR CODE]],LS[B/S],"B")</f>
        <v>0</v>
      </c>
      <c r="W597" s="50">
        <f>SUMIFS(SIP[BO UNIT TRANSFER],SIP[Investor ID],INVESTORS_LIST[[#This Row],[INVESTOR CODE]],SIP[B/S],"B")</f>
        <v>0</v>
      </c>
      <c r="X597" s="50">
        <f>SUMIFS(LS[BO UNIT TRANSFER],LS[Investor ID],INVESTORS_LIST[[#This Row],[INVESTOR CODE]],LS[B/S],"S")</f>
        <v>0</v>
      </c>
      <c r="Y597" s="50">
        <f>SUMIFS(SIP[BO UNIT TRANSFER],SIP[Investor ID],INVESTORS_LIST[[#This Row],[INVESTOR CODE]],SIP[B/S],"S")</f>
        <v>0</v>
      </c>
      <c r="Z597" s="106">
        <f>SUM(INVESTORS_LIST[[#This Row],[BO OPENING BALANCE]:[BO SIP UNITS REPURCHASE]])</f>
        <v>19935</v>
      </c>
      <c r="AA597" s="107">
        <f>INVESTORS_LIST[[#This Row],[TOTAL UNITS BUY]]-INVESTORS_LIST[[#This Row],[TOTAL UNITS SOLD]]</f>
        <v>0</v>
      </c>
      <c r="AB597" s="107">
        <f>INVESTORS_LIST[[#This Row],[TOTAL CURRENT UNITS]]-INVESTORS_LIST[[#This Row],[BO UNITS HOLD]]</f>
        <v>-19935</v>
      </c>
      <c r="AC597" s="201" t="e">
        <f>INDEX([3]!Table_1[BO ID],MATCH(INVESTORS_LIST[[#This Row],[INVESTOR CODE]],[3]!Table_1[INVESTOR CODE],0))</f>
        <v>#REF!</v>
      </c>
      <c r="AD597" s="201" t="e">
        <f>INDEX([3]!Table_1[Brokerage Name2],MATCH(INVESTORS_LIST[[#This Row],[INVESTOR CODE]],[3]!Table_1[INVESTOR CODE],0))</f>
        <v>#REF!</v>
      </c>
      <c r="AE597" s="201" t="e">
        <f>MID(INVESTORS_LIST[[#This Row],[BO ID]],4,5)</f>
        <v>#REF!</v>
      </c>
      <c r="AF597" s="201" t="e">
        <f>MID(INVESTORS_LIST[[#This Row],[BO ID]],2,7)</f>
        <v>#REF!</v>
      </c>
      <c r="AG597" s="201" t="e">
        <f>MID(INVESTORS_LIST[[#This Row],[BO ID]],9,7)</f>
        <v>#REF!</v>
      </c>
      <c r="AH597" s="201" t="e">
        <f>RIGHT(INVESTORS_LIST[[#This Row],[BO ID]],1)</f>
        <v>#REF!</v>
      </c>
      <c r="AI597" s="50">
        <f>INVESTORS_LIST[[#This Row],[LS_TOTAL COST VALUE OF CURRENT UNITS]]+INVESTORS_LIST[[#This Row],[SIP_TOTAL COST VALUE OF CURRENT UNITS]]</f>
        <v>0</v>
      </c>
      <c r="AJ597" s="109">
        <f>IF(INVESTORS_LIST[[#This Row],[TOTAL CURRENT UNITS]]=0,0,INVESTORS_LIST[[#This Row],[LS_TOTAL CURRENT UNITS]]/INVESTORS_LIST[[#This Row],[TOTAL CURRENT UNITS]])</f>
        <v>0</v>
      </c>
      <c r="AK597" s="109">
        <f>IF(INVESTORS_LIST[[#This Row],[TOTAL CURRENT UNITS]]=0,0,INVESTORS_LIST[[#This Row],[SIP_TOTAL CURRENT UNITS]]/INVESTORS_LIST[[#This Row],[TOTAL CURRENT UNITS]])</f>
        <v>0</v>
      </c>
      <c r="AL597" s="99" cm="1">
        <f t="array" ref="AL5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7" s="99" cm="1">
        <f t="array" ref="AM5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597" s="105">
        <f t="shared" si="10"/>
        <v>14.224</v>
      </c>
      <c r="AP597" s="112">
        <f>IF(INVESTORS_LIST[[#This Row],[TOTAL CURRENT UNITS]]=0,0,INVESTORS_LIST[[#This Row],[TOTAL CURRENT UNITS]]*INVESTORS_LIST[[#This Row],[NAV]])</f>
        <v>0</v>
      </c>
      <c r="AQ597" s="102">
        <f>IF(INVESTORS_LIST[[#This Row],[LS_TOTAL CURRENT UNITS]]=0,0,INVESTORS_LIST[[#This Row],[LS_TOTAL CURRENT UNITS]]*INVESTORS_LIST[[#This Row],[NAV]])</f>
        <v>0</v>
      </c>
      <c r="AR597" s="48">
        <f>IF(INVESTORS_LIST[[#This Row],[SIP_TOTAL CURRENT UNITS]]=0,0,INVESTORS_LIST[[#This Row],[SIP_TOTAL CURRENT UNITS]]*INVESTORS_LIST[[#This Row],[NAV]])</f>
        <v>0</v>
      </c>
      <c r="AS597" s="50">
        <f>INVESTORS_LIST[[#This Row],[TOTAL CURRENT UNITS]]</f>
        <v>0</v>
      </c>
      <c r="AT597" s="48">
        <f>IF(INVESTORS_LIST[[#This Row],[TOTAL SELLABLE UNITS]]=0,0,INVESTORS_LIST[[#This Row],[TOTAL SELLABLE UNITS]]*INVESTORS_LIST[[#This Row],[NAV]])</f>
        <v>0</v>
      </c>
      <c r="AU597" s="48">
        <f>INVESTORS_LIST[[#This Row],[LS_TOTAL REALIZED GAIN]]+INVESTORS_LIST[[#This Row],[SIP_TOTAL REALIZED GAIN]]</f>
        <v>94456.869999999923</v>
      </c>
      <c r="AV597" s="48">
        <f>INVESTORS_LIST[[#This Row],[TOTAL MARKET VALUE]]-INVESTORS_LIST[[#This Row],[TOTAL COST VALUE OF CURRENT INVESTMENT]]</f>
        <v>0</v>
      </c>
      <c r="AW597" s="48">
        <f>IFERROR(INVESTORS_LIST[[#This Row],[TOTAL CURRENT UNITS]]/SUM(INVESTORS_LIST[TOTAL CURRENT UNITS]),0)</f>
        <v>0</v>
      </c>
    </row>
    <row r="598" spans="1:49">
      <c r="A598" s="262" t="s">
        <v>1301</v>
      </c>
      <c r="B598" s="97" t="s">
        <v>1302</v>
      </c>
      <c r="C598" t="s">
        <v>67</v>
      </c>
      <c r="D598" s="75" t="s">
        <v>45</v>
      </c>
      <c r="E598" s="50">
        <f>SUMIFS(LS[Unit],LS[Investor ID],INVESTORS_LIST[[#This Row],[INVESTOR CODE]],LS[B/S],"B")</f>
        <v>57103</v>
      </c>
      <c r="F598" s="50">
        <f>-SUMIFS(LS[Unit],LS[Investor ID],INVESTORS_LIST[[#This Row],[INVESTOR CODE]],LS[B/S],"S")</f>
        <v>7545</v>
      </c>
      <c r="G598" s="50">
        <f>IF(INVESTORS_LIST[[#This Row],[LS_TOTAL UNITS BUY]]=0,0,INVESTORS_LIST[[#This Row],[LS_TOTAL UNITS BUY]]-INVESTORS_LIST[[#This Row],[LS_TOTAL UNITS SOLD]])</f>
        <v>49558</v>
      </c>
      <c r="H598" s="102">
        <f>IF(INVESTORS_LIST[[#This Row],[LS_TOTAL UNITS BUY]]=0,0,SUMIFS(LS[Amount],LS[Investor ID],INVESTORS_LIST[[#This Row],[INVESTOR CODE]],LS[B/S],"B"))</f>
        <v>700000</v>
      </c>
      <c r="I598" s="48">
        <f>IF(INVESTORS_LIST[[#This Row],[LS_TOTAL UNITS SOLD]]=0,0,SUMIFS(LS[Cost of Units Sold],LS[Investor ID],INVESTORS_LIST[[#This Row],[INVESTOR CODE]],LS[B/S],"S"))</f>
        <v>90056.185850717666</v>
      </c>
      <c r="J598" s="48">
        <f>IF(INVESTORS_LIST[[#This Row],[LS_TOTAL CURRENT UNITS]]=0,0,INVESTORS_LIST[[#This Row],[LS_TOTAL CURRENT UNITS]]*INVESTORS_LIST[[#This Row],[LS_AVERAGE COST]])</f>
        <v>609943.81414928229</v>
      </c>
      <c r="K598" s="48">
        <f>IF(INVESTORS_LIST[[#This Row],[LS_TOTAL UNITS SOLD]]=0,0,SUMIFS(LS[Realized Gain],LS[Investor ID],INVESTORS_LIST[[#This Row],[INVESTOR CODE]],LS[B/S],"S"))</f>
        <v>8900.574149282329</v>
      </c>
      <c r="L598" s="104">
        <f>SUMIFS(SIP[Unit],SIP[Investor ID],INVESTORS_LIST[[#This Row],[INVESTOR CODE]],SIP[B/S],"B")</f>
        <v>0</v>
      </c>
      <c r="M598" s="50">
        <f>-SUMIFS(SIP[Unit],SIP[Investor ID],INVESTORS_LIST[[#This Row],[INVESTOR CODE]],SIP[B/S],"S")</f>
        <v>0</v>
      </c>
      <c r="N598" s="50">
        <f>IF(INVESTORS_LIST[[#This Row],[SIP_TOTAL UNITS BUY]]=0,0,INVESTORS_LIST[[#This Row],[SIP_TOTAL UNITS BUY]]-INVESTORS_LIST[[#This Row],[SIP_TOTAL UNITS SOLD]])</f>
        <v>0</v>
      </c>
      <c r="O598" s="48">
        <f>IF(INVESTORS_LIST[[#This Row],[SIP_TOTAL UNITS BUY]]=0,0,SUMIFS(SIP[Amount],SIP[Investor ID],INVESTORS_LIST[[#This Row],[INVESTOR CODE]],SIP[B/S],"B"))</f>
        <v>0</v>
      </c>
      <c r="P598" s="48">
        <f>IF(INVESTORS_LIST[[#This Row],[SIP_TOTAL UNITS SOLD]]=0,0,SUMIFS(SIP[Cost of Units Sold],SIP[Investor ID],INVESTORS_LIST[[#This Row],[INVESTOR CODE]],SIP[B/S],"S"))</f>
        <v>0</v>
      </c>
      <c r="Q598" s="48">
        <f>IF(INVESTORS_LIST[[#This Row],[SIP_TOTAL CURRENT UNITS]]=0,0,INVESTORS_LIST[[#This Row],[SIP_TOTAL CURRENT UNITS]]*INVESTORS_LIST[[#This Row],[SIP_AVERAGE COST]])</f>
        <v>0</v>
      </c>
      <c r="R598" s="48">
        <f>IF(INVESTORS_LIST[[#This Row],[SIP_TOTAL UNITS SOLD]]=0,0,SUMIFS(SIP[Realized Gain],SIP[Investor ID],INVESTORS_LIST[[#This Row],[INVESTOR CODE]],SIP[B/S],"S"))</f>
        <v>0</v>
      </c>
      <c r="S598" s="50">
        <f>INVESTORS_LIST[[#This Row],[LS_TOTAL UNITS BUY]]+INVESTORS_LIST[[#This Row],[SIP_TOTAL UNITS BUY]]</f>
        <v>57103</v>
      </c>
      <c r="T598" s="50">
        <f>INVESTORS_LIST[[#This Row],[LS_TOTAL UNITS SOLD]]+INVESTORS_LIST[[#This Row],[SIP_TOTAL UNITS SOLD]]</f>
        <v>7545</v>
      </c>
      <c r="U598" s="50"/>
      <c r="V598" s="50">
        <f>SUMIFS(LS[BO UNIT TRANSFER],LS[Investor ID],INVESTORS_LIST[[#This Row],[INVESTOR CODE]],LS[B/S],"B")</f>
        <v>0</v>
      </c>
      <c r="W598" s="50">
        <f>SUMIFS(SIP[BO UNIT TRANSFER],SIP[Investor ID],INVESTORS_LIST[[#This Row],[INVESTOR CODE]],SIP[B/S],"B")</f>
        <v>0</v>
      </c>
      <c r="X598" s="50">
        <f>SUMIFS(LS[BO UNIT TRANSFER],LS[Investor ID],INVESTORS_LIST[[#This Row],[INVESTOR CODE]],LS[B/S],"S")</f>
        <v>0</v>
      </c>
      <c r="Y598" s="50">
        <f>SUMIFS(SIP[BO UNIT TRANSFER],SIP[Investor ID],INVESTORS_LIST[[#This Row],[INVESTOR CODE]],SIP[B/S],"S")</f>
        <v>0</v>
      </c>
      <c r="Z598" s="106">
        <f>SUM(INVESTORS_LIST[[#This Row],[BO OPENING BALANCE]:[BO SIP UNITS REPURCHASE]])</f>
        <v>0</v>
      </c>
      <c r="AA598" s="107">
        <f>INVESTORS_LIST[[#This Row],[TOTAL UNITS BUY]]-INVESTORS_LIST[[#This Row],[TOTAL UNITS SOLD]]</f>
        <v>49558</v>
      </c>
      <c r="AB598" s="107">
        <f>INVESTORS_LIST[[#This Row],[TOTAL CURRENT UNITS]]-INVESTORS_LIST[[#This Row],[BO UNITS HOLD]]</f>
        <v>49558</v>
      </c>
      <c r="AC598" s="201" t="e">
        <f>INDEX([3]!Table_1[BO ID],MATCH(INVESTORS_LIST[[#This Row],[INVESTOR CODE]],[3]!Table_1[INVESTOR CODE],0))</f>
        <v>#REF!</v>
      </c>
      <c r="AD598" s="201" t="e">
        <f>INDEX([3]!Table_1[Brokerage Name2],MATCH(INVESTORS_LIST[[#This Row],[INVESTOR CODE]],[3]!Table_1[INVESTOR CODE],0))</f>
        <v>#REF!</v>
      </c>
      <c r="AE598" s="201" t="e">
        <f>MID(INVESTORS_LIST[[#This Row],[BO ID]],4,5)</f>
        <v>#REF!</v>
      </c>
      <c r="AF598" s="201" t="e">
        <f>MID(INVESTORS_LIST[[#This Row],[BO ID]],2,7)</f>
        <v>#REF!</v>
      </c>
      <c r="AG598" s="201" t="e">
        <f>MID(INVESTORS_LIST[[#This Row],[BO ID]],9,7)</f>
        <v>#REF!</v>
      </c>
      <c r="AH598" s="201" t="e">
        <f>RIGHT(INVESTORS_LIST[[#This Row],[BO ID]],1)</f>
        <v>#REF!</v>
      </c>
      <c r="AI598" s="50">
        <f>INVESTORS_LIST[[#This Row],[LS_TOTAL COST VALUE OF CURRENT UNITS]]+INVESTORS_LIST[[#This Row],[SIP_TOTAL COST VALUE OF CURRENT UNITS]]</f>
        <v>609943.81414928229</v>
      </c>
      <c r="AJ598" s="109">
        <f>IF(INVESTORS_LIST[[#This Row],[TOTAL CURRENT UNITS]]=0,0,INVESTORS_LIST[[#This Row],[LS_TOTAL CURRENT UNITS]]/INVESTORS_LIST[[#This Row],[TOTAL CURRENT UNITS]])</f>
        <v>1</v>
      </c>
      <c r="AK598" s="109">
        <f>IF(INVESTORS_LIST[[#This Row],[TOTAL CURRENT UNITS]]=0,0,INVESTORS_LIST[[#This Row],[SIP_TOTAL CURRENT UNITS]]/INVESTORS_LIST[[#This Row],[TOTAL CURRENT UNITS]])</f>
        <v>0</v>
      </c>
      <c r="AL598" s="99" cm="1">
        <f t="array" ref="AL598">IF(INVESTORS_LIST[[#This Row],[LS_TOTAL UNITS BUY]]&gt;0,INDEX(LS[NAV at Cost (Average)],MATCH(CONCATENATE(COUNTIFS(LS[Investor ID],INVESTORS_LIST[[#This Row],[INVESTOR CODE]]),INVESTORS_LIST[[#This Row],[INVESTOR CODE]]),LS[Unique Code],0),),0)</f>
        <v>12.30767614006381</v>
      </c>
      <c r="AM598" s="99" cm="1">
        <f t="array" ref="AM5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598" s="105">
        <f>IF(INVESTORS_LIST[[#This Row],[TOTAL CURRENT UNITS]]=0,0,(INVESTORS_LIST[[#This Row],[LS_WEIGHT]]*INVESTORS_LIST[[#This Row],[LS_AVERAGE COST]])+(INVESTORS_LIST[[#This Row],[SIP_WEIGHT]]*INVESTORS_LIST[[#This Row],[SIP_AVERAGE COST]]))</f>
        <v>12.30767614006381</v>
      </c>
      <c r="AO598" s="105">
        <f t="shared" si="10"/>
        <v>14.224</v>
      </c>
      <c r="AP598" s="112">
        <f>IF(INVESTORS_LIST[[#This Row],[TOTAL CURRENT UNITS]]=0,0,INVESTORS_LIST[[#This Row],[TOTAL CURRENT UNITS]]*INVESTORS_LIST[[#This Row],[NAV]])</f>
        <v>704912.99199999997</v>
      </c>
      <c r="AQ598" s="102">
        <f>IF(INVESTORS_LIST[[#This Row],[LS_TOTAL CURRENT UNITS]]=0,0,INVESTORS_LIST[[#This Row],[LS_TOTAL CURRENT UNITS]]*INVESTORS_LIST[[#This Row],[NAV]])</f>
        <v>704912.99199999997</v>
      </c>
      <c r="AR598" s="48">
        <f>IF(INVESTORS_LIST[[#This Row],[SIP_TOTAL CURRENT UNITS]]=0,0,INVESTORS_LIST[[#This Row],[SIP_TOTAL CURRENT UNITS]]*INVESTORS_LIST[[#This Row],[NAV]])</f>
        <v>0</v>
      </c>
      <c r="AS598" s="50">
        <f>INVESTORS_LIST[[#This Row],[TOTAL CURRENT UNITS]]</f>
        <v>49558</v>
      </c>
      <c r="AT598" s="48">
        <f>IF(INVESTORS_LIST[[#This Row],[TOTAL SELLABLE UNITS]]=0,0,INVESTORS_LIST[[#This Row],[TOTAL SELLABLE UNITS]]*INVESTORS_LIST[[#This Row],[NAV]])</f>
        <v>704912.99199999997</v>
      </c>
      <c r="AU598" s="48">
        <f>INVESTORS_LIST[[#This Row],[LS_TOTAL REALIZED GAIN]]+INVESTORS_LIST[[#This Row],[SIP_TOTAL REALIZED GAIN]]</f>
        <v>8900.574149282329</v>
      </c>
      <c r="AV598" s="48">
        <f>INVESTORS_LIST[[#This Row],[TOTAL MARKET VALUE]]-INVESTORS_LIST[[#This Row],[TOTAL COST VALUE OF CURRENT INVESTMENT]]</f>
        <v>94969.177850717679</v>
      </c>
      <c r="AW598" s="48">
        <f>IFERROR(INVESTORS_LIST[[#This Row],[TOTAL CURRENT UNITS]]/SUM(INVESTORS_LIST[TOTAL CURRENT UNITS]),0)</f>
        <v>1.2030803109151051E-3</v>
      </c>
    </row>
    <row r="599" spans="1:49">
      <c r="A599" s="262" t="s">
        <v>335</v>
      </c>
      <c r="B599" s="173" t="s">
        <v>1304</v>
      </c>
      <c r="C599" t="s">
        <v>44</v>
      </c>
      <c r="D599" s="75" t="s">
        <v>45</v>
      </c>
      <c r="E599" s="50">
        <f>SUMIFS(LS[Unit],LS[Investor ID],INVESTORS_LIST[[#This Row],[INVESTOR CODE]],LS[B/S],"B")</f>
        <v>832</v>
      </c>
      <c r="F599" s="50">
        <f>-SUMIFS(LS[Unit],LS[Investor ID],INVESTORS_LIST[[#This Row],[INVESTOR CODE]],LS[B/S],"S")</f>
        <v>832</v>
      </c>
      <c r="G599" s="50">
        <f>IF(INVESTORS_LIST[[#This Row],[LS_TOTAL UNITS BUY]]=0,0,INVESTORS_LIST[[#This Row],[LS_TOTAL UNITS BUY]]-INVESTORS_LIST[[#This Row],[LS_TOTAL UNITS SOLD]])</f>
        <v>0</v>
      </c>
      <c r="H599" s="102">
        <f>IF(INVESTORS_LIST[[#This Row],[LS_TOTAL UNITS BUY]]=0,0,SUMIFS(LS[Amount],LS[Investor ID],INVESTORS_LIST[[#This Row],[INVESTOR CODE]],LS[B/S],"B"))</f>
        <v>10000</v>
      </c>
      <c r="I599" s="48">
        <f>IF(INVESTORS_LIST[[#This Row],[LS_TOTAL UNITS SOLD]]=0,0,SUMIFS(LS[Cost of Units Sold],LS[Investor ID],INVESTORS_LIST[[#This Row],[INVESTOR CODE]],LS[B/S],"S"))</f>
        <v>10000</v>
      </c>
      <c r="J599" s="48">
        <f>IF(INVESTORS_LIST[[#This Row],[LS_TOTAL CURRENT UNITS]]=0,0,INVESTORS_LIST[[#This Row],[LS_TOTAL CURRENT UNITS]]*INVESTORS_LIST[[#This Row],[LS_AVERAGE COST]])</f>
        <v>0</v>
      </c>
      <c r="K599" s="48">
        <f>IF(INVESTORS_LIST[[#This Row],[LS_TOTAL UNITS SOLD]]=0,0,SUMIFS(LS[Realized Gain],LS[Investor ID],INVESTORS_LIST[[#This Row],[INVESTOR CODE]],LS[B/S],"S"))</f>
        <v>467.83999999999901</v>
      </c>
      <c r="L599" s="104">
        <f>SUMIFS(SIP[Unit],SIP[Investor ID],INVESTORS_LIST[[#This Row],[INVESTOR CODE]],SIP[B/S],"B")</f>
        <v>5791</v>
      </c>
      <c r="M599" s="50">
        <f>-SUMIFS(SIP[Unit],SIP[Investor ID],INVESTORS_LIST[[#This Row],[INVESTOR CODE]],SIP[B/S],"S")</f>
        <v>3590</v>
      </c>
      <c r="N599" s="50">
        <f>IF(INVESTORS_LIST[[#This Row],[SIP_TOTAL UNITS BUY]]=0,0,INVESTORS_LIST[[#This Row],[SIP_TOTAL UNITS BUY]]-INVESTORS_LIST[[#This Row],[SIP_TOTAL UNITS SOLD]])</f>
        <v>2201</v>
      </c>
      <c r="O599" s="48">
        <f>IF(INVESTORS_LIST[[#This Row],[SIP_TOTAL UNITS BUY]]=0,0,SUMIFS(SIP[Amount],SIP[Investor ID],INVESTORS_LIST[[#This Row],[INVESTOR CODE]],SIP[B/S],"B"))</f>
        <v>75000</v>
      </c>
      <c r="P599" s="48">
        <f>IF(INVESTORS_LIST[[#This Row],[SIP_TOTAL UNITS SOLD]]=0,0,SUMIFS(SIP[Cost of Units Sold],SIP[Investor ID],INVESTORS_LIST[[#This Row],[INVESTOR CODE]],SIP[B/S],"S"))</f>
        <v>44861.111111111117</v>
      </c>
      <c r="Q599" s="48">
        <f>IF(INVESTORS_LIST[[#This Row],[SIP_TOTAL CURRENT UNITS]]=0,0,INVESTORS_LIST[[#This Row],[SIP_TOTAL CURRENT UNITS]]*INVESTORS_LIST[[#This Row],[SIP_AVERAGE COST]])</f>
        <v>30138.888888888891</v>
      </c>
      <c r="R599" s="48">
        <f>IF(INVESTORS_LIST[[#This Row],[SIP_TOTAL UNITS SOLD]]=0,0,SUMIFS(SIP[Realized Gain],SIP[Investor ID],INVESTORS_LIST[[#This Row],[INVESTOR CODE]],SIP[B/S],"S"))</f>
        <v>892.07888888888692</v>
      </c>
      <c r="S599" s="50">
        <f>INVESTORS_LIST[[#This Row],[LS_TOTAL UNITS BUY]]+INVESTORS_LIST[[#This Row],[SIP_TOTAL UNITS BUY]]</f>
        <v>6623</v>
      </c>
      <c r="T599" s="50">
        <f>INVESTORS_LIST[[#This Row],[LS_TOTAL UNITS SOLD]]+INVESTORS_LIST[[#This Row],[SIP_TOTAL UNITS SOLD]]</f>
        <v>4422</v>
      </c>
      <c r="U599" s="50">
        <v>19935</v>
      </c>
      <c r="V599" s="50">
        <f>SUMIFS(LS[BO UNIT TRANSFER],LS[Investor ID],INVESTORS_LIST[[#This Row],[INVESTOR CODE]],LS[B/S],"B")</f>
        <v>0</v>
      </c>
      <c r="W599" s="50">
        <f>SUMIFS(SIP[BO UNIT TRANSFER],SIP[Investor ID],INVESTORS_LIST[[#This Row],[INVESTOR CODE]],SIP[B/S],"B")</f>
        <v>0</v>
      </c>
      <c r="X599" s="50">
        <f>SUMIFS(LS[BO UNIT TRANSFER],LS[Investor ID],INVESTORS_LIST[[#This Row],[INVESTOR CODE]],LS[B/S],"S")</f>
        <v>0</v>
      </c>
      <c r="Y599" s="50">
        <f>SUMIFS(SIP[BO UNIT TRANSFER],SIP[Investor ID],INVESTORS_LIST[[#This Row],[INVESTOR CODE]],SIP[B/S],"S")</f>
        <v>0</v>
      </c>
      <c r="Z599" s="106">
        <f>SUM(INVESTORS_LIST[[#This Row],[BO OPENING BALANCE]:[BO SIP UNITS REPURCHASE]])</f>
        <v>19935</v>
      </c>
      <c r="AA599" s="107">
        <f>INVESTORS_LIST[[#This Row],[TOTAL UNITS BUY]]-INVESTORS_LIST[[#This Row],[TOTAL UNITS SOLD]]</f>
        <v>2201</v>
      </c>
      <c r="AB599" s="107">
        <f>INVESTORS_LIST[[#This Row],[TOTAL CURRENT UNITS]]-INVESTORS_LIST[[#This Row],[BO UNITS HOLD]]</f>
        <v>-17734</v>
      </c>
      <c r="AC599" s="201" t="e">
        <f>INDEX([3]!Table_1[BO ID],MATCH(INVESTORS_LIST[[#This Row],[INVESTOR CODE]],[3]!Table_1[INVESTOR CODE],0))</f>
        <v>#REF!</v>
      </c>
      <c r="AD599" s="201" t="e">
        <f>INDEX([3]!Table_1[Brokerage Name2],MATCH(INVESTORS_LIST[[#This Row],[INVESTOR CODE]],[3]!Table_1[INVESTOR CODE],0))</f>
        <v>#REF!</v>
      </c>
      <c r="AE599" s="201" t="e">
        <f>MID(INVESTORS_LIST[[#This Row],[BO ID]],4,5)</f>
        <v>#REF!</v>
      </c>
      <c r="AF599" s="201" t="e">
        <f>MID(INVESTORS_LIST[[#This Row],[BO ID]],2,7)</f>
        <v>#REF!</v>
      </c>
      <c r="AG599" s="201" t="e">
        <f>MID(INVESTORS_LIST[[#This Row],[BO ID]],9,7)</f>
        <v>#REF!</v>
      </c>
      <c r="AH599" s="201" t="e">
        <f>RIGHT(INVESTORS_LIST[[#This Row],[BO ID]],1)</f>
        <v>#REF!</v>
      </c>
      <c r="AI599" s="50">
        <f>INVESTORS_LIST[[#This Row],[LS_TOTAL COST VALUE OF CURRENT UNITS]]+INVESTORS_LIST[[#This Row],[SIP_TOTAL COST VALUE OF CURRENT UNITS]]</f>
        <v>30138.888888888891</v>
      </c>
      <c r="AJ599" s="109">
        <f>IF(INVESTORS_LIST[[#This Row],[TOTAL CURRENT UNITS]]=0,0,INVESTORS_LIST[[#This Row],[LS_TOTAL CURRENT UNITS]]/INVESTORS_LIST[[#This Row],[TOTAL CURRENT UNITS]])</f>
        <v>0</v>
      </c>
      <c r="AK599" s="109">
        <f>IF(INVESTORS_LIST[[#This Row],[TOTAL CURRENT UNITS]]=0,0,INVESTORS_LIST[[#This Row],[SIP_TOTAL CURRENT UNITS]]/INVESTORS_LIST[[#This Row],[TOTAL CURRENT UNITS]])</f>
        <v>1</v>
      </c>
      <c r="AL599" s="99" cm="1">
        <f t="array" ref="AL5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599" s="99" cm="1">
        <f t="array" ref="AM599">IF(INVESTORS_LIST[[#This Row],[SIP_TOTAL UNITS BUY]]&gt;0,INDEX(SIP[NAV at Cost (Average)],MATCH(CONCATENATE(COUNTIFS(SIP[Investor ID],INVESTORS_LIST[[#This Row],[INVESTOR CODE]]),INVESTORS_LIST[[#This Row],[INVESTOR CODE]]),SIP[Unique Code],0),),0)</f>
        <v>13.693270735524257</v>
      </c>
      <c r="AN599" s="105">
        <f>IF(INVESTORS_LIST[[#This Row],[TOTAL CURRENT UNITS]]=0,0,(INVESTORS_LIST[[#This Row],[LS_WEIGHT]]*INVESTORS_LIST[[#This Row],[LS_AVERAGE COST]])+(INVESTORS_LIST[[#This Row],[SIP_WEIGHT]]*INVESTORS_LIST[[#This Row],[SIP_AVERAGE COST]]))</f>
        <v>13.693270735524257</v>
      </c>
      <c r="AO599" s="105">
        <f t="shared" si="10"/>
        <v>14.224</v>
      </c>
      <c r="AP599" s="112">
        <f>IF(INVESTORS_LIST[[#This Row],[TOTAL CURRENT UNITS]]=0,0,INVESTORS_LIST[[#This Row],[TOTAL CURRENT UNITS]]*INVESTORS_LIST[[#This Row],[NAV]])</f>
        <v>31307.024000000001</v>
      </c>
      <c r="AQ599" s="102">
        <f>IF(INVESTORS_LIST[[#This Row],[LS_TOTAL CURRENT UNITS]]=0,0,INVESTORS_LIST[[#This Row],[LS_TOTAL CURRENT UNITS]]*INVESTORS_LIST[[#This Row],[NAV]])</f>
        <v>0</v>
      </c>
      <c r="AR599" s="48">
        <f>IF(INVESTORS_LIST[[#This Row],[SIP_TOTAL CURRENT UNITS]]=0,0,INVESTORS_LIST[[#This Row],[SIP_TOTAL CURRENT UNITS]]*INVESTORS_LIST[[#This Row],[NAV]])</f>
        <v>31307.024000000001</v>
      </c>
      <c r="AS599" s="50">
        <f>INVESTORS_LIST[[#This Row],[TOTAL CURRENT UNITS]]</f>
        <v>2201</v>
      </c>
      <c r="AT599" s="48">
        <f>IF(INVESTORS_LIST[[#This Row],[TOTAL SELLABLE UNITS]]=0,0,INVESTORS_LIST[[#This Row],[TOTAL SELLABLE UNITS]]*INVESTORS_LIST[[#This Row],[NAV]])</f>
        <v>31307.024000000001</v>
      </c>
      <c r="AU599" s="48">
        <f>INVESTORS_LIST[[#This Row],[LS_TOTAL REALIZED GAIN]]+INVESTORS_LIST[[#This Row],[SIP_TOTAL REALIZED GAIN]]</f>
        <v>1359.9188888888859</v>
      </c>
      <c r="AV599" s="48">
        <f>INVESTORS_LIST[[#This Row],[TOTAL MARKET VALUE]]-INVESTORS_LIST[[#This Row],[TOTAL COST VALUE OF CURRENT INVESTMENT]]</f>
        <v>1168.1351111111107</v>
      </c>
      <c r="AW599" s="48">
        <f>IFERROR(INVESTORS_LIST[[#This Row],[TOTAL CURRENT UNITS]]/SUM(INVESTORS_LIST[TOTAL CURRENT UNITS]),0)</f>
        <v>5.3431933579324148E-5</v>
      </c>
    </row>
    <row r="600" spans="1:49" hidden="1">
      <c r="A600" s="262" t="s">
        <v>1305</v>
      </c>
      <c r="B600" s="176" t="s">
        <v>1306</v>
      </c>
      <c r="C600" s="99" t="s">
        <v>44</v>
      </c>
      <c r="D600" s="101" t="s">
        <v>45</v>
      </c>
      <c r="E600" s="50">
        <f>SUMIFS(LS[Unit],LS[Investor ID],INVESTORS_LIST[[#This Row],[INVESTOR CODE]],LS[B/S],"B")</f>
        <v>48486</v>
      </c>
      <c r="F600" s="50">
        <f>-SUMIFS(LS[Unit],LS[Investor ID],INVESTORS_LIST[[#This Row],[INVESTOR CODE]],LS[B/S],"S")</f>
        <v>48486</v>
      </c>
      <c r="G600" s="50">
        <f>IF(INVESTORS_LIST[[#This Row],[LS_TOTAL UNITS BUY]]=0,0,INVESTORS_LIST[[#This Row],[LS_TOTAL UNITS BUY]]-INVESTORS_LIST[[#This Row],[LS_TOTAL UNITS SOLD]])</f>
        <v>0</v>
      </c>
      <c r="H600" s="102">
        <f>IF(INVESTORS_LIST[[#This Row],[LS_TOTAL UNITS BUY]]=0,0,SUMIFS(LS[Amount],LS[Investor ID],INVESTORS_LIST[[#This Row],[INVESTOR CODE]],LS[B/S],"B"))</f>
        <v>600000</v>
      </c>
      <c r="I600" s="48">
        <f>IF(INVESTORS_LIST[[#This Row],[LS_TOTAL UNITS SOLD]]=0,0,SUMIFS(LS[Cost of Units Sold],LS[Investor ID],INVESTORS_LIST[[#This Row],[INVESTOR CODE]],LS[B/S],"S"))</f>
        <v>600000</v>
      </c>
      <c r="J600" s="48">
        <f>IF(INVESTORS_LIST[[#This Row],[LS_TOTAL CURRENT UNITS]]=0,0,INVESTORS_LIST[[#This Row],[LS_TOTAL CURRENT UNITS]]*INVESTORS_LIST[[#This Row],[LS_AVERAGE COST]])</f>
        <v>0</v>
      </c>
      <c r="K600" s="48">
        <f>IF(INVESTORS_LIST[[#This Row],[LS_TOTAL UNITS SOLD]]=0,0,SUMIFS(LS[Realized Gain],LS[Investor ID],INVESTORS_LIST[[#This Row],[INVESTOR CODE]],LS[B/S],"S"))</f>
        <v>42747.249999999942</v>
      </c>
      <c r="L600" s="104">
        <f>SUMIFS(SIP[Unit],SIP[Investor ID],INVESTORS_LIST[[#This Row],[INVESTOR CODE]],SIP[B/S],"B")</f>
        <v>0</v>
      </c>
      <c r="M600" s="50">
        <f>-SUMIFS(SIP[Unit],SIP[Investor ID],INVESTORS_LIST[[#This Row],[INVESTOR CODE]],SIP[B/S],"S")</f>
        <v>0</v>
      </c>
      <c r="N600" s="50">
        <f>IF(INVESTORS_LIST[[#This Row],[SIP_TOTAL UNITS BUY]]=0,0,INVESTORS_LIST[[#This Row],[SIP_TOTAL UNITS BUY]]-INVESTORS_LIST[[#This Row],[SIP_TOTAL UNITS SOLD]])</f>
        <v>0</v>
      </c>
      <c r="O600" s="48">
        <f>IF(INVESTORS_LIST[[#This Row],[SIP_TOTAL UNITS BUY]]=0,0,SUMIFS(SIP[Amount],SIP[Investor ID],INVESTORS_LIST[[#This Row],[INVESTOR CODE]],SIP[B/S],"B"))</f>
        <v>0</v>
      </c>
      <c r="P600" s="48">
        <f>IF(INVESTORS_LIST[[#This Row],[SIP_TOTAL UNITS SOLD]]=0,0,SUMIFS(SIP[Cost of Units Sold],SIP[Investor ID],INVESTORS_LIST[[#This Row],[INVESTOR CODE]],SIP[B/S],"S"))</f>
        <v>0</v>
      </c>
      <c r="Q600" s="48">
        <f>IF(INVESTORS_LIST[[#This Row],[SIP_TOTAL CURRENT UNITS]]=0,0,INVESTORS_LIST[[#This Row],[SIP_TOTAL CURRENT UNITS]]*INVESTORS_LIST[[#This Row],[SIP_AVERAGE COST]])</f>
        <v>0</v>
      </c>
      <c r="R600" s="48">
        <f>IF(INVESTORS_LIST[[#This Row],[SIP_TOTAL UNITS SOLD]]=0,0,SUMIFS(SIP[Realized Gain],SIP[Investor ID],INVESTORS_LIST[[#This Row],[INVESTOR CODE]],SIP[B/S],"S"))</f>
        <v>0</v>
      </c>
      <c r="S600" s="50">
        <f>INVESTORS_LIST[[#This Row],[LS_TOTAL UNITS BUY]]+INVESTORS_LIST[[#This Row],[SIP_TOTAL UNITS BUY]]</f>
        <v>48486</v>
      </c>
      <c r="T600" s="50">
        <f>INVESTORS_LIST[[#This Row],[LS_TOTAL UNITS SOLD]]+INVESTORS_LIST[[#This Row],[SIP_TOTAL UNITS SOLD]]</f>
        <v>48486</v>
      </c>
      <c r="U600" s="50">
        <v>16644</v>
      </c>
      <c r="V600" s="50">
        <f>SUMIFS(LS[BO UNIT TRANSFER],LS[Investor ID],INVESTORS_LIST[[#This Row],[INVESTOR CODE]],LS[B/S],"B")</f>
        <v>0</v>
      </c>
      <c r="W600" s="50">
        <f>SUMIFS(SIP[BO UNIT TRANSFER],SIP[Investor ID],INVESTORS_LIST[[#This Row],[INVESTOR CODE]],SIP[B/S],"B")</f>
        <v>0</v>
      </c>
      <c r="X600" s="50">
        <f>SUMIFS(LS[BO UNIT TRANSFER],LS[Investor ID],INVESTORS_LIST[[#This Row],[INVESTOR CODE]],LS[B/S],"S")</f>
        <v>0</v>
      </c>
      <c r="Y600" s="50">
        <f>SUMIFS(SIP[BO UNIT TRANSFER],SIP[Investor ID],INVESTORS_LIST[[#This Row],[INVESTOR CODE]],SIP[B/S],"S")</f>
        <v>0</v>
      </c>
      <c r="Z600" s="106">
        <f>SUM(INVESTORS_LIST[[#This Row],[BO OPENING BALANCE]:[BO SIP UNITS REPURCHASE]])</f>
        <v>16644</v>
      </c>
      <c r="AA600" s="107">
        <f>INVESTORS_LIST[[#This Row],[TOTAL UNITS BUY]]-INVESTORS_LIST[[#This Row],[TOTAL UNITS SOLD]]</f>
        <v>0</v>
      </c>
      <c r="AB600" s="107">
        <f>INVESTORS_LIST[[#This Row],[TOTAL CURRENT UNITS]]-INVESTORS_LIST[[#This Row],[BO UNITS HOLD]]</f>
        <v>-16644</v>
      </c>
      <c r="AC600" s="201" t="e">
        <f>INDEX([3]!Table_1[BO ID],MATCH(INVESTORS_LIST[[#This Row],[INVESTOR CODE]],[3]!Table_1[INVESTOR CODE],0))</f>
        <v>#REF!</v>
      </c>
      <c r="AD600" s="201" t="e">
        <f>INDEX([3]!Table_1[Brokerage Name2],MATCH(INVESTORS_LIST[[#This Row],[INVESTOR CODE]],[3]!Table_1[INVESTOR CODE],0))</f>
        <v>#REF!</v>
      </c>
      <c r="AE600" s="201" t="e">
        <f>MID(INVESTORS_LIST[[#This Row],[BO ID]],4,5)</f>
        <v>#REF!</v>
      </c>
      <c r="AF600" s="201" t="e">
        <f>MID(INVESTORS_LIST[[#This Row],[BO ID]],2,7)</f>
        <v>#REF!</v>
      </c>
      <c r="AG600" s="201" t="e">
        <f>MID(INVESTORS_LIST[[#This Row],[BO ID]],9,7)</f>
        <v>#REF!</v>
      </c>
      <c r="AH600" s="201" t="e">
        <f>RIGHT(INVESTORS_LIST[[#This Row],[BO ID]],1)</f>
        <v>#REF!</v>
      </c>
      <c r="AI600" s="50">
        <f>INVESTORS_LIST[[#This Row],[LS_TOTAL COST VALUE OF CURRENT UNITS]]+INVESTORS_LIST[[#This Row],[SIP_TOTAL COST VALUE OF CURRENT UNITS]]</f>
        <v>0</v>
      </c>
      <c r="AJ600" s="109">
        <f>IF(INVESTORS_LIST[[#This Row],[TOTAL CURRENT UNITS]]=0,0,INVESTORS_LIST[[#This Row],[LS_TOTAL CURRENT UNITS]]/INVESTORS_LIST[[#This Row],[TOTAL CURRENT UNITS]])</f>
        <v>0</v>
      </c>
      <c r="AK600" s="109">
        <f>IF(INVESTORS_LIST[[#This Row],[TOTAL CURRENT UNITS]]=0,0,INVESTORS_LIST[[#This Row],[SIP_TOTAL CURRENT UNITS]]/INVESTORS_LIST[[#This Row],[TOTAL CURRENT UNITS]])</f>
        <v>0</v>
      </c>
      <c r="AL600" s="99" cm="1">
        <f t="array" ref="AL6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00" s="99" cm="1">
        <f t="array" ref="AM6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00" s="105">
        <f t="shared" si="10"/>
        <v>14.224</v>
      </c>
      <c r="AP600" s="112">
        <f>IF(INVESTORS_LIST[[#This Row],[TOTAL CURRENT UNITS]]=0,0,INVESTORS_LIST[[#This Row],[TOTAL CURRENT UNITS]]*INVESTORS_LIST[[#This Row],[NAV]])</f>
        <v>0</v>
      </c>
      <c r="AQ600" s="102">
        <f>IF(INVESTORS_LIST[[#This Row],[LS_TOTAL CURRENT UNITS]]=0,0,INVESTORS_LIST[[#This Row],[LS_TOTAL CURRENT UNITS]]*INVESTORS_LIST[[#This Row],[NAV]])</f>
        <v>0</v>
      </c>
      <c r="AR600" s="48">
        <f>IF(INVESTORS_LIST[[#This Row],[SIP_TOTAL CURRENT UNITS]]=0,0,INVESTORS_LIST[[#This Row],[SIP_TOTAL CURRENT UNITS]]*INVESTORS_LIST[[#This Row],[NAV]])</f>
        <v>0</v>
      </c>
      <c r="AS600" s="50">
        <f>INVESTORS_LIST[[#This Row],[TOTAL CURRENT UNITS]]</f>
        <v>0</v>
      </c>
      <c r="AT600" s="48">
        <f>IF(INVESTORS_LIST[[#This Row],[TOTAL SELLABLE UNITS]]=0,0,INVESTORS_LIST[[#This Row],[TOTAL SELLABLE UNITS]]*INVESTORS_LIST[[#This Row],[NAV]])</f>
        <v>0</v>
      </c>
      <c r="AU600" s="48">
        <f>INVESTORS_LIST[[#This Row],[LS_TOTAL REALIZED GAIN]]+INVESTORS_LIST[[#This Row],[SIP_TOTAL REALIZED GAIN]]</f>
        <v>42747.249999999942</v>
      </c>
      <c r="AV600" s="48">
        <f>INVESTORS_LIST[[#This Row],[TOTAL MARKET VALUE]]-INVESTORS_LIST[[#This Row],[TOTAL COST VALUE OF CURRENT INVESTMENT]]</f>
        <v>0</v>
      </c>
      <c r="AW600" s="48">
        <f>IFERROR(INVESTORS_LIST[[#This Row],[TOTAL CURRENT UNITS]]/SUM(INVESTORS_LIST[TOTAL CURRENT UNITS]),0)</f>
        <v>0</v>
      </c>
    </row>
    <row r="601" spans="1:49">
      <c r="A601" s="262" t="s">
        <v>1278</v>
      </c>
      <c r="B601" s="177" t="s">
        <v>1307</v>
      </c>
      <c r="C601" s="99" t="s">
        <v>48</v>
      </c>
      <c r="D601" s="101" t="s">
        <v>49</v>
      </c>
      <c r="E601" s="50">
        <f>SUMIFS(LS[Unit],LS[Investor ID],INVESTORS_LIST[[#This Row],[INVESTOR CODE]],LS[B/S],"B")</f>
        <v>1640893</v>
      </c>
      <c r="F601" s="50">
        <f>-SUMIFS(LS[Unit],LS[Investor ID],INVESTORS_LIST[[#This Row],[INVESTOR CODE]],LS[B/S],"S")</f>
        <v>732440</v>
      </c>
      <c r="G601" s="50">
        <f>IF(INVESTORS_LIST[[#This Row],[LS_TOTAL UNITS BUY]]=0,0,INVESTORS_LIST[[#This Row],[LS_TOTAL UNITS BUY]]-INVESTORS_LIST[[#This Row],[LS_TOTAL UNITS SOLD]])</f>
        <v>908453</v>
      </c>
      <c r="H601" s="102">
        <f>IF(INVESTORS_LIST[[#This Row],[LS_TOTAL UNITS BUY]]=0,0,SUMIFS(LS[Amount],LS[Investor ID],INVESTORS_LIST[[#This Row],[INVESTOR CODE]],LS[B/S],"B"))</f>
        <v>20000000</v>
      </c>
      <c r="I601" s="48">
        <f>IF(INVESTORS_LIST[[#This Row],[LS_TOTAL UNITS SOLD]]=0,0,SUMIFS(LS[Cost of Units Sold],LS[Investor ID],INVESTORS_LIST[[#This Row],[INVESTOR CODE]],LS[B/S],"S"))</f>
        <v>8927334.0796749089</v>
      </c>
      <c r="J601" s="48">
        <f>IF(INVESTORS_LIST[[#This Row],[LS_TOTAL CURRENT UNITS]]=0,0,INVESTORS_LIST[[#This Row],[LS_TOTAL CURRENT UNITS]]*INVESTORS_LIST[[#This Row],[LS_AVERAGE COST]])</f>
        <v>11072665.920325093</v>
      </c>
      <c r="K601" s="48">
        <f>IF(INVESTORS_LIST[[#This Row],[LS_TOTAL UNITS SOLD]]=0,0,SUMIFS(LS[Realized Gain],LS[Investor ID],INVESTORS_LIST[[#This Row],[INVESTOR CODE]],LS[B/S],"S"))</f>
        <v>1072669.2403250909</v>
      </c>
      <c r="L601" s="104">
        <f>SUMIFS(SIP[Unit],SIP[Investor ID],INVESTORS_LIST[[#This Row],[INVESTOR CODE]],SIP[B/S],"B")</f>
        <v>0</v>
      </c>
      <c r="M601" s="50">
        <f>-SUMIFS(SIP[Unit],SIP[Investor ID],INVESTORS_LIST[[#This Row],[INVESTOR CODE]],SIP[B/S],"S")</f>
        <v>0</v>
      </c>
      <c r="N601" s="50">
        <f>IF(INVESTORS_LIST[[#This Row],[SIP_TOTAL UNITS BUY]]=0,0,INVESTORS_LIST[[#This Row],[SIP_TOTAL UNITS BUY]]-INVESTORS_LIST[[#This Row],[SIP_TOTAL UNITS SOLD]])</f>
        <v>0</v>
      </c>
      <c r="O601" s="48">
        <f>IF(INVESTORS_LIST[[#This Row],[SIP_TOTAL UNITS BUY]]=0,0,SUMIFS(SIP[Amount],SIP[Investor ID],INVESTORS_LIST[[#This Row],[INVESTOR CODE]],SIP[B/S],"B"))</f>
        <v>0</v>
      </c>
      <c r="P601" s="48">
        <f>IF(INVESTORS_LIST[[#This Row],[SIP_TOTAL UNITS SOLD]]=0,0,SUMIFS(SIP[Cost of Units Sold],SIP[Investor ID],INVESTORS_LIST[[#This Row],[INVESTOR CODE]],SIP[B/S],"S"))</f>
        <v>0</v>
      </c>
      <c r="Q601" s="48">
        <f>IF(INVESTORS_LIST[[#This Row],[SIP_TOTAL CURRENT UNITS]]=0,0,INVESTORS_LIST[[#This Row],[SIP_TOTAL CURRENT UNITS]]*INVESTORS_LIST[[#This Row],[SIP_AVERAGE COST]])</f>
        <v>0</v>
      </c>
      <c r="R601" s="48">
        <f>IF(INVESTORS_LIST[[#This Row],[SIP_TOTAL UNITS SOLD]]=0,0,SUMIFS(SIP[Realized Gain],SIP[Investor ID],INVESTORS_LIST[[#This Row],[INVESTOR CODE]],SIP[B/S],"S"))</f>
        <v>0</v>
      </c>
      <c r="S601" s="50">
        <f>INVESTORS_LIST[[#This Row],[LS_TOTAL UNITS BUY]]+INVESTORS_LIST[[#This Row],[SIP_TOTAL UNITS BUY]]</f>
        <v>1640893</v>
      </c>
      <c r="T601" s="50">
        <f>INVESTORS_LIST[[#This Row],[LS_TOTAL UNITS SOLD]]+INVESTORS_LIST[[#This Row],[SIP_TOTAL UNITS SOLD]]</f>
        <v>732440</v>
      </c>
      <c r="U601" s="50">
        <v>2000409</v>
      </c>
      <c r="V601" s="50">
        <f>SUMIFS(LS[BO UNIT TRANSFER],LS[Investor ID],INVESTORS_LIST[[#This Row],[INVESTOR CODE]],LS[B/S],"B")</f>
        <v>0</v>
      </c>
      <c r="W601" s="50">
        <f>SUMIFS(SIP[BO UNIT TRANSFER],SIP[Investor ID],INVESTORS_LIST[[#This Row],[INVESTOR CODE]],SIP[B/S],"B")</f>
        <v>0</v>
      </c>
      <c r="X601" s="50">
        <f>SUMIFS(LS[BO UNIT TRANSFER],LS[Investor ID],INVESTORS_LIST[[#This Row],[INVESTOR CODE]],LS[B/S],"S")</f>
        <v>0</v>
      </c>
      <c r="Y601" s="50">
        <f>SUMIFS(SIP[BO UNIT TRANSFER],SIP[Investor ID],INVESTORS_LIST[[#This Row],[INVESTOR CODE]],SIP[B/S],"S")</f>
        <v>0</v>
      </c>
      <c r="Z601" s="106">
        <f>SUM(INVESTORS_LIST[[#This Row],[BO OPENING BALANCE]:[BO SIP UNITS REPURCHASE]])</f>
        <v>2000409</v>
      </c>
      <c r="AA601" s="107">
        <f>INVESTORS_LIST[[#This Row],[TOTAL UNITS BUY]]-INVESTORS_LIST[[#This Row],[TOTAL UNITS SOLD]]</f>
        <v>908453</v>
      </c>
      <c r="AB601" s="107">
        <f>INVESTORS_LIST[[#This Row],[TOTAL CURRENT UNITS]]-INVESTORS_LIST[[#This Row],[BO UNITS HOLD]]</f>
        <v>-1091956</v>
      </c>
      <c r="AC601" s="201" t="e">
        <f>INDEX([3]!Table_1[BO ID],MATCH(INVESTORS_LIST[[#This Row],[INVESTOR CODE]],[3]!Table_1[INVESTOR CODE],0))</f>
        <v>#REF!</v>
      </c>
      <c r="AD601" s="201" t="e">
        <f>INDEX([3]!Table_1[Brokerage Name2],MATCH(INVESTORS_LIST[[#This Row],[INVESTOR CODE]],[3]!Table_1[INVESTOR CODE],0))</f>
        <v>#REF!</v>
      </c>
      <c r="AE601" s="201" t="e">
        <f>MID(INVESTORS_LIST[[#This Row],[BO ID]],4,5)</f>
        <v>#REF!</v>
      </c>
      <c r="AF601" s="201" t="e">
        <f>MID(INVESTORS_LIST[[#This Row],[BO ID]],2,7)</f>
        <v>#REF!</v>
      </c>
      <c r="AG601" s="201" t="e">
        <f>MID(INVESTORS_LIST[[#This Row],[BO ID]],9,7)</f>
        <v>#REF!</v>
      </c>
      <c r="AH601" s="201" t="e">
        <f>RIGHT(INVESTORS_LIST[[#This Row],[BO ID]],1)</f>
        <v>#REF!</v>
      </c>
      <c r="AI601" s="50">
        <f>INVESTORS_LIST[[#This Row],[LS_TOTAL COST VALUE OF CURRENT UNITS]]+INVESTORS_LIST[[#This Row],[SIP_TOTAL COST VALUE OF CURRENT UNITS]]</f>
        <v>11072665.920325093</v>
      </c>
      <c r="AJ601" s="109">
        <f>IF(INVESTORS_LIST[[#This Row],[TOTAL CURRENT UNITS]]=0,0,INVESTORS_LIST[[#This Row],[LS_TOTAL CURRENT UNITS]]/INVESTORS_LIST[[#This Row],[TOTAL CURRENT UNITS]])</f>
        <v>1</v>
      </c>
      <c r="AK601" s="109">
        <f>IF(INVESTORS_LIST[[#This Row],[TOTAL CURRENT UNITS]]=0,0,INVESTORS_LIST[[#This Row],[SIP_TOTAL CURRENT UNITS]]/INVESTORS_LIST[[#This Row],[TOTAL CURRENT UNITS]])</f>
        <v>0</v>
      </c>
      <c r="AL601" s="99" cm="1">
        <f t="array" ref="AL601">IF(INVESTORS_LIST[[#This Row],[LS_TOTAL UNITS BUY]]&gt;0,INDEX(LS[NAV at Cost (Average)],MATCH(CONCATENATE(COUNTIFS(LS[Investor ID],INVESTORS_LIST[[#This Row],[INVESTOR CODE]]),INVESTORS_LIST[[#This Row],[INVESTOR CODE]]),LS[Unique Code],0),),0)</f>
        <v>12.188485172403077</v>
      </c>
      <c r="AM601" s="99" cm="1">
        <f t="array" ref="AM6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1" s="105">
        <f>IF(INVESTORS_LIST[[#This Row],[TOTAL CURRENT UNITS]]=0,0,(INVESTORS_LIST[[#This Row],[LS_WEIGHT]]*INVESTORS_LIST[[#This Row],[LS_AVERAGE COST]])+(INVESTORS_LIST[[#This Row],[SIP_WEIGHT]]*INVESTORS_LIST[[#This Row],[SIP_AVERAGE COST]]))</f>
        <v>12.188485172403077</v>
      </c>
      <c r="AO601" s="105">
        <f t="shared" si="10"/>
        <v>14.224</v>
      </c>
      <c r="AP601" s="112">
        <f>IF(INVESTORS_LIST[[#This Row],[TOTAL CURRENT UNITS]]=0,0,INVESTORS_LIST[[#This Row],[TOTAL CURRENT UNITS]]*INVESTORS_LIST[[#This Row],[NAV]])</f>
        <v>12921835.472000001</v>
      </c>
      <c r="AQ601" s="102">
        <f>IF(INVESTORS_LIST[[#This Row],[LS_TOTAL CURRENT UNITS]]=0,0,INVESTORS_LIST[[#This Row],[LS_TOTAL CURRENT UNITS]]*INVESTORS_LIST[[#This Row],[NAV]])</f>
        <v>12921835.472000001</v>
      </c>
      <c r="AR601" s="48">
        <f>IF(INVESTORS_LIST[[#This Row],[SIP_TOTAL CURRENT UNITS]]=0,0,INVESTORS_LIST[[#This Row],[SIP_TOTAL CURRENT UNITS]]*INVESTORS_LIST[[#This Row],[NAV]])</f>
        <v>0</v>
      </c>
      <c r="AS601" s="50">
        <f>INVESTORS_LIST[[#This Row],[TOTAL CURRENT UNITS]]</f>
        <v>908453</v>
      </c>
      <c r="AT601" s="48">
        <f>IF(INVESTORS_LIST[[#This Row],[TOTAL SELLABLE UNITS]]=0,0,INVESTORS_LIST[[#This Row],[TOTAL SELLABLE UNITS]]*INVESTORS_LIST[[#This Row],[NAV]])</f>
        <v>12921835.472000001</v>
      </c>
      <c r="AU601" s="48">
        <f>INVESTORS_LIST[[#This Row],[LS_TOTAL REALIZED GAIN]]+INVESTORS_LIST[[#This Row],[SIP_TOTAL REALIZED GAIN]]</f>
        <v>1072669.2403250909</v>
      </c>
      <c r="AV601" s="48">
        <f>INVESTORS_LIST[[#This Row],[TOTAL MARKET VALUE]]-INVESTORS_LIST[[#This Row],[TOTAL COST VALUE OF CURRENT INVESTMENT]]</f>
        <v>1849169.551674908</v>
      </c>
      <c r="AW601" s="48">
        <f>IFERROR(INVESTORS_LIST[[#This Row],[TOTAL CURRENT UNITS]]/SUM(INVESTORS_LIST[TOTAL CURRENT UNITS]),0)</f>
        <v>2.2053793891839056E-2</v>
      </c>
    </row>
    <row r="602" spans="1:49">
      <c r="A602" s="262" t="s">
        <v>1317</v>
      </c>
      <c r="B602" s="264" t="s">
        <v>1309</v>
      </c>
      <c r="C602" t="s">
        <v>67</v>
      </c>
      <c r="D602" s="75" t="s">
        <v>45</v>
      </c>
      <c r="E602" s="50">
        <f>SUMIFS(LS[Unit],LS[Investor ID],INVESTORS_LIST[[#This Row],[INVESTOR CODE]],LS[B/S],"B")</f>
        <v>311186</v>
      </c>
      <c r="F602" s="50">
        <f>-SUMIFS(LS[Unit],LS[Investor ID],INVESTORS_LIST[[#This Row],[INVESTOR CODE]],LS[B/S],"S")</f>
        <v>0</v>
      </c>
      <c r="G602" s="50">
        <f>IF(INVESTORS_LIST[[#This Row],[LS_TOTAL UNITS BUY]]=0,0,INVESTORS_LIST[[#This Row],[LS_TOTAL UNITS BUY]]-INVESTORS_LIST[[#This Row],[LS_TOTAL UNITS SOLD]])</f>
        <v>311186</v>
      </c>
      <c r="H602" s="102">
        <f>IF(INVESTORS_LIST[[#This Row],[LS_TOTAL UNITS BUY]]=0,0,SUMIFS(LS[Amount],LS[Investor ID],INVESTORS_LIST[[#This Row],[INVESTOR CODE]],LS[B/S],"B"))</f>
        <v>4000000</v>
      </c>
      <c r="I602" s="48">
        <f>IF(INVESTORS_LIST[[#This Row],[LS_TOTAL UNITS SOLD]]=0,0,SUMIFS(LS[Cost of Units Sold],LS[Investor ID],INVESTORS_LIST[[#This Row],[INVESTOR CODE]],LS[B/S],"S"))</f>
        <v>0</v>
      </c>
      <c r="J602" s="48">
        <f>IF(INVESTORS_LIST[[#This Row],[LS_TOTAL CURRENT UNITS]]=0,0,INVESTORS_LIST[[#This Row],[LS_TOTAL CURRENT UNITS]]*INVESTORS_LIST[[#This Row],[LS_AVERAGE COST]])</f>
        <v>4000000</v>
      </c>
      <c r="K602" s="48">
        <f>IF(INVESTORS_LIST[[#This Row],[LS_TOTAL UNITS SOLD]]=0,0,SUMIFS(LS[Realized Gain],LS[Investor ID],INVESTORS_LIST[[#This Row],[INVESTOR CODE]],LS[B/S],"S"))</f>
        <v>0</v>
      </c>
      <c r="L602" s="104">
        <f>SUMIFS(SIP[Unit],SIP[Investor ID],INVESTORS_LIST[[#This Row],[INVESTOR CODE]],SIP[B/S],"B")</f>
        <v>0</v>
      </c>
      <c r="M602" s="50">
        <f>-SUMIFS(SIP[Unit],SIP[Investor ID],INVESTORS_LIST[[#This Row],[INVESTOR CODE]],SIP[B/S],"S")</f>
        <v>0</v>
      </c>
      <c r="N602" s="50">
        <f>IF(INVESTORS_LIST[[#This Row],[SIP_TOTAL UNITS BUY]]=0,0,INVESTORS_LIST[[#This Row],[SIP_TOTAL UNITS BUY]]-INVESTORS_LIST[[#This Row],[SIP_TOTAL UNITS SOLD]])</f>
        <v>0</v>
      </c>
      <c r="O602" s="48">
        <f>IF(INVESTORS_LIST[[#This Row],[SIP_TOTAL UNITS BUY]]=0,0,SUMIFS(SIP[Amount],SIP[Investor ID],INVESTORS_LIST[[#This Row],[INVESTOR CODE]],SIP[B/S],"B"))</f>
        <v>0</v>
      </c>
      <c r="P602" s="48">
        <f>IF(INVESTORS_LIST[[#This Row],[SIP_TOTAL UNITS SOLD]]=0,0,SUMIFS(SIP[Cost of Units Sold],SIP[Investor ID],INVESTORS_LIST[[#This Row],[INVESTOR CODE]],SIP[B/S],"S"))</f>
        <v>0</v>
      </c>
      <c r="Q602" s="48">
        <f>IF(INVESTORS_LIST[[#This Row],[SIP_TOTAL CURRENT UNITS]]=0,0,INVESTORS_LIST[[#This Row],[SIP_TOTAL CURRENT UNITS]]*INVESTORS_LIST[[#This Row],[SIP_AVERAGE COST]])</f>
        <v>0</v>
      </c>
      <c r="R602" s="48">
        <f>IF(INVESTORS_LIST[[#This Row],[SIP_TOTAL UNITS SOLD]]=0,0,SUMIFS(SIP[Realized Gain],SIP[Investor ID],INVESTORS_LIST[[#This Row],[INVESTOR CODE]],SIP[B/S],"S"))</f>
        <v>0</v>
      </c>
      <c r="S602" s="50">
        <f>INVESTORS_LIST[[#This Row],[LS_TOTAL UNITS BUY]]+INVESTORS_LIST[[#This Row],[SIP_TOTAL UNITS BUY]]</f>
        <v>311186</v>
      </c>
      <c r="T602" s="50">
        <f>INVESTORS_LIST[[#This Row],[LS_TOTAL UNITS SOLD]]+INVESTORS_LIST[[#This Row],[SIP_TOTAL UNITS SOLD]]</f>
        <v>0</v>
      </c>
      <c r="U602" s="50">
        <v>202167</v>
      </c>
      <c r="V602" s="50">
        <f>SUMIFS(LS[BO UNIT TRANSFER],LS[Investor ID],INVESTORS_LIST[[#This Row],[INVESTOR CODE]],LS[B/S],"B")</f>
        <v>109019</v>
      </c>
      <c r="W602" s="50">
        <f>SUMIFS(SIP[BO UNIT TRANSFER],SIP[Investor ID],INVESTORS_LIST[[#This Row],[INVESTOR CODE]],SIP[B/S],"B")</f>
        <v>0</v>
      </c>
      <c r="X602" s="50">
        <f>SUMIFS(LS[BO UNIT TRANSFER],LS[Investor ID],INVESTORS_LIST[[#This Row],[INVESTOR CODE]],LS[B/S],"S")</f>
        <v>0</v>
      </c>
      <c r="Y602" s="50">
        <f>SUMIFS(SIP[BO UNIT TRANSFER],SIP[Investor ID],INVESTORS_LIST[[#This Row],[INVESTOR CODE]],SIP[B/S],"S")</f>
        <v>0</v>
      </c>
      <c r="Z602" s="106">
        <f>SUM(INVESTORS_LIST[[#This Row],[BO OPENING BALANCE]:[BO SIP UNITS REPURCHASE]])</f>
        <v>311186</v>
      </c>
      <c r="AA602" s="107">
        <f>INVESTORS_LIST[[#This Row],[TOTAL UNITS BUY]]-INVESTORS_LIST[[#This Row],[TOTAL UNITS SOLD]]</f>
        <v>311186</v>
      </c>
      <c r="AB602" s="107">
        <f>INVESTORS_LIST[[#This Row],[TOTAL CURRENT UNITS]]-INVESTORS_LIST[[#This Row],[BO UNITS HOLD]]</f>
        <v>0</v>
      </c>
      <c r="AC602" s="201" t="e">
        <f>INDEX([3]!Table_1[BO ID],MATCH(INVESTORS_LIST[[#This Row],[INVESTOR CODE]],[3]!Table_1[INVESTOR CODE],0))</f>
        <v>#REF!</v>
      </c>
      <c r="AD602" s="201" t="e">
        <f>INDEX([3]!Table_1[Brokerage Name2],MATCH(INVESTORS_LIST[[#This Row],[INVESTOR CODE]],[3]!Table_1[INVESTOR CODE],0))</f>
        <v>#REF!</v>
      </c>
      <c r="AE602" s="201" t="e">
        <f>MID(INVESTORS_LIST[[#This Row],[BO ID]],4,5)</f>
        <v>#REF!</v>
      </c>
      <c r="AF602" s="201" t="e">
        <f>MID(INVESTORS_LIST[[#This Row],[BO ID]],2,7)</f>
        <v>#REF!</v>
      </c>
      <c r="AG602" s="201" t="e">
        <f>MID(INVESTORS_LIST[[#This Row],[BO ID]],9,7)</f>
        <v>#REF!</v>
      </c>
      <c r="AH602" s="201" t="e">
        <f>RIGHT(INVESTORS_LIST[[#This Row],[BO ID]],1)</f>
        <v>#REF!</v>
      </c>
      <c r="AI602" s="50">
        <f>INVESTORS_LIST[[#This Row],[LS_TOTAL COST VALUE OF CURRENT UNITS]]+INVESTORS_LIST[[#This Row],[SIP_TOTAL COST VALUE OF CURRENT UNITS]]</f>
        <v>4000000</v>
      </c>
      <c r="AJ602" s="109">
        <f>IF(INVESTORS_LIST[[#This Row],[TOTAL CURRENT UNITS]]=0,0,INVESTORS_LIST[[#This Row],[LS_TOTAL CURRENT UNITS]]/INVESTORS_LIST[[#This Row],[TOTAL CURRENT UNITS]])</f>
        <v>1</v>
      </c>
      <c r="AK602" s="109">
        <f>IF(INVESTORS_LIST[[#This Row],[TOTAL CURRENT UNITS]]=0,0,INVESTORS_LIST[[#This Row],[SIP_TOTAL CURRENT UNITS]]/INVESTORS_LIST[[#This Row],[TOTAL CURRENT UNITS]])</f>
        <v>0</v>
      </c>
      <c r="AL602" s="99" cm="1">
        <f t="array" ref="AL602">IF(INVESTORS_LIST[[#This Row],[LS_TOTAL UNITS BUY]]&gt;0,INDEX(LS[NAV at Cost (Average)],MATCH(CONCATENATE(COUNTIFS(LS[Investor ID],INVESTORS_LIST[[#This Row],[INVESTOR CODE]]),INVESTORS_LIST[[#This Row],[INVESTOR CODE]]),LS[Unique Code],0),),0)</f>
        <v>12.854048703990539</v>
      </c>
      <c r="AM602" s="99" cm="1">
        <f t="array" ref="AM6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2" s="105">
        <f>IF(INVESTORS_LIST[[#This Row],[TOTAL CURRENT UNITS]]=0,0,(INVESTORS_LIST[[#This Row],[LS_WEIGHT]]*INVESTORS_LIST[[#This Row],[LS_AVERAGE COST]])+(INVESTORS_LIST[[#This Row],[SIP_WEIGHT]]*INVESTORS_LIST[[#This Row],[SIP_AVERAGE COST]]))</f>
        <v>12.854048703990539</v>
      </c>
      <c r="AO602" s="105">
        <f t="shared" si="10"/>
        <v>14.224</v>
      </c>
      <c r="AP602" s="112">
        <f>IF(INVESTORS_LIST[[#This Row],[TOTAL CURRENT UNITS]]=0,0,INVESTORS_LIST[[#This Row],[TOTAL CURRENT UNITS]]*INVESTORS_LIST[[#This Row],[NAV]])</f>
        <v>4426309.6639999999</v>
      </c>
      <c r="AQ602" s="102">
        <f>IF(INVESTORS_LIST[[#This Row],[LS_TOTAL CURRENT UNITS]]=0,0,INVESTORS_LIST[[#This Row],[LS_TOTAL CURRENT UNITS]]*INVESTORS_LIST[[#This Row],[NAV]])</f>
        <v>4426309.6639999999</v>
      </c>
      <c r="AR602" s="48">
        <f>IF(INVESTORS_LIST[[#This Row],[SIP_TOTAL CURRENT UNITS]]=0,0,INVESTORS_LIST[[#This Row],[SIP_TOTAL CURRENT UNITS]]*INVESTORS_LIST[[#This Row],[NAV]])</f>
        <v>0</v>
      </c>
      <c r="AS602" s="50">
        <f>INVESTORS_LIST[[#This Row],[TOTAL CURRENT UNITS]]</f>
        <v>311186</v>
      </c>
      <c r="AT602" s="48">
        <f>IF(INVESTORS_LIST[[#This Row],[TOTAL SELLABLE UNITS]]=0,0,INVESTORS_LIST[[#This Row],[TOTAL SELLABLE UNITS]]*INVESTORS_LIST[[#This Row],[NAV]])</f>
        <v>4426309.6639999999</v>
      </c>
      <c r="AU602" s="48">
        <f>INVESTORS_LIST[[#This Row],[LS_TOTAL REALIZED GAIN]]+INVESTORS_LIST[[#This Row],[SIP_TOTAL REALIZED GAIN]]</f>
        <v>0</v>
      </c>
      <c r="AV602" s="48">
        <f>INVESTORS_LIST[[#This Row],[TOTAL MARKET VALUE]]-INVESTORS_LIST[[#This Row],[TOTAL COST VALUE OF CURRENT INVESTMENT]]</f>
        <v>426309.66399999987</v>
      </c>
      <c r="AW602" s="48">
        <f>IFERROR(INVESTORS_LIST[[#This Row],[TOTAL CURRENT UNITS]]/SUM(INVESTORS_LIST[TOTAL CURRENT UNITS]),0)</f>
        <v>7.5544160303569127E-3</v>
      </c>
    </row>
    <row r="603" spans="1:49" hidden="1">
      <c r="A603" s="262" t="s">
        <v>1310</v>
      </c>
      <c r="B603" s="178" t="s">
        <v>1308</v>
      </c>
      <c r="C603" s="99" t="s">
        <v>1311</v>
      </c>
      <c r="D603" s="101" t="s">
        <v>1312</v>
      </c>
      <c r="E603" s="50">
        <f>SUMIFS(LS[Unit],LS[Investor ID],INVESTORS_LIST[[#This Row],[INVESTOR CODE]],LS[B/S],"B")</f>
        <v>16173</v>
      </c>
      <c r="F603" s="50">
        <f>-SUMIFS(LS[Unit],LS[Investor ID],INVESTORS_LIST[[#This Row],[INVESTOR CODE]],LS[B/S],"S")</f>
        <v>16173</v>
      </c>
      <c r="G603" s="50">
        <f>IF(INVESTORS_LIST[[#This Row],[LS_TOTAL UNITS BUY]]=0,0,INVESTORS_LIST[[#This Row],[LS_TOTAL UNITS BUY]]-INVESTORS_LIST[[#This Row],[LS_TOTAL UNITS SOLD]])</f>
        <v>0</v>
      </c>
      <c r="H603" s="102">
        <f>IF(INVESTORS_LIST[[#This Row],[LS_TOTAL UNITS BUY]]=0,0,SUMIFS(LS[Amount],LS[Investor ID],INVESTORS_LIST[[#This Row],[INVESTOR CODE]],LS[B/S],"B"))</f>
        <v>200000</v>
      </c>
      <c r="I603" s="48">
        <f>IF(INVESTORS_LIST[[#This Row],[LS_TOTAL UNITS SOLD]]=0,0,SUMIFS(LS[Cost of Units Sold],LS[Investor ID],INVESTORS_LIST[[#This Row],[INVESTOR CODE]],LS[B/S],"S"))</f>
        <v>200000</v>
      </c>
      <c r="J603" s="48">
        <f>IF(INVESTORS_LIST[[#This Row],[LS_TOTAL CURRENT UNITS]]=0,0,INVESTORS_LIST[[#This Row],[LS_TOTAL CURRENT UNITS]]*INVESTORS_LIST[[#This Row],[LS_AVERAGE COST]])</f>
        <v>0</v>
      </c>
      <c r="K603" s="48">
        <f>IF(INVESTORS_LIST[[#This Row],[LS_TOTAL UNITS SOLD]]=0,0,SUMIFS(LS[Realized Gain],LS[Investor ID],INVESTORS_LIST[[#This Row],[INVESTOR CODE]],LS[B/S],"S"))</f>
        <v>22637.519999999997</v>
      </c>
      <c r="L603" s="104">
        <f>SUMIFS(SIP[Unit],SIP[Investor ID],INVESTORS_LIST[[#This Row],[INVESTOR CODE]],SIP[B/S],"B")</f>
        <v>0</v>
      </c>
      <c r="M603" s="50">
        <f>-SUMIFS(SIP[Unit],SIP[Investor ID],INVESTORS_LIST[[#This Row],[INVESTOR CODE]],SIP[B/S],"S")</f>
        <v>0</v>
      </c>
      <c r="N603" s="50">
        <f>IF(INVESTORS_LIST[[#This Row],[SIP_TOTAL UNITS BUY]]=0,0,INVESTORS_LIST[[#This Row],[SIP_TOTAL UNITS BUY]]-INVESTORS_LIST[[#This Row],[SIP_TOTAL UNITS SOLD]])</f>
        <v>0</v>
      </c>
      <c r="O603" s="48">
        <f>IF(INVESTORS_LIST[[#This Row],[SIP_TOTAL UNITS BUY]]=0,0,SUMIFS(SIP[Amount],SIP[Investor ID],INVESTORS_LIST[[#This Row],[INVESTOR CODE]],SIP[B/S],"B"))</f>
        <v>0</v>
      </c>
      <c r="P603" s="48">
        <f>IF(INVESTORS_LIST[[#This Row],[SIP_TOTAL UNITS SOLD]]=0,0,SUMIFS(SIP[Cost of Units Sold],SIP[Investor ID],INVESTORS_LIST[[#This Row],[INVESTOR CODE]],SIP[B/S],"S"))</f>
        <v>0</v>
      </c>
      <c r="Q603" s="48">
        <f>IF(INVESTORS_LIST[[#This Row],[SIP_TOTAL CURRENT UNITS]]=0,0,INVESTORS_LIST[[#This Row],[SIP_TOTAL CURRENT UNITS]]*INVESTORS_LIST[[#This Row],[SIP_AVERAGE COST]])</f>
        <v>0</v>
      </c>
      <c r="R603" s="48">
        <f>IF(INVESTORS_LIST[[#This Row],[SIP_TOTAL UNITS SOLD]]=0,0,SUMIFS(SIP[Realized Gain],SIP[Investor ID],INVESTORS_LIST[[#This Row],[INVESTOR CODE]],SIP[B/S],"S"))</f>
        <v>0</v>
      </c>
      <c r="S603" s="50">
        <f>INVESTORS_LIST[[#This Row],[LS_TOTAL UNITS BUY]]+INVESTORS_LIST[[#This Row],[SIP_TOTAL UNITS BUY]]</f>
        <v>16173</v>
      </c>
      <c r="T603" s="50">
        <f>INVESTORS_LIST[[#This Row],[LS_TOTAL UNITS SOLD]]+INVESTORS_LIST[[#This Row],[SIP_TOTAL UNITS SOLD]]</f>
        <v>16173</v>
      </c>
      <c r="U603" s="50"/>
      <c r="V603" s="50">
        <f>SUMIFS(LS[BO UNIT TRANSFER],LS[Investor ID],INVESTORS_LIST[[#This Row],[INVESTOR CODE]],LS[B/S],"B")</f>
        <v>0</v>
      </c>
      <c r="W603" s="50">
        <f>SUMIFS(SIP[BO UNIT TRANSFER],SIP[Investor ID],INVESTORS_LIST[[#This Row],[INVESTOR CODE]],SIP[B/S],"B")</f>
        <v>0</v>
      </c>
      <c r="X603" s="50">
        <f>SUMIFS(LS[BO UNIT TRANSFER],LS[Investor ID],INVESTORS_LIST[[#This Row],[INVESTOR CODE]],LS[B/S],"S")</f>
        <v>0</v>
      </c>
      <c r="Y603" s="50">
        <f>SUMIFS(SIP[BO UNIT TRANSFER],SIP[Investor ID],INVESTORS_LIST[[#This Row],[INVESTOR CODE]],SIP[B/S],"S")</f>
        <v>0</v>
      </c>
      <c r="Z603" s="106">
        <f>SUM(INVESTORS_LIST[[#This Row],[BO OPENING BALANCE]:[BO SIP UNITS REPURCHASE]])</f>
        <v>0</v>
      </c>
      <c r="AA603" s="107">
        <f>INVESTORS_LIST[[#This Row],[TOTAL UNITS BUY]]-INVESTORS_LIST[[#This Row],[TOTAL UNITS SOLD]]</f>
        <v>0</v>
      </c>
      <c r="AB603" s="107">
        <f>INVESTORS_LIST[[#This Row],[TOTAL CURRENT UNITS]]-INVESTORS_LIST[[#This Row],[BO UNITS HOLD]]</f>
        <v>0</v>
      </c>
      <c r="AC603" s="201" t="e">
        <f>INDEX([3]!Table_1[BO ID],MATCH(INVESTORS_LIST[[#This Row],[INVESTOR CODE]],[3]!Table_1[INVESTOR CODE],0))</f>
        <v>#REF!</v>
      </c>
      <c r="AD603" s="201" t="e">
        <f>INDEX([3]!Table_1[Brokerage Name2],MATCH(INVESTORS_LIST[[#This Row],[INVESTOR CODE]],[3]!Table_1[INVESTOR CODE],0))</f>
        <v>#REF!</v>
      </c>
      <c r="AE603" s="201" t="e">
        <f>MID(INVESTORS_LIST[[#This Row],[BO ID]],4,5)</f>
        <v>#REF!</v>
      </c>
      <c r="AF603" s="201" t="e">
        <f>MID(INVESTORS_LIST[[#This Row],[BO ID]],2,7)</f>
        <v>#REF!</v>
      </c>
      <c r="AG603" s="201" t="e">
        <f>MID(INVESTORS_LIST[[#This Row],[BO ID]],9,7)</f>
        <v>#REF!</v>
      </c>
      <c r="AH603" s="201" t="e">
        <f>RIGHT(INVESTORS_LIST[[#This Row],[BO ID]],1)</f>
        <v>#REF!</v>
      </c>
      <c r="AI603" s="50">
        <f>INVESTORS_LIST[[#This Row],[LS_TOTAL COST VALUE OF CURRENT UNITS]]+INVESTORS_LIST[[#This Row],[SIP_TOTAL COST VALUE OF CURRENT UNITS]]</f>
        <v>0</v>
      </c>
      <c r="AJ603" s="109">
        <f>IF(INVESTORS_LIST[[#This Row],[TOTAL CURRENT UNITS]]=0,0,INVESTORS_LIST[[#This Row],[LS_TOTAL CURRENT UNITS]]/INVESTORS_LIST[[#This Row],[TOTAL CURRENT UNITS]])</f>
        <v>0</v>
      </c>
      <c r="AK603" s="109">
        <f>IF(INVESTORS_LIST[[#This Row],[TOTAL CURRENT UNITS]]=0,0,INVESTORS_LIST[[#This Row],[SIP_TOTAL CURRENT UNITS]]/INVESTORS_LIST[[#This Row],[TOTAL CURRENT UNITS]])</f>
        <v>0</v>
      </c>
      <c r="AL603" s="99" cm="1">
        <f t="array" ref="AL6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03" s="99" cm="1">
        <f t="array" ref="AM6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03" s="105">
        <f t="shared" si="10"/>
        <v>14.224</v>
      </c>
      <c r="AP603" s="112">
        <f>IF(INVESTORS_LIST[[#This Row],[TOTAL CURRENT UNITS]]=0,0,INVESTORS_LIST[[#This Row],[TOTAL CURRENT UNITS]]*INVESTORS_LIST[[#This Row],[NAV]])</f>
        <v>0</v>
      </c>
      <c r="AQ603" s="102">
        <f>IF(INVESTORS_LIST[[#This Row],[LS_TOTAL CURRENT UNITS]]=0,0,INVESTORS_LIST[[#This Row],[LS_TOTAL CURRENT UNITS]]*INVESTORS_LIST[[#This Row],[NAV]])</f>
        <v>0</v>
      </c>
      <c r="AR603" s="48">
        <f>IF(INVESTORS_LIST[[#This Row],[SIP_TOTAL CURRENT UNITS]]=0,0,INVESTORS_LIST[[#This Row],[SIP_TOTAL CURRENT UNITS]]*INVESTORS_LIST[[#This Row],[NAV]])</f>
        <v>0</v>
      </c>
      <c r="AS603" s="50">
        <f>INVESTORS_LIST[[#This Row],[TOTAL CURRENT UNITS]]</f>
        <v>0</v>
      </c>
      <c r="AT603" s="48">
        <f>IF(INVESTORS_LIST[[#This Row],[TOTAL SELLABLE UNITS]]=0,0,INVESTORS_LIST[[#This Row],[TOTAL SELLABLE UNITS]]*INVESTORS_LIST[[#This Row],[NAV]])</f>
        <v>0</v>
      </c>
      <c r="AU603" s="48">
        <f>INVESTORS_LIST[[#This Row],[LS_TOTAL REALIZED GAIN]]+INVESTORS_LIST[[#This Row],[SIP_TOTAL REALIZED GAIN]]</f>
        <v>22637.519999999997</v>
      </c>
      <c r="AV603" s="48">
        <f>INVESTORS_LIST[[#This Row],[TOTAL MARKET VALUE]]-INVESTORS_LIST[[#This Row],[TOTAL COST VALUE OF CURRENT INVESTMENT]]</f>
        <v>0</v>
      </c>
      <c r="AW603" s="48">
        <f>IFERROR(INVESTORS_LIST[[#This Row],[TOTAL CURRENT UNITS]]/SUM(INVESTORS_LIST[TOTAL CURRENT UNITS]),0)</f>
        <v>0</v>
      </c>
    </row>
    <row r="604" spans="1:49">
      <c r="A604" s="262" t="s">
        <v>1313</v>
      </c>
      <c r="B604" s="97" t="s">
        <v>1314</v>
      </c>
      <c r="C604" t="s">
        <v>44</v>
      </c>
      <c r="D604" s="75" t="s">
        <v>45</v>
      </c>
      <c r="E604" s="50">
        <f>SUMIFS(LS[Unit],LS[Investor ID],INVESTORS_LIST[[#This Row],[INVESTOR CODE]],LS[B/S],"B")</f>
        <v>374721</v>
      </c>
      <c r="F604" s="50">
        <f>-SUMIFS(LS[Unit],LS[Investor ID],INVESTORS_LIST[[#This Row],[INVESTOR CODE]],LS[B/S],"S")</f>
        <v>0</v>
      </c>
      <c r="G604" s="50">
        <f>IF(INVESTORS_LIST[[#This Row],[LS_TOTAL UNITS BUY]]=0,0,INVESTORS_LIST[[#This Row],[LS_TOTAL UNITS BUY]]-INVESTORS_LIST[[#This Row],[LS_TOTAL UNITS SOLD]])</f>
        <v>374721</v>
      </c>
      <c r="H604" s="102">
        <f>IF(INVESTORS_LIST[[#This Row],[LS_TOTAL UNITS BUY]]=0,0,SUMIFS(LS[Amount],LS[Investor ID],INVESTORS_LIST[[#This Row],[INVESTOR CODE]],LS[B/S],"B"))</f>
        <v>4700000</v>
      </c>
      <c r="I604" s="48">
        <f>IF(INVESTORS_LIST[[#This Row],[LS_TOTAL UNITS SOLD]]=0,0,SUMIFS(LS[Cost of Units Sold],LS[Investor ID],INVESTORS_LIST[[#This Row],[INVESTOR CODE]],LS[B/S],"S"))</f>
        <v>0</v>
      </c>
      <c r="J604" s="48">
        <f>IF(INVESTORS_LIST[[#This Row],[LS_TOTAL CURRENT UNITS]]=0,0,INVESTORS_LIST[[#This Row],[LS_TOTAL CURRENT UNITS]]*INVESTORS_LIST[[#This Row],[LS_AVERAGE COST]])</f>
        <v>4700000</v>
      </c>
      <c r="K604" s="48">
        <f>IF(INVESTORS_LIST[[#This Row],[LS_TOTAL UNITS SOLD]]=0,0,SUMIFS(LS[Realized Gain],LS[Investor ID],INVESTORS_LIST[[#This Row],[INVESTOR CODE]],LS[B/S],"S"))</f>
        <v>0</v>
      </c>
      <c r="L604" s="104">
        <f>SUMIFS(SIP[Unit],SIP[Investor ID],INVESTORS_LIST[[#This Row],[INVESTOR CODE]],SIP[B/S],"B")</f>
        <v>0</v>
      </c>
      <c r="M604" s="50">
        <f>-SUMIFS(SIP[Unit],SIP[Investor ID],INVESTORS_LIST[[#This Row],[INVESTOR CODE]],SIP[B/S],"S")</f>
        <v>0</v>
      </c>
      <c r="N604" s="50">
        <f>IF(INVESTORS_LIST[[#This Row],[SIP_TOTAL UNITS BUY]]=0,0,INVESTORS_LIST[[#This Row],[SIP_TOTAL UNITS BUY]]-INVESTORS_LIST[[#This Row],[SIP_TOTAL UNITS SOLD]])</f>
        <v>0</v>
      </c>
      <c r="O604" s="48">
        <f>IF(INVESTORS_LIST[[#This Row],[SIP_TOTAL UNITS BUY]]=0,0,SUMIFS(SIP[Amount],SIP[Investor ID],INVESTORS_LIST[[#This Row],[INVESTOR CODE]],SIP[B/S],"B"))</f>
        <v>0</v>
      </c>
      <c r="P604" s="48">
        <f>IF(INVESTORS_LIST[[#This Row],[SIP_TOTAL UNITS SOLD]]=0,0,SUMIFS(SIP[Cost of Units Sold],SIP[Investor ID],INVESTORS_LIST[[#This Row],[INVESTOR CODE]],SIP[B/S],"S"))</f>
        <v>0</v>
      </c>
      <c r="Q604" s="48">
        <f>IF(INVESTORS_LIST[[#This Row],[SIP_TOTAL CURRENT UNITS]]=0,0,INVESTORS_LIST[[#This Row],[SIP_TOTAL CURRENT UNITS]]*INVESTORS_LIST[[#This Row],[SIP_AVERAGE COST]])</f>
        <v>0</v>
      </c>
      <c r="R604" s="48">
        <f>IF(INVESTORS_LIST[[#This Row],[SIP_TOTAL UNITS SOLD]]=0,0,SUMIFS(SIP[Realized Gain],SIP[Investor ID],INVESTORS_LIST[[#This Row],[INVESTOR CODE]],SIP[B/S],"S"))</f>
        <v>0</v>
      </c>
      <c r="S604" s="50">
        <f>INVESTORS_LIST[[#This Row],[LS_TOTAL UNITS BUY]]+INVESTORS_LIST[[#This Row],[SIP_TOTAL UNITS BUY]]</f>
        <v>374721</v>
      </c>
      <c r="T604" s="50">
        <f>INVESTORS_LIST[[#This Row],[LS_TOTAL UNITS SOLD]]+INVESTORS_LIST[[#This Row],[SIP_TOTAL UNITS SOLD]]</f>
        <v>0</v>
      </c>
      <c r="U604" s="50">
        <v>374721</v>
      </c>
      <c r="V604" s="50">
        <f>SUMIFS(LS[BO UNIT TRANSFER],LS[Investor ID],INVESTORS_LIST[[#This Row],[INVESTOR CODE]],LS[B/S],"B")</f>
        <v>0</v>
      </c>
      <c r="W604" s="50">
        <f>SUMIFS(SIP[BO UNIT TRANSFER],SIP[Investor ID],INVESTORS_LIST[[#This Row],[INVESTOR CODE]],SIP[B/S],"B")</f>
        <v>0</v>
      </c>
      <c r="X604" s="50">
        <f>SUMIFS(LS[BO UNIT TRANSFER],LS[Investor ID],INVESTORS_LIST[[#This Row],[INVESTOR CODE]],LS[B/S],"S")</f>
        <v>0</v>
      </c>
      <c r="Y604" s="50">
        <f>SUMIFS(SIP[BO UNIT TRANSFER],SIP[Investor ID],INVESTORS_LIST[[#This Row],[INVESTOR CODE]],SIP[B/S],"S")</f>
        <v>0</v>
      </c>
      <c r="Z604" s="106">
        <f>SUM(INVESTORS_LIST[[#This Row],[BO OPENING BALANCE]:[BO SIP UNITS REPURCHASE]])</f>
        <v>374721</v>
      </c>
      <c r="AA604" s="107">
        <f>INVESTORS_LIST[[#This Row],[TOTAL UNITS BUY]]-INVESTORS_LIST[[#This Row],[TOTAL UNITS SOLD]]</f>
        <v>374721</v>
      </c>
      <c r="AB604" s="107">
        <f>INVESTORS_LIST[[#This Row],[TOTAL CURRENT UNITS]]-INVESTORS_LIST[[#This Row],[BO UNITS HOLD]]</f>
        <v>0</v>
      </c>
      <c r="AC604" s="201" t="e">
        <f>INDEX([3]!Table_1[BO ID],MATCH(INVESTORS_LIST[[#This Row],[INVESTOR CODE]],[3]!Table_1[INVESTOR CODE],0))</f>
        <v>#REF!</v>
      </c>
      <c r="AD604" s="201" t="e">
        <f>INDEX([3]!Table_1[Brokerage Name2],MATCH(INVESTORS_LIST[[#This Row],[INVESTOR CODE]],[3]!Table_1[INVESTOR CODE],0))</f>
        <v>#REF!</v>
      </c>
      <c r="AE604" s="201" t="e">
        <f>MID(INVESTORS_LIST[[#This Row],[BO ID]],4,5)</f>
        <v>#REF!</v>
      </c>
      <c r="AF604" s="201" t="e">
        <f>MID(INVESTORS_LIST[[#This Row],[BO ID]],2,7)</f>
        <v>#REF!</v>
      </c>
      <c r="AG604" s="201" t="e">
        <f>MID(INVESTORS_LIST[[#This Row],[BO ID]],9,7)</f>
        <v>#REF!</v>
      </c>
      <c r="AH604" s="201" t="e">
        <f>RIGHT(INVESTORS_LIST[[#This Row],[BO ID]],1)</f>
        <v>#REF!</v>
      </c>
      <c r="AI604" s="50">
        <f>INVESTORS_LIST[[#This Row],[LS_TOTAL COST VALUE OF CURRENT UNITS]]+INVESTORS_LIST[[#This Row],[SIP_TOTAL COST VALUE OF CURRENT UNITS]]</f>
        <v>4700000</v>
      </c>
      <c r="AJ604" s="109">
        <f>IF(INVESTORS_LIST[[#This Row],[TOTAL CURRENT UNITS]]=0,0,INVESTORS_LIST[[#This Row],[LS_TOTAL CURRENT UNITS]]/INVESTORS_LIST[[#This Row],[TOTAL CURRENT UNITS]])</f>
        <v>1</v>
      </c>
      <c r="AK604" s="109">
        <f>IF(INVESTORS_LIST[[#This Row],[TOTAL CURRENT UNITS]]=0,0,INVESTORS_LIST[[#This Row],[SIP_TOTAL CURRENT UNITS]]/INVESTORS_LIST[[#This Row],[TOTAL CURRENT UNITS]])</f>
        <v>0</v>
      </c>
      <c r="AL604" s="99" cm="1">
        <f t="array" ref="AL604">IF(INVESTORS_LIST[[#This Row],[LS_TOTAL UNITS BUY]]&gt;0,INDEX(LS[NAV at Cost (Average)],MATCH(CONCATENATE(COUNTIFS(LS[Investor ID],INVESTORS_LIST[[#This Row],[INVESTOR CODE]]),INVESTORS_LIST[[#This Row],[INVESTOR CODE]]),LS[Unique Code],0),),0)</f>
        <v>12.542665076149989</v>
      </c>
      <c r="AM604" s="99" cm="1">
        <f t="array" ref="AM6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4" s="105">
        <f>IF(INVESTORS_LIST[[#This Row],[TOTAL CURRENT UNITS]]=0,0,(INVESTORS_LIST[[#This Row],[LS_WEIGHT]]*INVESTORS_LIST[[#This Row],[LS_AVERAGE COST]])+(INVESTORS_LIST[[#This Row],[SIP_WEIGHT]]*INVESTORS_LIST[[#This Row],[SIP_AVERAGE COST]]))</f>
        <v>12.542665076149989</v>
      </c>
      <c r="AO604" s="105">
        <f t="shared" si="10"/>
        <v>14.224</v>
      </c>
      <c r="AP604" s="112">
        <f>IF(INVESTORS_LIST[[#This Row],[TOTAL CURRENT UNITS]]=0,0,INVESTORS_LIST[[#This Row],[TOTAL CURRENT UNITS]]*INVESTORS_LIST[[#This Row],[NAV]])</f>
        <v>5330031.5039999997</v>
      </c>
      <c r="AQ604" s="102">
        <f>IF(INVESTORS_LIST[[#This Row],[LS_TOTAL CURRENT UNITS]]=0,0,INVESTORS_LIST[[#This Row],[LS_TOTAL CURRENT UNITS]]*INVESTORS_LIST[[#This Row],[NAV]])</f>
        <v>5330031.5039999997</v>
      </c>
      <c r="AR604" s="48">
        <f>IF(INVESTORS_LIST[[#This Row],[SIP_TOTAL CURRENT UNITS]]=0,0,INVESTORS_LIST[[#This Row],[SIP_TOTAL CURRENT UNITS]]*INVESTORS_LIST[[#This Row],[NAV]])</f>
        <v>0</v>
      </c>
      <c r="AS604" s="50">
        <f>INVESTORS_LIST[[#This Row],[TOTAL CURRENT UNITS]]</f>
        <v>374721</v>
      </c>
      <c r="AT604" s="48">
        <f>IF(INVESTORS_LIST[[#This Row],[TOTAL SELLABLE UNITS]]=0,0,INVESTORS_LIST[[#This Row],[TOTAL SELLABLE UNITS]]*INVESTORS_LIST[[#This Row],[NAV]])</f>
        <v>5330031.5039999997</v>
      </c>
      <c r="AU604" s="48">
        <f>INVESTORS_LIST[[#This Row],[LS_TOTAL REALIZED GAIN]]+INVESTORS_LIST[[#This Row],[SIP_TOTAL REALIZED GAIN]]</f>
        <v>0</v>
      </c>
      <c r="AV604" s="48">
        <f>INVESTORS_LIST[[#This Row],[TOTAL MARKET VALUE]]-INVESTORS_LIST[[#This Row],[TOTAL COST VALUE OF CURRENT INVESTMENT]]</f>
        <v>630031.50399999972</v>
      </c>
      <c r="AW604" s="48">
        <f>IFERROR(INVESTORS_LIST[[#This Row],[TOTAL CURRENT UNITS]]/SUM(INVESTORS_LIST[TOTAL CURRENT UNITS]),0)</f>
        <v>9.0968048990358579E-3</v>
      </c>
    </row>
    <row r="605" spans="1:49">
      <c r="A605" s="262" t="s">
        <v>1316</v>
      </c>
      <c r="B605" s="179" t="s">
        <v>1315</v>
      </c>
      <c r="C605" t="s">
        <v>44</v>
      </c>
      <c r="D605" s="75" t="s">
        <v>45</v>
      </c>
      <c r="E605" s="50">
        <f>SUMIFS(LS[Unit],LS[Investor ID],INVESTORS_LIST[[#This Row],[INVESTOR CODE]],LS[B/S],"B")</f>
        <v>19943</v>
      </c>
      <c r="F605" s="50">
        <f>-SUMIFS(LS[Unit],LS[Investor ID],INVESTORS_LIST[[#This Row],[INVESTOR CODE]],LS[B/S],"S")</f>
        <v>11006</v>
      </c>
      <c r="G605" s="50">
        <f>IF(INVESTORS_LIST[[#This Row],[LS_TOTAL UNITS BUY]]=0,0,INVESTORS_LIST[[#This Row],[LS_TOTAL UNITS BUY]]-INVESTORS_LIST[[#This Row],[LS_TOTAL UNITS SOLD]])</f>
        <v>8937</v>
      </c>
      <c r="H605" s="102">
        <f>IF(INVESTORS_LIST[[#This Row],[LS_TOTAL UNITS BUY]]=0,0,SUMIFS(LS[Amount],LS[Investor ID],INVESTORS_LIST[[#This Row],[INVESTOR CODE]],LS[B/S],"B"))</f>
        <v>263301</v>
      </c>
      <c r="I605" s="48">
        <f>IF(INVESTORS_LIST[[#This Row],[LS_TOTAL UNITS SOLD]]=0,0,SUMIFS(LS[Cost of Units Sold],LS[Investor ID],INVESTORS_LIST[[#This Row],[INVESTOR CODE]],LS[B/S],"S"))</f>
        <v>139125.76736672051</v>
      </c>
      <c r="J605" s="48">
        <f>IF(INVESTORS_LIST[[#This Row],[LS_TOTAL CURRENT UNITS]]=0,0,INVESTORS_LIST[[#This Row],[LS_TOTAL CURRENT UNITS]]*INVESTORS_LIST[[#This Row],[LS_AVERAGE COST]])</f>
        <v>124175.23263327949</v>
      </c>
      <c r="K605" s="48">
        <f>IF(INVESTORS_LIST[[#This Row],[LS_TOTAL UNITS SOLD]]=0,0,SUMIFS(LS[Realized Gain],LS[Investor ID],INVESTORS_LIST[[#This Row],[INVESTOR CODE]],LS[B/S],"S"))</f>
        <v>5236.4406332794842</v>
      </c>
      <c r="L605" s="104">
        <f>SUMIFS(SIP[Unit],SIP[Investor ID],INVESTORS_LIST[[#This Row],[INVESTOR CODE]],SIP[B/S],"B")</f>
        <v>13745</v>
      </c>
      <c r="M605" s="50">
        <f>-SUMIFS(SIP[Unit],SIP[Investor ID],INVESTORS_LIST[[#This Row],[INVESTOR CODE]],SIP[B/S],"S")</f>
        <v>1868</v>
      </c>
      <c r="N605" s="50">
        <f>IF(INVESTORS_LIST[[#This Row],[SIP_TOTAL UNITS BUY]]=0,0,INVESTORS_LIST[[#This Row],[SIP_TOTAL UNITS BUY]]-INVESTORS_LIST[[#This Row],[SIP_TOTAL UNITS SOLD]])</f>
        <v>11877</v>
      </c>
      <c r="O605" s="48">
        <f>IF(INVESTORS_LIST[[#This Row],[SIP_TOTAL UNITS BUY]]=0,0,SUMIFS(SIP[Amount],SIP[Investor ID],INVESTORS_LIST[[#This Row],[INVESTOR CODE]],SIP[B/S],"B"))</f>
        <v>181400</v>
      </c>
      <c r="P605" s="48">
        <f>IF(INVESTORS_LIST[[#This Row],[SIP_TOTAL UNITS SOLD]]=0,0,SUMIFS(SIP[Cost of Units Sold],SIP[Investor ID],INVESTORS_LIST[[#This Row],[INVESTOR CODE]],SIP[B/S],"S"))</f>
        <v>24263.549327959787</v>
      </c>
      <c r="Q605" s="48">
        <f>IF(INVESTORS_LIST[[#This Row],[SIP_TOTAL CURRENT UNITS]]=0,0,INVESTORS_LIST[[#This Row],[SIP_TOTAL CURRENT UNITS]]*INVESTORS_LIST[[#This Row],[SIP_AVERAGE COST]])</f>
        <v>157136.45067204023</v>
      </c>
      <c r="R605" s="48">
        <f>IF(INVESTORS_LIST[[#This Row],[SIP_TOTAL UNITS SOLD]]=0,0,SUMIFS(SIP[Realized Gain],SIP[Investor ID],INVESTORS_LIST[[#This Row],[INVESTOR CODE]],SIP[B/S],"S"))</f>
        <v>1451.9026720402142</v>
      </c>
      <c r="S605" s="50">
        <f>INVESTORS_LIST[[#This Row],[LS_TOTAL UNITS BUY]]+INVESTORS_LIST[[#This Row],[SIP_TOTAL UNITS BUY]]</f>
        <v>33688</v>
      </c>
      <c r="T605" s="50">
        <f>INVESTORS_LIST[[#This Row],[LS_TOTAL UNITS SOLD]]+INVESTORS_LIST[[#This Row],[SIP_TOTAL UNITS SOLD]]</f>
        <v>12874</v>
      </c>
      <c r="U605" s="50"/>
      <c r="V605" s="50">
        <f>SUMIFS(LS[BO UNIT TRANSFER],LS[Investor ID],INVESTORS_LIST[[#This Row],[INVESTOR CODE]],LS[B/S],"B")</f>
        <v>0</v>
      </c>
      <c r="W605" s="50">
        <f>SUMIFS(SIP[BO UNIT TRANSFER],SIP[Investor ID],INVESTORS_LIST[[#This Row],[INVESTOR CODE]],SIP[B/S],"B")</f>
        <v>0</v>
      </c>
      <c r="X605" s="50">
        <f>SUMIFS(LS[BO UNIT TRANSFER],LS[Investor ID],INVESTORS_LIST[[#This Row],[INVESTOR CODE]],LS[B/S],"S")</f>
        <v>0</v>
      </c>
      <c r="Y605" s="50">
        <f>SUMIFS(SIP[BO UNIT TRANSFER],SIP[Investor ID],INVESTORS_LIST[[#This Row],[INVESTOR CODE]],SIP[B/S],"S")</f>
        <v>0</v>
      </c>
      <c r="Z605" s="106">
        <f>SUM(INVESTORS_LIST[[#This Row],[BO OPENING BALANCE]:[BO SIP UNITS REPURCHASE]])</f>
        <v>0</v>
      </c>
      <c r="AA605" s="107">
        <f>INVESTORS_LIST[[#This Row],[TOTAL UNITS BUY]]-INVESTORS_LIST[[#This Row],[TOTAL UNITS SOLD]]</f>
        <v>20814</v>
      </c>
      <c r="AB605" s="107">
        <f>INVESTORS_LIST[[#This Row],[TOTAL CURRENT UNITS]]-INVESTORS_LIST[[#This Row],[BO UNITS HOLD]]</f>
        <v>20814</v>
      </c>
      <c r="AC605" s="201" t="e">
        <f>INDEX([3]!Table_1[BO ID],MATCH(INVESTORS_LIST[[#This Row],[INVESTOR CODE]],[3]!Table_1[INVESTOR CODE],0))</f>
        <v>#REF!</v>
      </c>
      <c r="AD605" s="201" t="e">
        <f>INDEX([3]!Table_1[Brokerage Name2],MATCH(INVESTORS_LIST[[#This Row],[INVESTOR CODE]],[3]!Table_1[INVESTOR CODE],0))</f>
        <v>#REF!</v>
      </c>
      <c r="AE605" s="201" t="e">
        <f>MID(INVESTORS_LIST[[#This Row],[BO ID]],4,5)</f>
        <v>#REF!</v>
      </c>
      <c r="AF605" s="201" t="e">
        <f>MID(INVESTORS_LIST[[#This Row],[BO ID]],2,7)</f>
        <v>#REF!</v>
      </c>
      <c r="AG605" s="201" t="e">
        <f>MID(INVESTORS_LIST[[#This Row],[BO ID]],9,7)</f>
        <v>#REF!</v>
      </c>
      <c r="AH605" s="201" t="e">
        <f>RIGHT(INVESTORS_LIST[[#This Row],[BO ID]],1)</f>
        <v>#REF!</v>
      </c>
      <c r="AI605" s="50">
        <f>INVESTORS_LIST[[#This Row],[LS_TOTAL COST VALUE OF CURRENT UNITS]]+INVESTORS_LIST[[#This Row],[SIP_TOTAL COST VALUE OF CURRENT UNITS]]</f>
        <v>281311.68330531975</v>
      </c>
      <c r="AJ605" s="109">
        <f>IF(INVESTORS_LIST[[#This Row],[TOTAL CURRENT UNITS]]=0,0,INVESTORS_LIST[[#This Row],[LS_TOTAL CURRENT UNITS]]/INVESTORS_LIST[[#This Row],[TOTAL CURRENT UNITS]])</f>
        <v>0.42937445949841452</v>
      </c>
      <c r="AK605" s="109">
        <f>IF(INVESTORS_LIST[[#This Row],[TOTAL CURRENT UNITS]]=0,0,INVESTORS_LIST[[#This Row],[SIP_TOTAL CURRENT UNITS]]/INVESTORS_LIST[[#This Row],[TOTAL CURRENT UNITS]])</f>
        <v>0.57062554050158543</v>
      </c>
      <c r="AL605" s="99" cm="1">
        <f t="array" ref="AL605">IF(INVESTORS_LIST[[#This Row],[LS_TOTAL UNITS BUY]]&gt;0,INDEX(LS[NAV at Cost (Average)],MATCH(CONCATENATE(COUNTIFS(LS[Investor ID],INVESTORS_LIST[[#This Row],[INVESTOR CODE]]),INVESTORS_LIST[[#This Row],[INVESTOR CODE]]),LS[Unique Code],0),),0)</f>
        <v>13.894509637829191</v>
      </c>
      <c r="AM605" s="99" cm="1">
        <f t="array" ref="AM605">IF(INVESTORS_LIST[[#This Row],[SIP_TOTAL UNITS BUY]]&gt;0,INDEX(SIP[NAV at Cost (Average)],MATCH(CONCATENATE(COUNTIFS(SIP[Investor ID],INVESTORS_LIST[[#This Row],[INVESTOR CODE]]),INVESTORS_LIST[[#This Row],[INVESTOR CODE]]),SIP[Unique Code],0),),0)</f>
        <v>13.230314950916917</v>
      </c>
      <c r="AN605" s="105">
        <f>IF(INVESTORS_LIST[[#This Row],[TOTAL CURRENT UNITS]]=0,0,(INVESTORS_LIST[[#This Row],[LS_WEIGHT]]*INVESTORS_LIST[[#This Row],[LS_AVERAGE COST]])+(INVESTORS_LIST[[#This Row],[SIP_WEIGHT]]*INVESTORS_LIST[[#This Row],[SIP_AVERAGE COST]]))</f>
        <v>13.515503185611593</v>
      </c>
      <c r="AO605" s="105">
        <f t="shared" si="10"/>
        <v>14.224</v>
      </c>
      <c r="AP605" s="112">
        <f>IF(INVESTORS_LIST[[#This Row],[TOTAL CURRENT UNITS]]=0,0,INVESTORS_LIST[[#This Row],[TOTAL CURRENT UNITS]]*INVESTORS_LIST[[#This Row],[NAV]])</f>
        <v>296058.33600000001</v>
      </c>
      <c r="AQ605" s="102">
        <f>IF(INVESTORS_LIST[[#This Row],[LS_TOTAL CURRENT UNITS]]=0,0,INVESTORS_LIST[[#This Row],[LS_TOTAL CURRENT UNITS]]*INVESTORS_LIST[[#This Row],[NAV]])</f>
        <v>127119.88800000001</v>
      </c>
      <c r="AR605" s="48">
        <f>IF(INVESTORS_LIST[[#This Row],[SIP_TOTAL CURRENT UNITS]]=0,0,INVESTORS_LIST[[#This Row],[SIP_TOTAL CURRENT UNITS]]*INVESTORS_LIST[[#This Row],[NAV]])</f>
        <v>168938.448</v>
      </c>
      <c r="AS605" s="50">
        <f>INVESTORS_LIST[[#This Row],[TOTAL CURRENT UNITS]]</f>
        <v>20814</v>
      </c>
      <c r="AT605" s="48">
        <f>IF(INVESTORS_LIST[[#This Row],[TOTAL SELLABLE UNITS]]=0,0,INVESTORS_LIST[[#This Row],[TOTAL SELLABLE UNITS]]*INVESTORS_LIST[[#This Row],[NAV]])</f>
        <v>296058.33600000001</v>
      </c>
      <c r="AU605" s="48">
        <f>INVESTORS_LIST[[#This Row],[LS_TOTAL REALIZED GAIN]]+INVESTORS_LIST[[#This Row],[SIP_TOTAL REALIZED GAIN]]</f>
        <v>6688.3433053196986</v>
      </c>
      <c r="AV605" s="48">
        <f>INVESTORS_LIST[[#This Row],[TOTAL MARKET VALUE]]-INVESTORS_LIST[[#This Row],[TOTAL COST VALUE OF CURRENT INVESTMENT]]</f>
        <v>14746.652694680262</v>
      </c>
      <c r="AW605" s="48">
        <f>IFERROR(INVESTORS_LIST[[#This Row],[TOTAL CURRENT UNITS]]/SUM(INVESTORS_LIST[TOTAL CURRENT UNITS]),0)</f>
        <v>5.052849911495015E-4</v>
      </c>
    </row>
    <row r="606" spans="1:49">
      <c r="A606" s="262" t="s">
        <v>1318</v>
      </c>
      <c r="B606" s="97" t="s">
        <v>1319</v>
      </c>
      <c r="C606" t="s">
        <v>44</v>
      </c>
      <c r="D606" s="75" t="s">
        <v>45</v>
      </c>
      <c r="E606" s="50">
        <f>SUMIFS(LS[Unit],LS[Investor ID],INVESTORS_LIST[[#This Row],[INVESTOR CODE]],LS[B/S],"B")</f>
        <v>292002</v>
      </c>
      <c r="F606" s="50">
        <f>-SUMIFS(LS[Unit],LS[Investor ID],INVESTORS_LIST[[#This Row],[INVESTOR CODE]],LS[B/S],"S")</f>
        <v>2253</v>
      </c>
      <c r="G606" s="50">
        <f>IF(INVESTORS_LIST[[#This Row],[LS_TOTAL UNITS BUY]]=0,0,INVESTORS_LIST[[#This Row],[LS_TOTAL UNITS BUY]]-INVESTORS_LIST[[#This Row],[LS_TOTAL UNITS SOLD]])</f>
        <v>289749</v>
      </c>
      <c r="H606" s="102">
        <f>IF(INVESTORS_LIST[[#This Row],[LS_TOTAL UNITS BUY]]=0,0,SUMIFS(LS[Amount],LS[Investor ID],INVESTORS_LIST[[#This Row],[INVESTOR CODE]],LS[B/S],"B"))</f>
        <v>4000000</v>
      </c>
      <c r="I606" s="48">
        <f>IF(INVESTORS_LIST[[#This Row],[LS_TOTAL UNITS SOLD]]=0,0,SUMIFS(LS[Cost of Units Sold],LS[Investor ID],INVESTORS_LIST[[#This Row],[INVESTOR CODE]],LS[B/S],"S"))</f>
        <v>27876.763177431327</v>
      </c>
      <c r="J606" s="48">
        <f>IF(INVESTORS_LIST[[#This Row],[LS_TOTAL CURRENT UNITS]]=0,0,INVESTORS_LIST[[#This Row],[LS_TOTAL CURRENT UNITS]]*INVESTORS_LIST[[#This Row],[LS_AVERAGE COST]])</f>
        <v>3972123.2368225688</v>
      </c>
      <c r="K606" s="48">
        <f>IF(INVESTORS_LIST[[#This Row],[LS_TOTAL UNITS SOLD]]=0,0,SUMIFS(LS[Realized Gain],LS[Investor ID],INVESTORS_LIST[[#This Row],[INVESTOR CODE]],LS[B/S],"S"))</f>
        <v>2123.2368225686723</v>
      </c>
      <c r="L606" s="104">
        <f>SUMIFS(SIP[Unit],SIP[Investor ID],INVESTORS_LIST[[#This Row],[INVESTOR CODE]],SIP[B/S],"B")</f>
        <v>0</v>
      </c>
      <c r="M606" s="50">
        <f>-SUMIFS(SIP[Unit],SIP[Investor ID],INVESTORS_LIST[[#This Row],[INVESTOR CODE]],SIP[B/S],"S")</f>
        <v>0</v>
      </c>
      <c r="N606" s="50">
        <f>IF(INVESTORS_LIST[[#This Row],[SIP_TOTAL UNITS BUY]]=0,0,INVESTORS_LIST[[#This Row],[SIP_TOTAL UNITS BUY]]-INVESTORS_LIST[[#This Row],[SIP_TOTAL UNITS SOLD]])</f>
        <v>0</v>
      </c>
      <c r="O606" s="48">
        <f>IF(INVESTORS_LIST[[#This Row],[SIP_TOTAL UNITS BUY]]=0,0,SUMIFS(SIP[Amount],SIP[Investor ID],INVESTORS_LIST[[#This Row],[INVESTOR CODE]],SIP[B/S],"B"))</f>
        <v>0</v>
      </c>
      <c r="P606" s="48">
        <f>IF(INVESTORS_LIST[[#This Row],[SIP_TOTAL UNITS SOLD]]=0,0,SUMIFS(SIP[Cost of Units Sold],SIP[Investor ID],INVESTORS_LIST[[#This Row],[INVESTOR CODE]],SIP[B/S],"S"))</f>
        <v>0</v>
      </c>
      <c r="Q606" s="48">
        <f>IF(INVESTORS_LIST[[#This Row],[SIP_TOTAL CURRENT UNITS]]=0,0,INVESTORS_LIST[[#This Row],[SIP_TOTAL CURRENT UNITS]]*INVESTORS_LIST[[#This Row],[SIP_AVERAGE COST]])</f>
        <v>0</v>
      </c>
      <c r="R606" s="48">
        <f>IF(INVESTORS_LIST[[#This Row],[SIP_TOTAL UNITS SOLD]]=0,0,SUMIFS(SIP[Realized Gain],SIP[Investor ID],INVESTORS_LIST[[#This Row],[INVESTOR CODE]],SIP[B/S],"S"))</f>
        <v>0</v>
      </c>
      <c r="S606" s="50">
        <f>INVESTORS_LIST[[#This Row],[LS_TOTAL UNITS BUY]]+INVESTORS_LIST[[#This Row],[SIP_TOTAL UNITS BUY]]</f>
        <v>292002</v>
      </c>
      <c r="T606" s="50">
        <f>INVESTORS_LIST[[#This Row],[LS_TOTAL UNITS SOLD]]+INVESTORS_LIST[[#This Row],[SIP_TOTAL UNITS SOLD]]</f>
        <v>2253</v>
      </c>
      <c r="U606" s="50">
        <v>240096</v>
      </c>
      <c r="V606" s="50">
        <f>SUMIFS(LS[BO UNIT TRANSFER],LS[Investor ID],INVESTORS_LIST[[#This Row],[INVESTOR CODE]],LS[B/S],"B")</f>
        <v>0</v>
      </c>
      <c r="W606" s="50">
        <f>SUMIFS(SIP[BO UNIT TRANSFER],SIP[Investor ID],INVESTORS_LIST[[#This Row],[INVESTOR CODE]],SIP[B/S],"B")</f>
        <v>0</v>
      </c>
      <c r="X606" s="50">
        <f>SUMIFS(LS[BO UNIT TRANSFER],LS[Investor ID],INVESTORS_LIST[[#This Row],[INVESTOR CODE]],LS[B/S],"S")</f>
        <v>0</v>
      </c>
      <c r="Y606" s="50">
        <f>SUMIFS(SIP[BO UNIT TRANSFER],SIP[Investor ID],INVESTORS_LIST[[#This Row],[INVESTOR CODE]],SIP[B/S],"S")</f>
        <v>0</v>
      </c>
      <c r="Z606" s="106">
        <f>SUM(INVESTORS_LIST[[#This Row],[BO OPENING BALANCE]:[BO SIP UNITS REPURCHASE]])</f>
        <v>240096</v>
      </c>
      <c r="AA606" s="107">
        <f>INVESTORS_LIST[[#This Row],[TOTAL UNITS BUY]]-INVESTORS_LIST[[#This Row],[TOTAL UNITS SOLD]]</f>
        <v>289749</v>
      </c>
      <c r="AB606" s="107">
        <f>INVESTORS_LIST[[#This Row],[TOTAL CURRENT UNITS]]-INVESTORS_LIST[[#This Row],[BO UNITS HOLD]]</f>
        <v>49653</v>
      </c>
      <c r="AC606" s="201" t="e">
        <f>INDEX([3]!Table_1[BO ID],MATCH(INVESTORS_LIST[[#This Row],[INVESTOR CODE]],[3]!Table_1[INVESTOR CODE],0))</f>
        <v>#REF!</v>
      </c>
      <c r="AD606" s="201" t="e">
        <f>INDEX([3]!Table_1[Brokerage Name2],MATCH(INVESTORS_LIST[[#This Row],[INVESTOR CODE]],[3]!Table_1[INVESTOR CODE],0))</f>
        <v>#REF!</v>
      </c>
      <c r="AE606" s="201" t="e">
        <f>MID(INVESTORS_LIST[[#This Row],[BO ID]],4,5)</f>
        <v>#REF!</v>
      </c>
      <c r="AF606" s="201" t="e">
        <f>MID(INVESTORS_LIST[[#This Row],[BO ID]],2,7)</f>
        <v>#REF!</v>
      </c>
      <c r="AG606" s="201" t="e">
        <f>MID(INVESTORS_LIST[[#This Row],[BO ID]],9,7)</f>
        <v>#REF!</v>
      </c>
      <c r="AH606" s="201" t="e">
        <f>RIGHT(INVESTORS_LIST[[#This Row],[BO ID]],1)</f>
        <v>#REF!</v>
      </c>
      <c r="AI606" s="50">
        <f>INVESTORS_LIST[[#This Row],[LS_TOTAL COST VALUE OF CURRENT UNITS]]+INVESTORS_LIST[[#This Row],[SIP_TOTAL COST VALUE OF CURRENT UNITS]]</f>
        <v>3972123.2368225688</v>
      </c>
      <c r="AJ606" s="109">
        <f>IF(INVESTORS_LIST[[#This Row],[TOTAL CURRENT UNITS]]=0,0,INVESTORS_LIST[[#This Row],[LS_TOTAL CURRENT UNITS]]/INVESTORS_LIST[[#This Row],[TOTAL CURRENT UNITS]])</f>
        <v>1</v>
      </c>
      <c r="AK606" s="109">
        <f>IF(INVESTORS_LIST[[#This Row],[TOTAL CURRENT UNITS]]=0,0,INVESTORS_LIST[[#This Row],[SIP_TOTAL CURRENT UNITS]]/INVESTORS_LIST[[#This Row],[TOTAL CURRENT UNITS]])</f>
        <v>0</v>
      </c>
      <c r="AL606" s="99" cm="1">
        <f t="array" ref="AL606">IF(INVESTORS_LIST[[#This Row],[LS_TOTAL UNITS BUY]]&gt;0,INDEX(LS[NAV at Cost (Average)],MATCH(CONCATENATE(COUNTIFS(LS[Investor ID],INVESTORS_LIST[[#This Row],[INVESTOR CODE]]),INVESTORS_LIST[[#This Row],[INVESTOR CODE]]),LS[Unique Code],0),),0)</f>
        <v>13.708841917737658</v>
      </c>
      <c r="AM606" s="99" cm="1">
        <f t="array" ref="AM6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6" s="105">
        <f>IF(INVESTORS_LIST[[#This Row],[TOTAL CURRENT UNITS]]=0,0,(INVESTORS_LIST[[#This Row],[LS_WEIGHT]]*INVESTORS_LIST[[#This Row],[LS_AVERAGE COST]])+(INVESTORS_LIST[[#This Row],[SIP_WEIGHT]]*INVESTORS_LIST[[#This Row],[SIP_AVERAGE COST]]))</f>
        <v>13.708841917737658</v>
      </c>
      <c r="AO606" s="105">
        <f t="shared" si="10"/>
        <v>14.224</v>
      </c>
      <c r="AP606" s="112">
        <f>IF(INVESTORS_LIST[[#This Row],[TOTAL CURRENT UNITS]]=0,0,INVESTORS_LIST[[#This Row],[TOTAL CURRENT UNITS]]*INVESTORS_LIST[[#This Row],[NAV]])</f>
        <v>4121389.7760000001</v>
      </c>
      <c r="AQ606" s="102">
        <f>IF(INVESTORS_LIST[[#This Row],[LS_TOTAL CURRENT UNITS]]=0,0,INVESTORS_LIST[[#This Row],[LS_TOTAL CURRENT UNITS]]*INVESTORS_LIST[[#This Row],[NAV]])</f>
        <v>4121389.7760000001</v>
      </c>
      <c r="AR606" s="48">
        <f>IF(INVESTORS_LIST[[#This Row],[SIP_TOTAL CURRENT UNITS]]=0,0,INVESTORS_LIST[[#This Row],[SIP_TOTAL CURRENT UNITS]]*INVESTORS_LIST[[#This Row],[NAV]])</f>
        <v>0</v>
      </c>
      <c r="AS606" s="50">
        <f>INVESTORS_LIST[[#This Row],[TOTAL CURRENT UNITS]]</f>
        <v>289749</v>
      </c>
      <c r="AT606" s="48">
        <f>IF(INVESTORS_LIST[[#This Row],[TOTAL SELLABLE UNITS]]=0,0,INVESTORS_LIST[[#This Row],[TOTAL SELLABLE UNITS]]*INVESTORS_LIST[[#This Row],[NAV]])</f>
        <v>4121389.7760000001</v>
      </c>
      <c r="AU606" s="48">
        <f>INVESTORS_LIST[[#This Row],[LS_TOTAL REALIZED GAIN]]+INVESTORS_LIST[[#This Row],[SIP_TOTAL REALIZED GAIN]]</f>
        <v>2123.2368225686723</v>
      </c>
      <c r="AV606" s="48">
        <f>INVESTORS_LIST[[#This Row],[TOTAL MARKET VALUE]]-INVESTORS_LIST[[#This Row],[TOTAL COST VALUE OF CURRENT INVESTMENT]]</f>
        <v>149266.53917743126</v>
      </c>
      <c r="AW606" s="48">
        <f>IFERROR(INVESTORS_LIST[[#This Row],[TOTAL CURRENT UNITS]]/SUM(INVESTORS_LIST[TOTAL CURRENT UNITS]),0)</f>
        <v>7.0340069616881386E-3</v>
      </c>
    </row>
    <row r="607" spans="1:49">
      <c r="A607" s="262" t="s">
        <v>1320</v>
      </c>
      <c r="B607" s="97" t="s">
        <v>1321</v>
      </c>
      <c r="C607" t="s">
        <v>44</v>
      </c>
      <c r="D607" s="75" t="s">
        <v>45</v>
      </c>
      <c r="E607" s="50">
        <f>SUMIFS(LS[Unit],LS[Investor ID],INVESTORS_LIST[[#This Row],[INVESTOR CODE]],LS[B/S],"B")</f>
        <v>0</v>
      </c>
      <c r="F607" s="50">
        <f>-SUMIFS(LS[Unit],LS[Investor ID],INVESTORS_LIST[[#This Row],[INVESTOR CODE]],LS[B/S],"S")</f>
        <v>0</v>
      </c>
      <c r="G607" s="50">
        <f>IF(INVESTORS_LIST[[#This Row],[LS_TOTAL UNITS BUY]]=0,0,INVESTORS_LIST[[#This Row],[LS_TOTAL UNITS BUY]]-INVESTORS_LIST[[#This Row],[LS_TOTAL UNITS SOLD]])</f>
        <v>0</v>
      </c>
      <c r="H607" s="102">
        <f>IF(INVESTORS_LIST[[#This Row],[LS_TOTAL UNITS BUY]]=0,0,SUMIFS(LS[Amount],LS[Investor ID],INVESTORS_LIST[[#This Row],[INVESTOR CODE]],LS[B/S],"B"))</f>
        <v>0</v>
      </c>
      <c r="I607" s="48">
        <f>IF(INVESTORS_LIST[[#This Row],[LS_TOTAL UNITS SOLD]]=0,0,SUMIFS(LS[Cost of Units Sold],LS[Investor ID],INVESTORS_LIST[[#This Row],[INVESTOR CODE]],LS[B/S],"S"))</f>
        <v>0</v>
      </c>
      <c r="J607" s="48">
        <f>IF(INVESTORS_LIST[[#This Row],[LS_TOTAL CURRENT UNITS]]=0,0,INVESTORS_LIST[[#This Row],[LS_TOTAL CURRENT UNITS]]*INVESTORS_LIST[[#This Row],[LS_AVERAGE COST]])</f>
        <v>0</v>
      </c>
      <c r="K607" s="48">
        <f>IF(INVESTORS_LIST[[#This Row],[LS_TOTAL UNITS SOLD]]=0,0,SUMIFS(LS[Realized Gain],LS[Investor ID],INVESTORS_LIST[[#This Row],[INVESTOR CODE]],LS[B/S],"S"))</f>
        <v>0</v>
      </c>
      <c r="L607" s="104">
        <f>SUMIFS(SIP[Unit],SIP[Investor ID],INVESTORS_LIST[[#This Row],[INVESTOR CODE]],SIP[B/S],"B")</f>
        <v>831</v>
      </c>
      <c r="M607" s="50">
        <f>-SUMIFS(SIP[Unit],SIP[Investor ID],INVESTORS_LIST[[#This Row],[INVESTOR CODE]],SIP[B/S],"S")</f>
        <v>0</v>
      </c>
      <c r="N607" s="50">
        <f>IF(INVESTORS_LIST[[#This Row],[SIP_TOTAL UNITS BUY]]=0,0,INVESTORS_LIST[[#This Row],[SIP_TOTAL UNITS BUY]]-INVESTORS_LIST[[#This Row],[SIP_TOTAL UNITS SOLD]])</f>
        <v>831</v>
      </c>
      <c r="O607" s="48">
        <f>IF(INVESTORS_LIST[[#This Row],[SIP_TOTAL UNITS BUY]]=0,0,SUMIFS(SIP[Amount],SIP[Investor ID],INVESTORS_LIST[[#This Row],[INVESTOR CODE]],SIP[B/S],"B"))</f>
        <v>11000</v>
      </c>
      <c r="P607" s="48">
        <f>IF(INVESTORS_LIST[[#This Row],[SIP_TOTAL UNITS SOLD]]=0,0,SUMIFS(SIP[Cost of Units Sold],SIP[Investor ID],INVESTORS_LIST[[#This Row],[INVESTOR CODE]],SIP[B/S],"S"))</f>
        <v>0</v>
      </c>
      <c r="Q607" s="48">
        <f>IF(INVESTORS_LIST[[#This Row],[SIP_TOTAL CURRENT UNITS]]=0,0,INVESTORS_LIST[[#This Row],[SIP_TOTAL CURRENT UNITS]]*INVESTORS_LIST[[#This Row],[SIP_AVERAGE COST]])</f>
        <v>10999.999999999998</v>
      </c>
      <c r="R607" s="48">
        <f>IF(INVESTORS_LIST[[#This Row],[SIP_TOTAL UNITS SOLD]]=0,0,SUMIFS(SIP[Realized Gain],SIP[Investor ID],INVESTORS_LIST[[#This Row],[INVESTOR CODE]],SIP[B/S],"S"))</f>
        <v>0</v>
      </c>
      <c r="S607" s="50">
        <f>INVESTORS_LIST[[#This Row],[LS_TOTAL UNITS BUY]]+INVESTORS_LIST[[#This Row],[SIP_TOTAL UNITS BUY]]</f>
        <v>831</v>
      </c>
      <c r="T607" s="50">
        <f>INVESTORS_LIST[[#This Row],[LS_TOTAL UNITS SOLD]]+INVESTORS_LIST[[#This Row],[SIP_TOTAL UNITS SOLD]]</f>
        <v>0</v>
      </c>
      <c r="U607" s="50"/>
      <c r="V607" s="50">
        <f>SUMIFS(LS[BO UNIT TRANSFER],LS[Investor ID],INVESTORS_LIST[[#This Row],[INVESTOR CODE]],LS[B/S],"B")</f>
        <v>0</v>
      </c>
      <c r="W607" s="50">
        <f>SUMIFS(SIP[BO UNIT TRANSFER],SIP[Investor ID],INVESTORS_LIST[[#This Row],[INVESTOR CODE]],SIP[B/S],"B")</f>
        <v>0</v>
      </c>
      <c r="X607" s="50">
        <f>SUMIFS(LS[BO UNIT TRANSFER],LS[Investor ID],INVESTORS_LIST[[#This Row],[INVESTOR CODE]],LS[B/S],"S")</f>
        <v>0</v>
      </c>
      <c r="Y607" s="50">
        <f>SUMIFS(SIP[BO UNIT TRANSFER],SIP[Investor ID],INVESTORS_LIST[[#This Row],[INVESTOR CODE]],SIP[B/S],"S")</f>
        <v>0</v>
      </c>
      <c r="Z607" s="106">
        <f>SUM(INVESTORS_LIST[[#This Row],[BO OPENING BALANCE]:[BO SIP UNITS REPURCHASE]])</f>
        <v>0</v>
      </c>
      <c r="AA607" s="107">
        <f>INVESTORS_LIST[[#This Row],[TOTAL UNITS BUY]]-INVESTORS_LIST[[#This Row],[TOTAL UNITS SOLD]]</f>
        <v>831</v>
      </c>
      <c r="AB607" s="107">
        <f>INVESTORS_LIST[[#This Row],[TOTAL CURRENT UNITS]]-INVESTORS_LIST[[#This Row],[BO UNITS HOLD]]</f>
        <v>831</v>
      </c>
      <c r="AC607" s="201" t="e">
        <f>INDEX([3]!Table_1[BO ID],MATCH(INVESTORS_LIST[[#This Row],[INVESTOR CODE]],[3]!Table_1[INVESTOR CODE],0))</f>
        <v>#REF!</v>
      </c>
      <c r="AD607" s="201" t="e">
        <f>INDEX([3]!Table_1[Brokerage Name2],MATCH(INVESTORS_LIST[[#This Row],[INVESTOR CODE]],[3]!Table_1[INVESTOR CODE],0))</f>
        <v>#REF!</v>
      </c>
      <c r="AE607" s="201" t="e">
        <f>MID(INVESTORS_LIST[[#This Row],[BO ID]],4,5)</f>
        <v>#REF!</v>
      </c>
      <c r="AF607" s="201" t="e">
        <f>MID(INVESTORS_LIST[[#This Row],[BO ID]],2,7)</f>
        <v>#REF!</v>
      </c>
      <c r="AG607" s="201" t="e">
        <f>MID(INVESTORS_LIST[[#This Row],[BO ID]],9,7)</f>
        <v>#REF!</v>
      </c>
      <c r="AH607" s="201" t="e">
        <f>RIGHT(INVESTORS_LIST[[#This Row],[BO ID]],1)</f>
        <v>#REF!</v>
      </c>
      <c r="AI607" s="50">
        <f>INVESTORS_LIST[[#This Row],[LS_TOTAL COST VALUE OF CURRENT UNITS]]+INVESTORS_LIST[[#This Row],[SIP_TOTAL COST VALUE OF CURRENT UNITS]]</f>
        <v>10999.999999999998</v>
      </c>
      <c r="AJ607" s="109">
        <f>IF(INVESTORS_LIST[[#This Row],[TOTAL CURRENT UNITS]]=0,0,INVESTORS_LIST[[#This Row],[LS_TOTAL CURRENT UNITS]]/INVESTORS_LIST[[#This Row],[TOTAL CURRENT UNITS]])</f>
        <v>0</v>
      </c>
      <c r="AK607" s="109">
        <f>IF(INVESTORS_LIST[[#This Row],[TOTAL CURRENT UNITS]]=0,0,INVESTORS_LIST[[#This Row],[SIP_TOTAL CURRENT UNITS]]/INVESTORS_LIST[[#This Row],[TOTAL CURRENT UNITS]])</f>
        <v>1</v>
      </c>
      <c r="AL607" s="99" cm="1">
        <f t="array" ref="AL6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07" s="99" cm="1">
        <f t="array" ref="AM607">IF(INVESTORS_LIST[[#This Row],[SIP_TOTAL UNITS BUY]]&gt;0,INDEX(SIP[NAV at Cost (Average)],MATCH(CONCATENATE(COUNTIFS(SIP[Investor ID],INVESTORS_LIST[[#This Row],[INVESTOR CODE]]),INVESTORS_LIST[[#This Row],[INVESTOR CODE]]),SIP[Unique Code],0),),0)</f>
        <v>13.237063778580023</v>
      </c>
      <c r="AN607" s="105">
        <f>IF(INVESTORS_LIST[[#This Row],[TOTAL CURRENT UNITS]]=0,0,(INVESTORS_LIST[[#This Row],[LS_WEIGHT]]*INVESTORS_LIST[[#This Row],[LS_AVERAGE COST]])+(INVESTORS_LIST[[#This Row],[SIP_WEIGHT]]*INVESTORS_LIST[[#This Row],[SIP_AVERAGE COST]]))</f>
        <v>13.237063778580023</v>
      </c>
      <c r="AO607" s="105">
        <f t="shared" si="10"/>
        <v>14.224</v>
      </c>
      <c r="AP607" s="112">
        <f>IF(INVESTORS_LIST[[#This Row],[TOTAL CURRENT UNITS]]=0,0,INVESTORS_LIST[[#This Row],[TOTAL CURRENT UNITS]]*INVESTORS_LIST[[#This Row],[NAV]])</f>
        <v>11820.144</v>
      </c>
      <c r="AQ607" s="102">
        <f>IF(INVESTORS_LIST[[#This Row],[LS_TOTAL CURRENT UNITS]]=0,0,INVESTORS_LIST[[#This Row],[LS_TOTAL CURRENT UNITS]]*INVESTORS_LIST[[#This Row],[NAV]])</f>
        <v>0</v>
      </c>
      <c r="AR607" s="48">
        <f>IF(INVESTORS_LIST[[#This Row],[SIP_TOTAL CURRENT UNITS]]=0,0,INVESTORS_LIST[[#This Row],[SIP_TOTAL CURRENT UNITS]]*INVESTORS_LIST[[#This Row],[NAV]])</f>
        <v>11820.144</v>
      </c>
      <c r="AS607" s="50">
        <f>INVESTORS_LIST[[#This Row],[TOTAL CURRENT UNITS]]</f>
        <v>831</v>
      </c>
      <c r="AT607" s="48">
        <f>IF(INVESTORS_LIST[[#This Row],[TOTAL SELLABLE UNITS]]=0,0,INVESTORS_LIST[[#This Row],[TOTAL SELLABLE UNITS]]*INVESTORS_LIST[[#This Row],[NAV]])</f>
        <v>11820.144</v>
      </c>
      <c r="AU607" s="48">
        <f>INVESTORS_LIST[[#This Row],[LS_TOTAL REALIZED GAIN]]+INVESTORS_LIST[[#This Row],[SIP_TOTAL REALIZED GAIN]]</f>
        <v>0</v>
      </c>
      <c r="AV607" s="48">
        <f>INVESTORS_LIST[[#This Row],[TOTAL MARKET VALUE]]-INVESTORS_LIST[[#This Row],[TOTAL COST VALUE OF CURRENT INVESTMENT]]</f>
        <v>820.14400000000205</v>
      </c>
      <c r="AW607" s="48">
        <f>IFERROR(INVESTORS_LIST[[#This Row],[TOTAL CURRENT UNITS]]/SUM(INVESTORS_LIST[TOTAL CURRENT UNITS]),0)</f>
        <v>2.0173528761662139E-5</v>
      </c>
    </row>
    <row r="608" spans="1:49">
      <c r="A608" s="262" t="s">
        <v>1322</v>
      </c>
      <c r="B608" s="97" t="s">
        <v>1323</v>
      </c>
      <c r="C608" t="s">
        <v>67</v>
      </c>
      <c r="D608" s="75" t="s">
        <v>45</v>
      </c>
      <c r="E608" s="50">
        <f>SUMIFS(LS[Unit],LS[Investor ID],INVESTORS_LIST[[#This Row],[INVESTOR CODE]],LS[B/S],"B")</f>
        <v>2716</v>
      </c>
      <c r="F608" s="50">
        <f>-SUMIFS(LS[Unit],LS[Investor ID],INVESTORS_LIST[[#This Row],[INVESTOR CODE]],LS[B/S],"S")</f>
        <v>0</v>
      </c>
      <c r="G608" s="50">
        <f>IF(INVESTORS_LIST[[#This Row],[LS_TOTAL UNITS BUY]]=0,0,INVESTORS_LIST[[#This Row],[LS_TOTAL UNITS BUY]]-INVESTORS_LIST[[#This Row],[LS_TOTAL UNITS SOLD]])</f>
        <v>2716</v>
      </c>
      <c r="H608" s="102">
        <f>IF(INVESTORS_LIST[[#This Row],[LS_TOTAL UNITS BUY]]=0,0,SUMIFS(LS[Amount],LS[Investor ID],INVESTORS_LIST[[#This Row],[INVESTOR CODE]],LS[B/S],"B"))</f>
        <v>35000</v>
      </c>
      <c r="I608" s="48">
        <f>IF(INVESTORS_LIST[[#This Row],[LS_TOTAL UNITS SOLD]]=0,0,SUMIFS(LS[Cost of Units Sold],LS[Investor ID],INVESTORS_LIST[[#This Row],[INVESTOR CODE]],LS[B/S],"S"))</f>
        <v>0</v>
      </c>
      <c r="J608" s="48">
        <f>IF(INVESTORS_LIST[[#This Row],[LS_TOTAL CURRENT UNITS]]=0,0,INVESTORS_LIST[[#This Row],[LS_TOTAL CURRENT UNITS]]*INVESTORS_LIST[[#This Row],[LS_AVERAGE COST]])</f>
        <v>35000</v>
      </c>
      <c r="K608" s="48">
        <f>IF(INVESTORS_LIST[[#This Row],[LS_TOTAL UNITS SOLD]]=0,0,SUMIFS(LS[Realized Gain],LS[Investor ID],INVESTORS_LIST[[#This Row],[INVESTOR CODE]],LS[B/S],"S"))</f>
        <v>0</v>
      </c>
      <c r="L608" s="104">
        <f>SUMIFS(SIP[Unit],SIP[Investor ID],INVESTORS_LIST[[#This Row],[INVESTOR CODE]],SIP[B/S],"B")</f>
        <v>1343</v>
      </c>
      <c r="M608" s="50">
        <f>-SUMIFS(SIP[Unit],SIP[Investor ID],INVESTORS_LIST[[#This Row],[INVESTOR CODE]],SIP[B/S],"S")</f>
        <v>0</v>
      </c>
      <c r="N608" s="50">
        <f>IF(INVESTORS_LIST[[#This Row],[SIP_TOTAL UNITS BUY]]=0,0,INVESTORS_LIST[[#This Row],[SIP_TOTAL UNITS BUY]]-INVESTORS_LIST[[#This Row],[SIP_TOTAL UNITS SOLD]])</f>
        <v>1343</v>
      </c>
      <c r="O608" s="48">
        <f>IF(INVESTORS_LIST[[#This Row],[SIP_TOTAL UNITS BUY]]=0,0,SUMIFS(SIP[Amount],SIP[Investor ID],INVESTORS_LIST[[#This Row],[INVESTOR CODE]],SIP[B/S],"B"))</f>
        <v>18000</v>
      </c>
      <c r="P608" s="48">
        <f>IF(INVESTORS_LIST[[#This Row],[SIP_TOTAL UNITS SOLD]]=0,0,SUMIFS(SIP[Cost of Units Sold],SIP[Investor ID],INVESTORS_LIST[[#This Row],[INVESTOR CODE]],SIP[B/S],"S"))</f>
        <v>0</v>
      </c>
      <c r="Q608" s="48">
        <f>IF(INVESTORS_LIST[[#This Row],[SIP_TOTAL CURRENT UNITS]]=0,0,INVESTORS_LIST[[#This Row],[SIP_TOTAL CURRENT UNITS]]*INVESTORS_LIST[[#This Row],[SIP_AVERAGE COST]])</f>
        <v>17999.999999999993</v>
      </c>
      <c r="R608" s="48">
        <f>IF(INVESTORS_LIST[[#This Row],[SIP_TOTAL UNITS SOLD]]=0,0,SUMIFS(SIP[Realized Gain],SIP[Investor ID],INVESTORS_LIST[[#This Row],[INVESTOR CODE]],SIP[B/S],"S"))</f>
        <v>0</v>
      </c>
      <c r="S608" s="50">
        <f>INVESTORS_LIST[[#This Row],[LS_TOTAL UNITS BUY]]+INVESTORS_LIST[[#This Row],[SIP_TOTAL UNITS BUY]]</f>
        <v>4059</v>
      </c>
      <c r="T608" s="50">
        <f>INVESTORS_LIST[[#This Row],[LS_TOTAL UNITS SOLD]]+INVESTORS_LIST[[#This Row],[SIP_TOTAL UNITS SOLD]]</f>
        <v>0</v>
      </c>
      <c r="U608" s="50"/>
      <c r="V608" s="50">
        <f>SUMIFS(LS[BO UNIT TRANSFER],LS[Investor ID],INVESTORS_LIST[[#This Row],[INVESTOR CODE]],LS[B/S],"B")</f>
        <v>0</v>
      </c>
      <c r="W608" s="50">
        <f>SUMIFS(SIP[BO UNIT TRANSFER],SIP[Investor ID],INVESTORS_LIST[[#This Row],[INVESTOR CODE]],SIP[B/S],"B")</f>
        <v>0</v>
      </c>
      <c r="X608" s="50">
        <f>SUMIFS(LS[BO UNIT TRANSFER],LS[Investor ID],INVESTORS_LIST[[#This Row],[INVESTOR CODE]],LS[B/S],"S")</f>
        <v>0</v>
      </c>
      <c r="Y608" s="50">
        <f>SUMIFS(SIP[BO UNIT TRANSFER],SIP[Investor ID],INVESTORS_LIST[[#This Row],[INVESTOR CODE]],SIP[B/S],"S")</f>
        <v>0</v>
      </c>
      <c r="Z608" s="106">
        <f>SUM(INVESTORS_LIST[[#This Row],[BO OPENING BALANCE]:[BO SIP UNITS REPURCHASE]])</f>
        <v>0</v>
      </c>
      <c r="AA608" s="107">
        <f>INVESTORS_LIST[[#This Row],[TOTAL UNITS BUY]]-INVESTORS_LIST[[#This Row],[TOTAL UNITS SOLD]]</f>
        <v>4059</v>
      </c>
      <c r="AB608" s="107">
        <f>INVESTORS_LIST[[#This Row],[TOTAL CURRENT UNITS]]-INVESTORS_LIST[[#This Row],[BO UNITS HOLD]]</f>
        <v>4059</v>
      </c>
      <c r="AC608" s="201" t="e">
        <f>INDEX([3]!Table_1[BO ID],MATCH(INVESTORS_LIST[[#This Row],[INVESTOR CODE]],[3]!Table_1[INVESTOR CODE],0))</f>
        <v>#REF!</v>
      </c>
      <c r="AD608" s="201" t="e">
        <f>INDEX([3]!Table_1[Brokerage Name2],MATCH(INVESTORS_LIST[[#This Row],[INVESTOR CODE]],[3]!Table_1[INVESTOR CODE],0))</f>
        <v>#REF!</v>
      </c>
      <c r="AE608" s="201" t="e">
        <f>MID(INVESTORS_LIST[[#This Row],[BO ID]],4,5)</f>
        <v>#REF!</v>
      </c>
      <c r="AF608" s="201" t="e">
        <f>MID(INVESTORS_LIST[[#This Row],[BO ID]],2,7)</f>
        <v>#REF!</v>
      </c>
      <c r="AG608" s="201" t="e">
        <f>MID(INVESTORS_LIST[[#This Row],[BO ID]],9,7)</f>
        <v>#REF!</v>
      </c>
      <c r="AH608" s="201" t="e">
        <f>RIGHT(INVESTORS_LIST[[#This Row],[BO ID]],1)</f>
        <v>#REF!</v>
      </c>
      <c r="AI608" s="50">
        <f>INVESTORS_LIST[[#This Row],[LS_TOTAL COST VALUE OF CURRENT UNITS]]+INVESTORS_LIST[[#This Row],[SIP_TOTAL COST VALUE OF CURRENT UNITS]]</f>
        <v>52999.999999999993</v>
      </c>
      <c r="AJ608" s="109">
        <f>IF(INVESTORS_LIST[[#This Row],[TOTAL CURRENT UNITS]]=0,0,INVESTORS_LIST[[#This Row],[LS_TOTAL CURRENT UNITS]]/INVESTORS_LIST[[#This Row],[TOTAL CURRENT UNITS]])</f>
        <v>0.66913032766691305</v>
      </c>
      <c r="AK608" s="109">
        <f>IF(INVESTORS_LIST[[#This Row],[TOTAL CURRENT UNITS]]=0,0,INVESTORS_LIST[[#This Row],[SIP_TOTAL CURRENT UNITS]]/INVESTORS_LIST[[#This Row],[TOTAL CURRENT UNITS]])</f>
        <v>0.33086967233308695</v>
      </c>
      <c r="AL608" s="99" cm="1">
        <f t="array" ref="AL608">IF(INVESTORS_LIST[[#This Row],[LS_TOTAL UNITS BUY]]&gt;0,INDEX(LS[NAV at Cost (Average)],MATCH(CONCATENATE(COUNTIFS(LS[Investor ID],INVESTORS_LIST[[#This Row],[INVESTOR CODE]]),INVESTORS_LIST[[#This Row],[INVESTOR CODE]]),LS[Unique Code],0),),0)</f>
        <v>12.88659793814433</v>
      </c>
      <c r="AM608" s="99" cm="1">
        <f t="array" ref="AM608">IF(INVESTORS_LIST[[#This Row],[SIP_TOTAL UNITS BUY]]&gt;0,INDEX(SIP[NAV at Cost (Average)],MATCH(CONCATENATE(COUNTIFS(SIP[Investor ID],INVESTORS_LIST[[#This Row],[INVESTOR CODE]]),INVESTORS_LIST[[#This Row],[INVESTOR CODE]]),SIP[Unique Code],0),),0)</f>
        <v>13.402829486224865</v>
      </c>
      <c r="AN608" s="105">
        <f>IF(INVESTORS_LIST[[#This Row],[TOTAL CURRENT UNITS]]=0,0,(INVESTORS_LIST[[#This Row],[LS_WEIGHT]]*INVESTORS_LIST[[#This Row],[LS_AVERAGE COST]])+(INVESTORS_LIST[[#This Row],[SIP_WEIGHT]]*INVESTORS_LIST[[#This Row],[SIP_AVERAGE COST]]))</f>
        <v>13.05740330130574</v>
      </c>
      <c r="AO608" s="105">
        <f t="shared" si="10"/>
        <v>14.224</v>
      </c>
      <c r="AP608" s="112">
        <f>IF(INVESTORS_LIST[[#This Row],[TOTAL CURRENT UNITS]]=0,0,INVESTORS_LIST[[#This Row],[TOTAL CURRENT UNITS]]*INVESTORS_LIST[[#This Row],[NAV]])</f>
        <v>57735.216</v>
      </c>
      <c r="AQ608" s="102">
        <f>IF(INVESTORS_LIST[[#This Row],[LS_TOTAL CURRENT UNITS]]=0,0,INVESTORS_LIST[[#This Row],[LS_TOTAL CURRENT UNITS]]*INVESTORS_LIST[[#This Row],[NAV]])</f>
        <v>38632.383999999998</v>
      </c>
      <c r="AR608" s="48">
        <f>IF(INVESTORS_LIST[[#This Row],[SIP_TOTAL CURRENT UNITS]]=0,0,INVESTORS_LIST[[#This Row],[SIP_TOTAL CURRENT UNITS]]*INVESTORS_LIST[[#This Row],[NAV]])</f>
        <v>19102.831999999999</v>
      </c>
      <c r="AS608" s="50">
        <f>INVESTORS_LIST[[#This Row],[TOTAL CURRENT UNITS]]</f>
        <v>4059</v>
      </c>
      <c r="AT608" s="48">
        <f>IF(INVESTORS_LIST[[#This Row],[TOTAL SELLABLE UNITS]]=0,0,INVESTORS_LIST[[#This Row],[TOTAL SELLABLE UNITS]]*INVESTORS_LIST[[#This Row],[NAV]])</f>
        <v>57735.216</v>
      </c>
      <c r="AU608" s="48">
        <f>INVESTORS_LIST[[#This Row],[LS_TOTAL REALIZED GAIN]]+INVESTORS_LIST[[#This Row],[SIP_TOTAL REALIZED GAIN]]</f>
        <v>0</v>
      </c>
      <c r="AV608" s="48">
        <f>INVESTORS_LIST[[#This Row],[TOTAL MARKET VALUE]]-INVESTORS_LIST[[#This Row],[TOTAL COST VALUE OF CURRENT INVESTMENT]]</f>
        <v>4735.2160000000076</v>
      </c>
      <c r="AW608" s="48">
        <f>IFERROR(INVESTORS_LIST[[#This Row],[TOTAL CURRENT UNITS]]/SUM(INVESTORS_LIST[TOTAL CURRENT UNITS]),0)</f>
        <v>9.8537127850284743E-5</v>
      </c>
    </row>
    <row r="609" spans="1:49">
      <c r="A609" s="262" t="s">
        <v>1325</v>
      </c>
      <c r="B609" s="97" t="s">
        <v>1324</v>
      </c>
      <c r="C609" t="s">
        <v>44</v>
      </c>
      <c r="D609" s="75" t="s">
        <v>45</v>
      </c>
      <c r="E609" s="50">
        <f>SUMIFS(LS[Unit],LS[Investor ID],INVESTORS_LIST[[#This Row],[INVESTOR CODE]],LS[B/S],"B")</f>
        <v>4854</v>
      </c>
      <c r="F609" s="50">
        <f>-SUMIFS(LS[Unit],LS[Investor ID],INVESTORS_LIST[[#This Row],[INVESTOR CODE]],LS[B/S],"S")</f>
        <v>2532</v>
      </c>
      <c r="G609" s="50">
        <f>IF(INVESTORS_LIST[[#This Row],[LS_TOTAL UNITS BUY]]=0,0,INVESTORS_LIST[[#This Row],[LS_TOTAL UNITS BUY]]-INVESTORS_LIST[[#This Row],[LS_TOTAL UNITS SOLD]])</f>
        <v>2322</v>
      </c>
      <c r="H609" s="180">
        <f>IF(INVESTORS_LIST[[#This Row],[LS_TOTAL UNITS BUY]]=0,0,SUMIFS(LS[Amount],LS[Investor ID],INVESTORS_LIST[[#This Row],[INVESTOR CODE]],LS[B/S],"B"))</f>
        <v>60000</v>
      </c>
      <c r="I609" s="48">
        <f>IF(INVESTORS_LIST[[#This Row],[LS_TOTAL UNITS SOLD]]=0,0,SUMIFS(LS[Cost of Units Sold],LS[Investor ID],INVESTORS_LIST[[#This Row],[INVESTOR CODE]],LS[B/S],"S"))</f>
        <v>31297.898640296662</v>
      </c>
      <c r="J609" s="48">
        <f>IF(INVESTORS_LIST[[#This Row],[LS_TOTAL CURRENT UNITS]]=0,0,INVESTORS_LIST[[#This Row],[LS_TOTAL CURRENT UNITS]]*INVESTORS_LIST[[#This Row],[LS_AVERAGE COST]])</f>
        <v>28702.101359703334</v>
      </c>
      <c r="K609" s="48">
        <f>IF(INVESTORS_LIST[[#This Row],[LS_TOTAL UNITS SOLD]]=0,0,SUMIFS(LS[Realized Gain],LS[Investor ID],INVESTORS_LIST[[#This Row],[INVESTOR CODE]],LS[B/S],"S"))</f>
        <v>3702.1013597033398</v>
      </c>
      <c r="L609" s="181">
        <f>SUMIFS(SIP[Unit],SIP[Investor ID],INVESTORS_LIST[[#This Row],[INVESTOR CODE]],SIP[B/S],"B")</f>
        <v>0</v>
      </c>
      <c r="M609" s="50">
        <f>-SUMIFS(SIP[Unit],SIP[Investor ID],INVESTORS_LIST[[#This Row],[INVESTOR CODE]],SIP[B/S],"S")</f>
        <v>0</v>
      </c>
      <c r="N609" s="50">
        <f>IF(INVESTORS_LIST[[#This Row],[SIP_TOTAL UNITS BUY]]=0,0,INVESTORS_LIST[[#This Row],[SIP_TOTAL UNITS BUY]]-INVESTORS_LIST[[#This Row],[SIP_TOTAL UNITS SOLD]])</f>
        <v>0</v>
      </c>
      <c r="O609" s="48">
        <f>IF(INVESTORS_LIST[[#This Row],[SIP_TOTAL UNITS BUY]]=0,0,SUMIFS(SIP[Amount],SIP[Investor ID],INVESTORS_LIST[[#This Row],[INVESTOR CODE]],SIP[B/S],"B"))</f>
        <v>0</v>
      </c>
      <c r="P609" s="48">
        <f>IF(INVESTORS_LIST[[#This Row],[SIP_TOTAL UNITS SOLD]]=0,0,SUMIFS(SIP[Cost of Units Sold],SIP[Investor ID],INVESTORS_LIST[[#This Row],[INVESTOR CODE]],SIP[B/S],"S"))</f>
        <v>0</v>
      </c>
      <c r="Q609" s="48">
        <f>IF(INVESTORS_LIST[[#This Row],[SIP_TOTAL CURRENT UNITS]]=0,0,INVESTORS_LIST[[#This Row],[SIP_TOTAL CURRENT UNITS]]*INVESTORS_LIST[[#This Row],[SIP_AVERAGE COST]])</f>
        <v>0</v>
      </c>
      <c r="R609" s="48">
        <f>IF(INVESTORS_LIST[[#This Row],[SIP_TOTAL UNITS SOLD]]=0,0,SUMIFS(SIP[Realized Gain],SIP[Investor ID],INVESTORS_LIST[[#This Row],[INVESTOR CODE]],SIP[B/S],"S"))</f>
        <v>0</v>
      </c>
      <c r="S609" s="50">
        <f>INVESTORS_LIST[[#This Row],[LS_TOTAL UNITS BUY]]+INVESTORS_LIST[[#This Row],[SIP_TOTAL UNITS BUY]]</f>
        <v>4854</v>
      </c>
      <c r="T609" s="50">
        <f>INVESTORS_LIST[[#This Row],[LS_TOTAL UNITS SOLD]]+INVESTORS_LIST[[#This Row],[SIP_TOTAL UNITS SOLD]]</f>
        <v>2532</v>
      </c>
      <c r="U609" s="50"/>
      <c r="V609" s="50">
        <f>SUMIFS(LS[BO UNIT TRANSFER],LS[Investor ID],INVESTORS_LIST[[#This Row],[INVESTOR CODE]],LS[B/S],"B")</f>
        <v>0</v>
      </c>
      <c r="W609" s="50">
        <f>SUMIFS(SIP[BO UNIT TRANSFER],SIP[Investor ID],INVESTORS_LIST[[#This Row],[INVESTOR CODE]],SIP[B/S],"B")</f>
        <v>0</v>
      </c>
      <c r="X609" s="50">
        <f>SUMIFS(LS[BO UNIT TRANSFER],LS[Investor ID],INVESTORS_LIST[[#This Row],[INVESTOR CODE]],LS[B/S],"S")</f>
        <v>0</v>
      </c>
      <c r="Y609" s="50">
        <f>SUMIFS(SIP[BO UNIT TRANSFER],SIP[Investor ID],INVESTORS_LIST[[#This Row],[INVESTOR CODE]],SIP[B/S],"S")</f>
        <v>0</v>
      </c>
      <c r="Z609" s="106">
        <f>SUM(INVESTORS_LIST[[#This Row],[BO OPENING BALANCE]:[BO SIP UNITS REPURCHASE]])</f>
        <v>0</v>
      </c>
      <c r="AA609" s="107">
        <f>INVESTORS_LIST[[#This Row],[TOTAL UNITS BUY]]-INVESTORS_LIST[[#This Row],[TOTAL UNITS SOLD]]</f>
        <v>2322</v>
      </c>
      <c r="AB609" s="107">
        <f>INVESTORS_LIST[[#This Row],[TOTAL CURRENT UNITS]]-INVESTORS_LIST[[#This Row],[BO UNITS HOLD]]</f>
        <v>2322</v>
      </c>
      <c r="AC609" s="201" t="e">
        <f>INDEX([3]!Table_1[BO ID],MATCH(INVESTORS_LIST[[#This Row],[INVESTOR CODE]],[3]!Table_1[INVESTOR CODE],0))</f>
        <v>#REF!</v>
      </c>
      <c r="AD609" s="201" t="e">
        <f>INDEX([3]!Table_1[Brokerage Name2],MATCH(INVESTORS_LIST[[#This Row],[INVESTOR CODE]],[3]!Table_1[INVESTOR CODE],0))</f>
        <v>#REF!</v>
      </c>
      <c r="AE609" s="201" t="e">
        <f>MID(INVESTORS_LIST[[#This Row],[BO ID]],4,5)</f>
        <v>#REF!</v>
      </c>
      <c r="AF609" s="201" t="e">
        <f>MID(INVESTORS_LIST[[#This Row],[BO ID]],2,7)</f>
        <v>#REF!</v>
      </c>
      <c r="AG609" s="201" t="e">
        <f>MID(INVESTORS_LIST[[#This Row],[BO ID]],9,7)</f>
        <v>#REF!</v>
      </c>
      <c r="AH609" s="201" t="e">
        <f>RIGHT(INVESTORS_LIST[[#This Row],[BO ID]],1)</f>
        <v>#REF!</v>
      </c>
      <c r="AI609" s="50">
        <f>INVESTORS_LIST[[#This Row],[LS_TOTAL COST VALUE OF CURRENT UNITS]]+INVESTORS_LIST[[#This Row],[SIP_TOTAL COST VALUE OF CURRENT UNITS]]</f>
        <v>28702.101359703334</v>
      </c>
      <c r="AJ609" s="109">
        <f>IF(INVESTORS_LIST[[#This Row],[TOTAL CURRENT UNITS]]=0,0,INVESTORS_LIST[[#This Row],[LS_TOTAL CURRENT UNITS]]/INVESTORS_LIST[[#This Row],[TOTAL CURRENT UNITS]])</f>
        <v>1</v>
      </c>
      <c r="AK609" s="109">
        <f>IF(INVESTORS_LIST[[#This Row],[TOTAL CURRENT UNITS]]=0,0,INVESTORS_LIST[[#This Row],[SIP_TOTAL CURRENT UNITS]]/INVESTORS_LIST[[#This Row],[TOTAL CURRENT UNITS]])</f>
        <v>0</v>
      </c>
      <c r="AL609" s="182" cm="1">
        <f t="array" ref="AL609">IF(INVESTORS_LIST[[#This Row],[LS_TOTAL UNITS BUY]]&gt;0,INDEX(LS[NAV at Cost (Average)],MATCH(CONCATENATE(COUNTIFS(LS[Investor ID],INVESTORS_LIST[[#This Row],[INVESTOR CODE]]),INVESTORS_LIST[[#This Row],[INVESTOR CODE]]),LS[Unique Code],0),),0)</f>
        <v>12.360939431396785</v>
      </c>
      <c r="AM609" s="182" cm="1">
        <f t="array" ref="AM6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09" s="105">
        <f>IF(INVESTORS_LIST[[#This Row],[TOTAL CURRENT UNITS]]=0,0,(INVESTORS_LIST[[#This Row],[LS_WEIGHT]]*INVESTORS_LIST[[#This Row],[LS_AVERAGE COST]])+(INVESTORS_LIST[[#This Row],[SIP_WEIGHT]]*INVESTORS_LIST[[#This Row],[SIP_AVERAGE COST]]))</f>
        <v>12.360939431396785</v>
      </c>
      <c r="AO609" s="105">
        <f t="shared" si="10"/>
        <v>14.224</v>
      </c>
      <c r="AP609" s="112">
        <f>IF(INVESTORS_LIST[[#This Row],[TOTAL CURRENT UNITS]]=0,0,INVESTORS_LIST[[#This Row],[TOTAL CURRENT UNITS]]*INVESTORS_LIST[[#This Row],[NAV]])</f>
        <v>33028.127999999997</v>
      </c>
      <c r="AQ609" s="180">
        <f>IF(INVESTORS_LIST[[#This Row],[LS_TOTAL CURRENT UNITS]]=0,0,INVESTORS_LIST[[#This Row],[LS_TOTAL CURRENT UNITS]]*INVESTORS_LIST[[#This Row],[NAV]])</f>
        <v>33028.127999999997</v>
      </c>
      <c r="AR609" s="48">
        <f>IF(INVESTORS_LIST[[#This Row],[SIP_TOTAL CURRENT UNITS]]=0,0,INVESTORS_LIST[[#This Row],[SIP_TOTAL CURRENT UNITS]]*INVESTORS_LIST[[#This Row],[NAV]])</f>
        <v>0</v>
      </c>
      <c r="AS609" s="50">
        <f>INVESTORS_LIST[[#This Row],[TOTAL CURRENT UNITS]]</f>
        <v>2322</v>
      </c>
      <c r="AT609" s="48">
        <f>IF(INVESTORS_LIST[[#This Row],[TOTAL SELLABLE UNITS]]=0,0,INVESTORS_LIST[[#This Row],[TOTAL SELLABLE UNITS]]*INVESTORS_LIST[[#This Row],[NAV]])</f>
        <v>33028.127999999997</v>
      </c>
      <c r="AU609" s="48">
        <f>INVESTORS_LIST[[#This Row],[LS_TOTAL REALIZED GAIN]]+INVESTORS_LIST[[#This Row],[SIP_TOTAL REALIZED GAIN]]</f>
        <v>3702.1013597033398</v>
      </c>
      <c r="AV609" s="48">
        <f>INVESTORS_LIST[[#This Row],[TOTAL MARKET VALUE]]-INVESTORS_LIST[[#This Row],[TOTAL COST VALUE OF CURRENT INVESTMENT]]</f>
        <v>4326.0266402966627</v>
      </c>
      <c r="AW609" s="48">
        <f>IFERROR(INVESTORS_LIST[[#This Row],[TOTAL CURRENT UNITS]]/SUM(INVESTORS_LIST[TOTAL CURRENT UNITS]),0)</f>
        <v>5.6369354734752689E-5</v>
      </c>
    </row>
    <row r="610" spans="1:49">
      <c r="A610" s="262" t="s">
        <v>1326</v>
      </c>
      <c r="B610" s="97" t="s">
        <v>1327</v>
      </c>
      <c r="C610" t="s">
        <v>44</v>
      </c>
      <c r="D610" s="75" t="s">
        <v>45</v>
      </c>
      <c r="E610" s="50">
        <f>SUMIFS(LS[Unit],LS[Investor ID],INVESTORS_LIST[[#This Row],[INVESTOR CODE]],LS[B/S],"B")</f>
        <v>40319</v>
      </c>
      <c r="F610" s="50">
        <f>-SUMIFS(LS[Unit],LS[Investor ID],INVESTORS_LIST[[#This Row],[INVESTOR CODE]],LS[B/S],"S")</f>
        <v>0</v>
      </c>
      <c r="G610" s="50">
        <f>IF(INVESTORS_LIST[[#This Row],[LS_TOTAL UNITS BUY]]=0,0,INVESTORS_LIST[[#This Row],[LS_TOTAL UNITS BUY]]-INVESTORS_LIST[[#This Row],[LS_TOTAL UNITS SOLD]])</f>
        <v>40319</v>
      </c>
      <c r="H610" s="102">
        <f>IF(INVESTORS_LIST[[#This Row],[LS_TOTAL UNITS BUY]]=0,0,SUMIFS(LS[Amount],LS[Investor ID],INVESTORS_LIST[[#This Row],[INVESTOR CODE]],LS[B/S],"B"))</f>
        <v>500000</v>
      </c>
      <c r="I610" s="48">
        <f>IF(INVESTORS_LIST[[#This Row],[LS_TOTAL UNITS SOLD]]=0,0,SUMIFS(LS[Cost of Units Sold],LS[Investor ID],INVESTORS_LIST[[#This Row],[INVESTOR CODE]],LS[B/S],"S"))</f>
        <v>0</v>
      </c>
      <c r="J610" s="48">
        <f>IF(INVESTORS_LIST[[#This Row],[LS_TOTAL CURRENT UNITS]]=0,0,INVESTORS_LIST[[#This Row],[LS_TOTAL CURRENT UNITS]]*INVESTORS_LIST[[#This Row],[LS_AVERAGE COST]])</f>
        <v>500000</v>
      </c>
      <c r="K610" s="48">
        <f>IF(INVESTORS_LIST[[#This Row],[LS_TOTAL UNITS SOLD]]=0,0,SUMIFS(LS[Realized Gain],LS[Investor ID],INVESTORS_LIST[[#This Row],[INVESTOR CODE]],LS[B/S],"S"))</f>
        <v>0</v>
      </c>
      <c r="L610" s="104">
        <f>SUMIFS(SIP[Unit],SIP[Investor ID],INVESTORS_LIST[[#This Row],[INVESTOR CODE]],SIP[B/S],"B")</f>
        <v>0</v>
      </c>
      <c r="M610" s="50">
        <f>-SUMIFS(SIP[Unit],SIP[Investor ID],INVESTORS_LIST[[#This Row],[INVESTOR CODE]],SIP[B/S],"S")</f>
        <v>0</v>
      </c>
      <c r="N610" s="50">
        <f>IF(INVESTORS_LIST[[#This Row],[SIP_TOTAL UNITS BUY]]=0,0,INVESTORS_LIST[[#This Row],[SIP_TOTAL UNITS BUY]]-INVESTORS_LIST[[#This Row],[SIP_TOTAL UNITS SOLD]])</f>
        <v>0</v>
      </c>
      <c r="O610" s="48">
        <f>IF(INVESTORS_LIST[[#This Row],[SIP_TOTAL UNITS BUY]]=0,0,SUMIFS(SIP[Amount],SIP[Investor ID],INVESTORS_LIST[[#This Row],[INVESTOR CODE]],SIP[B/S],"B"))</f>
        <v>0</v>
      </c>
      <c r="P610" s="48">
        <f>IF(INVESTORS_LIST[[#This Row],[SIP_TOTAL UNITS SOLD]]=0,0,SUMIFS(SIP[Cost of Units Sold],SIP[Investor ID],INVESTORS_LIST[[#This Row],[INVESTOR CODE]],SIP[B/S],"S"))</f>
        <v>0</v>
      </c>
      <c r="Q610" s="48">
        <f>IF(INVESTORS_LIST[[#This Row],[SIP_TOTAL CURRENT UNITS]]=0,0,INVESTORS_LIST[[#This Row],[SIP_TOTAL CURRENT UNITS]]*INVESTORS_LIST[[#This Row],[SIP_AVERAGE COST]])</f>
        <v>0</v>
      </c>
      <c r="R610" s="48">
        <f>IF(INVESTORS_LIST[[#This Row],[SIP_TOTAL UNITS SOLD]]=0,0,SUMIFS(SIP[Realized Gain],SIP[Investor ID],INVESTORS_LIST[[#This Row],[INVESTOR CODE]],SIP[B/S],"S"))</f>
        <v>0</v>
      </c>
      <c r="S610" s="50">
        <f>INVESTORS_LIST[[#This Row],[LS_TOTAL UNITS BUY]]+INVESTORS_LIST[[#This Row],[SIP_TOTAL UNITS BUY]]</f>
        <v>40319</v>
      </c>
      <c r="T610" s="50">
        <f>INVESTORS_LIST[[#This Row],[LS_TOTAL UNITS SOLD]]+INVESTORS_LIST[[#This Row],[SIP_TOTAL UNITS SOLD]]</f>
        <v>0</v>
      </c>
      <c r="U610" s="50">
        <v>40319</v>
      </c>
      <c r="V610" s="50">
        <f>SUMIFS(LS[BO UNIT TRANSFER],LS[Investor ID],INVESTORS_LIST[[#This Row],[INVESTOR CODE]],LS[B/S],"B")</f>
        <v>0</v>
      </c>
      <c r="W610" s="50">
        <f>SUMIFS(SIP[BO UNIT TRANSFER],SIP[Investor ID],INVESTORS_LIST[[#This Row],[INVESTOR CODE]],SIP[B/S],"B")</f>
        <v>0</v>
      </c>
      <c r="X610" s="50">
        <f>SUMIFS(LS[BO UNIT TRANSFER],LS[Investor ID],INVESTORS_LIST[[#This Row],[INVESTOR CODE]],LS[B/S],"S")</f>
        <v>0</v>
      </c>
      <c r="Y610" s="50">
        <f>SUMIFS(SIP[BO UNIT TRANSFER],SIP[Investor ID],INVESTORS_LIST[[#This Row],[INVESTOR CODE]],SIP[B/S],"S")</f>
        <v>0</v>
      </c>
      <c r="Z610" s="106">
        <f>SUM(INVESTORS_LIST[[#This Row],[BO OPENING BALANCE]:[BO SIP UNITS REPURCHASE]])</f>
        <v>40319</v>
      </c>
      <c r="AA610" s="107">
        <f>INVESTORS_LIST[[#This Row],[TOTAL UNITS BUY]]-INVESTORS_LIST[[#This Row],[TOTAL UNITS SOLD]]</f>
        <v>40319</v>
      </c>
      <c r="AB610" s="107">
        <f>INVESTORS_LIST[[#This Row],[TOTAL CURRENT UNITS]]-INVESTORS_LIST[[#This Row],[BO UNITS HOLD]]</f>
        <v>0</v>
      </c>
      <c r="AC610" s="201" t="e">
        <f>INDEX([3]!Table_1[BO ID],MATCH(INVESTORS_LIST[[#This Row],[INVESTOR CODE]],[3]!Table_1[INVESTOR CODE],0))</f>
        <v>#REF!</v>
      </c>
      <c r="AD610" s="201" t="e">
        <f>INDEX([3]!Table_1[Brokerage Name2],MATCH(INVESTORS_LIST[[#This Row],[INVESTOR CODE]],[3]!Table_1[INVESTOR CODE],0))</f>
        <v>#REF!</v>
      </c>
      <c r="AE610" s="201" t="e">
        <f>MID(INVESTORS_LIST[[#This Row],[BO ID]],4,5)</f>
        <v>#REF!</v>
      </c>
      <c r="AF610" s="201" t="e">
        <f>MID(INVESTORS_LIST[[#This Row],[BO ID]],2,7)</f>
        <v>#REF!</v>
      </c>
      <c r="AG610" s="201" t="e">
        <f>MID(INVESTORS_LIST[[#This Row],[BO ID]],9,7)</f>
        <v>#REF!</v>
      </c>
      <c r="AH610" s="201" t="e">
        <f>RIGHT(INVESTORS_LIST[[#This Row],[BO ID]],1)</f>
        <v>#REF!</v>
      </c>
      <c r="AI610" s="50">
        <f>INVESTORS_LIST[[#This Row],[LS_TOTAL COST VALUE OF CURRENT UNITS]]+INVESTORS_LIST[[#This Row],[SIP_TOTAL COST VALUE OF CURRENT UNITS]]</f>
        <v>500000</v>
      </c>
      <c r="AJ610" s="109">
        <f>IF(INVESTORS_LIST[[#This Row],[TOTAL CURRENT UNITS]]=0,0,INVESTORS_LIST[[#This Row],[LS_TOTAL CURRENT UNITS]]/INVESTORS_LIST[[#This Row],[TOTAL CURRENT UNITS]])</f>
        <v>1</v>
      </c>
      <c r="AK610" s="109">
        <f>IF(INVESTORS_LIST[[#This Row],[TOTAL CURRENT UNITS]]=0,0,INVESTORS_LIST[[#This Row],[SIP_TOTAL CURRENT UNITS]]/INVESTORS_LIST[[#This Row],[TOTAL CURRENT UNITS]])</f>
        <v>0</v>
      </c>
      <c r="AL610" s="99" cm="1">
        <f t="array" ref="AL610">IF(INVESTORS_LIST[[#This Row],[LS_TOTAL UNITS BUY]]&gt;0,INDEX(LS[NAV at Cost (Average)],MATCH(CONCATENATE(COUNTIFS(LS[Investor ID],INVESTORS_LIST[[#This Row],[INVESTOR CODE]]),INVESTORS_LIST[[#This Row],[INVESTOR CODE]]),LS[Unique Code],0),),0)</f>
        <v>12.40110121778814</v>
      </c>
      <c r="AM610" s="99" cm="1">
        <f t="array" ref="AM6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0" s="105">
        <f>IF(INVESTORS_LIST[[#This Row],[TOTAL CURRENT UNITS]]=0,0,(INVESTORS_LIST[[#This Row],[LS_WEIGHT]]*INVESTORS_LIST[[#This Row],[LS_AVERAGE COST]])+(INVESTORS_LIST[[#This Row],[SIP_WEIGHT]]*INVESTORS_LIST[[#This Row],[SIP_AVERAGE COST]]))</f>
        <v>12.40110121778814</v>
      </c>
      <c r="AO610" s="105">
        <f t="shared" si="10"/>
        <v>14.224</v>
      </c>
      <c r="AP610" s="112">
        <f>IF(INVESTORS_LIST[[#This Row],[TOTAL CURRENT UNITS]]=0,0,INVESTORS_LIST[[#This Row],[TOTAL CURRENT UNITS]]*INVESTORS_LIST[[#This Row],[NAV]])</f>
        <v>573497.45600000001</v>
      </c>
      <c r="AQ610" s="102">
        <f>IF(INVESTORS_LIST[[#This Row],[LS_TOTAL CURRENT UNITS]]=0,0,INVESTORS_LIST[[#This Row],[LS_TOTAL CURRENT UNITS]]*INVESTORS_LIST[[#This Row],[NAV]])</f>
        <v>573497.45600000001</v>
      </c>
      <c r="AR610" s="48">
        <f>IF(INVESTORS_LIST[[#This Row],[SIP_TOTAL CURRENT UNITS]]=0,0,INVESTORS_LIST[[#This Row],[SIP_TOTAL CURRENT UNITS]]*INVESTORS_LIST[[#This Row],[NAV]])</f>
        <v>0</v>
      </c>
      <c r="AS610" s="50">
        <f>INVESTORS_LIST[[#This Row],[TOTAL CURRENT UNITS]]</f>
        <v>40319</v>
      </c>
      <c r="AT610" s="48">
        <f>IF(INVESTORS_LIST[[#This Row],[TOTAL SELLABLE UNITS]]=0,0,INVESTORS_LIST[[#This Row],[TOTAL SELLABLE UNITS]]*INVESTORS_LIST[[#This Row],[NAV]])</f>
        <v>573497.45600000001</v>
      </c>
      <c r="AU610" s="48">
        <f>INVESTORS_LIST[[#This Row],[LS_TOTAL REALIZED GAIN]]+INVESTORS_LIST[[#This Row],[SIP_TOTAL REALIZED GAIN]]</f>
        <v>0</v>
      </c>
      <c r="AV610" s="48">
        <f>INVESTORS_LIST[[#This Row],[TOTAL MARKET VALUE]]-INVESTORS_LIST[[#This Row],[TOTAL COST VALUE OF CURRENT INVESTMENT]]</f>
        <v>73497.456000000006</v>
      </c>
      <c r="AW610" s="48">
        <f>IFERROR(INVESTORS_LIST[[#This Row],[TOTAL CURRENT UNITS]]/SUM(INVESTORS_LIST[TOTAL CURRENT UNITS]),0)</f>
        <v>9.7879242616300335E-4</v>
      </c>
    </row>
    <row r="611" spans="1:49">
      <c r="A611" s="262" t="s">
        <v>1328</v>
      </c>
      <c r="B611" s="97" t="s">
        <v>1329</v>
      </c>
      <c r="C611" t="s">
        <v>67</v>
      </c>
      <c r="D611" s="75" t="s">
        <v>45</v>
      </c>
      <c r="E611" s="50">
        <f>SUMIFS(LS[Unit],LS[Investor ID],INVESTORS_LIST[[#This Row],[INVESTOR CODE]],LS[B/S],"B")</f>
        <v>80639</v>
      </c>
      <c r="F611" s="50">
        <f>-SUMIFS(LS[Unit],LS[Investor ID],INVESTORS_LIST[[#This Row],[INVESTOR CODE]],LS[B/S],"S")</f>
        <v>0</v>
      </c>
      <c r="G611" s="50">
        <f>IF(INVESTORS_LIST[[#This Row],[LS_TOTAL UNITS BUY]]=0,0,INVESTORS_LIST[[#This Row],[LS_TOTAL UNITS BUY]]-INVESTORS_LIST[[#This Row],[LS_TOTAL UNITS SOLD]])</f>
        <v>80639</v>
      </c>
      <c r="H611" s="102">
        <f>IF(INVESTORS_LIST[[#This Row],[LS_TOTAL UNITS BUY]]=0,0,SUMIFS(LS[Amount],LS[Investor ID],INVESTORS_LIST[[#This Row],[INVESTOR CODE]],LS[B/S],"B"))</f>
        <v>1000000</v>
      </c>
      <c r="I611" s="48">
        <f>IF(INVESTORS_LIST[[#This Row],[LS_TOTAL UNITS SOLD]]=0,0,SUMIFS(LS[Cost of Units Sold],LS[Investor ID],INVESTORS_LIST[[#This Row],[INVESTOR CODE]],LS[B/S],"S"))</f>
        <v>0</v>
      </c>
      <c r="J611" s="48">
        <f>IF(INVESTORS_LIST[[#This Row],[LS_TOTAL CURRENT UNITS]]=0,0,INVESTORS_LIST[[#This Row],[LS_TOTAL CURRENT UNITS]]*INVESTORS_LIST[[#This Row],[LS_AVERAGE COST]])</f>
        <v>1000000</v>
      </c>
      <c r="K611" s="48">
        <f>IF(INVESTORS_LIST[[#This Row],[LS_TOTAL UNITS SOLD]]=0,0,SUMIFS(LS[Realized Gain],LS[Investor ID],INVESTORS_LIST[[#This Row],[INVESTOR CODE]],LS[B/S],"S"))</f>
        <v>0</v>
      </c>
      <c r="L611" s="104">
        <f>SUMIFS(SIP[Unit],SIP[Investor ID],INVESTORS_LIST[[#This Row],[INVESTOR CODE]],SIP[B/S],"B")</f>
        <v>0</v>
      </c>
      <c r="M611" s="50">
        <f>-SUMIFS(SIP[Unit],SIP[Investor ID],INVESTORS_LIST[[#This Row],[INVESTOR CODE]],SIP[B/S],"S")</f>
        <v>0</v>
      </c>
      <c r="N611" s="50">
        <f>IF(INVESTORS_LIST[[#This Row],[SIP_TOTAL UNITS BUY]]=0,0,INVESTORS_LIST[[#This Row],[SIP_TOTAL UNITS BUY]]-INVESTORS_LIST[[#This Row],[SIP_TOTAL UNITS SOLD]])</f>
        <v>0</v>
      </c>
      <c r="O611" s="48">
        <f>IF(INVESTORS_LIST[[#This Row],[SIP_TOTAL UNITS BUY]]=0,0,SUMIFS(SIP[Amount],SIP[Investor ID],INVESTORS_LIST[[#This Row],[INVESTOR CODE]],SIP[B/S],"B"))</f>
        <v>0</v>
      </c>
      <c r="P611" s="48">
        <f>IF(INVESTORS_LIST[[#This Row],[SIP_TOTAL UNITS SOLD]]=0,0,SUMIFS(SIP[Cost of Units Sold],SIP[Investor ID],INVESTORS_LIST[[#This Row],[INVESTOR CODE]],SIP[B/S],"S"))</f>
        <v>0</v>
      </c>
      <c r="Q611" s="48">
        <f>IF(INVESTORS_LIST[[#This Row],[SIP_TOTAL CURRENT UNITS]]=0,0,INVESTORS_LIST[[#This Row],[SIP_TOTAL CURRENT UNITS]]*INVESTORS_LIST[[#This Row],[SIP_AVERAGE COST]])</f>
        <v>0</v>
      </c>
      <c r="R611" s="48">
        <f>IF(INVESTORS_LIST[[#This Row],[SIP_TOTAL UNITS SOLD]]=0,0,SUMIFS(SIP[Realized Gain],SIP[Investor ID],INVESTORS_LIST[[#This Row],[INVESTOR CODE]],SIP[B/S],"S"))</f>
        <v>0</v>
      </c>
      <c r="S611" s="50">
        <f>INVESTORS_LIST[[#This Row],[LS_TOTAL UNITS BUY]]+INVESTORS_LIST[[#This Row],[SIP_TOTAL UNITS BUY]]</f>
        <v>80639</v>
      </c>
      <c r="T611" s="50">
        <f>INVESTORS_LIST[[#This Row],[LS_TOTAL UNITS SOLD]]+INVESTORS_LIST[[#This Row],[SIP_TOTAL UNITS SOLD]]</f>
        <v>0</v>
      </c>
      <c r="U611" s="50"/>
      <c r="V611" s="50">
        <f>SUMIFS(LS[BO UNIT TRANSFER],LS[Investor ID],INVESTORS_LIST[[#This Row],[INVESTOR CODE]],LS[B/S],"B")</f>
        <v>0</v>
      </c>
      <c r="W611" s="50">
        <f>SUMIFS(SIP[BO UNIT TRANSFER],SIP[Investor ID],INVESTORS_LIST[[#This Row],[INVESTOR CODE]],SIP[B/S],"B")</f>
        <v>0</v>
      </c>
      <c r="X611" s="50">
        <f>SUMIFS(LS[BO UNIT TRANSFER],LS[Investor ID],INVESTORS_LIST[[#This Row],[INVESTOR CODE]],LS[B/S],"S")</f>
        <v>0</v>
      </c>
      <c r="Y611" s="50">
        <f>SUMIFS(SIP[BO UNIT TRANSFER],SIP[Investor ID],INVESTORS_LIST[[#This Row],[INVESTOR CODE]],SIP[B/S],"S")</f>
        <v>0</v>
      </c>
      <c r="Z611" s="106">
        <f>SUM(INVESTORS_LIST[[#This Row],[BO OPENING BALANCE]:[BO SIP UNITS REPURCHASE]])</f>
        <v>0</v>
      </c>
      <c r="AA611" s="107">
        <f>INVESTORS_LIST[[#This Row],[TOTAL UNITS BUY]]-INVESTORS_LIST[[#This Row],[TOTAL UNITS SOLD]]</f>
        <v>80639</v>
      </c>
      <c r="AB611" s="107">
        <f>INVESTORS_LIST[[#This Row],[TOTAL CURRENT UNITS]]-INVESTORS_LIST[[#This Row],[BO UNITS HOLD]]</f>
        <v>80639</v>
      </c>
      <c r="AC611" s="201" t="e">
        <f>INDEX([3]!Table_1[BO ID],MATCH(INVESTORS_LIST[[#This Row],[INVESTOR CODE]],[3]!Table_1[INVESTOR CODE],0))</f>
        <v>#REF!</v>
      </c>
      <c r="AD611" s="201" t="e">
        <f>INDEX([3]!Table_1[Brokerage Name2],MATCH(INVESTORS_LIST[[#This Row],[INVESTOR CODE]],[3]!Table_1[INVESTOR CODE],0))</f>
        <v>#REF!</v>
      </c>
      <c r="AE611" s="201" t="e">
        <f>MID(INVESTORS_LIST[[#This Row],[BO ID]],4,5)</f>
        <v>#REF!</v>
      </c>
      <c r="AF611" s="201" t="e">
        <f>MID(INVESTORS_LIST[[#This Row],[BO ID]],2,7)</f>
        <v>#REF!</v>
      </c>
      <c r="AG611" s="201" t="e">
        <f>MID(INVESTORS_LIST[[#This Row],[BO ID]],9,7)</f>
        <v>#REF!</v>
      </c>
      <c r="AH611" s="201" t="e">
        <f>RIGHT(INVESTORS_LIST[[#This Row],[BO ID]],1)</f>
        <v>#REF!</v>
      </c>
      <c r="AI611" s="50">
        <f>INVESTORS_LIST[[#This Row],[LS_TOTAL COST VALUE OF CURRENT UNITS]]+INVESTORS_LIST[[#This Row],[SIP_TOTAL COST VALUE OF CURRENT UNITS]]</f>
        <v>1000000</v>
      </c>
      <c r="AJ611" s="109">
        <f>IF(INVESTORS_LIST[[#This Row],[TOTAL CURRENT UNITS]]=0,0,INVESTORS_LIST[[#This Row],[LS_TOTAL CURRENT UNITS]]/INVESTORS_LIST[[#This Row],[TOTAL CURRENT UNITS]])</f>
        <v>1</v>
      </c>
      <c r="AK611" s="109">
        <f>IF(INVESTORS_LIST[[#This Row],[TOTAL CURRENT UNITS]]=0,0,INVESTORS_LIST[[#This Row],[SIP_TOTAL CURRENT UNITS]]/INVESTORS_LIST[[#This Row],[TOTAL CURRENT UNITS]])</f>
        <v>0</v>
      </c>
      <c r="AL611" s="99" cm="1">
        <f t="array" ref="AL611">IF(INVESTORS_LIST[[#This Row],[LS_TOTAL UNITS BUY]]&gt;0,INDEX(LS[NAV at Cost (Average)],MATCH(CONCATENATE(COUNTIFS(LS[Investor ID],INVESTORS_LIST[[#This Row],[INVESTOR CODE]]),INVESTORS_LIST[[#This Row],[INVESTOR CODE]]),LS[Unique Code],0),),0)</f>
        <v>12.400947432383834</v>
      </c>
      <c r="AM611" s="99" cm="1">
        <f t="array" ref="AM6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1" s="105">
        <f>IF(INVESTORS_LIST[[#This Row],[TOTAL CURRENT UNITS]]=0,0,(INVESTORS_LIST[[#This Row],[LS_WEIGHT]]*INVESTORS_LIST[[#This Row],[LS_AVERAGE COST]])+(INVESTORS_LIST[[#This Row],[SIP_WEIGHT]]*INVESTORS_LIST[[#This Row],[SIP_AVERAGE COST]]))</f>
        <v>12.400947432383834</v>
      </c>
      <c r="AO611" s="105">
        <f t="shared" si="10"/>
        <v>14.224</v>
      </c>
      <c r="AP611" s="112">
        <f>IF(INVESTORS_LIST[[#This Row],[TOTAL CURRENT UNITS]]=0,0,INVESTORS_LIST[[#This Row],[TOTAL CURRENT UNITS]]*INVESTORS_LIST[[#This Row],[NAV]])</f>
        <v>1147009.1359999999</v>
      </c>
      <c r="AQ611" s="102">
        <f>IF(INVESTORS_LIST[[#This Row],[LS_TOTAL CURRENT UNITS]]=0,0,INVESTORS_LIST[[#This Row],[LS_TOTAL CURRENT UNITS]]*INVESTORS_LIST[[#This Row],[NAV]])</f>
        <v>1147009.1359999999</v>
      </c>
      <c r="AR611" s="48">
        <f>IF(INVESTORS_LIST[[#This Row],[SIP_TOTAL CURRENT UNITS]]=0,0,INVESTORS_LIST[[#This Row],[SIP_TOTAL CURRENT UNITS]]*INVESTORS_LIST[[#This Row],[NAV]])</f>
        <v>0</v>
      </c>
      <c r="AS611" s="50">
        <f>INVESTORS_LIST[[#This Row],[TOTAL CURRENT UNITS]]</f>
        <v>80639</v>
      </c>
      <c r="AT611" s="48">
        <f>IF(INVESTORS_LIST[[#This Row],[TOTAL SELLABLE UNITS]]=0,0,INVESTORS_LIST[[#This Row],[TOTAL SELLABLE UNITS]]*INVESTORS_LIST[[#This Row],[NAV]])</f>
        <v>1147009.1359999999</v>
      </c>
      <c r="AU611" s="48">
        <f>INVESTORS_LIST[[#This Row],[LS_TOTAL REALIZED GAIN]]+INVESTORS_LIST[[#This Row],[SIP_TOTAL REALIZED GAIN]]</f>
        <v>0</v>
      </c>
      <c r="AV611" s="48">
        <f>INVESTORS_LIST[[#This Row],[TOTAL MARKET VALUE]]-INVESTORS_LIST[[#This Row],[TOTAL COST VALUE OF CURRENT INVESTMENT]]</f>
        <v>147009.13599999994</v>
      </c>
      <c r="AW611" s="48">
        <f>IFERROR(INVESTORS_LIST[[#This Row],[TOTAL CURRENT UNITS]]/SUM(INVESTORS_LIST[TOTAL CURRENT UNITS]),0)</f>
        <v>1.9576091285339026E-3</v>
      </c>
    </row>
    <row r="612" spans="1:49">
      <c r="A612" s="262" t="s">
        <v>1332</v>
      </c>
      <c r="B612" s="97" t="s">
        <v>1333</v>
      </c>
      <c r="C612" s="99" t="s">
        <v>44</v>
      </c>
      <c r="D612" s="101" t="s">
        <v>45</v>
      </c>
      <c r="E612" s="50">
        <f>SUMIFS(LS[Unit],LS[Investor ID],INVESTORS_LIST[[#This Row],[INVESTOR CODE]],LS[B/S],"B")</f>
        <v>1000</v>
      </c>
      <c r="F612" s="50">
        <f>-SUMIFS(LS[Unit],LS[Investor ID],INVESTORS_LIST[[#This Row],[INVESTOR CODE]],LS[B/S],"S")</f>
        <v>500</v>
      </c>
      <c r="G612" s="50">
        <f>IF(INVESTORS_LIST[[#This Row],[LS_TOTAL UNITS BUY]]=0,0,INVESTORS_LIST[[#This Row],[LS_TOTAL UNITS BUY]]-INVESTORS_LIST[[#This Row],[LS_TOTAL UNITS SOLD]])</f>
        <v>500</v>
      </c>
      <c r="H612" s="184">
        <f>IF(INVESTORS_LIST[[#This Row],[LS_TOTAL UNITS BUY]]=0,0,SUMIFS(LS[Amount],LS[Investor ID],INVESTORS_LIST[[#This Row],[INVESTOR CODE]],LS[B/S],"B"))</f>
        <v>13003</v>
      </c>
      <c r="I612" s="48">
        <f>IF(INVESTORS_LIST[[#This Row],[LS_TOTAL UNITS SOLD]]=0,0,SUMIFS(LS[Cost of Units Sold],LS[Investor ID],INVESTORS_LIST[[#This Row],[INVESTOR CODE]],LS[B/S],"S"))</f>
        <v>6459</v>
      </c>
      <c r="J612" s="48">
        <f>IF(INVESTORS_LIST[[#This Row],[LS_TOTAL CURRENT UNITS]]=0,0,INVESTORS_LIST[[#This Row],[LS_TOTAL CURRENT UNITS]]*INVESTORS_LIST[[#This Row],[LS_AVERAGE COST]])</f>
        <v>6544</v>
      </c>
      <c r="K612" s="48">
        <f>IF(INVESTORS_LIST[[#This Row],[LS_TOTAL UNITS SOLD]]=0,0,SUMIFS(LS[Realized Gain],LS[Investor ID],INVESTORS_LIST[[#This Row],[INVESTOR CODE]],LS[B/S],"S"))</f>
        <v>84.999999999999972</v>
      </c>
      <c r="L612" s="185">
        <f>SUMIFS(SIP[Unit],SIP[Investor ID],INVESTORS_LIST[[#This Row],[INVESTOR CODE]],SIP[B/S],"B")</f>
        <v>0</v>
      </c>
      <c r="M612" s="50">
        <f>-SUMIFS(SIP[Unit],SIP[Investor ID],INVESTORS_LIST[[#This Row],[INVESTOR CODE]],SIP[B/S],"S")</f>
        <v>0</v>
      </c>
      <c r="N612" s="50">
        <f>IF(INVESTORS_LIST[[#This Row],[SIP_TOTAL UNITS BUY]]=0,0,INVESTORS_LIST[[#This Row],[SIP_TOTAL UNITS BUY]]-INVESTORS_LIST[[#This Row],[SIP_TOTAL UNITS SOLD]])</f>
        <v>0</v>
      </c>
      <c r="O612" s="48">
        <f>IF(INVESTORS_LIST[[#This Row],[SIP_TOTAL UNITS BUY]]=0,0,SUMIFS(SIP[Amount],SIP[Investor ID],INVESTORS_LIST[[#This Row],[INVESTOR CODE]],SIP[B/S],"B"))</f>
        <v>0</v>
      </c>
      <c r="P612" s="48">
        <f>IF(INVESTORS_LIST[[#This Row],[SIP_TOTAL UNITS SOLD]]=0,0,SUMIFS(SIP[Cost of Units Sold],SIP[Investor ID],INVESTORS_LIST[[#This Row],[INVESTOR CODE]],SIP[B/S],"S"))</f>
        <v>0</v>
      </c>
      <c r="Q612" s="48">
        <f>IF(INVESTORS_LIST[[#This Row],[SIP_TOTAL CURRENT UNITS]]=0,0,INVESTORS_LIST[[#This Row],[SIP_TOTAL CURRENT UNITS]]*INVESTORS_LIST[[#This Row],[SIP_AVERAGE COST]])</f>
        <v>0</v>
      </c>
      <c r="R612" s="48">
        <f>IF(INVESTORS_LIST[[#This Row],[SIP_TOTAL UNITS SOLD]]=0,0,SUMIFS(SIP[Realized Gain],SIP[Investor ID],INVESTORS_LIST[[#This Row],[INVESTOR CODE]],SIP[B/S],"S"))</f>
        <v>0</v>
      </c>
      <c r="S612" s="50">
        <f>INVESTORS_LIST[[#This Row],[LS_TOTAL UNITS BUY]]+INVESTORS_LIST[[#This Row],[SIP_TOTAL UNITS BUY]]</f>
        <v>1000</v>
      </c>
      <c r="T612" s="50">
        <f>INVESTORS_LIST[[#This Row],[LS_TOTAL UNITS SOLD]]+INVESTORS_LIST[[#This Row],[SIP_TOTAL UNITS SOLD]]</f>
        <v>500</v>
      </c>
      <c r="U612" s="50">
        <v>500</v>
      </c>
      <c r="V612" s="50">
        <f>SUMIFS(LS[BO UNIT TRANSFER],LS[Investor ID],INVESTORS_LIST[[#This Row],[INVESTOR CODE]],LS[B/S],"B")</f>
        <v>0</v>
      </c>
      <c r="W612" s="50">
        <f>SUMIFS(SIP[BO UNIT TRANSFER],SIP[Investor ID],INVESTORS_LIST[[#This Row],[INVESTOR CODE]],SIP[B/S],"B")</f>
        <v>0</v>
      </c>
      <c r="X612" s="50">
        <f>SUMIFS(LS[BO UNIT TRANSFER],LS[Investor ID],INVESTORS_LIST[[#This Row],[INVESTOR CODE]],LS[B/S],"S")</f>
        <v>0</v>
      </c>
      <c r="Y612" s="50">
        <f>SUMIFS(SIP[BO UNIT TRANSFER],SIP[Investor ID],INVESTORS_LIST[[#This Row],[INVESTOR CODE]],SIP[B/S],"S")</f>
        <v>0</v>
      </c>
      <c r="Z612" s="106">
        <f>SUM(INVESTORS_LIST[[#This Row],[BO OPENING BALANCE]:[BO SIP UNITS REPURCHASE]])</f>
        <v>500</v>
      </c>
      <c r="AA612" s="107">
        <f>INVESTORS_LIST[[#This Row],[TOTAL UNITS BUY]]-INVESTORS_LIST[[#This Row],[TOTAL UNITS SOLD]]</f>
        <v>500</v>
      </c>
      <c r="AB612" s="107">
        <f>INVESTORS_LIST[[#This Row],[TOTAL CURRENT UNITS]]-INVESTORS_LIST[[#This Row],[BO UNITS HOLD]]</f>
        <v>0</v>
      </c>
      <c r="AC612" s="201" t="e">
        <f>INDEX([3]!Table_1[BO ID],MATCH(INVESTORS_LIST[[#This Row],[INVESTOR CODE]],[3]!Table_1[INVESTOR CODE],0))</f>
        <v>#REF!</v>
      </c>
      <c r="AD612" s="201" t="e">
        <f>INDEX([3]!Table_1[Brokerage Name2],MATCH(INVESTORS_LIST[[#This Row],[INVESTOR CODE]],[3]!Table_1[INVESTOR CODE],0))</f>
        <v>#REF!</v>
      </c>
      <c r="AE612" s="201" t="e">
        <f>MID(INVESTORS_LIST[[#This Row],[BO ID]],4,5)</f>
        <v>#REF!</v>
      </c>
      <c r="AF612" s="201" t="e">
        <f>MID(INVESTORS_LIST[[#This Row],[BO ID]],2,7)</f>
        <v>#REF!</v>
      </c>
      <c r="AG612" s="201" t="e">
        <f>MID(INVESTORS_LIST[[#This Row],[BO ID]],9,7)</f>
        <v>#REF!</v>
      </c>
      <c r="AH612" s="201" t="e">
        <f>RIGHT(INVESTORS_LIST[[#This Row],[BO ID]],1)</f>
        <v>#REF!</v>
      </c>
      <c r="AI612" s="50">
        <f>INVESTORS_LIST[[#This Row],[LS_TOTAL COST VALUE OF CURRENT UNITS]]+INVESTORS_LIST[[#This Row],[SIP_TOTAL COST VALUE OF CURRENT UNITS]]</f>
        <v>6544</v>
      </c>
      <c r="AJ612" s="109">
        <f>IF(INVESTORS_LIST[[#This Row],[TOTAL CURRENT UNITS]]=0,0,INVESTORS_LIST[[#This Row],[LS_TOTAL CURRENT UNITS]]/INVESTORS_LIST[[#This Row],[TOTAL CURRENT UNITS]])</f>
        <v>1</v>
      </c>
      <c r="AK612" s="109">
        <f>IF(INVESTORS_LIST[[#This Row],[TOTAL CURRENT UNITS]]=0,0,INVESTORS_LIST[[#This Row],[SIP_TOTAL CURRENT UNITS]]/INVESTORS_LIST[[#This Row],[TOTAL CURRENT UNITS]])</f>
        <v>0</v>
      </c>
      <c r="AL612" s="186" cm="1">
        <f t="array" ref="AL612">IF(INVESTORS_LIST[[#This Row],[LS_TOTAL UNITS BUY]]&gt;0,INDEX(LS[NAV at Cost (Average)],MATCH(CONCATENATE(COUNTIFS(LS[Investor ID],INVESTORS_LIST[[#This Row],[INVESTOR CODE]]),INVESTORS_LIST[[#This Row],[INVESTOR CODE]]),LS[Unique Code],0),),0)</f>
        <v>13.087999999999999</v>
      </c>
      <c r="AM612" s="186" cm="1">
        <f t="array" ref="AM6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2" s="105">
        <f>IF(INVESTORS_LIST[[#This Row],[TOTAL CURRENT UNITS]]=0,0,(INVESTORS_LIST[[#This Row],[LS_WEIGHT]]*INVESTORS_LIST[[#This Row],[LS_AVERAGE COST]])+(INVESTORS_LIST[[#This Row],[SIP_WEIGHT]]*INVESTORS_LIST[[#This Row],[SIP_AVERAGE COST]]))</f>
        <v>13.087999999999999</v>
      </c>
      <c r="AO612" s="105">
        <f t="shared" si="10"/>
        <v>14.224</v>
      </c>
      <c r="AP612" s="112">
        <f>IF(INVESTORS_LIST[[#This Row],[TOTAL CURRENT UNITS]]=0,0,INVESTORS_LIST[[#This Row],[TOTAL CURRENT UNITS]]*INVESTORS_LIST[[#This Row],[NAV]])</f>
        <v>7112</v>
      </c>
      <c r="AQ612" s="184">
        <f>IF(INVESTORS_LIST[[#This Row],[LS_TOTAL CURRENT UNITS]]=0,0,INVESTORS_LIST[[#This Row],[LS_TOTAL CURRENT UNITS]]*INVESTORS_LIST[[#This Row],[NAV]])</f>
        <v>7112</v>
      </c>
      <c r="AR612" s="48">
        <f>IF(INVESTORS_LIST[[#This Row],[SIP_TOTAL CURRENT UNITS]]=0,0,INVESTORS_LIST[[#This Row],[SIP_TOTAL CURRENT UNITS]]*INVESTORS_LIST[[#This Row],[NAV]])</f>
        <v>0</v>
      </c>
      <c r="AS612" s="50">
        <f>INVESTORS_LIST[[#This Row],[TOTAL CURRENT UNITS]]</f>
        <v>500</v>
      </c>
      <c r="AT612" s="48">
        <f>IF(INVESTORS_LIST[[#This Row],[TOTAL SELLABLE UNITS]]=0,0,INVESTORS_LIST[[#This Row],[TOTAL SELLABLE UNITS]]*INVESTORS_LIST[[#This Row],[NAV]])</f>
        <v>7112</v>
      </c>
      <c r="AU612" s="48">
        <f>INVESTORS_LIST[[#This Row],[LS_TOTAL REALIZED GAIN]]+INVESTORS_LIST[[#This Row],[SIP_TOTAL REALIZED GAIN]]</f>
        <v>84.999999999999972</v>
      </c>
      <c r="AV612" s="48">
        <f>INVESTORS_LIST[[#This Row],[TOTAL MARKET VALUE]]-INVESTORS_LIST[[#This Row],[TOTAL COST VALUE OF CURRENT INVESTMENT]]</f>
        <v>568</v>
      </c>
      <c r="AW612" s="48">
        <f>IFERROR(INVESTORS_LIST[[#This Row],[TOTAL CURRENT UNITS]]/SUM(INVESTORS_LIST[TOTAL CURRENT UNITS]),0)</f>
        <v>1.2138103948051828E-5</v>
      </c>
    </row>
    <row r="613" spans="1:49" hidden="1">
      <c r="A613" s="262" t="s">
        <v>1330</v>
      </c>
      <c r="B613" s="97" t="s">
        <v>1331</v>
      </c>
      <c r="C613" t="s">
        <v>44</v>
      </c>
      <c r="D613" s="75" t="s">
        <v>45</v>
      </c>
      <c r="E613" s="50">
        <f>SUMIFS(LS[Unit],LS[Investor ID],INVESTORS_LIST[[#This Row],[INVESTOR CODE]],LS[B/S],"B")</f>
        <v>80053</v>
      </c>
      <c r="F613" s="50">
        <f>-SUMIFS(LS[Unit],LS[Investor ID],INVESTORS_LIST[[#This Row],[INVESTOR CODE]],LS[B/S],"S")</f>
        <v>80053</v>
      </c>
      <c r="G613" s="50">
        <f>IF(INVESTORS_LIST[[#This Row],[LS_TOTAL UNITS BUY]]=0,0,INVESTORS_LIST[[#This Row],[LS_TOTAL UNITS BUY]]-INVESTORS_LIST[[#This Row],[LS_TOTAL UNITS SOLD]])</f>
        <v>0</v>
      </c>
      <c r="H613" s="184">
        <f>IF(INVESTORS_LIST[[#This Row],[LS_TOTAL UNITS BUY]]=0,0,SUMIFS(LS[Amount],LS[Investor ID],INVESTORS_LIST[[#This Row],[INVESTOR CODE]],LS[B/S],"B"))</f>
        <v>1000000</v>
      </c>
      <c r="I613" s="48">
        <f>IF(INVESTORS_LIST[[#This Row],[LS_TOTAL UNITS SOLD]]=0,0,SUMIFS(LS[Cost of Units Sold],LS[Investor ID],INVESTORS_LIST[[#This Row],[INVESTOR CODE]],LS[B/S],"S"))</f>
        <v>1000000</v>
      </c>
      <c r="J613" s="48">
        <f>IF(INVESTORS_LIST[[#This Row],[LS_TOTAL CURRENT UNITS]]=0,0,INVESTORS_LIST[[#This Row],[LS_TOTAL CURRENT UNITS]]*INVESTORS_LIST[[#This Row],[LS_AVERAGE COST]])</f>
        <v>0</v>
      </c>
      <c r="K613" s="48">
        <f>IF(INVESTORS_LIST[[#This Row],[LS_TOTAL UNITS SOLD]]=0,0,SUMIFS(LS[Realized Gain],LS[Investor ID],INVESTORS_LIST[[#This Row],[INVESTOR CODE]],LS[B/S],"S"))</f>
        <v>93123.719999999958</v>
      </c>
      <c r="L613" s="185">
        <f>SUMIFS(SIP[Unit],SIP[Investor ID],INVESTORS_LIST[[#This Row],[INVESTOR CODE]],SIP[B/S],"B")</f>
        <v>0</v>
      </c>
      <c r="M613" s="50">
        <f>-SUMIFS(SIP[Unit],SIP[Investor ID],INVESTORS_LIST[[#This Row],[INVESTOR CODE]],SIP[B/S],"S")</f>
        <v>0</v>
      </c>
      <c r="N613" s="50">
        <f>IF(INVESTORS_LIST[[#This Row],[SIP_TOTAL UNITS BUY]]=0,0,INVESTORS_LIST[[#This Row],[SIP_TOTAL UNITS BUY]]-INVESTORS_LIST[[#This Row],[SIP_TOTAL UNITS SOLD]])</f>
        <v>0</v>
      </c>
      <c r="O613" s="48">
        <f>IF(INVESTORS_LIST[[#This Row],[SIP_TOTAL UNITS BUY]]=0,0,SUMIFS(SIP[Amount],SIP[Investor ID],INVESTORS_LIST[[#This Row],[INVESTOR CODE]],SIP[B/S],"B"))</f>
        <v>0</v>
      </c>
      <c r="P613" s="48">
        <f>IF(INVESTORS_LIST[[#This Row],[SIP_TOTAL UNITS SOLD]]=0,0,SUMIFS(SIP[Cost of Units Sold],SIP[Investor ID],INVESTORS_LIST[[#This Row],[INVESTOR CODE]],SIP[B/S],"S"))</f>
        <v>0</v>
      </c>
      <c r="Q613" s="48">
        <f>IF(INVESTORS_LIST[[#This Row],[SIP_TOTAL CURRENT UNITS]]=0,0,INVESTORS_LIST[[#This Row],[SIP_TOTAL CURRENT UNITS]]*INVESTORS_LIST[[#This Row],[SIP_AVERAGE COST]])</f>
        <v>0</v>
      </c>
      <c r="R613" s="48">
        <f>IF(INVESTORS_LIST[[#This Row],[SIP_TOTAL UNITS SOLD]]=0,0,SUMIFS(SIP[Realized Gain],SIP[Investor ID],INVESTORS_LIST[[#This Row],[INVESTOR CODE]],SIP[B/S],"S"))</f>
        <v>0</v>
      </c>
      <c r="S613" s="50">
        <f>INVESTORS_LIST[[#This Row],[LS_TOTAL UNITS BUY]]+INVESTORS_LIST[[#This Row],[SIP_TOTAL UNITS BUY]]</f>
        <v>80053</v>
      </c>
      <c r="T613" s="50">
        <f>INVESTORS_LIST[[#This Row],[LS_TOTAL UNITS SOLD]]+INVESTORS_LIST[[#This Row],[SIP_TOTAL UNITS SOLD]]</f>
        <v>80053</v>
      </c>
      <c r="U613" s="50"/>
      <c r="V613" s="50">
        <f>SUMIFS(LS[BO UNIT TRANSFER],LS[Investor ID],INVESTORS_LIST[[#This Row],[INVESTOR CODE]],LS[B/S],"B")</f>
        <v>0</v>
      </c>
      <c r="W613" s="50">
        <f>SUMIFS(SIP[BO UNIT TRANSFER],SIP[Investor ID],INVESTORS_LIST[[#This Row],[INVESTOR CODE]],SIP[B/S],"B")</f>
        <v>0</v>
      </c>
      <c r="X613" s="50">
        <f>SUMIFS(LS[BO UNIT TRANSFER],LS[Investor ID],INVESTORS_LIST[[#This Row],[INVESTOR CODE]],LS[B/S],"S")</f>
        <v>0</v>
      </c>
      <c r="Y613" s="50">
        <f>SUMIFS(SIP[BO UNIT TRANSFER],SIP[Investor ID],INVESTORS_LIST[[#This Row],[INVESTOR CODE]],SIP[B/S],"S")</f>
        <v>0</v>
      </c>
      <c r="Z613" s="106">
        <f>SUM(INVESTORS_LIST[[#This Row],[BO OPENING BALANCE]:[BO SIP UNITS REPURCHASE]])</f>
        <v>0</v>
      </c>
      <c r="AA613" s="107">
        <f>INVESTORS_LIST[[#This Row],[TOTAL UNITS BUY]]-INVESTORS_LIST[[#This Row],[TOTAL UNITS SOLD]]</f>
        <v>0</v>
      </c>
      <c r="AB613" s="107">
        <f>INVESTORS_LIST[[#This Row],[TOTAL CURRENT UNITS]]-INVESTORS_LIST[[#This Row],[BO UNITS HOLD]]</f>
        <v>0</v>
      </c>
      <c r="AC613" s="201" t="e">
        <f>INDEX([3]!Table_1[BO ID],MATCH(INVESTORS_LIST[[#This Row],[INVESTOR CODE]],[3]!Table_1[INVESTOR CODE],0))</f>
        <v>#REF!</v>
      </c>
      <c r="AD613" s="201" t="e">
        <f>INDEX([3]!Table_1[Brokerage Name2],MATCH(INVESTORS_LIST[[#This Row],[INVESTOR CODE]],[3]!Table_1[INVESTOR CODE],0))</f>
        <v>#REF!</v>
      </c>
      <c r="AE613" s="201" t="e">
        <f>MID(INVESTORS_LIST[[#This Row],[BO ID]],4,5)</f>
        <v>#REF!</v>
      </c>
      <c r="AF613" s="201" t="e">
        <f>MID(INVESTORS_LIST[[#This Row],[BO ID]],2,7)</f>
        <v>#REF!</v>
      </c>
      <c r="AG613" s="201" t="e">
        <f>MID(INVESTORS_LIST[[#This Row],[BO ID]],9,7)</f>
        <v>#REF!</v>
      </c>
      <c r="AH613" s="201" t="e">
        <f>RIGHT(INVESTORS_LIST[[#This Row],[BO ID]],1)</f>
        <v>#REF!</v>
      </c>
      <c r="AI613" s="50">
        <f>INVESTORS_LIST[[#This Row],[LS_TOTAL COST VALUE OF CURRENT UNITS]]+INVESTORS_LIST[[#This Row],[SIP_TOTAL COST VALUE OF CURRENT UNITS]]</f>
        <v>0</v>
      </c>
      <c r="AJ613" s="109">
        <f>IF(INVESTORS_LIST[[#This Row],[TOTAL CURRENT UNITS]]=0,0,INVESTORS_LIST[[#This Row],[LS_TOTAL CURRENT UNITS]]/INVESTORS_LIST[[#This Row],[TOTAL CURRENT UNITS]])</f>
        <v>0</v>
      </c>
      <c r="AK613" s="109">
        <f>IF(INVESTORS_LIST[[#This Row],[TOTAL CURRENT UNITS]]=0,0,INVESTORS_LIST[[#This Row],[SIP_TOTAL CURRENT UNITS]]/INVESTORS_LIST[[#This Row],[TOTAL CURRENT UNITS]])</f>
        <v>0</v>
      </c>
      <c r="AL613" s="186" cm="1">
        <f t="array" ref="AL6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3" s="186" cm="1">
        <f t="array" ref="AM6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3" s="105">
        <f t="shared" si="10"/>
        <v>14.224</v>
      </c>
      <c r="AP613" s="112">
        <f>IF(INVESTORS_LIST[[#This Row],[TOTAL CURRENT UNITS]]=0,0,INVESTORS_LIST[[#This Row],[TOTAL CURRENT UNITS]]*INVESTORS_LIST[[#This Row],[NAV]])</f>
        <v>0</v>
      </c>
      <c r="AQ613" s="184">
        <f>IF(INVESTORS_LIST[[#This Row],[LS_TOTAL CURRENT UNITS]]=0,0,INVESTORS_LIST[[#This Row],[LS_TOTAL CURRENT UNITS]]*INVESTORS_LIST[[#This Row],[NAV]])</f>
        <v>0</v>
      </c>
      <c r="AR613" s="48">
        <f>IF(INVESTORS_LIST[[#This Row],[SIP_TOTAL CURRENT UNITS]]=0,0,INVESTORS_LIST[[#This Row],[SIP_TOTAL CURRENT UNITS]]*INVESTORS_LIST[[#This Row],[NAV]])</f>
        <v>0</v>
      </c>
      <c r="AS613" s="50">
        <f>INVESTORS_LIST[[#This Row],[TOTAL CURRENT UNITS]]</f>
        <v>0</v>
      </c>
      <c r="AT613" s="48">
        <f>IF(INVESTORS_LIST[[#This Row],[TOTAL SELLABLE UNITS]]=0,0,INVESTORS_LIST[[#This Row],[TOTAL SELLABLE UNITS]]*INVESTORS_LIST[[#This Row],[NAV]])</f>
        <v>0</v>
      </c>
      <c r="AU613" s="48">
        <f>INVESTORS_LIST[[#This Row],[LS_TOTAL REALIZED GAIN]]+INVESTORS_LIST[[#This Row],[SIP_TOTAL REALIZED GAIN]]</f>
        <v>93123.719999999958</v>
      </c>
      <c r="AV613" s="48">
        <f>INVESTORS_LIST[[#This Row],[TOTAL MARKET VALUE]]-INVESTORS_LIST[[#This Row],[TOTAL COST VALUE OF CURRENT INVESTMENT]]</f>
        <v>0</v>
      </c>
      <c r="AW613" s="48">
        <f>IFERROR(INVESTORS_LIST[[#This Row],[TOTAL CURRENT UNITS]]/SUM(INVESTORS_LIST[TOTAL CURRENT UNITS]),0)</f>
        <v>0</v>
      </c>
    </row>
    <row r="614" spans="1:49">
      <c r="A614" s="262" t="s">
        <v>1334</v>
      </c>
      <c r="B614" s="97" t="s">
        <v>1335</v>
      </c>
      <c r="C614" s="99" t="s">
        <v>44</v>
      </c>
      <c r="D614" s="101" t="s">
        <v>45</v>
      </c>
      <c r="E614" s="50">
        <f>SUMIFS(LS[Unit],LS[Investor ID],INVESTORS_LIST[[#This Row],[INVESTOR CODE]],LS[B/S],"B")</f>
        <v>40013</v>
      </c>
      <c r="F614" s="50">
        <f>-SUMIFS(LS[Unit],LS[Investor ID],INVESTORS_LIST[[#This Row],[INVESTOR CODE]],LS[B/S],"S")</f>
        <v>0</v>
      </c>
      <c r="G614" s="50">
        <f>IF(INVESTORS_LIST[[#This Row],[LS_TOTAL UNITS BUY]]=0,0,INVESTORS_LIST[[#This Row],[LS_TOTAL UNITS BUY]]-INVESTORS_LIST[[#This Row],[LS_TOTAL UNITS SOLD]])</f>
        <v>40013</v>
      </c>
      <c r="H614" s="102">
        <f>IF(INVESTORS_LIST[[#This Row],[LS_TOTAL UNITS BUY]]=0,0,SUMIFS(LS[Amount],LS[Investor ID],INVESTORS_LIST[[#This Row],[INVESTOR CODE]],LS[B/S],"B"))</f>
        <v>500000</v>
      </c>
      <c r="I614" s="48">
        <f>IF(INVESTORS_LIST[[#This Row],[LS_TOTAL UNITS SOLD]]=0,0,SUMIFS(LS[Cost of Units Sold],LS[Investor ID],INVESTORS_LIST[[#This Row],[INVESTOR CODE]],LS[B/S],"S"))</f>
        <v>0</v>
      </c>
      <c r="J614" s="48">
        <f>IF(INVESTORS_LIST[[#This Row],[LS_TOTAL CURRENT UNITS]]=0,0,INVESTORS_LIST[[#This Row],[LS_TOTAL CURRENT UNITS]]*INVESTORS_LIST[[#This Row],[LS_AVERAGE COST]])</f>
        <v>500000</v>
      </c>
      <c r="K614" s="48">
        <f>IF(INVESTORS_LIST[[#This Row],[LS_TOTAL UNITS SOLD]]=0,0,SUMIFS(LS[Realized Gain],LS[Investor ID],INVESTORS_LIST[[#This Row],[INVESTOR CODE]],LS[B/S],"S"))</f>
        <v>0</v>
      </c>
      <c r="L614" s="104">
        <f>SUMIFS(SIP[Unit],SIP[Investor ID],INVESTORS_LIST[[#This Row],[INVESTOR CODE]],SIP[B/S],"B")</f>
        <v>0</v>
      </c>
      <c r="M614" s="50">
        <f>-SUMIFS(SIP[Unit],SIP[Investor ID],INVESTORS_LIST[[#This Row],[INVESTOR CODE]],SIP[B/S],"S")</f>
        <v>0</v>
      </c>
      <c r="N614" s="50">
        <f>IF(INVESTORS_LIST[[#This Row],[SIP_TOTAL UNITS BUY]]=0,0,INVESTORS_LIST[[#This Row],[SIP_TOTAL UNITS BUY]]-INVESTORS_LIST[[#This Row],[SIP_TOTAL UNITS SOLD]])</f>
        <v>0</v>
      </c>
      <c r="O614" s="48">
        <f>IF(INVESTORS_LIST[[#This Row],[SIP_TOTAL UNITS BUY]]=0,0,SUMIFS(SIP[Amount],SIP[Investor ID],INVESTORS_LIST[[#This Row],[INVESTOR CODE]],SIP[B/S],"B"))</f>
        <v>0</v>
      </c>
      <c r="P614" s="48">
        <f>IF(INVESTORS_LIST[[#This Row],[SIP_TOTAL UNITS SOLD]]=0,0,SUMIFS(SIP[Cost of Units Sold],SIP[Investor ID],INVESTORS_LIST[[#This Row],[INVESTOR CODE]],SIP[B/S],"S"))</f>
        <v>0</v>
      </c>
      <c r="Q614" s="48">
        <f>IF(INVESTORS_LIST[[#This Row],[SIP_TOTAL CURRENT UNITS]]=0,0,INVESTORS_LIST[[#This Row],[SIP_TOTAL CURRENT UNITS]]*INVESTORS_LIST[[#This Row],[SIP_AVERAGE COST]])</f>
        <v>0</v>
      </c>
      <c r="R614" s="48">
        <f>IF(INVESTORS_LIST[[#This Row],[SIP_TOTAL UNITS SOLD]]=0,0,SUMIFS(SIP[Realized Gain],SIP[Investor ID],INVESTORS_LIST[[#This Row],[INVESTOR CODE]],SIP[B/S],"S"))</f>
        <v>0</v>
      </c>
      <c r="S614" s="50">
        <f>INVESTORS_LIST[[#This Row],[LS_TOTAL UNITS BUY]]+INVESTORS_LIST[[#This Row],[SIP_TOTAL UNITS BUY]]</f>
        <v>40013</v>
      </c>
      <c r="T614" s="50">
        <f>INVESTORS_LIST[[#This Row],[LS_TOTAL UNITS SOLD]]+INVESTORS_LIST[[#This Row],[SIP_TOTAL UNITS SOLD]]</f>
        <v>0</v>
      </c>
      <c r="U614" s="50">
        <v>40013</v>
      </c>
      <c r="V614" s="50">
        <f>SUMIFS(LS[BO UNIT TRANSFER],LS[Investor ID],INVESTORS_LIST[[#This Row],[INVESTOR CODE]],LS[B/S],"B")</f>
        <v>0</v>
      </c>
      <c r="W614" s="50">
        <f>SUMIFS(SIP[BO UNIT TRANSFER],SIP[Investor ID],INVESTORS_LIST[[#This Row],[INVESTOR CODE]],SIP[B/S],"B")</f>
        <v>0</v>
      </c>
      <c r="X614" s="50">
        <f>SUMIFS(LS[BO UNIT TRANSFER],LS[Investor ID],INVESTORS_LIST[[#This Row],[INVESTOR CODE]],LS[B/S],"S")</f>
        <v>0</v>
      </c>
      <c r="Y614" s="50">
        <f>SUMIFS(SIP[BO UNIT TRANSFER],SIP[Investor ID],INVESTORS_LIST[[#This Row],[INVESTOR CODE]],SIP[B/S],"S")</f>
        <v>0</v>
      </c>
      <c r="Z614" s="106">
        <f>SUM(INVESTORS_LIST[[#This Row],[BO OPENING BALANCE]:[BO SIP UNITS REPURCHASE]])</f>
        <v>40013</v>
      </c>
      <c r="AA614" s="107">
        <f>INVESTORS_LIST[[#This Row],[TOTAL UNITS BUY]]-INVESTORS_LIST[[#This Row],[TOTAL UNITS SOLD]]</f>
        <v>40013</v>
      </c>
      <c r="AB614" s="107">
        <f>INVESTORS_LIST[[#This Row],[TOTAL CURRENT UNITS]]-INVESTORS_LIST[[#This Row],[BO UNITS HOLD]]</f>
        <v>0</v>
      </c>
      <c r="AC614" s="201" t="e">
        <f>INDEX([3]!Table_1[BO ID],MATCH(INVESTORS_LIST[[#This Row],[INVESTOR CODE]],[3]!Table_1[INVESTOR CODE],0))</f>
        <v>#REF!</v>
      </c>
      <c r="AD614" s="201" t="e">
        <f>INDEX([3]!Table_1[Brokerage Name2],MATCH(INVESTORS_LIST[[#This Row],[INVESTOR CODE]],[3]!Table_1[INVESTOR CODE],0))</f>
        <v>#REF!</v>
      </c>
      <c r="AE614" s="201" t="e">
        <f>MID(INVESTORS_LIST[[#This Row],[BO ID]],4,5)</f>
        <v>#REF!</v>
      </c>
      <c r="AF614" s="201" t="e">
        <f>MID(INVESTORS_LIST[[#This Row],[BO ID]],2,7)</f>
        <v>#REF!</v>
      </c>
      <c r="AG614" s="201" t="e">
        <f>MID(INVESTORS_LIST[[#This Row],[BO ID]],9,7)</f>
        <v>#REF!</v>
      </c>
      <c r="AH614" s="201" t="e">
        <f>RIGHT(INVESTORS_LIST[[#This Row],[BO ID]],1)</f>
        <v>#REF!</v>
      </c>
      <c r="AI614" s="50">
        <f>INVESTORS_LIST[[#This Row],[LS_TOTAL COST VALUE OF CURRENT UNITS]]+INVESTORS_LIST[[#This Row],[SIP_TOTAL COST VALUE OF CURRENT UNITS]]</f>
        <v>500000</v>
      </c>
      <c r="AJ614" s="109">
        <f>IF(INVESTORS_LIST[[#This Row],[TOTAL CURRENT UNITS]]=0,0,INVESTORS_LIST[[#This Row],[LS_TOTAL CURRENT UNITS]]/INVESTORS_LIST[[#This Row],[TOTAL CURRENT UNITS]])</f>
        <v>1</v>
      </c>
      <c r="AK614" s="109">
        <f>IF(INVESTORS_LIST[[#This Row],[TOTAL CURRENT UNITS]]=0,0,INVESTORS_LIST[[#This Row],[SIP_TOTAL CURRENT UNITS]]/INVESTORS_LIST[[#This Row],[TOTAL CURRENT UNITS]])</f>
        <v>0</v>
      </c>
      <c r="AL614" s="99" cm="1">
        <f t="array" ref="AL614">IF(INVESTORS_LIST[[#This Row],[LS_TOTAL UNITS BUY]]&gt;0,INDEX(LS[NAV at Cost (Average)],MATCH(CONCATENATE(COUNTIFS(LS[Investor ID],INVESTORS_LIST[[#This Row],[INVESTOR CODE]]),INVESTORS_LIST[[#This Row],[INVESTOR CODE]]),LS[Unique Code],0),),0)</f>
        <v>12.495938819883538</v>
      </c>
      <c r="AM614" s="99" cm="1">
        <f t="array" ref="AM6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4" s="105">
        <f>IF(INVESTORS_LIST[[#This Row],[TOTAL CURRENT UNITS]]=0,0,(INVESTORS_LIST[[#This Row],[LS_WEIGHT]]*INVESTORS_LIST[[#This Row],[LS_AVERAGE COST]])+(INVESTORS_LIST[[#This Row],[SIP_WEIGHT]]*INVESTORS_LIST[[#This Row],[SIP_AVERAGE COST]]))</f>
        <v>12.495938819883538</v>
      </c>
      <c r="AO614" s="105">
        <f t="shared" si="10"/>
        <v>14.224</v>
      </c>
      <c r="AP614" s="112">
        <f>IF(INVESTORS_LIST[[#This Row],[TOTAL CURRENT UNITS]]=0,0,INVESTORS_LIST[[#This Row],[TOTAL CURRENT UNITS]]*INVESTORS_LIST[[#This Row],[NAV]])</f>
        <v>569144.91200000001</v>
      </c>
      <c r="AQ614" s="102">
        <f>IF(INVESTORS_LIST[[#This Row],[LS_TOTAL CURRENT UNITS]]=0,0,INVESTORS_LIST[[#This Row],[LS_TOTAL CURRENT UNITS]]*INVESTORS_LIST[[#This Row],[NAV]])</f>
        <v>569144.91200000001</v>
      </c>
      <c r="AR614" s="48">
        <f>IF(INVESTORS_LIST[[#This Row],[SIP_TOTAL CURRENT UNITS]]=0,0,INVESTORS_LIST[[#This Row],[SIP_TOTAL CURRENT UNITS]]*INVESTORS_LIST[[#This Row],[NAV]])</f>
        <v>0</v>
      </c>
      <c r="AS614" s="50">
        <f>INVESTORS_LIST[[#This Row],[TOTAL CURRENT UNITS]]</f>
        <v>40013</v>
      </c>
      <c r="AT614" s="48">
        <f>IF(INVESTORS_LIST[[#This Row],[TOTAL SELLABLE UNITS]]=0,0,INVESTORS_LIST[[#This Row],[TOTAL SELLABLE UNITS]]*INVESTORS_LIST[[#This Row],[NAV]])</f>
        <v>569144.91200000001</v>
      </c>
      <c r="AU614" s="48">
        <f>INVESTORS_LIST[[#This Row],[LS_TOTAL REALIZED GAIN]]+INVESTORS_LIST[[#This Row],[SIP_TOTAL REALIZED GAIN]]</f>
        <v>0</v>
      </c>
      <c r="AV614" s="48">
        <f>INVESTORS_LIST[[#This Row],[TOTAL MARKET VALUE]]-INVESTORS_LIST[[#This Row],[TOTAL COST VALUE OF CURRENT INVESTMENT]]</f>
        <v>69144.912000000011</v>
      </c>
      <c r="AW614" s="48">
        <f>IFERROR(INVESTORS_LIST[[#This Row],[TOTAL CURRENT UNITS]]/SUM(INVESTORS_LIST[TOTAL CURRENT UNITS]),0)</f>
        <v>9.7136390654679558E-4</v>
      </c>
    </row>
    <row r="615" spans="1:49" hidden="1">
      <c r="A615" s="262" t="s">
        <v>1336</v>
      </c>
      <c r="B615" s="97" t="s">
        <v>1337</v>
      </c>
      <c r="C615" s="99" t="s">
        <v>48</v>
      </c>
      <c r="D615" s="101" t="s">
        <v>132</v>
      </c>
      <c r="E615" s="50">
        <f>SUMIFS(LS[Unit],LS[Investor ID],INVESTORS_LIST[[#This Row],[INVESTOR CODE]],LS[B/S],"B")</f>
        <v>0</v>
      </c>
      <c r="F615" s="50">
        <f>-SUMIFS(LS[Unit],LS[Investor ID],INVESTORS_LIST[[#This Row],[INVESTOR CODE]],LS[B/S],"S")</f>
        <v>0</v>
      </c>
      <c r="G615" s="50">
        <f>IF(INVESTORS_LIST[[#This Row],[LS_TOTAL UNITS BUY]]=0,0,INVESTORS_LIST[[#This Row],[LS_TOTAL UNITS BUY]]-INVESTORS_LIST[[#This Row],[LS_TOTAL UNITS SOLD]])</f>
        <v>0</v>
      </c>
      <c r="H615" s="102">
        <f>IF(INVESTORS_LIST[[#This Row],[LS_TOTAL UNITS BUY]]=0,0,SUMIFS(LS[Amount],LS[Investor ID],INVESTORS_LIST[[#This Row],[INVESTOR CODE]],LS[B/S],"B"))</f>
        <v>0</v>
      </c>
      <c r="I615" s="48">
        <f>IF(INVESTORS_LIST[[#This Row],[LS_TOTAL UNITS SOLD]]=0,0,SUMIFS(LS[Cost of Units Sold],LS[Investor ID],INVESTORS_LIST[[#This Row],[INVESTOR CODE]],LS[B/S],"S"))</f>
        <v>0</v>
      </c>
      <c r="J615" s="48">
        <f>IF(INVESTORS_LIST[[#This Row],[LS_TOTAL CURRENT UNITS]]=0,0,INVESTORS_LIST[[#This Row],[LS_TOTAL CURRENT UNITS]]*INVESTORS_LIST[[#This Row],[LS_AVERAGE COST]])</f>
        <v>0</v>
      </c>
      <c r="K615" s="48">
        <f>IF(INVESTORS_LIST[[#This Row],[LS_TOTAL UNITS SOLD]]=0,0,SUMIFS(LS[Realized Gain],LS[Investor ID],INVESTORS_LIST[[#This Row],[INVESTOR CODE]],LS[B/S],"S"))</f>
        <v>0</v>
      </c>
      <c r="L615" s="104">
        <f>SUMIFS(SIP[Unit],SIP[Investor ID],INVESTORS_LIST[[#This Row],[INVESTOR CODE]],SIP[B/S],"B")</f>
        <v>0</v>
      </c>
      <c r="M615" s="50">
        <f>-SUMIFS(SIP[Unit],SIP[Investor ID],INVESTORS_LIST[[#This Row],[INVESTOR CODE]],SIP[B/S],"S")</f>
        <v>0</v>
      </c>
      <c r="N615" s="50">
        <f>IF(INVESTORS_LIST[[#This Row],[SIP_TOTAL UNITS BUY]]=0,0,INVESTORS_LIST[[#This Row],[SIP_TOTAL UNITS BUY]]-INVESTORS_LIST[[#This Row],[SIP_TOTAL UNITS SOLD]])</f>
        <v>0</v>
      </c>
      <c r="O615" s="48">
        <f>IF(INVESTORS_LIST[[#This Row],[SIP_TOTAL UNITS BUY]]=0,0,SUMIFS(SIP[Amount],SIP[Investor ID],INVESTORS_LIST[[#This Row],[INVESTOR CODE]],SIP[B/S],"B"))</f>
        <v>0</v>
      </c>
      <c r="P615" s="48">
        <f>IF(INVESTORS_LIST[[#This Row],[SIP_TOTAL UNITS SOLD]]=0,0,SUMIFS(SIP[Cost of Units Sold],SIP[Investor ID],INVESTORS_LIST[[#This Row],[INVESTOR CODE]],SIP[B/S],"S"))</f>
        <v>0</v>
      </c>
      <c r="Q615" s="48">
        <f>IF(INVESTORS_LIST[[#This Row],[SIP_TOTAL CURRENT UNITS]]=0,0,INVESTORS_LIST[[#This Row],[SIP_TOTAL CURRENT UNITS]]*INVESTORS_LIST[[#This Row],[SIP_AVERAGE COST]])</f>
        <v>0</v>
      </c>
      <c r="R615" s="48">
        <f>IF(INVESTORS_LIST[[#This Row],[SIP_TOTAL UNITS SOLD]]=0,0,SUMIFS(SIP[Realized Gain],SIP[Investor ID],INVESTORS_LIST[[#This Row],[INVESTOR CODE]],SIP[B/S],"S"))</f>
        <v>0</v>
      </c>
      <c r="S615" s="50">
        <f>INVESTORS_LIST[[#This Row],[LS_TOTAL UNITS BUY]]+INVESTORS_LIST[[#This Row],[SIP_TOTAL UNITS BUY]]</f>
        <v>0</v>
      </c>
      <c r="T615" s="50">
        <f>INVESTORS_LIST[[#This Row],[LS_TOTAL UNITS SOLD]]+INVESTORS_LIST[[#This Row],[SIP_TOTAL UNITS SOLD]]</f>
        <v>0</v>
      </c>
      <c r="U615" s="50"/>
      <c r="V615" s="50">
        <f>SUMIFS(LS[BO UNIT TRANSFER],LS[Investor ID],INVESTORS_LIST[[#This Row],[INVESTOR CODE]],LS[B/S],"B")</f>
        <v>0</v>
      </c>
      <c r="W615" s="50">
        <f>SUMIFS(SIP[BO UNIT TRANSFER],SIP[Investor ID],INVESTORS_LIST[[#This Row],[INVESTOR CODE]],SIP[B/S],"B")</f>
        <v>0</v>
      </c>
      <c r="X615" s="50">
        <f>SUMIFS(LS[BO UNIT TRANSFER],LS[Investor ID],INVESTORS_LIST[[#This Row],[INVESTOR CODE]],LS[B/S],"S")</f>
        <v>0</v>
      </c>
      <c r="Y615" s="50">
        <f>SUMIFS(SIP[BO UNIT TRANSFER],SIP[Investor ID],INVESTORS_LIST[[#This Row],[INVESTOR CODE]],SIP[B/S],"S")</f>
        <v>0</v>
      </c>
      <c r="Z615" s="106">
        <f>SUM(INVESTORS_LIST[[#This Row],[BO OPENING BALANCE]:[BO SIP UNITS REPURCHASE]])</f>
        <v>0</v>
      </c>
      <c r="AA615" s="107">
        <f>INVESTORS_LIST[[#This Row],[TOTAL UNITS BUY]]-INVESTORS_LIST[[#This Row],[TOTAL UNITS SOLD]]</f>
        <v>0</v>
      </c>
      <c r="AB615" s="107">
        <f>INVESTORS_LIST[[#This Row],[TOTAL CURRENT UNITS]]-INVESTORS_LIST[[#This Row],[BO UNITS HOLD]]</f>
        <v>0</v>
      </c>
      <c r="AC615" s="201" t="e">
        <f>INDEX([3]!Table_1[BO ID],MATCH(INVESTORS_LIST[[#This Row],[INVESTOR CODE]],[3]!Table_1[INVESTOR CODE],0))</f>
        <v>#REF!</v>
      </c>
      <c r="AD615" s="201" t="e">
        <f>INDEX([3]!Table_1[Brokerage Name2],MATCH(INVESTORS_LIST[[#This Row],[INVESTOR CODE]],[3]!Table_1[INVESTOR CODE],0))</f>
        <v>#REF!</v>
      </c>
      <c r="AE615" s="201" t="e">
        <f>MID(INVESTORS_LIST[[#This Row],[BO ID]],4,5)</f>
        <v>#REF!</v>
      </c>
      <c r="AF615" s="201" t="e">
        <f>MID(INVESTORS_LIST[[#This Row],[BO ID]],2,7)</f>
        <v>#REF!</v>
      </c>
      <c r="AG615" s="201" t="e">
        <f>MID(INVESTORS_LIST[[#This Row],[BO ID]],9,7)</f>
        <v>#REF!</v>
      </c>
      <c r="AH615" s="201" t="e">
        <f>RIGHT(INVESTORS_LIST[[#This Row],[BO ID]],1)</f>
        <v>#REF!</v>
      </c>
      <c r="AI615" s="50">
        <f>INVESTORS_LIST[[#This Row],[LS_TOTAL COST VALUE OF CURRENT UNITS]]+INVESTORS_LIST[[#This Row],[SIP_TOTAL COST VALUE OF CURRENT UNITS]]</f>
        <v>0</v>
      </c>
      <c r="AJ615" s="109">
        <f>IF(INVESTORS_LIST[[#This Row],[TOTAL CURRENT UNITS]]=0,0,INVESTORS_LIST[[#This Row],[LS_TOTAL CURRENT UNITS]]/INVESTORS_LIST[[#This Row],[TOTAL CURRENT UNITS]])</f>
        <v>0</v>
      </c>
      <c r="AK615" s="109">
        <f>IF(INVESTORS_LIST[[#This Row],[TOTAL CURRENT UNITS]]=0,0,INVESTORS_LIST[[#This Row],[SIP_TOTAL CURRENT UNITS]]/INVESTORS_LIST[[#This Row],[TOTAL CURRENT UNITS]])</f>
        <v>0</v>
      </c>
      <c r="AL615" s="99" cm="1">
        <f t="array" ref="AL6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5" s="99" cm="1">
        <f t="array" ref="AM6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5" s="105">
        <f t="shared" si="10"/>
        <v>14.224</v>
      </c>
      <c r="AP615" s="112">
        <f>IF(INVESTORS_LIST[[#This Row],[TOTAL CURRENT UNITS]]=0,0,INVESTORS_LIST[[#This Row],[TOTAL CURRENT UNITS]]*INVESTORS_LIST[[#This Row],[NAV]])</f>
        <v>0</v>
      </c>
      <c r="AQ615" s="102">
        <f>IF(INVESTORS_LIST[[#This Row],[LS_TOTAL CURRENT UNITS]]=0,0,INVESTORS_LIST[[#This Row],[LS_TOTAL CURRENT UNITS]]*INVESTORS_LIST[[#This Row],[NAV]])</f>
        <v>0</v>
      </c>
      <c r="AR615" s="48">
        <f>IF(INVESTORS_LIST[[#This Row],[SIP_TOTAL CURRENT UNITS]]=0,0,INVESTORS_LIST[[#This Row],[SIP_TOTAL CURRENT UNITS]]*INVESTORS_LIST[[#This Row],[NAV]])</f>
        <v>0</v>
      </c>
      <c r="AS615" s="50">
        <f>INVESTORS_LIST[[#This Row],[TOTAL CURRENT UNITS]]</f>
        <v>0</v>
      </c>
      <c r="AT615" s="48">
        <f>IF(INVESTORS_LIST[[#This Row],[TOTAL SELLABLE UNITS]]=0,0,INVESTORS_LIST[[#This Row],[TOTAL SELLABLE UNITS]]*INVESTORS_LIST[[#This Row],[NAV]])</f>
        <v>0</v>
      </c>
      <c r="AU615" s="48">
        <f>INVESTORS_LIST[[#This Row],[LS_TOTAL REALIZED GAIN]]+INVESTORS_LIST[[#This Row],[SIP_TOTAL REALIZED GAIN]]</f>
        <v>0</v>
      </c>
      <c r="AV615" s="48">
        <f>INVESTORS_LIST[[#This Row],[TOTAL MARKET VALUE]]-INVESTORS_LIST[[#This Row],[TOTAL COST VALUE OF CURRENT INVESTMENT]]</f>
        <v>0</v>
      </c>
      <c r="AW615" s="48">
        <f>IFERROR(INVESTORS_LIST[[#This Row],[TOTAL CURRENT UNITS]]/SUM(INVESTORS_LIST[TOTAL CURRENT UNITS]),0)</f>
        <v>0</v>
      </c>
    </row>
    <row r="616" spans="1:49" hidden="1">
      <c r="A616" s="262" t="s">
        <v>1339</v>
      </c>
      <c r="B616" s="198" t="s">
        <v>1340</v>
      </c>
      <c r="C616" s="99" t="s">
        <v>67</v>
      </c>
      <c r="D616" s="101" t="s">
        <v>45</v>
      </c>
      <c r="E616" s="50">
        <f>SUMIFS(LS[Unit],LS[Investor ID],INVESTORS_LIST[[#This Row],[INVESTOR CODE]],LS[B/S],"B")</f>
        <v>31895</v>
      </c>
      <c r="F616" s="50">
        <f>-SUMIFS(LS[Unit],LS[Investor ID],INVESTORS_LIST[[#This Row],[INVESTOR CODE]],LS[B/S],"S")</f>
        <v>31895</v>
      </c>
      <c r="G616" s="50">
        <f>IF(INVESTORS_LIST[[#This Row],[LS_TOTAL UNITS BUY]]=0,0,INVESTORS_LIST[[#This Row],[LS_TOTAL UNITS BUY]]-INVESTORS_LIST[[#This Row],[LS_TOTAL UNITS SOLD]])</f>
        <v>0</v>
      </c>
      <c r="H616" s="102">
        <f>IF(INVESTORS_LIST[[#This Row],[LS_TOTAL UNITS BUY]]=0,0,SUMIFS(LS[Amount],LS[Investor ID],INVESTORS_LIST[[#This Row],[INVESTOR CODE]],LS[B/S],"B"))</f>
        <v>400000</v>
      </c>
      <c r="I616" s="48">
        <f>IF(INVESTORS_LIST[[#This Row],[LS_TOTAL UNITS SOLD]]=0,0,SUMIFS(LS[Cost of Units Sold],LS[Investor ID],INVESTORS_LIST[[#This Row],[INVESTOR CODE]],LS[B/S],"S"))</f>
        <v>400000</v>
      </c>
      <c r="J616" s="48">
        <f>IF(INVESTORS_LIST[[#This Row],[LS_TOTAL CURRENT UNITS]]=0,0,INVESTORS_LIST[[#This Row],[LS_TOTAL CURRENT UNITS]]*INVESTORS_LIST[[#This Row],[LS_AVERAGE COST]])</f>
        <v>0</v>
      </c>
      <c r="K616" s="48">
        <f>IF(INVESTORS_LIST[[#This Row],[LS_TOTAL UNITS SOLD]]=0,0,SUMIFS(LS[Realized Gain],LS[Investor ID],INVESTORS_LIST[[#This Row],[INVESTOR CODE]],LS[B/S],"S"))</f>
        <v>35526.229999999974</v>
      </c>
      <c r="L616" s="104">
        <f>SUMIFS(SIP[Unit],SIP[Investor ID],INVESTORS_LIST[[#This Row],[INVESTOR CODE]],SIP[B/S],"B")</f>
        <v>0</v>
      </c>
      <c r="M616" s="50">
        <f>-SUMIFS(SIP[Unit],SIP[Investor ID],INVESTORS_LIST[[#This Row],[INVESTOR CODE]],SIP[B/S],"S")</f>
        <v>0</v>
      </c>
      <c r="N616" s="50">
        <f>IF(INVESTORS_LIST[[#This Row],[SIP_TOTAL UNITS BUY]]=0,0,INVESTORS_LIST[[#This Row],[SIP_TOTAL UNITS BUY]]-INVESTORS_LIST[[#This Row],[SIP_TOTAL UNITS SOLD]])</f>
        <v>0</v>
      </c>
      <c r="O616" s="48">
        <f>IF(INVESTORS_LIST[[#This Row],[SIP_TOTAL UNITS BUY]]=0,0,SUMIFS(SIP[Amount],SIP[Investor ID],INVESTORS_LIST[[#This Row],[INVESTOR CODE]],SIP[B/S],"B"))</f>
        <v>0</v>
      </c>
      <c r="P616" s="48">
        <f>IF(INVESTORS_LIST[[#This Row],[SIP_TOTAL UNITS SOLD]]=0,0,SUMIFS(SIP[Cost of Units Sold],SIP[Investor ID],INVESTORS_LIST[[#This Row],[INVESTOR CODE]],SIP[B/S],"S"))</f>
        <v>0</v>
      </c>
      <c r="Q616" s="48">
        <f>IF(INVESTORS_LIST[[#This Row],[SIP_TOTAL CURRENT UNITS]]=0,0,INVESTORS_LIST[[#This Row],[SIP_TOTAL CURRENT UNITS]]*INVESTORS_LIST[[#This Row],[SIP_AVERAGE COST]])</f>
        <v>0</v>
      </c>
      <c r="R616" s="48">
        <f>IF(INVESTORS_LIST[[#This Row],[SIP_TOTAL UNITS SOLD]]=0,0,SUMIFS(SIP[Realized Gain],SIP[Investor ID],INVESTORS_LIST[[#This Row],[INVESTOR CODE]],SIP[B/S],"S"))</f>
        <v>0</v>
      </c>
      <c r="S616" s="50">
        <f>INVESTORS_LIST[[#This Row],[LS_TOTAL UNITS BUY]]+INVESTORS_LIST[[#This Row],[SIP_TOTAL UNITS BUY]]</f>
        <v>31895</v>
      </c>
      <c r="T616" s="50">
        <f>INVESTORS_LIST[[#This Row],[LS_TOTAL UNITS SOLD]]+INVESTORS_LIST[[#This Row],[SIP_TOTAL UNITS SOLD]]</f>
        <v>31895</v>
      </c>
      <c r="U616" s="50"/>
      <c r="V616" s="50">
        <f>SUMIFS(LS[BO UNIT TRANSFER],LS[Investor ID],INVESTORS_LIST[[#This Row],[INVESTOR CODE]],LS[B/S],"B")</f>
        <v>0</v>
      </c>
      <c r="W616" s="50">
        <f>SUMIFS(SIP[BO UNIT TRANSFER],SIP[Investor ID],INVESTORS_LIST[[#This Row],[INVESTOR CODE]],SIP[B/S],"B")</f>
        <v>0</v>
      </c>
      <c r="X616" s="50">
        <f>SUMIFS(LS[BO UNIT TRANSFER],LS[Investor ID],INVESTORS_LIST[[#This Row],[INVESTOR CODE]],LS[B/S],"S")</f>
        <v>0</v>
      </c>
      <c r="Y616" s="50">
        <f>SUMIFS(SIP[BO UNIT TRANSFER],SIP[Investor ID],INVESTORS_LIST[[#This Row],[INVESTOR CODE]],SIP[B/S],"S")</f>
        <v>0</v>
      </c>
      <c r="Z616" s="106">
        <f>SUM(INVESTORS_LIST[[#This Row],[BO OPENING BALANCE]:[BO SIP UNITS REPURCHASE]])</f>
        <v>0</v>
      </c>
      <c r="AA616" s="107">
        <f>INVESTORS_LIST[[#This Row],[TOTAL UNITS BUY]]-INVESTORS_LIST[[#This Row],[TOTAL UNITS SOLD]]</f>
        <v>0</v>
      </c>
      <c r="AB616" s="107">
        <f>INVESTORS_LIST[[#This Row],[TOTAL CURRENT UNITS]]-INVESTORS_LIST[[#This Row],[BO UNITS HOLD]]</f>
        <v>0</v>
      </c>
      <c r="AC616" s="201" t="e">
        <f>INDEX([3]!Table_1[BO ID],MATCH(INVESTORS_LIST[[#This Row],[INVESTOR CODE]],[3]!Table_1[INVESTOR CODE],0))</f>
        <v>#REF!</v>
      </c>
      <c r="AD616" s="201" t="e">
        <f>INDEX([3]!Table_1[Brokerage Name2],MATCH(INVESTORS_LIST[[#This Row],[INVESTOR CODE]],[3]!Table_1[INVESTOR CODE],0))</f>
        <v>#REF!</v>
      </c>
      <c r="AE616" s="201" t="e">
        <f>MID(INVESTORS_LIST[[#This Row],[BO ID]],4,5)</f>
        <v>#REF!</v>
      </c>
      <c r="AF616" s="201" t="e">
        <f>MID(INVESTORS_LIST[[#This Row],[BO ID]],2,7)</f>
        <v>#REF!</v>
      </c>
      <c r="AG616" s="201" t="e">
        <f>MID(INVESTORS_LIST[[#This Row],[BO ID]],9,7)</f>
        <v>#REF!</v>
      </c>
      <c r="AH616" s="201" t="e">
        <f>RIGHT(INVESTORS_LIST[[#This Row],[BO ID]],1)</f>
        <v>#REF!</v>
      </c>
      <c r="AI616" s="50">
        <f>INVESTORS_LIST[[#This Row],[LS_TOTAL COST VALUE OF CURRENT UNITS]]+INVESTORS_LIST[[#This Row],[SIP_TOTAL COST VALUE OF CURRENT UNITS]]</f>
        <v>0</v>
      </c>
      <c r="AJ616" s="109">
        <f>IF(INVESTORS_LIST[[#This Row],[TOTAL CURRENT UNITS]]=0,0,INVESTORS_LIST[[#This Row],[LS_TOTAL CURRENT UNITS]]/INVESTORS_LIST[[#This Row],[TOTAL CURRENT UNITS]])</f>
        <v>0</v>
      </c>
      <c r="AK616" s="109">
        <f>IF(INVESTORS_LIST[[#This Row],[TOTAL CURRENT UNITS]]=0,0,INVESTORS_LIST[[#This Row],[SIP_TOTAL CURRENT UNITS]]/INVESTORS_LIST[[#This Row],[TOTAL CURRENT UNITS]])</f>
        <v>0</v>
      </c>
      <c r="AL616" s="99">
        <f t="array" ref="AL6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6" s="99">
        <f t="array" ref="AM6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6" s="105">
        <f t="shared" si="10"/>
        <v>14.224</v>
      </c>
      <c r="AP616" s="112">
        <f>IF(INVESTORS_LIST[[#This Row],[TOTAL CURRENT UNITS]]=0,0,INVESTORS_LIST[[#This Row],[TOTAL CURRENT UNITS]]*INVESTORS_LIST[[#This Row],[NAV]])</f>
        <v>0</v>
      </c>
      <c r="AQ616" s="102">
        <f>IF(INVESTORS_LIST[[#This Row],[LS_TOTAL CURRENT UNITS]]=0,0,INVESTORS_LIST[[#This Row],[LS_TOTAL CURRENT UNITS]]*INVESTORS_LIST[[#This Row],[NAV]])</f>
        <v>0</v>
      </c>
      <c r="AR616" s="48">
        <f>IF(INVESTORS_LIST[[#This Row],[SIP_TOTAL CURRENT UNITS]]=0,0,INVESTORS_LIST[[#This Row],[SIP_TOTAL CURRENT UNITS]]*INVESTORS_LIST[[#This Row],[NAV]])</f>
        <v>0</v>
      </c>
      <c r="AS616" s="50">
        <f>INVESTORS_LIST[[#This Row],[TOTAL CURRENT UNITS]]</f>
        <v>0</v>
      </c>
      <c r="AT616" s="48">
        <f>IF(INVESTORS_LIST[[#This Row],[TOTAL SELLABLE UNITS]]=0,0,INVESTORS_LIST[[#This Row],[TOTAL SELLABLE UNITS]]*INVESTORS_LIST[[#This Row],[NAV]])</f>
        <v>0</v>
      </c>
      <c r="AU616" s="48">
        <f>INVESTORS_LIST[[#This Row],[LS_TOTAL REALIZED GAIN]]+INVESTORS_LIST[[#This Row],[SIP_TOTAL REALIZED GAIN]]</f>
        <v>35526.229999999974</v>
      </c>
      <c r="AV616" s="48">
        <f>INVESTORS_LIST[[#This Row],[TOTAL MARKET VALUE]]-INVESTORS_LIST[[#This Row],[TOTAL COST VALUE OF CURRENT INVESTMENT]]</f>
        <v>0</v>
      </c>
      <c r="AW616" s="48">
        <f>IFERROR(INVESTORS_LIST[[#This Row],[TOTAL CURRENT UNITS]]/SUM(INVESTORS_LIST[TOTAL CURRENT UNITS]),0)</f>
        <v>0</v>
      </c>
    </row>
    <row r="617" spans="1:49" hidden="1">
      <c r="A617" s="262" t="s">
        <v>1341</v>
      </c>
      <c r="B617" s="198" t="s">
        <v>1342</v>
      </c>
      <c r="C617" s="99" t="s">
        <v>67</v>
      </c>
      <c r="D617" s="101" t="s">
        <v>45</v>
      </c>
      <c r="E617" s="50">
        <f>SUMIFS(LS[Unit],LS[Investor ID],INVESTORS_LIST[[#This Row],[INVESTOR CODE]],LS[B/S],"B")</f>
        <v>58129</v>
      </c>
      <c r="F617" s="50">
        <f>-SUMIFS(LS[Unit],LS[Investor ID],INVESTORS_LIST[[#This Row],[INVESTOR CODE]],LS[B/S],"S")</f>
        <v>58129</v>
      </c>
      <c r="G617" s="50">
        <f>IF(INVESTORS_LIST[[#This Row],[LS_TOTAL UNITS BUY]]=0,0,INVESTORS_LIST[[#This Row],[LS_TOTAL UNITS BUY]]-INVESTORS_LIST[[#This Row],[LS_TOTAL UNITS SOLD]])</f>
        <v>0</v>
      </c>
      <c r="H617" s="102">
        <f>IF(INVESTORS_LIST[[#This Row],[LS_TOTAL UNITS BUY]]=0,0,SUMIFS(LS[Amount],LS[Investor ID],INVESTORS_LIST[[#This Row],[INVESTOR CODE]],LS[B/S],"B"))</f>
        <v>750000</v>
      </c>
      <c r="I617" s="48">
        <f>IF(INVESTORS_LIST[[#This Row],[LS_TOTAL UNITS SOLD]]=0,0,SUMIFS(LS[Cost of Units Sold],LS[Investor ID],INVESTORS_LIST[[#This Row],[INVESTOR CODE]],LS[B/S],"S"))</f>
        <v>750000</v>
      </c>
      <c r="J617" s="48">
        <f>IF(INVESTORS_LIST[[#This Row],[LS_TOTAL CURRENT UNITS]]=0,0,INVESTORS_LIST[[#This Row],[LS_TOTAL CURRENT UNITS]]*INVESTORS_LIST[[#This Row],[LS_AVERAGE COST]])</f>
        <v>0</v>
      </c>
      <c r="K617" s="48">
        <f>IF(INVESTORS_LIST[[#This Row],[LS_TOTAL UNITS SOLD]]=0,0,SUMIFS(LS[Realized Gain],LS[Investor ID],INVESTORS_LIST[[#This Row],[INVESTOR CODE]],LS[B/S],"S"))</f>
        <v>67072.019999999975</v>
      </c>
      <c r="L617" s="104">
        <f>SUMIFS(SIP[Unit],SIP[Investor ID],INVESTORS_LIST[[#This Row],[INVESTOR CODE]],SIP[B/S],"B")</f>
        <v>0</v>
      </c>
      <c r="M617" s="50">
        <f>-SUMIFS(SIP[Unit],SIP[Investor ID],INVESTORS_LIST[[#This Row],[INVESTOR CODE]],SIP[B/S],"S")</f>
        <v>0</v>
      </c>
      <c r="N617" s="50">
        <f>IF(INVESTORS_LIST[[#This Row],[SIP_TOTAL UNITS BUY]]=0,0,INVESTORS_LIST[[#This Row],[SIP_TOTAL UNITS BUY]]-INVESTORS_LIST[[#This Row],[SIP_TOTAL UNITS SOLD]])</f>
        <v>0</v>
      </c>
      <c r="O617" s="48">
        <f>IF(INVESTORS_LIST[[#This Row],[SIP_TOTAL UNITS BUY]]=0,0,SUMIFS(SIP[Amount],SIP[Investor ID],INVESTORS_LIST[[#This Row],[INVESTOR CODE]],SIP[B/S],"B"))</f>
        <v>0</v>
      </c>
      <c r="P617" s="48">
        <f>IF(INVESTORS_LIST[[#This Row],[SIP_TOTAL UNITS SOLD]]=0,0,SUMIFS(SIP[Cost of Units Sold],SIP[Investor ID],INVESTORS_LIST[[#This Row],[INVESTOR CODE]],SIP[B/S],"S"))</f>
        <v>0</v>
      </c>
      <c r="Q617" s="48">
        <f>IF(INVESTORS_LIST[[#This Row],[SIP_TOTAL CURRENT UNITS]]=0,0,INVESTORS_LIST[[#This Row],[SIP_TOTAL CURRENT UNITS]]*INVESTORS_LIST[[#This Row],[SIP_AVERAGE COST]])</f>
        <v>0</v>
      </c>
      <c r="R617" s="48">
        <f>IF(INVESTORS_LIST[[#This Row],[SIP_TOTAL UNITS SOLD]]=0,0,SUMIFS(SIP[Realized Gain],SIP[Investor ID],INVESTORS_LIST[[#This Row],[INVESTOR CODE]],SIP[B/S],"S"))</f>
        <v>0</v>
      </c>
      <c r="S617" s="50">
        <f>INVESTORS_LIST[[#This Row],[LS_TOTAL UNITS BUY]]+INVESTORS_LIST[[#This Row],[SIP_TOTAL UNITS BUY]]</f>
        <v>58129</v>
      </c>
      <c r="T617" s="50">
        <f>INVESTORS_LIST[[#This Row],[LS_TOTAL UNITS SOLD]]+INVESTORS_LIST[[#This Row],[SIP_TOTAL UNITS SOLD]]</f>
        <v>58129</v>
      </c>
      <c r="U617" s="50"/>
      <c r="V617" s="50">
        <f>SUMIFS(LS[BO UNIT TRANSFER],LS[Investor ID],INVESTORS_LIST[[#This Row],[INVESTOR CODE]],LS[B/S],"B")</f>
        <v>0</v>
      </c>
      <c r="W617" s="50">
        <f>SUMIFS(SIP[BO UNIT TRANSFER],SIP[Investor ID],INVESTORS_LIST[[#This Row],[INVESTOR CODE]],SIP[B/S],"B")</f>
        <v>0</v>
      </c>
      <c r="X617" s="50">
        <f>SUMIFS(LS[BO UNIT TRANSFER],LS[Investor ID],INVESTORS_LIST[[#This Row],[INVESTOR CODE]],LS[B/S],"S")</f>
        <v>0</v>
      </c>
      <c r="Y617" s="50">
        <f>SUMIFS(SIP[BO UNIT TRANSFER],SIP[Investor ID],INVESTORS_LIST[[#This Row],[INVESTOR CODE]],SIP[B/S],"S")</f>
        <v>0</v>
      </c>
      <c r="Z617" s="106">
        <f>SUM(INVESTORS_LIST[[#This Row],[BO OPENING BALANCE]:[BO SIP UNITS REPURCHASE]])</f>
        <v>0</v>
      </c>
      <c r="AA617" s="107">
        <f>INVESTORS_LIST[[#This Row],[TOTAL UNITS BUY]]-INVESTORS_LIST[[#This Row],[TOTAL UNITS SOLD]]</f>
        <v>0</v>
      </c>
      <c r="AB617" s="107">
        <f>INVESTORS_LIST[[#This Row],[TOTAL CURRENT UNITS]]-INVESTORS_LIST[[#This Row],[BO UNITS HOLD]]</f>
        <v>0</v>
      </c>
      <c r="AC617" s="201" t="e">
        <f>INDEX([3]!Table_1[BO ID],MATCH(INVESTORS_LIST[[#This Row],[INVESTOR CODE]],[3]!Table_1[INVESTOR CODE],0))</f>
        <v>#REF!</v>
      </c>
      <c r="AD617" s="201" t="e">
        <f>INDEX([3]!Table_1[Brokerage Name2],MATCH(INVESTORS_LIST[[#This Row],[INVESTOR CODE]],[3]!Table_1[INVESTOR CODE],0))</f>
        <v>#REF!</v>
      </c>
      <c r="AE617" s="201" t="e">
        <f>MID(INVESTORS_LIST[[#This Row],[BO ID]],4,5)</f>
        <v>#REF!</v>
      </c>
      <c r="AF617" s="201" t="e">
        <f>MID(INVESTORS_LIST[[#This Row],[BO ID]],2,7)</f>
        <v>#REF!</v>
      </c>
      <c r="AG617" s="201" t="e">
        <f>MID(INVESTORS_LIST[[#This Row],[BO ID]],9,7)</f>
        <v>#REF!</v>
      </c>
      <c r="AH617" s="201" t="e">
        <f>RIGHT(INVESTORS_LIST[[#This Row],[BO ID]],1)</f>
        <v>#REF!</v>
      </c>
      <c r="AI617" s="50">
        <f>INVESTORS_LIST[[#This Row],[LS_TOTAL COST VALUE OF CURRENT UNITS]]+INVESTORS_LIST[[#This Row],[SIP_TOTAL COST VALUE OF CURRENT UNITS]]</f>
        <v>0</v>
      </c>
      <c r="AJ617" s="109">
        <f>IF(INVESTORS_LIST[[#This Row],[TOTAL CURRENT UNITS]]=0,0,INVESTORS_LIST[[#This Row],[LS_TOTAL CURRENT UNITS]]/INVESTORS_LIST[[#This Row],[TOTAL CURRENT UNITS]])</f>
        <v>0</v>
      </c>
      <c r="AK617" s="109">
        <f>IF(INVESTORS_LIST[[#This Row],[TOTAL CURRENT UNITS]]=0,0,INVESTORS_LIST[[#This Row],[SIP_TOTAL CURRENT UNITS]]/INVESTORS_LIST[[#This Row],[TOTAL CURRENT UNITS]])</f>
        <v>0</v>
      </c>
      <c r="AL617" s="99">
        <f t="array" ref="AL6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7" s="99">
        <f t="array" ref="AM6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7" s="105">
        <f t="shared" si="10"/>
        <v>14.224</v>
      </c>
      <c r="AP617" s="112">
        <f>IF(INVESTORS_LIST[[#This Row],[TOTAL CURRENT UNITS]]=0,0,INVESTORS_LIST[[#This Row],[TOTAL CURRENT UNITS]]*INVESTORS_LIST[[#This Row],[NAV]])</f>
        <v>0</v>
      </c>
      <c r="AQ617" s="102">
        <f>IF(INVESTORS_LIST[[#This Row],[LS_TOTAL CURRENT UNITS]]=0,0,INVESTORS_LIST[[#This Row],[LS_TOTAL CURRENT UNITS]]*INVESTORS_LIST[[#This Row],[NAV]])</f>
        <v>0</v>
      </c>
      <c r="AR617" s="48">
        <f>IF(INVESTORS_LIST[[#This Row],[SIP_TOTAL CURRENT UNITS]]=0,0,INVESTORS_LIST[[#This Row],[SIP_TOTAL CURRENT UNITS]]*INVESTORS_LIST[[#This Row],[NAV]])</f>
        <v>0</v>
      </c>
      <c r="AS617" s="50">
        <f>INVESTORS_LIST[[#This Row],[TOTAL CURRENT UNITS]]</f>
        <v>0</v>
      </c>
      <c r="AT617" s="48">
        <f>IF(INVESTORS_LIST[[#This Row],[TOTAL SELLABLE UNITS]]=0,0,INVESTORS_LIST[[#This Row],[TOTAL SELLABLE UNITS]]*INVESTORS_LIST[[#This Row],[NAV]])</f>
        <v>0</v>
      </c>
      <c r="AU617" s="48">
        <f>INVESTORS_LIST[[#This Row],[LS_TOTAL REALIZED GAIN]]+INVESTORS_LIST[[#This Row],[SIP_TOTAL REALIZED GAIN]]</f>
        <v>67072.019999999975</v>
      </c>
      <c r="AV617" s="48">
        <f>INVESTORS_LIST[[#This Row],[TOTAL MARKET VALUE]]-INVESTORS_LIST[[#This Row],[TOTAL COST VALUE OF CURRENT INVESTMENT]]</f>
        <v>0</v>
      </c>
      <c r="AW617" s="48">
        <f>IFERROR(INVESTORS_LIST[[#This Row],[TOTAL CURRENT UNITS]]/SUM(INVESTORS_LIST[TOTAL CURRENT UNITS]),0)</f>
        <v>0</v>
      </c>
    </row>
    <row r="618" spans="1:49">
      <c r="A618" s="262" t="s">
        <v>1343</v>
      </c>
      <c r="B618" s="199" t="s">
        <v>1344</v>
      </c>
      <c r="C618" s="99" t="s">
        <v>44</v>
      </c>
      <c r="D618" s="101" t="s">
        <v>45</v>
      </c>
      <c r="E618" s="50">
        <f>SUMIFS(LS[Unit],LS[Investor ID],INVESTORS_LIST[[#This Row],[INVESTOR CODE]],LS[B/S],"B")</f>
        <v>3987</v>
      </c>
      <c r="F618" s="50">
        <f>-SUMIFS(LS[Unit],LS[Investor ID],INVESTORS_LIST[[#This Row],[INVESTOR CODE]],LS[B/S],"S")</f>
        <v>0</v>
      </c>
      <c r="G618" s="50">
        <f>IF(INVESTORS_LIST[[#This Row],[LS_TOTAL UNITS BUY]]=0,0,INVESTORS_LIST[[#This Row],[LS_TOTAL UNITS BUY]]-INVESTORS_LIST[[#This Row],[LS_TOTAL UNITS SOLD]])</f>
        <v>3987</v>
      </c>
      <c r="H618" s="102">
        <f>IF(INVESTORS_LIST[[#This Row],[LS_TOTAL UNITS BUY]]=0,0,SUMIFS(LS[Amount],LS[Investor ID],INVESTORS_LIST[[#This Row],[INVESTOR CODE]],LS[B/S],"B"))</f>
        <v>50000</v>
      </c>
      <c r="I618" s="48">
        <f>IF(INVESTORS_LIST[[#This Row],[LS_TOTAL UNITS SOLD]]=0,0,SUMIFS(LS[Cost of Units Sold],LS[Investor ID],INVESTORS_LIST[[#This Row],[INVESTOR CODE]],LS[B/S],"S"))</f>
        <v>0</v>
      </c>
      <c r="J618" s="48">
        <f>IF(INVESTORS_LIST[[#This Row],[LS_TOTAL CURRENT UNITS]]=0,0,INVESTORS_LIST[[#This Row],[LS_TOTAL CURRENT UNITS]]*INVESTORS_LIST[[#This Row],[LS_AVERAGE COST]])</f>
        <v>50000</v>
      </c>
      <c r="K618" s="48">
        <f>IF(INVESTORS_LIST[[#This Row],[LS_TOTAL UNITS SOLD]]=0,0,SUMIFS(LS[Realized Gain],LS[Investor ID],INVESTORS_LIST[[#This Row],[INVESTOR CODE]],LS[B/S],"S"))</f>
        <v>0</v>
      </c>
      <c r="L618" s="104">
        <f>SUMIFS(SIP[Unit],SIP[Investor ID],INVESTORS_LIST[[#This Row],[INVESTOR CODE]],SIP[B/S],"B")</f>
        <v>0</v>
      </c>
      <c r="M618" s="50">
        <f>-SUMIFS(SIP[Unit],SIP[Investor ID],INVESTORS_LIST[[#This Row],[INVESTOR CODE]],SIP[B/S],"S")</f>
        <v>0</v>
      </c>
      <c r="N618" s="50">
        <f>IF(INVESTORS_LIST[[#This Row],[SIP_TOTAL UNITS BUY]]=0,0,INVESTORS_LIST[[#This Row],[SIP_TOTAL UNITS BUY]]-INVESTORS_LIST[[#This Row],[SIP_TOTAL UNITS SOLD]])</f>
        <v>0</v>
      </c>
      <c r="O618" s="48">
        <f>IF(INVESTORS_LIST[[#This Row],[SIP_TOTAL UNITS BUY]]=0,0,SUMIFS(SIP[Amount],SIP[Investor ID],INVESTORS_LIST[[#This Row],[INVESTOR CODE]],SIP[B/S],"B"))</f>
        <v>0</v>
      </c>
      <c r="P618" s="48">
        <f>IF(INVESTORS_LIST[[#This Row],[SIP_TOTAL UNITS SOLD]]=0,0,SUMIFS(SIP[Cost of Units Sold],SIP[Investor ID],INVESTORS_LIST[[#This Row],[INVESTOR CODE]],SIP[B/S],"S"))</f>
        <v>0</v>
      </c>
      <c r="Q618" s="48">
        <f>IF(INVESTORS_LIST[[#This Row],[SIP_TOTAL CURRENT UNITS]]=0,0,INVESTORS_LIST[[#This Row],[SIP_TOTAL CURRENT UNITS]]*INVESTORS_LIST[[#This Row],[SIP_AVERAGE COST]])</f>
        <v>0</v>
      </c>
      <c r="R618" s="48">
        <f>IF(INVESTORS_LIST[[#This Row],[SIP_TOTAL UNITS SOLD]]=0,0,SUMIFS(SIP[Realized Gain],SIP[Investor ID],INVESTORS_LIST[[#This Row],[INVESTOR CODE]],SIP[B/S],"S"))</f>
        <v>0</v>
      </c>
      <c r="S618" s="50">
        <f>INVESTORS_LIST[[#This Row],[LS_TOTAL UNITS BUY]]+INVESTORS_LIST[[#This Row],[SIP_TOTAL UNITS BUY]]</f>
        <v>3987</v>
      </c>
      <c r="T618" s="50">
        <f>INVESTORS_LIST[[#This Row],[LS_TOTAL UNITS SOLD]]+INVESTORS_LIST[[#This Row],[SIP_TOTAL UNITS SOLD]]</f>
        <v>0</v>
      </c>
      <c r="U618" s="50">
        <v>3987</v>
      </c>
      <c r="V618" s="50">
        <f>SUMIFS(LS[BO UNIT TRANSFER],LS[Investor ID],INVESTORS_LIST[[#This Row],[INVESTOR CODE]],LS[B/S],"B")</f>
        <v>0</v>
      </c>
      <c r="W618" s="50">
        <f>SUMIFS(SIP[BO UNIT TRANSFER],SIP[Investor ID],INVESTORS_LIST[[#This Row],[INVESTOR CODE]],SIP[B/S],"B")</f>
        <v>0</v>
      </c>
      <c r="X618" s="50">
        <f>SUMIFS(LS[BO UNIT TRANSFER],LS[Investor ID],INVESTORS_LIST[[#This Row],[INVESTOR CODE]],LS[B/S],"S")</f>
        <v>0</v>
      </c>
      <c r="Y618" s="50">
        <f>SUMIFS(SIP[BO UNIT TRANSFER],SIP[Investor ID],INVESTORS_LIST[[#This Row],[INVESTOR CODE]],SIP[B/S],"S")</f>
        <v>0</v>
      </c>
      <c r="Z618" s="106">
        <f>SUM(INVESTORS_LIST[[#This Row],[BO OPENING BALANCE]:[BO SIP UNITS REPURCHASE]])</f>
        <v>3987</v>
      </c>
      <c r="AA618" s="107">
        <f>INVESTORS_LIST[[#This Row],[TOTAL UNITS BUY]]-INVESTORS_LIST[[#This Row],[TOTAL UNITS SOLD]]</f>
        <v>3987</v>
      </c>
      <c r="AB618" s="107">
        <f>INVESTORS_LIST[[#This Row],[TOTAL CURRENT UNITS]]-INVESTORS_LIST[[#This Row],[BO UNITS HOLD]]</f>
        <v>0</v>
      </c>
      <c r="AC618" s="201" t="e">
        <f>INDEX([3]!Table_1[BO ID],MATCH(INVESTORS_LIST[[#This Row],[INVESTOR CODE]],[3]!Table_1[INVESTOR CODE],0))</f>
        <v>#REF!</v>
      </c>
      <c r="AD618" s="201" t="e">
        <f>INDEX([3]!Table_1[Brokerage Name2],MATCH(INVESTORS_LIST[[#This Row],[INVESTOR CODE]],[3]!Table_1[INVESTOR CODE],0))</f>
        <v>#REF!</v>
      </c>
      <c r="AE618" s="201" t="e">
        <f>MID(INVESTORS_LIST[[#This Row],[BO ID]],4,5)</f>
        <v>#REF!</v>
      </c>
      <c r="AF618" s="201" t="e">
        <f>MID(INVESTORS_LIST[[#This Row],[BO ID]],2,7)</f>
        <v>#REF!</v>
      </c>
      <c r="AG618" s="201" t="e">
        <f>MID(INVESTORS_LIST[[#This Row],[BO ID]],9,7)</f>
        <v>#REF!</v>
      </c>
      <c r="AH618" s="201" t="e">
        <f>RIGHT(INVESTORS_LIST[[#This Row],[BO ID]],1)</f>
        <v>#REF!</v>
      </c>
      <c r="AI618" s="50">
        <f>INVESTORS_LIST[[#This Row],[LS_TOTAL COST VALUE OF CURRENT UNITS]]+INVESTORS_LIST[[#This Row],[SIP_TOTAL COST VALUE OF CURRENT UNITS]]</f>
        <v>50000</v>
      </c>
      <c r="AJ618" s="109">
        <f>IF(INVESTORS_LIST[[#This Row],[TOTAL CURRENT UNITS]]=0,0,INVESTORS_LIST[[#This Row],[LS_TOTAL CURRENT UNITS]]/INVESTORS_LIST[[#This Row],[TOTAL CURRENT UNITS]])</f>
        <v>1</v>
      </c>
      <c r="AK618" s="109">
        <f>IF(INVESTORS_LIST[[#This Row],[TOTAL CURRENT UNITS]]=0,0,INVESTORS_LIST[[#This Row],[SIP_TOTAL CURRENT UNITS]]/INVESTORS_LIST[[#This Row],[TOTAL CURRENT UNITS]])</f>
        <v>0</v>
      </c>
      <c r="AL618" s="99">
        <f t="array" ref="AL618">IF(INVESTORS_LIST[[#This Row],[LS_TOTAL UNITS BUY]]&gt;0,INDEX(LS[NAV at Cost (Average)],MATCH(CONCATENATE(COUNTIFS(LS[Investor ID],INVESTORS_LIST[[#This Row],[INVESTOR CODE]]),INVESTORS_LIST[[#This Row],[INVESTOR CODE]]),LS[Unique Code],0),),0)</f>
        <v>12.54075746175069</v>
      </c>
      <c r="AM618" s="99">
        <f t="array" ref="AM6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8" s="105">
        <f>IF(INVESTORS_LIST[[#This Row],[TOTAL CURRENT UNITS]]=0,0,(INVESTORS_LIST[[#This Row],[LS_WEIGHT]]*INVESTORS_LIST[[#This Row],[LS_AVERAGE COST]])+(INVESTORS_LIST[[#This Row],[SIP_WEIGHT]]*INVESTORS_LIST[[#This Row],[SIP_AVERAGE COST]]))</f>
        <v>12.54075746175069</v>
      </c>
      <c r="AO618" s="105">
        <f t="shared" si="10"/>
        <v>14.224</v>
      </c>
      <c r="AP618" s="112">
        <f>IF(INVESTORS_LIST[[#This Row],[TOTAL CURRENT UNITS]]=0,0,INVESTORS_LIST[[#This Row],[TOTAL CURRENT UNITS]]*INVESTORS_LIST[[#This Row],[NAV]])</f>
        <v>56711.088000000003</v>
      </c>
      <c r="AQ618" s="102">
        <f>IF(INVESTORS_LIST[[#This Row],[LS_TOTAL CURRENT UNITS]]=0,0,INVESTORS_LIST[[#This Row],[LS_TOTAL CURRENT UNITS]]*INVESTORS_LIST[[#This Row],[NAV]])</f>
        <v>56711.088000000003</v>
      </c>
      <c r="AR618" s="48">
        <f>IF(INVESTORS_LIST[[#This Row],[SIP_TOTAL CURRENT UNITS]]=0,0,INVESTORS_LIST[[#This Row],[SIP_TOTAL CURRENT UNITS]]*INVESTORS_LIST[[#This Row],[NAV]])</f>
        <v>0</v>
      </c>
      <c r="AS618" s="50">
        <f>INVESTORS_LIST[[#This Row],[TOTAL CURRENT UNITS]]</f>
        <v>3987</v>
      </c>
      <c r="AT618" s="48">
        <f>IF(INVESTORS_LIST[[#This Row],[TOTAL SELLABLE UNITS]]=0,0,INVESTORS_LIST[[#This Row],[TOTAL SELLABLE UNITS]]*INVESTORS_LIST[[#This Row],[NAV]])</f>
        <v>56711.088000000003</v>
      </c>
      <c r="AU618" s="48">
        <f>INVESTORS_LIST[[#This Row],[LS_TOTAL REALIZED GAIN]]+INVESTORS_LIST[[#This Row],[SIP_TOTAL REALIZED GAIN]]</f>
        <v>0</v>
      </c>
      <c r="AV618" s="48">
        <f>INVESTORS_LIST[[#This Row],[TOTAL MARKET VALUE]]-INVESTORS_LIST[[#This Row],[TOTAL COST VALUE OF CURRENT INVESTMENT]]</f>
        <v>6711.0880000000034</v>
      </c>
      <c r="AW618" s="48">
        <f>IFERROR(INVESTORS_LIST[[#This Row],[TOTAL CURRENT UNITS]]/SUM(INVESTORS_LIST[TOTAL CURRENT UNITS]),0)</f>
        <v>9.6789240881765284E-5</v>
      </c>
    </row>
    <row r="619" spans="1:49" hidden="1">
      <c r="A619" s="262" t="s">
        <v>1345</v>
      </c>
      <c r="B619" s="199" t="s">
        <v>1346</v>
      </c>
      <c r="C619" s="99" t="s">
        <v>44</v>
      </c>
      <c r="D619" s="101" t="s">
        <v>45</v>
      </c>
      <c r="E619" s="50">
        <f>SUMIFS(LS[Unit],LS[Investor ID],INVESTORS_LIST[[#This Row],[INVESTOR CODE]],LS[B/S],"B")</f>
        <v>23922</v>
      </c>
      <c r="F619" s="50">
        <f>-SUMIFS(LS[Unit],LS[Investor ID],INVESTORS_LIST[[#This Row],[INVESTOR CODE]],LS[B/S],"S")</f>
        <v>23922</v>
      </c>
      <c r="G619" s="50">
        <f>IF(INVESTORS_LIST[[#This Row],[LS_TOTAL UNITS BUY]]=0,0,INVESTORS_LIST[[#This Row],[LS_TOTAL UNITS BUY]]-INVESTORS_LIST[[#This Row],[LS_TOTAL UNITS SOLD]])</f>
        <v>0</v>
      </c>
      <c r="H619" s="102">
        <f>IF(INVESTORS_LIST[[#This Row],[LS_TOTAL UNITS BUY]]=0,0,SUMIFS(LS[Amount],LS[Investor ID],INVESTORS_LIST[[#This Row],[INVESTOR CODE]],LS[B/S],"B"))</f>
        <v>300000</v>
      </c>
      <c r="I619" s="48">
        <f>IF(INVESTORS_LIST[[#This Row],[LS_TOTAL UNITS SOLD]]=0,0,SUMIFS(LS[Cost of Units Sold],LS[Investor ID],INVESTORS_LIST[[#This Row],[INVESTOR CODE]],LS[B/S],"S"))</f>
        <v>300000</v>
      </c>
      <c r="J619" s="48">
        <f>IF(INVESTORS_LIST[[#This Row],[LS_TOTAL CURRENT UNITS]]=0,0,INVESTORS_LIST[[#This Row],[LS_TOTAL CURRENT UNITS]]*INVESTORS_LIST[[#This Row],[LS_AVERAGE COST]])</f>
        <v>0</v>
      </c>
      <c r="K619" s="48">
        <f>IF(INVESTORS_LIST[[#This Row],[LS_TOTAL UNITS SOLD]]=0,0,SUMIFS(LS[Realized Gain],LS[Investor ID],INVESTORS_LIST[[#This Row],[INVESTOR CODE]],LS[B/S],"S"))</f>
        <v>9024.4000000000233</v>
      </c>
      <c r="L619" s="104">
        <f>SUMIFS(SIP[Unit],SIP[Investor ID],INVESTORS_LIST[[#This Row],[INVESTOR CODE]],SIP[B/S],"B")</f>
        <v>0</v>
      </c>
      <c r="M619" s="50">
        <f>-SUMIFS(SIP[Unit],SIP[Investor ID],INVESTORS_LIST[[#This Row],[INVESTOR CODE]],SIP[B/S],"S")</f>
        <v>0</v>
      </c>
      <c r="N619" s="50">
        <f>IF(INVESTORS_LIST[[#This Row],[SIP_TOTAL UNITS BUY]]=0,0,INVESTORS_LIST[[#This Row],[SIP_TOTAL UNITS BUY]]-INVESTORS_LIST[[#This Row],[SIP_TOTAL UNITS SOLD]])</f>
        <v>0</v>
      </c>
      <c r="O619" s="48">
        <f>IF(INVESTORS_LIST[[#This Row],[SIP_TOTAL UNITS BUY]]=0,0,SUMIFS(SIP[Amount],SIP[Investor ID],INVESTORS_LIST[[#This Row],[INVESTOR CODE]],SIP[B/S],"B"))</f>
        <v>0</v>
      </c>
      <c r="P619" s="48">
        <f>IF(INVESTORS_LIST[[#This Row],[SIP_TOTAL UNITS SOLD]]=0,0,SUMIFS(SIP[Cost of Units Sold],SIP[Investor ID],INVESTORS_LIST[[#This Row],[INVESTOR CODE]],SIP[B/S],"S"))</f>
        <v>0</v>
      </c>
      <c r="Q619" s="48">
        <f>IF(INVESTORS_LIST[[#This Row],[SIP_TOTAL CURRENT UNITS]]=0,0,INVESTORS_LIST[[#This Row],[SIP_TOTAL CURRENT UNITS]]*INVESTORS_LIST[[#This Row],[SIP_AVERAGE COST]])</f>
        <v>0</v>
      </c>
      <c r="R619" s="48">
        <f>IF(INVESTORS_LIST[[#This Row],[SIP_TOTAL UNITS SOLD]]=0,0,SUMIFS(SIP[Realized Gain],SIP[Investor ID],INVESTORS_LIST[[#This Row],[INVESTOR CODE]],SIP[B/S],"S"))</f>
        <v>0</v>
      </c>
      <c r="S619" s="50">
        <f>INVESTORS_LIST[[#This Row],[LS_TOTAL UNITS BUY]]+INVESTORS_LIST[[#This Row],[SIP_TOTAL UNITS BUY]]</f>
        <v>23922</v>
      </c>
      <c r="T619" s="50">
        <f>INVESTORS_LIST[[#This Row],[LS_TOTAL UNITS SOLD]]+INVESTORS_LIST[[#This Row],[SIP_TOTAL UNITS SOLD]]</f>
        <v>23922</v>
      </c>
      <c r="U619" s="50">
        <v>23922</v>
      </c>
      <c r="V619" s="50">
        <f>SUMIFS(LS[BO UNIT TRANSFER],LS[Investor ID],INVESTORS_LIST[[#This Row],[INVESTOR CODE]],LS[B/S],"B")</f>
        <v>0</v>
      </c>
      <c r="W619" s="50">
        <f>SUMIFS(SIP[BO UNIT TRANSFER],SIP[Investor ID],INVESTORS_LIST[[#This Row],[INVESTOR CODE]],SIP[B/S],"B")</f>
        <v>0</v>
      </c>
      <c r="X619" s="50">
        <f>SUMIFS(LS[BO UNIT TRANSFER],LS[Investor ID],INVESTORS_LIST[[#This Row],[INVESTOR CODE]],LS[B/S],"S")</f>
        <v>0</v>
      </c>
      <c r="Y619" s="50">
        <f>SUMIFS(SIP[BO UNIT TRANSFER],SIP[Investor ID],INVESTORS_LIST[[#This Row],[INVESTOR CODE]],SIP[B/S],"S")</f>
        <v>0</v>
      </c>
      <c r="Z619" s="106">
        <f>SUM(INVESTORS_LIST[[#This Row],[BO OPENING BALANCE]:[BO SIP UNITS REPURCHASE]])</f>
        <v>23922</v>
      </c>
      <c r="AA619" s="107">
        <f>INVESTORS_LIST[[#This Row],[TOTAL UNITS BUY]]-INVESTORS_LIST[[#This Row],[TOTAL UNITS SOLD]]</f>
        <v>0</v>
      </c>
      <c r="AB619" s="107">
        <f>INVESTORS_LIST[[#This Row],[TOTAL CURRENT UNITS]]-INVESTORS_LIST[[#This Row],[BO UNITS HOLD]]</f>
        <v>-23922</v>
      </c>
      <c r="AC619" s="201" t="e">
        <f>INDEX([3]!Table_1[BO ID],MATCH(INVESTORS_LIST[[#This Row],[INVESTOR CODE]],[3]!Table_1[INVESTOR CODE],0))</f>
        <v>#REF!</v>
      </c>
      <c r="AD619" s="201" t="e">
        <f>INDEX([3]!Table_1[Brokerage Name2],MATCH(INVESTORS_LIST[[#This Row],[INVESTOR CODE]],[3]!Table_1[INVESTOR CODE],0))</f>
        <v>#REF!</v>
      </c>
      <c r="AE619" s="201" t="e">
        <f>MID(INVESTORS_LIST[[#This Row],[BO ID]],4,5)</f>
        <v>#REF!</v>
      </c>
      <c r="AF619" s="201" t="e">
        <f>MID(INVESTORS_LIST[[#This Row],[BO ID]],2,7)</f>
        <v>#REF!</v>
      </c>
      <c r="AG619" s="201" t="e">
        <f>MID(INVESTORS_LIST[[#This Row],[BO ID]],9,7)</f>
        <v>#REF!</v>
      </c>
      <c r="AH619" s="201" t="e">
        <f>RIGHT(INVESTORS_LIST[[#This Row],[BO ID]],1)</f>
        <v>#REF!</v>
      </c>
      <c r="AI619" s="50">
        <f>INVESTORS_LIST[[#This Row],[LS_TOTAL COST VALUE OF CURRENT UNITS]]+INVESTORS_LIST[[#This Row],[SIP_TOTAL COST VALUE OF CURRENT UNITS]]</f>
        <v>0</v>
      </c>
      <c r="AJ619" s="109">
        <f>IF(INVESTORS_LIST[[#This Row],[TOTAL CURRENT UNITS]]=0,0,INVESTORS_LIST[[#This Row],[LS_TOTAL CURRENT UNITS]]/INVESTORS_LIST[[#This Row],[TOTAL CURRENT UNITS]])</f>
        <v>0</v>
      </c>
      <c r="AK619" s="109">
        <f>IF(INVESTORS_LIST[[#This Row],[TOTAL CURRENT UNITS]]=0,0,INVESTORS_LIST[[#This Row],[SIP_TOTAL CURRENT UNITS]]/INVESTORS_LIST[[#This Row],[TOTAL CURRENT UNITS]])</f>
        <v>0</v>
      </c>
      <c r="AL619" s="99">
        <f t="array" ref="AL6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19" s="99">
        <f t="array" ref="AM6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19" s="105">
        <f t="shared" si="10"/>
        <v>14.224</v>
      </c>
      <c r="AP619" s="112">
        <f>IF(INVESTORS_LIST[[#This Row],[TOTAL CURRENT UNITS]]=0,0,INVESTORS_LIST[[#This Row],[TOTAL CURRENT UNITS]]*INVESTORS_LIST[[#This Row],[NAV]])</f>
        <v>0</v>
      </c>
      <c r="AQ619" s="102">
        <f>IF(INVESTORS_LIST[[#This Row],[LS_TOTAL CURRENT UNITS]]=0,0,INVESTORS_LIST[[#This Row],[LS_TOTAL CURRENT UNITS]]*INVESTORS_LIST[[#This Row],[NAV]])</f>
        <v>0</v>
      </c>
      <c r="AR619" s="48">
        <f>IF(INVESTORS_LIST[[#This Row],[SIP_TOTAL CURRENT UNITS]]=0,0,INVESTORS_LIST[[#This Row],[SIP_TOTAL CURRENT UNITS]]*INVESTORS_LIST[[#This Row],[NAV]])</f>
        <v>0</v>
      </c>
      <c r="AS619" s="50">
        <f>INVESTORS_LIST[[#This Row],[TOTAL CURRENT UNITS]]</f>
        <v>0</v>
      </c>
      <c r="AT619" s="48">
        <f>IF(INVESTORS_LIST[[#This Row],[TOTAL SELLABLE UNITS]]=0,0,INVESTORS_LIST[[#This Row],[TOTAL SELLABLE UNITS]]*INVESTORS_LIST[[#This Row],[NAV]])</f>
        <v>0</v>
      </c>
      <c r="AU619" s="48">
        <f>INVESTORS_LIST[[#This Row],[LS_TOTAL REALIZED GAIN]]+INVESTORS_LIST[[#This Row],[SIP_TOTAL REALIZED GAIN]]</f>
        <v>9024.4000000000233</v>
      </c>
      <c r="AV619" s="48">
        <f>INVESTORS_LIST[[#This Row],[TOTAL MARKET VALUE]]-INVESTORS_LIST[[#This Row],[TOTAL COST VALUE OF CURRENT INVESTMENT]]</f>
        <v>0</v>
      </c>
      <c r="AW619" s="48">
        <f>IFERROR(INVESTORS_LIST[[#This Row],[TOTAL CURRENT UNITS]]/SUM(INVESTORS_LIST[TOTAL CURRENT UNITS]),0)</f>
        <v>0</v>
      </c>
    </row>
    <row r="620" spans="1:49">
      <c r="A620" s="262" t="s">
        <v>1347</v>
      </c>
      <c r="B620" s="97" t="s">
        <v>1348</v>
      </c>
      <c r="C620" s="99" t="s">
        <v>44</v>
      </c>
      <c r="D620" s="101" t="s">
        <v>45</v>
      </c>
      <c r="E620" s="50">
        <f>SUMIFS(LS[Unit],LS[Investor ID],INVESTORS_LIST[[#This Row],[INVESTOR CODE]],LS[B/S],"B")</f>
        <v>31098</v>
      </c>
      <c r="F620" s="50">
        <f>-SUMIFS(LS[Unit],LS[Investor ID],INVESTORS_LIST[[#This Row],[INVESTOR CODE]],LS[B/S],"S")</f>
        <v>0</v>
      </c>
      <c r="G620" s="50">
        <f>IF(INVESTORS_LIST[[#This Row],[LS_TOTAL UNITS BUY]]=0,0,INVESTORS_LIST[[#This Row],[LS_TOTAL UNITS BUY]]-INVESTORS_LIST[[#This Row],[LS_TOTAL UNITS SOLD]])</f>
        <v>31098</v>
      </c>
      <c r="H620" s="102">
        <f>IF(INVESTORS_LIST[[#This Row],[LS_TOTAL UNITS BUY]]=0,0,SUMIFS(LS[Amount],LS[Investor ID],INVESTORS_LIST[[#This Row],[INVESTOR CODE]],LS[B/S],"B"))</f>
        <v>390000</v>
      </c>
      <c r="I620" s="48">
        <f>IF(INVESTORS_LIST[[#This Row],[LS_TOTAL UNITS SOLD]]=0,0,SUMIFS(LS[Cost of Units Sold],LS[Investor ID],INVESTORS_LIST[[#This Row],[INVESTOR CODE]],LS[B/S],"S"))</f>
        <v>0</v>
      </c>
      <c r="J620" s="48">
        <f>IF(INVESTORS_LIST[[#This Row],[LS_TOTAL CURRENT UNITS]]=0,0,INVESTORS_LIST[[#This Row],[LS_TOTAL CURRENT UNITS]]*INVESTORS_LIST[[#This Row],[LS_AVERAGE COST]])</f>
        <v>390000</v>
      </c>
      <c r="K620" s="48">
        <f>IF(INVESTORS_LIST[[#This Row],[LS_TOTAL UNITS SOLD]]=0,0,SUMIFS(LS[Realized Gain],LS[Investor ID],INVESTORS_LIST[[#This Row],[INVESTOR CODE]],LS[B/S],"S"))</f>
        <v>0</v>
      </c>
      <c r="L620" s="104">
        <f>SUMIFS(SIP[Unit],SIP[Investor ID],INVESTORS_LIST[[#This Row],[INVESTOR CODE]],SIP[B/S],"B")</f>
        <v>0</v>
      </c>
      <c r="M620" s="50">
        <f>-SUMIFS(SIP[Unit],SIP[Investor ID],INVESTORS_LIST[[#This Row],[INVESTOR CODE]],SIP[B/S],"S")</f>
        <v>0</v>
      </c>
      <c r="N620" s="50">
        <f>IF(INVESTORS_LIST[[#This Row],[SIP_TOTAL UNITS BUY]]=0,0,INVESTORS_LIST[[#This Row],[SIP_TOTAL UNITS BUY]]-INVESTORS_LIST[[#This Row],[SIP_TOTAL UNITS SOLD]])</f>
        <v>0</v>
      </c>
      <c r="O620" s="48">
        <f>IF(INVESTORS_LIST[[#This Row],[SIP_TOTAL UNITS BUY]]=0,0,SUMIFS(SIP[Amount],SIP[Investor ID],INVESTORS_LIST[[#This Row],[INVESTOR CODE]],SIP[B/S],"B"))</f>
        <v>0</v>
      </c>
      <c r="P620" s="48">
        <f>IF(INVESTORS_LIST[[#This Row],[SIP_TOTAL UNITS SOLD]]=0,0,SUMIFS(SIP[Cost of Units Sold],SIP[Investor ID],INVESTORS_LIST[[#This Row],[INVESTOR CODE]],SIP[B/S],"S"))</f>
        <v>0</v>
      </c>
      <c r="Q620" s="48">
        <f>IF(INVESTORS_LIST[[#This Row],[SIP_TOTAL CURRENT UNITS]]=0,0,INVESTORS_LIST[[#This Row],[SIP_TOTAL CURRENT UNITS]]*INVESTORS_LIST[[#This Row],[SIP_AVERAGE COST]])</f>
        <v>0</v>
      </c>
      <c r="R620" s="48">
        <f>IF(INVESTORS_LIST[[#This Row],[SIP_TOTAL UNITS SOLD]]=0,0,SUMIFS(SIP[Realized Gain],SIP[Investor ID],INVESTORS_LIST[[#This Row],[INVESTOR CODE]],SIP[B/S],"S"))</f>
        <v>0</v>
      </c>
      <c r="S620" s="50">
        <f>INVESTORS_LIST[[#This Row],[LS_TOTAL UNITS BUY]]+INVESTORS_LIST[[#This Row],[SIP_TOTAL UNITS BUY]]</f>
        <v>31098</v>
      </c>
      <c r="T620" s="50">
        <f>INVESTORS_LIST[[#This Row],[LS_TOTAL UNITS SOLD]]+INVESTORS_LIST[[#This Row],[SIP_TOTAL UNITS SOLD]]</f>
        <v>0</v>
      </c>
      <c r="U620" s="50">
        <v>31098</v>
      </c>
      <c r="V620" s="50">
        <f>SUMIFS(LS[BO UNIT TRANSFER],LS[Investor ID],INVESTORS_LIST[[#This Row],[INVESTOR CODE]],LS[B/S],"B")</f>
        <v>0</v>
      </c>
      <c r="W620" s="50">
        <f>SUMIFS(SIP[BO UNIT TRANSFER],SIP[Investor ID],INVESTORS_LIST[[#This Row],[INVESTOR CODE]],SIP[B/S],"B")</f>
        <v>0</v>
      </c>
      <c r="X620" s="50">
        <f>SUMIFS(LS[BO UNIT TRANSFER],LS[Investor ID],INVESTORS_LIST[[#This Row],[INVESTOR CODE]],LS[B/S],"S")</f>
        <v>0</v>
      </c>
      <c r="Y620" s="50">
        <f>SUMIFS(SIP[BO UNIT TRANSFER],SIP[Investor ID],INVESTORS_LIST[[#This Row],[INVESTOR CODE]],SIP[B/S],"S")</f>
        <v>0</v>
      </c>
      <c r="Z620" s="106">
        <f>SUM(INVESTORS_LIST[[#This Row],[BO OPENING BALANCE]:[BO SIP UNITS REPURCHASE]])</f>
        <v>31098</v>
      </c>
      <c r="AA620" s="107">
        <f>INVESTORS_LIST[[#This Row],[TOTAL UNITS BUY]]-INVESTORS_LIST[[#This Row],[TOTAL UNITS SOLD]]</f>
        <v>31098</v>
      </c>
      <c r="AB620" s="107">
        <f>INVESTORS_LIST[[#This Row],[TOTAL CURRENT UNITS]]-INVESTORS_LIST[[#This Row],[BO UNITS HOLD]]</f>
        <v>0</v>
      </c>
      <c r="AC620" s="201" t="e">
        <f>INDEX([3]!Table_1[BO ID],MATCH(INVESTORS_LIST[[#This Row],[INVESTOR CODE]],[3]!Table_1[INVESTOR CODE],0))</f>
        <v>#REF!</v>
      </c>
      <c r="AD620" s="201" t="e">
        <f>INDEX([3]!Table_1[Brokerage Name2],MATCH(INVESTORS_LIST[[#This Row],[INVESTOR CODE]],[3]!Table_1[INVESTOR CODE],0))</f>
        <v>#REF!</v>
      </c>
      <c r="AE620" s="201" t="e">
        <f>MID(INVESTORS_LIST[[#This Row],[BO ID]],4,5)</f>
        <v>#REF!</v>
      </c>
      <c r="AF620" s="201" t="e">
        <f>MID(INVESTORS_LIST[[#This Row],[BO ID]],2,7)</f>
        <v>#REF!</v>
      </c>
      <c r="AG620" s="201" t="e">
        <f>MID(INVESTORS_LIST[[#This Row],[BO ID]],9,7)</f>
        <v>#REF!</v>
      </c>
      <c r="AH620" s="201" t="e">
        <f>RIGHT(INVESTORS_LIST[[#This Row],[BO ID]],1)</f>
        <v>#REF!</v>
      </c>
      <c r="AI620" s="50">
        <f>INVESTORS_LIST[[#This Row],[LS_TOTAL COST VALUE OF CURRENT UNITS]]+INVESTORS_LIST[[#This Row],[SIP_TOTAL COST VALUE OF CURRENT UNITS]]</f>
        <v>390000</v>
      </c>
      <c r="AJ620" s="109">
        <f>IF(INVESTORS_LIST[[#This Row],[TOTAL CURRENT UNITS]]=0,0,INVESTORS_LIST[[#This Row],[LS_TOTAL CURRENT UNITS]]/INVESTORS_LIST[[#This Row],[TOTAL CURRENT UNITS]])</f>
        <v>1</v>
      </c>
      <c r="AK620" s="109">
        <f>IF(INVESTORS_LIST[[#This Row],[TOTAL CURRENT UNITS]]=0,0,INVESTORS_LIST[[#This Row],[SIP_TOTAL CURRENT UNITS]]/INVESTORS_LIST[[#This Row],[TOTAL CURRENT UNITS]])</f>
        <v>0</v>
      </c>
      <c r="AL620" s="99">
        <f t="array" ref="AL620">IF(INVESTORS_LIST[[#This Row],[LS_TOTAL UNITS BUY]]&gt;0,INDEX(LS[NAV at Cost (Average)],MATCH(CONCATENATE(COUNTIFS(LS[Investor ID],INVESTORS_LIST[[#This Row],[INVESTOR CODE]]),INVESTORS_LIST[[#This Row],[INVESTOR CODE]]),LS[Unique Code],0),),0)</f>
        <v>12.540999421184642</v>
      </c>
      <c r="AM620" s="99">
        <f t="array" ref="AM6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0" s="105">
        <f>IF(INVESTORS_LIST[[#This Row],[TOTAL CURRENT UNITS]]=0,0,(INVESTORS_LIST[[#This Row],[LS_WEIGHT]]*INVESTORS_LIST[[#This Row],[LS_AVERAGE COST]])+(INVESTORS_LIST[[#This Row],[SIP_WEIGHT]]*INVESTORS_LIST[[#This Row],[SIP_AVERAGE COST]]))</f>
        <v>12.540999421184642</v>
      </c>
      <c r="AO620" s="105">
        <f t="shared" si="10"/>
        <v>14.224</v>
      </c>
      <c r="AP620" s="112">
        <f>IF(INVESTORS_LIST[[#This Row],[TOTAL CURRENT UNITS]]=0,0,INVESTORS_LIST[[#This Row],[TOTAL CURRENT UNITS]]*INVESTORS_LIST[[#This Row],[NAV]])</f>
        <v>442337.95199999999</v>
      </c>
      <c r="AQ620" s="102">
        <f>IF(INVESTORS_LIST[[#This Row],[LS_TOTAL CURRENT UNITS]]=0,0,INVESTORS_LIST[[#This Row],[LS_TOTAL CURRENT UNITS]]*INVESTORS_LIST[[#This Row],[NAV]])</f>
        <v>442337.95199999999</v>
      </c>
      <c r="AR620" s="48">
        <f>IF(INVESTORS_LIST[[#This Row],[SIP_TOTAL CURRENT UNITS]]=0,0,INVESTORS_LIST[[#This Row],[SIP_TOTAL CURRENT UNITS]]*INVESTORS_LIST[[#This Row],[NAV]])</f>
        <v>0</v>
      </c>
      <c r="AS620" s="50">
        <f>INVESTORS_LIST[[#This Row],[TOTAL CURRENT UNITS]]</f>
        <v>31098</v>
      </c>
      <c r="AT620" s="48">
        <f>IF(INVESTORS_LIST[[#This Row],[TOTAL SELLABLE UNITS]]=0,0,INVESTORS_LIST[[#This Row],[TOTAL SELLABLE UNITS]]*INVESTORS_LIST[[#This Row],[NAV]])</f>
        <v>442337.95199999999</v>
      </c>
      <c r="AU620" s="48">
        <f>INVESTORS_LIST[[#This Row],[LS_TOTAL REALIZED GAIN]]+INVESTORS_LIST[[#This Row],[SIP_TOTAL REALIZED GAIN]]</f>
        <v>0</v>
      </c>
      <c r="AV620" s="48">
        <f>INVESTORS_LIST[[#This Row],[TOTAL MARKET VALUE]]-INVESTORS_LIST[[#This Row],[TOTAL COST VALUE OF CURRENT INVESTMENT]]</f>
        <v>52337.95199999999</v>
      </c>
      <c r="AW620" s="48">
        <f>IFERROR(INVESTORS_LIST[[#This Row],[TOTAL CURRENT UNITS]]/SUM(INVESTORS_LIST[TOTAL CURRENT UNITS]),0)</f>
        <v>7.5494151315303154E-4</v>
      </c>
    </row>
    <row r="621" spans="1:49">
      <c r="A621" s="262" t="s">
        <v>1349</v>
      </c>
      <c r="B621" s="97" t="s">
        <v>1350</v>
      </c>
      <c r="C621" s="99" t="s">
        <v>44</v>
      </c>
      <c r="D621" s="101" t="s">
        <v>45</v>
      </c>
      <c r="E621" s="50">
        <f>SUMIFS(LS[Unit],LS[Investor ID],INVESTORS_LIST[[#This Row],[INVESTOR CODE]],LS[B/S],"B")</f>
        <v>39869</v>
      </c>
      <c r="F621" s="50">
        <f>-SUMIFS(LS[Unit],LS[Investor ID],INVESTORS_LIST[[#This Row],[INVESTOR CODE]],LS[B/S],"S")</f>
        <v>0</v>
      </c>
      <c r="G621" s="50">
        <f>IF(INVESTORS_LIST[[#This Row],[LS_TOTAL UNITS BUY]]=0,0,INVESTORS_LIST[[#This Row],[LS_TOTAL UNITS BUY]]-INVESTORS_LIST[[#This Row],[LS_TOTAL UNITS SOLD]])</f>
        <v>39869</v>
      </c>
      <c r="H621" s="102">
        <f>IF(INVESTORS_LIST[[#This Row],[LS_TOTAL UNITS BUY]]=0,0,SUMIFS(LS[Amount],LS[Investor ID],INVESTORS_LIST[[#This Row],[INVESTOR CODE]],LS[B/S],"B"))</f>
        <v>500000</v>
      </c>
      <c r="I621" s="48">
        <f>IF(INVESTORS_LIST[[#This Row],[LS_TOTAL UNITS SOLD]]=0,0,SUMIFS(LS[Cost of Units Sold],LS[Investor ID],INVESTORS_LIST[[#This Row],[INVESTOR CODE]],LS[B/S],"S"))</f>
        <v>0</v>
      </c>
      <c r="J621" s="48">
        <f>IF(INVESTORS_LIST[[#This Row],[LS_TOTAL CURRENT UNITS]]=0,0,INVESTORS_LIST[[#This Row],[LS_TOTAL CURRENT UNITS]]*INVESTORS_LIST[[#This Row],[LS_AVERAGE COST]])</f>
        <v>500000.00000000006</v>
      </c>
      <c r="K621" s="48">
        <f>IF(INVESTORS_LIST[[#This Row],[LS_TOTAL UNITS SOLD]]=0,0,SUMIFS(LS[Realized Gain],LS[Investor ID],INVESTORS_LIST[[#This Row],[INVESTOR CODE]],LS[B/S],"S"))</f>
        <v>0</v>
      </c>
      <c r="L621" s="104">
        <f>SUMIFS(SIP[Unit],SIP[Investor ID],INVESTORS_LIST[[#This Row],[INVESTOR CODE]],SIP[B/S],"B")</f>
        <v>0</v>
      </c>
      <c r="M621" s="50">
        <f>-SUMIFS(SIP[Unit],SIP[Investor ID],INVESTORS_LIST[[#This Row],[INVESTOR CODE]],SIP[B/S],"S")</f>
        <v>0</v>
      </c>
      <c r="N621" s="50">
        <f>IF(INVESTORS_LIST[[#This Row],[SIP_TOTAL UNITS BUY]]=0,0,INVESTORS_LIST[[#This Row],[SIP_TOTAL UNITS BUY]]-INVESTORS_LIST[[#This Row],[SIP_TOTAL UNITS SOLD]])</f>
        <v>0</v>
      </c>
      <c r="O621" s="48">
        <f>IF(INVESTORS_LIST[[#This Row],[SIP_TOTAL UNITS BUY]]=0,0,SUMIFS(SIP[Amount],SIP[Investor ID],INVESTORS_LIST[[#This Row],[INVESTOR CODE]],SIP[B/S],"B"))</f>
        <v>0</v>
      </c>
      <c r="P621" s="48">
        <f>IF(INVESTORS_LIST[[#This Row],[SIP_TOTAL UNITS SOLD]]=0,0,SUMIFS(SIP[Cost of Units Sold],SIP[Investor ID],INVESTORS_LIST[[#This Row],[INVESTOR CODE]],SIP[B/S],"S"))</f>
        <v>0</v>
      </c>
      <c r="Q621" s="48">
        <f>IF(INVESTORS_LIST[[#This Row],[SIP_TOTAL CURRENT UNITS]]=0,0,INVESTORS_LIST[[#This Row],[SIP_TOTAL CURRENT UNITS]]*INVESTORS_LIST[[#This Row],[SIP_AVERAGE COST]])</f>
        <v>0</v>
      </c>
      <c r="R621" s="48">
        <f>IF(INVESTORS_LIST[[#This Row],[SIP_TOTAL UNITS SOLD]]=0,0,SUMIFS(SIP[Realized Gain],SIP[Investor ID],INVESTORS_LIST[[#This Row],[INVESTOR CODE]],SIP[B/S],"S"))</f>
        <v>0</v>
      </c>
      <c r="S621" s="50">
        <f>INVESTORS_LIST[[#This Row],[LS_TOTAL UNITS BUY]]+INVESTORS_LIST[[#This Row],[SIP_TOTAL UNITS BUY]]</f>
        <v>39869</v>
      </c>
      <c r="T621" s="50">
        <f>INVESTORS_LIST[[#This Row],[LS_TOTAL UNITS SOLD]]+INVESTORS_LIST[[#This Row],[SIP_TOTAL UNITS SOLD]]</f>
        <v>0</v>
      </c>
      <c r="U621" s="50">
        <v>39869</v>
      </c>
      <c r="V621" s="50">
        <f>SUMIFS(LS[BO UNIT TRANSFER],LS[Investor ID],INVESTORS_LIST[[#This Row],[INVESTOR CODE]],LS[B/S],"B")</f>
        <v>0</v>
      </c>
      <c r="W621" s="50">
        <f>SUMIFS(SIP[BO UNIT TRANSFER],SIP[Investor ID],INVESTORS_LIST[[#This Row],[INVESTOR CODE]],SIP[B/S],"B")</f>
        <v>0</v>
      </c>
      <c r="X621" s="50">
        <f>SUMIFS(LS[BO UNIT TRANSFER],LS[Investor ID],INVESTORS_LIST[[#This Row],[INVESTOR CODE]],LS[B/S],"S")</f>
        <v>0</v>
      </c>
      <c r="Y621" s="50">
        <f>SUMIFS(SIP[BO UNIT TRANSFER],SIP[Investor ID],INVESTORS_LIST[[#This Row],[INVESTOR CODE]],SIP[B/S],"S")</f>
        <v>0</v>
      </c>
      <c r="Z621" s="106">
        <f>SUM(INVESTORS_LIST[[#This Row],[BO OPENING BALANCE]:[BO SIP UNITS REPURCHASE]])</f>
        <v>39869</v>
      </c>
      <c r="AA621" s="107">
        <f>INVESTORS_LIST[[#This Row],[TOTAL UNITS BUY]]-INVESTORS_LIST[[#This Row],[TOTAL UNITS SOLD]]</f>
        <v>39869</v>
      </c>
      <c r="AB621" s="107">
        <f>INVESTORS_LIST[[#This Row],[TOTAL CURRENT UNITS]]-INVESTORS_LIST[[#This Row],[BO UNITS HOLD]]</f>
        <v>0</v>
      </c>
      <c r="AC621" s="201" t="e">
        <f>INDEX([3]!Table_1[BO ID],MATCH(INVESTORS_LIST[[#This Row],[INVESTOR CODE]],[3]!Table_1[INVESTOR CODE],0))</f>
        <v>#REF!</v>
      </c>
      <c r="AD621" s="201" t="e">
        <f>INDEX([3]!Table_1[Brokerage Name2],MATCH(INVESTORS_LIST[[#This Row],[INVESTOR CODE]],[3]!Table_1[INVESTOR CODE],0))</f>
        <v>#REF!</v>
      </c>
      <c r="AE621" s="201" t="e">
        <f>MID(INVESTORS_LIST[[#This Row],[BO ID]],4,5)</f>
        <v>#REF!</v>
      </c>
      <c r="AF621" s="201" t="e">
        <f>MID(INVESTORS_LIST[[#This Row],[BO ID]],2,7)</f>
        <v>#REF!</v>
      </c>
      <c r="AG621" s="201" t="e">
        <f>MID(INVESTORS_LIST[[#This Row],[BO ID]],9,7)</f>
        <v>#REF!</v>
      </c>
      <c r="AH621" s="201" t="e">
        <f>RIGHT(INVESTORS_LIST[[#This Row],[BO ID]],1)</f>
        <v>#REF!</v>
      </c>
      <c r="AI621" s="50">
        <f>INVESTORS_LIST[[#This Row],[LS_TOTAL COST VALUE OF CURRENT UNITS]]+INVESTORS_LIST[[#This Row],[SIP_TOTAL COST VALUE OF CURRENT UNITS]]</f>
        <v>500000.00000000006</v>
      </c>
      <c r="AJ621" s="109">
        <f>IF(INVESTORS_LIST[[#This Row],[TOTAL CURRENT UNITS]]=0,0,INVESTORS_LIST[[#This Row],[LS_TOTAL CURRENT UNITS]]/INVESTORS_LIST[[#This Row],[TOTAL CURRENT UNITS]])</f>
        <v>1</v>
      </c>
      <c r="AK621" s="109">
        <f>IF(INVESTORS_LIST[[#This Row],[TOTAL CURRENT UNITS]]=0,0,INVESTORS_LIST[[#This Row],[SIP_TOTAL CURRENT UNITS]]/INVESTORS_LIST[[#This Row],[TOTAL CURRENT UNITS]])</f>
        <v>0</v>
      </c>
      <c r="AL621" s="99">
        <f t="array" ref="AL621"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621" s="99">
        <f t="array" ref="AM6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1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621" s="105">
        <f t="shared" si="10"/>
        <v>14.224</v>
      </c>
      <c r="AP621" s="112">
        <f>IF(INVESTORS_LIST[[#This Row],[TOTAL CURRENT UNITS]]=0,0,INVESTORS_LIST[[#This Row],[TOTAL CURRENT UNITS]]*INVESTORS_LIST[[#This Row],[NAV]])</f>
        <v>567096.65599999996</v>
      </c>
      <c r="AQ621" s="102">
        <f>IF(INVESTORS_LIST[[#This Row],[LS_TOTAL CURRENT UNITS]]=0,0,INVESTORS_LIST[[#This Row],[LS_TOTAL CURRENT UNITS]]*INVESTORS_LIST[[#This Row],[NAV]])</f>
        <v>567096.65599999996</v>
      </c>
      <c r="AR621" s="48">
        <f>IF(INVESTORS_LIST[[#This Row],[SIP_TOTAL CURRENT UNITS]]=0,0,INVESTORS_LIST[[#This Row],[SIP_TOTAL CURRENT UNITS]]*INVESTORS_LIST[[#This Row],[NAV]])</f>
        <v>0</v>
      </c>
      <c r="AS621" s="50">
        <f>INVESTORS_LIST[[#This Row],[TOTAL CURRENT UNITS]]</f>
        <v>39869</v>
      </c>
      <c r="AT621" s="48">
        <f>IF(INVESTORS_LIST[[#This Row],[TOTAL SELLABLE UNITS]]=0,0,INVESTORS_LIST[[#This Row],[TOTAL SELLABLE UNITS]]*INVESTORS_LIST[[#This Row],[NAV]])</f>
        <v>567096.65599999996</v>
      </c>
      <c r="AU621" s="48">
        <f>INVESTORS_LIST[[#This Row],[LS_TOTAL REALIZED GAIN]]+INVESTORS_LIST[[#This Row],[SIP_TOTAL REALIZED GAIN]]</f>
        <v>0</v>
      </c>
      <c r="AV621" s="48">
        <f>INVESTORS_LIST[[#This Row],[TOTAL MARKET VALUE]]-INVESTORS_LIST[[#This Row],[TOTAL COST VALUE OF CURRENT INVESTMENT]]</f>
        <v>67096.655999999901</v>
      </c>
      <c r="AW621" s="48">
        <f>IFERROR(INVESTORS_LIST[[#This Row],[TOTAL CURRENT UNITS]]/SUM(INVESTORS_LIST[TOTAL CURRENT UNITS]),0)</f>
        <v>9.6786813260975671E-4</v>
      </c>
    </row>
    <row r="622" spans="1:49" hidden="1">
      <c r="A622" s="262" t="s">
        <v>1351</v>
      </c>
      <c r="B622" s="97" t="s">
        <v>1352</v>
      </c>
      <c r="C622" s="99" t="s">
        <v>67</v>
      </c>
      <c r="D622" s="101" t="s">
        <v>45</v>
      </c>
      <c r="E622" s="50">
        <f>SUMIFS(LS[Unit],LS[Investor ID],INVESTORS_LIST[[#This Row],[INVESTOR CODE]],LS[B/S],"B")</f>
        <v>0</v>
      </c>
      <c r="F622" s="50">
        <f>-SUMIFS(LS[Unit],LS[Investor ID],INVESTORS_LIST[[#This Row],[INVESTOR CODE]],LS[B/S],"S")</f>
        <v>0</v>
      </c>
      <c r="G622" s="50">
        <f>IF(INVESTORS_LIST[[#This Row],[LS_TOTAL UNITS BUY]]=0,0,INVESTORS_LIST[[#This Row],[LS_TOTAL UNITS BUY]]-INVESTORS_LIST[[#This Row],[LS_TOTAL UNITS SOLD]])</f>
        <v>0</v>
      </c>
      <c r="H622" s="102">
        <f>IF(INVESTORS_LIST[[#This Row],[LS_TOTAL UNITS BUY]]=0,0,SUMIFS(LS[Amount],LS[Investor ID],INVESTORS_LIST[[#This Row],[INVESTOR CODE]],LS[B/S],"B"))</f>
        <v>0</v>
      </c>
      <c r="I622" s="48">
        <f>IF(INVESTORS_LIST[[#This Row],[LS_TOTAL UNITS SOLD]]=0,0,SUMIFS(LS[Cost of Units Sold],LS[Investor ID],INVESTORS_LIST[[#This Row],[INVESTOR CODE]],LS[B/S],"S"))</f>
        <v>0</v>
      </c>
      <c r="J622" s="48">
        <f>IF(INVESTORS_LIST[[#This Row],[LS_TOTAL CURRENT UNITS]]=0,0,INVESTORS_LIST[[#This Row],[LS_TOTAL CURRENT UNITS]]*INVESTORS_LIST[[#This Row],[LS_AVERAGE COST]])</f>
        <v>0</v>
      </c>
      <c r="K622" s="48">
        <f>IF(INVESTORS_LIST[[#This Row],[LS_TOTAL UNITS SOLD]]=0,0,SUMIFS(LS[Realized Gain],LS[Investor ID],INVESTORS_LIST[[#This Row],[INVESTOR CODE]],LS[B/S],"S"))</f>
        <v>0</v>
      </c>
      <c r="L622" s="104">
        <f>SUMIFS(SIP[Unit],SIP[Investor ID],INVESTORS_LIST[[#This Row],[INVESTOR CODE]],SIP[B/S],"B")</f>
        <v>0</v>
      </c>
      <c r="M622" s="50">
        <f>-SUMIFS(SIP[Unit],SIP[Investor ID],INVESTORS_LIST[[#This Row],[INVESTOR CODE]],SIP[B/S],"S")</f>
        <v>0</v>
      </c>
      <c r="N622" s="50">
        <f>IF(INVESTORS_LIST[[#This Row],[SIP_TOTAL UNITS BUY]]=0,0,INVESTORS_LIST[[#This Row],[SIP_TOTAL UNITS BUY]]-INVESTORS_LIST[[#This Row],[SIP_TOTAL UNITS SOLD]])</f>
        <v>0</v>
      </c>
      <c r="O622" s="48">
        <f>IF(INVESTORS_LIST[[#This Row],[SIP_TOTAL UNITS BUY]]=0,0,SUMIFS(SIP[Amount],SIP[Investor ID],INVESTORS_LIST[[#This Row],[INVESTOR CODE]],SIP[B/S],"B"))</f>
        <v>0</v>
      </c>
      <c r="P622" s="48">
        <f>IF(INVESTORS_LIST[[#This Row],[SIP_TOTAL UNITS SOLD]]=0,0,SUMIFS(SIP[Cost of Units Sold],SIP[Investor ID],INVESTORS_LIST[[#This Row],[INVESTOR CODE]],SIP[B/S],"S"))</f>
        <v>0</v>
      </c>
      <c r="Q622" s="48">
        <f>IF(INVESTORS_LIST[[#This Row],[SIP_TOTAL CURRENT UNITS]]=0,0,INVESTORS_LIST[[#This Row],[SIP_TOTAL CURRENT UNITS]]*INVESTORS_LIST[[#This Row],[SIP_AVERAGE COST]])</f>
        <v>0</v>
      </c>
      <c r="R622" s="48">
        <f>IF(INVESTORS_LIST[[#This Row],[SIP_TOTAL UNITS SOLD]]=0,0,SUMIFS(SIP[Realized Gain],SIP[Investor ID],INVESTORS_LIST[[#This Row],[INVESTOR CODE]],SIP[B/S],"S"))</f>
        <v>0</v>
      </c>
      <c r="S622" s="50">
        <f>INVESTORS_LIST[[#This Row],[LS_TOTAL UNITS BUY]]+INVESTORS_LIST[[#This Row],[SIP_TOTAL UNITS BUY]]</f>
        <v>0</v>
      </c>
      <c r="T622" s="50">
        <f>INVESTORS_LIST[[#This Row],[LS_TOTAL UNITS SOLD]]+INVESTORS_LIST[[#This Row],[SIP_TOTAL UNITS SOLD]]</f>
        <v>0</v>
      </c>
      <c r="U622" s="50"/>
      <c r="V622" s="50">
        <f>SUMIFS(LS[BO UNIT TRANSFER],LS[Investor ID],INVESTORS_LIST[[#This Row],[INVESTOR CODE]],LS[B/S],"B")</f>
        <v>0</v>
      </c>
      <c r="W622" s="50">
        <f>SUMIFS(SIP[BO UNIT TRANSFER],SIP[Investor ID],INVESTORS_LIST[[#This Row],[INVESTOR CODE]],SIP[B/S],"B")</f>
        <v>0</v>
      </c>
      <c r="X622" s="50">
        <f>SUMIFS(LS[BO UNIT TRANSFER],LS[Investor ID],INVESTORS_LIST[[#This Row],[INVESTOR CODE]],LS[B/S],"S")</f>
        <v>0</v>
      </c>
      <c r="Y622" s="50">
        <f>SUMIFS(SIP[BO UNIT TRANSFER],SIP[Investor ID],INVESTORS_LIST[[#This Row],[INVESTOR CODE]],SIP[B/S],"S")</f>
        <v>0</v>
      </c>
      <c r="Z622" s="106">
        <f>SUM(INVESTORS_LIST[[#This Row],[BO OPENING BALANCE]:[BO SIP UNITS REPURCHASE]])</f>
        <v>0</v>
      </c>
      <c r="AA622" s="107">
        <f>INVESTORS_LIST[[#This Row],[TOTAL UNITS BUY]]-INVESTORS_LIST[[#This Row],[TOTAL UNITS SOLD]]</f>
        <v>0</v>
      </c>
      <c r="AB622" s="107">
        <f>INVESTORS_LIST[[#This Row],[TOTAL CURRENT UNITS]]-INVESTORS_LIST[[#This Row],[BO UNITS HOLD]]</f>
        <v>0</v>
      </c>
      <c r="AC622" s="201" t="e">
        <f>INDEX([3]!Table_1[BO ID],MATCH(INVESTORS_LIST[[#This Row],[INVESTOR CODE]],[3]!Table_1[INVESTOR CODE],0))</f>
        <v>#REF!</v>
      </c>
      <c r="AD622" s="201" t="e">
        <f>INDEX([3]!Table_1[Brokerage Name2],MATCH(INVESTORS_LIST[[#This Row],[INVESTOR CODE]],[3]!Table_1[INVESTOR CODE],0))</f>
        <v>#REF!</v>
      </c>
      <c r="AE622" s="201" t="e">
        <f>MID(INVESTORS_LIST[[#This Row],[BO ID]],4,5)</f>
        <v>#REF!</v>
      </c>
      <c r="AF622" s="201" t="e">
        <f>MID(INVESTORS_LIST[[#This Row],[BO ID]],2,7)</f>
        <v>#REF!</v>
      </c>
      <c r="AG622" s="201" t="e">
        <f>MID(INVESTORS_LIST[[#This Row],[BO ID]],9,7)</f>
        <v>#REF!</v>
      </c>
      <c r="AH622" s="201" t="e">
        <f>RIGHT(INVESTORS_LIST[[#This Row],[BO ID]],1)</f>
        <v>#REF!</v>
      </c>
      <c r="AI622" s="50">
        <f>INVESTORS_LIST[[#This Row],[LS_TOTAL COST VALUE OF CURRENT UNITS]]+INVESTORS_LIST[[#This Row],[SIP_TOTAL COST VALUE OF CURRENT UNITS]]</f>
        <v>0</v>
      </c>
      <c r="AJ622" s="109">
        <f>IF(INVESTORS_LIST[[#This Row],[TOTAL CURRENT UNITS]]=0,0,INVESTORS_LIST[[#This Row],[LS_TOTAL CURRENT UNITS]]/INVESTORS_LIST[[#This Row],[TOTAL CURRENT UNITS]])</f>
        <v>0</v>
      </c>
      <c r="AK622" s="109">
        <f>IF(INVESTORS_LIST[[#This Row],[TOTAL CURRENT UNITS]]=0,0,INVESTORS_LIST[[#This Row],[SIP_TOTAL CURRENT UNITS]]/INVESTORS_LIST[[#This Row],[TOTAL CURRENT UNITS]])</f>
        <v>0</v>
      </c>
      <c r="AL622" s="99">
        <f t="array" ref="AL6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22" s="99">
        <f t="array" ref="AM6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22" s="105">
        <f t="shared" si="10"/>
        <v>14.224</v>
      </c>
      <c r="AP622" s="112">
        <f>IF(INVESTORS_LIST[[#This Row],[TOTAL CURRENT UNITS]]=0,0,INVESTORS_LIST[[#This Row],[TOTAL CURRENT UNITS]]*INVESTORS_LIST[[#This Row],[NAV]])</f>
        <v>0</v>
      </c>
      <c r="AQ622" s="102">
        <f>IF(INVESTORS_LIST[[#This Row],[LS_TOTAL CURRENT UNITS]]=0,0,INVESTORS_LIST[[#This Row],[LS_TOTAL CURRENT UNITS]]*INVESTORS_LIST[[#This Row],[NAV]])</f>
        <v>0</v>
      </c>
      <c r="AR622" s="48">
        <f>IF(INVESTORS_LIST[[#This Row],[SIP_TOTAL CURRENT UNITS]]=0,0,INVESTORS_LIST[[#This Row],[SIP_TOTAL CURRENT UNITS]]*INVESTORS_LIST[[#This Row],[NAV]])</f>
        <v>0</v>
      </c>
      <c r="AS622" s="50">
        <f>INVESTORS_LIST[[#This Row],[TOTAL CURRENT UNITS]]</f>
        <v>0</v>
      </c>
      <c r="AT622" s="48">
        <f>IF(INVESTORS_LIST[[#This Row],[TOTAL SELLABLE UNITS]]=0,0,INVESTORS_LIST[[#This Row],[TOTAL SELLABLE UNITS]]*INVESTORS_LIST[[#This Row],[NAV]])</f>
        <v>0</v>
      </c>
      <c r="AU622" s="48">
        <f>INVESTORS_LIST[[#This Row],[LS_TOTAL REALIZED GAIN]]+INVESTORS_LIST[[#This Row],[SIP_TOTAL REALIZED GAIN]]</f>
        <v>0</v>
      </c>
      <c r="AV622" s="48">
        <f>INVESTORS_LIST[[#This Row],[TOTAL MARKET VALUE]]-INVESTORS_LIST[[#This Row],[TOTAL COST VALUE OF CURRENT INVESTMENT]]</f>
        <v>0</v>
      </c>
      <c r="AW622" s="48">
        <f>IFERROR(INVESTORS_LIST[[#This Row],[TOTAL CURRENT UNITS]]/SUM(INVESTORS_LIST[TOTAL CURRENT UNITS]),0)</f>
        <v>0</v>
      </c>
    </row>
    <row r="623" spans="1:49">
      <c r="A623" s="262" t="s">
        <v>1353</v>
      </c>
      <c r="B623" s="127" t="s">
        <v>1354</v>
      </c>
      <c r="C623" s="99" t="s">
        <v>44</v>
      </c>
      <c r="D623" s="101" t="s">
        <v>45</v>
      </c>
      <c r="E623" s="50">
        <f>SUMIFS(LS[Unit],LS[Investor ID],INVESTORS_LIST[[#This Row],[INVESTOR CODE]],LS[B/S],"B")</f>
        <v>67153</v>
      </c>
      <c r="F623" s="50">
        <f>-SUMIFS(LS[Unit],LS[Investor ID],INVESTORS_LIST[[#This Row],[INVESTOR CODE]],LS[B/S],"S")</f>
        <v>31842</v>
      </c>
      <c r="G623" s="50">
        <f>IF(INVESTORS_LIST[[#This Row],[LS_TOTAL UNITS BUY]]=0,0,INVESTORS_LIST[[#This Row],[LS_TOTAL UNITS BUY]]-INVESTORS_LIST[[#This Row],[LS_TOTAL UNITS SOLD]])</f>
        <v>35311</v>
      </c>
      <c r="H623" s="102">
        <f>IF(INVESTORS_LIST[[#This Row],[LS_TOTAL UNITS BUY]]=0,0,SUMIFS(LS[Amount],LS[Investor ID],INVESTORS_LIST[[#This Row],[INVESTOR CODE]],LS[B/S],"B"))</f>
        <v>900000</v>
      </c>
      <c r="I623" s="48">
        <f>IF(INVESTORS_LIST[[#This Row],[LS_TOTAL UNITS SOLD]]=0,0,SUMIFS(LS[Cost of Units Sold],LS[Investor ID],INVESTORS_LIST[[#This Row],[INVESTOR CODE]],LS[B/S],"S"))</f>
        <v>400000</v>
      </c>
      <c r="J623" s="48">
        <f>IF(INVESTORS_LIST[[#This Row],[LS_TOTAL CURRENT UNITS]]=0,0,INVESTORS_LIST[[#This Row],[LS_TOTAL CURRENT UNITS]]*INVESTORS_LIST[[#This Row],[LS_AVERAGE COST]])</f>
        <v>500000</v>
      </c>
      <c r="K623" s="48">
        <f>IF(INVESTORS_LIST[[#This Row],[LS_TOTAL UNITS SOLD]]=0,0,SUMIFS(LS[Realized Gain],LS[Investor ID],INVESTORS_LIST[[#This Row],[INVESTOR CODE]],LS[B/S],"S"))</f>
        <v>41101.450000000019</v>
      </c>
      <c r="L623" s="104">
        <f>SUMIFS(SIP[Unit],SIP[Investor ID],INVESTORS_LIST[[#This Row],[INVESTOR CODE]],SIP[B/S],"B")</f>
        <v>0</v>
      </c>
      <c r="M623" s="50">
        <f>-SUMIFS(SIP[Unit],SIP[Investor ID],INVESTORS_LIST[[#This Row],[INVESTOR CODE]],SIP[B/S],"S")</f>
        <v>0</v>
      </c>
      <c r="N623" s="50">
        <f>IF(INVESTORS_LIST[[#This Row],[SIP_TOTAL UNITS BUY]]=0,0,INVESTORS_LIST[[#This Row],[SIP_TOTAL UNITS BUY]]-INVESTORS_LIST[[#This Row],[SIP_TOTAL UNITS SOLD]])</f>
        <v>0</v>
      </c>
      <c r="O623" s="48">
        <f>IF(INVESTORS_LIST[[#This Row],[SIP_TOTAL UNITS BUY]]=0,0,SUMIFS(SIP[Amount],SIP[Investor ID],INVESTORS_LIST[[#This Row],[INVESTOR CODE]],SIP[B/S],"B"))</f>
        <v>0</v>
      </c>
      <c r="P623" s="48">
        <f>IF(INVESTORS_LIST[[#This Row],[SIP_TOTAL UNITS SOLD]]=0,0,SUMIFS(SIP[Cost of Units Sold],SIP[Investor ID],INVESTORS_LIST[[#This Row],[INVESTOR CODE]],SIP[B/S],"S"))</f>
        <v>0</v>
      </c>
      <c r="Q623" s="48">
        <f>IF(INVESTORS_LIST[[#This Row],[SIP_TOTAL CURRENT UNITS]]=0,0,INVESTORS_LIST[[#This Row],[SIP_TOTAL CURRENT UNITS]]*INVESTORS_LIST[[#This Row],[SIP_AVERAGE COST]])</f>
        <v>0</v>
      </c>
      <c r="R623" s="48">
        <f>IF(INVESTORS_LIST[[#This Row],[SIP_TOTAL UNITS SOLD]]=0,0,SUMIFS(SIP[Realized Gain],SIP[Investor ID],INVESTORS_LIST[[#This Row],[INVESTOR CODE]],SIP[B/S],"S"))</f>
        <v>0</v>
      </c>
      <c r="S623" s="50">
        <f>INVESTORS_LIST[[#This Row],[LS_TOTAL UNITS BUY]]+INVESTORS_LIST[[#This Row],[SIP_TOTAL UNITS BUY]]</f>
        <v>67153</v>
      </c>
      <c r="T623" s="50">
        <f>INVESTORS_LIST[[#This Row],[LS_TOTAL UNITS SOLD]]+INVESTORS_LIST[[#This Row],[SIP_TOTAL UNITS SOLD]]</f>
        <v>31842</v>
      </c>
      <c r="U623" s="50">
        <v>31842</v>
      </c>
      <c r="V623" s="50">
        <f>SUMIFS(LS[BO UNIT TRANSFER],LS[Investor ID],INVESTORS_LIST[[#This Row],[INVESTOR CODE]],LS[B/S],"B")</f>
        <v>0</v>
      </c>
      <c r="W623" s="50">
        <f>SUMIFS(SIP[BO UNIT TRANSFER],SIP[Investor ID],INVESTORS_LIST[[#This Row],[INVESTOR CODE]],SIP[B/S],"B")</f>
        <v>0</v>
      </c>
      <c r="X623" s="50">
        <f>SUMIFS(LS[BO UNIT TRANSFER],LS[Investor ID],INVESTORS_LIST[[#This Row],[INVESTOR CODE]],LS[B/S],"S")</f>
        <v>0</v>
      </c>
      <c r="Y623" s="50">
        <f>SUMIFS(SIP[BO UNIT TRANSFER],SIP[Investor ID],INVESTORS_LIST[[#This Row],[INVESTOR CODE]],SIP[B/S],"S")</f>
        <v>0</v>
      </c>
      <c r="Z623" s="106">
        <f>SUM(INVESTORS_LIST[[#This Row],[BO OPENING BALANCE]:[BO SIP UNITS REPURCHASE]])</f>
        <v>31842</v>
      </c>
      <c r="AA623" s="107">
        <f>INVESTORS_LIST[[#This Row],[TOTAL UNITS BUY]]-INVESTORS_LIST[[#This Row],[TOTAL UNITS SOLD]]</f>
        <v>35311</v>
      </c>
      <c r="AB623" s="107">
        <f>INVESTORS_LIST[[#This Row],[TOTAL CURRENT UNITS]]-INVESTORS_LIST[[#This Row],[BO UNITS HOLD]]</f>
        <v>3469</v>
      </c>
      <c r="AC623" s="201" t="e">
        <f>INDEX([3]!Table_1[BO ID],MATCH(INVESTORS_LIST[[#This Row],[INVESTOR CODE]],[3]!Table_1[INVESTOR CODE],0))</f>
        <v>#REF!</v>
      </c>
      <c r="AD623" s="201" t="e">
        <f>INDEX([3]!Table_1[Brokerage Name2],MATCH(INVESTORS_LIST[[#This Row],[INVESTOR CODE]],[3]!Table_1[INVESTOR CODE],0))</f>
        <v>#REF!</v>
      </c>
      <c r="AE623" s="201" t="e">
        <f>MID(INVESTORS_LIST[[#This Row],[BO ID]],4,5)</f>
        <v>#REF!</v>
      </c>
      <c r="AF623" s="201" t="e">
        <f>MID(INVESTORS_LIST[[#This Row],[BO ID]],2,7)</f>
        <v>#REF!</v>
      </c>
      <c r="AG623" s="201" t="e">
        <f>MID(INVESTORS_LIST[[#This Row],[BO ID]],9,7)</f>
        <v>#REF!</v>
      </c>
      <c r="AH623" s="201" t="e">
        <f>RIGHT(INVESTORS_LIST[[#This Row],[BO ID]],1)</f>
        <v>#REF!</v>
      </c>
      <c r="AI623" s="50">
        <f>INVESTORS_LIST[[#This Row],[LS_TOTAL COST VALUE OF CURRENT UNITS]]+INVESTORS_LIST[[#This Row],[SIP_TOTAL COST VALUE OF CURRENT UNITS]]</f>
        <v>500000</v>
      </c>
      <c r="AJ623" s="109">
        <f>IF(INVESTORS_LIST[[#This Row],[TOTAL CURRENT UNITS]]=0,0,INVESTORS_LIST[[#This Row],[LS_TOTAL CURRENT UNITS]]/INVESTORS_LIST[[#This Row],[TOTAL CURRENT UNITS]])</f>
        <v>1</v>
      </c>
      <c r="AK623" s="109">
        <f>IF(INVESTORS_LIST[[#This Row],[TOTAL CURRENT UNITS]]=0,0,INVESTORS_LIST[[#This Row],[SIP_TOTAL CURRENT UNITS]]/INVESTORS_LIST[[#This Row],[TOTAL CURRENT UNITS]])</f>
        <v>0</v>
      </c>
      <c r="AL623" s="99">
        <f t="array" ref="AL623">IF(INVESTORS_LIST[[#This Row],[LS_TOTAL UNITS BUY]]&gt;0,INDEX(LS[NAV at Cost (Average)],MATCH(CONCATENATE(COUNTIFS(LS[Investor ID],INVESTORS_LIST[[#This Row],[INVESTOR CODE]]),INVESTORS_LIST[[#This Row],[INVESTOR CODE]]),LS[Unique Code],0),),0)</f>
        <v>14.159893517600748</v>
      </c>
      <c r="AM623" s="99">
        <f t="array" ref="AM6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3" s="105">
        <f>IF(INVESTORS_LIST[[#This Row],[TOTAL CURRENT UNITS]]=0,0,(INVESTORS_LIST[[#This Row],[LS_WEIGHT]]*INVESTORS_LIST[[#This Row],[LS_AVERAGE COST]])+(INVESTORS_LIST[[#This Row],[SIP_WEIGHT]]*INVESTORS_LIST[[#This Row],[SIP_AVERAGE COST]]))</f>
        <v>14.159893517600748</v>
      </c>
      <c r="AO623" s="105">
        <f t="shared" si="10"/>
        <v>14.224</v>
      </c>
      <c r="AP623" s="112">
        <f>IF(INVESTORS_LIST[[#This Row],[TOTAL CURRENT UNITS]]=0,0,INVESTORS_LIST[[#This Row],[TOTAL CURRENT UNITS]]*INVESTORS_LIST[[#This Row],[NAV]])</f>
        <v>502263.66399999999</v>
      </c>
      <c r="AQ623" s="102">
        <f>IF(INVESTORS_LIST[[#This Row],[LS_TOTAL CURRENT UNITS]]=0,0,INVESTORS_LIST[[#This Row],[LS_TOTAL CURRENT UNITS]]*INVESTORS_LIST[[#This Row],[NAV]])</f>
        <v>502263.66399999999</v>
      </c>
      <c r="AR623" s="48">
        <f>IF(INVESTORS_LIST[[#This Row],[SIP_TOTAL CURRENT UNITS]]=0,0,INVESTORS_LIST[[#This Row],[SIP_TOTAL CURRENT UNITS]]*INVESTORS_LIST[[#This Row],[NAV]])</f>
        <v>0</v>
      </c>
      <c r="AS623" s="50">
        <f>INVESTORS_LIST[[#This Row],[TOTAL CURRENT UNITS]]</f>
        <v>35311</v>
      </c>
      <c r="AT623" s="48">
        <f>IF(INVESTORS_LIST[[#This Row],[TOTAL SELLABLE UNITS]]=0,0,INVESTORS_LIST[[#This Row],[TOTAL SELLABLE UNITS]]*INVESTORS_LIST[[#This Row],[NAV]])</f>
        <v>502263.66399999999</v>
      </c>
      <c r="AU623" s="48">
        <f>INVESTORS_LIST[[#This Row],[LS_TOTAL REALIZED GAIN]]+INVESTORS_LIST[[#This Row],[SIP_TOTAL REALIZED GAIN]]</f>
        <v>41101.450000000019</v>
      </c>
      <c r="AV623" s="48">
        <f>INVESTORS_LIST[[#This Row],[TOTAL MARKET VALUE]]-INVESTORS_LIST[[#This Row],[TOTAL COST VALUE OF CURRENT INVESTMENT]]</f>
        <v>2263.6639999999898</v>
      </c>
      <c r="AW623" s="48">
        <f>IFERROR(INVESTORS_LIST[[#This Row],[TOTAL CURRENT UNITS]]/SUM(INVESTORS_LIST[TOTAL CURRENT UNITS]),0)</f>
        <v>8.5721717701931627E-4</v>
      </c>
    </row>
    <row r="624" spans="1:49" hidden="1">
      <c r="A624" s="262" t="s">
        <v>1355</v>
      </c>
      <c r="B624" s="97" t="s">
        <v>1356</v>
      </c>
      <c r="C624" s="99" t="s">
        <v>44</v>
      </c>
      <c r="D624" s="101" t="s">
        <v>45</v>
      </c>
      <c r="E624" s="50">
        <f>SUMIFS(LS[Unit],LS[Investor ID],INVESTORS_LIST[[#This Row],[INVESTOR CODE]],LS[B/S],"B")</f>
        <v>39869</v>
      </c>
      <c r="F624" s="50">
        <f>-SUMIFS(LS[Unit],LS[Investor ID],INVESTORS_LIST[[#This Row],[INVESTOR CODE]],LS[B/S],"S")</f>
        <v>39869</v>
      </c>
      <c r="G624" s="50">
        <f>IF(INVESTORS_LIST[[#This Row],[LS_TOTAL UNITS BUY]]=0,0,INVESTORS_LIST[[#This Row],[LS_TOTAL UNITS BUY]]-INVESTORS_LIST[[#This Row],[LS_TOTAL UNITS SOLD]])</f>
        <v>0</v>
      </c>
      <c r="H624" s="102">
        <f>IF(INVESTORS_LIST[[#This Row],[LS_TOTAL UNITS BUY]]=0,0,SUMIFS(LS[Amount],LS[Investor ID],INVESTORS_LIST[[#This Row],[INVESTOR CODE]],LS[B/S],"B"))</f>
        <v>500000</v>
      </c>
      <c r="I624" s="48">
        <f>IF(INVESTORS_LIST[[#This Row],[LS_TOTAL UNITS SOLD]]=0,0,SUMIFS(LS[Cost of Units Sold],LS[Investor ID],INVESTORS_LIST[[#This Row],[INVESTOR CODE]],LS[B/S],"S"))</f>
        <v>500000.00000000006</v>
      </c>
      <c r="J624" s="48">
        <f>IF(INVESTORS_LIST[[#This Row],[LS_TOTAL CURRENT UNITS]]=0,0,INVESTORS_LIST[[#This Row],[LS_TOTAL CURRENT UNITS]]*INVESTORS_LIST[[#This Row],[LS_AVERAGE COST]])</f>
        <v>0</v>
      </c>
      <c r="K624" s="48">
        <f>IF(INVESTORS_LIST[[#This Row],[LS_TOTAL UNITS SOLD]]=0,0,SUMIFS(LS[Realized Gain],LS[Investor ID],INVESTORS_LIST[[#This Row],[INVESTOR CODE]],LS[B/S],"S"))</f>
        <v>44610.539999999979</v>
      </c>
      <c r="L624" s="104">
        <f>SUMIFS(SIP[Unit],SIP[Investor ID],INVESTORS_LIST[[#This Row],[INVESTOR CODE]],SIP[B/S],"B")</f>
        <v>0</v>
      </c>
      <c r="M624" s="50">
        <f>-SUMIFS(SIP[Unit],SIP[Investor ID],INVESTORS_LIST[[#This Row],[INVESTOR CODE]],SIP[B/S],"S")</f>
        <v>0</v>
      </c>
      <c r="N624" s="50">
        <f>IF(INVESTORS_LIST[[#This Row],[SIP_TOTAL UNITS BUY]]=0,0,INVESTORS_LIST[[#This Row],[SIP_TOTAL UNITS BUY]]-INVESTORS_LIST[[#This Row],[SIP_TOTAL UNITS SOLD]])</f>
        <v>0</v>
      </c>
      <c r="O624" s="48">
        <f>IF(INVESTORS_LIST[[#This Row],[SIP_TOTAL UNITS BUY]]=0,0,SUMIFS(SIP[Amount],SIP[Investor ID],INVESTORS_LIST[[#This Row],[INVESTOR CODE]],SIP[B/S],"B"))</f>
        <v>0</v>
      </c>
      <c r="P624" s="48">
        <f>IF(INVESTORS_LIST[[#This Row],[SIP_TOTAL UNITS SOLD]]=0,0,SUMIFS(SIP[Cost of Units Sold],SIP[Investor ID],INVESTORS_LIST[[#This Row],[INVESTOR CODE]],SIP[B/S],"S"))</f>
        <v>0</v>
      </c>
      <c r="Q624" s="48">
        <f>IF(INVESTORS_LIST[[#This Row],[SIP_TOTAL CURRENT UNITS]]=0,0,INVESTORS_LIST[[#This Row],[SIP_TOTAL CURRENT UNITS]]*INVESTORS_LIST[[#This Row],[SIP_AVERAGE COST]])</f>
        <v>0</v>
      </c>
      <c r="R624" s="48">
        <f>IF(INVESTORS_LIST[[#This Row],[SIP_TOTAL UNITS SOLD]]=0,0,SUMIFS(SIP[Realized Gain],SIP[Investor ID],INVESTORS_LIST[[#This Row],[INVESTOR CODE]],SIP[B/S],"S"))</f>
        <v>0</v>
      </c>
      <c r="S624" s="50">
        <f>INVESTORS_LIST[[#This Row],[LS_TOTAL UNITS BUY]]+INVESTORS_LIST[[#This Row],[SIP_TOTAL UNITS BUY]]</f>
        <v>39869</v>
      </c>
      <c r="T624" s="50">
        <f>INVESTORS_LIST[[#This Row],[LS_TOTAL UNITS SOLD]]+INVESTORS_LIST[[#This Row],[SIP_TOTAL UNITS SOLD]]</f>
        <v>39869</v>
      </c>
      <c r="U624" s="50"/>
      <c r="V624" s="50">
        <f>SUMIFS(LS[BO UNIT TRANSFER],LS[Investor ID],INVESTORS_LIST[[#This Row],[INVESTOR CODE]],LS[B/S],"B")</f>
        <v>0</v>
      </c>
      <c r="W624" s="50">
        <f>SUMIFS(SIP[BO UNIT TRANSFER],SIP[Investor ID],INVESTORS_LIST[[#This Row],[INVESTOR CODE]],SIP[B/S],"B")</f>
        <v>0</v>
      </c>
      <c r="X624" s="50">
        <f>SUMIFS(LS[BO UNIT TRANSFER],LS[Investor ID],INVESTORS_LIST[[#This Row],[INVESTOR CODE]],LS[B/S],"S")</f>
        <v>0</v>
      </c>
      <c r="Y624" s="50">
        <f>SUMIFS(SIP[BO UNIT TRANSFER],SIP[Investor ID],INVESTORS_LIST[[#This Row],[INVESTOR CODE]],SIP[B/S],"S")</f>
        <v>0</v>
      </c>
      <c r="Z624" s="106">
        <f>SUM(INVESTORS_LIST[[#This Row],[BO OPENING BALANCE]:[BO SIP UNITS REPURCHASE]])</f>
        <v>0</v>
      </c>
      <c r="AA624" s="107">
        <f>INVESTORS_LIST[[#This Row],[TOTAL UNITS BUY]]-INVESTORS_LIST[[#This Row],[TOTAL UNITS SOLD]]</f>
        <v>0</v>
      </c>
      <c r="AB624" s="107">
        <f>INVESTORS_LIST[[#This Row],[TOTAL CURRENT UNITS]]-INVESTORS_LIST[[#This Row],[BO UNITS HOLD]]</f>
        <v>0</v>
      </c>
      <c r="AC624" s="201" t="e">
        <f>INDEX([3]!Table_1[BO ID],MATCH(INVESTORS_LIST[[#This Row],[INVESTOR CODE]],[3]!Table_1[INVESTOR CODE],0))</f>
        <v>#REF!</v>
      </c>
      <c r="AD624" s="201" t="e">
        <f>INDEX([3]!Table_1[Brokerage Name2],MATCH(INVESTORS_LIST[[#This Row],[INVESTOR CODE]],[3]!Table_1[INVESTOR CODE],0))</f>
        <v>#REF!</v>
      </c>
      <c r="AE624" s="201" t="e">
        <f>MID(INVESTORS_LIST[[#This Row],[BO ID]],4,5)</f>
        <v>#REF!</v>
      </c>
      <c r="AF624" s="201" t="e">
        <f>MID(INVESTORS_LIST[[#This Row],[BO ID]],2,7)</f>
        <v>#REF!</v>
      </c>
      <c r="AG624" s="201" t="e">
        <f>MID(INVESTORS_LIST[[#This Row],[BO ID]],9,7)</f>
        <v>#REF!</v>
      </c>
      <c r="AH624" s="201" t="e">
        <f>RIGHT(INVESTORS_LIST[[#This Row],[BO ID]],1)</f>
        <v>#REF!</v>
      </c>
      <c r="AI624" s="50">
        <f>INVESTORS_LIST[[#This Row],[LS_TOTAL COST VALUE OF CURRENT UNITS]]+INVESTORS_LIST[[#This Row],[SIP_TOTAL COST VALUE OF CURRENT UNITS]]</f>
        <v>0</v>
      </c>
      <c r="AJ624" s="109">
        <f>IF(INVESTORS_LIST[[#This Row],[TOTAL CURRENT UNITS]]=0,0,INVESTORS_LIST[[#This Row],[LS_TOTAL CURRENT UNITS]]/INVESTORS_LIST[[#This Row],[TOTAL CURRENT UNITS]])</f>
        <v>0</v>
      </c>
      <c r="AK624" s="109">
        <f>IF(INVESTORS_LIST[[#This Row],[TOTAL CURRENT UNITS]]=0,0,INVESTORS_LIST[[#This Row],[SIP_TOTAL CURRENT UNITS]]/INVESTORS_LIST[[#This Row],[TOTAL CURRENT UNITS]])</f>
        <v>0</v>
      </c>
      <c r="AL624" s="99">
        <f t="array" ref="AL6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24" s="99">
        <f t="array" ref="AM6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24" s="105">
        <f t="shared" si="10"/>
        <v>14.224</v>
      </c>
      <c r="AP624" s="112">
        <f>IF(INVESTORS_LIST[[#This Row],[TOTAL CURRENT UNITS]]=0,0,INVESTORS_LIST[[#This Row],[TOTAL CURRENT UNITS]]*INVESTORS_LIST[[#This Row],[NAV]])</f>
        <v>0</v>
      </c>
      <c r="AQ624" s="102">
        <f>IF(INVESTORS_LIST[[#This Row],[LS_TOTAL CURRENT UNITS]]=0,0,INVESTORS_LIST[[#This Row],[LS_TOTAL CURRENT UNITS]]*INVESTORS_LIST[[#This Row],[NAV]])</f>
        <v>0</v>
      </c>
      <c r="AR624" s="48">
        <f>IF(INVESTORS_LIST[[#This Row],[SIP_TOTAL CURRENT UNITS]]=0,0,INVESTORS_LIST[[#This Row],[SIP_TOTAL CURRENT UNITS]]*INVESTORS_LIST[[#This Row],[NAV]])</f>
        <v>0</v>
      </c>
      <c r="AS624" s="50">
        <f>INVESTORS_LIST[[#This Row],[TOTAL CURRENT UNITS]]</f>
        <v>0</v>
      </c>
      <c r="AT624" s="48">
        <f>IF(INVESTORS_LIST[[#This Row],[TOTAL SELLABLE UNITS]]=0,0,INVESTORS_LIST[[#This Row],[TOTAL SELLABLE UNITS]]*INVESTORS_LIST[[#This Row],[NAV]])</f>
        <v>0</v>
      </c>
      <c r="AU624" s="48">
        <f>INVESTORS_LIST[[#This Row],[LS_TOTAL REALIZED GAIN]]+INVESTORS_LIST[[#This Row],[SIP_TOTAL REALIZED GAIN]]</f>
        <v>44610.539999999979</v>
      </c>
      <c r="AV624" s="48">
        <f>INVESTORS_LIST[[#This Row],[TOTAL MARKET VALUE]]-INVESTORS_LIST[[#This Row],[TOTAL COST VALUE OF CURRENT INVESTMENT]]</f>
        <v>0</v>
      </c>
      <c r="AW624" s="48">
        <f>IFERROR(INVESTORS_LIST[[#This Row],[TOTAL CURRENT UNITS]]/SUM(INVESTORS_LIST[TOTAL CURRENT UNITS]),0)</f>
        <v>0</v>
      </c>
    </row>
    <row r="625" spans="1:49" hidden="1">
      <c r="A625" s="262" t="s">
        <v>1357</v>
      </c>
      <c r="B625" s="97" t="s">
        <v>1358</v>
      </c>
      <c r="C625" s="99" t="s">
        <v>44</v>
      </c>
      <c r="D625" s="101" t="s">
        <v>45</v>
      </c>
      <c r="E625" s="50">
        <f>SUMIFS(LS[Unit],LS[Investor ID],INVESTORS_LIST[[#This Row],[INVESTOR CODE]],LS[B/S],"B")</f>
        <v>39869</v>
      </c>
      <c r="F625" s="50">
        <f>-SUMIFS(LS[Unit],LS[Investor ID],INVESTORS_LIST[[#This Row],[INVESTOR CODE]],LS[B/S],"S")</f>
        <v>39869</v>
      </c>
      <c r="G625" s="50">
        <f>IF(INVESTORS_LIST[[#This Row],[LS_TOTAL UNITS BUY]]=0,0,INVESTORS_LIST[[#This Row],[LS_TOTAL UNITS BUY]]-INVESTORS_LIST[[#This Row],[LS_TOTAL UNITS SOLD]])</f>
        <v>0</v>
      </c>
      <c r="H625" s="102">
        <f>IF(INVESTORS_LIST[[#This Row],[LS_TOTAL UNITS BUY]]=0,0,SUMIFS(LS[Amount],LS[Investor ID],INVESTORS_LIST[[#This Row],[INVESTOR CODE]],LS[B/S],"B"))</f>
        <v>500000</v>
      </c>
      <c r="I625" s="48">
        <f>IF(INVESTORS_LIST[[#This Row],[LS_TOTAL UNITS SOLD]]=0,0,SUMIFS(LS[Cost of Units Sold],LS[Investor ID],INVESTORS_LIST[[#This Row],[INVESTOR CODE]],LS[B/S],"S"))</f>
        <v>500000.00000000006</v>
      </c>
      <c r="J625" s="48">
        <f>IF(INVESTORS_LIST[[#This Row],[LS_TOTAL CURRENT UNITS]]=0,0,INVESTORS_LIST[[#This Row],[LS_TOTAL CURRENT UNITS]]*INVESTORS_LIST[[#This Row],[LS_AVERAGE COST]])</f>
        <v>0</v>
      </c>
      <c r="K625" s="48">
        <f>IF(INVESTORS_LIST[[#This Row],[LS_TOTAL UNITS SOLD]]=0,0,SUMIFS(LS[Realized Gain],LS[Investor ID],INVESTORS_LIST[[#This Row],[INVESTOR CODE]],LS[B/S],"S"))</f>
        <v>5538.9199999999591</v>
      </c>
      <c r="L625" s="104">
        <f>SUMIFS(SIP[Unit],SIP[Investor ID],INVESTORS_LIST[[#This Row],[INVESTOR CODE]],SIP[B/S],"B")</f>
        <v>0</v>
      </c>
      <c r="M625" s="50">
        <f>-SUMIFS(SIP[Unit],SIP[Investor ID],INVESTORS_LIST[[#This Row],[INVESTOR CODE]],SIP[B/S],"S")</f>
        <v>0</v>
      </c>
      <c r="N625" s="50">
        <f>IF(INVESTORS_LIST[[#This Row],[SIP_TOTAL UNITS BUY]]=0,0,INVESTORS_LIST[[#This Row],[SIP_TOTAL UNITS BUY]]-INVESTORS_LIST[[#This Row],[SIP_TOTAL UNITS SOLD]])</f>
        <v>0</v>
      </c>
      <c r="O625" s="48">
        <f>IF(INVESTORS_LIST[[#This Row],[SIP_TOTAL UNITS BUY]]=0,0,SUMIFS(SIP[Amount],SIP[Investor ID],INVESTORS_LIST[[#This Row],[INVESTOR CODE]],SIP[B/S],"B"))</f>
        <v>0</v>
      </c>
      <c r="P625" s="48">
        <f>IF(INVESTORS_LIST[[#This Row],[SIP_TOTAL UNITS SOLD]]=0,0,SUMIFS(SIP[Cost of Units Sold],SIP[Investor ID],INVESTORS_LIST[[#This Row],[INVESTOR CODE]],SIP[B/S],"S"))</f>
        <v>0</v>
      </c>
      <c r="Q625" s="48">
        <f>IF(INVESTORS_LIST[[#This Row],[SIP_TOTAL CURRENT UNITS]]=0,0,INVESTORS_LIST[[#This Row],[SIP_TOTAL CURRENT UNITS]]*INVESTORS_LIST[[#This Row],[SIP_AVERAGE COST]])</f>
        <v>0</v>
      </c>
      <c r="R625" s="48">
        <f>IF(INVESTORS_LIST[[#This Row],[SIP_TOTAL UNITS SOLD]]=0,0,SUMIFS(SIP[Realized Gain],SIP[Investor ID],INVESTORS_LIST[[#This Row],[INVESTOR CODE]],SIP[B/S],"S"))</f>
        <v>0</v>
      </c>
      <c r="S625" s="50">
        <f>INVESTORS_LIST[[#This Row],[LS_TOTAL UNITS BUY]]+INVESTORS_LIST[[#This Row],[SIP_TOTAL UNITS BUY]]</f>
        <v>39869</v>
      </c>
      <c r="T625" s="50">
        <f>INVESTORS_LIST[[#This Row],[LS_TOTAL UNITS SOLD]]+INVESTORS_LIST[[#This Row],[SIP_TOTAL UNITS SOLD]]</f>
        <v>39869</v>
      </c>
      <c r="U625" s="50"/>
      <c r="V625" s="50">
        <f>SUMIFS(LS[BO UNIT TRANSFER],LS[Investor ID],INVESTORS_LIST[[#This Row],[INVESTOR CODE]],LS[B/S],"B")</f>
        <v>0</v>
      </c>
      <c r="W625" s="50">
        <f>SUMIFS(SIP[BO UNIT TRANSFER],SIP[Investor ID],INVESTORS_LIST[[#This Row],[INVESTOR CODE]],SIP[B/S],"B")</f>
        <v>0</v>
      </c>
      <c r="X625" s="50">
        <f>SUMIFS(LS[BO UNIT TRANSFER],LS[Investor ID],INVESTORS_LIST[[#This Row],[INVESTOR CODE]],LS[B/S],"S")</f>
        <v>0</v>
      </c>
      <c r="Y625" s="50">
        <f>SUMIFS(SIP[BO UNIT TRANSFER],SIP[Investor ID],INVESTORS_LIST[[#This Row],[INVESTOR CODE]],SIP[B/S],"S")</f>
        <v>0</v>
      </c>
      <c r="Z625" s="106">
        <f>SUM(INVESTORS_LIST[[#This Row],[BO OPENING BALANCE]:[BO SIP UNITS REPURCHASE]])</f>
        <v>0</v>
      </c>
      <c r="AA625" s="107">
        <f>INVESTORS_LIST[[#This Row],[TOTAL UNITS BUY]]-INVESTORS_LIST[[#This Row],[TOTAL UNITS SOLD]]</f>
        <v>0</v>
      </c>
      <c r="AB625" s="107">
        <f>INVESTORS_LIST[[#This Row],[TOTAL CURRENT UNITS]]-INVESTORS_LIST[[#This Row],[BO UNITS HOLD]]</f>
        <v>0</v>
      </c>
      <c r="AC625" s="201" t="e">
        <f>INDEX([3]!Table_1[BO ID],MATCH(INVESTORS_LIST[[#This Row],[INVESTOR CODE]],[3]!Table_1[INVESTOR CODE],0))</f>
        <v>#REF!</v>
      </c>
      <c r="AD625" s="201" t="e">
        <f>INDEX([3]!Table_1[Brokerage Name2],MATCH(INVESTORS_LIST[[#This Row],[INVESTOR CODE]],[3]!Table_1[INVESTOR CODE],0))</f>
        <v>#REF!</v>
      </c>
      <c r="AE625" s="201" t="e">
        <f>MID(INVESTORS_LIST[[#This Row],[BO ID]],4,5)</f>
        <v>#REF!</v>
      </c>
      <c r="AF625" s="201" t="e">
        <f>MID(INVESTORS_LIST[[#This Row],[BO ID]],2,7)</f>
        <v>#REF!</v>
      </c>
      <c r="AG625" s="201" t="e">
        <f>MID(INVESTORS_LIST[[#This Row],[BO ID]],9,7)</f>
        <v>#REF!</v>
      </c>
      <c r="AH625" s="201" t="e">
        <f>RIGHT(INVESTORS_LIST[[#This Row],[BO ID]],1)</f>
        <v>#REF!</v>
      </c>
      <c r="AI625" s="50">
        <f>INVESTORS_LIST[[#This Row],[LS_TOTAL COST VALUE OF CURRENT UNITS]]+INVESTORS_LIST[[#This Row],[SIP_TOTAL COST VALUE OF CURRENT UNITS]]</f>
        <v>0</v>
      </c>
      <c r="AJ625" s="109">
        <f>IF(INVESTORS_LIST[[#This Row],[TOTAL CURRENT UNITS]]=0,0,INVESTORS_LIST[[#This Row],[LS_TOTAL CURRENT UNITS]]/INVESTORS_LIST[[#This Row],[TOTAL CURRENT UNITS]])</f>
        <v>0</v>
      </c>
      <c r="AK625" s="109">
        <f>IF(INVESTORS_LIST[[#This Row],[TOTAL CURRENT UNITS]]=0,0,INVESTORS_LIST[[#This Row],[SIP_TOTAL CURRENT UNITS]]/INVESTORS_LIST[[#This Row],[TOTAL CURRENT UNITS]])</f>
        <v>0</v>
      </c>
      <c r="AL625" s="99">
        <f t="array" ref="AL6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25" s="99">
        <f t="array" ref="AM6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25" s="105">
        <f t="shared" si="10"/>
        <v>14.224</v>
      </c>
      <c r="AP625" s="112">
        <f>IF(INVESTORS_LIST[[#This Row],[TOTAL CURRENT UNITS]]=0,0,INVESTORS_LIST[[#This Row],[TOTAL CURRENT UNITS]]*INVESTORS_LIST[[#This Row],[NAV]])</f>
        <v>0</v>
      </c>
      <c r="AQ625" s="102">
        <f>IF(INVESTORS_LIST[[#This Row],[LS_TOTAL CURRENT UNITS]]=0,0,INVESTORS_LIST[[#This Row],[LS_TOTAL CURRENT UNITS]]*INVESTORS_LIST[[#This Row],[NAV]])</f>
        <v>0</v>
      </c>
      <c r="AR625" s="48">
        <f>IF(INVESTORS_LIST[[#This Row],[SIP_TOTAL CURRENT UNITS]]=0,0,INVESTORS_LIST[[#This Row],[SIP_TOTAL CURRENT UNITS]]*INVESTORS_LIST[[#This Row],[NAV]])</f>
        <v>0</v>
      </c>
      <c r="AS625" s="50">
        <f>INVESTORS_LIST[[#This Row],[TOTAL CURRENT UNITS]]</f>
        <v>0</v>
      </c>
      <c r="AT625" s="48">
        <f>IF(INVESTORS_LIST[[#This Row],[TOTAL SELLABLE UNITS]]=0,0,INVESTORS_LIST[[#This Row],[TOTAL SELLABLE UNITS]]*INVESTORS_LIST[[#This Row],[NAV]])</f>
        <v>0</v>
      </c>
      <c r="AU625" s="48">
        <f>INVESTORS_LIST[[#This Row],[LS_TOTAL REALIZED GAIN]]+INVESTORS_LIST[[#This Row],[SIP_TOTAL REALIZED GAIN]]</f>
        <v>5538.9199999999591</v>
      </c>
      <c r="AV625" s="48">
        <f>INVESTORS_LIST[[#This Row],[TOTAL MARKET VALUE]]-INVESTORS_LIST[[#This Row],[TOTAL COST VALUE OF CURRENT INVESTMENT]]</f>
        <v>0</v>
      </c>
      <c r="AW625" s="48">
        <f>IFERROR(INVESTORS_LIST[[#This Row],[TOTAL CURRENT UNITS]]/SUM(INVESTORS_LIST[TOTAL CURRENT UNITS]),0)</f>
        <v>0</v>
      </c>
    </row>
    <row r="626" spans="1:49">
      <c r="A626" s="262" t="s">
        <v>1359</v>
      </c>
      <c r="B626" s="97" t="s">
        <v>1360</v>
      </c>
      <c r="C626" s="99" t="s">
        <v>44</v>
      </c>
      <c r="D626" s="101" t="s">
        <v>45</v>
      </c>
      <c r="E626" s="50">
        <f>SUMIFS(LS[Unit],LS[Investor ID],INVESTORS_LIST[[#This Row],[INVESTOR CODE]],LS[B/S],"B")</f>
        <v>39869</v>
      </c>
      <c r="F626" s="50">
        <f>-SUMIFS(LS[Unit],LS[Investor ID],INVESTORS_LIST[[#This Row],[INVESTOR CODE]],LS[B/S],"S")</f>
        <v>0</v>
      </c>
      <c r="G626" s="50">
        <f>IF(INVESTORS_LIST[[#This Row],[LS_TOTAL UNITS BUY]]=0,0,INVESTORS_LIST[[#This Row],[LS_TOTAL UNITS BUY]]-INVESTORS_LIST[[#This Row],[LS_TOTAL UNITS SOLD]])</f>
        <v>39869</v>
      </c>
      <c r="H626" s="102">
        <f>IF(INVESTORS_LIST[[#This Row],[LS_TOTAL UNITS BUY]]=0,0,SUMIFS(LS[Amount],LS[Investor ID],INVESTORS_LIST[[#This Row],[INVESTOR CODE]],LS[B/S],"B"))</f>
        <v>500000</v>
      </c>
      <c r="I626" s="48">
        <f>IF(INVESTORS_LIST[[#This Row],[LS_TOTAL UNITS SOLD]]=0,0,SUMIFS(LS[Cost of Units Sold],LS[Investor ID],INVESTORS_LIST[[#This Row],[INVESTOR CODE]],LS[B/S],"S"))</f>
        <v>0</v>
      </c>
      <c r="J626" s="48">
        <f>IF(INVESTORS_LIST[[#This Row],[LS_TOTAL CURRENT UNITS]]=0,0,INVESTORS_LIST[[#This Row],[LS_TOTAL CURRENT UNITS]]*INVESTORS_LIST[[#This Row],[LS_AVERAGE COST]])</f>
        <v>500000.00000000006</v>
      </c>
      <c r="K626" s="48">
        <f>IF(INVESTORS_LIST[[#This Row],[LS_TOTAL UNITS SOLD]]=0,0,SUMIFS(LS[Realized Gain],LS[Investor ID],INVESTORS_LIST[[#This Row],[INVESTOR CODE]],LS[B/S],"S"))</f>
        <v>0</v>
      </c>
      <c r="L626" s="104">
        <f>SUMIFS(SIP[Unit],SIP[Investor ID],INVESTORS_LIST[[#This Row],[INVESTOR CODE]],SIP[B/S],"B")</f>
        <v>0</v>
      </c>
      <c r="M626" s="50">
        <f>-SUMIFS(SIP[Unit],SIP[Investor ID],INVESTORS_LIST[[#This Row],[INVESTOR CODE]],SIP[B/S],"S")</f>
        <v>0</v>
      </c>
      <c r="N626" s="50">
        <f>IF(INVESTORS_LIST[[#This Row],[SIP_TOTAL UNITS BUY]]=0,0,INVESTORS_LIST[[#This Row],[SIP_TOTAL UNITS BUY]]-INVESTORS_LIST[[#This Row],[SIP_TOTAL UNITS SOLD]])</f>
        <v>0</v>
      </c>
      <c r="O626" s="48">
        <f>IF(INVESTORS_LIST[[#This Row],[SIP_TOTAL UNITS BUY]]=0,0,SUMIFS(SIP[Amount],SIP[Investor ID],INVESTORS_LIST[[#This Row],[INVESTOR CODE]],SIP[B/S],"B"))</f>
        <v>0</v>
      </c>
      <c r="P626" s="48">
        <f>IF(INVESTORS_LIST[[#This Row],[SIP_TOTAL UNITS SOLD]]=0,0,SUMIFS(SIP[Cost of Units Sold],SIP[Investor ID],INVESTORS_LIST[[#This Row],[INVESTOR CODE]],SIP[B/S],"S"))</f>
        <v>0</v>
      </c>
      <c r="Q626" s="48">
        <f>IF(INVESTORS_LIST[[#This Row],[SIP_TOTAL CURRENT UNITS]]=0,0,INVESTORS_LIST[[#This Row],[SIP_TOTAL CURRENT UNITS]]*INVESTORS_LIST[[#This Row],[SIP_AVERAGE COST]])</f>
        <v>0</v>
      </c>
      <c r="R626" s="48">
        <f>IF(INVESTORS_LIST[[#This Row],[SIP_TOTAL UNITS SOLD]]=0,0,SUMIFS(SIP[Realized Gain],SIP[Investor ID],INVESTORS_LIST[[#This Row],[INVESTOR CODE]],SIP[B/S],"S"))</f>
        <v>0</v>
      </c>
      <c r="S626" s="50">
        <f>INVESTORS_LIST[[#This Row],[LS_TOTAL UNITS BUY]]+INVESTORS_LIST[[#This Row],[SIP_TOTAL UNITS BUY]]</f>
        <v>39869</v>
      </c>
      <c r="T626" s="50">
        <f>INVESTORS_LIST[[#This Row],[LS_TOTAL UNITS SOLD]]+INVESTORS_LIST[[#This Row],[SIP_TOTAL UNITS SOLD]]</f>
        <v>0</v>
      </c>
      <c r="U626" s="50"/>
      <c r="V626" s="50">
        <f>SUMIFS(LS[BO UNIT TRANSFER],LS[Investor ID],INVESTORS_LIST[[#This Row],[INVESTOR CODE]],LS[B/S],"B")</f>
        <v>0</v>
      </c>
      <c r="W626" s="50">
        <f>SUMIFS(SIP[BO UNIT TRANSFER],SIP[Investor ID],INVESTORS_LIST[[#This Row],[INVESTOR CODE]],SIP[B/S],"B")</f>
        <v>0</v>
      </c>
      <c r="X626" s="50">
        <f>SUMIFS(LS[BO UNIT TRANSFER],LS[Investor ID],INVESTORS_LIST[[#This Row],[INVESTOR CODE]],LS[B/S],"S")</f>
        <v>0</v>
      </c>
      <c r="Y626" s="50">
        <f>SUMIFS(SIP[BO UNIT TRANSFER],SIP[Investor ID],INVESTORS_LIST[[#This Row],[INVESTOR CODE]],SIP[B/S],"S")</f>
        <v>0</v>
      </c>
      <c r="Z626" s="106">
        <f>SUM(INVESTORS_LIST[[#This Row],[BO OPENING BALANCE]:[BO SIP UNITS REPURCHASE]])</f>
        <v>0</v>
      </c>
      <c r="AA626" s="107">
        <f>INVESTORS_LIST[[#This Row],[TOTAL UNITS BUY]]-INVESTORS_LIST[[#This Row],[TOTAL UNITS SOLD]]</f>
        <v>39869</v>
      </c>
      <c r="AB626" s="107">
        <f>INVESTORS_LIST[[#This Row],[TOTAL CURRENT UNITS]]-INVESTORS_LIST[[#This Row],[BO UNITS HOLD]]</f>
        <v>39869</v>
      </c>
      <c r="AC626" s="201" t="e">
        <f>INDEX([3]!Table_1[BO ID],MATCH(INVESTORS_LIST[[#This Row],[INVESTOR CODE]],[3]!Table_1[INVESTOR CODE],0))</f>
        <v>#REF!</v>
      </c>
      <c r="AD626" s="201" t="e">
        <f>INDEX([3]!Table_1[Brokerage Name2],MATCH(INVESTORS_LIST[[#This Row],[INVESTOR CODE]],[3]!Table_1[INVESTOR CODE],0))</f>
        <v>#REF!</v>
      </c>
      <c r="AE626" s="201" t="e">
        <f>MID(INVESTORS_LIST[[#This Row],[BO ID]],4,5)</f>
        <v>#REF!</v>
      </c>
      <c r="AF626" s="201" t="e">
        <f>MID(INVESTORS_LIST[[#This Row],[BO ID]],2,7)</f>
        <v>#REF!</v>
      </c>
      <c r="AG626" s="201" t="e">
        <f>MID(INVESTORS_LIST[[#This Row],[BO ID]],9,7)</f>
        <v>#REF!</v>
      </c>
      <c r="AH626" s="201" t="e">
        <f>RIGHT(INVESTORS_LIST[[#This Row],[BO ID]],1)</f>
        <v>#REF!</v>
      </c>
      <c r="AI626" s="50">
        <f>INVESTORS_LIST[[#This Row],[LS_TOTAL COST VALUE OF CURRENT UNITS]]+INVESTORS_LIST[[#This Row],[SIP_TOTAL COST VALUE OF CURRENT UNITS]]</f>
        <v>500000.00000000006</v>
      </c>
      <c r="AJ626" s="109">
        <f>IF(INVESTORS_LIST[[#This Row],[TOTAL CURRENT UNITS]]=0,0,INVESTORS_LIST[[#This Row],[LS_TOTAL CURRENT UNITS]]/INVESTORS_LIST[[#This Row],[TOTAL CURRENT UNITS]])</f>
        <v>1</v>
      </c>
      <c r="AK626" s="109">
        <f>IF(INVESTORS_LIST[[#This Row],[TOTAL CURRENT UNITS]]=0,0,INVESTORS_LIST[[#This Row],[SIP_TOTAL CURRENT UNITS]]/INVESTORS_LIST[[#This Row],[TOTAL CURRENT UNITS]])</f>
        <v>0</v>
      </c>
      <c r="AL626" s="99">
        <f t="array" ref="AL626"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626" s="99">
        <f t="array" ref="AM6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6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626" s="105">
        <f t="shared" si="10"/>
        <v>14.224</v>
      </c>
      <c r="AP626" s="112">
        <f>IF(INVESTORS_LIST[[#This Row],[TOTAL CURRENT UNITS]]=0,0,INVESTORS_LIST[[#This Row],[TOTAL CURRENT UNITS]]*INVESTORS_LIST[[#This Row],[NAV]])</f>
        <v>567096.65599999996</v>
      </c>
      <c r="AQ626" s="102">
        <f>IF(INVESTORS_LIST[[#This Row],[LS_TOTAL CURRENT UNITS]]=0,0,INVESTORS_LIST[[#This Row],[LS_TOTAL CURRENT UNITS]]*INVESTORS_LIST[[#This Row],[NAV]])</f>
        <v>567096.65599999996</v>
      </c>
      <c r="AR626" s="48">
        <f>IF(INVESTORS_LIST[[#This Row],[SIP_TOTAL CURRENT UNITS]]=0,0,INVESTORS_LIST[[#This Row],[SIP_TOTAL CURRENT UNITS]]*INVESTORS_LIST[[#This Row],[NAV]])</f>
        <v>0</v>
      </c>
      <c r="AS626" s="50">
        <f>INVESTORS_LIST[[#This Row],[TOTAL CURRENT UNITS]]</f>
        <v>39869</v>
      </c>
      <c r="AT626" s="48">
        <f>IF(INVESTORS_LIST[[#This Row],[TOTAL SELLABLE UNITS]]=0,0,INVESTORS_LIST[[#This Row],[TOTAL SELLABLE UNITS]]*INVESTORS_LIST[[#This Row],[NAV]])</f>
        <v>567096.65599999996</v>
      </c>
      <c r="AU626" s="48">
        <f>INVESTORS_LIST[[#This Row],[LS_TOTAL REALIZED GAIN]]+INVESTORS_LIST[[#This Row],[SIP_TOTAL REALIZED GAIN]]</f>
        <v>0</v>
      </c>
      <c r="AV626" s="48">
        <f>INVESTORS_LIST[[#This Row],[TOTAL MARKET VALUE]]-INVESTORS_LIST[[#This Row],[TOTAL COST VALUE OF CURRENT INVESTMENT]]</f>
        <v>67096.655999999901</v>
      </c>
      <c r="AW626" s="48">
        <f>IFERROR(INVESTORS_LIST[[#This Row],[TOTAL CURRENT UNITS]]/SUM(INVESTORS_LIST[TOTAL CURRENT UNITS]),0)</f>
        <v>9.6786813260975671E-4</v>
      </c>
    </row>
    <row r="627" spans="1:49">
      <c r="A627" s="262" t="s">
        <v>1361</v>
      </c>
      <c r="B627" s="97" t="s">
        <v>1362</v>
      </c>
      <c r="C627" s="99" t="s">
        <v>44</v>
      </c>
      <c r="D627" s="101" t="s">
        <v>45</v>
      </c>
      <c r="E627" s="50">
        <f>SUMIFS(LS[Unit],LS[Investor ID],INVESTORS_LIST[[#This Row],[INVESTOR CODE]],LS[B/S],"B")</f>
        <v>7961</v>
      </c>
      <c r="F627" s="50">
        <f>-SUMIFS(LS[Unit],LS[Investor ID],INVESTORS_LIST[[#This Row],[INVESTOR CODE]],LS[B/S],"S")</f>
        <v>0</v>
      </c>
      <c r="G627" s="50">
        <f>IF(INVESTORS_LIST[[#This Row],[LS_TOTAL UNITS BUY]]=0,0,INVESTORS_LIST[[#This Row],[LS_TOTAL UNITS BUY]]-INVESTORS_LIST[[#This Row],[LS_TOTAL UNITS SOLD]])</f>
        <v>7961</v>
      </c>
      <c r="H627" s="102">
        <f>IF(INVESTORS_LIST[[#This Row],[LS_TOTAL UNITS BUY]]=0,0,SUMIFS(LS[Amount],LS[Investor ID],INVESTORS_LIST[[#This Row],[INVESTOR CODE]],LS[B/S],"B"))</f>
        <v>100000</v>
      </c>
      <c r="I627" s="48">
        <f>IF(INVESTORS_LIST[[#This Row],[LS_TOTAL UNITS SOLD]]=0,0,SUMIFS(LS[Cost of Units Sold],LS[Investor ID],INVESTORS_LIST[[#This Row],[INVESTOR CODE]],LS[B/S],"S"))</f>
        <v>0</v>
      </c>
      <c r="J627" s="48">
        <f>IF(INVESTORS_LIST[[#This Row],[LS_TOTAL CURRENT UNITS]]=0,0,INVESTORS_LIST[[#This Row],[LS_TOTAL CURRENT UNITS]]*INVESTORS_LIST[[#This Row],[LS_AVERAGE COST]])</f>
        <v>100000</v>
      </c>
      <c r="K627" s="48">
        <f>IF(INVESTORS_LIST[[#This Row],[LS_TOTAL UNITS SOLD]]=0,0,SUMIFS(LS[Realized Gain],LS[Investor ID],INVESTORS_LIST[[#This Row],[INVESTOR CODE]],LS[B/S],"S"))</f>
        <v>0</v>
      </c>
      <c r="L627" s="104">
        <f>SUMIFS(SIP[Unit],SIP[Investor ID],INVESTORS_LIST[[#This Row],[INVESTOR CODE]],SIP[B/S],"B")</f>
        <v>0</v>
      </c>
      <c r="M627" s="50">
        <f>-SUMIFS(SIP[Unit],SIP[Investor ID],INVESTORS_LIST[[#This Row],[INVESTOR CODE]],SIP[B/S],"S")</f>
        <v>0</v>
      </c>
      <c r="N627" s="50">
        <f>IF(INVESTORS_LIST[[#This Row],[SIP_TOTAL UNITS BUY]]=0,0,INVESTORS_LIST[[#This Row],[SIP_TOTAL UNITS BUY]]-INVESTORS_LIST[[#This Row],[SIP_TOTAL UNITS SOLD]])</f>
        <v>0</v>
      </c>
      <c r="O627" s="48">
        <f>IF(INVESTORS_LIST[[#This Row],[SIP_TOTAL UNITS BUY]]=0,0,SUMIFS(SIP[Amount],SIP[Investor ID],INVESTORS_LIST[[#This Row],[INVESTOR CODE]],SIP[B/S],"B"))</f>
        <v>0</v>
      </c>
      <c r="P627" s="48">
        <f>IF(INVESTORS_LIST[[#This Row],[SIP_TOTAL UNITS SOLD]]=0,0,SUMIFS(SIP[Cost of Units Sold],SIP[Investor ID],INVESTORS_LIST[[#This Row],[INVESTOR CODE]],SIP[B/S],"S"))</f>
        <v>0</v>
      </c>
      <c r="Q627" s="48">
        <f>IF(INVESTORS_LIST[[#This Row],[SIP_TOTAL CURRENT UNITS]]=0,0,INVESTORS_LIST[[#This Row],[SIP_TOTAL CURRENT UNITS]]*INVESTORS_LIST[[#This Row],[SIP_AVERAGE COST]])</f>
        <v>0</v>
      </c>
      <c r="R627" s="48">
        <f>IF(INVESTORS_LIST[[#This Row],[SIP_TOTAL UNITS SOLD]]=0,0,SUMIFS(SIP[Realized Gain],SIP[Investor ID],INVESTORS_LIST[[#This Row],[INVESTOR CODE]],SIP[B/S],"S"))</f>
        <v>0</v>
      </c>
      <c r="S627" s="50">
        <f>INVESTORS_LIST[[#This Row],[LS_TOTAL UNITS BUY]]+INVESTORS_LIST[[#This Row],[SIP_TOTAL UNITS BUY]]</f>
        <v>7961</v>
      </c>
      <c r="T627" s="50">
        <f>INVESTORS_LIST[[#This Row],[LS_TOTAL UNITS SOLD]]+INVESTORS_LIST[[#This Row],[SIP_TOTAL UNITS SOLD]]</f>
        <v>0</v>
      </c>
      <c r="U627" s="50"/>
      <c r="V627" s="50">
        <f>SUMIFS(LS[BO UNIT TRANSFER],LS[Investor ID],INVESTORS_LIST[[#This Row],[INVESTOR CODE]],LS[B/S],"B")</f>
        <v>0</v>
      </c>
      <c r="W627" s="50">
        <f>SUMIFS(SIP[BO UNIT TRANSFER],SIP[Investor ID],INVESTORS_LIST[[#This Row],[INVESTOR CODE]],SIP[B/S],"B")</f>
        <v>0</v>
      </c>
      <c r="X627" s="50">
        <f>SUMIFS(LS[BO UNIT TRANSFER],LS[Investor ID],INVESTORS_LIST[[#This Row],[INVESTOR CODE]],LS[B/S],"S")</f>
        <v>0</v>
      </c>
      <c r="Y627" s="50">
        <f>SUMIFS(SIP[BO UNIT TRANSFER],SIP[Investor ID],INVESTORS_LIST[[#This Row],[INVESTOR CODE]],SIP[B/S],"S")</f>
        <v>0</v>
      </c>
      <c r="Z627" s="106">
        <f>SUM(INVESTORS_LIST[[#This Row],[BO OPENING BALANCE]:[BO SIP UNITS REPURCHASE]])</f>
        <v>0</v>
      </c>
      <c r="AA627" s="107">
        <f>INVESTORS_LIST[[#This Row],[TOTAL UNITS BUY]]-INVESTORS_LIST[[#This Row],[TOTAL UNITS SOLD]]</f>
        <v>7961</v>
      </c>
      <c r="AB627" s="107">
        <f>INVESTORS_LIST[[#This Row],[TOTAL CURRENT UNITS]]-INVESTORS_LIST[[#This Row],[BO UNITS HOLD]]</f>
        <v>7961</v>
      </c>
      <c r="AC627" s="201" t="e">
        <f>INDEX([3]!Table_1[BO ID],MATCH(INVESTORS_LIST[[#This Row],[INVESTOR CODE]],[3]!Table_1[INVESTOR CODE],0))</f>
        <v>#REF!</v>
      </c>
      <c r="AD627" s="201" t="e">
        <f>INDEX([3]!Table_1[Brokerage Name2],MATCH(INVESTORS_LIST[[#This Row],[INVESTOR CODE]],[3]!Table_1[INVESTOR CODE],0))</f>
        <v>#REF!</v>
      </c>
      <c r="AE627" s="201" t="e">
        <f>MID(INVESTORS_LIST[[#This Row],[BO ID]],4,5)</f>
        <v>#REF!</v>
      </c>
      <c r="AF627" s="201" t="e">
        <f>MID(INVESTORS_LIST[[#This Row],[BO ID]],2,7)</f>
        <v>#REF!</v>
      </c>
      <c r="AG627" s="201" t="e">
        <f>MID(INVESTORS_LIST[[#This Row],[BO ID]],9,7)</f>
        <v>#REF!</v>
      </c>
      <c r="AH627" s="201" t="e">
        <f>RIGHT(INVESTORS_LIST[[#This Row],[BO ID]],1)</f>
        <v>#REF!</v>
      </c>
      <c r="AI627" s="50">
        <f>INVESTORS_LIST[[#This Row],[LS_TOTAL COST VALUE OF CURRENT UNITS]]+INVESTORS_LIST[[#This Row],[SIP_TOTAL COST VALUE OF CURRENT UNITS]]</f>
        <v>100000</v>
      </c>
      <c r="AJ627" s="109">
        <f>IF(INVESTORS_LIST[[#This Row],[TOTAL CURRENT UNITS]]=0,0,INVESTORS_LIST[[#This Row],[LS_TOTAL CURRENT UNITS]]/INVESTORS_LIST[[#This Row],[TOTAL CURRENT UNITS]])</f>
        <v>1</v>
      </c>
      <c r="AK627" s="109">
        <f>IF(INVESTORS_LIST[[#This Row],[TOTAL CURRENT UNITS]]=0,0,INVESTORS_LIST[[#This Row],[SIP_TOTAL CURRENT UNITS]]/INVESTORS_LIST[[#This Row],[TOTAL CURRENT UNITS]])</f>
        <v>0</v>
      </c>
      <c r="AL627" s="99">
        <f t="array" ref="AL627">IF(INVESTORS_LIST[[#This Row],[LS_TOTAL UNITS BUY]]&gt;0,INDEX(LS[NAV at Cost (Average)],MATCH(CONCATENATE(COUNTIFS(LS[Investor ID],INVESTORS_LIST[[#This Row],[INVESTOR CODE]]),INVESTORS_LIST[[#This Row],[INVESTOR CODE]]),LS[Unique Code],0),),0)</f>
        <v>12.561236025624922</v>
      </c>
      <c r="AM627" s="99">
        <f t="array" ref="AM6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7" s="105">
        <f>IF(INVESTORS_LIST[[#This Row],[TOTAL CURRENT UNITS]]=0,0,(INVESTORS_LIST[[#This Row],[LS_WEIGHT]]*INVESTORS_LIST[[#This Row],[LS_AVERAGE COST]])+(INVESTORS_LIST[[#This Row],[SIP_WEIGHT]]*INVESTORS_LIST[[#This Row],[SIP_AVERAGE COST]]))</f>
        <v>12.561236025624922</v>
      </c>
      <c r="AO627" s="105">
        <f t="shared" si="10"/>
        <v>14.224</v>
      </c>
      <c r="AP627" s="112">
        <f>IF(INVESTORS_LIST[[#This Row],[TOTAL CURRENT UNITS]]=0,0,INVESTORS_LIST[[#This Row],[TOTAL CURRENT UNITS]]*INVESTORS_LIST[[#This Row],[NAV]])</f>
        <v>113237.264</v>
      </c>
      <c r="AQ627" s="102">
        <f>IF(INVESTORS_LIST[[#This Row],[LS_TOTAL CURRENT UNITS]]=0,0,INVESTORS_LIST[[#This Row],[LS_TOTAL CURRENT UNITS]]*INVESTORS_LIST[[#This Row],[NAV]])</f>
        <v>113237.264</v>
      </c>
      <c r="AR627" s="48">
        <f>IF(INVESTORS_LIST[[#This Row],[SIP_TOTAL CURRENT UNITS]]=0,0,INVESTORS_LIST[[#This Row],[SIP_TOTAL CURRENT UNITS]]*INVESTORS_LIST[[#This Row],[NAV]])</f>
        <v>0</v>
      </c>
      <c r="AS627" s="50">
        <f>INVESTORS_LIST[[#This Row],[TOTAL CURRENT UNITS]]</f>
        <v>7961</v>
      </c>
      <c r="AT627" s="48">
        <f>IF(INVESTORS_LIST[[#This Row],[TOTAL SELLABLE UNITS]]=0,0,INVESTORS_LIST[[#This Row],[TOTAL SELLABLE UNITS]]*INVESTORS_LIST[[#This Row],[NAV]])</f>
        <v>113237.264</v>
      </c>
      <c r="AU627" s="48">
        <f>INVESTORS_LIST[[#This Row],[LS_TOTAL REALIZED GAIN]]+INVESTORS_LIST[[#This Row],[SIP_TOTAL REALIZED GAIN]]</f>
        <v>0</v>
      </c>
      <c r="AV627" s="48">
        <f>INVESTORS_LIST[[#This Row],[TOTAL MARKET VALUE]]-INVESTORS_LIST[[#This Row],[TOTAL COST VALUE OF CURRENT INVESTMENT]]</f>
        <v>13237.263999999996</v>
      </c>
      <c r="AW627" s="48">
        <f>IFERROR(INVESTORS_LIST[[#This Row],[TOTAL CURRENT UNITS]]/SUM(INVESTORS_LIST[TOTAL CURRENT UNITS]),0)</f>
        <v>1.932628910608812E-4</v>
      </c>
    </row>
    <row r="628" spans="1:49" hidden="1">
      <c r="A628" s="262" t="s">
        <v>1363</v>
      </c>
      <c r="B628" s="97" t="s">
        <v>1364</v>
      </c>
      <c r="C628" s="99" t="s">
        <v>44</v>
      </c>
      <c r="D628" s="101" t="s">
        <v>45</v>
      </c>
      <c r="E628" s="50">
        <f>SUMIFS(LS[Unit],LS[Investor ID],INVESTORS_LIST[[#This Row],[INVESTOR CODE]],LS[B/S],"B")</f>
        <v>7961</v>
      </c>
      <c r="F628" s="50">
        <f>-SUMIFS(LS[Unit],LS[Investor ID],INVESTORS_LIST[[#This Row],[INVESTOR CODE]],LS[B/S],"S")</f>
        <v>7961</v>
      </c>
      <c r="G628" s="50">
        <f>IF(INVESTORS_LIST[[#This Row],[LS_TOTAL UNITS BUY]]=0,0,INVESTORS_LIST[[#This Row],[LS_TOTAL UNITS BUY]]-INVESTORS_LIST[[#This Row],[LS_TOTAL UNITS SOLD]])</f>
        <v>0</v>
      </c>
      <c r="H628" s="102">
        <f>IF(INVESTORS_LIST[[#This Row],[LS_TOTAL UNITS BUY]]=0,0,SUMIFS(LS[Amount],LS[Investor ID],INVESTORS_LIST[[#This Row],[INVESTOR CODE]],LS[B/S],"B"))</f>
        <v>100000</v>
      </c>
      <c r="I628" s="48">
        <f>IF(INVESTORS_LIST[[#This Row],[LS_TOTAL UNITS SOLD]]=0,0,SUMIFS(LS[Cost of Units Sold],LS[Investor ID],INVESTORS_LIST[[#This Row],[INVESTOR CODE]],LS[B/S],"S"))</f>
        <v>100000</v>
      </c>
      <c r="J628" s="48">
        <f>IF(INVESTORS_LIST[[#This Row],[LS_TOTAL CURRENT UNITS]]=0,0,INVESTORS_LIST[[#This Row],[LS_TOTAL CURRENT UNITS]]*INVESTORS_LIST[[#This Row],[LS_AVERAGE COST]])</f>
        <v>0</v>
      </c>
      <c r="K628" s="48">
        <f>IF(INVESTORS_LIST[[#This Row],[LS_TOTAL UNITS SOLD]]=0,0,SUMIFS(LS[Realized Gain],LS[Investor ID],INVESTORS_LIST[[#This Row],[INVESTOR CODE]],LS[B/S],"S"))</f>
        <v>10148.399999999994</v>
      </c>
      <c r="L628" s="104">
        <f>SUMIFS(SIP[Unit],SIP[Investor ID],INVESTORS_LIST[[#This Row],[INVESTOR CODE]],SIP[B/S],"B")</f>
        <v>0</v>
      </c>
      <c r="M628" s="50">
        <f>-SUMIFS(SIP[Unit],SIP[Investor ID],INVESTORS_LIST[[#This Row],[INVESTOR CODE]],SIP[B/S],"S")</f>
        <v>0</v>
      </c>
      <c r="N628" s="50">
        <f>IF(INVESTORS_LIST[[#This Row],[SIP_TOTAL UNITS BUY]]=0,0,INVESTORS_LIST[[#This Row],[SIP_TOTAL UNITS BUY]]-INVESTORS_LIST[[#This Row],[SIP_TOTAL UNITS SOLD]])</f>
        <v>0</v>
      </c>
      <c r="O628" s="48">
        <f>IF(INVESTORS_LIST[[#This Row],[SIP_TOTAL UNITS BUY]]=0,0,SUMIFS(SIP[Amount],SIP[Investor ID],INVESTORS_LIST[[#This Row],[INVESTOR CODE]],SIP[B/S],"B"))</f>
        <v>0</v>
      </c>
      <c r="P628" s="48">
        <f>IF(INVESTORS_LIST[[#This Row],[SIP_TOTAL UNITS SOLD]]=0,0,SUMIFS(SIP[Cost of Units Sold],SIP[Investor ID],INVESTORS_LIST[[#This Row],[INVESTOR CODE]],SIP[B/S],"S"))</f>
        <v>0</v>
      </c>
      <c r="Q628" s="48">
        <f>IF(INVESTORS_LIST[[#This Row],[SIP_TOTAL CURRENT UNITS]]=0,0,INVESTORS_LIST[[#This Row],[SIP_TOTAL CURRENT UNITS]]*INVESTORS_LIST[[#This Row],[SIP_AVERAGE COST]])</f>
        <v>0</v>
      </c>
      <c r="R628" s="48">
        <f>IF(INVESTORS_LIST[[#This Row],[SIP_TOTAL UNITS SOLD]]=0,0,SUMIFS(SIP[Realized Gain],SIP[Investor ID],INVESTORS_LIST[[#This Row],[INVESTOR CODE]],SIP[B/S],"S"))</f>
        <v>0</v>
      </c>
      <c r="S628" s="50">
        <f>INVESTORS_LIST[[#This Row],[LS_TOTAL UNITS BUY]]+INVESTORS_LIST[[#This Row],[SIP_TOTAL UNITS BUY]]</f>
        <v>7961</v>
      </c>
      <c r="T628" s="50">
        <f>INVESTORS_LIST[[#This Row],[LS_TOTAL UNITS SOLD]]+INVESTORS_LIST[[#This Row],[SIP_TOTAL UNITS SOLD]]</f>
        <v>7961</v>
      </c>
      <c r="U628" s="50"/>
      <c r="V628" s="50">
        <f>SUMIFS(LS[BO UNIT TRANSFER],LS[Investor ID],INVESTORS_LIST[[#This Row],[INVESTOR CODE]],LS[B/S],"B")</f>
        <v>0</v>
      </c>
      <c r="W628" s="50">
        <f>SUMIFS(SIP[BO UNIT TRANSFER],SIP[Investor ID],INVESTORS_LIST[[#This Row],[INVESTOR CODE]],SIP[B/S],"B")</f>
        <v>0</v>
      </c>
      <c r="X628" s="50">
        <f>SUMIFS(LS[BO UNIT TRANSFER],LS[Investor ID],INVESTORS_LIST[[#This Row],[INVESTOR CODE]],LS[B/S],"S")</f>
        <v>0</v>
      </c>
      <c r="Y628" s="50">
        <f>SUMIFS(SIP[BO UNIT TRANSFER],SIP[Investor ID],INVESTORS_LIST[[#This Row],[INVESTOR CODE]],SIP[B/S],"S")</f>
        <v>0</v>
      </c>
      <c r="Z628" s="106">
        <f>SUM(INVESTORS_LIST[[#This Row],[BO OPENING BALANCE]:[BO SIP UNITS REPURCHASE]])</f>
        <v>0</v>
      </c>
      <c r="AA628" s="107">
        <f>INVESTORS_LIST[[#This Row],[TOTAL UNITS BUY]]-INVESTORS_LIST[[#This Row],[TOTAL UNITS SOLD]]</f>
        <v>0</v>
      </c>
      <c r="AB628" s="107">
        <f>INVESTORS_LIST[[#This Row],[TOTAL CURRENT UNITS]]-INVESTORS_LIST[[#This Row],[BO UNITS HOLD]]</f>
        <v>0</v>
      </c>
      <c r="AC628" s="201" t="e">
        <f>INDEX([3]!Table_1[BO ID],MATCH(INVESTORS_LIST[[#This Row],[INVESTOR CODE]],[3]!Table_1[INVESTOR CODE],0))</f>
        <v>#REF!</v>
      </c>
      <c r="AD628" s="201" t="e">
        <f>INDEX([3]!Table_1[Brokerage Name2],MATCH(INVESTORS_LIST[[#This Row],[INVESTOR CODE]],[3]!Table_1[INVESTOR CODE],0))</f>
        <v>#REF!</v>
      </c>
      <c r="AE628" s="201" t="e">
        <f>MID(INVESTORS_LIST[[#This Row],[BO ID]],4,5)</f>
        <v>#REF!</v>
      </c>
      <c r="AF628" s="201" t="e">
        <f>MID(INVESTORS_LIST[[#This Row],[BO ID]],2,7)</f>
        <v>#REF!</v>
      </c>
      <c r="AG628" s="201" t="e">
        <f>MID(INVESTORS_LIST[[#This Row],[BO ID]],9,7)</f>
        <v>#REF!</v>
      </c>
      <c r="AH628" s="201" t="e">
        <f>RIGHT(INVESTORS_LIST[[#This Row],[BO ID]],1)</f>
        <v>#REF!</v>
      </c>
      <c r="AI628" s="50">
        <f>INVESTORS_LIST[[#This Row],[LS_TOTAL COST VALUE OF CURRENT UNITS]]+INVESTORS_LIST[[#This Row],[SIP_TOTAL COST VALUE OF CURRENT UNITS]]</f>
        <v>0</v>
      </c>
      <c r="AJ628" s="109">
        <f>IF(INVESTORS_LIST[[#This Row],[TOTAL CURRENT UNITS]]=0,0,INVESTORS_LIST[[#This Row],[LS_TOTAL CURRENT UNITS]]/INVESTORS_LIST[[#This Row],[TOTAL CURRENT UNITS]])</f>
        <v>0</v>
      </c>
      <c r="AK628" s="109">
        <f>IF(INVESTORS_LIST[[#This Row],[TOTAL CURRENT UNITS]]=0,0,INVESTORS_LIST[[#This Row],[SIP_TOTAL CURRENT UNITS]]/INVESTORS_LIST[[#This Row],[TOTAL CURRENT UNITS]])</f>
        <v>0</v>
      </c>
      <c r="AL628" s="99">
        <f t="array" ref="AL6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28" s="99">
        <f t="array" ref="AM6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28" s="105">
        <f t="shared" si="10"/>
        <v>14.224</v>
      </c>
      <c r="AP628" s="112">
        <f>IF(INVESTORS_LIST[[#This Row],[TOTAL CURRENT UNITS]]=0,0,INVESTORS_LIST[[#This Row],[TOTAL CURRENT UNITS]]*INVESTORS_LIST[[#This Row],[NAV]])</f>
        <v>0</v>
      </c>
      <c r="AQ628" s="102">
        <f>IF(INVESTORS_LIST[[#This Row],[LS_TOTAL CURRENT UNITS]]=0,0,INVESTORS_LIST[[#This Row],[LS_TOTAL CURRENT UNITS]]*INVESTORS_LIST[[#This Row],[NAV]])</f>
        <v>0</v>
      </c>
      <c r="AR628" s="48">
        <f>IF(INVESTORS_LIST[[#This Row],[SIP_TOTAL CURRENT UNITS]]=0,0,INVESTORS_LIST[[#This Row],[SIP_TOTAL CURRENT UNITS]]*INVESTORS_LIST[[#This Row],[NAV]])</f>
        <v>0</v>
      </c>
      <c r="AS628" s="50">
        <f>INVESTORS_LIST[[#This Row],[TOTAL CURRENT UNITS]]</f>
        <v>0</v>
      </c>
      <c r="AT628" s="48">
        <f>IF(INVESTORS_LIST[[#This Row],[TOTAL SELLABLE UNITS]]=0,0,INVESTORS_LIST[[#This Row],[TOTAL SELLABLE UNITS]]*INVESTORS_LIST[[#This Row],[NAV]])</f>
        <v>0</v>
      </c>
      <c r="AU628" s="48">
        <f>INVESTORS_LIST[[#This Row],[LS_TOTAL REALIZED GAIN]]+INVESTORS_LIST[[#This Row],[SIP_TOTAL REALIZED GAIN]]</f>
        <v>10148.399999999994</v>
      </c>
      <c r="AV628" s="48">
        <f>INVESTORS_LIST[[#This Row],[TOTAL MARKET VALUE]]-INVESTORS_LIST[[#This Row],[TOTAL COST VALUE OF CURRENT INVESTMENT]]</f>
        <v>0</v>
      </c>
      <c r="AW628" s="48">
        <f>IFERROR(INVESTORS_LIST[[#This Row],[TOTAL CURRENT UNITS]]/SUM(INVESTORS_LIST[TOTAL CURRENT UNITS]),0)</f>
        <v>0</v>
      </c>
    </row>
    <row r="629" spans="1:49">
      <c r="A629" s="262" t="s">
        <v>1365</v>
      </c>
      <c r="B629" s="97" t="s">
        <v>1366</v>
      </c>
      <c r="C629" s="99" t="s">
        <v>67</v>
      </c>
      <c r="D629" s="101" t="s">
        <v>45</v>
      </c>
      <c r="E629" s="50">
        <f>SUMIFS(LS[Unit],LS[Investor ID],INVESTORS_LIST[[#This Row],[INVESTOR CODE]],LS[B/S],"B")</f>
        <v>39869</v>
      </c>
      <c r="F629" s="50">
        <f>-SUMIFS(LS[Unit],LS[Investor ID],INVESTORS_LIST[[#This Row],[INVESTOR CODE]],LS[B/S],"S")</f>
        <v>0</v>
      </c>
      <c r="G629" s="50">
        <f>IF(INVESTORS_LIST[[#This Row],[LS_TOTAL UNITS BUY]]=0,0,INVESTORS_LIST[[#This Row],[LS_TOTAL UNITS BUY]]-INVESTORS_LIST[[#This Row],[LS_TOTAL UNITS SOLD]])</f>
        <v>39869</v>
      </c>
      <c r="H629" s="102">
        <f>IF(INVESTORS_LIST[[#This Row],[LS_TOTAL UNITS BUY]]=0,0,SUMIFS(LS[Amount],LS[Investor ID],INVESTORS_LIST[[#This Row],[INVESTOR CODE]],LS[B/S],"B"))</f>
        <v>500000</v>
      </c>
      <c r="I629" s="48">
        <f>IF(INVESTORS_LIST[[#This Row],[LS_TOTAL UNITS SOLD]]=0,0,SUMIFS(LS[Cost of Units Sold],LS[Investor ID],INVESTORS_LIST[[#This Row],[INVESTOR CODE]],LS[B/S],"S"))</f>
        <v>0</v>
      </c>
      <c r="J629" s="48">
        <f>IF(INVESTORS_LIST[[#This Row],[LS_TOTAL CURRENT UNITS]]=0,0,INVESTORS_LIST[[#This Row],[LS_TOTAL CURRENT UNITS]]*INVESTORS_LIST[[#This Row],[LS_AVERAGE COST]])</f>
        <v>500000.00000000006</v>
      </c>
      <c r="K629" s="48">
        <f>IF(INVESTORS_LIST[[#This Row],[LS_TOTAL UNITS SOLD]]=0,0,SUMIFS(LS[Realized Gain],LS[Investor ID],INVESTORS_LIST[[#This Row],[INVESTOR CODE]],LS[B/S],"S"))</f>
        <v>0</v>
      </c>
      <c r="L629" s="104">
        <f>SUMIFS(SIP[Unit],SIP[Investor ID],INVESTORS_LIST[[#This Row],[INVESTOR CODE]],SIP[B/S],"B")</f>
        <v>0</v>
      </c>
      <c r="M629" s="50">
        <f>-SUMIFS(SIP[Unit],SIP[Investor ID],INVESTORS_LIST[[#This Row],[INVESTOR CODE]],SIP[B/S],"S")</f>
        <v>0</v>
      </c>
      <c r="N629" s="50">
        <f>IF(INVESTORS_LIST[[#This Row],[SIP_TOTAL UNITS BUY]]=0,0,INVESTORS_LIST[[#This Row],[SIP_TOTAL UNITS BUY]]-INVESTORS_LIST[[#This Row],[SIP_TOTAL UNITS SOLD]])</f>
        <v>0</v>
      </c>
      <c r="O629" s="48">
        <f>IF(INVESTORS_LIST[[#This Row],[SIP_TOTAL UNITS BUY]]=0,0,SUMIFS(SIP[Amount],SIP[Investor ID],INVESTORS_LIST[[#This Row],[INVESTOR CODE]],SIP[B/S],"B"))</f>
        <v>0</v>
      </c>
      <c r="P629" s="48">
        <f>IF(INVESTORS_LIST[[#This Row],[SIP_TOTAL UNITS SOLD]]=0,0,SUMIFS(SIP[Cost of Units Sold],SIP[Investor ID],INVESTORS_LIST[[#This Row],[INVESTOR CODE]],SIP[B/S],"S"))</f>
        <v>0</v>
      </c>
      <c r="Q629" s="48">
        <f>IF(INVESTORS_LIST[[#This Row],[SIP_TOTAL CURRENT UNITS]]=0,0,INVESTORS_LIST[[#This Row],[SIP_TOTAL CURRENT UNITS]]*INVESTORS_LIST[[#This Row],[SIP_AVERAGE COST]])</f>
        <v>0</v>
      </c>
      <c r="R629" s="48">
        <f>IF(INVESTORS_LIST[[#This Row],[SIP_TOTAL UNITS SOLD]]=0,0,SUMIFS(SIP[Realized Gain],SIP[Investor ID],INVESTORS_LIST[[#This Row],[INVESTOR CODE]],SIP[B/S],"S"))</f>
        <v>0</v>
      </c>
      <c r="S629" s="50">
        <f>INVESTORS_LIST[[#This Row],[LS_TOTAL UNITS BUY]]+INVESTORS_LIST[[#This Row],[SIP_TOTAL UNITS BUY]]</f>
        <v>39869</v>
      </c>
      <c r="T629" s="50">
        <f>INVESTORS_LIST[[#This Row],[LS_TOTAL UNITS SOLD]]+INVESTORS_LIST[[#This Row],[SIP_TOTAL UNITS SOLD]]</f>
        <v>0</v>
      </c>
      <c r="U629" s="50">
        <v>39869</v>
      </c>
      <c r="V629" s="50">
        <f>SUMIFS(LS[BO UNIT TRANSFER],LS[Investor ID],INVESTORS_LIST[[#This Row],[INVESTOR CODE]],LS[B/S],"B")</f>
        <v>0</v>
      </c>
      <c r="W629" s="50">
        <f>SUMIFS(SIP[BO UNIT TRANSFER],SIP[Investor ID],INVESTORS_LIST[[#This Row],[INVESTOR CODE]],SIP[B/S],"B")</f>
        <v>0</v>
      </c>
      <c r="X629" s="50">
        <f>SUMIFS(LS[BO UNIT TRANSFER],LS[Investor ID],INVESTORS_LIST[[#This Row],[INVESTOR CODE]],LS[B/S],"S")</f>
        <v>0</v>
      </c>
      <c r="Y629" s="50">
        <f>SUMIFS(SIP[BO UNIT TRANSFER],SIP[Investor ID],INVESTORS_LIST[[#This Row],[INVESTOR CODE]],SIP[B/S],"S")</f>
        <v>0</v>
      </c>
      <c r="Z629" s="106">
        <f>SUM(INVESTORS_LIST[[#This Row],[BO OPENING BALANCE]:[BO SIP UNITS REPURCHASE]])</f>
        <v>39869</v>
      </c>
      <c r="AA629" s="107">
        <f>INVESTORS_LIST[[#This Row],[TOTAL UNITS BUY]]-INVESTORS_LIST[[#This Row],[TOTAL UNITS SOLD]]</f>
        <v>39869</v>
      </c>
      <c r="AB629" s="107">
        <f>INVESTORS_LIST[[#This Row],[TOTAL CURRENT UNITS]]-INVESTORS_LIST[[#This Row],[BO UNITS HOLD]]</f>
        <v>0</v>
      </c>
      <c r="AC629" s="201" t="e">
        <f>INDEX([3]!Table_1[BO ID],MATCH(INVESTORS_LIST[[#This Row],[INVESTOR CODE]],[3]!Table_1[INVESTOR CODE],0))</f>
        <v>#REF!</v>
      </c>
      <c r="AD629" s="201" t="e">
        <f>INDEX([3]!Table_1[Brokerage Name2],MATCH(INVESTORS_LIST[[#This Row],[INVESTOR CODE]],[3]!Table_1[INVESTOR CODE],0))</f>
        <v>#REF!</v>
      </c>
      <c r="AE629" s="201" t="e">
        <f>MID(INVESTORS_LIST[[#This Row],[BO ID]],4,5)</f>
        <v>#REF!</v>
      </c>
      <c r="AF629" s="201" t="e">
        <f>MID(INVESTORS_LIST[[#This Row],[BO ID]],2,7)</f>
        <v>#REF!</v>
      </c>
      <c r="AG629" s="201" t="e">
        <f>MID(INVESTORS_LIST[[#This Row],[BO ID]],9,7)</f>
        <v>#REF!</v>
      </c>
      <c r="AH629" s="201" t="e">
        <f>RIGHT(INVESTORS_LIST[[#This Row],[BO ID]],1)</f>
        <v>#REF!</v>
      </c>
      <c r="AI629" s="50">
        <f>INVESTORS_LIST[[#This Row],[LS_TOTAL COST VALUE OF CURRENT UNITS]]+INVESTORS_LIST[[#This Row],[SIP_TOTAL COST VALUE OF CURRENT UNITS]]</f>
        <v>500000.00000000006</v>
      </c>
      <c r="AJ629" s="109">
        <f>IF(INVESTORS_LIST[[#This Row],[TOTAL CURRENT UNITS]]=0,0,INVESTORS_LIST[[#This Row],[LS_TOTAL CURRENT UNITS]]/INVESTORS_LIST[[#This Row],[TOTAL CURRENT UNITS]])</f>
        <v>1</v>
      </c>
      <c r="AK629" s="109">
        <f>IF(INVESTORS_LIST[[#This Row],[TOTAL CURRENT UNITS]]=0,0,INVESTORS_LIST[[#This Row],[SIP_TOTAL CURRENT UNITS]]/INVESTORS_LIST[[#This Row],[TOTAL CURRENT UNITS]])</f>
        <v>0</v>
      </c>
      <c r="AL629" s="99">
        <f t="array" ref="AL629"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629" s="99">
        <f t="array" ref="AM6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29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629" s="105">
        <f t="shared" si="10"/>
        <v>14.224</v>
      </c>
      <c r="AP629" s="112">
        <f>IF(INVESTORS_LIST[[#This Row],[TOTAL CURRENT UNITS]]=0,0,INVESTORS_LIST[[#This Row],[TOTAL CURRENT UNITS]]*INVESTORS_LIST[[#This Row],[NAV]])</f>
        <v>567096.65599999996</v>
      </c>
      <c r="AQ629" s="102">
        <f>IF(INVESTORS_LIST[[#This Row],[LS_TOTAL CURRENT UNITS]]=0,0,INVESTORS_LIST[[#This Row],[LS_TOTAL CURRENT UNITS]]*INVESTORS_LIST[[#This Row],[NAV]])</f>
        <v>567096.65599999996</v>
      </c>
      <c r="AR629" s="48">
        <f>IF(INVESTORS_LIST[[#This Row],[SIP_TOTAL CURRENT UNITS]]=0,0,INVESTORS_LIST[[#This Row],[SIP_TOTAL CURRENT UNITS]]*INVESTORS_LIST[[#This Row],[NAV]])</f>
        <v>0</v>
      </c>
      <c r="AS629" s="50">
        <f>INVESTORS_LIST[[#This Row],[TOTAL CURRENT UNITS]]</f>
        <v>39869</v>
      </c>
      <c r="AT629" s="48">
        <f>IF(INVESTORS_LIST[[#This Row],[TOTAL SELLABLE UNITS]]=0,0,INVESTORS_LIST[[#This Row],[TOTAL SELLABLE UNITS]]*INVESTORS_LIST[[#This Row],[NAV]])</f>
        <v>567096.65599999996</v>
      </c>
      <c r="AU629" s="48">
        <f>INVESTORS_LIST[[#This Row],[LS_TOTAL REALIZED GAIN]]+INVESTORS_LIST[[#This Row],[SIP_TOTAL REALIZED GAIN]]</f>
        <v>0</v>
      </c>
      <c r="AV629" s="48">
        <f>INVESTORS_LIST[[#This Row],[TOTAL MARKET VALUE]]-INVESTORS_LIST[[#This Row],[TOTAL COST VALUE OF CURRENT INVESTMENT]]</f>
        <v>67096.655999999901</v>
      </c>
      <c r="AW629" s="48">
        <f>IFERROR(INVESTORS_LIST[[#This Row],[TOTAL CURRENT UNITS]]/SUM(INVESTORS_LIST[TOTAL CURRENT UNITS]),0)</f>
        <v>9.6786813260975671E-4</v>
      </c>
    </row>
    <row r="630" spans="1:49" hidden="1">
      <c r="A630" s="262" t="s">
        <v>1367</v>
      </c>
      <c r="B630" s="97" t="s">
        <v>1368</v>
      </c>
      <c r="C630" s="99" t="s">
        <v>44</v>
      </c>
      <c r="D630" s="101" t="s">
        <v>45</v>
      </c>
      <c r="E630" s="50">
        <f>SUMIFS(LS[Unit],LS[Investor ID],INVESTORS_LIST[[#This Row],[INVESTOR CODE]],LS[B/S],"B")</f>
        <v>15948</v>
      </c>
      <c r="F630" s="50">
        <f>-SUMIFS(LS[Unit],LS[Investor ID],INVESTORS_LIST[[#This Row],[INVESTOR CODE]],LS[B/S],"S")</f>
        <v>15948</v>
      </c>
      <c r="G630" s="50">
        <f>IF(INVESTORS_LIST[[#This Row],[LS_TOTAL UNITS BUY]]=0,0,INVESTORS_LIST[[#This Row],[LS_TOTAL UNITS BUY]]-INVESTORS_LIST[[#This Row],[LS_TOTAL UNITS SOLD]])</f>
        <v>0</v>
      </c>
      <c r="H630" s="102">
        <f>IF(INVESTORS_LIST[[#This Row],[LS_TOTAL UNITS BUY]]=0,0,SUMIFS(LS[Amount],LS[Investor ID],INVESTORS_LIST[[#This Row],[INVESTOR CODE]],LS[B/S],"B"))</f>
        <v>200000</v>
      </c>
      <c r="I630" s="48">
        <f>IF(INVESTORS_LIST[[#This Row],[LS_TOTAL UNITS SOLD]]=0,0,SUMIFS(LS[Cost of Units Sold],LS[Investor ID],INVESTORS_LIST[[#This Row],[INVESTOR CODE]],LS[B/S],"S"))</f>
        <v>200000</v>
      </c>
      <c r="J630" s="48">
        <f>IF(INVESTORS_LIST[[#This Row],[LS_TOTAL CURRENT UNITS]]=0,0,INVESTORS_LIST[[#This Row],[LS_TOTAL CURRENT UNITS]]*INVESTORS_LIST[[#This Row],[LS_AVERAGE COST]])</f>
        <v>0</v>
      </c>
      <c r="K630" s="48">
        <f>IF(INVESTORS_LIST[[#This Row],[LS_TOTAL UNITS SOLD]]=0,0,SUMIFS(LS[Realized Gain],LS[Investor ID],INVESTORS_LIST[[#This Row],[INVESTOR CODE]],LS[B/S],"S"))</f>
        <v>6016.2599999999957</v>
      </c>
      <c r="L630" s="104">
        <f>SUMIFS(SIP[Unit],SIP[Investor ID],INVESTORS_LIST[[#This Row],[INVESTOR CODE]],SIP[B/S],"B")</f>
        <v>0</v>
      </c>
      <c r="M630" s="50">
        <f>-SUMIFS(SIP[Unit],SIP[Investor ID],INVESTORS_LIST[[#This Row],[INVESTOR CODE]],SIP[B/S],"S")</f>
        <v>0</v>
      </c>
      <c r="N630" s="50">
        <f>IF(INVESTORS_LIST[[#This Row],[SIP_TOTAL UNITS BUY]]=0,0,INVESTORS_LIST[[#This Row],[SIP_TOTAL UNITS BUY]]-INVESTORS_LIST[[#This Row],[SIP_TOTAL UNITS SOLD]])</f>
        <v>0</v>
      </c>
      <c r="O630" s="48">
        <f>IF(INVESTORS_LIST[[#This Row],[SIP_TOTAL UNITS BUY]]=0,0,SUMIFS(SIP[Amount],SIP[Investor ID],INVESTORS_LIST[[#This Row],[INVESTOR CODE]],SIP[B/S],"B"))</f>
        <v>0</v>
      </c>
      <c r="P630" s="48">
        <f>IF(INVESTORS_LIST[[#This Row],[SIP_TOTAL UNITS SOLD]]=0,0,SUMIFS(SIP[Cost of Units Sold],SIP[Investor ID],INVESTORS_LIST[[#This Row],[INVESTOR CODE]],SIP[B/S],"S"))</f>
        <v>0</v>
      </c>
      <c r="Q630" s="48">
        <f>IF(INVESTORS_LIST[[#This Row],[SIP_TOTAL CURRENT UNITS]]=0,0,INVESTORS_LIST[[#This Row],[SIP_TOTAL CURRENT UNITS]]*INVESTORS_LIST[[#This Row],[SIP_AVERAGE COST]])</f>
        <v>0</v>
      </c>
      <c r="R630" s="48">
        <f>IF(INVESTORS_LIST[[#This Row],[SIP_TOTAL UNITS SOLD]]=0,0,SUMIFS(SIP[Realized Gain],SIP[Investor ID],INVESTORS_LIST[[#This Row],[INVESTOR CODE]],SIP[B/S],"S"))</f>
        <v>0</v>
      </c>
      <c r="S630" s="50">
        <f>INVESTORS_LIST[[#This Row],[LS_TOTAL UNITS BUY]]+INVESTORS_LIST[[#This Row],[SIP_TOTAL UNITS BUY]]</f>
        <v>15948</v>
      </c>
      <c r="T630" s="50">
        <f>INVESTORS_LIST[[#This Row],[LS_TOTAL UNITS SOLD]]+INVESTORS_LIST[[#This Row],[SIP_TOTAL UNITS SOLD]]</f>
        <v>15948</v>
      </c>
      <c r="U630" s="50">
        <v>15948</v>
      </c>
      <c r="V630" s="50">
        <f>SUMIFS(LS[BO UNIT TRANSFER],LS[Investor ID],INVESTORS_LIST[[#This Row],[INVESTOR CODE]],LS[B/S],"B")</f>
        <v>0</v>
      </c>
      <c r="W630" s="50">
        <f>SUMIFS(SIP[BO UNIT TRANSFER],SIP[Investor ID],INVESTORS_LIST[[#This Row],[INVESTOR CODE]],SIP[B/S],"B")</f>
        <v>0</v>
      </c>
      <c r="X630" s="50">
        <f>SUMIFS(LS[BO UNIT TRANSFER],LS[Investor ID],INVESTORS_LIST[[#This Row],[INVESTOR CODE]],LS[B/S],"S")</f>
        <v>0</v>
      </c>
      <c r="Y630" s="50">
        <f>SUMIFS(SIP[BO UNIT TRANSFER],SIP[Investor ID],INVESTORS_LIST[[#This Row],[INVESTOR CODE]],SIP[B/S],"S")</f>
        <v>0</v>
      </c>
      <c r="Z630" s="106">
        <f>SUM(INVESTORS_LIST[[#This Row],[BO OPENING BALANCE]:[BO SIP UNITS REPURCHASE]])</f>
        <v>15948</v>
      </c>
      <c r="AA630" s="107">
        <f>INVESTORS_LIST[[#This Row],[TOTAL UNITS BUY]]-INVESTORS_LIST[[#This Row],[TOTAL UNITS SOLD]]</f>
        <v>0</v>
      </c>
      <c r="AB630" s="107">
        <f>INVESTORS_LIST[[#This Row],[TOTAL CURRENT UNITS]]-INVESTORS_LIST[[#This Row],[BO UNITS HOLD]]</f>
        <v>-15948</v>
      </c>
      <c r="AC630" s="201" t="e">
        <f>INDEX([3]!Table_1[BO ID],MATCH(INVESTORS_LIST[[#This Row],[INVESTOR CODE]],[3]!Table_1[INVESTOR CODE],0))</f>
        <v>#REF!</v>
      </c>
      <c r="AD630" s="201" t="e">
        <f>INDEX([3]!Table_1[Brokerage Name2],MATCH(INVESTORS_LIST[[#This Row],[INVESTOR CODE]],[3]!Table_1[INVESTOR CODE],0))</f>
        <v>#REF!</v>
      </c>
      <c r="AE630" s="201" t="e">
        <f>MID(INVESTORS_LIST[[#This Row],[BO ID]],4,5)</f>
        <v>#REF!</v>
      </c>
      <c r="AF630" s="201" t="e">
        <f>MID(INVESTORS_LIST[[#This Row],[BO ID]],2,7)</f>
        <v>#REF!</v>
      </c>
      <c r="AG630" s="201" t="e">
        <f>MID(INVESTORS_LIST[[#This Row],[BO ID]],9,7)</f>
        <v>#REF!</v>
      </c>
      <c r="AH630" s="201" t="e">
        <f>RIGHT(INVESTORS_LIST[[#This Row],[BO ID]],1)</f>
        <v>#REF!</v>
      </c>
      <c r="AI630" s="50">
        <f>INVESTORS_LIST[[#This Row],[LS_TOTAL COST VALUE OF CURRENT UNITS]]+INVESTORS_LIST[[#This Row],[SIP_TOTAL COST VALUE OF CURRENT UNITS]]</f>
        <v>0</v>
      </c>
      <c r="AJ630" s="109">
        <f>IF(INVESTORS_LIST[[#This Row],[TOTAL CURRENT UNITS]]=0,0,INVESTORS_LIST[[#This Row],[LS_TOTAL CURRENT UNITS]]/INVESTORS_LIST[[#This Row],[TOTAL CURRENT UNITS]])</f>
        <v>0</v>
      </c>
      <c r="AK630" s="109">
        <f>IF(INVESTORS_LIST[[#This Row],[TOTAL CURRENT UNITS]]=0,0,INVESTORS_LIST[[#This Row],[SIP_TOTAL CURRENT UNITS]]/INVESTORS_LIST[[#This Row],[TOTAL CURRENT UNITS]])</f>
        <v>0</v>
      </c>
      <c r="AL630" s="99">
        <f t="array" ref="AL6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0" s="99">
        <f t="array" ref="AM6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0" s="105">
        <f t="shared" si="10"/>
        <v>14.224</v>
      </c>
      <c r="AP630" s="112">
        <f>IF(INVESTORS_LIST[[#This Row],[TOTAL CURRENT UNITS]]=0,0,INVESTORS_LIST[[#This Row],[TOTAL CURRENT UNITS]]*INVESTORS_LIST[[#This Row],[NAV]])</f>
        <v>0</v>
      </c>
      <c r="AQ630" s="102">
        <f>IF(INVESTORS_LIST[[#This Row],[LS_TOTAL CURRENT UNITS]]=0,0,INVESTORS_LIST[[#This Row],[LS_TOTAL CURRENT UNITS]]*INVESTORS_LIST[[#This Row],[NAV]])</f>
        <v>0</v>
      </c>
      <c r="AR630" s="48">
        <f>IF(INVESTORS_LIST[[#This Row],[SIP_TOTAL CURRENT UNITS]]=0,0,INVESTORS_LIST[[#This Row],[SIP_TOTAL CURRENT UNITS]]*INVESTORS_LIST[[#This Row],[NAV]])</f>
        <v>0</v>
      </c>
      <c r="AS630" s="50">
        <f>INVESTORS_LIST[[#This Row],[TOTAL CURRENT UNITS]]</f>
        <v>0</v>
      </c>
      <c r="AT630" s="48">
        <f>IF(INVESTORS_LIST[[#This Row],[TOTAL SELLABLE UNITS]]=0,0,INVESTORS_LIST[[#This Row],[TOTAL SELLABLE UNITS]]*INVESTORS_LIST[[#This Row],[NAV]])</f>
        <v>0</v>
      </c>
      <c r="AU630" s="48">
        <f>INVESTORS_LIST[[#This Row],[LS_TOTAL REALIZED GAIN]]+INVESTORS_LIST[[#This Row],[SIP_TOTAL REALIZED GAIN]]</f>
        <v>6016.2599999999957</v>
      </c>
      <c r="AV630" s="48">
        <f>INVESTORS_LIST[[#This Row],[TOTAL MARKET VALUE]]-INVESTORS_LIST[[#This Row],[TOTAL COST VALUE OF CURRENT INVESTMENT]]</f>
        <v>0</v>
      </c>
      <c r="AW630" s="48">
        <f>IFERROR(INVESTORS_LIST[[#This Row],[TOTAL CURRENT UNITS]]/SUM(INVESTORS_LIST[TOTAL CURRENT UNITS]),0)</f>
        <v>0</v>
      </c>
    </row>
    <row r="631" spans="1:49" hidden="1">
      <c r="A631" s="262" t="s">
        <v>1369</v>
      </c>
      <c r="B631" s="97" t="s">
        <v>1370</v>
      </c>
      <c r="C631" s="99" t="s">
        <v>44</v>
      </c>
      <c r="D631" s="101" t="s">
        <v>45</v>
      </c>
      <c r="E631" s="50">
        <f>SUMIFS(LS[Unit],LS[Investor ID],INVESTORS_LIST[[#This Row],[INVESTOR CODE]],LS[B/S],"B")</f>
        <v>19901</v>
      </c>
      <c r="F631" s="50">
        <f>-SUMIFS(LS[Unit],LS[Investor ID],INVESTORS_LIST[[#This Row],[INVESTOR CODE]],LS[B/S],"S")</f>
        <v>19901</v>
      </c>
      <c r="G631" s="50">
        <f>IF(INVESTORS_LIST[[#This Row],[LS_TOTAL UNITS BUY]]=0,0,INVESTORS_LIST[[#This Row],[LS_TOTAL UNITS BUY]]-INVESTORS_LIST[[#This Row],[LS_TOTAL UNITS SOLD]])</f>
        <v>0</v>
      </c>
      <c r="H631" s="102">
        <f>IF(INVESTORS_LIST[[#This Row],[LS_TOTAL UNITS BUY]]=0,0,SUMIFS(LS[Amount],LS[Investor ID],INVESTORS_LIST[[#This Row],[INVESTOR CODE]],LS[B/S],"B"))</f>
        <v>250000</v>
      </c>
      <c r="I631" s="48">
        <f>IF(INVESTORS_LIST[[#This Row],[LS_TOTAL UNITS SOLD]]=0,0,SUMIFS(LS[Cost of Units Sold],LS[Investor ID],INVESTORS_LIST[[#This Row],[INVESTOR CODE]],LS[B/S],"S"))</f>
        <v>250000</v>
      </c>
      <c r="J631" s="48">
        <f>IF(INVESTORS_LIST[[#This Row],[LS_TOTAL CURRENT UNITS]]=0,0,INVESTORS_LIST[[#This Row],[LS_TOTAL CURRENT UNITS]]*INVESTORS_LIST[[#This Row],[LS_AVERAGE COST]])</f>
        <v>0</v>
      </c>
      <c r="K631" s="48">
        <f>IF(INVESTORS_LIST[[#This Row],[LS_TOTAL UNITS SOLD]]=0,0,SUMIFS(LS[Realized Gain],LS[Investor ID],INVESTORS_LIST[[#This Row],[INVESTOR CODE]],LS[B/S],"S"))</f>
        <v>971.51000000000204</v>
      </c>
      <c r="L631" s="104">
        <f>SUMIFS(SIP[Unit],SIP[Investor ID],INVESTORS_LIST[[#This Row],[INVESTOR CODE]],SIP[B/S],"B")</f>
        <v>0</v>
      </c>
      <c r="M631" s="50">
        <f>-SUMIFS(SIP[Unit],SIP[Investor ID],INVESTORS_LIST[[#This Row],[INVESTOR CODE]],SIP[B/S],"S")</f>
        <v>0</v>
      </c>
      <c r="N631" s="50">
        <f>IF(INVESTORS_LIST[[#This Row],[SIP_TOTAL UNITS BUY]]=0,0,INVESTORS_LIST[[#This Row],[SIP_TOTAL UNITS BUY]]-INVESTORS_LIST[[#This Row],[SIP_TOTAL UNITS SOLD]])</f>
        <v>0</v>
      </c>
      <c r="O631" s="48">
        <f>IF(INVESTORS_LIST[[#This Row],[SIP_TOTAL UNITS BUY]]=0,0,SUMIFS(SIP[Amount],SIP[Investor ID],INVESTORS_LIST[[#This Row],[INVESTOR CODE]],SIP[B/S],"B"))</f>
        <v>0</v>
      </c>
      <c r="P631" s="48">
        <f>IF(INVESTORS_LIST[[#This Row],[SIP_TOTAL UNITS SOLD]]=0,0,SUMIFS(SIP[Cost of Units Sold],SIP[Investor ID],INVESTORS_LIST[[#This Row],[INVESTOR CODE]],SIP[B/S],"S"))</f>
        <v>0</v>
      </c>
      <c r="Q631" s="48">
        <f>IF(INVESTORS_LIST[[#This Row],[SIP_TOTAL CURRENT UNITS]]=0,0,INVESTORS_LIST[[#This Row],[SIP_TOTAL CURRENT UNITS]]*INVESTORS_LIST[[#This Row],[SIP_AVERAGE COST]])</f>
        <v>0</v>
      </c>
      <c r="R631" s="48">
        <f>IF(INVESTORS_LIST[[#This Row],[SIP_TOTAL UNITS SOLD]]=0,0,SUMIFS(SIP[Realized Gain],SIP[Investor ID],INVESTORS_LIST[[#This Row],[INVESTOR CODE]],SIP[B/S],"S"))</f>
        <v>0</v>
      </c>
      <c r="S631" s="50">
        <f>INVESTORS_LIST[[#This Row],[LS_TOTAL UNITS BUY]]+INVESTORS_LIST[[#This Row],[SIP_TOTAL UNITS BUY]]</f>
        <v>19901</v>
      </c>
      <c r="T631" s="50">
        <f>INVESTORS_LIST[[#This Row],[LS_TOTAL UNITS SOLD]]+INVESTORS_LIST[[#This Row],[SIP_TOTAL UNITS SOLD]]</f>
        <v>19901</v>
      </c>
      <c r="U631" s="50">
        <v>19901</v>
      </c>
      <c r="V631" s="50">
        <f>SUMIFS(LS[BO UNIT TRANSFER],LS[Investor ID],INVESTORS_LIST[[#This Row],[INVESTOR CODE]],LS[B/S],"B")</f>
        <v>0</v>
      </c>
      <c r="W631" s="50">
        <f>SUMIFS(SIP[BO UNIT TRANSFER],SIP[Investor ID],INVESTORS_LIST[[#This Row],[INVESTOR CODE]],SIP[B/S],"B")</f>
        <v>0</v>
      </c>
      <c r="X631" s="50">
        <f>SUMIFS(LS[BO UNIT TRANSFER],LS[Investor ID],INVESTORS_LIST[[#This Row],[INVESTOR CODE]],LS[B/S],"S")</f>
        <v>0</v>
      </c>
      <c r="Y631" s="50">
        <f>SUMIFS(SIP[BO UNIT TRANSFER],SIP[Investor ID],INVESTORS_LIST[[#This Row],[INVESTOR CODE]],SIP[B/S],"S")</f>
        <v>0</v>
      </c>
      <c r="Z631" s="106">
        <f>SUM(INVESTORS_LIST[[#This Row],[BO OPENING BALANCE]:[BO SIP UNITS REPURCHASE]])</f>
        <v>19901</v>
      </c>
      <c r="AA631" s="107">
        <f>INVESTORS_LIST[[#This Row],[TOTAL UNITS BUY]]-INVESTORS_LIST[[#This Row],[TOTAL UNITS SOLD]]</f>
        <v>0</v>
      </c>
      <c r="AB631" s="107">
        <f>INVESTORS_LIST[[#This Row],[TOTAL CURRENT UNITS]]-INVESTORS_LIST[[#This Row],[BO UNITS HOLD]]</f>
        <v>-19901</v>
      </c>
      <c r="AC631" s="201" t="e">
        <f>INDEX([3]!Table_1[BO ID],MATCH(INVESTORS_LIST[[#This Row],[INVESTOR CODE]],[3]!Table_1[INVESTOR CODE],0))</f>
        <v>#REF!</v>
      </c>
      <c r="AD631" s="201" t="e">
        <f>INDEX([3]!Table_1[Brokerage Name2],MATCH(INVESTORS_LIST[[#This Row],[INVESTOR CODE]],[3]!Table_1[INVESTOR CODE],0))</f>
        <v>#REF!</v>
      </c>
      <c r="AE631" s="201" t="e">
        <f>MID(INVESTORS_LIST[[#This Row],[BO ID]],4,5)</f>
        <v>#REF!</v>
      </c>
      <c r="AF631" s="201" t="e">
        <f>MID(INVESTORS_LIST[[#This Row],[BO ID]],2,7)</f>
        <v>#REF!</v>
      </c>
      <c r="AG631" s="201" t="e">
        <f>MID(INVESTORS_LIST[[#This Row],[BO ID]],9,7)</f>
        <v>#REF!</v>
      </c>
      <c r="AH631" s="201" t="e">
        <f>RIGHT(INVESTORS_LIST[[#This Row],[BO ID]],1)</f>
        <v>#REF!</v>
      </c>
      <c r="AI631" s="50">
        <f>INVESTORS_LIST[[#This Row],[LS_TOTAL COST VALUE OF CURRENT UNITS]]+INVESTORS_LIST[[#This Row],[SIP_TOTAL COST VALUE OF CURRENT UNITS]]</f>
        <v>0</v>
      </c>
      <c r="AJ631" s="109">
        <f>IF(INVESTORS_LIST[[#This Row],[TOTAL CURRENT UNITS]]=0,0,INVESTORS_LIST[[#This Row],[LS_TOTAL CURRENT UNITS]]/INVESTORS_LIST[[#This Row],[TOTAL CURRENT UNITS]])</f>
        <v>0</v>
      </c>
      <c r="AK631" s="109">
        <f>IF(INVESTORS_LIST[[#This Row],[TOTAL CURRENT UNITS]]=0,0,INVESTORS_LIST[[#This Row],[SIP_TOTAL CURRENT UNITS]]/INVESTORS_LIST[[#This Row],[TOTAL CURRENT UNITS]])</f>
        <v>0</v>
      </c>
      <c r="AL631" s="99">
        <f t="array" ref="AL6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1" s="99">
        <f t="array" ref="AM6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1" s="105">
        <f t="shared" si="10"/>
        <v>14.224</v>
      </c>
      <c r="AP631" s="112">
        <f>IF(INVESTORS_LIST[[#This Row],[TOTAL CURRENT UNITS]]=0,0,INVESTORS_LIST[[#This Row],[TOTAL CURRENT UNITS]]*INVESTORS_LIST[[#This Row],[NAV]])</f>
        <v>0</v>
      </c>
      <c r="AQ631" s="102">
        <f>IF(INVESTORS_LIST[[#This Row],[LS_TOTAL CURRENT UNITS]]=0,0,INVESTORS_LIST[[#This Row],[LS_TOTAL CURRENT UNITS]]*INVESTORS_LIST[[#This Row],[NAV]])</f>
        <v>0</v>
      </c>
      <c r="AR631" s="48">
        <f>IF(INVESTORS_LIST[[#This Row],[SIP_TOTAL CURRENT UNITS]]=0,0,INVESTORS_LIST[[#This Row],[SIP_TOTAL CURRENT UNITS]]*INVESTORS_LIST[[#This Row],[NAV]])</f>
        <v>0</v>
      </c>
      <c r="AS631" s="50">
        <f>INVESTORS_LIST[[#This Row],[TOTAL CURRENT UNITS]]</f>
        <v>0</v>
      </c>
      <c r="AT631" s="48">
        <f>IF(INVESTORS_LIST[[#This Row],[TOTAL SELLABLE UNITS]]=0,0,INVESTORS_LIST[[#This Row],[TOTAL SELLABLE UNITS]]*INVESTORS_LIST[[#This Row],[NAV]])</f>
        <v>0</v>
      </c>
      <c r="AU631" s="48">
        <f>INVESTORS_LIST[[#This Row],[LS_TOTAL REALIZED GAIN]]+INVESTORS_LIST[[#This Row],[SIP_TOTAL REALIZED GAIN]]</f>
        <v>971.51000000000204</v>
      </c>
      <c r="AV631" s="48">
        <f>INVESTORS_LIST[[#This Row],[TOTAL MARKET VALUE]]-INVESTORS_LIST[[#This Row],[TOTAL COST VALUE OF CURRENT INVESTMENT]]</f>
        <v>0</v>
      </c>
      <c r="AW631" s="48">
        <f>IFERROR(INVESTORS_LIST[[#This Row],[TOTAL CURRENT UNITS]]/SUM(INVESTORS_LIST[TOTAL CURRENT UNITS]),0)</f>
        <v>0</v>
      </c>
    </row>
    <row r="632" spans="1:49">
      <c r="A632" s="262" t="s">
        <v>1371</v>
      </c>
      <c r="B632" s="127" t="s">
        <v>1372</v>
      </c>
      <c r="C632" s="99" t="s">
        <v>44</v>
      </c>
      <c r="D632" s="101" t="s">
        <v>45</v>
      </c>
      <c r="E632" s="50">
        <f>SUMIFS(LS[Unit],LS[Investor ID],INVESTORS_LIST[[#This Row],[INVESTOR CODE]],LS[B/S],"B")</f>
        <v>4386</v>
      </c>
      <c r="F632" s="50">
        <f>-SUMIFS(LS[Unit],LS[Investor ID],INVESTORS_LIST[[#This Row],[INVESTOR CODE]],LS[B/S],"S")</f>
        <v>0</v>
      </c>
      <c r="G632" s="50">
        <f>IF(INVESTORS_LIST[[#This Row],[LS_TOTAL UNITS BUY]]=0,0,INVESTORS_LIST[[#This Row],[LS_TOTAL UNITS BUY]]-INVESTORS_LIST[[#This Row],[LS_TOTAL UNITS SOLD]])</f>
        <v>4386</v>
      </c>
      <c r="H632" s="102">
        <f>IF(INVESTORS_LIST[[#This Row],[LS_TOTAL UNITS BUY]]=0,0,SUMIFS(LS[Amount],LS[Investor ID],INVESTORS_LIST[[#This Row],[INVESTOR CODE]],LS[B/S],"B"))</f>
        <v>55000</v>
      </c>
      <c r="I632" s="48">
        <f>IF(INVESTORS_LIST[[#This Row],[LS_TOTAL UNITS SOLD]]=0,0,SUMIFS(LS[Cost of Units Sold],LS[Investor ID],INVESTORS_LIST[[#This Row],[INVESTOR CODE]],LS[B/S],"S"))</f>
        <v>0</v>
      </c>
      <c r="J632" s="48">
        <f>IF(INVESTORS_LIST[[#This Row],[LS_TOTAL CURRENT UNITS]]=0,0,INVESTORS_LIST[[#This Row],[LS_TOTAL CURRENT UNITS]]*INVESTORS_LIST[[#This Row],[LS_AVERAGE COST]])</f>
        <v>55000</v>
      </c>
      <c r="K632" s="48">
        <f>IF(INVESTORS_LIST[[#This Row],[LS_TOTAL UNITS SOLD]]=0,0,SUMIFS(LS[Realized Gain],LS[Investor ID],INVESTORS_LIST[[#This Row],[INVESTOR CODE]],LS[B/S],"S"))</f>
        <v>0</v>
      </c>
      <c r="L632" s="104">
        <f>SUMIFS(SIP[Unit],SIP[Investor ID],INVESTORS_LIST[[#This Row],[INVESTOR CODE]],SIP[B/S],"B")</f>
        <v>0</v>
      </c>
      <c r="M632" s="50">
        <f>-SUMIFS(SIP[Unit],SIP[Investor ID],INVESTORS_LIST[[#This Row],[INVESTOR CODE]],SIP[B/S],"S")</f>
        <v>0</v>
      </c>
      <c r="N632" s="50">
        <f>IF(INVESTORS_LIST[[#This Row],[SIP_TOTAL UNITS BUY]]=0,0,INVESTORS_LIST[[#This Row],[SIP_TOTAL UNITS BUY]]-INVESTORS_LIST[[#This Row],[SIP_TOTAL UNITS SOLD]])</f>
        <v>0</v>
      </c>
      <c r="O632" s="48">
        <f>IF(INVESTORS_LIST[[#This Row],[SIP_TOTAL UNITS BUY]]=0,0,SUMIFS(SIP[Amount],SIP[Investor ID],INVESTORS_LIST[[#This Row],[INVESTOR CODE]],SIP[B/S],"B"))</f>
        <v>0</v>
      </c>
      <c r="P632" s="48">
        <f>IF(INVESTORS_LIST[[#This Row],[SIP_TOTAL UNITS SOLD]]=0,0,SUMIFS(SIP[Cost of Units Sold],SIP[Investor ID],INVESTORS_LIST[[#This Row],[INVESTOR CODE]],SIP[B/S],"S"))</f>
        <v>0</v>
      </c>
      <c r="Q632" s="48">
        <f>IF(INVESTORS_LIST[[#This Row],[SIP_TOTAL CURRENT UNITS]]=0,0,INVESTORS_LIST[[#This Row],[SIP_TOTAL CURRENT UNITS]]*INVESTORS_LIST[[#This Row],[SIP_AVERAGE COST]])</f>
        <v>0</v>
      </c>
      <c r="R632" s="48">
        <f>IF(INVESTORS_LIST[[#This Row],[SIP_TOTAL UNITS SOLD]]=0,0,SUMIFS(SIP[Realized Gain],SIP[Investor ID],INVESTORS_LIST[[#This Row],[INVESTOR CODE]],SIP[B/S],"S"))</f>
        <v>0</v>
      </c>
      <c r="S632" s="50">
        <f>INVESTORS_LIST[[#This Row],[LS_TOTAL UNITS BUY]]+INVESTORS_LIST[[#This Row],[SIP_TOTAL UNITS BUY]]</f>
        <v>4386</v>
      </c>
      <c r="T632" s="50">
        <f>INVESTORS_LIST[[#This Row],[LS_TOTAL UNITS SOLD]]+INVESTORS_LIST[[#This Row],[SIP_TOTAL UNITS SOLD]]</f>
        <v>0</v>
      </c>
      <c r="U632" s="50"/>
      <c r="V632" s="50">
        <f>SUMIFS(LS[BO UNIT TRANSFER],LS[Investor ID],INVESTORS_LIST[[#This Row],[INVESTOR CODE]],LS[B/S],"B")</f>
        <v>0</v>
      </c>
      <c r="W632" s="50">
        <f>SUMIFS(SIP[BO UNIT TRANSFER],SIP[Investor ID],INVESTORS_LIST[[#This Row],[INVESTOR CODE]],SIP[B/S],"B")</f>
        <v>0</v>
      </c>
      <c r="X632" s="50">
        <f>SUMIFS(LS[BO UNIT TRANSFER],LS[Investor ID],INVESTORS_LIST[[#This Row],[INVESTOR CODE]],LS[B/S],"S")</f>
        <v>0</v>
      </c>
      <c r="Y632" s="50">
        <f>SUMIFS(SIP[BO UNIT TRANSFER],SIP[Investor ID],INVESTORS_LIST[[#This Row],[INVESTOR CODE]],SIP[B/S],"S")</f>
        <v>0</v>
      </c>
      <c r="Z632" s="106">
        <f>SUM(INVESTORS_LIST[[#This Row],[BO OPENING BALANCE]:[BO SIP UNITS REPURCHASE]])</f>
        <v>0</v>
      </c>
      <c r="AA632" s="107">
        <f>INVESTORS_LIST[[#This Row],[TOTAL UNITS BUY]]-INVESTORS_LIST[[#This Row],[TOTAL UNITS SOLD]]</f>
        <v>4386</v>
      </c>
      <c r="AB632" s="107">
        <f>INVESTORS_LIST[[#This Row],[TOTAL CURRENT UNITS]]-INVESTORS_LIST[[#This Row],[BO UNITS HOLD]]</f>
        <v>4386</v>
      </c>
      <c r="AC632" s="201" t="e">
        <f>INDEX([3]!Table_1[BO ID],MATCH(INVESTORS_LIST[[#This Row],[INVESTOR CODE]],[3]!Table_1[INVESTOR CODE],0))</f>
        <v>#REF!</v>
      </c>
      <c r="AD632" s="201" t="e">
        <f>INDEX([3]!Table_1[Brokerage Name2],MATCH(INVESTORS_LIST[[#This Row],[INVESTOR CODE]],[3]!Table_1[INVESTOR CODE],0))</f>
        <v>#REF!</v>
      </c>
      <c r="AE632" s="201" t="e">
        <f>MID(INVESTORS_LIST[[#This Row],[BO ID]],4,5)</f>
        <v>#REF!</v>
      </c>
      <c r="AF632" s="201" t="e">
        <f>MID(INVESTORS_LIST[[#This Row],[BO ID]],2,7)</f>
        <v>#REF!</v>
      </c>
      <c r="AG632" s="201" t="e">
        <f>MID(INVESTORS_LIST[[#This Row],[BO ID]],9,7)</f>
        <v>#REF!</v>
      </c>
      <c r="AH632" s="201" t="e">
        <f>RIGHT(INVESTORS_LIST[[#This Row],[BO ID]],1)</f>
        <v>#REF!</v>
      </c>
      <c r="AI632" s="50">
        <f>INVESTORS_LIST[[#This Row],[LS_TOTAL COST VALUE OF CURRENT UNITS]]+INVESTORS_LIST[[#This Row],[SIP_TOTAL COST VALUE OF CURRENT UNITS]]</f>
        <v>55000</v>
      </c>
      <c r="AJ632" s="109">
        <f>IF(INVESTORS_LIST[[#This Row],[TOTAL CURRENT UNITS]]=0,0,INVESTORS_LIST[[#This Row],[LS_TOTAL CURRENT UNITS]]/INVESTORS_LIST[[#This Row],[TOTAL CURRENT UNITS]])</f>
        <v>1</v>
      </c>
      <c r="AK632" s="109">
        <f>IF(INVESTORS_LIST[[#This Row],[TOTAL CURRENT UNITS]]=0,0,INVESTORS_LIST[[#This Row],[SIP_TOTAL CURRENT UNITS]]/INVESTORS_LIST[[#This Row],[TOTAL CURRENT UNITS]])</f>
        <v>0</v>
      </c>
      <c r="AL632" s="99">
        <f t="array" ref="AL632">IF(INVESTORS_LIST[[#This Row],[LS_TOTAL UNITS BUY]]&gt;0,INDEX(LS[NAV at Cost (Average)],MATCH(CONCATENATE(COUNTIFS(LS[Investor ID],INVESTORS_LIST[[#This Row],[INVESTOR CODE]]),INVESTORS_LIST[[#This Row],[INVESTOR CODE]]),LS[Unique Code],0),),0)</f>
        <v>12.539899680802554</v>
      </c>
      <c r="AM632" s="99">
        <f t="array" ref="AM6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2" s="105">
        <f>IF(INVESTORS_LIST[[#This Row],[TOTAL CURRENT UNITS]]=0,0,(INVESTORS_LIST[[#This Row],[LS_WEIGHT]]*INVESTORS_LIST[[#This Row],[LS_AVERAGE COST]])+(INVESTORS_LIST[[#This Row],[SIP_WEIGHT]]*INVESTORS_LIST[[#This Row],[SIP_AVERAGE COST]]))</f>
        <v>12.539899680802554</v>
      </c>
      <c r="AO632" s="105">
        <f t="shared" si="10"/>
        <v>14.224</v>
      </c>
      <c r="AP632" s="112">
        <f>IF(INVESTORS_LIST[[#This Row],[TOTAL CURRENT UNITS]]=0,0,INVESTORS_LIST[[#This Row],[TOTAL CURRENT UNITS]]*INVESTORS_LIST[[#This Row],[NAV]])</f>
        <v>62386.464</v>
      </c>
      <c r="AQ632" s="102">
        <f>IF(INVESTORS_LIST[[#This Row],[LS_TOTAL CURRENT UNITS]]=0,0,INVESTORS_LIST[[#This Row],[LS_TOTAL CURRENT UNITS]]*INVESTORS_LIST[[#This Row],[NAV]])</f>
        <v>62386.464</v>
      </c>
      <c r="AR632" s="48">
        <f>IF(INVESTORS_LIST[[#This Row],[SIP_TOTAL CURRENT UNITS]]=0,0,INVESTORS_LIST[[#This Row],[SIP_TOTAL CURRENT UNITS]]*INVESTORS_LIST[[#This Row],[NAV]])</f>
        <v>0</v>
      </c>
      <c r="AS632" s="50">
        <f>INVESTORS_LIST[[#This Row],[TOTAL CURRENT UNITS]]</f>
        <v>4386</v>
      </c>
      <c r="AT632" s="48">
        <f>IF(INVESTORS_LIST[[#This Row],[TOTAL SELLABLE UNITS]]=0,0,INVESTORS_LIST[[#This Row],[TOTAL SELLABLE UNITS]]*INVESTORS_LIST[[#This Row],[NAV]])</f>
        <v>62386.464</v>
      </c>
      <c r="AU632" s="48">
        <f>INVESTORS_LIST[[#This Row],[LS_TOTAL REALIZED GAIN]]+INVESTORS_LIST[[#This Row],[SIP_TOTAL REALIZED GAIN]]</f>
        <v>0</v>
      </c>
      <c r="AV632" s="48">
        <f>INVESTORS_LIST[[#This Row],[TOTAL MARKET VALUE]]-INVESTORS_LIST[[#This Row],[TOTAL COST VALUE OF CURRENT INVESTMENT]]</f>
        <v>7386.4639999999999</v>
      </c>
      <c r="AW632" s="48">
        <f>IFERROR(INVESTORS_LIST[[#This Row],[TOTAL CURRENT UNITS]]/SUM(INVESTORS_LIST[TOTAL CURRENT UNITS]),0)</f>
        <v>1.0647544783231064E-4</v>
      </c>
    </row>
    <row r="633" spans="1:49" hidden="1">
      <c r="A633" s="262" t="s">
        <v>1383</v>
      </c>
      <c r="B633" s="198" t="s">
        <v>1373</v>
      </c>
      <c r="C633" t="s">
        <v>44</v>
      </c>
      <c r="D633" s="75" t="s">
        <v>45</v>
      </c>
      <c r="E633" s="50">
        <f>SUMIFS(LS[Unit],LS[Investor ID],INVESTORS_LIST[[#This Row],[INVESTOR CODE]],LS[B/S],"B")</f>
        <v>23882</v>
      </c>
      <c r="F633" s="50">
        <f>-SUMIFS(LS[Unit],LS[Investor ID],INVESTORS_LIST[[#This Row],[INVESTOR CODE]],LS[B/S],"S")</f>
        <v>23882</v>
      </c>
      <c r="G633" s="50">
        <f>IF(INVESTORS_LIST[[#This Row],[LS_TOTAL UNITS BUY]]=0,0,INVESTORS_LIST[[#This Row],[LS_TOTAL UNITS BUY]]-INVESTORS_LIST[[#This Row],[LS_TOTAL UNITS SOLD]])</f>
        <v>0</v>
      </c>
      <c r="H633" s="102">
        <f>IF(INVESTORS_LIST[[#This Row],[LS_TOTAL UNITS BUY]]=0,0,SUMIFS(LS[Amount],LS[Investor ID],INVESTORS_LIST[[#This Row],[INVESTOR CODE]],LS[B/S],"B"))</f>
        <v>300000</v>
      </c>
      <c r="I633" s="48">
        <f>IF(INVESTORS_LIST[[#This Row],[LS_TOTAL UNITS SOLD]]=0,0,SUMIFS(LS[Cost of Units Sold],LS[Investor ID],INVESTORS_LIST[[#This Row],[INVESTOR CODE]],LS[B/S],"S"))</f>
        <v>300000</v>
      </c>
      <c r="J633" s="48">
        <f>IF(INVESTORS_LIST[[#This Row],[LS_TOTAL CURRENT UNITS]]=0,0,INVESTORS_LIST[[#This Row],[LS_TOTAL CURRENT UNITS]]*INVESTORS_LIST[[#This Row],[LS_AVERAGE COST]])</f>
        <v>0</v>
      </c>
      <c r="K633" s="48">
        <f>IF(INVESTORS_LIST[[#This Row],[LS_TOTAL UNITS SOLD]]=0,0,SUMIFS(LS[Realized Gain],LS[Investor ID],INVESTORS_LIST[[#This Row],[INVESTOR CODE]],LS[B/S],"S"))</f>
        <v>1175.9000000000076</v>
      </c>
      <c r="L633" s="104">
        <f>SUMIFS(SIP[Unit],SIP[Investor ID],INVESTORS_LIST[[#This Row],[INVESTOR CODE]],SIP[B/S],"B")</f>
        <v>0</v>
      </c>
      <c r="M633" s="50">
        <f>-SUMIFS(SIP[Unit],SIP[Investor ID],INVESTORS_LIST[[#This Row],[INVESTOR CODE]],SIP[B/S],"S")</f>
        <v>0</v>
      </c>
      <c r="N633" s="50">
        <f>IF(INVESTORS_LIST[[#This Row],[SIP_TOTAL UNITS BUY]]=0,0,INVESTORS_LIST[[#This Row],[SIP_TOTAL UNITS BUY]]-INVESTORS_LIST[[#This Row],[SIP_TOTAL UNITS SOLD]])</f>
        <v>0</v>
      </c>
      <c r="O633" s="48">
        <f>IF(INVESTORS_LIST[[#This Row],[SIP_TOTAL UNITS BUY]]=0,0,SUMIFS(SIP[Amount],SIP[Investor ID],INVESTORS_LIST[[#This Row],[INVESTOR CODE]],SIP[B/S],"B"))</f>
        <v>0</v>
      </c>
      <c r="P633" s="48">
        <f>IF(INVESTORS_LIST[[#This Row],[SIP_TOTAL UNITS SOLD]]=0,0,SUMIFS(SIP[Cost of Units Sold],SIP[Investor ID],INVESTORS_LIST[[#This Row],[INVESTOR CODE]],SIP[B/S],"S"))</f>
        <v>0</v>
      </c>
      <c r="Q633" s="48">
        <f>IF(INVESTORS_LIST[[#This Row],[SIP_TOTAL CURRENT UNITS]]=0,0,INVESTORS_LIST[[#This Row],[SIP_TOTAL CURRENT UNITS]]*INVESTORS_LIST[[#This Row],[SIP_AVERAGE COST]])</f>
        <v>0</v>
      </c>
      <c r="R633" s="48">
        <f>IF(INVESTORS_LIST[[#This Row],[SIP_TOTAL UNITS SOLD]]=0,0,SUMIFS(SIP[Realized Gain],SIP[Investor ID],INVESTORS_LIST[[#This Row],[INVESTOR CODE]],SIP[B/S],"S"))</f>
        <v>0</v>
      </c>
      <c r="S633" s="50">
        <f>INVESTORS_LIST[[#This Row],[LS_TOTAL UNITS BUY]]+INVESTORS_LIST[[#This Row],[SIP_TOTAL UNITS BUY]]</f>
        <v>23882</v>
      </c>
      <c r="T633" s="50">
        <f>INVESTORS_LIST[[#This Row],[LS_TOTAL UNITS SOLD]]+INVESTORS_LIST[[#This Row],[SIP_TOTAL UNITS SOLD]]</f>
        <v>23882</v>
      </c>
      <c r="U633" s="50">
        <v>23882</v>
      </c>
      <c r="V633" s="50">
        <f>SUMIFS(LS[BO UNIT TRANSFER],LS[Investor ID],INVESTORS_LIST[[#This Row],[INVESTOR CODE]],LS[B/S],"B")</f>
        <v>0</v>
      </c>
      <c r="W633" s="50">
        <f>SUMIFS(SIP[BO UNIT TRANSFER],SIP[Investor ID],INVESTORS_LIST[[#This Row],[INVESTOR CODE]],SIP[B/S],"B")</f>
        <v>0</v>
      </c>
      <c r="X633" s="50">
        <f>SUMIFS(LS[BO UNIT TRANSFER],LS[Investor ID],INVESTORS_LIST[[#This Row],[INVESTOR CODE]],LS[B/S],"S")</f>
        <v>0</v>
      </c>
      <c r="Y633" s="50">
        <f>SUMIFS(SIP[BO UNIT TRANSFER],SIP[Investor ID],INVESTORS_LIST[[#This Row],[INVESTOR CODE]],SIP[B/S],"S")</f>
        <v>0</v>
      </c>
      <c r="Z633" s="106">
        <f>SUM(INVESTORS_LIST[[#This Row],[BO OPENING BALANCE]:[BO SIP UNITS REPURCHASE]])</f>
        <v>23882</v>
      </c>
      <c r="AA633" s="107">
        <f>INVESTORS_LIST[[#This Row],[TOTAL UNITS BUY]]-INVESTORS_LIST[[#This Row],[TOTAL UNITS SOLD]]</f>
        <v>0</v>
      </c>
      <c r="AB633" s="107">
        <f>INVESTORS_LIST[[#This Row],[TOTAL CURRENT UNITS]]-INVESTORS_LIST[[#This Row],[BO UNITS HOLD]]</f>
        <v>-23882</v>
      </c>
      <c r="AC633" s="201" t="e">
        <f>INDEX([3]!Table_1[BO ID],MATCH(INVESTORS_LIST[[#This Row],[INVESTOR CODE]],[3]!Table_1[INVESTOR CODE],0))</f>
        <v>#REF!</v>
      </c>
      <c r="AD633" s="201" t="e">
        <f>INDEX([3]!Table_1[Brokerage Name2],MATCH(INVESTORS_LIST[[#This Row],[INVESTOR CODE]],[3]!Table_1[INVESTOR CODE],0))</f>
        <v>#REF!</v>
      </c>
      <c r="AE633" s="201" t="e">
        <f>MID(INVESTORS_LIST[[#This Row],[BO ID]],4,5)</f>
        <v>#REF!</v>
      </c>
      <c r="AF633" s="201" t="e">
        <f>MID(INVESTORS_LIST[[#This Row],[BO ID]],2,7)</f>
        <v>#REF!</v>
      </c>
      <c r="AG633" s="201" t="e">
        <f>MID(INVESTORS_LIST[[#This Row],[BO ID]],9,7)</f>
        <v>#REF!</v>
      </c>
      <c r="AH633" s="201" t="e">
        <f>RIGHT(INVESTORS_LIST[[#This Row],[BO ID]],1)</f>
        <v>#REF!</v>
      </c>
      <c r="AI633" s="50">
        <f>INVESTORS_LIST[[#This Row],[LS_TOTAL COST VALUE OF CURRENT UNITS]]+INVESTORS_LIST[[#This Row],[SIP_TOTAL COST VALUE OF CURRENT UNITS]]</f>
        <v>0</v>
      </c>
      <c r="AJ633" s="109">
        <f>IF(INVESTORS_LIST[[#This Row],[TOTAL CURRENT UNITS]]=0,0,INVESTORS_LIST[[#This Row],[LS_TOTAL CURRENT UNITS]]/INVESTORS_LIST[[#This Row],[TOTAL CURRENT UNITS]])</f>
        <v>0</v>
      </c>
      <c r="AK633" s="109">
        <f>IF(INVESTORS_LIST[[#This Row],[TOTAL CURRENT UNITS]]=0,0,INVESTORS_LIST[[#This Row],[SIP_TOTAL CURRENT UNITS]]/INVESTORS_LIST[[#This Row],[TOTAL CURRENT UNITS]])</f>
        <v>0</v>
      </c>
      <c r="AL633" s="99">
        <f t="array" ref="AL6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3" s="99">
        <f t="array" ref="AM6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3" s="105">
        <f t="shared" si="10"/>
        <v>14.224</v>
      </c>
      <c r="AP633" s="112">
        <f>IF(INVESTORS_LIST[[#This Row],[TOTAL CURRENT UNITS]]=0,0,INVESTORS_LIST[[#This Row],[TOTAL CURRENT UNITS]]*INVESTORS_LIST[[#This Row],[NAV]])</f>
        <v>0</v>
      </c>
      <c r="AQ633" s="102">
        <f>IF(INVESTORS_LIST[[#This Row],[LS_TOTAL CURRENT UNITS]]=0,0,INVESTORS_LIST[[#This Row],[LS_TOTAL CURRENT UNITS]]*INVESTORS_LIST[[#This Row],[NAV]])</f>
        <v>0</v>
      </c>
      <c r="AR633" s="48">
        <f>IF(INVESTORS_LIST[[#This Row],[SIP_TOTAL CURRENT UNITS]]=0,0,INVESTORS_LIST[[#This Row],[SIP_TOTAL CURRENT UNITS]]*INVESTORS_LIST[[#This Row],[NAV]])</f>
        <v>0</v>
      </c>
      <c r="AS633" s="50">
        <f>INVESTORS_LIST[[#This Row],[TOTAL CURRENT UNITS]]</f>
        <v>0</v>
      </c>
      <c r="AT633" s="48">
        <f>IF(INVESTORS_LIST[[#This Row],[TOTAL SELLABLE UNITS]]=0,0,INVESTORS_LIST[[#This Row],[TOTAL SELLABLE UNITS]]*INVESTORS_LIST[[#This Row],[NAV]])</f>
        <v>0</v>
      </c>
      <c r="AU633" s="48">
        <f>INVESTORS_LIST[[#This Row],[LS_TOTAL REALIZED GAIN]]+INVESTORS_LIST[[#This Row],[SIP_TOTAL REALIZED GAIN]]</f>
        <v>1175.9000000000076</v>
      </c>
      <c r="AV633" s="48">
        <f>INVESTORS_LIST[[#This Row],[TOTAL MARKET VALUE]]-INVESTORS_LIST[[#This Row],[TOTAL COST VALUE OF CURRENT INVESTMENT]]</f>
        <v>0</v>
      </c>
      <c r="AW633" s="48">
        <f>IFERROR(INVESTORS_LIST[[#This Row],[TOTAL CURRENT UNITS]]/SUM(INVESTORS_LIST[TOTAL CURRENT UNITS]),0)</f>
        <v>0</v>
      </c>
    </row>
    <row r="634" spans="1:49">
      <c r="A634" s="262" t="s">
        <v>1374</v>
      </c>
      <c r="B634" s="261" t="s">
        <v>1375</v>
      </c>
      <c r="C634" s="99" t="s">
        <v>44</v>
      </c>
      <c r="D634" s="101" t="s">
        <v>45</v>
      </c>
      <c r="E634" s="50">
        <f>SUMIFS(LS[Unit],LS[Investor ID],INVESTORS_LIST[[#This Row],[INVESTOR CODE]],LS[B/S],"B")</f>
        <v>39869</v>
      </c>
      <c r="F634" s="50">
        <f>-SUMIFS(LS[Unit],LS[Investor ID],INVESTORS_LIST[[#This Row],[INVESTOR CODE]],LS[B/S],"S")</f>
        <v>0</v>
      </c>
      <c r="G634" s="50">
        <f>IF(INVESTORS_LIST[[#This Row],[LS_TOTAL UNITS BUY]]=0,0,INVESTORS_LIST[[#This Row],[LS_TOTAL UNITS BUY]]-INVESTORS_LIST[[#This Row],[LS_TOTAL UNITS SOLD]])</f>
        <v>39869</v>
      </c>
      <c r="H634" s="102">
        <f>IF(INVESTORS_LIST[[#This Row],[LS_TOTAL UNITS BUY]]=0,0,SUMIFS(LS[Amount],LS[Investor ID],INVESTORS_LIST[[#This Row],[INVESTOR CODE]],LS[B/S],"B"))</f>
        <v>500000</v>
      </c>
      <c r="I634" s="48">
        <f>IF(INVESTORS_LIST[[#This Row],[LS_TOTAL UNITS SOLD]]=0,0,SUMIFS(LS[Cost of Units Sold],LS[Investor ID],INVESTORS_LIST[[#This Row],[INVESTOR CODE]],LS[B/S],"S"))</f>
        <v>0</v>
      </c>
      <c r="J634" s="48">
        <f>IF(INVESTORS_LIST[[#This Row],[LS_TOTAL CURRENT UNITS]]=0,0,INVESTORS_LIST[[#This Row],[LS_TOTAL CURRENT UNITS]]*INVESTORS_LIST[[#This Row],[LS_AVERAGE COST]])</f>
        <v>500000.00000000006</v>
      </c>
      <c r="K634" s="48">
        <f>IF(INVESTORS_LIST[[#This Row],[LS_TOTAL UNITS SOLD]]=0,0,SUMIFS(LS[Realized Gain],LS[Investor ID],INVESTORS_LIST[[#This Row],[INVESTOR CODE]],LS[B/S],"S"))</f>
        <v>0</v>
      </c>
      <c r="L634" s="104">
        <f>SUMIFS(SIP[Unit],SIP[Investor ID],INVESTORS_LIST[[#This Row],[INVESTOR CODE]],SIP[B/S],"B")</f>
        <v>0</v>
      </c>
      <c r="M634" s="50">
        <f>-SUMIFS(SIP[Unit],SIP[Investor ID],INVESTORS_LIST[[#This Row],[INVESTOR CODE]],SIP[B/S],"S")</f>
        <v>0</v>
      </c>
      <c r="N634" s="50">
        <f>IF(INVESTORS_LIST[[#This Row],[SIP_TOTAL UNITS BUY]]=0,0,INVESTORS_LIST[[#This Row],[SIP_TOTAL UNITS BUY]]-INVESTORS_LIST[[#This Row],[SIP_TOTAL UNITS SOLD]])</f>
        <v>0</v>
      </c>
      <c r="O634" s="48">
        <f>IF(INVESTORS_LIST[[#This Row],[SIP_TOTAL UNITS BUY]]=0,0,SUMIFS(SIP[Amount],SIP[Investor ID],INVESTORS_LIST[[#This Row],[INVESTOR CODE]],SIP[B/S],"B"))</f>
        <v>0</v>
      </c>
      <c r="P634" s="48">
        <f>IF(INVESTORS_LIST[[#This Row],[SIP_TOTAL UNITS SOLD]]=0,0,SUMIFS(SIP[Cost of Units Sold],SIP[Investor ID],INVESTORS_LIST[[#This Row],[INVESTOR CODE]],SIP[B/S],"S"))</f>
        <v>0</v>
      </c>
      <c r="Q634" s="48">
        <f>IF(INVESTORS_LIST[[#This Row],[SIP_TOTAL CURRENT UNITS]]=0,0,INVESTORS_LIST[[#This Row],[SIP_TOTAL CURRENT UNITS]]*INVESTORS_LIST[[#This Row],[SIP_AVERAGE COST]])</f>
        <v>0</v>
      </c>
      <c r="R634" s="48">
        <f>IF(INVESTORS_LIST[[#This Row],[SIP_TOTAL UNITS SOLD]]=0,0,SUMIFS(SIP[Realized Gain],SIP[Investor ID],INVESTORS_LIST[[#This Row],[INVESTOR CODE]],SIP[B/S],"S"))</f>
        <v>0</v>
      </c>
      <c r="S634" s="50">
        <f>INVESTORS_LIST[[#This Row],[LS_TOTAL UNITS BUY]]+INVESTORS_LIST[[#This Row],[SIP_TOTAL UNITS BUY]]</f>
        <v>39869</v>
      </c>
      <c r="T634" s="50">
        <f>INVESTORS_LIST[[#This Row],[LS_TOTAL UNITS SOLD]]+INVESTORS_LIST[[#This Row],[SIP_TOTAL UNITS SOLD]]</f>
        <v>0</v>
      </c>
      <c r="U634" s="50">
        <v>39869</v>
      </c>
      <c r="V634" s="50">
        <f>SUMIFS(LS[BO UNIT TRANSFER],LS[Investor ID],INVESTORS_LIST[[#This Row],[INVESTOR CODE]],LS[B/S],"B")</f>
        <v>0</v>
      </c>
      <c r="W634" s="50">
        <f>SUMIFS(SIP[BO UNIT TRANSFER],SIP[Investor ID],INVESTORS_LIST[[#This Row],[INVESTOR CODE]],SIP[B/S],"B")</f>
        <v>0</v>
      </c>
      <c r="X634" s="50">
        <f>SUMIFS(LS[BO UNIT TRANSFER],LS[Investor ID],INVESTORS_LIST[[#This Row],[INVESTOR CODE]],LS[B/S],"S")</f>
        <v>0</v>
      </c>
      <c r="Y634" s="50">
        <f>SUMIFS(SIP[BO UNIT TRANSFER],SIP[Investor ID],INVESTORS_LIST[[#This Row],[INVESTOR CODE]],SIP[B/S],"S")</f>
        <v>0</v>
      </c>
      <c r="Z634" s="106">
        <f>SUM(INVESTORS_LIST[[#This Row],[BO OPENING BALANCE]:[BO SIP UNITS REPURCHASE]])</f>
        <v>39869</v>
      </c>
      <c r="AA634" s="107">
        <f>INVESTORS_LIST[[#This Row],[TOTAL UNITS BUY]]-INVESTORS_LIST[[#This Row],[TOTAL UNITS SOLD]]</f>
        <v>39869</v>
      </c>
      <c r="AB634" s="107">
        <f>INVESTORS_LIST[[#This Row],[TOTAL CURRENT UNITS]]-INVESTORS_LIST[[#This Row],[BO UNITS HOLD]]</f>
        <v>0</v>
      </c>
      <c r="AC634" s="201" t="e">
        <f>INDEX([3]!Table_1[BO ID],MATCH(INVESTORS_LIST[[#This Row],[INVESTOR CODE]],[3]!Table_1[INVESTOR CODE],0))</f>
        <v>#REF!</v>
      </c>
      <c r="AD634" s="201" t="e">
        <f>INDEX([3]!Table_1[Brokerage Name2],MATCH(INVESTORS_LIST[[#This Row],[INVESTOR CODE]],[3]!Table_1[INVESTOR CODE],0))</f>
        <v>#REF!</v>
      </c>
      <c r="AE634" s="201" t="e">
        <f>MID(INVESTORS_LIST[[#This Row],[BO ID]],4,5)</f>
        <v>#REF!</v>
      </c>
      <c r="AF634" s="201" t="e">
        <f>MID(INVESTORS_LIST[[#This Row],[BO ID]],2,7)</f>
        <v>#REF!</v>
      </c>
      <c r="AG634" s="201" t="e">
        <f>MID(INVESTORS_LIST[[#This Row],[BO ID]],9,7)</f>
        <v>#REF!</v>
      </c>
      <c r="AH634" s="201" t="e">
        <f>RIGHT(INVESTORS_LIST[[#This Row],[BO ID]],1)</f>
        <v>#REF!</v>
      </c>
      <c r="AI634" s="50">
        <f>INVESTORS_LIST[[#This Row],[LS_TOTAL COST VALUE OF CURRENT UNITS]]+INVESTORS_LIST[[#This Row],[SIP_TOTAL COST VALUE OF CURRENT UNITS]]</f>
        <v>500000.00000000006</v>
      </c>
      <c r="AJ634" s="109">
        <f>IF(INVESTORS_LIST[[#This Row],[TOTAL CURRENT UNITS]]=0,0,INVESTORS_LIST[[#This Row],[LS_TOTAL CURRENT UNITS]]/INVESTORS_LIST[[#This Row],[TOTAL CURRENT UNITS]])</f>
        <v>1</v>
      </c>
      <c r="AK634" s="109">
        <f>IF(INVESTORS_LIST[[#This Row],[TOTAL CURRENT UNITS]]=0,0,INVESTORS_LIST[[#This Row],[SIP_TOTAL CURRENT UNITS]]/INVESTORS_LIST[[#This Row],[TOTAL CURRENT UNITS]])</f>
        <v>0</v>
      </c>
      <c r="AL634" s="99">
        <f t="array" ref="AL634">IF(INVESTORS_LIST[[#This Row],[LS_TOTAL UNITS BUY]]&gt;0,INDEX(LS[NAV at Cost (Average)],MATCH(CONCATENATE(COUNTIFS(LS[Investor ID],INVESTORS_LIST[[#This Row],[INVESTOR CODE]]),INVESTORS_LIST[[#This Row],[INVESTOR CODE]]),LS[Unique Code],0),),0)</f>
        <v>12.541072010835487</v>
      </c>
      <c r="AM634" s="99">
        <f t="array" ref="AM6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4" s="105">
        <f>IF(INVESTORS_LIST[[#This Row],[TOTAL CURRENT UNITS]]=0,0,(INVESTORS_LIST[[#This Row],[LS_WEIGHT]]*INVESTORS_LIST[[#This Row],[LS_AVERAGE COST]])+(INVESTORS_LIST[[#This Row],[SIP_WEIGHT]]*INVESTORS_LIST[[#This Row],[SIP_AVERAGE COST]]))</f>
        <v>12.541072010835487</v>
      </c>
      <c r="AO634" s="105">
        <f t="shared" si="10"/>
        <v>14.224</v>
      </c>
      <c r="AP634" s="112">
        <f>IF(INVESTORS_LIST[[#This Row],[TOTAL CURRENT UNITS]]=0,0,INVESTORS_LIST[[#This Row],[TOTAL CURRENT UNITS]]*INVESTORS_LIST[[#This Row],[NAV]])</f>
        <v>567096.65599999996</v>
      </c>
      <c r="AQ634" s="102">
        <f>IF(INVESTORS_LIST[[#This Row],[LS_TOTAL CURRENT UNITS]]=0,0,INVESTORS_LIST[[#This Row],[LS_TOTAL CURRENT UNITS]]*INVESTORS_LIST[[#This Row],[NAV]])</f>
        <v>567096.65599999996</v>
      </c>
      <c r="AR634" s="48">
        <f>IF(INVESTORS_LIST[[#This Row],[SIP_TOTAL CURRENT UNITS]]=0,0,INVESTORS_LIST[[#This Row],[SIP_TOTAL CURRENT UNITS]]*INVESTORS_LIST[[#This Row],[NAV]])</f>
        <v>0</v>
      </c>
      <c r="AS634" s="50">
        <f>INVESTORS_LIST[[#This Row],[TOTAL CURRENT UNITS]]</f>
        <v>39869</v>
      </c>
      <c r="AT634" s="48">
        <f>IF(INVESTORS_LIST[[#This Row],[TOTAL SELLABLE UNITS]]=0,0,INVESTORS_LIST[[#This Row],[TOTAL SELLABLE UNITS]]*INVESTORS_LIST[[#This Row],[NAV]])</f>
        <v>567096.65599999996</v>
      </c>
      <c r="AU634" s="48">
        <f>INVESTORS_LIST[[#This Row],[LS_TOTAL REALIZED GAIN]]+INVESTORS_LIST[[#This Row],[SIP_TOTAL REALIZED GAIN]]</f>
        <v>0</v>
      </c>
      <c r="AV634" s="48">
        <f>INVESTORS_LIST[[#This Row],[TOTAL MARKET VALUE]]-INVESTORS_LIST[[#This Row],[TOTAL COST VALUE OF CURRENT INVESTMENT]]</f>
        <v>67096.655999999901</v>
      </c>
      <c r="AW634" s="48">
        <f>IFERROR(INVESTORS_LIST[[#This Row],[TOTAL CURRENT UNITS]]/SUM(INVESTORS_LIST[TOTAL CURRENT UNITS]),0)</f>
        <v>9.6786813260975671E-4</v>
      </c>
    </row>
    <row r="635" spans="1:49" hidden="1">
      <c r="A635" s="262" t="s">
        <v>335</v>
      </c>
      <c r="B635" s="200" t="s">
        <v>1376</v>
      </c>
      <c r="C635" s="99" t="s">
        <v>44</v>
      </c>
      <c r="D635" s="101" t="s">
        <v>45</v>
      </c>
      <c r="E635" s="50">
        <f>SUMIFS(LS[Unit],LS[Investor ID],INVESTORS_LIST[[#This Row],[INVESTOR CODE]],LS[B/S],"B")</f>
        <v>19935</v>
      </c>
      <c r="F635" s="50">
        <f>-SUMIFS(LS[Unit],LS[Investor ID],INVESTORS_LIST[[#This Row],[INVESTOR CODE]],LS[B/S],"S")</f>
        <v>19935</v>
      </c>
      <c r="G635" s="50">
        <f>IF(INVESTORS_LIST[[#This Row],[LS_TOTAL UNITS BUY]]=0,0,INVESTORS_LIST[[#This Row],[LS_TOTAL UNITS BUY]]-INVESTORS_LIST[[#This Row],[LS_TOTAL UNITS SOLD]])</f>
        <v>0</v>
      </c>
      <c r="H635" s="102">
        <f>IF(INVESTORS_LIST[[#This Row],[LS_TOTAL UNITS BUY]]=0,0,SUMIFS(LS[Amount],LS[Investor ID],INVESTORS_LIST[[#This Row],[INVESTOR CODE]],LS[B/S],"B"))</f>
        <v>250000</v>
      </c>
      <c r="I635" s="48">
        <f>IF(INVESTORS_LIST[[#This Row],[LS_TOTAL UNITS SOLD]]=0,0,SUMIFS(LS[Cost of Units Sold],LS[Investor ID],INVESTORS_LIST[[#This Row],[INVESTOR CODE]],LS[B/S],"S"))</f>
        <v>250000</v>
      </c>
      <c r="J635" s="48">
        <f>IF(INVESTORS_LIST[[#This Row],[LS_TOTAL CURRENT UNITS]]=0,0,INVESTORS_LIST[[#This Row],[LS_TOTAL CURRENT UNITS]]*INVESTORS_LIST[[#This Row],[LS_AVERAGE COST]])</f>
        <v>0</v>
      </c>
      <c r="K635" s="48">
        <f>IF(INVESTORS_LIST[[#This Row],[LS_TOTAL UNITS SOLD]]=0,0,SUMIFS(LS[Realized Gain],LS[Investor ID],INVESTORS_LIST[[#This Row],[INVESTOR CODE]],LS[B/S],"S"))</f>
        <v>1400.2899999999818</v>
      </c>
      <c r="L635" s="104">
        <f>SUMIFS(SIP[Unit],SIP[Investor ID],INVESTORS_LIST[[#This Row],[INVESTOR CODE]],SIP[B/S],"B")</f>
        <v>0</v>
      </c>
      <c r="M635" s="50">
        <f>-SUMIFS(SIP[Unit],SIP[Investor ID],INVESTORS_LIST[[#This Row],[INVESTOR CODE]],SIP[B/S],"S")</f>
        <v>0</v>
      </c>
      <c r="N635" s="50">
        <f>IF(INVESTORS_LIST[[#This Row],[SIP_TOTAL UNITS BUY]]=0,0,INVESTORS_LIST[[#This Row],[SIP_TOTAL UNITS BUY]]-INVESTORS_LIST[[#This Row],[SIP_TOTAL UNITS SOLD]])</f>
        <v>0</v>
      </c>
      <c r="O635" s="48">
        <f>IF(INVESTORS_LIST[[#This Row],[SIP_TOTAL UNITS BUY]]=0,0,SUMIFS(SIP[Amount],SIP[Investor ID],INVESTORS_LIST[[#This Row],[INVESTOR CODE]],SIP[B/S],"B"))</f>
        <v>0</v>
      </c>
      <c r="P635" s="48">
        <f>IF(INVESTORS_LIST[[#This Row],[SIP_TOTAL UNITS SOLD]]=0,0,SUMIFS(SIP[Cost of Units Sold],SIP[Investor ID],INVESTORS_LIST[[#This Row],[INVESTOR CODE]],SIP[B/S],"S"))</f>
        <v>0</v>
      </c>
      <c r="Q635" s="48">
        <f>IF(INVESTORS_LIST[[#This Row],[SIP_TOTAL CURRENT UNITS]]=0,0,INVESTORS_LIST[[#This Row],[SIP_TOTAL CURRENT UNITS]]*INVESTORS_LIST[[#This Row],[SIP_AVERAGE COST]])</f>
        <v>0</v>
      </c>
      <c r="R635" s="48">
        <f>IF(INVESTORS_LIST[[#This Row],[SIP_TOTAL UNITS SOLD]]=0,0,SUMIFS(SIP[Realized Gain],SIP[Investor ID],INVESTORS_LIST[[#This Row],[INVESTOR CODE]],SIP[B/S],"S"))</f>
        <v>0</v>
      </c>
      <c r="S635" s="50">
        <f>INVESTORS_LIST[[#This Row],[LS_TOTAL UNITS BUY]]+INVESTORS_LIST[[#This Row],[SIP_TOTAL UNITS BUY]]</f>
        <v>19935</v>
      </c>
      <c r="T635" s="50">
        <f>INVESTORS_LIST[[#This Row],[LS_TOTAL UNITS SOLD]]+INVESTORS_LIST[[#This Row],[SIP_TOTAL UNITS SOLD]]</f>
        <v>19935</v>
      </c>
      <c r="U635" s="50">
        <v>19935</v>
      </c>
      <c r="V635" s="50">
        <f>SUMIFS(LS[BO UNIT TRANSFER],LS[Investor ID],INVESTORS_LIST[[#This Row],[INVESTOR CODE]],LS[B/S],"B")</f>
        <v>0</v>
      </c>
      <c r="W635" s="50">
        <f>SUMIFS(SIP[BO UNIT TRANSFER],SIP[Investor ID],INVESTORS_LIST[[#This Row],[INVESTOR CODE]],SIP[B/S],"B")</f>
        <v>0</v>
      </c>
      <c r="X635" s="50">
        <f>SUMIFS(LS[BO UNIT TRANSFER],LS[Investor ID],INVESTORS_LIST[[#This Row],[INVESTOR CODE]],LS[B/S],"S")</f>
        <v>0</v>
      </c>
      <c r="Y635" s="50">
        <f>SUMIFS(SIP[BO UNIT TRANSFER],SIP[Investor ID],INVESTORS_LIST[[#This Row],[INVESTOR CODE]],SIP[B/S],"S")</f>
        <v>0</v>
      </c>
      <c r="Z635" s="106">
        <f>SUM(INVESTORS_LIST[[#This Row],[BO OPENING BALANCE]:[BO SIP UNITS REPURCHASE]])</f>
        <v>19935</v>
      </c>
      <c r="AA635" s="107">
        <f>INVESTORS_LIST[[#This Row],[TOTAL UNITS BUY]]-INVESTORS_LIST[[#This Row],[TOTAL UNITS SOLD]]</f>
        <v>0</v>
      </c>
      <c r="AB635" s="107">
        <f>INVESTORS_LIST[[#This Row],[TOTAL CURRENT UNITS]]-INVESTORS_LIST[[#This Row],[BO UNITS HOLD]]</f>
        <v>-19935</v>
      </c>
      <c r="AC635" s="201" t="e">
        <f>INDEX([3]!Table_1[BO ID],MATCH(INVESTORS_LIST[[#This Row],[INVESTOR CODE]],[3]!Table_1[INVESTOR CODE],0))</f>
        <v>#REF!</v>
      </c>
      <c r="AD635" s="201" t="e">
        <f>INDEX([3]!Table_1[Brokerage Name2],MATCH(INVESTORS_LIST[[#This Row],[INVESTOR CODE]],[3]!Table_1[INVESTOR CODE],0))</f>
        <v>#REF!</v>
      </c>
      <c r="AE635" s="201" t="e">
        <f>MID(INVESTORS_LIST[[#This Row],[BO ID]],4,5)</f>
        <v>#REF!</v>
      </c>
      <c r="AF635" s="201" t="e">
        <f>MID(INVESTORS_LIST[[#This Row],[BO ID]],2,7)</f>
        <v>#REF!</v>
      </c>
      <c r="AG635" s="201" t="e">
        <f>MID(INVESTORS_LIST[[#This Row],[BO ID]],9,7)</f>
        <v>#REF!</v>
      </c>
      <c r="AH635" s="201" t="e">
        <f>RIGHT(INVESTORS_LIST[[#This Row],[BO ID]],1)</f>
        <v>#REF!</v>
      </c>
      <c r="AI635" s="50">
        <f>INVESTORS_LIST[[#This Row],[LS_TOTAL COST VALUE OF CURRENT UNITS]]+INVESTORS_LIST[[#This Row],[SIP_TOTAL COST VALUE OF CURRENT UNITS]]</f>
        <v>0</v>
      </c>
      <c r="AJ635" s="109">
        <f>IF(INVESTORS_LIST[[#This Row],[TOTAL CURRENT UNITS]]=0,0,INVESTORS_LIST[[#This Row],[LS_TOTAL CURRENT UNITS]]/INVESTORS_LIST[[#This Row],[TOTAL CURRENT UNITS]])</f>
        <v>0</v>
      </c>
      <c r="AK635" s="109">
        <f>IF(INVESTORS_LIST[[#This Row],[TOTAL CURRENT UNITS]]=0,0,INVESTORS_LIST[[#This Row],[SIP_TOTAL CURRENT UNITS]]/INVESTORS_LIST[[#This Row],[TOTAL CURRENT UNITS]])</f>
        <v>0</v>
      </c>
      <c r="AL635" s="99">
        <f t="array" ref="AL6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5" s="99">
        <f t="array" ref="AM6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5" s="105">
        <f t="shared" si="10"/>
        <v>14.224</v>
      </c>
      <c r="AP635" s="112">
        <f>IF(INVESTORS_LIST[[#This Row],[TOTAL CURRENT UNITS]]=0,0,INVESTORS_LIST[[#This Row],[TOTAL CURRENT UNITS]]*INVESTORS_LIST[[#This Row],[NAV]])</f>
        <v>0</v>
      </c>
      <c r="AQ635" s="102">
        <f>IF(INVESTORS_LIST[[#This Row],[LS_TOTAL CURRENT UNITS]]=0,0,INVESTORS_LIST[[#This Row],[LS_TOTAL CURRENT UNITS]]*INVESTORS_LIST[[#This Row],[NAV]])</f>
        <v>0</v>
      </c>
      <c r="AR635" s="48">
        <f>IF(INVESTORS_LIST[[#This Row],[SIP_TOTAL CURRENT UNITS]]=0,0,INVESTORS_LIST[[#This Row],[SIP_TOTAL CURRENT UNITS]]*INVESTORS_LIST[[#This Row],[NAV]])</f>
        <v>0</v>
      </c>
      <c r="AS635" s="50">
        <f>INVESTORS_LIST[[#This Row],[TOTAL CURRENT UNITS]]</f>
        <v>0</v>
      </c>
      <c r="AT635" s="48">
        <f>IF(INVESTORS_LIST[[#This Row],[TOTAL SELLABLE UNITS]]=0,0,INVESTORS_LIST[[#This Row],[TOTAL SELLABLE UNITS]]*INVESTORS_LIST[[#This Row],[NAV]])</f>
        <v>0</v>
      </c>
      <c r="AU635" s="48">
        <f>INVESTORS_LIST[[#This Row],[LS_TOTAL REALIZED GAIN]]+INVESTORS_LIST[[#This Row],[SIP_TOTAL REALIZED GAIN]]</f>
        <v>1400.2899999999818</v>
      </c>
      <c r="AV635" s="48">
        <f>INVESTORS_LIST[[#This Row],[TOTAL MARKET VALUE]]-INVESTORS_LIST[[#This Row],[TOTAL COST VALUE OF CURRENT INVESTMENT]]</f>
        <v>0</v>
      </c>
      <c r="AW635" s="48">
        <f>IFERROR(INVESTORS_LIST[[#This Row],[TOTAL CURRENT UNITS]]/SUM(INVESTORS_LIST[TOTAL CURRENT UNITS]),0)</f>
        <v>0</v>
      </c>
    </row>
    <row r="636" spans="1:49" hidden="1">
      <c r="A636" s="262" t="s">
        <v>1384</v>
      </c>
      <c r="B636" s="202" t="s">
        <v>1385</v>
      </c>
      <c r="C636" s="99" t="s">
        <v>67</v>
      </c>
      <c r="D636" s="101" t="s">
        <v>45</v>
      </c>
      <c r="E636" s="50">
        <f>SUMIFS(LS[Unit],LS[Investor ID],INVESTORS_LIST[[#This Row],[INVESTOR CODE]],LS[B/S],"B")</f>
        <v>15921</v>
      </c>
      <c r="F636" s="50">
        <f>-SUMIFS(LS[Unit],LS[Investor ID],INVESTORS_LIST[[#This Row],[INVESTOR CODE]],LS[B/S],"S")</f>
        <v>15921</v>
      </c>
      <c r="G636" s="50">
        <f>IF(INVESTORS_LIST[[#This Row],[LS_TOTAL UNITS BUY]]=0,0,INVESTORS_LIST[[#This Row],[LS_TOTAL UNITS BUY]]-INVESTORS_LIST[[#This Row],[LS_TOTAL UNITS SOLD]])</f>
        <v>0</v>
      </c>
      <c r="H636" s="102">
        <f>IF(INVESTORS_LIST[[#This Row],[LS_TOTAL UNITS BUY]]=0,0,SUMIFS(LS[Amount],LS[Investor ID],INVESTORS_LIST[[#This Row],[INVESTOR CODE]],LS[B/S],"B"))</f>
        <v>200000</v>
      </c>
      <c r="I636" s="48">
        <f>IF(INVESTORS_LIST[[#This Row],[LS_TOTAL UNITS SOLD]]=0,0,SUMIFS(LS[Cost of Units Sold],LS[Investor ID],INVESTORS_LIST[[#This Row],[INVESTOR CODE]],LS[B/S],"S"))</f>
        <v>200000</v>
      </c>
      <c r="J636" s="48">
        <f>IF(INVESTORS_LIST[[#This Row],[LS_TOTAL CURRENT UNITS]]=0,0,INVESTORS_LIST[[#This Row],[LS_TOTAL CURRENT UNITS]]*INVESTORS_LIST[[#This Row],[LS_AVERAGE COST]])</f>
        <v>0</v>
      </c>
      <c r="K636" s="48">
        <f>IF(INVESTORS_LIST[[#This Row],[LS_TOTAL UNITS SOLD]]=0,0,SUMIFS(LS[Realized Gain],LS[Investor ID],INVESTORS_LIST[[#This Row],[INVESTOR CODE]],LS[B/S],"S"))</f>
        <v>22909.920000000016</v>
      </c>
      <c r="L636" s="104">
        <f>SUMIFS(SIP[Unit],SIP[Investor ID],INVESTORS_LIST[[#This Row],[INVESTOR CODE]],SIP[B/S],"B")</f>
        <v>0</v>
      </c>
      <c r="M636" s="50">
        <f>-SUMIFS(SIP[Unit],SIP[Investor ID],INVESTORS_LIST[[#This Row],[INVESTOR CODE]],SIP[B/S],"S")</f>
        <v>0</v>
      </c>
      <c r="N636" s="50">
        <f>IF(INVESTORS_LIST[[#This Row],[SIP_TOTAL UNITS BUY]]=0,0,INVESTORS_LIST[[#This Row],[SIP_TOTAL UNITS BUY]]-INVESTORS_LIST[[#This Row],[SIP_TOTAL UNITS SOLD]])</f>
        <v>0</v>
      </c>
      <c r="O636" s="48">
        <f>IF(INVESTORS_LIST[[#This Row],[SIP_TOTAL UNITS BUY]]=0,0,SUMIFS(SIP[Amount],SIP[Investor ID],INVESTORS_LIST[[#This Row],[INVESTOR CODE]],SIP[B/S],"B"))</f>
        <v>0</v>
      </c>
      <c r="P636" s="48">
        <f>IF(INVESTORS_LIST[[#This Row],[SIP_TOTAL UNITS SOLD]]=0,0,SUMIFS(SIP[Cost of Units Sold],SIP[Investor ID],INVESTORS_LIST[[#This Row],[INVESTOR CODE]],SIP[B/S],"S"))</f>
        <v>0</v>
      </c>
      <c r="Q636" s="48">
        <f>IF(INVESTORS_LIST[[#This Row],[SIP_TOTAL CURRENT UNITS]]=0,0,INVESTORS_LIST[[#This Row],[SIP_TOTAL CURRENT UNITS]]*INVESTORS_LIST[[#This Row],[SIP_AVERAGE COST]])</f>
        <v>0</v>
      </c>
      <c r="R636" s="48">
        <f>IF(INVESTORS_LIST[[#This Row],[SIP_TOTAL UNITS SOLD]]=0,0,SUMIFS(SIP[Realized Gain],SIP[Investor ID],INVESTORS_LIST[[#This Row],[INVESTOR CODE]],SIP[B/S],"S"))</f>
        <v>0</v>
      </c>
      <c r="S636" s="50">
        <f>INVESTORS_LIST[[#This Row],[LS_TOTAL UNITS BUY]]+INVESTORS_LIST[[#This Row],[SIP_TOTAL UNITS BUY]]</f>
        <v>15921</v>
      </c>
      <c r="T636" s="50">
        <f>INVESTORS_LIST[[#This Row],[LS_TOTAL UNITS SOLD]]+INVESTORS_LIST[[#This Row],[SIP_TOTAL UNITS SOLD]]</f>
        <v>15921</v>
      </c>
      <c r="U636" s="50"/>
      <c r="V636" s="50">
        <f>SUMIFS(LS[BO UNIT TRANSFER],LS[Investor ID],INVESTORS_LIST[[#This Row],[INVESTOR CODE]],LS[B/S],"B")</f>
        <v>0</v>
      </c>
      <c r="W636" s="50">
        <f>SUMIFS(SIP[BO UNIT TRANSFER],SIP[Investor ID],INVESTORS_LIST[[#This Row],[INVESTOR CODE]],SIP[B/S],"B")</f>
        <v>0</v>
      </c>
      <c r="X636" s="50">
        <f>SUMIFS(LS[BO UNIT TRANSFER],LS[Investor ID],INVESTORS_LIST[[#This Row],[INVESTOR CODE]],LS[B/S],"S")</f>
        <v>0</v>
      </c>
      <c r="Y636" s="50">
        <f>SUMIFS(SIP[BO UNIT TRANSFER],SIP[Investor ID],INVESTORS_LIST[[#This Row],[INVESTOR CODE]],SIP[B/S],"S")</f>
        <v>0</v>
      </c>
      <c r="Z636" s="106">
        <f>SUM(INVESTORS_LIST[[#This Row],[BO OPENING BALANCE]:[BO SIP UNITS REPURCHASE]])</f>
        <v>0</v>
      </c>
      <c r="AA636" s="107">
        <f>INVESTORS_LIST[[#This Row],[TOTAL UNITS BUY]]-INVESTORS_LIST[[#This Row],[TOTAL UNITS SOLD]]</f>
        <v>0</v>
      </c>
      <c r="AB636" s="107">
        <f>INVESTORS_LIST[[#This Row],[TOTAL CURRENT UNITS]]-INVESTORS_LIST[[#This Row],[BO UNITS HOLD]]</f>
        <v>0</v>
      </c>
      <c r="AC636" s="201" t="e">
        <f>INDEX([3]!Table_1[BO ID],MATCH(INVESTORS_LIST[[#This Row],[INVESTOR CODE]],[3]!Table_1[INVESTOR CODE],0))</f>
        <v>#REF!</v>
      </c>
      <c r="AD636" s="201" t="e">
        <f>INDEX([3]!Table_1[Brokerage Name2],MATCH(INVESTORS_LIST[[#This Row],[INVESTOR CODE]],[3]!Table_1[INVESTOR CODE],0))</f>
        <v>#REF!</v>
      </c>
      <c r="AE636" s="201" t="e">
        <f>MID(INVESTORS_LIST[[#This Row],[BO ID]],4,5)</f>
        <v>#REF!</v>
      </c>
      <c r="AF636" s="201" t="e">
        <f>MID(INVESTORS_LIST[[#This Row],[BO ID]],2,7)</f>
        <v>#REF!</v>
      </c>
      <c r="AG636" s="201" t="e">
        <f>MID(INVESTORS_LIST[[#This Row],[BO ID]],9,7)</f>
        <v>#REF!</v>
      </c>
      <c r="AH636" s="201" t="e">
        <f>RIGHT(INVESTORS_LIST[[#This Row],[BO ID]],1)</f>
        <v>#REF!</v>
      </c>
      <c r="AI636" s="50">
        <f>INVESTORS_LIST[[#This Row],[LS_TOTAL COST VALUE OF CURRENT UNITS]]+INVESTORS_LIST[[#This Row],[SIP_TOTAL COST VALUE OF CURRENT UNITS]]</f>
        <v>0</v>
      </c>
      <c r="AJ636" s="109">
        <f>IF(INVESTORS_LIST[[#This Row],[TOTAL CURRENT UNITS]]=0,0,INVESTORS_LIST[[#This Row],[LS_TOTAL CURRENT UNITS]]/INVESTORS_LIST[[#This Row],[TOTAL CURRENT UNITS]])</f>
        <v>0</v>
      </c>
      <c r="AK636" s="109">
        <f>IF(INVESTORS_LIST[[#This Row],[TOTAL CURRENT UNITS]]=0,0,INVESTORS_LIST[[#This Row],[SIP_TOTAL CURRENT UNITS]]/INVESTORS_LIST[[#This Row],[TOTAL CURRENT UNITS]])</f>
        <v>0</v>
      </c>
      <c r="AL636" s="99">
        <f t="array" ref="AL6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6" s="99">
        <f t="array" ref="AM6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6" s="105">
        <f t="shared" si="10"/>
        <v>14.224</v>
      </c>
      <c r="AP636" s="112">
        <f>IF(INVESTORS_LIST[[#This Row],[TOTAL CURRENT UNITS]]=0,0,INVESTORS_LIST[[#This Row],[TOTAL CURRENT UNITS]]*INVESTORS_LIST[[#This Row],[NAV]])</f>
        <v>0</v>
      </c>
      <c r="AQ636" s="102">
        <f>IF(INVESTORS_LIST[[#This Row],[LS_TOTAL CURRENT UNITS]]=0,0,INVESTORS_LIST[[#This Row],[LS_TOTAL CURRENT UNITS]]*INVESTORS_LIST[[#This Row],[NAV]])</f>
        <v>0</v>
      </c>
      <c r="AR636" s="48">
        <f>IF(INVESTORS_LIST[[#This Row],[SIP_TOTAL CURRENT UNITS]]=0,0,INVESTORS_LIST[[#This Row],[SIP_TOTAL CURRENT UNITS]]*INVESTORS_LIST[[#This Row],[NAV]])</f>
        <v>0</v>
      </c>
      <c r="AS636" s="50">
        <f>INVESTORS_LIST[[#This Row],[TOTAL CURRENT UNITS]]</f>
        <v>0</v>
      </c>
      <c r="AT636" s="48">
        <f>IF(INVESTORS_LIST[[#This Row],[TOTAL SELLABLE UNITS]]=0,0,INVESTORS_LIST[[#This Row],[TOTAL SELLABLE UNITS]]*INVESTORS_LIST[[#This Row],[NAV]])</f>
        <v>0</v>
      </c>
      <c r="AU636" s="48">
        <f>INVESTORS_LIST[[#This Row],[LS_TOTAL REALIZED GAIN]]+INVESTORS_LIST[[#This Row],[SIP_TOTAL REALIZED GAIN]]</f>
        <v>22909.920000000016</v>
      </c>
      <c r="AV636" s="48">
        <f>INVESTORS_LIST[[#This Row],[TOTAL MARKET VALUE]]-INVESTORS_LIST[[#This Row],[TOTAL COST VALUE OF CURRENT INVESTMENT]]</f>
        <v>0</v>
      </c>
      <c r="AW636" s="48">
        <f>IFERROR(INVESTORS_LIST[[#This Row],[TOTAL CURRENT UNITS]]/SUM(INVESTORS_LIST[TOTAL CURRENT UNITS]),0)</f>
        <v>0</v>
      </c>
    </row>
    <row r="637" spans="1:49" hidden="1">
      <c r="A637" s="262" t="s">
        <v>1386</v>
      </c>
      <c r="B637" s="204" t="s">
        <v>1387</v>
      </c>
      <c r="C637" s="99" t="s">
        <v>44</v>
      </c>
      <c r="D637" s="101" t="s">
        <v>45</v>
      </c>
      <c r="E637" s="50">
        <f>SUMIFS(LS[Unit],LS[Investor ID],INVESTORS_LIST[[#This Row],[INVESTOR CODE]],LS[B/S],"B")</f>
        <v>0</v>
      </c>
      <c r="F637" s="50">
        <f>-SUMIFS(LS[Unit],LS[Investor ID],INVESTORS_LIST[[#This Row],[INVESTOR CODE]],LS[B/S],"S")</f>
        <v>0</v>
      </c>
      <c r="G637" s="50">
        <f>IF(INVESTORS_LIST[[#This Row],[LS_TOTAL UNITS BUY]]=0,0,INVESTORS_LIST[[#This Row],[LS_TOTAL UNITS BUY]]-INVESTORS_LIST[[#This Row],[LS_TOTAL UNITS SOLD]])</f>
        <v>0</v>
      </c>
      <c r="H637" s="102">
        <f>IF(INVESTORS_LIST[[#This Row],[LS_TOTAL UNITS BUY]]=0,0,SUMIFS(LS[Amount],LS[Investor ID],INVESTORS_LIST[[#This Row],[INVESTOR CODE]],LS[B/S],"B"))</f>
        <v>0</v>
      </c>
      <c r="I637" s="48">
        <f>IF(INVESTORS_LIST[[#This Row],[LS_TOTAL UNITS SOLD]]=0,0,SUMIFS(LS[Cost of Units Sold],LS[Investor ID],INVESTORS_LIST[[#This Row],[INVESTOR CODE]],LS[B/S],"S"))</f>
        <v>0</v>
      </c>
      <c r="J637" s="48">
        <f>IF(INVESTORS_LIST[[#This Row],[LS_TOTAL CURRENT UNITS]]=0,0,INVESTORS_LIST[[#This Row],[LS_TOTAL CURRENT UNITS]]*INVESTORS_LIST[[#This Row],[LS_AVERAGE COST]])</f>
        <v>0</v>
      </c>
      <c r="K637" s="48">
        <f>IF(INVESTORS_LIST[[#This Row],[LS_TOTAL UNITS SOLD]]=0,0,SUMIFS(LS[Realized Gain],LS[Investor ID],INVESTORS_LIST[[#This Row],[INVESTOR CODE]],LS[B/S],"S"))</f>
        <v>0</v>
      </c>
      <c r="L637" s="104">
        <f>SUMIFS(SIP[Unit],SIP[Investor ID],INVESTORS_LIST[[#This Row],[INVESTOR CODE]],SIP[B/S],"B")</f>
        <v>0</v>
      </c>
      <c r="M637" s="50">
        <f>-SUMIFS(SIP[Unit],SIP[Investor ID],INVESTORS_LIST[[#This Row],[INVESTOR CODE]],SIP[B/S],"S")</f>
        <v>0</v>
      </c>
      <c r="N637" s="50">
        <f>IF(INVESTORS_LIST[[#This Row],[SIP_TOTAL UNITS BUY]]=0,0,INVESTORS_LIST[[#This Row],[SIP_TOTAL UNITS BUY]]-INVESTORS_LIST[[#This Row],[SIP_TOTAL UNITS SOLD]])</f>
        <v>0</v>
      </c>
      <c r="O637" s="48">
        <f>IF(INVESTORS_LIST[[#This Row],[SIP_TOTAL UNITS BUY]]=0,0,SUMIFS(SIP[Amount],SIP[Investor ID],INVESTORS_LIST[[#This Row],[INVESTOR CODE]],SIP[B/S],"B"))</f>
        <v>0</v>
      </c>
      <c r="P637" s="48">
        <f>IF(INVESTORS_LIST[[#This Row],[SIP_TOTAL UNITS SOLD]]=0,0,SUMIFS(SIP[Cost of Units Sold],SIP[Investor ID],INVESTORS_LIST[[#This Row],[INVESTOR CODE]],SIP[B/S],"S"))</f>
        <v>0</v>
      </c>
      <c r="Q637" s="48">
        <f>IF(INVESTORS_LIST[[#This Row],[SIP_TOTAL CURRENT UNITS]]=0,0,INVESTORS_LIST[[#This Row],[SIP_TOTAL CURRENT UNITS]]*INVESTORS_LIST[[#This Row],[SIP_AVERAGE COST]])</f>
        <v>0</v>
      </c>
      <c r="R637" s="48">
        <f>IF(INVESTORS_LIST[[#This Row],[SIP_TOTAL UNITS SOLD]]=0,0,SUMIFS(SIP[Realized Gain],SIP[Investor ID],INVESTORS_LIST[[#This Row],[INVESTOR CODE]],SIP[B/S],"S"))</f>
        <v>0</v>
      </c>
      <c r="S637" s="50">
        <f>INVESTORS_LIST[[#This Row],[LS_TOTAL UNITS BUY]]+INVESTORS_LIST[[#This Row],[SIP_TOTAL UNITS BUY]]</f>
        <v>0</v>
      </c>
      <c r="T637" s="50">
        <f>INVESTORS_LIST[[#This Row],[LS_TOTAL UNITS SOLD]]+INVESTORS_LIST[[#This Row],[SIP_TOTAL UNITS SOLD]]</f>
        <v>0</v>
      </c>
      <c r="U637" s="50"/>
      <c r="V637" s="50">
        <f>SUMIFS(LS[BO UNIT TRANSFER],LS[Investor ID],INVESTORS_LIST[[#This Row],[INVESTOR CODE]],LS[B/S],"B")</f>
        <v>0</v>
      </c>
      <c r="W637" s="50">
        <f>SUMIFS(SIP[BO UNIT TRANSFER],SIP[Investor ID],INVESTORS_LIST[[#This Row],[INVESTOR CODE]],SIP[B/S],"B")</f>
        <v>0</v>
      </c>
      <c r="X637" s="50">
        <f>SUMIFS(LS[BO UNIT TRANSFER],LS[Investor ID],INVESTORS_LIST[[#This Row],[INVESTOR CODE]],LS[B/S],"S")</f>
        <v>0</v>
      </c>
      <c r="Y637" s="50">
        <f>SUMIFS(SIP[BO UNIT TRANSFER],SIP[Investor ID],INVESTORS_LIST[[#This Row],[INVESTOR CODE]],SIP[B/S],"S")</f>
        <v>0</v>
      </c>
      <c r="Z637" s="106">
        <f>SUM(INVESTORS_LIST[[#This Row],[BO OPENING BALANCE]:[BO SIP UNITS REPURCHASE]])</f>
        <v>0</v>
      </c>
      <c r="AA637" s="107">
        <f>INVESTORS_LIST[[#This Row],[TOTAL UNITS BUY]]-INVESTORS_LIST[[#This Row],[TOTAL UNITS SOLD]]</f>
        <v>0</v>
      </c>
      <c r="AB637" s="107">
        <f>INVESTORS_LIST[[#This Row],[TOTAL CURRENT UNITS]]-INVESTORS_LIST[[#This Row],[BO UNITS HOLD]]</f>
        <v>0</v>
      </c>
      <c r="AC637" s="201" t="e">
        <f>INDEX([3]!Table_1[BO ID],MATCH(INVESTORS_LIST[[#This Row],[INVESTOR CODE]],[3]!Table_1[INVESTOR CODE],0))</f>
        <v>#REF!</v>
      </c>
      <c r="AD637" s="201" t="e">
        <f>INDEX([3]!Table_1[Brokerage Name2],MATCH(INVESTORS_LIST[[#This Row],[INVESTOR CODE]],[3]!Table_1[INVESTOR CODE],0))</f>
        <v>#REF!</v>
      </c>
      <c r="AE637" s="201" t="e">
        <f>MID(INVESTORS_LIST[[#This Row],[BO ID]],4,5)</f>
        <v>#REF!</v>
      </c>
      <c r="AF637" s="201" t="e">
        <f>MID(INVESTORS_LIST[[#This Row],[BO ID]],2,7)</f>
        <v>#REF!</v>
      </c>
      <c r="AG637" s="201" t="e">
        <f>MID(INVESTORS_LIST[[#This Row],[BO ID]],9,7)</f>
        <v>#REF!</v>
      </c>
      <c r="AH637" s="201" t="e">
        <f>RIGHT(INVESTORS_LIST[[#This Row],[BO ID]],1)</f>
        <v>#REF!</v>
      </c>
      <c r="AI637" s="50">
        <f>INVESTORS_LIST[[#This Row],[LS_TOTAL COST VALUE OF CURRENT UNITS]]+INVESTORS_LIST[[#This Row],[SIP_TOTAL COST VALUE OF CURRENT UNITS]]</f>
        <v>0</v>
      </c>
      <c r="AJ637" s="109">
        <f>IF(INVESTORS_LIST[[#This Row],[TOTAL CURRENT UNITS]]=0,0,INVESTORS_LIST[[#This Row],[LS_TOTAL CURRENT UNITS]]/INVESTORS_LIST[[#This Row],[TOTAL CURRENT UNITS]])</f>
        <v>0</v>
      </c>
      <c r="AK637" s="109">
        <f>IF(INVESTORS_LIST[[#This Row],[TOTAL CURRENT UNITS]]=0,0,INVESTORS_LIST[[#This Row],[SIP_TOTAL CURRENT UNITS]]/INVESTORS_LIST[[#This Row],[TOTAL CURRENT UNITS]])</f>
        <v>0</v>
      </c>
      <c r="AL637" s="99">
        <f t="array" ref="AL6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7" s="99">
        <f t="array" ref="AM6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7" s="105">
        <f t="shared" si="10"/>
        <v>14.224</v>
      </c>
      <c r="AP637" s="112">
        <f>IF(INVESTORS_LIST[[#This Row],[TOTAL CURRENT UNITS]]=0,0,INVESTORS_LIST[[#This Row],[TOTAL CURRENT UNITS]]*INVESTORS_LIST[[#This Row],[NAV]])</f>
        <v>0</v>
      </c>
      <c r="AQ637" s="102">
        <f>IF(INVESTORS_LIST[[#This Row],[LS_TOTAL CURRENT UNITS]]=0,0,INVESTORS_LIST[[#This Row],[LS_TOTAL CURRENT UNITS]]*INVESTORS_LIST[[#This Row],[NAV]])</f>
        <v>0</v>
      </c>
      <c r="AR637" s="48">
        <f>IF(INVESTORS_LIST[[#This Row],[SIP_TOTAL CURRENT UNITS]]=0,0,INVESTORS_LIST[[#This Row],[SIP_TOTAL CURRENT UNITS]]*INVESTORS_LIST[[#This Row],[NAV]])</f>
        <v>0</v>
      </c>
      <c r="AS637" s="50">
        <f>INVESTORS_LIST[[#This Row],[TOTAL CURRENT UNITS]]</f>
        <v>0</v>
      </c>
      <c r="AT637" s="48">
        <f>IF(INVESTORS_LIST[[#This Row],[TOTAL SELLABLE UNITS]]=0,0,INVESTORS_LIST[[#This Row],[TOTAL SELLABLE UNITS]]*INVESTORS_LIST[[#This Row],[NAV]])</f>
        <v>0</v>
      </c>
      <c r="AU637" s="48">
        <f>INVESTORS_LIST[[#This Row],[LS_TOTAL REALIZED GAIN]]+INVESTORS_LIST[[#This Row],[SIP_TOTAL REALIZED GAIN]]</f>
        <v>0</v>
      </c>
      <c r="AV637" s="48">
        <f>INVESTORS_LIST[[#This Row],[TOTAL MARKET VALUE]]-INVESTORS_LIST[[#This Row],[TOTAL COST VALUE OF CURRENT INVESTMENT]]</f>
        <v>0</v>
      </c>
      <c r="AW637" s="48">
        <f>IFERROR(INVESTORS_LIST[[#This Row],[TOTAL CURRENT UNITS]]/SUM(INVESTORS_LIST[TOTAL CURRENT UNITS]),0)</f>
        <v>0</v>
      </c>
    </row>
    <row r="638" spans="1:49" hidden="1">
      <c r="A638" s="262" t="s">
        <v>1398</v>
      </c>
      <c r="B638" s="204" t="s">
        <v>1388</v>
      </c>
      <c r="C638" t="s">
        <v>44</v>
      </c>
      <c r="D638" s="75" t="s">
        <v>45</v>
      </c>
      <c r="E638" s="50">
        <f>SUMIFS(LS[Unit],LS[Investor ID],INVESTORS_LIST[[#This Row],[INVESTOR CODE]],LS[B/S],"B")</f>
        <v>6368</v>
      </c>
      <c r="F638" s="50">
        <f>-SUMIFS(LS[Unit],LS[Investor ID],INVESTORS_LIST[[#This Row],[INVESTOR CODE]],LS[B/S],"S")</f>
        <v>6368</v>
      </c>
      <c r="G638" s="50">
        <f>IF(INVESTORS_LIST[[#This Row],[LS_TOTAL UNITS BUY]]=0,0,INVESTORS_LIST[[#This Row],[LS_TOTAL UNITS BUY]]-INVESTORS_LIST[[#This Row],[LS_TOTAL UNITS SOLD]])</f>
        <v>0</v>
      </c>
      <c r="H638" s="102">
        <f>IF(INVESTORS_LIST[[#This Row],[LS_TOTAL UNITS BUY]]=0,0,SUMIFS(LS[Amount],LS[Investor ID],INVESTORS_LIST[[#This Row],[INVESTOR CODE]],LS[B/S],"B"))</f>
        <v>80000</v>
      </c>
      <c r="I638" s="48">
        <f>IF(INVESTORS_LIST[[#This Row],[LS_TOTAL UNITS SOLD]]=0,0,SUMIFS(LS[Cost of Units Sold],LS[Investor ID],INVESTORS_LIST[[#This Row],[INVESTOR CODE]],LS[B/S],"S"))</f>
        <v>80000</v>
      </c>
      <c r="J638" s="48">
        <f>IF(INVESTORS_LIST[[#This Row],[LS_TOTAL CURRENT UNITS]]=0,0,INVESTORS_LIST[[#This Row],[LS_TOTAL CURRENT UNITS]]*INVESTORS_LIST[[#This Row],[LS_AVERAGE COST]])</f>
        <v>0</v>
      </c>
      <c r="K638" s="48">
        <f>IF(INVESTORS_LIST[[#This Row],[LS_TOTAL UNITS SOLD]]=0,0,SUMIFS(LS[Realized Gain],LS[Investor ID],INVESTORS_LIST[[#This Row],[INVESTOR CODE]],LS[B/S],"S"))</f>
        <v>1854.2700000000009</v>
      </c>
      <c r="L638" s="104">
        <f>SUMIFS(SIP[Unit],SIP[Investor ID],INVESTORS_LIST[[#This Row],[INVESTOR CODE]],SIP[B/S],"B")</f>
        <v>0</v>
      </c>
      <c r="M638" s="50">
        <f>-SUMIFS(SIP[Unit],SIP[Investor ID],INVESTORS_LIST[[#This Row],[INVESTOR CODE]],SIP[B/S],"S")</f>
        <v>0</v>
      </c>
      <c r="N638" s="50">
        <f>IF(INVESTORS_LIST[[#This Row],[SIP_TOTAL UNITS BUY]]=0,0,INVESTORS_LIST[[#This Row],[SIP_TOTAL UNITS BUY]]-INVESTORS_LIST[[#This Row],[SIP_TOTAL UNITS SOLD]])</f>
        <v>0</v>
      </c>
      <c r="O638" s="48">
        <f>IF(INVESTORS_LIST[[#This Row],[SIP_TOTAL UNITS BUY]]=0,0,SUMIFS(SIP[Amount],SIP[Investor ID],INVESTORS_LIST[[#This Row],[INVESTOR CODE]],SIP[B/S],"B"))</f>
        <v>0</v>
      </c>
      <c r="P638" s="48">
        <f>IF(INVESTORS_LIST[[#This Row],[SIP_TOTAL UNITS SOLD]]=0,0,SUMIFS(SIP[Cost of Units Sold],SIP[Investor ID],INVESTORS_LIST[[#This Row],[INVESTOR CODE]],SIP[B/S],"S"))</f>
        <v>0</v>
      </c>
      <c r="Q638" s="48">
        <f>IF(INVESTORS_LIST[[#This Row],[SIP_TOTAL CURRENT UNITS]]=0,0,INVESTORS_LIST[[#This Row],[SIP_TOTAL CURRENT UNITS]]*INVESTORS_LIST[[#This Row],[SIP_AVERAGE COST]])</f>
        <v>0</v>
      </c>
      <c r="R638" s="48">
        <f>IF(INVESTORS_LIST[[#This Row],[SIP_TOTAL UNITS SOLD]]=0,0,SUMIFS(SIP[Realized Gain],SIP[Investor ID],INVESTORS_LIST[[#This Row],[INVESTOR CODE]],SIP[B/S],"S"))</f>
        <v>0</v>
      </c>
      <c r="S638" s="50">
        <f>INVESTORS_LIST[[#This Row],[LS_TOTAL UNITS BUY]]+INVESTORS_LIST[[#This Row],[SIP_TOTAL UNITS BUY]]</f>
        <v>6368</v>
      </c>
      <c r="T638" s="50">
        <f>INVESTORS_LIST[[#This Row],[LS_TOTAL UNITS SOLD]]+INVESTORS_LIST[[#This Row],[SIP_TOTAL UNITS SOLD]]</f>
        <v>6368</v>
      </c>
      <c r="U638" s="50"/>
      <c r="V638" s="50">
        <f>SUMIFS(LS[BO UNIT TRANSFER],LS[Investor ID],INVESTORS_LIST[[#This Row],[INVESTOR CODE]],LS[B/S],"B")</f>
        <v>0</v>
      </c>
      <c r="W638" s="50">
        <f>SUMIFS(SIP[BO UNIT TRANSFER],SIP[Investor ID],INVESTORS_LIST[[#This Row],[INVESTOR CODE]],SIP[B/S],"B")</f>
        <v>0</v>
      </c>
      <c r="X638" s="50">
        <f>SUMIFS(LS[BO UNIT TRANSFER],LS[Investor ID],INVESTORS_LIST[[#This Row],[INVESTOR CODE]],LS[B/S],"S")</f>
        <v>0</v>
      </c>
      <c r="Y638" s="50">
        <f>SUMIFS(SIP[BO UNIT TRANSFER],SIP[Investor ID],INVESTORS_LIST[[#This Row],[INVESTOR CODE]],SIP[B/S],"S")</f>
        <v>0</v>
      </c>
      <c r="Z638" s="106">
        <f>SUM(INVESTORS_LIST[[#This Row],[BO OPENING BALANCE]:[BO SIP UNITS REPURCHASE]])</f>
        <v>0</v>
      </c>
      <c r="AA638" s="107">
        <f>INVESTORS_LIST[[#This Row],[TOTAL UNITS BUY]]-INVESTORS_LIST[[#This Row],[TOTAL UNITS SOLD]]</f>
        <v>0</v>
      </c>
      <c r="AB638" s="107">
        <f>INVESTORS_LIST[[#This Row],[TOTAL CURRENT UNITS]]-INVESTORS_LIST[[#This Row],[BO UNITS HOLD]]</f>
        <v>0</v>
      </c>
      <c r="AC638" s="201" t="e">
        <f>INDEX([3]!Table_1[BO ID],MATCH(INVESTORS_LIST[[#This Row],[INVESTOR CODE]],[3]!Table_1[INVESTOR CODE],0))</f>
        <v>#REF!</v>
      </c>
      <c r="AD638" s="201" t="e">
        <f>INDEX([3]!Table_1[Brokerage Name2],MATCH(INVESTORS_LIST[[#This Row],[INVESTOR CODE]],[3]!Table_1[INVESTOR CODE],0))</f>
        <v>#REF!</v>
      </c>
      <c r="AE638" s="201" t="e">
        <f>MID(INVESTORS_LIST[[#This Row],[BO ID]],4,5)</f>
        <v>#REF!</v>
      </c>
      <c r="AF638" s="201" t="e">
        <f>MID(INVESTORS_LIST[[#This Row],[BO ID]],2,7)</f>
        <v>#REF!</v>
      </c>
      <c r="AG638" s="201" t="e">
        <f>MID(INVESTORS_LIST[[#This Row],[BO ID]],9,7)</f>
        <v>#REF!</v>
      </c>
      <c r="AH638" s="201" t="e">
        <f>RIGHT(INVESTORS_LIST[[#This Row],[BO ID]],1)</f>
        <v>#REF!</v>
      </c>
      <c r="AI638" s="50">
        <f>INVESTORS_LIST[[#This Row],[LS_TOTAL COST VALUE OF CURRENT UNITS]]+INVESTORS_LIST[[#This Row],[SIP_TOTAL COST VALUE OF CURRENT UNITS]]</f>
        <v>0</v>
      </c>
      <c r="AJ638" s="109">
        <f>IF(INVESTORS_LIST[[#This Row],[TOTAL CURRENT UNITS]]=0,0,INVESTORS_LIST[[#This Row],[LS_TOTAL CURRENT UNITS]]/INVESTORS_LIST[[#This Row],[TOTAL CURRENT UNITS]])</f>
        <v>0</v>
      </c>
      <c r="AK638" s="109">
        <f>IF(INVESTORS_LIST[[#This Row],[TOTAL CURRENT UNITS]]=0,0,INVESTORS_LIST[[#This Row],[SIP_TOTAL CURRENT UNITS]]/INVESTORS_LIST[[#This Row],[TOTAL CURRENT UNITS]])</f>
        <v>0</v>
      </c>
      <c r="AL638" s="99">
        <f t="array" ref="AL6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8" s="99">
        <f t="array" ref="AM6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8" s="105">
        <f t="shared" si="10"/>
        <v>14.224</v>
      </c>
      <c r="AP638" s="112">
        <f>IF(INVESTORS_LIST[[#This Row],[TOTAL CURRENT UNITS]]=0,0,INVESTORS_LIST[[#This Row],[TOTAL CURRENT UNITS]]*INVESTORS_LIST[[#This Row],[NAV]])</f>
        <v>0</v>
      </c>
      <c r="AQ638" s="102">
        <f>IF(INVESTORS_LIST[[#This Row],[LS_TOTAL CURRENT UNITS]]=0,0,INVESTORS_LIST[[#This Row],[LS_TOTAL CURRENT UNITS]]*INVESTORS_LIST[[#This Row],[NAV]])</f>
        <v>0</v>
      </c>
      <c r="AR638" s="48">
        <f>IF(INVESTORS_LIST[[#This Row],[SIP_TOTAL CURRENT UNITS]]=0,0,INVESTORS_LIST[[#This Row],[SIP_TOTAL CURRENT UNITS]]*INVESTORS_LIST[[#This Row],[NAV]])</f>
        <v>0</v>
      </c>
      <c r="AS638" s="50">
        <f>INVESTORS_LIST[[#This Row],[TOTAL CURRENT UNITS]]</f>
        <v>0</v>
      </c>
      <c r="AT638" s="48">
        <f>IF(INVESTORS_LIST[[#This Row],[TOTAL SELLABLE UNITS]]=0,0,INVESTORS_LIST[[#This Row],[TOTAL SELLABLE UNITS]]*INVESTORS_LIST[[#This Row],[NAV]])</f>
        <v>0</v>
      </c>
      <c r="AU638" s="48">
        <f>INVESTORS_LIST[[#This Row],[LS_TOTAL REALIZED GAIN]]+INVESTORS_LIST[[#This Row],[SIP_TOTAL REALIZED GAIN]]</f>
        <v>1854.2700000000009</v>
      </c>
      <c r="AV638" s="48">
        <f>INVESTORS_LIST[[#This Row],[TOTAL MARKET VALUE]]-INVESTORS_LIST[[#This Row],[TOTAL COST VALUE OF CURRENT INVESTMENT]]</f>
        <v>0</v>
      </c>
      <c r="AW638" s="48">
        <f>IFERROR(INVESTORS_LIST[[#This Row],[TOTAL CURRENT UNITS]]/SUM(INVESTORS_LIST[TOTAL CURRENT UNITS]),0)</f>
        <v>0</v>
      </c>
    </row>
    <row r="639" spans="1:49" hidden="1">
      <c r="A639" s="262" t="s">
        <v>1512</v>
      </c>
      <c r="B639" s="204" t="s">
        <v>1389</v>
      </c>
      <c r="C639" t="s">
        <v>67</v>
      </c>
      <c r="D639" s="75" t="s">
        <v>45</v>
      </c>
      <c r="E639" s="50">
        <f>SUMIFS(LS[Unit],LS[Investor ID],INVESTORS_LIST[[#This Row],[INVESTOR CODE]],LS[B/S],"B")</f>
        <v>0</v>
      </c>
      <c r="F639" s="50">
        <f>-SUMIFS(LS[Unit],LS[Investor ID],INVESTORS_LIST[[#This Row],[INVESTOR CODE]],LS[B/S],"S")</f>
        <v>0</v>
      </c>
      <c r="G639" s="50">
        <f>IF(INVESTORS_LIST[[#This Row],[LS_TOTAL UNITS BUY]]=0,0,INVESTORS_LIST[[#This Row],[LS_TOTAL UNITS BUY]]-INVESTORS_LIST[[#This Row],[LS_TOTAL UNITS SOLD]])</f>
        <v>0</v>
      </c>
      <c r="H639" s="102">
        <f>IF(INVESTORS_LIST[[#This Row],[LS_TOTAL UNITS BUY]]=0,0,SUMIFS(LS[Amount],LS[Investor ID],INVESTORS_LIST[[#This Row],[INVESTOR CODE]],LS[B/S],"B"))</f>
        <v>0</v>
      </c>
      <c r="I639" s="48">
        <f>IF(INVESTORS_LIST[[#This Row],[LS_TOTAL UNITS SOLD]]=0,0,SUMIFS(LS[Cost of Units Sold],LS[Investor ID],INVESTORS_LIST[[#This Row],[INVESTOR CODE]],LS[B/S],"S"))</f>
        <v>0</v>
      </c>
      <c r="J639" s="48">
        <f>IF(INVESTORS_LIST[[#This Row],[LS_TOTAL CURRENT UNITS]]=0,0,INVESTORS_LIST[[#This Row],[LS_TOTAL CURRENT UNITS]]*INVESTORS_LIST[[#This Row],[LS_AVERAGE COST]])</f>
        <v>0</v>
      </c>
      <c r="K639" s="48">
        <f>IF(INVESTORS_LIST[[#This Row],[LS_TOTAL UNITS SOLD]]=0,0,SUMIFS(LS[Realized Gain],LS[Investor ID],INVESTORS_LIST[[#This Row],[INVESTOR CODE]],LS[B/S],"S"))</f>
        <v>0</v>
      </c>
      <c r="L639" s="104">
        <f>SUMIFS(SIP[Unit],SIP[Investor ID],INVESTORS_LIST[[#This Row],[INVESTOR CODE]],SIP[B/S],"B")</f>
        <v>0</v>
      </c>
      <c r="M639" s="50">
        <f>-SUMIFS(SIP[Unit],SIP[Investor ID],INVESTORS_LIST[[#This Row],[INVESTOR CODE]],SIP[B/S],"S")</f>
        <v>0</v>
      </c>
      <c r="N639" s="50">
        <f>IF(INVESTORS_LIST[[#This Row],[SIP_TOTAL UNITS BUY]]=0,0,INVESTORS_LIST[[#This Row],[SIP_TOTAL UNITS BUY]]-INVESTORS_LIST[[#This Row],[SIP_TOTAL UNITS SOLD]])</f>
        <v>0</v>
      </c>
      <c r="O639" s="48">
        <f>IF(INVESTORS_LIST[[#This Row],[SIP_TOTAL UNITS BUY]]=0,0,SUMIFS(SIP[Amount],SIP[Investor ID],INVESTORS_LIST[[#This Row],[INVESTOR CODE]],SIP[B/S],"B"))</f>
        <v>0</v>
      </c>
      <c r="P639" s="48">
        <f>IF(INVESTORS_LIST[[#This Row],[SIP_TOTAL UNITS SOLD]]=0,0,SUMIFS(SIP[Cost of Units Sold],SIP[Investor ID],INVESTORS_LIST[[#This Row],[INVESTOR CODE]],SIP[B/S],"S"))</f>
        <v>0</v>
      </c>
      <c r="Q639" s="48">
        <f>IF(INVESTORS_LIST[[#This Row],[SIP_TOTAL CURRENT UNITS]]=0,0,INVESTORS_LIST[[#This Row],[SIP_TOTAL CURRENT UNITS]]*INVESTORS_LIST[[#This Row],[SIP_AVERAGE COST]])</f>
        <v>0</v>
      </c>
      <c r="R639" s="48">
        <f>IF(INVESTORS_LIST[[#This Row],[SIP_TOTAL UNITS SOLD]]=0,0,SUMIFS(SIP[Realized Gain],SIP[Investor ID],INVESTORS_LIST[[#This Row],[INVESTOR CODE]],SIP[B/S],"S"))</f>
        <v>0</v>
      </c>
      <c r="S639" s="50">
        <f>INVESTORS_LIST[[#This Row],[LS_TOTAL UNITS BUY]]+INVESTORS_LIST[[#This Row],[SIP_TOTAL UNITS BUY]]</f>
        <v>0</v>
      </c>
      <c r="T639" s="50">
        <f>INVESTORS_LIST[[#This Row],[LS_TOTAL UNITS SOLD]]+INVESTORS_LIST[[#This Row],[SIP_TOTAL UNITS SOLD]]</f>
        <v>0</v>
      </c>
      <c r="U639" s="50"/>
      <c r="V639" s="50">
        <f>SUMIFS(LS[BO UNIT TRANSFER],LS[Investor ID],INVESTORS_LIST[[#This Row],[INVESTOR CODE]],LS[B/S],"B")</f>
        <v>0</v>
      </c>
      <c r="W639" s="50">
        <f>SUMIFS(SIP[BO UNIT TRANSFER],SIP[Investor ID],INVESTORS_LIST[[#This Row],[INVESTOR CODE]],SIP[B/S],"B")</f>
        <v>0</v>
      </c>
      <c r="X639" s="50">
        <f>SUMIFS(LS[BO UNIT TRANSFER],LS[Investor ID],INVESTORS_LIST[[#This Row],[INVESTOR CODE]],LS[B/S],"S")</f>
        <v>0</v>
      </c>
      <c r="Y639" s="50">
        <f>SUMIFS(SIP[BO UNIT TRANSFER],SIP[Investor ID],INVESTORS_LIST[[#This Row],[INVESTOR CODE]],SIP[B/S],"S")</f>
        <v>0</v>
      </c>
      <c r="Z639" s="106">
        <f>SUM(INVESTORS_LIST[[#This Row],[BO OPENING BALANCE]:[BO SIP UNITS REPURCHASE]])</f>
        <v>0</v>
      </c>
      <c r="AA639" s="107">
        <f>INVESTORS_LIST[[#This Row],[TOTAL UNITS BUY]]-INVESTORS_LIST[[#This Row],[TOTAL UNITS SOLD]]</f>
        <v>0</v>
      </c>
      <c r="AB639" s="107">
        <f>INVESTORS_LIST[[#This Row],[TOTAL CURRENT UNITS]]-INVESTORS_LIST[[#This Row],[BO UNITS HOLD]]</f>
        <v>0</v>
      </c>
      <c r="AC639" s="201" t="e">
        <f>INDEX([3]!Table_1[BO ID],MATCH(INVESTORS_LIST[[#This Row],[INVESTOR CODE]],[3]!Table_1[INVESTOR CODE],0))</f>
        <v>#REF!</v>
      </c>
      <c r="AD639" s="201" t="e">
        <f>INDEX([3]!Table_1[Brokerage Name2],MATCH(INVESTORS_LIST[[#This Row],[INVESTOR CODE]],[3]!Table_1[INVESTOR CODE],0))</f>
        <v>#REF!</v>
      </c>
      <c r="AE639" s="201" t="e">
        <f>MID(INVESTORS_LIST[[#This Row],[BO ID]],4,5)</f>
        <v>#REF!</v>
      </c>
      <c r="AF639" s="201" t="e">
        <f>MID(INVESTORS_LIST[[#This Row],[BO ID]],2,7)</f>
        <v>#REF!</v>
      </c>
      <c r="AG639" s="201" t="e">
        <f>MID(INVESTORS_LIST[[#This Row],[BO ID]],9,7)</f>
        <v>#REF!</v>
      </c>
      <c r="AH639" s="201" t="e">
        <f>RIGHT(INVESTORS_LIST[[#This Row],[BO ID]],1)</f>
        <v>#REF!</v>
      </c>
      <c r="AI639" s="50">
        <f>INVESTORS_LIST[[#This Row],[LS_TOTAL COST VALUE OF CURRENT UNITS]]+INVESTORS_LIST[[#This Row],[SIP_TOTAL COST VALUE OF CURRENT UNITS]]</f>
        <v>0</v>
      </c>
      <c r="AJ639" s="109">
        <f>IF(INVESTORS_LIST[[#This Row],[TOTAL CURRENT UNITS]]=0,0,INVESTORS_LIST[[#This Row],[LS_TOTAL CURRENT UNITS]]/INVESTORS_LIST[[#This Row],[TOTAL CURRENT UNITS]])</f>
        <v>0</v>
      </c>
      <c r="AK639" s="109">
        <f>IF(INVESTORS_LIST[[#This Row],[TOTAL CURRENT UNITS]]=0,0,INVESTORS_LIST[[#This Row],[SIP_TOTAL CURRENT UNITS]]/INVESTORS_LIST[[#This Row],[TOTAL CURRENT UNITS]])</f>
        <v>0</v>
      </c>
      <c r="AL639" s="99">
        <f t="array" ref="AL6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39" s="99">
        <f t="array" ref="AM6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3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39" s="105">
        <f t="shared" si="10"/>
        <v>14.224</v>
      </c>
      <c r="AP639" s="112">
        <f>IF(INVESTORS_LIST[[#This Row],[TOTAL CURRENT UNITS]]=0,0,INVESTORS_LIST[[#This Row],[TOTAL CURRENT UNITS]]*INVESTORS_LIST[[#This Row],[NAV]])</f>
        <v>0</v>
      </c>
      <c r="AQ639" s="102">
        <f>IF(INVESTORS_LIST[[#This Row],[LS_TOTAL CURRENT UNITS]]=0,0,INVESTORS_LIST[[#This Row],[LS_TOTAL CURRENT UNITS]]*INVESTORS_LIST[[#This Row],[NAV]])</f>
        <v>0</v>
      </c>
      <c r="AR639" s="48">
        <f>IF(INVESTORS_LIST[[#This Row],[SIP_TOTAL CURRENT UNITS]]=0,0,INVESTORS_LIST[[#This Row],[SIP_TOTAL CURRENT UNITS]]*INVESTORS_LIST[[#This Row],[NAV]])</f>
        <v>0</v>
      </c>
      <c r="AS639" s="50">
        <f>INVESTORS_LIST[[#This Row],[TOTAL CURRENT UNITS]]</f>
        <v>0</v>
      </c>
      <c r="AT639" s="48">
        <f>IF(INVESTORS_LIST[[#This Row],[TOTAL SELLABLE UNITS]]=0,0,INVESTORS_LIST[[#This Row],[TOTAL SELLABLE UNITS]]*INVESTORS_LIST[[#This Row],[NAV]])</f>
        <v>0</v>
      </c>
      <c r="AU639" s="48">
        <f>INVESTORS_LIST[[#This Row],[LS_TOTAL REALIZED GAIN]]+INVESTORS_LIST[[#This Row],[SIP_TOTAL REALIZED GAIN]]</f>
        <v>0</v>
      </c>
      <c r="AV639" s="48">
        <f>INVESTORS_LIST[[#This Row],[TOTAL MARKET VALUE]]-INVESTORS_LIST[[#This Row],[TOTAL COST VALUE OF CURRENT INVESTMENT]]</f>
        <v>0</v>
      </c>
      <c r="AW639" s="48">
        <f>IFERROR(INVESTORS_LIST[[#This Row],[TOTAL CURRENT UNITS]]/SUM(INVESTORS_LIST[TOTAL CURRENT UNITS]),0)</f>
        <v>0</v>
      </c>
    </row>
    <row r="640" spans="1:49" hidden="1">
      <c r="A640" s="262" t="s">
        <v>1394</v>
      </c>
      <c r="B640" s="206" t="s">
        <v>1395</v>
      </c>
      <c r="C640" s="99" t="s">
        <v>44</v>
      </c>
      <c r="D640" s="101" t="s">
        <v>45</v>
      </c>
      <c r="E640" s="50">
        <f>SUMIFS(LS[Unit],LS[Investor ID],INVESTORS_LIST[[#This Row],[INVESTOR CODE]],LS[B/S],"B")</f>
        <v>0</v>
      </c>
      <c r="F640" s="50">
        <f>-SUMIFS(LS[Unit],LS[Investor ID],INVESTORS_LIST[[#This Row],[INVESTOR CODE]],LS[B/S],"S")</f>
        <v>0</v>
      </c>
      <c r="G640" s="50">
        <f>IF(INVESTORS_LIST[[#This Row],[LS_TOTAL UNITS BUY]]=0,0,INVESTORS_LIST[[#This Row],[LS_TOTAL UNITS BUY]]-INVESTORS_LIST[[#This Row],[LS_TOTAL UNITS SOLD]])</f>
        <v>0</v>
      </c>
      <c r="H640" s="102">
        <f>IF(INVESTORS_LIST[[#This Row],[LS_TOTAL UNITS BUY]]=0,0,SUMIFS(LS[Amount],LS[Investor ID],INVESTORS_LIST[[#This Row],[INVESTOR CODE]],LS[B/S],"B"))</f>
        <v>0</v>
      </c>
      <c r="I640" s="48">
        <f>IF(INVESTORS_LIST[[#This Row],[LS_TOTAL UNITS SOLD]]=0,0,SUMIFS(LS[Cost of Units Sold],LS[Investor ID],INVESTORS_LIST[[#This Row],[INVESTOR CODE]],LS[B/S],"S"))</f>
        <v>0</v>
      </c>
      <c r="J640" s="48">
        <f>IF(INVESTORS_LIST[[#This Row],[LS_TOTAL CURRENT UNITS]]=0,0,INVESTORS_LIST[[#This Row],[LS_TOTAL CURRENT UNITS]]*INVESTORS_LIST[[#This Row],[LS_AVERAGE COST]])</f>
        <v>0</v>
      </c>
      <c r="K640" s="48">
        <f>IF(INVESTORS_LIST[[#This Row],[LS_TOTAL UNITS SOLD]]=0,0,SUMIFS(LS[Realized Gain],LS[Investor ID],INVESTORS_LIST[[#This Row],[INVESTOR CODE]],LS[B/S],"S"))</f>
        <v>0</v>
      </c>
      <c r="L640" s="104">
        <f>SUMIFS(SIP[Unit],SIP[Investor ID],INVESTORS_LIST[[#This Row],[INVESTOR CODE]],SIP[B/S],"B")</f>
        <v>0</v>
      </c>
      <c r="M640" s="50">
        <f>-SUMIFS(SIP[Unit],SIP[Investor ID],INVESTORS_LIST[[#This Row],[INVESTOR CODE]],SIP[B/S],"S")</f>
        <v>0</v>
      </c>
      <c r="N640" s="50">
        <f>IF(INVESTORS_LIST[[#This Row],[SIP_TOTAL UNITS BUY]]=0,0,INVESTORS_LIST[[#This Row],[SIP_TOTAL UNITS BUY]]-INVESTORS_LIST[[#This Row],[SIP_TOTAL UNITS SOLD]])</f>
        <v>0</v>
      </c>
      <c r="O640" s="48">
        <f>IF(INVESTORS_LIST[[#This Row],[SIP_TOTAL UNITS BUY]]=0,0,SUMIFS(SIP[Amount],SIP[Investor ID],INVESTORS_LIST[[#This Row],[INVESTOR CODE]],SIP[B/S],"B"))</f>
        <v>0</v>
      </c>
      <c r="P640" s="48">
        <f>IF(INVESTORS_LIST[[#This Row],[SIP_TOTAL UNITS SOLD]]=0,0,SUMIFS(SIP[Cost of Units Sold],SIP[Investor ID],INVESTORS_LIST[[#This Row],[INVESTOR CODE]],SIP[B/S],"S"))</f>
        <v>0</v>
      </c>
      <c r="Q640" s="48">
        <f>IF(INVESTORS_LIST[[#This Row],[SIP_TOTAL CURRENT UNITS]]=0,0,INVESTORS_LIST[[#This Row],[SIP_TOTAL CURRENT UNITS]]*INVESTORS_LIST[[#This Row],[SIP_AVERAGE COST]])</f>
        <v>0</v>
      </c>
      <c r="R640" s="48">
        <f>IF(INVESTORS_LIST[[#This Row],[SIP_TOTAL UNITS SOLD]]=0,0,SUMIFS(SIP[Realized Gain],SIP[Investor ID],INVESTORS_LIST[[#This Row],[INVESTOR CODE]],SIP[B/S],"S"))</f>
        <v>0</v>
      </c>
      <c r="S640" s="50">
        <f>INVESTORS_LIST[[#This Row],[LS_TOTAL UNITS BUY]]+INVESTORS_LIST[[#This Row],[SIP_TOTAL UNITS BUY]]</f>
        <v>0</v>
      </c>
      <c r="T640" s="50">
        <f>INVESTORS_LIST[[#This Row],[LS_TOTAL UNITS SOLD]]+INVESTORS_LIST[[#This Row],[SIP_TOTAL UNITS SOLD]]</f>
        <v>0</v>
      </c>
      <c r="U640" s="50"/>
      <c r="V640" s="50">
        <f>SUMIFS(LS[BO UNIT TRANSFER],LS[Investor ID],INVESTORS_LIST[[#This Row],[INVESTOR CODE]],LS[B/S],"B")</f>
        <v>0</v>
      </c>
      <c r="W640" s="50">
        <f>SUMIFS(SIP[BO UNIT TRANSFER],SIP[Investor ID],INVESTORS_LIST[[#This Row],[INVESTOR CODE]],SIP[B/S],"B")</f>
        <v>0</v>
      </c>
      <c r="X640" s="50">
        <f>SUMIFS(LS[BO UNIT TRANSFER],LS[Investor ID],INVESTORS_LIST[[#This Row],[INVESTOR CODE]],LS[B/S],"S")</f>
        <v>0</v>
      </c>
      <c r="Y640" s="50">
        <f>SUMIFS(SIP[BO UNIT TRANSFER],SIP[Investor ID],INVESTORS_LIST[[#This Row],[INVESTOR CODE]],SIP[B/S],"S")</f>
        <v>0</v>
      </c>
      <c r="Z640" s="106">
        <f>SUM(INVESTORS_LIST[[#This Row],[BO OPENING BALANCE]:[BO SIP UNITS REPURCHASE]])</f>
        <v>0</v>
      </c>
      <c r="AA640" s="107">
        <f>INVESTORS_LIST[[#This Row],[TOTAL UNITS BUY]]-INVESTORS_LIST[[#This Row],[TOTAL UNITS SOLD]]</f>
        <v>0</v>
      </c>
      <c r="AB640" s="107">
        <f>INVESTORS_LIST[[#This Row],[TOTAL CURRENT UNITS]]-INVESTORS_LIST[[#This Row],[BO UNITS HOLD]]</f>
        <v>0</v>
      </c>
      <c r="AC640" s="201" t="e">
        <f>INDEX([3]!Table_1[BO ID],MATCH(INVESTORS_LIST[[#This Row],[INVESTOR CODE]],[3]!Table_1[INVESTOR CODE],0))</f>
        <v>#REF!</v>
      </c>
      <c r="AD640" s="201" t="e">
        <f>INDEX([3]!Table_1[Brokerage Name2],MATCH(INVESTORS_LIST[[#This Row],[INVESTOR CODE]],[3]!Table_1[INVESTOR CODE],0))</f>
        <v>#REF!</v>
      </c>
      <c r="AE640" s="201" t="e">
        <f>MID(INVESTORS_LIST[[#This Row],[BO ID]],4,5)</f>
        <v>#REF!</v>
      </c>
      <c r="AF640" s="201" t="e">
        <f>MID(INVESTORS_LIST[[#This Row],[BO ID]],2,7)</f>
        <v>#REF!</v>
      </c>
      <c r="AG640" s="201" t="e">
        <f>MID(INVESTORS_LIST[[#This Row],[BO ID]],9,7)</f>
        <v>#REF!</v>
      </c>
      <c r="AH640" s="201" t="e">
        <f>RIGHT(INVESTORS_LIST[[#This Row],[BO ID]],1)</f>
        <v>#REF!</v>
      </c>
      <c r="AI640" s="50">
        <f>INVESTORS_LIST[[#This Row],[LS_TOTAL COST VALUE OF CURRENT UNITS]]+INVESTORS_LIST[[#This Row],[SIP_TOTAL COST VALUE OF CURRENT UNITS]]</f>
        <v>0</v>
      </c>
      <c r="AJ640" s="109">
        <f>IF(INVESTORS_LIST[[#This Row],[TOTAL CURRENT UNITS]]=0,0,INVESTORS_LIST[[#This Row],[LS_TOTAL CURRENT UNITS]]/INVESTORS_LIST[[#This Row],[TOTAL CURRENT UNITS]])</f>
        <v>0</v>
      </c>
      <c r="AK640" s="109">
        <f>IF(INVESTORS_LIST[[#This Row],[TOTAL CURRENT UNITS]]=0,0,INVESTORS_LIST[[#This Row],[SIP_TOTAL CURRENT UNITS]]/INVESTORS_LIST[[#This Row],[TOTAL CURRENT UNITS]])</f>
        <v>0</v>
      </c>
      <c r="AL640" s="99" cm="1">
        <f t="array" ref="AL6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40" s="99" cm="1">
        <f t="array" ref="AM6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40" s="105">
        <f t="shared" si="10"/>
        <v>14.224</v>
      </c>
      <c r="AP640" s="112">
        <f>IF(INVESTORS_LIST[[#This Row],[TOTAL CURRENT UNITS]]=0,0,INVESTORS_LIST[[#This Row],[TOTAL CURRENT UNITS]]*INVESTORS_LIST[[#This Row],[NAV]])</f>
        <v>0</v>
      </c>
      <c r="AQ640" s="102">
        <f>IF(INVESTORS_LIST[[#This Row],[LS_TOTAL CURRENT UNITS]]=0,0,INVESTORS_LIST[[#This Row],[LS_TOTAL CURRENT UNITS]]*INVESTORS_LIST[[#This Row],[NAV]])</f>
        <v>0</v>
      </c>
      <c r="AR640" s="48">
        <f>IF(INVESTORS_LIST[[#This Row],[SIP_TOTAL CURRENT UNITS]]=0,0,INVESTORS_LIST[[#This Row],[SIP_TOTAL CURRENT UNITS]]*INVESTORS_LIST[[#This Row],[NAV]])</f>
        <v>0</v>
      </c>
      <c r="AS640" s="50">
        <f>INVESTORS_LIST[[#This Row],[TOTAL CURRENT UNITS]]</f>
        <v>0</v>
      </c>
      <c r="AT640" s="48">
        <f>IF(INVESTORS_LIST[[#This Row],[TOTAL SELLABLE UNITS]]=0,0,INVESTORS_LIST[[#This Row],[TOTAL SELLABLE UNITS]]*INVESTORS_LIST[[#This Row],[NAV]])</f>
        <v>0</v>
      </c>
      <c r="AU640" s="48">
        <f>INVESTORS_LIST[[#This Row],[LS_TOTAL REALIZED GAIN]]+INVESTORS_LIST[[#This Row],[SIP_TOTAL REALIZED GAIN]]</f>
        <v>0</v>
      </c>
      <c r="AV640" s="48">
        <f>INVESTORS_LIST[[#This Row],[TOTAL MARKET VALUE]]-INVESTORS_LIST[[#This Row],[TOTAL COST VALUE OF CURRENT INVESTMENT]]</f>
        <v>0</v>
      </c>
      <c r="AW640" s="48">
        <f>IFERROR(INVESTORS_LIST[[#This Row],[TOTAL CURRENT UNITS]]/SUM(INVESTORS_LIST[TOTAL CURRENT UNITS]),0)</f>
        <v>0</v>
      </c>
    </row>
    <row r="641" spans="1:49" hidden="1">
      <c r="A641" s="262" t="s">
        <v>1396</v>
      </c>
      <c r="B641" s="206" t="s">
        <v>1397</v>
      </c>
      <c r="C641" s="99" t="s">
        <v>67</v>
      </c>
      <c r="D641" s="101" t="s">
        <v>45</v>
      </c>
      <c r="E641" s="50">
        <f>SUMIFS(LS[Unit],LS[Investor ID],INVESTORS_LIST[[#This Row],[INVESTOR CODE]],LS[B/S],"B")</f>
        <v>6407</v>
      </c>
      <c r="F641" s="50">
        <f>-SUMIFS(LS[Unit],LS[Investor ID],INVESTORS_LIST[[#This Row],[INVESTOR CODE]],LS[B/S],"S")</f>
        <v>6407</v>
      </c>
      <c r="G641" s="50">
        <f>IF(INVESTORS_LIST[[#This Row],[LS_TOTAL UNITS BUY]]=0,0,INVESTORS_LIST[[#This Row],[LS_TOTAL UNITS BUY]]-INVESTORS_LIST[[#This Row],[LS_TOTAL UNITS SOLD]])</f>
        <v>0</v>
      </c>
      <c r="H641" s="102">
        <f>IF(INVESTORS_LIST[[#This Row],[LS_TOTAL UNITS BUY]]=0,0,SUMIFS(LS[Amount],LS[Investor ID],INVESTORS_LIST[[#This Row],[INVESTOR CODE]],LS[B/S],"B"))</f>
        <v>82136</v>
      </c>
      <c r="I641" s="48">
        <f>IF(INVESTORS_LIST[[#This Row],[LS_TOTAL UNITS SOLD]]=0,0,SUMIFS(LS[Cost of Units Sold],LS[Investor ID],INVESTORS_LIST[[#This Row],[INVESTOR CODE]],LS[B/S],"S"))</f>
        <v>82136.000000000015</v>
      </c>
      <c r="J641" s="48">
        <f>IF(INVESTORS_LIST[[#This Row],[LS_TOTAL CURRENT UNITS]]=0,0,INVESTORS_LIST[[#This Row],[LS_TOTAL CURRENT UNITS]]*INVESTORS_LIST[[#This Row],[LS_AVERAGE COST]])</f>
        <v>0</v>
      </c>
      <c r="K641" s="48">
        <f>IF(INVESTORS_LIST[[#This Row],[LS_TOTAL UNITS SOLD]]=0,0,SUMIFS(LS[Realized Gain],LS[Investor ID],INVESTORS_LIST[[#This Row],[INVESTOR CODE]],LS[B/S],"S"))</f>
        <v>6071.7299999999886</v>
      </c>
      <c r="L641" s="104">
        <f>SUMIFS(SIP[Unit],SIP[Investor ID],INVESTORS_LIST[[#This Row],[INVESTOR CODE]],SIP[B/S],"B")</f>
        <v>0</v>
      </c>
      <c r="M641" s="50">
        <f>-SUMIFS(SIP[Unit],SIP[Investor ID],INVESTORS_LIST[[#This Row],[INVESTOR CODE]],SIP[B/S],"S")</f>
        <v>0</v>
      </c>
      <c r="N641" s="50">
        <f>IF(INVESTORS_LIST[[#This Row],[SIP_TOTAL UNITS BUY]]=0,0,INVESTORS_LIST[[#This Row],[SIP_TOTAL UNITS BUY]]-INVESTORS_LIST[[#This Row],[SIP_TOTAL UNITS SOLD]])</f>
        <v>0</v>
      </c>
      <c r="O641" s="48">
        <f>IF(INVESTORS_LIST[[#This Row],[SIP_TOTAL UNITS BUY]]=0,0,SUMIFS(SIP[Amount],SIP[Investor ID],INVESTORS_LIST[[#This Row],[INVESTOR CODE]],SIP[B/S],"B"))</f>
        <v>0</v>
      </c>
      <c r="P641" s="48">
        <f>IF(INVESTORS_LIST[[#This Row],[SIP_TOTAL UNITS SOLD]]=0,0,SUMIFS(SIP[Cost of Units Sold],SIP[Investor ID],INVESTORS_LIST[[#This Row],[INVESTOR CODE]],SIP[B/S],"S"))</f>
        <v>0</v>
      </c>
      <c r="Q641" s="48">
        <f>IF(INVESTORS_LIST[[#This Row],[SIP_TOTAL CURRENT UNITS]]=0,0,INVESTORS_LIST[[#This Row],[SIP_TOTAL CURRENT UNITS]]*INVESTORS_LIST[[#This Row],[SIP_AVERAGE COST]])</f>
        <v>0</v>
      </c>
      <c r="R641" s="48">
        <f>IF(INVESTORS_LIST[[#This Row],[SIP_TOTAL UNITS SOLD]]=0,0,SUMIFS(SIP[Realized Gain],SIP[Investor ID],INVESTORS_LIST[[#This Row],[INVESTOR CODE]],SIP[B/S],"S"))</f>
        <v>0</v>
      </c>
      <c r="S641" s="50">
        <f>INVESTORS_LIST[[#This Row],[LS_TOTAL UNITS BUY]]+INVESTORS_LIST[[#This Row],[SIP_TOTAL UNITS BUY]]</f>
        <v>6407</v>
      </c>
      <c r="T641" s="50">
        <f>INVESTORS_LIST[[#This Row],[LS_TOTAL UNITS SOLD]]+INVESTORS_LIST[[#This Row],[SIP_TOTAL UNITS SOLD]]</f>
        <v>6407</v>
      </c>
      <c r="U641" s="50"/>
      <c r="V641" s="50">
        <f>SUMIFS(LS[BO UNIT TRANSFER],LS[Investor ID],INVESTORS_LIST[[#This Row],[INVESTOR CODE]],LS[B/S],"B")</f>
        <v>0</v>
      </c>
      <c r="W641" s="50">
        <f>SUMIFS(SIP[BO UNIT TRANSFER],SIP[Investor ID],INVESTORS_LIST[[#This Row],[INVESTOR CODE]],SIP[B/S],"B")</f>
        <v>0</v>
      </c>
      <c r="X641" s="50">
        <f>SUMIFS(LS[BO UNIT TRANSFER],LS[Investor ID],INVESTORS_LIST[[#This Row],[INVESTOR CODE]],LS[B/S],"S")</f>
        <v>0</v>
      </c>
      <c r="Y641" s="50">
        <f>SUMIFS(SIP[BO UNIT TRANSFER],SIP[Investor ID],INVESTORS_LIST[[#This Row],[INVESTOR CODE]],SIP[B/S],"S")</f>
        <v>0</v>
      </c>
      <c r="Z641" s="106">
        <f>SUM(INVESTORS_LIST[[#This Row],[BO OPENING BALANCE]:[BO SIP UNITS REPURCHASE]])</f>
        <v>0</v>
      </c>
      <c r="AA641" s="107">
        <f>INVESTORS_LIST[[#This Row],[TOTAL UNITS BUY]]-INVESTORS_LIST[[#This Row],[TOTAL UNITS SOLD]]</f>
        <v>0</v>
      </c>
      <c r="AB641" s="107">
        <f>INVESTORS_LIST[[#This Row],[TOTAL CURRENT UNITS]]-INVESTORS_LIST[[#This Row],[BO UNITS HOLD]]</f>
        <v>0</v>
      </c>
      <c r="AC641" s="201" t="e">
        <f>INDEX([3]!Table_1[BO ID],MATCH(INVESTORS_LIST[[#This Row],[INVESTOR CODE]],[3]!Table_1[INVESTOR CODE],0))</f>
        <v>#REF!</v>
      </c>
      <c r="AD641" s="201" t="e">
        <f>INDEX([3]!Table_1[Brokerage Name2],MATCH(INVESTORS_LIST[[#This Row],[INVESTOR CODE]],[3]!Table_1[INVESTOR CODE],0))</f>
        <v>#REF!</v>
      </c>
      <c r="AE641" s="201" t="e">
        <f>MID(INVESTORS_LIST[[#This Row],[BO ID]],4,5)</f>
        <v>#REF!</v>
      </c>
      <c r="AF641" s="201" t="e">
        <f>MID(INVESTORS_LIST[[#This Row],[BO ID]],2,7)</f>
        <v>#REF!</v>
      </c>
      <c r="AG641" s="201" t="e">
        <f>MID(INVESTORS_LIST[[#This Row],[BO ID]],9,7)</f>
        <v>#REF!</v>
      </c>
      <c r="AH641" s="201" t="e">
        <f>RIGHT(INVESTORS_LIST[[#This Row],[BO ID]],1)</f>
        <v>#REF!</v>
      </c>
      <c r="AI641" s="50">
        <f>INVESTORS_LIST[[#This Row],[LS_TOTAL COST VALUE OF CURRENT UNITS]]+INVESTORS_LIST[[#This Row],[SIP_TOTAL COST VALUE OF CURRENT UNITS]]</f>
        <v>0</v>
      </c>
      <c r="AJ641" s="109">
        <f>IF(INVESTORS_LIST[[#This Row],[TOTAL CURRENT UNITS]]=0,0,INVESTORS_LIST[[#This Row],[LS_TOTAL CURRENT UNITS]]/INVESTORS_LIST[[#This Row],[TOTAL CURRENT UNITS]])</f>
        <v>0</v>
      </c>
      <c r="AK641" s="109">
        <f>IF(INVESTORS_LIST[[#This Row],[TOTAL CURRENT UNITS]]=0,0,INVESTORS_LIST[[#This Row],[SIP_TOTAL CURRENT UNITS]]/INVESTORS_LIST[[#This Row],[TOTAL CURRENT UNITS]])</f>
        <v>0</v>
      </c>
      <c r="AL641" s="99" cm="1">
        <f t="array" ref="AL6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41" s="99" cm="1">
        <f t="array" ref="AM6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41" s="105">
        <f t="shared" si="10"/>
        <v>14.224</v>
      </c>
      <c r="AP641" s="112">
        <f>IF(INVESTORS_LIST[[#This Row],[TOTAL CURRENT UNITS]]=0,0,INVESTORS_LIST[[#This Row],[TOTAL CURRENT UNITS]]*INVESTORS_LIST[[#This Row],[NAV]])</f>
        <v>0</v>
      </c>
      <c r="AQ641" s="102">
        <f>IF(INVESTORS_LIST[[#This Row],[LS_TOTAL CURRENT UNITS]]=0,0,INVESTORS_LIST[[#This Row],[LS_TOTAL CURRENT UNITS]]*INVESTORS_LIST[[#This Row],[NAV]])</f>
        <v>0</v>
      </c>
      <c r="AR641" s="48">
        <f>IF(INVESTORS_LIST[[#This Row],[SIP_TOTAL CURRENT UNITS]]=0,0,INVESTORS_LIST[[#This Row],[SIP_TOTAL CURRENT UNITS]]*INVESTORS_LIST[[#This Row],[NAV]])</f>
        <v>0</v>
      </c>
      <c r="AS641" s="50">
        <f>INVESTORS_LIST[[#This Row],[TOTAL CURRENT UNITS]]</f>
        <v>0</v>
      </c>
      <c r="AT641" s="48">
        <f>IF(INVESTORS_LIST[[#This Row],[TOTAL SELLABLE UNITS]]=0,0,INVESTORS_LIST[[#This Row],[TOTAL SELLABLE UNITS]]*INVESTORS_LIST[[#This Row],[NAV]])</f>
        <v>0</v>
      </c>
      <c r="AU641" s="48">
        <f>INVESTORS_LIST[[#This Row],[LS_TOTAL REALIZED GAIN]]+INVESTORS_LIST[[#This Row],[SIP_TOTAL REALIZED GAIN]]</f>
        <v>6071.7299999999886</v>
      </c>
      <c r="AV641" s="48">
        <f>INVESTORS_LIST[[#This Row],[TOTAL MARKET VALUE]]-INVESTORS_LIST[[#This Row],[TOTAL COST VALUE OF CURRENT INVESTMENT]]</f>
        <v>0</v>
      </c>
      <c r="AW641" s="48">
        <f>IFERROR(INVESTORS_LIST[[#This Row],[TOTAL CURRENT UNITS]]/SUM(INVESTORS_LIST[TOTAL CURRENT UNITS]),0)</f>
        <v>0</v>
      </c>
    </row>
    <row r="642" spans="1:49">
      <c r="A642" s="262" t="s">
        <v>1399</v>
      </c>
      <c r="B642" s="97" t="s">
        <v>1400</v>
      </c>
      <c r="C642" t="s">
        <v>44</v>
      </c>
      <c r="D642" s="75" t="s">
        <v>45</v>
      </c>
      <c r="E642" s="50">
        <f>SUMIFS(LS[Unit],LS[Investor ID],INVESTORS_LIST[[#This Row],[INVESTOR CODE]],LS[B/S],"B")</f>
        <v>198665</v>
      </c>
      <c r="F642" s="50">
        <f>-SUMIFS(LS[Unit],LS[Investor ID],INVESTORS_LIST[[#This Row],[INVESTOR CODE]],LS[B/S],"S")</f>
        <v>0</v>
      </c>
      <c r="G642" s="50">
        <f>IF(INVESTORS_LIST[[#This Row],[LS_TOTAL UNITS BUY]]=0,0,INVESTORS_LIST[[#This Row],[LS_TOTAL UNITS BUY]]-INVESTORS_LIST[[#This Row],[LS_TOTAL UNITS SOLD]])</f>
        <v>198665</v>
      </c>
      <c r="H642" s="102">
        <f>IF(INVESTORS_LIST[[#This Row],[LS_TOTAL UNITS BUY]]=0,0,SUMIFS(LS[Amount],LS[Investor ID],INVESTORS_LIST[[#This Row],[INVESTOR CODE]],LS[B/S],"B"))</f>
        <v>2500000</v>
      </c>
      <c r="I642" s="48">
        <f>IF(INVESTORS_LIST[[#This Row],[LS_TOTAL UNITS SOLD]]=0,0,SUMIFS(LS[Cost of Units Sold],LS[Investor ID],INVESTORS_LIST[[#This Row],[INVESTOR CODE]],LS[B/S],"S"))</f>
        <v>0</v>
      </c>
      <c r="J642" s="48">
        <f>IF(INVESTORS_LIST[[#This Row],[LS_TOTAL CURRENT UNITS]]=0,0,INVESTORS_LIST[[#This Row],[LS_TOTAL CURRENT UNITS]]*INVESTORS_LIST[[#This Row],[LS_AVERAGE COST]])</f>
        <v>2500000</v>
      </c>
      <c r="K642" s="48">
        <f>IF(INVESTORS_LIST[[#This Row],[LS_TOTAL UNITS SOLD]]=0,0,SUMIFS(LS[Realized Gain],LS[Investor ID],INVESTORS_LIST[[#This Row],[INVESTOR CODE]],LS[B/S],"S"))</f>
        <v>0</v>
      </c>
      <c r="L642" s="104">
        <f>SUMIFS(SIP[Unit],SIP[Investor ID],INVESTORS_LIST[[#This Row],[INVESTOR CODE]],SIP[B/S],"B")</f>
        <v>0</v>
      </c>
      <c r="M642" s="50">
        <f>-SUMIFS(SIP[Unit],SIP[Investor ID],INVESTORS_LIST[[#This Row],[INVESTOR CODE]],SIP[B/S],"S")</f>
        <v>0</v>
      </c>
      <c r="N642" s="50">
        <f>IF(INVESTORS_LIST[[#This Row],[SIP_TOTAL UNITS BUY]]=0,0,INVESTORS_LIST[[#This Row],[SIP_TOTAL UNITS BUY]]-INVESTORS_LIST[[#This Row],[SIP_TOTAL UNITS SOLD]])</f>
        <v>0</v>
      </c>
      <c r="O642" s="48">
        <f>IF(INVESTORS_LIST[[#This Row],[SIP_TOTAL UNITS BUY]]=0,0,SUMIFS(SIP[Amount],SIP[Investor ID],INVESTORS_LIST[[#This Row],[INVESTOR CODE]],SIP[B/S],"B"))</f>
        <v>0</v>
      </c>
      <c r="P642" s="48">
        <f>IF(INVESTORS_LIST[[#This Row],[SIP_TOTAL UNITS SOLD]]=0,0,SUMIFS(SIP[Cost of Units Sold],SIP[Investor ID],INVESTORS_LIST[[#This Row],[INVESTOR CODE]],SIP[B/S],"S"))</f>
        <v>0</v>
      </c>
      <c r="Q642" s="48">
        <f>IF(INVESTORS_LIST[[#This Row],[SIP_TOTAL CURRENT UNITS]]=0,0,INVESTORS_LIST[[#This Row],[SIP_TOTAL CURRENT UNITS]]*INVESTORS_LIST[[#This Row],[SIP_AVERAGE COST]])</f>
        <v>0</v>
      </c>
      <c r="R642" s="48">
        <f>IF(INVESTORS_LIST[[#This Row],[SIP_TOTAL UNITS SOLD]]=0,0,SUMIFS(SIP[Realized Gain],SIP[Investor ID],INVESTORS_LIST[[#This Row],[INVESTOR CODE]],SIP[B/S],"S"))</f>
        <v>0</v>
      </c>
      <c r="S642" s="50">
        <f>INVESTORS_LIST[[#This Row],[LS_TOTAL UNITS BUY]]+INVESTORS_LIST[[#This Row],[SIP_TOTAL UNITS BUY]]</f>
        <v>198665</v>
      </c>
      <c r="T642" s="50">
        <f>INVESTORS_LIST[[#This Row],[LS_TOTAL UNITS SOLD]]+INVESTORS_LIST[[#This Row],[SIP_TOTAL UNITS SOLD]]</f>
        <v>0</v>
      </c>
      <c r="U642" s="50"/>
      <c r="V642" s="50">
        <f>SUMIFS(LS[BO UNIT TRANSFER],LS[Investor ID],INVESTORS_LIST[[#This Row],[INVESTOR CODE]],LS[B/S],"B")</f>
        <v>0</v>
      </c>
      <c r="W642" s="50">
        <f>SUMIFS(SIP[BO UNIT TRANSFER],SIP[Investor ID],INVESTORS_LIST[[#This Row],[INVESTOR CODE]],SIP[B/S],"B")</f>
        <v>0</v>
      </c>
      <c r="X642" s="50">
        <f>SUMIFS(LS[BO UNIT TRANSFER],LS[Investor ID],INVESTORS_LIST[[#This Row],[INVESTOR CODE]],LS[B/S],"S")</f>
        <v>0</v>
      </c>
      <c r="Y642" s="50">
        <f>SUMIFS(SIP[BO UNIT TRANSFER],SIP[Investor ID],INVESTORS_LIST[[#This Row],[INVESTOR CODE]],SIP[B/S],"S")</f>
        <v>0</v>
      </c>
      <c r="Z642" s="106">
        <f>SUM(INVESTORS_LIST[[#This Row],[BO OPENING BALANCE]:[BO SIP UNITS REPURCHASE]])</f>
        <v>0</v>
      </c>
      <c r="AA642" s="107">
        <f>INVESTORS_LIST[[#This Row],[TOTAL UNITS BUY]]-INVESTORS_LIST[[#This Row],[TOTAL UNITS SOLD]]</f>
        <v>198665</v>
      </c>
      <c r="AB642" s="107">
        <f>INVESTORS_LIST[[#This Row],[TOTAL CURRENT UNITS]]-INVESTORS_LIST[[#This Row],[BO UNITS HOLD]]</f>
        <v>198665</v>
      </c>
      <c r="AC642" s="201" t="e">
        <f>INDEX([3]!Table_1[BO ID],MATCH(INVESTORS_LIST[[#This Row],[INVESTOR CODE]],[3]!Table_1[INVESTOR CODE],0))</f>
        <v>#REF!</v>
      </c>
      <c r="AD642" s="201" t="e">
        <f>INDEX([3]!Table_1[Brokerage Name2],MATCH(INVESTORS_LIST[[#This Row],[INVESTOR CODE]],[3]!Table_1[INVESTOR CODE],0))</f>
        <v>#REF!</v>
      </c>
      <c r="AE642" s="201" t="e">
        <f>MID(INVESTORS_LIST[[#This Row],[BO ID]],4,5)</f>
        <v>#REF!</v>
      </c>
      <c r="AF642" s="201" t="e">
        <f>MID(INVESTORS_LIST[[#This Row],[BO ID]],2,7)</f>
        <v>#REF!</v>
      </c>
      <c r="AG642" s="201" t="e">
        <f>MID(INVESTORS_LIST[[#This Row],[BO ID]],9,7)</f>
        <v>#REF!</v>
      </c>
      <c r="AH642" s="201" t="e">
        <f>RIGHT(INVESTORS_LIST[[#This Row],[BO ID]],1)</f>
        <v>#REF!</v>
      </c>
      <c r="AI642" s="50">
        <f>INVESTORS_LIST[[#This Row],[LS_TOTAL COST VALUE OF CURRENT UNITS]]+INVESTORS_LIST[[#This Row],[SIP_TOTAL COST VALUE OF CURRENT UNITS]]</f>
        <v>2500000</v>
      </c>
      <c r="AJ642" s="109">
        <f>IF(INVESTORS_LIST[[#This Row],[TOTAL CURRENT UNITS]]=0,0,INVESTORS_LIST[[#This Row],[LS_TOTAL CURRENT UNITS]]/INVESTORS_LIST[[#This Row],[TOTAL CURRENT UNITS]])</f>
        <v>1</v>
      </c>
      <c r="AK642" s="109">
        <f>IF(INVESTORS_LIST[[#This Row],[TOTAL CURRENT UNITS]]=0,0,INVESTORS_LIST[[#This Row],[SIP_TOTAL CURRENT UNITS]]/INVESTORS_LIST[[#This Row],[TOTAL CURRENT UNITS]])</f>
        <v>0</v>
      </c>
      <c r="AL642" s="99" cm="1">
        <f t="array" ref="AL642">IF(INVESTORS_LIST[[#This Row],[LS_TOTAL UNITS BUY]]&gt;0,INDEX(LS[NAV at Cost (Average)],MATCH(CONCATENATE(COUNTIFS(LS[Investor ID],INVESTORS_LIST[[#This Row],[INVESTOR CODE]]),INVESTORS_LIST[[#This Row],[INVESTOR CODE]]),LS[Unique Code],0),),0)</f>
        <v>12.58399818790426</v>
      </c>
      <c r="AM642" s="99" cm="1">
        <f t="array" ref="AM6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2" s="105">
        <f>IF(INVESTORS_LIST[[#This Row],[TOTAL CURRENT UNITS]]=0,0,(INVESTORS_LIST[[#This Row],[LS_WEIGHT]]*INVESTORS_LIST[[#This Row],[LS_AVERAGE COST]])+(INVESTORS_LIST[[#This Row],[SIP_WEIGHT]]*INVESTORS_LIST[[#This Row],[SIP_AVERAGE COST]]))</f>
        <v>12.58399818790426</v>
      </c>
      <c r="AO642" s="105">
        <f t="shared" si="10"/>
        <v>14.224</v>
      </c>
      <c r="AP642" s="112">
        <f>IF(INVESTORS_LIST[[#This Row],[TOTAL CURRENT UNITS]]=0,0,INVESTORS_LIST[[#This Row],[TOTAL CURRENT UNITS]]*INVESTORS_LIST[[#This Row],[NAV]])</f>
        <v>2825810.96</v>
      </c>
      <c r="AQ642" s="102">
        <f>IF(INVESTORS_LIST[[#This Row],[LS_TOTAL CURRENT UNITS]]=0,0,INVESTORS_LIST[[#This Row],[LS_TOTAL CURRENT UNITS]]*INVESTORS_LIST[[#This Row],[NAV]])</f>
        <v>2825810.96</v>
      </c>
      <c r="AR642" s="48">
        <f>IF(INVESTORS_LIST[[#This Row],[SIP_TOTAL CURRENT UNITS]]=0,0,INVESTORS_LIST[[#This Row],[SIP_TOTAL CURRENT UNITS]]*INVESTORS_LIST[[#This Row],[NAV]])</f>
        <v>0</v>
      </c>
      <c r="AS642" s="50">
        <f>INVESTORS_LIST[[#This Row],[TOTAL CURRENT UNITS]]</f>
        <v>198665</v>
      </c>
      <c r="AT642" s="48">
        <f>IF(INVESTORS_LIST[[#This Row],[TOTAL SELLABLE UNITS]]=0,0,INVESTORS_LIST[[#This Row],[TOTAL SELLABLE UNITS]]*INVESTORS_LIST[[#This Row],[NAV]])</f>
        <v>2825810.96</v>
      </c>
      <c r="AU642" s="48">
        <f>INVESTORS_LIST[[#This Row],[LS_TOTAL REALIZED GAIN]]+INVESTORS_LIST[[#This Row],[SIP_TOTAL REALIZED GAIN]]</f>
        <v>0</v>
      </c>
      <c r="AV642" s="48">
        <f>INVESTORS_LIST[[#This Row],[TOTAL MARKET VALUE]]-INVESTORS_LIST[[#This Row],[TOTAL COST VALUE OF CURRENT INVESTMENT]]</f>
        <v>325810.95999999996</v>
      </c>
      <c r="AW642" s="48">
        <f>IFERROR(INVESTORS_LIST[[#This Row],[TOTAL CURRENT UNITS]]/SUM(INVESTORS_LIST[TOTAL CURRENT UNITS]),0)</f>
        <v>4.8228328416794327E-3</v>
      </c>
    </row>
    <row r="643" spans="1:49">
      <c r="A643" s="262" t="s">
        <v>1401</v>
      </c>
      <c r="B643" s="261" t="s">
        <v>1402</v>
      </c>
      <c r="C643" t="s">
        <v>67</v>
      </c>
      <c r="D643" s="75" t="s">
        <v>45</v>
      </c>
      <c r="E643" s="50">
        <f>SUMIFS(LS[Unit],LS[Investor ID],INVESTORS_LIST[[#This Row],[INVESTOR CODE]],LS[B/S],"B")</f>
        <v>141395</v>
      </c>
      <c r="F643" s="50">
        <f>-SUMIFS(LS[Unit],LS[Investor ID],INVESTORS_LIST[[#This Row],[INVESTOR CODE]],LS[B/S],"S")</f>
        <v>81222</v>
      </c>
      <c r="G643" s="50">
        <f>IF(INVESTORS_LIST[[#This Row],[LS_TOTAL UNITS BUY]]=0,0,INVESTORS_LIST[[#This Row],[LS_TOTAL UNITS BUY]]-INVESTORS_LIST[[#This Row],[LS_TOTAL UNITS SOLD]])</f>
        <v>60173</v>
      </c>
      <c r="H643" s="102">
        <f>IF(INVESTORS_LIST[[#This Row],[LS_TOTAL UNITS BUY]]=0,0,SUMIFS(LS[Amount],LS[Investor ID],INVESTORS_LIST[[#This Row],[INVESTOR CODE]],LS[B/S],"B"))</f>
        <v>1800000</v>
      </c>
      <c r="I643" s="48">
        <f>IF(INVESTORS_LIST[[#This Row],[LS_TOTAL UNITS SOLD]]=0,0,SUMIFS(LS[Cost of Units Sold],LS[Investor ID],INVESTORS_LIST[[#This Row],[INVESTOR CODE]],LS[B/S],"S"))</f>
        <v>1033852.8480429326</v>
      </c>
      <c r="J643" s="48">
        <f>IF(INVESTORS_LIST[[#This Row],[LS_TOTAL CURRENT UNITS]]=0,0,INVESTORS_LIST[[#This Row],[LS_TOTAL CURRENT UNITS]]*INVESTORS_LIST[[#This Row],[LS_AVERAGE COST]])</f>
        <v>766147.15195706754</v>
      </c>
      <c r="K643" s="48">
        <f>IF(INVESTORS_LIST[[#This Row],[LS_TOTAL UNITS SOLD]]=0,0,SUMIFS(LS[Realized Gain],LS[Investor ID],INVESTORS_LIST[[#This Row],[INVESTOR CODE]],LS[B/S],"S"))</f>
        <v>76147.151957067501</v>
      </c>
      <c r="L643" s="104">
        <f>SUMIFS(SIP[Unit],SIP[Investor ID],INVESTORS_LIST[[#This Row],[INVESTOR CODE]],SIP[B/S],"B")</f>
        <v>0</v>
      </c>
      <c r="M643" s="50">
        <f>-SUMIFS(SIP[Unit],SIP[Investor ID],INVESTORS_LIST[[#This Row],[INVESTOR CODE]],SIP[B/S],"S")</f>
        <v>0</v>
      </c>
      <c r="N643" s="50">
        <f>IF(INVESTORS_LIST[[#This Row],[SIP_TOTAL UNITS BUY]]=0,0,INVESTORS_LIST[[#This Row],[SIP_TOTAL UNITS BUY]]-INVESTORS_LIST[[#This Row],[SIP_TOTAL UNITS SOLD]])</f>
        <v>0</v>
      </c>
      <c r="O643" s="48">
        <f>IF(INVESTORS_LIST[[#This Row],[SIP_TOTAL UNITS BUY]]=0,0,SUMIFS(SIP[Amount],SIP[Investor ID],INVESTORS_LIST[[#This Row],[INVESTOR CODE]],SIP[B/S],"B"))</f>
        <v>0</v>
      </c>
      <c r="P643" s="48">
        <f>IF(INVESTORS_LIST[[#This Row],[SIP_TOTAL UNITS SOLD]]=0,0,SUMIFS(SIP[Cost of Units Sold],SIP[Investor ID],INVESTORS_LIST[[#This Row],[INVESTOR CODE]],SIP[B/S],"S"))</f>
        <v>0</v>
      </c>
      <c r="Q643" s="48">
        <f>IF(INVESTORS_LIST[[#This Row],[SIP_TOTAL CURRENT UNITS]]=0,0,INVESTORS_LIST[[#This Row],[SIP_TOTAL CURRENT UNITS]]*INVESTORS_LIST[[#This Row],[SIP_AVERAGE COST]])</f>
        <v>0</v>
      </c>
      <c r="R643" s="48">
        <f>IF(INVESTORS_LIST[[#This Row],[SIP_TOTAL UNITS SOLD]]=0,0,SUMIFS(SIP[Realized Gain],SIP[Investor ID],INVESTORS_LIST[[#This Row],[INVESTOR CODE]],SIP[B/S],"S"))</f>
        <v>0</v>
      </c>
      <c r="S643" s="50">
        <f>INVESTORS_LIST[[#This Row],[LS_TOTAL UNITS BUY]]+INVESTORS_LIST[[#This Row],[SIP_TOTAL UNITS BUY]]</f>
        <v>141395</v>
      </c>
      <c r="T643" s="50">
        <f>INVESTORS_LIST[[#This Row],[LS_TOTAL UNITS SOLD]]+INVESTORS_LIST[[#This Row],[SIP_TOTAL UNITS SOLD]]</f>
        <v>81222</v>
      </c>
      <c r="U643" s="50"/>
      <c r="V643" s="50">
        <f>SUMIFS(LS[BO UNIT TRANSFER],LS[Investor ID],INVESTORS_LIST[[#This Row],[INVESTOR CODE]],LS[B/S],"B")</f>
        <v>0</v>
      </c>
      <c r="W643" s="50">
        <f>SUMIFS(SIP[BO UNIT TRANSFER],SIP[Investor ID],INVESTORS_LIST[[#This Row],[INVESTOR CODE]],SIP[B/S],"B")</f>
        <v>0</v>
      </c>
      <c r="X643" s="50">
        <f>SUMIFS(LS[BO UNIT TRANSFER],LS[Investor ID],INVESTORS_LIST[[#This Row],[INVESTOR CODE]],LS[B/S],"S")</f>
        <v>0</v>
      </c>
      <c r="Y643" s="50">
        <f>SUMIFS(SIP[BO UNIT TRANSFER],SIP[Investor ID],INVESTORS_LIST[[#This Row],[INVESTOR CODE]],SIP[B/S],"S")</f>
        <v>0</v>
      </c>
      <c r="Z643" s="106">
        <f>SUM(INVESTORS_LIST[[#This Row],[BO OPENING BALANCE]:[BO SIP UNITS REPURCHASE]])</f>
        <v>0</v>
      </c>
      <c r="AA643" s="107">
        <f>INVESTORS_LIST[[#This Row],[TOTAL UNITS BUY]]-INVESTORS_LIST[[#This Row],[TOTAL UNITS SOLD]]</f>
        <v>60173</v>
      </c>
      <c r="AB643" s="107">
        <f>INVESTORS_LIST[[#This Row],[TOTAL CURRENT UNITS]]-INVESTORS_LIST[[#This Row],[BO UNITS HOLD]]</f>
        <v>60173</v>
      </c>
      <c r="AC643" s="201" t="e">
        <f>INDEX([3]!Table_1[BO ID],MATCH(INVESTORS_LIST[[#This Row],[INVESTOR CODE]],[3]!Table_1[INVESTOR CODE],0))</f>
        <v>#REF!</v>
      </c>
      <c r="AD643" s="201" t="e">
        <f>INDEX([3]!Table_1[Brokerage Name2],MATCH(INVESTORS_LIST[[#This Row],[INVESTOR CODE]],[3]!Table_1[INVESTOR CODE],0))</f>
        <v>#REF!</v>
      </c>
      <c r="AE643" s="201" t="e">
        <f>MID(INVESTORS_LIST[[#This Row],[BO ID]],4,5)</f>
        <v>#REF!</v>
      </c>
      <c r="AF643" s="201" t="e">
        <f>MID(INVESTORS_LIST[[#This Row],[BO ID]],2,7)</f>
        <v>#REF!</v>
      </c>
      <c r="AG643" s="201" t="e">
        <f>MID(INVESTORS_LIST[[#This Row],[BO ID]],9,7)</f>
        <v>#REF!</v>
      </c>
      <c r="AH643" s="201" t="e">
        <f>RIGHT(INVESTORS_LIST[[#This Row],[BO ID]],1)</f>
        <v>#REF!</v>
      </c>
      <c r="AI643" s="50">
        <f>INVESTORS_LIST[[#This Row],[LS_TOTAL COST VALUE OF CURRENT UNITS]]+INVESTORS_LIST[[#This Row],[SIP_TOTAL COST VALUE OF CURRENT UNITS]]</f>
        <v>766147.15195706754</v>
      </c>
      <c r="AJ643" s="109">
        <f>IF(INVESTORS_LIST[[#This Row],[TOTAL CURRENT UNITS]]=0,0,INVESTORS_LIST[[#This Row],[LS_TOTAL CURRENT UNITS]]/INVESTORS_LIST[[#This Row],[TOTAL CURRENT UNITS]])</f>
        <v>1</v>
      </c>
      <c r="AK643" s="109">
        <f>IF(INVESTORS_LIST[[#This Row],[TOTAL CURRENT UNITS]]=0,0,INVESTORS_LIST[[#This Row],[SIP_TOTAL CURRENT UNITS]]/INVESTORS_LIST[[#This Row],[TOTAL CURRENT UNITS]])</f>
        <v>0</v>
      </c>
      <c r="AL643" s="99" cm="1">
        <f t="array" ref="AL643">IF(INVESTORS_LIST[[#This Row],[LS_TOTAL UNITS BUY]]&gt;0,INDEX(LS[NAV at Cost (Average)],MATCH(CONCATENATE(COUNTIFS(LS[Investor ID],INVESTORS_LIST[[#This Row],[INVESTOR CODE]]),INVESTORS_LIST[[#This Row],[INVESTOR CODE]]),LS[Unique Code],0),),0)</f>
        <v>12.732407424543691</v>
      </c>
      <c r="AM643" s="99" cm="1">
        <f t="array" ref="AM6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3" s="105">
        <f>IF(INVESTORS_LIST[[#This Row],[TOTAL CURRENT UNITS]]=0,0,(INVESTORS_LIST[[#This Row],[LS_WEIGHT]]*INVESTORS_LIST[[#This Row],[LS_AVERAGE COST]])+(INVESTORS_LIST[[#This Row],[SIP_WEIGHT]]*INVESTORS_LIST[[#This Row],[SIP_AVERAGE COST]]))</f>
        <v>12.732407424543691</v>
      </c>
      <c r="AO643" s="105">
        <f t="shared" ref="AO643:AO708" si="11">NAV_MKT</f>
        <v>14.224</v>
      </c>
      <c r="AP643" s="112">
        <f>IF(INVESTORS_LIST[[#This Row],[TOTAL CURRENT UNITS]]=0,0,INVESTORS_LIST[[#This Row],[TOTAL CURRENT UNITS]]*INVESTORS_LIST[[#This Row],[NAV]])</f>
        <v>855900.75199999998</v>
      </c>
      <c r="AQ643" s="102">
        <f>IF(INVESTORS_LIST[[#This Row],[LS_TOTAL CURRENT UNITS]]=0,0,INVESTORS_LIST[[#This Row],[LS_TOTAL CURRENT UNITS]]*INVESTORS_LIST[[#This Row],[NAV]])</f>
        <v>855900.75199999998</v>
      </c>
      <c r="AR643" s="48">
        <f>IF(INVESTORS_LIST[[#This Row],[SIP_TOTAL CURRENT UNITS]]=0,0,INVESTORS_LIST[[#This Row],[SIP_TOTAL CURRENT UNITS]]*INVESTORS_LIST[[#This Row],[NAV]])</f>
        <v>0</v>
      </c>
      <c r="AS643" s="50">
        <f>INVESTORS_LIST[[#This Row],[TOTAL CURRENT UNITS]]</f>
        <v>60173</v>
      </c>
      <c r="AT643" s="48">
        <f>IF(INVESTORS_LIST[[#This Row],[TOTAL SELLABLE UNITS]]=0,0,INVESTORS_LIST[[#This Row],[TOTAL SELLABLE UNITS]]*INVESTORS_LIST[[#This Row],[NAV]])</f>
        <v>855900.75199999998</v>
      </c>
      <c r="AU643" s="48">
        <f>INVESTORS_LIST[[#This Row],[LS_TOTAL REALIZED GAIN]]+INVESTORS_LIST[[#This Row],[SIP_TOTAL REALIZED GAIN]]</f>
        <v>76147.151957067501</v>
      </c>
      <c r="AV643" s="48">
        <f>INVESTORS_LIST[[#This Row],[TOTAL MARKET VALUE]]-INVESTORS_LIST[[#This Row],[TOTAL COST VALUE OF CURRENT INVESTMENT]]</f>
        <v>89753.600042932434</v>
      </c>
      <c r="AW643" s="48">
        <f>IFERROR(INVESTORS_LIST[[#This Row],[TOTAL CURRENT UNITS]]/SUM(INVESTORS_LIST[TOTAL CURRENT UNITS]),0)</f>
        <v>1.4607722577322454E-3</v>
      </c>
    </row>
    <row r="644" spans="1:49">
      <c r="A644" s="262" t="s">
        <v>1403</v>
      </c>
      <c r="B644" s="97" t="s">
        <v>1404</v>
      </c>
      <c r="C644" t="s">
        <v>44</v>
      </c>
      <c r="D644" s="75" t="s">
        <v>45</v>
      </c>
      <c r="E644" s="50">
        <f>SUMIFS(LS[Unit],LS[Investor ID],INVESTORS_LIST[[#This Row],[INVESTOR CODE]],LS[B/S],"B")</f>
        <v>220579</v>
      </c>
      <c r="F644" s="50">
        <f>-SUMIFS(LS[Unit],LS[Investor ID],INVESTORS_LIST[[#This Row],[INVESTOR CODE]],LS[B/S],"S")</f>
        <v>79466</v>
      </c>
      <c r="G644" s="50">
        <f>IF(INVESTORS_LIST[[#This Row],[LS_TOTAL UNITS BUY]]=0,0,INVESTORS_LIST[[#This Row],[LS_TOTAL UNITS BUY]]-INVESTORS_LIST[[#This Row],[LS_TOTAL UNITS SOLD]])</f>
        <v>141113</v>
      </c>
      <c r="H644" s="102">
        <f>IF(INVESTORS_LIST[[#This Row],[LS_TOTAL UNITS BUY]]=0,0,SUMIFS(LS[Amount],LS[Investor ID],INVESTORS_LIST[[#This Row],[INVESTOR CODE]],LS[B/S],"B"))</f>
        <v>3000000</v>
      </c>
      <c r="I644" s="48">
        <f>IF(INVESTORS_LIST[[#This Row],[LS_TOTAL UNITS SOLD]]=0,0,SUMIFS(LS[Cost of Units Sold],LS[Investor ID],INVESTORS_LIST[[#This Row],[INVESTOR CODE]],LS[B/S],"S"))</f>
        <v>999999.99999999988</v>
      </c>
      <c r="J644" s="48">
        <f>IF(INVESTORS_LIST[[#This Row],[LS_TOTAL CURRENT UNITS]]=0,0,INVESTORS_LIST[[#This Row],[LS_TOTAL CURRENT UNITS]]*INVESTORS_LIST[[#This Row],[LS_AVERAGE COST]])</f>
        <v>2000000</v>
      </c>
      <c r="K644" s="48">
        <f>IF(INVESTORS_LIST[[#This Row],[LS_TOTAL UNITS SOLD]]=0,0,SUMIFS(LS[Realized Gain],LS[Investor ID],INVESTORS_LIST[[#This Row],[INVESTOR CODE]],LS[B/S],"S"))</f>
        <v>45591.060000000158</v>
      </c>
      <c r="L644" s="104">
        <f>SUMIFS(SIP[Unit],SIP[Investor ID],INVESTORS_LIST[[#This Row],[INVESTOR CODE]],SIP[B/S],"B")</f>
        <v>0</v>
      </c>
      <c r="M644" s="50">
        <f>-SUMIFS(SIP[Unit],SIP[Investor ID],INVESTORS_LIST[[#This Row],[INVESTOR CODE]],SIP[B/S],"S")</f>
        <v>0</v>
      </c>
      <c r="N644" s="50">
        <f>IF(INVESTORS_LIST[[#This Row],[SIP_TOTAL UNITS BUY]]=0,0,INVESTORS_LIST[[#This Row],[SIP_TOTAL UNITS BUY]]-INVESTORS_LIST[[#This Row],[SIP_TOTAL UNITS SOLD]])</f>
        <v>0</v>
      </c>
      <c r="O644" s="48">
        <f>IF(INVESTORS_LIST[[#This Row],[SIP_TOTAL UNITS BUY]]=0,0,SUMIFS(SIP[Amount],SIP[Investor ID],INVESTORS_LIST[[#This Row],[INVESTOR CODE]],SIP[B/S],"B"))</f>
        <v>0</v>
      </c>
      <c r="P644" s="48">
        <f>IF(INVESTORS_LIST[[#This Row],[SIP_TOTAL UNITS SOLD]]=0,0,SUMIFS(SIP[Cost of Units Sold],SIP[Investor ID],INVESTORS_LIST[[#This Row],[INVESTOR CODE]],SIP[B/S],"S"))</f>
        <v>0</v>
      </c>
      <c r="Q644" s="48">
        <f>IF(INVESTORS_LIST[[#This Row],[SIP_TOTAL CURRENT UNITS]]=0,0,INVESTORS_LIST[[#This Row],[SIP_TOTAL CURRENT UNITS]]*INVESTORS_LIST[[#This Row],[SIP_AVERAGE COST]])</f>
        <v>0</v>
      </c>
      <c r="R644" s="48">
        <f>IF(INVESTORS_LIST[[#This Row],[SIP_TOTAL UNITS SOLD]]=0,0,SUMIFS(SIP[Realized Gain],SIP[Investor ID],INVESTORS_LIST[[#This Row],[INVESTOR CODE]],SIP[B/S],"S"))</f>
        <v>0</v>
      </c>
      <c r="S644" s="50">
        <f>INVESTORS_LIST[[#This Row],[LS_TOTAL UNITS BUY]]+INVESTORS_LIST[[#This Row],[SIP_TOTAL UNITS BUY]]</f>
        <v>220579</v>
      </c>
      <c r="T644" s="50">
        <f>INVESTORS_LIST[[#This Row],[LS_TOTAL UNITS SOLD]]+INVESTORS_LIST[[#This Row],[SIP_TOTAL UNITS SOLD]]</f>
        <v>79466</v>
      </c>
      <c r="U644" s="50"/>
      <c r="V644" s="50">
        <f>SUMIFS(LS[BO UNIT TRANSFER],LS[Investor ID],INVESTORS_LIST[[#This Row],[INVESTOR CODE]],LS[B/S],"B")</f>
        <v>0</v>
      </c>
      <c r="W644" s="50">
        <f>SUMIFS(SIP[BO UNIT TRANSFER],SIP[Investor ID],INVESTORS_LIST[[#This Row],[INVESTOR CODE]],SIP[B/S],"B")</f>
        <v>0</v>
      </c>
      <c r="X644" s="50">
        <f>SUMIFS(LS[BO UNIT TRANSFER],LS[Investor ID],INVESTORS_LIST[[#This Row],[INVESTOR CODE]],LS[B/S],"S")</f>
        <v>0</v>
      </c>
      <c r="Y644" s="50">
        <f>SUMIFS(SIP[BO UNIT TRANSFER],SIP[Investor ID],INVESTORS_LIST[[#This Row],[INVESTOR CODE]],SIP[B/S],"S")</f>
        <v>0</v>
      </c>
      <c r="Z644" s="106">
        <f>SUM(INVESTORS_LIST[[#This Row],[BO OPENING BALANCE]:[BO SIP UNITS REPURCHASE]])</f>
        <v>0</v>
      </c>
      <c r="AA644" s="107">
        <f>INVESTORS_LIST[[#This Row],[TOTAL UNITS BUY]]-INVESTORS_LIST[[#This Row],[TOTAL UNITS SOLD]]</f>
        <v>141113</v>
      </c>
      <c r="AB644" s="107">
        <f>INVESTORS_LIST[[#This Row],[TOTAL CURRENT UNITS]]-INVESTORS_LIST[[#This Row],[BO UNITS HOLD]]</f>
        <v>141113</v>
      </c>
      <c r="AC644" s="201" t="e">
        <f>INDEX([3]!Table_1[BO ID],MATCH(INVESTORS_LIST[[#This Row],[INVESTOR CODE]],[3]!Table_1[INVESTOR CODE],0))</f>
        <v>#REF!</v>
      </c>
      <c r="AD644" s="201" t="e">
        <f>INDEX([3]!Table_1[Brokerage Name2],MATCH(INVESTORS_LIST[[#This Row],[INVESTOR CODE]],[3]!Table_1[INVESTOR CODE],0))</f>
        <v>#REF!</v>
      </c>
      <c r="AE644" s="201" t="e">
        <f>MID(INVESTORS_LIST[[#This Row],[BO ID]],4,5)</f>
        <v>#REF!</v>
      </c>
      <c r="AF644" s="201" t="e">
        <f>MID(INVESTORS_LIST[[#This Row],[BO ID]],2,7)</f>
        <v>#REF!</v>
      </c>
      <c r="AG644" s="201" t="e">
        <f>MID(INVESTORS_LIST[[#This Row],[BO ID]],9,7)</f>
        <v>#REF!</v>
      </c>
      <c r="AH644" s="201" t="e">
        <f>RIGHT(INVESTORS_LIST[[#This Row],[BO ID]],1)</f>
        <v>#REF!</v>
      </c>
      <c r="AI644" s="50">
        <f>INVESTORS_LIST[[#This Row],[LS_TOTAL COST VALUE OF CURRENT UNITS]]+INVESTORS_LIST[[#This Row],[SIP_TOTAL COST VALUE OF CURRENT UNITS]]</f>
        <v>2000000</v>
      </c>
      <c r="AJ644" s="109">
        <f>IF(INVESTORS_LIST[[#This Row],[TOTAL CURRENT UNITS]]=0,0,INVESTORS_LIST[[#This Row],[LS_TOTAL CURRENT UNITS]]/INVESTORS_LIST[[#This Row],[TOTAL CURRENT UNITS]])</f>
        <v>1</v>
      </c>
      <c r="AK644" s="109">
        <f>IF(INVESTORS_LIST[[#This Row],[TOTAL CURRENT UNITS]]=0,0,INVESTORS_LIST[[#This Row],[SIP_TOTAL CURRENT UNITS]]/INVESTORS_LIST[[#This Row],[TOTAL CURRENT UNITS]])</f>
        <v>0</v>
      </c>
      <c r="AL644" s="99" cm="1">
        <f t="array" ref="AL644">IF(INVESTORS_LIST[[#This Row],[LS_TOTAL UNITS BUY]]&gt;0,INDEX(LS[NAV at Cost (Average)],MATCH(CONCATENATE(COUNTIFS(LS[Investor ID],INVESTORS_LIST[[#This Row],[INVESTOR CODE]]),INVESTORS_LIST[[#This Row],[INVESTOR CODE]]),LS[Unique Code],0),),0)</f>
        <v>14.173038628616782</v>
      </c>
      <c r="AM644" s="99" cm="1">
        <f t="array" ref="AM6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4" s="105">
        <f>IF(INVESTORS_LIST[[#This Row],[TOTAL CURRENT UNITS]]=0,0,(INVESTORS_LIST[[#This Row],[LS_WEIGHT]]*INVESTORS_LIST[[#This Row],[LS_AVERAGE COST]])+(INVESTORS_LIST[[#This Row],[SIP_WEIGHT]]*INVESTORS_LIST[[#This Row],[SIP_AVERAGE COST]]))</f>
        <v>14.173038628616782</v>
      </c>
      <c r="AO644" s="105">
        <f t="shared" si="11"/>
        <v>14.224</v>
      </c>
      <c r="AP644" s="112">
        <f>IF(INVESTORS_LIST[[#This Row],[TOTAL CURRENT UNITS]]=0,0,INVESTORS_LIST[[#This Row],[TOTAL CURRENT UNITS]]*INVESTORS_LIST[[#This Row],[NAV]])</f>
        <v>2007191.3119999999</v>
      </c>
      <c r="AQ644" s="102">
        <f>IF(INVESTORS_LIST[[#This Row],[LS_TOTAL CURRENT UNITS]]=0,0,INVESTORS_LIST[[#This Row],[LS_TOTAL CURRENT UNITS]]*INVESTORS_LIST[[#This Row],[NAV]])</f>
        <v>2007191.3119999999</v>
      </c>
      <c r="AR644" s="48">
        <f>IF(INVESTORS_LIST[[#This Row],[SIP_TOTAL CURRENT UNITS]]=0,0,INVESTORS_LIST[[#This Row],[SIP_TOTAL CURRENT UNITS]]*INVESTORS_LIST[[#This Row],[NAV]])</f>
        <v>0</v>
      </c>
      <c r="AS644" s="50">
        <f>INVESTORS_LIST[[#This Row],[TOTAL CURRENT UNITS]]</f>
        <v>141113</v>
      </c>
      <c r="AT644" s="48">
        <f>IF(INVESTORS_LIST[[#This Row],[TOTAL SELLABLE UNITS]]=0,0,INVESTORS_LIST[[#This Row],[TOTAL SELLABLE UNITS]]*INVESTORS_LIST[[#This Row],[NAV]])</f>
        <v>2007191.3119999999</v>
      </c>
      <c r="AU644" s="48">
        <f>INVESTORS_LIST[[#This Row],[LS_TOTAL REALIZED GAIN]]+INVESTORS_LIST[[#This Row],[SIP_TOTAL REALIZED GAIN]]</f>
        <v>45591.060000000158</v>
      </c>
      <c r="AV644" s="48">
        <f>INVESTORS_LIST[[#This Row],[TOTAL MARKET VALUE]]-INVESTORS_LIST[[#This Row],[TOTAL COST VALUE OF CURRENT INVESTMENT]]</f>
        <v>7191.311999999918</v>
      </c>
      <c r="AW644" s="48">
        <f>IFERROR(INVESTORS_LIST[[#This Row],[TOTAL CURRENT UNITS]]/SUM(INVESTORS_LIST[TOTAL CURRENT UNITS]),0)</f>
        <v>3.4256885248428754E-3</v>
      </c>
    </row>
    <row r="645" spans="1:49">
      <c r="A645" s="262" t="s">
        <v>1405</v>
      </c>
      <c r="B645" s="97" t="s">
        <v>1406</v>
      </c>
      <c r="C645" t="s">
        <v>67</v>
      </c>
      <c r="D645" s="75" t="s">
        <v>45</v>
      </c>
      <c r="E645" s="50">
        <f>SUMIFS(LS[Unit],LS[Investor ID],INVESTORS_LIST[[#This Row],[INVESTOR CODE]],LS[B/S],"B")</f>
        <v>595380</v>
      </c>
      <c r="F645" s="50">
        <f>-SUMIFS(LS[Unit],LS[Investor ID],INVESTORS_LIST[[#This Row],[INVESTOR CODE]],LS[B/S],"S")</f>
        <v>0</v>
      </c>
      <c r="G645" s="50">
        <f>IF(INVESTORS_LIST[[#This Row],[LS_TOTAL UNITS BUY]]=0,0,INVESTORS_LIST[[#This Row],[LS_TOTAL UNITS BUY]]-INVESTORS_LIST[[#This Row],[LS_TOTAL UNITS SOLD]])</f>
        <v>595380</v>
      </c>
      <c r="H645" s="102">
        <f>IF(INVESTORS_LIST[[#This Row],[LS_TOTAL UNITS BUY]]=0,0,SUMIFS(LS[Amount],LS[Investor ID],INVESTORS_LIST[[#This Row],[INVESTOR CODE]],LS[B/S],"B"))</f>
        <v>7500000</v>
      </c>
      <c r="I645" s="48">
        <f>IF(INVESTORS_LIST[[#This Row],[LS_TOTAL UNITS SOLD]]=0,0,SUMIFS(LS[Cost of Units Sold],LS[Investor ID],INVESTORS_LIST[[#This Row],[INVESTOR CODE]],LS[B/S],"S"))</f>
        <v>0</v>
      </c>
      <c r="J645" s="48">
        <f>IF(INVESTORS_LIST[[#This Row],[LS_TOTAL CURRENT UNITS]]=0,0,INVESTORS_LIST[[#This Row],[LS_TOTAL CURRENT UNITS]]*INVESTORS_LIST[[#This Row],[LS_AVERAGE COST]])</f>
        <v>7500000</v>
      </c>
      <c r="K645" s="48">
        <f>IF(INVESTORS_LIST[[#This Row],[LS_TOTAL UNITS SOLD]]=0,0,SUMIFS(LS[Realized Gain],LS[Investor ID],INVESTORS_LIST[[#This Row],[INVESTOR CODE]],LS[B/S],"S"))</f>
        <v>0</v>
      </c>
      <c r="L645" s="104">
        <f>SUMIFS(SIP[Unit],SIP[Investor ID],INVESTORS_LIST[[#This Row],[INVESTOR CODE]],SIP[B/S],"B")</f>
        <v>0</v>
      </c>
      <c r="M645" s="50">
        <f>-SUMIFS(SIP[Unit],SIP[Investor ID],INVESTORS_LIST[[#This Row],[INVESTOR CODE]],SIP[B/S],"S")</f>
        <v>0</v>
      </c>
      <c r="N645" s="50">
        <f>IF(INVESTORS_LIST[[#This Row],[SIP_TOTAL UNITS BUY]]=0,0,INVESTORS_LIST[[#This Row],[SIP_TOTAL UNITS BUY]]-INVESTORS_LIST[[#This Row],[SIP_TOTAL UNITS SOLD]])</f>
        <v>0</v>
      </c>
      <c r="O645" s="48">
        <f>IF(INVESTORS_LIST[[#This Row],[SIP_TOTAL UNITS BUY]]=0,0,SUMIFS(SIP[Amount],SIP[Investor ID],INVESTORS_LIST[[#This Row],[INVESTOR CODE]],SIP[B/S],"B"))</f>
        <v>0</v>
      </c>
      <c r="P645" s="48">
        <f>IF(INVESTORS_LIST[[#This Row],[SIP_TOTAL UNITS SOLD]]=0,0,SUMIFS(SIP[Cost of Units Sold],SIP[Investor ID],INVESTORS_LIST[[#This Row],[INVESTOR CODE]],SIP[B/S],"S"))</f>
        <v>0</v>
      </c>
      <c r="Q645" s="48">
        <f>IF(INVESTORS_LIST[[#This Row],[SIP_TOTAL CURRENT UNITS]]=0,0,INVESTORS_LIST[[#This Row],[SIP_TOTAL CURRENT UNITS]]*INVESTORS_LIST[[#This Row],[SIP_AVERAGE COST]])</f>
        <v>0</v>
      </c>
      <c r="R645" s="48">
        <f>IF(INVESTORS_LIST[[#This Row],[SIP_TOTAL UNITS SOLD]]=0,0,SUMIFS(SIP[Realized Gain],SIP[Investor ID],INVESTORS_LIST[[#This Row],[INVESTOR CODE]],SIP[B/S],"S"))</f>
        <v>0</v>
      </c>
      <c r="S645" s="50">
        <f>INVESTORS_LIST[[#This Row],[LS_TOTAL UNITS BUY]]+INVESTORS_LIST[[#This Row],[SIP_TOTAL UNITS BUY]]</f>
        <v>595380</v>
      </c>
      <c r="T645" s="50">
        <f>INVESTORS_LIST[[#This Row],[LS_TOTAL UNITS SOLD]]+INVESTORS_LIST[[#This Row],[SIP_TOTAL UNITS SOLD]]</f>
        <v>0</v>
      </c>
      <c r="U645" s="50"/>
      <c r="V645" s="50">
        <f>SUMIFS(LS[BO UNIT TRANSFER],LS[Investor ID],INVESTORS_LIST[[#This Row],[INVESTOR CODE]],LS[B/S],"B")</f>
        <v>0</v>
      </c>
      <c r="W645" s="50">
        <f>SUMIFS(SIP[BO UNIT TRANSFER],SIP[Investor ID],INVESTORS_LIST[[#This Row],[INVESTOR CODE]],SIP[B/S],"B")</f>
        <v>0</v>
      </c>
      <c r="X645" s="50">
        <f>SUMIFS(LS[BO UNIT TRANSFER],LS[Investor ID],INVESTORS_LIST[[#This Row],[INVESTOR CODE]],LS[B/S],"S")</f>
        <v>0</v>
      </c>
      <c r="Y645" s="50">
        <f>SUMIFS(SIP[BO UNIT TRANSFER],SIP[Investor ID],INVESTORS_LIST[[#This Row],[INVESTOR CODE]],SIP[B/S],"S")</f>
        <v>0</v>
      </c>
      <c r="Z645" s="106">
        <f>SUM(INVESTORS_LIST[[#This Row],[BO OPENING BALANCE]:[BO SIP UNITS REPURCHASE]])</f>
        <v>0</v>
      </c>
      <c r="AA645" s="107">
        <f>INVESTORS_LIST[[#This Row],[TOTAL UNITS BUY]]-INVESTORS_LIST[[#This Row],[TOTAL UNITS SOLD]]</f>
        <v>595380</v>
      </c>
      <c r="AB645" s="107">
        <f>INVESTORS_LIST[[#This Row],[TOTAL CURRENT UNITS]]-INVESTORS_LIST[[#This Row],[BO UNITS HOLD]]</f>
        <v>595380</v>
      </c>
      <c r="AC645" s="201" t="e">
        <f>INDEX([3]!Table_1[BO ID],MATCH(INVESTORS_LIST[[#This Row],[INVESTOR CODE]],[3]!Table_1[INVESTOR CODE],0))</f>
        <v>#REF!</v>
      </c>
      <c r="AD645" s="201" t="e">
        <f>INDEX([3]!Table_1[Brokerage Name2],MATCH(INVESTORS_LIST[[#This Row],[INVESTOR CODE]],[3]!Table_1[INVESTOR CODE],0))</f>
        <v>#REF!</v>
      </c>
      <c r="AE645" s="201" t="e">
        <f>MID(INVESTORS_LIST[[#This Row],[BO ID]],4,5)</f>
        <v>#REF!</v>
      </c>
      <c r="AF645" s="201" t="e">
        <f>MID(INVESTORS_LIST[[#This Row],[BO ID]],2,7)</f>
        <v>#REF!</v>
      </c>
      <c r="AG645" s="201" t="e">
        <f>MID(INVESTORS_LIST[[#This Row],[BO ID]],9,7)</f>
        <v>#REF!</v>
      </c>
      <c r="AH645" s="201" t="e">
        <f>RIGHT(INVESTORS_LIST[[#This Row],[BO ID]],1)</f>
        <v>#REF!</v>
      </c>
      <c r="AI645" s="50">
        <f>INVESTORS_LIST[[#This Row],[LS_TOTAL COST VALUE OF CURRENT UNITS]]+INVESTORS_LIST[[#This Row],[SIP_TOTAL COST VALUE OF CURRENT UNITS]]</f>
        <v>7500000</v>
      </c>
      <c r="AJ645" s="109">
        <f>IF(INVESTORS_LIST[[#This Row],[TOTAL CURRENT UNITS]]=0,0,INVESTORS_LIST[[#This Row],[LS_TOTAL CURRENT UNITS]]/INVESTORS_LIST[[#This Row],[TOTAL CURRENT UNITS]])</f>
        <v>1</v>
      </c>
      <c r="AK645" s="109">
        <f>IF(INVESTORS_LIST[[#This Row],[TOTAL CURRENT UNITS]]=0,0,INVESTORS_LIST[[#This Row],[SIP_TOTAL CURRENT UNITS]]/INVESTORS_LIST[[#This Row],[TOTAL CURRENT UNITS]])</f>
        <v>0</v>
      </c>
      <c r="AL645" s="99" cm="1">
        <f t="array" ref="AL645">IF(INVESTORS_LIST[[#This Row],[LS_TOTAL UNITS BUY]]&gt;0,INDEX(LS[NAV at Cost (Average)],MATCH(CONCATENATE(COUNTIFS(LS[Investor ID],INVESTORS_LIST[[#This Row],[INVESTOR CODE]]),INVESTORS_LIST[[#This Row],[INVESTOR CODE]]),LS[Unique Code],0),),0)</f>
        <v>12.596996875944775</v>
      </c>
      <c r="AM645" s="99" cm="1">
        <f t="array" ref="AM6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5" s="105">
        <f>IF(INVESTORS_LIST[[#This Row],[TOTAL CURRENT UNITS]]=0,0,(INVESTORS_LIST[[#This Row],[LS_WEIGHT]]*INVESTORS_LIST[[#This Row],[LS_AVERAGE COST]])+(INVESTORS_LIST[[#This Row],[SIP_WEIGHT]]*INVESTORS_LIST[[#This Row],[SIP_AVERAGE COST]]))</f>
        <v>12.596996875944775</v>
      </c>
      <c r="AO645" s="105">
        <f t="shared" si="11"/>
        <v>14.224</v>
      </c>
      <c r="AP645" s="112">
        <f>IF(INVESTORS_LIST[[#This Row],[TOTAL CURRENT UNITS]]=0,0,INVESTORS_LIST[[#This Row],[TOTAL CURRENT UNITS]]*INVESTORS_LIST[[#This Row],[NAV]])</f>
        <v>8468685.120000001</v>
      </c>
      <c r="AQ645" s="102">
        <f>IF(INVESTORS_LIST[[#This Row],[LS_TOTAL CURRENT UNITS]]=0,0,INVESTORS_LIST[[#This Row],[LS_TOTAL CURRENT UNITS]]*INVESTORS_LIST[[#This Row],[NAV]])</f>
        <v>8468685.120000001</v>
      </c>
      <c r="AR645" s="48">
        <f>IF(INVESTORS_LIST[[#This Row],[SIP_TOTAL CURRENT UNITS]]=0,0,INVESTORS_LIST[[#This Row],[SIP_TOTAL CURRENT UNITS]]*INVESTORS_LIST[[#This Row],[NAV]])</f>
        <v>0</v>
      </c>
      <c r="AS645" s="50">
        <f>INVESTORS_LIST[[#This Row],[TOTAL CURRENT UNITS]]</f>
        <v>595380</v>
      </c>
      <c r="AT645" s="48">
        <f>IF(INVESTORS_LIST[[#This Row],[TOTAL SELLABLE UNITS]]=0,0,INVESTORS_LIST[[#This Row],[TOTAL SELLABLE UNITS]]*INVESTORS_LIST[[#This Row],[NAV]])</f>
        <v>8468685.120000001</v>
      </c>
      <c r="AU645" s="48">
        <f>INVESTORS_LIST[[#This Row],[LS_TOTAL REALIZED GAIN]]+INVESTORS_LIST[[#This Row],[SIP_TOTAL REALIZED GAIN]]</f>
        <v>0</v>
      </c>
      <c r="AV645" s="48">
        <f>INVESTORS_LIST[[#This Row],[TOTAL MARKET VALUE]]-INVESTORS_LIST[[#This Row],[TOTAL COST VALUE OF CURRENT INVESTMENT]]</f>
        <v>968685.12000000104</v>
      </c>
      <c r="AW645" s="48">
        <f>IFERROR(INVESTORS_LIST[[#This Row],[TOTAL CURRENT UNITS]]/SUM(INVESTORS_LIST[TOTAL CURRENT UNITS]),0)</f>
        <v>1.4453568657182196E-2</v>
      </c>
    </row>
    <row r="646" spans="1:49">
      <c r="A646" s="262" t="s">
        <v>1407</v>
      </c>
      <c r="B646" s="97" t="s">
        <v>1408</v>
      </c>
      <c r="C646" t="s">
        <v>67</v>
      </c>
      <c r="D646" s="75" t="s">
        <v>45</v>
      </c>
      <c r="E646" s="50">
        <f>SUMIFS(LS[Unit],LS[Investor ID],INVESTORS_LIST[[#This Row],[INVESTOR CODE]],LS[B/S],"B")</f>
        <v>39648</v>
      </c>
      <c r="F646" s="50">
        <f>-SUMIFS(LS[Unit],LS[Investor ID],INVESTORS_LIST[[#This Row],[INVESTOR CODE]],LS[B/S],"S")</f>
        <v>0</v>
      </c>
      <c r="G646" s="50">
        <f>IF(INVESTORS_LIST[[#This Row],[LS_TOTAL UNITS BUY]]=0,0,INVESTORS_LIST[[#This Row],[LS_TOTAL UNITS BUY]]-INVESTORS_LIST[[#This Row],[LS_TOTAL UNITS SOLD]])</f>
        <v>39648</v>
      </c>
      <c r="H646" s="209">
        <f>IF(INVESTORS_LIST[[#This Row],[LS_TOTAL UNITS BUY]]=0,0,SUMIFS(LS[Amount],LS[Investor ID],INVESTORS_LIST[[#This Row],[INVESTOR CODE]],LS[B/S],"B"))</f>
        <v>500000</v>
      </c>
      <c r="I646" s="48">
        <f>IF(INVESTORS_LIST[[#This Row],[LS_TOTAL UNITS SOLD]]=0,0,SUMIFS(LS[Cost of Units Sold],LS[Investor ID],INVESTORS_LIST[[#This Row],[INVESTOR CODE]],LS[B/S],"S"))</f>
        <v>0</v>
      </c>
      <c r="J646" s="48">
        <f>IF(INVESTORS_LIST[[#This Row],[LS_TOTAL CURRENT UNITS]]=0,0,INVESTORS_LIST[[#This Row],[LS_TOTAL CURRENT UNITS]]*INVESTORS_LIST[[#This Row],[LS_AVERAGE COST]])</f>
        <v>500000</v>
      </c>
      <c r="K646" s="48">
        <f>IF(INVESTORS_LIST[[#This Row],[LS_TOTAL UNITS SOLD]]=0,0,SUMIFS(LS[Realized Gain],LS[Investor ID],INVESTORS_LIST[[#This Row],[INVESTOR CODE]],LS[B/S],"S"))</f>
        <v>0</v>
      </c>
      <c r="L646" s="210">
        <f>SUMIFS(SIP[Unit],SIP[Investor ID],INVESTORS_LIST[[#This Row],[INVESTOR CODE]],SIP[B/S],"B")</f>
        <v>0</v>
      </c>
      <c r="M646" s="50">
        <f>-SUMIFS(SIP[Unit],SIP[Investor ID],INVESTORS_LIST[[#This Row],[INVESTOR CODE]],SIP[B/S],"S")</f>
        <v>0</v>
      </c>
      <c r="N646" s="50">
        <f>IF(INVESTORS_LIST[[#This Row],[SIP_TOTAL UNITS BUY]]=0,0,INVESTORS_LIST[[#This Row],[SIP_TOTAL UNITS BUY]]-INVESTORS_LIST[[#This Row],[SIP_TOTAL UNITS SOLD]])</f>
        <v>0</v>
      </c>
      <c r="O646" s="48">
        <f>IF(INVESTORS_LIST[[#This Row],[SIP_TOTAL UNITS BUY]]=0,0,SUMIFS(SIP[Amount],SIP[Investor ID],INVESTORS_LIST[[#This Row],[INVESTOR CODE]],SIP[B/S],"B"))</f>
        <v>0</v>
      </c>
      <c r="P646" s="48">
        <f>IF(INVESTORS_LIST[[#This Row],[SIP_TOTAL UNITS SOLD]]=0,0,SUMIFS(SIP[Cost of Units Sold],SIP[Investor ID],INVESTORS_LIST[[#This Row],[INVESTOR CODE]],SIP[B/S],"S"))</f>
        <v>0</v>
      </c>
      <c r="Q646" s="48">
        <f>IF(INVESTORS_LIST[[#This Row],[SIP_TOTAL CURRENT UNITS]]=0,0,INVESTORS_LIST[[#This Row],[SIP_TOTAL CURRENT UNITS]]*INVESTORS_LIST[[#This Row],[SIP_AVERAGE COST]])</f>
        <v>0</v>
      </c>
      <c r="R646" s="48">
        <f>IF(INVESTORS_LIST[[#This Row],[SIP_TOTAL UNITS SOLD]]=0,0,SUMIFS(SIP[Realized Gain],SIP[Investor ID],INVESTORS_LIST[[#This Row],[INVESTOR CODE]],SIP[B/S],"S"))</f>
        <v>0</v>
      </c>
      <c r="S646" s="50">
        <f>INVESTORS_LIST[[#This Row],[LS_TOTAL UNITS BUY]]+INVESTORS_LIST[[#This Row],[SIP_TOTAL UNITS BUY]]</f>
        <v>39648</v>
      </c>
      <c r="T646" s="50">
        <f>INVESTORS_LIST[[#This Row],[LS_TOTAL UNITS SOLD]]+INVESTORS_LIST[[#This Row],[SIP_TOTAL UNITS SOLD]]</f>
        <v>0</v>
      </c>
      <c r="U646" s="50"/>
      <c r="V646" s="50">
        <f>SUMIFS(LS[BO UNIT TRANSFER],LS[Investor ID],INVESTORS_LIST[[#This Row],[INVESTOR CODE]],LS[B/S],"B")</f>
        <v>39648</v>
      </c>
      <c r="W646" s="50">
        <f>SUMIFS(SIP[BO UNIT TRANSFER],SIP[Investor ID],INVESTORS_LIST[[#This Row],[INVESTOR CODE]],SIP[B/S],"B")</f>
        <v>0</v>
      </c>
      <c r="X646" s="50">
        <f>SUMIFS(LS[BO UNIT TRANSFER],LS[Investor ID],INVESTORS_LIST[[#This Row],[INVESTOR CODE]],LS[B/S],"S")</f>
        <v>0</v>
      </c>
      <c r="Y646" s="50">
        <f>SUMIFS(SIP[BO UNIT TRANSFER],SIP[Investor ID],INVESTORS_LIST[[#This Row],[INVESTOR CODE]],SIP[B/S],"S")</f>
        <v>0</v>
      </c>
      <c r="Z646" s="106">
        <f>SUM(INVESTORS_LIST[[#This Row],[BO OPENING BALANCE]:[BO SIP UNITS REPURCHASE]])</f>
        <v>39648</v>
      </c>
      <c r="AA646" s="107">
        <f>INVESTORS_LIST[[#This Row],[TOTAL UNITS BUY]]-INVESTORS_LIST[[#This Row],[TOTAL UNITS SOLD]]</f>
        <v>39648</v>
      </c>
      <c r="AB646" s="107">
        <f>INVESTORS_LIST[[#This Row],[TOTAL CURRENT UNITS]]-INVESTORS_LIST[[#This Row],[BO UNITS HOLD]]</f>
        <v>0</v>
      </c>
      <c r="AC646" s="201" t="e">
        <f>INDEX([3]!Table_1[BO ID],MATCH(INVESTORS_LIST[[#This Row],[INVESTOR CODE]],[3]!Table_1[INVESTOR CODE],0))</f>
        <v>#REF!</v>
      </c>
      <c r="AD646" s="201" t="e">
        <f>INDEX([3]!Table_1[Brokerage Name2],MATCH(INVESTORS_LIST[[#This Row],[INVESTOR CODE]],[3]!Table_1[INVESTOR CODE],0))</f>
        <v>#REF!</v>
      </c>
      <c r="AE646" s="201" t="e">
        <f>MID(INVESTORS_LIST[[#This Row],[BO ID]],4,5)</f>
        <v>#REF!</v>
      </c>
      <c r="AF646" s="201" t="e">
        <f>MID(INVESTORS_LIST[[#This Row],[BO ID]],2,7)</f>
        <v>#REF!</v>
      </c>
      <c r="AG646" s="201" t="e">
        <f>MID(INVESTORS_LIST[[#This Row],[BO ID]],9,7)</f>
        <v>#REF!</v>
      </c>
      <c r="AH646" s="201" t="e">
        <f>RIGHT(INVESTORS_LIST[[#This Row],[BO ID]],1)</f>
        <v>#REF!</v>
      </c>
      <c r="AI646" s="50">
        <f>INVESTORS_LIST[[#This Row],[LS_TOTAL COST VALUE OF CURRENT UNITS]]+INVESTORS_LIST[[#This Row],[SIP_TOTAL COST VALUE OF CURRENT UNITS]]</f>
        <v>500000</v>
      </c>
      <c r="AJ646" s="109">
        <f>IF(INVESTORS_LIST[[#This Row],[TOTAL CURRENT UNITS]]=0,0,INVESTORS_LIST[[#This Row],[LS_TOTAL CURRENT UNITS]]/INVESTORS_LIST[[#This Row],[TOTAL CURRENT UNITS]])</f>
        <v>1</v>
      </c>
      <c r="AK646" s="109">
        <f>IF(INVESTORS_LIST[[#This Row],[TOTAL CURRENT UNITS]]=0,0,INVESTORS_LIST[[#This Row],[SIP_TOTAL CURRENT UNITS]]/INVESTORS_LIST[[#This Row],[TOTAL CURRENT UNITS]])</f>
        <v>0</v>
      </c>
      <c r="AL646" s="211" cm="1">
        <f t="array" ref="AL646">IF(INVESTORS_LIST[[#This Row],[LS_TOTAL UNITS BUY]]&gt;0,INDEX(LS[NAV at Cost (Average)],MATCH(CONCATENATE(COUNTIFS(LS[Investor ID],INVESTORS_LIST[[#This Row],[INVESTOR CODE]]),INVESTORS_LIST[[#This Row],[INVESTOR CODE]]),LS[Unique Code],0),),0)</f>
        <v>12.610976594027441</v>
      </c>
      <c r="AM646" s="211" cm="1">
        <f t="array" ref="AM6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6" s="105">
        <f>IF(INVESTORS_LIST[[#This Row],[TOTAL CURRENT UNITS]]=0,0,(INVESTORS_LIST[[#This Row],[LS_WEIGHT]]*INVESTORS_LIST[[#This Row],[LS_AVERAGE COST]])+(INVESTORS_LIST[[#This Row],[SIP_WEIGHT]]*INVESTORS_LIST[[#This Row],[SIP_AVERAGE COST]]))</f>
        <v>12.610976594027441</v>
      </c>
      <c r="AO646" s="105">
        <f t="shared" si="11"/>
        <v>14.224</v>
      </c>
      <c r="AP646" s="112">
        <f>IF(INVESTORS_LIST[[#This Row],[TOTAL CURRENT UNITS]]=0,0,INVESTORS_LIST[[#This Row],[TOTAL CURRENT UNITS]]*INVESTORS_LIST[[#This Row],[NAV]])</f>
        <v>563953.152</v>
      </c>
      <c r="AQ646" s="209">
        <f>IF(INVESTORS_LIST[[#This Row],[LS_TOTAL CURRENT UNITS]]=0,0,INVESTORS_LIST[[#This Row],[LS_TOTAL CURRENT UNITS]]*INVESTORS_LIST[[#This Row],[NAV]])</f>
        <v>563953.152</v>
      </c>
      <c r="AR646" s="48">
        <f>IF(INVESTORS_LIST[[#This Row],[SIP_TOTAL CURRENT UNITS]]=0,0,INVESTORS_LIST[[#This Row],[SIP_TOTAL CURRENT UNITS]]*INVESTORS_LIST[[#This Row],[NAV]])</f>
        <v>0</v>
      </c>
      <c r="AS646" s="50">
        <f>INVESTORS_LIST[[#This Row],[TOTAL CURRENT UNITS]]</f>
        <v>39648</v>
      </c>
      <c r="AT646" s="48">
        <f>IF(INVESTORS_LIST[[#This Row],[TOTAL SELLABLE UNITS]]=0,0,INVESTORS_LIST[[#This Row],[TOTAL SELLABLE UNITS]]*INVESTORS_LIST[[#This Row],[NAV]])</f>
        <v>563953.152</v>
      </c>
      <c r="AU646" s="48">
        <f>INVESTORS_LIST[[#This Row],[LS_TOTAL REALIZED GAIN]]+INVESTORS_LIST[[#This Row],[SIP_TOTAL REALIZED GAIN]]</f>
        <v>0</v>
      </c>
      <c r="AV646" s="48">
        <f>INVESTORS_LIST[[#This Row],[TOTAL MARKET VALUE]]-INVESTORS_LIST[[#This Row],[TOTAL COST VALUE OF CURRENT INVESTMENT]]</f>
        <v>63953.152000000002</v>
      </c>
      <c r="AW646" s="48">
        <f>IFERROR(INVESTORS_LIST[[#This Row],[TOTAL CURRENT UNITS]]/SUM(INVESTORS_LIST[TOTAL CURRENT UNITS]),0)</f>
        <v>9.6250309066471778E-4</v>
      </c>
    </row>
    <row r="647" spans="1:49">
      <c r="A647" s="262" t="s">
        <v>1506</v>
      </c>
      <c r="B647" s="97" t="s">
        <v>1409</v>
      </c>
      <c r="C647" t="s">
        <v>44</v>
      </c>
      <c r="D647" s="75" t="s">
        <v>45</v>
      </c>
      <c r="E647" s="50">
        <f>SUMIFS(LS[Unit],LS[Investor ID],INVESTORS_LIST[[#This Row],[INVESTOR CODE]],LS[B/S],"B")</f>
        <v>79692</v>
      </c>
      <c r="F647" s="50">
        <f>-SUMIFS(LS[Unit],LS[Investor ID],INVESTORS_LIST[[#This Row],[INVESTOR CODE]],LS[B/S],"S")</f>
        <v>0</v>
      </c>
      <c r="G647" s="50">
        <f>IF(INVESTORS_LIST[[#This Row],[LS_TOTAL UNITS BUY]]=0,0,INVESTORS_LIST[[#This Row],[LS_TOTAL UNITS BUY]]-INVESTORS_LIST[[#This Row],[LS_TOTAL UNITS SOLD]])</f>
        <v>79692</v>
      </c>
      <c r="H647" s="209">
        <f>IF(INVESTORS_LIST[[#This Row],[LS_TOTAL UNITS BUY]]=0,0,SUMIFS(LS[Amount],LS[Investor ID],INVESTORS_LIST[[#This Row],[INVESTOR CODE]],LS[B/S],"B"))</f>
        <v>1005000</v>
      </c>
      <c r="I647" s="48">
        <f>IF(INVESTORS_LIST[[#This Row],[LS_TOTAL UNITS SOLD]]=0,0,SUMIFS(LS[Cost of Units Sold],LS[Investor ID],INVESTORS_LIST[[#This Row],[INVESTOR CODE]],LS[B/S],"S"))</f>
        <v>0</v>
      </c>
      <c r="J647" s="48">
        <f>IF(INVESTORS_LIST[[#This Row],[LS_TOTAL CURRENT UNITS]]=0,0,INVESTORS_LIST[[#This Row],[LS_TOTAL CURRENT UNITS]]*INVESTORS_LIST[[#This Row],[LS_AVERAGE COST]])</f>
        <v>1005000</v>
      </c>
      <c r="K647" s="48">
        <f>IF(INVESTORS_LIST[[#This Row],[LS_TOTAL UNITS SOLD]]=0,0,SUMIFS(LS[Realized Gain],LS[Investor ID],INVESTORS_LIST[[#This Row],[INVESTOR CODE]],LS[B/S],"S"))</f>
        <v>0</v>
      </c>
      <c r="L647" s="210">
        <f>SUMIFS(SIP[Unit],SIP[Investor ID],INVESTORS_LIST[[#This Row],[INVESTOR CODE]],SIP[B/S],"B")</f>
        <v>0</v>
      </c>
      <c r="M647" s="50">
        <f>-SUMIFS(SIP[Unit],SIP[Investor ID],INVESTORS_LIST[[#This Row],[INVESTOR CODE]],SIP[B/S],"S")</f>
        <v>0</v>
      </c>
      <c r="N647" s="50">
        <f>IF(INVESTORS_LIST[[#This Row],[SIP_TOTAL UNITS BUY]]=0,0,INVESTORS_LIST[[#This Row],[SIP_TOTAL UNITS BUY]]-INVESTORS_LIST[[#This Row],[SIP_TOTAL UNITS SOLD]])</f>
        <v>0</v>
      </c>
      <c r="O647" s="48">
        <f>IF(INVESTORS_LIST[[#This Row],[SIP_TOTAL UNITS BUY]]=0,0,SUMIFS(SIP[Amount],SIP[Investor ID],INVESTORS_LIST[[#This Row],[INVESTOR CODE]],SIP[B/S],"B"))</f>
        <v>0</v>
      </c>
      <c r="P647" s="48">
        <f>IF(INVESTORS_LIST[[#This Row],[SIP_TOTAL UNITS SOLD]]=0,0,SUMIFS(SIP[Cost of Units Sold],SIP[Investor ID],INVESTORS_LIST[[#This Row],[INVESTOR CODE]],SIP[B/S],"S"))</f>
        <v>0</v>
      </c>
      <c r="Q647" s="48">
        <f>IF(INVESTORS_LIST[[#This Row],[SIP_TOTAL CURRENT UNITS]]=0,0,INVESTORS_LIST[[#This Row],[SIP_TOTAL CURRENT UNITS]]*INVESTORS_LIST[[#This Row],[SIP_AVERAGE COST]])</f>
        <v>0</v>
      </c>
      <c r="R647" s="48">
        <f>IF(INVESTORS_LIST[[#This Row],[SIP_TOTAL UNITS SOLD]]=0,0,SUMIFS(SIP[Realized Gain],SIP[Investor ID],INVESTORS_LIST[[#This Row],[INVESTOR CODE]],SIP[B/S],"S"))</f>
        <v>0</v>
      </c>
      <c r="S647" s="50">
        <f>INVESTORS_LIST[[#This Row],[LS_TOTAL UNITS BUY]]+INVESTORS_LIST[[#This Row],[SIP_TOTAL UNITS BUY]]</f>
        <v>79692</v>
      </c>
      <c r="T647" s="50">
        <f>INVESTORS_LIST[[#This Row],[LS_TOTAL UNITS SOLD]]+INVESTORS_LIST[[#This Row],[SIP_TOTAL UNITS SOLD]]</f>
        <v>0</v>
      </c>
      <c r="U647" s="50">
        <v>79692</v>
      </c>
      <c r="V647" s="50">
        <f>SUMIFS(LS[BO UNIT TRANSFER],LS[Investor ID],INVESTORS_LIST[[#This Row],[INVESTOR CODE]],LS[B/S],"B")</f>
        <v>0</v>
      </c>
      <c r="W647" s="50">
        <f>SUMIFS(SIP[BO UNIT TRANSFER],SIP[Investor ID],INVESTORS_LIST[[#This Row],[INVESTOR CODE]],SIP[B/S],"B")</f>
        <v>0</v>
      </c>
      <c r="X647" s="50">
        <f>SUMIFS(LS[BO UNIT TRANSFER],LS[Investor ID],INVESTORS_LIST[[#This Row],[INVESTOR CODE]],LS[B/S],"S")</f>
        <v>0</v>
      </c>
      <c r="Y647" s="50">
        <f>SUMIFS(SIP[BO UNIT TRANSFER],SIP[Investor ID],INVESTORS_LIST[[#This Row],[INVESTOR CODE]],SIP[B/S],"S")</f>
        <v>0</v>
      </c>
      <c r="Z647" s="106">
        <f>SUM(INVESTORS_LIST[[#This Row],[BO OPENING BALANCE]:[BO SIP UNITS REPURCHASE]])</f>
        <v>79692</v>
      </c>
      <c r="AA647" s="107">
        <f>INVESTORS_LIST[[#This Row],[TOTAL UNITS BUY]]-INVESTORS_LIST[[#This Row],[TOTAL UNITS SOLD]]</f>
        <v>79692</v>
      </c>
      <c r="AB647" s="107">
        <f>INVESTORS_LIST[[#This Row],[TOTAL CURRENT UNITS]]-INVESTORS_LIST[[#This Row],[BO UNITS HOLD]]</f>
        <v>0</v>
      </c>
      <c r="AC647" s="201" t="e">
        <f>INDEX([3]!Table_1[BO ID],MATCH(INVESTORS_LIST[[#This Row],[INVESTOR CODE]],[3]!Table_1[INVESTOR CODE],0))</f>
        <v>#REF!</v>
      </c>
      <c r="AD647" s="201" t="e">
        <f>INDEX([3]!Table_1[Brokerage Name2],MATCH(INVESTORS_LIST[[#This Row],[INVESTOR CODE]],[3]!Table_1[INVESTOR CODE],0))</f>
        <v>#REF!</v>
      </c>
      <c r="AE647" s="201" t="e">
        <f>MID(INVESTORS_LIST[[#This Row],[BO ID]],4,5)</f>
        <v>#REF!</v>
      </c>
      <c r="AF647" s="201" t="e">
        <f>MID(INVESTORS_LIST[[#This Row],[BO ID]],2,7)</f>
        <v>#REF!</v>
      </c>
      <c r="AG647" s="201" t="e">
        <f>MID(INVESTORS_LIST[[#This Row],[BO ID]],9,7)</f>
        <v>#REF!</v>
      </c>
      <c r="AH647" s="201" t="e">
        <f>RIGHT(INVESTORS_LIST[[#This Row],[BO ID]],1)</f>
        <v>#REF!</v>
      </c>
      <c r="AI647" s="50">
        <f>INVESTORS_LIST[[#This Row],[LS_TOTAL COST VALUE OF CURRENT UNITS]]+INVESTORS_LIST[[#This Row],[SIP_TOTAL COST VALUE OF CURRENT UNITS]]</f>
        <v>1005000</v>
      </c>
      <c r="AJ647" s="109">
        <f>IF(INVESTORS_LIST[[#This Row],[TOTAL CURRENT UNITS]]=0,0,INVESTORS_LIST[[#This Row],[LS_TOTAL CURRENT UNITS]]/INVESTORS_LIST[[#This Row],[TOTAL CURRENT UNITS]])</f>
        <v>1</v>
      </c>
      <c r="AK647" s="109">
        <f>IF(INVESTORS_LIST[[#This Row],[TOTAL CURRENT UNITS]]=0,0,INVESTORS_LIST[[#This Row],[SIP_TOTAL CURRENT UNITS]]/INVESTORS_LIST[[#This Row],[TOTAL CURRENT UNITS]])</f>
        <v>0</v>
      </c>
      <c r="AL647" s="211" cm="1">
        <f t="array" ref="AL647">IF(INVESTORS_LIST[[#This Row],[LS_TOTAL UNITS BUY]]&gt;0,INDEX(LS[NAV at Cost (Average)],MATCH(CONCATENATE(COUNTIFS(LS[Investor ID],INVESTORS_LIST[[#This Row],[INVESTOR CODE]]),INVESTORS_LIST[[#This Row],[INVESTOR CODE]]),LS[Unique Code],0),),0)</f>
        <v>12.611052552326457</v>
      </c>
      <c r="AM647" s="211" cm="1">
        <f t="array" ref="AM6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7" s="105">
        <f>IF(INVESTORS_LIST[[#This Row],[TOTAL CURRENT UNITS]]=0,0,(INVESTORS_LIST[[#This Row],[LS_WEIGHT]]*INVESTORS_LIST[[#This Row],[LS_AVERAGE COST]])+(INVESTORS_LIST[[#This Row],[SIP_WEIGHT]]*INVESTORS_LIST[[#This Row],[SIP_AVERAGE COST]]))</f>
        <v>12.611052552326457</v>
      </c>
      <c r="AO647" s="105">
        <f t="shared" si="11"/>
        <v>14.224</v>
      </c>
      <c r="AP647" s="112">
        <f>IF(INVESTORS_LIST[[#This Row],[TOTAL CURRENT UNITS]]=0,0,INVESTORS_LIST[[#This Row],[TOTAL CURRENT UNITS]]*INVESTORS_LIST[[#This Row],[NAV]])</f>
        <v>1133539.0079999999</v>
      </c>
      <c r="AQ647" s="209">
        <f>IF(INVESTORS_LIST[[#This Row],[LS_TOTAL CURRENT UNITS]]=0,0,INVESTORS_LIST[[#This Row],[LS_TOTAL CURRENT UNITS]]*INVESTORS_LIST[[#This Row],[NAV]])</f>
        <v>1133539.0079999999</v>
      </c>
      <c r="AR647" s="48">
        <f>IF(INVESTORS_LIST[[#This Row],[SIP_TOTAL CURRENT UNITS]]=0,0,INVESTORS_LIST[[#This Row],[SIP_TOTAL CURRENT UNITS]]*INVESTORS_LIST[[#This Row],[NAV]])</f>
        <v>0</v>
      </c>
      <c r="AS647" s="50">
        <f>INVESTORS_LIST[[#This Row],[TOTAL CURRENT UNITS]]</f>
        <v>79692</v>
      </c>
      <c r="AT647" s="48">
        <f>IF(INVESTORS_LIST[[#This Row],[TOTAL SELLABLE UNITS]]=0,0,INVESTORS_LIST[[#This Row],[TOTAL SELLABLE UNITS]]*INVESTORS_LIST[[#This Row],[NAV]])</f>
        <v>1133539.0079999999</v>
      </c>
      <c r="AU647" s="48">
        <f>INVESTORS_LIST[[#This Row],[LS_TOTAL REALIZED GAIN]]+INVESTORS_LIST[[#This Row],[SIP_TOTAL REALIZED GAIN]]</f>
        <v>0</v>
      </c>
      <c r="AV647" s="48">
        <f>INVESTORS_LIST[[#This Row],[TOTAL MARKET VALUE]]-INVESTORS_LIST[[#This Row],[TOTAL COST VALUE OF CURRENT INVESTMENT]]</f>
        <v>128539.00799999991</v>
      </c>
      <c r="AW647" s="48">
        <f>IFERROR(INVESTORS_LIST[[#This Row],[TOTAL CURRENT UNITS]]/SUM(INVESTORS_LIST[TOTAL CURRENT UNITS]),0)</f>
        <v>1.9346195596562925E-3</v>
      </c>
    </row>
    <row r="648" spans="1:49">
      <c r="A648" s="262" t="s">
        <v>1410</v>
      </c>
      <c r="B648" s="97" t="s">
        <v>1411</v>
      </c>
      <c r="C648" t="s">
        <v>44</v>
      </c>
      <c r="D648" s="75" t="s">
        <v>45</v>
      </c>
      <c r="E648" s="50">
        <f>SUMIFS(LS[Unit],LS[Investor ID],INVESTORS_LIST[[#This Row],[INVESTOR CODE]],LS[B/S],"B")</f>
        <v>1000</v>
      </c>
      <c r="F648" s="50">
        <f>-SUMIFS(LS[Unit],LS[Investor ID],INVESTORS_LIST[[#This Row],[INVESTOR CODE]],LS[B/S],"S")</f>
        <v>0</v>
      </c>
      <c r="G648" s="50">
        <f>IF(INVESTORS_LIST[[#This Row],[LS_TOTAL UNITS BUY]]=0,0,INVESTORS_LIST[[#This Row],[LS_TOTAL UNITS BUY]]-INVESTORS_LIST[[#This Row],[LS_TOTAL UNITS SOLD]])</f>
        <v>1000</v>
      </c>
      <c r="H648" s="102">
        <f>IF(INVESTORS_LIST[[#This Row],[LS_TOTAL UNITS BUY]]=0,0,SUMIFS(LS[Amount],LS[Investor ID],INVESTORS_LIST[[#This Row],[INVESTOR CODE]],LS[B/S],"B"))</f>
        <v>12680</v>
      </c>
      <c r="I648" s="48">
        <f>IF(INVESTORS_LIST[[#This Row],[LS_TOTAL UNITS SOLD]]=0,0,SUMIFS(LS[Cost of Units Sold],LS[Investor ID],INVESTORS_LIST[[#This Row],[INVESTOR CODE]],LS[B/S],"S"))</f>
        <v>0</v>
      </c>
      <c r="J648" s="48">
        <f>IF(INVESTORS_LIST[[#This Row],[LS_TOTAL CURRENT UNITS]]=0,0,INVESTORS_LIST[[#This Row],[LS_TOTAL CURRENT UNITS]]*INVESTORS_LIST[[#This Row],[LS_AVERAGE COST]])</f>
        <v>12680</v>
      </c>
      <c r="K648" s="48">
        <f>IF(INVESTORS_LIST[[#This Row],[LS_TOTAL UNITS SOLD]]=0,0,SUMIFS(LS[Realized Gain],LS[Investor ID],INVESTORS_LIST[[#This Row],[INVESTOR CODE]],LS[B/S],"S"))</f>
        <v>0</v>
      </c>
      <c r="L648" s="104">
        <f>SUMIFS(SIP[Unit],SIP[Investor ID],INVESTORS_LIST[[#This Row],[INVESTOR CODE]],SIP[B/S],"B")</f>
        <v>0</v>
      </c>
      <c r="M648" s="50">
        <f>-SUMIFS(SIP[Unit],SIP[Investor ID],INVESTORS_LIST[[#This Row],[INVESTOR CODE]],SIP[B/S],"S")</f>
        <v>0</v>
      </c>
      <c r="N648" s="50">
        <f>IF(INVESTORS_LIST[[#This Row],[SIP_TOTAL UNITS BUY]]=0,0,INVESTORS_LIST[[#This Row],[SIP_TOTAL UNITS BUY]]-INVESTORS_LIST[[#This Row],[SIP_TOTAL UNITS SOLD]])</f>
        <v>0</v>
      </c>
      <c r="O648" s="48">
        <f>IF(INVESTORS_LIST[[#This Row],[SIP_TOTAL UNITS BUY]]=0,0,SUMIFS(SIP[Amount],SIP[Investor ID],INVESTORS_LIST[[#This Row],[INVESTOR CODE]],SIP[B/S],"B"))</f>
        <v>0</v>
      </c>
      <c r="P648" s="48">
        <f>IF(INVESTORS_LIST[[#This Row],[SIP_TOTAL UNITS SOLD]]=0,0,SUMIFS(SIP[Cost of Units Sold],SIP[Investor ID],INVESTORS_LIST[[#This Row],[INVESTOR CODE]],SIP[B/S],"S"))</f>
        <v>0</v>
      </c>
      <c r="Q648" s="48">
        <f>IF(INVESTORS_LIST[[#This Row],[SIP_TOTAL CURRENT UNITS]]=0,0,INVESTORS_LIST[[#This Row],[SIP_TOTAL CURRENT UNITS]]*INVESTORS_LIST[[#This Row],[SIP_AVERAGE COST]])</f>
        <v>0</v>
      </c>
      <c r="R648" s="48">
        <f>IF(INVESTORS_LIST[[#This Row],[SIP_TOTAL UNITS SOLD]]=0,0,SUMIFS(SIP[Realized Gain],SIP[Investor ID],INVESTORS_LIST[[#This Row],[INVESTOR CODE]],SIP[B/S],"S"))</f>
        <v>0</v>
      </c>
      <c r="S648" s="50">
        <f>INVESTORS_LIST[[#This Row],[LS_TOTAL UNITS BUY]]+INVESTORS_LIST[[#This Row],[SIP_TOTAL UNITS BUY]]</f>
        <v>1000</v>
      </c>
      <c r="T648" s="50">
        <f>INVESTORS_LIST[[#This Row],[LS_TOTAL UNITS SOLD]]+INVESTORS_LIST[[#This Row],[SIP_TOTAL UNITS SOLD]]</f>
        <v>0</v>
      </c>
      <c r="U648" s="50">
        <v>1000</v>
      </c>
      <c r="V648" s="50">
        <f>SUMIFS(LS[BO UNIT TRANSFER],LS[Investor ID],INVESTORS_LIST[[#This Row],[INVESTOR CODE]],LS[B/S],"B")</f>
        <v>0</v>
      </c>
      <c r="W648" s="50">
        <f>SUMIFS(SIP[BO UNIT TRANSFER],SIP[Investor ID],INVESTORS_LIST[[#This Row],[INVESTOR CODE]],SIP[B/S],"B")</f>
        <v>0</v>
      </c>
      <c r="X648" s="50">
        <f>SUMIFS(LS[BO UNIT TRANSFER],LS[Investor ID],INVESTORS_LIST[[#This Row],[INVESTOR CODE]],LS[B/S],"S")</f>
        <v>0</v>
      </c>
      <c r="Y648" s="50">
        <f>SUMIFS(SIP[BO UNIT TRANSFER],SIP[Investor ID],INVESTORS_LIST[[#This Row],[INVESTOR CODE]],SIP[B/S],"S")</f>
        <v>0</v>
      </c>
      <c r="Z648" s="106">
        <f>SUM(INVESTORS_LIST[[#This Row],[BO OPENING BALANCE]:[BO SIP UNITS REPURCHASE]])</f>
        <v>1000</v>
      </c>
      <c r="AA648" s="107">
        <f>INVESTORS_LIST[[#This Row],[TOTAL UNITS BUY]]-INVESTORS_LIST[[#This Row],[TOTAL UNITS SOLD]]</f>
        <v>1000</v>
      </c>
      <c r="AB648" s="107">
        <f>INVESTORS_LIST[[#This Row],[TOTAL CURRENT UNITS]]-INVESTORS_LIST[[#This Row],[BO UNITS HOLD]]</f>
        <v>0</v>
      </c>
      <c r="AC648" s="201" t="e">
        <f>INDEX([3]!Table_1[BO ID],MATCH(INVESTORS_LIST[[#This Row],[INVESTOR CODE]],[3]!Table_1[INVESTOR CODE],0))</f>
        <v>#REF!</v>
      </c>
      <c r="AD648" s="201" t="e">
        <f>INDEX([3]!Table_1[Brokerage Name2],MATCH(INVESTORS_LIST[[#This Row],[INVESTOR CODE]],[3]!Table_1[INVESTOR CODE],0))</f>
        <v>#REF!</v>
      </c>
      <c r="AE648" s="201" t="e">
        <f>MID(INVESTORS_LIST[[#This Row],[BO ID]],4,5)</f>
        <v>#REF!</v>
      </c>
      <c r="AF648" s="201" t="e">
        <f>MID(INVESTORS_LIST[[#This Row],[BO ID]],2,7)</f>
        <v>#REF!</v>
      </c>
      <c r="AG648" s="201" t="e">
        <f>MID(INVESTORS_LIST[[#This Row],[BO ID]],9,7)</f>
        <v>#REF!</v>
      </c>
      <c r="AH648" s="201" t="e">
        <f>RIGHT(INVESTORS_LIST[[#This Row],[BO ID]],1)</f>
        <v>#REF!</v>
      </c>
      <c r="AI648" s="50">
        <f>INVESTORS_LIST[[#This Row],[LS_TOTAL COST VALUE OF CURRENT UNITS]]+INVESTORS_LIST[[#This Row],[SIP_TOTAL COST VALUE OF CURRENT UNITS]]</f>
        <v>12680</v>
      </c>
      <c r="AJ648" s="109">
        <f>IF(INVESTORS_LIST[[#This Row],[TOTAL CURRENT UNITS]]=0,0,INVESTORS_LIST[[#This Row],[LS_TOTAL CURRENT UNITS]]/INVESTORS_LIST[[#This Row],[TOTAL CURRENT UNITS]])</f>
        <v>1</v>
      </c>
      <c r="AK648" s="109">
        <f>IF(INVESTORS_LIST[[#This Row],[TOTAL CURRENT UNITS]]=0,0,INVESTORS_LIST[[#This Row],[SIP_TOTAL CURRENT UNITS]]/INVESTORS_LIST[[#This Row],[TOTAL CURRENT UNITS]])</f>
        <v>0</v>
      </c>
      <c r="AL648" s="99" cm="1">
        <f t="array" ref="AL648">IF(INVESTORS_LIST[[#This Row],[LS_TOTAL UNITS BUY]]&gt;0,INDEX(LS[NAV at Cost (Average)],MATCH(CONCATENATE(COUNTIFS(LS[Investor ID],INVESTORS_LIST[[#This Row],[INVESTOR CODE]]),INVESTORS_LIST[[#This Row],[INVESTOR CODE]]),LS[Unique Code],0),),0)</f>
        <v>12.68</v>
      </c>
      <c r="AM648" s="99" cm="1">
        <f t="array" ref="AM6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8" s="105">
        <f>IF(INVESTORS_LIST[[#This Row],[TOTAL CURRENT UNITS]]=0,0,(INVESTORS_LIST[[#This Row],[LS_WEIGHT]]*INVESTORS_LIST[[#This Row],[LS_AVERAGE COST]])+(INVESTORS_LIST[[#This Row],[SIP_WEIGHT]]*INVESTORS_LIST[[#This Row],[SIP_AVERAGE COST]]))</f>
        <v>12.68</v>
      </c>
      <c r="AO648" s="105">
        <f t="shared" si="11"/>
        <v>14.224</v>
      </c>
      <c r="AP648" s="112">
        <f>IF(INVESTORS_LIST[[#This Row],[TOTAL CURRENT UNITS]]=0,0,INVESTORS_LIST[[#This Row],[TOTAL CURRENT UNITS]]*INVESTORS_LIST[[#This Row],[NAV]])</f>
        <v>14224</v>
      </c>
      <c r="AQ648" s="102">
        <f>IF(INVESTORS_LIST[[#This Row],[LS_TOTAL CURRENT UNITS]]=0,0,INVESTORS_LIST[[#This Row],[LS_TOTAL CURRENT UNITS]]*INVESTORS_LIST[[#This Row],[NAV]])</f>
        <v>14224</v>
      </c>
      <c r="AR648" s="48">
        <f>IF(INVESTORS_LIST[[#This Row],[SIP_TOTAL CURRENT UNITS]]=0,0,INVESTORS_LIST[[#This Row],[SIP_TOTAL CURRENT UNITS]]*INVESTORS_LIST[[#This Row],[NAV]])</f>
        <v>0</v>
      </c>
      <c r="AS648" s="50">
        <f>INVESTORS_LIST[[#This Row],[TOTAL CURRENT UNITS]]</f>
        <v>1000</v>
      </c>
      <c r="AT648" s="48">
        <f>IF(INVESTORS_LIST[[#This Row],[TOTAL SELLABLE UNITS]]=0,0,INVESTORS_LIST[[#This Row],[TOTAL SELLABLE UNITS]]*INVESTORS_LIST[[#This Row],[NAV]])</f>
        <v>14224</v>
      </c>
      <c r="AU648" s="48">
        <f>INVESTORS_LIST[[#This Row],[LS_TOTAL REALIZED GAIN]]+INVESTORS_LIST[[#This Row],[SIP_TOTAL REALIZED GAIN]]</f>
        <v>0</v>
      </c>
      <c r="AV648" s="48">
        <f>INVESTORS_LIST[[#This Row],[TOTAL MARKET VALUE]]-INVESTORS_LIST[[#This Row],[TOTAL COST VALUE OF CURRENT INVESTMENT]]</f>
        <v>1544</v>
      </c>
      <c r="AW648" s="48">
        <f>IFERROR(INVESTORS_LIST[[#This Row],[TOTAL CURRENT UNITS]]/SUM(INVESTORS_LIST[TOTAL CURRENT UNITS]),0)</f>
        <v>2.4276207896103655E-5</v>
      </c>
    </row>
    <row r="649" spans="1:49">
      <c r="A649" s="262" t="s">
        <v>1412</v>
      </c>
      <c r="B649" s="97" t="s">
        <v>1413</v>
      </c>
      <c r="C649" t="s">
        <v>44</v>
      </c>
      <c r="D649" s="75" t="s">
        <v>45</v>
      </c>
      <c r="E649" s="50">
        <f>SUMIFS(LS[Unit],LS[Investor ID],INVESTORS_LIST[[#This Row],[INVESTOR CODE]],LS[B/S],"B")</f>
        <v>1542166</v>
      </c>
      <c r="F649" s="50">
        <f>-SUMIFS(LS[Unit],LS[Investor ID],INVESTORS_LIST[[#This Row],[INVESTOR CODE]],LS[B/S],"S")</f>
        <v>0</v>
      </c>
      <c r="G649" s="50">
        <f>IF(INVESTORS_LIST[[#This Row],[LS_TOTAL UNITS BUY]]=0,0,INVESTORS_LIST[[#This Row],[LS_TOTAL UNITS BUY]]-INVESTORS_LIST[[#This Row],[LS_TOTAL UNITS SOLD]])</f>
        <v>1542166</v>
      </c>
      <c r="H649" s="102">
        <f>IF(INVESTORS_LIST[[#This Row],[LS_TOTAL UNITS BUY]]=0,0,SUMIFS(LS[Amount],LS[Investor ID],INVESTORS_LIST[[#This Row],[INVESTOR CODE]],LS[B/S],"B"))</f>
        <v>20000000</v>
      </c>
      <c r="I649" s="48">
        <f>IF(INVESTORS_LIST[[#This Row],[LS_TOTAL UNITS SOLD]]=0,0,SUMIFS(LS[Cost of Units Sold],LS[Investor ID],INVESTORS_LIST[[#This Row],[INVESTOR CODE]],LS[B/S],"S"))</f>
        <v>0</v>
      </c>
      <c r="J649" s="48">
        <f>IF(INVESTORS_LIST[[#This Row],[LS_TOTAL CURRENT UNITS]]=0,0,INVESTORS_LIST[[#This Row],[LS_TOTAL CURRENT UNITS]]*INVESTORS_LIST[[#This Row],[LS_AVERAGE COST]])</f>
        <v>20000000</v>
      </c>
      <c r="K649" s="48">
        <f>IF(INVESTORS_LIST[[#This Row],[LS_TOTAL UNITS SOLD]]=0,0,SUMIFS(LS[Realized Gain],LS[Investor ID],INVESTORS_LIST[[#This Row],[INVESTOR CODE]],LS[B/S],"S"))</f>
        <v>0</v>
      </c>
      <c r="L649" s="104">
        <f>SUMIFS(SIP[Unit],SIP[Investor ID],INVESTORS_LIST[[#This Row],[INVESTOR CODE]],SIP[B/S],"B")</f>
        <v>0</v>
      </c>
      <c r="M649" s="50">
        <f>-SUMIFS(SIP[Unit],SIP[Investor ID],INVESTORS_LIST[[#This Row],[INVESTOR CODE]],SIP[B/S],"S")</f>
        <v>0</v>
      </c>
      <c r="N649" s="50">
        <f>IF(INVESTORS_LIST[[#This Row],[SIP_TOTAL UNITS BUY]]=0,0,INVESTORS_LIST[[#This Row],[SIP_TOTAL UNITS BUY]]-INVESTORS_LIST[[#This Row],[SIP_TOTAL UNITS SOLD]])</f>
        <v>0</v>
      </c>
      <c r="O649" s="48">
        <f>IF(INVESTORS_LIST[[#This Row],[SIP_TOTAL UNITS BUY]]=0,0,SUMIFS(SIP[Amount],SIP[Investor ID],INVESTORS_LIST[[#This Row],[INVESTOR CODE]],SIP[B/S],"B"))</f>
        <v>0</v>
      </c>
      <c r="P649" s="48">
        <f>IF(INVESTORS_LIST[[#This Row],[SIP_TOTAL UNITS SOLD]]=0,0,SUMIFS(SIP[Cost of Units Sold],SIP[Investor ID],INVESTORS_LIST[[#This Row],[INVESTOR CODE]],SIP[B/S],"S"))</f>
        <v>0</v>
      </c>
      <c r="Q649" s="48">
        <f>IF(INVESTORS_LIST[[#This Row],[SIP_TOTAL CURRENT UNITS]]=0,0,INVESTORS_LIST[[#This Row],[SIP_TOTAL CURRENT UNITS]]*INVESTORS_LIST[[#This Row],[SIP_AVERAGE COST]])</f>
        <v>0</v>
      </c>
      <c r="R649" s="48">
        <f>IF(INVESTORS_LIST[[#This Row],[SIP_TOTAL UNITS SOLD]]=0,0,SUMIFS(SIP[Realized Gain],SIP[Investor ID],INVESTORS_LIST[[#This Row],[INVESTOR CODE]],SIP[B/S],"S"))</f>
        <v>0</v>
      </c>
      <c r="S649" s="50">
        <f>INVESTORS_LIST[[#This Row],[LS_TOTAL UNITS BUY]]+INVESTORS_LIST[[#This Row],[SIP_TOTAL UNITS BUY]]</f>
        <v>1542166</v>
      </c>
      <c r="T649" s="50">
        <f>INVESTORS_LIST[[#This Row],[LS_TOTAL UNITS SOLD]]+INVESTORS_LIST[[#This Row],[SIP_TOTAL UNITS SOLD]]</f>
        <v>0</v>
      </c>
      <c r="U649" s="50">
        <v>1542166</v>
      </c>
      <c r="V649" s="50">
        <f>SUMIFS(LS[BO UNIT TRANSFER],LS[Investor ID],INVESTORS_LIST[[#This Row],[INVESTOR CODE]],LS[B/S],"B")</f>
        <v>0</v>
      </c>
      <c r="W649" s="50">
        <f>SUMIFS(SIP[BO UNIT TRANSFER],SIP[Investor ID],INVESTORS_LIST[[#This Row],[INVESTOR CODE]],SIP[B/S],"B")</f>
        <v>0</v>
      </c>
      <c r="X649" s="50">
        <f>SUMIFS(LS[BO UNIT TRANSFER],LS[Investor ID],INVESTORS_LIST[[#This Row],[INVESTOR CODE]],LS[B/S],"S")</f>
        <v>0</v>
      </c>
      <c r="Y649" s="50">
        <f>SUMIFS(SIP[BO UNIT TRANSFER],SIP[Investor ID],INVESTORS_LIST[[#This Row],[INVESTOR CODE]],SIP[B/S],"S")</f>
        <v>0</v>
      </c>
      <c r="Z649" s="106">
        <f>SUM(INVESTORS_LIST[[#This Row],[BO OPENING BALANCE]:[BO SIP UNITS REPURCHASE]])</f>
        <v>1542166</v>
      </c>
      <c r="AA649" s="107">
        <f>INVESTORS_LIST[[#This Row],[TOTAL UNITS BUY]]-INVESTORS_LIST[[#This Row],[TOTAL UNITS SOLD]]</f>
        <v>1542166</v>
      </c>
      <c r="AB649" s="107">
        <f>INVESTORS_LIST[[#This Row],[TOTAL CURRENT UNITS]]-INVESTORS_LIST[[#This Row],[BO UNITS HOLD]]</f>
        <v>0</v>
      </c>
      <c r="AC649" s="201" t="e">
        <f>INDEX([3]!Table_1[BO ID],MATCH(INVESTORS_LIST[[#This Row],[INVESTOR CODE]],[3]!Table_1[INVESTOR CODE],0))</f>
        <v>#REF!</v>
      </c>
      <c r="AD649" s="201" t="e">
        <f>INDEX([3]!Table_1[Brokerage Name2],MATCH(INVESTORS_LIST[[#This Row],[INVESTOR CODE]],[3]!Table_1[INVESTOR CODE],0))</f>
        <v>#REF!</v>
      </c>
      <c r="AE649" s="201" t="e">
        <f>MID(INVESTORS_LIST[[#This Row],[BO ID]],4,5)</f>
        <v>#REF!</v>
      </c>
      <c r="AF649" s="201" t="e">
        <f>MID(INVESTORS_LIST[[#This Row],[BO ID]],2,7)</f>
        <v>#REF!</v>
      </c>
      <c r="AG649" s="201" t="e">
        <f>MID(INVESTORS_LIST[[#This Row],[BO ID]],9,7)</f>
        <v>#REF!</v>
      </c>
      <c r="AH649" s="201" t="e">
        <f>RIGHT(INVESTORS_LIST[[#This Row],[BO ID]],1)</f>
        <v>#REF!</v>
      </c>
      <c r="AI649" s="50">
        <f>INVESTORS_LIST[[#This Row],[LS_TOTAL COST VALUE OF CURRENT UNITS]]+INVESTORS_LIST[[#This Row],[SIP_TOTAL COST VALUE OF CURRENT UNITS]]</f>
        <v>20000000</v>
      </c>
      <c r="AJ649" s="109">
        <f>IF(INVESTORS_LIST[[#This Row],[TOTAL CURRENT UNITS]]=0,0,INVESTORS_LIST[[#This Row],[LS_TOTAL CURRENT UNITS]]/INVESTORS_LIST[[#This Row],[TOTAL CURRENT UNITS]])</f>
        <v>1</v>
      </c>
      <c r="AK649" s="109">
        <f>IF(INVESTORS_LIST[[#This Row],[TOTAL CURRENT UNITS]]=0,0,INVESTORS_LIST[[#This Row],[SIP_TOTAL CURRENT UNITS]]/INVESTORS_LIST[[#This Row],[TOTAL CURRENT UNITS]])</f>
        <v>0</v>
      </c>
      <c r="AL649" s="99" cm="1">
        <f t="array" ref="AL649">IF(INVESTORS_LIST[[#This Row],[LS_TOTAL UNITS BUY]]&gt;0,INDEX(LS[NAV at Cost (Average)],MATCH(CONCATENATE(COUNTIFS(LS[Investor ID],INVESTORS_LIST[[#This Row],[INVESTOR CODE]]),INVESTORS_LIST[[#This Row],[INVESTOR CODE]]),LS[Unique Code],0),),0)</f>
        <v>12.968772492714791</v>
      </c>
      <c r="AM649" s="99" cm="1">
        <f t="array" ref="AM6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49" s="105">
        <f>IF(INVESTORS_LIST[[#This Row],[TOTAL CURRENT UNITS]]=0,0,(INVESTORS_LIST[[#This Row],[LS_WEIGHT]]*INVESTORS_LIST[[#This Row],[LS_AVERAGE COST]])+(INVESTORS_LIST[[#This Row],[SIP_WEIGHT]]*INVESTORS_LIST[[#This Row],[SIP_AVERAGE COST]]))</f>
        <v>12.968772492714791</v>
      </c>
      <c r="AO649" s="105">
        <f t="shared" si="11"/>
        <v>14.224</v>
      </c>
      <c r="AP649" s="112">
        <f>IF(INVESTORS_LIST[[#This Row],[TOTAL CURRENT UNITS]]=0,0,INVESTORS_LIST[[#This Row],[TOTAL CURRENT UNITS]]*INVESTORS_LIST[[#This Row],[NAV]])</f>
        <v>21935769.184</v>
      </c>
      <c r="AQ649" s="102">
        <f>IF(INVESTORS_LIST[[#This Row],[LS_TOTAL CURRENT UNITS]]=0,0,INVESTORS_LIST[[#This Row],[LS_TOTAL CURRENT UNITS]]*INVESTORS_LIST[[#This Row],[NAV]])</f>
        <v>21935769.184</v>
      </c>
      <c r="AR649" s="48">
        <f>IF(INVESTORS_LIST[[#This Row],[SIP_TOTAL CURRENT UNITS]]=0,0,INVESTORS_LIST[[#This Row],[SIP_TOTAL CURRENT UNITS]]*INVESTORS_LIST[[#This Row],[NAV]])</f>
        <v>0</v>
      </c>
      <c r="AS649" s="50">
        <f>INVESTORS_LIST[[#This Row],[TOTAL CURRENT UNITS]]</f>
        <v>1542166</v>
      </c>
      <c r="AT649" s="48">
        <f>IF(INVESTORS_LIST[[#This Row],[TOTAL SELLABLE UNITS]]=0,0,INVESTORS_LIST[[#This Row],[TOTAL SELLABLE UNITS]]*INVESTORS_LIST[[#This Row],[NAV]])</f>
        <v>21935769.184</v>
      </c>
      <c r="AU649" s="48">
        <f>INVESTORS_LIST[[#This Row],[LS_TOTAL REALIZED GAIN]]+INVESTORS_LIST[[#This Row],[SIP_TOTAL REALIZED GAIN]]</f>
        <v>0</v>
      </c>
      <c r="AV649" s="48">
        <f>INVESTORS_LIST[[#This Row],[TOTAL MARKET VALUE]]-INVESTORS_LIST[[#This Row],[TOTAL COST VALUE OF CURRENT INVESTMENT]]</f>
        <v>1935769.1840000004</v>
      </c>
      <c r="AW649" s="48">
        <f>IFERROR(INVESTORS_LIST[[#This Row],[TOTAL CURRENT UNITS]]/SUM(INVESTORS_LIST[TOTAL CURRENT UNITS]),0)</f>
        <v>3.7437942426302592E-2</v>
      </c>
    </row>
    <row r="650" spans="1:49">
      <c r="A650" s="262" t="s">
        <v>1414</v>
      </c>
      <c r="B650" s="212" t="s">
        <v>1415</v>
      </c>
      <c r="C650" s="99" t="s">
        <v>67</v>
      </c>
      <c r="D650" s="101" t="s">
        <v>45</v>
      </c>
      <c r="E650" s="50">
        <f>SUMIFS(LS[Unit],LS[Investor ID],INVESTORS_LIST[[#This Row],[INVESTOR CODE]],LS[B/S],"B")</f>
        <v>15403</v>
      </c>
      <c r="F650" s="50">
        <f>-SUMIFS(LS[Unit],LS[Investor ID],INVESTORS_LIST[[#This Row],[INVESTOR CODE]],LS[B/S],"S")</f>
        <v>0</v>
      </c>
      <c r="G650" s="50">
        <f>IF(INVESTORS_LIST[[#This Row],[LS_TOTAL UNITS BUY]]=0,0,INVESTORS_LIST[[#This Row],[LS_TOTAL UNITS BUY]]-INVESTORS_LIST[[#This Row],[LS_TOTAL UNITS SOLD]])</f>
        <v>15403</v>
      </c>
      <c r="H650" s="102">
        <f>IF(INVESTORS_LIST[[#This Row],[LS_TOTAL UNITS BUY]]=0,0,SUMIFS(LS[Amount],LS[Investor ID],INVESTORS_LIST[[#This Row],[INVESTOR CODE]],LS[B/S],"B"))</f>
        <v>200000</v>
      </c>
      <c r="I650" s="48">
        <f>IF(INVESTORS_LIST[[#This Row],[LS_TOTAL UNITS SOLD]]=0,0,SUMIFS(LS[Cost of Units Sold],LS[Investor ID],INVESTORS_LIST[[#This Row],[INVESTOR CODE]],LS[B/S],"S"))</f>
        <v>0</v>
      </c>
      <c r="J650" s="48">
        <f>IF(INVESTORS_LIST[[#This Row],[LS_TOTAL CURRENT UNITS]]=0,0,INVESTORS_LIST[[#This Row],[LS_TOTAL CURRENT UNITS]]*INVESTORS_LIST[[#This Row],[LS_AVERAGE COST]])</f>
        <v>200000.00000000003</v>
      </c>
      <c r="K650" s="48">
        <f>IF(INVESTORS_LIST[[#This Row],[LS_TOTAL UNITS SOLD]]=0,0,SUMIFS(LS[Realized Gain],LS[Investor ID],INVESTORS_LIST[[#This Row],[INVESTOR CODE]],LS[B/S],"S"))</f>
        <v>0</v>
      </c>
      <c r="L650" s="104">
        <f>SUMIFS(SIP[Unit],SIP[Investor ID],INVESTORS_LIST[[#This Row],[INVESTOR CODE]],SIP[B/S],"B")</f>
        <v>0</v>
      </c>
      <c r="M650" s="50">
        <f>-SUMIFS(SIP[Unit],SIP[Investor ID],INVESTORS_LIST[[#This Row],[INVESTOR CODE]],SIP[B/S],"S")</f>
        <v>0</v>
      </c>
      <c r="N650" s="50">
        <f>IF(INVESTORS_LIST[[#This Row],[SIP_TOTAL UNITS BUY]]=0,0,INVESTORS_LIST[[#This Row],[SIP_TOTAL UNITS BUY]]-INVESTORS_LIST[[#This Row],[SIP_TOTAL UNITS SOLD]])</f>
        <v>0</v>
      </c>
      <c r="O650" s="48">
        <f>IF(INVESTORS_LIST[[#This Row],[SIP_TOTAL UNITS BUY]]=0,0,SUMIFS(SIP[Amount],SIP[Investor ID],INVESTORS_LIST[[#This Row],[INVESTOR CODE]],SIP[B/S],"B"))</f>
        <v>0</v>
      </c>
      <c r="P650" s="48">
        <f>IF(INVESTORS_LIST[[#This Row],[SIP_TOTAL UNITS SOLD]]=0,0,SUMIFS(SIP[Cost of Units Sold],SIP[Investor ID],INVESTORS_LIST[[#This Row],[INVESTOR CODE]],SIP[B/S],"S"))</f>
        <v>0</v>
      </c>
      <c r="Q650" s="48">
        <f>IF(INVESTORS_LIST[[#This Row],[SIP_TOTAL CURRENT UNITS]]=0,0,INVESTORS_LIST[[#This Row],[SIP_TOTAL CURRENT UNITS]]*INVESTORS_LIST[[#This Row],[SIP_AVERAGE COST]])</f>
        <v>0</v>
      </c>
      <c r="R650" s="48">
        <f>IF(INVESTORS_LIST[[#This Row],[SIP_TOTAL UNITS SOLD]]=0,0,SUMIFS(SIP[Realized Gain],SIP[Investor ID],INVESTORS_LIST[[#This Row],[INVESTOR CODE]],SIP[B/S],"S"))</f>
        <v>0</v>
      </c>
      <c r="S650" s="50">
        <f>INVESTORS_LIST[[#This Row],[LS_TOTAL UNITS BUY]]+INVESTORS_LIST[[#This Row],[SIP_TOTAL UNITS BUY]]</f>
        <v>15403</v>
      </c>
      <c r="T650" s="50">
        <f>INVESTORS_LIST[[#This Row],[LS_TOTAL UNITS SOLD]]+INVESTORS_LIST[[#This Row],[SIP_TOTAL UNITS SOLD]]</f>
        <v>0</v>
      </c>
      <c r="U650" s="50"/>
      <c r="V650" s="50">
        <f>SUMIFS(LS[BO UNIT TRANSFER],LS[Investor ID],INVESTORS_LIST[[#This Row],[INVESTOR CODE]],LS[B/S],"B")</f>
        <v>0</v>
      </c>
      <c r="W650" s="50">
        <f>SUMIFS(SIP[BO UNIT TRANSFER],SIP[Investor ID],INVESTORS_LIST[[#This Row],[INVESTOR CODE]],SIP[B/S],"B")</f>
        <v>0</v>
      </c>
      <c r="X650" s="50">
        <f>SUMIFS(LS[BO UNIT TRANSFER],LS[Investor ID],INVESTORS_LIST[[#This Row],[INVESTOR CODE]],LS[B/S],"S")</f>
        <v>0</v>
      </c>
      <c r="Y650" s="50">
        <f>SUMIFS(SIP[BO UNIT TRANSFER],SIP[Investor ID],INVESTORS_LIST[[#This Row],[INVESTOR CODE]],SIP[B/S],"S")</f>
        <v>0</v>
      </c>
      <c r="Z650" s="106">
        <f>SUM(INVESTORS_LIST[[#This Row],[BO OPENING BALANCE]:[BO SIP UNITS REPURCHASE]])</f>
        <v>0</v>
      </c>
      <c r="AA650" s="107">
        <f>INVESTORS_LIST[[#This Row],[TOTAL UNITS BUY]]-INVESTORS_LIST[[#This Row],[TOTAL UNITS SOLD]]</f>
        <v>15403</v>
      </c>
      <c r="AB650" s="107">
        <f>INVESTORS_LIST[[#This Row],[TOTAL CURRENT UNITS]]-INVESTORS_LIST[[#This Row],[BO UNITS HOLD]]</f>
        <v>15403</v>
      </c>
      <c r="AC650" s="201" t="e">
        <f>INDEX([3]!Table_1[BO ID],MATCH(INVESTORS_LIST[[#This Row],[INVESTOR CODE]],[3]!Table_1[INVESTOR CODE],0))</f>
        <v>#REF!</v>
      </c>
      <c r="AD650" s="201" t="e">
        <f>INDEX([3]!Table_1[Brokerage Name2],MATCH(INVESTORS_LIST[[#This Row],[INVESTOR CODE]],[3]!Table_1[INVESTOR CODE],0))</f>
        <v>#REF!</v>
      </c>
      <c r="AE650" s="201" t="e">
        <f>MID(INVESTORS_LIST[[#This Row],[BO ID]],4,5)</f>
        <v>#REF!</v>
      </c>
      <c r="AF650" s="201" t="e">
        <f>MID(INVESTORS_LIST[[#This Row],[BO ID]],2,7)</f>
        <v>#REF!</v>
      </c>
      <c r="AG650" s="201" t="e">
        <f>MID(INVESTORS_LIST[[#This Row],[BO ID]],9,7)</f>
        <v>#REF!</v>
      </c>
      <c r="AH650" s="201" t="e">
        <f>RIGHT(INVESTORS_LIST[[#This Row],[BO ID]],1)</f>
        <v>#REF!</v>
      </c>
      <c r="AI650" s="50">
        <f>INVESTORS_LIST[[#This Row],[LS_TOTAL COST VALUE OF CURRENT UNITS]]+INVESTORS_LIST[[#This Row],[SIP_TOTAL COST VALUE OF CURRENT UNITS]]</f>
        <v>200000.00000000003</v>
      </c>
      <c r="AJ650" s="109">
        <f>IF(INVESTORS_LIST[[#This Row],[TOTAL CURRENT UNITS]]=0,0,INVESTORS_LIST[[#This Row],[LS_TOTAL CURRENT UNITS]]/INVESTORS_LIST[[#This Row],[TOTAL CURRENT UNITS]])</f>
        <v>1</v>
      </c>
      <c r="AK650" s="109">
        <f>IF(INVESTORS_LIST[[#This Row],[TOTAL CURRENT UNITS]]=0,0,INVESTORS_LIST[[#This Row],[SIP_TOTAL CURRENT UNITS]]/INVESTORS_LIST[[#This Row],[TOTAL CURRENT UNITS]])</f>
        <v>0</v>
      </c>
      <c r="AL650" s="99" cm="1">
        <f t="array" ref="AL650">IF(INVESTORS_LIST[[#This Row],[LS_TOTAL UNITS BUY]]&gt;0,INDEX(LS[NAV at Cost (Average)],MATCH(CONCATENATE(COUNTIFS(LS[Investor ID],INVESTORS_LIST[[#This Row],[INVESTOR CODE]]),INVESTORS_LIST[[#This Row],[INVESTOR CODE]]),LS[Unique Code],0),),0)</f>
        <v>12.984483542167112</v>
      </c>
      <c r="AM650" s="99" cm="1">
        <f t="array" ref="AM6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0" s="105">
        <f>IF(INVESTORS_LIST[[#This Row],[TOTAL CURRENT UNITS]]=0,0,(INVESTORS_LIST[[#This Row],[LS_WEIGHT]]*INVESTORS_LIST[[#This Row],[LS_AVERAGE COST]])+(INVESTORS_LIST[[#This Row],[SIP_WEIGHT]]*INVESTORS_LIST[[#This Row],[SIP_AVERAGE COST]]))</f>
        <v>12.984483542167112</v>
      </c>
      <c r="AO650" s="105">
        <f t="shared" si="11"/>
        <v>14.224</v>
      </c>
      <c r="AP650" s="112">
        <f>IF(INVESTORS_LIST[[#This Row],[TOTAL CURRENT UNITS]]=0,0,INVESTORS_LIST[[#This Row],[TOTAL CURRENT UNITS]]*INVESTORS_LIST[[#This Row],[NAV]])</f>
        <v>219092.272</v>
      </c>
      <c r="AQ650" s="102">
        <f>IF(INVESTORS_LIST[[#This Row],[LS_TOTAL CURRENT UNITS]]=0,0,INVESTORS_LIST[[#This Row],[LS_TOTAL CURRENT UNITS]]*INVESTORS_LIST[[#This Row],[NAV]])</f>
        <v>219092.272</v>
      </c>
      <c r="AR650" s="48">
        <f>IF(INVESTORS_LIST[[#This Row],[SIP_TOTAL CURRENT UNITS]]=0,0,INVESTORS_LIST[[#This Row],[SIP_TOTAL CURRENT UNITS]]*INVESTORS_LIST[[#This Row],[NAV]])</f>
        <v>0</v>
      </c>
      <c r="AS650" s="50">
        <f>INVESTORS_LIST[[#This Row],[TOTAL CURRENT UNITS]]</f>
        <v>15403</v>
      </c>
      <c r="AT650" s="48">
        <f>IF(INVESTORS_LIST[[#This Row],[TOTAL SELLABLE UNITS]]=0,0,INVESTORS_LIST[[#This Row],[TOTAL SELLABLE UNITS]]*INVESTORS_LIST[[#This Row],[NAV]])</f>
        <v>219092.272</v>
      </c>
      <c r="AU650" s="48">
        <f>INVESTORS_LIST[[#This Row],[LS_TOTAL REALIZED GAIN]]+INVESTORS_LIST[[#This Row],[SIP_TOTAL REALIZED GAIN]]</f>
        <v>0</v>
      </c>
      <c r="AV650" s="48">
        <f>INVESTORS_LIST[[#This Row],[TOTAL MARKET VALUE]]-INVESTORS_LIST[[#This Row],[TOTAL COST VALUE OF CURRENT INVESTMENT]]</f>
        <v>19092.271999999968</v>
      </c>
      <c r="AW650" s="48">
        <f>IFERROR(INVESTORS_LIST[[#This Row],[TOTAL CURRENT UNITS]]/SUM(INVESTORS_LIST[TOTAL CURRENT UNITS]),0)</f>
        <v>3.739264302236846E-4</v>
      </c>
    </row>
    <row r="651" spans="1:49">
      <c r="A651" s="262" t="s">
        <v>1416</v>
      </c>
      <c r="B651" s="97" t="s">
        <v>1417</v>
      </c>
      <c r="C651" s="99" t="s">
        <v>67</v>
      </c>
      <c r="D651" s="101" t="s">
        <v>45</v>
      </c>
      <c r="E651" s="50">
        <f>SUMIFS(LS[Unit],LS[Investor ID],INVESTORS_LIST[[#This Row],[INVESTOR CODE]],LS[B/S],"B")</f>
        <v>116695</v>
      </c>
      <c r="F651" s="50">
        <f>-SUMIFS(LS[Unit],LS[Investor ID],INVESTORS_LIST[[#This Row],[INVESTOR CODE]],LS[B/S],"S")</f>
        <v>7689</v>
      </c>
      <c r="G651" s="50">
        <f>IF(INVESTORS_LIST[[#This Row],[LS_TOTAL UNITS BUY]]=0,0,INVESTORS_LIST[[#This Row],[LS_TOTAL UNITS BUY]]-INVESTORS_LIST[[#This Row],[LS_TOTAL UNITS SOLD]])</f>
        <v>109006</v>
      </c>
      <c r="H651" s="102">
        <f>IF(INVESTORS_LIST[[#This Row],[LS_TOTAL UNITS BUY]]=0,0,SUMIFS(LS[Amount],LS[Investor ID],INVESTORS_LIST[[#This Row],[INVESTOR CODE]],LS[B/S],"B"))</f>
        <v>1500000</v>
      </c>
      <c r="I651" s="48">
        <f>IF(INVESTORS_LIST[[#This Row],[LS_TOTAL UNITS SOLD]]=0,0,SUMIFS(LS[Cost of Units Sold],LS[Investor ID],INVESTORS_LIST[[#This Row],[INVESTOR CODE]],LS[B/S],"S"))</f>
        <v>98834.568747589889</v>
      </c>
      <c r="J651" s="48">
        <f>IF(INVESTORS_LIST[[#This Row],[LS_TOTAL CURRENT UNITS]]=0,0,INVESTORS_LIST[[#This Row],[LS_TOTAL CURRENT UNITS]]*INVESTORS_LIST[[#This Row],[LS_AVERAGE COST]])</f>
        <v>1401165.4312524102</v>
      </c>
      <c r="K651" s="48">
        <f>IF(INVESTORS_LIST[[#This Row],[LS_TOTAL UNITS SOLD]]=0,0,SUMIFS(LS[Realized Gain],LS[Investor ID],INVESTORS_LIST[[#This Row],[INVESTOR CODE]],LS[B/S],"S"))</f>
        <v>5390.3712524101229</v>
      </c>
      <c r="L651" s="104">
        <f>SUMIFS(SIP[Unit],SIP[Investor ID],INVESTORS_LIST[[#This Row],[INVESTOR CODE]],SIP[B/S],"B")</f>
        <v>0</v>
      </c>
      <c r="M651" s="50">
        <f>-SUMIFS(SIP[Unit],SIP[Investor ID],INVESTORS_LIST[[#This Row],[INVESTOR CODE]],SIP[B/S],"S")</f>
        <v>0</v>
      </c>
      <c r="N651" s="50">
        <f>IF(INVESTORS_LIST[[#This Row],[SIP_TOTAL UNITS BUY]]=0,0,INVESTORS_LIST[[#This Row],[SIP_TOTAL UNITS BUY]]-INVESTORS_LIST[[#This Row],[SIP_TOTAL UNITS SOLD]])</f>
        <v>0</v>
      </c>
      <c r="O651" s="48">
        <f>IF(INVESTORS_LIST[[#This Row],[SIP_TOTAL UNITS BUY]]=0,0,SUMIFS(SIP[Amount],SIP[Investor ID],INVESTORS_LIST[[#This Row],[INVESTOR CODE]],SIP[B/S],"B"))</f>
        <v>0</v>
      </c>
      <c r="P651" s="48">
        <f>IF(INVESTORS_LIST[[#This Row],[SIP_TOTAL UNITS SOLD]]=0,0,SUMIFS(SIP[Cost of Units Sold],SIP[Investor ID],INVESTORS_LIST[[#This Row],[INVESTOR CODE]],SIP[B/S],"S"))</f>
        <v>0</v>
      </c>
      <c r="Q651" s="48">
        <f>IF(INVESTORS_LIST[[#This Row],[SIP_TOTAL CURRENT UNITS]]=0,0,INVESTORS_LIST[[#This Row],[SIP_TOTAL CURRENT UNITS]]*INVESTORS_LIST[[#This Row],[SIP_AVERAGE COST]])</f>
        <v>0</v>
      </c>
      <c r="R651" s="48">
        <f>IF(INVESTORS_LIST[[#This Row],[SIP_TOTAL UNITS SOLD]]=0,0,SUMIFS(SIP[Realized Gain],SIP[Investor ID],INVESTORS_LIST[[#This Row],[INVESTOR CODE]],SIP[B/S],"S"))</f>
        <v>0</v>
      </c>
      <c r="S651" s="50">
        <f>INVESTORS_LIST[[#This Row],[LS_TOTAL UNITS BUY]]+INVESTORS_LIST[[#This Row],[SIP_TOTAL UNITS BUY]]</f>
        <v>116695</v>
      </c>
      <c r="T651" s="50">
        <f>INVESTORS_LIST[[#This Row],[LS_TOTAL UNITS SOLD]]+INVESTORS_LIST[[#This Row],[SIP_TOTAL UNITS SOLD]]</f>
        <v>7689</v>
      </c>
      <c r="U651" s="50"/>
      <c r="V651" s="50">
        <f>SUMIFS(LS[BO UNIT TRANSFER],LS[Investor ID],INVESTORS_LIST[[#This Row],[INVESTOR CODE]],LS[B/S],"B")</f>
        <v>0</v>
      </c>
      <c r="W651" s="50">
        <f>SUMIFS(SIP[BO UNIT TRANSFER],SIP[Investor ID],INVESTORS_LIST[[#This Row],[INVESTOR CODE]],SIP[B/S],"B")</f>
        <v>0</v>
      </c>
      <c r="X651" s="50">
        <f>SUMIFS(LS[BO UNIT TRANSFER],LS[Investor ID],INVESTORS_LIST[[#This Row],[INVESTOR CODE]],LS[B/S],"S")</f>
        <v>0</v>
      </c>
      <c r="Y651" s="50">
        <f>SUMIFS(SIP[BO UNIT TRANSFER],SIP[Investor ID],INVESTORS_LIST[[#This Row],[INVESTOR CODE]],SIP[B/S],"S")</f>
        <v>0</v>
      </c>
      <c r="Z651" s="106">
        <f>SUM(INVESTORS_LIST[[#This Row],[BO OPENING BALANCE]:[BO SIP UNITS REPURCHASE]])</f>
        <v>0</v>
      </c>
      <c r="AA651" s="107">
        <f>INVESTORS_LIST[[#This Row],[TOTAL UNITS BUY]]-INVESTORS_LIST[[#This Row],[TOTAL UNITS SOLD]]</f>
        <v>109006</v>
      </c>
      <c r="AB651" s="107">
        <f>INVESTORS_LIST[[#This Row],[TOTAL CURRENT UNITS]]-INVESTORS_LIST[[#This Row],[BO UNITS HOLD]]</f>
        <v>109006</v>
      </c>
      <c r="AC651" s="201" t="e">
        <f>INDEX([3]!Table_1[BO ID],MATCH(INVESTORS_LIST[[#This Row],[INVESTOR CODE]],[3]!Table_1[INVESTOR CODE],0))</f>
        <v>#REF!</v>
      </c>
      <c r="AD651" s="201" t="e">
        <f>INDEX([3]!Table_1[Brokerage Name2],MATCH(INVESTORS_LIST[[#This Row],[INVESTOR CODE]],[3]!Table_1[INVESTOR CODE],0))</f>
        <v>#REF!</v>
      </c>
      <c r="AE651" s="201" t="e">
        <f>MID(INVESTORS_LIST[[#This Row],[BO ID]],4,5)</f>
        <v>#REF!</v>
      </c>
      <c r="AF651" s="201" t="e">
        <f>MID(INVESTORS_LIST[[#This Row],[BO ID]],2,7)</f>
        <v>#REF!</v>
      </c>
      <c r="AG651" s="201" t="e">
        <f>MID(INVESTORS_LIST[[#This Row],[BO ID]],9,7)</f>
        <v>#REF!</v>
      </c>
      <c r="AH651" s="201" t="e">
        <f>RIGHT(INVESTORS_LIST[[#This Row],[BO ID]],1)</f>
        <v>#REF!</v>
      </c>
      <c r="AI651" s="50">
        <f>INVESTORS_LIST[[#This Row],[LS_TOTAL COST VALUE OF CURRENT UNITS]]+INVESTORS_LIST[[#This Row],[SIP_TOTAL COST VALUE OF CURRENT UNITS]]</f>
        <v>1401165.4312524102</v>
      </c>
      <c r="AJ651" s="109">
        <f>IF(INVESTORS_LIST[[#This Row],[TOTAL CURRENT UNITS]]=0,0,INVESTORS_LIST[[#This Row],[LS_TOTAL CURRENT UNITS]]/INVESTORS_LIST[[#This Row],[TOTAL CURRENT UNITS]])</f>
        <v>1</v>
      </c>
      <c r="AK651" s="109">
        <f>IF(INVESTORS_LIST[[#This Row],[TOTAL CURRENT UNITS]]=0,0,INVESTORS_LIST[[#This Row],[SIP_TOTAL CURRENT UNITS]]/INVESTORS_LIST[[#This Row],[TOTAL CURRENT UNITS]])</f>
        <v>0</v>
      </c>
      <c r="AL651" s="99" cm="1">
        <f t="array" ref="AL651">IF(INVESTORS_LIST[[#This Row],[LS_TOTAL UNITS BUY]]&gt;0,INDEX(LS[NAV at Cost (Average)],MATCH(CONCATENATE(COUNTIFS(LS[Investor ID],INVESTORS_LIST[[#This Row],[INVESTOR CODE]]),INVESTORS_LIST[[#This Row],[INVESTOR CODE]]),LS[Unique Code],0),),0)</f>
        <v>12.854021166288188</v>
      </c>
      <c r="AM651" s="99" cm="1">
        <f t="array" ref="AM6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1" s="105">
        <f>IF(INVESTORS_LIST[[#This Row],[TOTAL CURRENT UNITS]]=0,0,(INVESTORS_LIST[[#This Row],[LS_WEIGHT]]*INVESTORS_LIST[[#This Row],[LS_AVERAGE COST]])+(INVESTORS_LIST[[#This Row],[SIP_WEIGHT]]*INVESTORS_LIST[[#This Row],[SIP_AVERAGE COST]]))</f>
        <v>12.854021166288188</v>
      </c>
      <c r="AO651" s="105">
        <f t="shared" si="11"/>
        <v>14.224</v>
      </c>
      <c r="AP651" s="112">
        <f>IF(INVESTORS_LIST[[#This Row],[TOTAL CURRENT UNITS]]=0,0,INVESTORS_LIST[[#This Row],[TOTAL CURRENT UNITS]]*INVESTORS_LIST[[#This Row],[NAV]])</f>
        <v>1550501.344</v>
      </c>
      <c r="AQ651" s="102">
        <f>IF(INVESTORS_LIST[[#This Row],[LS_TOTAL CURRENT UNITS]]=0,0,INVESTORS_LIST[[#This Row],[LS_TOTAL CURRENT UNITS]]*INVESTORS_LIST[[#This Row],[NAV]])</f>
        <v>1550501.344</v>
      </c>
      <c r="AR651" s="48">
        <f>IF(INVESTORS_LIST[[#This Row],[SIP_TOTAL CURRENT UNITS]]=0,0,INVESTORS_LIST[[#This Row],[SIP_TOTAL CURRENT UNITS]]*INVESTORS_LIST[[#This Row],[NAV]])</f>
        <v>0</v>
      </c>
      <c r="AS651" s="50">
        <f>INVESTORS_LIST[[#This Row],[TOTAL CURRENT UNITS]]</f>
        <v>109006</v>
      </c>
      <c r="AT651" s="48">
        <f>IF(INVESTORS_LIST[[#This Row],[TOTAL SELLABLE UNITS]]=0,0,INVESTORS_LIST[[#This Row],[TOTAL SELLABLE UNITS]]*INVESTORS_LIST[[#This Row],[NAV]])</f>
        <v>1550501.344</v>
      </c>
      <c r="AU651" s="48">
        <f>INVESTORS_LIST[[#This Row],[LS_TOTAL REALIZED GAIN]]+INVESTORS_LIST[[#This Row],[SIP_TOTAL REALIZED GAIN]]</f>
        <v>5390.3712524101229</v>
      </c>
      <c r="AV651" s="48">
        <f>INVESTORS_LIST[[#This Row],[TOTAL MARKET VALUE]]-INVESTORS_LIST[[#This Row],[TOTAL COST VALUE OF CURRENT INVESTMENT]]</f>
        <v>149335.91274758987</v>
      </c>
      <c r="AW651" s="48">
        <f>IFERROR(INVESTORS_LIST[[#This Row],[TOTAL CURRENT UNITS]]/SUM(INVESTORS_LIST[TOTAL CURRENT UNITS]),0)</f>
        <v>2.6462523179226751E-3</v>
      </c>
    </row>
    <row r="652" spans="1:49">
      <c r="A652" s="262" t="s">
        <v>1434</v>
      </c>
      <c r="B652" s="97" t="s">
        <v>1418</v>
      </c>
      <c r="C652" s="99" t="s">
        <v>67</v>
      </c>
      <c r="D652" s="101" t="s">
        <v>45</v>
      </c>
      <c r="E652" s="50">
        <f>SUMIFS(LS[Unit],LS[Investor ID],INVESTORS_LIST[[#This Row],[INVESTOR CODE]],LS[B/S],"B")</f>
        <v>77797</v>
      </c>
      <c r="F652" s="50">
        <f>-SUMIFS(LS[Unit],LS[Investor ID],INVESTORS_LIST[[#This Row],[INVESTOR CODE]],LS[B/S],"S")</f>
        <v>3571</v>
      </c>
      <c r="G652" s="50">
        <f>IF(INVESTORS_LIST[[#This Row],[LS_TOTAL UNITS BUY]]=0,0,INVESTORS_LIST[[#This Row],[LS_TOTAL UNITS BUY]]-INVESTORS_LIST[[#This Row],[LS_TOTAL UNITS SOLD]])</f>
        <v>74226</v>
      </c>
      <c r="H652" s="102">
        <f>IF(INVESTORS_LIST[[#This Row],[LS_TOTAL UNITS BUY]]=0,0,SUMIFS(LS[Amount],LS[Investor ID],INVESTORS_LIST[[#This Row],[INVESTOR CODE]],LS[B/S],"B"))</f>
        <v>1000000</v>
      </c>
      <c r="I652" s="48">
        <f>IF(INVESTORS_LIST[[#This Row],[LS_TOTAL UNITS SOLD]]=0,0,SUMIFS(LS[Cost of Units Sold],LS[Investor ID],INVESTORS_LIST[[#This Row],[INVESTOR CODE]],LS[B/S],"S"))</f>
        <v>45901.512911808939</v>
      </c>
      <c r="J652" s="48">
        <f>IF(INVESTORS_LIST[[#This Row],[LS_TOTAL CURRENT UNITS]]=0,0,INVESTORS_LIST[[#This Row],[LS_TOTAL CURRENT UNITS]]*INVESTORS_LIST[[#This Row],[LS_AVERAGE COST]])</f>
        <v>954098.48708819109</v>
      </c>
      <c r="K652" s="48">
        <f>IF(INVESTORS_LIST[[#This Row],[LS_TOTAL UNITS SOLD]]=0,0,SUMIFS(LS[Realized Gain],LS[Investor ID],INVESTORS_LIST[[#This Row],[INVESTOR CODE]],LS[B/S],"S"))</f>
        <v>3098.487088191062</v>
      </c>
      <c r="L652" s="104">
        <f>SUMIFS(SIP[Unit],SIP[Investor ID],INVESTORS_LIST[[#This Row],[INVESTOR CODE]],SIP[B/S],"B")</f>
        <v>0</v>
      </c>
      <c r="M652" s="50">
        <f>-SUMIFS(SIP[Unit],SIP[Investor ID],INVESTORS_LIST[[#This Row],[INVESTOR CODE]],SIP[B/S],"S")</f>
        <v>0</v>
      </c>
      <c r="N652" s="50">
        <f>IF(INVESTORS_LIST[[#This Row],[SIP_TOTAL UNITS BUY]]=0,0,INVESTORS_LIST[[#This Row],[SIP_TOTAL UNITS BUY]]-INVESTORS_LIST[[#This Row],[SIP_TOTAL UNITS SOLD]])</f>
        <v>0</v>
      </c>
      <c r="O652" s="48">
        <f>IF(INVESTORS_LIST[[#This Row],[SIP_TOTAL UNITS BUY]]=0,0,SUMIFS(SIP[Amount],SIP[Investor ID],INVESTORS_LIST[[#This Row],[INVESTOR CODE]],SIP[B/S],"B"))</f>
        <v>0</v>
      </c>
      <c r="P652" s="48">
        <f>IF(INVESTORS_LIST[[#This Row],[SIP_TOTAL UNITS SOLD]]=0,0,SUMIFS(SIP[Cost of Units Sold],SIP[Investor ID],INVESTORS_LIST[[#This Row],[INVESTOR CODE]],SIP[B/S],"S"))</f>
        <v>0</v>
      </c>
      <c r="Q652" s="48">
        <f>IF(INVESTORS_LIST[[#This Row],[SIP_TOTAL CURRENT UNITS]]=0,0,INVESTORS_LIST[[#This Row],[SIP_TOTAL CURRENT UNITS]]*INVESTORS_LIST[[#This Row],[SIP_AVERAGE COST]])</f>
        <v>0</v>
      </c>
      <c r="R652" s="48">
        <f>IF(INVESTORS_LIST[[#This Row],[SIP_TOTAL UNITS SOLD]]=0,0,SUMIFS(SIP[Realized Gain],SIP[Investor ID],INVESTORS_LIST[[#This Row],[INVESTOR CODE]],SIP[B/S],"S"))</f>
        <v>0</v>
      </c>
      <c r="S652" s="50">
        <f>INVESTORS_LIST[[#This Row],[LS_TOTAL UNITS BUY]]+INVESTORS_LIST[[#This Row],[SIP_TOTAL UNITS BUY]]</f>
        <v>77797</v>
      </c>
      <c r="T652" s="50">
        <f>INVESTORS_LIST[[#This Row],[LS_TOTAL UNITS SOLD]]+INVESTORS_LIST[[#This Row],[SIP_TOTAL UNITS SOLD]]</f>
        <v>3571</v>
      </c>
      <c r="U652" s="50"/>
      <c r="V652" s="50">
        <f>SUMIFS(LS[BO UNIT TRANSFER],LS[Investor ID],INVESTORS_LIST[[#This Row],[INVESTOR CODE]],LS[B/S],"B")</f>
        <v>0</v>
      </c>
      <c r="W652" s="50">
        <f>SUMIFS(SIP[BO UNIT TRANSFER],SIP[Investor ID],INVESTORS_LIST[[#This Row],[INVESTOR CODE]],SIP[B/S],"B")</f>
        <v>0</v>
      </c>
      <c r="X652" s="50">
        <f>SUMIFS(LS[BO UNIT TRANSFER],LS[Investor ID],INVESTORS_LIST[[#This Row],[INVESTOR CODE]],LS[B/S],"S")</f>
        <v>0</v>
      </c>
      <c r="Y652" s="50">
        <f>SUMIFS(SIP[BO UNIT TRANSFER],SIP[Investor ID],INVESTORS_LIST[[#This Row],[INVESTOR CODE]],SIP[B/S],"S")</f>
        <v>0</v>
      </c>
      <c r="Z652" s="106">
        <f>SUM(INVESTORS_LIST[[#This Row],[BO OPENING BALANCE]:[BO SIP UNITS REPURCHASE]])</f>
        <v>0</v>
      </c>
      <c r="AA652" s="107">
        <f>INVESTORS_LIST[[#This Row],[TOTAL UNITS BUY]]-INVESTORS_LIST[[#This Row],[TOTAL UNITS SOLD]]</f>
        <v>74226</v>
      </c>
      <c r="AB652" s="107">
        <f>INVESTORS_LIST[[#This Row],[TOTAL CURRENT UNITS]]-INVESTORS_LIST[[#This Row],[BO UNITS HOLD]]</f>
        <v>74226</v>
      </c>
      <c r="AC652" s="201" t="e">
        <f>INDEX([3]!Table_1[BO ID],MATCH(INVESTORS_LIST[[#This Row],[INVESTOR CODE]],[3]!Table_1[INVESTOR CODE],0))</f>
        <v>#REF!</v>
      </c>
      <c r="AD652" s="201" t="e">
        <f>INDEX([3]!Table_1[Brokerage Name2],MATCH(INVESTORS_LIST[[#This Row],[INVESTOR CODE]],[3]!Table_1[INVESTOR CODE],0))</f>
        <v>#REF!</v>
      </c>
      <c r="AE652" s="201" t="e">
        <f>MID(INVESTORS_LIST[[#This Row],[BO ID]],4,5)</f>
        <v>#REF!</v>
      </c>
      <c r="AF652" s="201" t="e">
        <f>MID(INVESTORS_LIST[[#This Row],[BO ID]],2,7)</f>
        <v>#REF!</v>
      </c>
      <c r="AG652" s="201" t="e">
        <f>MID(INVESTORS_LIST[[#This Row],[BO ID]],9,7)</f>
        <v>#REF!</v>
      </c>
      <c r="AH652" s="201" t="e">
        <f>RIGHT(INVESTORS_LIST[[#This Row],[BO ID]],1)</f>
        <v>#REF!</v>
      </c>
      <c r="AI652" s="50">
        <f>INVESTORS_LIST[[#This Row],[LS_TOTAL COST VALUE OF CURRENT UNITS]]+INVESTORS_LIST[[#This Row],[SIP_TOTAL COST VALUE OF CURRENT UNITS]]</f>
        <v>954098.48708819109</v>
      </c>
      <c r="AJ652" s="109">
        <f>IF(INVESTORS_LIST[[#This Row],[TOTAL CURRENT UNITS]]=0,0,INVESTORS_LIST[[#This Row],[LS_TOTAL CURRENT UNITS]]/INVESTORS_LIST[[#This Row],[TOTAL CURRENT UNITS]])</f>
        <v>1</v>
      </c>
      <c r="AK652" s="109">
        <f>IF(INVESTORS_LIST[[#This Row],[TOTAL CURRENT UNITS]]=0,0,INVESTORS_LIST[[#This Row],[SIP_TOTAL CURRENT UNITS]]/INVESTORS_LIST[[#This Row],[TOTAL CURRENT UNITS]])</f>
        <v>0</v>
      </c>
      <c r="AL652" s="99" cm="1">
        <f t="array" ref="AL652">IF(INVESTORS_LIST[[#This Row],[LS_TOTAL UNITS BUY]]&gt;0,INDEX(LS[NAV at Cost (Average)],MATCH(CONCATENATE(COUNTIFS(LS[Investor ID],INVESTORS_LIST[[#This Row],[INVESTOR CODE]]),INVESTORS_LIST[[#This Row],[INVESTOR CODE]]),LS[Unique Code],0),),0)</f>
        <v>12.853966091237451</v>
      </c>
      <c r="AM652" s="99" cm="1">
        <f t="array" ref="AM6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2" s="105">
        <f>IF(INVESTORS_LIST[[#This Row],[TOTAL CURRENT UNITS]]=0,0,(INVESTORS_LIST[[#This Row],[LS_WEIGHT]]*INVESTORS_LIST[[#This Row],[LS_AVERAGE COST]])+(INVESTORS_LIST[[#This Row],[SIP_WEIGHT]]*INVESTORS_LIST[[#This Row],[SIP_AVERAGE COST]]))</f>
        <v>12.853966091237451</v>
      </c>
      <c r="AO652" s="105">
        <f t="shared" si="11"/>
        <v>14.224</v>
      </c>
      <c r="AP652" s="112">
        <f>IF(INVESTORS_LIST[[#This Row],[TOTAL CURRENT UNITS]]=0,0,INVESTORS_LIST[[#This Row],[TOTAL CURRENT UNITS]]*INVESTORS_LIST[[#This Row],[NAV]])</f>
        <v>1055790.6240000001</v>
      </c>
      <c r="AQ652" s="102">
        <f>IF(INVESTORS_LIST[[#This Row],[LS_TOTAL CURRENT UNITS]]=0,0,INVESTORS_LIST[[#This Row],[LS_TOTAL CURRENT UNITS]]*INVESTORS_LIST[[#This Row],[NAV]])</f>
        <v>1055790.6240000001</v>
      </c>
      <c r="AR652" s="48">
        <f>IF(INVESTORS_LIST[[#This Row],[SIP_TOTAL CURRENT UNITS]]=0,0,INVESTORS_LIST[[#This Row],[SIP_TOTAL CURRENT UNITS]]*INVESTORS_LIST[[#This Row],[NAV]])</f>
        <v>0</v>
      </c>
      <c r="AS652" s="50">
        <f>INVESTORS_LIST[[#This Row],[TOTAL CURRENT UNITS]]</f>
        <v>74226</v>
      </c>
      <c r="AT652" s="48">
        <f>IF(INVESTORS_LIST[[#This Row],[TOTAL SELLABLE UNITS]]=0,0,INVESTORS_LIST[[#This Row],[TOTAL SELLABLE UNITS]]*INVESTORS_LIST[[#This Row],[NAV]])</f>
        <v>1055790.6240000001</v>
      </c>
      <c r="AU652" s="48">
        <f>INVESTORS_LIST[[#This Row],[LS_TOTAL REALIZED GAIN]]+INVESTORS_LIST[[#This Row],[SIP_TOTAL REALIZED GAIN]]</f>
        <v>3098.487088191062</v>
      </c>
      <c r="AV652" s="48">
        <f>INVESTORS_LIST[[#This Row],[TOTAL MARKET VALUE]]-INVESTORS_LIST[[#This Row],[TOTAL COST VALUE OF CURRENT INVESTMENT]]</f>
        <v>101692.13691180898</v>
      </c>
      <c r="AW652" s="48">
        <f>IFERROR(INVESTORS_LIST[[#This Row],[TOTAL CURRENT UNITS]]/SUM(INVESTORS_LIST[TOTAL CURRENT UNITS]),0)</f>
        <v>1.80192580729619E-3</v>
      </c>
    </row>
    <row r="653" spans="1:49" hidden="1">
      <c r="A653" s="262" t="s">
        <v>1419</v>
      </c>
      <c r="B653" s="219" t="s">
        <v>1420</v>
      </c>
      <c r="C653" s="99" t="s">
        <v>44</v>
      </c>
      <c r="D653" s="101" t="s">
        <v>45</v>
      </c>
      <c r="E653" s="50">
        <f>SUMIFS(LS[Unit],LS[Investor ID],INVESTORS_LIST[[#This Row],[INVESTOR CODE]],LS[B/S],"B")</f>
        <v>0</v>
      </c>
      <c r="F653" s="50">
        <f>-SUMIFS(LS[Unit],LS[Investor ID],INVESTORS_LIST[[#This Row],[INVESTOR CODE]],LS[B/S],"S")</f>
        <v>0</v>
      </c>
      <c r="G653" s="50">
        <f>IF(INVESTORS_LIST[[#This Row],[LS_TOTAL UNITS BUY]]=0,0,INVESTORS_LIST[[#This Row],[LS_TOTAL UNITS BUY]]-INVESTORS_LIST[[#This Row],[LS_TOTAL UNITS SOLD]])</f>
        <v>0</v>
      </c>
      <c r="H653" s="102">
        <f>IF(INVESTORS_LIST[[#This Row],[LS_TOTAL UNITS BUY]]=0,0,SUMIFS(LS[Amount],LS[Investor ID],INVESTORS_LIST[[#This Row],[INVESTOR CODE]],LS[B/S],"B"))</f>
        <v>0</v>
      </c>
      <c r="I653" s="48">
        <f>IF(INVESTORS_LIST[[#This Row],[LS_TOTAL UNITS SOLD]]=0,0,SUMIFS(LS[Cost of Units Sold],LS[Investor ID],INVESTORS_LIST[[#This Row],[INVESTOR CODE]],LS[B/S],"S"))</f>
        <v>0</v>
      </c>
      <c r="J653" s="48">
        <f>IF(INVESTORS_LIST[[#This Row],[LS_TOTAL CURRENT UNITS]]=0,0,INVESTORS_LIST[[#This Row],[LS_TOTAL CURRENT UNITS]]*INVESTORS_LIST[[#This Row],[LS_AVERAGE COST]])</f>
        <v>0</v>
      </c>
      <c r="K653" s="48">
        <f>IF(INVESTORS_LIST[[#This Row],[LS_TOTAL UNITS SOLD]]=0,0,SUMIFS(LS[Realized Gain],LS[Investor ID],INVESTORS_LIST[[#This Row],[INVESTOR CODE]],LS[B/S],"S"))</f>
        <v>0</v>
      </c>
      <c r="L653" s="104">
        <f>SUMIFS(SIP[Unit],SIP[Investor ID],INVESTORS_LIST[[#This Row],[INVESTOR CODE]],SIP[B/S],"B")</f>
        <v>0</v>
      </c>
      <c r="M653" s="50">
        <f>-SUMIFS(SIP[Unit],SIP[Investor ID],INVESTORS_LIST[[#This Row],[INVESTOR CODE]],SIP[B/S],"S")</f>
        <v>0</v>
      </c>
      <c r="N653" s="50">
        <f>IF(INVESTORS_LIST[[#This Row],[SIP_TOTAL UNITS BUY]]=0,0,INVESTORS_LIST[[#This Row],[SIP_TOTAL UNITS BUY]]-INVESTORS_LIST[[#This Row],[SIP_TOTAL UNITS SOLD]])</f>
        <v>0</v>
      </c>
      <c r="O653" s="48">
        <f>IF(INVESTORS_LIST[[#This Row],[SIP_TOTAL UNITS BUY]]=0,0,SUMIFS(SIP[Amount],SIP[Investor ID],INVESTORS_LIST[[#This Row],[INVESTOR CODE]],SIP[B/S],"B"))</f>
        <v>0</v>
      </c>
      <c r="P653" s="48">
        <f>IF(INVESTORS_LIST[[#This Row],[SIP_TOTAL UNITS SOLD]]=0,0,SUMIFS(SIP[Cost of Units Sold],SIP[Investor ID],INVESTORS_LIST[[#This Row],[INVESTOR CODE]],SIP[B/S],"S"))</f>
        <v>0</v>
      </c>
      <c r="Q653" s="48">
        <f>IF(INVESTORS_LIST[[#This Row],[SIP_TOTAL CURRENT UNITS]]=0,0,INVESTORS_LIST[[#This Row],[SIP_TOTAL CURRENT UNITS]]*INVESTORS_LIST[[#This Row],[SIP_AVERAGE COST]])</f>
        <v>0</v>
      </c>
      <c r="R653" s="48">
        <f>IF(INVESTORS_LIST[[#This Row],[SIP_TOTAL UNITS SOLD]]=0,0,SUMIFS(SIP[Realized Gain],SIP[Investor ID],INVESTORS_LIST[[#This Row],[INVESTOR CODE]],SIP[B/S],"S"))</f>
        <v>0</v>
      </c>
      <c r="S653" s="50">
        <f>INVESTORS_LIST[[#This Row],[LS_TOTAL UNITS BUY]]+INVESTORS_LIST[[#This Row],[SIP_TOTAL UNITS BUY]]</f>
        <v>0</v>
      </c>
      <c r="T653" s="50">
        <f>INVESTORS_LIST[[#This Row],[LS_TOTAL UNITS SOLD]]+INVESTORS_LIST[[#This Row],[SIP_TOTAL UNITS SOLD]]</f>
        <v>0</v>
      </c>
      <c r="U653" s="50"/>
      <c r="V653" s="50">
        <f>SUMIFS(LS[BO UNIT TRANSFER],LS[Investor ID],INVESTORS_LIST[[#This Row],[INVESTOR CODE]],LS[B/S],"B")</f>
        <v>0</v>
      </c>
      <c r="W653" s="50">
        <f>SUMIFS(SIP[BO UNIT TRANSFER],SIP[Investor ID],INVESTORS_LIST[[#This Row],[INVESTOR CODE]],SIP[B/S],"B")</f>
        <v>0</v>
      </c>
      <c r="X653" s="50">
        <f>SUMIFS(LS[BO UNIT TRANSFER],LS[Investor ID],INVESTORS_LIST[[#This Row],[INVESTOR CODE]],LS[B/S],"S")</f>
        <v>0</v>
      </c>
      <c r="Y653" s="50">
        <f>SUMIFS(SIP[BO UNIT TRANSFER],SIP[Investor ID],INVESTORS_LIST[[#This Row],[INVESTOR CODE]],SIP[B/S],"S")</f>
        <v>0</v>
      </c>
      <c r="Z653" s="106">
        <f>SUM(INVESTORS_LIST[[#This Row],[BO OPENING BALANCE]:[BO SIP UNITS REPURCHASE]])</f>
        <v>0</v>
      </c>
      <c r="AA653" s="107">
        <f>INVESTORS_LIST[[#This Row],[TOTAL UNITS BUY]]-INVESTORS_LIST[[#This Row],[TOTAL UNITS SOLD]]</f>
        <v>0</v>
      </c>
      <c r="AB653" s="107">
        <f>INVESTORS_LIST[[#This Row],[TOTAL CURRENT UNITS]]-INVESTORS_LIST[[#This Row],[BO UNITS HOLD]]</f>
        <v>0</v>
      </c>
      <c r="AC653" s="201" t="e">
        <f>INDEX([3]!Table_1[BO ID],MATCH(INVESTORS_LIST[[#This Row],[INVESTOR CODE]],[3]!Table_1[INVESTOR CODE],0))</f>
        <v>#REF!</v>
      </c>
      <c r="AD653" s="201" t="e">
        <f>INDEX([3]!Table_1[Brokerage Name2],MATCH(INVESTORS_LIST[[#This Row],[INVESTOR CODE]],[3]!Table_1[INVESTOR CODE],0))</f>
        <v>#REF!</v>
      </c>
      <c r="AE653" s="201" t="e">
        <f>MID(INVESTORS_LIST[[#This Row],[BO ID]],4,5)</f>
        <v>#REF!</v>
      </c>
      <c r="AF653" s="201" t="e">
        <f>MID(INVESTORS_LIST[[#This Row],[BO ID]],2,7)</f>
        <v>#REF!</v>
      </c>
      <c r="AG653" s="201" t="e">
        <f>MID(INVESTORS_LIST[[#This Row],[BO ID]],9,7)</f>
        <v>#REF!</v>
      </c>
      <c r="AH653" s="201" t="e">
        <f>RIGHT(INVESTORS_LIST[[#This Row],[BO ID]],1)</f>
        <v>#REF!</v>
      </c>
      <c r="AI653" s="50">
        <f>INVESTORS_LIST[[#This Row],[LS_TOTAL COST VALUE OF CURRENT UNITS]]+INVESTORS_LIST[[#This Row],[SIP_TOTAL COST VALUE OF CURRENT UNITS]]</f>
        <v>0</v>
      </c>
      <c r="AJ653" s="109">
        <f>IF(INVESTORS_LIST[[#This Row],[TOTAL CURRENT UNITS]]=0,0,INVESTORS_LIST[[#This Row],[LS_TOTAL CURRENT UNITS]]/INVESTORS_LIST[[#This Row],[TOTAL CURRENT UNITS]])</f>
        <v>0</v>
      </c>
      <c r="AK653" s="109">
        <f>IF(INVESTORS_LIST[[#This Row],[TOTAL CURRENT UNITS]]=0,0,INVESTORS_LIST[[#This Row],[SIP_TOTAL CURRENT UNITS]]/INVESTORS_LIST[[#This Row],[TOTAL CURRENT UNITS]])</f>
        <v>0</v>
      </c>
      <c r="AL653" s="99" cm="1">
        <f t="array" ref="AL6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53" s="99" cm="1">
        <f t="array" ref="AM6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53" s="105">
        <f t="shared" si="11"/>
        <v>14.224</v>
      </c>
      <c r="AP653" s="112">
        <f>IF(INVESTORS_LIST[[#This Row],[TOTAL CURRENT UNITS]]=0,0,INVESTORS_LIST[[#This Row],[TOTAL CURRENT UNITS]]*INVESTORS_LIST[[#This Row],[NAV]])</f>
        <v>0</v>
      </c>
      <c r="AQ653" s="102">
        <f>IF(INVESTORS_LIST[[#This Row],[LS_TOTAL CURRENT UNITS]]=0,0,INVESTORS_LIST[[#This Row],[LS_TOTAL CURRENT UNITS]]*INVESTORS_LIST[[#This Row],[NAV]])</f>
        <v>0</v>
      </c>
      <c r="AR653" s="48">
        <f>IF(INVESTORS_LIST[[#This Row],[SIP_TOTAL CURRENT UNITS]]=0,0,INVESTORS_LIST[[#This Row],[SIP_TOTAL CURRENT UNITS]]*INVESTORS_LIST[[#This Row],[NAV]])</f>
        <v>0</v>
      </c>
      <c r="AS653" s="50">
        <f>INVESTORS_LIST[[#This Row],[TOTAL CURRENT UNITS]]</f>
        <v>0</v>
      </c>
      <c r="AT653" s="48">
        <f>IF(INVESTORS_LIST[[#This Row],[TOTAL SELLABLE UNITS]]=0,0,INVESTORS_LIST[[#This Row],[TOTAL SELLABLE UNITS]]*INVESTORS_LIST[[#This Row],[NAV]])</f>
        <v>0</v>
      </c>
      <c r="AU653" s="48">
        <f>INVESTORS_LIST[[#This Row],[LS_TOTAL REALIZED GAIN]]+INVESTORS_LIST[[#This Row],[SIP_TOTAL REALIZED GAIN]]</f>
        <v>0</v>
      </c>
      <c r="AV653" s="48">
        <f>INVESTORS_LIST[[#This Row],[TOTAL MARKET VALUE]]-INVESTORS_LIST[[#This Row],[TOTAL COST VALUE OF CURRENT INVESTMENT]]</f>
        <v>0</v>
      </c>
      <c r="AW653" s="48">
        <f>IFERROR(INVESTORS_LIST[[#This Row],[TOTAL CURRENT UNITS]]/SUM(INVESTORS_LIST[TOTAL CURRENT UNITS]),0)</f>
        <v>0</v>
      </c>
    </row>
    <row r="654" spans="1:49" hidden="1">
      <c r="A654" s="262" t="s">
        <v>1421</v>
      </c>
      <c r="B654" s="224" t="s">
        <v>1422</v>
      </c>
      <c r="C654" s="99" t="s">
        <v>44</v>
      </c>
      <c r="D654" s="101" t="s">
        <v>45</v>
      </c>
      <c r="E654" s="50">
        <f>SUMIFS(LS[Unit],LS[Investor ID],INVESTORS_LIST[[#This Row],[INVESTOR CODE]],LS[B/S],"B")</f>
        <v>7741</v>
      </c>
      <c r="F654" s="50">
        <f>-SUMIFS(LS[Unit],LS[Investor ID],INVESTORS_LIST[[#This Row],[INVESTOR CODE]],LS[B/S],"S")</f>
        <v>7741</v>
      </c>
      <c r="G654" s="50">
        <f>IF(INVESTORS_LIST[[#This Row],[LS_TOTAL UNITS BUY]]=0,0,INVESTORS_LIST[[#This Row],[LS_TOTAL UNITS BUY]]-INVESTORS_LIST[[#This Row],[LS_TOTAL UNITS SOLD]])</f>
        <v>0</v>
      </c>
      <c r="H654" s="225">
        <f>IF(INVESTORS_LIST[[#This Row],[LS_TOTAL UNITS BUY]]=0,0,SUMIFS(LS[Amount],LS[Investor ID],INVESTORS_LIST[[#This Row],[INVESTOR CODE]],LS[B/S],"B"))</f>
        <v>100000</v>
      </c>
      <c r="I654" s="48">
        <f>IF(INVESTORS_LIST[[#This Row],[LS_TOTAL UNITS SOLD]]=0,0,SUMIFS(LS[Cost of Units Sold],LS[Investor ID],INVESTORS_LIST[[#This Row],[INVESTOR CODE]],LS[B/S],"S"))</f>
        <v>100000</v>
      </c>
      <c r="J654" s="48">
        <f>IF(INVESTORS_LIST[[#This Row],[LS_TOTAL CURRENT UNITS]]=0,0,INVESTORS_LIST[[#This Row],[LS_TOTAL CURRENT UNITS]]*INVESTORS_LIST[[#This Row],[LS_AVERAGE COST]])</f>
        <v>0</v>
      </c>
      <c r="K654" s="48">
        <f>IF(INVESTORS_LIST[[#This Row],[LS_TOTAL UNITS SOLD]]=0,0,SUMIFS(LS[Realized Gain],LS[Investor ID],INVESTORS_LIST[[#This Row],[INVESTOR CODE]],LS[B/S],"S"))</f>
        <v>1902.5199999999973</v>
      </c>
      <c r="L654" s="226">
        <f>SUMIFS(SIP[Unit],SIP[Investor ID],INVESTORS_LIST[[#This Row],[INVESTOR CODE]],SIP[B/S],"B")</f>
        <v>0</v>
      </c>
      <c r="M654" s="50">
        <f>-SUMIFS(SIP[Unit],SIP[Investor ID],INVESTORS_LIST[[#This Row],[INVESTOR CODE]],SIP[B/S],"S")</f>
        <v>0</v>
      </c>
      <c r="N654" s="50">
        <f>IF(INVESTORS_LIST[[#This Row],[SIP_TOTAL UNITS BUY]]=0,0,INVESTORS_LIST[[#This Row],[SIP_TOTAL UNITS BUY]]-INVESTORS_LIST[[#This Row],[SIP_TOTAL UNITS SOLD]])</f>
        <v>0</v>
      </c>
      <c r="O654" s="48">
        <f>IF(INVESTORS_LIST[[#This Row],[SIP_TOTAL UNITS BUY]]=0,0,SUMIFS(SIP[Amount],SIP[Investor ID],INVESTORS_LIST[[#This Row],[INVESTOR CODE]],SIP[B/S],"B"))</f>
        <v>0</v>
      </c>
      <c r="P654" s="48">
        <f>IF(INVESTORS_LIST[[#This Row],[SIP_TOTAL UNITS SOLD]]=0,0,SUMIFS(SIP[Cost of Units Sold],SIP[Investor ID],INVESTORS_LIST[[#This Row],[INVESTOR CODE]],SIP[B/S],"S"))</f>
        <v>0</v>
      </c>
      <c r="Q654" s="48">
        <f>IF(INVESTORS_LIST[[#This Row],[SIP_TOTAL CURRENT UNITS]]=0,0,INVESTORS_LIST[[#This Row],[SIP_TOTAL CURRENT UNITS]]*INVESTORS_LIST[[#This Row],[SIP_AVERAGE COST]])</f>
        <v>0</v>
      </c>
      <c r="R654" s="48">
        <f>IF(INVESTORS_LIST[[#This Row],[SIP_TOTAL UNITS SOLD]]=0,0,SUMIFS(SIP[Realized Gain],SIP[Investor ID],INVESTORS_LIST[[#This Row],[INVESTOR CODE]],SIP[B/S],"S"))</f>
        <v>0</v>
      </c>
      <c r="S654" s="50">
        <f>INVESTORS_LIST[[#This Row],[LS_TOTAL UNITS BUY]]+INVESTORS_LIST[[#This Row],[SIP_TOTAL UNITS BUY]]</f>
        <v>7741</v>
      </c>
      <c r="T654" s="50">
        <f>INVESTORS_LIST[[#This Row],[LS_TOTAL UNITS SOLD]]+INVESTORS_LIST[[#This Row],[SIP_TOTAL UNITS SOLD]]</f>
        <v>7741</v>
      </c>
      <c r="U654" s="50"/>
      <c r="V654" s="50">
        <f>SUMIFS(LS[BO UNIT TRANSFER],LS[Investor ID],INVESTORS_LIST[[#This Row],[INVESTOR CODE]],LS[B/S],"B")</f>
        <v>0</v>
      </c>
      <c r="W654" s="50">
        <f>SUMIFS(SIP[BO UNIT TRANSFER],SIP[Investor ID],INVESTORS_LIST[[#This Row],[INVESTOR CODE]],SIP[B/S],"B")</f>
        <v>0</v>
      </c>
      <c r="X654" s="50">
        <f>SUMIFS(LS[BO UNIT TRANSFER],LS[Investor ID],INVESTORS_LIST[[#This Row],[INVESTOR CODE]],LS[B/S],"S")</f>
        <v>0</v>
      </c>
      <c r="Y654" s="50">
        <f>SUMIFS(SIP[BO UNIT TRANSFER],SIP[Investor ID],INVESTORS_LIST[[#This Row],[INVESTOR CODE]],SIP[B/S],"S")</f>
        <v>0</v>
      </c>
      <c r="Z654" s="106">
        <f>SUM(INVESTORS_LIST[[#This Row],[BO OPENING BALANCE]:[BO SIP UNITS REPURCHASE]])</f>
        <v>0</v>
      </c>
      <c r="AA654" s="107">
        <f>INVESTORS_LIST[[#This Row],[TOTAL UNITS BUY]]-INVESTORS_LIST[[#This Row],[TOTAL UNITS SOLD]]</f>
        <v>0</v>
      </c>
      <c r="AB654" s="107">
        <f>INVESTORS_LIST[[#This Row],[TOTAL CURRENT UNITS]]-INVESTORS_LIST[[#This Row],[BO UNITS HOLD]]</f>
        <v>0</v>
      </c>
      <c r="AC654" s="201" t="e">
        <f>INDEX([3]!Table_1[BO ID],MATCH(INVESTORS_LIST[[#This Row],[INVESTOR CODE]],[3]!Table_1[INVESTOR CODE],0))</f>
        <v>#REF!</v>
      </c>
      <c r="AD654" s="201" t="e">
        <f>INDEX([3]!Table_1[Brokerage Name2],MATCH(INVESTORS_LIST[[#This Row],[INVESTOR CODE]],[3]!Table_1[INVESTOR CODE],0))</f>
        <v>#REF!</v>
      </c>
      <c r="AE654" s="201" t="e">
        <f>MID(INVESTORS_LIST[[#This Row],[BO ID]],4,5)</f>
        <v>#REF!</v>
      </c>
      <c r="AF654" s="201" t="e">
        <f>MID(INVESTORS_LIST[[#This Row],[BO ID]],2,7)</f>
        <v>#REF!</v>
      </c>
      <c r="AG654" s="201" t="e">
        <f>MID(INVESTORS_LIST[[#This Row],[BO ID]],9,7)</f>
        <v>#REF!</v>
      </c>
      <c r="AH654" s="201" t="e">
        <f>RIGHT(INVESTORS_LIST[[#This Row],[BO ID]],1)</f>
        <v>#REF!</v>
      </c>
      <c r="AI654" s="50">
        <f>INVESTORS_LIST[[#This Row],[LS_TOTAL COST VALUE OF CURRENT UNITS]]+INVESTORS_LIST[[#This Row],[SIP_TOTAL COST VALUE OF CURRENT UNITS]]</f>
        <v>0</v>
      </c>
      <c r="AJ654" s="109">
        <f>IF(INVESTORS_LIST[[#This Row],[TOTAL CURRENT UNITS]]=0,0,INVESTORS_LIST[[#This Row],[LS_TOTAL CURRENT UNITS]]/INVESTORS_LIST[[#This Row],[TOTAL CURRENT UNITS]])</f>
        <v>0</v>
      </c>
      <c r="AK654" s="109">
        <f>IF(INVESTORS_LIST[[#This Row],[TOTAL CURRENT UNITS]]=0,0,INVESTORS_LIST[[#This Row],[SIP_TOTAL CURRENT UNITS]]/INVESTORS_LIST[[#This Row],[TOTAL CURRENT UNITS]])</f>
        <v>0</v>
      </c>
      <c r="AL654" s="227" cm="1">
        <f t="array" ref="AL6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54" s="227" cm="1">
        <f t="array" ref="AM6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54" s="105">
        <f t="shared" si="11"/>
        <v>14.224</v>
      </c>
      <c r="AP654" s="112">
        <f>IF(INVESTORS_LIST[[#This Row],[TOTAL CURRENT UNITS]]=0,0,INVESTORS_LIST[[#This Row],[TOTAL CURRENT UNITS]]*INVESTORS_LIST[[#This Row],[NAV]])</f>
        <v>0</v>
      </c>
      <c r="AQ654" s="225">
        <f>IF(INVESTORS_LIST[[#This Row],[LS_TOTAL CURRENT UNITS]]=0,0,INVESTORS_LIST[[#This Row],[LS_TOTAL CURRENT UNITS]]*INVESTORS_LIST[[#This Row],[NAV]])</f>
        <v>0</v>
      </c>
      <c r="AR654" s="48">
        <f>IF(INVESTORS_LIST[[#This Row],[SIP_TOTAL CURRENT UNITS]]=0,0,INVESTORS_LIST[[#This Row],[SIP_TOTAL CURRENT UNITS]]*INVESTORS_LIST[[#This Row],[NAV]])</f>
        <v>0</v>
      </c>
      <c r="AS654" s="50">
        <f>INVESTORS_LIST[[#This Row],[TOTAL CURRENT UNITS]]</f>
        <v>0</v>
      </c>
      <c r="AT654" s="48">
        <f>IF(INVESTORS_LIST[[#This Row],[TOTAL SELLABLE UNITS]]=0,0,INVESTORS_LIST[[#This Row],[TOTAL SELLABLE UNITS]]*INVESTORS_LIST[[#This Row],[NAV]])</f>
        <v>0</v>
      </c>
      <c r="AU654" s="48">
        <f>INVESTORS_LIST[[#This Row],[LS_TOTAL REALIZED GAIN]]+INVESTORS_LIST[[#This Row],[SIP_TOTAL REALIZED GAIN]]</f>
        <v>1902.5199999999973</v>
      </c>
      <c r="AV654" s="48">
        <f>INVESTORS_LIST[[#This Row],[TOTAL MARKET VALUE]]-INVESTORS_LIST[[#This Row],[TOTAL COST VALUE OF CURRENT INVESTMENT]]</f>
        <v>0</v>
      </c>
      <c r="AW654" s="48">
        <f>IFERROR(INVESTORS_LIST[[#This Row],[TOTAL CURRENT UNITS]]/SUM(INVESTORS_LIST[TOTAL CURRENT UNITS]),0)</f>
        <v>0</v>
      </c>
    </row>
    <row r="655" spans="1:49">
      <c r="A655" s="262" t="s">
        <v>1423</v>
      </c>
      <c r="B655" s="224" t="s">
        <v>1424</v>
      </c>
      <c r="C655" s="99" t="s">
        <v>44</v>
      </c>
      <c r="D655" s="101" t="s">
        <v>45</v>
      </c>
      <c r="E655" s="50">
        <f>SUMIFS(LS[Unit],LS[Investor ID],INVESTORS_LIST[[#This Row],[INVESTOR CODE]],LS[B/S],"B")</f>
        <v>129543</v>
      </c>
      <c r="F655" s="50">
        <f>-SUMIFS(LS[Unit],LS[Investor ID],INVESTORS_LIST[[#This Row],[INVESTOR CODE]],LS[B/S],"S")</f>
        <v>58818</v>
      </c>
      <c r="G655" s="50">
        <f>IF(INVESTORS_LIST[[#This Row],[LS_TOTAL UNITS BUY]]=0,0,INVESTORS_LIST[[#This Row],[LS_TOTAL UNITS BUY]]-INVESTORS_LIST[[#This Row],[LS_TOTAL UNITS SOLD]])</f>
        <v>70725</v>
      </c>
      <c r="H655" s="225">
        <f>IF(INVESTORS_LIST[[#This Row],[LS_TOTAL UNITS BUY]]=0,0,SUMIFS(LS[Amount],LS[Investor ID],INVESTORS_LIST[[#This Row],[INVESTOR CODE]],LS[B/S],"B"))</f>
        <v>1700000</v>
      </c>
      <c r="I655" s="48">
        <f>IF(INVESTORS_LIST[[#This Row],[LS_TOTAL UNITS SOLD]]=0,0,SUMIFS(LS[Cost of Units Sold],LS[Investor ID],INVESTORS_LIST[[#This Row],[INVESTOR CODE]],LS[B/S],"S"))</f>
        <v>759810.29010112945</v>
      </c>
      <c r="J655" s="48">
        <f>IF(INVESTORS_LIST[[#This Row],[LS_TOTAL CURRENT UNITS]]=0,0,INVESTORS_LIST[[#This Row],[LS_TOTAL CURRENT UNITS]]*INVESTORS_LIST[[#This Row],[LS_AVERAGE COST]])</f>
        <v>940189.70989887055</v>
      </c>
      <c r="K655" s="48">
        <f>IF(INVESTORS_LIST[[#This Row],[LS_TOTAL UNITS SOLD]]=0,0,SUMIFS(LS[Realized Gain],LS[Investor ID],INVESTORS_LIST[[#This Row],[INVESTOR CODE]],LS[B/S],"S"))</f>
        <v>46611.32989887055</v>
      </c>
      <c r="L655" s="226">
        <f>SUMIFS(SIP[Unit],SIP[Investor ID],INVESTORS_LIST[[#This Row],[INVESTOR CODE]],SIP[B/S],"B")</f>
        <v>0</v>
      </c>
      <c r="M655" s="50">
        <f>-SUMIFS(SIP[Unit],SIP[Investor ID],INVESTORS_LIST[[#This Row],[INVESTOR CODE]],SIP[B/S],"S")</f>
        <v>0</v>
      </c>
      <c r="N655" s="50">
        <f>IF(INVESTORS_LIST[[#This Row],[SIP_TOTAL UNITS BUY]]=0,0,INVESTORS_LIST[[#This Row],[SIP_TOTAL UNITS BUY]]-INVESTORS_LIST[[#This Row],[SIP_TOTAL UNITS SOLD]])</f>
        <v>0</v>
      </c>
      <c r="O655" s="48">
        <f>IF(INVESTORS_LIST[[#This Row],[SIP_TOTAL UNITS BUY]]=0,0,SUMIFS(SIP[Amount],SIP[Investor ID],INVESTORS_LIST[[#This Row],[INVESTOR CODE]],SIP[B/S],"B"))</f>
        <v>0</v>
      </c>
      <c r="P655" s="48">
        <f>IF(INVESTORS_LIST[[#This Row],[SIP_TOTAL UNITS SOLD]]=0,0,SUMIFS(SIP[Cost of Units Sold],SIP[Investor ID],INVESTORS_LIST[[#This Row],[INVESTOR CODE]],SIP[B/S],"S"))</f>
        <v>0</v>
      </c>
      <c r="Q655" s="48">
        <f>IF(INVESTORS_LIST[[#This Row],[SIP_TOTAL CURRENT UNITS]]=0,0,INVESTORS_LIST[[#This Row],[SIP_TOTAL CURRENT UNITS]]*INVESTORS_LIST[[#This Row],[SIP_AVERAGE COST]])</f>
        <v>0</v>
      </c>
      <c r="R655" s="48">
        <f>IF(INVESTORS_LIST[[#This Row],[SIP_TOTAL UNITS SOLD]]=0,0,SUMIFS(SIP[Realized Gain],SIP[Investor ID],INVESTORS_LIST[[#This Row],[INVESTOR CODE]],SIP[B/S],"S"))</f>
        <v>0</v>
      </c>
      <c r="S655" s="50">
        <f>INVESTORS_LIST[[#This Row],[LS_TOTAL UNITS BUY]]+INVESTORS_LIST[[#This Row],[SIP_TOTAL UNITS BUY]]</f>
        <v>129543</v>
      </c>
      <c r="T655" s="50">
        <f>INVESTORS_LIST[[#This Row],[LS_TOTAL UNITS SOLD]]+INVESTORS_LIST[[#This Row],[SIP_TOTAL UNITS SOLD]]</f>
        <v>58818</v>
      </c>
      <c r="U655" s="50"/>
      <c r="V655" s="50">
        <f>SUMIFS(LS[BO UNIT TRANSFER],LS[Investor ID],INVESTORS_LIST[[#This Row],[INVESTOR CODE]],LS[B/S],"B")</f>
        <v>0</v>
      </c>
      <c r="W655" s="50">
        <f>SUMIFS(SIP[BO UNIT TRANSFER],SIP[Investor ID],INVESTORS_LIST[[#This Row],[INVESTOR CODE]],SIP[B/S],"B")</f>
        <v>0</v>
      </c>
      <c r="X655" s="50">
        <f>SUMIFS(LS[BO UNIT TRANSFER],LS[Investor ID],INVESTORS_LIST[[#This Row],[INVESTOR CODE]],LS[B/S],"S")</f>
        <v>0</v>
      </c>
      <c r="Y655" s="50">
        <f>SUMIFS(SIP[BO UNIT TRANSFER],SIP[Investor ID],INVESTORS_LIST[[#This Row],[INVESTOR CODE]],SIP[B/S],"S")</f>
        <v>0</v>
      </c>
      <c r="Z655" s="106">
        <f>SUM(INVESTORS_LIST[[#This Row],[BO OPENING BALANCE]:[BO SIP UNITS REPURCHASE]])</f>
        <v>0</v>
      </c>
      <c r="AA655" s="107">
        <f>INVESTORS_LIST[[#This Row],[TOTAL UNITS BUY]]-INVESTORS_LIST[[#This Row],[TOTAL UNITS SOLD]]</f>
        <v>70725</v>
      </c>
      <c r="AB655" s="107">
        <f>INVESTORS_LIST[[#This Row],[TOTAL CURRENT UNITS]]-INVESTORS_LIST[[#This Row],[BO UNITS HOLD]]</f>
        <v>70725</v>
      </c>
      <c r="AC655" s="201" t="e">
        <f>INDEX([3]!Table_1[BO ID],MATCH(INVESTORS_LIST[[#This Row],[INVESTOR CODE]],[3]!Table_1[INVESTOR CODE],0))</f>
        <v>#REF!</v>
      </c>
      <c r="AD655" s="201" t="e">
        <f>INDEX([3]!Table_1[Brokerage Name2],MATCH(INVESTORS_LIST[[#This Row],[INVESTOR CODE]],[3]!Table_1[INVESTOR CODE],0))</f>
        <v>#REF!</v>
      </c>
      <c r="AE655" s="201" t="e">
        <f>MID(INVESTORS_LIST[[#This Row],[BO ID]],4,5)</f>
        <v>#REF!</v>
      </c>
      <c r="AF655" s="201" t="e">
        <f>MID(INVESTORS_LIST[[#This Row],[BO ID]],2,7)</f>
        <v>#REF!</v>
      </c>
      <c r="AG655" s="201" t="e">
        <f>MID(INVESTORS_LIST[[#This Row],[BO ID]],9,7)</f>
        <v>#REF!</v>
      </c>
      <c r="AH655" s="201" t="e">
        <f>RIGHT(INVESTORS_LIST[[#This Row],[BO ID]],1)</f>
        <v>#REF!</v>
      </c>
      <c r="AI655" s="50">
        <f>INVESTORS_LIST[[#This Row],[LS_TOTAL COST VALUE OF CURRENT UNITS]]+INVESTORS_LIST[[#This Row],[SIP_TOTAL COST VALUE OF CURRENT UNITS]]</f>
        <v>940189.70989887055</v>
      </c>
      <c r="AJ655" s="109">
        <f>IF(INVESTORS_LIST[[#This Row],[TOTAL CURRENT UNITS]]=0,0,INVESTORS_LIST[[#This Row],[LS_TOTAL CURRENT UNITS]]/INVESTORS_LIST[[#This Row],[TOTAL CURRENT UNITS]])</f>
        <v>1</v>
      </c>
      <c r="AK655" s="109">
        <f>IF(INVESTORS_LIST[[#This Row],[TOTAL CURRENT UNITS]]=0,0,INVESTORS_LIST[[#This Row],[SIP_TOTAL CURRENT UNITS]]/INVESTORS_LIST[[#This Row],[TOTAL CURRENT UNITS]])</f>
        <v>0</v>
      </c>
      <c r="AL655" s="227" cm="1">
        <f t="array" ref="AL655">IF(INVESTORS_LIST[[#This Row],[LS_TOTAL UNITS BUY]]&gt;0,INDEX(LS[NAV at Cost (Average)],MATCH(CONCATENATE(COUNTIFS(LS[Investor ID],INVESTORS_LIST[[#This Row],[INVESTOR CODE]]),INVESTORS_LIST[[#This Row],[INVESTOR CODE]]),LS[Unique Code],0),),0)</f>
        <v>13.293597877679328</v>
      </c>
      <c r="AM655" s="227" cm="1">
        <f t="array" ref="AM6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5" s="105">
        <f>IF(INVESTORS_LIST[[#This Row],[TOTAL CURRENT UNITS]]=0,0,(INVESTORS_LIST[[#This Row],[LS_WEIGHT]]*INVESTORS_LIST[[#This Row],[LS_AVERAGE COST]])+(INVESTORS_LIST[[#This Row],[SIP_WEIGHT]]*INVESTORS_LIST[[#This Row],[SIP_AVERAGE COST]]))</f>
        <v>13.293597877679328</v>
      </c>
      <c r="AO655" s="105">
        <f t="shared" si="11"/>
        <v>14.224</v>
      </c>
      <c r="AP655" s="112">
        <f>IF(INVESTORS_LIST[[#This Row],[TOTAL CURRENT UNITS]]=0,0,INVESTORS_LIST[[#This Row],[TOTAL CURRENT UNITS]]*INVESTORS_LIST[[#This Row],[NAV]])</f>
        <v>1005992.4</v>
      </c>
      <c r="AQ655" s="225">
        <f>IF(INVESTORS_LIST[[#This Row],[LS_TOTAL CURRENT UNITS]]=0,0,INVESTORS_LIST[[#This Row],[LS_TOTAL CURRENT UNITS]]*INVESTORS_LIST[[#This Row],[NAV]])</f>
        <v>1005992.4</v>
      </c>
      <c r="AR655" s="48">
        <f>IF(INVESTORS_LIST[[#This Row],[SIP_TOTAL CURRENT UNITS]]=0,0,INVESTORS_LIST[[#This Row],[SIP_TOTAL CURRENT UNITS]]*INVESTORS_LIST[[#This Row],[NAV]])</f>
        <v>0</v>
      </c>
      <c r="AS655" s="50">
        <f>INVESTORS_LIST[[#This Row],[TOTAL CURRENT UNITS]]</f>
        <v>70725</v>
      </c>
      <c r="AT655" s="48">
        <f>IF(INVESTORS_LIST[[#This Row],[TOTAL SELLABLE UNITS]]=0,0,INVESTORS_LIST[[#This Row],[TOTAL SELLABLE UNITS]]*INVESTORS_LIST[[#This Row],[NAV]])</f>
        <v>1005992.4</v>
      </c>
      <c r="AU655" s="48">
        <f>INVESTORS_LIST[[#This Row],[LS_TOTAL REALIZED GAIN]]+INVESTORS_LIST[[#This Row],[SIP_TOTAL REALIZED GAIN]]</f>
        <v>46611.32989887055</v>
      </c>
      <c r="AV655" s="48">
        <f>INVESTORS_LIST[[#This Row],[TOTAL MARKET VALUE]]-INVESTORS_LIST[[#This Row],[TOTAL COST VALUE OF CURRENT INVESTMENT]]</f>
        <v>65802.690101129469</v>
      </c>
      <c r="AW655" s="48">
        <f>IFERROR(INVESTORS_LIST[[#This Row],[TOTAL CURRENT UNITS]]/SUM(INVESTORS_LIST[TOTAL CURRENT UNITS]),0)</f>
        <v>1.7169348034519311E-3</v>
      </c>
    </row>
    <row r="656" spans="1:49" hidden="1">
      <c r="A656" s="262" t="s">
        <v>1427</v>
      </c>
      <c r="B656" s="97" t="s">
        <v>1428</v>
      </c>
      <c r="C656" t="s">
        <v>44</v>
      </c>
      <c r="D656" s="75" t="s">
        <v>45</v>
      </c>
      <c r="E656" s="50">
        <f>SUMIFS(LS[Unit],LS[Investor ID],INVESTORS_LIST[[#This Row],[INVESTOR CODE]],LS[B/S],"B")</f>
        <v>0</v>
      </c>
      <c r="F656" s="50">
        <f>-SUMIFS(LS[Unit],LS[Investor ID],INVESTORS_LIST[[#This Row],[INVESTOR CODE]],LS[B/S],"S")</f>
        <v>0</v>
      </c>
      <c r="G656" s="50">
        <f>IF(INVESTORS_LIST[[#This Row],[LS_TOTAL UNITS BUY]]=0,0,INVESTORS_LIST[[#This Row],[LS_TOTAL UNITS BUY]]-INVESTORS_LIST[[#This Row],[LS_TOTAL UNITS SOLD]])</f>
        <v>0</v>
      </c>
      <c r="H656" s="238">
        <f>IF(INVESTORS_LIST[[#This Row],[LS_TOTAL UNITS BUY]]=0,0,SUMIFS(LS[Amount],LS[Investor ID],INVESTORS_LIST[[#This Row],[INVESTOR CODE]],LS[B/S],"B"))</f>
        <v>0</v>
      </c>
      <c r="I656" s="48">
        <f>IF(INVESTORS_LIST[[#This Row],[LS_TOTAL UNITS SOLD]]=0,0,SUMIFS(LS[Cost of Units Sold],LS[Investor ID],INVESTORS_LIST[[#This Row],[INVESTOR CODE]],LS[B/S],"S"))</f>
        <v>0</v>
      </c>
      <c r="J656" s="48">
        <f>IF(INVESTORS_LIST[[#This Row],[LS_TOTAL CURRENT UNITS]]=0,0,INVESTORS_LIST[[#This Row],[LS_TOTAL CURRENT UNITS]]*INVESTORS_LIST[[#This Row],[LS_AVERAGE COST]])</f>
        <v>0</v>
      </c>
      <c r="K656" s="48">
        <f>IF(INVESTORS_LIST[[#This Row],[LS_TOTAL UNITS SOLD]]=0,0,SUMIFS(LS[Realized Gain],LS[Investor ID],INVESTORS_LIST[[#This Row],[INVESTOR CODE]],LS[B/S],"S"))</f>
        <v>0</v>
      </c>
      <c r="L656" s="239">
        <f>SUMIFS(SIP[Unit],SIP[Investor ID],INVESTORS_LIST[[#This Row],[INVESTOR CODE]],SIP[B/S],"B")</f>
        <v>0</v>
      </c>
      <c r="M656" s="50">
        <f>-SUMIFS(SIP[Unit],SIP[Investor ID],INVESTORS_LIST[[#This Row],[INVESTOR CODE]],SIP[B/S],"S")</f>
        <v>0</v>
      </c>
      <c r="N656" s="50">
        <f>IF(INVESTORS_LIST[[#This Row],[SIP_TOTAL UNITS BUY]]=0,0,INVESTORS_LIST[[#This Row],[SIP_TOTAL UNITS BUY]]-INVESTORS_LIST[[#This Row],[SIP_TOTAL UNITS SOLD]])</f>
        <v>0</v>
      </c>
      <c r="O656" s="48">
        <f>IF(INVESTORS_LIST[[#This Row],[SIP_TOTAL UNITS BUY]]=0,0,SUMIFS(SIP[Amount],SIP[Investor ID],INVESTORS_LIST[[#This Row],[INVESTOR CODE]],SIP[B/S],"B"))</f>
        <v>0</v>
      </c>
      <c r="P656" s="48">
        <f>IF(INVESTORS_LIST[[#This Row],[SIP_TOTAL UNITS SOLD]]=0,0,SUMIFS(SIP[Cost of Units Sold],SIP[Investor ID],INVESTORS_LIST[[#This Row],[INVESTOR CODE]],SIP[B/S],"S"))</f>
        <v>0</v>
      </c>
      <c r="Q656" s="48">
        <f>IF(INVESTORS_LIST[[#This Row],[SIP_TOTAL CURRENT UNITS]]=0,0,INVESTORS_LIST[[#This Row],[SIP_TOTAL CURRENT UNITS]]*INVESTORS_LIST[[#This Row],[SIP_AVERAGE COST]])</f>
        <v>0</v>
      </c>
      <c r="R656" s="48">
        <f>IF(INVESTORS_LIST[[#This Row],[SIP_TOTAL UNITS SOLD]]=0,0,SUMIFS(SIP[Realized Gain],SIP[Investor ID],INVESTORS_LIST[[#This Row],[INVESTOR CODE]],SIP[B/S],"S"))</f>
        <v>0</v>
      </c>
      <c r="S656" s="50">
        <f>INVESTORS_LIST[[#This Row],[LS_TOTAL UNITS BUY]]+INVESTORS_LIST[[#This Row],[SIP_TOTAL UNITS BUY]]</f>
        <v>0</v>
      </c>
      <c r="T656" s="50">
        <f>INVESTORS_LIST[[#This Row],[LS_TOTAL UNITS SOLD]]+INVESTORS_LIST[[#This Row],[SIP_TOTAL UNITS SOLD]]</f>
        <v>0</v>
      </c>
      <c r="U656" s="50"/>
      <c r="V656" s="50">
        <f>SUMIFS(LS[BO UNIT TRANSFER],LS[Investor ID],INVESTORS_LIST[[#This Row],[INVESTOR CODE]],LS[B/S],"B")</f>
        <v>0</v>
      </c>
      <c r="W656" s="50">
        <f>SUMIFS(SIP[BO UNIT TRANSFER],SIP[Investor ID],INVESTORS_LIST[[#This Row],[INVESTOR CODE]],SIP[B/S],"B")</f>
        <v>0</v>
      </c>
      <c r="X656" s="50">
        <f>SUMIFS(LS[BO UNIT TRANSFER],LS[Investor ID],INVESTORS_LIST[[#This Row],[INVESTOR CODE]],LS[B/S],"S")</f>
        <v>0</v>
      </c>
      <c r="Y656" s="50">
        <f>SUMIFS(SIP[BO UNIT TRANSFER],SIP[Investor ID],INVESTORS_LIST[[#This Row],[INVESTOR CODE]],SIP[B/S],"S")</f>
        <v>0</v>
      </c>
      <c r="Z656" s="106">
        <f>SUM(INVESTORS_LIST[[#This Row],[BO OPENING BALANCE]:[BO SIP UNITS REPURCHASE]])</f>
        <v>0</v>
      </c>
      <c r="AA656" s="107">
        <f>INVESTORS_LIST[[#This Row],[TOTAL UNITS BUY]]-INVESTORS_LIST[[#This Row],[TOTAL UNITS SOLD]]</f>
        <v>0</v>
      </c>
      <c r="AB656" s="107">
        <f>INVESTORS_LIST[[#This Row],[TOTAL CURRENT UNITS]]-INVESTORS_LIST[[#This Row],[BO UNITS HOLD]]</f>
        <v>0</v>
      </c>
      <c r="AC656" s="201" t="e">
        <f>INDEX([3]!Table_1[BO ID],MATCH(INVESTORS_LIST[[#This Row],[INVESTOR CODE]],[3]!Table_1[INVESTOR CODE],0))</f>
        <v>#REF!</v>
      </c>
      <c r="AD656" s="201" t="e">
        <f>INDEX([3]!Table_1[Brokerage Name2],MATCH(INVESTORS_LIST[[#This Row],[INVESTOR CODE]],[3]!Table_1[INVESTOR CODE],0))</f>
        <v>#REF!</v>
      </c>
      <c r="AE656" s="201" t="e">
        <f>MID(INVESTORS_LIST[[#This Row],[BO ID]],4,5)</f>
        <v>#REF!</v>
      </c>
      <c r="AF656" s="201" t="e">
        <f>MID(INVESTORS_LIST[[#This Row],[BO ID]],2,7)</f>
        <v>#REF!</v>
      </c>
      <c r="AG656" s="201" t="e">
        <f>MID(INVESTORS_LIST[[#This Row],[BO ID]],9,7)</f>
        <v>#REF!</v>
      </c>
      <c r="AH656" s="201" t="e">
        <f>RIGHT(INVESTORS_LIST[[#This Row],[BO ID]],1)</f>
        <v>#REF!</v>
      </c>
      <c r="AI656" s="50">
        <f>INVESTORS_LIST[[#This Row],[LS_TOTAL COST VALUE OF CURRENT UNITS]]+INVESTORS_LIST[[#This Row],[SIP_TOTAL COST VALUE OF CURRENT UNITS]]</f>
        <v>0</v>
      </c>
      <c r="AJ656" s="109">
        <f>IF(INVESTORS_LIST[[#This Row],[TOTAL CURRENT UNITS]]=0,0,INVESTORS_LIST[[#This Row],[LS_TOTAL CURRENT UNITS]]/INVESTORS_LIST[[#This Row],[TOTAL CURRENT UNITS]])</f>
        <v>0</v>
      </c>
      <c r="AK656" s="109">
        <f>IF(INVESTORS_LIST[[#This Row],[TOTAL CURRENT UNITS]]=0,0,INVESTORS_LIST[[#This Row],[SIP_TOTAL CURRENT UNITS]]/INVESTORS_LIST[[#This Row],[TOTAL CURRENT UNITS]])</f>
        <v>0</v>
      </c>
      <c r="AL656" s="240" cm="1">
        <f t="array" ref="AL6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56" s="240" cm="1">
        <f t="array" ref="AM6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56" s="105">
        <f t="shared" si="11"/>
        <v>14.224</v>
      </c>
      <c r="AP656" s="112">
        <f>IF(INVESTORS_LIST[[#This Row],[TOTAL CURRENT UNITS]]=0,0,INVESTORS_LIST[[#This Row],[TOTAL CURRENT UNITS]]*INVESTORS_LIST[[#This Row],[NAV]])</f>
        <v>0</v>
      </c>
      <c r="AQ656" s="238">
        <f>IF(INVESTORS_LIST[[#This Row],[LS_TOTAL CURRENT UNITS]]=0,0,INVESTORS_LIST[[#This Row],[LS_TOTAL CURRENT UNITS]]*INVESTORS_LIST[[#This Row],[NAV]])</f>
        <v>0</v>
      </c>
      <c r="AR656" s="48">
        <f>IF(INVESTORS_LIST[[#This Row],[SIP_TOTAL CURRENT UNITS]]=0,0,INVESTORS_LIST[[#This Row],[SIP_TOTAL CURRENT UNITS]]*INVESTORS_LIST[[#This Row],[NAV]])</f>
        <v>0</v>
      </c>
      <c r="AS656" s="50">
        <f>INVESTORS_LIST[[#This Row],[TOTAL CURRENT UNITS]]</f>
        <v>0</v>
      </c>
      <c r="AT656" s="48">
        <f>IF(INVESTORS_LIST[[#This Row],[TOTAL SELLABLE UNITS]]=0,0,INVESTORS_LIST[[#This Row],[TOTAL SELLABLE UNITS]]*INVESTORS_LIST[[#This Row],[NAV]])</f>
        <v>0</v>
      </c>
      <c r="AU656" s="48">
        <f>INVESTORS_LIST[[#This Row],[LS_TOTAL REALIZED GAIN]]+INVESTORS_LIST[[#This Row],[SIP_TOTAL REALIZED GAIN]]</f>
        <v>0</v>
      </c>
      <c r="AV656" s="48">
        <f>INVESTORS_LIST[[#This Row],[TOTAL MARKET VALUE]]-INVESTORS_LIST[[#This Row],[TOTAL COST VALUE OF CURRENT INVESTMENT]]</f>
        <v>0</v>
      </c>
      <c r="AW656" s="48">
        <f>IFERROR(INVESTORS_LIST[[#This Row],[TOTAL CURRENT UNITS]]/SUM(INVESTORS_LIST[TOTAL CURRENT UNITS]),0)</f>
        <v>0</v>
      </c>
    </row>
    <row r="657" spans="1:49">
      <c r="A657" s="262" t="s">
        <v>1429</v>
      </c>
      <c r="B657" s="97" t="s">
        <v>1425</v>
      </c>
      <c r="C657" t="s">
        <v>44</v>
      </c>
      <c r="D657" s="75" t="s">
        <v>45</v>
      </c>
      <c r="E657" s="50">
        <f>SUMIFS(LS[Unit],LS[Investor ID],INVESTORS_LIST[[#This Row],[INVESTOR CODE]],LS[B/S],"B")</f>
        <v>36791</v>
      </c>
      <c r="F657" s="50">
        <f>-SUMIFS(LS[Unit],LS[Investor ID],INVESTORS_LIST[[#This Row],[INVESTOR CODE]],LS[B/S],"S")</f>
        <v>14293</v>
      </c>
      <c r="G657" s="50">
        <f>IF(INVESTORS_LIST[[#This Row],[LS_TOTAL UNITS BUY]]=0,0,INVESTORS_LIST[[#This Row],[LS_TOTAL UNITS BUY]]-INVESTORS_LIST[[#This Row],[LS_TOTAL UNITS SOLD]])</f>
        <v>22498</v>
      </c>
      <c r="H657" s="238">
        <f>IF(INVESTORS_LIST[[#This Row],[LS_TOTAL UNITS BUY]]=0,0,SUMIFS(LS[Amount],LS[Investor ID],INVESTORS_LIST[[#This Row],[INVESTOR CODE]],LS[B/S],"B"))</f>
        <v>500000</v>
      </c>
      <c r="I657" s="48">
        <f>IF(INVESTORS_LIST[[#This Row],[LS_TOTAL UNITS SOLD]]=0,0,SUMIFS(LS[Cost of Units Sold],LS[Investor ID],INVESTORS_LIST[[#This Row],[INVESTOR CODE]],LS[B/S],"S"))</f>
        <v>194245.87534994973</v>
      </c>
      <c r="J657" s="48">
        <f>IF(INVESTORS_LIST[[#This Row],[LS_TOTAL CURRENT UNITS]]=0,0,INVESTORS_LIST[[#This Row],[LS_TOTAL CURRENT UNITS]]*INVESTORS_LIST[[#This Row],[LS_AVERAGE COST]])</f>
        <v>305754.1246500503</v>
      </c>
      <c r="K657" s="48">
        <f>IF(INVESTORS_LIST[[#This Row],[LS_TOTAL UNITS SOLD]]=0,0,SUMIFS(LS[Realized Gain],LS[Investor ID],INVESTORS_LIST[[#This Row],[INVESTOR CODE]],LS[B/S],"S"))</f>
        <v>5754.1246500502621</v>
      </c>
      <c r="L657" s="239">
        <f>SUMIFS(SIP[Unit],SIP[Investor ID],INVESTORS_LIST[[#This Row],[INVESTOR CODE]],SIP[B/S],"B")</f>
        <v>4350</v>
      </c>
      <c r="M657" s="50">
        <f>-SUMIFS(SIP[Unit],SIP[Investor ID],INVESTORS_LIST[[#This Row],[INVESTOR CODE]],SIP[B/S],"S")</f>
        <v>0</v>
      </c>
      <c r="N657" s="50">
        <f>IF(INVESTORS_LIST[[#This Row],[SIP_TOTAL UNITS BUY]]=0,0,INVESTORS_LIST[[#This Row],[SIP_TOTAL UNITS BUY]]-INVESTORS_LIST[[#This Row],[SIP_TOTAL UNITS SOLD]])</f>
        <v>4350</v>
      </c>
      <c r="O657" s="48">
        <f>IF(INVESTORS_LIST[[#This Row],[SIP_TOTAL UNITS BUY]]=0,0,SUMIFS(SIP[Amount],SIP[Investor ID],INVESTORS_LIST[[#This Row],[INVESTOR CODE]],SIP[B/S],"B"))</f>
        <v>60000</v>
      </c>
      <c r="P657" s="48">
        <f>IF(INVESTORS_LIST[[#This Row],[SIP_TOTAL UNITS SOLD]]=0,0,SUMIFS(SIP[Cost of Units Sold],SIP[Investor ID],INVESTORS_LIST[[#This Row],[INVESTOR CODE]],SIP[B/S],"S"))</f>
        <v>0</v>
      </c>
      <c r="Q657" s="48">
        <f>IF(INVESTORS_LIST[[#This Row],[SIP_TOTAL CURRENT UNITS]]=0,0,INVESTORS_LIST[[#This Row],[SIP_TOTAL CURRENT UNITS]]*INVESTORS_LIST[[#This Row],[SIP_AVERAGE COST]])</f>
        <v>60000.000000000007</v>
      </c>
      <c r="R657" s="48">
        <f>IF(INVESTORS_LIST[[#This Row],[SIP_TOTAL UNITS SOLD]]=0,0,SUMIFS(SIP[Realized Gain],SIP[Investor ID],INVESTORS_LIST[[#This Row],[INVESTOR CODE]],SIP[B/S],"S"))</f>
        <v>0</v>
      </c>
      <c r="S657" s="50">
        <f>INVESTORS_LIST[[#This Row],[LS_TOTAL UNITS BUY]]+INVESTORS_LIST[[#This Row],[SIP_TOTAL UNITS BUY]]</f>
        <v>41141</v>
      </c>
      <c r="T657" s="50">
        <f>INVESTORS_LIST[[#This Row],[LS_TOTAL UNITS SOLD]]+INVESTORS_LIST[[#This Row],[SIP_TOTAL UNITS SOLD]]</f>
        <v>14293</v>
      </c>
      <c r="U657" s="50">
        <v>38988</v>
      </c>
      <c r="V657" s="50">
        <f>SUMIFS(LS[BO UNIT TRANSFER],LS[Investor ID],INVESTORS_LIST[[#This Row],[INVESTOR CODE]],LS[B/S],"B")</f>
        <v>0</v>
      </c>
      <c r="W657" s="50">
        <f>SUMIFS(SIP[BO UNIT TRANSFER],SIP[Investor ID],INVESTORS_LIST[[#This Row],[INVESTOR CODE]],SIP[B/S],"B")</f>
        <v>0</v>
      </c>
      <c r="X657" s="50">
        <f>SUMIFS(LS[BO UNIT TRANSFER],LS[Investor ID],INVESTORS_LIST[[#This Row],[INVESTOR CODE]],LS[B/S],"S")</f>
        <v>0</v>
      </c>
      <c r="Y657" s="50">
        <f>SUMIFS(SIP[BO UNIT TRANSFER],SIP[Investor ID],INVESTORS_LIST[[#This Row],[INVESTOR CODE]],SIP[B/S],"S")</f>
        <v>0</v>
      </c>
      <c r="Z657" s="106">
        <f>SUM(INVESTORS_LIST[[#This Row],[BO OPENING BALANCE]:[BO SIP UNITS REPURCHASE]])</f>
        <v>38988</v>
      </c>
      <c r="AA657" s="107">
        <f>INVESTORS_LIST[[#This Row],[TOTAL UNITS BUY]]-INVESTORS_LIST[[#This Row],[TOTAL UNITS SOLD]]</f>
        <v>26848</v>
      </c>
      <c r="AB657" s="107">
        <f>INVESTORS_LIST[[#This Row],[TOTAL CURRENT UNITS]]-INVESTORS_LIST[[#This Row],[BO UNITS HOLD]]</f>
        <v>-12140</v>
      </c>
      <c r="AC657" s="201" t="e">
        <f>INDEX([3]!Table_1[BO ID],MATCH(INVESTORS_LIST[[#This Row],[INVESTOR CODE]],[3]!Table_1[INVESTOR CODE],0))</f>
        <v>#REF!</v>
      </c>
      <c r="AD657" s="201" t="e">
        <f>INDEX([3]!Table_1[Brokerage Name2],MATCH(INVESTORS_LIST[[#This Row],[INVESTOR CODE]],[3]!Table_1[INVESTOR CODE],0))</f>
        <v>#REF!</v>
      </c>
      <c r="AE657" s="201" t="e">
        <f>MID(INVESTORS_LIST[[#This Row],[BO ID]],4,5)</f>
        <v>#REF!</v>
      </c>
      <c r="AF657" s="201" t="e">
        <f>MID(INVESTORS_LIST[[#This Row],[BO ID]],2,7)</f>
        <v>#REF!</v>
      </c>
      <c r="AG657" s="201" t="e">
        <f>MID(INVESTORS_LIST[[#This Row],[BO ID]],9,7)</f>
        <v>#REF!</v>
      </c>
      <c r="AH657" s="201" t="e">
        <f>RIGHT(INVESTORS_LIST[[#This Row],[BO ID]],1)</f>
        <v>#REF!</v>
      </c>
      <c r="AI657" s="50">
        <f>INVESTORS_LIST[[#This Row],[LS_TOTAL COST VALUE OF CURRENT UNITS]]+INVESTORS_LIST[[#This Row],[SIP_TOTAL COST VALUE OF CURRENT UNITS]]</f>
        <v>365754.1246500503</v>
      </c>
      <c r="AJ657" s="109">
        <f>IF(INVESTORS_LIST[[#This Row],[TOTAL CURRENT UNITS]]=0,0,INVESTORS_LIST[[#This Row],[LS_TOTAL CURRENT UNITS]]/INVESTORS_LIST[[#This Row],[TOTAL CURRENT UNITS]])</f>
        <v>0.83797675804529204</v>
      </c>
      <c r="AK657" s="109">
        <f>IF(INVESTORS_LIST[[#This Row],[TOTAL CURRENT UNITS]]=0,0,INVESTORS_LIST[[#This Row],[SIP_TOTAL CURRENT UNITS]]/INVESTORS_LIST[[#This Row],[TOTAL CURRENT UNITS]])</f>
        <v>0.16202324195470799</v>
      </c>
      <c r="AL657" s="240" cm="1">
        <f t="array" ref="AL657">IF(INVESTORS_LIST[[#This Row],[LS_TOTAL UNITS BUY]]&gt;0,INDEX(LS[NAV at Cost (Average)],MATCH(CONCATENATE(COUNTIFS(LS[Investor ID],INVESTORS_LIST[[#This Row],[INVESTOR CODE]]),INVESTORS_LIST[[#This Row],[INVESTOR CODE]]),LS[Unique Code],0),),0)</f>
        <v>13.590280231578376</v>
      </c>
      <c r="AM657" s="240" cm="1">
        <f t="array" ref="AM657">IF(INVESTORS_LIST[[#This Row],[SIP_TOTAL UNITS BUY]]&gt;0,INDEX(SIP[NAV at Cost (Average)],MATCH(CONCATENATE(COUNTIFS(SIP[Investor ID],INVESTORS_LIST[[#This Row],[INVESTOR CODE]]),INVESTORS_LIST[[#This Row],[INVESTOR CODE]]),SIP[Unique Code],0),),0)</f>
        <v>13.793103448275863</v>
      </c>
      <c r="AN657" s="105">
        <f>IF(INVESTORS_LIST[[#This Row],[TOTAL CURRENT UNITS]]=0,0,(INVESTORS_LIST[[#This Row],[LS_WEIGHT]]*INVESTORS_LIST[[#This Row],[LS_AVERAGE COST]])+(INVESTORS_LIST[[#This Row],[SIP_WEIGHT]]*INVESTORS_LIST[[#This Row],[SIP_AVERAGE COST]]))</f>
        <v>13.623142306691385</v>
      </c>
      <c r="AO657" s="105">
        <f t="shared" si="11"/>
        <v>14.224</v>
      </c>
      <c r="AP657" s="112">
        <f>IF(INVESTORS_LIST[[#This Row],[TOTAL CURRENT UNITS]]=0,0,INVESTORS_LIST[[#This Row],[TOTAL CURRENT UNITS]]*INVESTORS_LIST[[#This Row],[NAV]])</f>
        <v>381885.95199999999</v>
      </c>
      <c r="AQ657" s="238">
        <f>IF(INVESTORS_LIST[[#This Row],[LS_TOTAL CURRENT UNITS]]=0,0,INVESTORS_LIST[[#This Row],[LS_TOTAL CURRENT UNITS]]*INVESTORS_LIST[[#This Row],[NAV]])</f>
        <v>320011.55200000003</v>
      </c>
      <c r="AR657" s="48">
        <f>IF(INVESTORS_LIST[[#This Row],[SIP_TOTAL CURRENT UNITS]]=0,0,INVESTORS_LIST[[#This Row],[SIP_TOTAL CURRENT UNITS]]*INVESTORS_LIST[[#This Row],[NAV]])</f>
        <v>61874.400000000001</v>
      </c>
      <c r="AS657" s="50">
        <f>INVESTORS_LIST[[#This Row],[TOTAL CURRENT UNITS]]</f>
        <v>26848</v>
      </c>
      <c r="AT657" s="48">
        <f>IF(INVESTORS_LIST[[#This Row],[TOTAL SELLABLE UNITS]]=0,0,INVESTORS_LIST[[#This Row],[TOTAL SELLABLE UNITS]]*INVESTORS_LIST[[#This Row],[NAV]])</f>
        <v>381885.95199999999</v>
      </c>
      <c r="AU657" s="48">
        <f>INVESTORS_LIST[[#This Row],[LS_TOTAL REALIZED GAIN]]+INVESTORS_LIST[[#This Row],[SIP_TOTAL REALIZED GAIN]]</f>
        <v>5754.1246500502621</v>
      </c>
      <c r="AV657" s="48">
        <f>INVESTORS_LIST[[#This Row],[TOTAL MARKET VALUE]]-INVESTORS_LIST[[#This Row],[TOTAL COST VALUE OF CURRENT INVESTMENT]]</f>
        <v>16131.827349949686</v>
      </c>
      <c r="AW657" s="48">
        <f>IFERROR(INVESTORS_LIST[[#This Row],[TOTAL CURRENT UNITS]]/SUM(INVESTORS_LIST[TOTAL CURRENT UNITS]),0)</f>
        <v>6.5176762959459102E-4</v>
      </c>
    </row>
    <row r="658" spans="1:49" hidden="1">
      <c r="A658" s="262" t="s">
        <v>1430</v>
      </c>
      <c r="B658" s="97" t="s">
        <v>1431</v>
      </c>
      <c r="C658" t="s">
        <v>44</v>
      </c>
      <c r="D658" s="75" t="s">
        <v>45</v>
      </c>
      <c r="E658" s="50">
        <f>SUMIFS(LS[Unit],LS[Investor ID],INVESTORS_LIST[[#This Row],[INVESTOR CODE]],LS[B/S],"B")</f>
        <v>0</v>
      </c>
      <c r="F658" s="50">
        <f>-SUMIFS(LS[Unit],LS[Investor ID],INVESTORS_LIST[[#This Row],[INVESTOR CODE]],LS[B/S],"S")</f>
        <v>0</v>
      </c>
      <c r="G658" s="50">
        <f>IF(INVESTORS_LIST[[#This Row],[LS_TOTAL UNITS BUY]]=0,0,INVESTORS_LIST[[#This Row],[LS_TOTAL UNITS BUY]]-INVESTORS_LIST[[#This Row],[LS_TOTAL UNITS SOLD]])</f>
        <v>0</v>
      </c>
      <c r="H658" s="238">
        <f>IF(INVESTORS_LIST[[#This Row],[LS_TOTAL UNITS BUY]]=0,0,SUMIFS(LS[Amount],LS[Investor ID],INVESTORS_LIST[[#This Row],[INVESTOR CODE]],LS[B/S],"B"))</f>
        <v>0</v>
      </c>
      <c r="I658" s="48">
        <f>IF(INVESTORS_LIST[[#This Row],[LS_TOTAL UNITS SOLD]]=0,0,SUMIFS(LS[Cost of Units Sold],LS[Investor ID],INVESTORS_LIST[[#This Row],[INVESTOR CODE]],LS[B/S],"S"))</f>
        <v>0</v>
      </c>
      <c r="J658" s="48">
        <f>IF(INVESTORS_LIST[[#This Row],[LS_TOTAL CURRENT UNITS]]=0,0,INVESTORS_LIST[[#This Row],[LS_TOTAL CURRENT UNITS]]*INVESTORS_LIST[[#This Row],[LS_AVERAGE COST]])</f>
        <v>0</v>
      </c>
      <c r="K658" s="48">
        <f>IF(INVESTORS_LIST[[#This Row],[LS_TOTAL UNITS SOLD]]=0,0,SUMIFS(LS[Realized Gain],LS[Investor ID],INVESTORS_LIST[[#This Row],[INVESTOR CODE]],LS[B/S],"S"))</f>
        <v>0</v>
      </c>
      <c r="L658" s="239">
        <f>SUMIFS(SIP[Unit],SIP[Investor ID],INVESTORS_LIST[[#This Row],[INVESTOR CODE]],SIP[B/S],"B")</f>
        <v>0</v>
      </c>
      <c r="M658" s="50">
        <f>-SUMIFS(SIP[Unit],SIP[Investor ID],INVESTORS_LIST[[#This Row],[INVESTOR CODE]],SIP[B/S],"S")</f>
        <v>0</v>
      </c>
      <c r="N658" s="50">
        <f>IF(INVESTORS_LIST[[#This Row],[SIP_TOTAL UNITS BUY]]=0,0,INVESTORS_LIST[[#This Row],[SIP_TOTAL UNITS BUY]]-INVESTORS_LIST[[#This Row],[SIP_TOTAL UNITS SOLD]])</f>
        <v>0</v>
      </c>
      <c r="O658" s="48">
        <f>IF(INVESTORS_LIST[[#This Row],[SIP_TOTAL UNITS BUY]]=0,0,SUMIFS(SIP[Amount],SIP[Investor ID],INVESTORS_LIST[[#This Row],[INVESTOR CODE]],SIP[B/S],"B"))</f>
        <v>0</v>
      </c>
      <c r="P658" s="48">
        <f>IF(INVESTORS_LIST[[#This Row],[SIP_TOTAL UNITS SOLD]]=0,0,SUMIFS(SIP[Cost of Units Sold],SIP[Investor ID],INVESTORS_LIST[[#This Row],[INVESTOR CODE]],SIP[B/S],"S"))</f>
        <v>0</v>
      </c>
      <c r="Q658" s="48">
        <f>IF(INVESTORS_LIST[[#This Row],[SIP_TOTAL CURRENT UNITS]]=0,0,INVESTORS_LIST[[#This Row],[SIP_TOTAL CURRENT UNITS]]*INVESTORS_LIST[[#This Row],[SIP_AVERAGE COST]])</f>
        <v>0</v>
      </c>
      <c r="R658" s="48">
        <f>IF(INVESTORS_LIST[[#This Row],[SIP_TOTAL UNITS SOLD]]=0,0,SUMIFS(SIP[Realized Gain],SIP[Investor ID],INVESTORS_LIST[[#This Row],[INVESTOR CODE]],SIP[B/S],"S"))</f>
        <v>0</v>
      </c>
      <c r="S658" s="50">
        <f>INVESTORS_LIST[[#This Row],[LS_TOTAL UNITS BUY]]+INVESTORS_LIST[[#This Row],[SIP_TOTAL UNITS BUY]]</f>
        <v>0</v>
      </c>
      <c r="T658" s="50">
        <f>INVESTORS_LIST[[#This Row],[LS_TOTAL UNITS SOLD]]+INVESTORS_LIST[[#This Row],[SIP_TOTAL UNITS SOLD]]</f>
        <v>0</v>
      </c>
      <c r="U658" s="50">
        <v>1000</v>
      </c>
      <c r="V658" s="50">
        <f>SUMIFS(LS[BO UNIT TRANSFER],LS[Investor ID],INVESTORS_LIST[[#This Row],[INVESTOR CODE]],LS[B/S],"B")</f>
        <v>0</v>
      </c>
      <c r="W658" s="50">
        <f>SUMIFS(SIP[BO UNIT TRANSFER],SIP[Investor ID],INVESTORS_LIST[[#This Row],[INVESTOR CODE]],SIP[B/S],"B")</f>
        <v>0</v>
      </c>
      <c r="X658" s="50">
        <f>SUMIFS(LS[BO UNIT TRANSFER],LS[Investor ID],INVESTORS_LIST[[#This Row],[INVESTOR CODE]],LS[B/S],"S")</f>
        <v>0</v>
      </c>
      <c r="Y658" s="50">
        <f>SUMIFS(SIP[BO UNIT TRANSFER],SIP[Investor ID],INVESTORS_LIST[[#This Row],[INVESTOR CODE]],SIP[B/S],"S")</f>
        <v>0</v>
      </c>
      <c r="Z658" s="106">
        <f>SUM(INVESTORS_LIST[[#This Row],[BO OPENING BALANCE]:[BO SIP UNITS REPURCHASE]])</f>
        <v>1000</v>
      </c>
      <c r="AA658" s="107">
        <f>INVESTORS_LIST[[#This Row],[TOTAL UNITS BUY]]-INVESTORS_LIST[[#This Row],[TOTAL UNITS SOLD]]</f>
        <v>0</v>
      </c>
      <c r="AB658" s="107">
        <f>INVESTORS_LIST[[#This Row],[TOTAL CURRENT UNITS]]-INVESTORS_LIST[[#This Row],[BO UNITS HOLD]]</f>
        <v>-1000</v>
      </c>
      <c r="AC658" s="201" t="e">
        <f>INDEX([3]!Table_1[BO ID],MATCH(INVESTORS_LIST[[#This Row],[INVESTOR CODE]],[3]!Table_1[INVESTOR CODE],0))</f>
        <v>#REF!</v>
      </c>
      <c r="AD658" s="201" t="e">
        <f>INDEX([3]!Table_1[Brokerage Name2],MATCH(INVESTORS_LIST[[#This Row],[INVESTOR CODE]],[3]!Table_1[INVESTOR CODE],0))</f>
        <v>#REF!</v>
      </c>
      <c r="AE658" s="201" t="e">
        <f>MID(INVESTORS_LIST[[#This Row],[BO ID]],4,5)</f>
        <v>#REF!</v>
      </c>
      <c r="AF658" s="201" t="e">
        <f>MID(INVESTORS_LIST[[#This Row],[BO ID]],2,7)</f>
        <v>#REF!</v>
      </c>
      <c r="AG658" s="201" t="e">
        <f>MID(INVESTORS_LIST[[#This Row],[BO ID]],9,7)</f>
        <v>#REF!</v>
      </c>
      <c r="AH658" s="201" t="e">
        <f>RIGHT(INVESTORS_LIST[[#This Row],[BO ID]],1)</f>
        <v>#REF!</v>
      </c>
      <c r="AI658" s="50">
        <f>INVESTORS_LIST[[#This Row],[LS_TOTAL COST VALUE OF CURRENT UNITS]]+INVESTORS_LIST[[#This Row],[SIP_TOTAL COST VALUE OF CURRENT UNITS]]</f>
        <v>0</v>
      </c>
      <c r="AJ658" s="109">
        <f>IF(INVESTORS_LIST[[#This Row],[TOTAL CURRENT UNITS]]=0,0,INVESTORS_LIST[[#This Row],[LS_TOTAL CURRENT UNITS]]/INVESTORS_LIST[[#This Row],[TOTAL CURRENT UNITS]])</f>
        <v>0</v>
      </c>
      <c r="AK658" s="109">
        <f>IF(INVESTORS_LIST[[#This Row],[TOTAL CURRENT UNITS]]=0,0,INVESTORS_LIST[[#This Row],[SIP_TOTAL CURRENT UNITS]]/INVESTORS_LIST[[#This Row],[TOTAL CURRENT UNITS]])</f>
        <v>0</v>
      </c>
      <c r="AL658" s="240" cm="1">
        <f t="array" ref="AL6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58" s="240" cm="1">
        <f t="array" ref="AM6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58" s="105">
        <f t="shared" si="11"/>
        <v>14.224</v>
      </c>
      <c r="AP658" s="112">
        <f>IF(INVESTORS_LIST[[#This Row],[TOTAL CURRENT UNITS]]=0,0,INVESTORS_LIST[[#This Row],[TOTAL CURRENT UNITS]]*INVESTORS_LIST[[#This Row],[NAV]])</f>
        <v>0</v>
      </c>
      <c r="AQ658" s="238">
        <f>IF(INVESTORS_LIST[[#This Row],[LS_TOTAL CURRENT UNITS]]=0,0,INVESTORS_LIST[[#This Row],[LS_TOTAL CURRENT UNITS]]*INVESTORS_LIST[[#This Row],[NAV]])</f>
        <v>0</v>
      </c>
      <c r="AR658" s="48">
        <f>IF(INVESTORS_LIST[[#This Row],[SIP_TOTAL CURRENT UNITS]]=0,0,INVESTORS_LIST[[#This Row],[SIP_TOTAL CURRENT UNITS]]*INVESTORS_LIST[[#This Row],[NAV]])</f>
        <v>0</v>
      </c>
      <c r="AS658" s="50">
        <f>INVESTORS_LIST[[#This Row],[TOTAL CURRENT UNITS]]</f>
        <v>0</v>
      </c>
      <c r="AT658" s="48">
        <f>IF(INVESTORS_LIST[[#This Row],[TOTAL SELLABLE UNITS]]=0,0,INVESTORS_LIST[[#This Row],[TOTAL SELLABLE UNITS]]*INVESTORS_LIST[[#This Row],[NAV]])</f>
        <v>0</v>
      </c>
      <c r="AU658" s="48">
        <f>INVESTORS_LIST[[#This Row],[LS_TOTAL REALIZED GAIN]]+INVESTORS_LIST[[#This Row],[SIP_TOTAL REALIZED GAIN]]</f>
        <v>0</v>
      </c>
      <c r="AV658" s="48">
        <f>INVESTORS_LIST[[#This Row],[TOTAL MARKET VALUE]]-INVESTORS_LIST[[#This Row],[TOTAL COST VALUE OF CURRENT INVESTMENT]]</f>
        <v>0</v>
      </c>
      <c r="AW658" s="48">
        <f>IFERROR(INVESTORS_LIST[[#This Row],[TOTAL CURRENT UNITS]]/SUM(INVESTORS_LIST[TOTAL CURRENT UNITS]),0)</f>
        <v>0</v>
      </c>
    </row>
    <row r="659" spans="1:49">
      <c r="A659" s="262" t="s">
        <v>1432</v>
      </c>
      <c r="B659" s="97" t="s">
        <v>1433</v>
      </c>
      <c r="C659" t="s">
        <v>44</v>
      </c>
      <c r="D659" s="75" t="s">
        <v>45</v>
      </c>
      <c r="E659" s="50">
        <f>SUMIFS(LS[Unit],LS[Investor ID],INVESTORS_LIST[[#This Row],[INVESTOR CODE]],LS[B/S],"B")</f>
        <v>56855</v>
      </c>
      <c r="F659" s="50">
        <f>-SUMIFS(LS[Unit],LS[Investor ID],INVESTORS_LIST[[#This Row],[INVESTOR CODE]],LS[B/S],"S")</f>
        <v>0</v>
      </c>
      <c r="G659" s="50">
        <f>IF(INVESTORS_LIST[[#This Row],[LS_TOTAL UNITS BUY]]=0,0,INVESTORS_LIST[[#This Row],[LS_TOTAL UNITS BUY]]-INVESTORS_LIST[[#This Row],[LS_TOTAL UNITS SOLD]])</f>
        <v>56855</v>
      </c>
      <c r="H659" s="238">
        <f>IF(INVESTORS_LIST[[#This Row],[LS_TOTAL UNITS BUY]]=0,0,SUMIFS(LS[Amount],LS[Investor ID],INVESTORS_LIST[[#This Row],[INVESTOR CODE]],LS[B/S],"B"))</f>
        <v>800000</v>
      </c>
      <c r="I659" s="48">
        <f>IF(INVESTORS_LIST[[#This Row],[LS_TOTAL UNITS SOLD]]=0,0,SUMIFS(LS[Cost of Units Sold],LS[Investor ID],INVESTORS_LIST[[#This Row],[INVESTOR CODE]],LS[B/S],"S"))</f>
        <v>0</v>
      </c>
      <c r="J659" s="48">
        <f>IF(INVESTORS_LIST[[#This Row],[LS_TOTAL CURRENT UNITS]]=0,0,INVESTORS_LIST[[#This Row],[LS_TOTAL CURRENT UNITS]]*INVESTORS_LIST[[#This Row],[LS_AVERAGE COST]])</f>
        <v>800000</v>
      </c>
      <c r="K659" s="48">
        <f>IF(INVESTORS_LIST[[#This Row],[LS_TOTAL UNITS SOLD]]=0,0,SUMIFS(LS[Realized Gain],LS[Investor ID],INVESTORS_LIST[[#This Row],[INVESTOR CODE]],LS[B/S],"S"))</f>
        <v>0</v>
      </c>
      <c r="L659" s="239">
        <f>SUMIFS(SIP[Unit],SIP[Investor ID],INVESTORS_LIST[[#This Row],[INVESTOR CODE]],SIP[B/S],"B")</f>
        <v>0</v>
      </c>
      <c r="M659" s="50">
        <f>-SUMIFS(SIP[Unit],SIP[Investor ID],INVESTORS_LIST[[#This Row],[INVESTOR CODE]],SIP[B/S],"S")</f>
        <v>0</v>
      </c>
      <c r="N659" s="50">
        <f>IF(INVESTORS_LIST[[#This Row],[SIP_TOTAL UNITS BUY]]=0,0,INVESTORS_LIST[[#This Row],[SIP_TOTAL UNITS BUY]]-INVESTORS_LIST[[#This Row],[SIP_TOTAL UNITS SOLD]])</f>
        <v>0</v>
      </c>
      <c r="O659" s="48">
        <f>IF(INVESTORS_LIST[[#This Row],[SIP_TOTAL UNITS BUY]]=0,0,SUMIFS(SIP[Amount],SIP[Investor ID],INVESTORS_LIST[[#This Row],[INVESTOR CODE]],SIP[B/S],"B"))</f>
        <v>0</v>
      </c>
      <c r="P659" s="48">
        <f>IF(INVESTORS_LIST[[#This Row],[SIP_TOTAL UNITS SOLD]]=0,0,SUMIFS(SIP[Cost of Units Sold],SIP[Investor ID],INVESTORS_LIST[[#This Row],[INVESTOR CODE]],SIP[B/S],"S"))</f>
        <v>0</v>
      </c>
      <c r="Q659" s="48">
        <f>IF(INVESTORS_LIST[[#This Row],[SIP_TOTAL CURRENT UNITS]]=0,0,INVESTORS_LIST[[#This Row],[SIP_TOTAL CURRENT UNITS]]*INVESTORS_LIST[[#This Row],[SIP_AVERAGE COST]])</f>
        <v>0</v>
      </c>
      <c r="R659" s="48">
        <f>IF(INVESTORS_LIST[[#This Row],[SIP_TOTAL UNITS SOLD]]=0,0,SUMIFS(SIP[Realized Gain],SIP[Investor ID],INVESTORS_LIST[[#This Row],[INVESTOR CODE]],SIP[B/S],"S"))</f>
        <v>0</v>
      </c>
      <c r="S659" s="50">
        <f>INVESTORS_LIST[[#This Row],[LS_TOTAL UNITS BUY]]+INVESTORS_LIST[[#This Row],[SIP_TOTAL UNITS BUY]]</f>
        <v>56855</v>
      </c>
      <c r="T659" s="50">
        <f>INVESTORS_LIST[[#This Row],[LS_TOTAL UNITS SOLD]]+INVESTORS_LIST[[#This Row],[SIP_TOTAL UNITS SOLD]]</f>
        <v>0</v>
      </c>
      <c r="U659" s="50"/>
      <c r="V659" s="50">
        <f>SUMIFS(LS[BO UNIT TRANSFER],LS[Investor ID],INVESTORS_LIST[[#This Row],[INVESTOR CODE]],LS[B/S],"B")</f>
        <v>0</v>
      </c>
      <c r="W659" s="50">
        <f>SUMIFS(SIP[BO UNIT TRANSFER],SIP[Investor ID],INVESTORS_LIST[[#This Row],[INVESTOR CODE]],SIP[B/S],"B")</f>
        <v>0</v>
      </c>
      <c r="X659" s="50">
        <f>SUMIFS(LS[BO UNIT TRANSFER],LS[Investor ID],INVESTORS_LIST[[#This Row],[INVESTOR CODE]],LS[B/S],"S")</f>
        <v>0</v>
      </c>
      <c r="Y659" s="50">
        <f>SUMIFS(SIP[BO UNIT TRANSFER],SIP[Investor ID],INVESTORS_LIST[[#This Row],[INVESTOR CODE]],SIP[B/S],"S")</f>
        <v>0</v>
      </c>
      <c r="Z659" s="106">
        <f>SUM(INVESTORS_LIST[[#This Row],[BO OPENING BALANCE]:[BO SIP UNITS REPURCHASE]])</f>
        <v>0</v>
      </c>
      <c r="AA659" s="107">
        <f>INVESTORS_LIST[[#This Row],[TOTAL UNITS BUY]]-INVESTORS_LIST[[#This Row],[TOTAL UNITS SOLD]]</f>
        <v>56855</v>
      </c>
      <c r="AB659" s="107">
        <f>INVESTORS_LIST[[#This Row],[TOTAL CURRENT UNITS]]-INVESTORS_LIST[[#This Row],[BO UNITS HOLD]]</f>
        <v>56855</v>
      </c>
      <c r="AC659" s="201" t="e">
        <f>INDEX([3]!Table_1[BO ID],MATCH(INVESTORS_LIST[[#This Row],[INVESTOR CODE]],[3]!Table_1[INVESTOR CODE],0))</f>
        <v>#REF!</v>
      </c>
      <c r="AD659" s="201" t="e">
        <f>INDEX([3]!Table_1[Brokerage Name2],MATCH(INVESTORS_LIST[[#This Row],[INVESTOR CODE]],[3]!Table_1[INVESTOR CODE],0))</f>
        <v>#REF!</v>
      </c>
      <c r="AE659" s="201" t="e">
        <f>MID(INVESTORS_LIST[[#This Row],[BO ID]],4,5)</f>
        <v>#REF!</v>
      </c>
      <c r="AF659" s="201" t="e">
        <f>MID(INVESTORS_LIST[[#This Row],[BO ID]],2,7)</f>
        <v>#REF!</v>
      </c>
      <c r="AG659" s="201" t="e">
        <f>MID(INVESTORS_LIST[[#This Row],[BO ID]],9,7)</f>
        <v>#REF!</v>
      </c>
      <c r="AH659" s="201" t="e">
        <f>RIGHT(INVESTORS_LIST[[#This Row],[BO ID]],1)</f>
        <v>#REF!</v>
      </c>
      <c r="AI659" s="50">
        <f>INVESTORS_LIST[[#This Row],[LS_TOTAL COST VALUE OF CURRENT UNITS]]+INVESTORS_LIST[[#This Row],[SIP_TOTAL COST VALUE OF CURRENT UNITS]]</f>
        <v>800000</v>
      </c>
      <c r="AJ659" s="109">
        <f>IF(INVESTORS_LIST[[#This Row],[TOTAL CURRENT UNITS]]=0,0,INVESTORS_LIST[[#This Row],[LS_TOTAL CURRENT UNITS]]/INVESTORS_LIST[[#This Row],[TOTAL CURRENT UNITS]])</f>
        <v>1</v>
      </c>
      <c r="AK659" s="109">
        <f>IF(INVESTORS_LIST[[#This Row],[TOTAL CURRENT UNITS]]=0,0,INVESTORS_LIST[[#This Row],[SIP_TOTAL CURRENT UNITS]]/INVESTORS_LIST[[#This Row],[TOTAL CURRENT UNITS]])</f>
        <v>0</v>
      </c>
      <c r="AL659" s="240" cm="1">
        <f t="array" ref="AL659">IF(INVESTORS_LIST[[#This Row],[LS_TOTAL UNITS BUY]]&gt;0,INDEX(LS[NAV at Cost (Average)],MATCH(CONCATENATE(COUNTIFS(LS[Investor ID],INVESTORS_LIST[[#This Row],[INVESTOR CODE]]),INVESTORS_LIST[[#This Row],[INVESTOR CODE]]),LS[Unique Code],0),),0)</f>
        <v>14.070882068419664</v>
      </c>
      <c r="AM659" s="240" cm="1">
        <f t="array" ref="AM6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59" s="105">
        <f>IF(INVESTORS_LIST[[#This Row],[TOTAL CURRENT UNITS]]=0,0,(INVESTORS_LIST[[#This Row],[LS_WEIGHT]]*INVESTORS_LIST[[#This Row],[LS_AVERAGE COST]])+(INVESTORS_LIST[[#This Row],[SIP_WEIGHT]]*INVESTORS_LIST[[#This Row],[SIP_AVERAGE COST]]))</f>
        <v>14.070882068419664</v>
      </c>
      <c r="AO659" s="105">
        <f t="shared" si="11"/>
        <v>14.224</v>
      </c>
      <c r="AP659" s="112">
        <f>IF(INVESTORS_LIST[[#This Row],[TOTAL CURRENT UNITS]]=0,0,INVESTORS_LIST[[#This Row],[TOTAL CURRENT UNITS]]*INVESTORS_LIST[[#This Row],[NAV]])</f>
        <v>808705.52</v>
      </c>
      <c r="AQ659" s="238">
        <f>IF(INVESTORS_LIST[[#This Row],[LS_TOTAL CURRENT UNITS]]=0,0,INVESTORS_LIST[[#This Row],[LS_TOTAL CURRENT UNITS]]*INVESTORS_LIST[[#This Row],[NAV]])</f>
        <v>808705.52</v>
      </c>
      <c r="AR659" s="48">
        <f>IF(INVESTORS_LIST[[#This Row],[SIP_TOTAL CURRENT UNITS]]=0,0,INVESTORS_LIST[[#This Row],[SIP_TOTAL CURRENT UNITS]]*INVESTORS_LIST[[#This Row],[NAV]])</f>
        <v>0</v>
      </c>
      <c r="AS659" s="50">
        <f>INVESTORS_LIST[[#This Row],[TOTAL CURRENT UNITS]]</f>
        <v>56855</v>
      </c>
      <c r="AT659" s="48">
        <f>IF(INVESTORS_LIST[[#This Row],[TOTAL SELLABLE UNITS]]=0,0,INVESTORS_LIST[[#This Row],[TOTAL SELLABLE UNITS]]*INVESTORS_LIST[[#This Row],[NAV]])</f>
        <v>808705.52</v>
      </c>
      <c r="AU659" s="48">
        <f>INVESTORS_LIST[[#This Row],[LS_TOTAL REALIZED GAIN]]+INVESTORS_LIST[[#This Row],[SIP_TOTAL REALIZED GAIN]]</f>
        <v>0</v>
      </c>
      <c r="AV659" s="48">
        <f>INVESTORS_LIST[[#This Row],[TOTAL MARKET VALUE]]-INVESTORS_LIST[[#This Row],[TOTAL COST VALUE OF CURRENT INVESTMENT]]</f>
        <v>8705.5200000000186</v>
      </c>
      <c r="AW659" s="48">
        <f>IFERROR(INVESTORS_LIST[[#This Row],[TOTAL CURRENT UNITS]]/SUM(INVESTORS_LIST[TOTAL CURRENT UNITS]),0)</f>
        <v>1.3802237999329735E-3</v>
      </c>
    </row>
    <row r="660" spans="1:49">
      <c r="A660" s="262" t="s">
        <v>1435</v>
      </c>
      <c r="B660" s="97" t="s">
        <v>1436</v>
      </c>
      <c r="C660" t="s">
        <v>44</v>
      </c>
      <c r="D660" s="75" t="s">
        <v>45</v>
      </c>
      <c r="E660" s="50">
        <f>SUMIFS(LS[Unit],LS[Investor ID],INVESTORS_LIST[[#This Row],[INVESTOR CODE]],LS[B/S],"B")</f>
        <v>0</v>
      </c>
      <c r="F660" s="50">
        <f>-SUMIFS(LS[Unit],LS[Investor ID],INVESTORS_LIST[[#This Row],[INVESTOR CODE]],LS[B/S],"S")</f>
        <v>0</v>
      </c>
      <c r="G660" s="50">
        <f>IF(INVESTORS_LIST[[#This Row],[LS_TOTAL UNITS BUY]]=0,0,INVESTORS_LIST[[#This Row],[LS_TOTAL UNITS BUY]]-INVESTORS_LIST[[#This Row],[LS_TOTAL UNITS SOLD]])</f>
        <v>0</v>
      </c>
      <c r="H660" s="102">
        <f>IF(INVESTORS_LIST[[#This Row],[LS_TOTAL UNITS BUY]]=0,0,SUMIFS(LS[Amount],LS[Investor ID],INVESTORS_LIST[[#This Row],[INVESTOR CODE]],LS[B/S],"B"))</f>
        <v>0</v>
      </c>
      <c r="I660" s="48">
        <f>IF(INVESTORS_LIST[[#This Row],[LS_TOTAL UNITS SOLD]]=0,0,SUMIFS(LS[Cost of Units Sold],LS[Investor ID],INVESTORS_LIST[[#This Row],[INVESTOR CODE]],LS[B/S],"S"))</f>
        <v>0</v>
      </c>
      <c r="J660" s="48">
        <f>IF(INVESTORS_LIST[[#This Row],[LS_TOTAL CURRENT UNITS]]=0,0,INVESTORS_LIST[[#This Row],[LS_TOTAL CURRENT UNITS]]*INVESTORS_LIST[[#This Row],[LS_AVERAGE COST]])</f>
        <v>0</v>
      </c>
      <c r="K660" s="48">
        <f>IF(INVESTORS_LIST[[#This Row],[LS_TOTAL UNITS SOLD]]=0,0,SUMIFS(LS[Realized Gain],LS[Investor ID],INVESTORS_LIST[[#This Row],[INVESTOR CODE]],LS[B/S],"S"))</f>
        <v>0</v>
      </c>
      <c r="L660" s="104">
        <f>SUMIFS(SIP[Unit],SIP[Investor ID],INVESTORS_LIST[[#This Row],[INVESTOR CODE]],SIP[B/S],"B")</f>
        <v>142</v>
      </c>
      <c r="M660" s="50">
        <f>-SUMIFS(SIP[Unit],SIP[Investor ID],INVESTORS_LIST[[#This Row],[INVESTOR CODE]],SIP[B/S],"S")</f>
        <v>0</v>
      </c>
      <c r="N660" s="50">
        <f>IF(INVESTORS_LIST[[#This Row],[SIP_TOTAL UNITS BUY]]=0,0,INVESTORS_LIST[[#This Row],[SIP_TOTAL UNITS BUY]]-INVESTORS_LIST[[#This Row],[SIP_TOTAL UNITS SOLD]])</f>
        <v>142</v>
      </c>
      <c r="O660" s="48">
        <f>IF(INVESTORS_LIST[[#This Row],[SIP_TOTAL UNITS BUY]]=0,0,SUMIFS(SIP[Amount],SIP[Investor ID],INVESTORS_LIST[[#This Row],[INVESTOR CODE]],SIP[B/S],"B"))</f>
        <v>2000</v>
      </c>
      <c r="P660" s="48">
        <f>IF(INVESTORS_LIST[[#This Row],[SIP_TOTAL UNITS SOLD]]=0,0,SUMIFS(SIP[Cost of Units Sold],SIP[Investor ID],INVESTORS_LIST[[#This Row],[INVESTOR CODE]],SIP[B/S],"S"))</f>
        <v>0</v>
      </c>
      <c r="Q660" s="48">
        <f>IF(INVESTORS_LIST[[#This Row],[SIP_TOTAL CURRENT UNITS]]=0,0,INVESTORS_LIST[[#This Row],[SIP_TOTAL CURRENT UNITS]]*INVESTORS_LIST[[#This Row],[SIP_AVERAGE COST]])</f>
        <v>2000</v>
      </c>
      <c r="R660" s="48">
        <f>IF(INVESTORS_LIST[[#This Row],[SIP_TOTAL UNITS SOLD]]=0,0,SUMIFS(SIP[Realized Gain],SIP[Investor ID],INVESTORS_LIST[[#This Row],[INVESTOR CODE]],SIP[B/S],"S"))</f>
        <v>0</v>
      </c>
      <c r="S660" s="50">
        <f>INVESTORS_LIST[[#This Row],[LS_TOTAL UNITS BUY]]+INVESTORS_LIST[[#This Row],[SIP_TOTAL UNITS BUY]]</f>
        <v>142</v>
      </c>
      <c r="T660" s="50">
        <f>INVESTORS_LIST[[#This Row],[LS_TOTAL UNITS SOLD]]+INVESTORS_LIST[[#This Row],[SIP_TOTAL UNITS SOLD]]</f>
        <v>0</v>
      </c>
      <c r="U660" s="50"/>
      <c r="V660" s="50">
        <f>SUMIFS(LS[BO UNIT TRANSFER],LS[Investor ID],INVESTORS_LIST[[#This Row],[INVESTOR CODE]],LS[B/S],"B")</f>
        <v>0</v>
      </c>
      <c r="W660" s="50">
        <f>SUMIFS(SIP[BO UNIT TRANSFER],SIP[Investor ID],INVESTORS_LIST[[#This Row],[INVESTOR CODE]],SIP[B/S],"B")</f>
        <v>0</v>
      </c>
      <c r="X660" s="50">
        <f>SUMIFS(LS[BO UNIT TRANSFER],LS[Investor ID],INVESTORS_LIST[[#This Row],[INVESTOR CODE]],LS[B/S],"S")</f>
        <v>0</v>
      </c>
      <c r="Y660" s="50">
        <f>SUMIFS(SIP[BO UNIT TRANSFER],SIP[Investor ID],INVESTORS_LIST[[#This Row],[INVESTOR CODE]],SIP[B/S],"S")</f>
        <v>0</v>
      </c>
      <c r="Z660" s="106">
        <f>SUM(INVESTORS_LIST[[#This Row],[BO OPENING BALANCE]:[BO SIP UNITS REPURCHASE]])</f>
        <v>0</v>
      </c>
      <c r="AA660" s="107">
        <f>INVESTORS_LIST[[#This Row],[TOTAL UNITS BUY]]-INVESTORS_LIST[[#This Row],[TOTAL UNITS SOLD]]</f>
        <v>142</v>
      </c>
      <c r="AB660" s="107">
        <f>INVESTORS_LIST[[#This Row],[TOTAL CURRENT UNITS]]-INVESTORS_LIST[[#This Row],[BO UNITS HOLD]]</f>
        <v>142</v>
      </c>
      <c r="AC660" s="201" t="e">
        <f>INDEX([3]!Table_1[BO ID],MATCH(INVESTORS_LIST[[#This Row],[INVESTOR CODE]],[3]!Table_1[INVESTOR CODE],0))</f>
        <v>#REF!</v>
      </c>
      <c r="AD660" s="201" t="e">
        <f>INDEX([3]!Table_1[Brokerage Name2],MATCH(INVESTORS_LIST[[#This Row],[INVESTOR CODE]],[3]!Table_1[INVESTOR CODE],0))</f>
        <v>#REF!</v>
      </c>
      <c r="AE660" s="201" t="e">
        <f>MID(INVESTORS_LIST[[#This Row],[BO ID]],4,5)</f>
        <v>#REF!</v>
      </c>
      <c r="AF660" s="201" t="e">
        <f>MID(INVESTORS_LIST[[#This Row],[BO ID]],2,7)</f>
        <v>#REF!</v>
      </c>
      <c r="AG660" s="201" t="e">
        <f>MID(INVESTORS_LIST[[#This Row],[BO ID]],9,7)</f>
        <v>#REF!</v>
      </c>
      <c r="AH660" s="201" t="e">
        <f>RIGHT(INVESTORS_LIST[[#This Row],[BO ID]],1)</f>
        <v>#REF!</v>
      </c>
      <c r="AI660" s="50">
        <f>INVESTORS_LIST[[#This Row],[LS_TOTAL COST VALUE OF CURRENT UNITS]]+INVESTORS_LIST[[#This Row],[SIP_TOTAL COST VALUE OF CURRENT UNITS]]</f>
        <v>2000</v>
      </c>
      <c r="AJ660" s="109">
        <f>IF(INVESTORS_LIST[[#This Row],[TOTAL CURRENT UNITS]]=0,0,INVESTORS_LIST[[#This Row],[LS_TOTAL CURRENT UNITS]]/INVESTORS_LIST[[#This Row],[TOTAL CURRENT UNITS]])</f>
        <v>0</v>
      </c>
      <c r="AK660" s="109">
        <f>IF(INVESTORS_LIST[[#This Row],[TOTAL CURRENT UNITS]]=0,0,INVESTORS_LIST[[#This Row],[SIP_TOTAL CURRENT UNITS]]/INVESTORS_LIST[[#This Row],[TOTAL CURRENT UNITS]])</f>
        <v>1</v>
      </c>
      <c r="AL660" s="99" cm="1">
        <f t="array" ref="AL6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0" s="99" cm="1">
        <f t="array" ref="AM660">IF(INVESTORS_LIST[[#This Row],[SIP_TOTAL UNITS BUY]]&gt;0,INDEX(SIP[NAV at Cost (Average)],MATCH(CONCATENATE(COUNTIFS(SIP[Investor ID],INVESTORS_LIST[[#This Row],[INVESTOR CODE]]),INVESTORS_LIST[[#This Row],[INVESTOR CODE]]),SIP[Unique Code],0),),0)</f>
        <v>14.084507042253522</v>
      </c>
      <c r="AN660" s="105">
        <f>IF(INVESTORS_LIST[[#This Row],[TOTAL CURRENT UNITS]]=0,0,(INVESTORS_LIST[[#This Row],[LS_WEIGHT]]*INVESTORS_LIST[[#This Row],[LS_AVERAGE COST]])+(INVESTORS_LIST[[#This Row],[SIP_WEIGHT]]*INVESTORS_LIST[[#This Row],[SIP_AVERAGE COST]]))</f>
        <v>14.084507042253522</v>
      </c>
      <c r="AO660" s="105">
        <f t="shared" si="11"/>
        <v>14.224</v>
      </c>
      <c r="AP660" s="112">
        <f>IF(INVESTORS_LIST[[#This Row],[TOTAL CURRENT UNITS]]=0,0,INVESTORS_LIST[[#This Row],[TOTAL CURRENT UNITS]]*INVESTORS_LIST[[#This Row],[NAV]])</f>
        <v>2019.808</v>
      </c>
      <c r="AQ660" s="102">
        <f>IF(INVESTORS_LIST[[#This Row],[LS_TOTAL CURRENT UNITS]]=0,0,INVESTORS_LIST[[#This Row],[LS_TOTAL CURRENT UNITS]]*INVESTORS_LIST[[#This Row],[NAV]])</f>
        <v>0</v>
      </c>
      <c r="AR660" s="48">
        <f>IF(INVESTORS_LIST[[#This Row],[SIP_TOTAL CURRENT UNITS]]=0,0,INVESTORS_LIST[[#This Row],[SIP_TOTAL CURRENT UNITS]]*INVESTORS_LIST[[#This Row],[NAV]])</f>
        <v>2019.808</v>
      </c>
      <c r="AS660" s="50">
        <f>INVESTORS_LIST[[#This Row],[TOTAL CURRENT UNITS]]</f>
        <v>142</v>
      </c>
      <c r="AT660" s="48">
        <f>IF(INVESTORS_LIST[[#This Row],[TOTAL SELLABLE UNITS]]=0,0,INVESTORS_LIST[[#This Row],[TOTAL SELLABLE UNITS]]*INVESTORS_LIST[[#This Row],[NAV]])</f>
        <v>2019.808</v>
      </c>
      <c r="AU660" s="48">
        <f>INVESTORS_LIST[[#This Row],[LS_TOTAL REALIZED GAIN]]+INVESTORS_LIST[[#This Row],[SIP_TOTAL REALIZED GAIN]]</f>
        <v>0</v>
      </c>
      <c r="AV660" s="48">
        <f>INVESTORS_LIST[[#This Row],[TOTAL MARKET VALUE]]-INVESTORS_LIST[[#This Row],[TOTAL COST VALUE OF CURRENT INVESTMENT]]</f>
        <v>19.807999999999993</v>
      </c>
      <c r="AW660" s="48">
        <f>IFERROR(INVESTORS_LIST[[#This Row],[TOTAL CURRENT UNITS]]/SUM(INVESTORS_LIST[TOTAL CURRENT UNITS]),0)</f>
        <v>3.4472215212467193E-6</v>
      </c>
    </row>
    <row r="661" spans="1:49" hidden="1">
      <c r="A661" s="262" t="s">
        <v>1437</v>
      </c>
      <c r="B661" s="97" t="s">
        <v>1438</v>
      </c>
      <c r="C661" t="s">
        <v>67</v>
      </c>
      <c r="D661" s="75" t="s">
        <v>45</v>
      </c>
      <c r="E661" s="50">
        <f>SUMIFS(LS[Unit],LS[Investor ID],INVESTORS_LIST[[#This Row],[INVESTOR CODE]],LS[B/S],"B")</f>
        <v>0</v>
      </c>
      <c r="F661" s="50">
        <f>-SUMIFS(LS[Unit],LS[Investor ID],INVESTORS_LIST[[#This Row],[INVESTOR CODE]],LS[B/S],"S")</f>
        <v>0</v>
      </c>
      <c r="G661" s="50">
        <f>IF(INVESTORS_LIST[[#This Row],[LS_TOTAL UNITS BUY]]=0,0,INVESTORS_LIST[[#This Row],[LS_TOTAL UNITS BUY]]-INVESTORS_LIST[[#This Row],[LS_TOTAL UNITS SOLD]])</f>
        <v>0</v>
      </c>
      <c r="H661" s="102">
        <f>IF(INVESTORS_LIST[[#This Row],[LS_TOTAL UNITS BUY]]=0,0,SUMIFS(LS[Amount],LS[Investor ID],INVESTORS_LIST[[#This Row],[INVESTOR CODE]],LS[B/S],"B"))</f>
        <v>0</v>
      </c>
      <c r="I661" s="48">
        <f>IF(INVESTORS_LIST[[#This Row],[LS_TOTAL UNITS SOLD]]=0,0,SUMIFS(LS[Cost of Units Sold],LS[Investor ID],INVESTORS_LIST[[#This Row],[INVESTOR CODE]],LS[B/S],"S"))</f>
        <v>0</v>
      </c>
      <c r="J661" s="48">
        <f>IF(INVESTORS_LIST[[#This Row],[LS_TOTAL CURRENT UNITS]]=0,0,INVESTORS_LIST[[#This Row],[LS_TOTAL CURRENT UNITS]]*INVESTORS_LIST[[#This Row],[LS_AVERAGE COST]])</f>
        <v>0</v>
      </c>
      <c r="K661" s="48">
        <f>IF(INVESTORS_LIST[[#This Row],[LS_TOTAL UNITS SOLD]]=0,0,SUMIFS(LS[Realized Gain],LS[Investor ID],INVESTORS_LIST[[#This Row],[INVESTOR CODE]],LS[B/S],"S"))</f>
        <v>0</v>
      </c>
      <c r="L661" s="104">
        <f>SUMIFS(SIP[Unit],SIP[Investor ID],INVESTORS_LIST[[#This Row],[INVESTOR CODE]],SIP[B/S],"B")</f>
        <v>0</v>
      </c>
      <c r="M661" s="50">
        <f>-SUMIFS(SIP[Unit],SIP[Investor ID],INVESTORS_LIST[[#This Row],[INVESTOR CODE]],SIP[B/S],"S")</f>
        <v>0</v>
      </c>
      <c r="N661" s="50">
        <f>IF(INVESTORS_LIST[[#This Row],[SIP_TOTAL UNITS BUY]]=0,0,INVESTORS_LIST[[#This Row],[SIP_TOTAL UNITS BUY]]-INVESTORS_LIST[[#This Row],[SIP_TOTAL UNITS SOLD]])</f>
        <v>0</v>
      </c>
      <c r="O661" s="48">
        <f>IF(INVESTORS_LIST[[#This Row],[SIP_TOTAL UNITS BUY]]=0,0,SUMIFS(SIP[Amount],SIP[Investor ID],INVESTORS_LIST[[#This Row],[INVESTOR CODE]],SIP[B/S],"B"))</f>
        <v>0</v>
      </c>
      <c r="P661" s="48">
        <f>IF(INVESTORS_LIST[[#This Row],[SIP_TOTAL UNITS SOLD]]=0,0,SUMIFS(SIP[Cost of Units Sold],SIP[Investor ID],INVESTORS_LIST[[#This Row],[INVESTOR CODE]],SIP[B/S],"S"))</f>
        <v>0</v>
      </c>
      <c r="Q661" s="48">
        <f>IF(INVESTORS_LIST[[#This Row],[SIP_TOTAL CURRENT UNITS]]=0,0,INVESTORS_LIST[[#This Row],[SIP_TOTAL CURRENT UNITS]]*INVESTORS_LIST[[#This Row],[SIP_AVERAGE COST]])</f>
        <v>0</v>
      </c>
      <c r="R661" s="48">
        <f>IF(INVESTORS_LIST[[#This Row],[SIP_TOTAL UNITS SOLD]]=0,0,SUMIFS(SIP[Realized Gain],SIP[Investor ID],INVESTORS_LIST[[#This Row],[INVESTOR CODE]],SIP[B/S],"S"))</f>
        <v>0</v>
      </c>
      <c r="S661" s="50">
        <f>INVESTORS_LIST[[#This Row],[LS_TOTAL UNITS BUY]]+INVESTORS_LIST[[#This Row],[SIP_TOTAL UNITS BUY]]</f>
        <v>0</v>
      </c>
      <c r="T661" s="50">
        <f>INVESTORS_LIST[[#This Row],[LS_TOTAL UNITS SOLD]]+INVESTORS_LIST[[#This Row],[SIP_TOTAL UNITS SOLD]]</f>
        <v>0</v>
      </c>
      <c r="U661" s="50"/>
      <c r="V661" s="50">
        <f>SUMIFS(LS[BO UNIT TRANSFER],LS[Investor ID],INVESTORS_LIST[[#This Row],[INVESTOR CODE]],LS[B/S],"B")</f>
        <v>0</v>
      </c>
      <c r="W661" s="50">
        <f>SUMIFS(SIP[BO UNIT TRANSFER],SIP[Investor ID],INVESTORS_LIST[[#This Row],[INVESTOR CODE]],SIP[B/S],"B")</f>
        <v>0</v>
      </c>
      <c r="X661" s="50">
        <f>SUMIFS(LS[BO UNIT TRANSFER],LS[Investor ID],INVESTORS_LIST[[#This Row],[INVESTOR CODE]],LS[B/S],"S")</f>
        <v>0</v>
      </c>
      <c r="Y661" s="50">
        <f>SUMIFS(SIP[BO UNIT TRANSFER],SIP[Investor ID],INVESTORS_LIST[[#This Row],[INVESTOR CODE]],SIP[B/S],"S")</f>
        <v>0</v>
      </c>
      <c r="Z661" s="106">
        <f>SUM(INVESTORS_LIST[[#This Row],[BO OPENING BALANCE]:[BO SIP UNITS REPURCHASE]])</f>
        <v>0</v>
      </c>
      <c r="AA661" s="107">
        <f>INVESTORS_LIST[[#This Row],[TOTAL UNITS BUY]]-INVESTORS_LIST[[#This Row],[TOTAL UNITS SOLD]]</f>
        <v>0</v>
      </c>
      <c r="AB661" s="107">
        <f>INVESTORS_LIST[[#This Row],[TOTAL CURRENT UNITS]]-INVESTORS_LIST[[#This Row],[BO UNITS HOLD]]</f>
        <v>0</v>
      </c>
      <c r="AC661" s="201" t="e">
        <f>INDEX([3]!Table_1[BO ID],MATCH(INVESTORS_LIST[[#This Row],[INVESTOR CODE]],[3]!Table_1[INVESTOR CODE],0))</f>
        <v>#REF!</v>
      </c>
      <c r="AD661" s="201" t="e">
        <f>INDEX([3]!Table_1[Brokerage Name2],MATCH(INVESTORS_LIST[[#This Row],[INVESTOR CODE]],[3]!Table_1[INVESTOR CODE],0))</f>
        <v>#REF!</v>
      </c>
      <c r="AE661" s="201" t="e">
        <f>MID(INVESTORS_LIST[[#This Row],[BO ID]],4,5)</f>
        <v>#REF!</v>
      </c>
      <c r="AF661" s="201" t="e">
        <f>MID(INVESTORS_LIST[[#This Row],[BO ID]],2,7)</f>
        <v>#REF!</v>
      </c>
      <c r="AG661" s="201" t="e">
        <f>MID(INVESTORS_LIST[[#This Row],[BO ID]],9,7)</f>
        <v>#REF!</v>
      </c>
      <c r="AH661" s="201" t="e">
        <f>RIGHT(INVESTORS_LIST[[#This Row],[BO ID]],1)</f>
        <v>#REF!</v>
      </c>
      <c r="AI661" s="50">
        <f>INVESTORS_LIST[[#This Row],[LS_TOTAL COST VALUE OF CURRENT UNITS]]+INVESTORS_LIST[[#This Row],[SIP_TOTAL COST VALUE OF CURRENT UNITS]]</f>
        <v>0</v>
      </c>
      <c r="AJ661" s="109">
        <f>IF(INVESTORS_LIST[[#This Row],[TOTAL CURRENT UNITS]]=0,0,INVESTORS_LIST[[#This Row],[LS_TOTAL CURRENT UNITS]]/INVESTORS_LIST[[#This Row],[TOTAL CURRENT UNITS]])</f>
        <v>0</v>
      </c>
      <c r="AK661" s="109">
        <f>IF(INVESTORS_LIST[[#This Row],[TOTAL CURRENT UNITS]]=0,0,INVESTORS_LIST[[#This Row],[SIP_TOTAL CURRENT UNITS]]/INVESTORS_LIST[[#This Row],[TOTAL CURRENT UNITS]])</f>
        <v>0</v>
      </c>
      <c r="AL661" s="99" cm="1">
        <f t="array" ref="AL6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1" s="99" cm="1">
        <f t="array" ref="AM6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61" s="105">
        <f t="shared" si="11"/>
        <v>14.224</v>
      </c>
      <c r="AP661" s="112">
        <f>IF(INVESTORS_LIST[[#This Row],[TOTAL CURRENT UNITS]]=0,0,INVESTORS_LIST[[#This Row],[TOTAL CURRENT UNITS]]*INVESTORS_LIST[[#This Row],[NAV]])</f>
        <v>0</v>
      </c>
      <c r="AQ661" s="102">
        <f>IF(INVESTORS_LIST[[#This Row],[LS_TOTAL CURRENT UNITS]]=0,0,INVESTORS_LIST[[#This Row],[LS_TOTAL CURRENT UNITS]]*INVESTORS_LIST[[#This Row],[NAV]])</f>
        <v>0</v>
      </c>
      <c r="AR661" s="48">
        <f>IF(INVESTORS_LIST[[#This Row],[SIP_TOTAL CURRENT UNITS]]=0,0,INVESTORS_LIST[[#This Row],[SIP_TOTAL CURRENT UNITS]]*INVESTORS_LIST[[#This Row],[NAV]])</f>
        <v>0</v>
      </c>
      <c r="AS661" s="50">
        <f>INVESTORS_LIST[[#This Row],[TOTAL CURRENT UNITS]]</f>
        <v>0</v>
      </c>
      <c r="AT661" s="48">
        <f>IF(INVESTORS_LIST[[#This Row],[TOTAL SELLABLE UNITS]]=0,0,INVESTORS_LIST[[#This Row],[TOTAL SELLABLE UNITS]]*INVESTORS_LIST[[#This Row],[NAV]])</f>
        <v>0</v>
      </c>
      <c r="AU661" s="48">
        <f>INVESTORS_LIST[[#This Row],[LS_TOTAL REALIZED GAIN]]+INVESTORS_LIST[[#This Row],[SIP_TOTAL REALIZED GAIN]]</f>
        <v>0</v>
      </c>
      <c r="AV661" s="48">
        <f>INVESTORS_LIST[[#This Row],[TOTAL MARKET VALUE]]-INVESTORS_LIST[[#This Row],[TOTAL COST VALUE OF CURRENT INVESTMENT]]</f>
        <v>0</v>
      </c>
      <c r="AW661" s="48">
        <f>IFERROR(INVESTORS_LIST[[#This Row],[TOTAL CURRENT UNITS]]/SUM(INVESTORS_LIST[TOTAL CURRENT UNITS]),0)</f>
        <v>0</v>
      </c>
    </row>
    <row r="662" spans="1:49">
      <c r="A662" s="262" t="s">
        <v>1439</v>
      </c>
      <c r="B662" s="97" t="s">
        <v>1440</v>
      </c>
      <c r="C662" t="s">
        <v>67</v>
      </c>
      <c r="D662" s="75" t="s">
        <v>45</v>
      </c>
      <c r="E662" s="50">
        <f>SUMIFS(LS[Unit],LS[Investor ID],INVESTORS_LIST[[#This Row],[INVESTOR CODE]],LS[B/S],"B")</f>
        <v>18396</v>
      </c>
      <c r="F662" s="50">
        <f>-SUMIFS(LS[Unit],LS[Investor ID],INVESTORS_LIST[[#This Row],[INVESTOR CODE]],LS[B/S],"S")</f>
        <v>0</v>
      </c>
      <c r="G662" s="50">
        <f>IF(INVESTORS_LIST[[#This Row],[LS_TOTAL UNITS BUY]]=0,0,INVESTORS_LIST[[#This Row],[LS_TOTAL UNITS BUY]]-INVESTORS_LIST[[#This Row],[LS_TOTAL UNITS SOLD]])</f>
        <v>18396</v>
      </c>
      <c r="H662" s="102">
        <f>IF(INVESTORS_LIST[[#This Row],[LS_TOTAL UNITS BUY]]=0,0,SUMIFS(LS[Amount],LS[Investor ID],INVESTORS_LIST[[#This Row],[INVESTOR CODE]],LS[B/S],"B"))</f>
        <v>250000</v>
      </c>
      <c r="I662" s="48">
        <f>IF(INVESTORS_LIST[[#This Row],[LS_TOTAL UNITS SOLD]]=0,0,SUMIFS(LS[Cost of Units Sold],LS[Investor ID],INVESTORS_LIST[[#This Row],[INVESTOR CODE]],LS[B/S],"S"))</f>
        <v>0</v>
      </c>
      <c r="J662" s="48">
        <f>IF(INVESTORS_LIST[[#This Row],[LS_TOTAL CURRENT UNITS]]=0,0,INVESTORS_LIST[[#This Row],[LS_TOTAL CURRENT UNITS]]*INVESTORS_LIST[[#This Row],[LS_AVERAGE COST]])</f>
        <v>249999.99999999997</v>
      </c>
      <c r="K662" s="48">
        <f>IF(INVESTORS_LIST[[#This Row],[LS_TOTAL UNITS SOLD]]=0,0,SUMIFS(LS[Realized Gain],LS[Investor ID],INVESTORS_LIST[[#This Row],[INVESTOR CODE]],LS[B/S],"S"))</f>
        <v>0</v>
      </c>
      <c r="L662" s="104">
        <f>SUMIFS(SIP[Unit],SIP[Investor ID],INVESTORS_LIST[[#This Row],[INVESTOR CODE]],SIP[B/S],"B")</f>
        <v>2173</v>
      </c>
      <c r="M662" s="50">
        <f>-SUMIFS(SIP[Unit],SIP[Investor ID],INVESTORS_LIST[[#This Row],[INVESTOR CODE]],SIP[B/S],"S")</f>
        <v>0</v>
      </c>
      <c r="N662" s="50">
        <f>IF(INVESTORS_LIST[[#This Row],[SIP_TOTAL UNITS BUY]]=0,0,INVESTORS_LIST[[#This Row],[SIP_TOTAL UNITS BUY]]-INVESTORS_LIST[[#This Row],[SIP_TOTAL UNITS SOLD]])</f>
        <v>2173</v>
      </c>
      <c r="O662" s="48">
        <f>IF(INVESTORS_LIST[[#This Row],[SIP_TOTAL UNITS BUY]]=0,0,SUMIFS(SIP[Amount],SIP[Investor ID],INVESTORS_LIST[[#This Row],[INVESTOR CODE]],SIP[B/S],"B"))</f>
        <v>30000</v>
      </c>
      <c r="P662" s="48">
        <f>IF(INVESTORS_LIST[[#This Row],[SIP_TOTAL UNITS SOLD]]=0,0,SUMIFS(SIP[Cost of Units Sold],SIP[Investor ID],INVESTORS_LIST[[#This Row],[INVESTOR CODE]],SIP[B/S],"S"))</f>
        <v>0</v>
      </c>
      <c r="Q662" s="48">
        <f>IF(INVESTORS_LIST[[#This Row],[SIP_TOTAL CURRENT UNITS]]=0,0,INVESTORS_LIST[[#This Row],[SIP_TOTAL CURRENT UNITS]]*INVESTORS_LIST[[#This Row],[SIP_AVERAGE COST]])</f>
        <v>30000</v>
      </c>
      <c r="R662" s="48">
        <f>IF(INVESTORS_LIST[[#This Row],[SIP_TOTAL UNITS SOLD]]=0,0,SUMIFS(SIP[Realized Gain],SIP[Investor ID],INVESTORS_LIST[[#This Row],[INVESTOR CODE]],SIP[B/S],"S"))</f>
        <v>0</v>
      </c>
      <c r="S662" s="50">
        <f>INVESTORS_LIST[[#This Row],[LS_TOTAL UNITS BUY]]+INVESTORS_LIST[[#This Row],[SIP_TOTAL UNITS BUY]]</f>
        <v>20569</v>
      </c>
      <c r="T662" s="50">
        <f>INVESTORS_LIST[[#This Row],[LS_TOTAL UNITS SOLD]]+INVESTORS_LIST[[#This Row],[SIP_TOTAL UNITS SOLD]]</f>
        <v>0</v>
      </c>
      <c r="U662" s="50">
        <v>19494</v>
      </c>
      <c r="V662" s="50">
        <f>SUMIFS(LS[BO UNIT TRANSFER],LS[Investor ID],INVESTORS_LIST[[#This Row],[INVESTOR CODE]],LS[B/S],"B")</f>
        <v>0</v>
      </c>
      <c r="W662" s="50">
        <f>SUMIFS(SIP[BO UNIT TRANSFER],SIP[Investor ID],INVESTORS_LIST[[#This Row],[INVESTOR CODE]],SIP[B/S],"B")</f>
        <v>0</v>
      </c>
      <c r="X662" s="50">
        <f>SUMIFS(LS[BO UNIT TRANSFER],LS[Investor ID],INVESTORS_LIST[[#This Row],[INVESTOR CODE]],LS[B/S],"S")</f>
        <v>0</v>
      </c>
      <c r="Y662" s="50">
        <f>SUMIFS(SIP[BO UNIT TRANSFER],SIP[Investor ID],INVESTORS_LIST[[#This Row],[INVESTOR CODE]],SIP[B/S],"S")</f>
        <v>0</v>
      </c>
      <c r="Z662" s="106">
        <f>SUM(INVESTORS_LIST[[#This Row],[BO OPENING BALANCE]:[BO SIP UNITS REPURCHASE]])</f>
        <v>19494</v>
      </c>
      <c r="AA662" s="107">
        <f>INVESTORS_LIST[[#This Row],[TOTAL UNITS BUY]]-INVESTORS_LIST[[#This Row],[TOTAL UNITS SOLD]]</f>
        <v>20569</v>
      </c>
      <c r="AB662" s="107">
        <f>INVESTORS_LIST[[#This Row],[TOTAL CURRENT UNITS]]-INVESTORS_LIST[[#This Row],[BO UNITS HOLD]]</f>
        <v>1075</v>
      </c>
      <c r="AC662" s="201" t="e">
        <f>INDEX([3]!Table_1[BO ID],MATCH(INVESTORS_LIST[[#This Row],[INVESTOR CODE]],[3]!Table_1[INVESTOR CODE],0))</f>
        <v>#REF!</v>
      </c>
      <c r="AD662" s="201" t="e">
        <f>INDEX([3]!Table_1[Brokerage Name2],MATCH(INVESTORS_LIST[[#This Row],[INVESTOR CODE]],[3]!Table_1[INVESTOR CODE],0))</f>
        <v>#REF!</v>
      </c>
      <c r="AE662" s="201" t="e">
        <f>MID(INVESTORS_LIST[[#This Row],[BO ID]],4,5)</f>
        <v>#REF!</v>
      </c>
      <c r="AF662" s="201" t="e">
        <f>MID(INVESTORS_LIST[[#This Row],[BO ID]],2,7)</f>
        <v>#REF!</v>
      </c>
      <c r="AG662" s="201" t="e">
        <f>MID(INVESTORS_LIST[[#This Row],[BO ID]],9,7)</f>
        <v>#REF!</v>
      </c>
      <c r="AH662" s="201" t="e">
        <f>RIGHT(INVESTORS_LIST[[#This Row],[BO ID]],1)</f>
        <v>#REF!</v>
      </c>
      <c r="AI662" s="50">
        <f>INVESTORS_LIST[[#This Row],[LS_TOTAL COST VALUE OF CURRENT UNITS]]+INVESTORS_LIST[[#This Row],[SIP_TOTAL COST VALUE OF CURRENT UNITS]]</f>
        <v>280000</v>
      </c>
      <c r="AJ662" s="109">
        <f>IF(INVESTORS_LIST[[#This Row],[TOTAL CURRENT UNITS]]=0,0,INVESTORS_LIST[[#This Row],[LS_TOTAL CURRENT UNITS]]/INVESTORS_LIST[[#This Row],[TOTAL CURRENT UNITS]])</f>
        <v>0.89435558364529144</v>
      </c>
      <c r="AK662" s="109">
        <f>IF(INVESTORS_LIST[[#This Row],[TOTAL CURRENT UNITS]]=0,0,INVESTORS_LIST[[#This Row],[SIP_TOTAL CURRENT UNITS]]/INVESTORS_LIST[[#This Row],[TOTAL CURRENT UNITS]])</f>
        <v>0.10564441635470855</v>
      </c>
      <c r="AL662" s="99" cm="1">
        <f t="array" ref="AL662">IF(INVESTORS_LIST[[#This Row],[LS_TOTAL UNITS BUY]]&gt;0,INDEX(LS[NAV at Cost (Average)],MATCH(CONCATENATE(COUNTIFS(LS[Investor ID],INVESTORS_LIST[[#This Row],[INVESTOR CODE]]),INVESTORS_LIST[[#This Row],[INVESTOR CODE]]),LS[Unique Code],0),),0)</f>
        <v>13.589910850184822</v>
      </c>
      <c r="AM662" s="99" cm="1">
        <f t="array" ref="AM662">IF(INVESTORS_LIST[[#This Row],[SIP_TOTAL UNITS BUY]]&gt;0,INDEX(SIP[NAV at Cost (Average)],MATCH(CONCATENATE(COUNTIFS(SIP[Investor ID],INVESTORS_LIST[[#This Row],[INVESTOR CODE]]),INVESTORS_LIST[[#This Row],[INVESTOR CODE]]),SIP[Unique Code],0),),0)</f>
        <v>13.805798435342844</v>
      </c>
      <c r="AN662" s="105">
        <f>IF(INVESTORS_LIST[[#This Row],[TOTAL CURRENT UNITS]]=0,0,(INVESTORS_LIST[[#This Row],[LS_WEIGHT]]*INVESTORS_LIST[[#This Row],[LS_AVERAGE COST]])+(INVESTORS_LIST[[#This Row],[SIP_WEIGHT]]*INVESTORS_LIST[[#This Row],[SIP_AVERAGE COST]]))</f>
        <v>13.61271816811707</v>
      </c>
      <c r="AO662" s="105">
        <f t="shared" si="11"/>
        <v>14.224</v>
      </c>
      <c r="AP662" s="112">
        <f>IF(INVESTORS_LIST[[#This Row],[TOTAL CURRENT UNITS]]=0,0,INVESTORS_LIST[[#This Row],[TOTAL CURRENT UNITS]]*INVESTORS_LIST[[#This Row],[NAV]])</f>
        <v>292573.45600000001</v>
      </c>
      <c r="AQ662" s="102">
        <f>IF(INVESTORS_LIST[[#This Row],[LS_TOTAL CURRENT UNITS]]=0,0,INVESTORS_LIST[[#This Row],[LS_TOTAL CURRENT UNITS]]*INVESTORS_LIST[[#This Row],[NAV]])</f>
        <v>261664.704</v>
      </c>
      <c r="AR662" s="48">
        <f>IF(INVESTORS_LIST[[#This Row],[SIP_TOTAL CURRENT UNITS]]=0,0,INVESTORS_LIST[[#This Row],[SIP_TOTAL CURRENT UNITS]]*INVESTORS_LIST[[#This Row],[NAV]])</f>
        <v>30908.752</v>
      </c>
      <c r="AS662" s="50">
        <f>INVESTORS_LIST[[#This Row],[TOTAL CURRENT UNITS]]</f>
        <v>20569</v>
      </c>
      <c r="AT662" s="48">
        <f>IF(INVESTORS_LIST[[#This Row],[TOTAL SELLABLE UNITS]]=0,0,INVESTORS_LIST[[#This Row],[TOTAL SELLABLE UNITS]]*INVESTORS_LIST[[#This Row],[NAV]])</f>
        <v>292573.45600000001</v>
      </c>
      <c r="AU662" s="48">
        <f>INVESTORS_LIST[[#This Row],[LS_TOTAL REALIZED GAIN]]+INVESTORS_LIST[[#This Row],[SIP_TOTAL REALIZED GAIN]]</f>
        <v>0</v>
      </c>
      <c r="AV662" s="48">
        <f>INVESTORS_LIST[[#This Row],[TOTAL MARKET VALUE]]-INVESTORS_LIST[[#This Row],[TOTAL COST VALUE OF CURRENT INVESTMENT]]</f>
        <v>12573.456000000006</v>
      </c>
      <c r="AW662" s="48">
        <f>IFERROR(INVESTORS_LIST[[#This Row],[TOTAL CURRENT UNITS]]/SUM(INVESTORS_LIST[TOTAL CURRENT UNITS]),0)</f>
        <v>4.9933732021495609E-4</v>
      </c>
    </row>
    <row r="663" spans="1:49">
      <c r="A663" s="262" t="s">
        <v>1441</v>
      </c>
      <c r="B663" s="97" t="s">
        <v>1442</v>
      </c>
      <c r="C663" t="s">
        <v>48</v>
      </c>
      <c r="D663" s="75" t="s">
        <v>49</v>
      </c>
      <c r="E663" s="50">
        <f>SUMIFS(LS[Unit],LS[Investor ID],INVESTORS_LIST[[#This Row],[INVESTOR CODE]],LS[B/S],"B")</f>
        <v>30141</v>
      </c>
      <c r="F663" s="50">
        <f>-SUMIFS(LS[Unit],LS[Investor ID],INVESTORS_LIST[[#This Row],[INVESTOR CODE]],LS[B/S],"S")</f>
        <v>0</v>
      </c>
      <c r="G663" s="50">
        <f>IF(INVESTORS_LIST[[#This Row],[LS_TOTAL UNITS BUY]]=0,0,INVESTORS_LIST[[#This Row],[LS_TOTAL UNITS BUY]]-INVESTORS_LIST[[#This Row],[LS_TOTAL UNITS SOLD]])</f>
        <v>30141</v>
      </c>
      <c r="H663" s="251">
        <f>IF(INVESTORS_LIST[[#This Row],[LS_TOTAL UNITS BUY]]=0,0,SUMIFS(LS[Amount],LS[Investor ID],INVESTORS_LIST[[#This Row],[INVESTOR CODE]],LS[B/S],"B"))</f>
        <v>400000</v>
      </c>
      <c r="I663" s="48">
        <f>IF(INVESTORS_LIST[[#This Row],[LS_TOTAL UNITS SOLD]]=0,0,SUMIFS(LS[Cost of Units Sold],LS[Investor ID],INVESTORS_LIST[[#This Row],[INVESTOR CODE]],LS[B/S],"S"))</f>
        <v>0</v>
      </c>
      <c r="J663" s="48">
        <f>IF(INVESTORS_LIST[[#This Row],[LS_TOTAL CURRENT UNITS]]=0,0,INVESTORS_LIST[[#This Row],[LS_TOTAL CURRENT UNITS]]*INVESTORS_LIST[[#This Row],[LS_AVERAGE COST]])</f>
        <v>400000</v>
      </c>
      <c r="K663" s="48">
        <f>IF(INVESTORS_LIST[[#This Row],[LS_TOTAL UNITS SOLD]]=0,0,SUMIFS(LS[Realized Gain],LS[Investor ID],INVESTORS_LIST[[#This Row],[INVESTOR CODE]],LS[B/S],"S"))</f>
        <v>0</v>
      </c>
      <c r="L663" s="253">
        <f>SUMIFS(SIP[Unit],SIP[Investor ID],INVESTORS_LIST[[#This Row],[INVESTOR CODE]],SIP[B/S],"B")</f>
        <v>0</v>
      </c>
      <c r="M663" s="50">
        <f>-SUMIFS(SIP[Unit],SIP[Investor ID],INVESTORS_LIST[[#This Row],[INVESTOR CODE]],SIP[B/S],"S")</f>
        <v>0</v>
      </c>
      <c r="N663" s="50">
        <f>IF(INVESTORS_LIST[[#This Row],[SIP_TOTAL UNITS BUY]]=0,0,INVESTORS_LIST[[#This Row],[SIP_TOTAL UNITS BUY]]-INVESTORS_LIST[[#This Row],[SIP_TOTAL UNITS SOLD]])</f>
        <v>0</v>
      </c>
      <c r="O663" s="48">
        <f>IF(INVESTORS_LIST[[#This Row],[SIP_TOTAL UNITS BUY]]=0,0,SUMIFS(SIP[Amount],SIP[Investor ID],INVESTORS_LIST[[#This Row],[INVESTOR CODE]],SIP[B/S],"B"))</f>
        <v>0</v>
      </c>
      <c r="P663" s="48">
        <f>IF(INVESTORS_LIST[[#This Row],[SIP_TOTAL UNITS SOLD]]=0,0,SUMIFS(SIP[Cost of Units Sold],SIP[Investor ID],INVESTORS_LIST[[#This Row],[INVESTOR CODE]],SIP[B/S],"S"))</f>
        <v>0</v>
      </c>
      <c r="Q663" s="48">
        <f>IF(INVESTORS_LIST[[#This Row],[SIP_TOTAL CURRENT UNITS]]=0,0,INVESTORS_LIST[[#This Row],[SIP_TOTAL CURRENT UNITS]]*INVESTORS_LIST[[#This Row],[SIP_AVERAGE COST]])</f>
        <v>0</v>
      </c>
      <c r="R663" s="48">
        <f>IF(INVESTORS_LIST[[#This Row],[SIP_TOTAL UNITS SOLD]]=0,0,SUMIFS(SIP[Realized Gain],SIP[Investor ID],INVESTORS_LIST[[#This Row],[INVESTOR CODE]],SIP[B/S],"S"))</f>
        <v>0</v>
      </c>
      <c r="S663" s="50">
        <f>INVESTORS_LIST[[#This Row],[LS_TOTAL UNITS BUY]]+INVESTORS_LIST[[#This Row],[SIP_TOTAL UNITS BUY]]</f>
        <v>30141</v>
      </c>
      <c r="T663" s="50">
        <f>INVESTORS_LIST[[#This Row],[LS_TOTAL UNITS SOLD]]+INVESTORS_LIST[[#This Row],[SIP_TOTAL UNITS SOLD]]</f>
        <v>0</v>
      </c>
      <c r="U663" s="50">
        <v>30141</v>
      </c>
      <c r="V663" s="50">
        <f>SUMIFS(LS[BO UNIT TRANSFER],LS[Investor ID],INVESTORS_LIST[[#This Row],[INVESTOR CODE]],LS[B/S],"B")</f>
        <v>0</v>
      </c>
      <c r="W663" s="50">
        <f>SUMIFS(SIP[BO UNIT TRANSFER],SIP[Investor ID],INVESTORS_LIST[[#This Row],[INVESTOR CODE]],SIP[B/S],"B")</f>
        <v>0</v>
      </c>
      <c r="X663" s="50">
        <f>SUMIFS(LS[BO UNIT TRANSFER],LS[Investor ID],INVESTORS_LIST[[#This Row],[INVESTOR CODE]],LS[B/S],"S")</f>
        <v>0</v>
      </c>
      <c r="Y663" s="50">
        <f>SUMIFS(SIP[BO UNIT TRANSFER],SIP[Investor ID],INVESTORS_LIST[[#This Row],[INVESTOR CODE]],SIP[B/S],"S")</f>
        <v>0</v>
      </c>
      <c r="Z663" s="106">
        <f>SUM(INVESTORS_LIST[[#This Row],[BO OPENING BALANCE]:[BO SIP UNITS REPURCHASE]])</f>
        <v>30141</v>
      </c>
      <c r="AA663" s="107">
        <f>INVESTORS_LIST[[#This Row],[TOTAL UNITS BUY]]-INVESTORS_LIST[[#This Row],[TOTAL UNITS SOLD]]</f>
        <v>30141</v>
      </c>
      <c r="AB663" s="107">
        <f>INVESTORS_LIST[[#This Row],[TOTAL CURRENT UNITS]]-INVESTORS_LIST[[#This Row],[BO UNITS HOLD]]</f>
        <v>0</v>
      </c>
      <c r="AC663" s="201" t="e">
        <f>INDEX([3]!Table_1[BO ID],MATCH(INVESTORS_LIST[[#This Row],[INVESTOR CODE]],[3]!Table_1[INVESTOR CODE],0))</f>
        <v>#REF!</v>
      </c>
      <c r="AD663" s="201" t="e">
        <f>INDEX([3]!Table_1[Brokerage Name2],MATCH(INVESTORS_LIST[[#This Row],[INVESTOR CODE]],[3]!Table_1[INVESTOR CODE],0))</f>
        <v>#REF!</v>
      </c>
      <c r="AE663" s="201" t="e">
        <f>MID(INVESTORS_LIST[[#This Row],[BO ID]],4,5)</f>
        <v>#REF!</v>
      </c>
      <c r="AF663" s="201" t="e">
        <f>MID(INVESTORS_LIST[[#This Row],[BO ID]],2,7)</f>
        <v>#REF!</v>
      </c>
      <c r="AG663" s="201" t="e">
        <f>MID(INVESTORS_LIST[[#This Row],[BO ID]],9,7)</f>
        <v>#REF!</v>
      </c>
      <c r="AH663" s="201" t="e">
        <f>RIGHT(INVESTORS_LIST[[#This Row],[BO ID]],1)</f>
        <v>#REF!</v>
      </c>
      <c r="AI663" s="50">
        <f>INVESTORS_LIST[[#This Row],[LS_TOTAL COST VALUE OF CURRENT UNITS]]+INVESTORS_LIST[[#This Row],[SIP_TOTAL COST VALUE OF CURRENT UNITS]]</f>
        <v>400000</v>
      </c>
      <c r="AJ663" s="109">
        <f>IF(INVESTORS_LIST[[#This Row],[TOTAL CURRENT UNITS]]=0,0,INVESTORS_LIST[[#This Row],[LS_TOTAL CURRENT UNITS]]/INVESTORS_LIST[[#This Row],[TOTAL CURRENT UNITS]])</f>
        <v>1</v>
      </c>
      <c r="AK663" s="109">
        <f>IF(INVESTORS_LIST[[#This Row],[TOTAL CURRENT UNITS]]=0,0,INVESTORS_LIST[[#This Row],[SIP_TOTAL CURRENT UNITS]]/INVESTORS_LIST[[#This Row],[TOTAL CURRENT UNITS]])</f>
        <v>0</v>
      </c>
      <c r="AL663" s="249" cm="1">
        <f t="array" ref="AL663">IF(INVESTORS_LIST[[#This Row],[LS_TOTAL UNITS BUY]]&gt;0,INDEX(LS[NAV at Cost (Average)],MATCH(CONCATENATE(COUNTIFS(LS[Investor ID],INVESTORS_LIST[[#This Row],[INVESTOR CODE]]),INVESTORS_LIST[[#This Row],[INVESTOR CODE]]),LS[Unique Code],0),),0)</f>
        <v>13.270959822169138</v>
      </c>
      <c r="AM663" s="249" cm="1">
        <f t="array" ref="AM6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3" s="105">
        <f>IF(INVESTORS_LIST[[#This Row],[TOTAL CURRENT UNITS]]=0,0,(INVESTORS_LIST[[#This Row],[LS_WEIGHT]]*INVESTORS_LIST[[#This Row],[LS_AVERAGE COST]])+(INVESTORS_LIST[[#This Row],[SIP_WEIGHT]]*INVESTORS_LIST[[#This Row],[SIP_AVERAGE COST]]))</f>
        <v>13.270959822169138</v>
      </c>
      <c r="AO663" s="105">
        <f t="shared" si="11"/>
        <v>14.224</v>
      </c>
      <c r="AP663" s="112">
        <f>IF(INVESTORS_LIST[[#This Row],[TOTAL CURRENT UNITS]]=0,0,INVESTORS_LIST[[#This Row],[TOTAL CURRENT UNITS]]*INVESTORS_LIST[[#This Row],[NAV]])</f>
        <v>428725.58400000003</v>
      </c>
      <c r="AQ663" s="251">
        <f>IF(INVESTORS_LIST[[#This Row],[LS_TOTAL CURRENT UNITS]]=0,0,INVESTORS_LIST[[#This Row],[LS_TOTAL CURRENT UNITS]]*INVESTORS_LIST[[#This Row],[NAV]])</f>
        <v>428725.58400000003</v>
      </c>
      <c r="AR663" s="48">
        <f>IF(INVESTORS_LIST[[#This Row],[SIP_TOTAL CURRENT UNITS]]=0,0,INVESTORS_LIST[[#This Row],[SIP_TOTAL CURRENT UNITS]]*INVESTORS_LIST[[#This Row],[NAV]])</f>
        <v>0</v>
      </c>
      <c r="AS663" s="50">
        <f>INVESTORS_LIST[[#This Row],[TOTAL CURRENT UNITS]]</f>
        <v>30141</v>
      </c>
      <c r="AT663" s="48">
        <f>IF(INVESTORS_LIST[[#This Row],[TOTAL SELLABLE UNITS]]=0,0,INVESTORS_LIST[[#This Row],[TOTAL SELLABLE UNITS]]*INVESTORS_LIST[[#This Row],[NAV]])</f>
        <v>428725.58400000003</v>
      </c>
      <c r="AU663" s="48">
        <f>INVESTORS_LIST[[#This Row],[LS_TOTAL REALIZED GAIN]]+INVESTORS_LIST[[#This Row],[SIP_TOTAL REALIZED GAIN]]</f>
        <v>0</v>
      </c>
      <c r="AV663" s="48">
        <f>INVESTORS_LIST[[#This Row],[TOTAL MARKET VALUE]]-INVESTORS_LIST[[#This Row],[TOTAL COST VALUE OF CURRENT INVESTMENT]]</f>
        <v>28725.584000000032</v>
      </c>
      <c r="AW663" s="48">
        <f>IFERROR(INVESTORS_LIST[[#This Row],[TOTAL CURRENT UNITS]]/SUM(INVESTORS_LIST[TOTAL CURRENT UNITS]),0)</f>
        <v>7.3170918219646027E-4</v>
      </c>
    </row>
    <row r="664" spans="1:49">
      <c r="A664" s="262" t="s">
        <v>1443</v>
      </c>
      <c r="B664" s="97" t="s">
        <v>1444</v>
      </c>
      <c r="C664" t="s">
        <v>44</v>
      </c>
      <c r="D664" s="75" t="s">
        <v>45</v>
      </c>
      <c r="E664" s="50">
        <f>SUMIFS(LS[Unit],LS[Investor ID],INVESTORS_LIST[[#This Row],[INVESTOR CODE]],LS[B/S],"B")</f>
        <v>1281</v>
      </c>
      <c r="F664" s="50">
        <f>-SUMIFS(LS[Unit],LS[Investor ID],INVESTORS_LIST[[#This Row],[INVESTOR CODE]],LS[B/S],"S")</f>
        <v>0</v>
      </c>
      <c r="G664" s="50">
        <f>IF(INVESTORS_LIST[[#This Row],[LS_TOTAL UNITS BUY]]=0,0,INVESTORS_LIST[[#This Row],[LS_TOTAL UNITS BUY]]-INVESTORS_LIST[[#This Row],[LS_TOTAL UNITS SOLD]])</f>
        <v>1281</v>
      </c>
      <c r="H664" s="102">
        <f>IF(INVESTORS_LIST[[#This Row],[LS_TOTAL UNITS BUY]]=0,0,SUMIFS(LS[Amount],LS[Investor ID],INVESTORS_LIST[[#This Row],[INVESTOR CODE]],LS[B/S],"B"))</f>
        <v>17000</v>
      </c>
      <c r="I664" s="48">
        <f>IF(INVESTORS_LIST[[#This Row],[LS_TOTAL UNITS SOLD]]=0,0,SUMIFS(LS[Cost of Units Sold],LS[Investor ID],INVESTORS_LIST[[#This Row],[INVESTOR CODE]],LS[B/S],"S"))</f>
        <v>0</v>
      </c>
      <c r="J664" s="48">
        <f>IF(INVESTORS_LIST[[#This Row],[LS_TOTAL CURRENT UNITS]]=0,0,INVESTORS_LIST[[#This Row],[LS_TOTAL CURRENT UNITS]]*INVESTORS_LIST[[#This Row],[LS_AVERAGE COST]])</f>
        <v>17000</v>
      </c>
      <c r="K664" s="48">
        <f>IF(INVESTORS_LIST[[#This Row],[LS_TOTAL UNITS SOLD]]=0,0,SUMIFS(LS[Realized Gain],LS[Investor ID],INVESTORS_LIST[[#This Row],[INVESTOR CODE]],LS[B/S],"S"))</f>
        <v>0</v>
      </c>
      <c r="L664" s="104">
        <f>SUMIFS(SIP[Unit],SIP[Investor ID],INVESTORS_LIST[[#This Row],[INVESTOR CODE]],SIP[B/S],"B")</f>
        <v>2599</v>
      </c>
      <c r="M664" s="50">
        <f>-SUMIFS(SIP[Unit],SIP[Investor ID],INVESTORS_LIST[[#This Row],[INVESTOR CODE]],SIP[B/S],"S")</f>
        <v>0</v>
      </c>
      <c r="N664" s="50">
        <f>IF(INVESTORS_LIST[[#This Row],[SIP_TOTAL UNITS BUY]]=0,0,INVESTORS_LIST[[#This Row],[SIP_TOTAL UNITS BUY]]-INVESTORS_LIST[[#This Row],[SIP_TOTAL UNITS SOLD]])</f>
        <v>2599</v>
      </c>
      <c r="O664" s="48">
        <f>IF(INVESTORS_LIST[[#This Row],[SIP_TOTAL UNITS BUY]]=0,0,SUMIFS(SIP[Amount],SIP[Investor ID],INVESTORS_LIST[[#This Row],[INVESTOR CODE]],SIP[B/S],"B"))</f>
        <v>36000</v>
      </c>
      <c r="P664" s="48">
        <f>IF(INVESTORS_LIST[[#This Row],[SIP_TOTAL UNITS SOLD]]=0,0,SUMIFS(SIP[Cost of Units Sold],SIP[Investor ID],INVESTORS_LIST[[#This Row],[INVESTOR CODE]],SIP[B/S],"S"))</f>
        <v>0</v>
      </c>
      <c r="Q664" s="48">
        <f>IF(INVESTORS_LIST[[#This Row],[SIP_TOTAL CURRENT UNITS]]=0,0,INVESTORS_LIST[[#This Row],[SIP_TOTAL CURRENT UNITS]]*INVESTORS_LIST[[#This Row],[SIP_AVERAGE COST]])</f>
        <v>36000.000000000007</v>
      </c>
      <c r="R664" s="48">
        <f>IF(INVESTORS_LIST[[#This Row],[SIP_TOTAL UNITS SOLD]]=0,0,SUMIFS(SIP[Realized Gain],SIP[Investor ID],INVESTORS_LIST[[#This Row],[INVESTOR CODE]],SIP[B/S],"S"))</f>
        <v>0</v>
      </c>
      <c r="S664" s="50">
        <f>INVESTORS_LIST[[#This Row],[LS_TOTAL UNITS BUY]]+INVESTORS_LIST[[#This Row],[SIP_TOTAL UNITS BUY]]</f>
        <v>3880</v>
      </c>
      <c r="T664" s="50">
        <f>INVESTORS_LIST[[#This Row],[LS_TOTAL UNITS SOLD]]+INVESTORS_LIST[[#This Row],[SIP_TOTAL UNITS SOLD]]</f>
        <v>0</v>
      </c>
      <c r="U664" s="50"/>
      <c r="V664" s="50">
        <f>SUMIFS(LS[BO UNIT TRANSFER],LS[Investor ID],INVESTORS_LIST[[#This Row],[INVESTOR CODE]],LS[B/S],"B")</f>
        <v>0</v>
      </c>
      <c r="W664" s="50">
        <f>SUMIFS(SIP[BO UNIT TRANSFER],SIP[Investor ID],INVESTORS_LIST[[#This Row],[INVESTOR CODE]],SIP[B/S],"B")</f>
        <v>0</v>
      </c>
      <c r="X664" s="50">
        <f>SUMIFS(LS[BO UNIT TRANSFER],LS[Investor ID],INVESTORS_LIST[[#This Row],[INVESTOR CODE]],LS[B/S],"S")</f>
        <v>0</v>
      </c>
      <c r="Y664" s="50">
        <f>SUMIFS(SIP[BO UNIT TRANSFER],SIP[Investor ID],INVESTORS_LIST[[#This Row],[INVESTOR CODE]],SIP[B/S],"S")</f>
        <v>0</v>
      </c>
      <c r="Z664" s="106">
        <f>SUM(INVESTORS_LIST[[#This Row],[BO OPENING BALANCE]:[BO SIP UNITS REPURCHASE]])</f>
        <v>0</v>
      </c>
      <c r="AA664" s="107">
        <f>INVESTORS_LIST[[#This Row],[TOTAL UNITS BUY]]-INVESTORS_LIST[[#This Row],[TOTAL UNITS SOLD]]</f>
        <v>3880</v>
      </c>
      <c r="AB664" s="107">
        <f>INVESTORS_LIST[[#This Row],[TOTAL CURRENT UNITS]]-INVESTORS_LIST[[#This Row],[BO UNITS HOLD]]</f>
        <v>3880</v>
      </c>
      <c r="AC664" s="201" t="e">
        <f>INDEX([3]!Table_1[BO ID],MATCH(INVESTORS_LIST[[#This Row],[INVESTOR CODE]],[3]!Table_1[INVESTOR CODE],0))</f>
        <v>#REF!</v>
      </c>
      <c r="AD664" s="201" t="e">
        <f>INDEX([3]!Table_1[Brokerage Name2],MATCH(INVESTORS_LIST[[#This Row],[INVESTOR CODE]],[3]!Table_1[INVESTOR CODE],0))</f>
        <v>#REF!</v>
      </c>
      <c r="AE664" s="201" t="e">
        <f>MID(INVESTORS_LIST[[#This Row],[BO ID]],4,5)</f>
        <v>#REF!</v>
      </c>
      <c r="AF664" s="201" t="e">
        <f>MID(INVESTORS_LIST[[#This Row],[BO ID]],2,7)</f>
        <v>#REF!</v>
      </c>
      <c r="AG664" s="201" t="e">
        <f>MID(INVESTORS_LIST[[#This Row],[BO ID]],9,7)</f>
        <v>#REF!</v>
      </c>
      <c r="AH664" s="201" t="e">
        <f>RIGHT(INVESTORS_LIST[[#This Row],[BO ID]],1)</f>
        <v>#REF!</v>
      </c>
      <c r="AI664" s="50">
        <f>INVESTORS_LIST[[#This Row],[LS_TOTAL COST VALUE OF CURRENT UNITS]]+INVESTORS_LIST[[#This Row],[SIP_TOTAL COST VALUE OF CURRENT UNITS]]</f>
        <v>53000.000000000007</v>
      </c>
      <c r="AJ664" s="109">
        <f>IF(INVESTORS_LIST[[#This Row],[TOTAL CURRENT UNITS]]=0,0,INVESTORS_LIST[[#This Row],[LS_TOTAL CURRENT UNITS]]/INVESTORS_LIST[[#This Row],[TOTAL CURRENT UNITS]])</f>
        <v>0.33015463917525772</v>
      </c>
      <c r="AK664" s="109">
        <f>IF(INVESTORS_LIST[[#This Row],[TOTAL CURRENT UNITS]]=0,0,INVESTORS_LIST[[#This Row],[SIP_TOTAL CURRENT UNITS]]/INVESTORS_LIST[[#This Row],[TOTAL CURRENT UNITS]])</f>
        <v>0.66984536082474222</v>
      </c>
      <c r="AL664" s="99" cm="1">
        <f t="array" ref="AL664">IF(INVESTORS_LIST[[#This Row],[LS_TOTAL UNITS BUY]]&gt;0,INDEX(LS[NAV at Cost (Average)],MATCH(CONCATENATE(COUNTIFS(LS[Investor ID],INVESTORS_LIST[[#This Row],[INVESTOR CODE]]),INVESTORS_LIST[[#This Row],[INVESTOR CODE]]),LS[Unique Code],0),),0)</f>
        <v>13.27088212334114</v>
      </c>
      <c r="AM664" s="99" cm="1">
        <f t="array" ref="AM664">IF(INVESTORS_LIST[[#This Row],[SIP_TOTAL UNITS BUY]]&gt;0,INDEX(SIP[NAV at Cost (Average)],MATCH(CONCATENATE(COUNTIFS(SIP[Investor ID],INVESTORS_LIST[[#This Row],[INVESTOR CODE]]),INVESTORS_LIST[[#This Row],[INVESTOR CODE]]),SIP[Unique Code],0),),0)</f>
        <v>13.851481338976532</v>
      </c>
      <c r="AN664" s="105">
        <f>IF(INVESTORS_LIST[[#This Row],[TOTAL CURRENT UNITS]]=0,0,(INVESTORS_LIST[[#This Row],[LS_WEIGHT]]*INVESTORS_LIST[[#This Row],[LS_AVERAGE COST]])+(INVESTORS_LIST[[#This Row],[SIP_WEIGHT]]*INVESTORS_LIST[[#This Row],[SIP_AVERAGE COST]]))</f>
        <v>13.659793814432991</v>
      </c>
      <c r="AO664" s="105">
        <f t="shared" si="11"/>
        <v>14.224</v>
      </c>
      <c r="AP664" s="112">
        <f>IF(INVESTORS_LIST[[#This Row],[TOTAL CURRENT UNITS]]=0,0,INVESTORS_LIST[[#This Row],[TOTAL CURRENT UNITS]]*INVESTORS_LIST[[#This Row],[NAV]])</f>
        <v>55189.120000000003</v>
      </c>
      <c r="AQ664" s="102">
        <f>IF(INVESTORS_LIST[[#This Row],[LS_TOTAL CURRENT UNITS]]=0,0,INVESTORS_LIST[[#This Row],[LS_TOTAL CURRENT UNITS]]*INVESTORS_LIST[[#This Row],[NAV]])</f>
        <v>18220.944</v>
      </c>
      <c r="AR664" s="48">
        <f>IF(INVESTORS_LIST[[#This Row],[SIP_TOTAL CURRENT UNITS]]=0,0,INVESTORS_LIST[[#This Row],[SIP_TOTAL CURRENT UNITS]]*INVESTORS_LIST[[#This Row],[NAV]])</f>
        <v>36968.175999999999</v>
      </c>
      <c r="AS664" s="50">
        <f>INVESTORS_LIST[[#This Row],[TOTAL CURRENT UNITS]]</f>
        <v>3880</v>
      </c>
      <c r="AT664" s="48">
        <f>IF(INVESTORS_LIST[[#This Row],[TOTAL SELLABLE UNITS]]=0,0,INVESTORS_LIST[[#This Row],[TOTAL SELLABLE UNITS]]*INVESTORS_LIST[[#This Row],[NAV]])</f>
        <v>55189.120000000003</v>
      </c>
      <c r="AU664" s="48">
        <f>INVESTORS_LIST[[#This Row],[LS_TOTAL REALIZED GAIN]]+INVESTORS_LIST[[#This Row],[SIP_TOTAL REALIZED GAIN]]</f>
        <v>0</v>
      </c>
      <c r="AV664" s="48">
        <f>INVESTORS_LIST[[#This Row],[TOTAL MARKET VALUE]]-INVESTORS_LIST[[#This Row],[TOTAL COST VALUE OF CURRENT INVESTMENT]]</f>
        <v>2189.1199999999953</v>
      </c>
      <c r="AW664" s="48">
        <f>IFERROR(INVESTORS_LIST[[#This Row],[TOTAL CURRENT UNITS]]/SUM(INVESTORS_LIST[TOTAL CURRENT UNITS]),0)</f>
        <v>9.4191686636882192E-5</v>
      </c>
    </row>
    <row r="665" spans="1:49" hidden="1">
      <c r="A665" s="262" t="s">
        <v>1446</v>
      </c>
      <c r="B665" s="97" t="s">
        <v>1445</v>
      </c>
      <c r="C665" t="s">
        <v>44</v>
      </c>
      <c r="D665" s="75" t="s">
        <v>45</v>
      </c>
      <c r="E665" s="50">
        <f>SUMIFS(LS[Unit],LS[Investor ID],INVESTORS_LIST[[#This Row],[INVESTOR CODE]],LS[B/S],"B")</f>
        <v>145621</v>
      </c>
      <c r="F665" s="50">
        <f>-SUMIFS(LS[Unit],LS[Investor ID],INVESTORS_LIST[[#This Row],[INVESTOR CODE]],LS[B/S],"S")</f>
        <v>145621</v>
      </c>
      <c r="G665" s="50">
        <f>IF(INVESTORS_LIST[[#This Row],[LS_TOTAL UNITS BUY]]=0,0,INVESTORS_LIST[[#This Row],[LS_TOTAL UNITS BUY]]-INVESTORS_LIST[[#This Row],[LS_TOTAL UNITS SOLD]])</f>
        <v>0</v>
      </c>
      <c r="H665" s="102">
        <f>IF(INVESTORS_LIST[[#This Row],[LS_TOTAL UNITS BUY]]=0,0,SUMIFS(LS[Amount],LS[Investor ID],INVESTORS_LIST[[#This Row],[INVESTOR CODE]],LS[B/S],"B"))</f>
        <v>2000000</v>
      </c>
      <c r="I665" s="48">
        <f>IF(INVESTORS_LIST[[#This Row],[LS_TOTAL UNITS SOLD]]=0,0,SUMIFS(LS[Cost of Units Sold],LS[Investor ID],INVESTORS_LIST[[#This Row],[INVESTOR CODE]],LS[B/S],"S"))</f>
        <v>2000000</v>
      </c>
      <c r="J665" s="48">
        <f>IF(INVESTORS_LIST[[#This Row],[LS_TOTAL CURRENT UNITS]]=0,0,INVESTORS_LIST[[#This Row],[LS_TOTAL CURRENT UNITS]]*INVESTORS_LIST[[#This Row],[LS_AVERAGE COST]])</f>
        <v>0</v>
      </c>
      <c r="K665" s="48">
        <f>IF(INVESTORS_LIST[[#This Row],[LS_TOTAL UNITS SOLD]]=0,0,SUMIFS(LS[Realized Gain],LS[Investor ID],INVESTORS_LIST[[#This Row],[INVESTOR CODE]],LS[B/S],"S"))</f>
        <v>4962.640000000024</v>
      </c>
      <c r="L665" s="104">
        <f>SUMIFS(SIP[Unit],SIP[Investor ID],INVESTORS_LIST[[#This Row],[INVESTOR CODE]],SIP[B/S],"B")</f>
        <v>0</v>
      </c>
      <c r="M665" s="50">
        <f>-SUMIFS(SIP[Unit],SIP[Investor ID],INVESTORS_LIST[[#This Row],[INVESTOR CODE]],SIP[B/S],"S")</f>
        <v>0</v>
      </c>
      <c r="N665" s="50">
        <f>IF(INVESTORS_LIST[[#This Row],[SIP_TOTAL UNITS BUY]]=0,0,INVESTORS_LIST[[#This Row],[SIP_TOTAL UNITS BUY]]-INVESTORS_LIST[[#This Row],[SIP_TOTAL UNITS SOLD]])</f>
        <v>0</v>
      </c>
      <c r="O665" s="48">
        <f>IF(INVESTORS_LIST[[#This Row],[SIP_TOTAL UNITS BUY]]=0,0,SUMIFS(SIP[Amount],SIP[Investor ID],INVESTORS_LIST[[#This Row],[INVESTOR CODE]],SIP[B/S],"B"))</f>
        <v>0</v>
      </c>
      <c r="P665" s="48">
        <f>IF(INVESTORS_LIST[[#This Row],[SIP_TOTAL UNITS SOLD]]=0,0,SUMIFS(SIP[Cost of Units Sold],SIP[Investor ID],INVESTORS_LIST[[#This Row],[INVESTOR CODE]],SIP[B/S],"S"))</f>
        <v>0</v>
      </c>
      <c r="Q665" s="48">
        <f>IF(INVESTORS_LIST[[#This Row],[SIP_TOTAL CURRENT UNITS]]=0,0,INVESTORS_LIST[[#This Row],[SIP_TOTAL CURRENT UNITS]]*INVESTORS_LIST[[#This Row],[SIP_AVERAGE COST]])</f>
        <v>0</v>
      </c>
      <c r="R665" s="48">
        <f>IF(INVESTORS_LIST[[#This Row],[SIP_TOTAL UNITS SOLD]]=0,0,SUMIFS(SIP[Realized Gain],SIP[Investor ID],INVESTORS_LIST[[#This Row],[INVESTOR CODE]],SIP[B/S],"S"))</f>
        <v>0</v>
      </c>
      <c r="S665" s="50">
        <f>INVESTORS_LIST[[#This Row],[LS_TOTAL UNITS BUY]]+INVESTORS_LIST[[#This Row],[SIP_TOTAL UNITS BUY]]</f>
        <v>145621</v>
      </c>
      <c r="T665" s="50">
        <f>INVESTORS_LIST[[#This Row],[LS_TOTAL UNITS SOLD]]+INVESTORS_LIST[[#This Row],[SIP_TOTAL UNITS SOLD]]</f>
        <v>145621</v>
      </c>
      <c r="U665" s="50">
        <v>37012</v>
      </c>
      <c r="V665" s="50">
        <f>SUMIFS(LS[BO UNIT TRANSFER],LS[Investor ID],INVESTORS_LIST[[#This Row],[INVESTOR CODE]],LS[B/S],"B")</f>
        <v>0</v>
      </c>
      <c r="W665" s="50">
        <f>SUMIFS(SIP[BO UNIT TRANSFER],SIP[Investor ID],INVESTORS_LIST[[#This Row],[INVESTOR CODE]],SIP[B/S],"B")</f>
        <v>0</v>
      </c>
      <c r="X665" s="50">
        <f>SUMIFS(LS[BO UNIT TRANSFER],LS[Investor ID],INVESTORS_LIST[[#This Row],[INVESTOR CODE]],LS[B/S],"S")</f>
        <v>0</v>
      </c>
      <c r="Y665" s="50">
        <f>SUMIFS(SIP[BO UNIT TRANSFER],SIP[Investor ID],INVESTORS_LIST[[#This Row],[INVESTOR CODE]],SIP[B/S],"S")</f>
        <v>0</v>
      </c>
      <c r="Z665" s="106">
        <f>SUM(INVESTORS_LIST[[#This Row],[BO OPENING BALANCE]:[BO SIP UNITS REPURCHASE]])</f>
        <v>37012</v>
      </c>
      <c r="AA665" s="107">
        <f>INVESTORS_LIST[[#This Row],[TOTAL UNITS BUY]]-INVESTORS_LIST[[#This Row],[TOTAL UNITS SOLD]]</f>
        <v>0</v>
      </c>
      <c r="AB665" s="107">
        <f>INVESTORS_LIST[[#This Row],[TOTAL CURRENT UNITS]]-INVESTORS_LIST[[#This Row],[BO UNITS HOLD]]</f>
        <v>-37012</v>
      </c>
      <c r="AC665" s="201" t="e">
        <f>INDEX([3]!Table_1[BO ID],MATCH(INVESTORS_LIST[[#This Row],[INVESTOR CODE]],[3]!Table_1[INVESTOR CODE],0))</f>
        <v>#REF!</v>
      </c>
      <c r="AD665" s="201" t="e">
        <f>INDEX([3]!Table_1[Brokerage Name2],MATCH(INVESTORS_LIST[[#This Row],[INVESTOR CODE]],[3]!Table_1[INVESTOR CODE],0))</f>
        <v>#REF!</v>
      </c>
      <c r="AE665" s="201" t="e">
        <f>MID(INVESTORS_LIST[[#This Row],[BO ID]],4,5)</f>
        <v>#REF!</v>
      </c>
      <c r="AF665" s="201" t="e">
        <f>MID(INVESTORS_LIST[[#This Row],[BO ID]],2,7)</f>
        <v>#REF!</v>
      </c>
      <c r="AG665" s="201" t="e">
        <f>MID(INVESTORS_LIST[[#This Row],[BO ID]],9,7)</f>
        <v>#REF!</v>
      </c>
      <c r="AH665" s="201" t="e">
        <f>RIGHT(INVESTORS_LIST[[#This Row],[BO ID]],1)</f>
        <v>#REF!</v>
      </c>
      <c r="AI665" s="50">
        <f>INVESTORS_LIST[[#This Row],[LS_TOTAL COST VALUE OF CURRENT UNITS]]+INVESTORS_LIST[[#This Row],[SIP_TOTAL COST VALUE OF CURRENT UNITS]]</f>
        <v>0</v>
      </c>
      <c r="AJ665" s="109">
        <f>IF(INVESTORS_LIST[[#This Row],[TOTAL CURRENT UNITS]]=0,0,INVESTORS_LIST[[#This Row],[LS_TOTAL CURRENT UNITS]]/INVESTORS_LIST[[#This Row],[TOTAL CURRENT UNITS]])</f>
        <v>0</v>
      </c>
      <c r="AK665" s="109">
        <f>IF(INVESTORS_LIST[[#This Row],[TOTAL CURRENT UNITS]]=0,0,INVESTORS_LIST[[#This Row],[SIP_TOTAL CURRENT UNITS]]/INVESTORS_LIST[[#This Row],[TOTAL CURRENT UNITS]])</f>
        <v>0</v>
      </c>
      <c r="AL665" s="99" cm="1">
        <f t="array" ref="AL6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5" s="99" cm="1">
        <f t="array" ref="AM6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65" s="105">
        <f t="shared" si="11"/>
        <v>14.224</v>
      </c>
      <c r="AP665" s="112">
        <f>IF(INVESTORS_LIST[[#This Row],[TOTAL CURRENT UNITS]]=0,0,INVESTORS_LIST[[#This Row],[TOTAL CURRENT UNITS]]*INVESTORS_LIST[[#This Row],[NAV]])</f>
        <v>0</v>
      </c>
      <c r="AQ665" s="102">
        <f>IF(INVESTORS_LIST[[#This Row],[LS_TOTAL CURRENT UNITS]]=0,0,INVESTORS_LIST[[#This Row],[LS_TOTAL CURRENT UNITS]]*INVESTORS_LIST[[#This Row],[NAV]])</f>
        <v>0</v>
      </c>
      <c r="AR665" s="48">
        <f>IF(INVESTORS_LIST[[#This Row],[SIP_TOTAL CURRENT UNITS]]=0,0,INVESTORS_LIST[[#This Row],[SIP_TOTAL CURRENT UNITS]]*INVESTORS_LIST[[#This Row],[NAV]])</f>
        <v>0</v>
      </c>
      <c r="AS665" s="50">
        <f>INVESTORS_LIST[[#This Row],[TOTAL CURRENT UNITS]]</f>
        <v>0</v>
      </c>
      <c r="AT665" s="48">
        <f>IF(INVESTORS_LIST[[#This Row],[TOTAL SELLABLE UNITS]]=0,0,INVESTORS_LIST[[#This Row],[TOTAL SELLABLE UNITS]]*INVESTORS_LIST[[#This Row],[NAV]])</f>
        <v>0</v>
      </c>
      <c r="AU665" s="48">
        <f>INVESTORS_LIST[[#This Row],[LS_TOTAL REALIZED GAIN]]+INVESTORS_LIST[[#This Row],[SIP_TOTAL REALIZED GAIN]]</f>
        <v>4962.640000000024</v>
      </c>
      <c r="AV665" s="48">
        <f>INVESTORS_LIST[[#This Row],[TOTAL MARKET VALUE]]-INVESTORS_LIST[[#This Row],[TOTAL COST VALUE OF CURRENT INVESTMENT]]</f>
        <v>0</v>
      </c>
      <c r="AW665" s="48">
        <f>IFERROR(INVESTORS_LIST[[#This Row],[TOTAL CURRENT UNITS]]/SUM(INVESTORS_LIST[TOTAL CURRENT UNITS]),0)</f>
        <v>0</v>
      </c>
    </row>
    <row r="666" spans="1:49">
      <c r="A666" s="262" t="s">
        <v>1447</v>
      </c>
      <c r="B666" s="97" t="s">
        <v>1448</v>
      </c>
      <c r="C666" t="s">
        <v>67</v>
      </c>
      <c r="D666" s="75" t="s">
        <v>45</v>
      </c>
      <c r="E666" s="50">
        <f>SUMIFS(LS[Unit],LS[Investor ID],INVESTORS_LIST[[#This Row],[INVESTOR CODE]],LS[B/S],"B")</f>
        <v>22099</v>
      </c>
      <c r="F666" s="50">
        <f>-SUMIFS(LS[Unit],LS[Investor ID],INVESTORS_LIST[[#This Row],[INVESTOR CODE]],LS[B/S],"S")</f>
        <v>0</v>
      </c>
      <c r="G666" s="50">
        <f>IF(INVESTORS_LIST[[#This Row],[LS_TOTAL UNITS BUY]]=0,0,INVESTORS_LIST[[#This Row],[LS_TOTAL UNITS BUY]]-INVESTORS_LIST[[#This Row],[LS_TOTAL UNITS SOLD]])</f>
        <v>22099</v>
      </c>
      <c r="H666" s="102">
        <f>IF(INVESTORS_LIST[[#This Row],[LS_TOTAL UNITS BUY]]=0,0,SUMIFS(LS[Amount],LS[Investor ID],INVESTORS_LIST[[#This Row],[INVESTOR CODE]],LS[B/S],"B"))</f>
        <v>300000</v>
      </c>
      <c r="I666" s="48">
        <f>IF(INVESTORS_LIST[[#This Row],[LS_TOTAL UNITS SOLD]]=0,0,SUMIFS(LS[Cost of Units Sold],LS[Investor ID],INVESTORS_LIST[[#This Row],[INVESTOR CODE]],LS[B/S],"S"))</f>
        <v>0</v>
      </c>
      <c r="J666" s="48">
        <f>IF(INVESTORS_LIST[[#This Row],[LS_TOTAL CURRENT UNITS]]=0,0,INVESTORS_LIST[[#This Row],[LS_TOTAL CURRENT UNITS]]*INVESTORS_LIST[[#This Row],[LS_AVERAGE COST]])</f>
        <v>300000</v>
      </c>
      <c r="K666" s="48">
        <f>IF(INVESTORS_LIST[[#This Row],[LS_TOTAL UNITS SOLD]]=0,0,SUMIFS(LS[Realized Gain],LS[Investor ID],INVESTORS_LIST[[#This Row],[INVESTOR CODE]],LS[B/S],"S"))</f>
        <v>0</v>
      </c>
      <c r="L666" s="104">
        <f>SUMIFS(SIP[Unit],SIP[Investor ID],INVESTORS_LIST[[#This Row],[INVESTOR CODE]],SIP[B/S],"B")</f>
        <v>0</v>
      </c>
      <c r="M666" s="50">
        <f>-SUMIFS(SIP[Unit],SIP[Investor ID],INVESTORS_LIST[[#This Row],[INVESTOR CODE]],SIP[B/S],"S")</f>
        <v>0</v>
      </c>
      <c r="N666" s="50">
        <f>IF(INVESTORS_LIST[[#This Row],[SIP_TOTAL UNITS BUY]]=0,0,INVESTORS_LIST[[#This Row],[SIP_TOTAL UNITS BUY]]-INVESTORS_LIST[[#This Row],[SIP_TOTAL UNITS SOLD]])</f>
        <v>0</v>
      </c>
      <c r="O666" s="48">
        <f>IF(INVESTORS_LIST[[#This Row],[SIP_TOTAL UNITS BUY]]=0,0,SUMIFS(SIP[Amount],SIP[Investor ID],INVESTORS_LIST[[#This Row],[INVESTOR CODE]],SIP[B/S],"B"))</f>
        <v>0</v>
      </c>
      <c r="P666" s="48">
        <f>IF(INVESTORS_LIST[[#This Row],[SIP_TOTAL UNITS SOLD]]=0,0,SUMIFS(SIP[Cost of Units Sold],SIP[Investor ID],INVESTORS_LIST[[#This Row],[INVESTOR CODE]],SIP[B/S],"S"))</f>
        <v>0</v>
      </c>
      <c r="Q666" s="48">
        <f>IF(INVESTORS_LIST[[#This Row],[SIP_TOTAL CURRENT UNITS]]=0,0,INVESTORS_LIST[[#This Row],[SIP_TOTAL CURRENT UNITS]]*INVESTORS_LIST[[#This Row],[SIP_AVERAGE COST]])</f>
        <v>0</v>
      </c>
      <c r="R666" s="48">
        <f>IF(INVESTORS_LIST[[#This Row],[SIP_TOTAL UNITS SOLD]]=0,0,SUMIFS(SIP[Realized Gain],SIP[Investor ID],INVESTORS_LIST[[#This Row],[INVESTOR CODE]],SIP[B/S],"S"))</f>
        <v>0</v>
      </c>
      <c r="S666" s="50">
        <f>INVESTORS_LIST[[#This Row],[LS_TOTAL UNITS BUY]]+INVESTORS_LIST[[#This Row],[SIP_TOTAL UNITS BUY]]</f>
        <v>22099</v>
      </c>
      <c r="T666" s="50">
        <f>INVESTORS_LIST[[#This Row],[LS_TOTAL UNITS SOLD]]+INVESTORS_LIST[[#This Row],[SIP_TOTAL UNITS SOLD]]</f>
        <v>0</v>
      </c>
      <c r="U666" s="50"/>
      <c r="V666" s="50">
        <f>SUMIFS(LS[BO UNIT TRANSFER],LS[Investor ID],INVESTORS_LIST[[#This Row],[INVESTOR CODE]],LS[B/S],"B")</f>
        <v>0</v>
      </c>
      <c r="W666" s="50">
        <f>SUMIFS(SIP[BO UNIT TRANSFER],SIP[Investor ID],INVESTORS_LIST[[#This Row],[INVESTOR CODE]],SIP[B/S],"B")</f>
        <v>0</v>
      </c>
      <c r="X666" s="50">
        <f>SUMIFS(LS[BO UNIT TRANSFER],LS[Investor ID],INVESTORS_LIST[[#This Row],[INVESTOR CODE]],LS[B/S],"S")</f>
        <v>0</v>
      </c>
      <c r="Y666" s="50">
        <f>SUMIFS(SIP[BO UNIT TRANSFER],SIP[Investor ID],INVESTORS_LIST[[#This Row],[INVESTOR CODE]],SIP[B/S],"S")</f>
        <v>0</v>
      </c>
      <c r="Z666" s="106">
        <f>SUM(INVESTORS_LIST[[#This Row],[BO OPENING BALANCE]:[BO SIP UNITS REPURCHASE]])</f>
        <v>0</v>
      </c>
      <c r="AA666" s="107">
        <f>INVESTORS_LIST[[#This Row],[TOTAL UNITS BUY]]-INVESTORS_LIST[[#This Row],[TOTAL UNITS SOLD]]</f>
        <v>22099</v>
      </c>
      <c r="AB666" s="107">
        <f>INVESTORS_LIST[[#This Row],[TOTAL CURRENT UNITS]]-INVESTORS_LIST[[#This Row],[BO UNITS HOLD]]</f>
        <v>22099</v>
      </c>
      <c r="AC666" s="201" t="e">
        <f>INDEX([3]!Table_1[BO ID],MATCH(INVESTORS_LIST[[#This Row],[INVESTOR CODE]],[3]!Table_1[INVESTOR CODE],0))</f>
        <v>#REF!</v>
      </c>
      <c r="AD666" s="201" t="e">
        <f>INDEX([3]!Table_1[Brokerage Name2],MATCH(INVESTORS_LIST[[#This Row],[INVESTOR CODE]],[3]!Table_1[INVESTOR CODE],0))</f>
        <v>#REF!</v>
      </c>
      <c r="AE666" s="201" t="e">
        <f>MID(INVESTORS_LIST[[#This Row],[BO ID]],4,5)</f>
        <v>#REF!</v>
      </c>
      <c r="AF666" s="201" t="e">
        <f>MID(INVESTORS_LIST[[#This Row],[BO ID]],2,7)</f>
        <v>#REF!</v>
      </c>
      <c r="AG666" s="201" t="e">
        <f>MID(INVESTORS_LIST[[#This Row],[BO ID]],9,7)</f>
        <v>#REF!</v>
      </c>
      <c r="AH666" s="201" t="e">
        <f>RIGHT(INVESTORS_LIST[[#This Row],[BO ID]],1)</f>
        <v>#REF!</v>
      </c>
      <c r="AI666" s="50">
        <f>INVESTORS_LIST[[#This Row],[LS_TOTAL COST VALUE OF CURRENT UNITS]]+INVESTORS_LIST[[#This Row],[SIP_TOTAL COST VALUE OF CURRENT UNITS]]</f>
        <v>300000</v>
      </c>
      <c r="AJ666" s="109">
        <f>IF(INVESTORS_LIST[[#This Row],[TOTAL CURRENT UNITS]]=0,0,INVESTORS_LIST[[#This Row],[LS_TOTAL CURRENT UNITS]]/INVESTORS_LIST[[#This Row],[TOTAL CURRENT UNITS]])</f>
        <v>1</v>
      </c>
      <c r="AK666" s="109">
        <f>IF(INVESTORS_LIST[[#This Row],[TOTAL CURRENT UNITS]]=0,0,INVESTORS_LIST[[#This Row],[SIP_TOTAL CURRENT UNITS]]/INVESTORS_LIST[[#This Row],[TOTAL CURRENT UNITS]])</f>
        <v>0</v>
      </c>
      <c r="AL666" s="99" cm="1">
        <f t="array" ref="AL666">IF(INVESTORS_LIST[[#This Row],[LS_TOTAL UNITS BUY]]&gt;0,INDEX(LS[NAV at Cost (Average)],MATCH(CONCATENATE(COUNTIFS(LS[Investor ID],INVESTORS_LIST[[#This Row],[INVESTOR CODE]]),INVESTORS_LIST[[#This Row],[INVESTOR CODE]]),LS[Unique Code],0),),0)</f>
        <v>13.57527489931671</v>
      </c>
      <c r="AM666" s="99" cm="1">
        <f t="array" ref="AM6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6" s="105">
        <f>IF(INVESTORS_LIST[[#This Row],[TOTAL CURRENT UNITS]]=0,0,(INVESTORS_LIST[[#This Row],[LS_WEIGHT]]*INVESTORS_LIST[[#This Row],[LS_AVERAGE COST]])+(INVESTORS_LIST[[#This Row],[SIP_WEIGHT]]*INVESTORS_LIST[[#This Row],[SIP_AVERAGE COST]]))</f>
        <v>13.57527489931671</v>
      </c>
      <c r="AO666" s="105">
        <f t="shared" si="11"/>
        <v>14.224</v>
      </c>
      <c r="AP666" s="112">
        <f>IF(INVESTORS_LIST[[#This Row],[TOTAL CURRENT UNITS]]=0,0,INVESTORS_LIST[[#This Row],[TOTAL CURRENT UNITS]]*INVESTORS_LIST[[#This Row],[NAV]])</f>
        <v>314336.17599999998</v>
      </c>
      <c r="AQ666" s="102">
        <f>IF(INVESTORS_LIST[[#This Row],[LS_TOTAL CURRENT UNITS]]=0,0,INVESTORS_LIST[[#This Row],[LS_TOTAL CURRENT UNITS]]*INVESTORS_LIST[[#This Row],[NAV]])</f>
        <v>314336.17599999998</v>
      </c>
      <c r="AR666" s="48">
        <f>IF(INVESTORS_LIST[[#This Row],[SIP_TOTAL CURRENT UNITS]]=0,0,INVESTORS_LIST[[#This Row],[SIP_TOTAL CURRENT UNITS]]*INVESTORS_LIST[[#This Row],[NAV]])</f>
        <v>0</v>
      </c>
      <c r="AS666" s="50">
        <f>INVESTORS_LIST[[#This Row],[TOTAL CURRENT UNITS]]</f>
        <v>22099</v>
      </c>
      <c r="AT666" s="48">
        <f>IF(INVESTORS_LIST[[#This Row],[TOTAL SELLABLE UNITS]]=0,0,INVESTORS_LIST[[#This Row],[TOTAL SELLABLE UNITS]]*INVESTORS_LIST[[#This Row],[NAV]])</f>
        <v>314336.17599999998</v>
      </c>
      <c r="AU666" s="48">
        <f>INVESTORS_LIST[[#This Row],[LS_TOTAL REALIZED GAIN]]+INVESTORS_LIST[[#This Row],[SIP_TOTAL REALIZED GAIN]]</f>
        <v>0</v>
      </c>
      <c r="AV666" s="48">
        <f>INVESTORS_LIST[[#This Row],[TOTAL MARKET VALUE]]-INVESTORS_LIST[[#This Row],[TOTAL COST VALUE OF CURRENT INVESTMENT]]</f>
        <v>14336.175999999978</v>
      </c>
      <c r="AW666" s="48">
        <f>IFERROR(INVESTORS_LIST[[#This Row],[TOTAL CURRENT UNITS]]/SUM(INVESTORS_LIST[TOTAL CURRENT UNITS]),0)</f>
        <v>5.3647991829599466E-4</v>
      </c>
    </row>
    <row r="667" spans="1:49" hidden="1">
      <c r="A667" s="262" t="s">
        <v>1449</v>
      </c>
      <c r="B667" s="97" t="s">
        <v>1450</v>
      </c>
      <c r="C667" t="s">
        <v>44</v>
      </c>
      <c r="D667" s="75" t="s">
        <v>45</v>
      </c>
      <c r="E667" s="50">
        <f>SUMIFS(LS[Unit],LS[Investor ID],INVESTORS_LIST[[#This Row],[INVESTOR CODE]],LS[B/S],"B")</f>
        <v>0</v>
      </c>
      <c r="F667" s="50">
        <f>-SUMIFS(LS[Unit],LS[Investor ID],INVESTORS_LIST[[#This Row],[INVESTOR CODE]],LS[B/S],"S")</f>
        <v>0</v>
      </c>
      <c r="G667" s="50">
        <f>IF(INVESTORS_LIST[[#This Row],[LS_TOTAL UNITS BUY]]=0,0,INVESTORS_LIST[[#This Row],[LS_TOTAL UNITS BUY]]-INVESTORS_LIST[[#This Row],[LS_TOTAL UNITS SOLD]])</f>
        <v>0</v>
      </c>
      <c r="H667" s="102">
        <f>IF(INVESTORS_LIST[[#This Row],[LS_TOTAL UNITS BUY]]=0,0,SUMIFS(LS[Amount],LS[Investor ID],INVESTORS_LIST[[#This Row],[INVESTOR CODE]],LS[B/S],"B"))</f>
        <v>0</v>
      </c>
      <c r="I667" s="48">
        <f>IF(INVESTORS_LIST[[#This Row],[LS_TOTAL UNITS SOLD]]=0,0,SUMIFS(LS[Cost of Units Sold],LS[Investor ID],INVESTORS_LIST[[#This Row],[INVESTOR CODE]],LS[B/S],"S"))</f>
        <v>0</v>
      </c>
      <c r="J667" s="48">
        <f>IF(INVESTORS_LIST[[#This Row],[LS_TOTAL CURRENT UNITS]]=0,0,INVESTORS_LIST[[#This Row],[LS_TOTAL CURRENT UNITS]]*INVESTORS_LIST[[#This Row],[LS_AVERAGE COST]])</f>
        <v>0</v>
      </c>
      <c r="K667" s="48">
        <f>IF(INVESTORS_LIST[[#This Row],[LS_TOTAL UNITS SOLD]]=0,0,SUMIFS(LS[Realized Gain],LS[Investor ID],INVESTORS_LIST[[#This Row],[INVESTOR CODE]],LS[B/S],"S"))</f>
        <v>0</v>
      </c>
      <c r="L667" s="104">
        <f>SUMIFS(SIP[Unit],SIP[Investor ID],INVESTORS_LIST[[#This Row],[INVESTOR CODE]],SIP[B/S],"B")</f>
        <v>0</v>
      </c>
      <c r="M667" s="50">
        <f>-SUMIFS(SIP[Unit],SIP[Investor ID],INVESTORS_LIST[[#This Row],[INVESTOR CODE]],SIP[B/S],"S")</f>
        <v>0</v>
      </c>
      <c r="N667" s="50">
        <f>IF(INVESTORS_LIST[[#This Row],[SIP_TOTAL UNITS BUY]]=0,0,INVESTORS_LIST[[#This Row],[SIP_TOTAL UNITS BUY]]-INVESTORS_LIST[[#This Row],[SIP_TOTAL UNITS SOLD]])</f>
        <v>0</v>
      </c>
      <c r="O667" s="48">
        <f>IF(INVESTORS_LIST[[#This Row],[SIP_TOTAL UNITS BUY]]=0,0,SUMIFS(SIP[Amount],SIP[Investor ID],INVESTORS_LIST[[#This Row],[INVESTOR CODE]],SIP[B/S],"B"))</f>
        <v>0</v>
      </c>
      <c r="P667" s="48">
        <f>IF(INVESTORS_LIST[[#This Row],[SIP_TOTAL UNITS SOLD]]=0,0,SUMIFS(SIP[Cost of Units Sold],SIP[Investor ID],INVESTORS_LIST[[#This Row],[INVESTOR CODE]],SIP[B/S],"S"))</f>
        <v>0</v>
      </c>
      <c r="Q667" s="48">
        <f>IF(INVESTORS_LIST[[#This Row],[SIP_TOTAL CURRENT UNITS]]=0,0,INVESTORS_LIST[[#This Row],[SIP_TOTAL CURRENT UNITS]]*INVESTORS_LIST[[#This Row],[SIP_AVERAGE COST]])</f>
        <v>0</v>
      </c>
      <c r="R667" s="48">
        <f>IF(INVESTORS_LIST[[#This Row],[SIP_TOTAL UNITS SOLD]]=0,0,SUMIFS(SIP[Realized Gain],SIP[Investor ID],INVESTORS_LIST[[#This Row],[INVESTOR CODE]],SIP[B/S],"S"))</f>
        <v>0</v>
      </c>
      <c r="S667" s="50">
        <f>INVESTORS_LIST[[#This Row],[LS_TOTAL UNITS BUY]]+INVESTORS_LIST[[#This Row],[SIP_TOTAL UNITS BUY]]</f>
        <v>0</v>
      </c>
      <c r="T667" s="50">
        <f>INVESTORS_LIST[[#This Row],[LS_TOTAL UNITS SOLD]]+INVESTORS_LIST[[#This Row],[SIP_TOTAL UNITS SOLD]]</f>
        <v>0</v>
      </c>
      <c r="U667" s="50"/>
      <c r="V667" s="50">
        <f>SUMIFS(LS[BO UNIT TRANSFER],LS[Investor ID],INVESTORS_LIST[[#This Row],[INVESTOR CODE]],LS[B/S],"B")</f>
        <v>0</v>
      </c>
      <c r="W667" s="50">
        <f>SUMIFS(SIP[BO UNIT TRANSFER],SIP[Investor ID],INVESTORS_LIST[[#This Row],[INVESTOR CODE]],SIP[B/S],"B")</f>
        <v>0</v>
      </c>
      <c r="X667" s="50">
        <f>SUMIFS(LS[BO UNIT TRANSFER],LS[Investor ID],INVESTORS_LIST[[#This Row],[INVESTOR CODE]],LS[B/S],"S")</f>
        <v>0</v>
      </c>
      <c r="Y667" s="50">
        <f>SUMIFS(SIP[BO UNIT TRANSFER],SIP[Investor ID],INVESTORS_LIST[[#This Row],[INVESTOR CODE]],SIP[B/S],"S")</f>
        <v>0</v>
      </c>
      <c r="Z667" s="106">
        <f>SUM(INVESTORS_LIST[[#This Row],[BO OPENING BALANCE]:[BO SIP UNITS REPURCHASE]])</f>
        <v>0</v>
      </c>
      <c r="AA667" s="107">
        <f>INVESTORS_LIST[[#This Row],[TOTAL UNITS BUY]]-INVESTORS_LIST[[#This Row],[TOTAL UNITS SOLD]]</f>
        <v>0</v>
      </c>
      <c r="AB667" s="107">
        <f>INVESTORS_LIST[[#This Row],[TOTAL CURRENT UNITS]]-INVESTORS_LIST[[#This Row],[BO UNITS HOLD]]</f>
        <v>0</v>
      </c>
      <c r="AC667" s="201" t="e">
        <f>INDEX([3]!Table_1[BO ID],MATCH(INVESTORS_LIST[[#This Row],[INVESTOR CODE]],[3]!Table_1[INVESTOR CODE],0))</f>
        <v>#REF!</v>
      </c>
      <c r="AD667" s="201" t="e">
        <f>INDEX([3]!Table_1[Brokerage Name2],MATCH(INVESTORS_LIST[[#This Row],[INVESTOR CODE]],[3]!Table_1[INVESTOR CODE],0))</f>
        <v>#REF!</v>
      </c>
      <c r="AE667" s="201" t="e">
        <f>MID(INVESTORS_LIST[[#This Row],[BO ID]],4,5)</f>
        <v>#REF!</v>
      </c>
      <c r="AF667" s="201" t="e">
        <f>MID(INVESTORS_LIST[[#This Row],[BO ID]],2,7)</f>
        <v>#REF!</v>
      </c>
      <c r="AG667" s="201" t="e">
        <f>MID(INVESTORS_LIST[[#This Row],[BO ID]],9,7)</f>
        <v>#REF!</v>
      </c>
      <c r="AH667" s="201" t="e">
        <f>RIGHT(INVESTORS_LIST[[#This Row],[BO ID]],1)</f>
        <v>#REF!</v>
      </c>
      <c r="AI667" s="50">
        <f>INVESTORS_LIST[[#This Row],[LS_TOTAL COST VALUE OF CURRENT UNITS]]+INVESTORS_LIST[[#This Row],[SIP_TOTAL COST VALUE OF CURRENT UNITS]]</f>
        <v>0</v>
      </c>
      <c r="AJ667" s="109">
        <f>IF(INVESTORS_LIST[[#This Row],[TOTAL CURRENT UNITS]]=0,0,INVESTORS_LIST[[#This Row],[LS_TOTAL CURRENT UNITS]]/INVESTORS_LIST[[#This Row],[TOTAL CURRENT UNITS]])</f>
        <v>0</v>
      </c>
      <c r="AK667" s="109">
        <f>IF(INVESTORS_LIST[[#This Row],[TOTAL CURRENT UNITS]]=0,0,INVESTORS_LIST[[#This Row],[SIP_TOTAL CURRENT UNITS]]/INVESTORS_LIST[[#This Row],[TOTAL CURRENT UNITS]])</f>
        <v>0</v>
      </c>
      <c r="AL667" s="99" cm="1">
        <f t="array" ref="AL6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7" s="99" cm="1">
        <f t="array" ref="AM6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67" s="105">
        <f t="shared" si="11"/>
        <v>14.224</v>
      </c>
      <c r="AP667" s="112">
        <f>IF(INVESTORS_LIST[[#This Row],[TOTAL CURRENT UNITS]]=0,0,INVESTORS_LIST[[#This Row],[TOTAL CURRENT UNITS]]*INVESTORS_LIST[[#This Row],[NAV]])</f>
        <v>0</v>
      </c>
      <c r="AQ667" s="102">
        <f>IF(INVESTORS_LIST[[#This Row],[LS_TOTAL CURRENT UNITS]]=0,0,INVESTORS_LIST[[#This Row],[LS_TOTAL CURRENT UNITS]]*INVESTORS_LIST[[#This Row],[NAV]])</f>
        <v>0</v>
      </c>
      <c r="AR667" s="48">
        <f>IF(INVESTORS_LIST[[#This Row],[SIP_TOTAL CURRENT UNITS]]=0,0,INVESTORS_LIST[[#This Row],[SIP_TOTAL CURRENT UNITS]]*INVESTORS_LIST[[#This Row],[NAV]])</f>
        <v>0</v>
      </c>
      <c r="AS667" s="50">
        <f>INVESTORS_LIST[[#This Row],[TOTAL CURRENT UNITS]]</f>
        <v>0</v>
      </c>
      <c r="AT667" s="48">
        <f>IF(INVESTORS_LIST[[#This Row],[TOTAL SELLABLE UNITS]]=0,0,INVESTORS_LIST[[#This Row],[TOTAL SELLABLE UNITS]]*INVESTORS_LIST[[#This Row],[NAV]])</f>
        <v>0</v>
      </c>
      <c r="AU667" s="48">
        <f>INVESTORS_LIST[[#This Row],[LS_TOTAL REALIZED GAIN]]+INVESTORS_LIST[[#This Row],[SIP_TOTAL REALIZED GAIN]]</f>
        <v>0</v>
      </c>
      <c r="AV667" s="48">
        <f>INVESTORS_LIST[[#This Row],[TOTAL MARKET VALUE]]-INVESTORS_LIST[[#This Row],[TOTAL COST VALUE OF CURRENT INVESTMENT]]</f>
        <v>0</v>
      </c>
      <c r="AW667" s="48">
        <f>IFERROR(INVESTORS_LIST[[#This Row],[TOTAL CURRENT UNITS]]/SUM(INVESTORS_LIST[TOTAL CURRENT UNITS]),0)</f>
        <v>0</v>
      </c>
    </row>
    <row r="668" spans="1:49" hidden="1">
      <c r="A668" s="262" t="s">
        <v>1451</v>
      </c>
      <c r="B668" s="97" t="s">
        <v>1452</v>
      </c>
      <c r="C668" t="s">
        <v>44</v>
      </c>
      <c r="D668" s="75" t="s">
        <v>45</v>
      </c>
      <c r="E668" s="50">
        <f>SUMIFS(LS[Unit],LS[Investor ID],INVESTORS_LIST[[#This Row],[INVESTOR CODE]],LS[B/S],"B")</f>
        <v>0</v>
      </c>
      <c r="F668" s="50">
        <f>-SUMIFS(LS[Unit],LS[Investor ID],INVESTORS_LIST[[#This Row],[INVESTOR CODE]],LS[B/S],"S")</f>
        <v>0</v>
      </c>
      <c r="G668" s="50">
        <f>IF(INVESTORS_LIST[[#This Row],[LS_TOTAL UNITS BUY]]=0,0,INVESTORS_LIST[[#This Row],[LS_TOTAL UNITS BUY]]-INVESTORS_LIST[[#This Row],[LS_TOTAL UNITS SOLD]])</f>
        <v>0</v>
      </c>
      <c r="H668" s="102">
        <f>IF(INVESTORS_LIST[[#This Row],[LS_TOTAL UNITS BUY]]=0,0,SUMIFS(LS[Amount],LS[Investor ID],INVESTORS_LIST[[#This Row],[INVESTOR CODE]],LS[B/S],"B"))</f>
        <v>0</v>
      </c>
      <c r="I668" s="48">
        <f>IF(INVESTORS_LIST[[#This Row],[LS_TOTAL UNITS SOLD]]=0,0,SUMIFS(LS[Cost of Units Sold],LS[Investor ID],INVESTORS_LIST[[#This Row],[INVESTOR CODE]],LS[B/S],"S"))</f>
        <v>0</v>
      </c>
      <c r="J668" s="48">
        <f>IF(INVESTORS_LIST[[#This Row],[LS_TOTAL CURRENT UNITS]]=0,0,INVESTORS_LIST[[#This Row],[LS_TOTAL CURRENT UNITS]]*INVESTORS_LIST[[#This Row],[LS_AVERAGE COST]])</f>
        <v>0</v>
      </c>
      <c r="K668" s="48">
        <f>IF(INVESTORS_LIST[[#This Row],[LS_TOTAL UNITS SOLD]]=0,0,SUMIFS(LS[Realized Gain],LS[Investor ID],INVESTORS_LIST[[#This Row],[INVESTOR CODE]],LS[B/S],"S"))</f>
        <v>0</v>
      </c>
      <c r="L668" s="104">
        <f>SUMIFS(SIP[Unit],SIP[Investor ID],INVESTORS_LIST[[#This Row],[INVESTOR CODE]],SIP[B/S],"B")</f>
        <v>0</v>
      </c>
      <c r="M668" s="50">
        <f>-SUMIFS(SIP[Unit],SIP[Investor ID],INVESTORS_LIST[[#This Row],[INVESTOR CODE]],SIP[B/S],"S")</f>
        <v>0</v>
      </c>
      <c r="N668" s="50">
        <f>IF(INVESTORS_LIST[[#This Row],[SIP_TOTAL UNITS BUY]]=0,0,INVESTORS_LIST[[#This Row],[SIP_TOTAL UNITS BUY]]-INVESTORS_LIST[[#This Row],[SIP_TOTAL UNITS SOLD]])</f>
        <v>0</v>
      </c>
      <c r="O668" s="48">
        <f>IF(INVESTORS_LIST[[#This Row],[SIP_TOTAL UNITS BUY]]=0,0,SUMIFS(SIP[Amount],SIP[Investor ID],INVESTORS_LIST[[#This Row],[INVESTOR CODE]],SIP[B/S],"B"))</f>
        <v>0</v>
      </c>
      <c r="P668" s="48">
        <f>IF(INVESTORS_LIST[[#This Row],[SIP_TOTAL UNITS SOLD]]=0,0,SUMIFS(SIP[Cost of Units Sold],SIP[Investor ID],INVESTORS_LIST[[#This Row],[INVESTOR CODE]],SIP[B/S],"S"))</f>
        <v>0</v>
      </c>
      <c r="Q668" s="48">
        <f>IF(INVESTORS_LIST[[#This Row],[SIP_TOTAL CURRENT UNITS]]=0,0,INVESTORS_LIST[[#This Row],[SIP_TOTAL CURRENT UNITS]]*INVESTORS_LIST[[#This Row],[SIP_AVERAGE COST]])</f>
        <v>0</v>
      </c>
      <c r="R668" s="48">
        <f>IF(INVESTORS_LIST[[#This Row],[SIP_TOTAL UNITS SOLD]]=0,0,SUMIFS(SIP[Realized Gain],SIP[Investor ID],INVESTORS_LIST[[#This Row],[INVESTOR CODE]],SIP[B/S],"S"))</f>
        <v>0</v>
      </c>
      <c r="S668" s="50">
        <f>INVESTORS_LIST[[#This Row],[LS_TOTAL UNITS BUY]]+INVESTORS_LIST[[#This Row],[SIP_TOTAL UNITS BUY]]</f>
        <v>0</v>
      </c>
      <c r="T668" s="50">
        <f>INVESTORS_LIST[[#This Row],[LS_TOTAL UNITS SOLD]]+INVESTORS_LIST[[#This Row],[SIP_TOTAL UNITS SOLD]]</f>
        <v>0</v>
      </c>
      <c r="U668" s="50"/>
      <c r="V668" s="50">
        <f>SUMIFS(LS[BO UNIT TRANSFER],LS[Investor ID],INVESTORS_LIST[[#This Row],[INVESTOR CODE]],LS[B/S],"B")</f>
        <v>0</v>
      </c>
      <c r="W668" s="50">
        <f>SUMIFS(SIP[BO UNIT TRANSFER],SIP[Investor ID],INVESTORS_LIST[[#This Row],[INVESTOR CODE]],SIP[B/S],"B")</f>
        <v>0</v>
      </c>
      <c r="X668" s="50">
        <f>SUMIFS(LS[BO UNIT TRANSFER],LS[Investor ID],INVESTORS_LIST[[#This Row],[INVESTOR CODE]],LS[B/S],"S")</f>
        <v>0</v>
      </c>
      <c r="Y668" s="50">
        <f>SUMIFS(SIP[BO UNIT TRANSFER],SIP[Investor ID],INVESTORS_LIST[[#This Row],[INVESTOR CODE]],SIP[B/S],"S")</f>
        <v>0</v>
      </c>
      <c r="Z668" s="106">
        <f>SUM(INVESTORS_LIST[[#This Row],[BO OPENING BALANCE]:[BO SIP UNITS REPURCHASE]])</f>
        <v>0</v>
      </c>
      <c r="AA668" s="107">
        <f>INVESTORS_LIST[[#This Row],[TOTAL UNITS BUY]]-INVESTORS_LIST[[#This Row],[TOTAL UNITS SOLD]]</f>
        <v>0</v>
      </c>
      <c r="AB668" s="107">
        <f>INVESTORS_LIST[[#This Row],[TOTAL CURRENT UNITS]]-INVESTORS_LIST[[#This Row],[BO UNITS HOLD]]</f>
        <v>0</v>
      </c>
      <c r="AC668" s="201" t="e">
        <f>INDEX([3]!Table_1[BO ID],MATCH(INVESTORS_LIST[[#This Row],[INVESTOR CODE]],[3]!Table_1[INVESTOR CODE],0))</f>
        <v>#REF!</v>
      </c>
      <c r="AD668" s="201" t="e">
        <f>INDEX([3]!Table_1[Brokerage Name2],MATCH(INVESTORS_LIST[[#This Row],[INVESTOR CODE]],[3]!Table_1[INVESTOR CODE],0))</f>
        <v>#REF!</v>
      </c>
      <c r="AE668" s="201" t="e">
        <f>MID(INVESTORS_LIST[[#This Row],[BO ID]],4,5)</f>
        <v>#REF!</v>
      </c>
      <c r="AF668" s="201" t="e">
        <f>MID(INVESTORS_LIST[[#This Row],[BO ID]],2,7)</f>
        <v>#REF!</v>
      </c>
      <c r="AG668" s="201" t="e">
        <f>MID(INVESTORS_LIST[[#This Row],[BO ID]],9,7)</f>
        <v>#REF!</v>
      </c>
      <c r="AH668" s="201" t="e">
        <f>RIGHT(INVESTORS_LIST[[#This Row],[BO ID]],1)</f>
        <v>#REF!</v>
      </c>
      <c r="AI668" s="50">
        <f>INVESTORS_LIST[[#This Row],[LS_TOTAL COST VALUE OF CURRENT UNITS]]+INVESTORS_LIST[[#This Row],[SIP_TOTAL COST VALUE OF CURRENT UNITS]]</f>
        <v>0</v>
      </c>
      <c r="AJ668" s="109">
        <f>IF(INVESTORS_LIST[[#This Row],[TOTAL CURRENT UNITS]]=0,0,INVESTORS_LIST[[#This Row],[LS_TOTAL CURRENT UNITS]]/INVESTORS_LIST[[#This Row],[TOTAL CURRENT UNITS]])</f>
        <v>0</v>
      </c>
      <c r="AK668" s="109">
        <f>IF(INVESTORS_LIST[[#This Row],[TOTAL CURRENT UNITS]]=0,0,INVESTORS_LIST[[#This Row],[SIP_TOTAL CURRENT UNITS]]/INVESTORS_LIST[[#This Row],[TOTAL CURRENT UNITS]])</f>
        <v>0</v>
      </c>
      <c r="AL668" s="99" cm="1">
        <f t="array" ref="AL6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68" s="99" cm="1">
        <f t="array" ref="AM6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68" s="105">
        <f t="shared" si="11"/>
        <v>14.224</v>
      </c>
      <c r="AP668" s="112">
        <f>IF(INVESTORS_LIST[[#This Row],[TOTAL CURRENT UNITS]]=0,0,INVESTORS_LIST[[#This Row],[TOTAL CURRENT UNITS]]*INVESTORS_LIST[[#This Row],[NAV]])</f>
        <v>0</v>
      </c>
      <c r="AQ668" s="102">
        <f>IF(INVESTORS_LIST[[#This Row],[LS_TOTAL CURRENT UNITS]]=0,0,INVESTORS_LIST[[#This Row],[LS_TOTAL CURRENT UNITS]]*INVESTORS_LIST[[#This Row],[NAV]])</f>
        <v>0</v>
      </c>
      <c r="AR668" s="48">
        <f>IF(INVESTORS_LIST[[#This Row],[SIP_TOTAL CURRENT UNITS]]=0,0,INVESTORS_LIST[[#This Row],[SIP_TOTAL CURRENT UNITS]]*INVESTORS_LIST[[#This Row],[NAV]])</f>
        <v>0</v>
      </c>
      <c r="AS668" s="50">
        <f>INVESTORS_LIST[[#This Row],[TOTAL CURRENT UNITS]]</f>
        <v>0</v>
      </c>
      <c r="AT668" s="48">
        <f>IF(INVESTORS_LIST[[#This Row],[TOTAL SELLABLE UNITS]]=0,0,INVESTORS_LIST[[#This Row],[TOTAL SELLABLE UNITS]]*INVESTORS_LIST[[#This Row],[NAV]])</f>
        <v>0</v>
      </c>
      <c r="AU668" s="48">
        <f>INVESTORS_LIST[[#This Row],[LS_TOTAL REALIZED GAIN]]+INVESTORS_LIST[[#This Row],[SIP_TOTAL REALIZED GAIN]]</f>
        <v>0</v>
      </c>
      <c r="AV668" s="48">
        <f>INVESTORS_LIST[[#This Row],[TOTAL MARKET VALUE]]-INVESTORS_LIST[[#This Row],[TOTAL COST VALUE OF CURRENT INVESTMENT]]</f>
        <v>0</v>
      </c>
      <c r="AW668" s="48">
        <f>IFERROR(INVESTORS_LIST[[#This Row],[TOTAL CURRENT UNITS]]/SUM(INVESTORS_LIST[TOTAL CURRENT UNITS]),0)</f>
        <v>0</v>
      </c>
    </row>
    <row r="669" spans="1:49">
      <c r="A669" s="262" t="s">
        <v>1453</v>
      </c>
      <c r="B669" s="127" t="s">
        <v>1531</v>
      </c>
      <c r="C669" t="s">
        <v>44</v>
      </c>
      <c r="D669" s="75" t="s">
        <v>45</v>
      </c>
      <c r="E669" s="50">
        <f>SUMIFS(LS[Unit],LS[Investor ID],INVESTORS_LIST[[#This Row],[INVESTOR CODE]],LS[B/S],"B")</f>
        <v>1830</v>
      </c>
      <c r="F669" s="50">
        <f>-SUMIFS(LS[Unit],LS[Investor ID],INVESTORS_LIST[[#This Row],[INVESTOR CODE]],LS[B/S],"S")</f>
        <v>0</v>
      </c>
      <c r="G669" s="50">
        <f>IF(INVESTORS_LIST[[#This Row],[LS_TOTAL UNITS BUY]]=0,0,INVESTORS_LIST[[#This Row],[LS_TOTAL UNITS BUY]]-INVESTORS_LIST[[#This Row],[LS_TOTAL UNITS SOLD]])</f>
        <v>1830</v>
      </c>
      <c r="H669" s="102">
        <f>IF(INVESTORS_LIST[[#This Row],[LS_TOTAL UNITS BUY]]=0,0,SUMIFS(LS[Amount],LS[Investor ID],INVESTORS_LIST[[#This Row],[INVESTOR CODE]],LS[B/S],"B"))</f>
        <v>25000</v>
      </c>
      <c r="I669" s="48">
        <f>IF(INVESTORS_LIST[[#This Row],[LS_TOTAL UNITS SOLD]]=0,0,SUMIFS(LS[Cost of Units Sold],LS[Investor ID],INVESTORS_LIST[[#This Row],[INVESTOR CODE]],LS[B/S],"S"))</f>
        <v>0</v>
      </c>
      <c r="J669" s="48">
        <f>IF(INVESTORS_LIST[[#This Row],[LS_TOTAL CURRENT UNITS]]=0,0,INVESTORS_LIST[[#This Row],[LS_TOTAL CURRENT UNITS]]*INVESTORS_LIST[[#This Row],[LS_AVERAGE COST]])</f>
        <v>25000</v>
      </c>
      <c r="K669" s="48">
        <f>IF(INVESTORS_LIST[[#This Row],[LS_TOTAL UNITS SOLD]]=0,0,SUMIFS(LS[Realized Gain],LS[Investor ID],INVESTORS_LIST[[#This Row],[INVESTOR CODE]],LS[B/S],"S"))</f>
        <v>0</v>
      </c>
      <c r="L669" s="104">
        <f>SUMIFS(SIP[Unit],SIP[Investor ID],INVESTORS_LIST[[#This Row],[INVESTOR CODE]],SIP[B/S],"B")</f>
        <v>0</v>
      </c>
      <c r="M669" s="50">
        <f>-SUMIFS(SIP[Unit],SIP[Investor ID],INVESTORS_LIST[[#This Row],[INVESTOR CODE]],SIP[B/S],"S")</f>
        <v>0</v>
      </c>
      <c r="N669" s="50">
        <f>IF(INVESTORS_LIST[[#This Row],[SIP_TOTAL UNITS BUY]]=0,0,INVESTORS_LIST[[#This Row],[SIP_TOTAL UNITS BUY]]-INVESTORS_LIST[[#This Row],[SIP_TOTAL UNITS SOLD]])</f>
        <v>0</v>
      </c>
      <c r="O669" s="48">
        <f>IF(INVESTORS_LIST[[#This Row],[SIP_TOTAL UNITS BUY]]=0,0,SUMIFS(SIP[Amount],SIP[Investor ID],INVESTORS_LIST[[#This Row],[INVESTOR CODE]],SIP[B/S],"B"))</f>
        <v>0</v>
      </c>
      <c r="P669" s="48">
        <f>IF(INVESTORS_LIST[[#This Row],[SIP_TOTAL UNITS SOLD]]=0,0,SUMIFS(SIP[Cost of Units Sold],SIP[Investor ID],INVESTORS_LIST[[#This Row],[INVESTOR CODE]],SIP[B/S],"S"))</f>
        <v>0</v>
      </c>
      <c r="Q669" s="48">
        <f>IF(INVESTORS_LIST[[#This Row],[SIP_TOTAL CURRENT UNITS]]=0,0,INVESTORS_LIST[[#This Row],[SIP_TOTAL CURRENT UNITS]]*INVESTORS_LIST[[#This Row],[SIP_AVERAGE COST]])</f>
        <v>0</v>
      </c>
      <c r="R669" s="48">
        <f>IF(INVESTORS_LIST[[#This Row],[SIP_TOTAL UNITS SOLD]]=0,0,SUMIFS(SIP[Realized Gain],SIP[Investor ID],INVESTORS_LIST[[#This Row],[INVESTOR CODE]],SIP[B/S],"S"))</f>
        <v>0</v>
      </c>
      <c r="S669" s="50">
        <f>INVESTORS_LIST[[#This Row],[LS_TOTAL UNITS BUY]]+INVESTORS_LIST[[#This Row],[SIP_TOTAL UNITS BUY]]</f>
        <v>1830</v>
      </c>
      <c r="T669" s="50">
        <f>INVESTORS_LIST[[#This Row],[LS_TOTAL UNITS SOLD]]+INVESTORS_LIST[[#This Row],[SIP_TOTAL UNITS SOLD]]</f>
        <v>0</v>
      </c>
      <c r="U669" s="50"/>
      <c r="V669" s="50">
        <f>SUMIFS(LS[BO UNIT TRANSFER],LS[Investor ID],INVESTORS_LIST[[#This Row],[INVESTOR CODE]],LS[B/S],"B")</f>
        <v>1830</v>
      </c>
      <c r="W669" s="50">
        <f>SUMIFS(SIP[BO UNIT TRANSFER],SIP[Investor ID],INVESTORS_LIST[[#This Row],[INVESTOR CODE]],SIP[B/S],"B")</f>
        <v>0</v>
      </c>
      <c r="X669" s="50">
        <f>SUMIFS(LS[BO UNIT TRANSFER],LS[Investor ID],INVESTORS_LIST[[#This Row],[INVESTOR CODE]],LS[B/S],"S")</f>
        <v>0</v>
      </c>
      <c r="Y669" s="50">
        <f>SUMIFS(SIP[BO UNIT TRANSFER],SIP[Investor ID],INVESTORS_LIST[[#This Row],[INVESTOR CODE]],SIP[B/S],"S")</f>
        <v>0</v>
      </c>
      <c r="Z669" s="106">
        <f>SUM(INVESTORS_LIST[[#This Row],[BO OPENING BALANCE]:[BO SIP UNITS REPURCHASE]])</f>
        <v>1830</v>
      </c>
      <c r="AA669" s="107">
        <f>INVESTORS_LIST[[#This Row],[TOTAL UNITS BUY]]-INVESTORS_LIST[[#This Row],[TOTAL UNITS SOLD]]</f>
        <v>1830</v>
      </c>
      <c r="AB669" s="107">
        <f>INVESTORS_LIST[[#This Row],[TOTAL CURRENT UNITS]]-INVESTORS_LIST[[#This Row],[BO UNITS HOLD]]</f>
        <v>0</v>
      </c>
      <c r="AC669" s="201" t="e">
        <f>INDEX([3]!Table_1[BO ID],MATCH(INVESTORS_LIST[[#This Row],[INVESTOR CODE]],[3]!Table_1[INVESTOR CODE],0))</f>
        <v>#REF!</v>
      </c>
      <c r="AD669" s="201" t="e">
        <f>INDEX([3]!Table_1[Brokerage Name2],MATCH(INVESTORS_LIST[[#This Row],[INVESTOR CODE]],[3]!Table_1[INVESTOR CODE],0))</f>
        <v>#REF!</v>
      </c>
      <c r="AE669" s="201" t="e">
        <f>MID(INVESTORS_LIST[[#This Row],[BO ID]],4,5)</f>
        <v>#REF!</v>
      </c>
      <c r="AF669" s="201" t="e">
        <f>MID(INVESTORS_LIST[[#This Row],[BO ID]],2,7)</f>
        <v>#REF!</v>
      </c>
      <c r="AG669" s="201" t="e">
        <f>MID(INVESTORS_LIST[[#This Row],[BO ID]],9,7)</f>
        <v>#REF!</v>
      </c>
      <c r="AH669" s="201" t="e">
        <f>RIGHT(INVESTORS_LIST[[#This Row],[BO ID]],1)</f>
        <v>#REF!</v>
      </c>
      <c r="AI669" s="50">
        <f>INVESTORS_LIST[[#This Row],[LS_TOTAL COST VALUE OF CURRENT UNITS]]+INVESTORS_LIST[[#This Row],[SIP_TOTAL COST VALUE OF CURRENT UNITS]]</f>
        <v>25000</v>
      </c>
      <c r="AJ669" s="109">
        <f>IF(INVESTORS_LIST[[#This Row],[TOTAL CURRENT UNITS]]=0,0,INVESTORS_LIST[[#This Row],[LS_TOTAL CURRENT UNITS]]/INVESTORS_LIST[[#This Row],[TOTAL CURRENT UNITS]])</f>
        <v>1</v>
      </c>
      <c r="AK669" s="109">
        <f>IF(INVESTORS_LIST[[#This Row],[TOTAL CURRENT UNITS]]=0,0,INVESTORS_LIST[[#This Row],[SIP_TOTAL CURRENT UNITS]]/INVESTORS_LIST[[#This Row],[TOTAL CURRENT UNITS]])</f>
        <v>0</v>
      </c>
      <c r="AL669" s="99" cm="1">
        <f t="array" ref="AL669">IF(INVESTORS_LIST[[#This Row],[LS_TOTAL UNITS BUY]]&gt;0,INDEX(LS[NAV at Cost (Average)],MATCH(CONCATENATE(COUNTIFS(LS[Investor ID],INVESTORS_LIST[[#This Row],[INVESTOR CODE]]),INVESTORS_LIST[[#This Row],[INVESTOR CODE]]),LS[Unique Code],0),),0)</f>
        <v>13.66120218579235</v>
      </c>
      <c r="AM669" s="99" cm="1">
        <f t="array" ref="AM6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69" s="105">
        <f>IF(INVESTORS_LIST[[#This Row],[TOTAL CURRENT UNITS]]=0,0,(INVESTORS_LIST[[#This Row],[LS_WEIGHT]]*INVESTORS_LIST[[#This Row],[LS_AVERAGE COST]])+(INVESTORS_LIST[[#This Row],[SIP_WEIGHT]]*INVESTORS_LIST[[#This Row],[SIP_AVERAGE COST]]))</f>
        <v>13.66120218579235</v>
      </c>
      <c r="AO669" s="105">
        <f t="shared" si="11"/>
        <v>14.224</v>
      </c>
      <c r="AP669" s="112">
        <f>IF(INVESTORS_LIST[[#This Row],[TOTAL CURRENT UNITS]]=0,0,INVESTORS_LIST[[#This Row],[TOTAL CURRENT UNITS]]*INVESTORS_LIST[[#This Row],[NAV]])</f>
        <v>26029.920000000002</v>
      </c>
      <c r="AQ669" s="102">
        <f>IF(INVESTORS_LIST[[#This Row],[LS_TOTAL CURRENT UNITS]]=0,0,INVESTORS_LIST[[#This Row],[LS_TOTAL CURRENT UNITS]]*INVESTORS_LIST[[#This Row],[NAV]])</f>
        <v>26029.920000000002</v>
      </c>
      <c r="AR669" s="48">
        <f>IF(INVESTORS_LIST[[#This Row],[SIP_TOTAL CURRENT UNITS]]=0,0,INVESTORS_LIST[[#This Row],[SIP_TOTAL CURRENT UNITS]]*INVESTORS_LIST[[#This Row],[NAV]])</f>
        <v>0</v>
      </c>
      <c r="AS669" s="50">
        <f>INVESTORS_LIST[[#This Row],[TOTAL CURRENT UNITS]]</f>
        <v>1830</v>
      </c>
      <c r="AT669" s="48">
        <f>IF(INVESTORS_LIST[[#This Row],[TOTAL SELLABLE UNITS]]=0,0,INVESTORS_LIST[[#This Row],[TOTAL SELLABLE UNITS]]*INVESTORS_LIST[[#This Row],[NAV]])</f>
        <v>26029.920000000002</v>
      </c>
      <c r="AU669" s="48">
        <f>INVESTORS_LIST[[#This Row],[LS_TOTAL REALIZED GAIN]]+INVESTORS_LIST[[#This Row],[SIP_TOTAL REALIZED GAIN]]</f>
        <v>0</v>
      </c>
      <c r="AV669" s="48">
        <f>INVESTORS_LIST[[#This Row],[TOTAL MARKET VALUE]]-INVESTORS_LIST[[#This Row],[TOTAL COST VALUE OF CURRENT INVESTMENT]]</f>
        <v>1029.9200000000019</v>
      </c>
      <c r="AW669" s="48">
        <f>IFERROR(INVESTORS_LIST[[#This Row],[TOTAL CURRENT UNITS]]/SUM(INVESTORS_LIST[TOTAL CURRENT UNITS]),0)</f>
        <v>4.4425460449869689E-5</v>
      </c>
    </row>
    <row r="670" spans="1:49">
      <c r="A670" s="262" t="s">
        <v>1454</v>
      </c>
      <c r="B670" s="97" t="s">
        <v>1455</v>
      </c>
      <c r="C670" t="s">
        <v>67</v>
      </c>
      <c r="D670" s="75" t="s">
        <v>45</v>
      </c>
      <c r="E670" s="50">
        <f>SUMIFS(LS[Unit],LS[Investor ID],INVESTORS_LIST[[#This Row],[INVESTOR CODE]],LS[B/S],"B")</f>
        <v>6712</v>
      </c>
      <c r="F670" s="50">
        <f>-SUMIFS(LS[Unit],LS[Investor ID],INVESTORS_LIST[[#This Row],[INVESTOR CODE]],LS[B/S],"S")</f>
        <v>0</v>
      </c>
      <c r="G670" s="50">
        <f>IF(INVESTORS_LIST[[#This Row],[LS_TOTAL UNITS BUY]]=0,0,INVESTORS_LIST[[#This Row],[LS_TOTAL UNITS BUY]]-INVESTORS_LIST[[#This Row],[LS_TOTAL UNITS SOLD]])</f>
        <v>6712</v>
      </c>
      <c r="H670" s="102">
        <f>IF(INVESTORS_LIST[[#This Row],[LS_TOTAL UNITS BUY]]=0,0,SUMIFS(LS[Amount],LS[Investor ID],INVESTORS_LIST[[#This Row],[INVESTOR CODE]],LS[B/S],"B"))</f>
        <v>95000</v>
      </c>
      <c r="I670" s="48">
        <f>IF(INVESTORS_LIST[[#This Row],[LS_TOTAL UNITS SOLD]]=0,0,SUMIFS(LS[Cost of Units Sold],LS[Investor ID],INVESTORS_LIST[[#This Row],[INVESTOR CODE]],LS[B/S],"S"))</f>
        <v>0</v>
      </c>
      <c r="J670" s="48">
        <f>IF(INVESTORS_LIST[[#This Row],[LS_TOTAL CURRENT UNITS]]=0,0,INVESTORS_LIST[[#This Row],[LS_TOTAL CURRENT UNITS]]*INVESTORS_LIST[[#This Row],[LS_AVERAGE COST]])</f>
        <v>95000</v>
      </c>
      <c r="K670" s="48">
        <f>IF(INVESTORS_LIST[[#This Row],[LS_TOTAL UNITS SOLD]]=0,0,SUMIFS(LS[Realized Gain],LS[Investor ID],INVESTORS_LIST[[#This Row],[INVESTOR CODE]],LS[B/S],"S"))</f>
        <v>0</v>
      </c>
      <c r="L670" s="104">
        <f>SUMIFS(SIP[Unit],SIP[Investor ID],INVESTORS_LIST[[#This Row],[INVESTOR CODE]],SIP[B/S],"B")</f>
        <v>1077</v>
      </c>
      <c r="M670" s="50">
        <f>-SUMIFS(SIP[Unit],SIP[Investor ID],INVESTORS_LIST[[#This Row],[INVESTOR CODE]],SIP[B/S],"S")</f>
        <v>0</v>
      </c>
      <c r="N670" s="50">
        <f>IF(INVESTORS_LIST[[#This Row],[SIP_TOTAL UNITS BUY]]=0,0,INVESTORS_LIST[[#This Row],[SIP_TOTAL UNITS BUY]]-INVESTORS_LIST[[#This Row],[SIP_TOTAL UNITS SOLD]])</f>
        <v>1077</v>
      </c>
      <c r="O670" s="48">
        <f>IF(INVESTORS_LIST[[#This Row],[SIP_TOTAL UNITS BUY]]=0,0,SUMIFS(SIP[Amount],SIP[Investor ID],INVESTORS_LIST[[#This Row],[INVESTOR CODE]],SIP[B/S],"B"))</f>
        <v>15000</v>
      </c>
      <c r="P670" s="48">
        <f>IF(INVESTORS_LIST[[#This Row],[SIP_TOTAL UNITS SOLD]]=0,0,SUMIFS(SIP[Cost of Units Sold],SIP[Investor ID],INVESTORS_LIST[[#This Row],[INVESTOR CODE]],SIP[B/S],"S"))</f>
        <v>0</v>
      </c>
      <c r="Q670" s="48">
        <f>IF(INVESTORS_LIST[[#This Row],[SIP_TOTAL CURRENT UNITS]]=0,0,INVESTORS_LIST[[#This Row],[SIP_TOTAL CURRENT UNITS]]*INVESTORS_LIST[[#This Row],[SIP_AVERAGE COST]])</f>
        <v>15000.000000000002</v>
      </c>
      <c r="R670" s="48">
        <f>IF(INVESTORS_LIST[[#This Row],[SIP_TOTAL UNITS SOLD]]=0,0,SUMIFS(SIP[Realized Gain],SIP[Investor ID],INVESTORS_LIST[[#This Row],[INVESTOR CODE]],SIP[B/S],"S"))</f>
        <v>0</v>
      </c>
      <c r="S670" s="50">
        <f>INVESTORS_LIST[[#This Row],[LS_TOTAL UNITS BUY]]+INVESTORS_LIST[[#This Row],[SIP_TOTAL UNITS BUY]]</f>
        <v>7789</v>
      </c>
      <c r="T670" s="50">
        <f>INVESTORS_LIST[[#This Row],[LS_TOTAL UNITS SOLD]]+INVESTORS_LIST[[#This Row],[SIP_TOTAL UNITS SOLD]]</f>
        <v>0</v>
      </c>
      <c r="U670" s="50"/>
      <c r="V670" s="50">
        <f>SUMIFS(LS[BO UNIT TRANSFER],LS[Investor ID],INVESTORS_LIST[[#This Row],[INVESTOR CODE]],LS[B/S],"B")</f>
        <v>0</v>
      </c>
      <c r="W670" s="50">
        <f>SUMIFS(SIP[BO UNIT TRANSFER],SIP[Investor ID],INVESTORS_LIST[[#This Row],[INVESTOR CODE]],SIP[B/S],"B")</f>
        <v>0</v>
      </c>
      <c r="X670" s="50">
        <f>SUMIFS(LS[BO UNIT TRANSFER],LS[Investor ID],INVESTORS_LIST[[#This Row],[INVESTOR CODE]],LS[B/S],"S")</f>
        <v>0</v>
      </c>
      <c r="Y670" s="50">
        <f>SUMIFS(SIP[BO UNIT TRANSFER],SIP[Investor ID],INVESTORS_LIST[[#This Row],[INVESTOR CODE]],SIP[B/S],"S")</f>
        <v>0</v>
      </c>
      <c r="Z670" s="106">
        <f>SUM(INVESTORS_LIST[[#This Row],[BO OPENING BALANCE]:[BO SIP UNITS REPURCHASE]])</f>
        <v>0</v>
      </c>
      <c r="AA670" s="107">
        <f>INVESTORS_LIST[[#This Row],[TOTAL UNITS BUY]]-INVESTORS_LIST[[#This Row],[TOTAL UNITS SOLD]]</f>
        <v>7789</v>
      </c>
      <c r="AB670" s="107">
        <f>INVESTORS_LIST[[#This Row],[TOTAL CURRENT UNITS]]-INVESTORS_LIST[[#This Row],[BO UNITS HOLD]]</f>
        <v>7789</v>
      </c>
      <c r="AC670" s="201" t="e">
        <f>INDEX([3]!Table_1[BO ID],MATCH(INVESTORS_LIST[[#This Row],[INVESTOR CODE]],[3]!Table_1[INVESTOR CODE],0))</f>
        <v>#REF!</v>
      </c>
      <c r="AD670" s="201" t="e">
        <f>INDEX([3]!Table_1[Brokerage Name2],MATCH(INVESTORS_LIST[[#This Row],[INVESTOR CODE]],[3]!Table_1[INVESTOR CODE],0))</f>
        <v>#REF!</v>
      </c>
      <c r="AE670" s="201" t="e">
        <f>MID(INVESTORS_LIST[[#This Row],[BO ID]],4,5)</f>
        <v>#REF!</v>
      </c>
      <c r="AF670" s="201" t="e">
        <f>MID(INVESTORS_LIST[[#This Row],[BO ID]],2,7)</f>
        <v>#REF!</v>
      </c>
      <c r="AG670" s="201" t="e">
        <f>MID(INVESTORS_LIST[[#This Row],[BO ID]],9,7)</f>
        <v>#REF!</v>
      </c>
      <c r="AH670" s="201" t="e">
        <f>RIGHT(INVESTORS_LIST[[#This Row],[BO ID]],1)</f>
        <v>#REF!</v>
      </c>
      <c r="AI670" s="50">
        <f>INVESTORS_LIST[[#This Row],[LS_TOTAL COST VALUE OF CURRENT UNITS]]+INVESTORS_LIST[[#This Row],[SIP_TOTAL COST VALUE OF CURRENT UNITS]]</f>
        <v>110000</v>
      </c>
      <c r="AJ670" s="109">
        <f>IF(INVESTORS_LIST[[#This Row],[TOTAL CURRENT UNITS]]=0,0,INVESTORS_LIST[[#This Row],[LS_TOTAL CURRENT UNITS]]/INVESTORS_LIST[[#This Row],[TOTAL CURRENT UNITS]])</f>
        <v>0.86172807805880092</v>
      </c>
      <c r="AK670" s="109">
        <f>IF(INVESTORS_LIST[[#This Row],[TOTAL CURRENT UNITS]]=0,0,INVESTORS_LIST[[#This Row],[SIP_TOTAL CURRENT UNITS]]/INVESTORS_LIST[[#This Row],[TOTAL CURRENT UNITS]])</f>
        <v>0.13827192194119914</v>
      </c>
      <c r="AL670" s="99" cm="1">
        <f t="array" ref="AL670">IF(INVESTORS_LIST[[#This Row],[LS_TOTAL UNITS BUY]]&gt;0,INDEX(LS[NAV at Cost (Average)],MATCH(CONCATENATE(COUNTIFS(LS[Investor ID],INVESTORS_LIST[[#This Row],[INVESTOR CODE]]),INVESTORS_LIST[[#This Row],[INVESTOR CODE]]),LS[Unique Code],0),),0)</f>
        <v>14.153754469606675</v>
      </c>
      <c r="AM670" s="99" cm="1">
        <f t="array" ref="AM670">IF(INVESTORS_LIST[[#This Row],[SIP_TOTAL UNITS BUY]]&gt;0,INDEX(SIP[NAV at Cost (Average)],MATCH(CONCATENATE(COUNTIFS(SIP[Investor ID],INVESTORS_LIST[[#This Row],[INVESTOR CODE]]),INVESTORS_LIST[[#This Row],[INVESTOR CODE]]),SIP[Unique Code],0),),0)</f>
        <v>13.92757660167131</v>
      </c>
      <c r="AN670" s="105">
        <f>IF(INVESTORS_LIST[[#This Row],[TOTAL CURRENT UNITS]]=0,0,(INVESTORS_LIST[[#This Row],[LS_WEIGHT]]*INVESTORS_LIST[[#This Row],[LS_AVERAGE COST]])+(INVESTORS_LIST[[#This Row],[SIP_WEIGHT]]*INVESTORS_LIST[[#This Row],[SIP_AVERAGE COST]]))</f>
        <v>14.12248042110669</v>
      </c>
      <c r="AO670" s="105">
        <f t="shared" si="11"/>
        <v>14.224</v>
      </c>
      <c r="AP670" s="112">
        <f>IF(INVESTORS_LIST[[#This Row],[TOTAL CURRENT UNITS]]=0,0,INVESTORS_LIST[[#This Row],[TOTAL CURRENT UNITS]]*INVESTORS_LIST[[#This Row],[NAV]])</f>
        <v>110790.736</v>
      </c>
      <c r="AQ670" s="102">
        <f>IF(INVESTORS_LIST[[#This Row],[LS_TOTAL CURRENT UNITS]]=0,0,INVESTORS_LIST[[#This Row],[LS_TOTAL CURRENT UNITS]]*INVESTORS_LIST[[#This Row],[NAV]])</f>
        <v>95471.487999999998</v>
      </c>
      <c r="AR670" s="48">
        <f>IF(INVESTORS_LIST[[#This Row],[SIP_TOTAL CURRENT UNITS]]=0,0,INVESTORS_LIST[[#This Row],[SIP_TOTAL CURRENT UNITS]]*INVESTORS_LIST[[#This Row],[NAV]])</f>
        <v>15319.248</v>
      </c>
      <c r="AS670" s="50">
        <f>INVESTORS_LIST[[#This Row],[TOTAL CURRENT UNITS]]</f>
        <v>7789</v>
      </c>
      <c r="AT670" s="48">
        <f>IF(INVESTORS_LIST[[#This Row],[TOTAL SELLABLE UNITS]]=0,0,INVESTORS_LIST[[#This Row],[TOTAL SELLABLE UNITS]]*INVESTORS_LIST[[#This Row],[NAV]])</f>
        <v>110790.736</v>
      </c>
      <c r="AU670" s="48">
        <f>INVESTORS_LIST[[#This Row],[LS_TOTAL REALIZED GAIN]]+INVESTORS_LIST[[#This Row],[SIP_TOTAL REALIZED GAIN]]</f>
        <v>0</v>
      </c>
      <c r="AV670" s="48">
        <f>INVESTORS_LIST[[#This Row],[TOTAL MARKET VALUE]]-INVESTORS_LIST[[#This Row],[TOTAL COST VALUE OF CURRENT INVESTMENT]]</f>
        <v>790.73600000000442</v>
      </c>
      <c r="AW670" s="48">
        <f>IFERROR(INVESTORS_LIST[[#This Row],[TOTAL CURRENT UNITS]]/SUM(INVESTORS_LIST[TOTAL CURRENT UNITS]),0)</f>
        <v>1.8908738330275138E-4</v>
      </c>
    </row>
    <row r="671" spans="1:49" hidden="1">
      <c r="A671" s="262" t="s">
        <v>1456</v>
      </c>
      <c r="B671" s="97" t="s">
        <v>1457</v>
      </c>
      <c r="C671" t="s">
        <v>44</v>
      </c>
      <c r="D671" s="75" t="s">
        <v>45</v>
      </c>
      <c r="E671" s="50">
        <f>SUMIFS(LS[Unit],LS[Investor ID],INVESTORS_LIST[[#This Row],[INVESTOR CODE]],LS[B/S],"B")</f>
        <v>0</v>
      </c>
      <c r="F671" s="50">
        <f>-SUMIFS(LS[Unit],LS[Investor ID],INVESTORS_LIST[[#This Row],[INVESTOR CODE]],LS[B/S],"S")</f>
        <v>0</v>
      </c>
      <c r="G671" s="50">
        <f>IF(INVESTORS_LIST[[#This Row],[LS_TOTAL UNITS BUY]]=0,0,INVESTORS_LIST[[#This Row],[LS_TOTAL UNITS BUY]]-INVESTORS_LIST[[#This Row],[LS_TOTAL UNITS SOLD]])</f>
        <v>0</v>
      </c>
      <c r="H671" s="102">
        <f>IF(INVESTORS_LIST[[#This Row],[LS_TOTAL UNITS BUY]]=0,0,SUMIFS(LS[Amount],LS[Investor ID],INVESTORS_LIST[[#This Row],[INVESTOR CODE]],LS[B/S],"B"))</f>
        <v>0</v>
      </c>
      <c r="I671" s="48">
        <f>IF(INVESTORS_LIST[[#This Row],[LS_TOTAL UNITS SOLD]]=0,0,SUMIFS(LS[Cost of Units Sold],LS[Investor ID],INVESTORS_LIST[[#This Row],[INVESTOR CODE]],LS[B/S],"S"))</f>
        <v>0</v>
      </c>
      <c r="J671" s="48">
        <f>IF(INVESTORS_LIST[[#This Row],[LS_TOTAL CURRENT UNITS]]=0,0,INVESTORS_LIST[[#This Row],[LS_TOTAL CURRENT UNITS]]*INVESTORS_LIST[[#This Row],[LS_AVERAGE COST]])</f>
        <v>0</v>
      </c>
      <c r="K671" s="48">
        <f>IF(INVESTORS_LIST[[#This Row],[LS_TOTAL UNITS SOLD]]=0,0,SUMIFS(LS[Realized Gain],LS[Investor ID],INVESTORS_LIST[[#This Row],[INVESTOR CODE]],LS[B/S],"S"))</f>
        <v>0</v>
      </c>
      <c r="L671" s="104">
        <f>SUMIFS(SIP[Unit],SIP[Investor ID],INVESTORS_LIST[[#This Row],[INVESTOR CODE]],SIP[B/S],"B")</f>
        <v>0</v>
      </c>
      <c r="M671" s="50">
        <f>-SUMIFS(SIP[Unit],SIP[Investor ID],INVESTORS_LIST[[#This Row],[INVESTOR CODE]],SIP[B/S],"S")</f>
        <v>0</v>
      </c>
      <c r="N671" s="50">
        <f>IF(INVESTORS_LIST[[#This Row],[SIP_TOTAL UNITS BUY]]=0,0,INVESTORS_LIST[[#This Row],[SIP_TOTAL UNITS BUY]]-INVESTORS_LIST[[#This Row],[SIP_TOTAL UNITS SOLD]])</f>
        <v>0</v>
      </c>
      <c r="O671" s="48">
        <f>IF(INVESTORS_LIST[[#This Row],[SIP_TOTAL UNITS BUY]]=0,0,SUMIFS(SIP[Amount],SIP[Investor ID],INVESTORS_LIST[[#This Row],[INVESTOR CODE]],SIP[B/S],"B"))</f>
        <v>0</v>
      </c>
      <c r="P671" s="48">
        <f>IF(INVESTORS_LIST[[#This Row],[SIP_TOTAL UNITS SOLD]]=0,0,SUMIFS(SIP[Cost of Units Sold],SIP[Investor ID],INVESTORS_LIST[[#This Row],[INVESTOR CODE]],SIP[B/S],"S"))</f>
        <v>0</v>
      </c>
      <c r="Q671" s="48">
        <f>IF(INVESTORS_LIST[[#This Row],[SIP_TOTAL CURRENT UNITS]]=0,0,INVESTORS_LIST[[#This Row],[SIP_TOTAL CURRENT UNITS]]*INVESTORS_LIST[[#This Row],[SIP_AVERAGE COST]])</f>
        <v>0</v>
      </c>
      <c r="R671" s="48">
        <f>IF(INVESTORS_LIST[[#This Row],[SIP_TOTAL UNITS SOLD]]=0,0,SUMIFS(SIP[Realized Gain],SIP[Investor ID],INVESTORS_LIST[[#This Row],[INVESTOR CODE]],SIP[B/S],"S"))</f>
        <v>0</v>
      </c>
      <c r="S671" s="50">
        <f>INVESTORS_LIST[[#This Row],[LS_TOTAL UNITS BUY]]+INVESTORS_LIST[[#This Row],[SIP_TOTAL UNITS BUY]]</f>
        <v>0</v>
      </c>
      <c r="T671" s="50">
        <f>INVESTORS_LIST[[#This Row],[LS_TOTAL UNITS SOLD]]+INVESTORS_LIST[[#This Row],[SIP_TOTAL UNITS SOLD]]</f>
        <v>0</v>
      </c>
      <c r="U671" s="50"/>
      <c r="V671" s="50">
        <f>SUMIFS(LS[BO UNIT TRANSFER],LS[Investor ID],INVESTORS_LIST[[#This Row],[INVESTOR CODE]],LS[B/S],"B")</f>
        <v>0</v>
      </c>
      <c r="W671" s="50">
        <f>SUMIFS(SIP[BO UNIT TRANSFER],SIP[Investor ID],INVESTORS_LIST[[#This Row],[INVESTOR CODE]],SIP[B/S],"B")</f>
        <v>0</v>
      </c>
      <c r="X671" s="50">
        <f>SUMIFS(LS[BO UNIT TRANSFER],LS[Investor ID],INVESTORS_LIST[[#This Row],[INVESTOR CODE]],LS[B/S],"S")</f>
        <v>0</v>
      </c>
      <c r="Y671" s="50">
        <f>SUMIFS(SIP[BO UNIT TRANSFER],SIP[Investor ID],INVESTORS_LIST[[#This Row],[INVESTOR CODE]],SIP[B/S],"S")</f>
        <v>0</v>
      </c>
      <c r="Z671" s="106">
        <f>SUM(INVESTORS_LIST[[#This Row],[BO OPENING BALANCE]:[BO SIP UNITS REPURCHASE]])</f>
        <v>0</v>
      </c>
      <c r="AA671" s="107">
        <f>INVESTORS_LIST[[#This Row],[TOTAL UNITS BUY]]-INVESTORS_LIST[[#This Row],[TOTAL UNITS SOLD]]</f>
        <v>0</v>
      </c>
      <c r="AB671" s="107">
        <f>INVESTORS_LIST[[#This Row],[TOTAL CURRENT UNITS]]-INVESTORS_LIST[[#This Row],[BO UNITS HOLD]]</f>
        <v>0</v>
      </c>
      <c r="AC671" s="201" t="e">
        <f>INDEX([3]!Table_1[BO ID],MATCH(INVESTORS_LIST[[#This Row],[INVESTOR CODE]],[3]!Table_1[INVESTOR CODE],0))</f>
        <v>#REF!</v>
      </c>
      <c r="AD671" s="201" t="e">
        <f>INDEX([3]!Table_1[Brokerage Name2],MATCH(INVESTORS_LIST[[#This Row],[INVESTOR CODE]],[3]!Table_1[INVESTOR CODE],0))</f>
        <v>#REF!</v>
      </c>
      <c r="AE671" s="201" t="e">
        <f>MID(INVESTORS_LIST[[#This Row],[BO ID]],4,5)</f>
        <v>#REF!</v>
      </c>
      <c r="AF671" s="201" t="e">
        <f>MID(INVESTORS_LIST[[#This Row],[BO ID]],2,7)</f>
        <v>#REF!</v>
      </c>
      <c r="AG671" s="201" t="e">
        <f>MID(INVESTORS_LIST[[#This Row],[BO ID]],9,7)</f>
        <v>#REF!</v>
      </c>
      <c r="AH671" s="201" t="e">
        <f>RIGHT(INVESTORS_LIST[[#This Row],[BO ID]],1)</f>
        <v>#REF!</v>
      </c>
      <c r="AI671" s="50">
        <f>INVESTORS_LIST[[#This Row],[LS_TOTAL COST VALUE OF CURRENT UNITS]]+INVESTORS_LIST[[#This Row],[SIP_TOTAL COST VALUE OF CURRENT UNITS]]</f>
        <v>0</v>
      </c>
      <c r="AJ671" s="109">
        <f>IF(INVESTORS_LIST[[#This Row],[TOTAL CURRENT UNITS]]=0,0,INVESTORS_LIST[[#This Row],[LS_TOTAL CURRENT UNITS]]/INVESTORS_LIST[[#This Row],[TOTAL CURRENT UNITS]])</f>
        <v>0</v>
      </c>
      <c r="AK671" s="109">
        <f>IF(INVESTORS_LIST[[#This Row],[TOTAL CURRENT UNITS]]=0,0,INVESTORS_LIST[[#This Row],[SIP_TOTAL CURRENT UNITS]]/INVESTORS_LIST[[#This Row],[TOTAL CURRENT UNITS]])</f>
        <v>0</v>
      </c>
      <c r="AL671" s="99" cm="1">
        <f t="array" ref="AL6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1" s="99" cm="1">
        <f t="array" ref="AM6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71" s="105">
        <f t="shared" si="11"/>
        <v>14.224</v>
      </c>
      <c r="AP671" s="112">
        <f>IF(INVESTORS_LIST[[#This Row],[TOTAL CURRENT UNITS]]=0,0,INVESTORS_LIST[[#This Row],[TOTAL CURRENT UNITS]]*INVESTORS_LIST[[#This Row],[NAV]])</f>
        <v>0</v>
      </c>
      <c r="AQ671" s="102">
        <f>IF(INVESTORS_LIST[[#This Row],[LS_TOTAL CURRENT UNITS]]=0,0,INVESTORS_LIST[[#This Row],[LS_TOTAL CURRENT UNITS]]*INVESTORS_LIST[[#This Row],[NAV]])</f>
        <v>0</v>
      </c>
      <c r="AR671" s="48">
        <f>IF(INVESTORS_LIST[[#This Row],[SIP_TOTAL CURRENT UNITS]]=0,0,INVESTORS_LIST[[#This Row],[SIP_TOTAL CURRENT UNITS]]*INVESTORS_LIST[[#This Row],[NAV]])</f>
        <v>0</v>
      </c>
      <c r="AS671" s="50">
        <f>INVESTORS_LIST[[#This Row],[TOTAL CURRENT UNITS]]</f>
        <v>0</v>
      </c>
      <c r="AT671" s="48">
        <f>IF(INVESTORS_LIST[[#This Row],[TOTAL SELLABLE UNITS]]=0,0,INVESTORS_LIST[[#This Row],[TOTAL SELLABLE UNITS]]*INVESTORS_LIST[[#This Row],[NAV]])</f>
        <v>0</v>
      </c>
      <c r="AU671" s="48">
        <f>INVESTORS_LIST[[#This Row],[LS_TOTAL REALIZED GAIN]]+INVESTORS_LIST[[#This Row],[SIP_TOTAL REALIZED GAIN]]</f>
        <v>0</v>
      </c>
      <c r="AV671" s="48">
        <f>INVESTORS_LIST[[#This Row],[TOTAL MARKET VALUE]]-INVESTORS_LIST[[#This Row],[TOTAL COST VALUE OF CURRENT INVESTMENT]]</f>
        <v>0</v>
      </c>
      <c r="AW671" s="48">
        <f>IFERROR(INVESTORS_LIST[[#This Row],[TOTAL CURRENT UNITS]]/SUM(INVESTORS_LIST[TOTAL CURRENT UNITS]),0)</f>
        <v>0</v>
      </c>
    </row>
    <row r="672" spans="1:49" hidden="1">
      <c r="A672" s="262" t="s">
        <v>1458</v>
      </c>
      <c r="B672" s="97" t="s">
        <v>1459</v>
      </c>
      <c r="C672" t="s">
        <v>48</v>
      </c>
      <c r="D672" s="75" t="s">
        <v>132</v>
      </c>
      <c r="E672" s="50">
        <f>SUMIFS(LS[Unit],LS[Investor ID],INVESTORS_LIST[[#This Row],[INVESTOR CODE]],LS[B/S],"B")</f>
        <v>0</v>
      </c>
      <c r="F672" s="50">
        <f>-SUMIFS(LS[Unit],LS[Investor ID],INVESTORS_LIST[[#This Row],[INVESTOR CODE]],LS[B/S],"S")</f>
        <v>0</v>
      </c>
      <c r="G672" s="50">
        <f>IF(INVESTORS_LIST[[#This Row],[LS_TOTAL UNITS BUY]]=0,0,INVESTORS_LIST[[#This Row],[LS_TOTAL UNITS BUY]]-INVESTORS_LIST[[#This Row],[LS_TOTAL UNITS SOLD]])</f>
        <v>0</v>
      </c>
      <c r="H672" s="102">
        <f>IF(INVESTORS_LIST[[#This Row],[LS_TOTAL UNITS BUY]]=0,0,SUMIFS(LS[Amount],LS[Investor ID],INVESTORS_LIST[[#This Row],[INVESTOR CODE]],LS[B/S],"B"))</f>
        <v>0</v>
      </c>
      <c r="I672" s="48">
        <f>IF(INVESTORS_LIST[[#This Row],[LS_TOTAL UNITS SOLD]]=0,0,SUMIFS(LS[Cost of Units Sold],LS[Investor ID],INVESTORS_LIST[[#This Row],[INVESTOR CODE]],LS[B/S],"S"))</f>
        <v>0</v>
      </c>
      <c r="J672" s="48">
        <f>IF(INVESTORS_LIST[[#This Row],[LS_TOTAL CURRENT UNITS]]=0,0,INVESTORS_LIST[[#This Row],[LS_TOTAL CURRENT UNITS]]*INVESTORS_LIST[[#This Row],[LS_AVERAGE COST]])</f>
        <v>0</v>
      </c>
      <c r="K672" s="48">
        <f>IF(INVESTORS_LIST[[#This Row],[LS_TOTAL UNITS SOLD]]=0,0,SUMIFS(LS[Realized Gain],LS[Investor ID],INVESTORS_LIST[[#This Row],[INVESTOR CODE]],LS[B/S],"S"))</f>
        <v>0</v>
      </c>
      <c r="L672" s="104">
        <f>SUMIFS(SIP[Unit],SIP[Investor ID],INVESTORS_LIST[[#This Row],[INVESTOR CODE]],SIP[B/S],"B")</f>
        <v>0</v>
      </c>
      <c r="M672" s="50">
        <f>-SUMIFS(SIP[Unit],SIP[Investor ID],INVESTORS_LIST[[#This Row],[INVESTOR CODE]],SIP[B/S],"S")</f>
        <v>0</v>
      </c>
      <c r="N672" s="50">
        <f>IF(INVESTORS_LIST[[#This Row],[SIP_TOTAL UNITS BUY]]=0,0,INVESTORS_LIST[[#This Row],[SIP_TOTAL UNITS BUY]]-INVESTORS_LIST[[#This Row],[SIP_TOTAL UNITS SOLD]])</f>
        <v>0</v>
      </c>
      <c r="O672" s="48">
        <f>IF(INVESTORS_LIST[[#This Row],[SIP_TOTAL UNITS BUY]]=0,0,SUMIFS(SIP[Amount],SIP[Investor ID],INVESTORS_LIST[[#This Row],[INVESTOR CODE]],SIP[B/S],"B"))</f>
        <v>0</v>
      </c>
      <c r="P672" s="48">
        <f>IF(INVESTORS_LIST[[#This Row],[SIP_TOTAL UNITS SOLD]]=0,0,SUMIFS(SIP[Cost of Units Sold],SIP[Investor ID],INVESTORS_LIST[[#This Row],[INVESTOR CODE]],SIP[B/S],"S"))</f>
        <v>0</v>
      </c>
      <c r="Q672" s="48">
        <f>IF(INVESTORS_LIST[[#This Row],[SIP_TOTAL CURRENT UNITS]]=0,0,INVESTORS_LIST[[#This Row],[SIP_TOTAL CURRENT UNITS]]*INVESTORS_LIST[[#This Row],[SIP_AVERAGE COST]])</f>
        <v>0</v>
      </c>
      <c r="R672" s="48">
        <f>IF(INVESTORS_LIST[[#This Row],[SIP_TOTAL UNITS SOLD]]=0,0,SUMIFS(SIP[Realized Gain],SIP[Investor ID],INVESTORS_LIST[[#This Row],[INVESTOR CODE]],SIP[B/S],"S"))</f>
        <v>0</v>
      </c>
      <c r="S672" s="50">
        <f>INVESTORS_LIST[[#This Row],[LS_TOTAL UNITS BUY]]+INVESTORS_LIST[[#This Row],[SIP_TOTAL UNITS BUY]]</f>
        <v>0</v>
      </c>
      <c r="T672" s="50">
        <f>INVESTORS_LIST[[#This Row],[LS_TOTAL UNITS SOLD]]+INVESTORS_LIST[[#This Row],[SIP_TOTAL UNITS SOLD]]</f>
        <v>0</v>
      </c>
      <c r="U672" s="50"/>
      <c r="V672" s="50">
        <f>SUMIFS(LS[BO UNIT TRANSFER],LS[Investor ID],INVESTORS_LIST[[#This Row],[INVESTOR CODE]],LS[B/S],"B")</f>
        <v>0</v>
      </c>
      <c r="W672" s="50">
        <f>SUMIFS(SIP[BO UNIT TRANSFER],SIP[Investor ID],INVESTORS_LIST[[#This Row],[INVESTOR CODE]],SIP[B/S],"B")</f>
        <v>0</v>
      </c>
      <c r="X672" s="50">
        <f>SUMIFS(LS[BO UNIT TRANSFER],LS[Investor ID],INVESTORS_LIST[[#This Row],[INVESTOR CODE]],LS[B/S],"S")</f>
        <v>0</v>
      </c>
      <c r="Y672" s="50">
        <f>SUMIFS(SIP[BO UNIT TRANSFER],SIP[Investor ID],INVESTORS_LIST[[#This Row],[INVESTOR CODE]],SIP[B/S],"S")</f>
        <v>0</v>
      </c>
      <c r="Z672" s="106">
        <f>SUM(INVESTORS_LIST[[#This Row],[BO OPENING BALANCE]:[BO SIP UNITS REPURCHASE]])</f>
        <v>0</v>
      </c>
      <c r="AA672" s="107">
        <f>INVESTORS_LIST[[#This Row],[TOTAL UNITS BUY]]-INVESTORS_LIST[[#This Row],[TOTAL UNITS SOLD]]</f>
        <v>0</v>
      </c>
      <c r="AB672" s="107">
        <f>INVESTORS_LIST[[#This Row],[TOTAL CURRENT UNITS]]-INVESTORS_LIST[[#This Row],[BO UNITS HOLD]]</f>
        <v>0</v>
      </c>
      <c r="AC672" s="201" t="e">
        <f>INDEX([3]!Table_1[BO ID],MATCH(INVESTORS_LIST[[#This Row],[INVESTOR CODE]],[3]!Table_1[INVESTOR CODE],0))</f>
        <v>#REF!</v>
      </c>
      <c r="AD672" s="201" t="e">
        <f>INDEX([3]!Table_1[Brokerage Name2],MATCH(INVESTORS_LIST[[#This Row],[INVESTOR CODE]],[3]!Table_1[INVESTOR CODE],0))</f>
        <v>#REF!</v>
      </c>
      <c r="AE672" s="201" t="e">
        <f>MID(INVESTORS_LIST[[#This Row],[BO ID]],4,5)</f>
        <v>#REF!</v>
      </c>
      <c r="AF672" s="201" t="e">
        <f>MID(INVESTORS_LIST[[#This Row],[BO ID]],2,7)</f>
        <v>#REF!</v>
      </c>
      <c r="AG672" s="201" t="e">
        <f>MID(INVESTORS_LIST[[#This Row],[BO ID]],9,7)</f>
        <v>#REF!</v>
      </c>
      <c r="AH672" s="201" t="e">
        <f>RIGHT(INVESTORS_LIST[[#This Row],[BO ID]],1)</f>
        <v>#REF!</v>
      </c>
      <c r="AI672" s="50">
        <f>INVESTORS_LIST[[#This Row],[LS_TOTAL COST VALUE OF CURRENT UNITS]]+INVESTORS_LIST[[#This Row],[SIP_TOTAL COST VALUE OF CURRENT UNITS]]</f>
        <v>0</v>
      </c>
      <c r="AJ672" s="109">
        <f>IF(INVESTORS_LIST[[#This Row],[TOTAL CURRENT UNITS]]=0,0,INVESTORS_LIST[[#This Row],[LS_TOTAL CURRENT UNITS]]/INVESTORS_LIST[[#This Row],[TOTAL CURRENT UNITS]])</f>
        <v>0</v>
      </c>
      <c r="AK672" s="109">
        <f>IF(INVESTORS_LIST[[#This Row],[TOTAL CURRENT UNITS]]=0,0,INVESTORS_LIST[[#This Row],[SIP_TOTAL CURRENT UNITS]]/INVESTORS_LIST[[#This Row],[TOTAL CURRENT UNITS]])</f>
        <v>0</v>
      </c>
      <c r="AL672" s="99" cm="1">
        <f t="array" ref="AL6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2" s="99" cm="1">
        <f t="array" ref="AM6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72" s="105">
        <f t="shared" si="11"/>
        <v>14.224</v>
      </c>
      <c r="AP672" s="112">
        <f>IF(INVESTORS_LIST[[#This Row],[TOTAL CURRENT UNITS]]=0,0,INVESTORS_LIST[[#This Row],[TOTAL CURRENT UNITS]]*INVESTORS_LIST[[#This Row],[NAV]])</f>
        <v>0</v>
      </c>
      <c r="AQ672" s="102">
        <f>IF(INVESTORS_LIST[[#This Row],[LS_TOTAL CURRENT UNITS]]=0,0,INVESTORS_LIST[[#This Row],[LS_TOTAL CURRENT UNITS]]*INVESTORS_LIST[[#This Row],[NAV]])</f>
        <v>0</v>
      </c>
      <c r="AR672" s="48">
        <f>IF(INVESTORS_LIST[[#This Row],[SIP_TOTAL CURRENT UNITS]]=0,0,INVESTORS_LIST[[#This Row],[SIP_TOTAL CURRENT UNITS]]*INVESTORS_LIST[[#This Row],[NAV]])</f>
        <v>0</v>
      </c>
      <c r="AS672" s="50">
        <f>INVESTORS_LIST[[#This Row],[TOTAL CURRENT UNITS]]</f>
        <v>0</v>
      </c>
      <c r="AT672" s="48">
        <f>IF(INVESTORS_LIST[[#This Row],[TOTAL SELLABLE UNITS]]=0,0,INVESTORS_LIST[[#This Row],[TOTAL SELLABLE UNITS]]*INVESTORS_LIST[[#This Row],[NAV]])</f>
        <v>0</v>
      </c>
      <c r="AU672" s="48">
        <f>INVESTORS_LIST[[#This Row],[LS_TOTAL REALIZED GAIN]]+INVESTORS_LIST[[#This Row],[SIP_TOTAL REALIZED GAIN]]</f>
        <v>0</v>
      </c>
      <c r="AV672" s="48">
        <f>INVESTORS_LIST[[#This Row],[TOTAL MARKET VALUE]]-INVESTORS_LIST[[#This Row],[TOTAL COST VALUE OF CURRENT INVESTMENT]]</f>
        <v>0</v>
      </c>
      <c r="AW672" s="48">
        <f>IFERROR(INVESTORS_LIST[[#This Row],[TOTAL CURRENT UNITS]]/SUM(INVESTORS_LIST[TOTAL CURRENT UNITS]),0)</f>
        <v>0</v>
      </c>
    </row>
    <row r="673" spans="1:49" hidden="1">
      <c r="A673" s="262" t="s">
        <v>1461</v>
      </c>
      <c r="B673" s="97" t="s">
        <v>1462</v>
      </c>
      <c r="C673" t="s">
        <v>44</v>
      </c>
      <c r="D673" s="75" t="s">
        <v>45</v>
      </c>
      <c r="E673" s="50">
        <f>SUMIFS(LS[Unit],LS[Investor ID],INVESTORS_LIST[[#This Row],[INVESTOR CODE]],LS[B/S],"B")</f>
        <v>0</v>
      </c>
      <c r="F673" s="50">
        <f>-SUMIFS(LS[Unit],LS[Investor ID],INVESTORS_LIST[[#This Row],[INVESTOR CODE]],LS[B/S],"S")</f>
        <v>0</v>
      </c>
      <c r="G673" s="50">
        <f>IF(INVESTORS_LIST[[#This Row],[LS_TOTAL UNITS BUY]]=0,0,INVESTORS_LIST[[#This Row],[LS_TOTAL UNITS BUY]]-INVESTORS_LIST[[#This Row],[LS_TOTAL UNITS SOLD]])</f>
        <v>0</v>
      </c>
      <c r="H673" s="102">
        <f>IF(INVESTORS_LIST[[#This Row],[LS_TOTAL UNITS BUY]]=0,0,SUMIFS(LS[Amount],LS[Investor ID],INVESTORS_LIST[[#This Row],[INVESTOR CODE]],LS[B/S],"B"))</f>
        <v>0</v>
      </c>
      <c r="I673" s="48">
        <f>IF(INVESTORS_LIST[[#This Row],[LS_TOTAL UNITS SOLD]]=0,0,SUMIFS(LS[Cost of Units Sold],LS[Investor ID],INVESTORS_LIST[[#This Row],[INVESTOR CODE]],LS[B/S],"S"))</f>
        <v>0</v>
      </c>
      <c r="J673" s="48">
        <f>IF(INVESTORS_LIST[[#This Row],[LS_TOTAL CURRENT UNITS]]=0,0,INVESTORS_LIST[[#This Row],[LS_TOTAL CURRENT UNITS]]*INVESTORS_LIST[[#This Row],[LS_AVERAGE COST]])</f>
        <v>0</v>
      </c>
      <c r="K673" s="48">
        <f>IF(INVESTORS_LIST[[#This Row],[LS_TOTAL UNITS SOLD]]=0,0,SUMIFS(LS[Realized Gain],LS[Investor ID],INVESTORS_LIST[[#This Row],[INVESTOR CODE]],LS[B/S],"S"))</f>
        <v>0</v>
      </c>
      <c r="L673" s="104">
        <f>SUMIFS(SIP[Unit],SIP[Investor ID],INVESTORS_LIST[[#This Row],[INVESTOR CODE]],SIP[B/S],"B")</f>
        <v>0</v>
      </c>
      <c r="M673" s="50">
        <f>-SUMIFS(SIP[Unit],SIP[Investor ID],INVESTORS_LIST[[#This Row],[INVESTOR CODE]],SIP[B/S],"S")</f>
        <v>0</v>
      </c>
      <c r="N673" s="50">
        <f>IF(INVESTORS_LIST[[#This Row],[SIP_TOTAL UNITS BUY]]=0,0,INVESTORS_LIST[[#This Row],[SIP_TOTAL UNITS BUY]]-INVESTORS_LIST[[#This Row],[SIP_TOTAL UNITS SOLD]])</f>
        <v>0</v>
      </c>
      <c r="O673" s="48">
        <f>IF(INVESTORS_LIST[[#This Row],[SIP_TOTAL UNITS BUY]]=0,0,SUMIFS(SIP[Amount],SIP[Investor ID],INVESTORS_LIST[[#This Row],[INVESTOR CODE]],SIP[B/S],"B"))</f>
        <v>0</v>
      </c>
      <c r="P673" s="48">
        <f>IF(INVESTORS_LIST[[#This Row],[SIP_TOTAL UNITS SOLD]]=0,0,SUMIFS(SIP[Cost of Units Sold],SIP[Investor ID],INVESTORS_LIST[[#This Row],[INVESTOR CODE]],SIP[B/S],"S"))</f>
        <v>0</v>
      </c>
      <c r="Q673" s="48">
        <f>IF(INVESTORS_LIST[[#This Row],[SIP_TOTAL CURRENT UNITS]]=0,0,INVESTORS_LIST[[#This Row],[SIP_TOTAL CURRENT UNITS]]*INVESTORS_LIST[[#This Row],[SIP_AVERAGE COST]])</f>
        <v>0</v>
      </c>
      <c r="R673" s="48">
        <f>IF(INVESTORS_LIST[[#This Row],[SIP_TOTAL UNITS SOLD]]=0,0,SUMIFS(SIP[Realized Gain],SIP[Investor ID],INVESTORS_LIST[[#This Row],[INVESTOR CODE]],SIP[B/S],"S"))</f>
        <v>0</v>
      </c>
      <c r="S673" s="50">
        <f>INVESTORS_LIST[[#This Row],[LS_TOTAL UNITS BUY]]+INVESTORS_LIST[[#This Row],[SIP_TOTAL UNITS BUY]]</f>
        <v>0</v>
      </c>
      <c r="T673" s="50">
        <f>INVESTORS_LIST[[#This Row],[LS_TOTAL UNITS SOLD]]+INVESTORS_LIST[[#This Row],[SIP_TOTAL UNITS SOLD]]</f>
        <v>0</v>
      </c>
      <c r="U673" s="50"/>
      <c r="V673" s="50">
        <f>SUMIFS(LS[BO UNIT TRANSFER],LS[Investor ID],INVESTORS_LIST[[#This Row],[INVESTOR CODE]],LS[B/S],"B")</f>
        <v>0</v>
      </c>
      <c r="W673" s="50">
        <f>SUMIFS(SIP[BO UNIT TRANSFER],SIP[Investor ID],INVESTORS_LIST[[#This Row],[INVESTOR CODE]],SIP[B/S],"B")</f>
        <v>0</v>
      </c>
      <c r="X673" s="50">
        <f>SUMIFS(LS[BO UNIT TRANSFER],LS[Investor ID],INVESTORS_LIST[[#This Row],[INVESTOR CODE]],LS[B/S],"S")</f>
        <v>0</v>
      </c>
      <c r="Y673" s="50">
        <f>SUMIFS(SIP[BO UNIT TRANSFER],SIP[Investor ID],INVESTORS_LIST[[#This Row],[INVESTOR CODE]],SIP[B/S],"S")</f>
        <v>0</v>
      </c>
      <c r="Z673" s="106">
        <f>SUM(INVESTORS_LIST[[#This Row],[BO OPENING BALANCE]:[BO SIP UNITS REPURCHASE]])</f>
        <v>0</v>
      </c>
      <c r="AA673" s="107">
        <f>INVESTORS_LIST[[#This Row],[TOTAL UNITS BUY]]-INVESTORS_LIST[[#This Row],[TOTAL UNITS SOLD]]</f>
        <v>0</v>
      </c>
      <c r="AB673" s="107">
        <f>INVESTORS_LIST[[#This Row],[TOTAL CURRENT UNITS]]-INVESTORS_LIST[[#This Row],[BO UNITS HOLD]]</f>
        <v>0</v>
      </c>
      <c r="AC673" s="201" t="e">
        <f>INDEX([3]!Table_1[BO ID],MATCH(INVESTORS_LIST[[#This Row],[INVESTOR CODE]],[3]!Table_1[INVESTOR CODE],0))</f>
        <v>#REF!</v>
      </c>
      <c r="AD673" s="201" t="e">
        <f>INDEX([3]!Table_1[Brokerage Name2],MATCH(INVESTORS_LIST[[#This Row],[INVESTOR CODE]],[3]!Table_1[INVESTOR CODE],0))</f>
        <v>#REF!</v>
      </c>
      <c r="AE673" s="201" t="e">
        <f>MID(INVESTORS_LIST[[#This Row],[BO ID]],4,5)</f>
        <v>#REF!</v>
      </c>
      <c r="AF673" s="201" t="e">
        <f>MID(INVESTORS_LIST[[#This Row],[BO ID]],2,7)</f>
        <v>#REF!</v>
      </c>
      <c r="AG673" s="201" t="e">
        <f>MID(INVESTORS_LIST[[#This Row],[BO ID]],9,7)</f>
        <v>#REF!</v>
      </c>
      <c r="AH673" s="201" t="e">
        <f>RIGHT(INVESTORS_LIST[[#This Row],[BO ID]],1)</f>
        <v>#REF!</v>
      </c>
      <c r="AI673" s="50">
        <f>INVESTORS_LIST[[#This Row],[LS_TOTAL COST VALUE OF CURRENT UNITS]]+INVESTORS_LIST[[#This Row],[SIP_TOTAL COST VALUE OF CURRENT UNITS]]</f>
        <v>0</v>
      </c>
      <c r="AJ673" s="109">
        <f>IF(INVESTORS_LIST[[#This Row],[TOTAL CURRENT UNITS]]=0,0,INVESTORS_LIST[[#This Row],[LS_TOTAL CURRENT UNITS]]/INVESTORS_LIST[[#This Row],[TOTAL CURRENT UNITS]])</f>
        <v>0</v>
      </c>
      <c r="AK673" s="109">
        <f>IF(INVESTORS_LIST[[#This Row],[TOTAL CURRENT UNITS]]=0,0,INVESTORS_LIST[[#This Row],[SIP_TOTAL CURRENT UNITS]]/INVESTORS_LIST[[#This Row],[TOTAL CURRENT UNITS]])</f>
        <v>0</v>
      </c>
      <c r="AL673" s="99" cm="1">
        <f t="array" ref="AL6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3" s="99" cm="1">
        <f t="array" ref="AM6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73" s="105">
        <f t="shared" si="11"/>
        <v>14.224</v>
      </c>
      <c r="AP673" s="112">
        <f>IF(INVESTORS_LIST[[#This Row],[TOTAL CURRENT UNITS]]=0,0,INVESTORS_LIST[[#This Row],[TOTAL CURRENT UNITS]]*INVESTORS_LIST[[#This Row],[NAV]])</f>
        <v>0</v>
      </c>
      <c r="AQ673" s="102">
        <f>IF(INVESTORS_LIST[[#This Row],[LS_TOTAL CURRENT UNITS]]=0,0,INVESTORS_LIST[[#This Row],[LS_TOTAL CURRENT UNITS]]*INVESTORS_LIST[[#This Row],[NAV]])</f>
        <v>0</v>
      </c>
      <c r="AR673" s="48">
        <f>IF(INVESTORS_LIST[[#This Row],[SIP_TOTAL CURRENT UNITS]]=0,0,INVESTORS_LIST[[#This Row],[SIP_TOTAL CURRENT UNITS]]*INVESTORS_LIST[[#This Row],[NAV]])</f>
        <v>0</v>
      </c>
      <c r="AS673" s="50">
        <f>INVESTORS_LIST[[#This Row],[TOTAL CURRENT UNITS]]</f>
        <v>0</v>
      </c>
      <c r="AT673" s="48">
        <f>IF(INVESTORS_LIST[[#This Row],[TOTAL SELLABLE UNITS]]=0,0,INVESTORS_LIST[[#This Row],[TOTAL SELLABLE UNITS]]*INVESTORS_LIST[[#This Row],[NAV]])</f>
        <v>0</v>
      </c>
      <c r="AU673" s="48">
        <f>INVESTORS_LIST[[#This Row],[LS_TOTAL REALIZED GAIN]]+INVESTORS_LIST[[#This Row],[SIP_TOTAL REALIZED GAIN]]</f>
        <v>0</v>
      </c>
      <c r="AV673" s="48">
        <f>INVESTORS_LIST[[#This Row],[TOTAL MARKET VALUE]]-INVESTORS_LIST[[#This Row],[TOTAL COST VALUE OF CURRENT INVESTMENT]]</f>
        <v>0</v>
      </c>
      <c r="AW673" s="48">
        <f>IFERROR(INVESTORS_LIST[[#This Row],[TOTAL CURRENT UNITS]]/SUM(INVESTORS_LIST[TOTAL CURRENT UNITS]),0)</f>
        <v>0</v>
      </c>
    </row>
    <row r="674" spans="1:49">
      <c r="A674" s="262" t="s">
        <v>1463</v>
      </c>
      <c r="B674" s="261" t="s">
        <v>1460</v>
      </c>
      <c r="C674" t="s">
        <v>44</v>
      </c>
      <c r="D674" s="75" t="s">
        <v>45</v>
      </c>
      <c r="E674" s="50">
        <f>SUMIFS(LS[Unit],LS[Investor ID],INVESTORS_LIST[[#This Row],[INVESTOR CODE]],LS[B/S],"B")</f>
        <v>26856</v>
      </c>
      <c r="F674" s="50">
        <f>-SUMIFS(LS[Unit],LS[Investor ID],INVESTORS_LIST[[#This Row],[INVESTOR CODE]],LS[B/S],"S")</f>
        <v>0</v>
      </c>
      <c r="G674" s="50">
        <f>IF(INVESTORS_LIST[[#This Row],[LS_TOTAL UNITS BUY]]=0,0,INVESTORS_LIST[[#This Row],[LS_TOTAL UNITS BUY]]-INVESTORS_LIST[[#This Row],[LS_TOTAL UNITS SOLD]])</f>
        <v>26856</v>
      </c>
      <c r="H674" s="102">
        <f>IF(INVESTORS_LIST[[#This Row],[LS_TOTAL UNITS BUY]]=0,0,SUMIFS(LS[Amount],LS[Investor ID],INVESTORS_LIST[[#This Row],[INVESTOR CODE]],LS[B/S],"B"))</f>
        <v>370006</v>
      </c>
      <c r="I674" s="48">
        <f>IF(INVESTORS_LIST[[#This Row],[LS_TOTAL UNITS SOLD]]=0,0,SUMIFS(LS[Cost of Units Sold],LS[Investor ID],INVESTORS_LIST[[#This Row],[INVESTOR CODE]],LS[B/S],"S"))</f>
        <v>0</v>
      </c>
      <c r="J674" s="48">
        <f>IF(INVESTORS_LIST[[#This Row],[LS_TOTAL CURRENT UNITS]]=0,0,INVESTORS_LIST[[#This Row],[LS_TOTAL CURRENT UNITS]]*INVESTORS_LIST[[#This Row],[LS_AVERAGE COST]])</f>
        <v>370005.99999999994</v>
      </c>
      <c r="K674" s="48">
        <f>IF(INVESTORS_LIST[[#This Row],[LS_TOTAL UNITS SOLD]]=0,0,SUMIFS(LS[Realized Gain],LS[Investor ID],INVESTORS_LIST[[#This Row],[INVESTOR CODE]],LS[B/S],"S"))</f>
        <v>0</v>
      </c>
      <c r="L674" s="104">
        <f>SUMIFS(SIP[Unit],SIP[Investor ID],INVESTORS_LIST[[#This Row],[INVESTOR CODE]],SIP[B/S],"B")</f>
        <v>0</v>
      </c>
      <c r="M674" s="50">
        <f>-SUMIFS(SIP[Unit],SIP[Investor ID],INVESTORS_LIST[[#This Row],[INVESTOR CODE]],SIP[B/S],"S")</f>
        <v>0</v>
      </c>
      <c r="N674" s="50">
        <f>IF(INVESTORS_LIST[[#This Row],[SIP_TOTAL UNITS BUY]]=0,0,INVESTORS_LIST[[#This Row],[SIP_TOTAL UNITS BUY]]-INVESTORS_LIST[[#This Row],[SIP_TOTAL UNITS SOLD]])</f>
        <v>0</v>
      </c>
      <c r="O674" s="48">
        <f>IF(INVESTORS_LIST[[#This Row],[SIP_TOTAL UNITS BUY]]=0,0,SUMIFS(SIP[Amount],SIP[Investor ID],INVESTORS_LIST[[#This Row],[INVESTOR CODE]],SIP[B/S],"B"))</f>
        <v>0</v>
      </c>
      <c r="P674" s="48">
        <f>IF(INVESTORS_LIST[[#This Row],[SIP_TOTAL UNITS SOLD]]=0,0,SUMIFS(SIP[Cost of Units Sold],SIP[Investor ID],INVESTORS_LIST[[#This Row],[INVESTOR CODE]],SIP[B/S],"S"))</f>
        <v>0</v>
      </c>
      <c r="Q674" s="48">
        <f>IF(INVESTORS_LIST[[#This Row],[SIP_TOTAL CURRENT UNITS]]=0,0,INVESTORS_LIST[[#This Row],[SIP_TOTAL CURRENT UNITS]]*INVESTORS_LIST[[#This Row],[SIP_AVERAGE COST]])</f>
        <v>0</v>
      </c>
      <c r="R674" s="48">
        <f>IF(INVESTORS_LIST[[#This Row],[SIP_TOTAL UNITS SOLD]]=0,0,SUMIFS(SIP[Realized Gain],SIP[Investor ID],INVESTORS_LIST[[#This Row],[INVESTOR CODE]],SIP[B/S],"S"))</f>
        <v>0</v>
      </c>
      <c r="S674" s="50">
        <f>INVESTORS_LIST[[#This Row],[LS_TOTAL UNITS BUY]]+INVESTORS_LIST[[#This Row],[SIP_TOTAL UNITS BUY]]</f>
        <v>26856</v>
      </c>
      <c r="T674" s="50">
        <f>INVESTORS_LIST[[#This Row],[LS_TOTAL UNITS SOLD]]+INVESTORS_LIST[[#This Row],[SIP_TOTAL UNITS SOLD]]</f>
        <v>0</v>
      </c>
      <c r="U674" s="50"/>
      <c r="V674" s="50">
        <f>SUMIFS(LS[BO UNIT TRANSFER],LS[Investor ID],INVESTORS_LIST[[#This Row],[INVESTOR CODE]],LS[B/S],"B")</f>
        <v>26856</v>
      </c>
      <c r="W674" s="50">
        <f>SUMIFS(SIP[BO UNIT TRANSFER],SIP[Investor ID],INVESTORS_LIST[[#This Row],[INVESTOR CODE]],SIP[B/S],"B")</f>
        <v>0</v>
      </c>
      <c r="X674" s="50">
        <f>SUMIFS(LS[BO UNIT TRANSFER],LS[Investor ID],INVESTORS_LIST[[#This Row],[INVESTOR CODE]],LS[B/S],"S")</f>
        <v>0</v>
      </c>
      <c r="Y674" s="50">
        <f>SUMIFS(SIP[BO UNIT TRANSFER],SIP[Investor ID],INVESTORS_LIST[[#This Row],[INVESTOR CODE]],SIP[B/S],"S")</f>
        <v>0</v>
      </c>
      <c r="Z674" s="106">
        <f>SUM(INVESTORS_LIST[[#This Row],[BO OPENING BALANCE]:[BO SIP UNITS REPURCHASE]])</f>
        <v>26856</v>
      </c>
      <c r="AA674" s="107">
        <f>INVESTORS_LIST[[#This Row],[TOTAL UNITS BUY]]-INVESTORS_LIST[[#This Row],[TOTAL UNITS SOLD]]</f>
        <v>26856</v>
      </c>
      <c r="AB674" s="107">
        <f>INVESTORS_LIST[[#This Row],[TOTAL CURRENT UNITS]]-INVESTORS_LIST[[#This Row],[BO UNITS HOLD]]</f>
        <v>0</v>
      </c>
      <c r="AC674" s="201" t="e">
        <f>INDEX([3]!Table_1[BO ID],MATCH(INVESTORS_LIST[[#This Row],[INVESTOR CODE]],[3]!Table_1[INVESTOR CODE],0))</f>
        <v>#REF!</v>
      </c>
      <c r="AD674" s="201" t="e">
        <f>INDEX([3]!Table_1[Brokerage Name2],MATCH(INVESTORS_LIST[[#This Row],[INVESTOR CODE]],[3]!Table_1[INVESTOR CODE],0))</f>
        <v>#REF!</v>
      </c>
      <c r="AE674" s="201" t="e">
        <f>MID(INVESTORS_LIST[[#This Row],[BO ID]],4,5)</f>
        <v>#REF!</v>
      </c>
      <c r="AF674" s="201" t="e">
        <f>MID(INVESTORS_LIST[[#This Row],[BO ID]],2,7)</f>
        <v>#REF!</v>
      </c>
      <c r="AG674" s="201" t="e">
        <f>MID(INVESTORS_LIST[[#This Row],[BO ID]],9,7)</f>
        <v>#REF!</v>
      </c>
      <c r="AH674" s="201" t="e">
        <f>RIGHT(INVESTORS_LIST[[#This Row],[BO ID]],1)</f>
        <v>#REF!</v>
      </c>
      <c r="AI674" s="50">
        <f>INVESTORS_LIST[[#This Row],[LS_TOTAL COST VALUE OF CURRENT UNITS]]+INVESTORS_LIST[[#This Row],[SIP_TOTAL COST VALUE OF CURRENT UNITS]]</f>
        <v>370005.99999999994</v>
      </c>
      <c r="AJ674" s="109">
        <f>IF(INVESTORS_LIST[[#This Row],[TOTAL CURRENT UNITS]]=0,0,INVESTORS_LIST[[#This Row],[LS_TOTAL CURRENT UNITS]]/INVESTORS_LIST[[#This Row],[TOTAL CURRENT UNITS]])</f>
        <v>1</v>
      </c>
      <c r="AK674" s="109">
        <f>IF(INVESTORS_LIST[[#This Row],[TOTAL CURRENT UNITS]]=0,0,INVESTORS_LIST[[#This Row],[SIP_TOTAL CURRENT UNITS]]/INVESTORS_LIST[[#This Row],[TOTAL CURRENT UNITS]])</f>
        <v>0</v>
      </c>
      <c r="AL674" s="99" cm="1">
        <f t="array" ref="AL674">IF(INVESTORS_LIST[[#This Row],[LS_TOTAL UNITS BUY]]&gt;0,INDEX(LS[NAV at Cost (Average)],MATCH(CONCATENATE(COUNTIFS(LS[Investor ID],INVESTORS_LIST[[#This Row],[INVESTOR CODE]]),INVESTORS_LIST[[#This Row],[INVESTOR CODE]]),LS[Unique Code],0),),0)</f>
        <v>13.777405421507297</v>
      </c>
      <c r="AM674" s="99" cm="1">
        <f t="array" ref="AM6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4" s="105">
        <f>IF(INVESTORS_LIST[[#This Row],[TOTAL CURRENT UNITS]]=0,0,(INVESTORS_LIST[[#This Row],[LS_WEIGHT]]*INVESTORS_LIST[[#This Row],[LS_AVERAGE COST]])+(INVESTORS_LIST[[#This Row],[SIP_WEIGHT]]*INVESTORS_LIST[[#This Row],[SIP_AVERAGE COST]]))</f>
        <v>13.777405421507297</v>
      </c>
      <c r="AO674" s="105">
        <f t="shared" si="11"/>
        <v>14.224</v>
      </c>
      <c r="AP674" s="112">
        <f>IF(INVESTORS_LIST[[#This Row],[TOTAL CURRENT UNITS]]=0,0,INVESTORS_LIST[[#This Row],[TOTAL CURRENT UNITS]]*INVESTORS_LIST[[#This Row],[NAV]])</f>
        <v>381999.74400000001</v>
      </c>
      <c r="AQ674" s="102">
        <f>IF(INVESTORS_LIST[[#This Row],[LS_TOTAL CURRENT UNITS]]=0,0,INVESTORS_LIST[[#This Row],[LS_TOTAL CURRENT UNITS]]*INVESTORS_LIST[[#This Row],[NAV]])</f>
        <v>381999.74400000001</v>
      </c>
      <c r="AR674" s="48">
        <f>IF(INVESTORS_LIST[[#This Row],[SIP_TOTAL CURRENT UNITS]]=0,0,INVESTORS_LIST[[#This Row],[SIP_TOTAL CURRENT UNITS]]*INVESTORS_LIST[[#This Row],[NAV]])</f>
        <v>0</v>
      </c>
      <c r="AS674" s="50">
        <f>INVESTORS_LIST[[#This Row],[TOTAL CURRENT UNITS]]</f>
        <v>26856</v>
      </c>
      <c r="AT674" s="48">
        <f>IF(INVESTORS_LIST[[#This Row],[TOTAL SELLABLE UNITS]]=0,0,INVESTORS_LIST[[#This Row],[TOTAL SELLABLE UNITS]]*INVESTORS_LIST[[#This Row],[NAV]])</f>
        <v>381999.74400000001</v>
      </c>
      <c r="AU674" s="48">
        <f>INVESTORS_LIST[[#This Row],[LS_TOTAL REALIZED GAIN]]+INVESTORS_LIST[[#This Row],[SIP_TOTAL REALIZED GAIN]]</f>
        <v>0</v>
      </c>
      <c r="AV674" s="48">
        <f>INVESTORS_LIST[[#This Row],[TOTAL MARKET VALUE]]-INVESTORS_LIST[[#This Row],[TOTAL COST VALUE OF CURRENT INVESTMENT]]</f>
        <v>11993.744000000064</v>
      </c>
      <c r="AW674" s="48">
        <f>IFERROR(INVESTORS_LIST[[#This Row],[TOTAL CURRENT UNITS]]/SUM(INVESTORS_LIST[TOTAL CURRENT UNITS]),0)</f>
        <v>6.5196183925775981E-4</v>
      </c>
    </row>
    <row r="675" spans="1:49">
      <c r="A675" s="262" t="s">
        <v>1464</v>
      </c>
      <c r="B675" s="97" t="s">
        <v>1465</v>
      </c>
      <c r="C675" t="s">
        <v>44</v>
      </c>
      <c r="D675" s="75" t="s">
        <v>45</v>
      </c>
      <c r="E675" s="50">
        <f>SUMIFS(LS[Unit],LS[Investor ID],INVESTORS_LIST[[#This Row],[INVESTOR CODE]],LS[B/S],"B")</f>
        <v>0</v>
      </c>
      <c r="F675" s="50">
        <f>-SUMIFS(LS[Unit],LS[Investor ID],INVESTORS_LIST[[#This Row],[INVESTOR CODE]],LS[B/S],"S")</f>
        <v>0</v>
      </c>
      <c r="G675" s="50">
        <f>IF(INVESTORS_LIST[[#This Row],[LS_TOTAL UNITS BUY]]=0,0,INVESTORS_LIST[[#This Row],[LS_TOTAL UNITS BUY]]-INVESTORS_LIST[[#This Row],[LS_TOTAL UNITS SOLD]])</f>
        <v>0</v>
      </c>
      <c r="H675" s="102">
        <f>IF(INVESTORS_LIST[[#This Row],[LS_TOTAL UNITS BUY]]=0,0,SUMIFS(LS[Amount],LS[Investor ID],INVESTORS_LIST[[#This Row],[INVESTOR CODE]],LS[B/S],"B"))</f>
        <v>0</v>
      </c>
      <c r="I675" s="48">
        <f>IF(INVESTORS_LIST[[#This Row],[LS_TOTAL UNITS SOLD]]=0,0,SUMIFS(LS[Cost of Units Sold],LS[Investor ID],INVESTORS_LIST[[#This Row],[INVESTOR CODE]],LS[B/S],"S"))</f>
        <v>0</v>
      </c>
      <c r="J675" s="48">
        <f>IF(INVESTORS_LIST[[#This Row],[LS_TOTAL CURRENT UNITS]]=0,0,INVESTORS_LIST[[#This Row],[LS_TOTAL CURRENT UNITS]]*INVESTORS_LIST[[#This Row],[LS_AVERAGE COST]])</f>
        <v>0</v>
      </c>
      <c r="K675" s="48">
        <f>IF(INVESTORS_LIST[[#This Row],[LS_TOTAL UNITS SOLD]]=0,0,SUMIFS(LS[Realized Gain],LS[Investor ID],INVESTORS_LIST[[#This Row],[INVESTOR CODE]],LS[B/S],"S"))</f>
        <v>0</v>
      </c>
      <c r="L675" s="104">
        <f>SUMIFS(SIP[Unit],SIP[Investor ID],INVESTORS_LIST[[#This Row],[INVESTOR CODE]],SIP[B/S],"B")</f>
        <v>1440</v>
      </c>
      <c r="M675" s="50">
        <f>-SUMIFS(SIP[Unit],SIP[Investor ID],INVESTORS_LIST[[#This Row],[INVESTOR CODE]],SIP[B/S],"S")</f>
        <v>0</v>
      </c>
      <c r="N675" s="50">
        <f>IF(INVESTORS_LIST[[#This Row],[SIP_TOTAL UNITS BUY]]=0,0,INVESTORS_LIST[[#This Row],[SIP_TOTAL UNITS BUY]]-INVESTORS_LIST[[#This Row],[SIP_TOTAL UNITS SOLD]])</f>
        <v>1440</v>
      </c>
      <c r="O675" s="48">
        <f>IF(INVESTORS_LIST[[#This Row],[SIP_TOTAL UNITS BUY]]=0,0,SUMIFS(SIP[Amount],SIP[Investor ID],INVESTORS_LIST[[#This Row],[INVESTOR CODE]],SIP[B/S],"B"))</f>
        <v>20000</v>
      </c>
      <c r="P675" s="48">
        <f>IF(INVESTORS_LIST[[#This Row],[SIP_TOTAL UNITS SOLD]]=0,0,SUMIFS(SIP[Cost of Units Sold],SIP[Investor ID],INVESTORS_LIST[[#This Row],[INVESTOR CODE]],SIP[B/S],"S"))</f>
        <v>0</v>
      </c>
      <c r="Q675" s="48">
        <f>IF(INVESTORS_LIST[[#This Row],[SIP_TOTAL CURRENT UNITS]]=0,0,INVESTORS_LIST[[#This Row],[SIP_TOTAL CURRENT UNITS]]*INVESTORS_LIST[[#This Row],[SIP_AVERAGE COST]])</f>
        <v>19999.999999999996</v>
      </c>
      <c r="R675" s="48">
        <f>IF(INVESTORS_LIST[[#This Row],[SIP_TOTAL UNITS SOLD]]=0,0,SUMIFS(SIP[Realized Gain],SIP[Investor ID],INVESTORS_LIST[[#This Row],[INVESTOR CODE]],SIP[B/S],"S"))</f>
        <v>0</v>
      </c>
      <c r="S675" s="50">
        <f>INVESTORS_LIST[[#This Row],[LS_TOTAL UNITS BUY]]+INVESTORS_LIST[[#This Row],[SIP_TOTAL UNITS BUY]]</f>
        <v>1440</v>
      </c>
      <c r="T675" s="50">
        <f>INVESTORS_LIST[[#This Row],[LS_TOTAL UNITS SOLD]]+INVESTORS_LIST[[#This Row],[SIP_TOTAL UNITS SOLD]]</f>
        <v>0</v>
      </c>
      <c r="U675" s="50"/>
      <c r="V675" s="50">
        <f>SUMIFS(LS[BO UNIT TRANSFER],LS[Investor ID],INVESTORS_LIST[[#This Row],[INVESTOR CODE]],LS[B/S],"B")</f>
        <v>0</v>
      </c>
      <c r="W675" s="50">
        <f>SUMIFS(SIP[BO UNIT TRANSFER],SIP[Investor ID],INVESTORS_LIST[[#This Row],[INVESTOR CODE]],SIP[B/S],"B")</f>
        <v>1085</v>
      </c>
      <c r="X675" s="50">
        <f>SUMIFS(LS[BO UNIT TRANSFER],LS[Investor ID],INVESTORS_LIST[[#This Row],[INVESTOR CODE]],LS[B/S],"S")</f>
        <v>0</v>
      </c>
      <c r="Y675" s="50">
        <f>SUMIFS(SIP[BO UNIT TRANSFER],SIP[Investor ID],INVESTORS_LIST[[#This Row],[INVESTOR CODE]],SIP[B/S],"S")</f>
        <v>0</v>
      </c>
      <c r="Z675" s="106">
        <f>SUM(INVESTORS_LIST[[#This Row],[BO OPENING BALANCE]:[BO SIP UNITS REPURCHASE]])</f>
        <v>1085</v>
      </c>
      <c r="AA675" s="107">
        <f>INVESTORS_LIST[[#This Row],[TOTAL UNITS BUY]]-INVESTORS_LIST[[#This Row],[TOTAL UNITS SOLD]]</f>
        <v>1440</v>
      </c>
      <c r="AB675" s="107">
        <f>INVESTORS_LIST[[#This Row],[TOTAL CURRENT UNITS]]-INVESTORS_LIST[[#This Row],[BO UNITS HOLD]]</f>
        <v>355</v>
      </c>
      <c r="AC675" s="201" t="e">
        <f>INDEX([3]!Table_1[BO ID],MATCH(INVESTORS_LIST[[#This Row],[INVESTOR CODE]],[3]!Table_1[INVESTOR CODE],0))</f>
        <v>#REF!</v>
      </c>
      <c r="AD675" s="201" t="e">
        <f>INDEX([3]!Table_1[Brokerage Name2],MATCH(INVESTORS_LIST[[#This Row],[INVESTOR CODE]],[3]!Table_1[INVESTOR CODE],0))</f>
        <v>#REF!</v>
      </c>
      <c r="AE675" s="201" t="e">
        <f>MID(INVESTORS_LIST[[#This Row],[BO ID]],4,5)</f>
        <v>#REF!</v>
      </c>
      <c r="AF675" s="201" t="e">
        <f>MID(INVESTORS_LIST[[#This Row],[BO ID]],2,7)</f>
        <v>#REF!</v>
      </c>
      <c r="AG675" s="201" t="e">
        <f>MID(INVESTORS_LIST[[#This Row],[BO ID]],9,7)</f>
        <v>#REF!</v>
      </c>
      <c r="AH675" s="201" t="e">
        <f>RIGHT(INVESTORS_LIST[[#This Row],[BO ID]],1)</f>
        <v>#REF!</v>
      </c>
      <c r="AI675" s="50">
        <f>INVESTORS_LIST[[#This Row],[LS_TOTAL COST VALUE OF CURRENT UNITS]]+INVESTORS_LIST[[#This Row],[SIP_TOTAL COST VALUE OF CURRENT UNITS]]</f>
        <v>19999.999999999996</v>
      </c>
      <c r="AJ675" s="109">
        <f>IF(INVESTORS_LIST[[#This Row],[TOTAL CURRENT UNITS]]=0,0,INVESTORS_LIST[[#This Row],[LS_TOTAL CURRENT UNITS]]/INVESTORS_LIST[[#This Row],[TOTAL CURRENT UNITS]])</f>
        <v>0</v>
      </c>
      <c r="AK675" s="109">
        <f>IF(INVESTORS_LIST[[#This Row],[TOTAL CURRENT UNITS]]=0,0,INVESTORS_LIST[[#This Row],[SIP_TOTAL CURRENT UNITS]]/INVESTORS_LIST[[#This Row],[TOTAL CURRENT UNITS]])</f>
        <v>1</v>
      </c>
      <c r="AL675" s="99" cm="1">
        <f t="array" ref="AL6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5" s="99" cm="1">
        <f t="array" ref="AM675">IF(INVESTORS_LIST[[#This Row],[SIP_TOTAL UNITS BUY]]&gt;0,INDEX(SIP[NAV at Cost (Average)],MATCH(CONCATENATE(COUNTIFS(SIP[Investor ID],INVESTORS_LIST[[#This Row],[INVESTOR CODE]]),INVESTORS_LIST[[#This Row],[INVESTOR CODE]]),SIP[Unique Code],0),),0)</f>
        <v>13.888888888888888</v>
      </c>
      <c r="AN675" s="105">
        <f>IF(INVESTORS_LIST[[#This Row],[TOTAL CURRENT UNITS]]=0,0,(INVESTORS_LIST[[#This Row],[LS_WEIGHT]]*INVESTORS_LIST[[#This Row],[LS_AVERAGE COST]])+(INVESTORS_LIST[[#This Row],[SIP_WEIGHT]]*INVESTORS_LIST[[#This Row],[SIP_AVERAGE COST]]))</f>
        <v>13.888888888888888</v>
      </c>
      <c r="AO675" s="105">
        <f t="shared" si="11"/>
        <v>14.224</v>
      </c>
      <c r="AP675" s="112">
        <f>IF(INVESTORS_LIST[[#This Row],[TOTAL CURRENT UNITS]]=0,0,INVESTORS_LIST[[#This Row],[TOTAL CURRENT UNITS]]*INVESTORS_LIST[[#This Row],[NAV]])</f>
        <v>20482.560000000001</v>
      </c>
      <c r="AQ675" s="102">
        <f>IF(INVESTORS_LIST[[#This Row],[LS_TOTAL CURRENT UNITS]]=0,0,INVESTORS_LIST[[#This Row],[LS_TOTAL CURRENT UNITS]]*INVESTORS_LIST[[#This Row],[NAV]])</f>
        <v>0</v>
      </c>
      <c r="AR675" s="48">
        <f>IF(INVESTORS_LIST[[#This Row],[SIP_TOTAL CURRENT UNITS]]=0,0,INVESTORS_LIST[[#This Row],[SIP_TOTAL CURRENT UNITS]]*INVESTORS_LIST[[#This Row],[NAV]])</f>
        <v>20482.560000000001</v>
      </c>
      <c r="AS675" s="50">
        <f>INVESTORS_LIST[[#This Row],[TOTAL CURRENT UNITS]]</f>
        <v>1440</v>
      </c>
      <c r="AT675" s="48">
        <f>IF(INVESTORS_LIST[[#This Row],[TOTAL SELLABLE UNITS]]=0,0,INVESTORS_LIST[[#This Row],[TOTAL SELLABLE UNITS]]*INVESTORS_LIST[[#This Row],[NAV]])</f>
        <v>20482.560000000001</v>
      </c>
      <c r="AU675" s="48">
        <f>INVESTORS_LIST[[#This Row],[LS_TOTAL REALIZED GAIN]]+INVESTORS_LIST[[#This Row],[SIP_TOTAL REALIZED GAIN]]</f>
        <v>0</v>
      </c>
      <c r="AV675" s="48">
        <f>INVESTORS_LIST[[#This Row],[TOTAL MARKET VALUE]]-INVESTORS_LIST[[#This Row],[TOTAL COST VALUE OF CURRENT INVESTMENT]]</f>
        <v>482.56000000000495</v>
      </c>
      <c r="AW675" s="48">
        <f>IFERROR(INVESTORS_LIST[[#This Row],[TOTAL CURRENT UNITS]]/SUM(INVESTORS_LIST[TOTAL CURRENT UNITS]),0)</f>
        <v>3.4957739370389265E-5</v>
      </c>
    </row>
    <row r="676" spans="1:49">
      <c r="A676" s="262" t="s">
        <v>1466</v>
      </c>
      <c r="B676" s="97" t="s">
        <v>1467</v>
      </c>
      <c r="C676" t="s">
        <v>44</v>
      </c>
      <c r="D676" s="75" t="s">
        <v>45</v>
      </c>
      <c r="E676" s="50">
        <f>SUMIFS(LS[Unit],LS[Investor ID],INVESTORS_LIST[[#This Row],[INVESTOR CODE]],LS[B/S],"B")</f>
        <v>109329</v>
      </c>
      <c r="F676" s="50">
        <f>-SUMIFS(LS[Unit],LS[Investor ID],INVESTORS_LIST[[#This Row],[INVESTOR CODE]],LS[B/S],"S")</f>
        <v>0</v>
      </c>
      <c r="G676" s="50">
        <f>IF(INVESTORS_LIST[[#This Row],[LS_TOTAL UNITS BUY]]=0,0,INVESTORS_LIST[[#This Row],[LS_TOTAL UNITS BUY]]-INVESTORS_LIST[[#This Row],[LS_TOTAL UNITS SOLD]])</f>
        <v>109329</v>
      </c>
      <c r="H676" s="102">
        <f>IF(INVESTORS_LIST[[#This Row],[LS_TOTAL UNITS BUY]]=0,0,SUMIFS(LS[Amount],LS[Investor ID],INVESTORS_LIST[[#This Row],[INVESTOR CODE]],LS[B/S],"B"))</f>
        <v>1500000</v>
      </c>
      <c r="I676" s="48">
        <f>IF(INVESTORS_LIST[[#This Row],[LS_TOTAL UNITS SOLD]]=0,0,SUMIFS(LS[Cost of Units Sold],LS[Investor ID],INVESTORS_LIST[[#This Row],[INVESTOR CODE]],LS[B/S],"S"))</f>
        <v>0</v>
      </c>
      <c r="J676" s="48">
        <f>IF(INVESTORS_LIST[[#This Row],[LS_TOTAL CURRENT UNITS]]=0,0,INVESTORS_LIST[[#This Row],[LS_TOTAL CURRENT UNITS]]*INVESTORS_LIST[[#This Row],[LS_AVERAGE COST]])</f>
        <v>1499999.9999999998</v>
      </c>
      <c r="K676" s="48">
        <f>IF(INVESTORS_LIST[[#This Row],[LS_TOTAL UNITS SOLD]]=0,0,SUMIFS(LS[Realized Gain],LS[Investor ID],INVESTORS_LIST[[#This Row],[INVESTOR CODE]],LS[B/S],"S"))</f>
        <v>0</v>
      </c>
      <c r="L676" s="104">
        <f>SUMIFS(SIP[Unit],SIP[Investor ID],INVESTORS_LIST[[#This Row],[INVESTOR CODE]],SIP[B/S],"B")</f>
        <v>0</v>
      </c>
      <c r="M676" s="50">
        <f>-SUMIFS(SIP[Unit],SIP[Investor ID],INVESTORS_LIST[[#This Row],[INVESTOR CODE]],SIP[B/S],"S")</f>
        <v>0</v>
      </c>
      <c r="N676" s="50">
        <f>IF(INVESTORS_LIST[[#This Row],[SIP_TOTAL UNITS BUY]]=0,0,INVESTORS_LIST[[#This Row],[SIP_TOTAL UNITS BUY]]-INVESTORS_LIST[[#This Row],[SIP_TOTAL UNITS SOLD]])</f>
        <v>0</v>
      </c>
      <c r="O676" s="48">
        <f>IF(INVESTORS_LIST[[#This Row],[SIP_TOTAL UNITS BUY]]=0,0,SUMIFS(SIP[Amount],SIP[Investor ID],INVESTORS_LIST[[#This Row],[INVESTOR CODE]],SIP[B/S],"B"))</f>
        <v>0</v>
      </c>
      <c r="P676" s="48">
        <f>IF(INVESTORS_LIST[[#This Row],[SIP_TOTAL UNITS SOLD]]=0,0,SUMIFS(SIP[Cost of Units Sold],SIP[Investor ID],INVESTORS_LIST[[#This Row],[INVESTOR CODE]],SIP[B/S],"S"))</f>
        <v>0</v>
      </c>
      <c r="Q676" s="48">
        <f>IF(INVESTORS_LIST[[#This Row],[SIP_TOTAL CURRENT UNITS]]=0,0,INVESTORS_LIST[[#This Row],[SIP_TOTAL CURRENT UNITS]]*INVESTORS_LIST[[#This Row],[SIP_AVERAGE COST]])</f>
        <v>0</v>
      </c>
      <c r="R676" s="48">
        <f>IF(INVESTORS_LIST[[#This Row],[SIP_TOTAL UNITS SOLD]]=0,0,SUMIFS(SIP[Realized Gain],SIP[Investor ID],INVESTORS_LIST[[#This Row],[INVESTOR CODE]],SIP[B/S],"S"))</f>
        <v>0</v>
      </c>
      <c r="S676" s="50">
        <f>INVESTORS_LIST[[#This Row],[LS_TOTAL UNITS BUY]]+INVESTORS_LIST[[#This Row],[SIP_TOTAL UNITS BUY]]</f>
        <v>109329</v>
      </c>
      <c r="T676" s="50">
        <f>INVESTORS_LIST[[#This Row],[LS_TOTAL UNITS SOLD]]+INVESTORS_LIST[[#This Row],[SIP_TOTAL UNITS SOLD]]</f>
        <v>0</v>
      </c>
      <c r="U676" s="50"/>
      <c r="V676" s="50">
        <f>SUMIFS(LS[BO UNIT TRANSFER],LS[Investor ID],INVESTORS_LIST[[#This Row],[INVESTOR CODE]],LS[B/S],"B")</f>
        <v>0</v>
      </c>
      <c r="W676" s="50">
        <f>SUMIFS(SIP[BO UNIT TRANSFER],SIP[Investor ID],INVESTORS_LIST[[#This Row],[INVESTOR CODE]],SIP[B/S],"B")</f>
        <v>0</v>
      </c>
      <c r="X676" s="50">
        <f>SUMIFS(LS[BO UNIT TRANSFER],LS[Investor ID],INVESTORS_LIST[[#This Row],[INVESTOR CODE]],LS[B/S],"S")</f>
        <v>0</v>
      </c>
      <c r="Y676" s="50">
        <f>SUMIFS(SIP[BO UNIT TRANSFER],SIP[Investor ID],INVESTORS_LIST[[#This Row],[INVESTOR CODE]],SIP[B/S],"S")</f>
        <v>0</v>
      </c>
      <c r="Z676" s="106">
        <f>SUM(INVESTORS_LIST[[#This Row],[BO OPENING BALANCE]:[BO SIP UNITS REPURCHASE]])</f>
        <v>0</v>
      </c>
      <c r="AA676" s="107">
        <f>INVESTORS_LIST[[#This Row],[TOTAL UNITS BUY]]-INVESTORS_LIST[[#This Row],[TOTAL UNITS SOLD]]</f>
        <v>109329</v>
      </c>
      <c r="AB676" s="107">
        <f>INVESTORS_LIST[[#This Row],[TOTAL CURRENT UNITS]]-INVESTORS_LIST[[#This Row],[BO UNITS HOLD]]</f>
        <v>109329</v>
      </c>
      <c r="AC676" s="201" t="e">
        <f>INDEX([3]!Table_1[BO ID],MATCH(INVESTORS_LIST[[#This Row],[INVESTOR CODE]],[3]!Table_1[INVESTOR CODE],0))</f>
        <v>#REF!</v>
      </c>
      <c r="AD676" s="201" t="e">
        <f>INDEX([3]!Table_1[Brokerage Name2],MATCH(INVESTORS_LIST[[#This Row],[INVESTOR CODE]],[3]!Table_1[INVESTOR CODE],0))</f>
        <v>#REF!</v>
      </c>
      <c r="AE676" s="201" t="e">
        <f>MID(INVESTORS_LIST[[#This Row],[BO ID]],4,5)</f>
        <v>#REF!</v>
      </c>
      <c r="AF676" s="201" t="e">
        <f>MID(INVESTORS_LIST[[#This Row],[BO ID]],2,7)</f>
        <v>#REF!</v>
      </c>
      <c r="AG676" s="201" t="e">
        <f>MID(INVESTORS_LIST[[#This Row],[BO ID]],9,7)</f>
        <v>#REF!</v>
      </c>
      <c r="AH676" s="201" t="e">
        <f>RIGHT(INVESTORS_LIST[[#This Row],[BO ID]],1)</f>
        <v>#REF!</v>
      </c>
      <c r="AI676" s="50">
        <f>INVESTORS_LIST[[#This Row],[LS_TOTAL COST VALUE OF CURRENT UNITS]]+INVESTORS_LIST[[#This Row],[SIP_TOTAL COST VALUE OF CURRENT UNITS]]</f>
        <v>1499999.9999999998</v>
      </c>
      <c r="AJ676" s="109">
        <f>IF(INVESTORS_LIST[[#This Row],[TOTAL CURRENT UNITS]]=0,0,INVESTORS_LIST[[#This Row],[LS_TOTAL CURRENT UNITS]]/INVESTORS_LIST[[#This Row],[TOTAL CURRENT UNITS]])</f>
        <v>1</v>
      </c>
      <c r="AK676" s="109">
        <f>IF(INVESTORS_LIST[[#This Row],[TOTAL CURRENT UNITS]]=0,0,INVESTORS_LIST[[#This Row],[SIP_TOTAL CURRENT UNITS]]/INVESTORS_LIST[[#This Row],[TOTAL CURRENT UNITS]])</f>
        <v>0</v>
      </c>
      <c r="AL676" s="99" cm="1">
        <f t="array" ref="AL676">IF(INVESTORS_LIST[[#This Row],[LS_TOTAL UNITS BUY]]&gt;0,INDEX(LS[NAV at Cost (Average)],MATCH(CONCATENATE(COUNTIFS(LS[Investor ID],INVESTORS_LIST[[#This Row],[INVESTOR CODE]]),INVESTORS_LIST[[#This Row],[INVESTOR CODE]]),LS[Unique Code],0),),0)</f>
        <v>13.720055977828387</v>
      </c>
      <c r="AM676" s="99" cm="1">
        <f t="array" ref="AM6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6" s="105">
        <f>IF(INVESTORS_LIST[[#This Row],[TOTAL CURRENT UNITS]]=0,0,(INVESTORS_LIST[[#This Row],[LS_WEIGHT]]*INVESTORS_LIST[[#This Row],[LS_AVERAGE COST]])+(INVESTORS_LIST[[#This Row],[SIP_WEIGHT]]*INVESTORS_LIST[[#This Row],[SIP_AVERAGE COST]]))</f>
        <v>13.720055977828387</v>
      </c>
      <c r="AO676" s="105">
        <f t="shared" si="11"/>
        <v>14.224</v>
      </c>
      <c r="AP676" s="112">
        <f>IF(INVESTORS_LIST[[#This Row],[TOTAL CURRENT UNITS]]=0,0,INVESTORS_LIST[[#This Row],[TOTAL CURRENT UNITS]]*INVESTORS_LIST[[#This Row],[NAV]])</f>
        <v>1555095.696</v>
      </c>
      <c r="AQ676" s="102">
        <f>IF(INVESTORS_LIST[[#This Row],[LS_TOTAL CURRENT UNITS]]=0,0,INVESTORS_LIST[[#This Row],[LS_TOTAL CURRENT UNITS]]*INVESTORS_LIST[[#This Row],[NAV]])</f>
        <v>1555095.696</v>
      </c>
      <c r="AR676" s="48">
        <f>IF(INVESTORS_LIST[[#This Row],[SIP_TOTAL CURRENT UNITS]]=0,0,INVESTORS_LIST[[#This Row],[SIP_TOTAL CURRENT UNITS]]*INVESTORS_LIST[[#This Row],[NAV]])</f>
        <v>0</v>
      </c>
      <c r="AS676" s="50">
        <f>INVESTORS_LIST[[#This Row],[TOTAL CURRENT UNITS]]</f>
        <v>109329</v>
      </c>
      <c r="AT676" s="48">
        <f>IF(INVESTORS_LIST[[#This Row],[TOTAL SELLABLE UNITS]]=0,0,INVESTORS_LIST[[#This Row],[TOTAL SELLABLE UNITS]]*INVESTORS_LIST[[#This Row],[NAV]])</f>
        <v>1555095.696</v>
      </c>
      <c r="AU676" s="48">
        <f>INVESTORS_LIST[[#This Row],[LS_TOTAL REALIZED GAIN]]+INVESTORS_LIST[[#This Row],[SIP_TOTAL REALIZED GAIN]]</f>
        <v>0</v>
      </c>
      <c r="AV676" s="48">
        <f>INVESTORS_LIST[[#This Row],[TOTAL MARKET VALUE]]-INVESTORS_LIST[[#This Row],[TOTAL COST VALUE OF CURRENT INVESTMENT]]</f>
        <v>55095.696000000229</v>
      </c>
      <c r="AW676" s="48">
        <f>IFERROR(INVESTORS_LIST[[#This Row],[TOTAL CURRENT UNITS]]/SUM(INVESTORS_LIST[TOTAL CURRENT UNITS]),0)</f>
        <v>2.6540935330731166E-3</v>
      </c>
    </row>
    <row r="677" spans="1:49">
      <c r="A677" s="262" t="s">
        <v>1470</v>
      </c>
      <c r="B677" s="261" t="s">
        <v>1471</v>
      </c>
      <c r="C677" t="s">
        <v>44</v>
      </c>
      <c r="D677" s="75" t="s">
        <v>45</v>
      </c>
      <c r="E677" s="50">
        <f>SUMIFS(LS[Unit],LS[Investor ID],INVESTORS_LIST[[#This Row],[INVESTOR CODE]],LS[B/S],"B")</f>
        <v>21804</v>
      </c>
      <c r="F677" s="50">
        <f>-SUMIFS(LS[Unit],LS[Investor ID],INVESTORS_LIST[[#This Row],[INVESTOR CODE]],LS[B/S],"S")</f>
        <v>0</v>
      </c>
      <c r="G677" s="50">
        <f>IF(INVESTORS_LIST[[#This Row],[LS_TOTAL UNITS BUY]]=0,0,INVESTORS_LIST[[#This Row],[LS_TOTAL UNITS BUY]]-INVESTORS_LIST[[#This Row],[LS_TOTAL UNITS SOLD]])</f>
        <v>21804</v>
      </c>
      <c r="H677" s="255">
        <f>IF(INVESTORS_LIST[[#This Row],[LS_TOTAL UNITS BUY]]=0,0,SUMIFS(LS[Amount],LS[Investor ID],INVESTORS_LIST[[#This Row],[INVESTOR CODE]],LS[B/S],"B"))</f>
        <v>300000</v>
      </c>
      <c r="I677" s="48">
        <f>IF(INVESTORS_LIST[[#This Row],[LS_TOTAL UNITS SOLD]]=0,0,SUMIFS(LS[Cost of Units Sold],LS[Investor ID],INVESTORS_LIST[[#This Row],[INVESTOR CODE]],LS[B/S],"S"))</f>
        <v>0</v>
      </c>
      <c r="J677" s="48">
        <f>IF(INVESTORS_LIST[[#This Row],[LS_TOTAL CURRENT UNITS]]=0,0,INVESTORS_LIST[[#This Row],[LS_TOTAL CURRENT UNITS]]*INVESTORS_LIST[[#This Row],[LS_AVERAGE COST]])</f>
        <v>300000</v>
      </c>
      <c r="K677" s="48">
        <f>IF(INVESTORS_LIST[[#This Row],[LS_TOTAL UNITS SOLD]]=0,0,SUMIFS(LS[Realized Gain],LS[Investor ID],INVESTORS_LIST[[#This Row],[INVESTOR CODE]],LS[B/S],"S"))</f>
        <v>0</v>
      </c>
      <c r="L677" s="256">
        <f>SUMIFS(SIP[Unit],SIP[Investor ID],INVESTORS_LIST[[#This Row],[INVESTOR CODE]],SIP[B/S],"B")</f>
        <v>0</v>
      </c>
      <c r="M677" s="50">
        <f>-SUMIFS(SIP[Unit],SIP[Investor ID],INVESTORS_LIST[[#This Row],[INVESTOR CODE]],SIP[B/S],"S")</f>
        <v>0</v>
      </c>
      <c r="N677" s="50">
        <f>IF(INVESTORS_LIST[[#This Row],[SIP_TOTAL UNITS BUY]]=0,0,INVESTORS_LIST[[#This Row],[SIP_TOTAL UNITS BUY]]-INVESTORS_LIST[[#This Row],[SIP_TOTAL UNITS SOLD]])</f>
        <v>0</v>
      </c>
      <c r="O677" s="48">
        <f>IF(INVESTORS_LIST[[#This Row],[SIP_TOTAL UNITS BUY]]=0,0,SUMIFS(SIP[Amount],SIP[Investor ID],INVESTORS_LIST[[#This Row],[INVESTOR CODE]],SIP[B/S],"B"))</f>
        <v>0</v>
      </c>
      <c r="P677" s="48">
        <f>IF(INVESTORS_LIST[[#This Row],[SIP_TOTAL UNITS SOLD]]=0,0,SUMIFS(SIP[Cost of Units Sold],SIP[Investor ID],INVESTORS_LIST[[#This Row],[INVESTOR CODE]],SIP[B/S],"S"))</f>
        <v>0</v>
      </c>
      <c r="Q677" s="48">
        <f>IF(INVESTORS_LIST[[#This Row],[SIP_TOTAL CURRENT UNITS]]=0,0,INVESTORS_LIST[[#This Row],[SIP_TOTAL CURRENT UNITS]]*INVESTORS_LIST[[#This Row],[SIP_AVERAGE COST]])</f>
        <v>0</v>
      </c>
      <c r="R677" s="48">
        <f>IF(INVESTORS_LIST[[#This Row],[SIP_TOTAL UNITS SOLD]]=0,0,SUMIFS(SIP[Realized Gain],SIP[Investor ID],INVESTORS_LIST[[#This Row],[INVESTOR CODE]],SIP[B/S],"S"))</f>
        <v>0</v>
      </c>
      <c r="S677" s="50">
        <f>INVESTORS_LIST[[#This Row],[LS_TOTAL UNITS BUY]]+INVESTORS_LIST[[#This Row],[SIP_TOTAL UNITS BUY]]</f>
        <v>21804</v>
      </c>
      <c r="T677" s="50">
        <f>INVESTORS_LIST[[#This Row],[LS_TOTAL UNITS SOLD]]+INVESTORS_LIST[[#This Row],[SIP_TOTAL UNITS SOLD]]</f>
        <v>0</v>
      </c>
      <c r="U677" s="50"/>
      <c r="V677" s="50">
        <f>SUMIFS(LS[BO UNIT TRANSFER],LS[Investor ID],INVESTORS_LIST[[#This Row],[INVESTOR CODE]],LS[B/S],"B")</f>
        <v>21804</v>
      </c>
      <c r="W677" s="50">
        <f>SUMIFS(SIP[BO UNIT TRANSFER],SIP[Investor ID],INVESTORS_LIST[[#This Row],[INVESTOR CODE]],SIP[B/S],"B")</f>
        <v>0</v>
      </c>
      <c r="X677" s="50">
        <f>SUMIFS(LS[BO UNIT TRANSFER],LS[Investor ID],INVESTORS_LIST[[#This Row],[INVESTOR CODE]],LS[B/S],"S")</f>
        <v>0</v>
      </c>
      <c r="Y677" s="50">
        <f>SUMIFS(SIP[BO UNIT TRANSFER],SIP[Investor ID],INVESTORS_LIST[[#This Row],[INVESTOR CODE]],SIP[B/S],"S")</f>
        <v>0</v>
      </c>
      <c r="Z677" s="106">
        <f>SUM(INVESTORS_LIST[[#This Row],[BO OPENING BALANCE]:[BO SIP UNITS REPURCHASE]])</f>
        <v>21804</v>
      </c>
      <c r="AA677" s="107">
        <f>INVESTORS_LIST[[#This Row],[TOTAL UNITS BUY]]-INVESTORS_LIST[[#This Row],[TOTAL UNITS SOLD]]</f>
        <v>21804</v>
      </c>
      <c r="AB677" s="107">
        <f>INVESTORS_LIST[[#This Row],[TOTAL CURRENT UNITS]]-INVESTORS_LIST[[#This Row],[BO UNITS HOLD]]</f>
        <v>0</v>
      </c>
      <c r="AC677" s="201" t="e">
        <f>INDEX([3]!Table_1[BO ID],MATCH(INVESTORS_LIST[[#This Row],[INVESTOR CODE]],[3]!Table_1[INVESTOR CODE],0))</f>
        <v>#REF!</v>
      </c>
      <c r="AD677" s="201" t="e">
        <f>INDEX([3]!Table_1[Brokerage Name2],MATCH(INVESTORS_LIST[[#This Row],[INVESTOR CODE]],[3]!Table_1[INVESTOR CODE],0))</f>
        <v>#REF!</v>
      </c>
      <c r="AE677" s="201" t="e">
        <f>MID(INVESTORS_LIST[[#This Row],[BO ID]],4,5)</f>
        <v>#REF!</v>
      </c>
      <c r="AF677" s="201" t="e">
        <f>MID(INVESTORS_LIST[[#This Row],[BO ID]],2,7)</f>
        <v>#REF!</v>
      </c>
      <c r="AG677" s="201" t="e">
        <f>MID(INVESTORS_LIST[[#This Row],[BO ID]],9,7)</f>
        <v>#REF!</v>
      </c>
      <c r="AH677" s="201" t="e">
        <f>RIGHT(INVESTORS_LIST[[#This Row],[BO ID]],1)</f>
        <v>#REF!</v>
      </c>
      <c r="AI677" s="50">
        <f>INVESTORS_LIST[[#This Row],[LS_TOTAL COST VALUE OF CURRENT UNITS]]+INVESTORS_LIST[[#This Row],[SIP_TOTAL COST VALUE OF CURRENT UNITS]]</f>
        <v>300000</v>
      </c>
      <c r="AJ677" s="109">
        <f>IF(INVESTORS_LIST[[#This Row],[TOTAL CURRENT UNITS]]=0,0,INVESTORS_LIST[[#This Row],[LS_TOTAL CURRENT UNITS]]/INVESTORS_LIST[[#This Row],[TOTAL CURRENT UNITS]])</f>
        <v>1</v>
      </c>
      <c r="AK677" s="109">
        <f>IF(INVESTORS_LIST[[#This Row],[TOTAL CURRENT UNITS]]=0,0,INVESTORS_LIST[[#This Row],[SIP_TOTAL CURRENT UNITS]]/INVESTORS_LIST[[#This Row],[TOTAL CURRENT UNITS]])</f>
        <v>0</v>
      </c>
      <c r="AL677" s="257" cm="1">
        <f t="array" ref="AL677">IF(INVESTORS_LIST[[#This Row],[LS_TOTAL UNITS BUY]]&gt;0,INDEX(LS[NAV at Cost (Average)],MATCH(CONCATENATE(COUNTIFS(LS[Investor ID],INVESTORS_LIST[[#This Row],[INVESTOR CODE]]),INVESTORS_LIST[[#This Row],[INVESTOR CODE]]),LS[Unique Code],0),),0)</f>
        <v>13.75894331315355</v>
      </c>
      <c r="AM677" s="257" cm="1">
        <f t="array" ref="AM6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7" s="105">
        <f>IF(INVESTORS_LIST[[#This Row],[TOTAL CURRENT UNITS]]=0,0,(INVESTORS_LIST[[#This Row],[LS_WEIGHT]]*INVESTORS_LIST[[#This Row],[LS_AVERAGE COST]])+(INVESTORS_LIST[[#This Row],[SIP_WEIGHT]]*INVESTORS_LIST[[#This Row],[SIP_AVERAGE COST]]))</f>
        <v>13.75894331315355</v>
      </c>
      <c r="AO677" s="105">
        <f t="shared" si="11"/>
        <v>14.224</v>
      </c>
      <c r="AP677" s="112">
        <f>IF(INVESTORS_LIST[[#This Row],[TOTAL CURRENT UNITS]]=0,0,INVESTORS_LIST[[#This Row],[TOTAL CURRENT UNITS]]*INVESTORS_LIST[[#This Row],[NAV]])</f>
        <v>310140.09600000002</v>
      </c>
      <c r="AQ677" s="255">
        <f>IF(INVESTORS_LIST[[#This Row],[LS_TOTAL CURRENT UNITS]]=0,0,INVESTORS_LIST[[#This Row],[LS_TOTAL CURRENT UNITS]]*INVESTORS_LIST[[#This Row],[NAV]])</f>
        <v>310140.09600000002</v>
      </c>
      <c r="AR677" s="48">
        <f>IF(INVESTORS_LIST[[#This Row],[SIP_TOTAL CURRENT UNITS]]=0,0,INVESTORS_LIST[[#This Row],[SIP_TOTAL CURRENT UNITS]]*INVESTORS_LIST[[#This Row],[NAV]])</f>
        <v>0</v>
      </c>
      <c r="AS677" s="50">
        <f>INVESTORS_LIST[[#This Row],[TOTAL CURRENT UNITS]]</f>
        <v>21804</v>
      </c>
      <c r="AT677" s="48">
        <f>IF(INVESTORS_LIST[[#This Row],[TOTAL SELLABLE UNITS]]=0,0,INVESTORS_LIST[[#This Row],[TOTAL SELLABLE UNITS]]*INVESTORS_LIST[[#This Row],[NAV]])</f>
        <v>310140.09600000002</v>
      </c>
      <c r="AU677" s="48">
        <f>INVESTORS_LIST[[#This Row],[LS_TOTAL REALIZED GAIN]]+INVESTORS_LIST[[#This Row],[SIP_TOTAL REALIZED GAIN]]</f>
        <v>0</v>
      </c>
      <c r="AV677" s="48">
        <f>INVESTORS_LIST[[#This Row],[TOTAL MARKET VALUE]]-INVESTORS_LIST[[#This Row],[TOTAL COST VALUE OF CURRENT INVESTMENT]]</f>
        <v>10140.09600000002</v>
      </c>
      <c r="AW677" s="48">
        <f>IFERROR(INVESTORS_LIST[[#This Row],[TOTAL CURRENT UNITS]]/SUM(INVESTORS_LIST[TOTAL CURRENT UNITS]),0)</f>
        <v>5.2931843696664416E-4</v>
      </c>
    </row>
    <row r="678" spans="1:49">
      <c r="A678" s="262" t="s">
        <v>560</v>
      </c>
      <c r="B678" s="97" t="s">
        <v>1468</v>
      </c>
      <c r="C678" t="s">
        <v>44</v>
      </c>
      <c r="D678" s="75" t="s">
        <v>45</v>
      </c>
      <c r="E678" s="50">
        <f>SUMIFS(LS[Unit],LS[Investor ID],INVESTORS_LIST[[#This Row],[INVESTOR CODE]],LS[B/S],"B")</f>
        <v>123303</v>
      </c>
      <c r="F678" s="50">
        <f>-SUMIFS(LS[Unit],LS[Investor ID],INVESTORS_LIST[[#This Row],[INVESTOR CODE]],LS[B/S],"S")</f>
        <v>24527</v>
      </c>
      <c r="G678" s="50">
        <f>IF(INVESTORS_LIST[[#This Row],[LS_TOTAL UNITS BUY]]=0,0,INVESTORS_LIST[[#This Row],[LS_TOTAL UNITS BUY]]-INVESTORS_LIST[[#This Row],[LS_TOTAL UNITS SOLD]])</f>
        <v>98776</v>
      </c>
      <c r="H678" s="102">
        <f>IF(INVESTORS_LIST[[#This Row],[LS_TOTAL UNITS BUY]]=0,0,SUMIFS(LS[Amount],LS[Investor ID],INVESTORS_LIST[[#This Row],[INVESTOR CODE]],LS[B/S],"B"))</f>
        <v>1350000</v>
      </c>
      <c r="I678" s="48">
        <f>IF(INVESTORS_LIST[[#This Row],[LS_TOTAL UNITS SOLD]]=0,0,SUMIFS(LS[Cost of Units Sold],LS[Investor ID],INVESTORS_LIST[[#This Row],[INVESTOR CODE]],LS[B/S],"S"))</f>
        <v>250000</v>
      </c>
      <c r="J678" s="48">
        <f>IF(INVESTORS_LIST[[#This Row],[LS_TOTAL CURRENT UNITS]]=0,0,INVESTORS_LIST[[#This Row],[LS_TOTAL CURRENT UNITS]]*INVESTORS_LIST[[#This Row],[LS_AVERAGE COST]])</f>
        <v>1100000</v>
      </c>
      <c r="K678" s="48">
        <f>IF(INVESTORS_LIST[[#This Row],[LS_TOTAL UNITS SOLD]]=0,0,SUMIFS(LS[Realized Gain],LS[Investor ID],INVESTORS_LIST[[#This Row],[INVESTOR CODE]],LS[B/S],"S"))</f>
        <v>2873.3700000000226</v>
      </c>
      <c r="L678" s="104">
        <f>SUMIFS(SIP[Unit],SIP[Investor ID],INVESTORS_LIST[[#This Row],[INVESTOR CODE]],SIP[B/S],"B")</f>
        <v>0</v>
      </c>
      <c r="M678" s="50">
        <f>-SUMIFS(SIP[Unit],SIP[Investor ID],INVESTORS_LIST[[#This Row],[INVESTOR CODE]],SIP[B/S],"S")</f>
        <v>0</v>
      </c>
      <c r="N678" s="50">
        <f>IF(INVESTORS_LIST[[#This Row],[SIP_TOTAL UNITS BUY]]=0,0,INVESTORS_LIST[[#This Row],[SIP_TOTAL UNITS BUY]]-INVESTORS_LIST[[#This Row],[SIP_TOTAL UNITS SOLD]])</f>
        <v>0</v>
      </c>
      <c r="O678" s="48">
        <f>IF(INVESTORS_LIST[[#This Row],[SIP_TOTAL UNITS BUY]]=0,0,SUMIFS(SIP[Amount],SIP[Investor ID],INVESTORS_LIST[[#This Row],[INVESTOR CODE]],SIP[B/S],"B"))</f>
        <v>0</v>
      </c>
      <c r="P678" s="48">
        <f>IF(INVESTORS_LIST[[#This Row],[SIP_TOTAL UNITS SOLD]]=0,0,SUMIFS(SIP[Cost of Units Sold],SIP[Investor ID],INVESTORS_LIST[[#This Row],[INVESTOR CODE]],SIP[B/S],"S"))</f>
        <v>0</v>
      </c>
      <c r="Q678" s="48">
        <f>IF(INVESTORS_LIST[[#This Row],[SIP_TOTAL CURRENT UNITS]]=0,0,INVESTORS_LIST[[#This Row],[SIP_TOTAL CURRENT UNITS]]*INVESTORS_LIST[[#This Row],[SIP_AVERAGE COST]])</f>
        <v>0</v>
      </c>
      <c r="R678" s="48">
        <f>IF(INVESTORS_LIST[[#This Row],[SIP_TOTAL UNITS SOLD]]=0,0,SUMIFS(SIP[Realized Gain],SIP[Investor ID],INVESTORS_LIST[[#This Row],[INVESTOR CODE]],SIP[B/S],"S"))</f>
        <v>0</v>
      </c>
      <c r="S678" s="50">
        <f>INVESTORS_LIST[[#This Row],[LS_TOTAL UNITS BUY]]+INVESTORS_LIST[[#This Row],[SIP_TOTAL UNITS BUY]]</f>
        <v>123303</v>
      </c>
      <c r="T678" s="50">
        <f>INVESTORS_LIST[[#This Row],[LS_TOTAL UNITS SOLD]]+INVESTORS_LIST[[#This Row],[SIP_TOTAL UNITS SOLD]]</f>
        <v>24527</v>
      </c>
      <c r="U678" s="50">
        <v>90802</v>
      </c>
      <c r="V678" s="50">
        <f>SUMIFS(LS[BO UNIT TRANSFER],LS[Investor ID],INVESTORS_LIST[[#This Row],[INVESTOR CODE]],LS[B/S],"B")</f>
        <v>7974</v>
      </c>
      <c r="W678" s="50">
        <f>SUMIFS(SIP[BO UNIT TRANSFER],SIP[Investor ID],INVESTORS_LIST[[#This Row],[INVESTOR CODE]],SIP[B/S],"B")</f>
        <v>0</v>
      </c>
      <c r="X678" s="50">
        <f>SUMIFS(LS[BO UNIT TRANSFER],LS[Investor ID],INVESTORS_LIST[[#This Row],[INVESTOR CODE]],LS[B/S],"S")</f>
        <v>0</v>
      </c>
      <c r="Y678" s="50">
        <f>SUMIFS(SIP[BO UNIT TRANSFER],SIP[Investor ID],INVESTORS_LIST[[#This Row],[INVESTOR CODE]],SIP[B/S],"S")</f>
        <v>0</v>
      </c>
      <c r="Z678" s="106">
        <f>SUM(INVESTORS_LIST[[#This Row],[BO OPENING BALANCE]:[BO SIP UNITS REPURCHASE]])</f>
        <v>98776</v>
      </c>
      <c r="AA678" s="107">
        <f>INVESTORS_LIST[[#This Row],[TOTAL UNITS BUY]]-INVESTORS_LIST[[#This Row],[TOTAL UNITS SOLD]]</f>
        <v>98776</v>
      </c>
      <c r="AB678" s="107">
        <f>INVESTORS_LIST[[#This Row],[TOTAL CURRENT UNITS]]-INVESTORS_LIST[[#This Row],[BO UNITS HOLD]]</f>
        <v>0</v>
      </c>
      <c r="AC678" s="201" t="e">
        <f>INDEX([3]!Table_1[BO ID],MATCH(INVESTORS_LIST[[#This Row],[INVESTOR CODE]],[3]!Table_1[INVESTOR CODE],0))</f>
        <v>#REF!</v>
      </c>
      <c r="AD678" s="201" t="e">
        <f>INDEX([3]!Table_1[Brokerage Name2],MATCH(INVESTORS_LIST[[#This Row],[INVESTOR CODE]],[3]!Table_1[INVESTOR CODE],0))</f>
        <v>#REF!</v>
      </c>
      <c r="AE678" s="201" t="e">
        <f>MID(INVESTORS_LIST[[#This Row],[BO ID]],4,5)</f>
        <v>#REF!</v>
      </c>
      <c r="AF678" s="201" t="e">
        <f>MID(INVESTORS_LIST[[#This Row],[BO ID]],2,7)</f>
        <v>#REF!</v>
      </c>
      <c r="AG678" s="201" t="e">
        <f>MID(INVESTORS_LIST[[#This Row],[BO ID]],9,7)</f>
        <v>#REF!</v>
      </c>
      <c r="AH678" s="201" t="e">
        <f>RIGHT(INVESTORS_LIST[[#This Row],[BO ID]],1)</f>
        <v>#REF!</v>
      </c>
      <c r="AI678" s="50">
        <f>INVESTORS_LIST[[#This Row],[LS_TOTAL COST VALUE OF CURRENT UNITS]]+INVESTORS_LIST[[#This Row],[SIP_TOTAL COST VALUE OF CURRENT UNITS]]</f>
        <v>1100000</v>
      </c>
      <c r="AJ678" s="109">
        <f>IF(INVESTORS_LIST[[#This Row],[TOTAL CURRENT UNITS]]=0,0,INVESTORS_LIST[[#This Row],[LS_TOTAL CURRENT UNITS]]/INVESTORS_LIST[[#This Row],[TOTAL CURRENT UNITS]])</f>
        <v>1</v>
      </c>
      <c r="AK678" s="109">
        <f>IF(INVESTORS_LIST[[#This Row],[TOTAL CURRENT UNITS]]=0,0,INVESTORS_LIST[[#This Row],[SIP_TOTAL CURRENT UNITS]]/INVESTORS_LIST[[#This Row],[TOTAL CURRENT UNITS]])</f>
        <v>0</v>
      </c>
      <c r="AL678" s="99" cm="1">
        <f t="array" ref="AL678">IF(INVESTORS_LIST[[#This Row],[LS_TOTAL UNITS BUY]]&gt;0,INDEX(LS[NAV at Cost (Average)],MATCH(CONCATENATE(COUNTIFS(LS[Investor ID],INVESTORS_LIST[[#This Row],[INVESTOR CODE]]),INVESTORS_LIST[[#This Row],[INVESTOR CODE]]),LS[Unique Code],0),),0)</f>
        <v>11.136308414999595</v>
      </c>
      <c r="AM678" s="99" cm="1">
        <f t="array" ref="AM6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8" s="105">
        <f>IF(INVESTORS_LIST[[#This Row],[TOTAL CURRENT UNITS]]=0,0,(INVESTORS_LIST[[#This Row],[LS_WEIGHT]]*INVESTORS_LIST[[#This Row],[LS_AVERAGE COST]])+(INVESTORS_LIST[[#This Row],[SIP_WEIGHT]]*INVESTORS_LIST[[#This Row],[SIP_AVERAGE COST]]))</f>
        <v>11.136308414999595</v>
      </c>
      <c r="AO678" s="105">
        <f t="shared" si="11"/>
        <v>14.224</v>
      </c>
      <c r="AP678" s="112">
        <f>IF(INVESTORS_LIST[[#This Row],[TOTAL CURRENT UNITS]]=0,0,INVESTORS_LIST[[#This Row],[TOTAL CURRENT UNITS]]*INVESTORS_LIST[[#This Row],[NAV]])</f>
        <v>1404989.824</v>
      </c>
      <c r="AQ678" s="102">
        <f>IF(INVESTORS_LIST[[#This Row],[LS_TOTAL CURRENT UNITS]]=0,0,INVESTORS_LIST[[#This Row],[LS_TOTAL CURRENT UNITS]]*INVESTORS_LIST[[#This Row],[NAV]])</f>
        <v>1404989.824</v>
      </c>
      <c r="AR678" s="48">
        <f>IF(INVESTORS_LIST[[#This Row],[SIP_TOTAL CURRENT UNITS]]=0,0,INVESTORS_LIST[[#This Row],[SIP_TOTAL CURRENT UNITS]]*INVESTORS_LIST[[#This Row],[NAV]])</f>
        <v>0</v>
      </c>
      <c r="AS678" s="50">
        <f>INVESTORS_LIST[[#This Row],[TOTAL CURRENT UNITS]]</f>
        <v>98776</v>
      </c>
      <c r="AT678" s="48">
        <f>IF(INVESTORS_LIST[[#This Row],[TOTAL SELLABLE UNITS]]=0,0,INVESTORS_LIST[[#This Row],[TOTAL SELLABLE UNITS]]*INVESTORS_LIST[[#This Row],[NAV]])</f>
        <v>1404989.824</v>
      </c>
      <c r="AU678" s="48">
        <f>INVESTORS_LIST[[#This Row],[LS_TOTAL REALIZED GAIN]]+INVESTORS_LIST[[#This Row],[SIP_TOTAL REALIZED GAIN]]</f>
        <v>2873.3700000000226</v>
      </c>
      <c r="AV678" s="48">
        <f>INVESTORS_LIST[[#This Row],[TOTAL MARKET VALUE]]-INVESTORS_LIST[[#This Row],[TOTAL COST VALUE OF CURRENT INVESTMENT]]</f>
        <v>304989.82400000002</v>
      </c>
      <c r="AW678" s="48">
        <f>IFERROR(INVESTORS_LIST[[#This Row],[TOTAL CURRENT UNITS]]/SUM(INVESTORS_LIST[TOTAL CURRENT UNITS]),0)</f>
        <v>2.3979067111455348E-3</v>
      </c>
    </row>
    <row r="679" spans="1:49" hidden="1">
      <c r="A679" s="262" t="s">
        <v>1472</v>
      </c>
      <c r="B679" s="97" t="s">
        <v>1473</v>
      </c>
      <c r="C679" t="s">
        <v>44</v>
      </c>
      <c r="D679" s="75" t="s">
        <v>45</v>
      </c>
      <c r="E679" s="50">
        <f>SUMIFS(LS[Unit],LS[Investor ID],INVESTORS_LIST[[#This Row],[INVESTOR CODE]],LS[B/S],"B")</f>
        <v>0</v>
      </c>
      <c r="F679" s="50">
        <f>-SUMIFS(LS[Unit],LS[Investor ID],INVESTORS_LIST[[#This Row],[INVESTOR CODE]],LS[B/S],"S")</f>
        <v>0</v>
      </c>
      <c r="G679" s="50">
        <f>IF(INVESTORS_LIST[[#This Row],[LS_TOTAL UNITS BUY]]=0,0,INVESTORS_LIST[[#This Row],[LS_TOTAL UNITS BUY]]-INVESTORS_LIST[[#This Row],[LS_TOTAL UNITS SOLD]])</f>
        <v>0</v>
      </c>
      <c r="H679" s="102">
        <f>IF(INVESTORS_LIST[[#This Row],[LS_TOTAL UNITS BUY]]=0,0,SUMIFS(LS[Amount],LS[Investor ID],INVESTORS_LIST[[#This Row],[INVESTOR CODE]],LS[B/S],"B"))</f>
        <v>0</v>
      </c>
      <c r="I679" s="48">
        <f>IF(INVESTORS_LIST[[#This Row],[LS_TOTAL UNITS SOLD]]=0,0,SUMIFS(LS[Cost of Units Sold],LS[Investor ID],INVESTORS_LIST[[#This Row],[INVESTOR CODE]],LS[B/S],"S"))</f>
        <v>0</v>
      </c>
      <c r="J679" s="48">
        <f>IF(INVESTORS_LIST[[#This Row],[LS_TOTAL CURRENT UNITS]]=0,0,INVESTORS_LIST[[#This Row],[LS_TOTAL CURRENT UNITS]]*INVESTORS_LIST[[#This Row],[LS_AVERAGE COST]])</f>
        <v>0</v>
      </c>
      <c r="K679" s="48">
        <f>IF(INVESTORS_LIST[[#This Row],[LS_TOTAL UNITS SOLD]]=0,0,SUMIFS(LS[Realized Gain],LS[Investor ID],INVESTORS_LIST[[#This Row],[INVESTOR CODE]],LS[B/S],"S"))</f>
        <v>0</v>
      </c>
      <c r="L679" s="104">
        <f>SUMIFS(SIP[Unit],SIP[Investor ID],INVESTORS_LIST[[#This Row],[INVESTOR CODE]],SIP[B/S],"B")</f>
        <v>0</v>
      </c>
      <c r="M679" s="50">
        <f>-SUMIFS(SIP[Unit],SIP[Investor ID],INVESTORS_LIST[[#This Row],[INVESTOR CODE]],SIP[B/S],"S")</f>
        <v>0</v>
      </c>
      <c r="N679" s="50">
        <f>IF(INVESTORS_LIST[[#This Row],[SIP_TOTAL UNITS BUY]]=0,0,INVESTORS_LIST[[#This Row],[SIP_TOTAL UNITS BUY]]-INVESTORS_LIST[[#This Row],[SIP_TOTAL UNITS SOLD]])</f>
        <v>0</v>
      </c>
      <c r="O679" s="48">
        <f>IF(INVESTORS_LIST[[#This Row],[SIP_TOTAL UNITS BUY]]=0,0,SUMIFS(SIP[Amount],SIP[Investor ID],INVESTORS_LIST[[#This Row],[INVESTOR CODE]],SIP[B/S],"B"))</f>
        <v>0</v>
      </c>
      <c r="P679" s="48">
        <f>IF(INVESTORS_LIST[[#This Row],[SIP_TOTAL UNITS SOLD]]=0,0,SUMIFS(SIP[Cost of Units Sold],SIP[Investor ID],INVESTORS_LIST[[#This Row],[INVESTOR CODE]],SIP[B/S],"S"))</f>
        <v>0</v>
      </c>
      <c r="Q679" s="48">
        <f>IF(INVESTORS_LIST[[#This Row],[SIP_TOTAL CURRENT UNITS]]=0,0,INVESTORS_LIST[[#This Row],[SIP_TOTAL CURRENT UNITS]]*INVESTORS_LIST[[#This Row],[SIP_AVERAGE COST]])</f>
        <v>0</v>
      </c>
      <c r="R679" s="48">
        <f>IF(INVESTORS_LIST[[#This Row],[SIP_TOTAL UNITS SOLD]]=0,0,SUMIFS(SIP[Realized Gain],SIP[Investor ID],INVESTORS_LIST[[#This Row],[INVESTOR CODE]],SIP[B/S],"S"))</f>
        <v>0</v>
      </c>
      <c r="S679" s="50">
        <f>INVESTORS_LIST[[#This Row],[LS_TOTAL UNITS BUY]]+INVESTORS_LIST[[#This Row],[SIP_TOTAL UNITS BUY]]</f>
        <v>0</v>
      </c>
      <c r="T679" s="50">
        <f>INVESTORS_LIST[[#This Row],[LS_TOTAL UNITS SOLD]]+INVESTORS_LIST[[#This Row],[SIP_TOTAL UNITS SOLD]]</f>
        <v>0</v>
      </c>
      <c r="U679" s="50"/>
      <c r="V679" s="50">
        <f>SUMIFS(LS[BO UNIT TRANSFER],LS[Investor ID],INVESTORS_LIST[[#This Row],[INVESTOR CODE]],LS[B/S],"B")</f>
        <v>0</v>
      </c>
      <c r="W679" s="50">
        <f>SUMIFS(SIP[BO UNIT TRANSFER],SIP[Investor ID],INVESTORS_LIST[[#This Row],[INVESTOR CODE]],SIP[B/S],"B")</f>
        <v>0</v>
      </c>
      <c r="X679" s="50">
        <f>SUMIFS(LS[BO UNIT TRANSFER],LS[Investor ID],INVESTORS_LIST[[#This Row],[INVESTOR CODE]],LS[B/S],"S")</f>
        <v>0</v>
      </c>
      <c r="Y679" s="50">
        <f>SUMIFS(SIP[BO UNIT TRANSFER],SIP[Investor ID],INVESTORS_LIST[[#This Row],[INVESTOR CODE]],SIP[B/S],"S")</f>
        <v>0</v>
      </c>
      <c r="Z679" s="106">
        <f>SUM(INVESTORS_LIST[[#This Row],[BO OPENING BALANCE]:[BO SIP UNITS REPURCHASE]])</f>
        <v>0</v>
      </c>
      <c r="AA679" s="107">
        <f>INVESTORS_LIST[[#This Row],[TOTAL UNITS BUY]]-INVESTORS_LIST[[#This Row],[TOTAL UNITS SOLD]]</f>
        <v>0</v>
      </c>
      <c r="AB679" s="107">
        <f>INVESTORS_LIST[[#This Row],[TOTAL CURRENT UNITS]]-INVESTORS_LIST[[#This Row],[BO UNITS HOLD]]</f>
        <v>0</v>
      </c>
      <c r="AC679" s="201" t="e">
        <f>INDEX([3]!Table_1[BO ID],MATCH(INVESTORS_LIST[[#This Row],[INVESTOR CODE]],[3]!Table_1[INVESTOR CODE],0))</f>
        <v>#REF!</v>
      </c>
      <c r="AD679" s="201" t="e">
        <f>INDEX([3]!Table_1[Brokerage Name2],MATCH(INVESTORS_LIST[[#This Row],[INVESTOR CODE]],[3]!Table_1[INVESTOR CODE],0))</f>
        <v>#REF!</v>
      </c>
      <c r="AE679" s="201" t="e">
        <f>MID(INVESTORS_LIST[[#This Row],[BO ID]],4,5)</f>
        <v>#REF!</v>
      </c>
      <c r="AF679" s="201" t="e">
        <f>MID(INVESTORS_LIST[[#This Row],[BO ID]],2,7)</f>
        <v>#REF!</v>
      </c>
      <c r="AG679" s="201" t="e">
        <f>MID(INVESTORS_LIST[[#This Row],[BO ID]],9,7)</f>
        <v>#REF!</v>
      </c>
      <c r="AH679" s="201" t="e">
        <f>RIGHT(INVESTORS_LIST[[#This Row],[BO ID]],1)</f>
        <v>#REF!</v>
      </c>
      <c r="AI679" s="50">
        <f>INVESTORS_LIST[[#This Row],[LS_TOTAL COST VALUE OF CURRENT UNITS]]+INVESTORS_LIST[[#This Row],[SIP_TOTAL COST VALUE OF CURRENT UNITS]]</f>
        <v>0</v>
      </c>
      <c r="AJ679" s="109">
        <f>IF(INVESTORS_LIST[[#This Row],[TOTAL CURRENT UNITS]]=0,0,INVESTORS_LIST[[#This Row],[LS_TOTAL CURRENT UNITS]]/INVESTORS_LIST[[#This Row],[TOTAL CURRENT UNITS]])</f>
        <v>0</v>
      </c>
      <c r="AK679" s="109">
        <f>IF(INVESTORS_LIST[[#This Row],[TOTAL CURRENT UNITS]]=0,0,INVESTORS_LIST[[#This Row],[SIP_TOTAL CURRENT UNITS]]/INVESTORS_LIST[[#This Row],[TOTAL CURRENT UNITS]])</f>
        <v>0</v>
      </c>
      <c r="AL679" s="99" cm="1">
        <f t="array" ref="AL6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79" s="99" cm="1">
        <f t="array" ref="AM6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7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79" s="105">
        <f t="shared" si="11"/>
        <v>14.224</v>
      </c>
      <c r="AP679" s="112">
        <f>IF(INVESTORS_LIST[[#This Row],[TOTAL CURRENT UNITS]]=0,0,INVESTORS_LIST[[#This Row],[TOTAL CURRENT UNITS]]*INVESTORS_LIST[[#This Row],[NAV]])</f>
        <v>0</v>
      </c>
      <c r="AQ679" s="102">
        <f>IF(INVESTORS_LIST[[#This Row],[LS_TOTAL CURRENT UNITS]]=0,0,INVESTORS_LIST[[#This Row],[LS_TOTAL CURRENT UNITS]]*INVESTORS_LIST[[#This Row],[NAV]])</f>
        <v>0</v>
      </c>
      <c r="AR679" s="48">
        <f>IF(INVESTORS_LIST[[#This Row],[SIP_TOTAL CURRENT UNITS]]=0,0,INVESTORS_LIST[[#This Row],[SIP_TOTAL CURRENT UNITS]]*INVESTORS_LIST[[#This Row],[NAV]])</f>
        <v>0</v>
      </c>
      <c r="AS679" s="50">
        <f>INVESTORS_LIST[[#This Row],[TOTAL CURRENT UNITS]]</f>
        <v>0</v>
      </c>
      <c r="AT679" s="48">
        <f>IF(INVESTORS_LIST[[#This Row],[TOTAL SELLABLE UNITS]]=0,0,INVESTORS_LIST[[#This Row],[TOTAL SELLABLE UNITS]]*INVESTORS_LIST[[#This Row],[NAV]])</f>
        <v>0</v>
      </c>
      <c r="AU679" s="48">
        <f>INVESTORS_LIST[[#This Row],[LS_TOTAL REALIZED GAIN]]+INVESTORS_LIST[[#This Row],[SIP_TOTAL REALIZED GAIN]]</f>
        <v>0</v>
      </c>
      <c r="AV679" s="48">
        <f>INVESTORS_LIST[[#This Row],[TOTAL MARKET VALUE]]-INVESTORS_LIST[[#This Row],[TOTAL COST VALUE OF CURRENT INVESTMENT]]</f>
        <v>0</v>
      </c>
      <c r="AW679" s="48">
        <f>IFERROR(INVESTORS_LIST[[#This Row],[TOTAL CURRENT UNITS]]/SUM(INVESTORS_LIST[TOTAL CURRENT UNITS]),0)</f>
        <v>0</v>
      </c>
    </row>
    <row r="680" spans="1:49" hidden="1">
      <c r="A680" s="262" t="s">
        <v>1477</v>
      </c>
      <c r="B680" s="127" t="s">
        <v>1532</v>
      </c>
      <c r="C680" t="s">
        <v>44</v>
      </c>
      <c r="D680" s="75" t="s">
        <v>45</v>
      </c>
      <c r="E680" s="50">
        <f>SUMIFS(LS[Unit],LS[Investor ID],INVESTORS_LIST[[#This Row],[INVESTOR CODE]],LS[B/S],"B")</f>
        <v>0</v>
      </c>
      <c r="F680" s="50">
        <f>-SUMIFS(LS[Unit],LS[Investor ID],INVESTORS_LIST[[#This Row],[INVESTOR CODE]],LS[B/S],"S")</f>
        <v>0</v>
      </c>
      <c r="G680" s="50">
        <f>IF(INVESTORS_LIST[[#This Row],[LS_TOTAL UNITS BUY]]=0,0,INVESTORS_LIST[[#This Row],[LS_TOTAL UNITS BUY]]-INVESTORS_LIST[[#This Row],[LS_TOTAL UNITS SOLD]])</f>
        <v>0</v>
      </c>
      <c r="H680" s="102">
        <f>IF(INVESTORS_LIST[[#This Row],[LS_TOTAL UNITS BUY]]=0,0,SUMIFS(LS[Amount],LS[Investor ID],INVESTORS_LIST[[#This Row],[INVESTOR CODE]],LS[B/S],"B"))</f>
        <v>0</v>
      </c>
      <c r="I680" s="48">
        <f>IF(INVESTORS_LIST[[#This Row],[LS_TOTAL UNITS SOLD]]=0,0,SUMIFS(LS[Cost of Units Sold],LS[Investor ID],INVESTORS_LIST[[#This Row],[INVESTOR CODE]],LS[B/S],"S"))</f>
        <v>0</v>
      </c>
      <c r="J680" s="48">
        <f>IF(INVESTORS_LIST[[#This Row],[LS_TOTAL CURRENT UNITS]]=0,0,INVESTORS_LIST[[#This Row],[LS_TOTAL CURRENT UNITS]]*INVESTORS_LIST[[#This Row],[LS_AVERAGE COST]])</f>
        <v>0</v>
      </c>
      <c r="K680" s="48">
        <f>IF(INVESTORS_LIST[[#This Row],[LS_TOTAL UNITS SOLD]]=0,0,SUMIFS(LS[Realized Gain],LS[Investor ID],INVESTORS_LIST[[#This Row],[INVESTOR CODE]],LS[B/S],"S"))</f>
        <v>0</v>
      </c>
      <c r="L680" s="104">
        <f>SUMIFS(SIP[Unit],SIP[Investor ID],INVESTORS_LIST[[#This Row],[INVESTOR CODE]],SIP[B/S],"B")</f>
        <v>0</v>
      </c>
      <c r="M680" s="50">
        <f>-SUMIFS(SIP[Unit],SIP[Investor ID],INVESTORS_LIST[[#This Row],[INVESTOR CODE]],SIP[B/S],"S")</f>
        <v>0</v>
      </c>
      <c r="N680" s="50">
        <f>IF(INVESTORS_LIST[[#This Row],[SIP_TOTAL UNITS BUY]]=0,0,INVESTORS_LIST[[#This Row],[SIP_TOTAL UNITS BUY]]-INVESTORS_LIST[[#This Row],[SIP_TOTAL UNITS SOLD]])</f>
        <v>0</v>
      </c>
      <c r="O680" s="48">
        <f>IF(INVESTORS_LIST[[#This Row],[SIP_TOTAL UNITS BUY]]=0,0,SUMIFS(SIP[Amount],SIP[Investor ID],INVESTORS_LIST[[#This Row],[INVESTOR CODE]],SIP[B/S],"B"))</f>
        <v>0</v>
      </c>
      <c r="P680" s="48">
        <f>IF(INVESTORS_LIST[[#This Row],[SIP_TOTAL UNITS SOLD]]=0,0,SUMIFS(SIP[Cost of Units Sold],SIP[Investor ID],INVESTORS_LIST[[#This Row],[INVESTOR CODE]],SIP[B/S],"S"))</f>
        <v>0</v>
      </c>
      <c r="Q680" s="48">
        <f>IF(INVESTORS_LIST[[#This Row],[SIP_TOTAL CURRENT UNITS]]=0,0,INVESTORS_LIST[[#This Row],[SIP_TOTAL CURRENT UNITS]]*INVESTORS_LIST[[#This Row],[SIP_AVERAGE COST]])</f>
        <v>0</v>
      </c>
      <c r="R680" s="48">
        <f>IF(INVESTORS_LIST[[#This Row],[SIP_TOTAL UNITS SOLD]]=0,0,SUMIFS(SIP[Realized Gain],SIP[Investor ID],INVESTORS_LIST[[#This Row],[INVESTOR CODE]],SIP[B/S],"S"))</f>
        <v>0</v>
      </c>
      <c r="S680" s="50">
        <f>INVESTORS_LIST[[#This Row],[LS_TOTAL UNITS BUY]]+INVESTORS_LIST[[#This Row],[SIP_TOTAL UNITS BUY]]</f>
        <v>0</v>
      </c>
      <c r="T680" s="50">
        <f>INVESTORS_LIST[[#This Row],[LS_TOTAL UNITS SOLD]]+INVESTORS_LIST[[#This Row],[SIP_TOTAL UNITS SOLD]]</f>
        <v>0</v>
      </c>
      <c r="U680" s="50"/>
      <c r="V680" s="50">
        <f>SUMIFS(LS[BO UNIT TRANSFER],LS[Investor ID],INVESTORS_LIST[[#This Row],[INVESTOR CODE]],LS[B/S],"B")</f>
        <v>0</v>
      </c>
      <c r="W680" s="50">
        <f>SUMIFS(SIP[BO UNIT TRANSFER],SIP[Investor ID],INVESTORS_LIST[[#This Row],[INVESTOR CODE]],SIP[B/S],"B")</f>
        <v>0</v>
      </c>
      <c r="X680" s="50">
        <f>SUMIFS(LS[BO UNIT TRANSFER],LS[Investor ID],INVESTORS_LIST[[#This Row],[INVESTOR CODE]],LS[B/S],"S")</f>
        <v>0</v>
      </c>
      <c r="Y680" s="50">
        <f>SUMIFS(SIP[BO UNIT TRANSFER],SIP[Investor ID],INVESTORS_LIST[[#This Row],[INVESTOR CODE]],SIP[B/S],"S")</f>
        <v>0</v>
      </c>
      <c r="Z680" s="106">
        <f>SUM(INVESTORS_LIST[[#This Row],[BO OPENING BALANCE]:[BO SIP UNITS REPURCHASE]])</f>
        <v>0</v>
      </c>
      <c r="AA680" s="107">
        <f>INVESTORS_LIST[[#This Row],[TOTAL UNITS BUY]]-INVESTORS_LIST[[#This Row],[TOTAL UNITS SOLD]]</f>
        <v>0</v>
      </c>
      <c r="AB680" s="107">
        <f>INVESTORS_LIST[[#This Row],[TOTAL CURRENT UNITS]]-INVESTORS_LIST[[#This Row],[BO UNITS HOLD]]</f>
        <v>0</v>
      </c>
      <c r="AC680" s="201" t="e">
        <f>INDEX([3]!Table_1[BO ID],MATCH(INVESTORS_LIST[[#This Row],[INVESTOR CODE]],[3]!Table_1[INVESTOR CODE],0))</f>
        <v>#REF!</v>
      </c>
      <c r="AD680" s="201" t="e">
        <f>INDEX([3]!Table_1[Brokerage Name2],MATCH(INVESTORS_LIST[[#This Row],[INVESTOR CODE]],[3]!Table_1[INVESTOR CODE],0))</f>
        <v>#REF!</v>
      </c>
      <c r="AE680" s="201" t="e">
        <f>MID(INVESTORS_LIST[[#This Row],[BO ID]],4,5)</f>
        <v>#REF!</v>
      </c>
      <c r="AF680" s="201" t="e">
        <f>MID(INVESTORS_LIST[[#This Row],[BO ID]],2,7)</f>
        <v>#REF!</v>
      </c>
      <c r="AG680" s="201" t="e">
        <f>MID(INVESTORS_LIST[[#This Row],[BO ID]],9,7)</f>
        <v>#REF!</v>
      </c>
      <c r="AH680" s="201" t="e">
        <f>RIGHT(INVESTORS_LIST[[#This Row],[BO ID]],1)</f>
        <v>#REF!</v>
      </c>
      <c r="AI680" s="50">
        <f>INVESTORS_LIST[[#This Row],[LS_TOTAL COST VALUE OF CURRENT UNITS]]+INVESTORS_LIST[[#This Row],[SIP_TOTAL COST VALUE OF CURRENT UNITS]]</f>
        <v>0</v>
      </c>
      <c r="AJ680" s="109">
        <f>IF(INVESTORS_LIST[[#This Row],[TOTAL CURRENT UNITS]]=0,0,INVESTORS_LIST[[#This Row],[LS_TOTAL CURRENT UNITS]]/INVESTORS_LIST[[#This Row],[TOTAL CURRENT UNITS]])</f>
        <v>0</v>
      </c>
      <c r="AK680" s="109">
        <f>IF(INVESTORS_LIST[[#This Row],[TOTAL CURRENT UNITS]]=0,0,INVESTORS_LIST[[#This Row],[SIP_TOTAL CURRENT UNITS]]/INVESTORS_LIST[[#This Row],[TOTAL CURRENT UNITS]])</f>
        <v>0</v>
      </c>
      <c r="AL680" s="99" cm="1">
        <f t="array" ref="AL6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0" s="99" cm="1">
        <f t="array" ref="AM6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0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0" s="105">
        <f t="shared" si="11"/>
        <v>14.224</v>
      </c>
      <c r="AP680" s="112">
        <f>IF(INVESTORS_LIST[[#This Row],[TOTAL CURRENT UNITS]]=0,0,INVESTORS_LIST[[#This Row],[TOTAL CURRENT UNITS]]*INVESTORS_LIST[[#This Row],[NAV]])</f>
        <v>0</v>
      </c>
      <c r="AQ680" s="102">
        <f>IF(INVESTORS_LIST[[#This Row],[LS_TOTAL CURRENT UNITS]]=0,0,INVESTORS_LIST[[#This Row],[LS_TOTAL CURRENT UNITS]]*INVESTORS_LIST[[#This Row],[NAV]])</f>
        <v>0</v>
      </c>
      <c r="AR680" s="48">
        <f>IF(INVESTORS_LIST[[#This Row],[SIP_TOTAL CURRENT UNITS]]=0,0,INVESTORS_LIST[[#This Row],[SIP_TOTAL CURRENT UNITS]]*INVESTORS_LIST[[#This Row],[NAV]])</f>
        <v>0</v>
      </c>
      <c r="AS680" s="50">
        <f>INVESTORS_LIST[[#This Row],[TOTAL CURRENT UNITS]]</f>
        <v>0</v>
      </c>
      <c r="AT680" s="48">
        <f>IF(INVESTORS_LIST[[#This Row],[TOTAL SELLABLE UNITS]]=0,0,INVESTORS_LIST[[#This Row],[TOTAL SELLABLE UNITS]]*INVESTORS_LIST[[#This Row],[NAV]])</f>
        <v>0</v>
      </c>
      <c r="AU680" s="48">
        <f>INVESTORS_LIST[[#This Row],[LS_TOTAL REALIZED GAIN]]+INVESTORS_LIST[[#This Row],[SIP_TOTAL REALIZED GAIN]]</f>
        <v>0</v>
      </c>
      <c r="AV680" s="48">
        <f>INVESTORS_LIST[[#This Row],[TOTAL MARKET VALUE]]-INVESTORS_LIST[[#This Row],[TOTAL COST VALUE OF CURRENT INVESTMENT]]</f>
        <v>0</v>
      </c>
      <c r="AW680" s="48">
        <f>IFERROR(INVESTORS_LIST[[#This Row],[TOTAL CURRENT UNITS]]/SUM(INVESTORS_LIST[TOTAL CURRENT UNITS]),0)</f>
        <v>0</v>
      </c>
    </row>
    <row r="681" spans="1:49" hidden="1">
      <c r="A681" s="262" t="s">
        <v>273</v>
      </c>
      <c r="B681" s="97" t="s">
        <v>1478</v>
      </c>
      <c r="C681" t="s">
        <v>44</v>
      </c>
      <c r="D681" s="75" t="s">
        <v>45</v>
      </c>
      <c r="E681" s="50">
        <f>SUMIFS(LS[Unit],LS[Investor ID],INVESTORS_LIST[[#This Row],[INVESTOR CODE]],LS[B/S],"B")</f>
        <v>0</v>
      </c>
      <c r="F681" s="50">
        <f>-SUMIFS(LS[Unit],LS[Investor ID],INVESTORS_LIST[[#This Row],[INVESTOR CODE]],LS[B/S],"S")</f>
        <v>0</v>
      </c>
      <c r="G681" s="50">
        <f>IF(INVESTORS_LIST[[#This Row],[LS_TOTAL UNITS BUY]]=0,0,INVESTORS_LIST[[#This Row],[LS_TOTAL UNITS BUY]]-INVESTORS_LIST[[#This Row],[LS_TOTAL UNITS SOLD]])</f>
        <v>0</v>
      </c>
      <c r="H681" s="102">
        <f>IF(INVESTORS_LIST[[#This Row],[LS_TOTAL UNITS BUY]]=0,0,SUMIFS(LS[Amount],LS[Investor ID],INVESTORS_LIST[[#This Row],[INVESTOR CODE]],LS[B/S],"B"))</f>
        <v>0</v>
      </c>
      <c r="I681" s="48">
        <f>IF(INVESTORS_LIST[[#This Row],[LS_TOTAL UNITS SOLD]]=0,0,SUMIFS(LS[Cost of Units Sold],LS[Investor ID],INVESTORS_LIST[[#This Row],[INVESTOR CODE]],LS[B/S],"S"))</f>
        <v>0</v>
      </c>
      <c r="J681" s="48">
        <f>IF(INVESTORS_LIST[[#This Row],[LS_TOTAL CURRENT UNITS]]=0,0,INVESTORS_LIST[[#This Row],[LS_TOTAL CURRENT UNITS]]*INVESTORS_LIST[[#This Row],[LS_AVERAGE COST]])</f>
        <v>0</v>
      </c>
      <c r="K681" s="48">
        <f>IF(INVESTORS_LIST[[#This Row],[LS_TOTAL UNITS SOLD]]=0,0,SUMIFS(LS[Realized Gain],LS[Investor ID],INVESTORS_LIST[[#This Row],[INVESTOR CODE]],LS[B/S],"S"))</f>
        <v>0</v>
      </c>
      <c r="L681" s="104">
        <f>SUMIFS(SIP[Unit],SIP[Investor ID],INVESTORS_LIST[[#This Row],[INVESTOR CODE]],SIP[B/S],"B")</f>
        <v>0</v>
      </c>
      <c r="M681" s="50">
        <f>-SUMIFS(SIP[Unit],SIP[Investor ID],INVESTORS_LIST[[#This Row],[INVESTOR CODE]],SIP[B/S],"S")</f>
        <v>0</v>
      </c>
      <c r="N681" s="50">
        <f>IF(INVESTORS_LIST[[#This Row],[SIP_TOTAL UNITS BUY]]=0,0,INVESTORS_LIST[[#This Row],[SIP_TOTAL UNITS BUY]]-INVESTORS_LIST[[#This Row],[SIP_TOTAL UNITS SOLD]])</f>
        <v>0</v>
      </c>
      <c r="O681" s="48">
        <f>IF(INVESTORS_LIST[[#This Row],[SIP_TOTAL UNITS BUY]]=0,0,SUMIFS(SIP[Amount],SIP[Investor ID],INVESTORS_LIST[[#This Row],[INVESTOR CODE]],SIP[B/S],"B"))</f>
        <v>0</v>
      </c>
      <c r="P681" s="48">
        <f>IF(INVESTORS_LIST[[#This Row],[SIP_TOTAL UNITS SOLD]]=0,0,SUMIFS(SIP[Cost of Units Sold],SIP[Investor ID],INVESTORS_LIST[[#This Row],[INVESTOR CODE]],SIP[B/S],"S"))</f>
        <v>0</v>
      </c>
      <c r="Q681" s="48">
        <f>IF(INVESTORS_LIST[[#This Row],[SIP_TOTAL CURRENT UNITS]]=0,0,INVESTORS_LIST[[#This Row],[SIP_TOTAL CURRENT UNITS]]*INVESTORS_LIST[[#This Row],[SIP_AVERAGE COST]])</f>
        <v>0</v>
      </c>
      <c r="R681" s="48">
        <f>IF(INVESTORS_LIST[[#This Row],[SIP_TOTAL UNITS SOLD]]=0,0,SUMIFS(SIP[Realized Gain],SIP[Investor ID],INVESTORS_LIST[[#This Row],[INVESTOR CODE]],SIP[B/S],"S"))</f>
        <v>0</v>
      </c>
      <c r="S681" s="50">
        <f>INVESTORS_LIST[[#This Row],[LS_TOTAL UNITS BUY]]+INVESTORS_LIST[[#This Row],[SIP_TOTAL UNITS BUY]]</f>
        <v>0</v>
      </c>
      <c r="T681" s="50">
        <f>INVESTORS_LIST[[#This Row],[LS_TOTAL UNITS SOLD]]+INVESTORS_LIST[[#This Row],[SIP_TOTAL UNITS SOLD]]</f>
        <v>0</v>
      </c>
      <c r="U681" s="50">
        <v>9646</v>
      </c>
      <c r="V681" s="50">
        <f>SUMIFS(LS[BO UNIT TRANSFER],LS[Investor ID],INVESTORS_LIST[[#This Row],[INVESTOR CODE]],LS[B/S],"B")</f>
        <v>0</v>
      </c>
      <c r="W681" s="50">
        <f>SUMIFS(SIP[BO UNIT TRANSFER],SIP[Investor ID],INVESTORS_LIST[[#This Row],[INVESTOR CODE]],SIP[B/S],"B")</f>
        <v>0</v>
      </c>
      <c r="X681" s="50">
        <f>SUMIFS(LS[BO UNIT TRANSFER],LS[Investor ID],INVESTORS_LIST[[#This Row],[INVESTOR CODE]],LS[B/S],"S")</f>
        <v>0</v>
      </c>
      <c r="Y681" s="50">
        <f>SUMIFS(SIP[BO UNIT TRANSFER],SIP[Investor ID],INVESTORS_LIST[[#This Row],[INVESTOR CODE]],SIP[B/S],"S")</f>
        <v>0</v>
      </c>
      <c r="Z681" s="106">
        <f>SUM(INVESTORS_LIST[[#This Row],[BO OPENING BALANCE]:[BO SIP UNITS REPURCHASE]])</f>
        <v>9646</v>
      </c>
      <c r="AA681" s="107">
        <f>INVESTORS_LIST[[#This Row],[TOTAL UNITS BUY]]-INVESTORS_LIST[[#This Row],[TOTAL UNITS SOLD]]</f>
        <v>0</v>
      </c>
      <c r="AB681" s="107">
        <f>INVESTORS_LIST[[#This Row],[TOTAL CURRENT UNITS]]-INVESTORS_LIST[[#This Row],[BO UNITS HOLD]]</f>
        <v>-9646</v>
      </c>
      <c r="AC681" s="201" t="e">
        <f>INDEX([3]!Table_1[BO ID],MATCH(INVESTORS_LIST[[#This Row],[INVESTOR CODE]],[3]!Table_1[INVESTOR CODE],0))</f>
        <v>#REF!</v>
      </c>
      <c r="AD681" s="201" t="e">
        <f>INDEX([3]!Table_1[Brokerage Name2],MATCH(INVESTORS_LIST[[#This Row],[INVESTOR CODE]],[3]!Table_1[INVESTOR CODE],0))</f>
        <v>#REF!</v>
      </c>
      <c r="AE681" s="201" t="e">
        <f>MID(INVESTORS_LIST[[#This Row],[BO ID]],4,5)</f>
        <v>#REF!</v>
      </c>
      <c r="AF681" s="201" t="e">
        <f>MID(INVESTORS_LIST[[#This Row],[BO ID]],2,7)</f>
        <v>#REF!</v>
      </c>
      <c r="AG681" s="201" t="e">
        <f>MID(INVESTORS_LIST[[#This Row],[BO ID]],9,7)</f>
        <v>#REF!</v>
      </c>
      <c r="AH681" s="201" t="e">
        <f>RIGHT(INVESTORS_LIST[[#This Row],[BO ID]],1)</f>
        <v>#REF!</v>
      </c>
      <c r="AI681" s="50">
        <f>INVESTORS_LIST[[#This Row],[LS_TOTAL COST VALUE OF CURRENT UNITS]]+INVESTORS_LIST[[#This Row],[SIP_TOTAL COST VALUE OF CURRENT UNITS]]</f>
        <v>0</v>
      </c>
      <c r="AJ681" s="109">
        <f>IF(INVESTORS_LIST[[#This Row],[TOTAL CURRENT UNITS]]=0,0,INVESTORS_LIST[[#This Row],[LS_TOTAL CURRENT UNITS]]/INVESTORS_LIST[[#This Row],[TOTAL CURRENT UNITS]])</f>
        <v>0</v>
      </c>
      <c r="AK681" s="109">
        <f>IF(INVESTORS_LIST[[#This Row],[TOTAL CURRENT UNITS]]=0,0,INVESTORS_LIST[[#This Row],[SIP_TOTAL CURRENT UNITS]]/INVESTORS_LIST[[#This Row],[TOTAL CURRENT UNITS]])</f>
        <v>0</v>
      </c>
      <c r="AL681" s="99" cm="1">
        <f t="array" ref="AL6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1" s="99" cm="1">
        <f t="array" ref="AM6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1" s="105">
        <f t="shared" si="11"/>
        <v>14.224</v>
      </c>
      <c r="AP681" s="112">
        <f>IF(INVESTORS_LIST[[#This Row],[TOTAL CURRENT UNITS]]=0,0,INVESTORS_LIST[[#This Row],[TOTAL CURRENT UNITS]]*INVESTORS_LIST[[#This Row],[NAV]])</f>
        <v>0</v>
      </c>
      <c r="AQ681" s="102">
        <f>IF(INVESTORS_LIST[[#This Row],[LS_TOTAL CURRENT UNITS]]=0,0,INVESTORS_LIST[[#This Row],[LS_TOTAL CURRENT UNITS]]*INVESTORS_LIST[[#This Row],[NAV]])</f>
        <v>0</v>
      </c>
      <c r="AR681" s="48">
        <f>IF(INVESTORS_LIST[[#This Row],[SIP_TOTAL CURRENT UNITS]]=0,0,INVESTORS_LIST[[#This Row],[SIP_TOTAL CURRENT UNITS]]*INVESTORS_LIST[[#This Row],[NAV]])</f>
        <v>0</v>
      </c>
      <c r="AS681" s="50">
        <f>INVESTORS_LIST[[#This Row],[TOTAL CURRENT UNITS]]</f>
        <v>0</v>
      </c>
      <c r="AT681" s="48">
        <f>IF(INVESTORS_LIST[[#This Row],[TOTAL SELLABLE UNITS]]=0,0,INVESTORS_LIST[[#This Row],[TOTAL SELLABLE UNITS]]*INVESTORS_LIST[[#This Row],[NAV]])</f>
        <v>0</v>
      </c>
      <c r="AU681" s="48">
        <f>INVESTORS_LIST[[#This Row],[LS_TOTAL REALIZED GAIN]]+INVESTORS_LIST[[#This Row],[SIP_TOTAL REALIZED GAIN]]</f>
        <v>0</v>
      </c>
      <c r="AV681" s="48">
        <f>INVESTORS_LIST[[#This Row],[TOTAL MARKET VALUE]]-INVESTORS_LIST[[#This Row],[TOTAL COST VALUE OF CURRENT INVESTMENT]]</f>
        <v>0</v>
      </c>
      <c r="AW681" s="48">
        <f>IFERROR(INVESTORS_LIST[[#This Row],[TOTAL CURRENT UNITS]]/SUM(INVESTORS_LIST[TOTAL CURRENT UNITS]),0)</f>
        <v>0</v>
      </c>
    </row>
    <row r="682" spans="1:49">
      <c r="A682" s="262" t="s">
        <v>1479</v>
      </c>
      <c r="B682" s="97" t="s">
        <v>1476</v>
      </c>
      <c r="C682" t="s">
        <v>44</v>
      </c>
      <c r="D682" s="75" t="s">
        <v>45</v>
      </c>
      <c r="E682" s="50">
        <f>SUMIFS(LS[Unit],LS[Investor ID],INVESTORS_LIST[[#This Row],[INVESTOR CODE]],LS[B/S],"B")</f>
        <v>0</v>
      </c>
      <c r="F682" s="50">
        <f>-SUMIFS(LS[Unit],LS[Investor ID],INVESTORS_LIST[[#This Row],[INVESTOR CODE]],LS[B/S],"S")</f>
        <v>0</v>
      </c>
      <c r="G682" s="50">
        <f>IF(INVESTORS_LIST[[#This Row],[LS_TOTAL UNITS BUY]]=0,0,INVESTORS_LIST[[#This Row],[LS_TOTAL UNITS BUY]]-INVESTORS_LIST[[#This Row],[LS_TOTAL UNITS SOLD]])</f>
        <v>0</v>
      </c>
      <c r="H682" s="102">
        <f>IF(INVESTORS_LIST[[#This Row],[LS_TOTAL UNITS BUY]]=0,0,SUMIFS(LS[Amount],LS[Investor ID],INVESTORS_LIST[[#This Row],[INVESTOR CODE]],LS[B/S],"B"))</f>
        <v>0</v>
      </c>
      <c r="I682" s="48">
        <f>IF(INVESTORS_LIST[[#This Row],[LS_TOTAL UNITS SOLD]]=0,0,SUMIFS(LS[Cost of Units Sold],LS[Investor ID],INVESTORS_LIST[[#This Row],[INVESTOR CODE]],LS[B/S],"S"))</f>
        <v>0</v>
      </c>
      <c r="J682" s="48">
        <f>IF(INVESTORS_LIST[[#This Row],[LS_TOTAL CURRENT UNITS]]=0,0,INVESTORS_LIST[[#This Row],[LS_TOTAL CURRENT UNITS]]*INVESTORS_LIST[[#This Row],[LS_AVERAGE COST]])</f>
        <v>0</v>
      </c>
      <c r="K682" s="48">
        <f>IF(INVESTORS_LIST[[#This Row],[LS_TOTAL UNITS SOLD]]=0,0,SUMIFS(LS[Realized Gain],LS[Investor ID],INVESTORS_LIST[[#This Row],[INVESTOR CODE]],LS[B/S],"S"))</f>
        <v>0</v>
      </c>
      <c r="L682" s="104">
        <f>SUMIFS(SIP[Unit],SIP[Investor ID],INVESTORS_LIST[[#This Row],[INVESTOR CODE]],SIP[B/S],"B")</f>
        <v>538</v>
      </c>
      <c r="M682" s="50">
        <f>-SUMIFS(SIP[Unit],SIP[Investor ID],INVESTORS_LIST[[#This Row],[INVESTOR CODE]],SIP[B/S],"S")</f>
        <v>0</v>
      </c>
      <c r="N682" s="50">
        <f>IF(INVESTORS_LIST[[#This Row],[SIP_TOTAL UNITS BUY]]=0,0,INVESTORS_LIST[[#This Row],[SIP_TOTAL UNITS BUY]]-INVESTORS_LIST[[#This Row],[SIP_TOTAL UNITS SOLD]])</f>
        <v>538</v>
      </c>
      <c r="O682" s="48">
        <f>IF(INVESTORS_LIST[[#This Row],[SIP_TOTAL UNITS BUY]]=0,0,SUMIFS(SIP[Amount],SIP[Investor ID],INVESTORS_LIST[[#This Row],[INVESTOR CODE]],SIP[B/S],"B"))</f>
        <v>7500</v>
      </c>
      <c r="P682" s="48">
        <f>IF(INVESTORS_LIST[[#This Row],[SIP_TOTAL UNITS SOLD]]=0,0,SUMIFS(SIP[Cost of Units Sold],SIP[Investor ID],INVESTORS_LIST[[#This Row],[INVESTOR CODE]],SIP[B/S],"S"))</f>
        <v>0</v>
      </c>
      <c r="Q682" s="48">
        <f>IF(INVESTORS_LIST[[#This Row],[SIP_TOTAL CURRENT UNITS]]=0,0,INVESTORS_LIST[[#This Row],[SIP_TOTAL CURRENT UNITS]]*INVESTORS_LIST[[#This Row],[SIP_AVERAGE COST]])</f>
        <v>7499.9999999999991</v>
      </c>
      <c r="R682" s="48">
        <f>IF(INVESTORS_LIST[[#This Row],[SIP_TOTAL UNITS SOLD]]=0,0,SUMIFS(SIP[Realized Gain],SIP[Investor ID],INVESTORS_LIST[[#This Row],[INVESTOR CODE]],SIP[B/S],"S"))</f>
        <v>0</v>
      </c>
      <c r="S682" s="50">
        <f>INVESTORS_LIST[[#This Row],[LS_TOTAL UNITS BUY]]+INVESTORS_LIST[[#This Row],[SIP_TOTAL UNITS BUY]]</f>
        <v>538</v>
      </c>
      <c r="T682" s="50">
        <f>INVESTORS_LIST[[#This Row],[LS_TOTAL UNITS SOLD]]+INVESTORS_LIST[[#This Row],[SIP_TOTAL UNITS SOLD]]</f>
        <v>0</v>
      </c>
      <c r="U682" s="50"/>
      <c r="V682" s="50">
        <f>SUMIFS(LS[BO UNIT TRANSFER],LS[Investor ID],INVESTORS_LIST[[#This Row],[INVESTOR CODE]],LS[B/S],"B")</f>
        <v>0</v>
      </c>
      <c r="W682" s="50">
        <f>SUMIFS(SIP[BO UNIT TRANSFER],SIP[Investor ID],INVESTORS_LIST[[#This Row],[INVESTOR CODE]],SIP[B/S],"B")</f>
        <v>0</v>
      </c>
      <c r="X682" s="50">
        <f>SUMIFS(LS[BO UNIT TRANSFER],LS[Investor ID],INVESTORS_LIST[[#This Row],[INVESTOR CODE]],LS[B/S],"S")</f>
        <v>0</v>
      </c>
      <c r="Y682" s="50">
        <f>SUMIFS(SIP[BO UNIT TRANSFER],SIP[Investor ID],INVESTORS_LIST[[#This Row],[INVESTOR CODE]],SIP[B/S],"S")</f>
        <v>0</v>
      </c>
      <c r="Z682" s="106">
        <f>SUM(INVESTORS_LIST[[#This Row],[BO OPENING BALANCE]:[BO SIP UNITS REPURCHASE]])</f>
        <v>0</v>
      </c>
      <c r="AA682" s="107">
        <f>INVESTORS_LIST[[#This Row],[TOTAL UNITS BUY]]-INVESTORS_LIST[[#This Row],[TOTAL UNITS SOLD]]</f>
        <v>538</v>
      </c>
      <c r="AB682" s="107">
        <f>INVESTORS_LIST[[#This Row],[TOTAL CURRENT UNITS]]-INVESTORS_LIST[[#This Row],[BO UNITS HOLD]]</f>
        <v>538</v>
      </c>
      <c r="AC682" s="201" t="e">
        <f>INDEX([3]!Table_1[BO ID],MATCH(INVESTORS_LIST[[#This Row],[INVESTOR CODE]],[3]!Table_1[INVESTOR CODE],0))</f>
        <v>#REF!</v>
      </c>
      <c r="AD682" s="201" t="e">
        <f>INDEX([3]!Table_1[Brokerage Name2],MATCH(INVESTORS_LIST[[#This Row],[INVESTOR CODE]],[3]!Table_1[INVESTOR CODE],0))</f>
        <v>#REF!</v>
      </c>
      <c r="AE682" s="201" t="e">
        <f>MID(INVESTORS_LIST[[#This Row],[BO ID]],4,5)</f>
        <v>#REF!</v>
      </c>
      <c r="AF682" s="201" t="e">
        <f>MID(INVESTORS_LIST[[#This Row],[BO ID]],2,7)</f>
        <v>#REF!</v>
      </c>
      <c r="AG682" s="201" t="e">
        <f>MID(INVESTORS_LIST[[#This Row],[BO ID]],9,7)</f>
        <v>#REF!</v>
      </c>
      <c r="AH682" s="201" t="e">
        <f>RIGHT(INVESTORS_LIST[[#This Row],[BO ID]],1)</f>
        <v>#REF!</v>
      </c>
      <c r="AI682" s="50">
        <f>INVESTORS_LIST[[#This Row],[LS_TOTAL COST VALUE OF CURRENT UNITS]]+INVESTORS_LIST[[#This Row],[SIP_TOTAL COST VALUE OF CURRENT UNITS]]</f>
        <v>7499.9999999999991</v>
      </c>
      <c r="AJ682" s="109">
        <f>IF(INVESTORS_LIST[[#This Row],[TOTAL CURRENT UNITS]]=0,0,INVESTORS_LIST[[#This Row],[LS_TOTAL CURRENT UNITS]]/INVESTORS_LIST[[#This Row],[TOTAL CURRENT UNITS]])</f>
        <v>0</v>
      </c>
      <c r="AK682" s="109">
        <f>IF(INVESTORS_LIST[[#This Row],[TOTAL CURRENT UNITS]]=0,0,INVESTORS_LIST[[#This Row],[SIP_TOTAL CURRENT UNITS]]/INVESTORS_LIST[[#This Row],[TOTAL CURRENT UNITS]])</f>
        <v>1</v>
      </c>
      <c r="AL682" s="99" cm="1">
        <f t="array" ref="AL6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2" s="99" cm="1">
        <f t="array" ref="AM682">IF(INVESTORS_LIST[[#This Row],[SIP_TOTAL UNITS BUY]]&gt;0,INDEX(SIP[NAV at Cost (Average)],MATCH(CONCATENATE(COUNTIFS(SIP[Investor ID],INVESTORS_LIST[[#This Row],[INVESTOR CODE]]),INVESTORS_LIST[[#This Row],[INVESTOR CODE]]),SIP[Unique Code],0),),0)</f>
        <v>13.940520446096652</v>
      </c>
      <c r="AN682" s="105">
        <f>IF(INVESTORS_LIST[[#This Row],[TOTAL CURRENT UNITS]]=0,0,(INVESTORS_LIST[[#This Row],[LS_WEIGHT]]*INVESTORS_LIST[[#This Row],[LS_AVERAGE COST]])+(INVESTORS_LIST[[#This Row],[SIP_WEIGHT]]*INVESTORS_LIST[[#This Row],[SIP_AVERAGE COST]]))</f>
        <v>13.940520446096652</v>
      </c>
      <c r="AO682" s="105">
        <f t="shared" si="11"/>
        <v>14.224</v>
      </c>
      <c r="AP682" s="112">
        <f>IF(INVESTORS_LIST[[#This Row],[TOTAL CURRENT UNITS]]=0,0,INVESTORS_LIST[[#This Row],[TOTAL CURRENT UNITS]]*INVESTORS_LIST[[#This Row],[NAV]])</f>
        <v>7652.5119999999997</v>
      </c>
      <c r="AQ682" s="102">
        <f>IF(INVESTORS_LIST[[#This Row],[LS_TOTAL CURRENT UNITS]]=0,0,INVESTORS_LIST[[#This Row],[LS_TOTAL CURRENT UNITS]]*INVESTORS_LIST[[#This Row],[NAV]])</f>
        <v>0</v>
      </c>
      <c r="AR682" s="48">
        <f>IF(INVESTORS_LIST[[#This Row],[SIP_TOTAL CURRENT UNITS]]=0,0,INVESTORS_LIST[[#This Row],[SIP_TOTAL CURRENT UNITS]]*INVESTORS_LIST[[#This Row],[NAV]])</f>
        <v>7652.5119999999997</v>
      </c>
      <c r="AS682" s="50">
        <f>INVESTORS_LIST[[#This Row],[TOTAL CURRENT UNITS]]</f>
        <v>538</v>
      </c>
      <c r="AT682" s="48">
        <f>IF(INVESTORS_LIST[[#This Row],[TOTAL SELLABLE UNITS]]=0,0,INVESTORS_LIST[[#This Row],[TOTAL SELLABLE UNITS]]*INVESTORS_LIST[[#This Row],[NAV]])</f>
        <v>7652.5119999999997</v>
      </c>
      <c r="AU682" s="48">
        <f>INVESTORS_LIST[[#This Row],[LS_TOTAL REALIZED GAIN]]+INVESTORS_LIST[[#This Row],[SIP_TOTAL REALIZED GAIN]]</f>
        <v>0</v>
      </c>
      <c r="AV682" s="48">
        <f>INVESTORS_LIST[[#This Row],[TOTAL MARKET VALUE]]-INVESTORS_LIST[[#This Row],[TOTAL COST VALUE OF CURRENT INVESTMENT]]</f>
        <v>152.51200000000063</v>
      </c>
      <c r="AW682" s="48">
        <f>IFERROR(INVESTORS_LIST[[#This Row],[TOTAL CURRENT UNITS]]/SUM(INVESTORS_LIST[TOTAL CURRENT UNITS]),0)</f>
        <v>1.3060599848103767E-5</v>
      </c>
    </row>
    <row r="683" spans="1:49">
      <c r="A683" s="262" t="s">
        <v>1479</v>
      </c>
      <c r="B683" s="97" t="s">
        <v>1475</v>
      </c>
      <c r="C683" t="s">
        <v>44</v>
      </c>
      <c r="D683" s="75" t="s">
        <v>45</v>
      </c>
      <c r="E683" s="50">
        <f>SUMIFS(LS[Unit],LS[Investor ID],INVESTORS_LIST[[#This Row],[INVESTOR CODE]],LS[B/S],"B")</f>
        <v>0</v>
      </c>
      <c r="F683" s="50">
        <f>-SUMIFS(LS[Unit],LS[Investor ID],INVESTORS_LIST[[#This Row],[INVESTOR CODE]],LS[B/S],"S")</f>
        <v>0</v>
      </c>
      <c r="G683" s="50">
        <f>IF(INVESTORS_LIST[[#This Row],[LS_TOTAL UNITS BUY]]=0,0,INVESTORS_LIST[[#This Row],[LS_TOTAL UNITS BUY]]-INVESTORS_LIST[[#This Row],[LS_TOTAL UNITS SOLD]])</f>
        <v>0</v>
      </c>
      <c r="H683" s="102">
        <f>IF(INVESTORS_LIST[[#This Row],[LS_TOTAL UNITS BUY]]=0,0,SUMIFS(LS[Amount],LS[Investor ID],INVESTORS_LIST[[#This Row],[INVESTOR CODE]],LS[B/S],"B"))</f>
        <v>0</v>
      </c>
      <c r="I683" s="48">
        <f>IF(INVESTORS_LIST[[#This Row],[LS_TOTAL UNITS SOLD]]=0,0,SUMIFS(LS[Cost of Units Sold],LS[Investor ID],INVESTORS_LIST[[#This Row],[INVESTOR CODE]],LS[B/S],"S"))</f>
        <v>0</v>
      </c>
      <c r="J683" s="48">
        <f>IF(INVESTORS_LIST[[#This Row],[LS_TOTAL CURRENT UNITS]]=0,0,INVESTORS_LIST[[#This Row],[LS_TOTAL CURRENT UNITS]]*INVESTORS_LIST[[#This Row],[LS_AVERAGE COST]])</f>
        <v>0</v>
      </c>
      <c r="K683" s="48">
        <f>IF(INVESTORS_LIST[[#This Row],[LS_TOTAL UNITS SOLD]]=0,0,SUMIFS(LS[Realized Gain],LS[Investor ID],INVESTORS_LIST[[#This Row],[INVESTOR CODE]],LS[B/S],"S"))</f>
        <v>0</v>
      </c>
      <c r="L683" s="104">
        <f>SUMIFS(SIP[Unit],SIP[Investor ID],INVESTORS_LIST[[#This Row],[INVESTOR CODE]],SIP[B/S],"B")</f>
        <v>538</v>
      </c>
      <c r="M683" s="50">
        <f>-SUMIFS(SIP[Unit],SIP[Investor ID],INVESTORS_LIST[[#This Row],[INVESTOR CODE]],SIP[B/S],"S")</f>
        <v>0</v>
      </c>
      <c r="N683" s="50">
        <f>IF(INVESTORS_LIST[[#This Row],[SIP_TOTAL UNITS BUY]]=0,0,INVESTORS_LIST[[#This Row],[SIP_TOTAL UNITS BUY]]-INVESTORS_LIST[[#This Row],[SIP_TOTAL UNITS SOLD]])</f>
        <v>538</v>
      </c>
      <c r="O683" s="48">
        <f>IF(INVESTORS_LIST[[#This Row],[SIP_TOTAL UNITS BUY]]=0,0,SUMIFS(SIP[Amount],SIP[Investor ID],INVESTORS_LIST[[#This Row],[INVESTOR CODE]],SIP[B/S],"B"))</f>
        <v>7500</v>
      </c>
      <c r="P683" s="48">
        <f>IF(INVESTORS_LIST[[#This Row],[SIP_TOTAL UNITS SOLD]]=0,0,SUMIFS(SIP[Cost of Units Sold],SIP[Investor ID],INVESTORS_LIST[[#This Row],[INVESTOR CODE]],SIP[B/S],"S"))</f>
        <v>0</v>
      </c>
      <c r="Q683" s="48">
        <f>IF(INVESTORS_LIST[[#This Row],[SIP_TOTAL CURRENT UNITS]]=0,0,INVESTORS_LIST[[#This Row],[SIP_TOTAL CURRENT UNITS]]*INVESTORS_LIST[[#This Row],[SIP_AVERAGE COST]])</f>
        <v>7499.9999999999991</v>
      </c>
      <c r="R683" s="48">
        <f>IF(INVESTORS_LIST[[#This Row],[SIP_TOTAL UNITS SOLD]]=0,0,SUMIFS(SIP[Realized Gain],SIP[Investor ID],INVESTORS_LIST[[#This Row],[INVESTOR CODE]],SIP[B/S],"S"))</f>
        <v>0</v>
      </c>
      <c r="S683" s="50">
        <f>INVESTORS_LIST[[#This Row],[LS_TOTAL UNITS BUY]]+INVESTORS_LIST[[#This Row],[SIP_TOTAL UNITS BUY]]</f>
        <v>538</v>
      </c>
      <c r="T683" s="50">
        <f>INVESTORS_LIST[[#This Row],[LS_TOTAL UNITS SOLD]]+INVESTORS_LIST[[#This Row],[SIP_TOTAL UNITS SOLD]]</f>
        <v>0</v>
      </c>
      <c r="U683" s="50"/>
      <c r="V683" s="50">
        <f>SUMIFS(LS[BO UNIT TRANSFER],LS[Investor ID],INVESTORS_LIST[[#This Row],[INVESTOR CODE]],LS[B/S],"B")</f>
        <v>0</v>
      </c>
      <c r="W683" s="50">
        <f>SUMIFS(SIP[BO UNIT TRANSFER],SIP[Investor ID],INVESTORS_LIST[[#This Row],[INVESTOR CODE]],SIP[B/S],"B")</f>
        <v>0</v>
      </c>
      <c r="X683" s="50">
        <f>SUMIFS(LS[BO UNIT TRANSFER],LS[Investor ID],INVESTORS_LIST[[#This Row],[INVESTOR CODE]],LS[B/S],"S")</f>
        <v>0</v>
      </c>
      <c r="Y683" s="50">
        <f>SUMIFS(SIP[BO UNIT TRANSFER],SIP[Investor ID],INVESTORS_LIST[[#This Row],[INVESTOR CODE]],SIP[B/S],"S")</f>
        <v>0</v>
      </c>
      <c r="Z683" s="106">
        <f>SUM(INVESTORS_LIST[[#This Row],[BO OPENING BALANCE]:[BO SIP UNITS REPURCHASE]])</f>
        <v>0</v>
      </c>
      <c r="AA683" s="107">
        <f>INVESTORS_LIST[[#This Row],[TOTAL UNITS BUY]]-INVESTORS_LIST[[#This Row],[TOTAL UNITS SOLD]]</f>
        <v>538</v>
      </c>
      <c r="AB683" s="107">
        <f>INVESTORS_LIST[[#This Row],[TOTAL CURRENT UNITS]]-INVESTORS_LIST[[#This Row],[BO UNITS HOLD]]</f>
        <v>538</v>
      </c>
      <c r="AC683" s="201" t="e">
        <f>INDEX([3]!Table_1[BO ID],MATCH(INVESTORS_LIST[[#This Row],[INVESTOR CODE]],[3]!Table_1[INVESTOR CODE],0))</f>
        <v>#REF!</v>
      </c>
      <c r="AD683" s="201" t="e">
        <f>INDEX([3]!Table_1[Brokerage Name2],MATCH(INVESTORS_LIST[[#This Row],[INVESTOR CODE]],[3]!Table_1[INVESTOR CODE],0))</f>
        <v>#REF!</v>
      </c>
      <c r="AE683" s="201" t="e">
        <f>MID(INVESTORS_LIST[[#This Row],[BO ID]],4,5)</f>
        <v>#REF!</v>
      </c>
      <c r="AF683" s="201" t="e">
        <f>MID(INVESTORS_LIST[[#This Row],[BO ID]],2,7)</f>
        <v>#REF!</v>
      </c>
      <c r="AG683" s="201" t="e">
        <f>MID(INVESTORS_LIST[[#This Row],[BO ID]],9,7)</f>
        <v>#REF!</v>
      </c>
      <c r="AH683" s="201" t="e">
        <f>RIGHT(INVESTORS_LIST[[#This Row],[BO ID]],1)</f>
        <v>#REF!</v>
      </c>
      <c r="AI683" s="50">
        <f>INVESTORS_LIST[[#This Row],[LS_TOTAL COST VALUE OF CURRENT UNITS]]+INVESTORS_LIST[[#This Row],[SIP_TOTAL COST VALUE OF CURRENT UNITS]]</f>
        <v>7499.9999999999991</v>
      </c>
      <c r="AJ683" s="109">
        <f>IF(INVESTORS_LIST[[#This Row],[TOTAL CURRENT UNITS]]=0,0,INVESTORS_LIST[[#This Row],[LS_TOTAL CURRENT UNITS]]/INVESTORS_LIST[[#This Row],[TOTAL CURRENT UNITS]])</f>
        <v>0</v>
      </c>
      <c r="AK683" s="109">
        <f>IF(INVESTORS_LIST[[#This Row],[TOTAL CURRENT UNITS]]=0,0,INVESTORS_LIST[[#This Row],[SIP_TOTAL CURRENT UNITS]]/INVESTORS_LIST[[#This Row],[TOTAL CURRENT UNITS]])</f>
        <v>1</v>
      </c>
      <c r="AL683" s="99" cm="1">
        <f t="array" ref="AL6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3" s="99" cm="1">
        <f t="array" ref="AM683">IF(INVESTORS_LIST[[#This Row],[SIP_TOTAL UNITS BUY]]&gt;0,INDEX(SIP[NAV at Cost (Average)],MATCH(CONCATENATE(COUNTIFS(SIP[Investor ID],INVESTORS_LIST[[#This Row],[INVESTOR CODE]]),INVESTORS_LIST[[#This Row],[INVESTOR CODE]]),SIP[Unique Code],0),),0)</f>
        <v>13.940520446096652</v>
      </c>
      <c r="AN683" s="105">
        <f>IF(INVESTORS_LIST[[#This Row],[TOTAL CURRENT UNITS]]=0,0,(INVESTORS_LIST[[#This Row],[LS_WEIGHT]]*INVESTORS_LIST[[#This Row],[LS_AVERAGE COST]])+(INVESTORS_LIST[[#This Row],[SIP_WEIGHT]]*INVESTORS_LIST[[#This Row],[SIP_AVERAGE COST]]))</f>
        <v>13.940520446096652</v>
      </c>
      <c r="AO683" s="105">
        <f t="shared" si="11"/>
        <v>14.224</v>
      </c>
      <c r="AP683" s="112">
        <f>IF(INVESTORS_LIST[[#This Row],[TOTAL CURRENT UNITS]]=0,0,INVESTORS_LIST[[#This Row],[TOTAL CURRENT UNITS]]*INVESTORS_LIST[[#This Row],[NAV]])</f>
        <v>7652.5119999999997</v>
      </c>
      <c r="AQ683" s="102">
        <f>IF(INVESTORS_LIST[[#This Row],[LS_TOTAL CURRENT UNITS]]=0,0,INVESTORS_LIST[[#This Row],[LS_TOTAL CURRENT UNITS]]*INVESTORS_LIST[[#This Row],[NAV]])</f>
        <v>0</v>
      </c>
      <c r="AR683" s="48">
        <f>IF(INVESTORS_LIST[[#This Row],[SIP_TOTAL CURRENT UNITS]]=0,0,INVESTORS_LIST[[#This Row],[SIP_TOTAL CURRENT UNITS]]*INVESTORS_LIST[[#This Row],[NAV]])</f>
        <v>7652.5119999999997</v>
      </c>
      <c r="AS683" s="50">
        <f>INVESTORS_LIST[[#This Row],[TOTAL CURRENT UNITS]]</f>
        <v>538</v>
      </c>
      <c r="AT683" s="48">
        <f>IF(INVESTORS_LIST[[#This Row],[TOTAL SELLABLE UNITS]]=0,0,INVESTORS_LIST[[#This Row],[TOTAL SELLABLE UNITS]]*INVESTORS_LIST[[#This Row],[NAV]])</f>
        <v>7652.5119999999997</v>
      </c>
      <c r="AU683" s="48">
        <f>INVESTORS_LIST[[#This Row],[LS_TOTAL REALIZED GAIN]]+INVESTORS_LIST[[#This Row],[SIP_TOTAL REALIZED GAIN]]</f>
        <v>0</v>
      </c>
      <c r="AV683" s="48">
        <f>INVESTORS_LIST[[#This Row],[TOTAL MARKET VALUE]]-INVESTORS_LIST[[#This Row],[TOTAL COST VALUE OF CURRENT INVESTMENT]]</f>
        <v>152.51200000000063</v>
      </c>
      <c r="AW683" s="48">
        <f>IFERROR(INVESTORS_LIST[[#This Row],[TOTAL CURRENT UNITS]]/SUM(INVESTORS_LIST[TOTAL CURRENT UNITS]),0)</f>
        <v>1.3060599848103767E-5</v>
      </c>
    </row>
    <row r="684" spans="1:49" hidden="1">
      <c r="A684" s="262" t="s">
        <v>1480</v>
      </c>
      <c r="B684" s="97" t="s">
        <v>1481</v>
      </c>
      <c r="C684" t="s">
        <v>44</v>
      </c>
      <c r="D684" s="75" t="s">
        <v>45</v>
      </c>
      <c r="E684" s="50">
        <f>SUMIFS(LS[Unit],LS[Investor ID],INVESTORS_LIST[[#This Row],[INVESTOR CODE]],LS[B/S],"B")</f>
        <v>0</v>
      </c>
      <c r="F684" s="50">
        <f>-SUMIFS(LS[Unit],LS[Investor ID],INVESTORS_LIST[[#This Row],[INVESTOR CODE]],LS[B/S],"S")</f>
        <v>0</v>
      </c>
      <c r="G684" s="50">
        <f>IF(INVESTORS_LIST[[#This Row],[LS_TOTAL UNITS BUY]]=0,0,INVESTORS_LIST[[#This Row],[LS_TOTAL UNITS BUY]]-INVESTORS_LIST[[#This Row],[LS_TOTAL UNITS SOLD]])</f>
        <v>0</v>
      </c>
      <c r="H684" s="258">
        <f>IF(INVESTORS_LIST[[#This Row],[LS_TOTAL UNITS BUY]]=0,0,SUMIFS(LS[Amount],LS[Investor ID],INVESTORS_LIST[[#This Row],[INVESTOR CODE]],LS[B/S],"B"))</f>
        <v>0</v>
      </c>
      <c r="I684" s="48">
        <f>IF(INVESTORS_LIST[[#This Row],[LS_TOTAL UNITS SOLD]]=0,0,SUMIFS(LS[Cost of Units Sold],LS[Investor ID],INVESTORS_LIST[[#This Row],[INVESTOR CODE]],LS[B/S],"S"))</f>
        <v>0</v>
      </c>
      <c r="J684" s="48">
        <f>IF(INVESTORS_LIST[[#This Row],[LS_TOTAL CURRENT UNITS]]=0,0,INVESTORS_LIST[[#This Row],[LS_TOTAL CURRENT UNITS]]*INVESTORS_LIST[[#This Row],[LS_AVERAGE COST]])</f>
        <v>0</v>
      </c>
      <c r="K684" s="48">
        <f>IF(INVESTORS_LIST[[#This Row],[LS_TOTAL UNITS SOLD]]=0,0,SUMIFS(LS[Realized Gain],LS[Investor ID],INVESTORS_LIST[[#This Row],[INVESTOR CODE]],LS[B/S],"S"))</f>
        <v>0</v>
      </c>
      <c r="L684" s="259">
        <f>SUMIFS(SIP[Unit],SIP[Investor ID],INVESTORS_LIST[[#This Row],[INVESTOR CODE]],SIP[B/S],"B")</f>
        <v>0</v>
      </c>
      <c r="M684" s="50">
        <f>-SUMIFS(SIP[Unit],SIP[Investor ID],INVESTORS_LIST[[#This Row],[INVESTOR CODE]],SIP[B/S],"S")</f>
        <v>0</v>
      </c>
      <c r="N684" s="50">
        <f>IF(INVESTORS_LIST[[#This Row],[SIP_TOTAL UNITS BUY]]=0,0,INVESTORS_LIST[[#This Row],[SIP_TOTAL UNITS BUY]]-INVESTORS_LIST[[#This Row],[SIP_TOTAL UNITS SOLD]])</f>
        <v>0</v>
      </c>
      <c r="O684" s="48">
        <f>IF(INVESTORS_LIST[[#This Row],[SIP_TOTAL UNITS BUY]]=0,0,SUMIFS(SIP[Amount],SIP[Investor ID],INVESTORS_LIST[[#This Row],[INVESTOR CODE]],SIP[B/S],"B"))</f>
        <v>0</v>
      </c>
      <c r="P684" s="48">
        <f>IF(INVESTORS_LIST[[#This Row],[SIP_TOTAL UNITS SOLD]]=0,0,SUMIFS(SIP[Cost of Units Sold],SIP[Investor ID],INVESTORS_LIST[[#This Row],[INVESTOR CODE]],SIP[B/S],"S"))</f>
        <v>0</v>
      </c>
      <c r="Q684" s="48">
        <f>IF(INVESTORS_LIST[[#This Row],[SIP_TOTAL CURRENT UNITS]]=0,0,INVESTORS_LIST[[#This Row],[SIP_TOTAL CURRENT UNITS]]*INVESTORS_LIST[[#This Row],[SIP_AVERAGE COST]])</f>
        <v>0</v>
      </c>
      <c r="R684" s="48">
        <f>IF(INVESTORS_LIST[[#This Row],[SIP_TOTAL UNITS SOLD]]=0,0,SUMIFS(SIP[Realized Gain],SIP[Investor ID],INVESTORS_LIST[[#This Row],[INVESTOR CODE]],SIP[B/S],"S"))</f>
        <v>0</v>
      </c>
      <c r="S684" s="50">
        <f>INVESTORS_LIST[[#This Row],[LS_TOTAL UNITS BUY]]+INVESTORS_LIST[[#This Row],[SIP_TOTAL UNITS BUY]]</f>
        <v>0</v>
      </c>
      <c r="T684" s="50">
        <f>INVESTORS_LIST[[#This Row],[LS_TOTAL UNITS SOLD]]+INVESTORS_LIST[[#This Row],[SIP_TOTAL UNITS SOLD]]</f>
        <v>0</v>
      </c>
      <c r="U684" s="50"/>
      <c r="V684" s="50">
        <f>SUMIFS(LS[BO UNIT TRANSFER],LS[Investor ID],INVESTORS_LIST[[#This Row],[INVESTOR CODE]],LS[B/S],"B")</f>
        <v>0</v>
      </c>
      <c r="W684" s="50">
        <f>SUMIFS(SIP[BO UNIT TRANSFER],SIP[Investor ID],INVESTORS_LIST[[#This Row],[INVESTOR CODE]],SIP[B/S],"B")</f>
        <v>0</v>
      </c>
      <c r="X684" s="50">
        <f>SUMIFS(LS[BO UNIT TRANSFER],LS[Investor ID],INVESTORS_LIST[[#This Row],[INVESTOR CODE]],LS[B/S],"S")</f>
        <v>0</v>
      </c>
      <c r="Y684" s="50">
        <f>SUMIFS(SIP[BO UNIT TRANSFER],SIP[Investor ID],INVESTORS_LIST[[#This Row],[INVESTOR CODE]],SIP[B/S],"S")</f>
        <v>0</v>
      </c>
      <c r="Z684" s="106">
        <f>SUM(INVESTORS_LIST[[#This Row],[BO OPENING BALANCE]:[BO SIP UNITS REPURCHASE]])</f>
        <v>0</v>
      </c>
      <c r="AA684" s="107">
        <f>INVESTORS_LIST[[#This Row],[TOTAL UNITS BUY]]-INVESTORS_LIST[[#This Row],[TOTAL UNITS SOLD]]</f>
        <v>0</v>
      </c>
      <c r="AB684" s="107">
        <f>INVESTORS_LIST[[#This Row],[TOTAL CURRENT UNITS]]-INVESTORS_LIST[[#This Row],[BO UNITS HOLD]]</f>
        <v>0</v>
      </c>
      <c r="AC684" s="201" t="e">
        <f>INDEX([3]!Table_1[BO ID],MATCH(INVESTORS_LIST[[#This Row],[INVESTOR CODE]],[3]!Table_1[INVESTOR CODE],0))</f>
        <v>#REF!</v>
      </c>
      <c r="AD684" s="201" t="e">
        <f>INDEX([3]!Table_1[Brokerage Name2],MATCH(INVESTORS_LIST[[#This Row],[INVESTOR CODE]],[3]!Table_1[INVESTOR CODE],0))</f>
        <v>#REF!</v>
      </c>
      <c r="AE684" s="201" t="e">
        <f>MID(INVESTORS_LIST[[#This Row],[BO ID]],4,5)</f>
        <v>#REF!</v>
      </c>
      <c r="AF684" s="201" t="e">
        <f>MID(INVESTORS_LIST[[#This Row],[BO ID]],2,7)</f>
        <v>#REF!</v>
      </c>
      <c r="AG684" s="201" t="e">
        <f>MID(INVESTORS_LIST[[#This Row],[BO ID]],9,7)</f>
        <v>#REF!</v>
      </c>
      <c r="AH684" s="201" t="e">
        <f>RIGHT(INVESTORS_LIST[[#This Row],[BO ID]],1)</f>
        <v>#REF!</v>
      </c>
      <c r="AI684" s="50">
        <f>INVESTORS_LIST[[#This Row],[LS_TOTAL COST VALUE OF CURRENT UNITS]]+INVESTORS_LIST[[#This Row],[SIP_TOTAL COST VALUE OF CURRENT UNITS]]</f>
        <v>0</v>
      </c>
      <c r="AJ684" s="109">
        <f>IF(INVESTORS_LIST[[#This Row],[TOTAL CURRENT UNITS]]=0,0,INVESTORS_LIST[[#This Row],[LS_TOTAL CURRENT UNITS]]/INVESTORS_LIST[[#This Row],[TOTAL CURRENT UNITS]])</f>
        <v>0</v>
      </c>
      <c r="AK684" s="109">
        <f>IF(INVESTORS_LIST[[#This Row],[TOTAL CURRENT UNITS]]=0,0,INVESTORS_LIST[[#This Row],[SIP_TOTAL CURRENT UNITS]]/INVESTORS_LIST[[#This Row],[TOTAL CURRENT UNITS]])</f>
        <v>0</v>
      </c>
      <c r="AL684" s="260" cm="1">
        <f t="array" ref="AL6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4" s="260" cm="1">
        <f t="array" ref="AM6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4" s="105">
        <f t="shared" si="11"/>
        <v>14.224</v>
      </c>
      <c r="AP684" s="112">
        <f>IF(INVESTORS_LIST[[#This Row],[TOTAL CURRENT UNITS]]=0,0,INVESTORS_LIST[[#This Row],[TOTAL CURRENT UNITS]]*INVESTORS_LIST[[#This Row],[NAV]])</f>
        <v>0</v>
      </c>
      <c r="AQ684" s="258">
        <f>IF(INVESTORS_LIST[[#This Row],[LS_TOTAL CURRENT UNITS]]=0,0,INVESTORS_LIST[[#This Row],[LS_TOTAL CURRENT UNITS]]*INVESTORS_LIST[[#This Row],[NAV]])</f>
        <v>0</v>
      </c>
      <c r="AR684" s="48">
        <f>IF(INVESTORS_LIST[[#This Row],[SIP_TOTAL CURRENT UNITS]]=0,0,INVESTORS_LIST[[#This Row],[SIP_TOTAL CURRENT UNITS]]*INVESTORS_LIST[[#This Row],[NAV]])</f>
        <v>0</v>
      </c>
      <c r="AS684" s="50">
        <f>INVESTORS_LIST[[#This Row],[TOTAL CURRENT UNITS]]</f>
        <v>0</v>
      </c>
      <c r="AT684" s="48">
        <f>IF(INVESTORS_LIST[[#This Row],[TOTAL SELLABLE UNITS]]=0,0,INVESTORS_LIST[[#This Row],[TOTAL SELLABLE UNITS]]*INVESTORS_LIST[[#This Row],[NAV]])</f>
        <v>0</v>
      </c>
      <c r="AU684" s="48">
        <f>INVESTORS_LIST[[#This Row],[LS_TOTAL REALIZED GAIN]]+INVESTORS_LIST[[#This Row],[SIP_TOTAL REALIZED GAIN]]</f>
        <v>0</v>
      </c>
      <c r="AV684" s="48">
        <f>INVESTORS_LIST[[#This Row],[TOTAL MARKET VALUE]]-INVESTORS_LIST[[#This Row],[TOTAL COST VALUE OF CURRENT INVESTMENT]]</f>
        <v>0</v>
      </c>
      <c r="AW684" s="48">
        <f>IFERROR(INVESTORS_LIST[[#This Row],[TOTAL CURRENT UNITS]]/SUM(INVESTORS_LIST[TOTAL CURRENT UNITS]),0)</f>
        <v>0</v>
      </c>
    </row>
    <row r="685" spans="1:49" hidden="1">
      <c r="A685" s="262" t="s">
        <v>1484</v>
      </c>
      <c r="B685" s="97" t="s">
        <v>1485</v>
      </c>
      <c r="C685" t="s">
        <v>44</v>
      </c>
      <c r="D685" s="75" t="s">
        <v>45</v>
      </c>
      <c r="E685" s="50">
        <f>SUMIFS(LS[Unit],LS[Investor ID],INVESTORS_LIST[[#This Row],[INVESTOR CODE]],LS[B/S],"B")</f>
        <v>0</v>
      </c>
      <c r="F685" s="50">
        <f>-SUMIFS(LS[Unit],LS[Investor ID],INVESTORS_LIST[[#This Row],[INVESTOR CODE]],LS[B/S],"S")</f>
        <v>0</v>
      </c>
      <c r="G685" s="50">
        <f>IF(INVESTORS_LIST[[#This Row],[LS_TOTAL UNITS BUY]]=0,0,INVESTORS_LIST[[#This Row],[LS_TOTAL UNITS BUY]]-INVESTORS_LIST[[#This Row],[LS_TOTAL UNITS SOLD]])</f>
        <v>0</v>
      </c>
      <c r="H685" s="102">
        <f>IF(INVESTORS_LIST[[#This Row],[LS_TOTAL UNITS BUY]]=0,0,SUMIFS(LS[Amount],LS[Investor ID],INVESTORS_LIST[[#This Row],[INVESTOR CODE]],LS[B/S],"B"))</f>
        <v>0</v>
      </c>
      <c r="I685" s="48">
        <f>IF(INVESTORS_LIST[[#This Row],[LS_TOTAL UNITS SOLD]]=0,0,SUMIFS(LS[Cost of Units Sold],LS[Investor ID],INVESTORS_LIST[[#This Row],[INVESTOR CODE]],LS[B/S],"S"))</f>
        <v>0</v>
      </c>
      <c r="J685" s="48">
        <f>IF(INVESTORS_LIST[[#This Row],[LS_TOTAL CURRENT UNITS]]=0,0,INVESTORS_LIST[[#This Row],[LS_TOTAL CURRENT UNITS]]*INVESTORS_LIST[[#This Row],[LS_AVERAGE COST]])</f>
        <v>0</v>
      </c>
      <c r="K685" s="48">
        <f>IF(INVESTORS_LIST[[#This Row],[LS_TOTAL UNITS SOLD]]=0,0,SUMIFS(LS[Realized Gain],LS[Investor ID],INVESTORS_LIST[[#This Row],[INVESTOR CODE]],LS[B/S],"S"))</f>
        <v>0</v>
      </c>
      <c r="L685" s="104">
        <f>SUMIFS(SIP[Unit],SIP[Investor ID],INVESTORS_LIST[[#This Row],[INVESTOR CODE]],SIP[B/S],"B")</f>
        <v>0</v>
      </c>
      <c r="M685" s="50">
        <f>-SUMIFS(SIP[Unit],SIP[Investor ID],INVESTORS_LIST[[#This Row],[INVESTOR CODE]],SIP[B/S],"S")</f>
        <v>0</v>
      </c>
      <c r="N685" s="50">
        <f>IF(INVESTORS_LIST[[#This Row],[SIP_TOTAL UNITS BUY]]=0,0,INVESTORS_LIST[[#This Row],[SIP_TOTAL UNITS BUY]]-INVESTORS_LIST[[#This Row],[SIP_TOTAL UNITS SOLD]])</f>
        <v>0</v>
      </c>
      <c r="O685" s="48">
        <f>IF(INVESTORS_LIST[[#This Row],[SIP_TOTAL UNITS BUY]]=0,0,SUMIFS(SIP[Amount],SIP[Investor ID],INVESTORS_LIST[[#This Row],[INVESTOR CODE]],SIP[B/S],"B"))</f>
        <v>0</v>
      </c>
      <c r="P685" s="48">
        <f>IF(INVESTORS_LIST[[#This Row],[SIP_TOTAL UNITS SOLD]]=0,0,SUMIFS(SIP[Cost of Units Sold],SIP[Investor ID],INVESTORS_LIST[[#This Row],[INVESTOR CODE]],SIP[B/S],"S"))</f>
        <v>0</v>
      </c>
      <c r="Q685" s="48">
        <f>IF(INVESTORS_LIST[[#This Row],[SIP_TOTAL CURRENT UNITS]]=0,0,INVESTORS_LIST[[#This Row],[SIP_TOTAL CURRENT UNITS]]*INVESTORS_LIST[[#This Row],[SIP_AVERAGE COST]])</f>
        <v>0</v>
      </c>
      <c r="R685" s="48">
        <f>IF(INVESTORS_LIST[[#This Row],[SIP_TOTAL UNITS SOLD]]=0,0,SUMIFS(SIP[Realized Gain],SIP[Investor ID],INVESTORS_LIST[[#This Row],[INVESTOR CODE]],SIP[B/S],"S"))</f>
        <v>0</v>
      </c>
      <c r="S685" s="50">
        <f>INVESTORS_LIST[[#This Row],[LS_TOTAL UNITS BUY]]+INVESTORS_LIST[[#This Row],[SIP_TOTAL UNITS BUY]]</f>
        <v>0</v>
      </c>
      <c r="T685" s="50">
        <f>INVESTORS_LIST[[#This Row],[LS_TOTAL UNITS SOLD]]+INVESTORS_LIST[[#This Row],[SIP_TOTAL UNITS SOLD]]</f>
        <v>0</v>
      </c>
      <c r="U685" s="50"/>
      <c r="V685" s="50">
        <f>SUMIFS(LS[BO UNIT TRANSFER],LS[Investor ID],INVESTORS_LIST[[#This Row],[INVESTOR CODE]],LS[B/S],"B")</f>
        <v>0</v>
      </c>
      <c r="W685" s="50">
        <f>SUMIFS(SIP[BO UNIT TRANSFER],SIP[Investor ID],INVESTORS_LIST[[#This Row],[INVESTOR CODE]],SIP[B/S],"B")</f>
        <v>0</v>
      </c>
      <c r="X685" s="50">
        <f>SUMIFS(LS[BO UNIT TRANSFER],LS[Investor ID],INVESTORS_LIST[[#This Row],[INVESTOR CODE]],LS[B/S],"S")</f>
        <v>0</v>
      </c>
      <c r="Y685" s="50">
        <f>SUMIFS(SIP[BO UNIT TRANSFER],SIP[Investor ID],INVESTORS_LIST[[#This Row],[INVESTOR CODE]],SIP[B/S],"S")</f>
        <v>0</v>
      </c>
      <c r="Z685" s="106">
        <f>SUM(INVESTORS_LIST[[#This Row],[BO OPENING BALANCE]:[BO SIP UNITS REPURCHASE]])</f>
        <v>0</v>
      </c>
      <c r="AA685" s="107">
        <f>INVESTORS_LIST[[#This Row],[TOTAL UNITS BUY]]-INVESTORS_LIST[[#This Row],[TOTAL UNITS SOLD]]</f>
        <v>0</v>
      </c>
      <c r="AB685" s="107">
        <f>INVESTORS_LIST[[#This Row],[TOTAL CURRENT UNITS]]-INVESTORS_LIST[[#This Row],[BO UNITS HOLD]]</f>
        <v>0</v>
      </c>
      <c r="AC685" s="201" t="e">
        <f>INDEX([3]!Table_1[BO ID],MATCH(INVESTORS_LIST[[#This Row],[INVESTOR CODE]],[3]!Table_1[INVESTOR CODE],0))</f>
        <v>#REF!</v>
      </c>
      <c r="AD685" s="201" t="e">
        <f>INDEX([3]!Table_1[Brokerage Name2],MATCH(INVESTORS_LIST[[#This Row],[INVESTOR CODE]],[3]!Table_1[INVESTOR CODE],0))</f>
        <v>#REF!</v>
      </c>
      <c r="AE685" s="201" t="e">
        <f>MID(INVESTORS_LIST[[#This Row],[BO ID]],4,5)</f>
        <v>#REF!</v>
      </c>
      <c r="AF685" s="201" t="e">
        <f>MID(INVESTORS_LIST[[#This Row],[BO ID]],2,7)</f>
        <v>#REF!</v>
      </c>
      <c r="AG685" s="201" t="e">
        <f>MID(INVESTORS_LIST[[#This Row],[BO ID]],9,7)</f>
        <v>#REF!</v>
      </c>
      <c r="AH685" s="201" t="e">
        <f>RIGHT(INVESTORS_LIST[[#This Row],[BO ID]],1)</f>
        <v>#REF!</v>
      </c>
      <c r="AI685" s="50">
        <f>INVESTORS_LIST[[#This Row],[LS_TOTAL COST VALUE OF CURRENT UNITS]]+INVESTORS_LIST[[#This Row],[SIP_TOTAL COST VALUE OF CURRENT UNITS]]</f>
        <v>0</v>
      </c>
      <c r="AJ685" s="109">
        <f>IF(INVESTORS_LIST[[#This Row],[TOTAL CURRENT UNITS]]=0,0,INVESTORS_LIST[[#This Row],[LS_TOTAL CURRENT UNITS]]/INVESTORS_LIST[[#This Row],[TOTAL CURRENT UNITS]])</f>
        <v>0</v>
      </c>
      <c r="AK685" s="109">
        <f>IF(INVESTORS_LIST[[#This Row],[TOTAL CURRENT UNITS]]=0,0,INVESTORS_LIST[[#This Row],[SIP_TOTAL CURRENT UNITS]]/INVESTORS_LIST[[#This Row],[TOTAL CURRENT UNITS]])</f>
        <v>0</v>
      </c>
      <c r="AL685" s="99" cm="1">
        <f t="array" ref="AL6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5" s="99" cm="1">
        <f t="array" ref="AM6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5" s="105">
        <f t="shared" si="11"/>
        <v>14.224</v>
      </c>
      <c r="AP685" s="112">
        <f>IF(INVESTORS_LIST[[#This Row],[TOTAL CURRENT UNITS]]=0,0,INVESTORS_LIST[[#This Row],[TOTAL CURRENT UNITS]]*INVESTORS_LIST[[#This Row],[NAV]])</f>
        <v>0</v>
      </c>
      <c r="AQ685" s="102">
        <f>IF(INVESTORS_LIST[[#This Row],[LS_TOTAL CURRENT UNITS]]=0,0,INVESTORS_LIST[[#This Row],[LS_TOTAL CURRENT UNITS]]*INVESTORS_LIST[[#This Row],[NAV]])</f>
        <v>0</v>
      </c>
      <c r="AR685" s="48">
        <f>IF(INVESTORS_LIST[[#This Row],[SIP_TOTAL CURRENT UNITS]]=0,0,INVESTORS_LIST[[#This Row],[SIP_TOTAL CURRENT UNITS]]*INVESTORS_LIST[[#This Row],[NAV]])</f>
        <v>0</v>
      </c>
      <c r="AS685" s="50">
        <f>INVESTORS_LIST[[#This Row],[TOTAL CURRENT UNITS]]</f>
        <v>0</v>
      </c>
      <c r="AT685" s="48">
        <f>IF(INVESTORS_LIST[[#This Row],[TOTAL SELLABLE UNITS]]=0,0,INVESTORS_LIST[[#This Row],[TOTAL SELLABLE UNITS]]*INVESTORS_LIST[[#This Row],[NAV]])</f>
        <v>0</v>
      </c>
      <c r="AU685" s="48">
        <f>INVESTORS_LIST[[#This Row],[LS_TOTAL REALIZED GAIN]]+INVESTORS_LIST[[#This Row],[SIP_TOTAL REALIZED GAIN]]</f>
        <v>0</v>
      </c>
      <c r="AV685" s="48">
        <f>INVESTORS_LIST[[#This Row],[TOTAL MARKET VALUE]]-INVESTORS_LIST[[#This Row],[TOTAL COST VALUE OF CURRENT INVESTMENT]]</f>
        <v>0</v>
      </c>
      <c r="AW685" s="48">
        <f>IFERROR(INVESTORS_LIST[[#This Row],[TOTAL CURRENT UNITS]]/SUM(INVESTORS_LIST[TOTAL CURRENT UNITS]),0)</f>
        <v>0</v>
      </c>
    </row>
    <row r="686" spans="1:49">
      <c r="A686" s="262" t="s">
        <v>1486</v>
      </c>
      <c r="B686" s="97" t="s">
        <v>1482</v>
      </c>
      <c r="C686" t="s">
        <v>48</v>
      </c>
      <c r="D686" s="75" t="s">
        <v>49</v>
      </c>
      <c r="E686" s="50">
        <f>SUMIFS(LS[Unit],LS[Investor ID],INVESTORS_LIST[[#This Row],[INVESTOR CODE]],LS[B/S],"B")</f>
        <v>0</v>
      </c>
      <c r="F686" s="50">
        <f>-SUMIFS(LS[Unit],LS[Investor ID],INVESTORS_LIST[[#This Row],[INVESTOR CODE]],LS[B/S],"S")</f>
        <v>0</v>
      </c>
      <c r="G686" s="50">
        <f>IF(INVESTORS_LIST[[#This Row],[LS_TOTAL UNITS BUY]]=0,0,INVESTORS_LIST[[#This Row],[LS_TOTAL UNITS BUY]]-INVESTORS_LIST[[#This Row],[LS_TOTAL UNITS SOLD]])</f>
        <v>0</v>
      </c>
      <c r="H686" s="102">
        <f>IF(INVESTORS_LIST[[#This Row],[LS_TOTAL UNITS BUY]]=0,0,SUMIFS(LS[Amount],LS[Investor ID],INVESTORS_LIST[[#This Row],[INVESTOR CODE]],LS[B/S],"B"))</f>
        <v>0</v>
      </c>
      <c r="I686" s="48">
        <f>IF(INVESTORS_LIST[[#This Row],[LS_TOTAL UNITS SOLD]]=0,0,SUMIFS(LS[Cost of Units Sold],LS[Investor ID],INVESTORS_LIST[[#This Row],[INVESTOR CODE]],LS[B/S],"S"))</f>
        <v>0</v>
      </c>
      <c r="J686" s="48">
        <f>IF(INVESTORS_LIST[[#This Row],[LS_TOTAL CURRENT UNITS]]=0,0,INVESTORS_LIST[[#This Row],[LS_TOTAL CURRENT UNITS]]*INVESTORS_LIST[[#This Row],[LS_AVERAGE COST]])</f>
        <v>0</v>
      </c>
      <c r="K686" s="48">
        <f>IF(INVESTORS_LIST[[#This Row],[LS_TOTAL UNITS SOLD]]=0,0,SUMIFS(LS[Realized Gain],LS[Investor ID],INVESTORS_LIST[[#This Row],[INVESTOR CODE]],LS[B/S],"S"))</f>
        <v>0</v>
      </c>
      <c r="L686" s="104">
        <f>SUMIFS(SIP[Unit],SIP[Investor ID],INVESTORS_LIST[[#This Row],[INVESTOR CODE]],SIP[B/S],"B")</f>
        <v>1150</v>
      </c>
      <c r="M686" s="50">
        <f>-SUMIFS(SIP[Unit],SIP[Investor ID],INVESTORS_LIST[[#This Row],[INVESTOR CODE]],SIP[B/S],"S")</f>
        <v>565</v>
      </c>
      <c r="N686" s="50">
        <f>IF(INVESTORS_LIST[[#This Row],[SIP_TOTAL UNITS BUY]]=0,0,INVESTORS_LIST[[#This Row],[SIP_TOTAL UNITS BUY]]-INVESTORS_LIST[[#This Row],[SIP_TOTAL UNITS SOLD]])</f>
        <v>585</v>
      </c>
      <c r="O686" s="48">
        <f>IF(INVESTORS_LIST[[#This Row],[SIP_TOTAL UNITS BUY]]=0,0,SUMIFS(SIP[Amount],SIP[Investor ID],INVESTORS_LIST[[#This Row],[INVESTOR CODE]],SIP[B/S],"B"))</f>
        <v>16000</v>
      </c>
      <c r="P686" s="48">
        <f>IF(INVESTORS_LIST[[#This Row],[SIP_TOTAL UNITS SOLD]]=0,0,SUMIFS(SIP[Cost of Units Sold],SIP[Investor ID],INVESTORS_LIST[[#This Row],[INVESTOR CODE]],SIP[B/S],"S"))</f>
        <v>7860.8695652173919</v>
      </c>
      <c r="Q686" s="48">
        <f>IF(INVESTORS_LIST[[#This Row],[SIP_TOTAL CURRENT UNITS]]=0,0,INVESTORS_LIST[[#This Row],[SIP_TOTAL CURRENT UNITS]]*INVESTORS_LIST[[#This Row],[SIP_AVERAGE COST]])</f>
        <v>8139.1304347826099</v>
      </c>
      <c r="R686" s="48">
        <f>IF(INVESTORS_LIST[[#This Row],[SIP_TOTAL UNITS SOLD]]=0,0,SUMIFS(SIP[Realized Gain],SIP[Investor ID],INVESTORS_LIST[[#This Row],[INVESTOR CODE]],SIP[B/S],"S"))</f>
        <v>139.13043478260829</v>
      </c>
      <c r="S686" s="50">
        <f>INVESTORS_LIST[[#This Row],[LS_TOTAL UNITS BUY]]+INVESTORS_LIST[[#This Row],[SIP_TOTAL UNITS BUY]]</f>
        <v>1150</v>
      </c>
      <c r="T686" s="50">
        <f>INVESTORS_LIST[[#This Row],[LS_TOTAL UNITS SOLD]]+INVESTORS_LIST[[#This Row],[SIP_TOTAL UNITS SOLD]]</f>
        <v>565</v>
      </c>
      <c r="U686" s="50"/>
      <c r="V686" s="50">
        <f>SUMIFS(LS[BO UNIT TRANSFER],LS[Investor ID],INVESTORS_LIST[[#This Row],[INVESTOR CODE]],LS[B/S],"B")</f>
        <v>0</v>
      </c>
      <c r="W686" s="50">
        <f>SUMIFS(SIP[BO UNIT TRANSFER],SIP[Investor ID],INVESTORS_LIST[[#This Row],[INVESTOR CODE]],SIP[B/S],"B")</f>
        <v>0</v>
      </c>
      <c r="X686" s="50">
        <f>SUMIFS(LS[BO UNIT TRANSFER],LS[Investor ID],INVESTORS_LIST[[#This Row],[INVESTOR CODE]],LS[B/S],"S")</f>
        <v>0</v>
      </c>
      <c r="Y686" s="50">
        <f>SUMIFS(SIP[BO UNIT TRANSFER],SIP[Investor ID],INVESTORS_LIST[[#This Row],[INVESTOR CODE]],SIP[B/S],"S")</f>
        <v>0</v>
      </c>
      <c r="Z686" s="106">
        <f>SUM(INVESTORS_LIST[[#This Row],[BO OPENING BALANCE]:[BO SIP UNITS REPURCHASE]])</f>
        <v>0</v>
      </c>
      <c r="AA686" s="107">
        <f>INVESTORS_LIST[[#This Row],[TOTAL UNITS BUY]]-INVESTORS_LIST[[#This Row],[TOTAL UNITS SOLD]]</f>
        <v>585</v>
      </c>
      <c r="AB686" s="107">
        <f>INVESTORS_LIST[[#This Row],[TOTAL CURRENT UNITS]]-INVESTORS_LIST[[#This Row],[BO UNITS HOLD]]</f>
        <v>585</v>
      </c>
      <c r="AC686" s="201" t="e">
        <f>INDEX([3]!Table_1[BO ID],MATCH(INVESTORS_LIST[[#This Row],[INVESTOR CODE]],[3]!Table_1[INVESTOR CODE],0))</f>
        <v>#REF!</v>
      </c>
      <c r="AD686" s="201" t="e">
        <f>INDEX([3]!Table_1[Brokerage Name2],MATCH(INVESTORS_LIST[[#This Row],[INVESTOR CODE]],[3]!Table_1[INVESTOR CODE],0))</f>
        <v>#REF!</v>
      </c>
      <c r="AE686" s="201" t="e">
        <f>MID(INVESTORS_LIST[[#This Row],[BO ID]],4,5)</f>
        <v>#REF!</v>
      </c>
      <c r="AF686" s="201" t="e">
        <f>MID(INVESTORS_LIST[[#This Row],[BO ID]],2,7)</f>
        <v>#REF!</v>
      </c>
      <c r="AG686" s="201" t="e">
        <f>MID(INVESTORS_LIST[[#This Row],[BO ID]],9,7)</f>
        <v>#REF!</v>
      </c>
      <c r="AH686" s="201" t="e">
        <f>RIGHT(INVESTORS_LIST[[#This Row],[BO ID]],1)</f>
        <v>#REF!</v>
      </c>
      <c r="AI686" s="50">
        <f>INVESTORS_LIST[[#This Row],[LS_TOTAL COST VALUE OF CURRENT UNITS]]+INVESTORS_LIST[[#This Row],[SIP_TOTAL COST VALUE OF CURRENT UNITS]]</f>
        <v>8139.1304347826099</v>
      </c>
      <c r="AJ686" s="109">
        <f>IF(INVESTORS_LIST[[#This Row],[TOTAL CURRENT UNITS]]=0,0,INVESTORS_LIST[[#This Row],[LS_TOTAL CURRENT UNITS]]/INVESTORS_LIST[[#This Row],[TOTAL CURRENT UNITS]])</f>
        <v>0</v>
      </c>
      <c r="AK686" s="109">
        <f>IF(INVESTORS_LIST[[#This Row],[TOTAL CURRENT UNITS]]=0,0,INVESTORS_LIST[[#This Row],[SIP_TOTAL CURRENT UNITS]]/INVESTORS_LIST[[#This Row],[TOTAL CURRENT UNITS]])</f>
        <v>1</v>
      </c>
      <c r="AL686" s="99" cm="1">
        <f t="array" ref="AL6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6" s="99" cm="1">
        <f t="array" ref="AM686">IF(INVESTORS_LIST[[#This Row],[SIP_TOTAL UNITS BUY]]&gt;0,INDEX(SIP[NAV at Cost (Average)],MATCH(CONCATENATE(COUNTIFS(SIP[Investor ID],INVESTORS_LIST[[#This Row],[INVESTOR CODE]]),INVESTORS_LIST[[#This Row],[INVESTOR CODE]]),SIP[Unique Code],0),),0)</f>
        <v>13.913043478260871</v>
      </c>
      <c r="AN686" s="105">
        <f>IF(INVESTORS_LIST[[#This Row],[TOTAL CURRENT UNITS]]=0,0,(INVESTORS_LIST[[#This Row],[LS_WEIGHT]]*INVESTORS_LIST[[#This Row],[LS_AVERAGE COST]])+(INVESTORS_LIST[[#This Row],[SIP_WEIGHT]]*INVESTORS_LIST[[#This Row],[SIP_AVERAGE COST]]))</f>
        <v>13.913043478260871</v>
      </c>
      <c r="AO686" s="105">
        <f t="shared" si="11"/>
        <v>14.224</v>
      </c>
      <c r="AP686" s="112">
        <f>IF(INVESTORS_LIST[[#This Row],[TOTAL CURRENT UNITS]]=0,0,INVESTORS_LIST[[#This Row],[TOTAL CURRENT UNITS]]*INVESTORS_LIST[[#This Row],[NAV]])</f>
        <v>8321.0400000000009</v>
      </c>
      <c r="AQ686" s="102">
        <f>IF(INVESTORS_LIST[[#This Row],[LS_TOTAL CURRENT UNITS]]=0,0,INVESTORS_LIST[[#This Row],[LS_TOTAL CURRENT UNITS]]*INVESTORS_LIST[[#This Row],[NAV]])</f>
        <v>0</v>
      </c>
      <c r="AR686" s="48">
        <f>IF(INVESTORS_LIST[[#This Row],[SIP_TOTAL CURRENT UNITS]]=0,0,INVESTORS_LIST[[#This Row],[SIP_TOTAL CURRENT UNITS]]*INVESTORS_LIST[[#This Row],[NAV]])</f>
        <v>8321.0400000000009</v>
      </c>
      <c r="AS686" s="50">
        <f>INVESTORS_LIST[[#This Row],[TOTAL CURRENT UNITS]]</f>
        <v>585</v>
      </c>
      <c r="AT686" s="48">
        <f>IF(INVESTORS_LIST[[#This Row],[TOTAL SELLABLE UNITS]]=0,0,INVESTORS_LIST[[#This Row],[TOTAL SELLABLE UNITS]]*INVESTORS_LIST[[#This Row],[NAV]])</f>
        <v>8321.0400000000009</v>
      </c>
      <c r="AU686" s="48">
        <f>INVESTORS_LIST[[#This Row],[LS_TOTAL REALIZED GAIN]]+INVESTORS_LIST[[#This Row],[SIP_TOTAL REALIZED GAIN]]</f>
        <v>139.13043478260829</v>
      </c>
      <c r="AV686" s="48">
        <f>INVESTORS_LIST[[#This Row],[TOTAL MARKET VALUE]]-INVESTORS_LIST[[#This Row],[TOTAL COST VALUE OF CURRENT INVESTMENT]]</f>
        <v>181.90956521739099</v>
      </c>
      <c r="AW686" s="48">
        <f>IFERROR(INVESTORS_LIST[[#This Row],[TOTAL CURRENT UNITS]]/SUM(INVESTORS_LIST[TOTAL CURRENT UNITS]),0)</f>
        <v>1.4201581619220639E-5</v>
      </c>
    </row>
    <row r="687" spans="1:49">
      <c r="A687" s="262" t="s">
        <v>1487</v>
      </c>
      <c r="B687" s="97" t="s">
        <v>1483</v>
      </c>
      <c r="C687" t="s">
        <v>44</v>
      </c>
      <c r="D687" s="75" t="s">
        <v>45</v>
      </c>
      <c r="E687" s="50">
        <f>SUMIFS(LS[Unit],LS[Investor ID],INVESTORS_LIST[[#This Row],[INVESTOR CODE]],LS[B/S],"B")</f>
        <v>1443</v>
      </c>
      <c r="F687" s="50">
        <f>-SUMIFS(LS[Unit],LS[Investor ID],INVESTORS_LIST[[#This Row],[INVESTOR CODE]],LS[B/S],"S")</f>
        <v>0</v>
      </c>
      <c r="G687" s="50">
        <f>IF(INVESTORS_LIST[[#This Row],[LS_TOTAL UNITS BUY]]=0,0,INVESTORS_LIST[[#This Row],[LS_TOTAL UNITS BUY]]-INVESTORS_LIST[[#This Row],[LS_TOTAL UNITS SOLD]])</f>
        <v>1443</v>
      </c>
      <c r="H687" s="102">
        <f>IF(INVESTORS_LIST[[#This Row],[LS_TOTAL UNITS BUY]]=0,0,SUMIFS(LS[Amount],LS[Investor ID],INVESTORS_LIST[[#This Row],[INVESTOR CODE]],LS[B/S],"B"))</f>
        <v>20000</v>
      </c>
      <c r="I687" s="48">
        <f>IF(INVESTORS_LIST[[#This Row],[LS_TOTAL UNITS SOLD]]=0,0,SUMIFS(LS[Cost of Units Sold],LS[Investor ID],INVESTORS_LIST[[#This Row],[INVESTOR CODE]],LS[B/S],"S"))</f>
        <v>0</v>
      </c>
      <c r="J687" s="48">
        <f>IF(INVESTORS_LIST[[#This Row],[LS_TOTAL CURRENT UNITS]]=0,0,INVESTORS_LIST[[#This Row],[LS_TOTAL CURRENT UNITS]]*INVESTORS_LIST[[#This Row],[LS_AVERAGE COST]])</f>
        <v>20000</v>
      </c>
      <c r="K687" s="48">
        <f>IF(INVESTORS_LIST[[#This Row],[LS_TOTAL UNITS SOLD]]=0,0,SUMIFS(LS[Realized Gain],LS[Investor ID],INVESTORS_LIST[[#This Row],[INVESTOR CODE]],LS[B/S],"S"))</f>
        <v>0</v>
      </c>
      <c r="L687" s="104">
        <f>SUMIFS(SIP[Unit],SIP[Investor ID],INVESTORS_LIST[[#This Row],[INVESTOR CODE]],SIP[B/S],"B")</f>
        <v>643</v>
      </c>
      <c r="M687" s="50">
        <f>-SUMIFS(SIP[Unit],SIP[Investor ID],INVESTORS_LIST[[#This Row],[INVESTOR CODE]],SIP[B/S],"S")</f>
        <v>0</v>
      </c>
      <c r="N687" s="50">
        <f>IF(INVESTORS_LIST[[#This Row],[SIP_TOTAL UNITS BUY]]=0,0,INVESTORS_LIST[[#This Row],[SIP_TOTAL UNITS BUY]]-INVESTORS_LIST[[#This Row],[SIP_TOTAL UNITS SOLD]])</f>
        <v>643</v>
      </c>
      <c r="O687" s="48">
        <f>IF(INVESTORS_LIST[[#This Row],[SIP_TOTAL UNITS BUY]]=0,0,SUMIFS(SIP[Amount],SIP[Investor ID],INVESTORS_LIST[[#This Row],[INVESTOR CODE]],SIP[B/S],"B"))</f>
        <v>9000</v>
      </c>
      <c r="P687" s="48">
        <f>IF(INVESTORS_LIST[[#This Row],[SIP_TOTAL UNITS SOLD]]=0,0,SUMIFS(SIP[Cost of Units Sold],SIP[Investor ID],INVESTORS_LIST[[#This Row],[INVESTOR CODE]],SIP[B/S],"S"))</f>
        <v>0</v>
      </c>
      <c r="Q687" s="48">
        <f>IF(INVESTORS_LIST[[#This Row],[SIP_TOTAL CURRENT UNITS]]=0,0,INVESTORS_LIST[[#This Row],[SIP_TOTAL CURRENT UNITS]]*INVESTORS_LIST[[#This Row],[SIP_AVERAGE COST]])</f>
        <v>9000</v>
      </c>
      <c r="R687" s="48">
        <f>IF(INVESTORS_LIST[[#This Row],[SIP_TOTAL UNITS SOLD]]=0,0,SUMIFS(SIP[Realized Gain],SIP[Investor ID],INVESTORS_LIST[[#This Row],[INVESTOR CODE]],SIP[B/S],"S"))</f>
        <v>0</v>
      </c>
      <c r="S687" s="50">
        <f>INVESTORS_LIST[[#This Row],[LS_TOTAL UNITS BUY]]+INVESTORS_LIST[[#This Row],[SIP_TOTAL UNITS BUY]]</f>
        <v>2086</v>
      </c>
      <c r="T687" s="50">
        <f>INVESTORS_LIST[[#This Row],[LS_TOTAL UNITS SOLD]]+INVESTORS_LIST[[#This Row],[SIP_TOTAL UNITS SOLD]]</f>
        <v>0</v>
      </c>
      <c r="U687" s="50"/>
      <c r="V687" s="50">
        <f>SUMIFS(LS[BO UNIT TRANSFER],LS[Investor ID],INVESTORS_LIST[[#This Row],[INVESTOR CODE]],LS[B/S],"B")</f>
        <v>1443</v>
      </c>
      <c r="W687" s="50">
        <f>SUMIFS(SIP[BO UNIT TRANSFER],SIP[Investor ID],INVESTORS_LIST[[#This Row],[INVESTOR CODE]],SIP[B/S],"B")</f>
        <v>431</v>
      </c>
      <c r="X687" s="50">
        <f>SUMIFS(LS[BO UNIT TRANSFER],LS[Investor ID],INVESTORS_LIST[[#This Row],[INVESTOR CODE]],LS[B/S],"S")</f>
        <v>0</v>
      </c>
      <c r="Y687" s="50">
        <f>SUMIFS(SIP[BO UNIT TRANSFER],SIP[Investor ID],INVESTORS_LIST[[#This Row],[INVESTOR CODE]],SIP[B/S],"S")</f>
        <v>0</v>
      </c>
      <c r="Z687" s="106">
        <f>SUM(INVESTORS_LIST[[#This Row],[BO OPENING BALANCE]:[BO SIP UNITS REPURCHASE]])</f>
        <v>1874</v>
      </c>
      <c r="AA687" s="107">
        <f>INVESTORS_LIST[[#This Row],[TOTAL UNITS BUY]]-INVESTORS_LIST[[#This Row],[TOTAL UNITS SOLD]]</f>
        <v>2086</v>
      </c>
      <c r="AB687" s="107">
        <f>INVESTORS_LIST[[#This Row],[TOTAL CURRENT UNITS]]-INVESTORS_LIST[[#This Row],[BO UNITS HOLD]]</f>
        <v>212</v>
      </c>
      <c r="AC687" s="201" t="e">
        <f>INDEX([3]!Table_1[BO ID],MATCH(INVESTORS_LIST[[#This Row],[INVESTOR CODE]],[3]!Table_1[INVESTOR CODE],0))</f>
        <v>#REF!</v>
      </c>
      <c r="AD687" s="201" t="e">
        <f>INDEX([3]!Table_1[Brokerage Name2],MATCH(INVESTORS_LIST[[#This Row],[INVESTOR CODE]],[3]!Table_1[INVESTOR CODE],0))</f>
        <v>#REF!</v>
      </c>
      <c r="AE687" s="201" t="e">
        <f>MID(INVESTORS_LIST[[#This Row],[BO ID]],4,5)</f>
        <v>#REF!</v>
      </c>
      <c r="AF687" s="201" t="e">
        <f>MID(INVESTORS_LIST[[#This Row],[BO ID]],2,7)</f>
        <v>#REF!</v>
      </c>
      <c r="AG687" s="201" t="e">
        <f>MID(INVESTORS_LIST[[#This Row],[BO ID]],9,7)</f>
        <v>#REF!</v>
      </c>
      <c r="AH687" s="201" t="e">
        <f>RIGHT(INVESTORS_LIST[[#This Row],[BO ID]],1)</f>
        <v>#REF!</v>
      </c>
      <c r="AI687" s="50">
        <f>INVESTORS_LIST[[#This Row],[LS_TOTAL COST VALUE OF CURRENT UNITS]]+INVESTORS_LIST[[#This Row],[SIP_TOTAL COST VALUE OF CURRENT UNITS]]</f>
        <v>29000</v>
      </c>
      <c r="AJ687" s="109">
        <f>IF(INVESTORS_LIST[[#This Row],[TOTAL CURRENT UNITS]]=0,0,INVESTORS_LIST[[#This Row],[LS_TOTAL CURRENT UNITS]]/INVESTORS_LIST[[#This Row],[TOTAL CURRENT UNITS]])</f>
        <v>0.69175455417066156</v>
      </c>
      <c r="AK687" s="109">
        <f>IF(INVESTORS_LIST[[#This Row],[TOTAL CURRENT UNITS]]=0,0,INVESTORS_LIST[[#This Row],[SIP_TOTAL CURRENT UNITS]]/INVESTORS_LIST[[#This Row],[TOTAL CURRENT UNITS]])</f>
        <v>0.30824544582933844</v>
      </c>
      <c r="AL687" s="99" cm="1">
        <f t="array" ref="AL687">IF(INVESTORS_LIST[[#This Row],[LS_TOTAL UNITS BUY]]&gt;0,INDEX(LS[NAV at Cost (Average)],MATCH(CONCATENATE(COUNTIFS(LS[Investor ID],INVESTORS_LIST[[#This Row],[INVESTOR CODE]]),INVESTORS_LIST[[#This Row],[INVESTOR CODE]]),LS[Unique Code],0),),0)</f>
        <v>13.86001386001386</v>
      </c>
      <c r="AM687" s="99" cm="1">
        <f t="array" ref="AM687">IF(INVESTORS_LIST[[#This Row],[SIP_TOTAL UNITS BUY]]&gt;0,INDEX(SIP[NAV at Cost (Average)],MATCH(CONCATENATE(COUNTIFS(SIP[Investor ID],INVESTORS_LIST[[#This Row],[INVESTOR CODE]]),INVESTORS_LIST[[#This Row],[INVESTOR CODE]]),SIP[Unique Code],0),),0)</f>
        <v>13.996889580093313</v>
      </c>
      <c r="AN687" s="105">
        <f>IF(INVESTORS_LIST[[#This Row],[TOTAL CURRENT UNITS]]=0,0,(INVESTORS_LIST[[#This Row],[LS_WEIGHT]]*INVESTORS_LIST[[#This Row],[LS_AVERAGE COST]])+(INVESTORS_LIST[[#This Row],[SIP_WEIGHT]]*INVESTORS_LIST[[#This Row],[SIP_AVERAGE COST]]))</f>
        <v>13.902205177372963</v>
      </c>
      <c r="AO687" s="105">
        <f t="shared" si="11"/>
        <v>14.224</v>
      </c>
      <c r="AP687" s="112">
        <f>IF(INVESTORS_LIST[[#This Row],[TOTAL CURRENT UNITS]]=0,0,INVESTORS_LIST[[#This Row],[TOTAL CURRENT UNITS]]*INVESTORS_LIST[[#This Row],[NAV]])</f>
        <v>29671.263999999999</v>
      </c>
      <c r="AQ687" s="102">
        <f>IF(INVESTORS_LIST[[#This Row],[LS_TOTAL CURRENT UNITS]]=0,0,INVESTORS_LIST[[#This Row],[LS_TOTAL CURRENT UNITS]]*INVESTORS_LIST[[#This Row],[NAV]])</f>
        <v>20525.232</v>
      </c>
      <c r="AR687" s="48">
        <f>IF(INVESTORS_LIST[[#This Row],[SIP_TOTAL CURRENT UNITS]]=0,0,INVESTORS_LIST[[#This Row],[SIP_TOTAL CURRENT UNITS]]*INVESTORS_LIST[[#This Row],[NAV]])</f>
        <v>9146.0319999999992</v>
      </c>
      <c r="AS687" s="50">
        <f>INVESTORS_LIST[[#This Row],[TOTAL CURRENT UNITS]]</f>
        <v>2086</v>
      </c>
      <c r="AT687" s="48">
        <f>IF(INVESTORS_LIST[[#This Row],[TOTAL SELLABLE UNITS]]=0,0,INVESTORS_LIST[[#This Row],[TOTAL SELLABLE UNITS]]*INVESTORS_LIST[[#This Row],[NAV]])</f>
        <v>29671.263999999999</v>
      </c>
      <c r="AU687" s="48">
        <f>INVESTORS_LIST[[#This Row],[LS_TOTAL REALIZED GAIN]]+INVESTORS_LIST[[#This Row],[SIP_TOTAL REALIZED GAIN]]</f>
        <v>0</v>
      </c>
      <c r="AV687" s="48">
        <f>INVESTORS_LIST[[#This Row],[TOTAL MARKET VALUE]]-INVESTORS_LIST[[#This Row],[TOTAL COST VALUE OF CURRENT INVESTMENT]]</f>
        <v>671.26399999999921</v>
      </c>
      <c r="AW687" s="48">
        <f>IFERROR(INVESTORS_LIST[[#This Row],[TOTAL CURRENT UNITS]]/SUM(INVESTORS_LIST[TOTAL CURRENT UNITS]),0)</f>
        <v>5.0640169671272227E-5</v>
      </c>
    </row>
    <row r="688" spans="1:49">
      <c r="A688" s="262" t="s">
        <v>1494</v>
      </c>
      <c r="B688" s="97" t="s">
        <v>1495</v>
      </c>
      <c r="C688" t="s">
        <v>67</v>
      </c>
      <c r="D688" s="75" t="s">
        <v>45</v>
      </c>
      <c r="E688" s="47">
        <f>SUMIFS(LS[Unit],LS[Investor ID],INVESTORS_LIST[[#This Row],[INVESTOR CODE]],LS[B/S],"B")</f>
        <v>36250</v>
      </c>
      <c r="F688" s="47">
        <f>-SUMIFS(LS[Unit],LS[Investor ID],INVESTORS_LIST[[#This Row],[INVESTOR CODE]],LS[B/S],"S")</f>
        <v>0</v>
      </c>
      <c r="G688" s="47">
        <f>IF(INVESTORS_LIST[[#This Row],[LS_TOTAL UNITS BUY]]=0,0,INVESTORS_LIST[[#This Row],[LS_TOTAL UNITS BUY]]-INVESTORS_LIST[[#This Row],[LS_TOTAL UNITS SOLD]])</f>
        <v>36250</v>
      </c>
      <c r="H688" s="49">
        <f>IF(INVESTORS_LIST[[#This Row],[LS_TOTAL UNITS BUY]]=0,0,SUMIFS(LS[Amount],LS[Investor ID],INVESTORS_LIST[[#This Row],[INVESTOR CODE]],LS[B/S],"B"))</f>
        <v>500000</v>
      </c>
      <c r="I688" s="48">
        <f>IF(INVESTORS_LIST[[#This Row],[LS_TOTAL UNITS SOLD]]=0,0,SUMIFS(LS[Cost of Units Sold],LS[Investor ID],INVESTORS_LIST[[#This Row],[INVESTOR CODE]],LS[B/S],"S"))</f>
        <v>0</v>
      </c>
      <c r="J688" s="48">
        <f>IF(INVESTORS_LIST[[#This Row],[LS_TOTAL CURRENT UNITS]]=0,0,INVESTORS_LIST[[#This Row],[LS_TOTAL CURRENT UNITS]]*INVESTORS_LIST[[#This Row],[LS_AVERAGE COST]])</f>
        <v>499999.99999999994</v>
      </c>
      <c r="K688" s="49">
        <f>IF(INVESTORS_LIST[[#This Row],[LS_TOTAL UNITS SOLD]]=0,0,SUMIFS(LS[Realized Gain],LS[Investor ID],INVESTORS_LIST[[#This Row],[INVESTOR CODE]],LS[B/S],"S"))</f>
        <v>0</v>
      </c>
      <c r="L688" s="47">
        <f>SUMIFS(SIP[Unit],SIP[Investor ID],INVESTORS_LIST[[#This Row],[INVESTOR CODE]],SIP[B/S],"B")</f>
        <v>0</v>
      </c>
      <c r="M688" s="47">
        <f>-SUMIFS(SIP[Unit],SIP[Investor ID],INVESTORS_LIST[[#This Row],[INVESTOR CODE]],SIP[B/S],"S")</f>
        <v>0</v>
      </c>
      <c r="N688" s="50">
        <f>IF(INVESTORS_LIST[[#This Row],[SIP_TOTAL UNITS BUY]]=0,0,INVESTORS_LIST[[#This Row],[SIP_TOTAL UNITS BUY]]-INVESTORS_LIST[[#This Row],[SIP_TOTAL UNITS SOLD]])</f>
        <v>0</v>
      </c>
      <c r="O688" s="49">
        <f>IF(INVESTORS_LIST[[#This Row],[SIP_TOTAL UNITS BUY]]=0,0,SUMIFS(SIP[Amount],SIP[Investor ID],INVESTORS_LIST[[#This Row],[INVESTOR CODE]],SIP[B/S],"B"))</f>
        <v>0</v>
      </c>
      <c r="P688" s="49">
        <f>IF(INVESTORS_LIST[[#This Row],[SIP_TOTAL UNITS SOLD]]=0,0,SUMIFS(SIP[Cost of Units Sold],SIP[Investor ID],INVESTORS_LIST[[#This Row],[INVESTOR CODE]],SIP[B/S],"S"))</f>
        <v>0</v>
      </c>
      <c r="Q688" s="48">
        <f>IF(INVESTORS_LIST[[#This Row],[SIP_TOTAL CURRENT UNITS]]=0,0,INVESTORS_LIST[[#This Row],[SIP_TOTAL CURRENT UNITS]]*INVESTORS_LIST[[#This Row],[SIP_AVERAGE COST]])</f>
        <v>0</v>
      </c>
      <c r="R688" s="48">
        <f>IF(INVESTORS_LIST[[#This Row],[SIP_TOTAL UNITS SOLD]]=0,0,SUMIFS(SIP[Realized Gain],SIP[Investor ID],INVESTORS_LIST[[#This Row],[INVESTOR CODE]],SIP[B/S],"S"))</f>
        <v>0</v>
      </c>
      <c r="S688" s="50">
        <f>INVESTORS_LIST[[#This Row],[LS_TOTAL UNITS BUY]]+INVESTORS_LIST[[#This Row],[SIP_TOTAL UNITS BUY]]</f>
        <v>36250</v>
      </c>
      <c r="T688" s="50">
        <f>INVESTORS_LIST[[#This Row],[LS_TOTAL UNITS SOLD]]+INVESTORS_LIST[[#This Row],[SIP_TOTAL UNITS SOLD]]</f>
        <v>0</v>
      </c>
      <c r="U688" s="50"/>
      <c r="V688" s="50">
        <f>SUMIFS(LS[BO UNIT TRANSFER],LS[Investor ID],INVESTORS_LIST[[#This Row],[INVESTOR CODE]],LS[B/S],"B")</f>
        <v>0</v>
      </c>
      <c r="W688" s="50">
        <f>SUMIFS(SIP[BO UNIT TRANSFER],SIP[Investor ID],INVESTORS_LIST[[#This Row],[INVESTOR CODE]],SIP[B/S],"B")</f>
        <v>0</v>
      </c>
      <c r="X688" s="50">
        <f>SUMIFS(LS[BO UNIT TRANSFER],LS[Investor ID],INVESTORS_LIST[[#This Row],[INVESTOR CODE]],LS[B/S],"S")</f>
        <v>0</v>
      </c>
      <c r="Y688" s="50">
        <f>SUMIFS(SIP[BO UNIT TRANSFER],SIP[Investor ID],INVESTORS_LIST[[#This Row],[INVESTOR CODE]],SIP[B/S],"S")</f>
        <v>0</v>
      </c>
      <c r="Z688" s="106">
        <f>SUM(INVESTORS_LIST[[#This Row],[BO OPENING BALANCE]:[BO SIP UNITS REPURCHASE]])</f>
        <v>0</v>
      </c>
      <c r="AA688" s="107">
        <f>INVESTORS_LIST[[#This Row],[TOTAL UNITS BUY]]-INVESTORS_LIST[[#This Row],[TOTAL UNITS SOLD]]</f>
        <v>36250</v>
      </c>
      <c r="AB688" s="107">
        <f>INVESTORS_LIST[[#This Row],[TOTAL CURRENT UNITS]]-INVESTORS_LIST[[#This Row],[BO UNITS HOLD]]</f>
        <v>36250</v>
      </c>
      <c r="AC688" s="201" t="e">
        <f>INDEX([3]!Table_1[BO ID],MATCH(INVESTORS_LIST[[#This Row],[INVESTOR CODE]],[3]!Table_1[INVESTOR CODE],0))</f>
        <v>#REF!</v>
      </c>
      <c r="AD688" s="201" t="e">
        <f>INDEX([3]!Table_1[Brokerage Name2],MATCH(INVESTORS_LIST[[#This Row],[INVESTOR CODE]],[3]!Table_1[INVESTOR CODE],0))</f>
        <v>#REF!</v>
      </c>
      <c r="AE688" s="201" t="e">
        <f>MID(INVESTORS_LIST[[#This Row],[BO ID]],4,5)</f>
        <v>#REF!</v>
      </c>
      <c r="AF688" s="201" t="e">
        <f>MID(INVESTORS_LIST[[#This Row],[BO ID]],2,7)</f>
        <v>#REF!</v>
      </c>
      <c r="AG688" s="201" t="e">
        <f>MID(INVESTORS_LIST[[#This Row],[BO ID]],9,7)</f>
        <v>#REF!</v>
      </c>
      <c r="AH688" s="201" t="e">
        <f>RIGHT(INVESTORS_LIST[[#This Row],[BO ID]],1)</f>
        <v>#REF!</v>
      </c>
      <c r="AI688" s="50">
        <f>INVESTORS_LIST[[#This Row],[LS_TOTAL COST VALUE OF CURRENT UNITS]]+INVESTORS_LIST[[#This Row],[SIP_TOTAL COST VALUE OF CURRENT UNITS]]</f>
        <v>499999.99999999994</v>
      </c>
      <c r="AJ688" s="109">
        <f>IF(INVESTORS_LIST[[#This Row],[TOTAL CURRENT UNITS]]=0,0,INVESTORS_LIST[[#This Row],[LS_TOTAL CURRENT UNITS]]/INVESTORS_LIST[[#This Row],[TOTAL CURRENT UNITS]])</f>
        <v>1</v>
      </c>
      <c r="AK688" s="109">
        <f>IF(INVESTORS_LIST[[#This Row],[TOTAL CURRENT UNITS]]=0,0,INVESTORS_LIST[[#This Row],[SIP_TOTAL CURRENT UNITS]]/INVESTORS_LIST[[#This Row],[TOTAL CURRENT UNITS]])</f>
        <v>0</v>
      </c>
      <c r="AL688" s="49" cm="1">
        <f t="array" ref="AL688">IF(INVESTORS_LIST[[#This Row],[LS_TOTAL UNITS BUY]]&gt;0,INDEX(LS[NAV at Cost (Average)],MATCH(CONCATENATE(COUNTIFS(LS[Investor ID],INVESTORS_LIST[[#This Row],[INVESTOR CODE]]),INVESTORS_LIST[[#This Row],[INVESTOR CODE]]),LS[Unique Code],0),),0)</f>
        <v>13.793103448275861</v>
      </c>
      <c r="AM688" s="49" cm="1">
        <f t="array" ref="AM6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8" s="105">
        <f>IF(INVESTORS_LIST[[#This Row],[TOTAL CURRENT UNITS]]=0,0,(INVESTORS_LIST[[#This Row],[LS_WEIGHT]]*INVESTORS_LIST[[#This Row],[LS_AVERAGE COST]])+(INVESTORS_LIST[[#This Row],[SIP_WEIGHT]]*INVESTORS_LIST[[#This Row],[SIP_AVERAGE COST]]))</f>
        <v>13.793103448275861</v>
      </c>
      <c r="AO688" s="105">
        <f t="shared" si="11"/>
        <v>14.224</v>
      </c>
      <c r="AP688" s="112">
        <f>IF(INVESTORS_LIST[[#This Row],[TOTAL CURRENT UNITS]]=0,0,INVESTORS_LIST[[#This Row],[TOTAL CURRENT UNITS]]*INVESTORS_LIST[[#This Row],[NAV]])</f>
        <v>515620</v>
      </c>
      <c r="AQ688" s="49">
        <f>IF(INVESTORS_LIST[[#This Row],[LS_TOTAL CURRENT UNITS]]=0,0,INVESTORS_LIST[[#This Row],[LS_TOTAL CURRENT UNITS]]*INVESTORS_LIST[[#This Row],[NAV]])</f>
        <v>515620</v>
      </c>
      <c r="AR688" s="48">
        <f>IF(INVESTORS_LIST[[#This Row],[SIP_TOTAL CURRENT UNITS]]=0,0,INVESTORS_LIST[[#This Row],[SIP_TOTAL CURRENT UNITS]]*INVESTORS_LIST[[#This Row],[NAV]])</f>
        <v>0</v>
      </c>
      <c r="AS688" s="50">
        <f>INVESTORS_LIST[[#This Row],[TOTAL CURRENT UNITS]]</f>
        <v>36250</v>
      </c>
      <c r="AT688" s="48">
        <f>IF(INVESTORS_LIST[[#This Row],[TOTAL SELLABLE UNITS]]=0,0,INVESTORS_LIST[[#This Row],[TOTAL SELLABLE UNITS]]*INVESTORS_LIST[[#This Row],[NAV]])</f>
        <v>515620</v>
      </c>
      <c r="AU688" s="48">
        <f>INVESTORS_LIST[[#This Row],[LS_TOTAL REALIZED GAIN]]+INVESTORS_LIST[[#This Row],[SIP_TOTAL REALIZED GAIN]]</f>
        <v>0</v>
      </c>
      <c r="AV688" s="48">
        <f>INVESTORS_LIST[[#This Row],[TOTAL MARKET VALUE]]-INVESTORS_LIST[[#This Row],[TOTAL COST VALUE OF CURRENT INVESTMENT]]</f>
        <v>15620.000000000058</v>
      </c>
      <c r="AW688" s="48">
        <f>IFERROR(INVESTORS_LIST[[#This Row],[TOTAL CURRENT UNITS]]/SUM(INVESTORS_LIST[TOTAL CURRENT UNITS]),0)</f>
        <v>8.800125362337576E-4</v>
      </c>
    </row>
    <row r="689" spans="1:49" hidden="1">
      <c r="A689" s="262" t="s">
        <v>1496</v>
      </c>
      <c r="B689" s="97" t="s">
        <v>1497</v>
      </c>
      <c r="C689" t="s">
        <v>44</v>
      </c>
      <c r="D689" s="75" t="s">
        <v>45</v>
      </c>
      <c r="E689" s="50">
        <f>SUMIFS(LS[Unit],LS[Investor ID],INVESTORS_LIST[[#This Row],[INVESTOR CODE]],LS[B/S],"B")</f>
        <v>0</v>
      </c>
      <c r="F689" s="50">
        <f>-SUMIFS(LS[Unit],LS[Investor ID],INVESTORS_LIST[[#This Row],[INVESTOR CODE]],LS[B/S],"S")</f>
        <v>0</v>
      </c>
      <c r="G689" s="50">
        <f>IF(INVESTORS_LIST[[#This Row],[LS_TOTAL UNITS BUY]]=0,0,INVESTORS_LIST[[#This Row],[LS_TOTAL UNITS BUY]]-INVESTORS_LIST[[#This Row],[LS_TOTAL UNITS SOLD]])</f>
        <v>0</v>
      </c>
      <c r="H689" s="102">
        <f>IF(INVESTORS_LIST[[#This Row],[LS_TOTAL UNITS BUY]]=0,0,SUMIFS(LS[Amount],LS[Investor ID],INVESTORS_LIST[[#This Row],[INVESTOR CODE]],LS[B/S],"B"))</f>
        <v>0</v>
      </c>
      <c r="I689" s="48">
        <f>IF(INVESTORS_LIST[[#This Row],[LS_TOTAL UNITS SOLD]]=0,0,SUMIFS(LS[Cost of Units Sold],LS[Investor ID],INVESTORS_LIST[[#This Row],[INVESTOR CODE]],LS[B/S],"S"))</f>
        <v>0</v>
      </c>
      <c r="J689" s="48">
        <f>IF(INVESTORS_LIST[[#This Row],[LS_TOTAL CURRENT UNITS]]=0,0,INVESTORS_LIST[[#This Row],[LS_TOTAL CURRENT UNITS]]*INVESTORS_LIST[[#This Row],[LS_AVERAGE COST]])</f>
        <v>0</v>
      </c>
      <c r="K689" s="48">
        <f>IF(INVESTORS_LIST[[#This Row],[LS_TOTAL UNITS SOLD]]=0,0,SUMIFS(LS[Realized Gain],LS[Investor ID],INVESTORS_LIST[[#This Row],[INVESTOR CODE]],LS[B/S],"S"))</f>
        <v>0</v>
      </c>
      <c r="L689" s="104">
        <f>SUMIFS(SIP[Unit],SIP[Investor ID],INVESTORS_LIST[[#This Row],[INVESTOR CODE]],SIP[B/S],"B")</f>
        <v>0</v>
      </c>
      <c r="M689" s="50">
        <f>-SUMIFS(SIP[Unit],SIP[Investor ID],INVESTORS_LIST[[#This Row],[INVESTOR CODE]],SIP[B/S],"S")</f>
        <v>0</v>
      </c>
      <c r="N689" s="50">
        <f>IF(INVESTORS_LIST[[#This Row],[SIP_TOTAL UNITS BUY]]=0,0,INVESTORS_LIST[[#This Row],[SIP_TOTAL UNITS BUY]]-INVESTORS_LIST[[#This Row],[SIP_TOTAL UNITS SOLD]])</f>
        <v>0</v>
      </c>
      <c r="O689" s="48">
        <f>IF(INVESTORS_LIST[[#This Row],[SIP_TOTAL UNITS BUY]]=0,0,SUMIFS(SIP[Amount],SIP[Investor ID],INVESTORS_LIST[[#This Row],[INVESTOR CODE]],SIP[B/S],"B"))</f>
        <v>0</v>
      </c>
      <c r="P689" s="48">
        <f>IF(INVESTORS_LIST[[#This Row],[SIP_TOTAL UNITS SOLD]]=0,0,SUMIFS(SIP[Cost of Units Sold],SIP[Investor ID],INVESTORS_LIST[[#This Row],[INVESTOR CODE]],SIP[B/S],"S"))</f>
        <v>0</v>
      </c>
      <c r="Q689" s="48">
        <f>IF(INVESTORS_LIST[[#This Row],[SIP_TOTAL CURRENT UNITS]]=0,0,INVESTORS_LIST[[#This Row],[SIP_TOTAL CURRENT UNITS]]*INVESTORS_LIST[[#This Row],[SIP_AVERAGE COST]])</f>
        <v>0</v>
      </c>
      <c r="R689" s="48">
        <f>IF(INVESTORS_LIST[[#This Row],[SIP_TOTAL UNITS SOLD]]=0,0,SUMIFS(SIP[Realized Gain],SIP[Investor ID],INVESTORS_LIST[[#This Row],[INVESTOR CODE]],SIP[B/S],"S"))</f>
        <v>0</v>
      </c>
      <c r="S689" s="50">
        <f>INVESTORS_LIST[[#This Row],[LS_TOTAL UNITS BUY]]+INVESTORS_LIST[[#This Row],[SIP_TOTAL UNITS BUY]]</f>
        <v>0</v>
      </c>
      <c r="T689" s="50">
        <f>INVESTORS_LIST[[#This Row],[LS_TOTAL UNITS SOLD]]+INVESTORS_LIST[[#This Row],[SIP_TOTAL UNITS SOLD]]</f>
        <v>0</v>
      </c>
      <c r="U689" s="50"/>
      <c r="V689" s="50">
        <f>SUMIFS(LS[BO UNIT TRANSFER],LS[Investor ID],INVESTORS_LIST[[#This Row],[INVESTOR CODE]],LS[B/S],"B")</f>
        <v>0</v>
      </c>
      <c r="W689" s="50">
        <f>SUMIFS(SIP[BO UNIT TRANSFER],SIP[Investor ID],INVESTORS_LIST[[#This Row],[INVESTOR CODE]],SIP[B/S],"B")</f>
        <v>0</v>
      </c>
      <c r="X689" s="50">
        <f>SUMIFS(LS[BO UNIT TRANSFER],LS[Investor ID],INVESTORS_LIST[[#This Row],[INVESTOR CODE]],LS[B/S],"S")</f>
        <v>0</v>
      </c>
      <c r="Y689" s="50">
        <f>SUMIFS(SIP[BO UNIT TRANSFER],SIP[Investor ID],INVESTORS_LIST[[#This Row],[INVESTOR CODE]],SIP[B/S],"S")</f>
        <v>0</v>
      </c>
      <c r="Z689" s="106">
        <f>SUM(INVESTORS_LIST[[#This Row],[BO OPENING BALANCE]:[BO SIP UNITS REPURCHASE]])</f>
        <v>0</v>
      </c>
      <c r="AA689" s="107">
        <f>INVESTORS_LIST[[#This Row],[TOTAL UNITS BUY]]-INVESTORS_LIST[[#This Row],[TOTAL UNITS SOLD]]</f>
        <v>0</v>
      </c>
      <c r="AB689" s="107">
        <f>INVESTORS_LIST[[#This Row],[TOTAL CURRENT UNITS]]-INVESTORS_LIST[[#This Row],[BO UNITS HOLD]]</f>
        <v>0</v>
      </c>
      <c r="AC689" s="201" t="e">
        <f>INDEX([3]!Table_1[BO ID],MATCH(INVESTORS_LIST[[#This Row],[INVESTOR CODE]],[3]!Table_1[INVESTOR CODE],0))</f>
        <v>#REF!</v>
      </c>
      <c r="AD689" s="201" t="e">
        <f>INDEX([3]!Table_1[Brokerage Name2],MATCH(INVESTORS_LIST[[#This Row],[INVESTOR CODE]],[3]!Table_1[INVESTOR CODE],0))</f>
        <v>#REF!</v>
      </c>
      <c r="AE689" s="201" t="e">
        <f>MID(INVESTORS_LIST[[#This Row],[BO ID]],4,5)</f>
        <v>#REF!</v>
      </c>
      <c r="AF689" s="201" t="e">
        <f>MID(INVESTORS_LIST[[#This Row],[BO ID]],2,7)</f>
        <v>#REF!</v>
      </c>
      <c r="AG689" s="201" t="e">
        <f>MID(INVESTORS_LIST[[#This Row],[BO ID]],9,7)</f>
        <v>#REF!</v>
      </c>
      <c r="AH689" s="201" t="e">
        <f>RIGHT(INVESTORS_LIST[[#This Row],[BO ID]],1)</f>
        <v>#REF!</v>
      </c>
      <c r="AI689" s="50">
        <f>INVESTORS_LIST[[#This Row],[LS_TOTAL COST VALUE OF CURRENT UNITS]]+INVESTORS_LIST[[#This Row],[SIP_TOTAL COST VALUE OF CURRENT UNITS]]</f>
        <v>0</v>
      </c>
      <c r="AJ689" s="109">
        <f>IF(INVESTORS_LIST[[#This Row],[TOTAL CURRENT UNITS]]=0,0,INVESTORS_LIST[[#This Row],[LS_TOTAL CURRENT UNITS]]/INVESTORS_LIST[[#This Row],[TOTAL CURRENT UNITS]])</f>
        <v>0</v>
      </c>
      <c r="AK689" s="109">
        <f>IF(INVESTORS_LIST[[#This Row],[TOTAL CURRENT UNITS]]=0,0,INVESTORS_LIST[[#This Row],[SIP_TOTAL CURRENT UNITS]]/INVESTORS_LIST[[#This Row],[TOTAL CURRENT UNITS]])</f>
        <v>0</v>
      </c>
      <c r="AL689" s="99" cm="1">
        <f t="array" ref="AL6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89" s="99" cm="1">
        <f t="array" ref="AM6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8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89" s="105">
        <f t="shared" si="11"/>
        <v>14.224</v>
      </c>
      <c r="AP689" s="112">
        <f>IF(INVESTORS_LIST[[#This Row],[TOTAL CURRENT UNITS]]=0,0,INVESTORS_LIST[[#This Row],[TOTAL CURRENT UNITS]]*INVESTORS_LIST[[#This Row],[NAV]])</f>
        <v>0</v>
      </c>
      <c r="AQ689" s="102">
        <f>IF(INVESTORS_LIST[[#This Row],[LS_TOTAL CURRENT UNITS]]=0,0,INVESTORS_LIST[[#This Row],[LS_TOTAL CURRENT UNITS]]*INVESTORS_LIST[[#This Row],[NAV]])</f>
        <v>0</v>
      </c>
      <c r="AR689" s="48">
        <f>IF(INVESTORS_LIST[[#This Row],[SIP_TOTAL CURRENT UNITS]]=0,0,INVESTORS_LIST[[#This Row],[SIP_TOTAL CURRENT UNITS]]*INVESTORS_LIST[[#This Row],[NAV]])</f>
        <v>0</v>
      </c>
      <c r="AS689" s="50">
        <f>INVESTORS_LIST[[#This Row],[TOTAL CURRENT UNITS]]</f>
        <v>0</v>
      </c>
      <c r="AT689" s="48">
        <f>IF(INVESTORS_LIST[[#This Row],[TOTAL SELLABLE UNITS]]=0,0,INVESTORS_LIST[[#This Row],[TOTAL SELLABLE UNITS]]*INVESTORS_LIST[[#This Row],[NAV]])</f>
        <v>0</v>
      </c>
      <c r="AU689" s="48">
        <f>INVESTORS_LIST[[#This Row],[LS_TOTAL REALIZED GAIN]]+INVESTORS_LIST[[#This Row],[SIP_TOTAL REALIZED GAIN]]</f>
        <v>0</v>
      </c>
      <c r="AV689" s="48">
        <f>INVESTORS_LIST[[#This Row],[TOTAL MARKET VALUE]]-INVESTORS_LIST[[#This Row],[TOTAL COST VALUE OF CURRENT INVESTMENT]]</f>
        <v>0</v>
      </c>
      <c r="AW689" s="48">
        <f>IFERROR(INVESTORS_LIST[[#This Row],[TOTAL CURRENT UNITS]]/SUM(INVESTORS_LIST[TOTAL CURRENT UNITS]),0)</f>
        <v>0</v>
      </c>
    </row>
    <row r="690" spans="1:49">
      <c r="A690" s="262" t="s">
        <v>1106</v>
      </c>
      <c r="B690" s="97" t="s">
        <v>1469</v>
      </c>
      <c r="C690" t="s">
        <v>44</v>
      </c>
      <c r="D690" s="75" t="s">
        <v>45</v>
      </c>
      <c r="E690" s="50">
        <f>SUMIFS(LS[Unit],LS[Investor ID],INVESTORS_LIST[[#This Row],[INVESTOR CODE]],LS[B/S],"B")</f>
        <v>1000</v>
      </c>
      <c r="F690" s="50">
        <f>-SUMIFS(LS[Unit],LS[Investor ID],INVESTORS_LIST[[#This Row],[INVESTOR CODE]],LS[B/S],"S")</f>
        <v>0</v>
      </c>
      <c r="G690" s="50">
        <f>IF(INVESTORS_LIST[[#This Row],[LS_TOTAL UNITS BUY]]=0,0,INVESTORS_LIST[[#This Row],[LS_TOTAL UNITS BUY]]-INVESTORS_LIST[[#This Row],[LS_TOTAL UNITS SOLD]])</f>
        <v>1000</v>
      </c>
      <c r="H690" s="102">
        <f>IF(INVESTORS_LIST[[#This Row],[LS_TOTAL UNITS BUY]]=0,0,SUMIFS(LS[Amount],LS[Investor ID],INVESTORS_LIST[[#This Row],[INVESTOR CODE]],LS[B/S],"B"))</f>
        <v>10810</v>
      </c>
      <c r="I690" s="48">
        <f>IF(INVESTORS_LIST[[#This Row],[LS_TOTAL UNITS SOLD]]=0,0,SUMIFS(LS[Cost of Units Sold],LS[Investor ID],INVESTORS_LIST[[#This Row],[INVESTOR CODE]],LS[B/S],"S"))</f>
        <v>0</v>
      </c>
      <c r="J690" s="48">
        <f>IF(INVESTORS_LIST[[#This Row],[LS_TOTAL CURRENT UNITS]]=0,0,INVESTORS_LIST[[#This Row],[LS_TOTAL CURRENT UNITS]]*INVESTORS_LIST[[#This Row],[LS_AVERAGE COST]])</f>
        <v>10810</v>
      </c>
      <c r="K690" s="48">
        <f>IF(INVESTORS_LIST[[#This Row],[LS_TOTAL UNITS SOLD]]=0,0,SUMIFS(LS[Realized Gain],LS[Investor ID],INVESTORS_LIST[[#This Row],[INVESTOR CODE]],LS[B/S],"S"))</f>
        <v>0</v>
      </c>
      <c r="L690" s="104">
        <f>SUMIFS(SIP[Unit],SIP[Investor ID],INVESTORS_LIST[[#This Row],[INVESTOR CODE]],SIP[B/S],"B")</f>
        <v>0</v>
      </c>
      <c r="M690" s="50">
        <f>-SUMIFS(SIP[Unit],SIP[Investor ID],INVESTORS_LIST[[#This Row],[INVESTOR CODE]],SIP[B/S],"S")</f>
        <v>0</v>
      </c>
      <c r="N690" s="50">
        <f>IF(INVESTORS_LIST[[#This Row],[SIP_TOTAL UNITS BUY]]=0,0,INVESTORS_LIST[[#This Row],[SIP_TOTAL UNITS BUY]]-INVESTORS_LIST[[#This Row],[SIP_TOTAL UNITS SOLD]])</f>
        <v>0</v>
      </c>
      <c r="O690" s="48">
        <f>IF(INVESTORS_LIST[[#This Row],[SIP_TOTAL UNITS BUY]]=0,0,SUMIFS(SIP[Amount],SIP[Investor ID],INVESTORS_LIST[[#This Row],[INVESTOR CODE]],SIP[B/S],"B"))</f>
        <v>0</v>
      </c>
      <c r="P690" s="48">
        <f>IF(INVESTORS_LIST[[#This Row],[SIP_TOTAL UNITS SOLD]]=0,0,SUMIFS(SIP[Cost of Units Sold],SIP[Investor ID],INVESTORS_LIST[[#This Row],[INVESTOR CODE]],SIP[B/S],"S"))</f>
        <v>0</v>
      </c>
      <c r="Q690" s="48">
        <f>IF(INVESTORS_LIST[[#This Row],[SIP_TOTAL CURRENT UNITS]]=0,0,INVESTORS_LIST[[#This Row],[SIP_TOTAL CURRENT UNITS]]*INVESTORS_LIST[[#This Row],[SIP_AVERAGE COST]])</f>
        <v>0</v>
      </c>
      <c r="R690" s="48">
        <f>IF(INVESTORS_LIST[[#This Row],[SIP_TOTAL UNITS SOLD]]=0,0,SUMIFS(SIP[Realized Gain],SIP[Investor ID],INVESTORS_LIST[[#This Row],[INVESTOR CODE]],SIP[B/S],"S"))</f>
        <v>0</v>
      </c>
      <c r="S690" s="50">
        <f>INVESTORS_LIST[[#This Row],[LS_TOTAL UNITS BUY]]+INVESTORS_LIST[[#This Row],[SIP_TOTAL UNITS BUY]]</f>
        <v>1000</v>
      </c>
      <c r="T690" s="50">
        <f>INVESTORS_LIST[[#This Row],[LS_TOTAL UNITS SOLD]]+INVESTORS_LIST[[#This Row],[SIP_TOTAL UNITS SOLD]]</f>
        <v>0</v>
      </c>
      <c r="U690" s="50">
        <v>1000</v>
      </c>
      <c r="V690" s="50">
        <f>SUMIFS(LS[BO UNIT TRANSFER],LS[Investor ID],INVESTORS_LIST[[#This Row],[INVESTOR CODE]],LS[B/S],"B")</f>
        <v>0</v>
      </c>
      <c r="W690" s="50">
        <f>SUMIFS(SIP[BO UNIT TRANSFER],SIP[Investor ID],INVESTORS_LIST[[#This Row],[INVESTOR CODE]],SIP[B/S],"B")</f>
        <v>0</v>
      </c>
      <c r="X690" s="50">
        <f>SUMIFS(LS[BO UNIT TRANSFER],LS[Investor ID],INVESTORS_LIST[[#This Row],[INVESTOR CODE]],LS[B/S],"S")</f>
        <v>0</v>
      </c>
      <c r="Y690" s="50">
        <f>SUMIFS(SIP[BO UNIT TRANSFER],SIP[Investor ID],INVESTORS_LIST[[#This Row],[INVESTOR CODE]],SIP[B/S],"S")</f>
        <v>0</v>
      </c>
      <c r="Z690" s="106">
        <f>SUM(INVESTORS_LIST[[#This Row],[BO OPENING BALANCE]:[BO SIP UNITS REPURCHASE]])</f>
        <v>1000</v>
      </c>
      <c r="AA690" s="107">
        <f>INVESTORS_LIST[[#This Row],[TOTAL UNITS BUY]]-INVESTORS_LIST[[#This Row],[TOTAL UNITS SOLD]]</f>
        <v>1000</v>
      </c>
      <c r="AB690" s="107">
        <f>INVESTORS_LIST[[#This Row],[TOTAL CURRENT UNITS]]-INVESTORS_LIST[[#This Row],[BO UNITS HOLD]]</f>
        <v>0</v>
      </c>
      <c r="AC690" s="201" t="e">
        <f>INDEX([3]!Table_1[BO ID],MATCH(INVESTORS_LIST[[#This Row],[INVESTOR CODE]],[3]!Table_1[INVESTOR CODE],0))</f>
        <v>#REF!</v>
      </c>
      <c r="AD690" s="201" t="e">
        <f>INDEX([3]!Table_1[Brokerage Name2],MATCH(INVESTORS_LIST[[#This Row],[INVESTOR CODE]],[3]!Table_1[INVESTOR CODE],0))</f>
        <v>#REF!</v>
      </c>
      <c r="AE690" s="201" t="e">
        <f>MID(INVESTORS_LIST[[#This Row],[BO ID]],4,5)</f>
        <v>#REF!</v>
      </c>
      <c r="AF690" s="201" t="e">
        <f>MID(INVESTORS_LIST[[#This Row],[BO ID]],2,7)</f>
        <v>#REF!</v>
      </c>
      <c r="AG690" s="201" t="e">
        <f>MID(INVESTORS_LIST[[#This Row],[BO ID]],9,7)</f>
        <v>#REF!</v>
      </c>
      <c r="AH690" s="201" t="e">
        <f>RIGHT(INVESTORS_LIST[[#This Row],[BO ID]],1)</f>
        <v>#REF!</v>
      </c>
      <c r="AI690" s="50">
        <f>INVESTORS_LIST[[#This Row],[LS_TOTAL COST VALUE OF CURRENT UNITS]]+INVESTORS_LIST[[#This Row],[SIP_TOTAL COST VALUE OF CURRENT UNITS]]</f>
        <v>10810</v>
      </c>
      <c r="AJ690" s="109">
        <f>IF(INVESTORS_LIST[[#This Row],[TOTAL CURRENT UNITS]]=0,0,INVESTORS_LIST[[#This Row],[LS_TOTAL CURRENT UNITS]]/INVESTORS_LIST[[#This Row],[TOTAL CURRENT UNITS]])</f>
        <v>1</v>
      </c>
      <c r="AK690" s="109">
        <f>IF(INVESTORS_LIST[[#This Row],[TOTAL CURRENT UNITS]]=0,0,INVESTORS_LIST[[#This Row],[SIP_TOTAL CURRENT UNITS]]/INVESTORS_LIST[[#This Row],[TOTAL CURRENT UNITS]])</f>
        <v>0</v>
      </c>
      <c r="AL690" s="99" cm="1">
        <f t="array" ref="AL690">IF(INVESTORS_LIST[[#This Row],[LS_TOTAL UNITS BUY]]&gt;0,INDEX(LS[NAV at Cost (Average)],MATCH(CONCATENATE(COUNTIFS(LS[Investor ID],INVESTORS_LIST[[#This Row],[INVESTOR CODE]]),INVESTORS_LIST[[#This Row],[INVESTOR CODE]]),LS[Unique Code],0),),0)</f>
        <v>10.81</v>
      </c>
      <c r="AM690" s="99" cm="1">
        <f t="array" ref="AM6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0" s="105">
        <f>IF(INVESTORS_LIST[[#This Row],[TOTAL CURRENT UNITS]]=0,0,(INVESTORS_LIST[[#This Row],[LS_WEIGHT]]*INVESTORS_LIST[[#This Row],[LS_AVERAGE COST]])+(INVESTORS_LIST[[#This Row],[SIP_WEIGHT]]*INVESTORS_LIST[[#This Row],[SIP_AVERAGE COST]]))</f>
        <v>10.81</v>
      </c>
      <c r="AO690" s="105">
        <f t="shared" si="11"/>
        <v>14.224</v>
      </c>
      <c r="AP690" s="112">
        <f>IF(INVESTORS_LIST[[#This Row],[TOTAL CURRENT UNITS]]=0,0,INVESTORS_LIST[[#This Row],[TOTAL CURRENT UNITS]]*INVESTORS_LIST[[#This Row],[NAV]])</f>
        <v>14224</v>
      </c>
      <c r="AQ690" s="102">
        <f>IF(INVESTORS_LIST[[#This Row],[LS_TOTAL CURRENT UNITS]]=0,0,INVESTORS_LIST[[#This Row],[LS_TOTAL CURRENT UNITS]]*INVESTORS_LIST[[#This Row],[NAV]])</f>
        <v>14224</v>
      </c>
      <c r="AR690" s="48">
        <f>IF(INVESTORS_LIST[[#This Row],[SIP_TOTAL CURRENT UNITS]]=0,0,INVESTORS_LIST[[#This Row],[SIP_TOTAL CURRENT UNITS]]*INVESTORS_LIST[[#This Row],[NAV]])</f>
        <v>0</v>
      </c>
      <c r="AS690" s="50">
        <f>INVESTORS_LIST[[#This Row],[TOTAL CURRENT UNITS]]</f>
        <v>1000</v>
      </c>
      <c r="AT690" s="48">
        <f>IF(INVESTORS_LIST[[#This Row],[TOTAL SELLABLE UNITS]]=0,0,INVESTORS_LIST[[#This Row],[TOTAL SELLABLE UNITS]]*INVESTORS_LIST[[#This Row],[NAV]])</f>
        <v>14224</v>
      </c>
      <c r="AU690" s="48">
        <f>INVESTORS_LIST[[#This Row],[LS_TOTAL REALIZED GAIN]]+INVESTORS_LIST[[#This Row],[SIP_TOTAL REALIZED GAIN]]</f>
        <v>0</v>
      </c>
      <c r="AV690" s="48">
        <f>INVESTORS_LIST[[#This Row],[TOTAL MARKET VALUE]]-INVESTORS_LIST[[#This Row],[TOTAL COST VALUE OF CURRENT INVESTMENT]]</f>
        <v>3414</v>
      </c>
      <c r="AW690" s="48">
        <f>IFERROR(INVESTORS_LIST[[#This Row],[TOTAL CURRENT UNITS]]/SUM(INVESTORS_LIST[TOTAL CURRENT UNITS]),0)</f>
        <v>2.4276207896103655E-5</v>
      </c>
    </row>
    <row r="691" spans="1:49" hidden="1">
      <c r="A691" s="262" t="s">
        <v>1106</v>
      </c>
      <c r="B691" s="97" t="s">
        <v>1474</v>
      </c>
      <c r="C691" t="s">
        <v>44</v>
      </c>
      <c r="D691" s="75" t="s">
        <v>45</v>
      </c>
      <c r="E691" s="50">
        <f>SUMIFS(LS[Unit],LS[Investor ID],INVESTORS_LIST[[#This Row],[INVESTOR CODE]],LS[B/S],"B")</f>
        <v>0</v>
      </c>
      <c r="F691" s="50">
        <f>-SUMIFS(LS[Unit],LS[Investor ID],INVESTORS_LIST[[#This Row],[INVESTOR CODE]],LS[B/S],"S")</f>
        <v>0</v>
      </c>
      <c r="G691" s="50">
        <f>IF(INVESTORS_LIST[[#This Row],[LS_TOTAL UNITS BUY]]=0,0,INVESTORS_LIST[[#This Row],[LS_TOTAL UNITS BUY]]-INVESTORS_LIST[[#This Row],[LS_TOTAL UNITS SOLD]])</f>
        <v>0</v>
      </c>
      <c r="H691" s="102">
        <f>IF(INVESTORS_LIST[[#This Row],[LS_TOTAL UNITS BUY]]=0,0,SUMIFS(LS[Amount],LS[Investor ID],INVESTORS_LIST[[#This Row],[INVESTOR CODE]],LS[B/S],"B"))</f>
        <v>0</v>
      </c>
      <c r="I691" s="48">
        <f>IF(INVESTORS_LIST[[#This Row],[LS_TOTAL UNITS SOLD]]=0,0,SUMIFS(LS[Cost of Units Sold],LS[Investor ID],INVESTORS_LIST[[#This Row],[INVESTOR CODE]],LS[B/S],"S"))</f>
        <v>0</v>
      </c>
      <c r="J691" s="48">
        <f>IF(INVESTORS_LIST[[#This Row],[LS_TOTAL CURRENT UNITS]]=0,0,INVESTORS_LIST[[#This Row],[LS_TOTAL CURRENT UNITS]]*INVESTORS_LIST[[#This Row],[LS_AVERAGE COST]])</f>
        <v>0</v>
      </c>
      <c r="K691" s="48">
        <f>IF(INVESTORS_LIST[[#This Row],[LS_TOTAL UNITS SOLD]]=0,0,SUMIFS(LS[Realized Gain],LS[Investor ID],INVESTORS_LIST[[#This Row],[INVESTOR CODE]],LS[B/S],"S"))</f>
        <v>0</v>
      </c>
      <c r="L691" s="104">
        <f>SUMIFS(SIP[Unit],SIP[Investor ID],INVESTORS_LIST[[#This Row],[INVESTOR CODE]],SIP[B/S],"B")</f>
        <v>0</v>
      </c>
      <c r="M691" s="50">
        <f>-SUMIFS(SIP[Unit],SIP[Investor ID],INVESTORS_LIST[[#This Row],[INVESTOR CODE]],SIP[B/S],"S")</f>
        <v>0</v>
      </c>
      <c r="N691" s="50">
        <f>IF(INVESTORS_LIST[[#This Row],[SIP_TOTAL UNITS BUY]]=0,0,INVESTORS_LIST[[#This Row],[SIP_TOTAL UNITS BUY]]-INVESTORS_LIST[[#This Row],[SIP_TOTAL UNITS SOLD]])</f>
        <v>0</v>
      </c>
      <c r="O691" s="48">
        <f>IF(INVESTORS_LIST[[#This Row],[SIP_TOTAL UNITS BUY]]=0,0,SUMIFS(SIP[Amount],SIP[Investor ID],INVESTORS_LIST[[#This Row],[INVESTOR CODE]],SIP[B/S],"B"))</f>
        <v>0</v>
      </c>
      <c r="P691" s="48">
        <f>IF(INVESTORS_LIST[[#This Row],[SIP_TOTAL UNITS SOLD]]=0,0,SUMIFS(SIP[Cost of Units Sold],SIP[Investor ID],INVESTORS_LIST[[#This Row],[INVESTOR CODE]],SIP[B/S],"S"))</f>
        <v>0</v>
      </c>
      <c r="Q691" s="48">
        <f>IF(INVESTORS_LIST[[#This Row],[SIP_TOTAL CURRENT UNITS]]=0,0,INVESTORS_LIST[[#This Row],[SIP_TOTAL CURRENT UNITS]]*INVESTORS_LIST[[#This Row],[SIP_AVERAGE COST]])</f>
        <v>0</v>
      </c>
      <c r="R691" s="48">
        <f>IF(INVESTORS_LIST[[#This Row],[SIP_TOTAL UNITS SOLD]]=0,0,SUMIFS(SIP[Realized Gain],SIP[Investor ID],INVESTORS_LIST[[#This Row],[INVESTOR CODE]],SIP[B/S],"S"))</f>
        <v>0</v>
      </c>
      <c r="S691" s="50">
        <f>INVESTORS_LIST[[#This Row],[LS_TOTAL UNITS BUY]]+INVESTORS_LIST[[#This Row],[SIP_TOTAL UNITS BUY]]</f>
        <v>0</v>
      </c>
      <c r="T691" s="50">
        <f>INVESTORS_LIST[[#This Row],[LS_TOTAL UNITS SOLD]]+INVESTORS_LIST[[#This Row],[SIP_TOTAL UNITS SOLD]]</f>
        <v>0</v>
      </c>
      <c r="U691" s="50">
        <v>0</v>
      </c>
      <c r="V691" s="50">
        <f>SUMIFS(LS[BO UNIT TRANSFER],LS[Investor ID],INVESTORS_LIST[[#This Row],[INVESTOR CODE]],LS[B/S],"B")</f>
        <v>0</v>
      </c>
      <c r="W691" s="50">
        <f>SUMIFS(SIP[BO UNIT TRANSFER],SIP[Investor ID],INVESTORS_LIST[[#This Row],[INVESTOR CODE]],SIP[B/S],"B")</f>
        <v>0</v>
      </c>
      <c r="X691" s="50">
        <f>SUMIFS(LS[BO UNIT TRANSFER],LS[Investor ID],INVESTORS_LIST[[#This Row],[INVESTOR CODE]],LS[B/S],"S")</f>
        <v>0</v>
      </c>
      <c r="Y691" s="50">
        <f>SUMIFS(SIP[BO UNIT TRANSFER],SIP[Investor ID],INVESTORS_LIST[[#This Row],[INVESTOR CODE]],SIP[B/S],"S")</f>
        <v>0</v>
      </c>
      <c r="Z691" s="106">
        <f>SUM(INVESTORS_LIST[[#This Row],[BO OPENING BALANCE]:[BO SIP UNITS REPURCHASE]])</f>
        <v>0</v>
      </c>
      <c r="AA691" s="107">
        <f>INVESTORS_LIST[[#This Row],[TOTAL UNITS BUY]]-INVESTORS_LIST[[#This Row],[TOTAL UNITS SOLD]]</f>
        <v>0</v>
      </c>
      <c r="AB691" s="107">
        <f>INVESTORS_LIST[[#This Row],[TOTAL CURRENT UNITS]]-INVESTORS_LIST[[#This Row],[BO UNITS HOLD]]</f>
        <v>0</v>
      </c>
      <c r="AC691" s="201" t="e">
        <f>INDEX([3]!Table_1[BO ID],MATCH(INVESTORS_LIST[[#This Row],[INVESTOR CODE]],[3]!Table_1[INVESTOR CODE],0))</f>
        <v>#REF!</v>
      </c>
      <c r="AD691" s="201" t="e">
        <f>INDEX([3]!Table_1[Brokerage Name2],MATCH(INVESTORS_LIST[[#This Row],[INVESTOR CODE]],[3]!Table_1[INVESTOR CODE],0))</f>
        <v>#REF!</v>
      </c>
      <c r="AE691" s="201" t="e">
        <f>MID(INVESTORS_LIST[[#This Row],[BO ID]],4,5)</f>
        <v>#REF!</v>
      </c>
      <c r="AF691" s="201" t="e">
        <f>MID(INVESTORS_LIST[[#This Row],[BO ID]],2,7)</f>
        <v>#REF!</v>
      </c>
      <c r="AG691" s="201" t="e">
        <f>MID(INVESTORS_LIST[[#This Row],[BO ID]],9,7)</f>
        <v>#REF!</v>
      </c>
      <c r="AH691" s="201" t="e">
        <f>RIGHT(INVESTORS_LIST[[#This Row],[BO ID]],1)</f>
        <v>#REF!</v>
      </c>
      <c r="AI691" s="50">
        <f>INVESTORS_LIST[[#This Row],[LS_TOTAL COST VALUE OF CURRENT UNITS]]+INVESTORS_LIST[[#This Row],[SIP_TOTAL COST VALUE OF CURRENT UNITS]]</f>
        <v>0</v>
      </c>
      <c r="AJ691" s="109">
        <f>IF(INVESTORS_LIST[[#This Row],[TOTAL CURRENT UNITS]]=0,0,INVESTORS_LIST[[#This Row],[LS_TOTAL CURRENT UNITS]]/INVESTORS_LIST[[#This Row],[TOTAL CURRENT UNITS]])</f>
        <v>0</v>
      </c>
      <c r="AK691" s="109">
        <f>IF(INVESTORS_LIST[[#This Row],[TOTAL CURRENT UNITS]]=0,0,INVESTORS_LIST[[#This Row],[SIP_TOTAL CURRENT UNITS]]/INVESTORS_LIST[[#This Row],[TOTAL CURRENT UNITS]])</f>
        <v>0</v>
      </c>
      <c r="AL691" s="99" cm="1">
        <f t="array" ref="AL6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1" s="99" cm="1">
        <f t="array" ref="AM6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1" s="105">
        <f t="shared" si="11"/>
        <v>14.224</v>
      </c>
      <c r="AP691" s="112">
        <f>IF(INVESTORS_LIST[[#This Row],[TOTAL CURRENT UNITS]]=0,0,INVESTORS_LIST[[#This Row],[TOTAL CURRENT UNITS]]*INVESTORS_LIST[[#This Row],[NAV]])</f>
        <v>0</v>
      </c>
      <c r="AQ691" s="102">
        <f>IF(INVESTORS_LIST[[#This Row],[LS_TOTAL CURRENT UNITS]]=0,0,INVESTORS_LIST[[#This Row],[LS_TOTAL CURRENT UNITS]]*INVESTORS_LIST[[#This Row],[NAV]])</f>
        <v>0</v>
      </c>
      <c r="AR691" s="48">
        <f>IF(INVESTORS_LIST[[#This Row],[SIP_TOTAL CURRENT UNITS]]=0,0,INVESTORS_LIST[[#This Row],[SIP_TOTAL CURRENT UNITS]]*INVESTORS_LIST[[#This Row],[NAV]])</f>
        <v>0</v>
      </c>
      <c r="AS691" s="50">
        <f>INVESTORS_LIST[[#This Row],[TOTAL CURRENT UNITS]]</f>
        <v>0</v>
      </c>
      <c r="AT691" s="48">
        <f>IF(INVESTORS_LIST[[#This Row],[TOTAL SELLABLE UNITS]]=0,0,INVESTORS_LIST[[#This Row],[TOTAL SELLABLE UNITS]]*INVESTORS_LIST[[#This Row],[NAV]])</f>
        <v>0</v>
      </c>
      <c r="AU691" s="48">
        <f>INVESTORS_LIST[[#This Row],[LS_TOTAL REALIZED GAIN]]+INVESTORS_LIST[[#This Row],[SIP_TOTAL REALIZED GAIN]]</f>
        <v>0</v>
      </c>
      <c r="AV691" s="48">
        <f>INVESTORS_LIST[[#This Row],[TOTAL MARKET VALUE]]-INVESTORS_LIST[[#This Row],[TOTAL COST VALUE OF CURRENT INVESTMENT]]</f>
        <v>0</v>
      </c>
      <c r="AW691" s="48">
        <f>IFERROR(INVESTORS_LIST[[#This Row],[TOTAL CURRENT UNITS]]/SUM(INVESTORS_LIST[TOTAL CURRENT UNITS]),0)</f>
        <v>0</v>
      </c>
    </row>
    <row r="692" spans="1:49" hidden="1">
      <c r="A692" s="262" t="s">
        <v>1488</v>
      </c>
      <c r="B692" s="97" t="s">
        <v>1489</v>
      </c>
      <c r="C692" t="s">
        <v>44</v>
      </c>
      <c r="D692" s="75" t="s">
        <v>45</v>
      </c>
      <c r="E692" s="50">
        <f>SUMIFS(LS[Unit],LS[Investor ID],INVESTORS_LIST[[#This Row],[INVESTOR CODE]],LS[B/S],"B")</f>
        <v>0</v>
      </c>
      <c r="F692" s="50">
        <f>-SUMIFS(LS[Unit],LS[Investor ID],INVESTORS_LIST[[#This Row],[INVESTOR CODE]],LS[B/S],"S")</f>
        <v>0</v>
      </c>
      <c r="G692" s="50">
        <f>IF(INVESTORS_LIST[[#This Row],[LS_TOTAL UNITS BUY]]=0,0,INVESTORS_LIST[[#This Row],[LS_TOTAL UNITS BUY]]-INVESTORS_LIST[[#This Row],[LS_TOTAL UNITS SOLD]])</f>
        <v>0</v>
      </c>
      <c r="H692" s="102">
        <f>IF(INVESTORS_LIST[[#This Row],[LS_TOTAL UNITS BUY]]=0,0,SUMIFS(LS[Amount],LS[Investor ID],INVESTORS_LIST[[#This Row],[INVESTOR CODE]],LS[B/S],"B"))</f>
        <v>0</v>
      </c>
      <c r="I692" s="48">
        <f>IF(INVESTORS_LIST[[#This Row],[LS_TOTAL UNITS SOLD]]=0,0,SUMIFS(LS[Cost of Units Sold],LS[Investor ID],INVESTORS_LIST[[#This Row],[INVESTOR CODE]],LS[B/S],"S"))</f>
        <v>0</v>
      </c>
      <c r="J692" s="48">
        <f>IF(INVESTORS_LIST[[#This Row],[LS_TOTAL CURRENT UNITS]]=0,0,INVESTORS_LIST[[#This Row],[LS_TOTAL CURRENT UNITS]]*INVESTORS_LIST[[#This Row],[LS_AVERAGE COST]])</f>
        <v>0</v>
      </c>
      <c r="K692" s="48">
        <f>IF(INVESTORS_LIST[[#This Row],[LS_TOTAL UNITS SOLD]]=0,0,SUMIFS(LS[Realized Gain],LS[Investor ID],INVESTORS_LIST[[#This Row],[INVESTOR CODE]],LS[B/S],"S"))</f>
        <v>0</v>
      </c>
      <c r="L692" s="104">
        <f>SUMIFS(SIP[Unit],SIP[Investor ID],INVESTORS_LIST[[#This Row],[INVESTOR CODE]],SIP[B/S],"B")</f>
        <v>0</v>
      </c>
      <c r="M692" s="50">
        <f>-SUMIFS(SIP[Unit],SIP[Investor ID],INVESTORS_LIST[[#This Row],[INVESTOR CODE]],SIP[B/S],"S")</f>
        <v>0</v>
      </c>
      <c r="N692" s="50">
        <f>IF(INVESTORS_LIST[[#This Row],[SIP_TOTAL UNITS BUY]]=0,0,INVESTORS_LIST[[#This Row],[SIP_TOTAL UNITS BUY]]-INVESTORS_LIST[[#This Row],[SIP_TOTAL UNITS SOLD]])</f>
        <v>0</v>
      </c>
      <c r="O692" s="48">
        <f>IF(INVESTORS_LIST[[#This Row],[SIP_TOTAL UNITS BUY]]=0,0,SUMIFS(SIP[Amount],SIP[Investor ID],INVESTORS_LIST[[#This Row],[INVESTOR CODE]],SIP[B/S],"B"))</f>
        <v>0</v>
      </c>
      <c r="P692" s="48">
        <f>IF(INVESTORS_LIST[[#This Row],[SIP_TOTAL UNITS SOLD]]=0,0,SUMIFS(SIP[Cost of Units Sold],SIP[Investor ID],INVESTORS_LIST[[#This Row],[INVESTOR CODE]],SIP[B/S],"S"))</f>
        <v>0</v>
      </c>
      <c r="Q692" s="48">
        <f>IF(INVESTORS_LIST[[#This Row],[SIP_TOTAL CURRENT UNITS]]=0,0,INVESTORS_LIST[[#This Row],[SIP_TOTAL CURRENT UNITS]]*INVESTORS_LIST[[#This Row],[SIP_AVERAGE COST]])</f>
        <v>0</v>
      </c>
      <c r="R692" s="48">
        <f>IF(INVESTORS_LIST[[#This Row],[SIP_TOTAL UNITS SOLD]]=0,0,SUMIFS(SIP[Realized Gain],SIP[Investor ID],INVESTORS_LIST[[#This Row],[INVESTOR CODE]],SIP[B/S],"S"))</f>
        <v>0</v>
      </c>
      <c r="S692" s="50">
        <f>INVESTORS_LIST[[#This Row],[LS_TOTAL UNITS BUY]]+INVESTORS_LIST[[#This Row],[SIP_TOTAL UNITS BUY]]</f>
        <v>0</v>
      </c>
      <c r="T692" s="50">
        <f>INVESTORS_LIST[[#This Row],[LS_TOTAL UNITS SOLD]]+INVESTORS_LIST[[#This Row],[SIP_TOTAL UNITS SOLD]]</f>
        <v>0</v>
      </c>
      <c r="U692" s="50"/>
      <c r="V692" s="50">
        <f>SUMIFS(LS[BO UNIT TRANSFER],LS[Investor ID],INVESTORS_LIST[[#This Row],[INVESTOR CODE]],LS[B/S],"B")</f>
        <v>0</v>
      </c>
      <c r="W692" s="50">
        <f>SUMIFS(SIP[BO UNIT TRANSFER],SIP[Investor ID],INVESTORS_LIST[[#This Row],[INVESTOR CODE]],SIP[B/S],"B")</f>
        <v>0</v>
      </c>
      <c r="X692" s="50">
        <f>SUMIFS(LS[BO UNIT TRANSFER],LS[Investor ID],INVESTORS_LIST[[#This Row],[INVESTOR CODE]],LS[B/S],"S")</f>
        <v>0</v>
      </c>
      <c r="Y692" s="50">
        <f>SUMIFS(SIP[BO UNIT TRANSFER],SIP[Investor ID],INVESTORS_LIST[[#This Row],[INVESTOR CODE]],SIP[B/S],"S")</f>
        <v>0</v>
      </c>
      <c r="Z692" s="106">
        <f>SUM(INVESTORS_LIST[[#This Row],[BO OPENING BALANCE]:[BO SIP UNITS REPURCHASE]])</f>
        <v>0</v>
      </c>
      <c r="AA692" s="107">
        <f>INVESTORS_LIST[[#This Row],[TOTAL UNITS BUY]]-INVESTORS_LIST[[#This Row],[TOTAL UNITS SOLD]]</f>
        <v>0</v>
      </c>
      <c r="AB692" s="107">
        <f>INVESTORS_LIST[[#This Row],[TOTAL CURRENT UNITS]]-INVESTORS_LIST[[#This Row],[BO UNITS HOLD]]</f>
        <v>0</v>
      </c>
      <c r="AC692" s="201" t="e">
        <f>INDEX([3]!Table_1[BO ID],MATCH(INVESTORS_LIST[[#This Row],[INVESTOR CODE]],[3]!Table_1[INVESTOR CODE],0))</f>
        <v>#REF!</v>
      </c>
      <c r="AD692" s="201" t="e">
        <f>INDEX([3]!Table_1[Brokerage Name2],MATCH(INVESTORS_LIST[[#This Row],[INVESTOR CODE]],[3]!Table_1[INVESTOR CODE],0))</f>
        <v>#REF!</v>
      </c>
      <c r="AE692" s="201" t="e">
        <f>MID(INVESTORS_LIST[[#This Row],[BO ID]],4,5)</f>
        <v>#REF!</v>
      </c>
      <c r="AF692" s="201" t="e">
        <f>MID(INVESTORS_LIST[[#This Row],[BO ID]],2,7)</f>
        <v>#REF!</v>
      </c>
      <c r="AG692" s="201" t="e">
        <f>MID(INVESTORS_LIST[[#This Row],[BO ID]],9,7)</f>
        <v>#REF!</v>
      </c>
      <c r="AH692" s="201" t="e">
        <f>RIGHT(INVESTORS_LIST[[#This Row],[BO ID]],1)</f>
        <v>#REF!</v>
      </c>
      <c r="AI692" s="50">
        <f>INVESTORS_LIST[[#This Row],[LS_TOTAL COST VALUE OF CURRENT UNITS]]+INVESTORS_LIST[[#This Row],[SIP_TOTAL COST VALUE OF CURRENT UNITS]]</f>
        <v>0</v>
      </c>
      <c r="AJ692" s="109">
        <f>IF(INVESTORS_LIST[[#This Row],[TOTAL CURRENT UNITS]]=0,0,INVESTORS_LIST[[#This Row],[LS_TOTAL CURRENT UNITS]]/INVESTORS_LIST[[#This Row],[TOTAL CURRENT UNITS]])</f>
        <v>0</v>
      </c>
      <c r="AK692" s="109">
        <f>IF(INVESTORS_LIST[[#This Row],[TOTAL CURRENT UNITS]]=0,0,INVESTORS_LIST[[#This Row],[SIP_TOTAL CURRENT UNITS]]/INVESTORS_LIST[[#This Row],[TOTAL CURRENT UNITS]])</f>
        <v>0</v>
      </c>
      <c r="AL692" s="99" cm="1">
        <f t="array" ref="AL6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2" s="99" cm="1">
        <f t="array" ref="AM6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2" s="105">
        <f t="shared" si="11"/>
        <v>14.224</v>
      </c>
      <c r="AP692" s="112">
        <f>IF(INVESTORS_LIST[[#This Row],[TOTAL CURRENT UNITS]]=0,0,INVESTORS_LIST[[#This Row],[TOTAL CURRENT UNITS]]*INVESTORS_LIST[[#This Row],[NAV]])</f>
        <v>0</v>
      </c>
      <c r="AQ692" s="102">
        <f>IF(INVESTORS_LIST[[#This Row],[LS_TOTAL CURRENT UNITS]]=0,0,INVESTORS_LIST[[#This Row],[LS_TOTAL CURRENT UNITS]]*INVESTORS_LIST[[#This Row],[NAV]])</f>
        <v>0</v>
      </c>
      <c r="AR692" s="48">
        <f>IF(INVESTORS_LIST[[#This Row],[SIP_TOTAL CURRENT UNITS]]=0,0,INVESTORS_LIST[[#This Row],[SIP_TOTAL CURRENT UNITS]]*INVESTORS_LIST[[#This Row],[NAV]])</f>
        <v>0</v>
      </c>
      <c r="AS692" s="50">
        <f>INVESTORS_LIST[[#This Row],[TOTAL CURRENT UNITS]]</f>
        <v>0</v>
      </c>
      <c r="AT692" s="48">
        <f>IF(INVESTORS_LIST[[#This Row],[TOTAL SELLABLE UNITS]]=0,0,INVESTORS_LIST[[#This Row],[TOTAL SELLABLE UNITS]]*INVESTORS_LIST[[#This Row],[NAV]])</f>
        <v>0</v>
      </c>
      <c r="AU692" s="48">
        <f>INVESTORS_LIST[[#This Row],[LS_TOTAL REALIZED GAIN]]+INVESTORS_LIST[[#This Row],[SIP_TOTAL REALIZED GAIN]]</f>
        <v>0</v>
      </c>
      <c r="AV692" s="48">
        <f>INVESTORS_LIST[[#This Row],[TOTAL MARKET VALUE]]-INVESTORS_LIST[[#This Row],[TOTAL COST VALUE OF CURRENT INVESTMENT]]</f>
        <v>0</v>
      </c>
      <c r="AW692" s="48">
        <f>IFERROR(INVESTORS_LIST[[#This Row],[TOTAL CURRENT UNITS]]/SUM(INVESTORS_LIST[TOTAL CURRENT UNITS]),0)</f>
        <v>0</v>
      </c>
    </row>
    <row r="693" spans="1:49" hidden="1">
      <c r="A693" s="262" t="s">
        <v>1490</v>
      </c>
      <c r="B693" s="172" t="s">
        <v>1491</v>
      </c>
      <c r="C693" t="s">
        <v>44</v>
      </c>
      <c r="D693" s="75" t="s">
        <v>45</v>
      </c>
      <c r="E693" s="50">
        <f>SUMIFS(LS[Unit],LS[Investor ID],INVESTORS_LIST[[#This Row],[INVESTOR CODE]],LS[B/S],"B")</f>
        <v>0</v>
      </c>
      <c r="F693" s="50">
        <f>-SUMIFS(LS[Unit],LS[Investor ID],INVESTORS_LIST[[#This Row],[INVESTOR CODE]],LS[B/S],"S")</f>
        <v>0</v>
      </c>
      <c r="G693" s="50">
        <f>IF(INVESTORS_LIST[[#This Row],[LS_TOTAL UNITS BUY]]=0,0,INVESTORS_LIST[[#This Row],[LS_TOTAL UNITS BUY]]-INVESTORS_LIST[[#This Row],[LS_TOTAL UNITS SOLD]])</f>
        <v>0</v>
      </c>
      <c r="H693" s="102">
        <f>IF(INVESTORS_LIST[[#This Row],[LS_TOTAL UNITS BUY]]=0,0,SUMIFS(LS[Amount],LS[Investor ID],INVESTORS_LIST[[#This Row],[INVESTOR CODE]],LS[B/S],"B"))</f>
        <v>0</v>
      </c>
      <c r="I693" s="48">
        <f>IF(INVESTORS_LIST[[#This Row],[LS_TOTAL UNITS SOLD]]=0,0,SUMIFS(LS[Cost of Units Sold],LS[Investor ID],INVESTORS_LIST[[#This Row],[INVESTOR CODE]],LS[B/S],"S"))</f>
        <v>0</v>
      </c>
      <c r="J693" s="48">
        <f>IF(INVESTORS_LIST[[#This Row],[LS_TOTAL CURRENT UNITS]]=0,0,INVESTORS_LIST[[#This Row],[LS_TOTAL CURRENT UNITS]]*INVESTORS_LIST[[#This Row],[LS_AVERAGE COST]])</f>
        <v>0</v>
      </c>
      <c r="K693" s="48">
        <f>IF(INVESTORS_LIST[[#This Row],[LS_TOTAL UNITS SOLD]]=0,0,SUMIFS(LS[Realized Gain],LS[Investor ID],INVESTORS_LIST[[#This Row],[INVESTOR CODE]],LS[B/S],"S"))</f>
        <v>0</v>
      </c>
      <c r="L693" s="104">
        <f>SUMIFS(SIP[Unit],SIP[Investor ID],INVESTORS_LIST[[#This Row],[INVESTOR CODE]],SIP[B/S],"B")</f>
        <v>0</v>
      </c>
      <c r="M693" s="50">
        <f>-SUMIFS(SIP[Unit],SIP[Investor ID],INVESTORS_LIST[[#This Row],[INVESTOR CODE]],SIP[B/S],"S")</f>
        <v>0</v>
      </c>
      <c r="N693" s="50">
        <f>IF(INVESTORS_LIST[[#This Row],[SIP_TOTAL UNITS BUY]]=0,0,INVESTORS_LIST[[#This Row],[SIP_TOTAL UNITS BUY]]-INVESTORS_LIST[[#This Row],[SIP_TOTAL UNITS SOLD]])</f>
        <v>0</v>
      </c>
      <c r="O693" s="48">
        <f>IF(INVESTORS_LIST[[#This Row],[SIP_TOTAL UNITS BUY]]=0,0,SUMIFS(SIP[Amount],SIP[Investor ID],INVESTORS_LIST[[#This Row],[INVESTOR CODE]],SIP[B/S],"B"))</f>
        <v>0</v>
      </c>
      <c r="P693" s="48">
        <f>IF(INVESTORS_LIST[[#This Row],[SIP_TOTAL UNITS SOLD]]=0,0,SUMIFS(SIP[Cost of Units Sold],SIP[Investor ID],INVESTORS_LIST[[#This Row],[INVESTOR CODE]],SIP[B/S],"S"))</f>
        <v>0</v>
      </c>
      <c r="Q693" s="48">
        <f>IF(INVESTORS_LIST[[#This Row],[SIP_TOTAL CURRENT UNITS]]=0,0,INVESTORS_LIST[[#This Row],[SIP_TOTAL CURRENT UNITS]]*INVESTORS_LIST[[#This Row],[SIP_AVERAGE COST]])</f>
        <v>0</v>
      </c>
      <c r="R693" s="48">
        <f>IF(INVESTORS_LIST[[#This Row],[SIP_TOTAL UNITS SOLD]]=0,0,SUMIFS(SIP[Realized Gain],SIP[Investor ID],INVESTORS_LIST[[#This Row],[INVESTOR CODE]],SIP[B/S],"S"))</f>
        <v>0</v>
      </c>
      <c r="S693" s="50">
        <f>INVESTORS_LIST[[#This Row],[LS_TOTAL UNITS BUY]]+INVESTORS_LIST[[#This Row],[SIP_TOTAL UNITS BUY]]</f>
        <v>0</v>
      </c>
      <c r="T693" s="50">
        <f>INVESTORS_LIST[[#This Row],[LS_TOTAL UNITS SOLD]]+INVESTORS_LIST[[#This Row],[SIP_TOTAL UNITS SOLD]]</f>
        <v>0</v>
      </c>
      <c r="U693" s="50"/>
      <c r="V693" s="50">
        <f>SUMIFS(LS[BO UNIT TRANSFER],LS[Investor ID],INVESTORS_LIST[[#This Row],[INVESTOR CODE]],LS[B/S],"B")</f>
        <v>0</v>
      </c>
      <c r="W693" s="50">
        <f>SUMIFS(SIP[BO UNIT TRANSFER],SIP[Investor ID],INVESTORS_LIST[[#This Row],[INVESTOR CODE]],SIP[B/S],"B")</f>
        <v>0</v>
      </c>
      <c r="X693" s="50">
        <f>SUMIFS(LS[BO UNIT TRANSFER],LS[Investor ID],INVESTORS_LIST[[#This Row],[INVESTOR CODE]],LS[B/S],"S")</f>
        <v>0</v>
      </c>
      <c r="Y693" s="50">
        <f>SUMIFS(SIP[BO UNIT TRANSFER],SIP[Investor ID],INVESTORS_LIST[[#This Row],[INVESTOR CODE]],SIP[B/S],"S")</f>
        <v>0</v>
      </c>
      <c r="Z693" s="106">
        <f>SUM(INVESTORS_LIST[[#This Row],[BO OPENING BALANCE]:[BO SIP UNITS REPURCHASE]])</f>
        <v>0</v>
      </c>
      <c r="AA693" s="107">
        <f>INVESTORS_LIST[[#This Row],[TOTAL UNITS BUY]]-INVESTORS_LIST[[#This Row],[TOTAL UNITS SOLD]]</f>
        <v>0</v>
      </c>
      <c r="AB693" s="107">
        <f>INVESTORS_LIST[[#This Row],[TOTAL CURRENT UNITS]]-INVESTORS_LIST[[#This Row],[BO UNITS HOLD]]</f>
        <v>0</v>
      </c>
      <c r="AC693" s="201" t="e">
        <f>INDEX([3]!Table_1[BO ID],MATCH(INVESTORS_LIST[[#This Row],[INVESTOR CODE]],[3]!Table_1[INVESTOR CODE],0))</f>
        <v>#REF!</v>
      </c>
      <c r="AD693" s="201" t="e">
        <f>INDEX([3]!Table_1[Brokerage Name2],MATCH(INVESTORS_LIST[[#This Row],[INVESTOR CODE]],[3]!Table_1[INVESTOR CODE],0))</f>
        <v>#REF!</v>
      </c>
      <c r="AE693" s="201" t="e">
        <f>MID(INVESTORS_LIST[[#This Row],[BO ID]],4,5)</f>
        <v>#REF!</v>
      </c>
      <c r="AF693" s="201" t="e">
        <f>MID(INVESTORS_LIST[[#This Row],[BO ID]],2,7)</f>
        <v>#REF!</v>
      </c>
      <c r="AG693" s="201" t="e">
        <f>MID(INVESTORS_LIST[[#This Row],[BO ID]],9,7)</f>
        <v>#REF!</v>
      </c>
      <c r="AH693" s="201" t="e">
        <f>RIGHT(INVESTORS_LIST[[#This Row],[BO ID]],1)</f>
        <v>#REF!</v>
      </c>
      <c r="AI693" s="50">
        <f>INVESTORS_LIST[[#This Row],[LS_TOTAL COST VALUE OF CURRENT UNITS]]+INVESTORS_LIST[[#This Row],[SIP_TOTAL COST VALUE OF CURRENT UNITS]]</f>
        <v>0</v>
      </c>
      <c r="AJ693" s="109">
        <f>IF(INVESTORS_LIST[[#This Row],[TOTAL CURRENT UNITS]]=0,0,INVESTORS_LIST[[#This Row],[LS_TOTAL CURRENT UNITS]]/INVESTORS_LIST[[#This Row],[TOTAL CURRENT UNITS]])</f>
        <v>0</v>
      </c>
      <c r="AK693" s="109">
        <f>IF(INVESTORS_LIST[[#This Row],[TOTAL CURRENT UNITS]]=0,0,INVESTORS_LIST[[#This Row],[SIP_TOTAL CURRENT UNITS]]/INVESTORS_LIST[[#This Row],[TOTAL CURRENT UNITS]])</f>
        <v>0</v>
      </c>
      <c r="AL693" s="99" cm="1">
        <f t="array" ref="AL6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3" s="99" cm="1">
        <f t="array" ref="AM6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3" s="105">
        <f t="shared" si="11"/>
        <v>14.224</v>
      </c>
      <c r="AP693" s="112">
        <f>IF(INVESTORS_LIST[[#This Row],[TOTAL CURRENT UNITS]]=0,0,INVESTORS_LIST[[#This Row],[TOTAL CURRENT UNITS]]*INVESTORS_LIST[[#This Row],[NAV]])</f>
        <v>0</v>
      </c>
      <c r="AQ693" s="102">
        <f>IF(INVESTORS_LIST[[#This Row],[LS_TOTAL CURRENT UNITS]]=0,0,INVESTORS_LIST[[#This Row],[LS_TOTAL CURRENT UNITS]]*INVESTORS_LIST[[#This Row],[NAV]])</f>
        <v>0</v>
      </c>
      <c r="AR693" s="48">
        <f>IF(INVESTORS_LIST[[#This Row],[SIP_TOTAL CURRENT UNITS]]=0,0,INVESTORS_LIST[[#This Row],[SIP_TOTAL CURRENT UNITS]]*INVESTORS_LIST[[#This Row],[NAV]])</f>
        <v>0</v>
      </c>
      <c r="AS693" s="50">
        <f>INVESTORS_LIST[[#This Row],[TOTAL CURRENT UNITS]]</f>
        <v>0</v>
      </c>
      <c r="AT693" s="48">
        <f>IF(INVESTORS_LIST[[#This Row],[TOTAL SELLABLE UNITS]]=0,0,INVESTORS_LIST[[#This Row],[TOTAL SELLABLE UNITS]]*INVESTORS_LIST[[#This Row],[NAV]])</f>
        <v>0</v>
      </c>
      <c r="AU693" s="48">
        <f>INVESTORS_LIST[[#This Row],[LS_TOTAL REALIZED GAIN]]+INVESTORS_LIST[[#This Row],[SIP_TOTAL REALIZED GAIN]]</f>
        <v>0</v>
      </c>
      <c r="AV693" s="48">
        <f>INVESTORS_LIST[[#This Row],[TOTAL MARKET VALUE]]-INVESTORS_LIST[[#This Row],[TOTAL COST VALUE OF CURRENT INVESTMENT]]</f>
        <v>0</v>
      </c>
      <c r="AW693" s="48">
        <f>IFERROR(INVESTORS_LIST[[#This Row],[TOTAL CURRENT UNITS]]/SUM(INVESTORS_LIST[TOTAL CURRENT UNITS]),0)</f>
        <v>0</v>
      </c>
    </row>
    <row r="694" spans="1:49" hidden="1">
      <c r="A694" s="262" t="s">
        <v>1492</v>
      </c>
      <c r="B694" s="97" t="s">
        <v>1493</v>
      </c>
      <c r="C694" t="s">
        <v>44</v>
      </c>
      <c r="D694" s="75" t="s">
        <v>45</v>
      </c>
      <c r="E694" s="47">
        <f>SUMIFS(LS[Unit],LS[Investor ID],INVESTORS_LIST[[#This Row],[INVESTOR CODE]],LS[B/S],"B")</f>
        <v>0</v>
      </c>
      <c r="F694" s="47">
        <f>-SUMIFS(LS[Unit],LS[Investor ID],INVESTORS_LIST[[#This Row],[INVESTOR CODE]],LS[B/S],"S")</f>
        <v>0</v>
      </c>
      <c r="G694" s="47">
        <f>IF(INVESTORS_LIST[[#This Row],[LS_TOTAL UNITS BUY]]=0,0,INVESTORS_LIST[[#This Row],[LS_TOTAL UNITS BUY]]-INVESTORS_LIST[[#This Row],[LS_TOTAL UNITS SOLD]])</f>
        <v>0</v>
      </c>
      <c r="H694" s="49">
        <f>IF(INVESTORS_LIST[[#This Row],[LS_TOTAL UNITS BUY]]=0,0,SUMIFS(LS[Amount],LS[Investor ID],INVESTORS_LIST[[#This Row],[INVESTOR CODE]],LS[B/S],"B"))</f>
        <v>0</v>
      </c>
      <c r="I694" s="48">
        <f>IF(INVESTORS_LIST[[#This Row],[LS_TOTAL UNITS SOLD]]=0,0,SUMIFS(LS[Cost of Units Sold],LS[Investor ID],INVESTORS_LIST[[#This Row],[INVESTOR CODE]],LS[B/S],"S"))</f>
        <v>0</v>
      </c>
      <c r="J694" s="48">
        <f>IF(INVESTORS_LIST[[#This Row],[LS_TOTAL CURRENT UNITS]]=0,0,INVESTORS_LIST[[#This Row],[LS_TOTAL CURRENT UNITS]]*INVESTORS_LIST[[#This Row],[LS_AVERAGE COST]])</f>
        <v>0</v>
      </c>
      <c r="K694" s="49">
        <f>IF(INVESTORS_LIST[[#This Row],[LS_TOTAL UNITS SOLD]]=0,0,SUMIFS(LS[Realized Gain],LS[Investor ID],INVESTORS_LIST[[#This Row],[INVESTOR CODE]],LS[B/S],"S"))</f>
        <v>0</v>
      </c>
      <c r="L694" s="47">
        <f>SUMIFS(SIP[Unit],SIP[Investor ID],INVESTORS_LIST[[#This Row],[INVESTOR CODE]],SIP[B/S],"B")</f>
        <v>0</v>
      </c>
      <c r="M694" s="47">
        <f>-SUMIFS(SIP[Unit],SIP[Investor ID],INVESTORS_LIST[[#This Row],[INVESTOR CODE]],SIP[B/S],"S")</f>
        <v>0</v>
      </c>
      <c r="N694" s="50">
        <f>IF(INVESTORS_LIST[[#This Row],[SIP_TOTAL UNITS BUY]]=0,0,INVESTORS_LIST[[#This Row],[SIP_TOTAL UNITS BUY]]-INVESTORS_LIST[[#This Row],[SIP_TOTAL UNITS SOLD]])</f>
        <v>0</v>
      </c>
      <c r="O694" s="49">
        <f>IF(INVESTORS_LIST[[#This Row],[SIP_TOTAL UNITS BUY]]=0,0,SUMIFS(SIP[Amount],SIP[Investor ID],INVESTORS_LIST[[#This Row],[INVESTOR CODE]],SIP[B/S],"B"))</f>
        <v>0</v>
      </c>
      <c r="P694" s="49">
        <f>IF(INVESTORS_LIST[[#This Row],[SIP_TOTAL UNITS SOLD]]=0,0,SUMIFS(SIP[Cost of Units Sold],SIP[Investor ID],INVESTORS_LIST[[#This Row],[INVESTOR CODE]],SIP[B/S],"S"))</f>
        <v>0</v>
      </c>
      <c r="Q694" s="48">
        <f>IF(INVESTORS_LIST[[#This Row],[SIP_TOTAL CURRENT UNITS]]=0,0,INVESTORS_LIST[[#This Row],[SIP_TOTAL CURRENT UNITS]]*INVESTORS_LIST[[#This Row],[SIP_AVERAGE COST]])</f>
        <v>0</v>
      </c>
      <c r="R694" s="48">
        <f>IF(INVESTORS_LIST[[#This Row],[SIP_TOTAL UNITS SOLD]]=0,0,SUMIFS(SIP[Realized Gain],SIP[Investor ID],INVESTORS_LIST[[#This Row],[INVESTOR CODE]],SIP[B/S],"S"))</f>
        <v>0</v>
      </c>
      <c r="S694" s="50">
        <f>INVESTORS_LIST[[#This Row],[LS_TOTAL UNITS BUY]]+INVESTORS_LIST[[#This Row],[SIP_TOTAL UNITS BUY]]</f>
        <v>0</v>
      </c>
      <c r="T694" s="50">
        <f>INVESTORS_LIST[[#This Row],[LS_TOTAL UNITS SOLD]]+INVESTORS_LIST[[#This Row],[SIP_TOTAL UNITS SOLD]]</f>
        <v>0</v>
      </c>
      <c r="U694" s="50"/>
      <c r="V694" s="50">
        <f>SUMIFS(LS[BO UNIT TRANSFER],LS[Investor ID],INVESTORS_LIST[[#This Row],[INVESTOR CODE]],LS[B/S],"B")</f>
        <v>0</v>
      </c>
      <c r="W694" s="50">
        <f>SUMIFS(SIP[BO UNIT TRANSFER],SIP[Investor ID],INVESTORS_LIST[[#This Row],[INVESTOR CODE]],SIP[B/S],"B")</f>
        <v>0</v>
      </c>
      <c r="X694" s="50">
        <f>SUMIFS(LS[BO UNIT TRANSFER],LS[Investor ID],INVESTORS_LIST[[#This Row],[INVESTOR CODE]],LS[B/S],"S")</f>
        <v>0</v>
      </c>
      <c r="Y694" s="50">
        <f>SUMIFS(SIP[BO UNIT TRANSFER],SIP[Investor ID],INVESTORS_LIST[[#This Row],[INVESTOR CODE]],SIP[B/S],"S")</f>
        <v>0</v>
      </c>
      <c r="Z694" s="106">
        <f>SUM(INVESTORS_LIST[[#This Row],[BO OPENING BALANCE]:[BO SIP UNITS REPURCHASE]])</f>
        <v>0</v>
      </c>
      <c r="AA694" s="107">
        <f>INVESTORS_LIST[[#This Row],[TOTAL UNITS BUY]]-INVESTORS_LIST[[#This Row],[TOTAL UNITS SOLD]]</f>
        <v>0</v>
      </c>
      <c r="AB694" s="107">
        <f>INVESTORS_LIST[[#This Row],[TOTAL CURRENT UNITS]]-INVESTORS_LIST[[#This Row],[BO UNITS HOLD]]</f>
        <v>0</v>
      </c>
      <c r="AC694" s="201" t="e">
        <f>INDEX([3]!Table_1[BO ID],MATCH(INVESTORS_LIST[[#This Row],[INVESTOR CODE]],[3]!Table_1[INVESTOR CODE],0))</f>
        <v>#REF!</v>
      </c>
      <c r="AD694" s="201" t="e">
        <f>INDEX([3]!Table_1[Brokerage Name2],MATCH(INVESTORS_LIST[[#This Row],[INVESTOR CODE]],[3]!Table_1[INVESTOR CODE],0))</f>
        <v>#REF!</v>
      </c>
      <c r="AE694" s="201" t="e">
        <f>MID(INVESTORS_LIST[[#This Row],[BO ID]],4,5)</f>
        <v>#REF!</v>
      </c>
      <c r="AF694" s="201" t="e">
        <f>MID(INVESTORS_LIST[[#This Row],[BO ID]],2,7)</f>
        <v>#REF!</v>
      </c>
      <c r="AG694" s="201" t="e">
        <f>MID(INVESTORS_LIST[[#This Row],[BO ID]],9,7)</f>
        <v>#REF!</v>
      </c>
      <c r="AH694" s="201" t="e">
        <f>RIGHT(INVESTORS_LIST[[#This Row],[BO ID]],1)</f>
        <v>#REF!</v>
      </c>
      <c r="AI694" s="50">
        <f>INVESTORS_LIST[[#This Row],[LS_TOTAL COST VALUE OF CURRENT UNITS]]+INVESTORS_LIST[[#This Row],[SIP_TOTAL COST VALUE OF CURRENT UNITS]]</f>
        <v>0</v>
      </c>
      <c r="AJ694" s="109">
        <f>IF(INVESTORS_LIST[[#This Row],[TOTAL CURRENT UNITS]]=0,0,INVESTORS_LIST[[#This Row],[LS_TOTAL CURRENT UNITS]]/INVESTORS_LIST[[#This Row],[TOTAL CURRENT UNITS]])</f>
        <v>0</v>
      </c>
      <c r="AK694" s="109">
        <f>IF(INVESTORS_LIST[[#This Row],[TOTAL CURRENT UNITS]]=0,0,INVESTORS_LIST[[#This Row],[SIP_TOTAL CURRENT UNITS]]/INVESTORS_LIST[[#This Row],[TOTAL CURRENT UNITS]])</f>
        <v>0</v>
      </c>
      <c r="AL694" s="49" cm="1">
        <f t="array" ref="AL6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4" s="49" cm="1">
        <f t="array" ref="AM6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4" s="105">
        <f t="shared" si="11"/>
        <v>14.224</v>
      </c>
      <c r="AP694" s="112">
        <f>IF(INVESTORS_LIST[[#This Row],[TOTAL CURRENT UNITS]]=0,0,INVESTORS_LIST[[#This Row],[TOTAL CURRENT UNITS]]*INVESTORS_LIST[[#This Row],[NAV]])</f>
        <v>0</v>
      </c>
      <c r="AQ694" s="49">
        <f>IF(INVESTORS_LIST[[#This Row],[LS_TOTAL CURRENT UNITS]]=0,0,INVESTORS_LIST[[#This Row],[LS_TOTAL CURRENT UNITS]]*INVESTORS_LIST[[#This Row],[NAV]])</f>
        <v>0</v>
      </c>
      <c r="AR694" s="48">
        <f>IF(INVESTORS_LIST[[#This Row],[SIP_TOTAL CURRENT UNITS]]=0,0,INVESTORS_LIST[[#This Row],[SIP_TOTAL CURRENT UNITS]]*INVESTORS_LIST[[#This Row],[NAV]])</f>
        <v>0</v>
      </c>
      <c r="AS694" s="50">
        <f>INVESTORS_LIST[[#This Row],[TOTAL CURRENT UNITS]]</f>
        <v>0</v>
      </c>
      <c r="AT694" s="48">
        <f>IF(INVESTORS_LIST[[#This Row],[TOTAL SELLABLE UNITS]]=0,0,INVESTORS_LIST[[#This Row],[TOTAL SELLABLE UNITS]]*INVESTORS_LIST[[#This Row],[NAV]])</f>
        <v>0</v>
      </c>
      <c r="AU694" s="48">
        <f>INVESTORS_LIST[[#This Row],[LS_TOTAL REALIZED GAIN]]+INVESTORS_LIST[[#This Row],[SIP_TOTAL REALIZED GAIN]]</f>
        <v>0</v>
      </c>
      <c r="AV694" s="48">
        <f>INVESTORS_LIST[[#This Row],[TOTAL MARKET VALUE]]-INVESTORS_LIST[[#This Row],[TOTAL COST VALUE OF CURRENT INVESTMENT]]</f>
        <v>0</v>
      </c>
      <c r="AW694" s="48">
        <f>IFERROR(INVESTORS_LIST[[#This Row],[TOTAL CURRENT UNITS]]/SUM(INVESTORS_LIST[TOTAL CURRENT UNITS]),0)</f>
        <v>0</v>
      </c>
    </row>
    <row r="695" spans="1:49" hidden="1">
      <c r="A695" s="262" t="s">
        <v>237</v>
      </c>
      <c r="B695" s="97" t="s">
        <v>1303</v>
      </c>
      <c r="C695" t="s">
        <v>67</v>
      </c>
      <c r="D695" s="75" t="s">
        <v>45</v>
      </c>
      <c r="E695" s="47">
        <f>SUMIFS(LS[Unit],LS[Investor ID],INVESTORS_LIST[[#This Row],[INVESTOR CODE]],LS[B/S],"B")</f>
        <v>101463</v>
      </c>
      <c r="F695" s="47">
        <f>-SUMIFS(LS[Unit],LS[Investor ID],INVESTORS_LIST[[#This Row],[INVESTOR CODE]],LS[B/S],"S")</f>
        <v>101463</v>
      </c>
      <c r="G695" s="47">
        <f>IF(INVESTORS_LIST[[#This Row],[LS_TOTAL UNITS BUY]]=0,0,INVESTORS_LIST[[#This Row],[LS_TOTAL UNITS BUY]]-INVESTORS_LIST[[#This Row],[LS_TOTAL UNITS SOLD]])</f>
        <v>0</v>
      </c>
      <c r="H695" s="49">
        <f>IF(INVESTORS_LIST[[#This Row],[LS_TOTAL UNITS BUY]]=0,0,SUMIFS(LS[Amount],LS[Investor ID],INVESTORS_LIST[[#This Row],[INVESTOR CODE]],LS[B/S],"B"))</f>
        <v>1200000</v>
      </c>
      <c r="I695" s="48">
        <f>IF(INVESTORS_LIST[[#This Row],[LS_TOTAL UNITS SOLD]]=0,0,SUMIFS(LS[Cost of Units Sold],LS[Investor ID],INVESTORS_LIST[[#This Row],[INVESTOR CODE]],LS[B/S],"S"))</f>
        <v>1200000</v>
      </c>
      <c r="J695" s="48">
        <f>IF(INVESTORS_LIST[[#This Row],[LS_TOTAL CURRENT UNITS]]=0,0,INVESTORS_LIST[[#This Row],[LS_TOTAL CURRENT UNITS]]*INVESTORS_LIST[[#This Row],[LS_AVERAGE COST]])</f>
        <v>0</v>
      </c>
      <c r="K695" s="49">
        <f>IF(INVESTORS_LIST[[#This Row],[LS_TOTAL UNITS SOLD]]=0,0,SUMIFS(LS[Realized Gain],LS[Investor ID],INVESTORS_LIST[[#This Row],[INVESTOR CODE]],LS[B/S],"S"))</f>
        <v>5177.5100000001739</v>
      </c>
      <c r="L695" s="47">
        <f>SUMIFS(SIP[Unit],SIP[Investor ID],INVESTORS_LIST[[#This Row],[INVESTOR CODE]],SIP[B/S],"B")</f>
        <v>0</v>
      </c>
      <c r="M695" s="47">
        <f>-SUMIFS(SIP[Unit],SIP[Investor ID],INVESTORS_LIST[[#This Row],[INVESTOR CODE]],SIP[B/S],"S")</f>
        <v>0</v>
      </c>
      <c r="N695" s="50">
        <f>IF(INVESTORS_LIST[[#This Row],[SIP_TOTAL UNITS BUY]]=0,0,INVESTORS_LIST[[#This Row],[SIP_TOTAL UNITS BUY]]-INVESTORS_LIST[[#This Row],[SIP_TOTAL UNITS SOLD]])</f>
        <v>0</v>
      </c>
      <c r="O695" s="49">
        <f>IF(INVESTORS_LIST[[#This Row],[SIP_TOTAL UNITS BUY]]=0,0,SUMIFS(SIP[Amount],SIP[Investor ID],INVESTORS_LIST[[#This Row],[INVESTOR CODE]],SIP[B/S],"B"))</f>
        <v>0</v>
      </c>
      <c r="P695" s="49">
        <f>IF(INVESTORS_LIST[[#This Row],[SIP_TOTAL UNITS SOLD]]=0,0,SUMIFS(SIP[Cost of Units Sold],SIP[Investor ID],INVESTORS_LIST[[#This Row],[INVESTOR CODE]],SIP[B/S],"S"))</f>
        <v>0</v>
      </c>
      <c r="Q695" s="48">
        <f>IF(INVESTORS_LIST[[#This Row],[SIP_TOTAL CURRENT UNITS]]=0,0,INVESTORS_LIST[[#This Row],[SIP_TOTAL CURRENT UNITS]]*INVESTORS_LIST[[#This Row],[SIP_AVERAGE COST]])</f>
        <v>0</v>
      </c>
      <c r="R695" s="48">
        <f>IF(INVESTORS_LIST[[#This Row],[SIP_TOTAL UNITS SOLD]]=0,0,SUMIFS(SIP[Realized Gain],SIP[Investor ID],INVESTORS_LIST[[#This Row],[INVESTOR CODE]],SIP[B/S],"S"))</f>
        <v>0</v>
      </c>
      <c r="S695" s="50">
        <f>INVESTORS_LIST[[#This Row],[LS_TOTAL UNITS BUY]]+INVESTORS_LIST[[#This Row],[SIP_TOTAL UNITS BUY]]</f>
        <v>101463</v>
      </c>
      <c r="T695" s="50">
        <f>INVESTORS_LIST[[#This Row],[LS_TOTAL UNITS SOLD]]+INVESTORS_LIST[[#This Row],[SIP_TOTAL UNITS SOLD]]</f>
        <v>101463</v>
      </c>
      <c r="U695" s="50"/>
      <c r="V695" s="50">
        <f>SUMIFS(LS[BO UNIT TRANSFER],LS[Investor ID],INVESTORS_LIST[[#This Row],[INVESTOR CODE]],LS[B/S],"B")</f>
        <v>0</v>
      </c>
      <c r="W695" s="50">
        <f>SUMIFS(SIP[BO UNIT TRANSFER],SIP[Investor ID],INVESTORS_LIST[[#This Row],[INVESTOR CODE]],SIP[B/S],"B")</f>
        <v>0</v>
      </c>
      <c r="X695" s="50">
        <f>SUMIFS(LS[BO UNIT TRANSFER],LS[Investor ID],INVESTORS_LIST[[#This Row],[INVESTOR CODE]],LS[B/S],"S")</f>
        <v>0</v>
      </c>
      <c r="Y695" s="50">
        <f>SUMIFS(SIP[BO UNIT TRANSFER],SIP[Investor ID],INVESTORS_LIST[[#This Row],[INVESTOR CODE]],SIP[B/S],"S")</f>
        <v>0</v>
      </c>
      <c r="Z695" s="106">
        <f>SUM(INVESTORS_LIST[[#This Row],[BO OPENING BALANCE]:[BO SIP UNITS REPURCHASE]])</f>
        <v>0</v>
      </c>
      <c r="AA695" s="107">
        <f>INVESTORS_LIST[[#This Row],[TOTAL UNITS BUY]]-INVESTORS_LIST[[#This Row],[TOTAL UNITS SOLD]]</f>
        <v>0</v>
      </c>
      <c r="AB695" s="107">
        <f>INVESTORS_LIST[[#This Row],[TOTAL CURRENT UNITS]]-INVESTORS_LIST[[#This Row],[BO UNITS HOLD]]</f>
        <v>0</v>
      </c>
      <c r="AC695" s="201" t="e">
        <f>INDEX([3]!Table_1[BO ID],MATCH(INVESTORS_LIST[[#This Row],[INVESTOR CODE]],[3]!Table_1[INVESTOR CODE],0))</f>
        <v>#REF!</v>
      </c>
      <c r="AD695" s="201" t="e">
        <f>INDEX([3]!Table_1[Brokerage Name2],MATCH(INVESTORS_LIST[[#This Row],[INVESTOR CODE]],[3]!Table_1[INVESTOR CODE],0))</f>
        <v>#REF!</v>
      </c>
      <c r="AE695" s="201" t="e">
        <f>MID(INVESTORS_LIST[[#This Row],[BO ID]],4,5)</f>
        <v>#REF!</v>
      </c>
      <c r="AF695" s="201" t="e">
        <f>MID(INVESTORS_LIST[[#This Row],[BO ID]],2,7)</f>
        <v>#REF!</v>
      </c>
      <c r="AG695" s="201" t="e">
        <f>MID(INVESTORS_LIST[[#This Row],[BO ID]],9,7)</f>
        <v>#REF!</v>
      </c>
      <c r="AH695" s="201" t="e">
        <f>RIGHT(INVESTORS_LIST[[#This Row],[BO ID]],1)</f>
        <v>#REF!</v>
      </c>
      <c r="AI695" s="50">
        <f>INVESTORS_LIST[[#This Row],[LS_TOTAL COST VALUE OF CURRENT UNITS]]+INVESTORS_LIST[[#This Row],[SIP_TOTAL COST VALUE OF CURRENT UNITS]]</f>
        <v>0</v>
      </c>
      <c r="AJ695" s="109">
        <f>IF(INVESTORS_LIST[[#This Row],[TOTAL CURRENT UNITS]]=0,0,INVESTORS_LIST[[#This Row],[LS_TOTAL CURRENT UNITS]]/INVESTORS_LIST[[#This Row],[TOTAL CURRENT UNITS]])</f>
        <v>0</v>
      </c>
      <c r="AK695" s="109">
        <f>IF(INVESTORS_LIST[[#This Row],[TOTAL CURRENT UNITS]]=0,0,INVESTORS_LIST[[#This Row],[SIP_TOTAL CURRENT UNITS]]/INVESTORS_LIST[[#This Row],[TOTAL CURRENT UNITS]])</f>
        <v>0</v>
      </c>
      <c r="AL695" s="49" cm="1">
        <f t="array" ref="AL6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5" s="49" cm="1">
        <f t="array" ref="AM6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5" s="105">
        <f t="shared" si="11"/>
        <v>14.224</v>
      </c>
      <c r="AP695" s="112">
        <f>IF(INVESTORS_LIST[[#This Row],[TOTAL CURRENT UNITS]]=0,0,INVESTORS_LIST[[#This Row],[TOTAL CURRENT UNITS]]*INVESTORS_LIST[[#This Row],[NAV]])</f>
        <v>0</v>
      </c>
      <c r="AQ695" s="49">
        <f>IF(INVESTORS_LIST[[#This Row],[LS_TOTAL CURRENT UNITS]]=0,0,INVESTORS_LIST[[#This Row],[LS_TOTAL CURRENT UNITS]]*INVESTORS_LIST[[#This Row],[NAV]])</f>
        <v>0</v>
      </c>
      <c r="AR695" s="48">
        <f>IF(INVESTORS_LIST[[#This Row],[SIP_TOTAL CURRENT UNITS]]=0,0,INVESTORS_LIST[[#This Row],[SIP_TOTAL CURRENT UNITS]]*INVESTORS_LIST[[#This Row],[NAV]])</f>
        <v>0</v>
      </c>
      <c r="AS695" s="50">
        <f>INVESTORS_LIST[[#This Row],[TOTAL CURRENT UNITS]]</f>
        <v>0</v>
      </c>
      <c r="AT695" s="48">
        <f>IF(INVESTORS_LIST[[#This Row],[TOTAL SELLABLE UNITS]]=0,0,INVESTORS_LIST[[#This Row],[TOTAL SELLABLE UNITS]]*INVESTORS_LIST[[#This Row],[NAV]])</f>
        <v>0</v>
      </c>
      <c r="AU695" s="48">
        <f>INVESTORS_LIST[[#This Row],[LS_TOTAL REALIZED GAIN]]+INVESTORS_LIST[[#This Row],[SIP_TOTAL REALIZED GAIN]]</f>
        <v>5177.5100000001739</v>
      </c>
      <c r="AV695" s="48">
        <f>INVESTORS_LIST[[#This Row],[TOTAL MARKET VALUE]]-INVESTORS_LIST[[#This Row],[TOTAL COST VALUE OF CURRENT INVESTMENT]]</f>
        <v>0</v>
      </c>
      <c r="AW695" s="48">
        <f>IFERROR(INVESTORS_LIST[[#This Row],[TOTAL CURRENT UNITS]]/SUM(INVESTORS_LIST[TOTAL CURRENT UNITS]),0)</f>
        <v>0</v>
      </c>
    </row>
    <row r="696" spans="1:49">
      <c r="A696" s="262" t="s">
        <v>1084</v>
      </c>
      <c r="B696" s="199" t="s">
        <v>1085</v>
      </c>
      <c r="C696" s="99" t="s">
        <v>44</v>
      </c>
      <c r="D696" s="101" t="s">
        <v>45</v>
      </c>
      <c r="E696" s="50">
        <f>SUMIFS(LS[Unit],LS[Investor ID],INVESTORS_LIST[[#This Row],[INVESTOR CODE]],LS[B/S],"B")</f>
        <v>715002</v>
      </c>
      <c r="F696" s="50">
        <f>-SUMIFS(LS[Unit],LS[Investor ID],INVESTORS_LIST[[#This Row],[INVESTOR CODE]],LS[B/S],"S")</f>
        <v>342733</v>
      </c>
      <c r="G696" s="50">
        <f>IF(INVESTORS_LIST[[#This Row],[LS_TOTAL UNITS BUY]]=0,0,INVESTORS_LIST[[#This Row],[LS_TOTAL UNITS BUY]]-INVESTORS_LIST[[#This Row],[LS_TOTAL UNITS SOLD]])</f>
        <v>372269</v>
      </c>
      <c r="H696" s="102">
        <f>IF(INVESTORS_LIST[[#This Row],[LS_TOTAL UNITS BUY]]=0,0,SUMIFS(LS[Amount],LS[Investor ID],INVESTORS_LIST[[#This Row],[INVESTOR CODE]],LS[B/S],"B"))</f>
        <v>8000000</v>
      </c>
      <c r="I696" s="48">
        <f>IF(INVESTORS_LIST[[#This Row],[LS_TOTAL UNITS SOLD]]=0,0,SUMIFS(LS[Cost of Units Sold],LS[Investor ID],INVESTORS_LIST[[#This Row],[INVESTOR CODE]],LS[B/S],"S"))</f>
        <v>3834764.0985619621</v>
      </c>
      <c r="J696" s="48">
        <f>IF(INVESTORS_LIST[[#This Row],[LS_TOTAL CURRENT UNITS]]=0,0,INVESTORS_LIST[[#This Row],[LS_TOTAL CURRENT UNITS]]*INVESTORS_LIST[[#This Row],[LS_AVERAGE COST]])</f>
        <v>4165235.9014380383</v>
      </c>
      <c r="K696" s="48">
        <f>IF(INVESTORS_LIST[[#This Row],[LS_TOTAL UNITS SOLD]]=0,0,SUMIFS(LS[Realized Gain],LS[Investor ID],INVESTORS_LIST[[#This Row],[INVESTOR CODE]],LS[B/S],"S"))</f>
        <v>365235.90143803781</v>
      </c>
      <c r="L696" s="104">
        <f>SUMIFS(SIP[Unit],SIP[Investor ID],INVESTORS_LIST[[#This Row],[INVESTOR CODE]],SIP[B/S],"B")</f>
        <v>0</v>
      </c>
      <c r="M696" s="50">
        <f>-SUMIFS(SIP[Unit],SIP[Investor ID],INVESTORS_LIST[[#This Row],[INVESTOR CODE]],SIP[B/S],"S")</f>
        <v>0</v>
      </c>
      <c r="N696" s="50">
        <f>IF(INVESTORS_LIST[[#This Row],[SIP_TOTAL UNITS BUY]]=0,0,INVESTORS_LIST[[#This Row],[SIP_TOTAL UNITS BUY]]-INVESTORS_LIST[[#This Row],[SIP_TOTAL UNITS SOLD]])</f>
        <v>0</v>
      </c>
      <c r="O696" s="48">
        <f>IF(INVESTORS_LIST[[#This Row],[SIP_TOTAL UNITS BUY]]=0,0,SUMIFS(SIP[Amount],SIP[Investor ID],INVESTORS_LIST[[#This Row],[INVESTOR CODE]],SIP[B/S],"B"))</f>
        <v>0</v>
      </c>
      <c r="P696" s="48">
        <f>IF(INVESTORS_LIST[[#This Row],[SIP_TOTAL UNITS SOLD]]=0,0,SUMIFS(SIP[Cost of Units Sold],SIP[Investor ID],INVESTORS_LIST[[#This Row],[INVESTOR CODE]],SIP[B/S],"S"))</f>
        <v>0</v>
      </c>
      <c r="Q696" s="48">
        <f>IF(INVESTORS_LIST[[#This Row],[SIP_TOTAL CURRENT UNITS]]=0,0,INVESTORS_LIST[[#This Row],[SIP_TOTAL CURRENT UNITS]]*INVESTORS_LIST[[#This Row],[SIP_AVERAGE COST]])</f>
        <v>0</v>
      </c>
      <c r="R696" s="48">
        <f>IF(INVESTORS_LIST[[#This Row],[SIP_TOTAL UNITS SOLD]]=0,0,SUMIFS(SIP[Realized Gain],SIP[Investor ID],INVESTORS_LIST[[#This Row],[INVESTOR CODE]],SIP[B/S],"S"))</f>
        <v>0</v>
      </c>
      <c r="S696" s="50">
        <f>INVESTORS_LIST[[#This Row],[LS_TOTAL UNITS BUY]]+INVESTORS_LIST[[#This Row],[SIP_TOTAL UNITS BUY]]</f>
        <v>715002</v>
      </c>
      <c r="T696" s="50">
        <f>INVESTORS_LIST[[#This Row],[LS_TOTAL UNITS SOLD]]+INVESTORS_LIST[[#This Row],[SIP_TOTAL UNITS SOLD]]</f>
        <v>342733</v>
      </c>
      <c r="U696" s="50">
        <v>523519</v>
      </c>
      <c r="V696" s="50">
        <f>SUMIFS(LS[BO UNIT TRANSFER],LS[Investor ID],INVESTORS_LIST[[#This Row],[INVESTOR CODE]],LS[B/S],"B")</f>
        <v>0</v>
      </c>
      <c r="W696" s="50">
        <f>SUMIFS(SIP[BO UNIT TRANSFER],SIP[Investor ID],INVESTORS_LIST[[#This Row],[INVESTOR CODE]],SIP[B/S],"B")</f>
        <v>0</v>
      </c>
      <c r="X696" s="50">
        <f>SUMIFS(LS[BO UNIT TRANSFER],LS[Investor ID],INVESTORS_LIST[[#This Row],[INVESTOR CODE]],LS[B/S],"S")</f>
        <v>0</v>
      </c>
      <c r="Y696" s="50">
        <f>SUMIFS(SIP[BO UNIT TRANSFER],SIP[Investor ID],INVESTORS_LIST[[#This Row],[INVESTOR CODE]],SIP[B/S],"S")</f>
        <v>0</v>
      </c>
      <c r="Z696" s="106">
        <f>SUM(INVESTORS_LIST[[#This Row],[BO OPENING BALANCE]:[BO SIP UNITS REPURCHASE]])</f>
        <v>523519</v>
      </c>
      <c r="AA696" s="107">
        <f>INVESTORS_LIST[[#This Row],[TOTAL UNITS BUY]]-INVESTORS_LIST[[#This Row],[TOTAL UNITS SOLD]]</f>
        <v>372269</v>
      </c>
      <c r="AB696" s="107">
        <f>INVESTORS_LIST[[#This Row],[TOTAL CURRENT UNITS]]-INVESTORS_LIST[[#This Row],[BO UNITS HOLD]]</f>
        <v>-151250</v>
      </c>
      <c r="AC696" s="201" t="e">
        <f>INDEX([3]!Table_1[BO ID],MATCH(INVESTORS_LIST[[#This Row],[INVESTOR CODE]],[3]!Table_1[INVESTOR CODE],0))</f>
        <v>#REF!</v>
      </c>
      <c r="AD696" s="201" t="e">
        <f>INDEX([3]!Table_1[Brokerage Name2],MATCH(INVESTORS_LIST[[#This Row],[INVESTOR CODE]],[3]!Table_1[INVESTOR CODE],0))</f>
        <v>#REF!</v>
      </c>
      <c r="AE696" s="201" t="e">
        <f>MID(INVESTORS_LIST[[#This Row],[BO ID]],4,5)</f>
        <v>#REF!</v>
      </c>
      <c r="AF696" s="201" t="e">
        <f>MID(INVESTORS_LIST[[#This Row],[BO ID]],2,7)</f>
        <v>#REF!</v>
      </c>
      <c r="AG696" s="201" t="e">
        <f>MID(INVESTORS_LIST[[#This Row],[BO ID]],9,7)</f>
        <v>#REF!</v>
      </c>
      <c r="AH696" s="201" t="e">
        <f>RIGHT(INVESTORS_LIST[[#This Row],[BO ID]],1)</f>
        <v>#REF!</v>
      </c>
      <c r="AI696" s="50">
        <f>INVESTORS_LIST[[#This Row],[LS_TOTAL COST VALUE OF CURRENT UNITS]]+INVESTORS_LIST[[#This Row],[SIP_TOTAL COST VALUE OF CURRENT UNITS]]</f>
        <v>4165235.9014380383</v>
      </c>
      <c r="AJ696" s="109">
        <f>IF(INVESTORS_LIST[[#This Row],[TOTAL CURRENT UNITS]]=0,0,INVESTORS_LIST[[#This Row],[LS_TOTAL CURRENT UNITS]]/INVESTORS_LIST[[#This Row],[TOTAL CURRENT UNITS]])</f>
        <v>1</v>
      </c>
      <c r="AK696" s="109">
        <f>IF(INVESTORS_LIST[[#This Row],[TOTAL CURRENT UNITS]]=0,0,INVESTORS_LIST[[#This Row],[SIP_TOTAL CURRENT UNITS]]/INVESTORS_LIST[[#This Row],[TOTAL CURRENT UNITS]])</f>
        <v>0</v>
      </c>
      <c r="AL696" s="99" cm="1">
        <f t="array" ref="AL696">IF(INVESTORS_LIST[[#This Row],[LS_TOTAL UNITS BUY]]&gt;0,INDEX(LS[NAV at Cost (Average)],MATCH(CONCATENATE(COUNTIFS(LS[Investor ID],INVESTORS_LIST[[#This Row],[INVESTOR CODE]]),INVESTORS_LIST[[#This Row],[INVESTOR CODE]]),LS[Unique Code],0),),0)</f>
        <v>11.18877989152478</v>
      </c>
      <c r="AM696" s="99" cm="1">
        <f t="array" ref="AM6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6" s="105">
        <f>IF(INVESTORS_LIST[[#This Row],[TOTAL CURRENT UNITS]]=0,0,(INVESTORS_LIST[[#This Row],[LS_WEIGHT]]*INVESTORS_LIST[[#This Row],[LS_AVERAGE COST]])+(INVESTORS_LIST[[#This Row],[SIP_WEIGHT]]*INVESTORS_LIST[[#This Row],[SIP_AVERAGE COST]]))</f>
        <v>11.18877989152478</v>
      </c>
      <c r="AO696" s="105">
        <f t="shared" si="11"/>
        <v>14.224</v>
      </c>
      <c r="AP696" s="112">
        <f>IF(INVESTORS_LIST[[#This Row],[TOTAL CURRENT UNITS]]=0,0,INVESTORS_LIST[[#This Row],[TOTAL CURRENT UNITS]]*INVESTORS_LIST[[#This Row],[NAV]])</f>
        <v>5295154.2560000001</v>
      </c>
      <c r="AQ696" s="102">
        <f>IF(INVESTORS_LIST[[#This Row],[LS_TOTAL CURRENT UNITS]]=0,0,INVESTORS_LIST[[#This Row],[LS_TOTAL CURRENT UNITS]]*INVESTORS_LIST[[#This Row],[NAV]])</f>
        <v>5295154.2560000001</v>
      </c>
      <c r="AR696" s="48">
        <f>IF(INVESTORS_LIST[[#This Row],[SIP_TOTAL CURRENT UNITS]]=0,0,INVESTORS_LIST[[#This Row],[SIP_TOTAL CURRENT UNITS]]*INVESTORS_LIST[[#This Row],[NAV]])</f>
        <v>0</v>
      </c>
      <c r="AS696" s="50">
        <f>INVESTORS_LIST[[#This Row],[TOTAL CURRENT UNITS]]</f>
        <v>372269</v>
      </c>
      <c r="AT696" s="48">
        <f>IF(INVESTORS_LIST[[#This Row],[TOTAL SELLABLE UNITS]]=0,0,INVESTORS_LIST[[#This Row],[TOTAL SELLABLE UNITS]]*INVESTORS_LIST[[#This Row],[NAV]])</f>
        <v>5295154.2560000001</v>
      </c>
      <c r="AU696" s="48">
        <f>INVESTORS_LIST[[#This Row],[LS_TOTAL REALIZED GAIN]]+INVESTORS_LIST[[#This Row],[SIP_TOTAL REALIZED GAIN]]</f>
        <v>365235.90143803781</v>
      </c>
      <c r="AV696" s="48">
        <f>INVESTORS_LIST[[#This Row],[TOTAL MARKET VALUE]]-INVESTORS_LIST[[#This Row],[TOTAL COST VALUE OF CURRENT INVESTMENT]]</f>
        <v>1129918.3545619617</v>
      </c>
      <c r="AW696" s="48">
        <f>IFERROR(INVESTORS_LIST[[#This Row],[TOTAL CURRENT UNITS]]/SUM(INVESTORS_LIST[TOTAL CURRENT UNITS]),0)</f>
        <v>9.037279637274612E-3</v>
      </c>
    </row>
    <row r="697" spans="1:49" hidden="1">
      <c r="A697" s="262" t="s">
        <v>1108</v>
      </c>
      <c r="B697" s="199" t="s">
        <v>1109</v>
      </c>
      <c r="C697" s="99" t="s">
        <v>67</v>
      </c>
      <c r="D697" s="101" t="s">
        <v>45</v>
      </c>
      <c r="E697" s="50">
        <f>SUMIFS(LS[Unit],LS[Investor ID],INVESTORS_LIST[[#This Row],[INVESTOR CODE]],LS[B/S],"B")</f>
        <v>0</v>
      </c>
      <c r="F697" s="50">
        <f>-SUMIFS(LS[Unit],LS[Investor ID],INVESTORS_LIST[[#This Row],[INVESTOR CODE]],LS[B/S],"S")</f>
        <v>0</v>
      </c>
      <c r="G697" s="50">
        <f>IF(INVESTORS_LIST[[#This Row],[LS_TOTAL UNITS BUY]]=0,0,INVESTORS_LIST[[#This Row],[LS_TOTAL UNITS BUY]]-INVESTORS_LIST[[#This Row],[LS_TOTAL UNITS SOLD]])</f>
        <v>0</v>
      </c>
      <c r="H697" s="102">
        <f>IF(INVESTORS_LIST[[#This Row],[LS_TOTAL UNITS BUY]]=0,0,SUMIFS(LS[Amount],LS[Investor ID],INVESTORS_LIST[[#This Row],[INVESTOR CODE]],LS[B/S],"B"))</f>
        <v>0</v>
      </c>
      <c r="I697" s="48">
        <f>IF(INVESTORS_LIST[[#This Row],[LS_TOTAL UNITS SOLD]]=0,0,SUMIFS(LS[Cost of Units Sold],LS[Investor ID],INVESTORS_LIST[[#This Row],[INVESTOR CODE]],LS[B/S],"S"))</f>
        <v>0</v>
      </c>
      <c r="J697" s="48">
        <f>IF(INVESTORS_LIST[[#This Row],[LS_TOTAL CURRENT UNITS]]=0,0,INVESTORS_LIST[[#This Row],[LS_TOTAL CURRENT UNITS]]*INVESTORS_LIST[[#This Row],[LS_AVERAGE COST]])</f>
        <v>0</v>
      </c>
      <c r="K697" s="48">
        <f>IF(INVESTORS_LIST[[#This Row],[LS_TOTAL UNITS SOLD]]=0,0,SUMIFS(LS[Realized Gain],LS[Investor ID],INVESTORS_LIST[[#This Row],[INVESTOR CODE]],LS[B/S],"S"))</f>
        <v>0</v>
      </c>
      <c r="L697" s="104">
        <f>SUMIFS(SIP[Unit],SIP[Investor ID],INVESTORS_LIST[[#This Row],[INVESTOR CODE]],SIP[B/S],"B")</f>
        <v>0</v>
      </c>
      <c r="M697" s="50">
        <f>-SUMIFS(SIP[Unit],SIP[Investor ID],INVESTORS_LIST[[#This Row],[INVESTOR CODE]],SIP[B/S],"S")</f>
        <v>0</v>
      </c>
      <c r="N697" s="50">
        <f>IF(INVESTORS_LIST[[#This Row],[SIP_TOTAL UNITS BUY]]=0,0,INVESTORS_LIST[[#This Row],[SIP_TOTAL UNITS BUY]]-INVESTORS_LIST[[#This Row],[SIP_TOTAL UNITS SOLD]])</f>
        <v>0</v>
      </c>
      <c r="O697" s="48">
        <f>IF(INVESTORS_LIST[[#This Row],[SIP_TOTAL UNITS BUY]]=0,0,SUMIFS(SIP[Amount],SIP[Investor ID],INVESTORS_LIST[[#This Row],[INVESTOR CODE]],SIP[B/S],"B"))</f>
        <v>0</v>
      </c>
      <c r="P697" s="48">
        <f>IF(INVESTORS_LIST[[#This Row],[SIP_TOTAL UNITS SOLD]]=0,0,SUMIFS(SIP[Cost of Units Sold],SIP[Investor ID],INVESTORS_LIST[[#This Row],[INVESTOR CODE]],SIP[B/S],"S"))</f>
        <v>0</v>
      </c>
      <c r="Q697" s="48">
        <f>IF(INVESTORS_LIST[[#This Row],[SIP_TOTAL CURRENT UNITS]]=0,0,INVESTORS_LIST[[#This Row],[SIP_TOTAL CURRENT UNITS]]*INVESTORS_LIST[[#This Row],[SIP_AVERAGE COST]])</f>
        <v>0</v>
      </c>
      <c r="R697" s="48">
        <f>IF(INVESTORS_LIST[[#This Row],[SIP_TOTAL UNITS SOLD]]=0,0,SUMIFS(SIP[Realized Gain],SIP[Investor ID],INVESTORS_LIST[[#This Row],[INVESTOR CODE]],SIP[B/S],"S"))</f>
        <v>0</v>
      </c>
      <c r="S697" s="50">
        <f>INVESTORS_LIST[[#This Row],[LS_TOTAL UNITS BUY]]+INVESTORS_LIST[[#This Row],[SIP_TOTAL UNITS BUY]]</f>
        <v>0</v>
      </c>
      <c r="T697" s="50">
        <f>INVESTORS_LIST[[#This Row],[LS_TOTAL UNITS SOLD]]+INVESTORS_LIST[[#This Row],[SIP_TOTAL UNITS SOLD]]</f>
        <v>0</v>
      </c>
      <c r="U697" s="50"/>
      <c r="V697" s="50">
        <f>SUMIFS(LS[BO UNIT TRANSFER],LS[Investor ID],INVESTORS_LIST[[#This Row],[INVESTOR CODE]],LS[B/S],"B")</f>
        <v>0</v>
      </c>
      <c r="W697" s="50">
        <f>SUMIFS(SIP[BO UNIT TRANSFER],SIP[Investor ID],INVESTORS_LIST[[#This Row],[INVESTOR CODE]],SIP[B/S],"B")</f>
        <v>0</v>
      </c>
      <c r="X697" s="50">
        <f>SUMIFS(LS[BO UNIT TRANSFER],LS[Investor ID],INVESTORS_LIST[[#This Row],[INVESTOR CODE]],LS[B/S],"S")</f>
        <v>0</v>
      </c>
      <c r="Y697" s="50">
        <f>SUMIFS(SIP[BO UNIT TRANSFER],SIP[Investor ID],INVESTORS_LIST[[#This Row],[INVESTOR CODE]],SIP[B/S],"S")</f>
        <v>0</v>
      </c>
      <c r="Z697" s="106">
        <f>SUM(INVESTORS_LIST[[#This Row],[BO OPENING BALANCE]:[BO SIP UNITS REPURCHASE]])</f>
        <v>0</v>
      </c>
      <c r="AA697" s="107">
        <f>INVESTORS_LIST[[#This Row],[TOTAL UNITS BUY]]-INVESTORS_LIST[[#This Row],[TOTAL UNITS SOLD]]</f>
        <v>0</v>
      </c>
      <c r="AB697" s="107">
        <f>INVESTORS_LIST[[#This Row],[TOTAL CURRENT UNITS]]-INVESTORS_LIST[[#This Row],[BO UNITS HOLD]]</f>
        <v>0</v>
      </c>
      <c r="AC697" s="201" t="e">
        <f>INDEX([3]!Table_1[BO ID],MATCH(INVESTORS_LIST[[#This Row],[INVESTOR CODE]],[3]!Table_1[INVESTOR CODE],0))</f>
        <v>#REF!</v>
      </c>
      <c r="AD697" s="201" t="e">
        <f>INDEX([3]!Table_1[Brokerage Name2],MATCH(INVESTORS_LIST[[#This Row],[INVESTOR CODE]],[3]!Table_1[INVESTOR CODE],0))</f>
        <v>#REF!</v>
      </c>
      <c r="AE697" s="201" t="e">
        <f>MID(INVESTORS_LIST[[#This Row],[BO ID]],4,5)</f>
        <v>#REF!</v>
      </c>
      <c r="AF697" s="201" t="e">
        <f>MID(INVESTORS_LIST[[#This Row],[BO ID]],2,7)</f>
        <v>#REF!</v>
      </c>
      <c r="AG697" s="201" t="e">
        <f>MID(INVESTORS_LIST[[#This Row],[BO ID]],9,7)</f>
        <v>#REF!</v>
      </c>
      <c r="AH697" s="201" t="e">
        <f>RIGHT(INVESTORS_LIST[[#This Row],[BO ID]],1)</f>
        <v>#REF!</v>
      </c>
      <c r="AI697" s="50">
        <f>INVESTORS_LIST[[#This Row],[LS_TOTAL COST VALUE OF CURRENT UNITS]]+INVESTORS_LIST[[#This Row],[SIP_TOTAL COST VALUE OF CURRENT UNITS]]</f>
        <v>0</v>
      </c>
      <c r="AJ697" s="109">
        <f>IF(INVESTORS_LIST[[#This Row],[TOTAL CURRENT UNITS]]=0,0,INVESTORS_LIST[[#This Row],[LS_TOTAL CURRENT UNITS]]/INVESTORS_LIST[[#This Row],[TOTAL CURRENT UNITS]])</f>
        <v>0</v>
      </c>
      <c r="AK697" s="109">
        <f>IF(INVESTORS_LIST[[#This Row],[TOTAL CURRENT UNITS]]=0,0,INVESTORS_LIST[[#This Row],[SIP_TOTAL CURRENT UNITS]]/INVESTORS_LIST[[#This Row],[TOTAL CURRENT UNITS]])</f>
        <v>0</v>
      </c>
      <c r="AL697" s="99" cm="1">
        <f t="array" ref="AL6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7" s="99" cm="1">
        <f t="array" ref="AM6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7" s="105">
        <f t="shared" si="11"/>
        <v>14.224</v>
      </c>
      <c r="AP697" s="112">
        <f>IF(INVESTORS_LIST[[#This Row],[TOTAL CURRENT UNITS]]=0,0,INVESTORS_LIST[[#This Row],[TOTAL CURRENT UNITS]]*INVESTORS_LIST[[#This Row],[NAV]])</f>
        <v>0</v>
      </c>
      <c r="AQ697" s="102">
        <f>IF(INVESTORS_LIST[[#This Row],[LS_TOTAL CURRENT UNITS]]=0,0,INVESTORS_LIST[[#This Row],[LS_TOTAL CURRENT UNITS]]*INVESTORS_LIST[[#This Row],[NAV]])</f>
        <v>0</v>
      </c>
      <c r="AR697" s="48">
        <f>IF(INVESTORS_LIST[[#This Row],[SIP_TOTAL CURRENT UNITS]]=0,0,INVESTORS_LIST[[#This Row],[SIP_TOTAL CURRENT UNITS]]*INVESTORS_LIST[[#This Row],[NAV]])</f>
        <v>0</v>
      </c>
      <c r="AS697" s="50">
        <f>INVESTORS_LIST[[#This Row],[TOTAL CURRENT UNITS]]</f>
        <v>0</v>
      </c>
      <c r="AT697" s="48">
        <f>IF(INVESTORS_LIST[[#This Row],[TOTAL SELLABLE UNITS]]=0,0,INVESTORS_LIST[[#This Row],[TOTAL SELLABLE UNITS]]*INVESTORS_LIST[[#This Row],[NAV]])</f>
        <v>0</v>
      </c>
      <c r="AU697" s="48">
        <f>INVESTORS_LIST[[#This Row],[LS_TOTAL REALIZED GAIN]]+INVESTORS_LIST[[#This Row],[SIP_TOTAL REALIZED GAIN]]</f>
        <v>0</v>
      </c>
      <c r="AV697" s="48">
        <f>INVESTORS_LIST[[#This Row],[TOTAL MARKET VALUE]]-INVESTORS_LIST[[#This Row],[TOTAL COST VALUE OF CURRENT INVESTMENT]]</f>
        <v>0</v>
      </c>
      <c r="AW697" s="48">
        <f>IFERROR(INVESTORS_LIST[[#This Row],[TOTAL CURRENT UNITS]]/SUM(INVESTORS_LIST[TOTAL CURRENT UNITS]),0)</f>
        <v>0</v>
      </c>
    </row>
    <row r="698" spans="1:49" hidden="1">
      <c r="A698" s="262" t="s">
        <v>1043</v>
      </c>
      <c r="B698" s="199" t="s">
        <v>1500</v>
      </c>
      <c r="C698" s="99" t="s">
        <v>44</v>
      </c>
      <c r="D698" s="101" t="s">
        <v>45</v>
      </c>
      <c r="E698" s="50">
        <f>SUMIFS(LS[Unit],LS[Investor ID],INVESTORS_LIST[[#This Row],[INVESTOR CODE]],LS[B/S],"B")</f>
        <v>0</v>
      </c>
      <c r="F698" s="50">
        <f>-SUMIFS(LS[Unit],LS[Investor ID],INVESTORS_LIST[[#This Row],[INVESTOR CODE]],LS[B/S],"S")</f>
        <v>0</v>
      </c>
      <c r="G698" s="50">
        <f>IF(INVESTORS_LIST[[#This Row],[LS_TOTAL UNITS BUY]]=0,0,INVESTORS_LIST[[#This Row],[LS_TOTAL UNITS BUY]]-INVESTORS_LIST[[#This Row],[LS_TOTAL UNITS SOLD]])</f>
        <v>0</v>
      </c>
      <c r="H698" s="102">
        <f>IF(INVESTORS_LIST[[#This Row],[LS_TOTAL UNITS BUY]]=0,0,SUMIFS(LS[Amount],LS[Investor ID],INVESTORS_LIST[[#This Row],[INVESTOR CODE]],LS[B/S],"B"))</f>
        <v>0</v>
      </c>
      <c r="I698" s="48">
        <f>IF(INVESTORS_LIST[[#This Row],[LS_TOTAL UNITS SOLD]]=0,0,SUMIFS(LS[Cost of Units Sold],LS[Investor ID],INVESTORS_LIST[[#This Row],[INVESTOR CODE]],LS[B/S],"S"))</f>
        <v>0</v>
      </c>
      <c r="J698" s="48">
        <f>IF(INVESTORS_LIST[[#This Row],[LS_TOTAL CURRENT UNITS]]=0,0,INVESTORS_LIST[[#This Row],[LS_TOTAL CURRENT UNITS]]*INVESTORS_LIST[[#This Row],[LS_AVERAGE COST]])</f>
        <v>0</v>
      </c>
      <c r="K698" s="48">
        <f>IF(INVESTORS_LIST[[#This Row],[LS_TOTAL UNITS SOLD]]=0,0,SUMIFS(LS[Realized Gain],LS[Investor ID],INVESTORS_LIST[[#This Row],[INVESTOR CODE]],LS[B/S],"S"))</f>
        <v>0</v>
      </c>
      <c r="L698" s="104">
        <f>SUMIFS(SIP[Unit],SIP[Investor ID],INVESTORS_LIST[[#This Row],[INVESTOR CODE]],SIP[B/S],"B")</f>
        <v>0</v>
      </c>
      <c r="M698" s="50">
        <f>-SUMIFS(SIP[Unit],SIP[Investor ID],INVESTORS_LIST[[#This Row],[INVESTOR CODE]],SIP[B/S],"S")</f>
        <v>0</v>
      </c>
      <c r="N698" s="50">
        <f>IF(INVESTORS_LIST[[#This Row],[SIP_TOTAL UNITS BUY]]=0,0,INVESTORS_LIST[[#This Row],[SIP_TOTAL UNITS BUY]]-INVESTORS_LIST[[#This Row],[SIP_TOTAL UNITS SOLD]])</f>
        <v>0</v>
      </c>
      <c r="O698" s="48">
        <f>IF(INVESTORS_LIST[[#This Row],[SIP_TOTAL UNITS BUY]]=0,0,SUMIFS(SIP[Amount],SIP[Investor ID],INVESTORS_LIST[[#This Row],[INVESTOR CODE]],SIP[B/S],"B"))</f>
        <v>0</v>
      </c>
      <c r="P698" s="48">
        <f>IF(INVESTORS_LIST[[#This Row],[SIP_TOTAL UNITS SOLD]]=0,0,SUMIFS(SIP[Cost of Units Sold],SIP[Investor ID],INVESTORS_LIST[[#This Row],[INVESTOR CODE]],SIP[B/S],"S"))</f>
        <v>0</v>
      </c>
      <c r="Q698" s="48">
        <f>IF(INVESTORS_LIST[[#This Row],[SIP_TOTAL CURRENT UNITS]]=0,0,INVESTORS_LIST[[#This Row],[SIP_TOTAL CURRENT UNITS]]*INVESTORS_LIST[[#This Row],[SIP_AVERAGE COST]])</f>
        <v>0</v>
      </c>
      <c r="R698" s="48">
        <f>IF(INVESTORS_LIST[[#This Row],[SIP_TOTAL UNITS SOLD]]=0,0,SUMIFS(SIP[Realized Gain],SIP[Investor ID],INVESTORS_LIST[[#This Row],[INVESTOR CODE]],SIP[B/S],"S"))</f>
        <v>0</v>
      </c>
      <c r="S698" s="50">
        <f>INVESTORS_LIST[[#This Row],[LS_TOTAL UNITS BUY]]+INVESTORS_LIST[[#This Row],[SIP_TOTAL UNITS BUY]]</f>
        <v>0</v>
      </c>
      <c r="T698" s="50">
        <f>INVESTORS_LIST[[#This Row],[LS_TOTAL UNITS SOLD]]+INVESTORS_LIST[[#This Row],[SIP_TOTAL UNITS SOLD]]</f>
        <v>0</v>
      </c>
      <c r="U698" s="50"/>
      <c r="V698" s="50">
        <f>SUMIFS(LS[BO UNIT TRANSFER],LS[Investor ID],INVESTORS_LIST[[#This Row],[INVESTOR CODE]],LS[B/S],"B")</f>
        <v>0</v>
      </c>
      <c r="W698" s="50">
        <f>SUMIFS(SIP[BO UNIT TRANSFER],SIP[Investor ID],INVESTORS_LIST[[#This Row],[INVESTOR CODE]],SIP[B/S],"B")</f>
        <v>0</v>
      </c>
      <c r="X698" s="50">
        <f>SUMIFS(LS[BO UNIT TRANSFER],LS[Investor ID],INVESTORS_LIST[[#This Row],[INVESTOR CODE]],LS[B/S],"S")</f>
        <v>0</v>
      </c>
      <c r="Y698" s="50">
        <f>SUMIFS(SIP[BO UNIT TRANSFER],SIP[Investor ID],INVESTORS_LIST[[#This Row],[INVESTOR CODE]],SIP[B/S],"S")</f>
        <v>0</v>
      </c>
      <c r="Z698" s="106">
        <f>SUM(INVESTORS_LIST[[#This Row],[BO OPENING BALANCE]:[BO SIP UNITS REPURCHASE]])</f>
        <v>0</v>
      </c>
      <c r="AA698" s="107">
        <f>INVESTORS_LIST[[#This Row],[TOTAL UNITS BUY]]-INVESTORS_LIST[[#This Row],[TOTAL UNITS SOLD]]</f>
        <v>0</v>
      </c>
      <c r="AB698" s="107">
        <f>INVESTORS_LIST[[#This Row],[TOTAL CURRENT UNITS]]-INVESTORS_LIST[[#This Row],[BO UNITS HOLD]]</f>
        <v>0</v>
      </c>
      <c r="AC698" s="201" t="e">
        <f>INDEX([3]!Table_1[BO ID],MATCH(INVESTORS_LIST[[#This Row],[INVESTOR CODE]],[3]!Table_1[INVESTOR CODE],0))</f>
        <v>#REF!</v>
      </c>
      <c r="AD698" s="201" t="e">
        <f>INDEX([3]!Table_1[Brokerage Name2],MATCH(INVESTORS_LIST[[#This Row],[INVESTOR CODE]],[3]!Table_1[INVESTOR CODE],0))</f>
        <v>#REF!</v>
      </c>
      <c r="AE698" s="201" t="e">
        <f>MID(INVESTORS_LIST[[#This Row],[BO ID]],4,5)</f>
        <v>#REF!</v>
      </c>
      <c r="AF698" s="201" t="e">
        <f>MID(INVESTORS_LIST[[#This Row],[BO ID]],2,7)</f>
        <v>#REF!</v>
      </c>
      <c r="AG698" s="201" t="e">
        <f>MID(INVESTORS_LIST[[#This Row],[BO ID]],9,7)</f>
        <v>#REF!</v>
      </c>
      <c r="AH698" s="201" t="e">
        <f>RIGHT(INVESTORS_LIST[[#This Row],[BO ID]],1)</f>
        <v>#REF!</v>
      </c>
      <c r="AI698" s="50">
        <f>INVESTORS_LIST[[#This Row],[LS_TOTAL COST VALUE OF CURRENT UNITS]]+INVESTORS_LIST[[#This Row],[SIP_TOTAL COST VALUE OF CURRENT UNITS]]</f>
        <v>0</v>
      </c>
      <c r="AJ698" s="109">
        <f>IF(INVESTORS_LIST[[#This Row],[TOTAL CURRENT UNITS]]=0,0,INVESTORS_LIST[[#This Row],[LS_TOTAL CURRENT UNITS]]/INVESTORS_LIST[[#This Row],[TOTAL CURRENT UNITS]])</f>
        <v>0</v>
      </c>
      <c r="AK698" s="109">
        <f>IF(INVESTORS_LIST[[#This Row],[TOTAL CURRENT UNITS]]=0,0,INVESTORS_LIST[[#This Row],[SIP_TOTAL CURRENT UNITS]]/INVESTORS_LIST[[#This Row],[TOTAL CURRENT UNITS]])</f>
        <v>0</v>
      </c>
      <c r="AL698" s="99" cm="1">
        <f t="array" ref="AL6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8" s="99" cm="1">
        <f t="array" ref="AM6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8" s="105">
        <f t="shared" si="11"/>
        <v>14.224</v>
      </c>
      <c r="AP698" s="112">
        <f>IF(INVESTORS_LIST[[#This Row],[TOTAL CURRENT UNITS]]=0,0,INVESTORS_LIST[[#This Row],[TOTAL CURRENT UNITS]]*INVESTORS_LIST[[#This Row],[NAV]])</f>
        <v>0</v>
      </c>
      <c r="AQ698" s="102">
        <f>IF(INVESTORS_LIST[[#This Row],[LS_TOTAL CURRENT UNITS]]=0,0,INVESTORS_LIST[[#This Row],[LS_TOTAL CURRENT UNITS]]*INVESTORS_LIST[[#This Row],[NAV]])</f>
        <v>0</v>
      </c>
      <c r="AR698" s="48">
        <f>IF(INVESTORS_LIST[[#This Row],[SIP_TOTAL CURRENT UNITS]]=0,0,INVESTORS_LIST[[#This Row],[SIP_TOTAL CURRENT UNITS]]*INVESTORS_LIST[[#This Row],[NAV]])</f>
        <v>0</v>
      </c>
      <c r="AS698" s="50">
        <f>INVESTORS_LIST[[#This Row],[TOTAL CURRENT UNITS]]</f>
        <v>0</v>
      </c>
      <c r="AT698" s="48">
        <f>IF(INVESTORS_LIST[[#This Row],[TOTAL SELLABLE UNITS]]=0,0,INVESTORS_LIST[[#This Row],[TOTAL SELLABLE UNITS]]*INVESTORS_LIST[[#This Row],[NAV]])</f>
        <v>0</v>
      </c>
      <c r="AU698" s="48">
        <f>INVESTORS_LIST[[#This Row],[LS_TOTAL REALIZED GAIN]]+INVESTORS_LIST[[#This Row],[SIP_TOTAL REALIZED GAIN]]</f>
        <v>0</v>
      </c>
      <c r="AV698" s="48">
        <f>INVESTORS_LIST[[#This Row],[TOTAL MARKET VALUE]]-INVESTORS_LIST[[#This Row],[TOTAL COST VALUE OF CURRENT INVESTMENT]]</f>
        <v>0</v>
      </c>
      <c r="AW698" s="48">
        <f>IFERROR(INVESTORS_LIST[[#This Row],[TOTAL CURRENT UNITS]]/SUM(INVESTORS_LIST[TOTAL CURRENT UNITS]),0)</f>
        <v>0</v>
      </c>
    </row>
    <row r="699" spans="1:49" hidden="1">
      <c r="A699" s="262" t="s">
        <v>1501</v>
      </c>
      <c r="B699" s="97" t="s">
        <v>1502</v>
      </c>
      <c r="C699" t="s">
        <v>44</v>
      </c>
      <c r="D699" s="75" t="s">
        <v>45</v>
      </c>
      <c r="E699" s="50">
        <f>SUMIFS(LS[Unit],LS[Investor ID],INVESTORS_LIST[[#This Row],[INVESTOR CODE]],LS[B/S],"B")</f>
        <v>0</v>
      </c>
      <c r="F699" s="50">
        <f>-SUMIFS(LS[Unit],LS[Investor ID],INVESTORS_LIST[[#This Row],[INVESTOR CODE]],LS[B/S],"S")</f>
        <v>0</v>
      </c>
      <c r="G699" s="50">
        <f>IF(INVESTORS_LIST[[#This Row],[LS_TOTAL UNITS BUY]]=0,0,INVESTORS_LIST[[#This Row],[LS_TOTAL UNITS BUY]]-INVESTORS_LIST[[#This Row],[LS_TOTAL UNITS SOLD]])</f>
        <v>0</v>
      </c>
      <c r="H699" s="102">
        <f>IF(INVESTORS_LIST[[#This Row],[LS_TOTAL UNITS BUY]]=0,0,SUMIFS(LS[Amount],LS[Investor ID],INVESTORS_LIST[[#This Row],[INVESTOR CODE]],LS[B/S],"B"))</f>
        <v>0</v>
      </c>
      <c r="I699" s="48">
        <f>IF(INVESTORS_LIST[[#This Row],[LS_TOTAL UNITS SOLD]]=0,0,SUMIFS(LS[Cost of Units Sold],LS[Investor ID],INVESTORS_LIST[[#This Row],[INVESTOR CODE]],LS[B/S],"S"))</f>
        <v>0</v>
      </c>
      <c r="J699" s="48">
        <f>IF(INVESTORS_LIST[[#This Row],[LS_TOTAL CURRENT UNITS]]=0,0,INVESTORS_LIST[[#This Row],[LS_TOTAL CURRENT UNITS]]*INVESTORS_LIST[[#This Row],[LS_AVERAGE COST]])</f>
        <v>0</v>
      </c>
      <c r="K699" s="48">
        <f>IF(INVESTORS_LIST[[#This Row],[LS_TOTAL UNITS SOLD]]=0,0,SUMIFS(LS[Realized Gain],LS[Investor ID],INVESTORS_LIST[[#This Row],[INVESTOR CODE]],LS[B/S],"S"))</f>
        <v>0</v>
      </c>
      <c r="L699" s="104">
        <f>SUMIFS(SIP[Unit],SIP[Investor ID],INVESTORS_LIST[[#This Row],[INVESTOR CODE]],SIP[B/S],"B")</f>
        <v>0</v>
      </c>
      <c r="M699" s="50">
        <f>-SUMIFS(SIP[Unit],SIP[Investor ID],INVESTORS_LIST[[#This Row],[INVESTOR CODE]],SIP[B/S],"S")</f>
        <v>0</v>
      </c>
      <c r="N699" s="50">
        <f>IF(INVESTORS_LIST[[#This Row],[SIP_TOTAL UNITS BUY]]=0,0,INVESTORS_LIST[[#This Row],[SIP_TOTAL UNITS BUY]]-INVESTORS_LIST[[#This Row],[SIP_TOTAL UNITS SOLD]])</f>
        <v>0</v>
      </c>
      <c r="O699" s="48">
        <f>IF(INVESTORS_LIST[[#This Row],[SIP_TOTAL UNITS BUY]]=0,0,SUMIFS(SIP[Amount],SIP[Investor ID],INVESTORS_LIST[[#This Row],[INVESTOR CODE]],SIP[B/S],"B"))</f>
        <v>0</v>
      </c>
      <c r="P699" s="48">
        <f>IF(INVESTORS_LIST[[#This Row],[SIP_TOTAL UNITS SOLD]]=0,0,SUMIFS(SIP[Cost of Units Sold],SIP[Investor ID],INVESTORS_LIST[[#This Row],[INVESTOR CODE]],SIP[B/S],"S"))</f>
        <v>0</v>
      </c>
      <c r="Q699" s="48">
        <f>IF(INVESTORS_LIST[[#This Row],[SIP_TOTAL CURRENT UNITS]]=0,0,INVESTORS_LIST[[#This Row],[SIP_TOTAL CURRENT UNITS]]*INVESTORS_LIST[[#This Row],[SIP_AVERAGE COST]])</f>
        <v>0</v>
      </c>
      <c r="R699" s="48">
        <f>IF(INVESTORS_LIST[[#This Row],[SIP_TOTAL UNITS SOLD]]=0,0,SUMIFS(SIP[Realized Gain],SIP[Investor ID],INVESTORS_LIST[[#This Row],[INVESTOR CODE]],SIP[B/S],"S"))</f>
        <v>0</v>
      </c>
      <c r="S699" s="50">
        <f>INVESTORS_LIST[[#This Row],[LS_TOTAL UNITS BUY]]+INVESTORS_LIST[[#This Row],[SIP_TOTAL UNITS BUY]]</f>
        <v>0</v>
      </c>
      <c r="T699" s="50">
        <f>INVESTORS_LIST[[#This Row],[LS_TOTAL UNITS SOLD]]+INVESTORS_LIST[[#This Row],[SIP_TOTAL UNITS SOLD]]</f>
        <v>0</v>
      </c>
      <c r="U699" s="50"/>
      <c r="V699" s="50">
        <f>SUMIFS(LS[BO UNIT TRANSFER],LS[Investor ID],INVESTORS_LIST[[#This Row],[INVESTOR CODE]],LS[B/S],"B")</f>
        <v>0</v>
      </c>
      <c r="W699" s="50">
        <f>SUMIFS(SIP[BO UNIT TRANSFER],SIP[Investor ID],INVESTORS_LIST[[#This Row],[INVESTOR CODE]],SIP[B/S],"B")</f>
        <v>0</v>
      </c>
      <c r="X699" s="50">
        <f>SUMIFS(LS[BO UNIT TRANSFER],LS[Investor ID],INVESTORS_LIST[[#This Row],[INVESTOR CODE]],LS[B/S],"S")</f>
        <v>0</v>
      </c>
      <c r="Y699" s="50">
        <f>SUMIFS(SIP[BO UNIT TRANSFER],SIP[Investor ID],INVESTORS_LIST[[#This Row],[INVESTOR CODE]],SIP[B/S],"S")</f>
        <v>0</v>
      </c>
      <c r="Z699" s="106">
        <f>SUM(INVESTORS_LIST[[#This Row],[BO OPENING BALANCE]:[BO SIP UNITS REPURCHASE]])</f>
        <v>0</v>
      </c>
      <c r="AA699" s="107">
        <f>INVESTORS_LIST[[#This Row],[TOTAL UNITS BUY]]-INVESTORS_LIST[[#This Row],[TOTAL UNITS SOLD]]</f>
        <v>0</v>
      </c>
      <c r="AB699" s="107">
        <f>INVESTORS_LIST[[#This Row],[TOTAL CURRENT UNITS]]-INVESTORS_LIST[[#This Row],[BO UNITS HOLD]]</f>
        <v>0</v>
      </c>
      <c r="AC699" s="201" t="e">
        <f>INDEX([3]!Table_1[BO ID],MATCH(INVESTORS_LIST[[#This Row],[INVESTOR CODE]],[3]!Table_1[INVESTOR CODE],0))</f>
        <v>#REF!</v>
      </c>
      <c r="AD699" s="201" t="e">
        <f>INDEX([3]!Table_1[Brokerage Name2],MATCH(INVESTORS_LIST[[#This Row],[INVESTOR CODE]],[3]!Table_1[INVESTOR CODE],0))</f>
        <v>#REF!</v>
      </c>
      <c r="AE699" s="201" t="e">
        <f>MID(INVESTORS_LIST[[#This Row],[BO ID]],4,5)</f>
        <v>#REF!</v>
      </c>
      <c r="AF699" s="201" t="e">
        <f>MID(INVESTORS_LIST[[#This Row],[BO ID]],2,7)</f>
        <v>#REF!</v>
      </c>
      <c r="AG699" s="201" t="e">
        <f>MID(INVESTORS_LIST[[#This Row],[BO ID]],9,7)</f>
        <v>#REF!</v>
      </c>
      <c r="AH699" s="201" t="e">
        <f>RIGHT(INVESTORS_LIST[[#This Row],[BO ID]],1)</f>
        <v>#REF!</v>
      </c>
      <c r="AI699" s="50">
        <f>INVESTORS_LIST[[#This Row],[LS_TOTAL COST VALUE OF CURRENT UNITS]]+INVESTORS_LIST[[#This Row],[SIP_TOTAL COST VALUE OF CURRENT UNITS]]</f>
        <v>0</v>
      </c>
      <c r="AJ699" s="109">
        <f>IF(INVESTORS_LIST[[#This Row],[TOTAL CURRENT UNITS]]=0,0,INVESTORS_LIST[[#This Row],[LS_TOTAL CURRENT UNITS]]/INVESTORS_LIST[[#This Row],[TOTAL CURRENT UNITS]])</f>
        <v>0</v>
      </c>
      <c r="AK699" s="109">
        <f>IF(INVESTORS_LIST[[#This Row],[TOTAL CURRENT UNITS]]=0,0,INVESTORS_LIST[[#This Row],[SIP_TOTAL CURRENT UNITS]]/INVESTORS_LIST[[#This Row],[TOTAL CURRENT UNITS]])</f>
        <v>0</v>
      </c>
      <c r="AL699" s="99" cm="1">
        <f t="array" ref="AL6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699" s="99" cm="1">
        <f t="array" ref="AM6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69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699" s="105">
        <f t="shared" si="11"/>
        <v>14.224</v>
      </c>
      <c r="AP699" s="112">
        <f>IF(INVESTORS_LIST[[#This Row],[TOTAL CURRENT UNITS]]=0,0,INVESTORS_LIST[[#This Row],[TOTAL CURRENT UNITS]]*INVESTORS_LIST[[#This Row],[NAV]])</f>
        <v>0</v>
      </c>
      <c r="AQ699" s="102">
        <f>IF(INVESTORS_LIST[[#This Row],[LS_TOTAL CURRENT UNITS]]=0,0,INVESTORS_LIST[[#This Row],[LS_TOTAL CURRENT UNITS]]*INVESTORS_LIST[[#This Row],[NAV]])</f>
        <v>0</v>
      </c>
      <c r="AR699" s="48">
        <f>IF(INVESTORS_LIST[[#This Row],[SIP_TOTAL CURRENT UNITS]]=0,0,INVESTORS_LIST[[#This Row],[SIP_TOTAL CURRENT UNITS]]*INVESTORS_LIST[[#This Row],[NAV]])</f>
        <v>0</v>
      </c>
      <c r="AS699" s="50">
        <f>INVESTORS_LIST[[#This Row],[TOTAL CURRENT UNITS]]</f>
        <v>0</v>
      </c>
      <c r="AT699" s="48">
        <f>IF(INVESTORS_LIST[[#This Row],[TOTAL SELLABLE UNITS]]=0,0,INVESTORS_LIST[[#This Row],[TOTAL SELLABLE UNITS]]*INVESTORS_LIST[[#This Row],[NAV]])</f>
        <v>0</v>
      </c>
      <c r="AU699" s="48">
        <f>INVESTORS_LIST[[#This Row],[LS_TOTAL REALIZED GAIN]]+INVESTORS_LIST[[#This Row],[SIP_TOTAL REALIZED GAIN]]</f>
        <v>0</v>
      </c>
      <c r="AV699" s="48">
        <f>INVESTORS_LIST[[#This Row],[TOTAL MARKET VALUE]]-INVESTORS_LIST[[#This Row],[TOTAL COST VALUE OF CURRENT INVESTMENT]]</f>
        <v>0</v>
      </c>
      <c r="AW699" s="48">
        <f>IFERROR(INVESTORS_LIST[[#This Row],[TOTAL CURRENT UNITS]]/SUM(INVESTORS_LIST[TOTAL CURRENT UNITS]),0)</f>
        <v>0</v>
      </c>
    </row>
    <row r="700" spans="1:49">
      <c r="A700" s="262" t="s">
        <v>1498</v>
      </c>
      <c r="B700" s="97" t="s">
        <v>1499</v>
      </c>
      <c r="C700" t="s">
        <v>67</v>
      </c>
      <c r="D700" s="75" t="s">
        <v>45</v>
      </c>
      <c r="E700" s="50">
        <f>SUMIFS(LS[Unit],LS[Investor ID],INVESTORS_LIST[[#This Row],[INVESTOR CODE]],LS[B/S],"B")</f>
        <v>0</v>
      </c>
      <c r="F700" s="50">
        <f>-SUMIFS(LS[Unit],LS[Investor ID],INVESTORS_LIST[[#This Row],[INVESTOR CODE]],LS[B/S],"S")</f>
        <v>0</v>
      </c>
      <c r="G700" s="50">
        <f>IF(INVESTORS_LIST[[#This Row],[LS_TOTAL UNITS BUY]]=0,0,INVESTORS_LIST[[#This Row],[LS_TOTAL UNITS BUY]]-INVESTORS_LIST[[#This Row],[LS_TOTAL UNITS SOLD]])</f>
        <v>0</v>
      </c>
      <c r="H700" s="102">
        <f>IF(INVESTORS_LIST[[#This Row],[LS_TOTAL UNITS BUY]]=0,0,SUMIFS(LS[Amount],LS[Investor ID],INVESTORS_LIST[[#This Row],[INVESTOR CODE]],LS[B/S],"B"))</f>
        <v>0</v>
      </c>
      <c r="I700" s="48">
        <f>IF(INVESTORS_LIST[[#This Row],[LS_TOTAL UNITS SOLD]]=0,0,SUMIFS(LS[Cost of Units Sold],LS[Investor ID],INVESTORS_LIST[[#This Row],[INVESTOR CODE]],LS[B/S],"S"))</f>
        <v>0</v>
      </c>
      <c r="J700" s="48">
        <f>IF(INVESTORS_LIST[[#This Row],[LS_TOTAL CURRENT UNITS]]=0,0,INVESTORS_LIST[[#This Row],[LS_TOTAL CURRENT UNITS]]*INVESTORS_LIST[[#This Row],[LS_AVERAGE COST]])</f>
        <v>0</v>
      </c>
      <c r="K700" s="48">
        <f>IF(INVESTORS_LIST[[#This Row],[LS_TOTAL UNITS SOLD]]=0,0,SUMIFS(LS[Realized Gain],LS[Investor ID],INVESTORS_LIST[[#This Row],[INVESTOR CODE]],LS[B/S],"S"))</f>
        <v>0</v>
      </c>
      <c r="L700" s="104">
        <f>SUMIFS(SIP[Unit],SIP[Investor ID],INVESTORS_LIST[[#This Row],[INVESTOR CODE]],SIP[B/S],"B")</f>
        <v>213</v>
      </c>
      <c r="M700" s="50">
        <f>-SUMIFS(SIP[Unit],SIP[Investor ID],INVESTORS_LIST[[#This Row],[INVESTOR CODE]],SIP[B/S],"S")</f>
        <v>0</v>
      </c>
      <c r="N700" s="50">
        <f>IF(INVESTORS_LIST[[#This Row],[SIP_TOTAL UNITS BUY]]=0,0,INVESTORS_LIST[[#This Row],[SIP_TOTAL UNITS BUY]]-INVESTORS_LIST[[#This Row],[SIP_TOTAL UNITS SOLD]])</f>
        <v>213</v>
      </c>
      <c r="O700" s="48">
        <f>IF(INVESTORS_LIST[[#This Row],[SIP_TOTAL UNITS BUY]]=0,0,SUMIFS(SIP[Amount],SIP[Investor ID],INVESTORS_LIST[[#This Row],[INVESTOR CODE]],SIP[B/S],"B"))</f>
        <v>3000</v>
      </c>
      <c r="P700" s="48">
        <f>IF(INVESTORS_LIST[[#This Row],[SIP_TOTAL UNITS SOLD]]=0,0,SUMIFS(SIP[Cost of Units Sold],SIP[Investor ID],INVESTORS_LIST[[#This Row],[INVESTOR CODE]],SIP[B/S],"S"))</f>
        <v>0</v>
      </c>
      <c r="Q700" s="48">
        <f>IF(INVESTORS_LIST[[#This Row],[SIP_TOTAL CURRENT UNITS]]=0,0,INVESTORS_LIST[[#This Row],[SIP_TOTAL CURRENT UNITS]]*INVESTORS_LIST[[#This Row],[SIP_AVERAGE COST]])</f>
        <v>3000</v>
      </c>
      <c r="R700" s="48">
        <f>IF(INVESTORS_LIST[[#This Row],[SIP_TOTAL UNITS SOLD]]=0,0,SUMIFS(SIP[Realized Gain],SIP[Investor ID],INVESTORS_LIST[[#This Row],[INVESTOR CODE]],SIP[B/S],"S"))</f>
        <v>0</v>
      </c>
      <c r="S700" s="50">
        <f>INVESTORS_LIST[[#This Row],[LS_TOTAL UNITS BUY]]+INVESTORS_LIST[[#This Row],[SIP_TOTAL UNITS BUY]]</f>
        <v>213</v>
      </c>
      <c r="T700" s="50">
        <f>INVESTORS_LIST[[#This Row],[LS_TOTAL UNITS SOLD]]+INVESTORS_LIST[[#This Row],[SIP_TOTAL UNITS SOLD]]</f>
        <v>0</v>
      </c>
      <c r="U700" s="50"/>
      <c r="V700" s="50">
        <f>SUMIFS(LS[BO UNIT TRANSFER],LS[Investor ID],INVESTORS_LIST[[#This Row],[INVESTOR CODE]],LS[B/S],"B")</f>
        <v>0</v>
      </c>
      <c r="W700" s="50">
        <f>SUMIFS(SIP[BO UNIT TRANSFER],SIP[Investor ID],INVESTORS_LIST[[#This Row],[INVESTOR CODE]],SIP[B/S],"B")</f>
        <v>0</v>
      </c>
      <c r="X700" s="50">
        <f>SUMIFS(LS[BO UNIT TRANSFER],LS[Investor ID],INVESTORS_LIST[[#This Row],[INVESTOR CODE]],LS[B/S],"S")</f>
        <v>0</v>
      </c>
      <c r="Y700" s="50">
        <f>SUMIFS(SIP[BO UNIT TRANSFER],SIP[Investor ID],INVESTORS_LIST[[#This Row],[INVESTOR CODE]],SIP[B/S],"S")</f>
        <v>0</v>
      </c>
      <c r="Z700" s="106">
        <f>SUM(INVESTORS_LIST[[#This Row],[BO OPENING BALANCE]:[BO SIP UNITS REPURCHASE]])</f>
        <v>0</v>
      </c>
      <c r="AA700" s="107">
        <f>INVESTORS_LIST[[#This Row],[TOTAL UNITS BUY]]-INVESTORS_LIST[[#This Row],[TOTAL UNITS SOLD]]</f>
        <v>213</v>
      </c>
      <c r="AB700" s="107">
        <f>INVESTORS_LIST[[#This Row],[TOTAL CURRENT UNITS]]-INVESTORS_LIST[[#This Row],[BO UNITS HOLD]]</f>
        <v>213</v>
      </c>
      <c r="AC700" s="201" t="e">
        <f>INDEX([3]!Table_1[BO ID],MATCH(INVESTORS_LIST[[#This Row],[INVESTOR CODE]],[3]!Table_1[INVESTOR CODE],0))</f>
        <v>#REF!</v>
      </c>
      <c r="AD700" s="201" t="e">
        <f>INDEX([3]!Table_1[Brokerage Name2],MATCH(INVESTORS_LIST[[#This Row],[INVESTOR CODE]],[3]!Table_1[INVESTOR CODE],0))</f>
        <v>#REF!</v>
      </c>
      <c r="AE700" s="201" t="e">
        <f>MID(INVESTORS_LIST[[#This Row],[BO ID]],4,5)</f>
        <v>#REF!</v>
      </c>
      <c r="AF700" s="201" t="e">
        <f>MID(INVESTORS_LIST[[#This Row],[BO ID]],2,7)</f>
        <v>#REF!</v>
      </c>
      <c r="AG700" s="201" t="e">
        <f>MID(INVESTORS_LIST[[#This Row],[BO ID]],9,7)</f>
        <v>#REF!</v>
      </c>
      <c r="AH700" s="201" t="e">
        <f>RIGHT(INVESTORS_LIST[[#This Row],[BO ID]],1)</f>
        <v>#REF!</v>
      </c>
      <c r="AI700" s="50">
        <f>INVESTORS_LIST[[#This Row],[LS_TOTAL COST VALUE OF CURRENT UNITS]]+INVESTORS_LIST[[#This Row],[SIP_TOTAL COST VALUE OF CURRENT UNITS]]</f>
        <v>3000</v>
      </c>
      <c r="AJ700" s="109">
        <f>IF(INVESTORS_LIST[[#This Row],[TOTAL CURRENT UNITS]]=0,0,INVESTORS_LIST[[#This Row],[LS_TOTAL CURRENT UNITS]]/INVESTORS_LIST[[#This Row],[TOTAL CURRENT UNITS]])</f>
        <v>0</v>
      </c>
      <c r="AK700" s="109">
        <f>IF(INVESTORS_LIST[[#This Row],[TOTAL CURRENT UNITS]]=0,0,INVESTORS_LIST[[#This Row],[SIP_TOTAL CURRENT UNITS]]/INVESTORS_LIST[[#This Row],[TOTAL CURRENT UNITS]])</f>
        <v>1</v>
      </c>
      <c r="AL700" s="99" cm="1">
        <f t="array" ref="AL7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0" s="99" cm="1">
        <f t="array" ref="AM700">IF(INVESTORS_LIST[[#This Row],[SIP_TOTAL UNITS BUY]]&gt;0,INDEX(SIP[NAV at Cost (Average)],MATCH(CONCATENATE(COUNTIFS(SIP[Investor ID],INVESTORS_LIST[[#This Row],[INVESTOR CODE]]),INVESTORS_LIST[[#This Row],[INVESTOR CODE]]),SIP[Unique Code],0),),0)</f>
        <v>14.084507042253522</v>
      </c>
      <c r="AN700" s="105">
        <f>IF(INVESTORS_LIST[[#This Row],[TOTAL CURRENT UNITS]]=0,0,(INVESTORS_LIST[[#This Row],[LS_WEIGHT]]*INVESTORS_LIST[[#This Row],[LS_AVERAGE COST]])+(INVESTORS_LIST[[#This Row],[SIP_WEIGHT]]*INVESTORS_LIST[[#This Row],[SIP_AVERAGE COST]]))</f>
        <v>14.084507042253522</v>
      </c>
      <c r="AO700" s="105">
        <f t="shared" si="11"/>
        <v>14.224</v>
      </c>
      <c r="AP700" s="112">
        <f>IF(INVESTORS_LIST[[#This Row],[TOTAL CURRENT UNITS]]=0,0,INVESTORS_LIST[[#This Row],[TOTAL CURRENT UNITS]]*INVESTORS_LIST[[#This Row],[NAV]])</f>
        <v>3029.712</v>
      </c>
      <c r="AQ700" s="102">
        <f>IF(INVESTORS_LIST[[#This Row],[LS_TOTAL CURRENT UNITS]]=0,0,INVESTORS_LIST[[#This Row],[LS_TOTAL CURRENT UNITS]]*INVESTORS_LIST[[#This Row],[NAV]])</f>
        <v>0</v>
      </c>
      <c r="AR700" s="48">
        <f>IF(INVESTORS_LIST[[#This Row],[SIP_TOTAL CURRENT UNITS]]=0,0,INVESTORS_LIST[[#This Row],[SIP_TOTAL CURRENT UNITS]]*INVESTORS_LIST[[#This Row],[NAV]])</f>
        <v>3029.712</v>
      </c>
      <c r="AS700" s="50">
        <f>INVESTORS_LIST[[#This Row],[TOTAL CURRENT UNITS]]</f>
        <v>213</v>
      </c>
      <c r="AT700" s="48">
        <f>IF(INVESTORS_LIST[[#This Row],[TOTAL SELLABLE UNITS]]=0,0,INVESTORS_LIST[[#This Row],[TOTAL SELLABLE UNITS]]*INVESTORS_LIST[[#This Row],[NAV]])</f>
        <v>3029.712</v>
      </c>
      <c r="AU700" s="48">
        <f>INVESTORS_LIST[[#This Row],[LS_TOTAL REALIZED GAIN]]+INVESTORS_LIST[[#This Row],[SIP_TOTAL REALIZED GAIN]]</f>
        <v>0</v>
      </c>
      <c r="AV700" s="48">
        <f>INVESTORS_LIST[[#This Row],[TOTAL MARKET VALUE]]-INVESTORS_LIST[[#This Row],[TOTAL COST VALUE OF CURRENT INVESTMENT]]</f>
        <v>29.711999999999989</v>
      </c>
      <c r="AW700" s="48">
        <f>IFERROR(INVESTORS_LIST[[#This Row],[TOTAL CURRENT UNITS]]/SUM(INVESTORS_LIST[TOTAL CURRENT UNITS]),0)</f>
        <v>5.1708322818700792E-6</v>
      </c>
    </row>
    <row r="701" spans="1:49">
      <c r="A701" s="262" t="s">
        <v>1503</v>
      </c>
      <c r="B701" s="199" t="s">
        <v>1504</v>
      </c>
      <c r="C701" s="99" t="s">
        <v>44</v>
      </c>
      <c r="D701" s="101" t="s">
        <v>45</v>
      </c>
      <c r="E701" s="50">
        <f>SUMIFS(LS[Unit],LS[Investor ID],INVESTORS_LIST[[#This Row],[INVESTOR CODE]],LS[B/S],"B")</f>
        <v>7228</v>
      </c>
      <c r="F701" s="50">
        <f>-SUMIFS(LS[Unit],LS[Investor ID],INVESTORS_LIST[[#This Row],[INVESTOR CODE]],LS[B/S],"S")</f>
        <v>0</v>
      </c>
      <c r="G701" s="50">
        <f>IF(INVESTORS_LIST[[#This Row],[LS_TOTAL UNITS BUY]]=0,0,INVESTORS_LIST[[#This Row],[LS_TOTAL UNITS BUY]]-INVESTORS_LIST[[#This Row],[LS_TOTAL UNITS SOLD]])</f>
        <v>7228</v>
      </c>
      <c r="H701" s="102">
        <f>IF(INVESTORS_LIST[[#This Row],[LS_TOTAL UNITS BUY]]=0,0,SUMIFS(LS[Amount],LS[Investor ID],INVESTORS_LIST[[#This Row],[INVESTOR CODE]],LS[B/S],"B"))</f>
        <v>100000</v>
      </c>
      <c r="I701" s="48">
        <f>IF(INVESTORS_LIST[[#This Row],[LS_TOTAL UNITS SOLD]]=0,0,SUMIFS(LS[Cost of Units Sold],LS[Investor ID],INVESTORS_LIST[[#This Row],[INVESTOR CODE]],LS[B/S],"S"))</f>
        <v>0</v>
      </c>
      <c r="J701" s="48">
        <f>IF(INVESTORS_LIST[[#This Row],[LS_TOTAL CURRENT UNITS]]=0,0,INVESTORS_LIST[[#This Row],[LS_TOTAL CURRENT UNITS]]*INVESTORS_LIST[[#This Row],[LS_AVERAGE COST]])</f>
        <v>100000</v>
      </c>
      <c r="K701" s="48">
        <f>IF(INVESTORS_LIST[[#This Row],[LS_TOTAL UNITS SOLD]]=0,0,SUMIFS(LS[Realized Gain],LS[Investor ID],INVESTORS_LIST[[#This Row],[INVESTOR CODE]],LS[B/S],"S"))</f>
        <v>0</v>
      </c>
      <c r="L701" s="104">
        <f>SUMIFS(SIP[Unit],SIP[Investor ID],INVESTORS_LIST[[#This Row],[INVESTOR CODE]],SIP[B/S],"B")</f>
        <v>0</v>
      </c>
      <c r="M701" s="50">
        <f>-SUMIFS(SIP[Unit],SIP[Investor ID],INVESTORS_LIST[[#This Row],[INVESTOR CODE]],SIP[B/S],"S")</f>
        <v>0</v>
      </c>
      <c r="N701" s="50">
        <f>IF(INVESTORS_LIST[[#This Row],[SIP_TOTAL UNITS BUY]]=0,0,INVESTORS_LIST[[#This Row],[SIP_TOTAL UNITS BUY]]-INVESTORS_LIST[[#This Row],[SIP_TOTAL UNITS SOLD]])</f>
        <v>0</v>
      </c>
      <c r="O701" s="48">
        <f>IF(INVESTORS_LIST[[#This Row],[SIP_TOTAL UNITS BUY]]=0,0,SUMIFS(SIP[Amount],SIP[Investor ID],INVESTORS_LIST[[#This Row],[INVESTOR CODE]],SIP[B/S],"B"))</f>
        <v>0</v>
      </c>
      <c r="P701" s="48">
        <f>IF(INVESTORS_LIST[[#This Row],[SIP_TOTAL UNITS SOLD]]=0,0,SUMIFS(SIP[Cost of Units Sold],SIP[Investor ID],INVESTORS_LIST[[#This Row],[INVESTOR CODE]],SIP[B/S],"S"))</f>
        <v>0</v>
      </c>
      <c r="Q701" s="48">
        <f>IF(INVESTORS_LIST[[#This Row],[SIP_TOTAL CURRENT UNITS]]=0,0,INVESTORS_LIST[[#This Row],[SIP_TOTAL CURRENT UNITS]]*INVESTORS_LIST[[#This Row],[SIP_AVERAGE COST]])</f>
        <v>0</v>
      </c>
      <c r="R701" s="48">
        <f>IF(INVESTORS_LIST[[#This Row],[SIP_TOTAL UNITS SOLD]]=0,0,SUMIFS(SIP[Realized Gain],SIP[Investor ID],INVESTORS_LIST[[#This Row],[INVESTOR CODE]],SIP[B/S],"S"))</f>
        <v>0</v>
      </c>
      <c r="S701" s="50">
        <f>INVESTORS_LIST[[#This Row],[LS_TOTAL UNITS BUY]]+INVESTORS_LIST[[#This Row],[SIP_TOTAL UNITS BUY]]</f>
        <v>7228</v>
      </c>
      <c r="T701" s="50">
        <f>INVESTORS_LIST[[#This Row],[LS_TOTAL UNITS SOLD]]+INVESTORS_LIST[[#This Row],[SIP_TOTAL UNITS SOLD]]</f>
        <v>0</v>
      </c>
      <c r="U701" s="50"/>
      <c r="V701" s="50">
        <f>SUMIFS(LS[BO UNIT TRANSFER],LS[Investor ID],INVESTORS_LIST[[#This Row],[INVESTOR CODE]],LS[B/S],"B")</f>
        <v>0</v>
      </c>
      <c r="W701" s="50">
        <f>SUMIFS(SIP[BO UNIT TRANSFER],SIP[Investor ID],INVESTORS_LIST[[#This Row],[INVESTOR CODE]],SIP[B/S],"B")</f>
        <v>0</v>
      </c>
      <c r="X701" s="50">
        <f>SUMIFS(LS[BO UNIT TRANSFER],LS[Investor ID],INVESTORS_LIST[[#This Row],[INVESTOR CODE]],LS[B/S],"S")</f>
        <v>0</v>
      </c>
      <c r="Y701" s="50">
        <f>SUMIFS(SIP[BO UNIT TRANSFER],SIP[Investor ID],INVESTORS_LIST[[#This Row],[INVESTOR CODE]],SIP[B/S],"S")</f>
        <v>0</v>
      </c>
      <c r="Z701" s="106">
        <f>SUM(INVESTORS_LIST[[#This Row],[BO OPENING BALANCE]:[BO SIP UNITS REPURCHASE]])</f>
        <v>0</v>
      </c>
      <c r="AA701" s="107">
        <f>INVESTORS_LIST[[#This Row],[TOTAL UNITS BUY]]-INVESTORS_LIST[[#This Row],[TOTAL UNITS SOLD]]</f>
        <v>7228</v>
      </c>
      <c r="AB701" s="107">
        <f>INVESTORS_LIST[[#This Row],[TOTAL CURRENT UNITS]]-INVESTORS_LIST[[#This Row],[BO UNITS HOLD]]</f>
        <v>7228</v>
      </c>
      <c r="AC701" s="201" t="e">
        <f>INDEX([3]!Table_1[BO ID],MATCH(INVESTORS_LIST[[#This Row],[INVESTOR CODE]],[3]!Table_1[INVESTOR CODE],0))</f>
        <v>#REF!</v>
      </c>
      <c r="AD701" s="201" t="e">
        <f>INDEX([3]!Table_1[Brokerage Name2],MATCH(INVESTORS_LIST[[#This Row],[INVESTOR CODE]],[3]!Table_1[INVESTOR CODE],0))</f>
        <v>#REF!</v>
      </c>
      <c r="AE701" s="201" t="e">
        <f>MID(INVESTORS_LIST[[#This Row],[BO ID]],4,5)</f>
        <v>#REF!</v>
      </c>
      <c r="AF701" s="201" t="e">
        <f>MID(INVESTORS_LIST[[#This Row],[BO ID]],2,7)</f>
        <v>#REF!</v>
      </c>
      <c r="AG701" s="201" t="e">
        <f>MID(INVESTORS_LIST[[#This Row],[BO ID]],9,7)</f>
        <v>#REF!</v>
      </c>
      <c r="AH701" s="201" t="e">
        <f>RIGHT(INVESTORS_LIST[[#This Row],[BO ID]],1)</f>
        <v>#REF!</v>
      </c>
      <c r="AI701" s="50">
        <f>INVESTORS_LIST[[#This Row],[LS_TOTAL COST VALUE OF CURRENT UNITS]]+INVESTORS_LIST[[#This Row],[SIP_TOTAL COST VALUE OF CURRENT UNITS]]</f>
        <v>100000</v>
      </c>
      <c r="AJ701" s="109">
        <f>IF(INVESTORS_LIST[[#This Row],[TOTAL CURRENT UNITS]]=0,0,INVESTORS_LIST[[#This Row],[LS_TOTAL CURRENT UNITS]]/INVESTORS_LIST[[#This Row],[TOTAL CURRENT UNITS]])</f>
        <v>1</v>
      </c>
      <c r="AK701" s="109">
        <f>IF(INVESTORS_LIST[[#This Row],[TOTAL CURRENT UNITS]]=0,0,INVESTORS_LIST[[#This Row],[SIP_TOTAL CURRENT UNITS]]/INVESTORS_LIST[[#This Row],[TOTAL CURRENT UNITS]])</f>
        <v>0</v>
      </c>
      <c r="AL701" s="99" cm="1">
        <f t="array" ref="AL701">IF(INVESTORS_LIST[[#This Row],[LS_TOTAL UNITS BUY]]&gt;0,INDEX(LS[NAV at Cost (Average)],MATCH(CONCATENATE(COUNTIFS(LS[Investor ID],INVESTORS_LIST[[#This Row],[INVESTOR CODE]]),INVESTORS_LIST[[#This Row],[INVESTOR CODE]]),LS[Unique Code],0),),0)</f>
        <v>13.835085777531821</v>
      </c>
      <c r="AM701" s="99" cm="1">
        <f t="array" ref="AM7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1" s="105">
        <f>IF(INVESTORS_LIST[[#This Row],[TOTAL CURRENT UNITS]]=0,0,(INVESTORS_LIST[[#This Row],[LS_WEIGHT]]*INVESTORS_LIST[[#This Row],[LS_AVERAGE COST]])+(INVESTORS_LIST[[#This Row],[SIP_WEIGHT]]*INVESTORS_LIST[[#This Row],[SIP_AVERAGE COST]]))</f>
        <v>13.835085777531821</v>
      </c>
      <c r="AO701" s="105">
        <f t="shared" si="11"/>
        <v>14.224</v>
      </c>
      <c r="AP701" s="112">
        <f>IF(INVESTORS_LIST[[#This Row],[TOTAL CURRENT UNITS]]=0,0,INVESTORS_LIST[[#This Row],[TOTAL CURRENT UNITS]]*INVESTORS_LIST[[#This Row],[NAV]])</f>
        <v>102811.072</v>
      </c>
      <c r="AQ701" s="102">
        <f>IF(INVESTORS_LIST[[#This Row],[LS_TOTAL CURRENT UNITS]]=0,0,INVESTORS_LIST[[#This Row],[LS_TOTAL CURRENT UNITS]]*INVESTORS_LIST[[#This Row],[NAV]])</f>
        <v>102811.072</v>
      </c>
      <c r="AR701" s="48">
        <f>IF(INVESTORS_LIST[[#This Row],[SIP_TOTAL CURRENT UNITS]]=0,0,INVESTORS_LIST[[#This Row],[SIP_TOTAL CURRENT UNITS]]*INVESTORS_LIST[[#This Row],[NAV]])</f>
        <v>0</v>
      </c>
      <c r="AS701" s="50">
        <f>INVESTORS_LIST[[#This Row],[TOTAL CURRENT UNITS]]</f>
        <v>7228</v>
      </c>
      <c r="AT701" s="48">
        <f>IF(INVESTORS_LIST[[#This Row],[TOTAL SELLABLE UNITS]]=0,0,INVESTORS_LIST[[#This Row],[TOTAL SELLABLE UNITS]]*INVESTORS_LIST[[#This Row],[NAV]])</f>
        <v>102811.072</v>
      </c>
      <c r="AU701" s="48">
        <f>INVESTORS_LIST[[#This Row],[LS_TOTAL REALIZED GAIN]]+INVESTORS_LIST[[#This Row],[SIP_TOTAL REALIZED GAIN]]</f>
        <v>0</v>
      </c>
      <c r="AV701" s="48">
        <f>INVESTORS_LIST[[#This Row],[TOTAL MARKET VALUE]]-INVESTORS_LIST[[#This Row],[TOTAL COST VALUE OF CURRENT INVESTMENT]]</f>
        <v>2811.0720000000001</v>
      </c>
      <c r="AW701" s="48">
        <f>IFERROR(INVESTORS_LIST[[#This Row],[TOTAL CURRENT UNITS]]/SUM(INVESTORS_LIST[TOTAL CURRENT UNITS]),0)</f>
        <v>1.7546843067303724E-4</v>
      </c>
    </row>
    <row r="702" spans="1:49" hidden="1">
      <c r="A702" s="262" t="s">
        <v>1508</v>
      </c>
      <c r="B702" s="199" t="s">
        <v>1509</v>
      </c>
      <c r="C702" s="99" t="s">
        <v>44</v>
      </c>
      <c r="D702" s="101" t="s">
        <v>45</v>
      </c>
      <c r="E702" s="50">
        <f>SUMIFS(LS[Unit],LS[Investor ID],INVESTORS_LIST[[#This Row],[INVESTOR CODE]],LS[B/S],"B")</f>
        <v>0</v>
      </c>
      <c r="F702" s="50">
        <f>-SUMIFS(LS[Unit],LS[Investor ID],INVESTORS_LIST[[#This Row],[INVESTOR CODE]],LS[B/S],"S")</f>
        <v>0</v>
      </c>
      <c r="G702" s="50">
        <f>IF(INVESTORS_LIST[[#This Row],[LS_TOTAL UNITS BUY]]=0,0,INVESTORS_LIST[[#This Row],[LS_TOTAL UNITS BUY]]-INVESTORS_LIST[[#This Row],[LS_TOTAL UNITS SOLD]])</f>
        <v>0</v>
      </c>
      <c r="H702" s="102">
        <f>IF(INVESTORS_LIST[[#This Row],[LS_TOTAL UNITS BUY]]=0,0,SUMIFS(LS[Amount],LS[Investor ID],INVESTORS_LIST[[#This Row],[INVESTOR CODE]],LS[B/S],"B"))</f>
        <v>0</v>
      </c>
      <c r="I702" s="48">
        <f>IF(INVESTORS_LIST[[#This Row],[LS_TOTAL UNITS SOLD]]=0,0,SUMIFS(LS[Cost of Units Sold],LS[Investor ID],INVESTORS_LIST[[#This Row],[INVESTOR CODE]],LS[B/S],"S"))</f>
        <v>0</v>
      </c>
      <c r="J702" s="48">
        <f>IF(INVESTORS_LIST[[#This Row],[LS_TOTAL CURRENT UNITS]]=0,0,INVESTORS_LIST[[#This Row],[LS_TOTAL CURRENT UNITS]]*INVESTORS_LIST[[#This Row],[LS_AVERAGE COST]])</f>
        <v>0</v>
      </c>
      <c r="K702" s="48">
        <f>IF(INVESTORS_LIST[[#This Row],[LS_TOTAL UNITS SOLD]]=0,0,SUMIFS(LS[Realized Gain],LS[Investor ID],INVESTORS_LIST[[#This Row],[INVESTOR CODE]],LS[B/S],"S"))</f>
        <v>0</v>
      </c>
      <c r="L702" s="104">
        <f>SUMIFS(SIP[Unit],SIP[Investor ID],INVESTORS_LIST[[#This Row],[INVESTOR CODE]],SIP[B/S],"B")</f>
        <v>0</v>
      </c>
      <c r="M702" s="50">
        <f>-SUMIFS(SIP[Unit],SIP[Investor ID],INVESTORS_LIST[[#This Row],[INVESTOR CODE]],SIP[B/S],"S")</f>
        <v>0</v>
      </c>
      <c r="N702" s="50">
        <f>IF(INVESTORS_LIST[[#This Row],[SIP_TOTAL UNITS BUY]]=0,0,INVESTORS_LIST[[#This Row],[SIP_TOTAL UNITS BUY]]-INVESTORS_LIST[[#This Row],[SIP_TOTAL UNITS SOLD]])</f>
        <v>0</v>
      </c>
      <c r="O702" s="48">
        <f>IF(INVESTORS_LIST[[#This Row],[SIP_TOTAL UNITS BUY]]=0,0,SUMIFS(SIP[Amount],SIP[Investor ID],INVESTORS_LIST[[#This Row],[INVESTOR CODE]],SIP[B/S],"B"))</f>
        <v>0</v>
      </c>
      <c r="P702" s="48">
        <f>IF(INVESTORS_LIST[[#This Row],[SIP_TOTAL UNITS SOLD]]=0,0,SUMIFS(SIP[Cost of Units Sold],SIP[Investor ID],INVESTORS_LIST[[#This Row],[INVESTOR CODE]],SIP[B/S],"S"))</f>
        <v>0</v>
      </c>
      <c r="Q702" s="48">
        <f>IF(INVESTORS_LIST[[#This Row],[SIP_TOTAL CURRENT UNITS]]=0,0,INVESTORS_LIST[[#This Row],[SIP_TOTAL CURRENT UNITS]]*INVESTORS_LIST[[#This Row],[SIP_AVERAGE COST]])</f>
        <v>0</v>
      </c>
      <c r="R702" s="48">
        <f>IF(INVESTORS_LIST[[#This Row],[SIP_TOTAL UNITS SOLD]]=0,0,SUMIFS(SIP[Realized Gain],SIP[Investor ID],INVESTORS_LIST[[#This Row],[INVESTOR CODE]],SIP[B/S],"S"))</f>
        <v>0</v>
      </c>
      <c r="S702" s="50">
        <f>INVESTORS_LIST[[#This Row],[LS_TOTAL UNITS BUY]]+INVESTORS_LIST[[#This Row],[SIP_TOTAL UNITS BUY]]</f>
        <v>0</v>
      </c>
      <c r="T702" s="50">
        <f>INVESTORS_LIST[[#This Row],[LS_TOTAL UNITS SOLD]]+INVESTORS_LIST[[#This Row],[SIP_TOTAL UNITS SOLD]]</f>
        <v>0</v>
      </c>
      <c r="U702" s="50"/>
      <c r="V702" s="50">
        <f>SUMIFS(LS[BO UNIT TRANSFER],LS[Investor ID],INVESTORS_LIST[[#This Row],[INVESTOR CODE]],LS[B/S],"B")</f>
        <v>0</v>
      </c>
      <c r="W702" s="50">
        <f>SUMIFS(SIP[BO UNIT TRANSFER],SIP[Investor ID],INVESTORS_LIST[[#This Row],[INVESTOR CODE]],SIP[B/S],"B")</f>
        <v>0</v>
      </c>
      <c r="X702" s="50">
        <f>SUMIFS(LS[BO UNIT TRANSFER],LS[Investor ID],INVESTORS_LIST[[#This Row],[INVESTOR CODE]],LS[B/S],"S")</f>
        <v>0</v>
      </c>
      <c r="Y702" s="50">
        <f>SUMIFS(SIP[BO UNIT TRANSFER],SIP[Investor ID],INVESTORS_LIST[[#This Row],[INVESTOR CODE]],SIP[B/S],"S")</f>
        <v>0</v>
      </c>
      <c r="Z702" s="106">
        <f>SUM(INVESTORS_LIST[[#This Row],[BO OPENING BALANCE]:[BO SIP UNITS REPURCHASE]])</f>
        <v>0</v>
      </c>
      <c r="AA702" s="107">
        <f>INVESTORS_LIST[[#This Row],[TOTAL UNITS BUY]]-INVESTORS_LIST[[#This Row],[TOTAL UNITS SOLD]]</f>
        <v>0</v>
      </c>
      <c r="AB702" s="107">
        <f>INVESTORS_LIST[[#This Row],[TOTAL CURRENT UNITS]]-INVESTORS_LIST[[#This Row],[BO UNITS HOLD]]</f>
        <v>0</v>
      </c>
      <c r="AC702" s="201" t="e">
        <f>INDEX([3]!Table_1[BO ID],MATCH(INVESTORS_LIST[[#This Row],[INVESTOR CODE]],[3]!Table_1[INVESTOR CODE],0))</f>
        <v>#REF!</v>
      </c>
      <c r="AD702" s="201" t="e">
        <f>INDEX([3]!Table_1[Brokerage Name2],MATCH(INVESTORS_LIST[[#This Row],[INVESTOR CODE]],[3]!Table_1[INVESTOR CODE],0))</f>
        <v>#REF!</v>
      </c>
      <c r="AE702" s="201" t="e">
        <f>MID(INVESTORS_LIST[[#This Row],[BO ID]],4,5)</f>
        <v>#REF!</v>
      </c>
      <c r="AF702" s="201" t="e">
        <f>MID(INVESTORS_LIST[[#This Row],[BO ID]],2,7)</f>
        <v>#REF!</v>
      </c>
      <c r="AG702" s="201" t="e">
        <f>MID(INVESTORS_LIST[[#This Row],[BO ID]],9,7)</f>
        <v>#REF!</v>
      </c>
      <c r="AH702" s="201" t="e">
        <f>RIGHT(INVESTORS_LIST[[#This Row],[BO ID]],1)</f>
        <v>#REF!</v>
      </c>
      <c r="AI702" s="50">
        <f>INVESTORS_LIST[[#This Row],[LS_TOTAL COST VALUE OF CURRENT UNITS]]+INVESTORS_LIST[[#This Row],[SIP_TOTAL COST VALUE OF CURRENT UNITS]]</f>
        <v>0</v>
      </c>
      <c r="AJ702" s="109">
        <f>IF(INVESTORS_LIST[[#This Row],[TOTAL CURRENT UNITS]]=0,0,INVESTORS_LIST[[#This Row],[LS_TOTAL CURRENT UNITS]]/INVESTORS_LIST[[#This Row],[TOTAL CURRENT UNITS]])</f>
        <v>0</v>
      </c>
      <c r="AK702" s="109">
        <f>IF(INVESTORS_LIST[[#This Row],[TOTAL CURRENT UNITS]]=0,0,INVESTORS_LIST[[#This Row],[SIP_TOTAL CURRENT UNITS]]/INVESTORS_LIST[[#This Row],[TOTAL CURRENT UNITS]])</f>
        <v>0</v>
      </c>
      <c r="AL702" s="99" cm="1">
        <f t="array" ref="AL7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2" s="99" cm="1">
        <f t="array" ref="AM7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2" s="105">
        <f t="shared" si="11"/>
        <v>14.224</v>
      </c>
      <c r="AP702" s="112">
        <f>IF(INVESTORS_LIST[[#This Row],[TOTAL CURRENT UNITS]]=0,0,INVESTORS_LIST[[#This Row],[TOTAL CURRENT UNITS]]*INVESTORS_LIST[[#This Row],[NAV]])</f>
        <v>0</v>
      </c>
      <c r="AQ702" s="102">
        <f>IF(INVESTORS_LIST[[#This Row],[LS_TOTAL CURRENT UNITS]]=0,0,INVESTORS_LIST[[#This Row],[LS_TOTAL CURRENT UNITS]]*INVESTORS_LIST[[#This Row],[NAV]])</f>
        <v>0</v>
      </c>
      <c r="AR702" s="48">
        <f>IF(INVESTORS_LIST[[#This Row],[SIP_TOTAL CURRENT UNITS]]=0,0,INVESTORS_LIST[[#This Row],[SIP_TOTAL CURRENT UNITS]]*INVESTORS_LIST[[#This Row],[NAV]])</f>
        <v>0</v>
      </c>
      <c r="AS702" s="50">
        <f>INVESTORS_LIST[[#This Row],[TOTAL CURRENT UNITS]]</f>
        <v>0</v>
      </c>
      <c r="AT702" s="48">
        <f>IF(INVESTORS_LIST[[#This Row],[TOTAL SELLABLE UNITS]]=0,0,INVESTORS_LIST[[#This Row],[TOTAL SELLABLE UNITS]]*INVESTORS_LIST[[#This Row],[NAV]])</f>
        <v>0</v>
      </c>
      <c r="AU702" s="48">
        <f>INVESTORS_LIST[[#This Row],[LS_TOTAL REALIZED GAIN]]+INVESTORS_LIST[[#This Row],[SIP_TOTAL REALIZED GAIN]]</f>
        <v>0</v>
      </c>
      <c r="AV702" s="48">
        <f>INVESTORS_LIST[[#This Row],[TOTAL MARKET VALUE]]-INVESTORS_LIST[[#This Row],[TOTAL COST VALUE OF CURRENT INVESTMENT]]</f>
        <v>0</v>
      </c>
      <c r="AW702" s="48">
        <f>IFERROR(INVESTORS_LIST[[#This Row],[TOTAL CURRENT UNITS]]/SUM(INVESTORS_LIST[TOTAL CURRENT UNITS]),0)</f>
        <v>0</v>
      </c>
    </row>
    <row r="703" spans="1:49" hidden="1">
      <c r="A703" s="262" t="s">
        <v>1510</v>
      </c>
      <c r="B703" s="97" t="s">
        <v>1511</v>
      </c>
      <c r="C703" s="99" t="s">
        <v>44</v>
      </c>
      <c r="D703" s="101" t="s">
        <v>45</v>
      </c>
      <c r="E703" s="50">
        <f>SUMIFS(LS[Unit],LS[Investor ID],INVESTORS_LIST[[#This Row],[INVESTOR CODE]],LS[B/S],"B")</f>
        <v>0</v>
      </c>
      <c r="F703" s="50">
        <f>-SUMIFS(LS[Unit],LS[Investor ID],INVESTORS_LIST[[#This Row],[INVESTOR CODE]],LS[B/S],"S")</f>
        <v>0</v>
      </c>
      <c r="G703" s="50">
        <f>IF(INVESTORS_LIST[[#This Row],[LS_TOTAL UNITS BUY]]=0,0,INVESTORS_LIST[[#This Row],[LS_TOTAL UNITS BUY]]-INVESTORS_LIST[[#This Row],[LS_TOTAL UNITS SOLD]])</f>
        <v>0</v>
      </c>
      <c r="H703" s="102">
        <f>IF(INVESTORS_LIST[[#This Row],[LS_TOTAL UNITS BUY]]=0,0,SUMIFS(LS[Amount],LS[Investor ID],INVESTORS_LIST[[#This Row],[INVESTOR CODE]],LS[B/S],"B"))</f>
        <v>0</v>
      </c>
      <c r="I703" s="48">
        <f>IF(INVESTORS_LIST[[#This Row],[LS_TOTAL UNITS SOLD]]=0,0,SUMIFS(LS[Cost of Units Sold],LS[Investor ID],INVESTORS_LIST[[#This Row],[INVESTOR CODE]],LS[B/S],"S"))</f>
        <v>0</v>
      </c>
      <c r="J703" s="48">
        <f>IF(INVESTORS_LIST[[#This Row],[LS_TOTAL CURRENT UNITS]]=0,0,INVESTORS_LIST[[#This Row],[LS_TOTAL CURRENT UNITS]]*INVESTORS_LIST[[#This Row],[LS_AVERAGE COST]])</f>
        <v>0</v>
      </c>
      <c r="K703" s="48">
        <f>IF(INVESTORS_LIST[[#This Row],[LS_TOTAL UNITS SOLD]]=0,0,SUMIFS(LS[Realized Gain],LS[Investor ID],INVESTORS_LIST[[#This Row],[INVESTOR CODE]],LS[B/S],"S"))</f>
        <v>0</v>
      </c>
      <c r="L703" s="104">
        <f>SUMIFS(SIP[Unit],SIP[Investor ID],INVESTORS_LIST[[#This Row],[INVESTOR CODE]],SIP[B/S],"B")</f>
        <v>0</v>
      </c>
      <c r="M703" s="50">
        <f>-SUMIFS(SIP[Unit],SIP[Investor ID],INVESTORS_LIST[[#This Row],[INVESTOR CODE]],SIP[B/S],"S")</f>
        <v>0</v>
      </c>
      <c r="N703" s="50">
        <f>IF(INVESTORS_LIST[[#This Row],[SIP_TOTAL UNITS BUY]]=0,0,INVESTORS_LIST[[#This Row],[SIP_TOTAL UNITS BUY]]-INVESTORS_LIST[[#This Row],[SIP_TOTAL UNITS SOLD]])</f>
        <v>0</v>
      </c>
      <c r="O703" s="48">
        <f>IF(INVESTORS_LIST[[#This Row],[SIP_TOTAL UNITS BUY]]=0,0,SUMIFS(SIP[Amount],SIP[Investor ID],INVESTORS_LIST[[#This Row],[INVESTOR CODE]],SIP[B/S],"B"))</f>
        <v>0</v>
      </c>
      <c r="P703" s="48">
        <f>IF(INVESTORS_LIST[[#This Row],[SIP_TOTAL UNITS SOLD]]=0,0,SUMIFS(SIP[Cost of Units Sold],SIP[Investor ID],INVESTORS_LIST[[#This Row],[INVESTOR CODE]],SIP[B/S],"S"))</f>
        <v>0</v>
      </c>
      <c r="Q703" s="48">
        <f>IF(INVESTORS_LIST[[#This Row],[SIP_TOTAL CURRENT UNITS]]=0,0,INVESTORS_LIST[[#This Row],[SIP_TOTAL CURRENT UNITS]]*INVESTORS_LIST[[#This Row],[SIP_AVERAGE COST]])</f>
        <v>0</v>
      </c>
      <c r="R703" s="48">
        <f>IF(INVESTORS_LIST[[#This Row],[SIP_TOTAL UNITS SOLD]]=0,0,SUMIFS(SIP[Realized Gain],SIP[Investor ID],INVESTORS_LIST[[#This Row],[INVESTOR CODE]],SIP[B/S],"S"))</f>
        <v>0</v>
      </c>
      <c r="S703" s="50">
        <f>INVESTORS_LIST[[#This Row],[LS_TOTAL UNITS BUY]]+INVESTORS_LIST[[#This Row],[SIP_TOTAL UNITS BUY]]</f>
        <v>0</v>
      </c>
      <c r="T703" s="50">
        <f>INVESTORS_LIST[[#This Row],[LS_TOTAL UNITS SOLD]]+INVESTORS_LIST[[#This Row],[SIP_TOTAL UNITS SOLD]]</f>
        <v>0</v>
      </c>
      <c r="U703" s="50"/>
      <c r="V703" s="50">
        <f>SUMIFS(LS[BO UNIT TRANSFER],LS[Investor ID],INVESTORS_LIST[[#This Row],[INVESTOR CODE]],LS[B/S],"B")</f>
        <v>0</v>
      </c>
      <c r="W703" s="50">
        <f>SUMIFS(SIP[BO UNIT TRANSFER],SIP[Investor ID],INVESTORS_LIST[[#This Row],[INVESTOR CODE]],SIP[B/S],"B")</f>
        <v>0</v>
      </c>
      <c r="X703" s="50">
        <f>SUMIFS(LS[BO UNIT TRANSFER],LS[Investor ID],INVESTORS_LIST[[#This Row],[INVESTOR CODE]],LS[B/S],"S")</f>
        <v>0</v>
      </c>
      <c r="Y703" s="50">
        <f>SUMIFS(SIP[BO UNIT TRANSFER],SIP[Investor ID],INVESTORS_LIST[[#This Row],[INVESTOR CODE]],SIP[B/S],"S")</f>
        <v>0</v>
      </c>
      <c r="Z703" s="106">
        <f>SUM(INVESTORS_LIST[[#This Row],[BO OPENING BALANCE]:[BO SIP UNITS REPURCHASE]])</f>
        <v>0</v>
      </c>
      <c r="AA703" s="107">
        <f>INVESTORS_LIST[[#This Row],[TOTAL UNITS BUY]]-INVESTORS_LIST[[#This Row],[TOTAL UNITS SOLD]]</f>
        <v>0</v>
      </c>
      <c r="AB703" s="107">
        <f>INVESTORS_LIST[[#This Row],[TOTAL CURRENT UNITS]]-INVESTORS_LIST[[#This Row],[BO UNITS HOLD]]</f>
        <v>0</v>
      </c>
      <c r="AC703" s="201" t="e">
        <f>INDEX([3]!Table_1[BO ID],MATCH(INVESTORS_LIST[[#This Row],[INVESTOR CODE]],[3]!Table_1[INVESTOR CODE],0))</f>
        <v>#REF!</v>
      </c>
      <c r="AD703" s="201" t="e">
        <f>INDEX([3]!Table_1[Brokerage Name2],MATCH(INVESTORS_LIST[[#This Row],[INVESTOR CODE]],[3]!Table_1[INVESTOR CODE],0))</f>
        <v>#REF!</v>
      </c>
      <c r="AE703" s="201" t="e">
        <f>MID(INVESTORS_LIST[[#This Row],[BO ID]],4,5)</f>
        <v>#REF!</v>
      </c>
      <c r="AF703" s="201" t="e">
        <f>MID(INVESTORS_LIST[[#This Row],[BO ID]],2,7)</f>
        <v>#REF!</v>
      </c>
      <c r="AG703" s="201" t="e">
        <f>MID(INVESTORS_LIST[[#This Row],[BO ID]],9,7)</f>
        <v>#REF!</v>
      </c>
      <c r="AH703" s="201" t="e">
        <f>RIGHT(INVESTORS_LIST[[#This Row],[BO ID]],1)</f>
        <v>#REF!</v>
      </c>
      <c r="AI703" s="50">
        <f>INVESTORS_LIST[[#This Row],[LS_TOTAL COST VALUE OF CURRENT UNITS]]+INVESTORS_LIST[[#This Row],[SIP_TOTAL COST VALUE OF CURRENT UNITS]]</f>
        <v>0</v>
      </c>
      <c r="AJ703" s="109">
        <f>IF(INVESTORS_LIST[[#This Row],[TOTAL CURRENT UNITS]]=0,0,INVESTORS_LIST[[#This Row],[LS_TOTAL CURRENT UNITS]]/INVESTORS_LIST[[#This Row],[TOTAL CURRENT UNITS]])</f>
        <v>0</v>
      </c>
      <c r="AK703" s="109">
        <f>IF(INVESTORS_LIST[[#This Row],[TOTAL CURRENT UNITS]]=0,0,INVESTORS_LIST[[#This Row],[SIP_TOTAL CURRENT UNITS]]/INVESTORS_LIST[[#This Row],[TOTAL CURRENT UNITS]])</f>
        <v>0</v>
      </c>
      <c r="AL703" s="99" cm="1">
        <f t="array" ref="AL7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3" s="99" cm="1">
        <f t="array" ref="AM7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3" s="105">
        <f t="shared" si="11"/>
        <v>14.224</v>
      </c>
      <c r="AP703" s="112">
        <f>IF(INVESTORS_LIST[[#This Row],[TOTAL CURRENT UNITS]]=0,0,INVESTORS_LIST[[#This Row],[TOTAL CURRENT UNITS]]*INVESTORS_LIST[[#This Row],[NAV]])</f>
        <v>0</v>
      </c>
      <c r="AQ703" s="102">
        <f>IF(INVESTORS_LIST[[#This Row],[LS_TOTAL CURRENT UNITS]]=0,0,INVESTORS_LIST[[#This Row],[LS_TOTAL CURRENT UNITS]]*INVESTORS_LIST[[#This Row],[NAV]])</f>
        <v>0</v>
      </c>
      <c r="AR703" s="48">
        <f>IF(INVESTORS_LIST[[#This Row],[SIP_TOTAL CURRENT UNITS]]=0,0,INVESTORS_LIST[[#This Row],[SIP_TOTAL CURRENT UNITS]]*INVESTORS_LIST[[#This Row],[NAV]])</f>
        <v>0</v>
      </c>
      <c r="AS703" s="50">
        <f>INVESTORS_LIST[[#This Row],[TOTAL CURRENT UNITS]]</f>
        <v>0</v>
      </c>
      <c r="AT703" s="48">
        <f>IF(INVESTORS_LIST[[#This Row],[TOTAL SELLABLE UNITS]]=0,0,INVESTORS_LIST[[#This Row],[TOTAL SELLABLE UNITS]]*INVESTORS_LIST[[#This Row],[NAV]])</f>
        <v>0</v>
      </c>
      <c r="AU703" s="48">
        <f>INVESTORS_LIST[[#This Row],[LS_TOTAL REALIZED GAIN]]+INVESTORS_LIST[[#This Row],[SIP_TOTAL REALIZED GAIN]]</f>
        <v>0</v>
      </c>
      <c r="AV703" s="48">
        <f>INVESTORS_LIST[[#This Row],[TOTAL MARKET VALUE]]-INVESTORS_LIST[[#This Row],[TOTAL COST VALUE OF CURRENT INVESTMENT]]</f>
        <v>0</v>
      </c>
      <c r="AW703" s="48">
        <f>IFERROR(INVESTORS_LIST[[#This Row],[TOTAL CURRENT UNITS]]/SUM(INVESTORS_LIST[TOTAL CURRENT UNITS]),0)</f>
        <v>0</v>
      </c>
    </row>
    <row r="704" spans="1:49">
      <c r="A704" s="262" t="s">
        <v>1512</v>
      </c>
      <c r="B704" s="97" t="s">
        <v>1507</v>
      </c>
      <c r="C704" s="99" t="s">
        <v>67</v>
      </c>
      <c r="D704" s="101" t="s">
        <v>45</v>
      </c>
      <c r="E704" s="50">
        <f>SUMIFS(LS[Unit],LS[Investor ID],INVESTORS_LIST[[#This Row],[INVESTOR CODE]],LS[B/S],"B")</f>
        <v>178221</v>
      </c>
      <c r="F704" s="50">
        <f>-SUMIFS(LS[Unit],LS[Investor ID],INVESTORS_LIST[[#This Row],[INVESTOR CODE]],LS[B/S],"S")</f>
        <v>0</v>
      </c>
      <c r="G704" s="50">
        <f>IF(INVESTORS_LIST[[#This Row],[LS_TOTAL UNITS BUY]]=0,0,INVESTORS_LIST[[#This Row],[LS_TOTAL UNITS BUY]]-INVESTORS_LIST[[#This Row],[LS_TOTAL UNITS SOLD]])</f>
        <v>178221</v>
      </c>
      <c r="H704" s="102">
        <f>IF(INVESTORS_LIST[[#This Row],[LS_TOTAL UNITS BUY]]=0,0,SUMIFS(LS[Amount],LS[Investor ID],INVESTORS_LIST[[#This Row],[INVESTOR CODE]],LS[B/S],"B"))</f>
        <v>2500000</v>
      </c>
      <c r="I704" s="48">
        <f>IF(INVESTORS_LIST[[#This Row],[LS_TOTAL UNITS SOLD]]=0,0,SUMIFS(LS[Cost of Units Sold],LS[Investor ID],INVESTORS_LIST[[#This Row],[INVESTOR CODE]],LS[B/S],"S"))</f>
        <v>0</v>
      </c>
      <c r="J704" s="48">
        <f>IF(INVESTORS_LIST[[#This Row],[LS_TOTAL CURRENT UNITS]]=0,0,INVESTORS_LIST[[#This Row],[LS_TOTAL CURRENT UNITS]]*INVESTORS_LIST[[#This Row],[LS_AVERAGE COST]])</f>
        <v>2500000</v>
      </c>
      <c r="K704" s="48">
        <f>IF(INVESTORS_LIST[[#This Row],[LS_TOTAL UNITS SOLD]]=0,0,SUMIFS(LS[Realized Gain],LS[Investor ID],INVESTORS_LIST[[#This Row],[INVESTOR CODE]],LS[B/S],"S"))</f>
        <v>0</v>
      </c>
      <c r="L704" s="104">
        <f>SUMIFS(SIP[Unit],SIP[Investor ID],INVESTORS_LIST[[#This Row],[INVESTOR CODE]],SIP[B/S],"B")</f>
        <v>0</v>
      </c>
      <c r="M704" s="50">
        <f>-SUMIFS(SIP[Unit],SIP[Investor ID],INVESTORS_LIST[[#This Row],[INVESTOR CODE]],SIP[B/S],"S")</f>
        <v>0</v>
      </c>
      <c r="N704" s="50">
        <f>IF(INVESTORS_LIST[[#This Row],[SIP_TOTAL UNITS BUY]]=0,0,INVESTORS_LIST[[#This Row],[SIP_TOTAL UNITS BUY]]-INVESTORS_LIST[[#This Row],[SIP_TOTAL UNITS SOLD]])</f>
        <v>0</v>
      </c>
      <c r="O704" s="48">
        <f>IF(INVESTORS_LIST[[#This Row],[SIP_TOTAL UNITS BUY]]=0,0,SUMIFS(SIP[Amount],SIP[Investor ID],INVESTORS_LIST[[#This Row],[INVESTOR CODE]],SIP[B/S],"B"))</f>
        <v>0</v>
      </c>
      <c r="P704" s="48">
        <f>IF(INVESTORS_LIST[[#This Row],[SIP_TOTAL UNITS SOLD]]=0,0,SUMIFS(SIP[Cost of Units Sold],SIP[Investor ID],INVESTORS_LIST[[#This Row],[INVESTOR CODE]],SIP[B/S],"S"))</f>
        <v>0</v>
      </c>
      <c r="Q704" s="48">
        <f>IF(INVESTORS_LIST[[#This Row],[SIP_TOTAL CURRENT UNITS]]=0,0,INVESTORS_LIST[[#This Row],[SIP_TOTAL CURRENT UNITS]]*INVESTORS_LIST[[#This Row],[SIP_AVERAGE COST]])</f>
        <v>0</v>
      </c>
      <c r="R704" s="48">
        <f>IF(INVESTORS_LIST[[#This Row],[SIP_TOTAL UNITS SOLD]]=0,0,SUMIFS(SIP[Realized Gain],SIP[Investor ID],INVESTORS_LIST[[#This Row],[INVESTOR CODE]],SIP[B/S],"S"))</f>
        <v>0</v>
      </c>
      <c r="S704" s="50">
        <f>INVESTORS_LIST[[#This Row],[LS_TOTAL UNITS BUY]]+INVESTORS_LIST[[#This Row],[SIP_TOTAL UNITS BUY]]</f>
        <v>178221</v>
      </c>
      <c r="T704" s="50">
        <f>INVESTORS_LIST[[#This Row],[LS_TOTAL UNITS SOLD]]+INVESTORS_LIST[[#This Row],[SIP_TOTAL UNITS SOLD]]</f>
        <v>0</v>
      </c>
      <c r="U704" s="50"/>
      <c r="V704" s="50">
        <f>SUMIFS(LS[BO UNIT TRANSFER],LS[Investor ID],INVESTORS_LIST[[#This Row],[INVESTOR CODE]],LS[B/S],"B")</f>
        <v>0</v>
      </c>
      <c r="W704" s="50">
        <f>SUMIFS(SIP[BO UNIT TRANSFER],SIP[Investor ID],INVESTORS_LIST[[#This Row],[INVESTOR CODE]],SIP[B/S],"B")</f>
        <v>0</v>
      </c>
      <c r="X704" s="50">
        <f>SUMIFS(LS[BO UNIT TRANSFER],LS[Investor ID],INVESTORS_LIST[[#This Row],[INVESTOR CODE]],LS[B/S],"S")</f>
        <v>0</v>
      </c>
      <c r="Y704" s="50">
        <f>SUMIFS(SIP[BO UNIT TRANSFER],SIP[Investor ID],INVESTORS_LIST[[#This Row],[INVESTOR CODE]],SIP[B/S],"S")</f>
        <v>0</v>
      </c>
      <c r="Z704" s="106">
        <f>SUM(INVESTORS_LIST[[#This Row],[BO OPENING BALANCE]:[BO SIP UNITS REPURCHASE]])</f>
        <v>0</v>
      </c>
      <c r="AA704" s="107">
        <f>INVESTORS_LIST[[#This Row],[TOTAL UNITS BUY]]-INVESTORS_LIST[[#This Row],[TOTAL UNITS SOLD]]</f>
        <v>178221</v>
      </c>
      <c r="AB704" s="107">
        <f>INVESTORS_LIST[[#This Row],[TOTAL CURRENT UNITS]]-INVESTORS_LIST[[#This Row],[BO UNITS HOLD]]</f>
        <v>178221</v>
      </c>
      <c r="AC704" s="201" t="e">
        <f>INDEX([3]!Table_1[BO ID],MATCH(INVESTORS_LIST[[#This Row],[INVESTOR CODE]],[3]!Table_1[INVESTOR CODE],0))</f>
        <v>#REF!</v>
      </c>
      <c r="AD704" s="201" t="e">
        <f>INDEX([3]!Table_1[Brokerage Name2],MATCH(INVESTORS_LIST[[#This Row],[INVESTOR CODE]],[3]!Table_1[INVESTOR CODE],0))</f>
        <v>#REF!</v>
      </c>
      <c r="AE704" s="201" t="e">
        <f>MID(INVESTORS_LIST[[#This Row],[BO ID]],4,5)</f>
        <v>#REF!</v>
      </c>
      <c r="AF704" s="201" t="e">
        <f>MID(INVESTORS_LIST[[#This Row],[BO ID]],2,7)</f>
        <v>#REF!</v>
      </c>
      <c r="AG704" s="201" t="e">
        <f>MID(INVESTORS_LIST[[#This Row],[BO ID]],9,7)</f>
        <v>#REF!</v>
      </c>
      <c r="AH704" s="201" t="e">
        <f>RIGHT(INVESTORS_LIST[[#This Row],[BO ID]],1)</f>
        <v>#REF!</v>
      </c>
      <c r="AI704" s="50">
        <f>INVESTORS_LIST[[#This Row],[LS_TOTAL COST VALUE OF CURRENT UNITS]]+INVESTORS_LIST[[#This Row],[SIP_TOTAL COST VALUE OF CURRENT UNITS]]</f>
        <v>2500000</v>
      </c>
      <c r="AJ704" s="109">
        <f>IF(INVESTORS_LIST[[#This Row],[TOTAL CURRENT UNITS]]=0,0,INVESTORS_LIST[[#This Row],[LS_TOTAL CURRENT UNITS]]/INVESTORS_LIST[[#This Row],[TOTAL CURRENT UNITS]])</f>
        <v>1</v>
      </c>
      <c r="AK704" s="109">
        <f>IF(INVESTORS_LIST[[#This Row],[TOTAL CURRENT UNITS]]=0,0,INVESTORS_LIST[[#This Row],[SIP_TOTAL CURRENT UNITS]]/INVESTORS_LIST[[#This Row],[TOTAL CURRENT UNITS]])</f>
        <v>0</v>
      </c>
      <c r="AL704" s="99" cm="1">
        <f t="array" ref="AL704">IF(INVESTORS_LIST[[#This Row],[LS_TOTAL UNITS BUY]]&gt;0,INDEX(LS[NAV at Cost (Average)],MATCH(CONCATENATE(COUNTIFS(LS[Investor ID],INVESTORS_LIST[[#This Row],[INVESTOR CODE]]),INVESTORS_LIST[[#This Row],[INVESTOR CODE]]),LS[Unique Code],0),),0)</f>
        <v>14.027527620201884</v>
      </c>
      <c r="AM704" s="99" cm="1">
        <f t="array" ref="AM7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4" s="105">
        <f>IF(INVESTORS_LIST[[#This Row],[TOTAL CURRENT UNITS]]=0,0,(INVESTORS_LIST[[#This Row],[LS_WEIGHT]]*INVESTORS_LIST[[#This Row],[LS_AVERAGE COST]])+(INVESTORS_LIST[[#This Row],[SIP_WEIGHT]]*INVESTORS_LIST[[#This Row],[SIP_AVERAGE COST]]))</f>
        <v>14.027527620201884</v>
      </c>
      <c r="AO704" s="105">
        <f t="shared" si="11"/>
        <v>14.224</v>
      </c>
      <c r="AP704" s="112">
        <f>IF(INVESTORS_LIST[[#This Row],[TOTAL CURRENT UNITS]]=0,0,INVESTORS_LIST[[#This Row],[TOTAL CURRENT UNITS]]*INVESTORS_LIST[[#This Row],[NAV]])</f>
        <v>2535015.5040000002</v>
      </c>
      <c r="AQ704" s="102">
        <f>IF(INVESTORS_LIST[[#This Row],[LS_TOTAL CURRENT UNITS]]=0,0,INVESTORS_LIST[[#This Row],[LS_TOTAL CURRENT UNITS]]*INVESTORS_LIST[[#This Row],[NAV]])</f>
        <v>2535015.5040000002</v>
      </c>
      <c r="AR704" s="48">
        <f>IF(INVESTORS_LIST[[#This Row],[SIP_TOTAL CURRENT UNITS]]=0,0,INVESTORS_LIST[[#This Row],[SIP_TOTAL CURRENT UNITS]]*INVESTORS_LIST[[#This Row],[NAV]])</f>
        <v>0</v>
      </c>
      <c r="AS704" s="50">
        <f>INVESTORS_LIST[[#This Row],[TOTAL CURRENT UNITS]]</f>
        <v>178221</v>
      </c>
      <c r="AT704" s="48">
        <f>IF(INVESTORS_LIST[[#This Row],[TOTAL SELLABLE UNITS]]=0,0,INVESTORS_LIST[[#This Row],[TOTAL SELLABLE UNITS]]*INVESTORS_LIST[[#This Row],[NAV]])</f>
        <v>2535015.5040000002</v>
      </c>
      <c r="AU704" s="48">
        <f>INVESTORS_LIST[[#This Row],[LS_TOTAL REALIZED GAIN]]+INVESTORS_LIST[[#This Row],[SIP_TOTAL REALIZED GAIN]]</f>
        <v>0</v>
      </c>
      <c r="AV704" s="48">
        <f>INVESTORS_LIST[[#This Row],[TOTAL MARKET VALUE]]-INVESTORS_LIST[[#This Row],[TOTAL COST VALUE OF CURRENT INVESTMENT]]</f>
        <v>35015.50400000019</v>
      </c>
      <c r="AW704" s="48">
        <f>IFERROR(INVESTORS_LIST[[#This Row],[TOTAL CURRENT UNITS]]/SUM(INVESTORS_LIST[TOTAL CURRENT UNITS]),0)</f>
        <v>4.3265300474514901E-3</v>
      </c>
    </row>
    <row r="705" spans="1:49" hidden="1">
      <c r="A705" s="262" t="s">
        <v>1513</v>
      </c>
      <c r="B705" s="97" t="s">
        <v>1514</v>
      </c>
      <c r="C705" t="s">
        <v>44</v>
      </c>
      <c r="D705" s="75" t="s">
        <v>45</v>
      </c>
      <c r="E705" s="50">
        <f>SUMIFS(LS[Unit],LS[Investor ID],INVESTORS_LIST[[#This Row],[INVESTOR CODE]],LS[B/S],"B")</f>
        <v>0</v>
      </c>
      <c r="F705" s="50">
        <f>-SUMIFS(LS[Unit],LS[Investor ID],INVESTORS_LIST[[#This Row],[INVESTOR CODE]],LS[B/S],"S")</f>
        <v>0</v>
      </c>
      <c r="G705" s="50">
        <f>IF(INVESTORS_LIST[[#This Row],[LS_TOTAL UNITS BUY]]=0,0,INVESTORS_LIST[[#This Row],[LS_TOTAL UNITS BUY]]-INVESTORS_LIST[[#This Row],[LS_TOTAL UNITS SOLD]])</f>
        <v>0</v>
      </c>
      <c r="H705" s="102">
        <f>IF(INVESTORS_LIST[[#This Row],[LS_TOTAL UNITS BUY]]=0,0,SUMIFS(LS[Amount],LS[Investor ID],INVESTORS_LIST[[#This Row],[INVESTOR CODE]],LS[B/S],"B"))</f>
        <v>0</v>
      </c>
      <c r="I705" s="48">
        <f>IF(INVESTORS_LIST[[#This Row],[LS_TOTAL UNITS SOLD]]=0,0,SUMIFS(LS[Cost of Units Sold],LS[Investor ID],INVESTORS_LIST[[#This Row],[INVESTOR CODE]],LS[B/S],"S"))</f>
        <v>0</v>
      </c>
      <c r="J705" s="48">
        <f>IF(INVESTORS_LIST[[#This Row],[LS_TOTAL CURRENT UNITS]]=0,0,INVESTORS_LIST[[#This Row],[LS_TOTAL CURRENT UNITS]]*INVESTORS_LIST[[#This Row],[LS_AVERAGE COST]])</f>
        <v>0</v>
      </c>
      <c r="K705" s="48">
        <f>IF(INVESTORS_LIST[[#This Row],[LS_TOTAL UNITS SOLD]]=0,0,SUMIFS(LS[Realized Gain],LS[Investor ID],INVESTORS_LIST[[#This Row],[INVESTOR CODE]],LS[B/S],"S"))</f>
        <v>0</v>
      </c>
      <c r="L705" s="104">
        <f>SUMIFS(SIP[Unit],SIP[Investor ID],INVESTORS_LIST[[#This Row],[INVESTOR CODE]],SIP[B/S],"B")</f>
        <v>0</v>
      </c>
      <c r="M705" s="50">
        <f>-SUMIFS(SIP[Unit],SIP[Investor ID],INVESTORS_LIST[[#This Row],[INVESTOR CODE]],SIP[B/S],"S")</f>
        <v>0</v>
      </c>
      <c r="N705" s="50">
        <f>IF(INVESTORS_LIST[[#This Row],[SIP_TOTAL UNITS BUY]]=0,0,INVESTORS_LIST[[#This Row],[SIP_TOTAL UNITS BUY]]-INVESTORS_LIST[[#This Row],[SIP_TOTAL UNITS SOLD]])</f>
        <v>0</v>
      </c>
      <c r="O705" s="48">
        <f>IF(INVESTORS_LIST[[#This Row],[SIP_TOTAL UNITS BUY]]=0,0,SUMIFS(SIP[Amount],SIP[Investor ID],INVESTORS_LIST[[#This Row],[INVESTOR CODE]],SIP[B/S],"B"))</f>
        <v>0</v>
      </c>
      <c r="P705" s="48">
        <f>IF(INVESTORS_LIST[[#This Row],[SIP_TOTAL UNITS SOLD]]=0,0,SUMIFS(SIP[Cost of Units Sold],SIP[Investor ID],INVESTORS_LIST[[#This Row],[INVESTOR CODE]],SIP[B/S],"S"))</f>
        <v>0</v>
      </c>
      <c r="Q705" s="48">
        <f>IF(INVESTORS_LIST[[#This Row],[SIP_TOTAL CURRENT UNITS]]=0,0,INVESTORS_LIST[[#This Row],[SIP_TOTAL CURRENT UNITS]]*INVESTORS_LIST[[#This Row],[SIP_AVERAGE COST]])</f>
        <v>0</v>
      </c>
      <c r="R705" s="48">
        <f>IF(INVESTORS_LIST[[#This Row],[SIP_TOTAL UNITS SOLD]]=0,0,SUMIFS(SIP[Realized Gain],SIP[Investor ID],INVESTORS_LIST[[#This Row],[INVESTOR CODE]],SIP[B/S],"S"))</f>
        <v>0</v>
      </c>
      <c r="S705" s="50">
        <f>INVESTORS_LIST[[#This Row],[LS_TOTAL UNITS BUY]]+INVESTORS_LIST[[#This Row],[SIP_TOTAL UNITS BUY]]</f>
        <v>0</v>
      </c>
      <c r="T705" s="50">
        <f>INVESTORS_LIST[[#This Row],[LS_TOTAL UNITS SOLD]]+INVESTORS_LIST[[#This Row],[SIP_TOTAL UNITS SOLD]]</f>
        <v>0</v>
      </c>
      <c r="U705" s="50"/>
      <c r="V705" s="50">
        <f>SUMIFS(LS[BO UNIT TRANSFER],LS[Investor ID],INVESTORS_LIST[[#This Row],[INVESTOR CODE]],LS[B/S],"B")</f>
        <v>0</v>
      </c>
      <c r="W705" s="50">
        <f>SUMIFS(SIP[BO UNIT TRANSFER],SIP[Investor ID],INVESTORS_LIST[[#This Row],[INVESTOR CODE]],SIP[B/S],"B")</f>
        <v>0</v>
      </c>
      <c r="X705" s="50">
        <f>SUMIFS(LS[BO UNIT TRANSFER],LS[Investor ID],INVESTORS_LIST[[#This Row],[INVESTOR CODE]],LS[B/S],"S")</f>
        <v>0</v>
      </c>
      <c r="Y705" s="50">
        <f>SUMIFS(SIP[BO UNIT TRANSFER],SIP[Investor ID],INVESTORS_LIST[[#This Row],[INVESTOR CODE]],SIP[B/S],"S")</f>
        <v>0</v>
      </c>
      <c r="Z705" s="106">
        <f>SUM(INVESTORS_LIST[[#This Row],[BO OPENING BALANCE]:[BO SIP UNITS REPURCHASE]])</f>
        <v>0</v>
      </c>
      <c r="AA705" s="107">
        <f>INVESTORS_LIST[[#This Row],[TOTAL UNITS BUY]]-INVESTORS_LIST[[#This Row],[TOTAL UNITS SOLD]]</f>
        <v>0</v>
      </c>
      <c r="AB705" s="107">
        <f>INVESTORS_LIST[[#This Row],[TOTAL CURRENT UNITS]]-INVESTORS_LIST[[#This Row],[BO UNITS HOLD]]</f>
        <v>0</v>
      </c>
      <c r="AC705" s="201" t="e">
        <f>INDEX([3]!Table_1[BO ID],MATCH(INVESTORS_LIST[[#This Row],[INVESTOR CODE]],[3]!Table_1[INVESTOR CODE],0))</f>
        <v>#REF!</v>
      </c>
      <c r="AD705" s="201" t="e">
        <f>INDEX([3]!Table_1[Brokerage Name2],MATCH(INVESTORS_LIST[[#This Row],[INVESTOR CODE]],[3]!Table_1[INVESTOR CODE],0))</f>
        <v>#REF!</v>
      </c>
      <c r="AE705" s="201" t="e">
        <f>MID(INVESTORS_LIST[[#This Row],[BO ID]],4,5)</f>
        <v>#REF!</v>
      </c>
      <c r="AF705" s="201" t="e">
        <f>MID(INVESTORS_LIST[[#This Row],[BO ID]],2,7)</f>
        <v>#REF!</v>
      </c>
      <c r="AG705" s="201" t="e">
        <f>MID(INVESTORS_LIST[[#This Row],[BO ID]],9,7)</f>
        <v>#REF!</v>
      </c>
      <c r="AH705" s="201" t="e">
        <f>RIGHT(INVESTORS_LIST[[#This Row],[BO ID]],1)</f>
        <v>#REF!</v>
      </c>
      <c r="AI705" s="50">
        <f>INVESTORS_LIST[[#This Row],[LS_TOTAL COST VALUE OF CURRENT UNITS]]+INVESTORS_LIST[[#This Row],[SIP_TOTAL COST VALUE OF CURRENT UNITS]]</f>
        <v>0</v>
      </c>
      <c r="AJ705" s="109">
        <f>IF(INVESTORS_LIST[[#This Row],[TOTAL CURRENT UNITS]]=0,0,INVESTORS_LIST[[#This Row],[LS_TOTAL CURRENT UNITS]]/INVESTORS_LIST[[#This Row],[TOTAL CURRENT UNITS]])</f>
        <v>0</v>
      </c>
      <c r="AK705" s="109">
        <f>IF(INVESTORS_LIST[[#This Row],[TOTAL CURRENT UNITS]]=0,0,INVESTORS_LIST[[#This Row],[SIP_TOTAL CURRENT UNITS]]/INVESTORS_LIST[[#This Row],[TOTAL CURRENT UNITS]])</f>
        <v>0</v>
      </c>
      <c r="AL705" s="99" cm="1">
        <f t="array" ref="AL7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5" s="99" cm="1">
        <f t="array" ref="AM7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5" s="105">
        <f t="shared" si="11"/>
        <v>14.224</v>
      </c>
      <c r="AP705" s="112">
        <f>IF(INVESTORS_LIST[[#This Row],[TOTAL CURRENT UNITS]]=0,0,INVESTORS_LIST[[#This Row],[TOTAL CURRENT UNITS]]*INVESTORS_LIST[[#This Row],[NAV]])</f>
        <v>0</v>
      </c>
      <c r="AQ705" s="102">
        <f>IF(INVESTORS_LIST[[#This Row],[LS_TOTAL CURRENT UNITS]]=0,0,INVESTORS_LIST[[#This Row],[LS_TOTAL CURRENT UNITS]]*INVESTORS_LIST[[#This Row],[NAV]])</f>
        <v>0</v>
      </c>
      <c r="AR705" s="48">
        <f>IF(INVESTORS_LIST[[#This Row],[SIP_TOTAL CURRENT UNITS]]=0,0,INVESTORS_LIST[[#This Row],[SIP_TOTAL CURRENT UNITS]]*INVESTORS_LIST[[#This Row],[NAV]])</f>
        <v>0</v>
      </c>
      <c r="AS705" s="50">
        <f>INVESTORS_LIST[[#This Row],[TOTAL CURRENT UNITS]]</f>
        <v>0</v>
      </c>
      <c r="AT705" s="48">
        <f>IF(INVESTORS_LIST[[#This Row],[TOTAL SELLABLE UNITS]]=0,0,INVESTORS_LIST[[#This Row],[TOTAL SELLABLE UNITS]]*INVESTORS_LIST[[#This Row],[NAV]])</f>
        <v>0</v>
      </c>
      <c r="AU705" s="48">
        <f>INVESTORS_LIST[[#This Row],[LS_TOTAL REALIZED GAIN]]+INVESTORS_LIST[[#This Row],[SIP_TOTAL REALIZED GAIN]]</f>
        <v>0</v>
      </c>
      <c r="AV705" s="48">
        <f>INVESTORS_LIST[[#This Row],[TOTAL MARKET VALUE]]-INVESTORS_LIST[[#This Row],[TOTAL COST VALUE OF CURRENT INVESTMENT]]</f>
        <v>0</v>
      </c>
      <c r="AW705" s="48">
        <f>IFERROR(INVESTORS_LIST[[#This Row],[TOTAL CURRENT UNITS]]/SUM(INVESTORS_LIST[TOTAL CURRENT UNITS]),0)</f>
        <v>0</v>
      </c>
    </row>
    <row r="706" spans="1:49" hidden="1">
      <c r="A706" s="262" t="s">
        <v>1515</v>
      </c>
      <c r="B706" s="97" t="s">
        <v>1516</v>
      </c>
      <c r="C706" t="s">
        <v>44</v>
      </c>
      <c r="D706" s="75" t="s">
        <v>45</v>
      </c>
      <c r="E706" s="50">
        <f>SUMIFS(LS[Unit],LS[Investor ID],INVESTORS_LIST[[#This Row],[INVESTOR CODE]],LS[B/S],"B")</f>
        <v>0</v>
      </c>
      <c r="F706" s="50">
        <f>-SUMIFS(LS[Unit],LS[Investor ID],INVESTORS_LIST[[#This Row],[INVESTOR CODE]],LS[B/S],"S")</f>
        <v>0</v>
      </c>
      <c r="G706" s="50">
        <f>IF(INVESTORS_LIST[[#This Row],[LS_TOTAL UNITS BUY]]=0,0,INVESTORS_LIST[[#This Row],[LS_TOTAL UNITS BUY]]-INVESTORS_LIST[[#This Row],[LS_TOTAL UNITS SOLD]])</f>
        <v>0</v>
      </c>
      <c r="H706" s="102">
        <f>IF(INVESTORS_LIST[[#This Row],[LS_TOTAL UNITS BUY]]=0,0,SUMIFS(LS[Amount],LS[Investor ID],INVESTORS_LIST[[#This Row],[INVESTOR CODE]],LS[B/S],"B"))</f>
        <v>0</v>
      </c>
      <c r="I706" s="48">
        <f>IF(INVESTORS_LIST[[#This Row],[LS_TOTAL UNITS SOLD]]=0,0,SUMIFS(LS[Cost of Units Sold],LS[Investor ID],INVESTORS_LIST[[#This Row],[INVESTOR CODE]],LS[B/S],"S"))</f>
        <v>0</v>
      </c>
      <c r="J706" s="48">
        <f>IF(INVESTORS_LIST[[#This Row],[LS_TOTAL CURRENT UNITS]]=0,0,INVESTORS_LIST[[#This Row],[LS_TOTAL CURRENT UNITS]]*INVESTORS_LIST[[#This Row],[LS_AVERAGE COST]])</f>
        <v>0</v>
      </c>
      <c r="K706" s="48">
        <f>IF(INVESTORS_LIST[[#This Row],[LS_TOTAL UNITS SOLD]]=0,0,SUMIFS(LS[Realized Gain],LS[Investor ID],INVESTORS_LIST[[#This Row],[INVESTOR CODE]],LS[B/S],"S"))</f>
        <v>0</v>
      </c>
      <c r="L706" s="104">
        <f>SUMIFS(SIP[Unit],SIP[Investor ID],INVESTORS_LIST[[#This Row],[INVESTOR CODE]],SIP[B/S],"B")</f>
        <v>0</v>
      </c>
      <c r="M706" s="50">
        <f>-SUMIFS(SIP[Unit],SIP[Investor ID],INVESTORS_LIST[[#This Row],[INVESTOR CODE]],SIP[B/S],"S")</f>
        <v>0</v>
      </c>
      <c r="N706" s="50">
        <f>IF(INVESTORS_LIST[[#This Row],[SIP_TOTAL UNITS BUY]]=0,0,INVESTORS_LIST[[#This Row],[SIP_TOTAL UNITS BUY]]-INVESTORS_LIST[[#This Row],[SIP_TOTAL UNITS SOLD]])</f>
        <v>0</v>
      </c>
      <c r="O706" s="48">
        <f>IF(INVESTORS_LIST[[#This Row],[SIP_TOTAL UNITS BUY]]=0,0,SUMIFS(SIP[Amount],SIP[Investor ID],INVESTORS_LIST[[#This Row],[INVESTOR CODE]],SIP[B/S],"B"))</f>
        <v>0</v>
      </c>
      <c r="P706" s="48">
        <f>IF(INVESTORS_LIST[[#This Row],[SIP_TOTAL UNITS SOLD]]=0,0,SUMIFS(SIP[Cost of Units Sold],SIP[Investor ID],INVESTORS_LIST[[#This Row],[INVESTOR CODE]],SIP[B/S],"S"))</f>
        <v>0</v>
      </c>
      <c r="Q706" s="48">
        <f>IF(INVESTORS_LIST[[#This Row],[SIP_TOTAL CURRENT UNITS]]=0,0,INVESTORS_LIST[[#This Row],[SIP_TOTAL CURRENT UNITS]]*INVESTORS_LIST[[#This Row],[SIP_AVERAGE COST]])</f>
        <v>0</v>
      </c>
      <c r="R706" s="48">
        <f>IF(INVESTORS_LIST[[#This Row],[SIP_TOTAL UNITS SOLD]]=0,0,SUMIFS(SIP[Realized Gain],SIP[Investor ID],INVESTORS_LIST[[#This Row],[INVESTOR CODE]],SIP[B/S],"S"))</f>
        <v>0</v>
      </c>
      <c r="S706" s="50">
        <f>INVESTORS_LIST[[#This Row],[LS_TOTAL UNITS BUY]]+INVESTORS_LIST[[#This Row],[SIP_TOTAL UNITS BUY]]</f>
        <v>0</v>
      </c>
      <c r="T706" s="50">
        <f>INVESTORS_LIST[[#This Row],[LS_TOTAL UNITS SOLD]]+INVESTORS_LIST[[#This Row],[SIP_TOTAL UNITS SOLD]]</f>
        <v>0</v>
      </c>
      <c r="U706" s="50"/>
      <c r="V706" s="50">
        <f>SUMIFS(LS[BO UNIT TRANSFER],LS[Investor ID],INVESTORS_LIST[[#This Row],[INVESTOR CODE]],LS[B/S],"B")</f>
        <v>0</v>
      </c>
      <c r="W706" s="50">
        <f>SUMIFS(SIP[BO UNIT TRANSFER],SIP[Investor ID],INVESTORS_LIST[[#This Row],[INVESTOR CODE]],SIP[B/S],"B")</f>
        <v>0</v>
      </c>
      <c r="X706" s="50">
        <f>SUMIFS(LS[BO UNIT TRANSFER],LS[Investor ID],INVESTORS_LIST[[#This Row],[INVESTOR CODE]],LS[B/S],"S")</f>
        <v>0</v>
      </c>
      <c r="Y706" s="50">
        <f>SUMIFS(SIP[BO UNIT TRANSFER],SIP[Investor ID],INVESTORS_LIST[[#This Row],[INVESTOR CODE]],SIP[B/S],"S")</f>
        <v>0</v>
      </c>
      <c r="Z706" s="106">
        <f>SUM(INVESTORS_LIST[[#This Row],[BO OPENING BALANCE]:[BO SIP UNITS REPURCHASE]])</f>
        <v>0</v>
      </c>
      <c r="AA706" s="107">
        <f>INVESTORS_LIST[[#This Row],[TOTAL UNITS BUY]]-INVESTORS_LIST[[#This Row],[TOTAL UNITS SOLD]]</f>
        <v>0</v>
      </c>
      <c r="AB706" s="107">
        <f>INVESTORS_LIST[[#This Row],[TOTAL CURRENT UNITS]]-INVESTORS_LIST[[#This Row],[BO UNITS HOLD]]</f>
        <v>0</v>
      </c>
      <c r="AC706" s="201" t="e">
        <f>INDEX([3]!Table_1[BO ID],MATCH(INVESTORS_LIST[[#This Row],[INVESTOR CODE]],[3]!Table_1[INVESTOR CODE],0))</f>
        <v>#REF!</v>
      </c>
      <c r="AD706" s="201" t="e">
        <f>INDEX([3]!Table_1[Brokerage Name2],MATCH(INVESTORS_LIST[[#This Row],[INVESTOR CODE]],[3]!Table_1[INVESTOR CODE],0))</f>
        <v>#REF!</v>
      </c>
      <c r="AE706" s="201" t="e">
        <f>MID(INVESTORS_LIST[[#This Row],[BO ID]],4,5)</f>
        <v>#REF!</v>
      </c>
      <c r="AF706" s="201" t="e">
        <f>MID(INVESTORS_LIST[[#This Row],[BO ID]],2,7)</f>
        <v>#REF!</v>
      </c>
      <c r="AG706" s="201" t="e">
        <f>MID(INVESTORS_LIST[[#This Row],[BO ID]],9,7)</f>
        <v>#REF!</v>
      </c>
      <c r="AH706" s="201" t="e">
        <f>RIGHT(INVESTORS_LIST[[#This Row],[BO ID]],1)</f>
        <v>#REF!</v>
      </c>
      <c r="AI706" s="50">
        <f>INVESTORS_LIST[[#This Row],[LS_TOTAL COST VALUE OF CURRENT UNITS]]+INVESTORS_LIST[[#This Row],[SIP_TOTAL COST VALUE OF CURRENT UNITS]]</f>
        <v>0</v>
      </c>
      <c r="AJ706" s="109">
        <f>IF(INVESTORS_LIST[[#This Row],[TOTAL CURRENT UNITS]]=0,0,INVESTORS_LIST[[#This Row],[LS_TOTAL CURRENT UNITS]]/INVESTORS_LIST[[#This Row],[TOTAL CURRENT UNITS]])</f>
        <v>0</v>
      </c>
      <c r="AK706" s="109">
        <f>IF(INVESTORS_LIST[[#This Row],[TOTAL CURRENT UNITS]]=0,0,INVESTORS_LIST[[#This Row],[SIP_TOTAL CURRENT UNITS]]/INVESTORS_LIST[[#This Row],[TOTAL CURRENT UNITS]])</f>
        <v>0</v>
      </c>
      <c r="AL706" s="99" cm="1">
        <f t="array" ref="AL7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6" s="99" cm="1">
        <f t="array" ref="AM7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6" s="105">
        <f t="shared" si="11"/>
        <v>14.224</v>
      </c>
      <c r="AP706" s="112">
        <f>IF(INVESTORS_LIST[[#This Row],[TOTAL CURRENT UNITS]]=0,0,INVESTORS_LIST[[#This Row],[TOTAL CURRENT UNITS]]*INVESTORS_LIST[[#This Row],[NAV]])</f>
        <v>0</v>
      </c>
      <c r="AQ706" s="102">
        <f>IF(INVESTORS_LIST[[#This Row],[LS_TOTAL CURRENT UNITS]]=0,0,INVESTORS_LIST[[#This Row],[LS_TOTAL CURRENT UNITS]]*INVESTORS_LIST[[#This Row],[NAV]])</f>
        <v>0</v>
      </c>
      <c r="AR706" s="48">
        <f>IF(INVESTORS_LIST[[#This Row],[SIP_TOTAL CURRENT UNITS]]=0,0,INVESTORS_LIST[[#This Row],[SIP_TOTAL CURRENT UNITS]]*INVESTORS_LIST[[#This Row],[NAV]])</f>
        <v>0</v>
      </c>
      <c r="AS706" s="50">
        <f>INVESTORS_LIST[[#This Row],[TOTAL CURRENT UNITS]]</f>
        <v>0</v>
      </c>
      <c r="AT706" s="48">
        <f>IF(INVESTORS_LIST[[#This Row],[TOTAL SELLABLE UNITS]]=0,0,INVESTORS_LIST[[#This Row],[TOTAL SELLABLE UNITS]]*INVESTORS_LIST[[#This Row],[NAV]])</f>
        <v>0</v>
      </c>
      <c r="AU706" s="48">
        <f>INVESTORS_LIST[[#This Row],[LS_TOTAL REALIZED GAIN]]+INVESTORS_LIST[[#This Row],[SIP_TOTAL REALIZED GAIN]]</f>
        <v>0</v>
      </c>
      <c r="AV706" s="48">
        <f>INVESTORS_LIST[[#This Row],[TOTAL MARKET VALUE]]-INVESTORS_LIST[[#This Row],[TOTAL COST VALUE OF CURRENT INVESTMENT]]</f>
        <v>0</v>
      </c>
      <c r="AW706" s="48">
        <f>IFERROR(INVESTORS_LIST[[#This Row],[TOTAL CURRENT UNITS]]/SUM(INVESTORS_LIST[TOTAL CURRENT UNITS]),0)</f>
        <v>0</v>
      </c>
    </row>
    <row r="707" spans="1:49">
      <c r="A707" s="262" t="s">
        <v>1517</v>
      </c>
      <c r="B707" s="97" t="s">
        <v>1519</v>
      </c>
      <c r="C707" t="s">
        <v>67</v>
      </c>
      <c r="D707" s="75" t="s">
        <v>45</v>
      </c>
      <c r="E707" s="50">
        <f>SUMIFS(LS[Unit],LS[Investor ID],INVESTORS_LIST[[#This Row],[INVESTOR CODE]],LS[B/S],"B")</f>
        <v>0</v>
      </c>
      <c r="F707" s="50">
        <f>-SUMIFS(LS[Unit],LS[Investor ID],INVESTORS_LIST[[#This Row],[INVESTOR CODE]],LS[B/S],"S")</f>
        <v>0</v>
      </c>
      <c r="G707" s="50">
        <f>IF(INVESTORS_LIST[[#This Row],[LS_TOTAL UNITS BUY]]=0,0,INVESTORS_LIST[[#This Row],[LS_TOTAL UNITS BUY]]-INVESTORS_LIST[[#This Row],[LS_TOTAL UNITS SOLD]])</f>
        <v>0</v>
      </c>
      <c r="H707" s="102">
        <f>IF(INVESTORS_LIST[[#This Row],[LS_TOTAL UNITS BUY]]=0,0,SUMIFS(LS[Amount],LS[Investor ID],INVESTORS_LIST[[#This Row],[INVESTOR CODE]],LS[B/S],"B"))</f>
        <v>0</v>
      </c>
      <c r="I707" s="48">
        <f>IF(INVESTORS_LIST[[#This Row],[LS_TOTAL UNITS SOLD]]=0,0,SUMIFS(LS[Cost of Units Sold],LS[Investor ID],INVESTORS_LIST[[#This Row],[INVESTOR CODE]],LS[B/S],"S"))</f>
        <v>0</v>
      </c>
      <c r="J707" s="48">
        <f>IF(INVESTORS_LIST[[#This Row],[LS_TOTAL CURRENT UNITS]]=0,0,INVESTORS_LIST[[#This Row],[LS_TOTAL CURRENT UNITS]]*INVESTORS_LIST[[#This Row],[LS_AVERAGE COST]])</f>
        <v>0</v>
      </c>
      <c r="K707" s="48">
        <f>IF(INVESTORS_LIST[[#This Row],[LS_TOTAL UNITS SOLD]]=0,0,SUMIFS(LS[Realized Gain],LS[Investor ID],INVESTORS_LIST[[#This Row],[INVESTOR CODE]],LS[B/S],"S"))</f>
        <v>0</v>
      </c>
      <c r="L707" s="104">
        <f>SUMIFS(SIP[Unit],SIP[Investor ID],INVESTORS_LIST[[#This Row],[INVESTOR CODE]],SIP[B/S],"B")</f>
        <v>143</v>
      </c>
      <c r="M707" s="50">
        <f>-SUMIFS(SIP[Unit],SIP[Investor ID],INVESTORS_LIST[[#This Row],[INVESTOR CODE]],SIP[B/S],"S")</f>
        <v>0</v>
      </c>
      <c r="N707" s="50">
        <f>IF(INVESTORS_LIST[[#This Row],[SIP_TOTAL UNITS BUY]]=0,0,INVESTORS_LIST[[#This Row],[SIP_TOTAL UNITS BUY]]-INVESTORS_LIST[[#This Row],[SIP_TOTAL UNITS SOLD]])</f>
        <v>143</v>
      </c>
      <c r="O707" s="48">
        <f>IF(INVESTORS_LIST[[#This Row],[SIP_TOTAL UNITS BUY]]=0,0,SUMIFS(SIP[Amount],SIP[Investor ID],INVESTORS_LIST[[#This Row],[INVESTOR CODE]],SIP[B/S],"B"))</f>
        <v>2000</v>
      </c>
      <c r="P707" s="48">
        <f>IF(INVESTORS_LIST[[#This Row],[SIP_TOTAL UNITS SOLD]]=0,0,SUMIFS(SIP[Cost of Units Sold],SIP[Investor ID],INVESTORS_LIST[[#This Row],[INVESTOR CODE]],SIP[B/S],"S"))</f>
        <v>0</v>
      </c>
      <c r="Q707" s="48">
        <f>IF(INVESTORS_LIST[[#This Row],[SIP_TOTAL CURRENT UNITS]]=0,0,INVESTORS_LIST[[#This Row],[SIP_TOTAL CURRENT UNITS]]*INVESTORS_LIST[[#This Row],[SIP_AVERAGE COST]])</f>
        <v>2000</v>
      </c>
      <c r="R707" s="48">
        <f>IF(INVESTORS_LIST[[#This Row],[SIP_TOTAL UNITS SOLD]]=0,0,SUMIFS(SIP[Realized Gain],SIP[Investor ID],INVESTORS_LIST[[#This Row],[INVESTOR CODE]],SIP[B/S],"S"))</f>
        <v>0</v>
      </c>
      <c r="S707" s="50">
        <f>INVESTORS_LIST[[#This Row],[LS_TOTAL UNITS BUY]]+INVESTORS_LIST[[#This Row],[SIP_TOTAL UNITS BUY]]</f>
        <v>143</v>
      </c>
      <c r="T707" s="50">
        <f>INVESTORS_LIST[[#This Row],[LS_TOTAL UNITS SOLD]]+INVESTORS_LIST[[#This Row],[SIP_TOTAL UNITS SOLD]]</f>
        <v>0</v>
      </c>
      <c r="U707" s="50"/>
      <c r="V707" s="50">
        <f>SUMIFS(LS[BO UNIT TRANSFER],LS[Investor ID],INVESTORS_LIST[[#This Row],[INVESTOR CODE]],LS[B/S],"B")</f>
        <v>0</v>
      </c>
      <c r="W707" s="50">
        <f>SUMIFS(SIP[BO UNIT TRANSFER],SIP[Investor ID],INVESTORS_LIST[[#This Row],[INVESTOR CODE]],SIP[B/S],"B")</f>
        <v>72</v>
      </c>
      <c r="X707" s="50">
        <f>SUMIFS(LS[BO UNIT TRANSFER],LS[Investor ID],INVESTORS_LIST[[#This Row],[INVESTOR CODE]],LS[B/S],"S")</f>
        <v>0</v>
      </c>
      <c r="Y707" s="50">
        <f>SUMIFS(SIP[BO UNIT TRANSFER],SIP[Investor ID],INVESTORS_LIST[[#This Row],[INVESTOR CODE]],SIP[B/S],"S")</f>
        <v>0</v>
      </c>
      <c r="Z707" s="106">
        <f>SUM(INVESTORS_LIST[[#This Row],[BO OPENING BALANCE]:[BO SIP UNITS REPURCHASE]])</f>
        <v>72</v>
      </c>
      <c r="AA707" s="107">
        <f>INVESTORS_LIST[[#This Row],[TOTAL UNITS BUY]]-INVESTORS_LIST[[#This Row],[TOTAL UNITS SOLD]]</f>
        <v>143</v>
      </c>
      <c r="AB707" s="107">
        <f>INVESTORS_LIST[[#This Row],[TOTAL CURRENT UNITS]]-INVESTORS_LIST[[#This Row],[BO UNITS HOLD]]</f>
        <v>71</v>
      </c>
      <c r="AC707" s="201" t="e">
        <f>INDEX([3]!Table_1[BO ID],MATCH(INVESTORS_LIST[[#This Row],[INVESTOR CODE]],[3]!Table_1[INVESTOR CODE],0))</f>
        <v>#REF!</v>
      </c>
      <c r="AD707" s="201" t="e">
        <f>INDEX([3]!Table_1[Brokerage Name2],MATCH(INVESTORS_LIST[[#This Row],[INVESTOR CODE]],[3]!Table_1[INVESTOR CODE],0))</f>
        <v>#REF!</v>
      </c>
      <c r="AE707" s="201" t="e">
        <f>MID(INVESTORS_LIST[[#This Row],[BO ID]],4,5)</f>
        <v>#REF!</v>
      </c>
      <c r="AF707" s="201" t="e">
        <f>MID(INVESTORS_LIST[[#This Row],[BO ID]],2,7)</f>
        <v>#REF!</v>
      </c>
      <c r="AG707" s="201" t="e">
        <f>MID(INVESTORS_LIST[[#This Row],[BO ID]],9,7)</f>
        <v>#REF!</v>
      </c>
      <c r="AH707" s="201" t="e">
        <f>RIGHT(INVESTORS_LIST[[#This Row],[BO ID]],1)</f>
        <v>#REF!</v>
      </c>
      <c r="AI707" s="50">
        <f>INVESTORS_LIST[[#This Row],[LS_TOTAL COST VALUE OF CURRENT UNITS]]+INVESTORS_LIST[[#This Row],[SIP_TOTAL COST VALUE OF CURRENT UNITS]]</f>
        <v>2000</v>
      </c>
      <c r="AJ707" s="109">
        <f>IF(INVESTORS_LIST[[#This Row],[TOTAL CURRENT UNITS]]=0,0,INVESTORS_LIST[[#This Row],[LS_TOTAL CURRENT UNITS]]/INVESTORS_LIST[[#This Row],[TOTAL CURRENT UNITS]])</f>
        <v>0</v>
      </c>
      <c r="AK707" s="109">
        <f>IF(INVESTORS_LIST[[#This Row],[TOTAL CURRENT UNITS]]=0,0,INVESTORS_LIST[[#This Row],[SIP_TOTAL CURRENT UNITS]]/INVESTORS_LIST[[#This Row],[TOTAL CURRENT UNITS]])</f>
        <v>1</v>
      </c>
      <c r="AL707" s="99" cm="1">
        <f t="array" ref="AL7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7" s="99" cm="1">
        <f t="array" ref="AM707">IF(INVESTORS_LIST[[#This Row],[SIP_TOTAL UNITS BUY]]&gt;0,INDEX(SIP[NAV at Cost (Average)],MATCH(CONCATENATE(COUNTIFS(SIP[Investor ID],INVESTORS_LIST[[#This Row],[INVESTOR CODE]]),INVESTORS_LIST[[#This Row],[INVESTOR CODE]]),SIP[Unique Code],0),),0)</f>
        <v>13.986013986013987</v>
      </c>
      <c r="AN707" s="105">
        <f>IF(INVESTORS_LIST[[#This Row],[TOTAL CURRENT UNITS]]=0,0,(INVESTORS_LIST[[#This Row],[LS_WEIGHT]]*INVESTORS_LIST[[#This Row],[LS_AVERAGE COST]])+(INVESTORS_LIST[[#This Row],[SIP_WEIGHT]]*INVESTORS_LIST[[#This Row],[SIP_AVERAGE COST]]))</f>
        <v>13.986013986013987</v>
      </c>
      <c r="AO707" s="105">
        <f t="shared" si="11"/>
        <v>14.224</v>
      </c>
      <c r="AP707" s="112">
        <f>IF(INVESTORS_LIST[[#This Row],[TOTAL CURRENT UNITS]]=0,0,INVESTORS_LIST[[#This Row],[TOTAL CURRENT UNITS]]*INVESTORS_LIST[[#This Row],[NAV]])</f>
        <v>2034.0319999999999</v>
      </c>
      <c r="AQ707" s="102">
        <f>IF(INVESTORS_LIST[[#This Row],[LS_TOTAL CURRENT UNITS]]=0,0,INVESTORS_LIST[[#This Row],[LS_TOTAL CURRENT UNITS]]*INVESTORS_LIST[[#This Row],[NAV]])</f>
        <v>0</v>
      </c>
      <c r="AR707" s="48">
        <f>IF(INVESTORS_LIST[[#This Row],[SIP_TOTAL CURRENT UNITS]]=0,0,INVESTORS_LIST[[#This Row],[SIP_TOTAL CURRENT UNITS]]*INVESTORS_LIST[[#This Row],[NAV]])</f>
        <v>2034.0319999999999</v>
      </c>
      <c r="AS707" s="50">
        <f>INVESTORS_LIST[[#This Row],[TOTAL CURRENT UNITS]]</f>
        <v>143</v>
      </c>
      <c r="AT707" s="48">
        <f>IF(INVESTORS_LIST[[#This Row],[TOTAL SELLABLE UNITS]]=0,0,INVESTORS_LIST[[#This Row],[TOTAL SELLABLE UNITS]]*INVESTORS_LIST[[#This Row],[NAV]])</f>
        <v>2034.0319999999999</v>
      </c>
      <c r="AU707" s="48">
        <f>INVESTORS_LIST[[#This Row],[LS_TOTAL REALIZED GAIN]]+INVESTORS_LIST[[#This Row],[SIP_TOTAL REALIZED GAIN]]</f>
        <v>0</v>
      </c>
      <c r="AV707" s="48">
        <f>INVESTORS_LIST[[#This Row],[TOTAL MARKET VALUE]]-INVESTORS_LIST[[#This Row],[TOTAL COST VALUE OF CURRENT INVESTMENT]]</f>
        <v>34.031999999999925</v>
      </c>
      <c r="AW707" s="48">
        <f>IFERROR(INVESTORS_LIST[[#This Row],[TOTAL CURRENT UNITS]]/SUM(INVESTORS_LIST[TOTAL CURRENT UNITS]),0)</f>
        <v>3.4714977291428227E-6</v>
      </c>
    </row>
    <row r="708" spans="1:49" hidden="1">
      <c r="A708" s="262" t="s">
        <v>1518</v>
      </c>
      <c r="B708" s="97" t="s">
        <v>1520</v>
      </c>
      <c r="C708" t="s">
        <v>44</v>
      </c>
      <c r="D708" s="75" t="s">
        <v>45</v>
      </c>
      <c r="E708" s="50">
        <f>SUMIFS(LS[Unit],LS[Investor ID],INVESTORS_LIST[[#This Row],[INVESTOR CODE]],LS[B/S],"B")</f>
        <v>0</v>
      </c>
      <c r="F708" s="50">
        <f>-SUMIFS(LS[Unit],LS[Investor ID],INVESTORS_LIST[[#This Row],[INVESTOR CODE]],LS[B/S],"S")</f>
        <v>0</v>
      </c>
      <c r="G708" s="50">
        <f>IF(INVESTORS_LIST[[#This Row],[LS_TOTAL UNITS BUY]]=0,0,INVESTORS_LIST[[#This Row],[LS_TOTAL UNITS BUY]]-INVESTORS_LIST[[#This Row],[LS_TOTAL UNITS SOLD]])</f>
        <v>0</v>
      </c>
      <c r="H708" s="102">
        <f>IF(INVESTORS_LIST[[#This Row],[LS_TOTAL UNITS BUY]]=0,0,SUMIFS(LS[Amount],LS[Investor ID],INVESTORS_LIST[[#This Row],[INVESTOR CODE]],LS[B/S],"B"))</f>
        <v>0</v>
      </c>
      <c r="I708" s="48">
        <f>IF(INVESTORS_LIST[[#This Row],[LS_TOTAL UNITS SOLD]]=0,0,SUMIFS(LS[Cost of Units Sold],LS[Investor ID],INVESTORS_LIST[[#This Row],[INVESTOR CODE]],LS[B/S],"S"))</f>
        <v>0</v>
      </c>
      <c r="J708" s="48">
        <f>IF(INVESTORS_LIST[[#This Row],[LS_TOTAL CURRENT UNITS]]=0,0,INVESTORS_LIST[[#This Row],[LS_TOTAL CURRENT UNITS]]*INVESTORS_LIST[[#This Row],[LS_AVERAGE COST]])</f>
        <v>0</v>
      </c>
      <c r="K708" s="48">
        <f>IF(INVESTORS_LIST[[#This Row],[LS_TOTAL UNITS SOLD]]=0,0,SUMIFS(LS[Realized Gain],LS[Investor ID],INVESTORS_LIST[[#This Row],[INVESTOR CODE]],LS[B/S],"S"))</f>
        <v>0</v>
      </c>
      <c r="L708" s="104">
        <f>SUMIFS(SIP[Unit],SIP[Investor ID],INVESTORS_LIST[[#This Row],[INVESTOR CODE]],SIP[B/S],"B")</f>
        <v>0</v>
      </c>
      <c r="M708" s="50">
        <f>-SUMIFS(SIP[Unit],SIP[Investor ID],INVESTORS_LIST[[#This Row],[INVESTOR CODE]],SIP[B/S],"S")</f>
        <v>0</v>
      </c>
      <c r="N708" s="50">
        <f>IF(INVESTORS_LIST[[#This Row],[SIP_TOTAL UNITS BUY]]=0,0,INVESTORS_LIST[[#This Row],[SIP_TOTAL UNITS BUY]]-INVESTORS_LIST[[#This Row],[SIP_TOTAL UNITS SOLD]])</f>
        <v>0</v>
      </c>
      <c r="O708" s="48">
        <f>IF(INVESTORS_LIST[[#This Row],[SIP_TOTAL UNITS BUY]]=0,0,SUMIFS(SIP[Amount],SIP[Investor ID],INVESTORS_LIST[[#This Row],[INVESTOR CODE]],SIP[B/S],"B"))</f>
        <v>0</v>
      </c>
      <c r="P708" s="48">
        <f>IF(INVESTORS_LIST[[#This Row],[SIP_TOTAL UNITS SOLD]]=0,0,SUMIFS(SIP[Cost of Units Sold],SIP[Investor ID],INVESTORS_LIST[[#This Row],[INVESTOR CODE]],SIP[B/S],"S"))</f>
        <v>0</v>
      </c>
      <c r="Q708" s="48">
        <f>IF(INVESTORS_LIST[[#This Row],[SIP_TOTAL CURRENT UNITS]]=0,0,INVESTORS_LIST[[#This Row],[SIP_TOTAL CURRENT UNITS]]*INVESTORS_LIST[[#This Row],[SIP_AVERAGE COST]])</f>
        <v>0</v>
      </c>
      <c r="R708" s="48">
        <f>IF(INVESTORS_LIST[[#This Row],[SIP_TOTAL UNITS SOLD]]=0,0,SUMIFS(SIP[Realized Gain],SIP[Investor ID],INVESTORS_LIST[[#This Row],[INVESTOR CODE]],SIP[B/S],"S"))</f>
        <v>0</v>
      </c>
      <c r="S708" s="50">
        <f>INVESTORS_LIST[[#This Row],[LS_TOTAL UNITS BUY]]+INVESTORS_LIST[[#This Row],[SIP_TOTAL UNITS BUY]]</f>
        <v>0</v>
      </c>
      <c r="T708" s="50">
        <f>INVESTORS_LIST[[#This Row],[LS_TOTAL UNITS SOLD]]+INVESTORS_LIST[[#This Row],[SIP_TOTAL UNITS SOLD]]</f>
        <v>0</v>
      </c>
      <c r="U708" s="50"/>
      <c r="V708" s="50">
        <f>SUMIFS(LS[BO UNIT TRANSFER],LS[Investor ID],INVESTORS_LIST[[#This Row],[INVESTOR CODE]],LS[B/S],"B")</f>
        <v>0</v>
      </c>
      <c r="W708" s="50">
        <f>SUMIFS(SIP[BO UNIT TRANSFER],SIP[Investor ID],INVESTORS_LIST[[#This Row],[INVESTOR CODE]],SIP[B/S],"B")</f>
        <v>0</v>
      </c>
      <c r="X708" s="50">
        <f>SUMIFS(LS[BO UNIT TRANSFER],LS[Investor ID],INVESTORS_LIST[[#This Row],[INVESTOR CODE]],LS[B/S],"S")</f>
        <v>0</v>
      </c>
      <c r="Y708" s="50">
        <f>SUMIFS(SIP[BO UNIT TRANSFER],SIP[Investor ID],INVESTORS_LIST[[#This Row],[INVESTOR CODE]],SIP[B/S],"S")</f>
        <v>0</v>
      </c>
      <c r="Z708" s="106">
        <f>SUM(INVESTORS_LIST[[#This Row],[BO OPENING BALANCE]:[BO SIP UNITS REPURCHASE]])</f>
        <v>0</v>
      </c>
      <c r="AA708" s="107">
        <f>INVESTORS_LIST[[#This Row],[TOTAL UNITS BUY]]-INVESTORS_LIST[[#This Row],[TOTAL UNITS SOLD]]</f>
        <v>0</v>
      </c>
      <c r="AB708" s="107">
        <f>INVESTORS_LIST[[#This Row],[TOTAL CURRENT UNITS]]-INVESTORS_LIST[[#This Row],[BO UNITS HOLD]]</f>
        <v>0</v>
      </c>
      <c r="AC708" s="201" t="e">
        <f>INDEX([3]!Table_1[BO ID],MATCH(INVESTORS_LIST[[#This Row],[INVESTOR CODE]],[3]!Table_1[INVESTOR CODE],0))</f>
        <v>#REF!</v>
      </c>
      <c r="AD708" s="201" t="e">
        <f>INDEX([3]!Table_1[Brokerage Name2],MATCH(INVESTORS_LIST[[#This Row],[INVESTOR CODE]],[3]!Table_1[INVESTOR CODE],0))</f>
        <v>#REF!</v>
      </c>
      <c r="AE708" s="201" t="e">
        <f>MID(INVESTORS_LIST[[#This Row],[BO ID]],4,5)</f>
        <v>#REF!</v>
      </c>
      <c r="AF708" s="201" t="e">
        <f>MID(INVESTORS_LIST[[#This Row],[BO ID]],2,7)</f>
        <v>#REF!</v>
      </c>
      <c r="AG708" s="201" t="e">
        <f>MID(INVESTORS_LIST[[#This Row],[BO ID]],9,7)</f>
        <v>#REF!</v>
      </c>
      <c r="AH708" s="201" t="e">
        <f>RIGHT(INVESTORS_LIST[[#This Row],[BO ID]],1)</f>
        <v>#REF!</v>
      </c>
      <c r="AI708" s="50">
        <f>INVESTORS_LIST[[#This Row],[LS_TOTAL COST VALUE OF CURRENT UNITS]]+INVESTORS_LIST[[#This Row],[SIP_TOTAL COST VALUE OF CURRENT UNITS]]</f>
        <v>0</v>
      </c>
      <c r="AJ708" s="109">
        <f>IF(INVESTORS_LIST[[#This Row],[TOTAL CURRENT UNITS]]=0,0,INVESTORS_LIST[[#This Row],[LS_TOTAL CURRENT UNITS]]/INVESTORS_LIST[[#This Row],[TOTAL CURRENT UNITS]])</f>
        <v>0</v>
      </c>
      <c r="AK708" s="109">
        <f>IF(INVESTORS_LIST[[#This Row],[TOTAL CURRENT UNITS]]=0,0,INVESTORS_LIST[[#This Row],[SIP_TOTAL CURRENT UNITS]]/INVESTORS_LIST[[#This Row],[TOTAL CURRENT UNITS]])</f>
        <v>0</v>
      </c>
      <c r="AL708" s="99" cm="1">
        <f t="array" ref="AL7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8" s="99" cm="1">
        <f t="array" ref="AM7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8" s="105">
        <f t="shared" si="11"/>
        <v>14.224</v>
      </c>
      <c r="AP708" s="112">
        <f>IF(INVESTORS_LIST[[#This Row],[TOTAL CURRENT UNITS]]=0,0,INVESTORS_LIST[[#This Row],[TOTAL CURRENT UNITS]]*INVESTORS_LIST[[#This Row],[NAV]])</f>
        <v>0</v>
      </c>
      <c r="AQ708" s="102">
        <f>IF(INVESTORS_LIST[[#This Row],[LS_TOTAL CURRENT UNITS]]=0,0,INVESTORS_LIST[[#This Row],[LS_TOTAL CURRENT UNITS]]*INVESTORS_LIST[[#This Row],[NAV]])</f>
        <v>0</v>
      </c>
      <c r="AR708" s="48">
        <f>IF(INVESTORS_LIST[[#This Row],[SIP_TOTAL CURRENT UNITS]]=0,0,INVESTORS_LIST[[#This Row],[SIP_TOTAL CURRENT UNITS]]*INVESTORS_LIST[[#This Row],[NAV]])</f>
        <v>0</v>
      </c>
      <c r="AS708" s="50">
        <f>INVESTORS_LIST[[#This Row],[TOTAL CURRENT UNITS]]</f>
        <v>0</v>
      </c>
      <c r="AT708" s="48">
        <f>IF(INVESTORS_LIST[[#This Row],[TOTAL SELLABLE UNITS]]=0,0,INVESTORS_LIST[[#This Row],[TOTAL SELLABLE UNITS]]*INVESTORS_LIST[[#This Row],[NAV]])</f>
        <v>0</v>
      </c>
      <c r="AU708" s="48">
        <f>INVESTORS_LIST[[#This Row],[LS_TOTAL REALIZED GAIN]]+INVESTORS_LIST[[#This Row],[SIP_TOTAL REALIZED GAIN]]</f>
        <v>0</v>
      </c>
      <c r="AV708" s="48">
        <f>INVESTORS_LIST[[#This Row],[TOTAL MARKET VALUE]]-INVESTORS_LIST[[#This Row],[TOTAL COST VALUE OF CURRENT INVESTMENT]]</f>
        <v>0</v>
      </c>
      <c r="AW708" s="48">
        <f>IFERROR(INVESTORS_LIST[[#This Row],[TOTAL CURRENT UNITS]]/SUM(INVESTORS_LIST[TOTAL CURRENT UNITS]),0)</f>
        <v>0</v>
      </c>
    </row>
    <row r="709" spans="1:49" hidden="1">
      <c r="A709" s="262" t="s">
        <v>1521</v>
      </c>
      <c r="B709" s="97" t="s">
        <v>1522</v>
      </c>
      <c r="C709" t="s">
        <v>67</v>
      </c>
      <c r="D709" s="75" t="s">
        <v>45</v>
      </c>
      <c r="E709" s="50">
        <f>SUMIFS(LS[Unit],LS[Investor ID],INVESTORS_LIST[[#This Row],[INVESTOR CODE]],LS[B/S],"B")</f>
        <v>0</v>
      </c>
      <c r="F709" s="50">
        <f>-SUMIFS(LS[Unit],LS[Investor ID],INVESTORS_LIST[[#This Row],[INVESTOR CODE]],LS[B/S],"S")</f>
        <v>0</v>
      </c>
      <c r="G709" s="50">
        <f>IF(INVESTORS_LIST[[#This Row],[LS_TOTAL UNITS BUY]]=0,0,INVESTORS_LIST[[#This Row],[LS_TOTAL UNITS BUY]]-INVESTORS_LIST[[#This Row],[LS_TOTAL UNITS SOLD]])</f>
        <v>0</v>
      </c>
      <c r="H709" s="102">
        <f>IF(INVESTORS_LIST[[#This Row],[LS_TOTAL UNITS BUY]]=0,0,SUMIFS(LS[Amount],LS[Investor ID],INVESTORS_LIST[[#This Row],[INVESTOR CODE]],LS[B/S],"B"))</f>
        <v>0</v>
      </c>
      <c r="I709" s="48">
        <f>IF(INVESTORS_LIST[[#This Row],[LS_TOTAL UNITS SOLD]]=0,0,SUMIFS(LS[Cost of Units Sold],LS[Investor ID],INVESTORS_LIST[[#This Row],[INVESTOR CODE]],LS[B/S],"S"))</f>
        <v>0</v>
      </c>
      <c r="J709" s="48">
        <f>IF(INVESTORS_LIST[[#This Row],[LS_TOTAL CURRENT UNITS]]=0,0,INVESTORS_LIST[[#This Row],[LS_TOTAL CURRENT UNITS]]*INVESTORS_LIST[[#This Row],[LS_AVERAGE COST]])</f>
        <v>0</v>
      </c>
      <c r="K709" s="48">
        <f>IF(INVESTORS_LIST[[#This Row],[LS_TOTAL UNITS SOLD]]=0,0,SUMIFS(LS[Realized Gain],LS[Investor ID],INVESTORS_LIST[[#This Row],[INVESTOR CODE]],LS[B/S],"S"))</f>
        <v>0</v>
      </c>
      <c r="L709" s="104">
        <f>SUMIFS(SIP[Unit],SIP[Investor ID],INVESTORS_LIST[[#This Row],[INVESTOR CODE]],SIP[B/S],"B")</f>
        <v>0</v>
      </c>
      <c r="M709" s="50">
        <f>-SUMIFS(SIP[Unit],SIP[Investor ID],INVESTORS_LIST[[#This Row],[INVESTOR CODE]],SIP[B/S],"S")</f>
        <v>0</v>
      </c>
      <c r="N709" s="50">
        <f>IF(INVESTORS_LIST[[#This Row],[SIP_TOTAL UNITS BUY]]=0,0,INVESTORS_LIST[[#This Row],[SIP_TOTAL UNITS BUY]]-INVESTORS_LIST[[#This Row],[SIP_TOTAL UNITS SOLD]])</f>
        <v>0</v>
      </c>
      <c r="O709" s="48">
        <f>IF(INVESTORS_LIST[[#This Row],[SIP_TOTAL UNITS BUY]]=0,0,SUMIFS(SIP[Amount],SIP[Investor ID],INVESTORS_LIST[[#This Row],[INVESTOR CODE]],SIP[B/S],"B"))</f>
        <v>0</v>
      </c>
      <c r="P709" s="48">
        <f>IF(INVESTORS_LIST[[#This Row],[SIP_TOTAL UNITS SOLD]]=0,0,SUMIFS(SIP[Cost of Units Sold],SIP[Investor ID],INVESTORS_LIST[[#This Row],[INVESTOR CODE]],SIP[B/S],"S"))</f>
        <v>0</v>
      </c>
      <c r="Q709" s="48">
        <f>IF(INVESTORS_LIST[[#This Row],[SIP_TOTAL CURRENT UNITS]]=0,0,INVESTORS_LIST[[#This Row],[SIP_TOTAL CURRENT UNITS]]*INVESTORS_LIST[[#This Row],[SIP_AVERAGE COST]])</f>
        <v>0</v>
      </c>
      <c r="R709" s="48">
        <f>IF(INVESTORS_LIST[[#This Row],[SIP_TOTAL UNITS SOLD]]=0,0,SUMIFS(SIP[Realized Gain],SIP[Investor ID],INVESTORS_LIST[[#This Row],[INVESTOR CODE]],SIP[B/S],"S"))</f>
        <v>0</v>
      </c>
      <c r="S709" s="50">
        <f>INVESTORS_LIST[[#This Row],[LS_TOTAL UNITS BUY]]+INVESTORS_LIST[[#This Row],[SIP_TOTAL UNITS BUY]]</f>
        <v>0</v>
      </c>
      <c r="T709" s="50">
        <f>INVESTORS_LIST[[#This Row],[LS_TOTAL UNITS SOLD]]+INVESTORS_LIST[[#This Row],[SIP_TOTAL UNITS SOLD]]</f>
        <v>0</v>
      </c>
      <c r="U709" s="50"/>
      <c r="V709" s="50">
        <f>SUMIFS(LS[BO UNIT TRANSFER],LS[Investor ID],INVESTORS_LIST[[#This Row],[INVESTOR CODE]],LS[B/S],"B")</f>
        <v>0</v>
      </c>
      <c r="W709" s="50">
        <f>SUMIFS(SIP[BO UNIT TRANSFER],SIP[Investor ID],INVESTORS_LIST[[#This Row],[INVESTOR CODE]],SIP[B/S],"B")</f>
        <v>0</v>
      </c>
      <c r="X709" s="50">
        <f>SUMIFS(LS[BO UNIT TRANSFER],LS[Investor ID],INVESTORS_LIST[[#This Row],[INVESTOR CODE]],LS[B/S],"S")</f>
        <v>0</v>
      </c>
      <c r="Y709" s="50">
        <f>SUMIFS(SIP[BO UNIT TRANSFER],SIP[Investor ID],INVESTORS_LIST[[#This Row],[INVESTOR CODE]],SIP[B/S],"S")</f>
        <v>0</v>
      </c>
      <c r="Z709" s="106">
        <f>SUM(INVESTORS_LIST[[#This Row],[BO OPENING BALANCE]:[BO SIP UNITS REPURCHASE]])</f>
        <v>0</v>
      </c>
      <c r="AA709" s="107">
        <f>INVESTORS_LIST[[#This Row],[TOTAL UNITS BUY]]-INVESTORS_LIST[[#This Row],[TOTAL UNITS SOLD]]</f>
        <v>0</v>
      </c>
      <c r="AB709" s="107">
        <f>INVESTORS_LIST[[#This Row],[TOTAL CURRENT UNITS]]-INVESTORS_LIST[[#This Row],[BO UNITS HOLD]]</f>
        <v>0</v>
      </c>
      <c r="AC709" s="201" t="e">
        <f>INDEX([3]!Table_1[BO ID],MATCH(INVESTORS_LIST[[#This Row],[INVESTOR CODE]],[3]!Table_1[INVESTOR CODE],0))</f>
        <v>#REF!</v>
      </c>
      <c r="AD709" s="201" t="e">
        <f>INDEX([3]!Table_1[Brokerage Name2],MATCH(INVESTORS_LIST[[#This Row],[INVESTOR CODE]],[3]!Table_1[INVESTOR CODE],0))</f>
        <v>#REF!</v>
      </c>
      <c r="AE709" s="201" t="e">
        <f>MID(INVESTORS_LIST[[#This Row],[BO ID]],4,5)</f>
        <v>#REF!</v>
      </c>
      <c r="AF709" s="201" t="e">
        <f>MID(INVESTORS_LIST[[#This Row],[BO ID]],2,7)</f>
        <v>#REF!</v>
      </c>
      <c r="AG709" s="201" t="e">
        <f>MID(INVESTORS_LIST[[#This Row],[BO ID]],9,7)</f>
        <v>#REF!</v>
      </c>
      <c r="AH709" s="201" t="e">
        <f>RIGHT(INVESTORS_LIST[[#This Row],[BO ID]],1)</f>
        <v>#REF!</v>
      </c>
      <c r="AI709" s="50">
        <f>INVESTORS_LIST[[#This Row],[LS_TOTAL COST VALUE OF CURRENT UNITS]]+INVESTORS_LIST[[#This Row],[SIP_TOTAL COST VALUE OF CURRENT UNITS]]</f>
        <v>0</v>
      </c>
      <c r="AJ709" s="109">
        <f>IF(INVESTORS_LIST[[#This Row],[TOTAL CURRENT UNITS]]=0,0,INVESTORS_LIST[[#This Row],[LS_TOTAL CURRENT UNITS]]/INVESTORS_LIST[[#This Row],[TOTAL CURRENT UNITS]])</f>
        <v>0</v>
      </c>
      <c r="AK709" s="109">
        <f>IF(INVESTORS_LIST[[#This Row],[TOTAL CURRENT UNITS]]=0,0,INVESTORS_LIST[[#This Row],[SIP_TOTAL CURRENT UNITS]]/INVESTORS_LIST[[#This Row],[TOTAL CURRENT UNITS]])</f>
        <v>0</v>
      </c>
      <c r="AL709" s="99" cm="1">
        <f t="array" ref="AL7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09" s="99" cm="1">
        <f t="array" ref="AM7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0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09" s="105">
        <f t="shared" ref="AO709:AO721" si="12">NAV_MKT</f>
        <v>14.224</v>
      </c>
      <c r="AP709" s="112">
        <f>IF(INVESTORS_LIST[[#This Row],[TOTAL CURRENT UNITS]]=0,0,INVESTORS_LIST[[#This Row],[TOTAL CURRENT UNITS]]*INVESTORS_LIST[[#This Row],[NAV]])</f>
        <v>0</v>
      </c>
      <c r="AQ709" s="102">
        <f>IF(INVESTORS_LIST[[#This Row],[LS_TOTAL CURRENT UNITS]]=0,0,INVESTORS_LIST[[#This Row],[LS_TOTAL CURRENT UNITS]]*INVESTORS_LIST[[#This Row],[NAV]])</f>
        <v>0</v>
      </c>
      <c r="AR709" s="48">
        <f>IF(INVESTORS_LIST[[#This Row],[SIP_TOTAL CURRENT UNITS]]=0,0,INVESTORS_LIST[[#This Row],[SIP_TOTAL CURRENT UNITS]]*INVESTORS_LIST[[#This Row],[NAV]])</f>
        <v>0</v>
      </c>
      <c r="AS709" s="50">
        <f>INVESTORS_LIST[[#This Row],[TOTAL CURRENT UNITS]]</f>
        <v>0</v>
      </c>
      <c r="AT709" s="48">
        <f>IF(INVESTORS_LIST[[#This Row],[TOTAL SELLABLE UNITS]]=0,0,INVESTORS_LIST[[#This Row],[TOTAL SELLABLE UNITS]]*INVESTORS_LIST[[#This Row],[NAV]])</f>
        <v>0</v>
      </c>
      <c r="AU709" s="48">
        <f>INVESTORS_LIST[[#This Row],[LS_TOTAL REALIZED GAIN]]+INVESTORS_LIST[[#This Row],[SIP_TOTAL REALIZED GAIN]]</f>
        <v>0</v>
      </c>
      <c r="AV709" s="48">
        <f>INVESTORS_LIST[[#This Row],[TOTAL MARKET VALUE]]-INVESTORS_LIST[[#This Row],[TOTAL COST VALUE OF CURRENT INVESTMENT]]</f>
        <v>0</v>
      </c>
      <c r="AW709" s="48">
        <f>IFERROR(INVESTORS_LIST[[#This Row],[TOTAL CURRENT UNITS]]/SUM(INVESTORS_LIST[TOTAL CURRENT UNITS]),0)</f>
        <v>0</v>
      </c>
    </row>
    <row r="710" spans="1:49">
      <c r="A710" s="262" t="s">
        <v>1523</v>
      </c>
      <c r="B710" s="97" t="s">
        <v>1524</v>
      </c>
      <c r="C710" t="s">
        <v>44</v>
      </c>
      <c r="D710" s="75" t="s">
        <v>45</v>
      </c>
      <c r="E710" s="50">
        <f>SUMIFS(LS[Unit],LS[Investor ID],INVESTORS_LIST[[#This Row],[INVESTOR CODE]],LS[B/S],"B")</f>
        <v>0</v>
      </c>
      <c r="F710" s="50">
        <f>-SUMIFS(LS[Unit],LS[Investor ID],INVESTORS_LIST[[#This Row],[INVESTOR CODE]],LS[B/S],"S")</f>
        <v>0</v>
      </c>
      <c r="G710" s="50">
        <f>IF(INVESTORS_LIST[[#This Row],[LS_TOTAL UNITS BUY]]=0,0,INVESTORS_LIST[[#This Row],[LS_TOTAL UNITS BUY]]-INVESTORS_LIST[[#This Row],[LS_TOTAL UNITS SOLD]])</f>
        <v>0</v>
      </c>
      <c r="H710" s="102">
        <f>IF(INVESTORS_LIST[[#This Row],[LS_TOTAL UNITS BUY]]=0,0,SUMIFS(LS[Amount],LS[Investor ID],INVESTORS_LIST[[#This Row],[INVESTOR CODE]],LS[B/S],"B"))</f>
        <v>0</v>
      </c>
      <c r="I710" s="48">
        <f>IF(INVESTORS_LIST[[#This Row],[LS_TOTAL UNITS SOLD]]=0,0,SUMIFS(LS[Cost of Units Sold],LS[Investor ID],INVESTORS_LIST[[#This Row],[INVESTOR CODE]],LS[B/S],"S"))</f>
        <v>0</v>
      </c>
      <c r="J710" s="48">
        <f>IF(INVESTORS_LIST[[#This Row],[LS_TOTAL CURRENT UNITS]]=0,0,INVESTORS_LIST[[#This Row],[LS_TOTAL CURRENT UNITS]]*INVESTORS_LIST[[#This Row],[LS_AVERAGE COST]])</f>
        <v>0</v>
      </c>
      <c r="K710" s="48">
        <f>IF(INVESTORS_LIST[[#This Row],[LS_TOTAL UNITS SOLD]]=0,0,SUMIFS(LS[Realized Gain],LS[Investor ID],INVESTORS_LIST[[#This Row],[INVESTOR CODE]],LS[B/S],"S"))</f>
        <v>0</v>
      </c>
      <c r="L710" s="104">
        <f>SUMIFS(SIP[Unit],SIP[Investor ID],INVESTORS_LIST[[#This Row],[INVESTOR CODE]],SIP[B/S],"B")</f>
        <v>354</v>
      </c>
      <c r="M710" s="50">
        <f>-SUMIFS(SIP[Unit],SIP[Investor ID],INVESTORS_LIST[[#This Row],[INVESTOR CODE]],SIP[B/S],"S")</f>
        <v>0</v>
      </c>
      <c r="N710" s="50">
        <f>IF(INVESTORS_LIST[[#This Row],[SIP_TOTAL UNITS BUY]]=0,0,INVESTORS_LIST[[#This Row],[SIP_TOTAL UNITS BUY]]-INVESTORS_LIST[[#This Row],[SIP_TOTAL UNITS SOLD]])</f>
        <v>354</v>
      </c>
      <c r="O710" s="48">
        <f>IF(INVESTORS_LIST[[#This Row],[SIP_TOTAL UNITS BUY]]=0,0,SUMIFS(SIP[Amount],SIP[Investor ID],INVESTORS_LIST[[#This Row],[INVESTOR CODE]],SIP[B/S],"B"))</f>
        <v>5000</v>
      </c>
      <c r="P710" s="48">
        <f>IF(INVESTORS_LIST[[#This Row],[SIP_TOTAL UNITS SOLD]]=0,0,SUMIFS(SIP[Cost of Units Sold],SIP[Investor ID],INVESTORS_LIST[[#This Row],[INVESTOR CODE]],SIP[B/S],"S"))</f>
        <v>0</v>
      </c>
      <c r="Q710" s="48">
        <f>IF(INVESTORS_LIST[[#This Row],[SIP_TOTAL CURRENT UNITS]]=0,0,INVESTORS_LIST[[#This Row],[SIP_TOTAL CURRENT UNITS]]*INVESTORS_LIST[[#This Row],[SIP_AVERAGE COST]])</f>
        <v>5000</v>
      </c>
      <c r="R710" s="48">
        <f>IF(INVESTORS_LIST[[#This Row],[SIP_TOTAL UNITS SOLD]]=0,0,SUMIFS(SIP[Realized Gain],SIP[Investor ID],INVESTORS_LIST[[#This Row],[INVESTOR CODE]],SIP[B/S],"S"))</f>
        <v>0</v>
      </c>
      <c r="S710" s="50">
        <f>INVESTORS_LIST[[#This Row],[LS_TOTAL UNITS BUY]]+INVESTORS_LIST[[#This Row],[SIP_TOTAL UNITS BUY]]</f>
        <v>354</v>
      </c>
      <c r="T710" s="50">
        <f>INVESTORS_LIST[[#This Row],[LS_TOTAL UNITS SOLD]]+INVESTORS_LIST[[#This Row],[SIP_TOTAL UNITS SOLD]]</f>
        <v>0</v>
      </c>
      <c r="U710" s="50"/>
      <c r="V710" s="50">
        <f>SUMIFS(LS[BO UNIT TRANSFER],LS[Investor ID],INVESTORS_LIST[[#This Row],[INVESTOR CODE]],LS[B/S],"B")</f>
        <v>0</v>
      </c>
      <c r="W710" s="50">
        <f>SUMIFS(SIP[BO UNIT TRANSFER],SIP[Investor ID],INVESTORS_LIST[[#This Row],[INVESTOR CODE]],SIP[B/S],"B")</f>
        <v>0</v>
      </c>
      <c r="X710" s="50">
        <f>SUMIFS(LS[BO UNIT TRANSFER],LS[Investor ID],INVESTORS_LIST[[#This Row],[INVESTOR CODE]],LS[B/S],"S")</f>
        <v>0</v>
      </c>
      <c r="Y710" s="50">
        <f>SUMIFS(SIP[BO UNIT TRANSFER],SIP[Investor ID],INVESTORS_LIST[[#This Row],[INVESTOR CODE]],SIP[B/S],"S")</f>
        <v>0</v>
      </c>
      <c r="Z710" s="106">
        <f>SUM(INVESTORS_LIST[[#This Row],[BO OPENING BALANCE]:[BO SIP UNITS REPURCHASE]])</f>
        <v>0</v>
      </c>
      <c r="AA710" s="107">
        <f>INVESTORS_LIST[[#This Row],[TOTAL UNITS BUY]]-INVESTORS_LIST[[#This Row],[TOTAL UNITS SOLD]]</f>
        <v>354</v>
      </c>
      <c r="AB710" s="107">
        <f>INVESTORS_LIST[[#This Row],[TOTAL CURRENT UNITS]]-INVESTORS_LIST[[#This Row],[BO UNITS HOLD]]</f>
        <v>354</v>
      </c>
      <c r="AC710" s="201" t="e">
        <f>INDEX([3]!Table_1[BO ID],MATCH(INVESTORS_LIST[[#This Row],[INVESTOR CODE]],[3]!Table_1[INVESTOR CODE],0))</f>
        <v>#REF!</v>
      </c>
      <c r="AD710" s="201" t="e">
        <f>INDEX([3]!Table_1[Brokerage Name2],MATCH(INVESTORS_LIST[[#This Row],[INVESTOR CODE]],[3]!Table_1[INVESTOR CODE],0))</f>
        <v>#REF!</v>
      </c>
      <c r="AE710" s="201" t="e">
        <f>MID(INVESTORS_LIST[[#This Row],[BO ID]],4,5)</f>
        <v>#REF!</v>
      </c>
      <c r="AF710" s="201" t="e">
        <f>MID(INVESTORS_LIST[[#This Row],[BO ID]],2,7)</f>
        <v>#REF!</v>
      </c>
      <c r="AG710" s="201" t="e">
        <f>MID(INVESTORS_LIST[[#This Row],[BO ID]],9,7)</f>
        <v>#REF!</v>
      </c>
      <c r="AH710" s="201" t="e">
        <f>RIGHT(INVESTORS_LIST[[#This Row],[BO ID]],1)</f>
        <v>#REF!</v>
      </c>
      <c r="AI710" s="50">
        <f>INVESTORS_LIST[[#This Row],[LS_TOTAL COST VALUE OF CURRENT UNITS]]+INVESTORS_LIST[[#This Row],[SIP_TOTAL COST VALUE OF CURRENT UNITS]]</f>
        <v>5000</v>
      </c>
      <c r="AJ710" s="109">
        <f>IF(INVESTORS_LIST[[#This Row],[TOTAL CURRENT UNITS]]=0,0,INVESTORS_LIST[[#This Row],[LS_TOTAL CURRENT UNITS]]/INVESTORS_LIST[[#This Row],[TOTAL CURRENT UNITS]])</f>
        <v>0</v>
      </c>
      <c r="AK710" s="109">
        <f>IF(INVESTORS_LIST[[#This Row],[TOTAL CURRENT UNITS]]=0,0,INVESTORS_LIST[[#This Row],[SIP_TOTAL CURRENT UNITS]]/INVESTORS_LIST[[#This Row],[TOTAL CURRENT UNITS]])</f>
        <v>1</v>
      </c>
      <c r="AL710" s="99" cm="1">
        <f t="array" ref="AL7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0" s="99" cm="1">
        <f t="array" ref="AM710">IF(INVESTORS_LIST[[#This Row],[SIP_TOTAL UNITS BUY]]&gt;0,INDEX(SIP[NAV at Cost (Average)],MATCH(CONCATENATE(COUNTIFS(SIP[Investor ID],INVESTORS_LIST[[#This Row],[INVESTOR CODE]]),INVESTORS_LIST[[#This Row],[INVESTOR CODE]]),SIP[Unique Code],0),),0)</f>
        <v>14.124293785310735</v>
      </c>
      <c r="AN710" s="105">
        <f>IF(INVESTORS_LIST[[#This Row],[TOTAL CURRENT UNITS]]=0,0,(INVESTORS_LIST[[#This Row],[LS_WEIGHT]]*INVESTORS_LIST[[#This Row],[LS_AVERAGE COST]])+(INVESTORS_LIST[[#This Row],[SIP_WEIGHT]]*INVESTORS_LIST[[#This Row],[SIP_AVERAGE COST]]))</f>
        <v>14.124293785310735</v>
      </c>
      <c r="AO710" s="105">
        <f t="shared" si="12"/>
        <v>14.224</v>
      </c>
      <c r="AP710" s="112">
        <f>IF(INVESTORS_LIST[[#This Row],[TOTAL CURRENT UNITS]]=0,0,INVESTORS_LIST[[#This Row],[TOTAL CURRENT UNITS]]*INVESTORS_LIST[[#This Row],[NAV]])</f>
        <v>5035.2960000000003</v>
      </c>
      <c r="AQ710" s="102">
        <f>IF(INVESTORS_LIST[[#This Row],[LS_TOTAL CURRENT UNITS]]=0,0,INVESTORS_LIST[[#This Row],[LS_TOTAL CURRENT UNITS]]*INVESTORS_LIST[[#This Row],[NAV]])</f>
        <v>0</v>
      </c>
      <c r="AR710" s="48">
        <f>IF(INVESTORS_LIST[[#This Row],[SIP_TOTAL CURRENT UNITS]]=0,0,INVESTORS_LIST[[#This Row],[SIP_TOTAL CURRENT UNITS]]*INVESTORS_LIST[[#This Row],[NAV]])</f>
        <v>5035.2960000000003</v>
      </c>
      <c r="AS710" s="50">
        <f>INVESTORS_LIST[[#This Row],[TOTAL CURRENT UNITS]]</f>
        <v>354</v>
      </c>
      <c r="AT710" s="48">
        <f>IF(INVESTORS_LIST[[#This Row],[TOTAL SELLABLE UNITS]]=0,0,INVESTORS_LIST[[#This Row],[TOTAL SELLABLE UNITS]]*INVESTORS_LIST[[#This Row],[NAV]])</f>
        <v>5035.2960000000003</v>
      </c>
      <c r="AU710" s="48">
        <f>INVESTORS_LIST[[#This Row],[LS_TOTAL REALIZED GAIN]]+INVESTORS_LIST[[#This Row],[SIP_TOTAL REALIZED GAIN]]</f>
        <v>0</v>
      </c>
      <c r="AV710" s="48">
        <f>INVESTORS_LIST[[#This Row],[TOTAL MARKET VALUE]]-INVESTORS_LIST[[#This Row],[TOTAL COST VALUE OF CURRENT INVESTMENT]]</f>
        <v>35.296000000000276</v>
      </c>
      <c r="AW710" s="48">
        <f>IFERROR(INVESTORS_LIST[[#This Row],[TOTAL CURRENT UNITS]]/SUM(INVESTORS_LIST[TOTAL CURRENT UNITS]),0)</f>
        <v>8.5937775952206952E-6</v>
      </c>
    </row>
    <row r="711" spans="1:49" hidden="1">
      <c r="A711" s="262" t="s">
        <v>1525</v>
      </c>
      <c r="B711" s="97" t="s">
        <v>1526</v>
      </c>
      <c r="C711" t="s">
        <v>44</v>
      </c>
      <c r="D711" s="75" t="s">
        <v>45</v>
      </c>
      <c r="E711" s="50">
        <f>SUMIFS(LS[Unit],LS[Investor ID],INVESTORS_LIST[[#This Row],[INVESTOR CODE]],LS[B/S],"B")</f>
        <v>0</v>
      </c>
      <c r="F711" s="50">
        <f>-SUMIFS(LS[Unit],LS[Investor ID],INVESTORS_LIST[[#This Row],[INVESTOR CODE]],LS[B/S],"S")</f>
        <v>0</v>
      </c>
      <c r="G711" s="50">
        <f>IF(INVESTORS_LIST[[#This Row],[LS_TOTAL UNITS BUY]]=0,0,INVESTORS_LIST[[#This Row],[LS_TOTAL UNITS BUY]]-INVESTORS_LIST[[#This Row],[LS_TOTAL UNITS SOLD]])</f>
        <v>0</v>
      </c>
      <c r="H711" s="102">
        <f>IF(INVESTORS_LIST[[#This Row],[LS_TOTAL UNITS BUY]]=0,0,SUMIFS(LS[Amount],LS[Investor ID],INVESTORS_LIST[[#This Row],[INVESTOR CODE]],LS[B/S],"B"))</f>
        <v>0</v>
      </c>
      <c r="I711" s="48">
        <f>IF(INVESTORS_LIST[[#This Row],[LS_TOTAL UNITS SOLD]]=0,0,SUMIFS(LS[Cost of Units Sold],LS[Investor ID],INVESTORS_LIST[[#This Row],[INVESTOR CODE]],LS[B/S],"S"))</f>
        <v>0</v>
      </c>
      <c r="J711" s="48">
        <f>IF(INVESTORS_LIST[[#This Row],[LS_TOTAL CURRENT UNITS]]=0,0,INVESTORS_LIST[[#This Row],[LS_TOTAL CURRENT UNITS]]*INVESTORS_LIST[[#This Row],[LS_AVERAGE COST]])</f>
        <v>0</v>
      </c>
      <c r="K711" s="48">
        <f>IF(INVESTORS_LIST[[#This Row],[LS_TOTAL UNITS SOLD]]=0,0,SUMIFS(LS[Realized Gain],LS[Investor ID],INVESTORS_LIST[[#This Row],[INVESTOR CODE]],LS[B/S],"S"))</f>
        <v>0</v>
      </c>
      <c r="L711" s="104">
        <f>SUMIFS(SIP[Unit],SIP[Investor ID],INVESTORS_LIST[[#This Row],[INVESTOR CODE]],SIP[B/S],"B")</f>
        <v>0</v>
      </c>
      <c r="M711" s="50">
        <f>-SUMIFS(SIP[Unit],SIP[Investor ID],INVESTORS_LIST[[#This Row],[INVESTOR CODE]],SIP[B/S],"S")</f>
        <v>0</v>
      </c>
      <c r="N711" s="50">
        <f>IF(INVESTORS_LIST[[#This Row],[SIP_TOTAL UNITS BUY]]=0,0,INVESTORS_LIST[[#This Row],[SIP_TOTAL UNITS BUY]]-INVESTORS_LIST[[#This Row],[SIP_TOTAL UNITS SOLD]])</f>
        <v>0</v>
      </c>
      <c r="O711" s="48">
        <f>IF(INVESTORS_LIST[[#This Row],[SIP_TOTAL UNITS BUY]]=0,0,SUMIFS(SIP[Amount],SIP[Investor ID],INVESTORS_LIST[[#This Row],[INVESTOR CODE]],SIP[B/S],"B"))</f>
        <v>0</v>
      </c>
      <c r="P711" s="48">
        <f>IF(INVESTORS_LIST[[#This Row],[SIP_TOTAL UNITS SOLD]]=0,0,SUMIFS(SIP[Cost of Units Sold],SIP[Investor ID],INVESTORS_LIST[[#This Row],[INVESTOR CODE]],SIP[B/S],"S"))</f>
        <v>0</v>
      </c>
      <c r="Q711" s="48">
        <f>IF(INVESTORS_LIST[[#This Row],[SIP_TOTAL CURRENT UNITS]]=0,0,INVESTORS_LIST[[#This Row],[SIP_TOTAL CURRENT UNITS]]*INVESTORS_LIST[[#This Row],[SIP_AVERAGE COST]])</f>
        <v>0</v>
      </c>
      <c r="R711" s="48">
        <f>IF(INVESTORS_LIST[[#This Row],[SIP_TOTAL UNITS SOLD]]=0,0,SUMIFS(SIP[Realized Gain],SIP[Investor ID],INVESTORS_LIST[[#This Row],[INVESTOR CODE]],SIP[B/S],"S"))</f>
        <v>0</v>
      </c>
      <c r="S711" s="50">
        <f>INVESTORS_LIST[[#This Row],[LS_TOTAL UNITS BUY]]+INVESTORS_LIST[[#This Row],[SIP_TOTAL UNITS BUY]]</f>
        <v>0</v>
      </c>
      <c r="T711" s="50">
        <f>INVESTORS_LIST[[#This Row],[LS_TOTAL UNITS SOLD]]+INVESTORS_LIST[[#This Row],[SIP_TOTAL UNITS SOLD]]</f>
        <v>0</v>
      </c>
      <c r="U711" s="50"/>
      <c r="V711" s="50">
        <f>SUMIFS(LS[BO UNIT TRANSFER],LS[Investor ID],INVESTORS_LIST[[#This Row],[INVESTOR CODE]],LS[B/S],"B")</f>
        <v>0</v>
      </c>
      <c r="W711" s="50">
        <f>SUMIFS(SIP[BO UNIT TRANSFER],SIP[Investor ID],INVESTORS_LIST[[#This Row],[INVESTOR CODE]],SIP[B/S],"B")</f>
        <v>0</v>
      </c>
      <c r="X711" s="50">
        <f>SUMIFS(LS[BO UNIT TRANSFER],LS[Investor ID],INVESTORS_LIST[[#This Row],[INVESTOR CODE]],LS[B/S],"S")</f>
        <v>0</v>
      </c>
      <c r="Y711" s="50">
        <f>SUMIFS(SIP[BO UNIT TRANSFER],SIP[Investor ID],INVESTORS_LIST[[#This Row],[INVESTOR CODE]],SIP[B/S],"S")</f>
        <v>0</v>
      </c>
      <c r="Z711" s="106">
        <f>SUM(INVESTORS_LIST[[#This Row],[BO OPENING BALANCE]:[BO SIP UNITS REPURCHASE]])</f>
        <v>0</v>
      </c>
      <c r="AA711" s="107">
        <f>INVESTORS_LIST[[#This Row],[TOTAL UNITS BUY]]-INVESTORS_LIST[[#This Row],[TOTAL UNITS SOLD]]</f>
        <v>0</v>
      </c>
      <c r="AB711" s="107">
        <f>INVESTORS_LIST[[#This Row],[TOTAL CURRENT UNITS]]-INVESTORS_LIST[[#This Row],[BO UNITS HOLD]]</f>
        <v>0</v>
      </c>
      <c r="AC711" s="201" t="e">
        <f>INDEX([3]!Table_1[BO ID],MATCH(INVESTORS_LIST[[#This Row],[INVESTOR CODE]],[3]!Table_1[INVESTOR CODE],0))</f>
        <v>#REF!</v>
      </c>
      <c r="AD711" s="201" t="e">
        <f>INDEX([3]!Table_1[Brokerage Name2],MATCH(INVESTORS_LIST[[#This Row],[INVESTOR CODE]],[3]!Table_1[INVESTOR CODE],0))</f>
        <v>#REF!</v>
      </c>
      <c r="AE711" s="201" t="e">
        <f>MID(INVESTORS_LIST[[#This Row],[BO ID]],4,5)</f>
        <v>#REF!</v>
      </c>
      <c r="AF711" s="201" t="e">
        <f>MID(INVESTORS_LIST[[#This Row],[BO ID]],2,7)</f>
        <v>#REF!</v>
      </c>
      <c r="AG711" s="201" t="e">
        <f>MID(INVESTORS_LIST[[#This Row],[BO ID]],9,7)</f>
        <v>#REF!</v>
      </c>
      <c r="AH711" s="201" t="e">
        <f>RIGHT(INVESTORS_LIST[[#This Row],[BO ID]],1)</f>
        <v>#REF!</v>
      </c>
      <c r="AI711" s="50">
        <f>INVESTORS_LIST[[#This Row],[LS_TOTAL COST VALUE OF CURRENT UNITS]]+INVESTORS_LIST[[#This Row],[SIP_TOTAL COST VALUE OF CURRENT UNITS]]</f>
        <v>0</v>
      </c>
      <c r="AJ711" s="109">
        <f>IF(INVESTORS_LIST[[#This Row],[TOTAL CURRENT UNITS]]=0,0,INVESTORS_LIST[[#This Row],[LS_TOTAL CURRENT UNITS]]/INVESTORS_LIST[[#This Row],[TOTAL CURRENT UNITS]])</f>
        <v>0</v>
      </c>
      <c r="AK711" s="109">
        <f>IF(INVESTORS_LIST[[#This Row],[TOTAL CURRENT UNITS]]=0,0,INVESTORS_LIST[[#This Row],[SIP_TOTAL CURRENT UNITS]]/INVESTORS_LIST[[#This Row],[TOTAL CURRENT UNITS]])</f>
        <v>0</v>
      </c>
      <c r="AL711" s="99" cm="1">
        <f t="array" ref="AL7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1" s="99" cm="1">
        <f t="array" ref="AM7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1" s="105">
        <f t="shared" si="12"/>
        <v>14.224</v>
      </c>
      <c r="AP711" s="112">
        <f>IF(INVESTORS_LIST[[#This Row],[TOTAL CURRENT UNITS]]=0,0,INVESTORS_LIST[[#This Row],[TOTAL CURRENT UNITS]]*INVESTORS_LIST[[#This Row],[NAV]])</f>
        <v>0</v>
      </c>
      <c r="AQ711" s="102">
        <f>IF(INVESTORS_LIST[[#This Row],[LS_TOTAL CURRENT UNITS]]=0,0,INVESTORS_LIST[[#This Row],[LS_TOTAL CURRENT UNITS]]*INVESTORS_LIST[[#This Row],[NAV]])</f>
        <v>0</v>
      </c>
      <c r="AR711" s="48">
        <f>IF(INVESTORS_LIST[[#This Row],[SIP_TOTAL CURRENT UNITS]]=0,0,INVESTORS_LIST[[#This Row],[SIP_TOTAL CURRENT UNITS]]*INVESTORS_LIST[[#This Row],[NAV]])</f>
        <v>0</v>
      </c>
      <c r="AS711" s="50">
        <f>INVESTORS_LIST[[#This Row],[TOTAL CURRENT UNITS]]</f>
        <v>0</v>
      </c>
      <c r="AT711" s="48">
        <f>IF(INVESTORS_LIST[[#This Row],[TOTAL SELLABLE UNITS]]=0,0,INVESTORS_LIST[[#This Row],[TOTAL SELLABLE UNITS]]*INVESTORS_LIST[[#This Row],[NAV]])</f>
        <v>0</v>
      </c>
      <c r="AU711" s="48">
        <f>INVESTORS_LIST[[#This Row],[LS_TOTAL REALIZED GAIN]]+INVESTORS_LIST[[#This Row],[SIP_TOTAL REALIZED GAIN]]</f>
        <v>0</v>
      </c>
      <c r="AV711" s="48">
        <f>INVESTORS_LIST[[#This Row],[TOTAL MARKET VALUE]]-INVESTORS_LIST[[#This Row],[TOTAL COST VALUE OF CURRENT INVESTMENT]]</f>
        <v>0</v>
      </c>
      <c r="AW711" s="48">
        <f>IFERROR(INVESTORS_LIST[[#This Row],[TOTAL CURRENT UNITS]]/SUM(INVESTORS_LIST[TOTAL CURRENT UNITS]),0)</f>
        <v>0</v>
      </c>
    </row>
    <row r="712" spans="1:49" hidden="1">
      <c r="A712" s="262" t="s">
        <v>1527</v>
      </c>
      <c r="B712" s="97" t="s">
        <v>1528</v>
      </c>
      <c r="C712" t="s">
        <v>44</v>
      </c>
      <c r="D712" s="75" t="s">
        <v>45</v>
      </c>
      <c r="E712" s="50">
        <f>SUMIFS(LS[Unit],LS[Investor ID],INVESTORS_LIST[[#This Row],[INVESTOR CODE]],LS[B/S],"B")</f>
        <v>0</v>
      </c>
      <c r="F712" s="50">
        <f>-SUMIFS(LS[Unit],LS[Investor ID],INVESTORS_LIST[[#This Row],[INVESTOR CODE]],LS[B/S],"S")</f>
        <v>0</v>
      </c>
      <c r="G712" s="50">
        <f>IF(INVESTORS_LIST[[#This Row],[LS_TOTAL UNITS BUY]]=0,0,INVESTORS_LIST[[#This Row],[LS_TOTAL UNITS BUY]]-INVESTORS_LIST[[#This Row],[LS_TOTAL UNITS SOLD]])</f>
        <v>0</v>
      </c>
      <c r="H712" s="102">
        <f>IF(INVESTORS_LIST[[#This Row],[LS_TOTAL UNITS BUY]]=0,0,SUMIFS(LS[Amount],LS[Investor ID],INVESTORS_LIST[[#This Row],[INVESTOR CODE]],LS[B/S],"B"))</f>
        <v>0</v>
      </c>
      <c r="I712" s="48">
        <f>IF(INVESTORS_LIST[[#This Row],[LS_TOTAL UNITS SOLD]]=0,0,SUMIFS(LS[Cost of Units Sold],LS[Investor ID],INVESTORS_LIST[[#This Row],[INVESTOR CODE]],LS[B/S],"S"))</f>
        <v>0</v>
      </c>
      <c r="J712" s="48">
        <f>IF(INVESTORS_LIST[[#This Row],[LS_TOTAL CURRENT UNITS]]=0,0,INVESTORS_LIST[[#This Row],[LS_TOTAL CURRENT UNITS]]*INVESTORS_LIST[[#This Row],[LS_AVERAGE COST]])</f>
        <v>0</v>
      </c>
      <c r="K712" s="48">
        <f>IF(INVESTORS_LIST[[#This Row],[LS_TOTAL UNITS SOLD]]=0,0,SUMIFS(LS[Realized Gain],LS[Investor ID],INVESTORS_LIST[[#This Row],[INVESTOR CODE]],LS[B/S],"S"))</f>
        <v>0</v>
      </c>
      <c r="L712" s="104">
        <f>SUMIFS(SIP[Unit],SIP[Investor ID],INVESTORS_LIST[[#This Row],[INVESTOR CODE]],SIP[B/S],"B")</f>
        <v>0</v>
      </c>
      <c r="M712" s="50">
        <f>-SUMIFS(SIP[Unit],SIP[Investor ID],INVESTORS_LIST[[#This Row],[INVESTOR CODE]],SIP[B/S],"S")</f>
        <v>0</v>
      </c>
      <c r="N712" s="50">
        <f>IF(INVESTORS_LIST[[#This Row],[SIP_TOTAL UNITS BUY]]=0,0,INVESTORS_LIST[[#This Row],[SIP_TOTAL UNITS BUY]]-INVESTORS_LIST[[#This Row],[SIP_TOTAL UNITS SOLD]])</f>
        <v>0</v>
      </c>
      <c r="O712" s="48">
        <f>IF(INVESTORS_LIST[[#This Row],[SIP_TOTAL UNITS BUY]]=0,0,SUMIFS(SIP[Amount],SIP[Investor ID],INVESTORS_LIST[[#This Row],[INVESTOR CODE]],SIP[B/S],"B"))</f>
        <v>0</v>
      </c>
      <c r="P712" s="48">
        <f>IF(INVESTORS_LIST[[#This Row],[SIP_TOTAL UNITS SOLD]]=0,0,SUMIFS(SIP[Cost of Units Sold],SIP[Investor ID],INVESTORS_LIST[[#This Row],[INVESTOR CODE]],SIP[B/S],"S"))</f>
        <v>0</v>
      </c>
      <c r="Q712" s="48">
        <f>IF(INVESTORS_LIST[[#This Row],[SIP_TOTAL CURRENT UNITS]]=0,0,INVESTORS_LIST[[#This Row],[SIP_TOTAL CURRENT UNITS]]*INVESTORS_LIST[[#This Row],[SIP_AVERAGE COST]])</f>
        <v>0</v>
      </c>
      <c r="R712" s="48">
        <f>IF(INVESTORS_LIST[[#This Row],[SIP_TOTAL UNITS SOLD]]=0,0,SUMIFS(SIP[Realized Gain],SIP[Investor ID],INVESTORS_LIST[[#This Row],[INVESTOR CODE]],SIP[B/S],"S"))</f>
        <v>0</v>
      </c>
      <c r="S712" s="50">
        <f>INVESTORS_LIST[[#This Row],[LS_TOTAL UNITS BUY]]+INVESTORS_LIST[[#This Row],[SIP_TOTAL UNITS BUY]]</f>
        <v>0</v>
      </c>
      <c r="T712" s="50">
        <f>INVESTORS_LIST[[#This Row],[LS_TOTAL UNITS SOLD]]+INVESTORS_LIST[[#This Row],[SIP_TOTAL UNITS SOLD]]</f>
        <v>0</v>
      </c>
      <c r="U712" s="50"/>
      <c r="V712" s="50">
        <f>SUMIFS(LS[BO UNIT TRANSFER],LS[Investor ID],INVESTORS_LIST[[#This Row],[INVESTOR CODE]],LS[B/S],"B")</f>
        <v>0</v>
      </c>
      <c r="W712" s="50">
        <f>SUMIFS(SIP[BO UNIT TRANSFER],SIP[Investor ID],INVESTORS_LIST[[#This Row],[INVESTOR CODE]],SIP[B/S],"B")</f>
        <v>0</v>
      </c>
      <c r="X712" s="50">
        <f>SUMIFS(LS[BO UNIT TRANSFER],LS[Investor ID],INVESTORS_LIST[[#This Row],[INVESTOR CODE]],LS[B/S],"S")</f>
        <v>0</v>
      </c>
      <c r="Y712" s="50">
        <f>SUMIFS(SIP[BO UNIT TRANSFER],SIP[Investor ID],INVESTORS_LIST[[#This Row],[INVESTOR CODE]],SIP[B/S],"S")</f>
        <v>0</v>
      </c>
      <c r="Z712" s="106">
        <f>SUM(INVESTORS_LIST[[#This Row],[BO OPENING BALANCE]:[BO SIP UNITS REPURCHASE]])</f>
        <v>0</v>
      </c>
      <c r="AA712" s="107">
        <f>INVESTORS_LIST[[#This Row],[TOTAL UNITS BUY]]-INVESTORS_LIST[[#This Row],[TOTAL UNITS SOLD]]</f>
        <v>0</v>
      </c>
      <c r="AB712" s="107">
        <f>INVESTORS_LIST[[#This Row],[TOTAL CURRENT UNITS]]-INVESTORS_LIST[[#This Row],[BO UNITS HOLD]]</f>
        <v>0</v>
      </c>
      <c r="AC712" s="201" t="e">
        <f>INDEX([3]!Table_1[BO ID],MATCH(INVESTORS_LIST[[#This Row],[INVESTOR CODE]],[3]!Table_1[INVESTOR CODE],0))</f>
        <v>#REF!</v>
      </c>
      <c r="AD712" s="201" t="e">
        <f>INDEX([3]!Table_1[Brokerage Name2],MATCH(INVESTORS_LIST[[#This Row],[INVESTOR CODE]],[3]!Table_1[INVESTOR CODE],0))</f>
        <v>#REF!</v>
      </c>
      <c r="AE712" s="201" t="e">
        <f>MID(INVESTORS_LIST[[#This Row],[BO ID]],4,5)</f>
        <v>#REF!</v>
      </c>
      <c r="AF712" s="201" t="e">
        <f>MID(INVESTORS_LIST[[#This Row],[BO ID]],2,7)</f>
        <v>#REF!</v>
      </c>
      <c r="AG712" s="201" t="e">
        <f>MID(INVESTORS_LIST[[#This Row],[BO ID]],9,7)</f>
        <v>#REF!</v>
      </c>
      <c r="AH712" s="201" t="e">
        <f>RIGHT(INVESTORS_LIST[[#This Row],[BO ID]],1)</f>
        <v>#REF!</v>
      </c>
      <c r="AI712" s="50">
        <f>INVESTORS_LIST[[#This Row],[LS_TOTAL COST VALUE OF CURRENT UNITS]]+INVESTORS_LIST[[#This Row],[SIP_TOTAL COST VALUE OF CURRENT UNITS]]</f>
        <v>0</v>
      </c>
      <c r="AJ712" s="109">
        <f>IF(INVESTORS_LIST[[#This Row],[TOTAL CURRENT UNITS]]=0,0,INVESTORS_LIST[[#This Row],[LS_TOTAL CURRENT UNITS]]/INVESTORS_LIST[[#This Row],[TOTAL CURRENT UNITS]])</f>
        <v>0</v>
      </c>
      <c r="AK712" s="109">
        <f>IF(INVESTORS_LIST[[#This Row],[TOTAL CURRENT UNITS]]=0,0,INVESTORS_LIST[[#This Row],[SIP_TOTAL CURRENT UNITS]]/INVESTORS_LIST[[#This Row],[TOTAL CURRENT UNITS]])</f>
        <v>0</v>
      </c>
      <c r="AL712" s="99" cm="1">
        <f t="array" ref="AL7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2" s="99" cm="1">
        <f t="array" ref="AM7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2" s="105">
        <f t="shared" si="12"/>
        <v>14.224</v>
      </c>
      <c r="AP712" s="112">
        <f>IF(INVESTORS_LIST[[#This Row],[TOTAL CURRENT UNITS]]=0,0,INVESTORS_LIST[[#This Row],[TOTAL CURRENT UNITS]]*INVESTORS_LIST[[#This Row],[NAV]])</f>
        <v>0</v>
      </c>
      <c r="AQ712" s="102">
        <f>IF(INVESTORS_LIST[[#This Row],[LS_TOTAL CURRENT UNITS]]=0,0,INVESTORS_LIST[[#This Row],[LS_TOTAL CURRENT UNITS]]*INVESTORS_LIST[[#This Row],[NAV]])</f>
        <v>0</v>
      </c>
      <c r="AR712" s="48">
        <f>IF(INVESTORS_LIST[[#This Row],[SIP_TOTAL CURRENT UNITS]]=0,0,INVESTORS_LIST[[#This Row],[SIP_TOTAL CURRENT UNITS]]*INVESTORS_LIST[[#This Row],[NAV]])</f>
        <v>0</v>
      </c>
      <c r="AS712" s="50">
        <f>INVESTORS_LIST[[#This Row],[TOTAL CURRENT UNITS]]</f>
        <v>0</v>
      </c>
      <c r="AT712" s="48">
        <f>IF(INVESTORS_LIST[[#This Row],[TOTAL SELLABLE UNITS]]=0,0,INVESTORS_LIST[[#This Row],[TOTAL SELLABLE UNITS]]*INVESTORS_LIST[[#This Row],[NAV]])</f>
        <v>0</v>
      </c>
      <c r="AU712" s="48">
        <f>INVESTORS_LIST[[#This Row],[LS_TOTAL REALIZED GAIN]]+INVESTORS_LIST[[#This Row],[SIP_TOTAL REALIZED GAIN]]</f>
        <v>0</v>
      </c>
      <c r="AV712" s="48">
        <f>INVESTORS_LIST[[#This Row],[TOTAL MARKET VALUE]]-INVESTORS_LIST[[#This Row],[TOTAL COST VALUE OF CURRENT INVESTMENT]]</f>
        <v>0</v>
      </c>
      <c r="AW712" s="48">
        <f>IFERROR(INVESTORS_LIST[[#This Row],[TOTAL CURRENT UNITS]]/SUM(INVESTORS_LIST[TOTAL CURRENT UNITS]),0)</f>
        <v>0</v>
      </c>
    </row>
    <row r="713" spans="1:49">
      <c r="A713" s="262" t="s">
        <v>1529</v>
      </c>
      <c r="B713" s="97" t="s">
        <v>1530</v>
      </c>
      <c r="C713" t="s">
        <v>44</v>
      </c>
      <c r="D713" s="75" t="s">
        <v>45</v>
      </c>
      <c r="E713" s="50">
        <f>SUMIFS(LS[Unit],LS[Investor ID],INVESTORS_LIST[[#This Row],[INVESTOR CODE]],LS[B/S],"B")</f>
        <v>3008892</v>
      </c>
      <c r="F713" s="50">
        <f>-SUMIFS(LS[Unit],LS[Investor ID],INVESTORS_LIST[[#This Row],[INVESTOR CODE]],LS[B/S],"S")</f>
        <v>0</v>
      </c>
      <c r="G713" s="50">
        <f>IF(INVESTORS_LIST[[#This Row],[LS_TOTAL UNITS BUY]]=0,0,INVESTORS_LIST[[#This Row],[LS_TOTAL UNITS BUY]]-INVESTORS_LIST[[#This Row],[LS_TOTAL UNITS SOLD]])</f>
        <v>3008892</v>
      </c>
      <c r="H713" s="102">
        <f>IF(INVESTORS_LIST[[#This Row],[LS_TOTAL UNITS BUY]]=0,0,SUMIFS(LS[Amount],LS[Investor ID],INVESTORS_LIST[[#This Row],[INVESTOR CODE]],LS[B/S],"B"))</f>
        <v>42500000</v>
      </c>
      <c r="I713" s="48">
        <f>IF(INVESTORS_LIST[[#This Row],[LS_TOTAL UNITS SOLD]]=0,0,SUMIFS(LS[Cost of Units Sold],LS[Investor ID],INVESTORS_LIST[[#This Row],[INVESTOR CODE]],LS[B/S],"S"))</f>
        <v>0</v>
      </c>
      <c r="J713" s="48">
        <f>IF(INVESTORS_LIST[[#This Row],[LS_TOTAL CURRENT UNITS]]=0,0,INVESTORS_LIST[[#This Row],[LS_TOTAL CURRENT UNITS]]*INVESTORS_LIST[[#This Row],[LS_AVERAGE COST]])</f>
        <v>42500000</v>
      </c>
      <c r="K713" s="48">
        <f>IF(INVESTORS_LIST[[#This Row],[LS_TOTAL UNITS SOLD]]=0,0,SUMIFS(LS[Realized Gain],LS[Investor ID],INVESTORS_LIST[[#This Row],[INVESTOR CODE]],LS[B/S],"S"))</f>
        <v>0</v>
      </c>
      <c r="L713" s="104">
        <f>SUMIFS(SIP[Unit],SIP[Investor ID],INVESTORS_LIST[[#This Row],[INVESTOR CODE]],SIP[B/S],"B")</f>
        <v>0</v>
      </c>
      <c r="M713" s="50">
        <f>-SUMIFS(SIP[Unit],SIP[Investor ID],INVESTORS_LIST[[#This Row],[INVESTOR CODE]],SIP[B/S],"S")</f>
        <v>0</v>
      </c>
      <c r="N713" s="50">
        <f>IF(INVESTORS_LIST[[#This Row],[SIP_TOTAL UNITS BUY]]=0,0,INVESTORS_LIST[[#This Row],[SIP_TOTAL UNITS BUY]]-INVESTORS_LIST[[#This Row],[SIP_TOTAL UNITS SOLD]])</f>
        <v>0</v>
      </c>
      <c r="O713" s="48">
        <f>IF(INVESTORS_LIST[[#This Row],[SIP_TOTAL UNITS BUY]]=0,0,SUMIFS(SIP[Amount],SIP[Investor ID],INVESTORS_LIST[[#This Row],[INVESTOR CODE]],SIP[B/S],"B"))</f>
        <v>0</v>
      </c>
      <c r="P713" s="48">
        <f>IF(INVESTORS_LIST[[#This Row],[SIP_TOTAL UNITS SOLD]]=0,0,SUMIFS(SIP[Cost of Units Sold],SIP[Investor ID],INVESTORS_LIST[[#This Row],[INVESTOR CODE]],SIP[B/S],"S"))</f>
        <v>0</v>
      </c>
      <c r="Q713" s="48">
        <f>IF(INVESTORS_LIST[[#This Row],[SIP_TOTAL CURRENT UNITS]]=0,0,INVESTORS_LIST[[#This Row],[SIP_TOTAL CURRENT UNITS]]*INVESTORS_LIST[[#This Row],[SIP_AVERAGE COST]])</f>
        <v>0</v>
      </c>
      <c r="R713" s="48">
        <f>IF(INVESTORS_LIST[[#This Row],[SIP_TOTAL UNITS SOLD]]=0,0,SUMIFS(SIP[Realized Gain],SIP[Investor ID],INVESTORS_LIST[[#This Row],[INVESTOR CODE]],SIP[B/S],"S"))</f>
        <v>0</v>
      </c>
      <c r="S713" s="50">
        <f>INVESTORS_LIST[[#This Row],[LS_TOTAL UNITS BUY]]+INVESTORS_LIST[[#This Row],[SIP_TOTAL UNITS BUY]]</f>
        <v>3008892</v>
      </c>
      <c r="T713" s="50">
        <f>INVESTORS_LIST[[#This Row],[LS_TOTAL UNITS SOLD]]+INVESTORS_LIST[[#This Row],[SIP_TOTAL UNITS SOLD]]</f>
        <v>0</v>
      </c>
      <c r="U713" s="50"/>
      <c r="V713" s="50">
        <f>SUMIFS(LS[BO UNIT TRANSFER],LS[Investor ID],INVESTORS_LIST[[#This Row],[INVESTOR CODE]],LS[B/S],"B")</f>
        <v>1597758</v>
      </c>
      <c r="W713" s="50">
        <f>SUMIFS(SIP[BO UNIT TRANSFER],SIP[Investor ID],INVESTORS_LIST[[#This Row],[INVESTOR CODE]],SIP[B/S],"B")</f>
        <v>0</v>
      </c>
      <c r="X713" s="50">
        <f>SUMIFS(LS[BO UNIT TRANSFER],LS[Investor ID],INVESTORS_LIST[[#This Row],[INVESTOR CODE]],LS[B/S],"S")</f>
        <v>0</v>
      </c>
      <c r="Y713" s="50">
        <f>SUMIFS(SIP[BO UNIT TRANSFER],SIP[Investor ID],INVESTORS_LIST[[#This Row],[INVESTOR CODE]],SIP[B/S],"S")</f>
        <v>0</v>
      </c>
      <c r="Z713" s="106">
        <f>SUM(INVESTORS_LIST[[#This Row],[BO OPENING BALANCE]:[BO SIP UNITS REPURCHASE]])</f>
        <v>1597758</v>
      </c>
      <c r="AA713" s="107">
        <f>INVESTORS_LIST[[#This Row],[TOTAL UNITS BUY]]-INVESTORS_LIST[[#This Row],[TOTAL UNITS SOLD]]</f>
        <v>3008892</v>
      </c>
      <c r="AB713" s="107">
        <f>INVESTORS_LIST[[#This Row],[TOTAL CURRENT UNITS]]-INVESTORS_LIST[[#This Row],[BO UNITS HOLD]]</f>
        <v>1411134</v>
      </c>
      <c r="AC713" s="201" t="e">
        <f>INDEX([3]!Table_1[BO ID],MATCH(INVESTORS_LIST[[#This Row],[INVESTOR CODE]],[3]!Table_1[INVESTOR CODE],0))</f>
        <v>#REF!</v>
      </c>
      <c r="AD713" s="201" t="e">
        <f>INDEX([3]!Table_1[Brokerage Name2],MATCH(INVESTORS_LIST[[#This Row],[INVESTOR CODE]],[3]!Table_1[INVESTOR CODE],0))</f>
        <v>#REF!</v>
      </c>
      <c r="AE713" s="201" t="e">
        <f>MID(INVESTORS_LIST[[#This Row],[BO ID]],4,5)</f>
        <v>#REF!</v>
      </c>
      <c r="AF713" s="201" t="e">
        <f>MID(INVESTORS_LIST[[#This Row],[BO ID]],2,7)</f>
        <v>#REF!</v>
      </c>
      <c r="AG713" s="201" t="e">
        <f>MID(INVESTORS_LIST[[#This Row],[BO ID]],9,7)</f>
        <v>#REF!</v>
      </c>
      <c r="AH713" s="201" t="e">
        <f>RIGHT(INVESTORS_LIST[[#This Row],[BO ID]],1)</f>
        <v>#REF!</v>
      </c>
      <c r="AI713" s="50">
        <f>INVESTORS_LIST[[#This Row],[LS_TOTAL COST VALUE OF CURRENT UNITS]]+INVESTORS_LIST[[#This Row],[SIP_TOTAL COST VALUE OF CURRENT UNITS]]</f>
        <v>42500000</v>
      </c>
      <c r="AJ713" s="109">
        <f>IF(INVESTORS_LIST[[#This Row],[TOTAL CURRENT UNITS]]=0,0,INVESTORS_LIST[[#This Row],[LS_TOTAL CURRENT UNITS]]/INVESTORS_LIST[[#This Row],[TOTAL CURRENT UNITS]])</f>
        <v>1</v>
      </c>
      <c r="AK713" s="109">
        <f>IF(INVESTORS_LIST[[#This Row],[TOTAL CURRENT UNITS]]=0,0,INVESTORS_LIST[[#This Row],[SIP_TOTAL CURRENT UNITS]]/INVESTORS_LIST[[#This Row],[TOTAL CURRENT UNITS]])</f>
        <v>0</v>
      </c>
      <c r="AL713" s="99" cm="1">
        <f t="array" ref="AL713">IF(INVESTORS_LIST[[#This Row],[LS_TOTAL UNITS BUY]]&gt;0,INDEX(LS[NAV at Cost (Average)],MATCH(CONCATENATE(COUNTIFS(LS[Investor ID],INVESTORS_LIST[[#This Row],[INVESTOR CODE]]),INVESTORS_LIST[[#This Row],[INVESTOR CODE]]),LS[Unique Code],0),),0)</f>
        <v>14.12480075722226</v>
      </c>
      <c r="AM713" s="99" cm="1">
        <f t="array" ref="AM7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3" s="105">
        <f>IF(INVESTORS_LIST[[#This Row],[TOTAL CURRENT UNITS]]=0,0,(INVESTORS_LIST[[#This Row],[LS_WEIGHT]]*INVESTORS_LIST[[#This Row],[LS_AVERAGE COST]])+(INVESTORS_LIST[[#This Row],[SIP_WEIGHT]]*INVESTORS_LIST[[#This Row],[SIP_AVERAGE COST]]))</f>
        <v>14.12480075722226</v>
      </c>
      <c r="AO713" s="105">
        <f t="shared" si="12"/>
        <v>14.224</v>
      </c>
      <c r="AP713" s="112">
        <f>IF(INVESTORS_LIST[[#This Row],[TOTAL CURRENT UNITS]]=0,0,INVESTORS_LIST[[#This Row],[TOTAL CURRENT UNITS]]*INVESTORS_LIST[[#This Row],[NAV]])</f>
        <v>42798479.807999998</v>
      </c>
      <c r="AQ713" s="102">
        <f>IF(INVESTORS_LIST[[#This Row],[LS_TOTAL CURRENT UNITS]]=0,0,INVESTORS_LIST[[#This Row],[LS_TOTAL CURRENT UNITS]]*INVESTORS_LIST[[#This Row],[NAV]])</f>
        <v>42798479.807999998</v>
      </c>
      <c r="AR713" s="48">
        <f>IF(INVESTORS_LIST[[#This Row],[SIP_TOTAL CURRENT UNITS]]=0,0,INVESTORS_LIST[[#This Row],[SIP_TOTAL CURRENT UNITS]]*INVESTORS_LIST[[#This Row],[NAV]])</f>
        <v>0</v>
      </c>
      <c r="AS713" s="50">
        <f>INVESTORS_LIST[[#This Row],[TOTAL CURRENT UNITS]]</f>
        <v>3008892</v>
      </c>
      <c r="AT713" s="48">
        <f>IF(INVESTORS_LIST[[#This Row],[TOTAL SELLABLE UNITS]]=0,0,INVESTORS_LIST[[#This Row],[TOTAL SELLABLE UNITS]]*INVESTORS_LIST[[#This Row],[NAV]])</f>
        <v>42798479.807999998</v>
      </c>
      <c r="AU713" s="48">
        <f>INVESTORS_LIST[[#This Row],[LS_TOTAL REALIZED GAIN]]+INVESTORS_LIST[[#This Row],[SIP_TOTAL REALIZED GAIN]]</f>
        <v>0</v>
      </c>
      <c r="AV713" s="48">
        <f>INVESTORS_LIST[[#This Row],[TOTAL MARKET VALUE]]-INVESTORS_LIST[[#This Row],[TOTAL COST VALUE OF CURRENT INVESTMENT]]</f>
        <v>298479.80799999833</v>
      </c>
      <c r="AW713" s="48">
        <f>IFERROR(INVESTORS_LIST[[#This Row],[TOTAL CURRENT UNITS]]/SUM(INVESTORS_LIST[TOTAL CURRENT UNITS]),0)</f>
        <v>7.3044487728923121E-2</v>
      </c>
    </row>
    <row r="714" spans="1:49" hidden="1">
      <c r="A714" s="265" t="s">
        <v>1470</v>
      </c>
      <c r="B714" s="97" t="s">
        <v>1533</v>
      </c>
      <c r="C714" t="s">
        <v>44</v>
      </c>
      <c r="D714" s="75" t="s">
        <v>45</v>
      </c>
      <c r="E714" s="50">
        <f>SUMIFS(LS[Unit],LS[Investor ID],INVESTORS_LIST[[#This Row],[INVESTOR CODE]],LS[B/S],"B")</f>
        <v>0</v>
      </c>
      <c r="F714" s="50">
        <f>-SUMIFS(LS[Unit],LS[Investor ID],INVESTORS_LIST[[#This Row],[INVESTOR CODE]],LS[B/S],"S")</f>
        <v>0</v>
      </c>
      <c r="G714" s="50">
        <f>IF(INVESTORS_LIST[[#This Row],[LS_TOTAL UNITS BUY]]=0,0,INVESTORS_LIST[[#This Row],[LS_TOTAL UNITS BUY]]-INVESTORS_LIST[[#This Row],[LS_TOTAL UNITS SOLD]])</f>
        <v>0</v>
      </c>
      <c r="H714" s="102">
        <f>IF(INVESTORS_LIST[[#This Row],[LS_TOTAL UNITS BUY]]=0,0,SUMIFS(LS[Amount],LS[Investor ID],INVESTORS_LIST[[#This Row],[INVESTOR CODE]],LS[B/S],"B"))</f>
        <v>0</v>
      </c>
      <c r="I714" s="48">
        <f>IF(INVESTORS_LIST[[#This Row],[LS_TOTAL UNITS SOLD]]=0,0,SUMIFS(LS[Cost of Units Sold],LS[Investor ID],INVESTORS_LIST[[#This Row],[INVESTOR CODE]],LS[B/S],"S"))</f>
        <v>0</v>
      </c>
      <c r="J714" s="48">
        <f>IF(INVESTORS_LIST[[#This Row],[LS_TOTAL CURRENT UNITS]]=0,0,INVESTORS_LIST[[#This Row],[LS_TOTAL CURRENT UNITS]]*INVESTORS_LIST[[#This Row],[LS_AVERAGE COST]])</f>
        <v>0</v>
      </c>
      <c r="K714" s="48">
        <f>IF(INVESTORS_LIST[[#This Row],[LS_TOTAL UNITS SOLD]]=0,0,SUMIFS(LS[Realized Gain],LS[Investor ID],INVESTORS_LIST[[#This Row],[INVESTOR CODE]],LS[B/S],"S"))</f>
        <v>0</v>
      </c>
      <c r="L714" s="104">
        <f>SUMIFS(SIP[Unit],SIP[Investor ID],INVESTORS_LIST[[#This Row],[INVESTOR CODE]],SIP[B/S],"B")</f>
        <v>0</v>
      </c>
      <c r="M714" s="50">
        <f>-SUMIFS(SIP[Unit],SIP[Investor ID],INVESTORS_LIST[[#This Row],[INVESTOR CODE]],SIP[B/S],"S")</f>
        <v>0</v>
      </c>
      <c r="N714" s="50">
        <f>IF(INVESTORS_LIST[[#This Row],[SIP_TOTAL UNITS BUY]]=0,0,INVESTORS_LIST[[#This Row],[SIP_TOTAL UNITS BUY]]-INVESTORS_LIST[[#This Row],[SIP_TOTAL UNITS SOLD]])</f>
        <v>0</v>
      </c>
      <c r="O714" s="48">
        <f>IF(INVESTORS_LIST[[#This Row],[SIP_TOTAL UNITS BUY]]=0,0,SUMIFS(SIP[Amount],SIP[Investor ID],INVESTORS_LIST[[#This Row],[INVESTOR CODE]],SIP[B/S],"B"))</f>
        <v>0</v>
      </c>
      <c r="P714" s="48">
        <f>IF(INVESTORS_LIST[[#This Row],[SIP_TOTAL UNITS SOLD]]=0,0,SUMIFS(SIP[Cost of Units Sold],SIP[Investor ID],INVESTORS_LIST[[#This Row],[INVESTOR CODE]],SIP[B/S],"S"))</f>
        <v>0</v>
      </c>
      <c r="Q714" s="48">
        <f>IF(INVESTORS_LIST[[#This Row],[SIP_TOTAL CURRENT UNITS]]=0,0,INVESTORS_LIST[[#This Row],[SIP_TOTAL CURRENT UNITS]]*INVESTORS_LIST[[#This Row],[SIP_AVERAGE COST]])</f>
        <v>0</v>
      </c>
      <c r="R714" s="48">
        <f>IF(INVESTORS_LIST[[#This Row],[SIP_TOTAL UNITS SOLD]]=0,0,SUMIFS(SIP[Realized Gain],SIP[Investor ID],INVESTORS_LIST[[#This Row],[INVESTOR CODE]],SIP[B/S],"S"))</f>
        <v>0</v>
      </c>
      <c r="S714" s="50">
        <f>INVESTORS_LIST[[#This Row],[LS_TOTAL UNITS BUY]]+INVESTORS_LIST[[#This Row],[SIP_TOTAL UNITS BUY]]</f>
        <v>0</v>
      </c>
      <c r="T714" s="50">
        <f>INVESTORS_LIST[[#This Row],[LS_TOTAL UNITS SOLD]]+INVESTORS_LIST[[#This Row],[SIP_TOTAL UNITS SOLD]]</f>
        <v>0</v>
      </c>
      <c r="U714" s="50"/>
      <c r="V714" s="50">
        <f>SUMIFS(LS[BO UNIT TRANSFER],LS[Investor ID],INVESTORS_LIST[[#This Row],[INVESTOR CODE]],LS[B/S],"B")</f>
        <v>0</v>
      </c>
      <c r="W714" s="50">
        <f>SUMIFS(SIP[BO UNIT TRANSFER],SIP[Investor ID],INVESTORS_LIST[[#This Row],[INVESTOR CODE]],SIP[B/S],"B")</f>
        <v>0</v>
      </c>
      <c r="X714" s="50">
        <f>SUMIFS(LS[BO UNIT TRANSFER],LS[Investor ID],INVESTORS_LIST[[#This Row],[INVESTOR CODE]],LS[B/S],"S")</f>
        <v>0</v>
      </c>
      <c r="Y714" s="50">
        <f>SUMIFS(SIP[BO UNIT TRANSFER],SIP[Investor ID],INVESTORS_LIST[[#This Row],[INVESTOR CODE]],SIP[B/S],"S")</f>
        <v>0</v>
      </c>
      <c r="Z714" s="106">
        <f>SUM(INVESTORS_LIST[[#This Row],[BO OPENING BALANCE]:[BO SIP UNITS REPURCHASE]])</f>
        <v>0</v>
      </c>
      <c r="AA714" s="107">
        <f>INVESTORS_LIST[[#This Row],[TOTAL UNITS BUY]]-INVESTORS_LIST[[#This Row],[TOTAL UNITS SOLD]]</f>
        <v>0</v>
      </c>
      <c r="AB714" s="107">
        <f>INVESTORS_LIST[[#This Row],[TOTAL CURRENT UNITS]]-INVESTORS_LIST[[#This Row],[BO UNITS HOLD]]</f>
        <v>0</v>
      </c>
      <c r="AC714" s="201" t="e">
        <f>INDEX([3]!Table_1[BO ID],MATCH(INVESTORS_LIST[[#This Row],[INVESTOR CODE]],[3]!Table_1[INVESTOR CODE],0))</f>
        <v>#REF!</v>
      </c>
      <c r="AD714" s="201" t="e">
        <f>INDEX([3]!Table_1[Brokerage Name2],MATCH(INVESTORS_LIST[[#This Row],[INVESTOR CODE]],[3]!Table_1[INVESTOR CODE],0))</f>
        <v>#REF!</v>
      </c>
      <c r="AE714" s="201" t="e">
        <f>MID(INVESTORS_LIST[[#This Row],[BO ID]],4,5)</f>
        <v>#REF!</v>
      </c>
      <c r="AF714" s="201" t="e">
        <f>MID(INVESTORS_LIST[[#This Row],[BO ID]],2,7)</f>
        <v>#REF!</v>
      </c>
      <c r="AG714" s="201" t="e">
        <f>MID(INVESTORS_LIST[[#This Row],[BO ID]],9,7)</f>
        <v>#REF!</v>
      </c>
      <c r="AH714" s="201" t="e">
        <f>RIGHT(INVESTORS_LIST[[#This Row],[BO ID]],1)</f>
        <v>#REF!</v>
      </c>
      <c r="AI714" s="50">
        <f>INVESTORS_LIST[[#This Row],[LS_TOTAL COST VALUE OF CURRENT UNITS]]+INVESTORS_LIST[[#This Row],[SIP_TOTAL COST VALUE OF CURRENT UNITS]]</f>
        <v>0</v>
      </c>
      <c r="AJ714" s="109">
        <f>IF(INVESTORS_LIST[[#This Row],[TOTAL CURRENT UNITS]]=0,0,INVESTORS_LIST[[#This Row],[LS_TOTAL CURRENT UNITS]]/INVESTORS_LIST[[#This Row],[TOTAL CURRENT UNITS]])</f>
        <v>0</v>
      </c>
      <c r="AK714" s="109">
        <f>IF(INVESTORS_LIST[[#This Row],[TOTAL CURRENT UNITS]]=0,0,INVESTORS_LIST[[#This Row],[SIP_TOTAL CURRENT UNITS]]/INVESTORS_LIST[[#This Row],[TOTAL CURRENT UNITS]])</f>
        <v>0</v>
      </c>
      <c r="AL714" s="99" cm="1">
        <f t="array" ref="AL7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4" s="99" cm="1">
        <f t="array" ref="AM7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4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4" s="105">
        <f t="shared" si="12"/>
        <v>14.224</v>
      </c>
      <c r="AP714" s="112">
        <f>IF(INVESTORS_LIST[[#This Row],[TOTAL CURRENT UNITS]]=0,0,INVESTORS_LIST[[#This Row],[TOTAL CURRENT UNITS]]*INVESTORS_LIST[[#This Row],[NAV]])</f>
        <v>0</v>
      </c>
      <c r="AQ714" s="102">
        <f>IF(INVESTORS_LIST[[#This Row],[LS_TOTAL CURRENT UNITS]]=0,0,INVESTORS_LIST[[#This Row],[LS_TOTAL CURRENT UNITS]]*INVESTORS_LIST[[#This Row],[NAV]])</f>
        <v>0</v>
      </c>
      <c r="AR714" s="48">
        <f>IF(INVESTORS_LIST[[#This Row],[SIP_TOTAL CURRENT UNITS]]=0,0,INVESTORS_LIST[[#This Row],[SIP_TOTAL CURRENT UNITS]]*INVESTORS_LIST[[#This Row],[NAV]])</f>
        <v>0</v>
      </c>
      <c r="AS714" s="50">
        <f>INVESTORS_LIST[[#This Row],[TOTAL CURRENT UNITS]]</f>
        <v>0</v>
      </c>
      <c r="AT714" s="48">
        <f>IF(INVESTORS_LIST[[#This Row],[TOTAL SELLABLE UNITS]]=0,0,INVESTORS_LIST[[#This Row],[TOTAL SELLABLE UNITS]]*INVESTORS_LIST[[#This Row],[NAV]])</f>
        <v>0</v>
      </c>
      <c r="AU714" s="48">
        <f>INVESTORS_LIST[[#This Row],[LS_TOTAL REALIZED GAIN]]+INVESTORS_LIST[[#This Row],[SIP_TOTAL REALIZED GAIN]]</f>
        <v>0</v>
      </c>
      <c r="AV714" s="48">
        <f>INVESTORS_LIST[[#This Row],[TOTAL MARKET VALUE]]-INVESTORS_LIST[[#This Row],[TOTAL COST VALUE OF CURRENT INVESTMENT]]</f>
        <v>0</v>
      </c>
      <c r="AW714" s="48">
        <f>IFERROR(INVESTORS_LIST[[#This Row],[TOTAL CURRENT UNITS]]/SUM(INVESTORS_LIST[TOTAL CURRENT UNITS]),0)</f>
        <v>0</v>
      </c>
    </row>
    <row r="715" spans="1:49" hidden="1">
      <c r="A715" s="265" t="s">
        <v>1534</v>
      </c>
      <c r="B715" s="97" t="s">
        <v>1535</v>
      </c>
      <c r="C715" t="s">
        <v>44</v>
      </c>
      <c r="D715" s="75" t="s">
        <v>45</v>
      </c>
      <c r="E715" s="50">
        <f>SUMIFS(LS[Unit],LS[Investor ID],INVESTORS_LIST[[#This Row],[INVESTOR CODE]],LS[B/S],"B")</f>
        <v>0</v>
      </c>
      <c r="F715" s="50">
        <f>-SUMIFS(LS[Unit],LS[Investor ID],INVESTORS_LIST[[#This Row],[INVESTOR CODE]],LS[B/S],"S")</f>
        <v>0</v>
      </c>
      <c r="G715" s="50">
        <f>IF(INVESTORS_LIST[[#This Row],[LS_TOTAL UNITS BUY]]=0,0,INVESTORS_LIST[[#This Row],[LS_TOTAL UNITS BUY]]-INVESTORS_LIST[[#This Row],[LS_TOTAL UNITS SOLD]])</f>
        <v>0</v>
      </c>
      <c r="H715" s="102">
        <f>IF(INVESTORS_LIST[[#This Row],[LS_TOTAL UNITS BUY]]=0,0,SUMIFS(LS[Amount],LS[Investor ID],INVESTORS_LIST[[#This Row],[INVESTOR CODE]],LS[B/S],"B"))</f>
        <v>0</v>
      </c>
      <c r="I715" s="48">
        <f>IF(INVESTORS_LIST[[#This Row],[LS_TOTAL UNITS SOLD]]=0,0,SUMIFS(LS[Cost of Units Sold],LS[Investor ID],INVESTORS_LIST[[#This Row],[INVESTOR CODE]],LS[B/S],"S"))</f>
        <v>0</v>
      </c>
      <c r="J715" s="48">
        <f>IF(INVESTORS_LIST[[#This Row],[LS_TOTAL CURRENT UNITS]]=0,0,INVESTORS_LIST[[#This Row],[LS_TOTAL CURRENT UNITS]]*INVESTORS_LIST[[#This Row],[LS_AVERAGE COST]])</f>
        <v>0</v>
      </c>
      <c r="K715" s="48">
        <f>IF(INVESTORS_LIST[[#This Row],[LS_TOTAL UNITS SOLD]]=0,0,SUMIFS(LS[Realized Gain],LS[Investor ID],INVESTORS_LIST[[#This Row],[INVESTOR CODE]],LS[B/S],"S"))</f>
        <v>0</v>
      </c>
      <c r="L715" s="104">
        <f>SUMIFS(SIP[Unit],SIP[Investor ID],INVESTORS_LIST[[#This Row],[INVESTOR CODE]],SIP[B/S],"B")</f>
        <v>0</v>
      </c>
      <c r="M715" s="50">
        <f>-SUMIFS(SIP[Unit],SIP[Investor ID],INVESTORS_LIST[[#This Row],[INVESTOR CODE]],SIP[B/S],"S")</f>
        <v>0</v>
      </c>
      <c r="N715" s="50">
        <f>IF(INVESTORS_LIST[[#This Row],[SIP_TOTAL UNITS BUY]]=0,0,INVESTORS_LIST[[#This Row],[SIP_TOTAL UNITS BUY]]-INVESTORS_LIST[[#This Row],[SIP_TOTAL UNITS SOLD]])</f>
        <v>0</v>
      </c>
      <c r="O715" s="48">
        <f>IF(INVESTORS_LIST[[#This Row],[SIP_TOTAL UNITS BUY]]=0,0,SUMIFS(SIP[Amount],SIP[Investor ID],INVESTORS_LIST[[#This Row],[INVESTOR CODE]],SIP[B/S],"B"))</f>
        <v>0</v>
      </c>
      <c r="P715" s="48">
        <f>IF(INVESTORS_LIST[[#This Row],[SIP_TOTAL UNITS SOLD]]=0,0,SUMIFS(SIP[Cost of Units Sold],SIP[Investor ID],INVESTORS_LIST[[#This Row],[INVESTOR CODE]],SIP[B/S],"S"))</f>
        <v>0</v>
      </c>
      <c r="Q715" s="48">
        <f>IF(INVESTORS_LIST[[#This Row],[SIP_TOTAL CURRENT UNITS]]=0,0,INVESTORS_LIST[[#This Row],[SIP_TOTAL CURRENT UNITS]]*INVESTORS_LIST[[#This Row],[SIP_AVERAGE COST]])</f>
        <v>0</v>
      </c>
      <c r="R715" s="48">
        <f>IF(INVESTORS_LIST[[#This Row],[SIP_TOTAL UNITS SOLD]]=0,0,SUMIFS(SIP[Realized Gain],SIP[Investor ID],INVESTORS_LIST[[#This Row],[INVESTOR CODE]],SIP[B/S],"S"))</f>
        <v>0</v>
      </c>
      <c r="S715" s="50">
        <f>INVESTORS_LIST[[#This Row],[LS_TOTAL UNITS BUY]]+INVESTORS_LIST[[#This Row],[SIP_TOTAL UNITS BUY]]</f>
        <v>0</v>
      </c>
      <c r="T715" s="50">
        <f>INVESTORS_LIST[[#This Row],[LS_TOTAL UNITS SOLD]]+INVESTORS_LIST[[#This Row],[SIP_TOTAL UNITS SOLD]]</f>
        <v>0</v>
      </c>
      <c r="U715" s="50"/>
      <c r="V715" s="50">
        <f>SUMIFS(LS[BO UNIT TRANSFER],LS[Investor ID],INVESTORS_LIST[[#This Row],[INVESTOR CODE]],LS[B/S],"B")</f>
        <v>0</v>
      </c>
      <c r="W715" s="50">
        <f>SUMIFS(SIP[BO UNIT TRANSFER],SIP[Investor ID],INVESTORS_LIST[[#This Row],[INVESTOR CODE]],SIP[B/S],"B")</f>
        <v>0</v>
      </c>
      <c r="X715" s="50">
        <f>SUMIFS(LS[BO UNIT TRANSFER],LS[Investor ID],INVESTORS_LIST[[#This Row],[INVESTOR CODE]],LS[B/S],"S")</f>
        <v>0</v>
      </c>
      <c r="Y715" s="50">
        <f>SUMIFS(SIP[BO UNIT TRANSFER],SIP[Investor ID],INVESTORS_LIST[[#This Row],[INVESTOR CODE]],SIP[B/S],"S")</f>
        <v>0</v>
      </c>
      <c r="Z715" s="106">
        <f>SUM(INVESTORS_LIST[[#This Row],[BO OPENING BALANCE]:[BO SIP UNITS REPURCHASE]])</f>
        <v>0</v>
      </c>
      <c r="AA715" s="107">
        <f>INVESTORS_LIST[[#This Row],[TOTAL UNITS BUY]]-INVESTORS_LIST[[#This Row],[TOTAL UNITS SOLD]]</f>
        <v>0</v>
      </c>
      <c r="AB715" s="107">
        <f>INVESTORS_LIST[[#This Row],[TOTAL CURRENT UNITS]]-INVESTORS_LIST[[#This Row],[BO UNITS HOLD]]</f>
        <v>0</v>
      </c>
      <c r="AC715" s="201" t="e">
        <f>INDEX([3]!Table_1[BO ID],MATCH(INVESTORS_LIST[[#This Row],[INVESTOR CODE]],[3]!Table_1[INVESTOR CODE],0))</f>
        <v>#REF!</v>
      </c>
      <c r="AD715" s="201" t="e">
        <f>INDEX([3]!Table_1[Brokerage Name2],MATCH(INVESTORS_LIST[[#This Row],[INVESTOR CODE]],[3]!Table_1[INVESTOR CODE],0))</f>
        <v>#REF!</v>
      </c>
      <c r="AE715" s="201" t="e">
        <f>MID(INVESTORS_LIST[[#This Row],[BO ID]],4,5)</f>
        <v>#REF!</v>
      </c>
      <c r="AF715" s="201" t="e">
        <f>MID(INVESTORS_LIST[[#This Row],[BO ID]],2,7)</f>
        <v>#REF!</v>
      </c>
      <c r="AG715" s="201" t="e">
        <f>MID(INVESTORS_LIST[[#This Row],[BO ID]],9,7)</f>
        <v>#REF!</v>
      </c>
      <c r="AH715" s="201" t="e">
        <f>RIGHT(INVESTORS_LIST[[#This Row],[BO ID]],1)</f>
        <v>#REF!</v>
      </c>
      <c r="AI715" s="50">
        <f>INVESTORS_LIST[[#This Row],[LS_TOTAL COST VALUE OF CURRENT UNITS]]+INVESTORS_LIST[[#This Row],[SIP_TOTAL COST VALUE OF CURRENT UNITS]]</f>
        <v>0</v>
      </c>
      <c r="AJ715" s="109">
        <f>IF(INVESTORS_LIST[[#This Row],[TOTAL CURRENT UNITS]]=0,0,INVESTORS_LIST[[#This Row],[LS_TOTAL CURRENT UNITS]]/INVESTORS_LIST[[#This Row],[TOTAL CURRENT UNITS]])</f>
        <v>0</v>
      </c>
      <c r="AK715" s="109">
        <f>IF(INVESTORS_LIST[[#This Row],[TOTAL CURRENT UNITS]]=0,0,INVESTORS_LIST[[#This Row],[SIP_TOTAL CURRENT UNITS]]/INVESTORS_LIST[[#This Row],[TOTAL CURRENT UNITS]])</f>
        <v>0</v>
      </c>
      <c r="AL715" s="99" cm="1">
        <f t="array" ref="AL7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5" s="99" cm="1">
        <f t="array" ref="AM7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5" s="105">
        <f t="shared" si="12"/>
        <v>14.224</v>
      </c>
      <c r="AP715" s="112">
        <f>IF(INVESTORS_LIST[[#This Row],[TOTAL CURRENT UNITS]]=0,0,INVESTORS_LIST[[#This Row],[TOTAL CURRENT UNITS]]*INVESTORS_LIST[[#This Row],[NAV]])</f>
        <v>0</v>
      </c>
      <c r="AQ715" s="102">
        <f>IF(INVESTORS_LIST[[#This Row],[LS_TOTAL CURRENT UNITS]]=0,0,INVESTORS_LIST[[#This Row],[LS_TOTAL CURRENT UNITS]]*INVESTORS_LIST[[#This Row],[NAV]])</f>
        <v>0</v>
      </c>
      <c r="AR715" s="48">
        <f>IF(INVESTORS_LIST[[#This Row],[SIP_TOTAL CURRENT UNITS]]=0,0,INVESTORS_LIST[[#This Row],[SIP_TOTAL CURRENT UNITS]]*INVESTORS_LIST[[#This Row],[NAV]])</f>
        <v>0</v>
      </c>
      <c r="AS715" s="50">
        <f>INVESTORS_LIST[[#This Row],[TOTAL CURRENT UNITS]]</f>
        <v>0</v>
      </c>
      <c r="AT715" s="48">
        <f>IF(INVESTORS_LIST[[#This Row],[TOTAL SELLABLE UNITS]]=0,0,INVESTORS_LIST[[#This Row],[TOTAL SELLABLE UNITS]]*INVESTORS_LIST[[#This Row],[NAV]])</f>
        <v>0</v>
      </c>
      <c r="AU715" s="48">
        <f>INVESTORS_LIST[[#This Row],[LS_TOTAL REALIZED GAIN]]+INVESTORS_LIST[[#This Row],[SIP_TOTAL REALIZED GAIN]]</f>
        <v>0</v>
      </c>
      <c r="AV715" s="48">
        <f>INVESTORS_LIST[[#This Row],[TOTAL MARKET VALUE]]-INVESTORS_LIST[[#This Row],[TOTAL COST VALUE OF CURRENT INVESTMENT]]</f>
        <v>0</v>
      </c>
      <c r="AW715" s="48">
        <f>IFERROR(INVESTORS_LIST[[#This Row],[TOTAL CURRENT UNITS]]/SUM(INVESTORS_LIST[TOTAL CURRENT UNITS]),0)</f>
        <v>0</v>
      </c>
    </row>
    <row r="716" spans="1:49" hidden="1">
      <c r="A716" s="265" t="s">
        <v>1536</v>
      </c>
      <c r="B716" s="97" t="s">
        <v>1537</v>
      </c>
      <c r="C716" t="s">
        <v>44</v>
      </c>
      <c r="D716" s="75" t="s">
        <v>45</v>
      </c>
      <c r="E716" s="50">
        <f>SUMIFS(LS[Unit],LS[Investor ID],INVESTORS_LIST[[#This Row],[INVESTOR CODE]],LS[B/S],"B")</f>
        <v>0</v>
      </c>
      <c r="F716" s="50">
        <f>-SUMIFS(LS[Unit],LS[Investor ID],INVESTORS_LIST[[#This Row],[INVESTOR CODE]],LS[B/S],"S")</f>
        <v>0</v>
      </c>
      <c r="G716" s="50">
        <f>IF(INVESTORS_LIST[[#This Row],[LS_TOTAL UNITS BUY]]=0,0,INVESTORS_LIST[[#This Row],[LS_TOTAL UNITS BUY]]-INVESTORS_LIST[[#This Row],[LS_TOTAL UNITS SOLD]])</f>
        <v>0</v>
      </c>
      <c r="H716" s="102">
        <f>IF(INVESTORS_LIST[[#This Row],[LS_TOTAL UNITS BUY]]=0,0,SUMIFS(LS[Amount],LS[Investor ID],INVESTORS_LIST[[#This Row],[INVESTOR CODE]],LS[B/S],"B"))</f>
        <v>0</v>
      </c>
      <c r="I716" s="48">
        <f>IF(INVESTORS_LIST[[#This Row],[LS_TOTAL UNITS SOLD]]=0,0,SUMIFS(LS[Cost of Units Sold],LS[Investor ID],INVESTORS_LIST[[#This Row],[INVESTOR CODE]],LS[B/S],"S"))</f>
        <v>0</v>
      </c>
      <c r="J716" s="48">
        <f>IF(INVESTORS_LIST[[#This Row],[LS_TOTAL CURRENT UNITS]]=0,0,INVESTORS_LIST[[#This Row],[LS_TOTAL CURRENT UNITS]]*INVESTORS_LIST[[#This Row],[LS_AVERAGE COST]])</f>
        <v>0</v>
      </c>
      <c r="K716" s="48">
        <f>IF(INVESTORS_LIST[[#This Row],[LS_TOTAL UNITS SOLD]]=0,0,SUMIFS(LS[Realized Gain],LS[Investor ID],INVESTORS_LIST[[#This Row],[INVESTOR CODE]],LS[B/S],"S"))</f>
        <v>0</v>
      </c>
      <c r="L716" s="104">
        <f>SUMIFS(SIP[Unit],SIP[Investor ID],INVESTORS_LIST[[#This Row],[INVESTOR CODE]],SIP[B/S],"B")</f>
        <v>0</v>
      </c>
      <c r="M716" s="50">
        <f>-SUMIFS(SIP[Unit],SIP[Investor ID],INVESTORS_LIST[[#This Row],[INVESTOR CODE]],SIP[B/S],"S")</f>
        <v>0</v>
      </c>
      <c r="N716" s="50">
        <f>IF(INVESTORS_LIST[[#This Row],[SIP_TOTAL UNITS BUY]]=0,0,INVESTORS_LIST[[#This Row],[SIP_TOTAL UNITS BUY]]-INVESTORS_LIST[[#This Row],[SIP_TOTAL UNITS SOLD]])</f>
        <v>0</v>
      </c>
      <c r="O716" s="48">
        <f>IF(INVESTORS_LIST[[#This Row],[SIP_TOTAL UNITS BUY]]=0,0,SUMIFS(SIP[Amount],SIP[Investor ID],INVESTORS_LIST[[#This Row],[INVESTOR CODE]],SIP[B/S],"B"))</f>
        <v>0</v>
      </c>
      <c r="P716" s="48">
        <f>IF(INVESTORS_LIST[[#This Row],[SIP_TOTAL UNITS SOLD]]=0,0,SUMIFS(SIP[Cost of Units Sold],SIP[Investor ID],INVESTORS_LIST[[#This Row],[INVESTOR CODE]],SIP[B/S],"S"))</f>
        <v>0</v>
      </c>
      <c r="Q716" s="48">
        <f>IF(INVESTORS_LIST[[#This Row],[SIP_TOTAL CURRENT UNITS]]=0,0,INVESTORS_LIST[[#This Row],[SIP_TOTAL CURRENT UNITS]]*INVESTORS_LIST[[#This Row],[SIP_AVERAGE COST]])</f>
        <v>0</v>
      </c>
      <c r="R716" s="48">
        <f>IF(INVESTORS_LIST[[#This Row],[SIP_TOTAL UNITS SOLD]]=0,0,SUMIFS(SIP[Realized Gain],SIP[Investor ID],INVESTORS_LIST[[#This Row],[INVESTOR CODE]],SIP[B/S],"S"))</f>
        <v>0</v>
      </c>
      <c r="S716" s="50">
        <f>INVESTORS_LIST[[#This Row],[LS_TOTAL UNITS BUY]]+INVESTORS_LIST[[#This Row],[SIP_TOTAL UNITS BUY]]</f>
        <v>0</v>
      </c>
      <c r="T716" s="50">
        <f>INVESTORS_LIST[[#This Row],[LS_TOTAL UNITS SOLD]]+INVESTORS_LIST[[#This Row],[SIP_TOTAL UNITS SOLD]]</f>
        <v>0</v>
      </c>
      <c r="U716" s="50"/>
      <c r="V716" s="50">
        <f>SUMIFS(LS[BO UNIT TRANSFER],LS[Investor ID],INVESTORS_LIST[[#This Row],[INVESTOR CODE]],LS[B/S],"B")</f>
        <v>0</v>
      </c>
      <c r="W716" s="50">
        <f>SUMIFS(SIP[BO UNIT TRANSFER],SIP[Investor ID],INVESTORS_LIST[[#This Row],[INVESTOR CODE]],SIP[B/S],"B")</f>
        <v>0</v>
      </c>
      <c r="X716" s="50">
        <f>SUMIFS(LS[BO UNIT TRANSFER],LS[Investor ID],INVESTORS_LIST[[#This Row],[INVESTOR CODE]],LS[B/S],"S")</f>
        <v>0</v>
      </c>
      <c r="Y716" s="50">
        <f>SUMIFS(SIP[BO UNIT TRANSFER],SIP[Investor ID],INVESTORS_LIST[[#This Row],[INVESTOR CODE]],SIP[B/S],"S")</f>
        <v>0</v>
      </c>
      <c r="Z716" s="106">
        <f>SUM(INVESTORS_LIST[[#This Row],[BO OPENING BALANCE]:[BO SIP UNITS REPURCHASE]])</f>
        <v>0</v>
      </c>
      <c r="AA716" s="107">
        <f>INVESTORS_LIST[[#This Row],[TOTAL UNITS BUY]]-INVESTORS_LIST[[#This Row],[TOTAL UNITS SOLD]]</f>
        <v>0</v>
      </c>
      <c r="AB716" s="107">
        <f>INVESTORS_LIST[[#This Row],[TOTAL CURRENT UNITS]]-INVESTORS_LIST[[#This Row],[BO UNITS HOLD]]</f>
        <v>0</v>
      </c>
      <c r="AC716" s="201" t="e">
        <f>INDEX([3]!Table_1[BO ID],MATCH(INVESTORS_LIST[[#This Row],[INVESTOR CODE]],[3]!Table_1[INVESTOR CODE],0))</f>
        <v>#REF!</v>
      </c>
      <c r="AD716" s="201" t="e">
        <f>INDEX([3]!Table_1[Brokerage Name2],MATCH(INVESTORS_LIST[[#This Row],[INVESTOR CODE]],[3]!Table_1[INVESTOR CODE],0))</f>
        <v>#REF!</v>
      </c>
      <c r="AE716" s="201" t="e">
        <f>MID(INVESTORS_LIST[[#This Row],[BO ID]],4,5)</f>
        <v>#REF!</v>
      </c>
      <c r="AF716" s="201" t="e">
        <f>MID(INVESTORS_LIST[[#This Row],[BO ID]],2,7)</f>
        <v>#REF!</v>
      </c>
      <c r="AG716" s="201" t="e">
        <f>MID(INVESTORS_LIST[[#This Row],[BO ID]],9,7)</f>
        <v>#REF!</v>
      </c>
      <c r="AH716" s="201" t="e">
        <f>RIGHT(INVESTORS_LIST[[#This Row],[BO ID]],1)</f>
        <v>#REF!</v>
      </c>
      <c r="AI716" s="50">
        <f>INVESTORS_LIST[[#This Row],[LS_TOTAL COST VALUE OF CURRENT UNITS]]+INVESTORS_LIST[[#This Row],[SIP_TOTAL COST VALUE OF CURRENT UNITS]]</f>
        <v>0</v>
      </c>
      <c r="AJ716" s="109">
        <f>IF(INVESTORS_LIST[[#This Row],[TOTAL CURRENT UNITS]]=0,0,INVESTORS_LIST[[#This Row],[LS_TOTAL CURRENT UNITS]]/INVESTORS_LIST[[#This Row],[TOTAL CURRENT UNITS]])</f>
        <v>0</v>
      </c>
      <c r="AK716" s="109">
        <f>IF(INVESTORS_LIST[[#This Row],[TOTAL CURRENT UNITS]]=0,0,INVESTORS_LIST[[#This Row],[SIP_TOTAL CURRENT UNITS]]/INVESTORS_LIST[[#This Row],[TOTAL CURRENT UNITS]])</f>
        <v>0</v>
      </c>
      <c r="AL716" s="99" cm="1">
        <f t="array" ref="AL7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6" s="99" cm="1">
        <f t="array" ref="AM7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6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6" s="105">
        <f t="shared" si="12"/>
        <v>14.224</v>
      </c>
      <c r="AP716" s="112">
        <f>IF(INVESTORS_LIST[[#This Row],[TOTAL CURRENT UNITS]]=0,0,INVESTORS_LIST[[#This Row],[TOTAL CURRENT UNITS]]*INVESTORS_LIST[[#This Row],[NAV]])</f>
        <v>0</v>
      </c>
      <c r="AQ716" s="102">
        <f>IF(INVESTORS_LIST[[#This Row],[LS_TOTAL CURRENT UNITS]]=0,0,INVESTORS_LIST[[#This Row],[LS_TOTAL CURRENT UNITS]]*INVESTORS_LIST[[#This Row],[NAV]])</f>
        <v>0</v>
      </c>
      <c r="AR716" s="48">
        <f>IF(INVESTORS_LIST[[#This Row],[SIP_TOTAL CURRENT UNITS]]=0,0,INVESTORS_LIST[[#This Row],[SIP_TOTAL CURRENT UNITS]]*INVESTORS_LIST[[#This Row],[NAV]])</f>
        <v>0</v>
      </c>
      <c r="AS716" s="50">
        <f>INVESTORS_LIST[[#This Row],[TOTAL CURRENT UNITS]]</f>
        <v>0</v>
      </c>
      <c r="AT716" s="48">
        <f>IF(INVESTORS_LIST[[#This Row],[TOTAL SELLABLE UNITS]]=0,0,INVESTORS_LIST[[#This Row],[TOTAL SELLABLE UNITS]]*INVESTORS_LIST[[#This Row],[NAV]])</f>
        <v>0</v>
      </c>
      <c r="AU716" s="48">
        <f>INVESTORS_LIST[[#This Row],[LS_TOTAL REALIZED GAIN]]+INVESTORS_LIST[[#This Row],[SIP_TOTAL REALIZED GAIN]]</f>
        <v>0</v>
      </c>
      <c r="AV716" s="48">
        <f>INVESTORS_LIST[[#This Row],[TOTAL MARKET VALUE]]-INVESTORS_LIST[[#This Row],[TOTAL COST VALUE OF CURRENT INVESTMENT]]</f>
        <v>0</v>
      </c>
      <c r="AW716" s="48">
        <f>IFERROR(INVESTORS_LIST[[#This Row],[TOTAL CURRENT UNITS]]/SUM(INVESTORS_LIST[TOTAL CURRENT UNITS]),0)</f>
        <v>0</v>
      </c>
    </row>
    <row r="717" spans="1:49" hidden="1">
      <c r="A717" s="265" t="s">
        <v>1538</v>
      </c>
      <c r="B717" s="97" t="s">
        <v>1539</v>
      </c>
      <c r="C717" t="s">
        <v>44</v>
      </c>
      <c r="D717" s="75" t="s">
        <v>45</v>
      </c>
      <c r="E717" s="50">
        <f>SUMIFS(LS[Unit],LS[Investor ID],INVESTORS_LIST[[#This Row],[INVESTOR CODE]],LS[B/S],"B")</f>
        <v>0</v>
      </c>
      <c r="F717" s="50">
        <f>-SUMIFS(LS[Unit],LS[Investor ID],INVESTORS_LIST[[#This Row],[INVESTOR CODE]],LS[B/S],"S")</f>
        <v>0</v>
      </c>
      <c r="G717" s="50">
        <f>IF(INVESTORS_LIST[[#This Row],[LS_TOTAL UNITS BUY]]=0,0,INVESTORS_LIST[[#This Row],[LS_TOTAL UNITS BUY]]-INVESTORS_LIST[[#This Row],[LS_TOTAL UNITS SOLD]])</f>
        <v>0</v>
      </c>
      <c r="H717" s="102">
        <f>IF(INVESTORS_LIST[[#This Row],[LS_TOTAL UNITS BUY]]=0,0,SUMIFS(LS[Amount],LS[Investor ID],INVESTORS_LIST[[#This Row],[INVESTOR CODE]],LS[B/S],"B"))</f>
        <v>0</v>
      </c>
      <c r="I717" s="48">
        <f>IF(INVESTORS_LIST[[#This Row],[LS_TOTAL UNITS SOLD]]=0,0,SUMIFS(LS[Cost of Units Sold],LS[Investor ID],INVESTORS_LIST[[#This Row],[INVESTOR CODE]],LS[B/S],"S"))</f>
        <v>0</v>
      </c>
      <c r="J717" s="48">
        <f>IF(INVESTORS_LIST[[#This Row],[LS_TOTAL CURRENT UNITS]]=0,0,INVESTORS_LIST[[#This Row],[LS_TOTAL CURRENT UNITS]]*INVESTORS_LIST[[#This Row],[LS_AVERAGE COST]])</f>
        <v>0</v>
      </c>
      <c r="K717" s="48">
        <f>IF(INVESTORS_LIST[[#This Row],[LS_TOTAL UNITS SOLD]]=0,0,SUMIFS(LS[Realized Gain],LS[Investor ID],INVESTORS_LIST[[#This Row],[INVESTOR CODE]],LS[B/S],"S"))</f>
        <v>0</v>
      </c>
      <c r="L717" s="104">
        <f>SUMIFS(SIP[Unit],SIP[Investor ID],INVESTORS_LIST[[#This Row],[INVESTOR CODE]],SIP[B/S],"B")</f>
        <v>0</v>
      </c>
      <c r="M717" s="50">
        <f>-SUMIFS(SIP[Unit],SIP[Investor ID],INVESTORS_LIST[[#This Row],[INVESTOR CODE]],SIP[B/S],"S")</f>
        <v>0</v>
      </c>
      <c r="N717" s="50">
        <f>IF(INVESTORS_LIST[[#This Row],[SIP_TOTAL UNITS BUY]]=0,0,INVESTORS_LIST[[#This Row],[SIP_TOTAL UNITS BUY]]-INVESTORS_LIST[[#This Row],[SIP_TOTAL UNITS SOLD]])</f>
        <v>0</v>
      </c>
      <c r="O717" s="48">
        <f>IF(INVESTORS_LIST[[#This Row],[SIP_TOTAL UNITS BUY]]=0,0,SUMIFS(SIP[Amount],SIP[Investor ID],INVESTORS_LIST[[#This Row],[INVESTOR CODE]],SIP[B/S],"B"))</f>
        <v>0</v>
      </c>
      <c r="P717" s="48">
        <f>IF(INVESTORS_LIST[[#This Row],[SIP_TOTAL UNITS SOLD]]=0,0,SUMIFS(SIP[Cost of Units Sold],SIP[Investor ID],INVESTORS_LIST[[#This Row],[INVESTOR CODE]],SIP[B/S],"S"))</f>
        <v>0</v>
      </c>
      <c r="Q717" s="48">
        <f>IF(INVESTORS_LIST[[#This Row],[SIP_TOTAL CURRENT UNITS]]=0,0,INVESTORS_LIST[[#This Row],[SIP_TOTAL CURRENT UNITS]]*INVESTORS_LIST[[#This Row],[SIP_AVERAGE COST]])</f>
        <v>0</v>
      </c>
      <c r="R717" s="48">
        <f>IF(INVESTORS_LIST[[#This Row],[SIP_TOTAL UNITS SOLD]]=0,0,SUMIFS(SIP[Realized Gain],SIP[Investor ID],INVESTORS_LIST[[#This Row],[INVESTOR CODE]],SIP[B/S],"S"))</f>
        <v>0</v>
      </c>
      <c r="S717" s="50">
        <f>INVESTORS_LIST[[#This Row],[LS_TOTAL UNITS BUY]]+INVESTORS_LIST[[#This Row],[SIP_TOTAL UNITS BUY]]</f>
        <v>0</v>
      </c>
      <c r="T717" s="50">
        <f>INVESTORS_LIST[[#This Row],[LS_TOTAL UNITS SOLD]]+INVESTORS_LIST[[#This Row],[SIP_TOTAL UNITS SOLD]]</f>
        <v>0</v>
      </c>
      <c r="U717" s="50"/>
      <c r="V717" s="50">
        <f>SUMIFS(LS[BO UNIT TRANSFER],LS[Investor ID],INVESTORS_LIST[[#This Row],[INVESTOR CODE]],LS[B/S],"B")</f>
        <v>0</v>
      </c>
      <c r="W717" s="50">
        <f>SUMIFS(SIP[BO UNIT TRANSFER],SIP[Investor ID],INVESTORS_LIST[[#This Row],[INVESTOR CODE]],SIP[B/S],"B")</f>
        <v>0</v>
      </c>
      <c r="X717" s="50">
        <f>SUMIFS(LS[BO UNIT TRANSFER],LS[Investor ID],INVESTORS_LIST[[#This Row],[INVESTOR CODE]],LS[B/S],"S")</f>
        <v>0</v>
      </c>
      <c r="Y717" s="50">
        <f>SUMIFS(SIP[BO UNIT TRANSFER],SIP[Investor ID],INVESTORS_LIST[[#This Row],[INVESTOR CODE]],SIP[B/S],"S")</f>
        <v>0</v>
      </c>
      <c r="Z717" s="106">
        <f>SUM(INVESTORS_LIST[[#This Row],[BO OPENING BALANCE]:[BO SIP UNITS REPURCHASE]])</f>
        <v>0</v>
      </c>
      <c r="AA717" s="107">
        <f>INVESTORS_LIST[[#This Row],[TOTAL UNITS BUY]]-INVESTORS_LIST[[#This Row],[TOTAL UNITS SOLD]]</f>
        <v>0</v>
      </c>
      <c r="AB717" s="107">
        <f>INVESTORS_LIST[[#This Row],[TOTAL CURRENT UNITS]]-INVESTORS_LIST[[#This Row],[BO UNITS HOLD]]</f>
        <v>0</v>
      </c>
      <c r="AC717" s="201" t="e">
        <f>INDEX([3]!Table_1[BO ID],MATCH(INVESTORS_LIST[[#This Row],[INVESTOR CODE]],[3]!Table_1[INVESTOR CODE],0))</f>
        <v>#REF!</v>
      </c>
      <c r="AD717" s="201" t="e">
        <f>INDEX([3]!Table_1[Brokerage Name2],MATCH(INVESTORS_LIST[[#This Row],[INVESTOR CODE]],[3]!Table_1[INVESTOR CODE],0))</f>
        <v>#REF!</v>
      </c>
      <c r="AE717" s="201" t="e">
        <f>MID(INVESTORS_LIST[[#This Row],[BO ID]],4,5)</f>
        <v>#REF!</v>
      </c>
      <c r="AF717" s="201" t="e">
        <f>MID(INVESTORS_LIST[[#This Row],[BO ID]],2,7)</f>
        <v>#REF!</v>
      </c>
      <c r="AG717" s="201" t="e">
        <f>MID(INVESTORS_LIST[[#This Row],[BO ID]],9,7)</f>
        <v>#REF!</v>
      </c>
      <c r="AH717" s="201" t="e">
        <f>RIGHT(INVESTORS_LIST[[#This Row],[BO ID]],1)</f>
        <v>#REF!</v>
      </c>
      <c r="AI717" s="50">
        <f>INVESTORS_LIST[[#This Row],[LS_TOTAL COST VALUE OF CURRENT UNITS]]+INVESTORS_LIST[[#This Row],[SIP_TOTAL COST VALUE OF CURRENT UNITS]]</f>
        <v>0</v>
      </c>
      <c r="AJ717" s="109">
        <f>IF(INVESTORS_LIST[[#This Row],[TOTAL CURRENT UNITS]]=0,0,INVESTORS_LIST[[#This Row],[LS_TOTAL CURRENT UNITS]]/INVESTORS_LIST[[#This Row],[TOTAL CURRENT UNITS]])</f>
        <v>0</v>
      </c>
      <c r="AK717" s="109">
        <f>IF(INVESTORS_LIST[[#This Row],[TOTAL CURRENT UNITS]]=0,0,INVESTORS_LIST[[#This Row],[SIP_TOTAL CURRENT UNITS]]/INVESTORS_LIST[[#This Row],[TOTAL CURRENT UNITS]])</f>
        <v>0</v>
      </c>
      <c r="AL717" s="99" cm="1">
        <f t="array" ref="AL7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7" s="99" cm="1">
        <f t="array" ref="AM7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7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7" s="105">
        <f t="shared" si="12"/>
        <v>14.224</v>
      </c>
      <c r="AP717" s="112">
        <f>IF(INVESTORS_LIST[[#This Row],[TOTAL CURRENT UNITS]]=0,0,INVESTORS_LIST[[#This Row],[TOTAL CURRENT UNITS]]*INVESTORS_LIST[[#This Row],[NAV]])</f>
        <v>0</v>
      </c>
      <c r="AQ717" s="102">
        <f>IF(INVESTORS_LIST[[#This Row],[LS_TOTAL CURRENT UNITS]]=0,0,INVESTORS_LIST[[#This Row],[LS_TOTAL CURRENT UNITS]]*INVESTORS_LIST[[#This Row],[NAV]])</f>
        <v>0</v>
      </c>
      <c r="AR717" s="48">
        <f>IF(INVESTORS_LIST[[#This Row],[SIP_TOTAL CURRENT UNITS]]=0,0,INVESTORS_LIST[[#This Row],[SIP_TOTAL CURRENT UNITS]]*INVESTORS_LIST[[#This Row],[NAV]])</f>
        <v>0</v>
      </c>
      <c r="AS717" s="50">
        <f>INVESTORS_LIST[[#This Row],[TOTAL CURRENT UNITS]]</f>
        <v>0</v>
      </c>
      <c r="AT717" s="48">
        <f>IF(INVESTORS_LIST[[#This Row],[TOTAL SELLABLE UNITS]]=0,0,INVESTORS_LIST[[#This Row],[TOTAL SELLABLE UNITS]]*INVESTORS_LIST[[#This Row],[NAV]])</f>
        <v>0</v>
      </c>
      <c r="AU717" s="48">
        <f>INVESTORS_LIST[[#This Row],[LS_TOTAL REALIZED GAIN]]+INVESTORS_LIST[[#This Row],[SIP_TOTAL REALIZED GAIN]]</f>
        <v>0</v>
      </c>
      <c r="AV717" s="48">
        <f>INVESTORS_LIST[[#This Row],[TOTAL MARKET VALUE]]-INVESTORS_LIST[[#This Row],[TOTAL COST VALUE OF CURRENT INVESTMENT]]</f>
        <v>0</v>
      </c>
      <c r="AW717" s="48">
        <f>IFERROR(INVESTORS_LIST[[#This Row],[TOTAL CURRENT UNITS]]/SUM(INVESTORS_LIST[TOTAL CURRENT UNITS]),0)</f>
        <v>0</v>
      </c>
    </row>
    <row r="718" spans="1:49" hidden="1">
      <c r="A718" s="265" t="s">
        <v>1540</v>
      </c>
      <c r="B718" s="97" t="s">
        <v>1541</v>
      </c>
      <c r="C718" t="s">
        <v>44</v>
      </c>
      <c r="D718" s="75" t="s">
        <v>45</v>
      </c>
      <c r="E718" s="50">
        <f>SUMIFS(LS[Unit],LS[Investor ID],INVESTORS_LIST[[#This Row],[INVESTOR CODE]],LS[B/S],"B")</f>
        <v>0</v>
      </c>
      <c r="F718" s="50">
        <f>-SUMIFS(LS[Unit],LS[Investor ID],INVESTORS_LIST[[#This Row],[INVESTOR CODE]],LS[B/S],"S")</f>
        <v>0</v>
      </c>
      <c r="G718" s="50">
        <f>IF(INVESTORS_LIST[[#This Row],[LS_TOTAL UNITS BUY]]=0,0,INVESTORS_LIST[[#This Row],[LS_TOTAL UNITS BUY]]-INVESTORS_LIST[[#This Row],[LS_TOTAL UNITS SOLD]])</f>
        <v>0</v>
      </c>
      <c r="H718" s="102">
        <f>IF(INVESTORS_LIST[[#This Row],[LS_TOTAL UNITS BUY]]=0,0,SUMIFS(LS[Amount],LS[Investor ID],INVESTORS_LIST[[#This Row],[INVESTOR CODE]],LS[B/S],"B"))</f>
        <v>0</v>
      </c>
      <c r="I718" s="48">
        <f>IF(INVESTORS_LIST[[#This Row],[LS_TOTAL UNITS SOLD]]=0,0,SUMIFS(LS[Cost of Units Sold],LS[Investor ID],INVESTORS_LIST[[#This Row],[INVESTOR CODE]],LS[B/S],"S"))</f>
        <v>0</v>
      </c>
      <c r="J718" s="48">
        <f>IF(INVESTORS_LIST[[#This Row],[LS_TOTAL CURRENT UNITS]]=0,0,INVESTORS_LIST[[#This Row],[LS_TOTAL CURRENT UNITS]]*INVESTORS_LIST[[#This Row],[LS_AVERAGE COST]])</f>
        <v>0</v>
      </c>
      <c r="K718" s="48">
        <f>IF(INVESTORS_LIST[[#This Row],[LS_TOTAL UNITS SOLD]]=0,0,SUMIFS(LS[Realized Gain],LS[Investor ID],INVESTORS_LIST[[#This Row],[INVESTOR CODE]],LS[B/S],"S"))</f>
        <v>0</v>
      </c>
      <c r="L718" s="104">
        <f>SUMIFS(SIP[Unit],SIP[Investor ID],INVESTORS_LIST[[#This Row],[INVESTOR CODE]],SIP[B/S],"B")</f>
        <v>0</v>
      </c>
      <c r="M718" s="50">
        <f>-SUMIFS(SIP[Unit],SIP[Investor ID],INVESTORS_LIST[[#This Row],[INVESTOR CODE]],SIP[B/S],"S")</f>
        <v>0</v>
      </c>
      <c r="N718" s="50">
        <f>IF(INVESTORS_LIST[[#This Row],[SIP_TOTAL UNITS BUY]]=0,0,INVESTORS_LIST[[#This Row],[SIP_TOTAL UNITS BUY]]-INVESTORS_LIST[[#This Row],[SIP_TOTAL UNITS SOLD]])</f>
        <v>0</v>
      </c>
      <c r="O718" s="48">
        <f>IF(INVESTORS_LIST[[#This Row],[SIP_TOTAL UNITS BUY]]=0,0,SUMIFS(SIP[Amount],SIP[Investor ID],INVESTORS_LIST[[#This Row],[INVESTOR CODE]],SIP[B/S],"B"))</f>
        <v>0</v>
      </c>
      <c r="P718" s="48">
        <f>IF(INVESTORS_LIST[[#This Row],[SIP_TOTAL UNITS SOLD]]=0,0,SUMIFS(SIP[Cost of Units Sold],SIP[Investor ID],INVESTORS_LIST[[#This Row],[INVESTOR CODE]],SIP[B/S],"S"))</f>
        <v>0</v>
      </c>
      <c r="Q718" s="48">
        <f>IF(INVESTORS_LIST[[#This Row],[SIP_TOTAL CURRENT UNITS]]=0,0,INVESTORS_LIST[[#This Row],[SIP_TOTAL CURRENT UNITS]]*INVESTORS_LIST[[#This Row],[SIP_AVERAGE COST]])</f>
        <v>0</v>
      </c>
      <c r="R718" s="48">
        <f>IF(INVESTORS_LIST[[#This Row],[SIP_TOTAL UNITS SOLD]]=0,0,SUMIFS(SIP[Realized Gain],SIP[Investor ID],INVESTORS_LIST[[#This Row],[INVESTOR CODE]],SIP[B/S],"S"))</f>
        <v>0</v>
      </c>
      <c r="S718" s="50">
        <f>INVESTORS_LIST[[#This Row],[LS_TOTAL UNITS BUY]]+INVESTORS_LIST[[#This Row],[SIP_TOTAL UNITS BUY]]</f>
        <v>0</v>
      </c>
      <c r="T718" s="50">
        <f>INVESTORS_LIST[[#This Row],[LS_TOTAL UNITS SOLD]]+INVESTORS_LIST[[#This Row],[SIP_TOTAL UNITS SOLD]]</f>
        <v>0</v>
      </c>
      <c r="U718" s="50"/>
      <c r="V718" s="50">
        <f>SUMIFS(LS[BO UNIT TRANSFER],LS[Investor ID],INVESTORS_LIST[[#This Row],[INVESTOR CODE]],LS[B/S],"B")</f>
        <v>0</v>
      </c>
      <c r="W718" s="50">
        <f>SUMIFS(SIP[BO UNIT TRANSFER],SIP[Investor ID],INVESTORS_LIST[[#This Row],[INVESTOR CODE]],SIP[B/S],"B")</f>
        <v>0</v>
      </c>
      <c r="X718" s="50">
        <f>SUMIFS(LS[BO UNIT TRANSFER],LS[Investor ID],INVESTORS_LIST[[#This Row],[INVESTOR CODE]],LS[B/S],"S")</f>
        <v>0</v>
      </c>
      <c r="Y718" s="50">
        <f>SUMIFS(SIP[BO UNIT TRANSFER],SIP[Investor ID],INVESTORS_LIST[[#This Row],[INVESTOR CODE]],SIP[B/S],"S")</f>
        <v>0</v>
      </c>
      <c r="Z718" s="106">
        <f>SUM(INVESTORS_LIST[[#This Row],[BO OPENING BALANCE]:[BO SIP UNITS REPURCHASE]])</f>
        <v>0</v>
      </c>
      <c r="AA718" s="107">
        <f>INVESTORS_LIST[[#This Row],[TOTAL UNITS BUY]]-INVESTORS_LIST[[#This Row],[TOTAL UNITS SOLD]]</f>
        <v>0</v>
      </c>
      <c r="AB718" s="107">
        <f>INVESTORS_LIST[[#This Row],[TOTAL CURRENT UNITS]]-INVESTORS_LIST[[#This Row],[BO UNITS HOLD]]</f>
        <v>0</v>
      </c>
      <c r="AC718" s="201" t="e">
        <f>INDEX([3]!Table_1[BO ID],MATCH(INVESTORS_LIST[[#This Row],[INVESTOR CODE]],[3]!Table_1[INVESTOR CODE],0))</f>
        <v>#REF!</v>
      </c>
      <c r="AD718" s="201" t="e">
        <f>INDEX([3]!Table_1[Brokerage Name2],MATCH(INVESTORS_LIST[[#This Row],[INVESTOR CODE]],[3]!Table_1[INVESTOR CODE],0))</f>
        <v>#REF!</v>
      </c>
      <c r="AE718" s="201" t="e">
        <f>MID(INVESTORS_LIST[[#This Row],[BO ID]],4,5)</f>
        <v>#REF!</v>
      </c>
      <c r="AF718" s="201" t="e">
        <f>MID(INVESTORS_LIST[[#This Row],[BO ID]],2,7)</f>
        <v>#REF!</v>
      </c>
      <c r="AG718" s="201" t="e">
        <f>MID(INVESTORS_LIST[[#This Row],[BO ID]],9,7)</f>
        <v>#REF!</v>
      </c>
      <c r="AH718" s="201" t="e">
        <f>RIGHT(INVESTORS_LIST[[#This Row],[BO ID]],1)</f>
        <v>#REF!</v>
      </c>
      <c r="AI718" s="50">
        <f>INVESTORS_LIST[[#This Row],[LS_TOTAL COST VALUE OF CURRENT UNITS]]+INVESTORS_LIST[[#This Row],[SIP_TOTAL COST VALUE OF CURRENT UNITS]]</f>
        <v>0</v>
      </c>
      <c r="AJ718" s="109">
        <f>IF(INVESTORS_LIST[[#This Row],[TOTAL CURRENT UNITS]]=0,0,INVESTORS_LIST[[#This Row],[LS_TOTAL CURRENT UNITS]]/INVESTORS_LIST[[#This Row],[TOTAL CURRENT UNITS]])</f>
        <v>0</v>
      </c>
      <c r="AK718" s="109">
        <f>IF(INVESTORS_LIST[[#This Row],[TOTAL CURRENT UNITS]]=0,0,INVESTORS_LIST[[#This Row],[SIP_TOTAL CURRENT UNITS]]/INVESTORS_LIST[[#This Row],[TOTAL CURRENT UNITS]])</f>
        <v>0</v>
      </c>
      <c r="AL718" s="99" cm="1">
        <f t="array" ref="AL7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8" s="99" cm="1">
        <f t="array" ref="AM7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8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8" s="105">
        <f t="shared" si="12"/>
        <v>14.224</v>
      </c>
      <c r="AP718" s="112">
        <f>IF(INVESTORS_LIST[[#This Row],[TOTAL CURRENT UNITS]]=0,0,INVESTORS_LIST[[#This Row],[TOTAL CURRENT UNITS]]*INVESTORS_LIST[[#This Row],[NAV]])</f>
        <v>0</v>
      </c>
      <c r="AQ718" s="102">
        <f>IF(INVESTORS_LIST[[#This Row],[LS_TOTAL CURRENT UNITS]]=0,0,INVESTORS_LIST[[#This Row],[LS_TOTAL CURRENT UNITS]]*INVESTORS_LIST[[#This Row],[NAV]])</f>
        <v>0</v>
      </c>
      <c r="AR718" s="48">
        <f>IF(INVESTORS_LIST[[#This Row],[SIP_TOTAL CURRENT UNITS]]=0,0,INVESTORS_LIST[[#This Row],[SIP_TOTAL CURRENT UNITS]]*INVESTORS_LIST[[#This Row],[NAV]])</f>
        <v>0</v>
      </c>
      <c r="AS718" s="50">
        <f>INVESTORS_LIST[[#This Row],[TOTAL CURRENT UNITS]]</f>
        <v>0</v>
      </c>
      <c r="AT718" s="48">
        <f>IF(INVESTORS_LIST[[#This Row],[TOTAL SELLABLE UNITS]]=0,0,INVESTORS_LIST[[#This Row],[TOTAL SELLABLE UNITS]]*INVESTORS_LIST[[#This Row],[NAV]])</f>
        <v>0</v>
      </c>
      <c r="AU718" s="48">
        <f>INVESTORS_LIST[[#This Row],[LS_TOTAL REALIZED GAIN]]+INVESTORS_LIST[[#This Row],[SIP_TOTAL REALIZED GAIN]]</f>
        <v>0</v>
      </c>
      <c r="AV718" s="48">
        <f>INVESTORS_LIST[[#This Row],[TOTAL MARKET VALUE]]-INVESTORS_LIST[[#This Row],[TOTAL COST VALUE OF CURRENT INVESTMENT]]</f>
        <v>0</v>
      </c>
      <c r="AW718" s="48">
        <f>IFERROR(INVESTORS_LIST[[#This Row],[TOTAL CURRENT UNITS]]/SUM(INVESTORS_LIST[TOTAL CURRENT UNITS]),0)</f>
        <v>0</v>
      </c>
    </row>
    <row r="719" spans="1:49" hidden="1">
      <c r="A719" s="265" t="s">
        <v>1542</v>
      </c>
      <c r="B719" s="97" t="s">
        <v>1543</v>
      </c>
      <c r="C719" t="s">
        <v>44</v>
      </c>
      <c r="D719" s="75" t="s">
        <v>45</v>
      </c>
      <c r="E719" s="50">
        <f>SUMIFS(LS[Unit],LS[Investor ID],INVESTORS_LIST[[#This Row],[INVESTOR CODE]],LS[B/S],"B")</f>
        <v>0</v>
      </c>
      <c r="F719" s="50">
        <f>-SUMIFS(LS[Unit],LS[Investor ID],INVESTORS_LIST[[#This Row],[INVESTOR CODE]],LS[B/S],"S")</f>
        <v>0</v>
      </c>
      <c r="G719" s="50">
        <f>IF(INVESTORS_LIST[[#This Row],[LS_TOTAL UNITS BUY]]=0,0,INVESTORS_LIST[[#This Row],[LS_TOTAL UNITS BUY]]-INVESTORS_LIST[[#This Row],[LS_TOTAL UNITS SOLD]])</f>
        <v>0</v>
      </c>
      <c r="H719" s="102">
        <f>IF(INVESTORS_LIST[[#This Row],[LS_TOTAL UNITS BUY]]=0,0,SUMIFS(LS[Amount],LS[Investor ID],INVESTORS_LIST[[#This Row],[INVESTOR CODE]],LS[B/S],"B"))</f>
        <v>0</v>
      </c>
      <c r="I719" s="48">
        <f>IF(INVESTORS_LIST[[#This Row],[LS_TOTAL UNITS SOLD]]=0,0,SUMIFS(LS[Cost of Units Sold],LS[Investor ID],INVESTORS_LIST[[#This Row],[INVESTOR CODE]],LS[B/S],"S"))</f>
        <v>0</v>
      </c>
      <c r="J719" s="48">
        <f>IF(INVESTORS_LIST[[#This Row],[LS_TOTAL CURRENT UNITS]]=0,0,INVESTORS_LIST[[#This Row],[LS_TOTAL CURRENT UNITS]]*INVESTORS_LIST[[#This Row],[LS_AVERAGE COST]])</f>
        <v>0</v>
      </c>
      <c r="K719" s="48">
        <f>IF(INVESTORS_LIST[[#This Row],[LS_TOTAL UNITS SOLD]]=0,0,SUMIFS(LS[Realized Gain],LS[Investor ID],INVESTORS_LIST[[#This Row],[INVESTOR CODE]],LS[B/S],"S"))</f>
        <v>0</v>
      </c>
      <c r="L719" s="104">
        <f>SUMIFS(SIP[Unit],SIP[Investor ID],INVESTORS_LIST[[#This Row],[INVESTOR CODE]],SIP[B/S],"B")</f>
        <v>0</v>
      </c>
      <c r="M719" s="50">
        <f>-SUMIFS(SIP[Unit],SIP[Investor ID],INVESTORS_LIST[[#This Row],[INVESTOR CODE]],SIP[B/S],"S")</f>
        <v>0</v>
      </c>
      <c r="N719" s="50">
        <f>IF(INVESTORS_LIST[[#This Row],[SIP_TOTAL UNITS BUY]]=0,0,INVESTORS_LIST[[#This Row],[SIP_TOTAL UNITS BUY]]-INVESTORS_LIST[[#This Row],[SIP_TOTAL UNITS SOLD]])</f>
        <v>0</v>
      </c>
      <c r="O719" s="48">
        <f>IF(INVESTORS_LIST[[#This Row],[SIP_TOTAL UNITS BUY]]=0,0,SUMIFS(SIP[Amount],SIP[Investor ID],INVESTORS_LIST[[#This Row],[INVESTOR CODE]],SIP[B/S],"B"))</f>
        <v>0</v>
      </c>
      <c r="P719" s="48">
        <f>IF(INVESTORS_LIST[[#This Row],[SIP_TOTAL UNITS SOLD]]=0,0,SUMIFS(SIP[Cost of Units Sold],SIP[Investor ID],INVESTORS_LIST[[#This Row],[INVESTOR CODE]],SIP[B/S],"S"))</f>
        <v>0</v>
      </c>
      <c r="Q719" s="48">
        <f>IF(INVESTORS_LIST[[#This Row],[SIP_TOTAL CURRENT UNITS]]=0,0,INVESTORS_LIST[[#This Row],[SIP_TOTAL CURRENT UNITS]]*INVESTORS_LIST[[#This Row],[SIP_AVERAGE COST]])</f>
        <v>0</v>
      </c>
      <c r="R719" s="48">
        <f>IF(INVESTORS_LIST[[#This Row],[SIP_TOTAL UNITS SOLD]]=0,0,SUMIFS(SIP[Realized Gain],SIP[Investor ID],INVESTORS_LIST[[#This Row],[INVESTOR CODE]],SIP[B/S],"S"))</f>
        <v>0</v>
      </c>
      <c r="S719" s="50">
        <f>INVESTORS_LIST[[#This Row],[LS_TOTAL UNITS BUY]]+INVESTORS_LIST[[#This Row],[SIP_TOTAL UNITS BUY]]</f>
        <v>0</v>
      </c>
      <c r="T719" s="50">
        <f>INVESTORS_LIST[[#This Row],[LS_TOTAL UNITS SOLD]]+INVESTORS_LIST[[#This Row],[SIP_TOTAL UNITS SOLD]]</f>
        <v>0</v>
      </c>
      <c r="U719" s="50"/>
      <c r="V719" s="50">
        <f>SUMIFS(LS[BO UNIT TRANSFER],LS[Investor ID],INVESTORS_LIST[[#This Row],[INVESTOR CODE]],LS[B/S],"B")</f>
        <v>0</v>
      </c>
      <c r="W719" s="50">
        <f>SUMIFS(SIP[BO UNIT TRANSFER],SIP[Investor ID],INVESTORS_LIST[[#This Row],[INVESTOR CODE]],SIP[B/S],"B")</f>
        <v>0</v>
      </c>
      <c r="X719" s="50">
        <f>SUMIFS(LS[BO UNIT TRANSFER],LS[Investor ID],INVESTORS_LIST[[#This Row],[INVESTOR CODE]],LS[B/S],"S")</f>
        <v>0</v>
      </c>
      <c r="Y719" s="50">
        <f>AA369-Z369</f>
        <v>1059</v>
      </c>
      <c r="Z719" s="106">
        <f>SUM(INVESTORS_LIST[[#This Row],[BO OPENING BALANCE]:[BO SIP UNITS REPURCHASE]])</f>
        <v>1059</v>
      </c>
      <c r="AA719" s="107">
        <f>INVESTORS_LIST[[#This Row],[TOTAL UNITS BUY]]-INVESTORS_LIST[[#This Row],[TOTAL UNITS SOLD]]</f>
        <v>0</v>
      </c>
      <c r="AB719" s="107">
        <f>INVESTORS_LIST[[#This Row],[TOTAL CURRENT UNITS]]-INVESTORS_LIST[[#This Row],[BO UNITS HOLD]]</f>
        <v>-1059</v>
      </c>
      <c r="AC719" s="201" t="e">
        <f>INDEX([3]!Table_1[BO ID],MATCH(INVESTORS_LIST[[#This Row],[INVESTOR CODE]],[3]!Table_1[INVESTOR CODE],0))</f>
        <v>#REF!</v>
      </c>
      <c r="AD719" s="201" t="e">
        <f>INDEX([3]!Table_1[Brokerage Name2],MATCH(INVESTORS_LIST[[#This Row],[INVESTOR CODE]],[3]!Table_1[INVESTOR CODE],0))</f>
        <v>#REF!</v>
      </c>
      <c r="AE719" s="201" t="e">
        <f>MID(INVESTORS_LIST[[#This Row],[BO ID]],4,5)</f>
        <v>#REF!</v>
      </c>
      <c r="AF719" s="201" t="e">
        <f>MID(INVESTORS_LIST[[#This Row],[BO ID]],2,7)</f>
        <v>#REF!</v>
      </c>
      <c r="AG719" s="201" t="e">
        <f>MID(INVESTORS_LIST[[#This Row],[BO ID]],9,7)</f>
        <v>#REF!</v>
      </c>
      <c r="AH719" s="201" t="e">
        <f>RIGHT(INVESTORS_LIST[[#This Row],[BO ID]],1)</f>
        <v>#REF!</v>
      </c>
      <c r="AI719" s="50">
        <f>INVESTORS_LIST[[#This Row],[LS_TOTAL COST VALUE OF CURRENT UNITS]]+INVESTORS_LIST[[#This Row],[SIP_TOTAL COST VALUE OF CURRENT UNITS]]</f>
        <v>0</v>
      </c>
      <c r="AJ719" s="109">
        <f>IF(INVESTORS_LIST[[#This Row],[TOTAL CURRENT UNITS]]=0,0,INVESTORS_LIST[[#This Row],[LS_TOTAL CURRENT UNITS]]/INVESTORS_LIST[[#This Row],[TOTAL CURRENT UNITS]])</f>
        <v>0</v>
      </c>
      <c r="AK719" s="109">
        <f>IF(INVESTORS_LIST[[#This Row],[TOTAL CURRENT UNITS]]=0,0,INVESTORS_LIST[[#This Row],[SIP_TOTAL CURRENT UNITS]]/INVESTORS_LIST[[#This Row],[TOTAL CURRENT UNITS]])</f>
        <v>0</v>
      </c>
      <c r="AL719" s="99" cm="1">
        <f t="array" ref="AL7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19" s="99" cm="1">
        <f t="array" ref="AM7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19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19" s="105">
        <f t="shared" si="12"/>
        <v>14.224</v>
      </c>
      <c r="AP719" s="112">
        <f>IF(INVESTORS_LIST[[#This Row],[TOTAL CURRENT UNITS]]=0,0,INVESTORS_LIST[[#This Row],[TOTAL CURRENT UNITS]]*INVESTORS_LIST[[#This Row],[NAV]])</f>
        <v>0</v>
      </c>
      <c r="AQ719" s="102">
        <f>IF(INVESTORS_LIST[[#This Row],[LS_TOTAL CURRENT UNITS]]=0,0,INVESTORS_LIST[[#This Row],[LS_TOTAL CURRENT UNITS]]*INVESTORS_LIST[[#This Row],[NAV]])</f>
        <v>0</v>
      </c>
      <c r="AR719" s="48">
        <f>IF(INVESTORS_LIST[[#This Row],[SIP_TOTAL CURRENT UNITS]]=0,0,INVESTORS_LIST[[#This Row],[SIP_TOTAL CURRENT UNITS]]*INVESTORS_LIST[[#This Row],[NAV]])</f>
        <v>0</v>
      </c>
      <c r="AS719" s="50">
        <f>INVESTORS_LIST[[#This Row],[TOTAL CURRENT UNITS]]</f>
        <v>0</v>
      </c>
      <c r="AT719" s="48">
        <f>IF(INVESTORS_LIST[[#This Row],[TOTAL SELLABLE UNITS]]=0,0,INVESTORS_LIST[[#This Row],[TOTAL SELLABLE UNITS]]*INVESTORS_LIST[[#This Row],[NAV]])</f>
        <v>0</v>
      </c>
      <c r="AU719" s="48">
        <f>INVESTORS_LIST[[#This Row],[LS_TOTAL REALIZED GAIN]]+INVESTORS_LIST[[#This Row],[SIP_TOTAL REALIZED GAIN]]</f>
        <v>0</v>
      </c>
      <c r="AV719" s="48">
        <f>INVESTORS_LIST[[#This Row],[TOTAL MARKET VALUE]]-INVESTORS_LIST[[#This Row],[TOTAL COST VALUE OF CURRENT INVESTMENT]]</f>
        <v>0</v>
      </c>
      <c r="AW719" s="48">
        <f>IFERROR(INVESTORS_LIST[[#This Row],[TOTAL CURRENT UNITS]]/SUM(INVESTORS_LIST[TOTAL CURRENT UNITS]),0)</f>
        <v>0</v>
      </c>
    </row>
    <row r="720" spans="1:49">
      <c r="A720" s="265" t="s">
        <v>1544</v>
      </c>
      <c r="B720" s="97" t="s">
        <v>1545</v>
      </c>
      <c r="C720" t="s">
        <v>67</v>
      </c>
      <c r="D720" s="75" t="s">
        <v>45</v>
      </c>
      <c r="E720" s="50">
        <f>SUMIFS(LS[Unit],LS[Investor ID],INVESTORS_LIST[[#This Row],[INVESTOR CODE]],LS[B/S],"B")</f>
        <v>106308</v>
      </c>
      <c r="F720" s="50">
        <f>-SUMIFS(LS[Unit],LS[Investor ID],INVESTORS_LIST[[#This Row],[INVESTOR CODE]],LS[B/S],"S")</f>
        <v>0</v>
      </c>
      <c r="G720" s="50">
        <f>IF(INVESTORS_LIST[[#This Row],[LS_TOTAL UNITS BUY]]=0,0,INVESTORS_LIST[[#This Row],[LS_TOTAL UNITS BUY]]-INVESTORS_LIST[[#This Row],[LS_TOTAL UNITS SOLD]])</f>
        <v>106308</v>
      </c>
      <c r="H720" s="102">
        <f>IF(INVESTORS_LIST[[#This Row],[LS_TOTAL UNITS BUY]]=0,0,SUMIFS(LS[Amount],LS[Investor ID],INVESTORS_LIST[[#This Row],[INVESTOR CODE]],LS[B/S],"B"))</f>
        <v>1500000</v>
      </c>
      <c r="I720" s="48">
        <f>IF(INVESTORS_LIST[[#This Row],[LS_TOTAL UNITS SOLD]]=0,0,SUMIFS(LS[Cost of Units Sold],LS[Investor ID],INVESTORS_LIST[[#This Row],[INVESTOR CODE]],LS[B/S],"S"))</f>
        <v>0</v>
      </c>
      <c r="J720" s="48">
        <f>IF(INVESTORS_LIST[[#This Row],[LS_TOTAL CURRENT UNITS]]=0,0,INVESTORS_LIST[[#This Row],[LS_TOTAL CURRENT UNITS]]*INVESTORS_LIST[[#This Row],[LS_AVERAGE COST]])</f>
        <v>1500000</v>
      </c>
      <c r="K720" s="48">
        <f>IF(INVESTORS_LIST[[#This Row],[LS_TOTAL UNITS SOLD]]=0,0,SUMIFS(LS[Realized Gain],LS[Investor ID],INVESTORS_LIST[[#This Row],[INVESTOR CODE]],LS[B/S],"S"))</f>
        <v>0</v>
      </c>
      <c r="L720" s="104">
        <f>SUMIFS(SIP[Unit],SIP[Investor ID],INVESTORS_LIST[[#This Row],[INVESTOR CODE]],SIP[B/S],"B")</f>
        <v>0</v>
      </c>
      <c r="M720" s="50">
        <f>-SUMIFS(SIP[Unit],SIP[Investor ID],INVESTORS_LIST[[#This Row],[INVESTOR CODE]],SIP[B/S],"S")</f>
        <v>0</v>
      </c>
      <c r="N720" s="50">
        <f>IF(INVESTORS_LIST[[#This Row],[SIP_TOTAL UNITS BUY]]=0,0,INVESTORS_LIST[[#This Row],[SIP_TOTAL UNITS BUY]]-INVESTORS_LIST[[#This Row],[SIP_TOTAL UNITS SOLD]])</f>
        <v>0</v>
      </c>
      <c r="O720" s="48">
        <f>IF(INVESTORS_LIST[[#This Row],[SIP_TOTAL UNITS BUY]]=0,0,SUMIFS(SIP[Amount],SIP[Investor ID],INVESTORS_LIST[[#This Row],[INVESTOR CODE]],SIP[B/S],"B"))</f>
        <v>0</v>
      </c>
      <c r="P720" s="48">
        <f>IF(INVESTORS_LIST[[#This Row],[SIP_TOTAL UNITS SOLD]]=0,0,SUMIFS(SIP[Cost of Units Sold],SIP[Investor ID],INVESTORS_LIST[[#This Row],[INVESTOR CODE]],SIP[B/S],"S"))</f>
        <v>0</v>
      </c>
      <c r="Q720" s="48">
        <f>IF(INVESTORS_LIST[[#This Row],[SIP_TOTAL CURRENT UNITS]]=0,0,INVESTORS_LIST[[#This Row],[SIP_TOTAL CURRENT UNITS]]*INVESTORS_LIST[[#This Row],[SIP_AVERAGE COST]])</f>
        <v>0</v>
      </c>
      <c r="R720" s="48">
        <f>IF(INVESTORS_LIST[[#This Row],[SIP_TOTAL UNITS SOLD]]=0,0,SUMIFS(SIP[Realized Gain],SIP[Investor ID],INVESTORS_LIST[[#This Row],[INVESTOR CODE]],SIP[B/S],"S"))</f>
        <v>0</v>
      </c>
      <c r="S720" s="50">
        <f>INVESTORS_LIST[[#This Row],[LS_TOTAL UNITS BUY]]+INVESTORS_LIST[[#This Row],[SIP_TOTAL UNITS BUY]]</f>
        <v>106308</v>
      </c>
      <c r="T720" s="50">
        <f>INVESTORS_LIST[[#This Row],[LS_TOTAL UNITS SOLD]]+INVESTORS_LIST[[#This Row],[SIP_TOTAL UNITS SOLD]]</f>
        <v>0</v>
      </c>
      <c r="U720" s="50"/>
      <c r="V720" s="50">
        <f>SUMIFS(LS[BO UNIT TRANSFER],LS[Investor ID],INVESTORS_LIST[[#This Row],[INVESTOR CODE]],LS[B/S],"B")</f>
        <v>0</v>
      </c>
      <c r="W720" s="50">
        <f>SUMIFS(SIP[BO UNIT TRANSFER],SIP[Investor ID],INVESTORS_LIST[[#This Row],[INVESTOR CODE]],SIP[B/S],"B")</f>
        <v>0</v>
      </c>
      <c r="X720" s="50">
        <f>SUMIFS(LS[BO UNIT TRANSFER],LS[Investor ID],INVESTORS_LIST[[#This Row],[INVESTOR CODE]],LS[B/S],"S")</f>
        <v>0</v>
      </c>
      <c r="Y720" s="50">
        <f>SUMIFS(SIP[BO UNIT TRANSFER],SIP[Investor ID],INVESTORS_LIST[[#This Row],[INVESTOR CODE]],SIP[B/S],"S")</f>
        <v>0</v>
      </c>
      <c r="Z720" s="106">
        <f>SUM(INVESTORS_LIST[[#This Row],[BO OPENING BALANCE]:[BO SIP UNITS REPURCHASE]])</f>
        <v>0</v>
      </c>
      <c r="AA720" s="107">
        <f>INVESTORS_LIST[[#This Row],[TOTAL UNITS BUY]]-INVESTORS_LIST[[#This Row],[TOTAL UNITS SOLD]]</f>
        <v>106308</v>
      </c>
      <c r="AB720" s="107">
        <f>INVESTORS_LIST[[#This Row],[TOTAL CURRENT UNITS]]-INVESTORS_LIST[[#This Row],[BO UNITS HOLD]]</f>
        <v>106308</v>
      </c>
      <c r="AC720" s="201" t="e">
        <f>INDEX([3]!Table_1[BO ID],MATCH(INVESTORS_LIST[[#This Row],[INVESTOR CODE]],[3]!Table_1[INVESTOR CODE],0))</f>
        <v>#REF!</v>
      </c>
      <c r="AD720" s="201" t="e">
        <f>INDEX([3]!Table_1[Brokerage Name2],MATCH(INVESTORS_LIST[[#This Row],[INVESTOR CODE]],[3]!Table_1[INVESTOR CODE],0))</f>
        <v>#REF!</v>
      </c>
      <c r="AE720" s="201" t="e">
        <f>MID(INVESTORS_LIST[[#This Row],[BO ID]],4,5)</f>
        <v>#REF!</v>
      </c>
      <c r="AF720" s="201" t="e">
        <f>MID(INVESTORS_LIST[[#This Row],[BO ID]],2,7)</f>
        <v>#REF!</v>
      </c>
      <c r="AG720" s="201" t="e">
        <f>MID(INVESTORS_LIST[[#This Row],[BO ID]],9,7)</f>
        <v>#REF!</v>
      </c>
      <c r="AH720" s="201" t="e">
        <f>RIGHT(INVESTORS_LIST[[#This Row],[BO ID]],1)</f>
        <v>#REF!</v>
      </c>
      <c r="AI720" s="50">
        <f>INVESTORS_LIST[[#This Row],[LS_TOTAL COST VALUE OF CURRENT UNITS]]+INVESTORS_LIST[[#This Row],[SIP_TOTAL COST VALUE OF CURRENT UNITS]]</f>
        <v>1500000</v>
      </c>
      <c r="AJ720" s="109">
        <f>IF(INVESTORS_LIST[[#This Row],[TOTAL CURRENT UNITS]]=0,0,INVESTORS_LIST[[#This Row],[LS_TOTAL CURRENT UNITS]]/INVESTORS_LIST[[#This Row],[TOTAL CURRENT UNITS]])</f>
        <v>1</v>
      </c>
      <c r="AK720" s="109">
        <f>IF(INVESTORS_LIST[[#This Row],[TOTAL CURRENT UNITS]]=0,0,INVESTORS_LIST[[#This Row],[SIP_TOTAL CURRENT UNITS]]/INVESTORS_LIST[[#This Row],[TOTAL CURRENT UNITS]])</f>
        <v>0</v>
      </c>
      <c r="AL720" s="99" cm="1">
        <f t="array" ref="AL720">IF(INVESTORS_LIST[[#This Row],[LS_TOTAL UNITS BUY]]&gt;0,INDEX(LS[NAV at Cost (Average)],MATCH(CONCATENATE(COUNTIFS(LS[Investor ID],INVESTORS_LIST[[#This Row],[INVESTOR CODE]]),INVESTORS_LIST[[#This Row],[INVESTOR CODE]]),LS[Unique Code],0),),0)</f>
        <v>14.109944689016819</v>
      </c>
      <c r="AM720" s="99" cm="1">
        <f t="array" ref="AM7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0" s="105">
        <f>IF(INVESTORS_LIST[[#This Row],[TOTAL CURRENT UNITS]]=0,0,(INVESTORS_LIST[[#This Row],[LS_WEIGHT]]*INVESTORS_LIST[[#This Row],[LS_AVERAGE COST]])+(INVESTORS_LIST[[#This Row],[SIP_WEIGHT]]*INVESTORS_LIST[[#This Row],[SIP_AVERAGE COST]]))</f>
        <v>14.109944689016819</v>
      </c>
      <c r="AO720" s="105">
        <f t="shared" si="12"/>
        <v>14.224</v>
      </c>
      <c r="AP720" s="112">
        <f>IF(INVESTORS_LIST[[#This Row],[TOTAL CURRENT UNITS]]=0,0,INVESTORS_LIST[[#This Row],[TOTAL CURRENT UNITS]]*INVESTORS_LIST[[#This Row],[NAV]])</f>
        <v>1512124.9920000001</v>
      </c>
      <c r="AQ720" s="102">
        <f>IF(INVESTORS_LIST[[#This Row],[LS_TOTAL CURRENT UNITS]]=0,0,INVESTORS_LIST[[#This Row],[LS_TOTAL CURRENT UNITS]]*INVESTORS_LIST[[#This Row],[NAV]])</f>
        <v>1512124.9920000001</v>
      </c>
      <c r="AR720" s="48">
        <f>IF(INVESTORS_LIST[[#This Row],[SIP_TOTAL CURRENT UNITS]]=0,0,INVESTORS_LIST[[#This Row],[SIP_TOTAL CURRENT UNITS]]*INVESTORS_LIST[[#This Row],[NAV]])</f>
        <v>0</v>
      </c>
      <c r="AS720" s="50">
        <f>INVESTORS_LIST[[#This Row],[TOTAL CURRENT UNITS]]</f>
        <v>106308</v>
      </c>
      <c r="AT720" s="48">
        <f>IF(INVESTORS_LIST[[#This Row],[TOTAL SELLABLE UNITS]]=0,0,INVESTORS_LIST[[#This Row],[TOTAL SELLABLE UNITS]]*INVESTORS_LIST[[#This Row],[NAV]])</f>
        <v>1512124.9920000001</v>
      </c>
      <c r="AU720" s="48">
        <f>INVESTORS_LIST[[#This Row],[LS_TOTAL REALIZED GAIN]]+INVESTORS_LIST[[#This Row],[SIP_TOTAL REALIZED GAIN]]</f>
        <v>0</v>
      </c>
      <c r="AV720" s="48">
        <f>INVESTORS_LIST[[#This Row],[TOTAL MARKET VALUE]]-INVESTORS_LIST[[#This Row],[TOTAL COST VALUE OF CURRENT INVESTMENT]]</f>
        <v>12124.992000000086</v>
      </c>
      <c r="AW720" s="48">
        <f>IFERROR(INVESTORS_LIST[[#This Row],[TOTAL CURRENT UNITS]]/SUM(INVESTORS_LIST[TOTAL CURRENT UNITS]),0)</f>
        <v>2.5807551090189875E-3</v>
      </c>
    </row>
    <row r="721" spans="1:49" hidden="1">
      <c r="A721" s="265" t="s">
        <v>1546</v>
      </c>
      <c r="B721" s="97" t="s">
        <v>1547</v>
      </c>
      <c r="C721" t="s">
        <v>67</v>
      </c>
      <c r="D721" s="75" t="s">
        <v>45</v>
      </c>
      <c r="E721" s="50">
        <f>SUMIFS(LS[Unit],LS[Investor ID],INVESTORS_LIST[[#This Row],[INVESTOR CODE]],LS[B/S],"B")</f>
        <v>0</v>
      </c>
      <c r="F721" s="50">
        <f>-SUMIFS(LS[Unit],LS[Investor ID],INVESTORS_LIST[[#This Row],[INVESTOR CODE]],LS[B/S],"S")</f>
        <v>0</v>
      </c>
      <c r="G721" s="50">
        <f>IF(INVESTORS_LIST[[#This Row],[LS_TOTAL UNITS BUY]]=0,0,INVESTORS_LIST[[#This Row],[LS_TOTAL UNITS BUY]]-INVESTORS_LIST[[#This Row],[LS_TOTAL UNITS SOLD]])</f>
        <v>0</v>
      </c>
      <c r="H721" s="102">
        <f>IF(INVESTORS_LIST[[#This Row],[LS_TOTAL UNITS BUY]]=0,0,SUMIFS(LS[Amount],LS[Investor ID],INVESTORS_LIST[[#This Row],[INVESTOR CODE]],LS[B/S],"B"))</f>
        <v>0</v>
      </c>
      <c r="I721" s="48">
        <f>IF(INVESTORS_LIST[[#This Row],[LS_TOTAL UNITS SOLD]]=0,0,SUMIFS(LS[Cost of Units Sold],LS[Investor ID],INVESTORS_LIST[[#This Row],[INVESTOR CODE]],LS[B/S],"S"))</f>
        <v>0</v>
      </c>
      <c r="J721" s="48">
        <f>IF(INVESTORS_LIST[[#This Row],[LS_TOTAL CURRENT UNITS]]=0,0,INVESTORS_LIST[[#This Row],[LS_TOTAL CURRENT UNITS]]*INVESTORS_LIST[[#This Row],[LS_AVERAGE COST]])</f>
        <v>0</v>
      </c>
      <c r="K721" s="48">
        <f>IF(INVESTORS_LIST[[#This Row],[LS_TOTAL UNITS SOLD]]=0,0,SUMIFS(LS[Realized Gain],LS[Investor ID],INVESTORS_LIST[[#This Row],[INVESTOR CODE]],LS[B/S],"S"))</f>
        <v>0</v>
      </c>
      <c r="L721" s="104">
        <f>SUMIFS(SIP[Unit],SIP[Investor ID],INVESTORS_LIST[[#This Row],[INVESTOR CODE]],SIP[B/S],"B")</f>
        <v>0</v>
      </c>
      <c r="M721" s="50">
        <f>-SUMIFS(SIP[Unit],SIP[Investor ID],INVESTORS_LIST[[#This Row],[INVESTOR CODE]],SIP[B/S],"S")</f>
        <v>0</v>
      </c>
      <c r="N721" s="50">
        <f>IF(INVESTORS_LIST[[#This Row],[SIP_TOTAL UNITS BUY]]=0,0,INVESTORS_LIST[[#This Row],[SIP_TOTAL UNITS BUY]]-INVESTORS_LIST[[#This Row],[SIP_TOTAL UNITS SOLD]])</f>
        <v>0</v>
      </c>
      <c r="O721" s="48">
        <f>IF(INVESTORS_LIST[[#This Row],[SIP_TOTAL UNITS BUY]]=0,0,SUMIFS(SIP[Amount],SIP[Investor ID],INVESTORS_LIST[[#This Row],[INVESTOR CODE]],SIP[B/S],"B"))</f>
        <v>0</v>
      </c>
      <c r="P721" s="48">
        <f>IF(INVESTORS_LIST[[#This Row],[SIP_TOTAL UNITS SOLD]]=0,0,SUMIFS(SIP[Cost of Units Sold],SIP[Investor ID],INVESTORS_LIST[[#This Row],[INVESTOR CODE]],SIP[B/S],"S"))</f>
        <v>0</v>
      </c>
      <c r="Q721" s="48">
        <f>IF(INVESTORS_LIST[[#This Row],[SIP_TOTAL CURRENT UNITS]]=0,0,INVESTORS_LIST[[#This Row],[SIP_TOTAL CURRENT UNITS]]*INVESTORS_LIST[[#This Row],[SIP_AVERAGE COST]])</f>
        <v>0</v>
      </c>
      <c r="R721" s="48">
        <f>IF(INVESTORS_LIST[[#This Row],[SIP_TOTAL UNITS SOLD]]=0,0,SUMIFS(SIP[Realized Gain],SIP[Investor ID],INVESTORS_LIST[[#This Row],[INVESTOR CODE]],SIP[B/S],"S"))</f>
        <v>0</v>
      </c>
      <c r="S721" s="50">
        <f>INVESTORS_LIST[[#This Row],[LS_TOTAL UNITS BUY]]+INVESTORS_LIST[[#This Row],[SIP_TOTAL UNITS BUY]]</f>
        <v>0</v>
      </c>
      <c r="T721" s="50">
        <f>INVESTORS_LIST[[#This Row],[LS_TOTAL UNITS SOLD]]+INVESTORS_LIST[[#This Row],[SIP_TOTAL UNITS SOLD]]</f>
        <v>0</v>
      </c>
      <c r="U721" s="50"/>
      <c r="V721" s="50">
        <f>SUMIFS(LS[BO UNIT TRANSFER],LS[Investor ID],INVESTORS_LIST[[#This Row],[INVESTOR CODE]],LS[B/S],"B")</f>
        <v>0</v>
      </c>
      <c r="W721" s="50">
        <f>SUMIFS(SIP[BO UNIT TRANSFER],SIP[Investor ID],INVESTORS_LIST[[#This Row],[INVESTOR CODE]],SIP[B/S],"B")</f>
        <v>0</v>
      </c>
      <c r="X721" s="50">
        <f>SUMIFS(LS[BO UNIT TRANSFER],LS[Investor ID],INVESTORS_LIST[[#This Row],[INVESTOR CODE]],LS[B/S],"S")</f>
        <v>0</v>
      </c>
      <c r="Y721" s="50">
        <f>SUMIFS(SIP[BO UNIT TRANSFER],SIP[Investor ID],INVESTORS_LIST[[#This Row],[INVESTOR CODE]],SIP[B/S],"S")</f>
        <v>0</v>
      </c>
      <c r="Z721" s="106">
        <f>SUM(INVESTORS_LIST[[#This Row],[BO OPENING BALANCE]:[BO SIP UNITS REPURCHASE]])</f>
        <v>0</v>
      </c>
      <c r="AA721" s="107">
        <f>INVESTORS_LIST[[#This Row],[TOTAL UNITS BUY]]-INVESTORS_LIST[[#This Row],[TOTAL UNITS SOLD]]</f>
        <v>0</v>
      </c>
      <c r="AB721" s="107">
        <f>INVESTORS_LIST[[#This Row],[TOTAL CURRENT UNITS]]-INVESTORS_LIST[[#This Row],[BO UNITS HOLD]]</f>
        <v>0</v>
      </c>
      <c r="AC721" s="201" t="e">
        <f>INDEX([3]!Table_1[BO ID],MATCH(INVESTORS_LIST[[#This Row],[INVESTOR CODE]],[3]!Table_1[INVESTOR CODE],0))</f>
        <v>#REF!</v>
      </c>
      <c r="AD721" s="201" t="e">
        <f>INDEX([3]!Table_1[Brokerage Name2],MATCH(INVESTORS_LIST[[#This Row],[INVESTOR CODE]],[3]!Table_1[INVESTOR CODE],0))</f>
        <v>#REF!</v>
      </c>
      <c r="AE721" s="201" t="e">
        <f>MID(INVESTORS_LIST[[#This Row],[BO ID]],4,5)</f>
        <v>#REF!</v>
      </c>
      <c r="AF721" s="201" t="e">
        <f>MID(INVESTORS_LIST[[#This Row],[BO ID]],2,7)</f>
        <v>#REF!</v>
      </c>
      <c r="AG721" s="201" t="e">
        <f>MID(INVESTORS_LIST[[#This Row],[BO ID]],9,7)</f>
        <v>#REF!</v>
      </c>
      <c r="AH721" s="201" t="e">
        <f>RIGHT(INVESTORS_LIST[[#This Row],[BO ID]],1)</f>
        <v>#REF!</v>
      </c>
      <c r="AI721" s="50">
        <f>INVESTORS_LIST[[#This Row],[LS_TOTAL COST VALUE OF CURRENT UNITS]]+INVESTORS_LIST[[#This Row],[SIP_TOTAL COST VALUE OF CURRENT UNITS]]</f>
        <v>0</v>
      </c>
      <c r="AJ721" s="109">
        <f>IF(INVESTORS_LIST[[#This Row],[TOTAL CURRENT UNITS]]=0,0,INVESTORS_LIST[[#This Row],[LS_TOTAL CURRENT UNITS]]/INVESTORS_LIST[[#This Row],[TOTAL CURRENT UNITS]])</f>
        <v>0</v>
      </c>
      <c r="AK721" s="109">
        <f>IF(INVESTORS_LIST[[#This Row],[TOTAL CURRENT UNITS]]=0,0,INVESTORS_LIST[[#This Row],[SIP_TOTAL CURRENT UNITS]]/INVESTORS_LIST[[#This Row],[TOTAL CURRENT UNITS]])</f>
        <v>0</v>
      </c>
      <c r="AL721" s="99" cm="1">
        <f t="array" ref="AL7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21" s="99" cm="1">
        <f t="array" ref="AM7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1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21" s="105">
        <f t="shared" si="12"/>
        <v>14.224</v>
      </c>
      <c r="AP721" s="112">
        <f>IF(INVESTORS_LIST[[#This Row],[TOTAL CURRENT UNITS]]=0,0,INVESTORS_LIST[[#This Row],[TOTAL CURRENT UNITS]]*INVESTORS_LIST[[#This Row],[NAV]])</f>
        <v>0</v>
      </c>
      <c r="AQ721" s="102">
        <f>IF(INVESTORS_LIST[[#This Row],[LS_TOTAL CURRENT UNITS]]=0,0,INVESTORS_LIST[[#This Row],[LS_TOTAL CURRENT UNITS]]*INVESTORS_LIST[[#This Row],[NAV]])</f>
        <v>0</v>
      </c>
      <c r="AR721" s="48">
        <f>IF(INVESTORS_LIST[[#This Row],[SIP_TOTAL CURRENT UNITS]]=0,0,INVESTORS_LIST[[#This Row],[SIP_TOTAL CURRENT UNITS]]*INVESTORS_LIST[[#This Row],[NAV]])</f>
        <v>0</v>
      </c>
      <c r="AS721" s="50">
        <f>INVESTORS_LIST[[#This Row],[TOTAL CURRENT UNITS]]</f>
        <v>0</v>
      </c>
      <c r="AT721" s="48">
        <f>IF(INVESTORS_LIST[[#This Row],[TOTAL SELLABLE UNITS]]=0,0,INVESTORS_LIST[[#This Row],[TOTAL SELLABLE UNITS]]*INVESTORS_LIST[[#This Row],[NAV]])</f>
        <v>0</v>
      </c>
      <c r="AU721" s="48">
        <f>INVESTORS_LIST[[#This Row],[LS_TOTAL REALIZED GAIN]]+INVESTORS_LIST[[#This Row],[SIP_TOTAL REALIZED GAIN]]</f>
        <v>0</v>
      </c>
      <c r="AV721" s="48">
        <f>INVESTORS_LIST[[#This Row],[TOTAL MARKET VALUE]]-INVESTORS_LIST[[#This Row],[TOTAL COST VALUE OF CURRENT INVESTMENT]]</f>
        <v>0</v>
      </c>
      <c r="AW721" s="48">
        <f>IFERROR(INVESTORS_LIST[[#This Row],[TOTAL CURRENT UNITS]]/SUM(INVESTORS_LIST[TOTAL CURRENT UNITS]),0)</f>
        <v>0</v>
      </c>
    </row>
    <row r="722" spans="1:49" hidden="1">
      <c r="A722" s="266" t="s">
        <v>1548</v>
      </c>
      <c r="B722" s="97" t="s">
        <v>1549</v>
      </c>
      <c r="C722" t="s">
        <v>44</v>
      </c>
      <c r="D722" s="75" t="s">
        <v>45</v>
      </c>
      <c r="E722" s="50">
        <f>SUMIFS(LS[Unit],LS[Investor ID],INVESTORS_LIST[[#This Row],[INVESTOR CODE]],LS[B/S],"B")</f>
        <v>0</v>
      </c>
      <c r="F722" s="50">
        <f>-SUMIFS(LS[Unit],LS[Investor ID],INVESTORS_LIST[[#This Row],[INVESTOR CODE]],LS[B/S],"S")</f>
        <v>0</v>
      </c>
      <c r="G722" s="50">
        <f>IF(INVESTORS_LIST[[#This Row],[LS_TOTAL UNITS BUY]]=0,0,INVESTORS_LIST[[#This Row],[LS_TOTAL UNITS BUY]]-INVESTORS_LIST[[#This Row],[LS_TOTAL UNITS SOLD]])</f>
        <v>0</v>
      </c>
      <c r="H722" s="267">
        <f>IF(INVESTORS_LIST[[#This Row],[LS_TOTAL UNITS BUY]]=0,0,SUMIFS(LS[Amount],LS[Investor ID],INVESTORS_LIST[[#This Row],[INVESTOR CODE]],LS[B/S],"B"))</f>
        <v>0</v>
      </c>
      <c r="I722" s="48">
        <f>IF(INVESTORS_LIST[[#This Row],[LS_TOTAL UNITS SOLD]]=0,0,SUMIFS(LS[Cost of Units Sold],LS[Investor ID],INVESTORS_LIST[[#This Row],[INVESTOR CODE]],LS[B/S],"S"))</f>
        <v>0</v>
      </c>
      <c r="J722" s="48">
        <f>IF(INVESTORS_LIST[[#This Row],[LS_TOTAL CURRENT UNITS]]=0,0,INVESTORS_LIST[[#This Row],[LS_TOTAL CURRENT UNITS]]*INVESTORS_LIST[[#This Row],[LS_AVERAGE COST]])</f>
        <v>0</v>
      </c>
      <c r="K722" s="48">
        <f>IF(INVESTORS_LIST[[#This Row],[LS_TOTAL UNITS SOLD]]=0,0,SUMIFS(LS[Realized Gain],LS[Investor ID],INVESTORS_LIST[[#This Row],[INVESTOR CODE]],LS[B/S],"S"))</f>
        <v>0</v>
      </c>
      <c r="L722" s="268">
        <f>SUMIFS(SIP[Unit],SIP[Investor ID],INVESTORS_LIST[[#This Row],[INVESTOR CODE]],SIP[B/S],"B")</f>
        <v>0</v>
      </c>
      <c r="M722" s="50">
        <f>-SUMIFS(SIP[Unit],SIP[Investor ID],INVESTORS_LIST[[#This Row],[INVESTOR CODE]],SIP[B/S],"S")</f>
        <v>0</v>
      </c>
      <c r="N722" s="50">
        <f>IF(INVESTORS_LIST[[#This Row],[SIP_TOTAL UNITS BUY]]=0,0,INVESTORS_LIST[[#This Row],[SIP_TOTAL UNITS BUY]]-INVESTORS_LIST[[#This Row],[SIP_TOTAL UNITS SOLD]])</f>
        <v>0</v>
      </c>
      <c r="O722" s="48">
        <f>IF(INVESTORS_LIST[[#This Row],[SIP_TOTAL UNITS BUY]]=0,0,SUMIFS(SIP[Amount],SIP[Investor ID],INVESTORS_LIST[[#This Row],[INVESTOR CODE]],SIP[B/S],"B"))</f>
        <v>0</v>
      </c>
      <c r="P722" s="48">
        <f>IF(INVESTORS_LIST[[#This Row],[SIP_TOTAL UNITS SOLD]]=0,0,SUMIFS(SIP[Cost of Units Sold],SIP[Investor ID],INVESTORS_LIST[[#This Row],[INVESTOR CODE]],SIP[B/S],"S"))</f>
        <v>0</v>
      </c>
      <c r="Q722" s="48">
        <f>IF(INVESTORS_LIST[[#This Row],[SIP_TOTAL CURRENT UNITS]]=0,0,INVESTORS_LIST[[#This Row],[SIP_TOTAL CURRENT UNITS]]*INVESTORS_LIST[[#This Row],[SIP_AVERAGE COST]])</f>
        <v>0</v>
      </c>
      <c r="R722" s="48">
        <f>IF(INVESTORS_LIST[[#This Row],[SIP_TOTAL UNITS SOLD]]=0,0,SUMIFS(SIP[Realized Gain],SIP[Investor ID],INVESTORS_LIST[[#This Row],[INVESTOR CODE]],SIP[B/S],"S"))</f>
        <v>0</v>
      </c>
      <c r="S722" s="50">
        <f>INVESTORS_LIST[[#This Row],[LS_TOTAL UNITS BUY]]+INVESTORS_LIST[[#This Row],[SIP_TOTAL UNITS BUY]]</f>
        <v>0</v>
      </c>
      <c r="T722" s="50">
        <f>INVESTORS_LIST[[#This Row],[LS_TOTAL UNITS SOLD]]+INVESTORS_LIST[[#This Row],[SIP_TOTAL UNITS SOLD]]</f>
        <v>0</v>
      </c>
      <c r="U722" s="50"/>
      <c r="V722" s="50">
        <f>SUMIFS(LS[BO UNIT TRANSFER],LS[Investor ID],INVESTORS_LIST[[#This Row],[INVESTOR CODE]],LS[B/S],"B")</f>
        <v>0</v>
      </c>
      <c r="W722" s="50">
        <f>SUMIFS(SIP[BO UNIT TRANSFER],SIP[Investor ID],INVESTORS_LIST[[#This Row],[INVESTOR CODE]],SIP[B/S],"B")</f>
        <v>0</v>
      </c>
      <c r="X722" s="50">
        <f>SUMIFS(LS[BO UNIT TRANSFER],LS[Investor ID],INVESTORS_LIST[[#This Row],[INVESTOR CODE]],LS[B/S],"S")</f>
        <v>0</v>
      </c>
      <c r="Y722" s="50">
        <f>SUMIFS(SIP[BO UNIT TRANSFER],SIP[Investor ID],INVESTORS_LIST[[#This Row],[INVESTOR CODE]],SIP[B/S],"S")</f>
        <v>0</v>
      </c>
      <c r="Z722" s="106">
        <f>SUM(INVESTORS_LIST[[#This Row],[BO OPENING BALANCE]:[BO SIP UNITS REPURCHASE]])</f>
        <v>0</v>
      </c>
      <c r="AA722" s="107">
        <f>INVESTORS_LIST[[#This Row],[TOTAL UNITS BUY]]-INVESTORS_LIST[[#This Row],[TOTAL UNITS SOLD]]</f>
        <v>0</v>
      </c>
      <c r="AB722" s="107">
        <f>INVESTORS_LIST[[#This Row],[TOTAL CURRENT UNITS]]-INVESTORS_LIST[[#This Row],[BO UNITS HOLD]]</f>
        <v>0</v>
      </c>
      <c r="AC722" s="201" t="e">
        <f>INDEX([3]!Table_1[BO ID],MATCH(INVESTORS_LIST[[#This Row],[INVESTOR CODE]],[3]!Table_1[INVESTOR CODE],0))</f>
        <v>#REF!</v>
      </c>
      <c r="AD722" s="201" t="e">
        <f>INDEX([3]!Table_1[Brokerage Name2],MATCH(INVESTORS_LIST[[#This Row],[INVESTOR CODE]],[3]!Table_1[INVESTOR CODE],0))</f>
        <v>#REF!</v>
      </c>
      <c r="AE722" s="201" t="e">
        <f>MID(INVESTORS_LIST[[#This Row],[BO ID]],4,5)</f>
        <v>#REF!</v>
      </c>
      <c r="AF722" s="201" t="e">
        <f>MID(INVESTORS_LIST[[#This Row],[BO ID]],2,7)</f>
        <v>#REF!</v>
      </c>
      <c r="AG722" s="201" t="e">
        <f>MID(INVESTORS_LIST[[#This Row],[BO ID]],9,7)</f>
        <v>#REF!</v>
      </c>
      <c r="AH722" s="201" t="e">
        <f>RIGHT(INVESTORS_LIST[[#This Row],[BO ID]],1)</f>
        <v>#REF!</v>
      </c>
      <c r="AI722" s="50">
        <f>INVESTORS_LIST[[#This Row],[LS_TOTAL COST VALUE OF CURRENT UNITS]]+INVESTORS_LIST[[#This Row],[SIP_TOTAL COST VALUE OF CURRENT UNITS]]</f>
        <v>0</v>
      </c>
      <c r="AJ722" s="109">
        <f>IF(INVESTORS_LIST[[#This Row],[TOTAL CURRENT UNITS]]=0,0,INVESTORS_LIST[[#This Row],[LS_TOTAL CURRENT UNITS]]/INVESTORS_LIST[[#This Row],[TOTAL CURRENT UNITS]])</f>
        <v>0</v>
      </c>
      <c r="AK722" s="109">
        <f>IF(INVESTORS_LIST[[#This Row],[TOTAL CURRENT UNITS]]=0,0,INVESTORS_LIST[[#This Row],[SIP_TOTAL CURRENT UNITS]]/INVESTORS_LIST[[#This Row],[TOTAL CURRENT UNITS]])</f>
        <v>0</v>
      </c>
      <c r="AL722" s="269" cm="1">
        <f t="array" ref="AL7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22" s="269" cm="1">
        <f t="array" ref="AM7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2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22" s="105">
        <f>NAV_MKT</f>
        <v>14.224</v>
      </c>
      <c r="AP722" s="112">
        <f>IF(INVESTORS_LIST[[#This Row],[TOTAL CURRENT UNITS]]=0,0,INVESTORS_LIST[[#This Row],[TOTAL CURRENT UNITS]]*INVESTORS_LIST[[#This Row],[NAV]])</f>
        <v>0</v>
      </c>
      <c r="AQ722" s="267">
        <f>IF(INVESTORS_LIST[[#This Row],[LS_TOTAL CURRENT UNITS]]=0,0,INVESTORS_LIST[[#This Row],[LS_TOTAL CURRENT UNITS]]*INVESTORS_LIST[[#This Row],[NAV]])</f>
        <v>0</v>
      </c>
      <c r="AR722" s="48">
        <f>IF(INVESTORS_LIST[[#This Row],[SIP_TOTAL CURRENT UNITS]]=0,0,INVESTORS_LIST[[#This Row],[SIP_TOTAL CURRENT UNITS]]*INVESTORS_LIST[[#This Row],[NAV]])</f>
        <v>0</v>
      </c>
      <c r="AS722" s="50">
        <f>INVESTORS_LIST[[#This Row],[TOTAL CURRENT UNITS]]</f>
        <v>0</v>
      </c>
      <c r="AT722" s="48">
        <f>IF(INVESTORS_LIST[[#This Row],[TOTAL SELLABLE UNITS]]=0,0,INVESTORS_LIST[[#This Row],[TOTAL SELLABLE UNITS]]*INVESTORS_LIST[[#This Row],[NAV]])</f>
        <v>0</v>
      </c>
      <c r="AU722" s="48">
        <f>INVESTORS_LIST[[#This Row],[LS_TOTAL REALIZED GAIN]]+INVESTORS_LIST[[#This Row],[SIP_TOTAL REALIZED GAIN]]</f>
        <v>0</v>
      </c>
      <c r="AV722" s="48">
        <f>INVESTORS_LIST[[#This Row],[TOTAL MARKET VALUE]]-INVESTORS_LIST[[#This Row],[TOTAL COST VALUE OF CURRENT INVESTMENT]]</f>
        <v>0</v>
      </c>
      <c r="AW722" s="48">
        <f>IFERROR(INVESTORS_LIST[[#This Row],[TOTAL CURRENT UNITS]]/SUM(INVESTORS_LIST[TOTAL CURRENT UNITS]),0)</f>
        <v>0</v>
      </c>
    </row>
    <row r="723" spans="1:49" hidden="1">
      <c r="A723" s="274" t="s">
        <v>291</v>
      </c>
      <c r="B723" s="97" t="s">
        <v>1550</v>
      </c>
      <c r="C723" t="s">
        <v>44</v>
      </c>
      <c r="D723" s="75" t="s">
        <v>45</v>
      </c>
      <c r="E723" s="50">
        <f>SUMIFS(LS[Unit],LS[Investor ID],INVESTORS_LIST[[#This Row],[INVESTOR CODE]],LS[B/S],"B")</f>
        <v>0</v>
      </c>
      <c r="F723" s="50">
        <f>-SUMIFS(LS[Unit],LS[Investor ID],INVESTORS_LIST[[#This Row],[INVESTOR CODE]],LS[B/S],"S")</f>
        <v>0</v>
      </c>
      <c r="G723" s="50">
        <f>IF(INVESTORS_LIST[[#This Row],[LS_TOTAL UNITS BUY]]=0,0,INVESTORS_LIST[[#This Row],[LS_TOTAL UNITS BUY]]-INVESTORS_LIST[[#This Row],[LS_TOTAL UNITS SOLD]])</f>
        <v>0</v>
      </c>
      <c r="H723" s="102">
        <f>IF(INVESTORS_LIST[[#This Row],[LS_TOTAL UNITS BUY]]=0,0,SUMIFS(LS[Amount],LS[Investor ID],INVESTORS_LIST[[#This Row],[INVESTOR CODE]],LS[B/S],"B"))</f>
        <v>0</v>
      </c>
      <c r="I723" s="48">
        <f>IF(INVESTORS_LIST[[#This Row],[LS_TOTAL UNITS SOLD]]=0,0,SUMIFS(LS[Cost of Units Sold],LS[Investor ID],INVESTORS_LIST[[#This Row],[INVESTOR CODE]],LS[B/S],"S"))</f>
        <v>0</v>
      </c>
      <c r="J723" s="48">
        <f>IF(INVESTORS_LIST[[#This Row],[LS_TOTAL CURRENT UNITS]]=0,0,INVESTORS_LIST[[#This Row],[LS_TOTAL CURRENT UNITS]]*INVESTORS_LIST[[#This Row],[LS_AVERAGE COST]])</f>
        <v>0</v>
      </c>
      <c r="K723" s="48">
        <f>IF(INVESTORS_LIST[[#This Row],[LS_TOTAL UNITS SOLD]]=0,0,SUMIFS(LS[Realized Gain],LS[Investor ID],INVESTORS_LIST[[#This Row],[INVESTOR CODE]],LS[B/S],"S"))</f>
        <v>0</v>
      </c>
      <c r="L723" s="104">
        <f>SUMIFS(SIP[Unit],SIP[Investor ID],INVESTORS_LIST[[#This Row],[INVESTOR CODE]],SIP[B/S],"B")</f>
        <v>0</v>
      </c>
      <c r="M723" s="50">
        <f>-SUMIFS(SIP[Unit],SIP[Investor ID],INVESTORS_LIST[[#This Row],[INVESTOR CODE]],SIP[B/S],"S")</f>
        <v>0</v>
      </c>
      <c r="N723" s="50">
        <f>IF(INVESTORS_LIST[[#This Row],[SIP_TOTAL UNITS BUY]]=0,0,INVESTORS_LIST[[#This Row],[SIP_TOTAL UNITS BUY]]-INVESTORS_LIST[[#This Row],[SIP_TOTAL UNITS SOLD]])</f>
        <v>0</v>
      </c>
      <c r="O723" s="48">
        <f>IF(INVESTORS_LIST[[#This Row],[SIP_TOTAL UNITS BUY]]=0,0,SUMIFS(SIP[Amount],SIP[Investor ID],INVESTORS_LIST[[#This Row],[INVESTOR CODE]],SIP[B/S],"B"))</f>
        <v>0</v>
      </c>
      <c r="P723" s="48">
        <f>IF(INVESTORS_LIST[[#This Row],[SIP_TOTAL UNITS SOLD]]=0,0,SUMIFS(SIP[Cost of Units Sold],SIP[Investor ID],INVESTORS_LIST[[#This Row],[INVESTOR CODE]],SIP[B/S],"S"))</f>
        <v>0</v>
      </c>
      <c r="Q723" s="48">
        <f>IF(INVESTORS_LIST[[#This Row],[SIP_TOTAL CURRENT UNITS]]=0,0,INVESTORS_LIST[[#This Row],[SIP_TOTAL CURRENT UNITS]]*INVESTORS_LIST[[#This Row],[SIP_AVERAGE COST]])</f>
        <v>0</v>
      </c>
      <c r="R723" s="48">
        <f>IF(INVESTORS_LIST[[#This Row],[SIP_TOTAL UNITS SOLD]]=0,0,SUMIFS(SIP[Realized Gain],SIP[Investor ID],INVESTORS_LIST[[#This Row],[INVESTOR CODE]],SIP[B/S],"S"))</f>
        <v>0</v>
      </c>
      <c r="S723" s="50">
        <f>INVESTORS_LIST[[#This Row],[LS_TOTAL UNITS BUY]]+INVESTORS_LIST[[#This Row],[SIP_TOTAL UNITS BUY]]</f>
        <v>0</v>
      </c>
      <c r="T723" s="50">
        <f>INVESTORS_LIST[[#This Row],[LS_TOTAL UNITS SOLD]]+INVESTORS_LIST[[#This Row],[SIP_TOTAL UNITS SOLD]]</f>
        <v>0</v>
      </c>
      <c r="U723" s="50"/>
      <c r="V723" s="50">
        <f>SUMIFS(LS[BO UNIT TRANSFER],LS[Investor ID],INVESTORS_LIST[[#This Row],[INVESTOR CODE]],LS[B/S],"B")</f>
        <v>0</v>
      </c>
      <c r="W723" s="50">
        <f>SUMIFS(SIP[BO UNIT TRANSFER],SIP[Investor ID],INVESTORS_LIST[[#This Row],[INVESTOR CODE]],SIP[B/S],"B")</f>
        <v>0</v>
      </c>
      <c r="X723" s="50">
        <f>SUMIFS(LS[BO UNIT TRANSFER],LS[Investor ID],INVESTORS_LIST[[#This Row],[INVESTOR CODE]],LS[B/S],"S")</f>
        <v>0</v>
      </c>
      <c r="Y723" s="50">
        <f>SUMIFS(SIP[BO UNIT TRANSFER],SIP[Investor ID],INVESTORS_LIST[[#This Row],[INVESTOR CODE]],SIP[B/S],"S")</f>
        <v>0</v>
      </c>
      <c r="Z723" s="106">
        <f>SUM(INVESTORS_LIST[[#This Row],[BO OPENING BALANCE]:[BO SIP UNITS REPURCHASE]])</f>
        <v>0</v>
      </c>
      <c r="AA723" s="107">
        <f>INVESTORS_LIST[[#This Row],[TOTAL UNITS BUY]]-INVESTORS_LIST[[#This Row],[TOTAL UNITS SOLD]]</f>
        <v>0</v>
      </c>
      <c r="AB723" s="107">
        <f>INVESTORS_LIST[[#This Row],[TOTAL CURRENT UNITS]]-INVESTORS_LIST[[#This Row],[BO UNITS HOLD]]</f>
        <v>0</v>
      </c>
      <c r="AC723" s="201" t="e">
        <f>INDEX([3]!Table_1[BO ID],MATCH(INVESTORS_LIST[[#This Row],[INVESTOR CODE]],[3]!Table_1[INVESTOR CODE],0))</f>
        <v>#REF!</v>
      </c>
      <c r="AD723" s="201" t="e">
        <f>INDEX([3]!Table_1[Brokerage Name2],MATCH(INVESTORS_LIST[[#This Row],[INVESTOR CODE]],[3]!Table_1[INVESTOR CODE],0))</f>
        <v>#REF!</v>
      </c>
      <c r="AE723" s="201" t="e">
        <f>MID(INVESTORS_LIST[[#This Row],[BO ID]],4,5)</f>
        <v>#REF!</v>
      </c>
      <c r="AF723" s="201" t="e">
        <f>MID(INVESTORS_LIST[[#This Row],[BO ID]],2,7)</f>
        <v>#REF!</v>
      </c>
      <c r="AG723" s="201" t="e">
        <f>MID(INVESTORS_LIST[[#This Row],[BO ID]],9,7)</f>
        <v>#REF!</v>
      </c>
      <c r="AH723" s="201" t="e">
        <f>RIGHT(INVESTORS_LIST[[#This Row],[BO ID]],1)</f>
        <v>#REF!</v>
      </c>
      <c r="AI723" s="50">
        <f>INVESTORS_LIST[[#This Row],[LS_TOTAL COST VALUE OF CURRENT UNITS]]+INVESTORS_LIST[[#This Row],[SIP_TOTAL COST VALUE OF CURRENT UNITS]]</f>
        <v>0</v>
      </c>
      <c r="AJ723" s="109">
        <f>IF(INVESTORS_LIST[[#This Row],[TOTAL CURRENT UNITS]]=0,0,INVESTORS_LIST[[#This Row],[LS_TOTAL CURRENT UNITS]]/INVESTORS_LIST[[#This Row],[TOTAL CURRENT UNITS]])</f>
        <v>0</v>
      </c>
      <c r="AK723" s="109">
        <f>IF(INVESTORS_LIST[[#This Row],[TOTAL CURRENT UNITS]]=0,0,INVESTORS_LIST[[#This Row],[SIP_TOTAL CURRENT UNITS]]/INVESTORS_LIST[[#This Row],[TOTAL CURRENT UNITS]])</f>
        <v>0</v>
      </c>
      <c r="AL723" s="99" cm="1">
        <f t="array" ref="AL7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23" s="99" cm="1">
        <f t="array" ref="AM7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3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23" s="105">
        <f>NAV_MKT</f>
        <v>14.224</v>
      </c>
      <c r="AP723" s="112">
        <f>IF(INVESTORS_LIST[[#This Row],[TOTAL CURRENT UNITS]]=0,0,INVESTORS_LIST[[#This Row],[TOTAL CURRENT UNITS]]*INVESTORS_LIST[[#This Row],[NAV]])</f>
        <v>0</v>
      </c>
      <c r="AQ723" s="102">
        <f>IF(INVESTORS_LIST[[#This Row],[LS_TOTAL CURRENT UNITS]]=0,0,INVESTORS_LIST[[#This Row],[LS_TOTAL CURRENT UNITS]]*INVESTORS_LIST[[#This Row],[NAV]])</f>
        <v>0</v>
      </c>
      <c r="AR723" s="48">
        <f>IF(INVESTORS_LIST[[#This Row],[SIP_TOTAL CURRENT UNITS]]=0,0,INVESTORS_LIST[[#This Row],[SIP_TOTAL CURRENT UNITS]]*INVESTORS_LIST[[#This Row],[NAV]])</f>
        <v>0</v>
      </c>
      <c r="AS723" s="50">
        <f>INVESTORS_LIST[[#This Row],[TOTAL CURRENT UNITS]]</f>
        <v>0</v>
      </c>
      <c r="AT723" s="48">
        <f>IF(INVESTORS_LIST[[#This Row],[TOTAL SELLABLE UNITS]]=0,0,INVESTORS_LIST[[#This Row],[TOTAL SELLABLE UNITS]]*INVESTORS_LIST[[#This Row],[NAV]])</f>
        <v>0</v>
      </c>
      <c r="AU723" s="48">
        <f>INVESTORS_LIST[[#This Row],[LS_TOTAL REALIZED GAIN]]+INVESTORS_LIST[[#This Row],[SIP_TOTAL REALIZED GAIN]]</f>
        <v>0</v>
      </c>
      <c r="AV723" s="48">
        <f>INVESTORS_LIST[[#This Row],[TOTAL MARKET VALUE]]-INVESTORS_LIST[[#This Row],[TOTAL COST VALUE OF CURRENT INVESTMENT]]</f>
        <v>0</v>
      </c>
      <c r="AW723" s="48">
        <f>IFERROR(INVESTORS_LIST[[#This Row],[TOTAL CURRENT UNITS]]/SUM(INVESTORS_LIST[TOTAL CURRENT UNITS]),0)</f>
        <v>0</v>
      </c>
    </row>
    <row r="724" spans="1:49">
      <c r="A724" s="274" t="s">
        <v>1551</v>
      </c>
      <c r="B724" s="97" t="s">
        <v>1552</v>
      </c>
      <c r="C724" t="s">
        <v>67</v>
      </c>
      <c r="D724" s="75" t="s">
        <v>45</v>
      </c>
      <c r="E724" s="50">
        <f>SUMIFS(LS[Unit],LS[Investor ID],INVESTORS_LIST[[#This Row],[INVESTOR CODE]],LS[B/S],"B")</f>
        <v>71423</v>
      </c>
      <c r="F724" s="50">
        <f>-SUMIFS(LS[Unit],LS[Investor ID],INVESTORS_LIST[[#This Row],[INVESTOR CODE]],LS[B/S],"S")</f>
        <v>627</v>
      </c>
      <c r="G724" s="50">
        <f>IF(INVESTORS_LIST[[#This Row],[LS_TOTAL UNITS BUY]]=0,0,INVESTORS_LIST[[#This Row],[LS_TOTAL UNITS BUY]]-INVESTORS_LIST[[#This Row],[LS_TOTAL UNITS SOLD]])</f>
        <v>70796</v>
      </c>
      <c r="H724" s="102">
        <f>IF(INVESTORS_LIST[[#This Row],[LS_TOTAL UNITS BUY]]=0,0,SUMIFS(LS[Amount],LS[Investor ID],INVESTORS_LIST[[#This Row],[INVESTOR CODE]],LS[B/S],"B"))</f>
        <v>1000000</v>
      </c>
      <c r="I724" s="48">
        <f>IF(INVESTORS_LIST[[#This Row],[LS_TOTAL UNITS SOLD]]=0,0,SUMIFS(LS[Cost of Units Sold],LS[Investor ID],INVESTORS_LIST[[#This Row],[INVESTOR CODE]],LS[B/S],"S"))</f>
        <v>8778.6847374095178</v>
      </c>
      <c r="J724" s="48">
        <f>IF(INVESTORS_LIST[[#This Row],[LS_TOTAL CURRENT UNITS]]=0,0,INVESTORS_LIST[[#This Row],[LS_TOTAL CURRENT UNITS]]*INVESTORS_LIST[[#This Row],[LS_AVERAGE COST]])</f>
        <v>991221.31526259053</v>
      </c>
      <c r="K724" s="48">
        <f>IF(INVESTORS_LIST[[#This Row],[LS_TOTAL UNITS SOLD]]=0,0,SUMIFS(LS[Realized Gain],LS[Investor ID],INVESTORS_LIST[[#This Row],[INVESTOR CODE]],LS[B/S],"S"))</f>
        <v>71.195262590481164</v>
      </c>
      <c r="L724" s="104">
        <f>SUMIFS(SIP[Unit],SIP[Investor ID],INVESTORS_LIST[[#This Row],[INVESTOR CODE]],SIP[B/S],"B")</f>
        <v>0</v>
      </c>
      <c r="M724" s="50">
        <f>-SUMIFS(SIP[Unit],SIP[Investor ID],INVESTORS_LIST[[#This Row],[INVESTOR CODE]],SIP[B/S],"S")</f>
        <v>0</v>
      </c>
      <c r="N724" s="50">
        <f>IF(INVESTORS_LIST[[#This Row],[SIP_TOTAL UNITS BUY]]=0,0,INVESTORS_LIST[[#This Row],[SIP_TOTAL UNITS BUY]]-INVESTORS_LIST[[#This Row],[SIP_TOTAL UNITS SOLD]])</f>
        <v>0</v>
      </c>
      <c r="O724" s="48">
        <f>IF(INVESTORS_LIST[[#This Row],[SIP_TOTAL UNITS BUY]]=0,0,SUMIFS(SIP[Amount],SIP[Investor ID],INVESTORS_LIST[[#This Row],[INVESTOR CODE]],SIP[B/S],"B"))</f>
        <v>0</v>
      </c>
      <c r="P724" s="48">
        <f>IF(INVESTORS_LIST[[#This Row],[SIP_TOTAL UNITS SOLD]]=0,0,SUMIFS(SIP[Cost of Units Sold],SIP[Investor ID],INVESTORS_LIST[[#This Row],[INVESTOR CODE]],SIP[B/S],"S"))</f>
        <v>0</v>
      </c>
      <c r="Q724" s="48">
        <f>IF(INVESTORS_LIST[[#This Row],[SIP_TOTAL CURRENT UNITS]]=0,0,INVESTORS_LIST[[#This Row],[SIP_TOTAL CURRENT UNITS]]*INVESTORS_LIST[[#This Row],[SIP_AVERAGE COST]])</f>
        <v>0</v>
      </c>
      <c r="R724" s="48">
        <f>IF(INVESTORS_LIST[[#This Row],[SIP_TOTAL UNITS SOLD]]=0,0,SUMIFS(SIP[Realized Gain],SIP[Investor ID],INVESTORS_LIST[[#This Row],[INVESTOR CODE]],SIP[B/S],"S"))</f>
        <v>0</v>
      </c>
      <c r="S724" s="50">
        <f>INVESTORS_LIST[[#This Row],[LS_TOTAL UNITS BUY]]+INVESTORS_LIST[[#This Row],[SIP_TOTAL UNITS BUY]]</f>
        <v>71423</v>
      </c>
      <c r="T724" s="50">
        <f>INVESTORS_LIST[[#This Row],[LS_TOTAL UNITS SOLD]]+INVESTORS_LIST[[#This Row],[SIP_TOTAL UNITS SOLD]]</f>
        <v>627</v>
      </c>
      <c r="U724" s="50"/>
      <c r="V724" s="50">
        <f>SUMIFS(LS[BO UNIT TRANSFER],LS[Investor ID],INVESTORS_LIST[[#This Row],[INVESTOR CODE]],LS[B/S],"B")</f>
        <v>0</v>
      </c>
      <c r="W724" s="50">
        <f>SUMIFS(SIP[BO UNIT TRANSFER],SIP[Investor ID],INVESTORS_LIST[[#This Row],[INVESTOR CODE]],SIP[B/S],"B")</f>
        <v>0</v>
      </c>
      <c r="X724" s="50">
        <f>SUMIFS(LS[BO UNIT TRANSFER],LS[Investor ID],INVESTORS_LIST[[#This Row],[INVESTOR CODE]],LS[B/S],"S")</f>
        <v>0</v>
      </c>
      <c r="Y724" s="50">
        <f>SUMIFS(SIP[BO UNIT TRANSFER],SIP[Investor ID],INVESTORS_LIST[[#This Row],[INVESTOR CODE]],SIP[B/S],"S")</f>
        <v>0</v>
      </c>
      <c r="Z724" s="106">
        <f>SUM(INVESTORS_LIST[[#This Row],[BO OPENING BALANCE]:[BO SIP UNITS REPURCHASE]])</f>
        <v>0</v>
      </c>
      <c r="AA724" s="107">
        <f>INVESTORS_LIST[[#This Row],[TOTAL UNITS BUY]]-INVESTORS_LIST[[#This Row],[TOTAL UNITS SOLD]]</f>
        <v>70796</v>
      </c>
      <c r="AB724" s="107">
        <f>INVESTORS_LIST[[#This Row],[TOTAL CURRENT UNITS]]-INVESTORS_LIST[[#This Row],[BO UNITS HOLD]]</f>
        <v>70796</v>
      </c>
      <c r="AC724" s="201" t="e">
        <f>INDEX([3]!Table_1[BO ID],MATCH(INVESTORS_LIST[[#This Row],[INVESTOR CODE]],[3]!Table_1[INVESTOR CODE],0))</f>
        <v>#REF!</v>
      </c>
      <c r="AD724" s="201" t="e">
        <f>INDEX([3]!Table_1[Brokerage Name2],MATCH(INVESTORS_LIST[[#This Row],[INVESTOR CODE]],[3]!Table_1[INVESTOR CODE],0))</f>
        <v>#REF!</v>
      </c>
      <c r="AE724" s="201" t="e">
        <f>MID(INVESTORS_LIST[[#This Row],[BO ID]],4,5)</f>
        <v>#REF!</v>
      </c>
      <c r="AF724" s="201" t="e">
        <f>MID(INVESTORS_LIST[[#This Row],[BO ID]],2,7)</f>
        <v>#REF!</v>
      </c>
      <c r="AG724" s="201" t="e">
        <f>MID(INVESTORS_LIST[[#This Row],[BO ID]],9,7)</f>
        <v>#REF!</v>
      </c>
      <c r="AH724" s="201" t="e">
        <f>RIGHT(INVESTORS_LIST[[#This Row],[BO ID]],1)</f>
        <v>#REF!</v>
      </c>
      <c r="AI724" s="50">
        <f>INVESTORS_LIST[[#This Row],[LS_TOTAL COST VALUE OF CURRENT UNITS]]+INVESTORS_LIST[[#This Row],[SIP_TOTAL COST VALUE OF CURRENT UNITS]]</f>
        <v>991221.31526259053</v>
      </c>
      <c r="AJ724" s="109">
        <f>IF(INVESTORS_LIST[[#This Row],[TOTAL CURRENT UNITS]]=0,0,INVESTORS_LIST[[#This Row],[LS_TOTAL CURRENT UNITS]]/INVESTORS_LIST[[#This Row],[TOTAL CURRENT UNITS]])</f>
        <v>1</v>
      </c>
      <c r="AK724" s="109">
        <f>IF(INVESTORS_LIST[[#This Row],[TOTAL CURRENT UNITS]]=0,0,INVESTORS_LIST[[#This Row],[SIP_TOTAL CURRENT UNITS]]/INVESTORS_LIST[[#This Row],[TOTAL CURRENT UNITS]])</f>
        <v>0</v>
      </c>
      <c r="AL724" s="99" cm="1">
        <f t="array" ref="AL724">IF(INVESTORS_LIST[[#This Row],[LS_TOTAL UNITS BUY]]&gt;0,INDEX(LS[NAV at Cost (Average)],MATCH(CONCATENATE(COUNTIFS(LS[Investor ID],INVESTORS_LIST[[#This Row],[INVESTOR CODE]]),INVESTORS_LIST[[#This Row],[INVESTOR CODE]]),LS[Unique Code],0),),0)</f>
        <v>14.001092085182645</v>
      </c>
      <c r="AM724" s="99" cm="1">
        <f t="array" ref="AM7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4" s="105">
        <f>IF(INVESTORS_LIST[[#This Row],[TOTAL CURRENT UNITS]]=0,0,(INVESTORS_LIST[[#This Row],[LS_WEIGHT]]*INVESTORS_LIST[[#This Row],[LS_AVERAGE COST]])+(INVESTORS_LIST[[#This Row],[SIP_WEIGHT]]*INVESTORS_LIST[[#This Row],[SIP_AVERAGE COST]]))</f>
        <v>14.001092085182645</v>
      </c>
      <c r="AO724" s="105">
        <f>NAV_MKT</f>
        <v>14.224</v>
      </c>
      <c r="AP724" s="112">
        <f>IF(INVESTORS_LIST[[#This Row],[TOTAL CURRENT UNITS]]=0,0,INVESTORS_LIST[[#This Row],[TOTAL CURRENT UNITS]]*INVESTORS_LIST[[#This Row],[NAV]])</f>
        <v>1007002.304</v>
      </c>
      <c r="AQ724" s="102">
        <f>IF(INVESTORS_LIST[[#This Row],[LS_TOTAL CURRENT UNITS]]=0,0,INVESTORS_LIST[[#This Row],[LS_TOTAL CURRENT UNITS]]*INVESTORS_LIST[[#This Row],[NAV]])</f>
        <v>1007002.304</v>
      </c>
      <c r="AR724" s="48">
        <f>IF(INVESTORS_LIST[[#This Row],[SIP_TOTAL CURRENT UNITS]]=0,0,INVESTORS_LIST[[#This Row],[SIP_TOTAL CURRENT UNITS]]*INVESTORS_LIST[[#This Row],[NAV]])</f>
        <v>0</v>
      </c>
      <c r="AS724" s="50">
        <f>INVESTORS_LIST[[#This Row],[TOTAL CURRENT UNITS]]</f>
        <v>70796</v>
      </c>
      <c r="AT724" s="48">
        <f>IF(INVESTORS_LIST[[#This Row],[TOTAL SELLABLE UNITS]]=0,0,INVESTORS_LIST[[#This Row],[TOTAL SELLABLE UNITS]]*INVESTORS_LIST[[#This Row],[NAV]])</f>
        <v>1007002.304</v>
      </c>
      <c r="AU724" s="48">
        <f>INVESTORS_LIST[[#This Row],[LS_TOTAL REALIZED GAIN]]+INVESTORS_LIST[[#This Row],[SIP_TOTAL REALIZED GAIN]]</f>
        <v>71.195262590481164</v>
      </c>
      <c r="AV724" s="48">
        <f>INVESTORS_LIST[[#This Row],[TOTAL MARKET VALUE]]-INVESTORS_LIST[[#This Row],[TOTAL COST VALUE OF CURRENT INVESTMENT]]</f>
        <v>15780.988737409469</v>
      </c>
      <c r="AW724" s="48">
        <f>IFERROR(INVESTORS_LIST[[#This Row],[TOTAL CURRENT UNITS]]/SUM(INVESTORS_LIST[TOTAL CURRENT UNITS]),0)</f>
        <v>1.7186584142125545E-3</v>
      </c>
    </row>
    <row r="725" spans="1:49" hidden="1">
      <c r="A725" s="283"/>
      <c r="B725" s="284"/>
      <c r="D725" s="75"/>
      <c r="E725" s="50">
        <f>SUMIFS(LS[Unit],LS[Investor ID],INVESTORS_LIST[[#This Row],[INVESTOR CODE]],LS[B/S],"B")</f>
        <v>0</v>
      </c>
      <c r="F725" s="50">
        <f>-SUMIFS(LS[Unit],LS[Investor ID],INVESTORS_LIST[[#This Row],[INVESTOR CODE]],LS[B/S],"S")</f>
        <v>0</v>
      </c>
      <c r="G725" s="50">
        <f>IF(INVESTORS_LIST[[#This Row],[LS_TOTAL UNITS BUY]]=0,0,INVESTORS_LIST[[#This Row],[LS_TOTAL UNITS BUY]]-INVESTORS_LIST[[#This Row],[LS_TOTAL UNITS SOLD]])</f>
        <v>0</v>
      </c>
      <c r="H725" s="102">
        <f>IF(INVESTORS_LIST[[#This Row],[LS_TOTAL UNITS BUY]]=0,0,SUMIFS(LS[Amount],LS[Investor ID],INVESTORS_LIST[[#This Row],[INVESTOR CODE]],LS[B/S],"B"))</f>
        <v>0</v>
      </c>
      <c r="I725" s="48">
        <f>IF(INVESTORS_LIST[[#This Row],[LS_TOTAL UNITS SOLD]]=0,0,SUMIFS(LS[Cost of Units Sold],LS[Investor ID],INVESTORS_LIST[[#This Row],[INVESTOR CODE]],LS[B/S],"S"))</f>
        <v>0</v>
      </c>
      <c r="J725" s="48">
        <f>IF(INVESTORS_LIST[[#This Row],[LS_TOTAL CURRENT UNITS]]=0,0,INVESTORS_LIST[[#This Row],[LS_TOTAL CURRENT UNITS]]*INVESTORS_LIST[[#This Row],[LS_AVERAGE COST]])</f>
        <v>0</v>
      </c>
      <c r="K725" s="48">
        <f>IF(INVESTORS_LIST[[#This Row],[LS_TOTAL UNITS SOLD]]=0,0,SUMIFS(LS[Realized Gain],LS[Investor ID],INVESTORS_LIST[[#This Row],[INVESTOR CODE]],LS[B/S],"S"))</f>
        <v>0</v>
      </c>
      <c r="L725" s="104">
        <f>SUMIFS(SIP[Unit],SIP[Investor ID],INVESTORS_LIST[[#This Row],[INVESTOR CODE]],SIP[B/S],"B")</f>
        <v>0</v>
      </c>
      <c r="M725" s="50">
        <f>-SUMIFS(SIP[Unit],SIP[Investor ID],INVESTORS_LIST[[#This Row],[INVESTOR CODE]],SIP[B/S],"S")</f>
        <v>0</v>
      </c>
      <c r="N725" s="50">
        <f>IF(INVESTORS_LIST[[#This Row],[SIP_TOTAL UNITS BUY]]=0,0,INVESTORS_LIST[[#This Row],[SIP_TOTAL UNITS BUY]]-INVESTORS_LIST[[#This Row],[SIP_TOTAL UNITS SOLD]])</f>
        <v>0</v>
      </c>
      <c r="O725" s="48">
        <f>IF(INVESTORS_LIST[[#This Row],[SIP_TOTAL UNITS BUY]]=0,0,SUMIFS(SIP[Amount],SIP[Investor ID],INVESTORS_LIST[[#This Row],[INVESTOR CODE]],SIP[B/S],"B"))</f>
        <v>0</v>
      </c>
      <c r="P725" s="48">
        <f>IF(INVESTORS_LIST[[#This Row],[SIP_TOTAL UNITS SOLD]]=0,0,SUMIFS(SIP[Cost of Units Sold],SIP[Investor ID],INVESTORS_LIST[[#This Row],[INVESTOR CODE]],SIP[B/S],"S"))</f>
        <v>0</v>
      </c>
      <c r="Q725" s="48">
        <f>IF(INVESTORS_LIST[[#This Row],[SIP_TOTAL CURRENT UNITS]]=0,0,INVESTORS_LIST[[#This Row],[SIP_TOTAL CURRENT UNITS]]*INVESTORS_LIST[[#This Row],[SIP_AVERAGE COST]])</f>
        <v>0</v>
      </c>
      <c r="R725" s="48">
        <f>IF(INVESTORS_LIST[[#This Row],[SIP_TOTAL UNITS SOLD]]=0,0,SUMIFS(SIP[Realized Gain],SIP[Investor ID],INVESTORS_LIST[[#This Row],[INVESTOR CODE]],SIP[B/S],"S"))</f>
        <v>0</v>
      </c>
      <c r="S725" s="50">
        <f>INVESTORS_LIST[[#This Row],[LS_TOTAL UNITS BUY]]+INVESTORS_LIST[[#This Row],[SIP_TOTAL UNITS BUY]]</f>
        <v>0</v>
      </c>
      <c r="T725" s="50">
        <f>INVESTORS_LIST[[#This Row],[LS_TOTAL UNITS SOLD]]+INVESTORS_LIST[[#This Row],[SIP_TOTAL UNITS SOLD]]</f>
        <v>0</v>
      </c>
      <c r="U725" s="50"/>
      <c r="V725" s="50">
        <f>SUMIFS(LS[BO UNIT TRANSFER],LS[Investor ID],INVESTORS_LIST[[#This Row],[INVESTOR CODE]],LS[B/S],"B")</f>
        <v>0</v>
      </c>
      <c r="W725" s="50">
        <f>SUMIFS(SIP[BO UNIT TRANSFER],SIP[Investor ID],INVESTORS_LIST[[#This Row],[INVESTOR CODE]],SIP[B/S],"B")</f>
        <v>0</v>
      </c>
      <c r="X725" s="50">
        <f>SUMIFS(LS[BO UNIT TRANSFER],LS[Investor ID],INVESTORS_LIST[[#This Row],[INVESTOR CODE]],LS[B/S],"S")</f>
        <v>0</v>
      </c>
      <c r="Y725" s="50">
        <f>SUMIFS(SIP[BO UNIT TRANSFER],SIP[Investor ID],INVESTORS_LIST[[#This Row],[INVESTOR CODE]],SIP[B/S],"S")</f>
        <v>0</v>
      </c>
      <c r="Z725" s="106">
        <f>SUM(INVESTORS_LIST[[#This Row],[BO OPENING BALANCE]:[BO SIP UNITS REPURCHASE]])</f>
        <v>0</v>
      </c>
      <c r="AA725" s="107">
        <f>INVESTORS_LIST[[#This Row],[TOTAL UNITS BUY]]-INVESTORS_LIST[[#This Row],[TOTAL UNITS SOLD]]</f>
        <v>0</v>
      </c>
      <c r="AB725" s="107">
        <f>INVESTORS_LIST[[#This Row],[TOTAL CURRENT UNITS]]-INVESTORS_LIST[[#This Row],[BO UNITS HOLD]]</f>
        <v>0</v>
      </c>
      <c r="AC725" s="201" t="e">
        <f>INDEX([3]!Table_1[BO ID],MATCH(INVESTORS_LIST[[#This Row],[INVESTOR CODE]],[3]!Table_1[INVESTOR CODE],0))</f>
        <v>#REF!</v>
      </c>
      <c r="AD725" s="201" t="e">
        <f>INDEX([3]!Table_1[Brokerage Name2],MATCH(INVESTORS_LIST[[#This Row],[INVESTOR CODE]],[3]!Table_1[INVESTOR CODE],0))</f>
        <v>#REF!</v>
      </c>
      <c r="AE725" s="201" t="e">
        <f>MID(INVESTORS_LIST[[#This Row],[BO ID]],4,5)</f>
        <v>#REF!</v>
      </c>
      <c r="AF725" s="201" t="e">
        <f>MID(INVESTORS_LIST[[#This Row],[BO ID]],2,7)</f>
        <v>#REF!</v>
      </c>
      <c r="AG725" s="201" t="e">
        <f>MID(INVESTORS_LIST[[#This Row],[BO ID]],9,7)</f>
        <v>#REF!</v>
      </c>
      <c r="AH725" s="201" t="e">
        <f>RIGHT(INVESTORS_LIST[[#This Row],[BO ID]],1)</f>
        <v>#REF!</v>
      </c>
      <c r="AI725" s="50">
        <f>INVESTORS_LIST[[#This Row],[LS_TOTAL COST VALUE OF CURRENT UNITS]]+INVESTORS_LIST[[#This Row],[SIP_TOTAL COST VALUE OF CURRENT UNITS]]</f>
        <v>0</v>
      </c>
      <c r="AJ725" s="109">
        <f>IF(INVESTORS_LIST[[#This Row],[TOTAL CURRENT UNITS]]=0,0,INVESTORS_LIST[[#This Row],[LS_TOTAL CURRENT UNITS]]/INVESTORS_LIST[[#This Row],[TOTAL CURRENT UNITS]])</f>
        <v>0</v>
      </c>
      <c r="AK725" s="109">
        <f>IF(INVESTORS_LIST[[#This Row],[TOTAL CURRENT UNITS]]=0,0,INVESTORS_LIST[[#This Row],[SIP_TOTAL CURRENT UNITS]]/INVESTORS_LIST[[#This Row],[TOTAL CURRENT UNITS]])</f>
        <v>0</v>
      </c>
      <c r="AL725" s="99" cm="1">
        <f t="array" ref="AL7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M725" s="99" cm="1">
        <f t="array" ref="AM7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5" s="105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O725" s="105">
        <f>NAV_MKT</f>
        <v>14.224</v>
      </c>
      <c r="AP725" s="112">
        <f>IF(INVESTORS_LIST[[#This Row],[TOTAL CURRENT UNITS]]=0,0,INVESTORS_LIST[[#This Row],[TOTAL CURRENT UNITS]]*INVESTORS_LIST[[#This Row],[NAV]])</f>
        <v>0</v>
      </c>
      <c r="AQ725" s="102">
        <f>IF(INVESTORS_LIST[[#This Row],[LS_TOTAL CURRENT UNITS]]=0,0,INVESTORS_LIST[[#This Row],[LS_TOTAL CURRENT UNITS]]*INVESTORS_LIST[[#This Row],[NAV]])</f>
        <v>0</v>
      </c>
      <c r="AR725" s="48">
        <f>IF(INVESTORS_LIST[[#This Row],[SIP_TOTAL CURRENT UNITS]]=0,0,INVESTORS_LIST[[#This Row],[SIP_TOTAL CURRENT UNITS]]*INVESTORS_LIST[[#This Row],[NAV]])</f>
        <v>0</v>
      </c>
      <c r="AS725" s="50">
        <f>INVESTORS_LIST[[#This Row],[TOTAL CURRENT UNITS]]</f>
        <v>0</v>
      </c>
      <c r="AT725" s="48">
        <f>IF(INVESTORS_LIST[[#This Row],[TOTAL SELLABLE UNITS]]=0,0,INVESTORS_LIST[[#This Row],[TOTAL SELLABLE UNITS]]*INVESTORS_LIST[[#This Row],[NAV]])</f>
        <v>0</v>
      </c>
      <c r="AU725" s="48">
        <f>INVESTORS_LIST[[#This Row],[LS_TOTAL REALIZED GAIN]]+INVESTORS_LIST[[#This Row],[SIP_TOTAL REALIZED GAIN]]</f>
        <v>0</v>
      </c>
      <c r="AV725" s="48">
        <f>INVESTORS_LIST[[#This Row],[TOTAL MARKET VALUE]]-INVESTORS_LIST[[#This Row],[TOTAL COST VALUE OF CURRENT INVESTMENT]]</f>
        <v>0</v>
      </c>
      <c r="AW725" s="48">
        <f>IFERROR(INVESTORS_LIST[[#This Row],[TOTAL CURRENT UNITS]]/SUM(INVESTORS_LIST[TOTAL CURRENT UNITS]),0)</f>
        <v>0</v>
      </c>
    </row>
    <row r="726" spans="1:49">
      <c r="A726" s="290" t="s">
        <v>237</v>
      </c>
      <c r="B726" s="199" t="s">
        <v>1575</v>
      </c>
      <c r="C726" s="99" t="s">
        <v>52</v>
      </c>
      <c r="D726" s="101" t="s">
        <v>45</v>
      </c>
      <c r="E726" s="50">
        <f>SUMIFS(LS[Unit],LS[Investor ID],INVESTORS_LIST[[#This Row],[INVESTOR CODE]],LS[B/S],"B")</f>
        <v>12733</v>
      </c>
      <c r="F726" s="50">
        <f>-SUMIFS(LS[Unit],LS[Investor ID],INVESTORS_LIST[[#This Row],[INVESTOR CODE]],LS[B/S],"S")</f>
        <v>0</v>
      </c>
      <c r="G726" s="50">
        <f>IF(INVESTORS_LIST[[#This Row],[LS_TOTAL UNITS BUY]]=0,0,INVESTORS_LIST[[#This Row],[LS_TOTAL UNITS BUY]]-INVESTORS_LIST[[#This Row],[LS_TOTAL UNITS SOLD]])</f>
        <v>12733</v>
      </c>
      <c r="H726" s="291">
        <f>IF(INVESTORS_LIST[[#This Row],[LS_TOTAL UNITS BUY]]=0,0,SUMIFS(LS[Amount],LS[Investor ID],INVESTORS_LIST[[#This Row],[INVESTOR CODE]],LS[B/S],"B"))</f>
        <v>180000</v>
      </c>
      <c r="I726" s="48">
        <f>IF(INVESTORS_LIST[[#This Row],[LS_TOTAL UNITS SOLD]]=0,0,SUMIFS(LS[Cost of Units Sold],LS[Investor ID],INVESTORS_LIST[[#This Row],[INVESTOR CODE]],LS[B/S],"S"))</f>
        <v>0</v>
      </c>
      <c r="J726" s="48">
        <f>IF(INVESTORS_LIST[[#This Row],[LS_TOTAL CURRENT UNITS]]=0,0,INVESTORS_LIST[[#This Row],[LS_TOTAL CURRENT UNITS]]*INVESTORS_LIST[[#This Row],[LS_AVERAGE COST]])</f>
        <v>180000</v>
      </c>
      <c r="K726" s="48">
        <f>IF(INVESTORS_LIST[[#This Row],[LS_TOTAL UNITS SOLD]]=0,0,SUMIFS(LS[Realized Gain],LS[Investor ID],INVESTORS_LIST[[#This Row],[INVESTOR CODE]],LS[B/S],"S"))</f>
        <v>0</v>
      </c>
      <c r="L726" s="292">
        <f>SUMIFS(SIP[Unit],SIP[Investor ID],INVESTORS_LIST[[#This Row],[INVESTOR CODE]],SIP[B/S],"B")</f>
        <v>0</v>
      </c>
      <c r="M726" s="50">
        <f>-SUMIFS(SIP[Unit],SIP[Investor ID],INVESTORS_LIST[[#This Row],[INVESTOR CODE]],SIP[B/S],"S")</f>
        <v>0</v>
      </c>
      <c r="N726" s="50">
        <f>IF(INVESTORS_LIST[[#This Row],[SIP_TOTAL UNITS BUY]]=0,0,INVESTORS_LIST[[#This Row],[SIP_TOTAL UNITS BUY]]-INVESTORS_LIST[[#This Row],[SIP_TOTAL UNITS SOLD]])</f>
        <v>0</v>
      </c>
      <c r="O726" s="48">
        <f>IF(INVESTORS_LIST[[#This Row],[SIP_TOTAL UNITS BUY]]=0,0,SUMIFS(SIP[Amount],SIP[Investor ID],INVESTORS_LIST[[#This Row],[INVESTOR CODE]],SIP[B/S],"B"))</f>
        <v>0</v>
      </c>
      <c r="P726" s="48">
        <f>IF(INVESTORS_LIST[[#This Row],[SIP_TOTAL UNITS SOLD]]=0,0,SUMIFS(SIP[Cost of Units Sold],SIP[Investor ID],INVESTORS_LIST[[#This Row],[INVESTOR CODE]],SIP[B/S],"S"))</f>
        <v>0</v>
      </c>
      <c r="Q726" s="48">
        <f>IF(INVESTORS_LIST[[#This Row],[SIP_TOTAL CURRENT UNITS]]=0,0,INVESTORS_LIST[[#This Row],[SIP_TOTAL CURRENT UNITS]]*INVESTORS_LIST[[#This Row],[SIP_AVERAGE COST]])</f>
        <v>0</v>
      </c>
      <c r="R726" s="48">
        <f>IF(INVESTORS_LIST[[#This Row],[SIP_TOTAL UNITS SOLD]]=0,0,SUMIFS(SIP[Realized Gain],SIP[Investor ID],INVESTORS_LIST[[#This Row],[INVESTOR CODE]],SIP[B/S],"S"))</f>
        <v>0</v>
      </c>
      <c r="S726" s="50">
        <f>INVESTORS_LIST[[#This Row],[LS_TOTAL UNITS BUY]]+INVESTORS_LIST[[#This Row],[SIP_TOTAL UNITS BUY]]</f>
        <v>12733</v>
      </c>
      <c r="T726" s="50">
        <f>INVESTORS_LIST[[#This Row],[LS_TOTAL UNITS SOLD]]+INVESTORS_LIST[[#This Row],[SIP_TOTAL UNITS SOLD]]</f>
        <v>0</v>
      </c>
      <c r="U726" s="50"/>
      <c r="V726" s="50">
        <f>SUMIFS(LS[BO UNIT TRANSFER],LS[Investor ID],INVESTORS_LIST[[#This Row],[INVESTOR CODE]],LS[B/S],"B")</f>
        <v>0</v>
      </c>
      <c r="W726" s="50">
        <f>SUMIFS(SIP[BO UNIT TRANSFER],SIP[Investor ID],INVESTORS_LIST[[#This Row],[INVESTOR CODE]],SIP[B/S],"B")</f>
        <v>0</v>
      </c>
      <c r="X726" s="50">
        <f>SUMIFS(LS[BO UNIT TRANSFER],LS[Investor ID],INVESTORS_LIST[[#This Row],[INVESTOR CODE]],LS[B/S],"S")</f>
        <v>0</v>
      </c>
      <c r="Y726" s="50">
        <f>SUMIFS(SIP[BO UNIT TRANSFER],SIP[Investor ID],INVESTORS_LIST[[#This Row],[INVESTOR CODE]],SIP[B/S],"S")</f>
        <v>0</v>
      </c>
      <c r="Z726" s="106">
        <f>SUM(INVESTORS_LIST[[#This Row],[BO OPENING BALANCE]:[BO SIP UNITS REPURCHASE]])</f>
        <v>0</v>
      </c>
      <c r="AA726" s="107">
        <f>INVESTORS_LIST[[#This Row],[TOTAL UNITS BUY]]-INVESTORS_LIST[[#This Row],[TOTAL UNITS SOLD]]</f>
        <v>12733</v>
      </c>
      <c r="AB726" s="107">
        <f>INVESTORS_LIST[[#This Row],[TOTAL CURRENT UNITS]]-INVESTORS_LIST[[#This Row],[BO UNITS HOLD]]</f>
        <v>12733</v>
      </c>
      <c r="AC726" s="201" t="e">
        <f>INDEX([3]!Table_1[BO ID],MATCH(INVESTORS_LIST[[#This Row],[INVESTOR CODE]],[3]!Table_1[INVESTOR CODE],0))</f>
        <v>#REF!</v>
      </c>
      <c r="AD726" s="201" t="e">
        <f>INDEX([3]!Table_1[Brokerage Name2],MATCH(INVESTORS_LIST[[#This Row],[INVESTOR CODE]],[3]!Table_1[INVESTOR CODE],0))</f>
        <v>#REF!</v>
      </c>
      <c r="AE726" s="201" t="e">
        <f>MID(INVESTORS_LIST[[#This Row],[BO ID]],4,5)</f>
        <v>#REF!</v>
      </c>
      <c r="AF726" s="201" t="e">
        <f>MID(INVESTORS_LIST[[#This Row],[BO ID]],2,7)</f>
        <v>#REF!</v>
      </c>
      <c r="AG726" s="201" t="e">
        <f>MID(INVESTORS_LIST[[#This Row],[BO ID]],9,7)</f>
        <v>#REF!</v>
      </c>
      <c r="AH726" s="201" t="e">
        <f>RIGHT(INVESTORS_LIST[[#This Row],[BO ID]],1)</f>
        <v>#REF!</v>
      </c>
      <c r="AI726" s="50">
        <f>INVESTORS_LIST[[#This Row],[LS_TOTAL COST VALUE OF CURRENT UNITS]]+INVESTORS_LIST[[#This Row],[SIP_TOTAL COST VALUE OF CURRENT UNITS]]</f>
        <v>180000</v>
      </c>
      <c r="AJ726" s="109">
        <f>IF(INVESTORS_LIST[[#This Row],[TOTAL CURRENT UNITS]]=0,0,INVESTORS_LIST[[#This Row],[LS_TOTAL CURRENT UNITS]]/INVESTORS_LIST[[#This Row],[TOTAL CURRENT UNITS]])</f>
        <v>1</v>
      </c>
      <c r="AK726" s="109">
        <f>IF(INVESTORS_LIST[[#This Row],[TOTAL CURRENT UNITS]]=0,0,INVESTORS_LIST[[#This Row],[SIP_TOTAL CURRENT UNITS]]/INVESTORS_LIST[[#This Row],[TOTAL CURRENT UNITS]])</f>
        <v>0</v>
      </c>
      <c r="AL726" s="293" cm="1">
        <f t="array" ref="AL726">IF(INVESTORS_LIST[[#This Row],[LS_TOTAL UNITS BUY]]&gt;0,INDEX(LS[NAV at Cost (Average)],MATCH(CONCATENATE(COUNTIFS(LS[Investor ID],INVESTORS_LIST[[#This Row],[INVESTOR CODE]]),INVESTORS_LIST[[#This Row],[INVESTOR CODE]]),LS[Unique Code],0),),0)</f>
        <v>14.136495719783241</v>
      </c>
      <c r="AM726" s="293" cm="1">
        <f t="array" ref="AM7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N726" s="105">
        <f>IF(INVESTORS_LIST[[#This Row],[TOTAL CURRENT UNITS]]=0,0,(INVESTORS_LIST[[#This Row],[LS_WEIGHT]]*INVESTORS_LIST[[#This Row],[LS_AVERAGE COST]])+(INVESTORS_LIST[[#This Row],[SIP_WEIGHT]]*INVESTORS_LIST[[#This Row],[SIP_AVERAGE COST]]))</f>
        <v>14.136495719783241</v>
      </c>
      <c r="AO726" s="105">
        <f>NAV_MKT</f>
        <v>14.224</v>
      </c>
      <c r="AP726" s="112">
        <f>IF(INVESTORS_LIST[[#This Row],[TOTAL CURRENT UNITS]]=0,0,INVESTORS_LIST[[#This Row],[TOTAL CURRENT UNITS]]*INVESTORS_LIST[[#This Row],[NAV]])</f>
        <v>181114.19200000001</v>
      </c>
      <c r="AQ726" s="291">
        <f>IF(INVESTORS_LIST[[#This Row],[LS_TOTAL CURRENT UNITS]]=0,0,INVESTORS_LIST[[#This Row],[LS_TOTAL CURRENT UNITS]]*INVESTORS_LIST[[#This Row],[NAV]])</f>
        <v>181114.19200000001</v>
      </c>
      <c r="AR726" s="48">
        <f>IF(INVESTORS_LIST[[#This Row],[SIP_TOTAL CURRENT UNITS]]=0,0,INVESTORS_LIST[[#This Row],[SIP_TOTAL CURRENT UNITS]]*INVESTORS_LIST[[#This Row],[NAV]])</f>
        <v>0</v>
      </c>
      <c r="AS726" s="50">
        <f>INVESTORS_LIST[[#This Row],[TOTAL CURRENT UNITS]]</f>
        <v>12733</v>
      </c>
      <c r="AT726" s="48">
        <f>IF(INVESTORS_LIST[[#This Row],[TOTAL SELLABLE UNITS]]=0,0,INVESTORS_LIST[[#This Row],[TOTAL SELLABLE UNITS]]*INVESTORS_LIST[[#This Row],[NAV]])</f>
        <v>181114.19200000001</v>
      </c>
      <c r="AU726" s="48">
        <f>INVESTORS_LIST[[#This Row],[LS_TOTAL REALIZED GAIN]]+INVESTORS_LIST[[#This Row],[SIP_TOTAL REALIZED GAIN]]</f>
        <v>0</v>
      </c>
      <c r="AV726" s="48">
        <f>INVESTORS_LIST[[#This Row],[TOTAL MARKET VALUE]]-INVESTORS_LIST[[#This Row],[TOTAL COST VALUE OF CURRENT INVESTMENT]]</f>
        <v>1114.19200000001</v>
      </c>
      <c r="AW726" s="48">
        <f>IFERROR(INVESTORS_LIST[[#This Row],[TOTAL CURRENT UNITS]]/SUM(INVESTORS_LIST[TOTAL CURRENT UNITS]),0)</f>
        <v>3.0910895514108785E-4</v>
      </c>
    </row>
  </sheetData>
  <phoneticPr fontId="66" type="noConversion"/>
  <conditionalFormatting sqref="B696:B697">
    <cfRule type="duplicateValues" dxfId="4" priority="5"/>
  </conditionalFormatting>
  <conditionalFormatting sqref="B698">
    <cfRule type="duplicateValues" dxfId="3" priority="4"/>
  </conditionalFormatting>
  <conditionalFormatting sqref="B701">
    <cfRule type="duplicateValues" dxfId="2" priority="3"/>
  </conditionalFormatting>
  <conditionalFormatting sqref="B702:B704">
    <cfRule type="duplicateValues" dxfId="1" priority="2"/>
  </conditionalFormatting>
  <conditionalFormatting sqref="B726">
    <cfRule type="duplicateValues" dxfId="0" priority="1"/>
  </conditionalFormatting>
  <dataValidations count="1">
    <dataValidation type="list" allowBlank="1" showInputMessage="1" showErrorMessage="1" sqref="D2:D585" xr:uid="{00000000-0002-0000-0100-000000000000}">
      <formula1>#REF!</formula1>
    </dataValidation>
  </dataValidations>
  <pageMargins left="0.7" right="0.7" top="0.75" bottom="0.75" header="0.3" footer="0.3"/>
  <pageSetup scale="27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1507"/>
  <sheetViews>
    <sheetView showGridLines="0" zoomScaleNormal="100" workbookViewId="0">
      <pane ySplit="2" topLeftCell="A1481" activePane="bottomLeft" state="frozen"/>
      <selection pane="bottomLeft" activeCell="M1507" sqref="M1507"/>
    </sheetView>
  </sheetViews>
  <sheetFormatPr defaultColWidth="9" defaultRowHeight="15"/>
  <cols>
    <col min="1" max="1" width="7" style="75" customWidth="1"/>
    <col min="2" max="2" width="7.7109375" style="75" customWidth="1"/>
    <col min="3" max="3" width="5.85546875" style="75" customWidth="1"/>
    <col min="4" max="4" width="12.42578125" style="75" customWidth="1"/>
    <col min="5" max="5" width="42.5703125" customWidth="1"/>
    <col min="6" max="6" width="13.5703125" style="75" customWidth="1"/>
    <col min="7" max="7" width="15.7109375" style="75" hidden="1" customWidth="1"/>
    <col min="8" max="9" width="18.140625" style="75" hidden="1" customWidth="1"/>
    <col min="10" max="10" width="6.28515625" style="75" customWidth="1"/>
    <col min="11" max="11" width="17.28515625" customWidth="1"/>
    <col min="12" max="12" width="7.7109375" customWidth="1"/>
    <col min="13" max="13" width="12" customWidth="1"/>
    <col min="14" max="14" width="12.85546875" customWidth="1"/>
    <col min="15" max="15" width="17.85546875" customWidth="1"/>
    <col min="16" max="16" width="17" customWidth="1"/>
    <col min="17" max="17" width="18.140625" customWidth="1"/>
    <col min="18" max="18" width="16.140625" customWidth="1"/>
    <col min="19" max="19" width="16.28515625" customWidth="1"/>
    <col min="20" max="20" width="16" customWidth="1"/>
    <col min="21" max="21" width="14.7109375" customWidth="1"/>
    <col min="22" max="22" width="14.28515625" customWidth="1"/>
    <col min="23" max="23" width="13.85546875" customWidth="1"/>
  </cols>
  <sheetData>
    <row r="1" spans="1:24" ht="15.6" customHeight="1" thickBot="1">
      <c r="D1" s="76"/>
      <c r="E1" s="77"/>
      <c r="F1" s="77"/>
      <c r="G1" s="77"/>
      <c r="H1" s="77"/>
      <c r="I1" s="77"/>
      <c r="J1" s="77"/>
      <c r="K1" s="68">
        <f>SUBTOTAL(9,LS[Amount])</f>
        <v>424416409.32390034</v>
      </c>
      <c r="P1" s="49">
        <f>SUBTOTAL(9,LS[Unit Capital])</f>
        <v>402442790</v>
      </c>
      <c r="Q1" s="49">
        <f>SUBTOTAL(9,LS[Unit Premium Reserve])</f>
        <v>21973619.323900022</v>
      </c>
      <c r="S1" s="91">
        <v>14.224</v>
      </c>
      <c r="T1" s="92">
        <f>NAV_MKT</f>
        <v>14.224</v>
      </c>
      <c r="V1" s="48"/>
    </row>
    <row r="2" spans="1:24" ht="74.25" customHeight="1">
      <c r="A2" s="78" t="s">
        <v>1232</v>
      </c>
      <c r="B2" s="78" t="s">
        <v>1207</v>
      </c>
      <c r="C2" s="78" t="s">
        <v>1208</v>
      </c>
      <c r="D2" s="79" t="s">
        <v>1209</v>
      </c>
      <c r="E2" s="79" t="s">
        <v>1210</v>
      </c>
      <c r="F2" s="78" t="s">
        <v>1211</v>
      </c>
      <c r="G2" s="80" t="s">
        <v>1212</v>
      </c>
      <c r="H2" s="80" t="s">
        <v>1213</v>
      </c>
      <c r="I2" s="80" t="s">
        <v>1214</v>
      </c>
      <c r="J2" s="78" t="s">
        <v>1215</v>
      </c>
      <c r="K2" s="84" t="s">
        <v>1216</v>
      </c>
      <c r="L2" s="84" t="s">
        <v>1217</v>
      </c>
      <c r="M2" s="79" t="s">
        <v>1218</v>
      </c>
      <c r="N2" s="79" t="s">
        <v>1219</v>
      </c>
      <c r="O2" s="79" t="s">
        <v>1220</v>
      </c>
      <c r="P2" s="84" t="s">
        <v>1221</v>
      </c>
      <c r="Q2" s="79" t="s">
        <v>1222</v>
      </c>
      <c r="R2" s="79" t="s">
        <v>1223</v>
      </c>
      <c r="S2" s="93" t="s">
        <v>1224</v>
      </c>
      <c r="T2" s="79" t="s">
        <v>1225</v>
      </c>
      <c r="U2" s="93" t="s">
        <v>1226</v>
      </c>
      <c r="V2" s="94" t="s">
        <v>1227</v>
      </c>
      <c r="W2" s="94" t="s">
        <v>1228</v>
      </c>
    </row>
    <row r="3" spans="1:24">
      <c r="A3" s="75">
        <v>2022</v>
      </c>
      <c r="B3" s="75">
        <v>9</v>
      </c>
      <c r="C3" s="75">
        <v>7</v>
      </c>
      <c r="D3" s="81">
        <f>DATE(LS[[#This Row],[Year]],LS[[#This Row],[Month]],LS[[#This Row],[Day]])</f>
        <v>44811</v>
      </c>
      <c r="E3" t="str" cm="1">
        <f t="array" ref="E3">INDEX(INVESTORS_LIST[INVESTOR NAME],MATCH(LS[[#This Row],[Investor ID]],INVESTORS_LIST[INVESTOR CODE],0),)</f>
        <v>EKUSH WEALTH MANAGEMENT LIMITED</v>
      </c>
      <c r="F3" s="82" t="s">
        <v>47</v>
      </c>
      <c r="G3" s="75">
        <f>COUNTIF(LS[[#Headers],[Investor ID]]:LS[[#This Row],[Investor ID]],LS[[#This Row],[Investor ID]])</f>
        <v>1</v>
      </c>
      <c r="H3" s="75" t="str">
        <f>CONCATENATE(LS[[#This Row],[Frequency]],LS[[#This Row],[Investor ID]])</f>
        <v>1A00003</v>
      </c>
      <c r="I3" s="75" t="str">
        <f>IF(LS[[#This Row],[B/S]]="B","BUY",(IF(LS[[#This Row],[B/S]]="S","SELL"," ")))</f>
        <v>BUY</v>
      </c>
      <c r="J3" s="75" t="s">
        <v>1229</v>
      </c>
      <c r="K3" s="85">
        <v>2000</v>
      </c>
      <c r="L3" s="85"/>
      <c r="M3" s="86">
        <f>LS[[#This Row],[Amount]]/LS[[#This Row],[Unit]]</f>
        <v>10</v>
      </c>
      <c r="N3" s="87">
        <f>LS[[#This Row],[Unit Capital]]/10</f>
        <v>200</v>
      </c>
      <c r="O3" s="87">
        <f>SUMIFS(LS[[#Headers],[Unit]]:LS[[#This Row],[Unit]],LS[[#Headers],[Investor ID]]:LS[[#This Row],[Investor ID]],LS[[#This Row],[Investor ID]])</f>
        <v>200</v>
      </c>
      <c r="P3" s="95">
        <v>2000</v>
      </c>
      <c r="Q3" s="48">
        <f>LS[[#This Row],[Amount]]-LS[[#This Row],[Unit Capital]]</f>
        <v>0</v>
      </c>
      <c r="R3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" s="86">
        <f t="shared" ref="S3:S66" si="0">IFERROR(NAV_MKT,0)</f>
        <v>14.224</v>
      </c>
      <c r="T3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" s="95" cm="1">
        <f t="array" ref="U3">IF(LS[[#This Row],[B/S]]="S",ABS(LS[[#This Row],[Unit]])*(INDEX(LS[NAV at Cost (Average)],MATCH(CONCATENATE((LS[[#This Row],[Frequency]]-1),LS[[#This Row],[Investor ID]]),LS[Unique Code],0),0)),0)</f>
        <v>0</v>
      </c>
      <c r="V3" s="96">
        <f>IF(LS[[#This Row],[BO TRANSFER]]="YES",LS[[#This Row],[Unit]],)</f>
        <v>0</v>
      </c>
      <c r="W3" s="96">
        <f>SUMIFS(LS[[#Headers],[BO UNIT TRANSFER]]:LS[[#This Row],[BO UNIT TRANSFER]],LS[[#Headers],[Investor ID]]:LS[[#This Row],[Investor ID]],LS[[#This Row],[Investor ID]])</f>
        <v>0</v>
      </c>
      <c r="X3" t="s">
        <v>1230</v>
      </c>
    </row>
    <row r="4" spans="1:24">
      <c r="A4" s="75">
        <v>2022</v>
      </c>
      <c r="B4" s="75">
        <v>11</v>
      </c>
      <c r="C4" s="75">
        <v>1</v>
      </c>
      <c r="D4" s="81">
        <f>DATE(LS[[#This Row],[Year]],LS[[#This Row],[Month]],LS[[#This Row],[Day]])</f>
        <v>44866</v>
      </c>
      <c r="E4" t="str" cm="1">
        <f t="array" ref="E4">INDEX(INVESTORS_LIST[INVESTOR NAME],MATCH(LS[[#This Row],[Investor ID]],INVESTORS_LIST[INVESTOR CODE],0),)</f>
        <v>EKUSH WEALTH MANAGEMENT LIMITED</v>
      </c>
      <c r="F4" s="82" t="s">
        <v>47</v>
      </c>
      <c r="G4" s="75">
        <f>COUNTIF(LS[[#Headers],[Investor ID]]:LS[[#This Row],[Investor ID]],LS[[#This Row],[Investor ID]])</f>
        <v>2</v>
      </c>
      <c r="H4" s="75" t="str">
        <f>CONCATENATE(LS[[#This Row],[Frequency]],LS[[#This Row],[Investor ID]])</f>
        <v>2A00003</v>
      </c>
      <c r="I4" s="75" t="str">
        <f>IF(LS[[#This Row],[B/S]]="B","BUY",(IF(LS[[#This Row],[B/S]]="S","SELL"," ")))</f>
        <v>BUY</v>
      </c>
      <c r="J4" s="75" t="s">
        <v>1229</v>
      </c>
      <c r="K4" s="85">
        <v>25000000</v>
      </c>
      <c r="L4" s="85"/>
      <c r="M4" s="86">
        <f>LS[[#This Row],[Amount]]/LS[[#This Row],[Unit]]</f>
        <v>10</v>
      </c>
      <c r="N4" s="87">
        <f>LS[[#This Row],[Unit Capital]]/10</f>
        <v>2500000</v>
      </c>
      <c r="O4" s="87">
        <f>SUMIFS(LS[[#Headers],[Unit]]:LS[[#This Row],[Unit]],LS[[#Headers],[Investor ID]]:LS[[#This Row],[Investor ID]],LS[[#This Row],[Investor ID]])</f>
        <v>2500200</v>
      </c>
      <c r="P4" s="95">
        <v>25000000</v>
      </c>
      <c r="Q4" s="48">
        <f>LS[[#This Row],[Amount]]-LS[[#This Row],[Unit Capital]]</f>
        <v>0</v>
      </c>
      <c r="R4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" s="86">
        <f t="shared" si="0"/>
        <v>14.224</v>
      </c>
      <c r="T4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" s="95" cm="1">
        <f t="array" ref="U4">IF(LS[[#This Row],[B/S]]="S",ABS(LS[[#This Row],[Unit]])*(INDEX(LS[NAV at Cost (Average)],MATCH(CONCATENATE((LS[[#This Row],[Frequency]]-1),LS[[#This Row],[Investor ID]]),LS[Unique Code],0),0)),0)</f>
        <v>0</v>
      </c>
      <c r="V4" s="96">
        <f>IF(LS[[#This Row],[BO TRANSFER]]="YES",LS[[#This Row],[Unit]],)</f>
        <v>0</v>
      </c>
      <c r="W4" s="96">
        <f>SUMIFS(LS[[#Headers],[BO UNIT TRANSFER]]:LS[[#This Row],[BO UNIT TRANSFER]],LS[[#Headers],[Investor ID]]:LS[[#This Row],[Investor ID]],LS[[#This Row],[Investor ID]])</f>
        <v>0</v>
      </c>
    </row>
    <row r="5" spans="1:24">
      <c r="A5" s="75">
        <v>2023</v>
      </c>
      <c r="B5" s="75">
        <v>1</v>
      </c>
      <c r="C5" s="75">
        <v>16</v>
      </c>
      <c r="D5" s="81">
        <f>DATE(LS[[#This Row],[Year]],LS[[#This Row],[Month]],LS[[#This Row],[Day]])</f>
        <v>44942</v>
      </c>
      <c r="E5" t="str" cm="1">
        <f t="array" ref="E5">INDEX(INVESTORS_LIST[INVESTOR NAME],MATCH(LS[[#This Row],[Investor ID]],INVESTORS_LIST[INVESTOR CODE],0),)</f>
        <v>MD. ZAKIR HOSSEN</v>
      </c>
      <c r="F5" s="83" t="s">
        <v>82</v>
      </c>
      <c r="G5" s="75">
        <f>COUNTIF(LS[[#Headers],[Investor ID]]:LS[[#This Row],[Investor ID]],LS[[#This Row],[Investor ID]])</f>
        <v>1</v>
      </c>
      <c r="H5" s="75" t="str">
        <f>CONCATENATE(LS[[#This Row],[Frequency]],LS[[#This Row],[Investor ID]])</f>
        <v>1A00018</v>
      </c>
      <c r="I5" s="75" t="str">
        <f>IF(LS[[#This Row],[B/S]]="B","BUY",(IF(LS[[#This Row],[B/S]]="S","SELL"," ")))</f>
        <v>BUY</v>
      </c>
      <c r="J5" s="75" t="s">
        <v>1229</v>
      </c>
      <c r="K5" s="88">
        <v>800000</v>
      </c>
      <c r="L5" s="88"/>
      <c r="M5" s="89">
        <f>LS[[#This Row],[Amount]]/LS[[#This Row],[Unit]]</f>
        <v>10</v>
      </c>
      <c r="N5" s="90">
        <f>LS[[#This Row],[Unit Capital]]/10</f>
        <v>80000</v>
      </c>
      <c r="O5" s="90">
        <f>SUMIFS(LS[[#Headers],[Unit]]:LS[[#This Row],[Unit]],LS[[#Headers],[Investor ID]]:LS[[#This Row],[Investor ID]],LS[[#This Row],[Investor ID]])</f>
        <v>80000</v>
      </c>
      <c r="P5" s="96">
        <v>800000</v>
      </c>
      <c r="Q5" s="48">
        <f>LS[[#This Row],[Amount]]-LS[[#This Row],[Unit Capital]]</f>
        <v>0</v>
      </c>
      <c r="R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" s="89">
        <f t="shared" si="0"/>
        <v>14.224</v>
      </c>
      <c r="T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" s="96" cm="1">
        <f t="array" ref="U5">IF(LS[[#This Row],[B/S]]="S",ABS(LS[[#This Row],[Unit]])*(INDEX(LS[NAV at Cost (Average)],MATCH(CONCATENATE((LS[[#This Row],[Frequency]]-1),LS[[#This Row],[Investor ID]]),LS[Unique Code],0),0)),0)</f>
        <v>0</v>
      </c>
      <c r="V5" s="96">
        <f>IF(LS[[#This Row],[BO TRANSFER]]="YES",LS[[#This Row],[Unit]],)</f>
        <v>0</v>
      </c>
      <c r="W5" s="96">
        <f>SUMIFS(LS[[#Headers],[BO UNIT TRANSFER]]:LS[[#This Row],[BO UNIT TRANSFER]],LS[[#Headers],[Investor ID]]:LS[[#This Row],[Investor ID]],LS[[#This Row],[Investor ID]])</f>
        <v>0</v>
      </c>
    </row>
    <row r="6" spans="1:24">
      <c r="A6" s="75">
        <v>2023</v>
      </c>
      <c r="B6" s="75">
        <v>1</v>
      </c>
      <c r="C6" s="75">
        <v>17</v>
      </c>
      <c r="D6" s="81">
        <f>DATE(LS[[#This Row],[Year]],LS[[#This Row],[Month]],LS[[#This Row],[Day]])</f>
        <v>44943</v>
      </c>
      <c r="E6" t="str" cm="1">
        <f t="array" ref="E6">INDEX(INVESTORS_LIST[INVESTOR NAME],MATCH(LS[[#This Row],[Investor ID]],INVESTORS_LIST[INVESTOR CODE],0),)</f>
        <v>M.A. MALEK SIDDIQUE WALI &amp; CO.</v>
      </c>
      <c r="F6" s="83" t="s">
        <v>702</v>
      </c>
      <c r="G6" s="75">
        <f>COUNTIF(LS[[#Headers],[Investor ID]]:LS[[#This Row],[Investor ID]],LS[[#This Row],[Investor ID]])</f>
        <v>1</v>
      </c>
      <c r="H6" s="75" t="str">
        <f>CONCATENATE(LS[[#This Row],[Frequency]],LS[[#This Row],[Investor ID]])</f>
        <v>1A00327</v>
      </c>
      <c r="I6" s="75" t="str">
        <f>IF(LS[[#This Row],[B/S]]="B","BUY",(IF(LS[[#This Row],[B/S]]="S","SELL"," ")))</f>
        <v>BUY</v>
      </c>
      <c r="J6" s="75" t="s">
        <v>1229</v>
      </c>
      <c r="K6" s="88">
        <v>500000</v>
      </c>
      <c r="L6" s="88"/>
      <c r="M6" s="89">
        <f>LS[[#This Row],[Amount]]/LS[[#This Row],[Unit]]</f>
        <v>10</v>
      </c>
      <c r="N6" s="90">
        <f>LS[[#This Row],[Unit Capital]]/10</f>
        <v>50000</v>
      </c>
      <c r="O6" s="90">
        <f>SUMIFS(LS[[#Headers],[Unit]]:LS[[#This Row],[Unit]],LS[[#Headers],[Investor ID]]:LS[[#This Row],[Investor ID]],LS[[#This Row],[Investor ID]])</f>
        <v>50000</v>
      </c>
      <c r="P6" s="96">
        <v>500000</v>
      </c>
      <c r="Q6" s="48">
        <f>LS[[#This Row],[Amount]]-LS[[#This Row],[Unit Capital]]</f>
        <v>0</v>
      </c>
      <c r="R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" s="89">
        <f t="shared" si="0"/>
        <v>14.224</v>
      </c>
      <c r="T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" s="96" cm="1">
        <f t="array" ref="U6">IF(LS[[#This Row],[B/S]]="S",ABS(LS[[#This Row],[Unit]])*(INDEX(LS[NAV at Cost (Average)],MATCH(CONCATENATE((LS[[#This Row],[Frequency]]-1),LS[[#This Row],[Investor ID]]),LS[Unique Code],0),0)),0)</f>
        <v>0</v>
      </c>
      <c r="V6" s="96">
        <f>IF(LS[[#This Row],[BO TRANSFER]]="YES",LS[[#This Row],[Unit]],)</f>
        <v>0</v>
      </c>
      <c r="W6" s="96">
        <f>SUMIFS(LS[[#Headers],[BO UNIT TRANSFER]]:LS[[#This Row],[BO UNIT TRANSFER]],LS[[#Headers],[Investor ID]]:LS[[#This Row],[Investor ID]],LS[[#This Row],[Investor ID]])</f>
        <v>0</v>
      </c>
    </row>
    <row r="7" spans="1:24">
      <c r="A7" s="75">
        <v>2023</v>
      </c>
      <c r="B7" s="75">
        <v>1</v>
      </c>
      <c r="C7" s="75">
        <v>19</v>
      </c>
      <c r="D7" s="81">
        <f>DATE(LS[[#This Row],[Year]],LS[[#This Row],[Month]],LS[[#This Row],[Day]])</f>
        <v>44945</v>
      </c>
      <c r="E7" t="str" cm="1">
        <f t="array" ref="E7">INDEX(INVESTORS_LIST[INVESTOR NAME],MATCH(LS[[#This Row],[Investor ID]],INVESTORS_LIST[INVESTOR CODE],0),)</f>
        <v>RITA RANI GHOSH</v>
      </c>
      <c r="F7" s="83" t="s">
        <v>934</v>
      </c>
      <c r="G7" s="75">
        <f>COUNTIF(LS[[#Headers],[Investor ID]]:LS[[#This Row],[Investor ID]],LS[[#This Row],[Investor ID]])</f>
        <v>1</v>
      </c>
      <c r="H7" s="75" t="str">
        <f>CONCATENATE(LS[[#This Row],[Frequency]],LS[[#This Row],[Investor ID]])</f>
        <v>1A00444</v>
      </c>
      <c r="I7" s="75" t="str">
        <f>IF(LS[[#This Row],[B/S]]="B","BUY",(IF(LS[[#This Row],[B/S]]="S","SELL"," ")))</f>
        <v>BUY</v>
      </c>
      <c r="J7" s="75" t="s">
        <v>1229</v>
      </c>
      <c r="K7" s="88">
        <v>200000</v>
      </c>
      <c r="L7" s="88"/>
      <c r="M7" s="89">
        <f>LS[[#This Row],[Amount]]/LS[[#This Row],[Unit]]</f>
        <v>10</v>
      </c>
      <c r="N7" s="90">
        <f>LS[[#This Row],[Unit Capital]]/10</f>
        <v>20000</v>
      </c>
      <c r="O7" s="90">
        <f>SUMIFS(LS[[#Headers],[Unit]]:LS[[#This Row],[Unit]],LS[[#Headers],[Investor ID]]:LS[[#This Row],[Investor ID]],LS[[#This Row],[Investor ID]])</f>
        <v>20000</v>
      </c>
      <c r="P7" s="96">
        <v>200000</v>
      </c>
      <c r="Q7" s="48">
        <f>LS[[#This Row],[Amount]]-LS[[#This Row],[Unit Capital]]</f>
        <v>0</v>
      </c>
      <c r="R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7" s="89">
        <f t="shared" si="0"/>
        <v>14.224</v>
      </c>
      <c r="T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" s="96" cm="1">
        <f t="array" ref="U7">IF(LS[[#This Row],[B/S]]="S",ABS(LS[[#This Row],[Unit]])*(INDEX(LS[NAV at Cost (Average)],MATCH(CONCATENATE((LS[[#This Row],[Frequency]]-1),LS[[#This Row],[Investor ID]]),LS[Unique Code],0),0)),0)</f>
        <v>0</v>
      </c>
      <c r="V7" s="96">
        <f>IF(LS[[#This Row],[BO TRANSFER]]="YES",LS[[#This Row],[Unit]],)</f>
        <v>0</v>
      </c>
      <c r="W7" s="96">
        <f>SUMIFS(LS[[#Headers],[BO UNIT TRANSFER]]:LS[[#This Row],[BO UNIT TRANSFER]],LS[[#Headers],[Investor ID]]:LS[[#This Row],[Investor ID]],LS[[#This Row],[Investor ID]])</f>
        <v>0</v>
      </c>
    </row>
    <row r="8" spans="1:24">
      <c r="A8" s="75">
        <v>2023</v>
      </c>
      <c r="B8" s="75">
        <v>1</v>
      </c>
      <c r="C8" s="75">
        <v>25</v>
      </c>
      <c r="D8" s="81">
        <f>DATE(LS[[#This Row],[Year]],LS[[#This Row],[Month]],LS[[#This Row],[Day]])</f>
        <v>44951</v>
      </c>
      <c r="E8" t="str" cm="1">
        <f t="array" ref="E8">INDEX(INVESTORS_LIST[INVESTOR NAME],MATCH(LS[[#This Row],[Investor ID]],INVESTORS_LIST[INVESTOR CODE],0),)</f>
        <v>MINHAJ UDDIN</v>
      </c>
      <c r="F8" s="83" t="s">
        <v>90</v>
      </c>
      <c r="G8" s="75">
        <f>COUNTIF(LS[[#Headers],[Investor ID]]:LS[[#This Row],[Investor ID]],LS[[#This Row],[Investor ID]])</f>
        <v>1</v>
      </c>
      <c r="H8" s="75" t="str">
        <f>CONCATENATE(LS[[#This Row],[Frequency]],LS[[#This Row],[Investor ID]])</f>
        <v>1A00022</v>
      </c>
      <c r="I8" s="75" t="str">
        <f>IF(LS[[#This Row],[B/S]]="B","BUY",(IF(LS[[#This Row],[B/S]]="S","SELL"," ")))</f>
        <v>BUY</v>
      </c>
      <c r="J8" s="75" t="s">
        <v>1229</v>
      </c>
      <c r="K8" s="88">
        <v>850000</v>
      </c>
      <c r="L8" s="88"/>
      <c r="M8" s="89">
        <f>LS[[#This Row],[Amount]]/LS[[#This Row],[Unit]]</f>
        <v>10</v>
      </c>
      <c r="N8" s="90">
        <f>LS[[#This Row],[Unit Capital]]/10</f>
        <v>85000</v>
      </c>
      <c r="O8" s="90">
        <f>SUMIFS(LS[[#Headers],[Unit]]:LS[[#This Row],[Unit]],LS[[#Headers],[Investor ID]]:LS[[#This Row],[Investor ID]],LS[[#This Row],[Investor ID]])</f>
        <v>85000</v>
      </c>
      <c r="P8" s="96">
        <v>850000</v>
      </c>
      <c r="Q8" s="48">
        <f>LS[[#This Row],[Amount]]-LS[[#This Row],[Unit Capital]]</f>
        <v>0</v>
      </c>
      <c r="R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8" s="89">
        <f t="shared" si="0"/>
        <v>14.224</v>
      </c>
      <c r="T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" s="96" cm="1">
        <f t="array" ref="U8">IF(LS[[#This Row],[B/S]]="S",ABS(LS[[#This Row],[Unit]])*(INDEX(LS[NAV at Cost (Average)],MATCH(CONCATENATE((LS[[#This Row],[Frequency]]-1),LS[[#This Row],[Investor ID]]),LS[Unique Code],0),0)),0)</f>
        <v>0</v>
      </c>
      <c r="V8" s="96">
        <f>IF(LS[[#This Row],[BO TRANSFER]]="YES",LS[[#This Row],[Unit]],)</f>
        <v>0</v>
      </c>
      <c r="W8" s="96">
        <f>SUMIFS(LS[[#Headers],[BO UNIT TRANSFER]]:LS[[#This Row],[BO UNIT TRANSFER]],LS[[#Headers],[Investor ID]]:LS[[#This Row],[Investor ID]],LS[[#This Row],[Investor ID]])</f>
        <v>0</v>
      </c>
    </row>
    <row r="9" spans="1:24">
      <c r="A9" s="75">
        <v>2023</v>
      </c>
      <c r="B9" s="75">
        <v>1</v>
      </c>
      <c r="C9" s="75">
        <v>26</v>
      </c>
      <c r="D9" s="81">
        <f>DATE(LS[[#This Row],[Year]],LS[[#This Row],[Month]],LS[[#This Row],[Day]])</f>
        <v>44952</v>
      </c>
      <c r="E9" t="str" cm="1">
        <f t="array" ref="E9">INDEX(INVESTORS_LIST[INVESTOR NAME],MATCH(LS[[#This Row],[Investor ID]],INVESTORS_LIST[INVESTOR CODE],0),)</f>
        <v>NITYANANDA BISWAS</v>
      </c>
      <c r="F9" s="83" t="s">
        <v>554</v>
      </c>
      <c r="G9" s="75">
        <f>COUNTIF(LS[[#Headers],[Investor ID]]:LS[[#This Row],[Investor ID]],LS[[#This Row],[Investor ID]])</f>
        <v>1</v>
      </c>
      <c r="H9" s="75" t="str">
        <f>CONCATENATE(LS[[#This Row],[Frequency]],LS[[#This Row],[Investor ID]])</f>
        <v>1A00252</v>
      </c>
      <c r="I9" s="75" t="str">
        <f>IF(LS[[#This Row],[B/S]]="B","BUY",(IF(LS[[#This Row],[B/S]]="S","SELL"," ")))</f>
        <v>BUY</v>
      </c>
      <c r="J9" s="75" t="s">
        <v>1229</v>
      </c>
      <c r="K9" s="88">
        <v>700000</v>
      </c>
      <c r="L9" s="88"/>
      <c r="M9" s="89">
        <f>LS[[#This Row],[Amount]]/LS[[#This Row],[Unit]]</f>
        <v>10</v>
      </c>
      <c r="N9" s="90">
        <f>LS[[#This Row],[Unit Capital]]/10</f>
        <v>70000</v>
      </c>
      <c r="O9" s="90">
        <f>SUMIFS(LS[[#Headers],[Unit]]:LS[[#This Row],[Unit]],LS[[#Headers],[Investor ID]]:LS[[#This Row],[Investor ID]],LS[[#This Row],[Investor ID]])</f>
        <v>70000</v>
      </c>
      <c r="P9" s="96">
        <v>700000</v>
      </c>
      <c r="Q9" s="48">
        <f>LS[[#This Row],[Amount]]-LS[[#This Row],[Unit Capital]]</f>
        <v>0</v>
      </c>
      <c r="R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9" s="89">
        <f t="shared" si="0"/>
        <v>14.224</v>
      </c>
      <c r="T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" s="96" cm="1">
        <f t="array" ref="U9">IF(LS[[#This Row],[B/S]]="S",ABS(LS[[#This Row],[Unit]])*(INDEX(LS[NAV at Cost (Average)],MATCH(CONCATENATE((LS[[#This Row],[Frequency]]-1),LS[[#This Row],[Investor ID]]),LS[Unique Code],0),0)),0)</f>
        <v>0</v>
      </c>
      <c r="V9" s="96">
        <f>IF(LS[[#This Row],[BO TRANSFER]]="YES",LS[[#This Row],[Unit]],)</f>
        <v>0</v>
      </c>
      <c r="W9" s="96">
        <f>SUMIFS(LS[[#Headers],[BO UNIT TRANSFER]]:LS[[#This Row],[BO UNIT TRANSFER]],LS[[#Headers],[Investor ID]]:LS[[#This Row],[Investor ID]],LS[[#This Row],[Investor ID]])</f>
        <v>0</v>
      </c>
    </row>
    <row r="10" spans="1:24">
      <c r="A10" s="75">
        <v>2023</v>
      </c>
      <c r="B10" s="75">
        <v>2</v>
      </c>
      <c r="C10" s="75">
        <v>5</v>
      </c>
      <c r="D10" s="81">
        <f>DATE(LS[[#This Row],[Year]],LS[[#This Row],[Month]],LS[[#This Row],[Day]])</f>
        <v>44962</v>
      </c>
      <c r="E10" t="str" cm="1">
        <f t="array" ref="E10">INDEX(INVESTORS_LIST[INVESTOR NAME],MATCH(LS[[#This Row],[Investor ID]],INVESTORS_LIST[INVESTOR CODE],0),)</f>
        <v>SAILA SATTER</v>
      </c>
      <c r="F10" s="83" t="s">
        <v>389</v>
      </c>
      <c r="G10" s="75">
        <f>COUNTIF(LS[[#Headers],[Investor ID]]:LS[[#This Row],[Investor ID]],LS[[#This Row],[Investor ID]])</f>
        <v>1</v>
      </c>
      <c r="H10" s="75" t="str">
        <f>CONCATENATE(LS[[#This Row],[Frequency]],LS[[#This Row],[Investor ID]])</f>
        <v>1A00170</v>
      </c>
      <c r="I10" s="75" t="str">
        <f>IF(LS[[#This Row],[B/S]]="B","BUY",(IF(LS[[#This Row],[B/S]]="S","SELL"," ")))</f>
        <v>BUY</v>
      </c>
      <c r="J10" s="75" t="s">
        <v>1229</v>
      </c>
      <c r="K10" s="88">
        <v>800000</v>
      </c>
      <c r="L10" s="88"/>
      <c r="M10" s="89">
        <f>LS[[#This Row],[Amount]]/LS[[#This Row],[Unit]]</f>
        <v>10</v>
      </c>
      <c r="N10" s="90">
        <f>LS[[#This Row],[Unit Capital]]/10</f>
        <v>80000</v>
      </c>
      <c r="O10" s="90">
        <f>SUMIFS(LS[[#Headers],[Unit]]:LS[[#This Row],[Unit]],LS[[#Headers],[Investor ID]]:LS[[#This Row],[Investor ID]],LS[[#This Row],[Investor ID]])</f>
        <v>80000</v>
      </c>
      <c r="P10" s="96">
        <v>800000</v>
      </c>
      <c r="Q10" s="48">
        <f>LS[[#This Row],[Amount]]-LS[[#This Row],[Unit Capital]]</f>
        <v>0</v>
      </c>
      <c r="R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0" s="89">
        <f t="shared" si="0"/>
        <v>14.224</v>
      </c>
      <c r="T1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" s="96" cm="1">
        <f t="array" ref="U10">IF(LS[[#This Row],[B/S]]="S",ABS(LS[[#This Row],[Unit]])*(INDEX(LS[NAV at Cost (Average)],MATCH(CONCATENATE((LS[[#This Row],[Frequency]]-1),LS[[#This Row],[Investor ID]]),LS[Unique Code],0),0)),0)</f>
        <v>0</v>
      </c>
      <c r="V10" s="96">
        <f>IF(LS[[#This Row],[BO TRANSFER]]="YES",LS[[#This Row],[Unit]],)</f>
        <v>0</v>
      </c>
      <c r="W10" s="96">
        <f>SUMIFS(LS[[#Headers],[BO UNIT TRANSFER]]:LS[[#This Row],[BO UNIT TRANSFER]],LS[[#Headers],[Investor ID]]:LS[[#This Row],[Investor ID]],LS[[#This Row],[Investor ID]])</f>
        <v>0</v>
      </c>
    </row>
    <row r="11" spans="1:24">
      <c r="A11" s="75">
        <v>2023</v>
      </c>
      <c r="B11" s="75">
        <v>2</v>
      </c>
      <c r="C11" s="75">
        <v>7</v>
      </c>
      <c r="D11" s="81">
        <f>DATE(LS[[#This Row],[Year]],LS[[#This Row],[Month]],LS[[#This Row],[Day]])</f>
        <v>44964</v>
      </c>
      <c r="E11" t="str" cm="1">
        <f t="array" ref="E11">INDEX(INVESTORS_LIST[INVESTOR NAME],MATCH(LS[[#This Row],[Investor ID]],INVESTORS_LIST[INVESTOR CODE],0),)</f>
        <v>FAHMIDA SAEED SAKI</v>
      </c>
      <c r="F11" s="83" t="s">
        <v>936</v>
      </c>
      <c r="G11" s="75">
        <f>COUNTIF(LS[[#Headers],[Investor ID]]:LS[[#This Row],[Investor ID]],LS[[#This Row],[Investor ID]])</f>
        <v>1</v>
      </c>
      <c r="H11" s="75" t="str">
        <f>CONCATENATE(LS[[#This Row],[Frequency]],LS[[#This Row],[Investor ID]])</f>
        <v>1A00445</v>
      </c>
      <c r="I11" s="75" t="str">
        <f>IF(LS[[#This Row],[B/S]]="B","BUY",(IF(LS[[#This Row],[B/S]]="S","SELL"," ")))</f>
        <v>BUY</v>
      </c>
      <c r="J11" s="75" t="s">
        <v>1229</v>
      </c>
      <c r="K11" s="88">
        <v>100000</v>
      </c>
      <c r="L11" s="88"/>
      <c r="M11" s="89">
        <f>LS[[#This Row],[Amount]]/LS[[#This Row],[Unit]]</f>
        <v>10</v>
      </c>
      <c r="N11" s="90">
        <f>LS[[#This Row],[Unit Capital]]/10</f>
        <v>10000</v>
      </c>
      <c r="O11" s="90">
        <f>SUMIFS(LS[[#Headers],[Unit]]:LS[[#This Row],[Unit]],LS[[#Headers],[Investor ID]]:LS[[#This Row],[Investor ID]],LS[[#This Row],[Investor ID]])</f>
        <v>10000</v>
      </c>
      <c r="P11" s="96">
        <v>100000</v>
      </c>
      <c r="Q11" s="48">
        <f>LS[[#This Row],[Amount]]-LS[[#This Row],[Unit Capital]]</f>
        <v>0</v>
      </c>
      <c r="R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1" s="89">
        <f t="shared" si="0"/>
        <v>14.224</v>
      </c>
      <c r="T1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" s="96" cm="1">
        <f t="array" ref="U11">IF(LS[[#This Row],[B/S]]="S",ABS(LS[[#This Row],[Unit]])*(INDEX(LS[NAV at Cost (Average)],MATCH(CONCATENATE((LS[[#This Row],[Frequency]]-1),LS[[#This Row],[Investor ID]]),LS[Unique Code],0),0)),0)</f>
        <v>0</v>
      </c>
      <c r="V11" s="96">
        <f>IF(LS[[#This Row],[BO TRANSFER]]="YES",LS[[#This Row],[Unit]],)</f>
        <v>0</v>
      </c>
      <c r="W11" s="96">
        <f>SUMIFS(LS[[#Headers],[BO UNIT TRANSFER]]:LS[[#This Row],[BO UNIT TRANSFER]],LS[[#Headers],[Investor ID]]:LS[[#This Row],[Investor ID]],LS[[#This Row],[Investor ID]])</f>
        <v>0</v>
      </c>
    </row>
    <row r="12" spans="1:24">
      <c r="A12" s="75">
        <v>2023</v>
      </c>
      <c r="B12" s="75">
        <v>2</v>
      </c>
      <c r="C12" s="75">
        <v>7</v>
      </c>
      <c r="D12" s="81">
        <f>DATE(LS[[#This Row],[Year]],LS[[#This Row],[Month]],LS[[#This Row],[Day]])</f>
        <v>44964</v>
      </c>
      <c r="E12" t="str" cm="1">
        <f t="array" ref="E12">INDEX(INVESTORS_LIST[INVESTOR NAME],MATCH(LS[[#This Row],[Investor ID]],INVESTORS_LIST[INVESTOR CODE],0),)</f>
        <v>SATINATH GHOSH</v>
      </c>
      <c r="F12" s="83" t="s">
        <v>348</v>
      </c>
      <c r="G12" s="75">
        <f>COUNTIF(LS[[#Headers],[Investor ID]]:LS[[#This Row],[Investor ID]],LS[[#This Row],[Investor ID]])</f>
        <v>1</v>
      </c>
      <c r="H12" s="75" t="str">
        <f>CONCATENATE(LS[[#This Row],[Frequency]],LS[[#This Row],[Investor ID]])</f>
        <v>1A00150</v>
      </c>
      <c r="I12" s="75" t="str">
        <f>IF(LS[[#This Row],[B/S]]="B","BUY",(IF(LS[[#This Row],[B/S]]="S","SELL"," ")))</f>
        <v>BUY</v>
      </c>
      <c r="J12" s="75" t="s">
        <v>1229</v>
      </c>
      <c r="K12" s="88">
        <v>100000</v>
      </c>
      <c r="L12" s="88"/>
      <c r="M12" s="89">
        <f>LS[[#This Row],[Amount]]/LS[[#This Row],[Unit]]</f>
        <v>10</v>
      </c>
      <c r="N12" s="90">
        <f>LS[[#This Row],[Unit Capital]]/10</f>
        <v>10000</v>
      </c>
      <c r="O12" s="90">
        <f>SUMIFS(LS[[#Headers],[Unit]]:LS[[#This Row],[Unit]],LS[[#Headers],[Investor ID]]:LS[[#This Row],[Investor ID]],LS[[#This Row],[Investor ID]])</f>
        <v>10000</v>
      </c>
      <c r="P12" s="96">
        <v>100000</v>
      </c>
      <c r="Q12" s="48">
        <f>LS[[#This Row],[Amount]]-LS[[#This Row],[Unit Capital]]</f>
        <v>0</v>
      </c>
      <c r="R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2" s="89">
        <f t="shared" si="0"/>
        <v>14.224</v>
      </c>
      <c r="T1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" s="96" cm="1">
        <f t="array" ref="U12">IF(LS[[#This Row],[B/S]]="S",ABS(LS[[#This Row],[Unit]])*(INDEX(LS[NAV at Cost (Average)],MATCH(CONCATENATE((LS[[#This Row],[Frequency]]-1),LS[[#This Row],[Investor ID]]),LS[Unique Code],0),0)),0)</f>
        <v>0</v>
      </c>
      <c r="V12" s="96">
        <f>IF(LS[[#This Row],[BO TRANSFER]]="YES",LS[[#This Row],[Unit]],)</f>
        <v>0</v>
      </c>
      <c r="W12" s="96">
        <f>SUMIFS(LS[[#Headers],[BO UNIT TRANSFER]]:LS[[#This Row],[BO UNIT TRANSFER]],LS[[#Headers],[Investor ID]]:LS[[#This Row],[Investor ID]],LS[[#This Row],[Investor ID]])</f>
        <v>0</v>
      </c>
    </row>
    <row r="13" spans="1:24">
      <c r="A13" s="75">
        <v>2023</v>
      </c>
      <c r="B13" s="75">
        <v>2</v>
      </c>
      <c r="C13" s="75">
        <v>8</v>
      </c>
      <c r="D13" s="81">
        <f>DATE(LS[[#This Row],[Year]],LS[[#This Row],[Month]],LS[[#This Row],[Day]])</f>
        <v>44965</v>
      </c>
      <c r="E13" t="str" cm="1">
        <f t="array" ref="E13">INDEX(INVESTORS_LIST[INVESTOR NAME],MATCH(LS[[#This Row],[Investor ID]],INVESTORS_LIST[INVESTOR CODE],0),)</f>
        <v>MOHAMMAD PARVEZ RANA</v>
      </c>
      <c r="F13" s="83" t="s">
        <v>940</v>
      </c>
      <c r="G13" s="75">
        <f>COUNTIF(LS[[#Headers],[Investor ID]]:LS[[#This Row],[Investor ID]],LS[[#This Row],[Investor ID]])</f>
        <v>1</v>
      </c>
      <c r="H13" s="75" t="str">
        <f>CONCATENATE(LS[[#This Row],[Frequency]],LS[[#This Row],[Investor ID]])</f>
        <v>1A00447</v>
      </c>
      <c r="I13" s="75" t="str">
        <f>IF(LS[[#This Row],[B/S]]="B","BUY",(IF(LS[[#This Row],[B/S]]="S","SELL"," ")))</f>
        <v>BUY</v>
      </c>
      <c r="J13" s="75" t="s">
        <v>1229</v>
      </c>
      <c r="K13" s="88">
        <v>200000</v>
      </c>
      <c r="L13" s="88"/>
      <c r="M13" s="89">
        <f>LS[[#This Row],[Amount]]/LS[[#This Row],[Unit]]</f>
        <v>10</v>
      </c>
      <c r="N13" s="90">
        <f>LS[[#This Row],[Unit Capital]]/10</f>
        <v>20000</v>
      </c>
      <c r="O13" s="90">
        <f>SUMIFS(LS[[#Headers],[Unit]]:LS[[#This Row],[Unit]],LS[[#Headers],[Investor ID]]:LS[[#This Row],[Investor ID]],LS[[#This Row],[Investor ID]])</f>
        <v>20000</v>
      </c>
      <c r="P13" s="96">
        <v>200000</v>
      </c>
      <c r="Q13" s="48">
        <f>LS[[#This Row],[Amount]]-LS[[#This Row],[Unit Capital]]</f>
        <v>0</v>
      </c>
      <c r="R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3" s="89">
        <f t="shared" si="0"/>
        <v>14.224</v>
      </c>
      <c r="T1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" s="96" cm="1">
        <f t="array" ref="U13">IF(LS[[#This Row],[B/S]]="S",ABS(LS[[#This Row],[Unit]])*(INDEX(LS[NAV at Cost (Average)],MATCH(CONCATENATE((LS[[#This Row],[Frequency]]-1),LS[[#This Row],[Investor ID]]),LS[Unique Code],0),0)),0)</f>
        <v>0</v>
      </c>
      <c r="V13" s="96">
        <f>IF(LS[[#This Row],[BO TRANSFER]]="YES",LS[[#This Row],[Unit]],)</f>
        <v>0</v>
      </c>
      <c r="W13" s="96">
        <f>SUMIFS(LS[[#Headers],[BO UNIT TRANSFER]]:LS[[#This Row],[BO UNIT TRANSFER]],LS[[#Headers],[Investor ID]]:LS[[#This Row],[Investor ID]],LS[[#This Row],[Investor ID]])</f>
        <v>0</v>
      </c>
    </row>
    <row r="14" spans="1:24">
      <c r="A14" s="75">
        <v>2023</v>
      </c>
      <c r="B14" s="75">
        <v>2</v>
      </c>
      <c r="C14" s="75">
        <v>9</v>
      </c>
      <c r="D14" s="81">
        <f>DATE(LS[[#This Row],[Year]],LS[[#This Row],[Month]],LS[[#This Row],[Day]])</f>
        <v>44966</v>
      </c>
      <c r="E14" t="str" cm="1">
        <f t="array" ref="E14">INDEX(INVESTORS_LIST[INVESTOR NAME],MATCH(LS[[#This Row],[Investor ID]],INVESTORS_LIST[INVESTOR CODE],0),)</f>
        <v>SULTANA RAZIA</v>
      </c>
      <c r="F14" s="83" t="s">
        <v>511</v>
      </c>
      <c r="G14" s="75">
        <f>COUNTIF(LS[[#Headers],[Investor ID]]:LS[[#This Row],[Investor ID]],LS[[#This Row],[Investor ID]])</f>
        <v>1</v>
      </c>
      <c r="H14" s="75" t="str">
        <f>CONCATENATE(LS[[#This Row],[Frequency]],LS[[#This Row],[Investor ID]])</f>
        <v>1A00231</v>
      </c>
      <c r="I14" s="75" t="str">
        <f>IF(LS[[#This Row],[B/S]]="B","BUY",(IF(LS[[#This Row],[B/S]]="S","SELL"," ")))</f>
        <v>BUY</v>
      </c>
      <c r="J14" s="75" t="s">
        <v>1229</v>
      </c>
      <c r="K14" s="88">
        <v>1000000</v>
      </c>
      <c r="L14" s="88"/>
      <c r="M14" s="89">
        <f>LS[[#This Row],[Amount]]/LS[[#This Row],[Unit]]</f>
        <v>10</v>
      </c>
      <c r="N14" s="90">
        <f>LS[[#This Row],[Unit Capital]]/10</f>
        <v>100000</v>
      </c>
      <c r="O14" s="90">
        <f>SUMIFS(LS[[#Headers],[Unit]]:LS[[#This Row],[Unit]],LS[[#Headers],[Investor ID]]:LS[[#This Row],[Investor ID]],LS[[#This Row],[Investor ID]])</f>
        <v>100000</v>
      </c>
      <c r="P14" s="96">
        <v>1000000</v>
      </c>
      <c r="Q14" s="48">
        <f>LS[[#This Row],[Amount]]-LS[[#This Row],[Unit Capital]]</f>
        <v>0</v>
      </c>
      <c r="R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4" s="89">
        <f t="shared" si="0"/>
        <v>14.224</v>
      </c>
      <c r="T1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" s="96" cm="1">
        <f t="array" ref="U14">IF(LS[[#This Row],[B/S]]="S",ABS(LS[[#This Row],[Unit]])*(INDEX(LS[NAV at Cost (Average)],MATCH(CONCATENATE((LS[[#This Row],[Frequency]]-1),LS[[#This Row],[Investor ID]]),LS[Unique Code],0),0)),0)</f>
        <v>0</v>
      </c>
      <c r="V14" s="96">
        <f>IF(LS[[#This Row],[BO TRANSFER]]="YES",LS[[#This Row],[Unit]],)</f>
        <v>0</v>
      </c>
      <c r="W14" s="96">
        <f>SUMIFS(LS[[#Headers],[BO UNIT TRANSFER]]:LS[[#This Row],[BO UNIT TRANSFER]],LS[[#Headers],[Investor ID]]:LS[[#This Row],[Investor ID]],LS[[#This Row],[Investor ID]])</f>
        <v>0</v>
      </c>
    </row>
    <row r="15" spans="1:24">
      <c r="A15" s="75">
        <v>2023</v>
      </c>
      <c r="B15" s="75">
        <v>2</v>
      </c>
      <c r="C15" s="75">
        <v>13</v>
      </c>
      <c r="D15" s="81">
        <f>DATE(LS[[#This Row],[Year]],LS[[#This Row],[Month]],LS[[#This Row],[Day]])</f>
        <v>44970</v>
      </c>
      <c r="E15" t="str" cm="1">
        <f t="array" ref="E15">INDEX(INVESTORS_LIST[INVESTOR NAME],MATCH(LS[[#This Row],[Investor ID]],INVESTORS_LIST[INVESTOR CODE],0),)</f>
        <v>RABIA AFROZA</v>
      </c>
      <c r="F15" s="83" t="s">
        <v>942</v>
      </c>
      <c r="G15" s="75">
        <f>COUNTIF(LS[[#Headers],[Investor ID]]:LS[[#This Row],[Investor ID]],LS[[#This Row],[Investor ID]])</f>
        <v>1</v>
      </c>
      <c r="H15" s="75" t="str">
        <f>CONCATENATE(LS[[#This Row],[Frequency]],LS[[#This Row],[Investor ID]])</f>
        <v>1A00448</v>
      </c>
      <c r="I15" s="75" t="str">
        <f>IF(LS[[#This Row],[B/S]]="B","BUY",(IF(LS[[#This Row],[B/S]]="S","SELL"," ")))</f>
        <v>BUY</v>
      </c>
      <c r="J15" s="75" t="s">
        <v>1229</v>
      </c>
      <c r="K15" s="88">
        <v>1500000</v>
      </c>
      <c r="L15" s="88"/>
      <c r="M15" s="89">
        <f>LS[[#This Row],[Amount]]/LS[[#This Row],[Unit]]</f>
        <v>10</v>
      </c>
      <c r="N15" s="90">
        <f>LS[[#This Row],[Unit Capital]]/10</f>
        <v>150000</v>
      </c>
      <c r="O15" s="90">
        <f>SUMIFS(LS[[#Headers],[Unit]]:LS[[#This Row],[Unit]],LS[[#Headers],[Investor ID]]:LS[[#This Row],[Investor ID]],LS[[#This Row],[Investor ID]])</f>
        <v>150000</v>
      </c>
      <c r="P15" s="96">
        <v>1500000</v>
      </c>
      <c r="Q15" s="48">
        <f>LS[[#This Row],[Amount]]-LS[[#This Row],[Unit Capital]]</f>
        <v>0</v>
      </c>
      <c r="R1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5" s="89">
        <f t="shared" si="0"/>
        <v>14.224</v>
      </c>
      <c r="T1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" s="96" cm="1">
        <f t="array" ref="U15">IF(LS[[#This Row],[B/S]]="S",ABS(LS[[#This Row],[Unit]])*(INDEX(LS[NAV at Cost (Average)],MATCH(CONCATENATE((LS[[#This Row],[Frequency]]-1),LS[[#This Row],[Investor ID]]),LS[Unique Code],0),0)),0)</f>
        <v>0</v>
      </c>
      <c r="V15" s="96">
        <f>IF(LS[[#This Row],[BO TRANSFER]]="YES",LS[[#This Row],[Unit]],)</f>
        <v>0</v>
      </c>
      <c r="W15" s="96">
        <f>SUMIFS(LS[[#Headers],[BO UNIT TRANSFER]]:LS[[#This Row],[BO UNIT TRANSFER]],LS[[#Headers],[Investor ID]]:LS[[#This Row],[Investor ID]],LS[[#This Row],[Investor ID]])</f>
        <v>0</v>
      </c>
    </row>
    <row r="16" spans="1:24">
      <c r="A16" s="75">
        <v>2023</v>
      </c>
      <c r="B16" s="75">
        <v>2</v>
      </c>
      <c r="C16" s="75">
        <v>14</v>
      </c>
      <c r="D16" s="81">
        <f>DATE(LS[[#This Row],[Year]],LS[[#This Row],[Month]],LS[[#This Row],[Day]])</f>
        <v>44971</v>
      </c>
      <c r="E16" t="str" cm="1">
        <f t="array" ref="E16">INDEX(INVESTORS_LIST[INVESTOR NAME],MATCH(LS[[#This Row],[Investor ID]],INVESTORS_LIST[INVESTOR CODE],0),)</f>
        <v>SAMS SAIYADENA ZEESHA</v>
      </c>
      <c r="F16" s="83" t="s">
        <v>958</v>
      </c>
      <c r="G16" s="75">
        <f>COUNTIF(LS[[#Headers],[Investor ID]]:LS[[#This Row],[Investor ID]],LS[[#This Row],[Investor ID]])</f>
        <v>1</v>
      </c>
      <c r="H16" s="75" t="str">
        <f>CONCATENATE(LS[[#This Row],[Frequency]],LS[[#This Row],[Investor ID]])</f>
        <v>1A00456</v>
      </c>
      <c r="I16" s="75" t="str">
        <f>IF(LS[[#This Row],[B/S]]="B","BUY",(IF(LS[[#This Row],[B/S]]="S","SELL"," ")))</f>
        <v>BUY</v>
      </c>
      <c r="J16" s="75" t="s">
        <v>1229</v>
      </c>
      <c r="K16" s="88">
        <v>50000</v>
      </c>
      <c r="L16" s="88"/>
      <c r="M16" s="89">
        <f>LS[[#This Row],[Amount]]/LS[[#This Row],[Unit]]</f>
        <v>10</v>
      </c>
      <c r="N16" s="90">
        <f>LS[[#This Row],[Unit Capital]]/10</f>
        <v>5000</v>
      </c>
      <c r="O16" s="90">
        <f>SUMIFS(LS[[#Headers],[Unit]]:LS[[#This Row],[Unit]],LS[[#Headers],[Investor ID]]:LS[[#This Row],[Investor ID]],LS[[#This Row],[Investor ID]])</f>
        <v>5000</v>
      </c>
      <c r="P16" s="96">
        <v>50000</v>
      </c>
      <c r="Q16" s="48">
        <f>LS[[#This Row],[Amount]]-LS[[#This Row],[Unit Capital]]</f>
        <v>0</v>
      </c>
      <c r="R1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6" s="89">
        <f t="shared" si="0"/>
        <v>14.224</v>
      </c>
      <c r="T1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" s="96" cm="1">
        <f t="array" ref="U16">IF(LS[[#This Row],[B/S]]="S",ABS(LS[[#This Row],[Unit]])*(INDEX(LS[NAV at Cost (Average)],MATCH(CONCATENATE((LS[[#This Row],[Frequency]]-1),LS[[#This Row],[Investor ID]]),LS[Unique Code],0),0)),0)</f>
        <v>0</v>
      </c>
      <c r="V16" s="96">
        <f>IF(LS[[#This Row],[BO TRANSFER]]="YES",LS[[#This Row],[Unit]],)</f>
        <v>0</v>
      </c>
      <c r="W16" s="96">
        <f>SUMIFS(LS[[#Headers],[BO UNIT TRANSFER]]:LS[[#This Row],[BO UNIT TRANSFER]],LS[[#Headers],[Investor ID]]:LS[[#This Row],[Investor ID]],LS[[#This Row],[Investor ID]])</f>
        <v>0</v>
      </c>
    </row>
    <row r="17" spans="1:23">
      <c r="A17" s="75">
        <v>2023</v>
      </c>
      <c r="B17" s="75">
        <v>2</v>
      </c>
      <c r="C17" s="75">
        <v>14</v>
      </c>
      <c r="D17" s="81">
        <f>DATE(LS[[#This Row],[Year]],LS[[#This Row],[Month]],LS[[#This Row],[Day]])</f>
        <v>44971</v>
      </c>
      <c r="E17" t="str" cm="1">
        <f t="array" ref="E17">INDEX(INVESTORS_LIST[INVESTOR NAME],MATCH(LS[[#This Row],[Investor ID]],INVESTORS_LIST[INVESTOR CODE],0),)</f>
        <v>SAMS SAIYADENA ZEESHA</v>
      </c>
      <c r="F17" s="83" t="s">
        <v>958</v>
      </c>
      <c r="G17" s="75">
        <f>COUNTIF(LS[[#Headers],[Investor ID]]:LS[[#This Row],[Investor ID]],LS[[#This Row],[Investor ID]])</f>
        <v>2</v>
      </c>
      <c r="H17" s="75" t="str">
        <f>CONCATENATE(LS[[#This Row],[Frequency]],LS[[#This Row],[Investor ID]])</f>
        <v>2A00456</v>
      </c>
      <c r="I17" s="75" t="str">
        <f>IF(LS[[#This Row],[B/S]]="B","BUY",(IF(LS[[#This Row],[B/S]]="S","SELL"," ")))</f>
        <v>BUY</v>
      </c>
      <c r="J17" s="75" t="s">
        <v>1229</v>
      </c>
      <c r="K17" s="88">
        <v>20000</v>
      </c>
      <c r="L17" s="88"/>
      <c r="M17" s="89">
        <f>LS[[#This Row],[Amount]]/LS[[#This Row],[Unit]]</f>
        <v>10</v>
      </c>
      <c r="N17" s="90">
        <f>LS[[#This Row],[Unit Capital]]/10</f>
        <v>2000</v>
      </c>
      <c r="O17" s="90">
        <f>SUMIFS(LS[[#Headers],[Unit]]:LS[[#This Row],[Unit]],LS[[#Headers],[Investor ID]]:LS[[#This Row],[Investor ID]],LS[[#This Row],[Investor ID]])</f>
        <v>7000</v>
      </c>
      <c r="P17" s="96">
        <v>20000</v>
      </c>
      <c r="Q17" s="48">
        <f>LS[[#This Row],[Amount]]-LS[[#This Row],[Unit Capital]]</f>
        <v>0</v>
      </c>
      <c r="R1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7" s="89">
        <f t="shared" si="0"/>
        <v>14.224</v>
      </c>
      <c r="T1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" s="96" cm="1">
        <f t="array" ref="U17">IF(LS[[#This Row],[B/S]]="S",ABS(LS[[#This Row],[Unit]])*(INDEX(LS[NAV at Cost (Average)],MATCH(CONCATENATE((LS[[#This Row],[Frequency]]-1),LS[[#This Row],[Investor ID]]),LS[Unique Code],0),0)),0)</f>
        <v>0</v>
      </c>
      <c r="V17" s="96">
        <f>IF(LS[[#This Row],[BO TRANSFER]]="YES",LS[[#This Row],[Unit]],)</f>
        <v>0</v>
      </c>
      <c r="W17" s="96">
        <f>SUMIFS(LS[[#Headers],[BO UNIT TRANSFER]]:LS[[#This Row],[BO UNIT TRANSFER]],LS[[#Headers],[Investor ID]]:LS[[#This Row],[Investor ID]],LS[[#This Row],[Investor ID]])</f>
        <v>0</v>
      </c>
    </row>
    <row r="18" spans="1:23">
      <c r="A18" s="75">
        <v>2023</v>
      </c>
      <c r="B18" s="75">
        <v>2</v>
      </c>
      <c r="C18" s="75">
        <v>15</v>
      </c>
      <c r="D18" s="81">
        <f>DATE(LS[[#This Row],[Year]],LS[[#This Row],[Month]],LS[[#This Row],[Day]])</f>
        <v>44972</v>
      </c>
      <c r="E18" t="str" cm="1">
        <f t="array" ref="E18">INDEX(INVESTORS_LIST[INVESTOR NAME],MATCH(LS[[#This Row],[Investor ID]],INVESTORS_LIST[INVESTOR CODE],0),)</f>
        <v>KHAN MUHAMMAD KAWSER AHMED</v>
      </c>
      <c r="F18" s="83" t="s">
        <v>944</v>
      </c>
      <c r="G18" s="75">
        <f>COUNTIF(LS[[#Headers],[Investor ID]]:LS[[#This Row],[Investor ID]],LS[[#This Row],[Investor ID]])</f>
        <v>1</v>
      </c>
      <c r="H18" s="75" t="str">
        <f>CONCATENATE(LS[[#This Row],[Frequency]],LS[[#This Row],[Investor ID]])</f>
        <v>1A00449</v>
      </c>
      <c r="I18" s="75" t="str">
        <f>IF(LS[[#This Row],[B/S]]="B","BUY",(IF(LS[[#This Row],[B/S]]="S","SELL"," ")))</f>
        <v>BUY</v>
      </c>
      <c r="J18" s="75" t="s">
        <v>1229</v>
      </c>
      <c r="K18" s="88">
        <v>10000000</v>
      </c>
      <c r="L18" s="88"/>
      <c r="M18" s="89">
        <f>LS[[#This Row],[Amount]]/LS[[#This Row],[Unit]]</f>
        <v>10</v>
      </c>
      <c r="N18" s="90">
        <f>LS[[#This Row],[Unit Capital]]/10</f>
        <v>1000000</v>
      </c>
      <c r="O18" s="90">
        <f>SUMIFS(LS[[#Headers],[Unit]]:LS[[#This Row],[Unit]],LS[[#Headers],[Investor ID]]:LS[[#This Row],[Investor ID]],LS[[#This Row],[Investor ID]])</f>
        <v>1000000</v>
      </c>
      <c r="P18" s="96">
        <v>10000000</v>
      </c>
      <c r="Q18" s="48">
        <f>LS[[#This Row],[Amount]]-LS[[#This Row],[Unit Capital]]</f>
        <v>0</v>
      </c>
      <c r="R1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8" s="89">
        <f t="shared" si="0"/>
        <v>14.224</v>
      </c>
      <c r="T1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" s="96" cm="1">
        <f t="array" ref="U18">IF(LS[[#This Row],[B/S]]="S",ABS(LS[[#This Row],[Unit]])*(INDEX(LS[NAV at Cost (Average)],MATCH(CONCATENATE((LS[[#This Row],[Frequency]]-1),LS[[#This Row],[Investor ID]]),LS[Unique Code],0),0)),0)</f>
        <v>0</v>
      </c>
      <c r="V18" s="96">
        <f>IF(LS[[#This Row],[BO TRANSFER]]="YES",LS[[#This Row],[Unit]],)</f>
        <v>0</v>
      </c>
      <c r="W18" s="96">
        <f>SUMIFS(LS[[#Headers],[BO UNIT TRANSFER]]:LS[[#This Row],[BO UNIT TRANSFER]],LS[[#Headers],[Investor ID]]:LS[[#This Row],[Investor ID]],LS[[#This Row],[Investor ID]])</f>
        <v>0</v>
      </c>
    </row>
    <row r="19" spans="1:23">
      <c r="A19" s="75">
        <v>2023</v>
      </c>
      <c r="B19" s="75">
        <v>2</v>
      </c>
      <c r="C19" s="75">
        <v>15</v>
      </c>
      <c r="D19" s="81">
        <f>DATE(LS[[#This Row],[Year]],LS[[#This Row],[Month]],LS[[#This Row],[Day]])</f>
        <v>44972</v>
      </c>
      <c r="E19" t="str" cm="1">
        <f t="array" ref="E19">INDEX(INVESTORS_LIST[INVESTOR NAME],MATCH(LS[[#This Row],[Investor ID]],INVESTORS_LIST[INVESTOR CODE],0),)</f>
        <v>REKHA PARVIN</v>
      </c>
      <c r="F19" s="83" t="s">
        <v>946</v>
      </c>
      <c r="G19" s="75">
        <f>COUNTIF(LS[[#Headers],[Investor ID]]:LS[[#This Row],[Investor ID]],LS[[#This Row],[Investor ID]])</f>
        <v>1</v>
      </c>
      <c r="H19" s="75" t="str">
        <f>CONCATENATE(LS[[#This Row],[Frequency]],LS[[#This Row],[Investor ID]])</f>
        <v>1A00450</v>
      </c>
      <c r="I19" s="75" t="str">
        <f>IF(LS[[#This Row],[B/S]]="B","BUY",(IF(LS[[#This Row],[B/S]]="S","SELL"," ")))</f>
        <v>BUY</v>
      </c>
      <c r="J19" s="75" t="s">
        <v>1229</v>
      </c>
      <c r="K19" s="88">
        <v>500000</v>
      </c>
      <c r="L19" s="88"/>
      <c r="M19" s="89">
        <f>LS[[#This Row],[Amount]]/LS[[#This Row],[Unit]]</f>
        <v>10</v>
      </c>
      <c r="N19" s="90">
        <f>LS[[#This Row],[Unit Capital]]/10</f>
        <v>50000</v>
      </c>
      <c r="O19" s="90">
        <f>SUMIFS(LS[[#Headers],[Unit]]:LS[[#This Row],[Unit]],LS[[#Headers],[Investor ID]]:LS[[#This Row],[Investor ID]],LS[[#This Row],[Investor ID]])</f>
        <v>50000</v>
      </c>
      <c r="P19" s="96">
        <v>500000</v>
      </c>
      <c r="Q19" s="48">
        <f>LS[[#This Row],[Amount]]-LS[[#This Row],[Unit Capital]]</f>
        <v>0</v>
      </c>
      <c r="R1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9" s="89">
        <f t="shared" si="0"/>
        <v>14.224</v>
      </c>
      <c r="T1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" s="96" cm="1">
        <f t="array" ref="U19">IF(LS[[#This Row],[B/S]]="S",ABS(LS[[#This Row],[Unit]])*(INDEX(LS[NAV at Cost (Average)],MATCH(CONCATENATE((LS[[#This Row],[Frequency]]-1),LS[[#This Row],[Investor ID]]),LS[Unique Code],0),0)),0)</f>
        <v>0</v>
      </c>
      <c r="V19" s="96">
        <f>IF(LS[[#This Row],[BO TRANSFER]]="YES",LS[[#This Row],[Unit]],)</f>
        <v>0</v>
      </c>
      <c r="W19" s="96">
        <f>SUMIFS(LS[[#Headers],[BO UNIT TRANSFER]]:LS[[#This Row],[BO UNIT TRANSFER]],LS[[#Headers],[Investor ID]]:LS[[#This Row],[Investor ID]],LS[[#This Row],[Investor ID]])</f>
        <v>0</v>
      </c>
    </row>
    <row r="20" spans="1:23">
      <c r="A20" s="75">
        <v>2023</v>
      </c>
      <c r="B20" s="75">
        <v>2</v>
      </c>
      <c r="C20" s="75">
        <v>16</v>
      </c>
      <c r="D20" s="81">
        <f>DATE(LS[[#This Row],[Year]],LS[[#This Row],[Month]],LS[[#This Row],[Day]])</f>
        <v>44973</v>
      </c>
      <c r="E20" t="str" cm="1">
        <f t="array" ref="E20">INDEX(INVESTORS_LIST[INVESTOR NAME],MATCH(LS[[#This Row],[Investor ID]],INVESTORS_LIST[INVESTOR CODE],0),)</f>
        <v>SHAHRIAR MAHMOOD</v>
      </c>
      <c r="F20" s="83" t="s">
        <v>298</v>
      </c>
      <c r="G20" s="75">
        <f>COUNTIF(LS[[#Headers],[Investor ID]]:LS[[#This Row],[Investor ID]],LS[[#This Row],[Investor ID]])</f>
        <v>1</v>
      </c>
      <c r="H20" s="75" t="str">
        <f>CONCATENATE(LS[[#This Row],[Frequency]],LS[[#This Row],[Investor ID]])</f>
        <v>1A00125</v>
      </c>
      <c r="I20" s="75" t="str">
        <f>IF(LS[[#This Row],[B/S]]="B","BUY",(IF(LS[[#This Row],[B/S]]="S","SELL"," ")))</f>
        <v>BUY</v>
      </c>
      <c r="J20" s="75" t="s">
        <v>1229</v>
      </c>
      <c r="K20" s="88">
        <v>400000</v>
      </c>
      <c r="L20" s="88"/>
      <c r="M20" s="89">
        <f>LS[[#This Row],[Amount]]/LS[[#This Row],[Unit]]</f>
        <v>10</v>
      </c>
      <c r="N20" s="90">
        <f>LS[[#This Row],[Unit Capital]]/10</f>
        <v>40000</v>
      </c>
      <c r="O20" s="90">
        <f>SUMIFS(LS[[#Headers],[Unit]]:LS[[#This Row],[Unit]],LS[[#Headers],[Investor ID]]:LS[[#This Row],[Investor ID]],LS[[#This Row],[Investor ID]])</f>
        <v>40000</v>
      </c>
      <c r="P20" s="96">
        <v>400000</v>
      </c>
      <c r="Q20" s="48">
        <f>LS[[#This Row],[Amount]]-LS[[#This Row],[Unit Capital]]</f>
        <v>0</v>
      </c>
      <c r="R2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0" s="89">
        <f t="shared" si="0"/>
        <v>14.224</v>
      </c>
      <c r="T2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0" s="96" cm="1">
        <f t="array" ref="U20">IF(LS[[#This Row],[B/S]]="S",ABS(LS[[#This Row],[Unit]])*(INDEX(LS[NAV at Cost (Average)],MATCH(CONCATENATE((LS[[#This Row],[Frequency]]-1),LS[[#This Row],[Investor ID]]),LS[Unique Code],0),0)),0)</f>
        <v>0</v>
      </c>
      <c r="V20" s="96">
        <f>IF(LS[[#This Row],[BO TRANSFER]]="YES",LS[[#This Row],[Unit]],)</f>
        <v>0</v>
      </c>
      <c r="W20" s="96">
        <f>SUMIFS(LS[[#Headers],[BO UNIT TRANSFER]]:LS[[#This Row],[BO UNIT TRANSFER]],LS[[#Headers],[Investor ID]]:LS[[#This Row],[Investor ID]],LS[[#This Row],[Investor ID]])</f>
        <v>0</v>
      </c>
    </row>
    <row r="21" spans="1:23">
      <c r="A21" s="75">
        <v>2023</v>
      </c>
      <c r="B21" s="75">
        <v>2</v>
      </c>
      <c r="C21" s="75">
        <v>19</v>
      </c>
      <c r="D21" s="81">
        <f>DATE(LS[[#This Row],[Year]],LS[[#This Row],[Month]],LS[[#This Row],[Day]])</f>
        <v>44976</v>
      </c>
      <c r="E21" t="str" cm="1">
        <f t="array" ref="E21">INDEX(INVESTORS_LIST[INVESTOR NAME],MATCH(LS[[#This Row],[Investor ID]],INVESTORS_LIST[INVESTOR CODE],0),)</f>
        <v>ROYAL CAPITAL LIMITED</v>
      </c>
      <c r="F21" s="83" t="s">
        <v>950</v>
      </c>
      <c r="G21" s="75">
        <f>COUNTIF(LS[[#Headers],[Investor ID]]:LS[[#This Row],[Investor ID]],LS[[#This Row],[Investor ID]])</f>
        <v>1</v>
      </c>
      <c r="H21" s="75" t="str">
        <f>CONCATENATE(LS[[#This Row],[Frequency]],LS[[#This Row],[Investor ID]])</f>
        <v>1A00452</v>
      </c>
      <c r="I21" s="75" t="str">
        <f>IF(LS[[#This Row],[B/S]]="B","BUY",(IF(LS[[#This Row],[B/S]]="S","SELL"," ")))</f>
        <v>BUY</v>
      </c>
      <c r="J21" s="75" t="s">
        <v>1229</v>
      </c>
      <c r="K21" s="88">
        <v>1500000</v>
      </c>
      <c r="L21" s="88"/>
      <c r="M21" s="89">
        <f>LS[[#This Row],[Amount]]/LS[[#This Row],[Unit]]</f>
        <v>10</v>
      </c>
      <c r="N21" s="90">
        <f>LS[[#This Row],[Unit Capital]]/10</f>
        <v>150000</v>
      </c>
      <c r="O21" s="90">
        <f>SUMIFS(LS[[#Headers],[Unit]]:LS[[#This Row],[Unit]],LS[[#Headers],[Investor ID]]:LS[[#This Row],[Investor ID]],LS[[#This Row],[Investor ID]])</f>
        <v>150000</v>
      </c>
      <c r="P21" s="96">
        <v>1500000</v>
      </c>
      <c r="Q21" s="48">
        <f>LS[[#This Row],[Amount]]-LS[[#This Row],[Unit Capital]]</f>
        <v>0</v>
      </c>
      <c r="R2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1" s="89">
        <f t="shared" si="0"/>
        <v>14.224</v>
      </c>
      <c r="T2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" s="96" cm="1">
        <f t="array" ref="U21">IF(LS[[#This Row],[B/S]]="S",ABS(LS[[#This Row],[Unit]])*(INDEX(LS[NAV at Cost (Average)],MATCH(CONCATENATE((LS[[#This Row],[Frequency]]-1),LS[[#This Row],[Investor ID]]),LS[Unique Code],0),0)),0)</f>
        <v>0</v>
      </c>
      <c r="V21" s="96">
        <f>IF(LS[[#This Row],[BO TRANSFER]]="YES",LS[[#This Row],[Unit]],)</f>
        <v>0</v>
      </c>
      <c r="W21" s="96">
        <f>SUMIFS(LS[[#Headers],[BO UNIT TRANSFER]]:LS[[#This Row],[BO UNIT TRANSFER]],LS[[#Headers],[Investor ID]]:LS[[#This Row],[Investor ID]],LS[[#This Row],[Investor ID]])</f>
        <v>0</v>
      </c>
    </row>
    <row r="22" spans="1:23">
      <c r="A22" s="75">
        <v>2023</v>
      </c>
      <c r="B22" s="75">
        <v>2</v>
      </c>
      <c r="C22" s="75">
        <v>19</v>
      </c>
      <c r="D22" s="81">
        <f>DATE(LS[[#This Row],[Year]],LS[[#This Row],[Month]],LS[[#This Row],[Day]])</f>
        <v>44976</v>
      </c>
      <c r="E22" t="str" cm="1">
        <f t="array" ref="E22">INDEX(INVESTORS_LIST[INVESTOR NAME],MATCH(LS[[#This Row],[Investor ID]],INVESTORS_LIST[INVESTOR CODE],0),)</f>
        <v>MD. MAHMUDUL KABIR</v>
      </c>
      <c r="F22" s="83" t="s">
        <v>938</v>
      </c>
      <c r="G22" s="75">
        <f>COUNTIF(LS[[#Headers],[Investor ID]]:LS[[#This Row],[Investor ID]],LS[[#This Row],[Investor ID]])</f>
        <v>1</v>
      </c>
      <c r="H22" s="75" t="str">
        <f>CONCATENATE(LS[[#This Row],[Frequency]],LS[[#This Row],[Investor ID]])</f>
        <v>1A00446</v>
      </c>
      <c r="I22" s="75" t="str">
        <f>IF(LS[[#This Row],[B/S]]="B","BUY",(IF(LS[[#This Row],[B/S]]="S","SELL"," ")))</f>
        <v>BUY</v>
      </c>
      <c r="J22" s="75" t="s">
        <v>1229</v>
      </c>
      <c r="K22" s="88">
        <v>1000000</v>
      </c>
      <c r="L22" s="88"/>
      <c r="M22" s="89">
        <f>LS[[#This Row],[Amount]]/LS[[#This Row],[Unit]]</f>
        <v>10</v>
      </c>
      <c r="N22" s="90">
        <f>LS[[#This Row],[Unit Capital]]/10</f>
        <v>100000</v>
      </c>
      <c r="O22" s="90">
        <f>SUMIFS(LS[[#Headers],[Unit]]:LS[[#This Row],[Unit]],LS[[#Headers],[Investor ID]]:LS[[#This Row],[Investor ID]],LS[[#This Row],[Investor ID]])</f>
        <v>100000</v>
      </c>
      <c r="P22" s="96">
        <v>1000000</v>
      </c>
      <c r="Q22" s="48">
        <f>LS[[#This Row],[Amount]]-LS[[#This Row],[Unit Capital]]</f>
        <v>0</v>
      </c>
      <c r="R2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2" s="89">
        <f t="shared" si="0"/>
        <v>14.224</v>
      </c>
      <c r="T2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" s="96" cm="1">
        <f t="array" ref="U22">IF(LS[[#This Row],[B/S]]="S",ABS(LS[[#This Row],[Unit]])*(INDEX(LS[NAV at Cost (Average)],MATCH(CONCATENATE((LS[[#This Row],[Frequency]]-1),LS[[#This Row],[Investor ID]]),LS[Unique Code],0),0)),0)</f>
        <v>0</v>
      </c>
      <c r="V22" s="96">
        <f>IF(LS[[#This Row],[BO TRANSFER]]="YES",LS[[#This Row],[Unit]],)</f>
        <v>0</v>
      </c>
      <c r="W22" s="96">
        <f>SUMIFS(LS[[#Headers],[BO UNIT TRANSFER]]:LS[[#This Row],[BO UNIT TRANSFER]],LS[[#Headers],[Investor ID]]:LS[[#This Row],[Investor ID]],LS[[#This Row],[Investor ID]])</f>
        <v>0</v>
      </c>
    </row>
    <row r="23" spans="1:23">
      <c r="A23" s="75">
        <v>2023</v>
      </c>
      <c r="B23" s="75">
        <v>2</v>
      </c>
      <c r="C23" s="75">
        <v>19</v>
      </c>
      <c r="D23" s="81">
        <f>DATE(LS[[#This Row],[Year]],LS[[#This Row],[Month]],LS[[#This Row],[Day]])</f>
        <v>44976</v>
      </c>
      <c r="E23" t="str" cm="1">
        <f t="array" ref="E23">INDEX(INVESTORS_LIST[INVESTOR NAME],MATCH(LS[[#This Row],[Investor ID]],INVESTORS_LIST[INVESTOR CODE],0),)</f>
        <v>ANJANA SAHA</v>
      </c>
      <c r="F23" s="83" t="s">
        <v>73</v>
      </c>
      <c r="G23" s="75">
        <f>COUNTIF(LS[[#Headers],[Investor ID]]:LS[[#This Row],[Investor ID]],LS[[#This Row],[Investor ID]])</f>
        <v>1</v>
      </c>
      <c r="H23" s="75" t="str">
        <f>CONCATENATE(LS[[#This Row],[Frequency]],LS[[#This Row],[Investor ID]])</f>
        <v>1A00014</v>
      </c>
      <c r="I23" s="75" t="str">
        <f>IF(LS[[#This Row],[B/S]]="B","BUY",(IF(LS[[#This Row],[B/S]]="S","SELL"," ")))</f>
        <v>BUY</v>
      </c>
      <c r="J23" s="75" t="s">
        <v>1229</v>
      </c>
      <c r="K23" s="88">
        <v>1500000</v>
      </c>
      <c r="L23" s="88"/>
      <c r="M23" s="89">
        <f>LS[[#This Row],[Amount]]/LS[[#This Row],[Unit]]</f>
        <v>10</v>
      </c>
      <c r="N23" s="90">
        <f>LS[[#This Row],[Unit Capital]]/10</f>
        <v>150000</v>
      </c>
      <c r="O23" s="90">
        <f>SUMIFS(LS[[#Headers],[Unit]]:LS[[#This Row],[Unit]],LS[[#Headers],[Investor ID]]:LS[[#This Row],[Investor ID]],LS[[#This Row],[Investor ID]])</f>
        <v>150000</v>
      </c>
      <c r="P23" s="96">
        <v>1500000</v>
      </c>
      <c r="Q23" s="48">
        <f>LS[[#This Row],[Amount]]-LS[[#This Row],[Unit Capital]]</f>
        <v>0</v>
      </c>
      <c r="R2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3" s="89">
        <f t="shared" si="0"/>
        <v>14.224</v>
      </c>
      <c r="T2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" s="96" cm="1">
        <f t="array" ref="U23">IF(LS[[#This Row],[B/S]]="S",ABS(LS[[#This Row],[Unit]])*(INDEX(LS[NAV at Cost (Average)],MATCH(CONCATENATE((LS[[#This Row],[Frequency]]-1),LS[[#This Row],[Investor ID]]),LS[Unique Code],0),0)),0)</f>
        <v>0</v>
      </c>
      <c r="V23" s="96">
        <f>IF(LS[[#This Row],[BO TRANSFER]]="YES",LS[[#This Row],[Unit]],)</f>
        <v>0</v>
      </c>
      <c r="W23" s="96">
        <f>SUMIFS(LS[[#Headers],[BO UNIT TRANSFER]]:LS[[#This Row],[BO UNIT TRANSFER]],LS[[#Headers],[Investor ID]]:LS[[#This Row],[Investor ID]],LS[[#This Row],[Investor ID]])</f>
        <v>0</v>
      </c>
    </row>
    <row r="24" spans="1:23">
      <c r="A24" s="75">
        <v>2023</v>
      </c>
      <c r="B24" s="75">
        <v>2</v>
      </c>
      <c r="C24" s="75">
        <v>20</v>
      </c>
      <c r="D24" s="81">
        <f>DATE(LS[[#This Row],[Year]],LS[[#This Row],[Month]],LS[[#This Row],[Day]])</f>
        <v>44977</v>
      </c>
      <c r="E24" t="str" cm="1">
        <f t="array" ref="E24">INDEX(INVESTORS_LIST[INVESTOR NAME],MATCH(LS[[#This Row],[Investor ID]],INVESTORS_LIST[INVESTOR CODE],0),)</f>
        <v>HASIB MUSTABSIR</v>
      </c>
      <c r="F24" s="83" t="s">
        <v>437</v>
      </c>
      <c r="G24" s="75">
        <f>COUNTIF(LS[[#Headers],[Investor ID]]:LS[[#This Row],[Investor ID]],LS[[#This Row],[Investor ID]])</f>
        <v>1</v>
      </c>
      <c r="H24" s="75" t="str">
        <f>CONCATENATE(LS[[#This Row],[Frequency]],LS[[#This Row],[Investor ID]])</f>
        <v>1A00194</v>
      </c>
      <c r="I24" s="75" t="str">
        <f>IF(LS[[#This Row],[B/S]]="B","BUY",(IF(LS[[#This Row],[B/S]]="S","SELL"," ")))</f>
        <v>BUY</v>
      </c>
      <c r="J24" s="75" t="s">
        <v>1229</v>
      </c>
      <c r="K24" s="88">
        <v>2000000</v>
      </c>
      <c r="L24" s="88"/>
      <c r="M24" s="89">
        <f>LS[[#This Row],[Amount]]/LS[[#This Row],[Unit]]</f>
        <v>10</v>
      </c>
      <c r="N24" s="90">
        <f>LS[[#This Row],[Unit Capital]]/10</f>
        <v>200000</v>
      </c>
      <c r="O24" s="90">
        <f>SUMIFS(LS[[#Headers],[Unit]]:LS[[#This Row],[Unit]],LS[[#Headers],[Investor ID]]:LS[[#This Row],[Investor ID]],LS[[#This Row],[Investor ID]])</f>
        <v>200000</v>
      </c>
      <c r="P24" s="96">
        <v>2000000</v>
      </c>
      <c r="Q24" s="48">
        <f>LS[[#This Row],[Amount]]-LS[[#This Row],[Unit Capital]]</f>
        <v>0</v>
      </c>
      <c r="R2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4" s="89">
        <f t="shared" si="0"/>
        <v>14.224</v>
      </c>
      <c r="T2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" s="96" cm="1">
        <f t="array" ref="U24">IF(LS[[#This Row],[B/S]]="S",ABS(LS[[#This Row],[Unit]])*(INDEX(LS[NAV at Cost (Average)],MATCH(CONCATENATE((LS[[#This Row],[Frequency]]-1),LS[[#This Row],[Investor ID]]),LS[Unique Code],0),0)),0)</f>
        <v>0</v>
      </c>
      <c r="V24" s="96">
        <f>IF(LS[[#This Row],[BO TRANSFER]]="YES",LS[[#This Row],[Unit]],)</f>
        <v>0</v>
      </c>
      <c r="W24" s="96">
        <f>SUMIFS(LS[[#Headers],[BO UNIT TRANSFER]]:LS[[#This Row],[BO UNIT TRANSFER]],LS[[#Headers],[Investor ID]]:LS[[#This Row],[Investor ID]],LS[[#This Row],[Investor ID]])</f>
        <v>0</v>
      </c>
    </row>
    <row r="25" spans="1:23">
      <c r="A25" s="75">
        <v>2023</v>
      </c>
      <c r="B25" s="75">
        <v>2</v>
      </c>
      <c r="C25" s="75">
        <v>20</v>
      </c>
      <c r="D25" s="81">
        <f>DATE(LS[[#This Row],[Year]],LS[[#This Row],[Month]],LS[[#This Row],[Day]])</f>
        <v>44977</v>
      </c>
      <c r="E25" t="str" cm="1">
        <f t="array" ref="E25">INDEX(INVESTORS_LIST[INVESTOR NAME],MATCH(LS[[#This Row],[Investor ID]],INVESTORS_LIST[INVESTOR CODE],0),)</f>
        <v>TAPATI RANI DAS</v>
      </c>
      <c r="F25" s="83" t="s">
        <v>956</v>
      </c>
      <c r="G25" s="75">
        <f>COUNTIF(LS[[#Headers],[Investor ID]]:LS[[#This Row],[Investor ID]],LS[[#This Row],[Investor ID]])</f>
        <v>1</v>
      </c>
      <c r="H25" s="75" t="str">
        <f>CONCATENATE(LS[[#This Row],[Frequency]],LS[[#This Row],[Investor ID]])</f>
        <v>1A00455</v>
      </c>
      <c r="I25" s="75" t="str">
        <f>IF(LS[[#This Row],[B/S]]="B","BUY",(IF(LS[[#This Row],[B/S]]="S","SELL"," ")))</f>
        <v>BUY</v>
      </c>
      <c r="J25" s="75" t="s">
        <v>1229</v>
      </c>
      <c r="K25" s="88">
        <v>1000000</v>
      </c>
      <c r="L25" s="88"/>
      <c r="M25" s="89">
        <f>LS[[#This Row],[Amount]]/LS[[#This Row],[Unit]]</f>
        <v>10</v>
      </c>
      <c r="N25" s="90">
        <f>LS[[#This Row],[Unit Capital]]/10</f>
        <v>100000</v>
      </c>
      <c r="O25" s="90">
        <f>SUMIFS(LS[[#Headers],[Unit]]:LS[[#This Row],[Unit]],LS[[#Headers],[Investor ID]]:LS[[#This Row],[Investor ID]],LS[[#This Row],[Investor ID]])</f>
        <v>100000</v>
      </c>
      <c r="P25" s="96">
        <v>1000000</v>
      </c>
      <c r="Q25" s="48">
        <f>LS[[#This Row],[Amount]]-LS[[#This Row],[Unit Capital]]</f>
        <v>0</v>
      </c>
      <c r="R2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5" s="89">
        <f t="shared" si="0"/>
        <v>14.224</v>
      </c>
      <c r="T2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" s="96" cm="1">
        <f t="array" ref="U25">IF(LS[[#This Row],[B/S]]="S",ABS(LS[[#This Row],[Unit]])*(INDEX(LS[NAV at Cost (Average)],MATCH(CONCATENATE((LS[[#This Row],[Frequency]]-1),LS[[#This Row],[Investor ID]]),LS[Unique Code],0),0)),0)</f>
        <v>0</v>
      </c>
      <c r="V25" s="96">
        <f>IF(LS[[#This Row],[BO TRANSFER]]="YES",LS[[#This Row],[Unit]],)</f>
        <v>0</v>
      </c>
      <c r="W25" s="96">
        <f>SUMIFS(LS[[#Headers],[BO UNIT TRANSFER]]:LS[[#This Row],[BO UNIT TRANSFER]],LS[[#Headers],[Investor ID]]:LS[[#This Row],[Investor ID]],LS[[#This Row],[Investor ID]])</f>
        <v>0</v>
      </c>
    </row>
    <row r="26" spans="1:23">
      <c r="A26" s="75">
        <v>2023</v>
      </c>
      <c r="B26" s="75">
        <v>2</v>
      </c>
      <c r="C26" s="75">
        <v>22</v>
      </c>
      <c r="D26" s="81">
        <f>DATE(LS[[#This Row],[Year]],LS[[#This Row],[Month]],LS[[#This Row],[Day]])</f>
        <v>44979</v>
      </c>
      <c r="E26" t="str" cm="1">
        <f t="array" ref="E26">INDEX(INVESTORS_LIST[INVESTOR NAME],MATCH(LS[[#This Row],[Investor ID]],INVESTORS_LIST[INVESTOR CODE],0),)</f>
        <v>MOHAMMAD AKIB NAWAZ</v>
      </c>
      <c r="F26" s="82" t="s">
        <v>495</v>
      </c>
      <c r="G26" s="75">
        <f>COUNTIF(LS[[#Headers],[Investor ID]]:LS[[#This Row],[Investor ID]],LS[[#This Row],[Investor ID]])</f>
        <v>1</v>
      </c>
      <c r="H26" s="75" t="str">
        <f>CONCATENATE(LS[[#This Row],[Frequency]],LS[[#This Row],[Investor ID]])</f>
        <v>1A00223</v>
      </c>
      <c r="I26" s="75" t="str">
        <f>IF(LS[[#This Row],[B/S]]="B","BUY",(IF(LS[[#This Row],[B/S]]="S","SELL"," ")))</f>
        <v>BUY</v>
      </c>
      <c r="J26" s="75" t="s">
        <v>1229</v>
      </c>
      <c r="K26" s="88">
        <v>5000</v>
      </c>
      <c r="L26" s="85"/>
      <c r="M26" s="86">
        <f>LS[[#This Row],[Amount]]/LS[[#This Row],[Unit]]</f>
        <v>10</v>
      </c>
      <c r="N26" s="87">
        <f>LS[[#This Row],[Unit Capital]]/10</f>
        <v>500</v>
      </c>
      <c r="O26" s="87">
        <f>SUMIFS(LS[[#Headers],[Unit]]:LS[[#This Row],[Unit]],LS[[#Headers],[Investor ID]]:LS[[#This Row],[Investor ID]],LS[[#This Row],[Investor ID]])</f>
        <v>500</v>
      </c>
      <c r="P26" s="95">
        <v>5000</v>
      </c>
      <c r="Q26" s="48">
        <f>LS[[#This Row],[Amount]]-LS[[#This Row],[Unit Capital]]</f>
        <v>0</v>
      </c>
      <c r="R26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6" s="86">
        <f t="shared" si="0"/>
        <v>14.224</v>
      </c>
      <c r="T26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6" s="95" cm="1">
        <f t="array" ref="U26">IF(LS[[#This Row],[B/S]]="S",ABS(LS[[#This Row],[Unit]])*(INDEX(LS[NAV at Cost (Average)],MATCH(CONCATENATE((LS[[#This Row],[Frequency]]-1),LS[[#This Row],[Investor ID]]),LS[Unique Code],0),0)),0)</f>
        <v>0</v>
      </c>
      <c r="V26" s="95">
        <f>IF(LS[[#This Row],[BO TRANSFER]]="YES",LS[[#This Row],[Unit]],)</f>
        <v>0</v>
      </c>
      <c r="W26" s="95">
        <f>SUMIFS(LS[[#Headers],[BO UNIT TRANSFER]]:LS[[#This Row],[BO UNIT TRANSFER]],LS[[#Headers],[Investor ID]]:LS[[#This Row],[Investor ID]],LS[[#This Row],[Investor ID]])</f>
        <v>0</v>
      </c>
    </row>
    <row r="27" spans="1:23">
      <c r="A27" s="75">
        <v>2023</v>
      </c>
      <c r="B27" s="75">
        <v>2</v>
      </c>
      <c r="C27" s="75">
        <v>22</v>
      </c>
      <c r="D27" s="81">
        <f>DATE(LS[[#This Row],[Year]],LS[[#This Row],[Month]],LS[[#This Row],[Day]])</f>
        <v>44979</v>
      </c>
      <c r="E27" t="str" cm="1">
        <f t="array" ref="E27">INDEX(INVESTORS_LIST[INVESTOR NAME],MATCH(LS[[#This Row],[Investor ID]],INVESTORS_LIST[INVESTOR CODE],0),)</f>
        <v>MOHAMMAD AKIB NAWAZ</v>
      </c>
      <c r="F27" s="83" t="s">
        <v>495</v>
      </c>
      <c r="G27" s="75">
        <f>COUNTIF(LS[[#Headers],[Investor ID]]:LS[[#This Row],[Investor ID]],LS[[#This Row],[Investor ID]])</f>
        <v>2</v>
      </c>
      <c r="H27" s="75" t="str">
        <f>CONCATENATE(LS[[#This Row],[Frequency]],LS[[#This Row],[Investor ID]])</f>
        <v>2A00223</v>
      </c>
      <c r="I27" s="75" t="str">
        <f>IF(LS[[#This Row],[B/S]]="B","BUY",(IF(LS[[#This Row],[B/S]]="S","SELL"," ")))</f>
        <v>BUY</v>
      </c>
      <c r="J27" s="75" t="s">
        <v>1229</v>
      </c>
      <c r="K27" s="88">
        <v>195000</v>
      </c>
      <c r="L27" s="88"/>
      <c r="M27" s="89">
        <f>LS[[#This Row],[Amount]]/LS[[#This Row],[Unit]]</f>
        <v>10</v>
      </c>
      <c r="N27" s="90">
        <f>LS[[#This Row],[Unit Capital]]/10</f>
        <v>19500</v>
      </c>
      <c r="O27" s="90">
        <f>SUMIFS(LS[[#Headers],[Unit]]:LS[[#This Row],[Unit]],LS[[#Headers],[Investor ID]]:LS[[#This Row],[Investor ID]],LS[[#This Row],[Investor ID]])</f>
        <v>20000</v>
      </c>
      <c r="P27" s="96">
        <v>195000</v>
      </c>
      <c r="Q27" s="48">
        <f>LS[[#This Row],[Amount]]-LS[[#This Row],[Unit Capital]]</f>
        <v>0</v>
      </c>
      <c r="R2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7" s="89">
        <f t="shared" si="0"/>
        <v>14.224</v>
      </c>
      <c r="T2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7" s="96" cm="1">
        <f t="array" ref="U27">IF(LS[[#This Row],[B/S]]="S",ABS(LS[[#This Row],[Unit]])*(INDEX(LS[NAV at Cost (Average)],MATCH(CONCATENATE((LS[[#This Row],[Frequency]]-1),LS[[#This Row],[Investor ID]]),LS[Unique Code],0),0)),0)</f>
        <v>0</v>
      </c>
      <c r="V27" s="96">
        <f>IF(LS[[#This Row],[BO TRANSFER]]="YES",LS[[#This Row],[Unit]],)</f>
        <v>0</v>
      </c>
      <c r="W27" s="96">
        <f>SUMIFS(LS[[#Headers],[BO UNIT TRANSFER]]:LS[[#This Row],[BO UNIT TRANSFER]],LS[[#Headers],[Investor ID]]:LS[[#This Row],[Investor ID]],LS[[#This Row],[Investor ID]])</f>
        <v>0</v>
      </c>
    </row>
    <row r="28" spans="1:23">
      <c r="A28" s="75">
        <v>2023</v>
      </c>
      <c r="B28" s="75">
        <v>2</v>
      </c>
      <c r="C28" s="75">
        <v>23</v>
      </c>
      <c r="D28" s="81">
        <f>DATE(LS[[#This Row],[Year]],LS[[#This Row],[Month]],LS[[#This Row],[Day]])</f>
        <v>44980</v>
      </c>
      <c r="E28" t="str" cm="1">
        <f t="array" ref="E28">INDEX(INVESTORS_LIST[INVESTOR NAME],MATCH(LS[[#This Row],[Investor ID]],INVESTORS_LIST[INVESTOR CODE],0),)</f>
        <v>BILKISS ARA</v>
      </c>
      <c r="F28" s="83" t="s">
        <v>194</v>
      </c>
      <c r="G28" s="75">
        <f>COUNTIF(LS[[#Headers],[Investor ID]]:LS[[#This Row],[Investor ID]],LS[[#This Row],[Investor ID]])</f>
        <v>1</v>
      </c>
      <c r="H28" s="75" t="str">
        <f>CONCATENATE(LS[[#This Row],[Frequency]],LS[[#This Row],[Investor ID]])</f>
        <v>1A00073</v>
      </c>
      <c r="I28" s="75" t="str">
        <f>IF(LS[[#This Row],[B/S]]="B","BUY",(IF(LS[[#This Row],[B/S]]="S","SELL"," ")))</f>
        <v>BUY</v>
      </c>
      <c r="J28" s="75" t="s">
        <v>1229</v>
      </c>
      <c r="K28" s="88">
        <v>1000000</v>
      </c>
      <c r="L28" s="88"/>
      <c r="M28" s="89">
        <f>LS[[#This Row],[Amount]]/LS[[#This Row],[Unit]]</f>
        <v>10</v>
      </c>
      <c r="N28" s="90">
        <f>LS[[#This Row],[Unit Capital]]/10</f>
        <v>100000</v>
      </c>
      <c r="O28" s="90">
        <f>SUMIFS(LS[[#Headers],[Unit]]:LS[[#This Row],[Unit]],LS[[#Headers],[Investor ID]]:LS[[#This Row],[Investor ID]],LS[[#This Row],[Investor ID]])</f>
        <v>100000</v>
      </c>
      <c r="P28" s="96">
        <v>1000000</v>
      </c>
      <c r="Q28" s="48">
        <f>LS[[#This Row],[Amount]]-LS[[#This Row],[Unit Capital]]</f>
        <v>0</v>
      </c>
      <c r="R2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8" s="89">
        <f t="shared" si="0"/>
        <v>14.224</v>
      </c>
      <c r="T2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" s="96" cm="1">
        <f t="array" ref="U28">IF(LS[[#This Row],[B/S]]="S",ABS(LS[[#This Row],[Unit]])*(INDEX(LS[NAV at Cost (Average)],MATCH(CONCATENATE((LS[[#This Row],[Frequency]]-1),LS[[#This Row],[Investor ID]]),LS[Unique Code],0),0)),0)</f>
        <v>0</v>
      </c>
      <c r="V28" s="96">
        <f>IF(LS[[#This Row],[BO TRANSFER]]="YES",LS[[#This Row],[Unit]],)</f>
        <v>0</v>
      </c>
      <c r="W28" s="96">
        <f>SUMIFS(LS[[#Headers],[BO UNIT TRANSFER]]:LS[[#This Row],[BO UNIT TRANSFER]],LS[[#Headers],[Investor ID]]:LS[[#This Row],[Investor ID]],LS[[#This Row],[Investor ID]])</f>
        <v>0</v>
      </c>
    </row>
    <row r="29" spans="1:23">
      <c r="A29" s="75">
        <v>2023</v>
      </c>
      <c r="B29" s="75">
        <v>2</v>
      </c>
      <c r="C29" s="75">
        <v>23</v>
      </c>
      <c r="D29" s="81">
        <f>DATE(LS[[#This Row],[Year]],LS[[#This Row],[Month]],LS[[#This Row],[Day]])</f>
        <v>44980</v>
      </c>
      <c r="E29" t="str" cm="1">
        <f t="array" ref="E29">INDEX(INVESTORS_LIST[INVESTOR NAME],MATCH(LS[[#This Row],[Investor ID]],INVESTORS_LIST[INVESTOR CODE],0),)</f>
        <v>MD. IFTEKHARUL ISLAM BHUIYAN</v>
      </c>
      <c r="F29" s="83" t="s">
        <v>948</v>
      </c>
      <c r="G29" s="75">
        <f>COUNTIF(LS[[#Headers],[Investor ID]]:LS[[#This Row],[Investor ID]],LS[[#This Row],[Investor ID]])</f>
        <v>1</v>
      </c>
      <c r="H29" s="75" t="str">
        <f>CONCATENATE(LS[[#This Row],[Frequency]],LS[[#This Row],[Investor ID]])</f>
        <v>1A00451</v>
      </c>
      <c r="I29" s="75" t="str">
        <f>IF(LS[[#This Row],[B/S]]="B","BUY",(IF(LS[[#This Row],[B/S]]="S","SELL"," ")))</f>
        <v>BUY</v>
      </c>
      <c r="J29" s="75" t="s">
        <v>1229</v>
      </c>
      <c r="K29" s="88">
        <v>50000</v>
      </c>
      <c r="L29" s="88"/>
      <c r="M29" s="89">
        <f>LS[[#This Row],[Amount]]/LS[[#This Row],[Unit]]</f>
        <v>10</v>
      </c>
      <c r="N29" s="90">
        <f>LS[[#This Row],[Unit Capital]]/10</f>
        <v>5000</v>
      </c>
      <c r="O29" s="90">
        <f>SUMIFS(LS[[#Headers],[Unit]]:LS[[#This Row],[Unit]],LS[[#Headers],[Investor ID]]:LS[[#This Row],[Investor ID]],LS[[#This Row],[Investor ID]])</f>
        <v>5000</v>
      </c>
      <c r="P29" s="96">
        <v>50000</v>
      </c>
      <c r="Q29" s="48">
        <f>LS[[#This Row],[Amount]]-LS[[#This Row],[Unit Capital]]</f>
        <v>0</v>
      </c>
      <c r="R2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9" s="89">
        <f t="shared" si="0"/>
        <v>14.224</v>
      </c>
      <c r="T2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" s="96" cm="1">
        <f t="array" ref="U29">IF(LS[[#This Row],[B/S]]="S",ABS(LS[[#This Row],[Unit]])*(INDEX(LS[NAV at Cost (Average)],MATCH(CONCATENATE((LS[[#This Row],[Frequency]]-1),LS[[#This Row],[Investor ID]]),LS[Unique Code],0),0)),0)</f>
        <v>0</v>
      </c>
      <c r="V29" s="96">
        <f>IF(LS[[#This Row],[BO TRANSFER]]="YES",LS[[#This Row],[Unit]],)</f>
        <v>0</v>
      </c>
      <c r="W29" s="96">
        <f>SUMIFS(LS[[#Headers],[BO UNIT TRANSFER]]:LS[[#This Row],[BO UNIT TRANSFER]],LS[[#Headers],[Investor ID]]:LS[[#This Row],[Investor ID]],LS[[#This Row],[Investor ID]])</f>
        <v>0</v>
      </c>
    </row>
    <row r="30" spans="1:23">
      <c r="A30" s="75">
        <v>2023</v>
      </c>
      <c r="B30" s="75">
        <v>2</v>
      </c>
      <c r="C30" s="75">
        <v>23</v>
      </c>
      <c r="D30" s="81">
        <f>DATE(LS[[#This Row],[Year]],LS[[#This Row],[Month]],LS[[#This Row],[Day]])</f>
        <v>44980</v>
      </c>
      <c r="E30" t="str" cm="1">
        <f t="array" ref="E30">INDEX(INVESTORS_LIST[INVESTOR NAME],MATCH(LS[[#This Row],[Investor ID]],INVESTORS_LIST[INVESTOR CODE],0),)</f>
        <v>AROORA SAMEERA CHOWDHURY</v>
      </c>
      <c r="F30" s="83" t="s">
        <v>138</v>
      </c>
      <c r="G30" s="75">
        <f>COUNTIF(LS[[#Headers],[Investor ID]]:LS[[#This Row],[Investor ID]],LS[[#This Row],[Investor ID]])</f>
        <v>1</v>
      </c>
      <c r="H30" s="75" t="str">
        <f>CONCATENATE(LS[[#This Row],[Frequency]],LS[[#This Row],[Investor ID]])</f>
        <v>1A00045</v>
      </c>
      <c r="I30" s="75" t="str">
        <f>IF(LS[[#This Row],[B/S]]="B","BUY",(IF(LS[[#This Row],[B/S]]="S","SELL"," ")))</f>
        <v>BUY</v>
      </c>
      <c r="J30" s="75" t="s">
        <v>1229</v>
      </c>
      <c r="K30" s="88">
        <v>4500000</v>
      </c>
      <c r="L30" s="88"/>
      <c r="M30" s="89">
        <f>LS[[#This Row],[Amount]]/LS[[#This Row],[Unit]]</f>
        <v>10</v>
      </c>
      <c r="N30" s="90">
        <f>LS[[#This Row],[Unit Capital]]/10</f>
        <v>450000</v>
      </c>
      <c r="O30" s="90">
        <f>SUMIFS(LS[[#Headers],[Unit]]:LS[[#This Row],[Unit]],LS[[#Headers],[Investor ID]]:LS[[#This Row],[Investor ID]],LS[[#This Row],[Investor ID]])</f>
        <v>450000</v>
      </c>
      <c r="P30" s="96">
        <v>4500000</v>
      </c>
      <c r="Q30" s="48">
        <f>LS[[#This Row],[Amount]]-LS[[#This Row],[Unit Capital]]</f>
        <v>0</v>
      </c>
      <c r="R3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0" s="89">
        <f t="shared" si="0"/>
        <v>14.224</v>
      </c>
      <c r="T3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" s="96" cm="1">
        <f t="array" ref="U30">IF(LS[[#This Row],[B/S]]="S",ABS(LS[[#This Row],[Unit]])*(INDEX(LS[NAV at Cost (Average)],MATCH(CONCATENATE((LS[[#This Row],[Frequency]]-1),LS[[#This Row],[Investor ID]]),LS[Unique Code],0),0)),0)</f>
        <v>0</v>
      </c>
      <c r="V30" s="96">
        <f>IF(LS[[#This Row],[BO TRANSFER]]="YES",LS[[#This Row],[Unit]],)</f>
        <v>0</v>
      </c>
      <c r="W30" s="96">
        <f>SUMIFS(LS[[#Headers],[BO UNIT TRANSFER]]:LS[[#This Row],[BO UNIT TRANSFER]],LS[[#Headers],[Investor ID]]:LS[[#This Row],[Investor ID]],LS[[#This Row],[Investor ID]])</f>
        <v>0</v>
      </c>
    </row>
    <row r="31" spans="1:23">
      <c r="A31" s="75">
        <v>2023</v>
      </c>
      <c r="B31" s="75">
        <v>2</v>
      </c>
      <c r="C31" s="75">
        <v>23</v>
      </c>
      <c r="D31" s="81">
        <f>DATE(LS[[#This Row],[Year]],LS[[#This Row],[Month]],LS[[#This Row],[Day]])</f>
        <v>44980</v>
      </c>
      <c r="E31" t="str" cm="1">
        <f t="array" ref="E31">INDEX(INVESTORS_LIST[INVESTOR NAME],MATCH(LS[[#This Row],[Investor ID]],INVESTORS_LIST[INVESTOR CODE],0),)</f>
        <v>ANJAN MALLIK</v>
      </c>
      <c r="F31" s="83" t="s">
        <v>546</v>
      </c>
      <c r="G31" s="75">
        <f>COUNTIF(LS[[#Headers],[Investor ID]]:LS[[#This Row],[Investor ID]],LS[[#This Row],[Investor ID]])</f>
        <v>1</v>
      </c>
      <c r="H31" s="75" t="str">
        <f>CONCATENATE(LS[[#This Row],[Frequency]],LS[[#This Row],[Investor ID]])</f>
        <v>1A00248</v>
      </c>
      <c r="I31" s="75" t="str">
        <f>IF(LS[[#This Row],[B/S]]="B","BUY",(IF(LS[[#This Row],[B/S]]="S","SELL"," ")))</f>
        <v>BUY</v>
      </c>
      <c r="J31" s="75" t="s">
        <v>1229</v>
      </c>
      <c r="K31" s="88">
        <v>2000000</v>
      </c>
      <c r="L31" s="88"/>
      <c r="M31" s="89">
        <f>LS[[#This Row],[Amount]]/LS[[#This Row],[Unit]]</f>
        <v>10</v>
      </c>
      <c r="N31" s="90">
        <f>LS[[#This Row],[Unit Capital]]/10</f>
        <v>200000</v>
      </c>
      <c r="O31" s="90">
        <f>SUMIFS(LS[[#Headers],[Unit]]:LS[[#This Row],[Unit]],LS[[#Headers],[Investor ID]]:LS[[#This Row],[Investor ID]],LS[[#This Row],[Investor ID]])</f>
        <v>200000</v>
      </c>
      <c r="P31" s="96">
        <v>2000000</v>
      </c>
      <c r="Q31" s="48">
        <f>LS[[#This Row],[Amount]]-LS[[#This Row],[Unit Capital]]</f>
        <v>0</v>
      </c>
      <c r="R3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1" s="89">
        <f t="shared" si="0"/>
        <v>14.224</v>
      </c>
      <c r="T3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" s="96" cm="1">
        <f t="array" ref="U31">IF(LS[[#This Row],[B/S]]="S",ABS(LS[[#This Row],[Unit]])*(INDEX(LS[NAV at Cost (Average)],MATCH(CONCATENATE((LS[[#This Row],[Frequency]]-1),LS[[#This Row],[Investor ID]]),LS[Unique Code],0),0)),0)</f>
        <v>0</v>
      </c>
      <c r="V31" s="96">
        <f>IF(LS[[#This Row],[BO TRANSFER]]="YES",LS[[#This Row],[Unit]],)</f>
        <v>0</v>
      </c>
      <c r="W31" s="96">
        <f>SUMIFS(LS[[#Headers],[BO UNIT TRANSFER]]:LS[[#This Row],[BO UNIT TRANSFER]],LS[[#Headers],[Investor ID]]:LS[[#This Row],[Investor ID]],LS[[#This Row],[Investor ID]])</f>
        <v>0</v>
      </c>
    </row>
    <row r="32" spans="1:23">
      <c r="A32" s="75">
        <v>2023</v>
      </c>
      <c r="B32" s="75">
        <v>2</v>
      </c>
      <c r="C32" s="75">
        <v>23</v>
      </c>
      <c r="D32" s="81">
        <f>DATE(LS[[#This Row],[Year]],LS[[#This Row],[Month]],LS[[#This Row],[Day]])</f>
        <v>44980</v>
      </c>
      <c r="E32" t="str" cm="1">
        <f t="array" ref="E32">INDEX(INVESTORS_LIST[INVESTOR NAME],MATCH(LS[[#This Row],[Investor ID]],INVESTORS_LIST[INVESTOR CODE],0),)</f>
        <v>DHAKA IMPERIAL COLLEGE EMPLOYEES PROVIDENT FUND</v>
      </c>
      <c r="F32" s="83" t="s">
        <v>964</v>
      </c>
      <c r="G32" s="75">
        <f>COUNTIF(LS[[#Headers],[Investor ID]]:LS[[#This Row],[Investor ID]],LS[[#This Row],[Investor ID]])</f>
        <v>1</v>
      </c>
      <c r="H32" s="75" t="str">
        <f>CONCATENATE(LS[[#This Row],[Frequency]],LS[[#This Row],[Investor ID]])</f>
        <v>1A00459</v>
      </c>
      <c r="I32" s="75" t="str">
        <f>IF(LS[[#This Row],[B/S]]="B","BUY",(IF(LS[[#This Row],[B/S]]="S","SELL"," ")))</f>
        <v>BUY</v>
      </c>
      <c r="J32" s="75" t="s">
        <v>1229</v>
      </c>
      <c r="K32" s="88">
        <v>2500000</v>
      </c>
      <c r="L32" s="88"/>
      <c r="M32" s="89">
        <f>LS[[#This Row],[Amount]]/LS[[#This Row],[Unit]]</f>
        <v>10</v>
      </c>
      <c r="N32" s="90">
        <f>LS[[#This Row],[Unit Capital]]/10</f>
        <v>250000</v>
      </c>
      <c r="O32" s="90">
        <f>SUMIFS(LS[[#Headers],[Unit]]:LS[[#This Row],[Unit]],LS[[#Headers],[Investor ID]]:LS[[#This Row],[Investor ID]],LS[[#This Row],[Investor ID]])</f>
        <v>250000</v>
      </c>
      <c r="P32" s="96">
        <v>2500000</v>
      </c>
      <c r="Q32" s="48">
        <f>LS[[#This Row],[Amount]]-LS[[#This Row],[Unit Capital]]</f>
        <v>0</v>
      </c>
      <c r="R3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2" s="89">
        <f t="shared" si="0"/>
        <v>14.224</v>
      </c>
      <c r="T3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" s="96" cm="1">
        <f t="array" ref="U32">IF(LS[[#This Row],[B/S]]="S",ABS(LS[[#This Row],[Unit]])*(INDEX(LS[NAV at Cost (Average)],MATCH(CONCATENATE((LS[[#This Row],[Frequency]]-1),LS[[#This Row],[Investor ID]]),LS[Unique Code],0),0)),0)</f>
        <v>0</v>
      </c>
      <c r="V32" s="96">
        <f>IF(LS[[#This Row],[BO TRANSFER]]="YES",LS[[#This Row],[Unit]],)</f>
        <v>0</v>
      </c>
      <c r="W32" s="96">
        <f>SUMIFS(LS[[#Headers],[BO UNIT TRANSFER]]:LS[[#This Row],[BO UNIT TRANSFER]],LS[[#Headers],[Investor ID]]:LS[[#This Row],[Investor ID]],LS[[#This Row],[Investor ID]])</f>
        <v>0</v>
      </c>
    </row>
    <row r="33" spans="1:23">
      <c r="A33" s="75">
        <v>2023</v>
      </c>
      <c r="B33" s="75">
        <v>2</v>
      </c>
      <c r="C33" s="75">
        <v>23</v>
      </c>
      <c r="D33" s="81">
        <f>DATE(LS[[#This Row],[Year]],LS[[#This Row],[Month]],LS[[#This Row],[Day]])</f>
        <v>44980</v>
      </c>
      <c r="E33" t="str" cm="1">
        <f t="array" ref="E33">INDEX(INVESTORS_LIST[INVESTOR NAME],MATCH(LS[[#This Row],[Investor ID]],INVESTORS_LIST[INVESTOR CODE],0),)</f>
        <v>DHAKA IMPERIAL COLLEGE TEACHERS STAFF MULTIPURPOSE CO-OPERATIVE SOCIETY LTD.</v>
      </c>
      <c r="F33" s="83" t="s">
        <v>736</v>
      </c>
      <c r="G33" s="75">
        <f>COUNTIF(LS[[#Headers],[Investor ID]]:LS[[#This Row],[Investor ID]],LS[[#This Row],[Investor ID]])</f>
        <v>1</v>
      </c>
      <c r="H33" s="75" t="str">
        <f>CONCATENATE(LS[[#This Row],[Frequency]],LS[[#This Row],[Investor ID]])</f>
        <v>1A00344</v>
      </c>
      <c r="I33" s="75" t="str">
        <f>IF(LS[[#This Row],[B/S]]="B","BUY",(IF(LS[[#This Row],[B/S]]="S","SELL"," ")))</f>
        <v>BUY</v>
      </c>
      <c r="J33" s="75" t="s">
        <v>1229</v>
      </c>
      <c r="K33" s="88">
        <v>2500000</v>
      </c>
      <c r="L33" s="88"/>
      <c r="M33" s="89">
        <f>LS[[#This Row],[Amount]]/LS[[#This Row],[Unit]]</f>
        <v>10</v>
      </c>
      <c r="N33" s="90">
        <f>LS[[#This Row],[Unit Capital]]/10</f>
        <v>250000</v>
      </c>
      <c r="O33" s="90">
        <f>SUMIFS(LS[[#Headers],[Unit]]:LS[[#This Row],[Unit]],LS[[#Headers],[Investor ID]]:LS[[#This Row],[Investor ID]],LS[[#This Row],[Investor ID]])</f>
        <v>250000</v>
      </c>
      <c r="P33" s="96">
        <v>2500000</v>
      </c>
      <c r="Q33" s="48">
        <f>LS[[#This Row],[Amount]]-LS[[#This Row],[Unit Capital]]</f>
        <v>0</v>
      </c>
      <c r="R3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3" s="89">
        <f t="shared" si="0"/>
        <v>14.224</v>
      </c>
      <c r="T3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" s="96" cm="1">
        <f t="array" ref="U33">IF(LS[[#This Row],[B/S]]="S",ABS(LS[[#This Row],[Unit]])*(INDEX(LS[NAV at Cost (Average)],MATCH(CONCATENATE((LS[[#This Row],[Frequency]]-1),LS[[#This Row],[Investor ID]]),LS[Unique Code],0),0)),0)</f>
        <v>0</v>
      </c>
      <c r="V33" s="96">
        <f>IF(LS[[#This Row],[BO TRANSFER]]="YES",LS[[#This Row],[Unit]],)</f>
        <v>0</v>
      </c>
      <c r="W33" s="96">
        <f>SUMIFS(LS[[#Headers],[BO UNIT TRANSFER]]:LS[[#This Row],[BO UNIT TRANSFER]],LS[[#Headers],[Investor ID]]:LS[[#This Row],[Investor ID]],LS[[#This Row],[Investor ID]])</f>
        <v>0</v>
      </c>
    </row>
    <row r="34" spans="1:23">
      <c r="A34" s="75">
        <v>2023</v>
      </c>
      <c r="B34" s="75">
        <v>2</v>
      </c>
      <c r="C34" s="75">
        <v>23</v>
      </c>
      <c r="D34" s="81">
        <f>DATE(LS[[#This Row],[Year]],LS[[#This Row],[Month]],LS[[#This Row],[Day]])</f>
        <v>44980</v>
      </c>
      <c r="E34" t="str" cm="1">
        <f t="array" ref="E34">INDEX(INVESTORS_LIST[INVESTOR NAME],MATCH(LS[[#This Row],[Investor ID]],INVESTORS_LIST[INVESTOR CODE],0),)</f>
        <v>MOHAMMAD HASAN SHAHRIAR MASUD</v>
      </c>
      <c r="F34" s="83" t="s">
        <v>954</v>
      </c>
      <c r="G34" s="75">
        <f>COUNTIF(LS[[#Headers],[Investor ID]]:LS[[#This Row],[Investor ID]],LS[[#This Row],[Investor ID]])</f>
        <v>1</v>
      </c>
      <c r="H34" s="75" t="str">
        <f>CONCATENATE(LS[[#This Row],[Frequency]],LS[[#This Row],[Investor ID]])</f>
        <v>1A00454</v>
      </c>
      <c r="I34" s="75" t="str">
        <f>IF(LS[[#This Row],[B/S]]="B","BUY",(IF(LS[[#This Row],[B/S]]="S","SELL"," ")))</f>
        <v>BUY</v>
      </c>
      <c r="J34" s="75" t="s">
        <v>1229</v>
      </c>
      <c r="K34" s="88">
        <v>1500000</v>
      </c>
      <c r="L34" s="88"/>
      <c r="M34" s="89">
        <f>LS[[#This Row],[Amount]]/LS[[#This Row],[Unit]]</f>
        <v>10</v>
      </c>
      <c r="N34" s="90">
        <f>LS[[#This Row],[Unit Capital]]/10</f>
        <v>150000</v>
      </c>
      <c r="O34" s="90">
        <f>SUMIFS(LS[[#Headers],[Unit]]:LS[[#This Row],[Unit]],LS[[#Headers],[Investor ID]]:LS[[#This Row],[Investor ID]],LS[[#This Row],[Investor ID]])</f>
        <v>150000</v>
      </c>
      <c r="P34" s="96">
        <v>1500000</v>
      </c>
      <c r="Q34" s="48">
        <f>LS[[#This Row],[Amount]]-LS[[#This Row],[Unit Capital]]</f>
        <v>0</v>
      </c>
      <c r="R3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4" s="89">
        <f t="shared" si="0"/>
        <v>14.224</v>
      </c>
      <c r="T3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" s="96" cm="1">
        <f t="array" ref="U34">IF(LS[[#This Row],[B/S]]="S",ABS(LS[[#This Row],[Unit]])*(INDEX(LS[NAV at Cost (Average)],MATCH(CONCATENATE((LS[[#This Row],[Frequency]]-1),LS[[#This Row],[Investor ID]]),LS[Unique Code],0),0)),0)</f>
        <v>0</v>
      </c>
      <c r="V34" s="96">
        <f>IF(LS[[#This Row],[BO TRANSFER]]="YES",LS[[#This Row],[Unit]],)</f>
        <v>0</v>
      </c>
      <c r="W34" s="96">
        <f>SUMIFS(LS[[#Headers],[BO UNIT TRANSFER]]:LS[[#This Row],[BO UNIT TRANSFER]],LS[[#Headers],[Investor ID]]:LS[[#This Row],[Investor ID]],LS[[#This Row],[Investor ID]])</f>
        <v>0</v>
      </c>
    </row>
    <row r="35" spans="1:23">
      <c r="A35" s="75">
        <v>2023</v>
      </c>
      <c r="B35" s="75">
        <v>2</v>
      </c>
      <c r="C35" s="75">
        <v>23</v>
      </c>
      <c r="D35" s="81">
        <f>DATE(LS[[#This Row],[Year]],LS[[#This Row],[Month]],LS[[#This Row],[Day]])</f>
        <v>44980</v>
      </c>
      <c r="E35" t="str" cm="1">
        <f t="array" ref="E35">INDEX(INVESTORS_LIST[INVESTOR NAME],MATCH(LS[[#This Row],[Investor ID]],INVESTORS_LIST[INVESTOR CODE],0),)</f>
        <v>MOHAMMED ALI XAHANGIR</v>
      </c>
      <c r="F35" s="83" t="s">
        <v>312</v>
      </c>
      <c r="G35" s="75">
        <f>COUNTIF(LS[[#Headers],[Investor ID]]:LS[[#This Row],[Investor ID]],LS[[#This Row],[Investor ID]])</f>
        <v>1</v>
      </c>
      <c r="H35" s="75" t="str">
        <f>CONCATENATE(LS[[#This Row],[Frequency]],LS[[#This Row],[Investor ID]])</f>
        <v>1A00132</v>
      </c>
      <c r="I35" s="75" t="str">
        <f>IF(LS[[#This Row],[B/S]]="B","BUY",(IF(LS[[#This Row],[B/S]]="S","SELL"," ")))</f>
        <v>BUY</v>
      </c>
      <c r="J35" s="75" t="s">
        <v>1229</v>
      </c>
      <c r="K35" s="88">
        <v>2600000</v>
      </c>
      <c r="L35" s="88"/>
      <c r="M35" s="89">
        <f>LS[[#This Row],[Amount]]/LS[[#This Row],[Unit]]</f>
        <v>10</v>
      </c>
      <c r="N35" s="90">
        <f>LS[[#This Row],[Unit Capital]]/10</f>
        <v>260000</v>
      </c>
      <c r="O35" s="90">
        <f>SUMIFS(LS[[#Headers],[Unit]]:LS[[#This Row],[Unit]],LS[[#Headers],[Investor ID]]:LS[[#This Row],[Investor ID]],LS[[#This Row],[Investor ID]])</f>
        <v>260000</v>
      </c>
      <c r="P35" s="96">
        <v>2600000</v>
      </c>
      <c r="Q35" s="48">
        <f>LS[[#This Row],[Amount]]-LS[[#This Row],[Unit Capital]]</f>
        <v>0</v>
      </c>
      <c r="R3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5" s="89">
        <f t="shared" si="0"/>
        <v>14.224</v>
      </c>
      <c r="T3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5" s="96" cm="1">
        <f t="array" ref="U35">IF(LS[[#This Row],[B/S]]="S",ABS(LS[[#This Row],[Unit]])*(INDEX(LS[NAV at Cost (Average)],MATCH(CONCATENATE((LS[[#This Row],[Frequency]]-1),LS[[#This Row],[Investor ID]]),LS[Unique Code],0),0)),0)</f>
        <v>0</v>
      </c>
      <c r="V35" s="96">
        <f>IF(LS[[#This Row],[BO TRANSFER]]="YES",LS[[#This Row],[Unit]],)</f>
        <v>0</v>
      </c>
      <c r="W35" s="96">
        <f>SUMIFS(LS[[#Headers],[BO UNIT TRANSFER]]:LS[[#This Row],[BO UNIT TRANSFER]],LS[[#Headers],[Investor ID]]:LS[[#This Row],[Investor ID]],LS[[#This Row],[Investor ID]])</f>
        <v>0</v>
      </c>
    </row>
    <row r="36" spans="1:23">
      <c r="A36" s="75">
        <v>2023</v>
      </c>
      <c r="B36" s="75">
        <v>2</v>
      </c>
      <c r="C36" s="75">
        <v>23</v>
      </c>
      <c r="D36" s="81">
        <f>DATE(LS[[#This Row],[Year]],LS[[#This Row],[Month]],LS[[#This Row],[Day]])</f>
        <v>44980</v>
      </c>
      <c r="E36" t="str" cm="1">
        <f t="array" ref="E36">INDEX(INVESTORS_LIST[INVESTOR NAME],MATCH(LS[[#This Row],[Investor ID]],INVESTORS_LIST[INVESTOR CODE],0),)</f>
        <v>JNANDIP PAUL</v>
      </c>
      <c r="F36" s="83" t="s">
        <v>230</v>
      </c>
      <c r="G36" s="75">
        <f>COUNTIF(LS[[#Headers],[Investor ID]]:LS[[#This Row],[Investor ID]],LS[[#This Row],[Investor ID]])</f>
        <v>1</v>
      </c>
      <c r="H36" s="75" t="str">
        <f>CONCATENATE(LS[[#This Row],[Frequency]],LS[[#This Row],[Investor ID]])</f>
        <v>1A00091</v>
      </c>
      <c r="I36" s="75" t="str">
        <f>IF(LS[[#This Row],[B/S]]="B","BUY",(IF(LS[[#This Row],[B/S]]="S","SELL"," ")))</f>
        <v>BUY</v>
      </c>
      <c r="J36" s="75" t="s">
        <v>1229</v>
      </c>
      <c r="K36" s="88">
        <v>480000</v>
      </c>
      <c r="L36" s="88"/>
      <c r="M36" s="89">
        <f>LS[[#This Row],[Amount]]/LS[[#This Row],[Unit]]</f>
        <v>10</v>
      </c>
      <c r="N36" s="90">
        <f>LS[[#This Row],[Unit Capital]]/10</f>
        <v>48000</v>
      </c>
      <c r="O36" s="90">
        <f>SUMIFS(LS[[#Headers],[Unit]]:LS[[#This Row],[Unit]],LS[[#Headers],[Investor ID]]:LS[[#This Row],[Investor ID]],LS[[#This Row],[Investor ID]])</f>
        <v>48000</v>
      </c>
      <c r="P36" s="96">
        <v>480000</v>
      </c>
      <c r="Q36" s="48">
        <f>LS[[#This Row],[Amount]]-LS[[#This Row],[Unit Capital]]</f>
        <v>0</v>
      </c>
      <c r="R3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6" s="89">
        <f t="shared" si="0"/>
        <v>14.224</v>
      </c>
      <c r="T3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" s="96" cm="1">
        <f t="array" ref="U36">IF(LS[[#This Row],[B/S]]="S",ABS(LS[[#This Row],[Unit]])*(INDEX(LS[NAV at Cost (Average)],MATCH(CONCATENATE((LS[[#This Row],[Frequency]]-1),LS[[#This Row],[Investor ID]]),LS[Unique Code],0),0)),0)</f>
        <v>0</v>
      </c>
      <c r="V36" s="96">
        <f>IF(LS[[#This Row],[BO TRANSFER]]="YES",LS[[#This Row],[Unit]],)</f>
        <v>0</v>
      </c>
      <c r="W36" s="96">
        <f>SUMIFS(LS[[#Headers],[BO UNIT TRANSFER]]:LS[[#This Row],[BO UNIT TRANSFER]],LS[[#Headers],[Investor ID]]:LS[[#This Row],[Investor ID]],LS[[#This Row],[Investor ID]])</f>
        <v>0</v>
      </c>
    </row>
    <row r="37" spans="1:23">
      <c r="A37" s="75">
        <v>2023</v>
      </c>
      <c r="B37" s="75">
        <v>2</v>
      </c>
      <c r="C37" s="75">
        <v>26</v>
      </c>
      <c r="D37" s="81">
        <f>DATE(LS[[#This Row],[Year]],LS[[#This Row],[Month]],LS[[#This Row],[Day]])</f>
        <v>44983</v>
      </c>
      <c r="E37" t="str" cm="1">
        <f t="array" ref="E37">INDEX(INVESTORS_LIST[INVESTOR NAME],MATCH(LS[[#This Row],[Investor ID]],INVESTORS_LIST[INVESTOR CODE],0),)</f>
        <v>TANIZA MAZED</v>
      </c>
      <c r="F37" s="83" t="s">
        <v>84</v>
      </c>
      <c r="G37" s="75">
        <f>COUNTIF(LS[[#Headers],[Investor ID]]:LS[[#This Row],[Investor ID]],LS[[#This Row],[Investor ID]])</f>
        <v>1</v>
      </c>
      <c r="H37" s="75" t="str">
        <f>CONCATENATE(LS[[#This Row],[Frequency]],LS[[#This Row],[Investor ID]])</f>
        <v>1A00019</v>
      </c>
      <c r="I37" s="75" t="str">
        <f>IF(LS[[#This Row],[B/S]]="B","BUY",(IF(LS[[#This Row],[B/S]]="S","SELL"," ")))</f>
        <v>BUY</v>
      </c>
      <c r="J37" s="75" t="s">
        <v>1229</v>
      </c>
      <c r="K37" s="88">
        <v>10000</v>
      </c>
      <c r="L37" s="88"/>
      <c r="M37" s="89">
        <f>LS[[#This Row],[Amount]]/LS[[#This Row],[Unit]]</f>
        <v>10</v>
      </c>
      <c r="N37" s="90">
        <f>LS[[#This Row],[Unit Capital]]/10</f>
        <v>1000</v>
      </c>
      <c r="O37" s="90">
        <f>SUMIFS(LS[[#Headers],[Unit]]:LS[[#This Row],[Unit]],LS[[#Headers],[Investor ID]]:LS[[#This Row],[Investor ID]],LS[[#This Row],[Investor ID]])</f>
        <v>1000</v>
      </c>
      <c r="P37" s="96">
        <v>10000</v>
      </c>
      <c r="Q37" s="48">
        <f>LS[[#This Row],[Amount]]-LS[[#This Row],[Unit Capital]]</f>
        <v>0</v>
      </c>
      <c r="R3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7" s="89">
        <f t="shared" si="0"/>
        <v>14.224</v>
      </c>
      <c r="T3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" s="96" cm="1">
        <f t="array" ref="U37">IF(LS[[#This Row],[B/S]]="S",ABS(LS[[#This Row],[Unit]])*(INDEX(LS[NAV at Cost (Average)],MATCH(CONCATENATE((LS[[#This Row],[Frequency]]-1),LS[[#This Row],[Investor ID]]),LS[Unique Code],0),0)),0)</f>
        <v>0</v>
      </c>
      <c r="V37" s="96">
        <f>IF(LS[[#This Row],[BO TRANSFER]]="YES",LS[[#This Row],[Unit]],)</f>
        <v>0</v>
      </c>
      <c r="W37" s="96">
        <f>SUMIFS(LS[[#Headers],[BO UNIT TRANSFER]]:LS[[#This Row],[BO UNIT TRANSFER]],LS[[#Headers],[Investor ID]]:LS[[#This Row],[Investor ID]],LS[[#This Row],[Investor ID]])</f>
        <v>0</v>
      </c>
    </row>
    <row r="38" spans="1:23">
      <c r="A38" s="75">
        <v>2023</v>
      </c>
      <c r="B38" s="75">
        <v>2</v>
      </c>
      <c r="C38" s="75">
        <v>26</v>
      </c>
      <c r="D38" s="81">
        <f>DATE(LS[[#This Row],[Year]],LS[[#This Row],[Month]],LS[[#This Row],[Day]])</f>
        <v>44983</v>
      </c>
      <c r="E38" t="str" cm="1">
        <f t="array" ref="E38">INDEX(INVESTORS_LIST[INVESTOR NAME],MATCH(LS[[#This Row],[Investor ID]],INVESTORS_LIST[INVESTOR CODE],0),)</f>
        <v>TANIZA MAZED</v>
      </c>
      <c r="F38" s="83" t="s">
        <v>84</v>
      </c>
      <c r="G38" s="75">
        <f>COUNTIF(LS[[#Headers],[Investor ID]]:LS[[#This Row],[Investor ID]],LS[[#This Row],[Investor ID]])</f>
        <v>2</v>
      </c>
      <c r="H38" s="75" t="str">
        <f>CONCATENATE(LS[[#This Row],[Frequency]],LS[[#This Row],[Investor ID]])</f>
        <v>2A00019</v>
      </c>
      <c r="I38" s="75" t="str">
        <f>IF(LS[[#This Row],[B/S]]="B","BUY",(IF(LS[[#This Row],[B/S]]="S","SELL"," ")))</f>
        <v>BUY</v>
      </c>
      <c r="J38" s="75" t="s">
        <v>1229</v>
      </c>
      <c r="K38" s="88">
        <v>990000</v>
      </c>
      <c r="L38" s="88"/>
      <c r="M38" s="89">
        <f>LS[[#This Row],[Amount]]/LS[[#This Row],[Unit]]</f>
        <v>10</v>
      </c>
      <c r="N38" s="90">
        <f>LS[[#This Row],[Unit Capital]]/10</f>
        <v>99000</v>
      </c>
      <c r="O38" s="90">
        <f>SUMIFS(LS[[#Headers],[Unit]]:LS[[#This Row],[Unit]],LS[[#Headers],[Investor ID]]:LS[[#This Row],[Investor ID]],LS[[#This Row],[Investor ID]])</f>
        <v>100000</v>
      </c>
      <c r="P38" s="96">
        <v>990000</v>
      </c>
      <c r="Q38" s="48">
        <f>LS[[#This Row],[Amount]]-LS[[#This Row],[Unit Capital]]</f>
        <v>0</v>
      </c>
      <c r="R3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8" s="89">
        <f t="shared" si="0"/>
        <v>14.224</v>
      </c>
      <c r="T3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" s="96" cm="1">
        <f t="array" ref="U38">IF(LS[[#This Row],[B/S]]="S",ABS(LS[[#This Row],[Unit]])*(INDEX(LS[NAV at Cost (Average)],MATCH(CONCATENATE((LS[[#This Row],[Frequency]]-1),LS[[#This Row],[Investor ID]]),LS[Unique Code],0),0)),0)</f>
        <v>0</v>
      </c>
      <c r="V38" s="96">
        <f>IF(LS[[#This Row],[BO TRANSFER]]="YES",LS[[#This Row],[Unit]],)</f>
        <v>0</v>
      </c>
      <c r="W38" s="96">
        <f>SUMIFS(LS[[#Headers],[BO UNIT TRANSFER]]:LS[[#This Row],[BO UNIT TRANSFER]],LS[[#Headers],[Investor ID]]:LS[[#This Row],[Investor ID]],LS[[#This Row],[Investor ID]])</f>
        <v>0</v>
      </c>
    </row>
    <row r="39" spans="1:23">
      <c r="A39" s="75">
        <v>2023</v>
      </c>
      <c r="B39" s="75">
        <v>2</v>
      </c>
      <c r="C39" s="75">
        <v>26</v>
      </c>
      <c r="D39" s="81">
        <f>DATE(LS[[#This Row],[Year]],LS[[#This Row],[Month]],LS[[#This Row],[Day]])</f>
        <v>44983</v>
      </c>
      <c r="E39" t="str" cm="1">
        <f t="array" ref="E39">INDEX(INVESTORS_LIST[INVESTOR NAME],MATCH(LS[[#This Row],[Investor ID]],INVESTORS_LIST[INVESTOR CODE],0),)</f>
        <v>MADHAB GHOSH</v>
      </c>
      <c r="F39" s="83" t="s">
        <v>982</v>
      </c>
      <c r="G39" s="75">
        <f>COUNTIF(LS[[#Headers],[Investor ID]]:LS[[#This Row],[Investor ID]],LS[[#This Row],[Investor ID]])</f>
        <v>1</v>
      </c>
      <c r="H39" s="75" t="str">
        <f>CONCATENATE(LS[[#This Row],[Frequency]],LS[[#This Row],[Investor ID]])</f>
        <v>1A00468</v>
      </c>
      <c r="I39" s="75" t="str">
        <f>IF(LS[[#This Row],[B/S]]="B","BUY",(IF(LS[[#This Row],[B/S]]="S","SELL"," ")))</f>
        <v>BUY</v>
      </c>
      <c r="J39" s="75" t="s">
        <v>1229</v>
      </c>
      <c r="K39" s="88">
        <v>200000</v>
      </c>
      <c r="L39" s="88"/>
      <c r="M39" s="89">
        <f>LS[[#This Row],[Amount]]/LS[[#This Row],[Unit]]</f>
        <v>10</v>
      </c>
      <c r="N39" s="90">
        <f>LS[[#This Row],[Unit Capital]]/10</f>
        <v>20000</v>
      </c>
      <c r="O39" s="90">
        <f>SUMIFS(LS[[#Headers],[Unit]]:LS[[#This Row],[Unit]],LS[[#Headers],[Investor ID]]:LS[[#This Row],[Investor ID]],LS[[#This Row],[Investor ID]])</f>
        <v>20000</v>
      </c>
      <c r="P39" s="96">
        <v>200000</v>
      </c>
      <c r="Q39" s="48">
        <f>LS[[#This Row],[Amount]]-LS[[#This Row],[Unit Capital]]</f>
        <v>0</v>
      </c>
      <c r="R3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9" s="89">
        <f t="shared" si="0"/>
        <v>14.224</v>
      </c>
      <c r="T3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" s="96" cm="1">
        <f t="array" ref="U39">IF(LS[[#This Row],[B/S]]="S",ABS(LS[[#This Row],[Unit]])*(INDEX(LS[NAV at Cost (Average)],MATCH(CONCATENATE((LS[[#This Row],[Frequency]]-1),LS[[#This Row],[Investor ID]]),LS[Unique Code],0),0)),0)</f>
        <v>0</v>
      </c>
      <c r="V39" s="96">
        <f>IF(LS[[#This Row],[BO TRANSFER]]="YES",LS[[#This Row],[Unit]],)</f>
        <v>0</v>
      </c>
      <c r="W39" s="96">
        <f>SUMIFS(LS[[#Headers],[BO UNIT TRANSFER]]:LS[[#This Row],[BO UNIT TRANSFER]],LS[[#Headers],[Investor ID]]:LS[[#This Row],[Investor ID]],LS[[#This Row],[Investor ID]])</f>
        <v>0</v>
      </c>
    </row>
    <row r="40" spans="1:23">
      <c r="A40" s="75">
        <v>2023</v>
      </c>
      <c r="B40" s="75">
        <v>2</v>
      </c>
      <c r="C40" s="75">
        <v>26</v>
      </c>
      <c r="D40" s="81">
        <f>DATE(LS[[#This Row],[Year]],LS[[#This Row],[Month]],LS[[#This Row],[Day]])</f>
        <v>44983</v>
      </c>
      <c r="E40" t="str" cm="1">
        <f t="array" ref="E40">INDEX(INVESTORS_LIST[INVESTOR NAME],MATCH(LS[[#This Row],[Investor ID]],INVESTORS_LIST[INVESTOR CODE],0),)</f>
        <v>SATCOM IT LTD. PROVIDENT FUND</v>
      </c>
      <c r="F40" s="83" t="s">
        <v>150</v>
      </c>
      <c r="G40" s="75">
        <f>COUNTIF(LS[[#Headers],[Investor ID]]:LS[[#This Row],[Investor ID]],LS[[#This Row],[Investor ID]])</f>
        <v>1</v>
      </c>
      <c r="H40" s="75" t="str">
        <f>CONCATENATE(LS[[#This Row],[Frequency]],LS[[#This Row],[Investor ID]])</f>
        <v>1A00051</v>
      </c>
      <c r="I40" s="75" t="str">
        <f>IF(LS[[#This Row],[B/S]]="B","BUY",(IF(LS[[#This Row],[B/S]]="S","SELL"," ")))</f>
        <v>BUY</v>
      </c>
      <c r="J40" s="75" t="s">
        <v>1229</v>
      </c>
      <c r="K40" s="88">
        <v>1000000</v>
      </c>
      <c r="L40" s="88"/>
      <c r="M40" s="89">
        <f>LS[[#This Row],[Amount]]/LS[[#This Row],[Unit]]</f>
        <v>10</v>
      </c>
      <c r="N40" s="90">
        <f>LS[[#This Row],[Unit Capital]]/10</f>
        <v>100000</v>
      </c>
      <c r="O40" s="90">
        <f>SUMIFS(LS[[#Headers],[Unit]]:LS[[#This Row],[Unit]],LS[[#Headers],[Investor ID]]:LS[[#This Row],[Investor ID]],LS[[#This Row],[Investor ID]])</f>
        <v>100000</v>
      </c>
      <c r="P40" s="96">
        <v>1000000</v>
      </c>
      <c r="Q40" s="48">
        <f>LS[[#This Row],[Amount]]-LS[[#This Row],[Unit Capital]]</f>
        <v>0</v>
      </c>
      <c r="R4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0" s="89">
        <f t="shared" si="0"/>
        <v>14.224</v>
      </c>
      <c r="T4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" s="96" cm="1">
        <f t="array" ref="U40">IF(LS[[#This Row],[B/S]]="S",ABS(LS[[#This Row],[Unit]])*(INDEX(LS[NAV at Cost (Average)],MATCH(CONCATENATE((LS[[#This Row],[Frequency]]-1),LS[[#This Row],[Investor ID]]),LS[Unique Code],0),0)),0)</f>
        <v>0</v>
      </c>
      <c r="V40" s="96">
        <f>IF(LS[[#This Row],[BO TRANSFER]]="YES",LS[[#This Row],[Unit]],)</f>
        <v>0</v>
      </c>
      <c r="W40" s="96">
        <f>SUMIFS(LS[[#Headers],[BO UNIT TRANSFER]]:LS[[#This Row],[BO UNIT TRANSFER]],LS[[#Headers],[Investor ID]]:LS[[#This Row],[Investor ID]],LS[[#This Row],[Investor ID]])</f>
        <v>0</v>
      </c>
    </row>
    <row r="41" spans="1:23">
      <c r="A41" s="75">
        <v>2023</v>
      </c>
      <c r="B41" s="75">
        <v>2</v>
      </c>
      <c r="C41" s="75">
        <v>26</v>
      </c>
      <c r="D41" s="81">
        <f>DATE(LS[[#This Row],[Year]],LS[[#This Row],[Month]],LS[[#This Row],[Day]])</f>
        <v>44983</v>
      </c>
      <c r="E41" t="str" cm="1">
        <f t="array" ref="E41">INDEX(INVESTORS_LIST[INVESTOR NAME],MATCH(LS[[#This Row],[Investor ID]],INVESTORS_LIST[INVESTOR CODE],0),)</f>
        <v>FARZANA JITU</v>
      </c>
      <c r="F41" s="83" t="s">
        <v>968</v>
      </c>
      <c r="G41" s="75">
        <f>COUNTIF(LS[[#Headers],[Investor ID]]:LS[[#This Row],[Investor ID]],LS[[#This Row],[Investor ID]])</f>
        <v>1</v>
      </c>
      <c r="H41" s="75" t="str">
        <f>CONCATENATE(LS[[#This Row],[Frequency]],LS[[#This Row],[Investor ID]])</f>
        <v>1A00461</v>
      </c>
      <c r="I41" s="75" t="str">
        <f>IF(LS[[#This Row],[B/S]]="B","BUY",(IF(LS[[#This Row],[B/S]]="S","SELL"," ")))</f>
        <v>BUY</v>
      </c>
      <c r="J41" s="75" t="s">
        <v>1229</v>
      </c>
      <c r="K41" s="88">
        <v>100000</v>
      </c>
      <c r="L41" s="88"/>
      <c r="M41" s="89">
        <f>LS[[#This Row],[Amount]]/LS[[#This Row],[Unit]]</f>
        <v>10</v>
      </c>
      <c r="N41" s="90">
        <f>LS[[#This Row],[Unit Capital]]/10</f>
        <v>10000</v>
      </c>
      <c r="O41" s="90">
        <f>SUMIFS(LS[[#Headers],[Unit]]:LS[[#This Row],[Unit]],LS[[#Headers],[Investor ID]]:LS[[#This Row],[Investor ID]],LS[[#This Row],[Investor ID]])</f>
        <v>10000</v>
      </c>
      <c r="P41" s="96">
        <v>100000</v>
      </c>
      <c r="Q41" s="48">
        <f>LS[[#This Row],[Amount]]-LS[[#This Row],[Unit Capital]]</f>
        <v>0</v>
      </c>
      <c r="R4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1" s="89">
        <f t="shared" si="0"/>
        <v>14.224</v>
      </c>
      <c r="T4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" s="96" cm="1">
        <f t="array" ref="U41">IF(LS[[#This Row],[B/S]]="S",ABS(LS[[#This Row],[Unit]])*(INDEX(LS[NAV at Cost (Average)],MATCH(CONCATENATE((LS[[#This Row],[Frequency]]-1),LS[[#This Row],[Investor ID]]),LS[Unique Code],0),0)),0)</f>
        <v>0</v>
      </c>
      <c r="V41" s="96">
        <f>IF(LS[[#This Row],[BO TRANSFER]]="YES",LS[[#This Row],[Unit]],)</f>
        <v>0</v>
      </c>
      <c r="W41" s="96">
        <f>SUMIFS(LS[[#Headers],[BO UNIT TRANSFER]]:LS[[#This Row],[BO UNIT TRANSFER]],LS[[#Headers],[Investor ID]]:LS[[#This Row],[Investor ID]],LS[[#This Row],[Investor ID]])</f>
        <v>0</v>
      </c>
    </row>
    <row r="42" spans="1:23">
      <c r="A42" s="75">
        <v>2023</v>
      </c>
      <c r="B42" s="75">
        <v>2</v>
      </c>
      <c r="C42" s="75">
        <v>26</v>
      </c>
      <c r="D42" s="81">
        <f>DATE(LS[[#This Row],[Year]],LS[[#This Row],[Month]],LS[[#This Row],[Day]])</f>
        <v>44983</v>
      </c>
      <c r="E42" t="str" cm="1">
        <f t="array" ref="E42">INDEX(INVESTORS_LIST[INVESTOR NAME],MATCH(LS[[#This Row],[Investor ID]],INVESTORS_LIST[INVESTOR CODE],0),)</f>
        <v>HAFIZA AFRIN TONNY</v>
      </c>
      <c r="F42" s="83" t="s">
        <v>766</v>
      </c>
      <c r="G42" s="75">
        <f>COUNTIF(LS[[#Headers],[Investor ID]]:LS[[#This Row],[Investor ID]],LS[[#This Row],[Investor ID]])</f>
        <v>1</v>
      </c>
      <c r="H42" s="75" t="str">
        <f>CONCATENATE(LS[[#This Row],[Frequency]],LS[[#This Row],[Investor ID]])</f>
        <v>1A00359</v>
      </c>
      <c r="I42" s="75" t="str">
        <f>IF(LS[[#This Row],[B/S]]="B","BUY",(IF(LS[[#This Row],[B/S]]="S","SELL"," ")))</f>
        <v>BUY</v>
      </c>
      <c r="J42" s="75" t="s">
        <v>1229</v>
      </c>
      <c r="K42" s="88">
        <v>100000</v>
      </c>
      <c r="L42" s="88"/>
      <c r="M42" s="89">
        <f>LS[[#This Row],[Amount]]/LS[[#This Row],[Unit]]</f>
        <v>10</v>
      </c>
      <c r="N42" s="90">
        <f>LS[[#This Row],[Unit Capital]]/10</f>
        <v>10000</v>
      </c>
      <c r="O42" s="90">
        <f>SUMIFS(LS[[#Headers],[Unit]]:LS[[#This Row],[Unit]],LS[[#Headers],[Investor ID]]:LS[[#This Row],[Investor ID]],LS[[#This Row],[Investor ID]])</f>
        <v>10000</v>
      </c>
      <c r="P42" s="96">
        <v>100000</v>
      </c>
      <c r="Q42" s="48">
        <f>LS[[#This Row],[Amount]]-LS[[#This Row],[Unit Capital]]</f>
        <v>0</v>
      </c>
      <c r="R4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2" s="89">
        <f t="shared" si="0"/>
        <v>14.224</v>
      </c>
      <c r="T4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" s="96" cm="1">
        <f t="array" ref="U42">IF(LS[[#This Row],[B/S]]="S",ABS(LS[[#This Row],[Unit]])*(INDEX(LS[NAV at Cost (Average)],MATCH(CONCATENATE((LS[[#This Row],[Frequency]]-1),LS[[#This Row],[Investor ID]]),LS[Unique Code],0),0)),0)</f>
        <v>0</v>
      </c>
      <c r="V42" s="96">
        <f>IF(LS[[#This Row],[BO TRANSFER]]="YES",LS[[#This Row],[Unit]],)</f>
        <v>0</v>
      </c>
      <c r="W42" s="96">
        <f>SUMIFS(LS[[#Headers],[BO UNIT TRANSFER]]:LS[[#This Row],[BO UNIT TRANSFER]],LS[[#Headers],[Investor ID]]:LS[[#This Row],[Investor ID]],LS[[#This Row],[Investor ID]])</f>
        <v>0</v>
      </c>
    </row>
    <row r="43" spans="1:23">
      <c r="A43" s="75">
        <v>2023</v>
      </c>
      <c r="B43" s="75">
        <v>2</v>
      </c>
      <c r="C43" s="75">
        <v>26</v>
      </c>
      <c r="D43" s="81">
        <f>DATE(LS[[#This Row],[Year]],LS[[#This Row],[Month]],LS[[#This Row],[Day]])</f>
        <v>44983</v>
      </c>
      <c r="E43" t="str" cm="1">
        <f t="array" ref="E43">INDEX(INVESTORS_LIST[INVESTOR NAME],MATCH(LS[[#This Row],[Investor ID]],INVESTORS_LIST[INVESTOR CODE],0),)</f>
        <v>MAYA RANI SAHA</v>
      </c>
      <c r="F43" s="83" t="s">
        <v>224</v>
      </c>
      <c r="G43" s="75">
        <f>COUNTIF(LS[[#Headers],[Investor ID]]:LS[[#This Row],[Investor ID]],LS[[#This Row],[Investor ID]])</f>
        <v>1</v>
      </c>
      <c r="H43" s="75" t="str">
        <f>CONCATENATE(LS[[#This Row],[Frequency]],LS[[#This Row],[Investor ID]])</f>
        <v>1A00088</v>
      </c>
      <c r="I43" s="75" t="str">
        <f>IF(LS[[#This Row],[B/S]]="B","BUY",(IF(LS[[#This Row],[B/S]]="S","SELL"," ")))</f>
        <v>BUY</v>
      </c>
      <c r="J43" s="75" t="s">
        <v>1229</v>
      </c>
      <c r="K43" s="88">
        <v>400000</v>
      </c>
      <c r="L43" s="88"/>
      <c r="M43" s="89">
        <f>LS[[#This Row],[Amount]]/LS[[#This Row],[Unit]]</f>
        <v>10</v>
      </c>
      <c r="N43" s="90">
        <f>LS[[#This Row],[Unit Capital]]/10</f>
        <v>40000</v>
      </c>
      <c r="O43" s="90">
        <f>SUMIFS(LS[[#Headers],[Unit]]:LS[[#This Row],[Unit]],LS[[#Headers],[Investor ID]]:LS[[#This Row],[Investor ID]],LS[[#This Row],[Investor ID]])</f>
        <v>40000</v>
      </c>
      <c r="P43" s="96">
        <v>400000</v>
      </c>
      <c r="Q43" s="48">
        <f>LS[[#This Row],[Amount]]-LS[[#This Row],[Unit Capital]]</f>
        <v>0</v>
      </c>
      <c r="R4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3" s="89">
        <f t="shared" si="0"/>
        <v>14.224</v>
      </c>
      <c r="T4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" s="96" cm="1">
        <f t="array" ref="U43">IF(LS[[#This Row],[B/S]]="S",ABS(LS[[#This Row],[Unit]])*(INDEX(LS[NAV at Cost (Average)],MATCH(CONCATENATE((LS[[#This Row],[Frequency]]-1),LS[[#This Row],[Investor ID]]),LS[Unique Code],0),0)),0)</f>
        <v>0</v>
      </c>
      <c r="V43" s="96">
        <f>IF(LS[[#This Row],[BO TRANSFER]]="YES",LS[[#This Row],[Unit]],)</f>
        <v>0</v>
      </c>
      <c r="W43" s="96">
        <f>SUMIFS(LS[[#Headers],[BO UNIT TRANSFER]]:LS[[#This Row],[BO UNIT TRANSFER]],LS[[#Headers],[Investor ID]]:LS[[#This Row],[Investor ID]],LS[[#This Row],[Investor ID]])</f>
        <v>0</v>
      </c>
    </row>
    <row r="44" spans="1:23">
      <c r="A44" s="75">
        <v>2023</v>
      </c>
      <c r="B44" s="75">
        <v>2</v>
      </c>
      <c r="C44" s="75">
        <v>26</v>
      </c>
      <c r="D44" s="81">
        <f>DATE(LS[[#This Row],[Year]],LS[[#This Row],[Month]],LS[[#This Row],[Day]])</f>
        <v>44983</v>
      </c>
      <c r="E44" t="str" cm="1">
        <f t="array" ref="E44">INDEX(INVESTORS_LIST[INVESTOR NAME],MATCH(LS[[#This Row],[Investor ID]],INVESTORS_LIST[INVESTOR CODE],0),)</f>
        <v>UMME SAIKA NILA</v>
      </c>
      <c r="F44" s="83" t="s">
        <v>972</v>
      </c>
      <c r="G44" s="75">
        <f>COUNTIF(LS[[#Headers],[Investor ID]]:LS[[#This Row],[Investor ID]],LS[[#This Row],[Investor ID]])</f>
        <v>1</v>
      </c>
      <c r="H44" s="75" t="str">
        <f>CONCATENATE(LS[[#This Row],[Frequency]],LS[[#This Row],[Investor ID]])</f>
        <v>1A00463</v>
      </c>
      <c r="I44" s="75" t="str">
        <f>IF(LS[[#This Row],[B/S]]="B","BUY",(IF(LS[[#This Row],[B/S]]="S","SELL"," ")))</f>
        <v>BUY</v>
      </c>
      <c r="J44" s="75" t="s">
        <v>1229</v>
      </c>
      <c r="K44" s="88">
        <v>500000</v>
      </c>
      <c r="L44" s="88"/>
      <c r="M44" s="89">
        <f>LS[[#This Row],[Amount]]/LS[[#This Row],[Unit]]</f>
        <v>10</v>
      </c>
      <c r="N44" s="90">
        <f>LS[[#This Row],[Unit Capital]]/10</f>
        <v>50000</v>
      </c>
      <c r="O44" s="90">
        <f>SUMIFS(LS[[#Headers],[Unit]]:LS[[#This Row],[Unit]],LS[[#Headers],[Investor ID]]:LS[[#This Row],[Investor ID]],LS[[#This Row],[Investor ID]])</f>
        <v>50000</v>
      </c>
      <c r="P44" s="96">
        <v>500000</v>
      </c>
      <c r="Q44" s="48">
        <f>LS[[#This Row],[Amount]]-LS[[#This Row],[Unit Capital]]</f>
        <v>0</v>
      </c>
      <c r="R4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4" s="89">
        <f t="shared" si="0"/>
        <v>14.224</v>
      </c>
      <c r="T4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" s="96" cm="1">
        <f t="array" ref="U44">IF(LS[[#This Row],[B/S]]="S",ABS(LS[[#This Row],[Unit]])*(INDEX(LS[NAV at Cost (Average)],MATCH(CONCATENATE((LS[[#This Row],[Frequency]]-1),LS[[#This Row],[Investor ID]]),LS[Unique Code],0),0)),0)</f>
        <v>0</v>
      </c>
      <c r="V44" s="96">
        <f>IF(LS[[#This Row],[BO TRANSFER]]="YES",LS[[#This Row],[Unit]],)</f>
        <v>0</v>
      </c>
      <c r="W44" s="96">
        <f>SUMIFS(LS[[#Headers],[BO UNIT TRANSFER]]:LS[[#This Row],[BO UNIT TRANSFER]],LS[[#Headers],[Investor ID]]:LS[[#This Row],[Investor ID]],LS[[#This Row],[Investor ID]])</f>
        <v>0</v>
      </c>
    </row>
    <row r="45" spans="1:23">
      <c r="A45" s="75">
        <v>2023</v>
      </c>
      <c r="B45" s="75">
        <v>2</v>
      </c>
      <c r="C45" s="75">
        <v>26</v>
      </c>
      <c r="D45" s="81">
        <f>DATE(LS[[#This Row],[Year]],LS[[#This Row],[Month]],LS[[#This Row],[Day]])</f>
        <v>44983</v>
      </c>
      <c r="E45" t="str" cm="1">
        <f t="array" ref="E45">INDEX(INVESTORS_LIST[INVESTOR NAME],MATCH(LS[[#This Row],[Investor ID]],INVESTORS_LIST[INVESTOR CODE],0),)</f>
        <v>MD. SHAHIDUL ISLAM</v>
      </c>
      <c r="F45" s="83" t="s">
        <v>101</v>
      </c>
      <c r="G45" s="75">
        <f>COUNTIF(LS[[#Headers],[Investor ID]]:LS[[#This Row],[Investor ID]],LS[[#This Row],[Investor ID]])</f>
        <v>1</v>
      </c>
      <c r="H45" s="75" t="str">
        <f>CONCATENATE(LS[[#This Row],[Frequency]],LS[[#This Row],[Investor ID]])</f>
        <v>1A00027</v>
      </c>
      <c r="I45" s="75" t="str">
        <f>IF(LS[[#This Row],[B/S]]="B","BUY",(IF(LS[[#This Row],[B/S]]="S","SELL"," ")))</f>
        <v>BUY</v>
      </c>
      <c r="J45" s="75" t="s">
        <v>1229</v>
      </c>
      <c r="K45" s="88">
        <v>500000</v>
      </c>
      <c r="L45" s="88"/>
      <c r="M45" s="89">
        <f>LS[[#This Row],[Amount]]/LS[[#This Row],[Unit]]</f>
        <v>10</v>
      </c>
      <c r="N45" s="90">
        <f>LS[[#This Row],[Unit Capital]]/10</f>
        <v>50000</v>
      </c>
      <c r="O45" s="90">
        <f>SUMIFS(LS[[#Headers],[Unit]]:LS[[#This Row],[Unit]],LS[[#Headers],[Investor ID]]:LS[[#This Row],[Investor ID]],LS[[#This Row],[Investor ID]])</f>
        <v>50000</v>
      </c>
      <c r="P45" s="96">
        <v>500000</v>
      </c>
      <c r="Q45" s="48">
        <f>LS[[#This Row],[Amount]]-LS[[#This Row],[Unit Capital]]</f>
        <v>0</v>
      </c>
      <c r="R4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5" s="89">
        <f t="shared" si="0"/>
        <v>14.224</v>
      </c>
      <c r="T4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" s="96" cm="1">
        <f t="array" ref="U45">IF(LS[[#This Row],[B/S]]="S",ABS(LS[[#This Row],[Unit]])*(INDEX(LS[NAV at Cost (Average)],MATCH(CONCATENATE((LS[[#This Row],[Frequency]]-1),LS[[#This Row],[Investor ID]]),LS[Unique Code],0),0)),0)</f>
        <v>0</v>
      </c>
      <c r="V45" s="96">
        <f>IF(LS[[#This Row],[BO TRANSFER]]="YES",LS[[#This Row],[Unit]],)</f>
        <v>0</v>
      </c>
      <c r="W45" s="96">
        <f>SUMIFS(LS[[#Headers],[BO UNIT TRANSFER]]:LS[[#This Row],[BO UNIT TRANSFER]],LS[[#Headers],[Investor ID]]:LS[[#This Row],[Investor ID]],LS[[#This Row],[Investor ID]])</f>
        <v>0</v>
      </c>
    </row>
    <row r="46" spans="1:23">
      <c r="A46" s="75">
        <v>2023</v>
      </c>
      <c r="B46" s="75">
        <v>2</v>
      </c>
      <c r="C46" s="75">
        <v>27</v>
      </c>
      <c r="D46" s="81">
        <f>DATE(LS[[#This Row],[Year]],LS[[#This Row],[Month]],LS[[#This Row],[Day]])</f>
        <v>44984</v>
      </c>
      <c r="E46" t="str" cm="1">
        <f t="array" ref="E46">INDEX(INVESTORS_LIST[INVESTOR NAME],MATCH(LS[[#This Row],[Investor ID]],INVESTORS_LIST[INVESTOR CODE],0),)</f>
        <v>MOIN UDDIN SIDDIQUE</v>
      </c>
      <c r="F46" s="83" t="s">
        <v>966</v>
      </c>
      <c r="G46" s="75">
        <f>COUNTIF(LS[[#Headers],[Investor ID]]:LS[[#This Row],[Investor ID]],LS[[#This Row],[Investor ID]])</f>
        <v>1</v>
      </c>
      <c r="H46" s="75" t="str">
        <f>CONCATENATE(LS[[#This Row],[Frequency]],LS[[#This Row],[Investor ID]])</f>
        <v>1A00460</v>
      </c>
      <c r="I46" s="75" t="str">
        <f>IF(LS[[#This Row],[B/S]]="B","BUY",(IF(LS[[#This Row],[B/S]]="S","SELL"," ")))</f>
        <v>BUY</v>
      </c>
      <c r="J46" s="75" t="s">
        <v>1229</v>
      </c>
      <c r="K46" s="88">
        <v>50000</v>
      </c>
      <c r="L46" s="88"/>
      <c r="M46" s="89">
        <f>LS[[#This Row],[Amount]]/LS[[#This Row],[Unit]]</f>
        <v>10</v>
      </c>
      <c r="N46" s="90">
        <f>LS[[#This Row],[Unit Capital]]/10</f>
        <v>5000</v>
      </c>
      <c r="O46" s="90">
        <f>SUMIFS(LS[[#Headers],[Unit]]:LS[[#This Row],[Unit]],LS[[#Headers],[Investor ID]]:LS[[#This Row],[Investor ID]],LS[[#This Row],[Investor ID]])</f>
        <v>5000</v>
      </c>
      <c r="P46" s="96">
        <v>50000</v>
      </c>
      <c r="Q46" s="48">
        <f>LS[[#This Row],[Amount]]-LS[[#This Row],[Unit Capital]]</f>
        <v>0</v>
      </c>
      <c r="R4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6" s="89">
        <f t="shared" si="0"/>
        <v>14.224</v>
      </c>
      <c r="T4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" s="96" cm="1">
        <f t="array" ref="U46">IF(LS[[#This Row],[B/S]]="S",ABS(LS[[#This Row],[Unit]])*(INDEX(LS[NAV at Cost (Average)],MATCH(CONCATENATE((LS[[#This Row],[Frequency]]-1),LS[[#This Row],[Investor ID]]),LS[Unique Code],0),0)),0)</f>
        <v>0</v>
      </c>
      <c r="V46" s="96">
        <f>IF(LS[[#This Row],[BO TRANSFER]]="YES",LS[[#This Row],[Unit]],)</f>
        <v>0</v>
      </c>
      <c r="W46" s="96">
        <f>SUMIFS(LS[[#Headers],[BO UNIT TRANSFER]]:LS[[#This Row],[BO UNIT TRANSFER]],LS[[#Headers],[Investor ID]]:LS[[#This Row],[Investor ID]],LS[[#This Row],[Investor ID]])</f>
        <v>0</v>
      </c>
    </row>
    <row r="47" spans="1:23">
      <c r="A47" s="75">
        <v>2023</v>
      </c>
      <c r="B47" s="75">
        <v>2</v>
      </c>
      <c r="C47" s="75">
        <v>27</v>
      </c>
      <c r="D47" s="81">
        <f>DATE(LS[[#This Row],[Year]],LS[[#This Row],[Month]],LS[[#This Row],[Day]])</f>
        <v>44984</v>
      </c>
      <c r="E47" t="str" cm="1">
        <f t="array" ref="E47">INDEX(INVESTORS_LIST[INVESTOR NAME],MATCH(LS[[#This Row],[Investor ID]],INVESTORS_LIST[INVESTOR CODE],0),)</f>
        <v>MOHAMMAD HUMAYAN RASHID</v>
      </c>
      <c r="F47" s="83" t="s">
        <v>974</v>
      </c>
      <c r="G47" s="75">
        <f>COUNTIF(LS[[#Headers],[Investor ID]]:LS[[#This Row],[Investor ID]],LS[[#This Row],[Investor ID]])</f>
        <v>1</v>
      </c>
      <c r="H47" s="75" t="str">
        <f>CONCATENATE(LS[[#This Row],[Frequency]],LS[[#This Row],[Investor ID]])</f>
        <v>1A00464</v>
      </c>
      <c r="I47" s="75" t="str">
        <f>IF(LS[[#This Row],[B/S]]="B","BUY",(IF(LS[[#This Row],[B/S]]="S","SELL"," ")))</f>
        <v>BUY</v>
      </c>
      <c r="J47" s="75" t="s">
        <v>1229</v>
      </c>
      <c r="K47" s="88">
        <v>600000</v>
      </c>
      <c r="L47" s="88"/>
      <c r="M47" s="89">
        <f>LS[[#This Row],[Amount]]/LS[[#This Row],[Unit]]</f>
        <v>10</v>
      </c>
      <c r="N47" s="90">
        <f>LS[[#This Row],[Unit Capital]]/10</f>
        <v>60000</v>
      </c>
      <c r="O47" s="90">
        <f>SUMIFS(LS[[#Headers],[Unit]]:LS[[#This Row],[Unit]],LS[[#Headers],[Investor ID]]:LS[[#This Row],[Investor ID]],LS[[#This Row],[Investor ID]])</f>
        <v>60000</v>
      </c>
      <c r="P47" s="96">
        <v>600000</v>
      </c>
      <c r="Q47" s="48">
        <f>LS[[#This Row],[Amount]]-LS[[#This Row],[Unit Capital]]</f>
        <v>0</v>
      </c>
      <c r="R4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7" s="89">
        <f t="shared" si="0"/>
        <v>14.224</v>
      </c>
      <c r="T4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" s="96" cm="1">
        <f t="array" ref="U47">IF(LS[[#This Row],[B/S]]="S",ABS(LS[[#This Row],[Unit]])*(INDEX(LS[NAV at Cost (Average)],MATCH(CONCATENATE((LS[[#This Row],[Frequency]]-1),LS[[#This Row],[Investor ID]]),LS[Unique Code],0),0)),0)</f>
        <v>0</v>
      </c>
      <c r="V47" s="96">
        <f>IF(LS[[#This Row],[BO TRANSFER]]="YES",LS[[#This Row],[Unit]],)</f>
        <v>0</v>
      </c>
      <c r="W47" s="96">
        <f>SUMIFS(LS[[#Headers],[BO UNIT TRANSFER]]:LS[[#This Row],[BO UNIT TRANSFER]],LS[[#Headers],[Investor ID]]:LS[[#This Row],[Investor ID]],LS[[#This Row],[Investor ID]])</f>
        <v>0</v>
      </c>
    </row>
    <row r="48" spans="1:23">
      <c r="A48" s="75">
        <v>2023</v>
      </c>
      <c r="B48" s="75">
        <v>2</v>
      </c>
      <c r="C48" s="75">
        <v>27</v>
      </c>
      <c r="D48" s="81">
        <f>DATE(LS[[#This Row],[Year]],LS[[#This Row],[Month]],LS[[#This Row],[Day]])</f>
        <v>44984</v>
      </c>
      <c r="E48" t="str" cm="1">
        <f t="array" ref="E48">INDEX(INVESTORS_LIST[INVESTOR NAME],MATCH(LS[[#This Row],[Investor ID]],INVESTORS_LIST[INVESTOR CODE],0),)</f>
        <v>AMIT KANTI SARKER</v>
      </c>
      <c r="F48" s="83" t="s">
        <v>364</v>
      </c>
      <c r="G48" s="75">
        <f>COUNTIF(LS[[#Headers],[Investor ID]]:LS[[#This Row],[Investor ID]],LS[[#This Row],[Investor ID]])</f>
        <v>1</v>
      </c>
      <c r="H48" s="75" t="str">
        <f>CONCATENATE(LS[[#This Row],[Frequency]],LS[[#This Row],[Investor ID]])</f>
        <v>1A00158</v>
      </c>
      <c r="I48" s="75" t="str">
        <f>IF(LS[[#This Row],[B/S]]="B","BUY",(IF(LS[[#This Row],[B/S]]="S","SELL"," ")))</f>
        <v>BUY</v>
      </c>
      <c r="J48" s="75" t="s">
        <v>1229</v>
      </c>
      <c r="K48" s="88">
        <v>500000</v>
      </c>
      <c r="L48" s="88"/>
      <c r="M48" s="89">
        <f>LS[[#This Row],[Amount]]/LS[[#This Row],[Unit]]</f>
        <v>10</v>
      </c>
      <c r="N48" s="90">
        <f>LS[[#This Row],[Unit Capital]]/10</f>
        <v>50000</v>
      </c>
      <c r="O48" s="90">
        <f>SUMIFS(LS[[#Headers],[Unit]]:LS[[#This Row],[Unit]],LS[[#Headers],[Investor ID]]:LS[[#This Row],[Investor ID]],LS[[#This Row],[Investor ID]])</f>
        <v>50000</v>
      </c>
      <c r="P48" s="96">
        <v>500000</v>
      </c>
      <c r="Q48" s="48">
        <f>LS[[#This Row],[Amount]]-LS[[#This Row],[Unit Capital]]</f>
        <v>0</v>
      </c>
      <c r="R4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8" s="89">
        <f t="shared" si="0"/>
        <v>14.224</v>
      </c>
      <c r="T4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" s="96" cm="1">
        <f t="array" ref="U48">IF(LS[[#This Row],[B/S]]="S",ABS(LS[[#This Row],[Unit]])*(INDEX(LS[NAV at Cost (Average)],MATCH(CONCATENATE((LS[[#This Row],[Frequency]]-1),LS[[#This Row],[Investor ID]]),LS[Unique Code],0),0)),0)</f>
        <v>0</v>
      </c>
      <c r="V48" s="96">
        <f>IF(LS[[#This Row],[BO TRANSFER]]="YES",LS[[#This Row],[Unit]],)</f>
        <v>0</v>
      </c>
      <c r="W48" s="96">
        <f>SUMIFS(LS[[#Headers],[BO UNIT TRANSFER]]:LS[[#This Row],[BO UNIT TRANSFER]],LS[[#Headers],[Investor ID]]:LS[[#This Row],[Investor ID]],LS[[#This Row],[Investor ID]])</f>
        <v>0</v>
      </c>
    </row>
    <row r="49" spans="1:23">
      <c r="A49" s="75">
        <v>2023</v>
      </c>
      <c r="B49" s="75">
        <v>2</v>
      </c>
      <c r="C49" s="75">
        <v>27</v>
      </c>
      <c r="D49" s="81">
        <f>DATE(LS[[#This Row],[Year]],LS[[#This Row],[Month]],LS[[#This Row],[Day]])</f>
        <v>44984</v>
      </c>
      <c r="E49" t="str" cm="1">
        <f t="array" ref="E49">INDEX(INVESTORS_LIST[INVESTOR NAME],MATCH(LS[[#This Row],[Investor ID]],INVESTORS_LIST[INVESTOR CODE],0),)</f>
        <v>JOY SHREE SAHA</v>
      </c>
      <c r="F49" s="83" t="s">
        <v>575</v>
      </c>
      <c r="G49" s="75">
        <f>COUNTIF(LS[[#Headers],[Investor ID]]:LS[[#This Row],[Investor ID]],LS[[#This Row],[Investor ID]])</f>
        <v>1</v>
      </c>
      <c r="H49" s="75" t="str">
        <f>CONCATENATE(LS[[#This Row],[Frequency]],LS[[#This Row],[Investor ID]])</f>
        <v>1A00263</v>
      </c>
      <c r="I49" s="75" t="str">
        <f>IF(LS[[#This Row],[B/S]]="B","BUY",(IF(LS[[#This Row],[B/S]]="S","SELL"," ")))</f>
        <v>BUY</v>
      </c>
      <c r="J49" s="75" t="s">
        <v>1229</v>
      </c>
      <c r="K49" s="88">
        <v>800000</v>
      </c>
      <c r="L49" s="88"/>
      <c r="M49" s="89">
        <f>LS[[#This Row],[Amount]]/LS[[#This Row],[Unit]]</f>
        <v>10</v>
      </c>
      <c r="N49" s="90">
        <f>LS[[#This Row],[Unit Capital]]/10</f>
        <v>80000</v>
      </c>
      <c r="O49" s="90">
        <f>SUMIFS(LS[[#Headers],[Unit]]:LS[[#This Row],[Unit]],LS[[#Headers],[Investor ID]]:LS[[#This Row],[Investor ID]],LS[[#This Row],[Investor ID]])</f>
        <v>80000</v>
      </c>
      <c r="P49" s="96">
        <v>800000</v>
      </c>
      <c r="Q49" s="48">
        <f>LS[[#This Row],[Amount]]-LS[[#This Row],[Unit Capital]]</f>
        <v>0</v>
      </c>
      <c r="R4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49" s="89">
        <f t="shared" si="0"/>
        <v>14.224</v>
      </c>
      <c r="T4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" s="96" cm="1">
        <f t="array" ref="U49">IF(LS[[#This Row],[B/S]]="S",ABS(LS[[#This Row],[Unit]])*(INDEX(LS[NAV at Cost (Average)],MATCH(CONCATENATE((LS[[#This Row],[Frequency]]-1),LS[[#This Row],[Investor ID]]),LS[Unique Code],0),0)),0)</f>
        <v>0</v>
      </c>
      <c r="V49" s="96">
        <f>IF(LS[[#This Row],[BO TRANSFER]]="YES",LS[[#This Row],[Unit]],)</f>
        <v>0</v>
      </c>
      <c r="W49" s="96">
        <f>SUMIFS(LS[[#Headers],[BO UNIT TRANSFER]]:LS[[#This Row],[BO UNIT TRANSFER]],LS[[#Headers],[Investor ID]]:LS[[#This Row],[Investor ID]],LS[[#This Row],[Investor ID]])</f>
        <v>0</v>
      </c>
    </row>
    <row r="50" spans="1:23">
      <c r="A50" s="75">
        <v>2023</v>
      </c>
      <c r="B50" s="75">
        <v>2</v>
      </c>
      <c r="C50" s="75">
        <v>27</v>
      </c>
      <c r="D50" s="81">
        <f>DATE(LS[[#This Row],[Year]],LS[[#This Row],[Month]],LS[[#This Row],[Day]])</f>
        <v>44984</v>
      </c>
      <c r="E50" t="str" cm="1">
        <f t="array" ref="E50">INDEX(INVESTORS_LIST[INVESTOR NAME],MATCH(LS[[#This Row],[Investor ID]],INVESTORS_LIST[INVESTOR CODE],0),)</f>
        <v>ABACI INVESTMENTS LTD. EC PROVIDENT FUND</v>
      </c>
      <c r="F50" s="83" t="s">
        <v>542</v>
      </c>
      <c r="G50" s="75">
        <f>COUNTIF(LS[[#Headers],[Investor ID]]:LS[[#This Row],[Investor ID]],LS[[#This Row],[Investor ID]])</f>
        <v>1</v>
      </c>
      <c r="H50" s="75" t="str">
        <f>CONCATENATE(LS[[#This Row],[Frequency]],LS[[#This Row],[Investor ID]])</f>
        <v>1A00246</v>
      </c>
      <c r="I50" s="75" t="str">
        <f>IF(LS[[#This Row],[B/S]]="B","BUY",(IF(LS[[#This Row],[B/S]]="S","SELL"," ")))</f>
        <v>BUY</v>
      </c>
      <c r="J50" s="75" t="s">
        <v>1229</v>
      </c>
      <c r="K50" s="88">
        <v>3000000</v>
      </c>
      <c r="L50" s="88"/>
      <c r="M50" s="89">
        <f>LS[[#This Row],[Amount]]/LS[[#This Row],[Unit]]</f>
        <v>10</v>
      </c>
      <c r="N50" s="90">
        <f>LS[[#This Row],[Unit Capital]]/10</f>
        <v>300000</v>
      </c>
      <c r="O50" s="90">
        <f>SUMIFS(LS[[#Headers],[Unit]]:LS[[#This Row],[Unit]],LS[[#Headers],[Investor ID]]:LS[[#This Row],[Investor ID]],LS[[#This Row],[Investor ID]])</f>
        <v>300000</v>
      </c>
      <c r="P50" s="96">
        <v>3000000</v>
      </c>
      <c r="Q50" s="48">
        <f>LS[[#This Row],[Amount]]-LS[[#This Row],[Unit Capital]]</f>
        <v>0</v>
      </c>
      <c r="R5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0" s="89">
        <f t="shared" si="0"/>
        <v>14.224</v>
      </c>
      <c r="T5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" s="96" cm="1">
        <f t="array" ref="U50">IF(LS[[#This Row],[B/S]]="S",ABS(LS[[#This Row],[Unit]])*(INDEX(LS[NAV at Cost (Average)],MATCH(CONCATENATE((LS[[#This Row],[Frequency]]-1),LS[[#This Row],[Investor ID]]),LS[Unique Code],0),0)),0)</f>
        <v>0</v>
      </c>
      <c r="V50" s="96">
        <f>IF(LS[[#This Row],[BO TRANSFER]]="YES",LS[[#This Row],[Unit]],)</f>
        <v>0</v>
      </c>
      <c r="W50" s="96">
        <f>SUMIFS(LS[[#Headers],[BO UNIT TRANSFER]]:LS[[#This Row],[BO UNIT TRANSFER]],LS[[#Headers],[Investor ID]]:LS[[#This Row],[Investor ID]],LS[[#This Row],[Investor ID]])</f>
        <v>0</v>
      </c>
    </row>
    <row r="51" spans="1:23">
      <c r="A51" s="75">
        <v>2023</v>
      </c>
      <c r="B51" s="75">
        <v>2</v>
      </c>
      <c r="C51" s="75">
        <v>27</v>
      </c>
      <c r="D51" s="81">
        <f>DATE(LS[[#This Row],[Year]],LS[[#This Row],[Month]],LS[[#This Row],[Day]])</f>
        <v>44984</v>
      </c>
      <c r="E51" t="str" cm="1">
        <f t="array" ref="E51">INDEX(INVESTORS_LIST[INVESTOR NAME],MATCH(LS[[#This Row],[Investor ID]],INVESTORS_LIST[INVESTOR CODE],0),)</f>
        <v>SHUVA SAHA</v>
      </c>
      <c r="F51" s="83" t="s">
        <v>154</v>
      </c>
      <c r="G51" s="75">
        <f>COUNTIF(LS[[#Headers],[Investor ID]]:LS[[#This Row],[Investor ID]],LS[[#This Row],[Investor ID]])</f>
        <v>1</v>
      </c>
      <c r="H51" s="75" t="str">
        <f>CONCATENATE(LS[[#This Row],[Frequency]],LS[[#This Row],[Investor ID]])</f>
        <v>1A00053</v>
      </c>
      <c r="I51" s="75" t="str">
        <f>IF(LS[[#This Row],[B/S]]="B","BUY",(IF(LS[[#This Row],[B/S]]="S","SELL"," ")))</f>
        <v>BUY</v>
      </c>
      <c r="J51" s="75" t="s">
        <v>1229</v>
      </c>
      <c r="K51" s="88">
        <v>100000</v>
      </c>
      <c r="L51" s="88"/>
      <c r="M51" s="89">
        <f>LS[[#This Row],[Amount]]/LS[[#This Row],[Unit]]</f>
        <v>10</v>
      </c>
      <c r="N51" s="90">
        <f>LS[[#This Row],[Unit Capital]]/10</f>
        <v>10000</v>
      </c>
      <c r="O51" s="90">
        <f>SUMIFS(LS[[#Headers],[Unit]]:LS[[#This Row],[Unit]],LS[[#Headers],[Investor ID]]:LS[[#This Row],[Investor ID]],LS[[#This Row],[Investor ID]])</f>
        <v>10000</v>
      </c>
      <c r="P51" s="96">
        <v>100000</v>
      </c>
      <c r="Q51" s="48">
        <f>LS[[#This Row],[Amount]]-LS[[#This Row],[Unit Capital]]</f>
        <v>0</v>
      </c>
      <c r="R5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1" s="89">
        <f t="shared" si="0"/>
        <v>14.224</v>
      </c>
      <c r="T5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" s="96" cm="1">
        <f t="array" ref="U51">IF(LS[[#This Row],[B/S]]="S",ABS(LS[[#This Row],[Unit]])*(INDEX(LS[NAV at Cost (Average)],MATCH(CONCATENATE((LS[[#This Row],[Frequency]]-1),LS[[#This Row],[Investor ID]]),LS[Unique Code],0),0)),0)</f>
        <v>0</v>
      </c>
      <c r="V51" s="96">
        <f>IF(LS[[#This Row],[BO TRANSFER]]="YES",LS[[#This Row],[Unit]],)</f>
        <v>0</v>
      </c>
      <c r="W51" s="96">
        <f>SUMIFS(LS[[#Headers],[BO UNIT TRANSFER]]:LS[[#This Row],[BO UNIT TRANSFER]],LS[[#Headers],[Investor ID]]:LS[[#This Row],[Investor ID]],LS[[#This Row],[Investor ID]])</f>
        <v>0</v>
      </c>
    </row>
    <row r="52" spans="1:23">
      <c r="A52" s="75">
        <v>2023</v>
      </c>
      <c r="B52" s="75">
        <v>2</v>
      </c>
      <c r="C52" s="75">
        <v>27</v>
      </c>
      <c r="D52" s="81">
        <f>DATE(LS[[#This Row],[Year]],LS[[#This Row],[Month]],LS[[#This Row],[Day]])</f>
        <v>44984</v>
      </c>
      <c r="E52" t="str" cm="1">
        <f t="array" ref="E52">INDEX(INVESTORS_LIST[INVESTOR NAME],MATCH(LS[[#This Row],[Investor ID]],INVESTORS_LIST[INVESTOR CODE],0),)</f>
        <v>SAMS SAIYADENA ZEESHA</v>
      </c>
      <c r="F52" s="83" t="s">
        <v>958</v>
      </c>
      <c r="G52" s="75">
        <f>COUNTIF(LS[[#Headers],[Investor ID]]:LS[[#This Row],[Investor ID]],LS[[#This Row],[Investor ID]])</f>
        <v>3</v>
      </c>
      <c r="H52" s="75" t="str">
        <f>CONCATENATE(LS[[#This Row],[Frequency]],LS[[#This Row],[Investor ID]])</f>
        <v>3A00456</v>
      </c>
      <c r="I52" s="75" t="str">
        <f>IF(LS[[#This Row],[B/S]]="B","BUY",(IF(LS[[#This Row],[B/S]]="S","SELL"," ")))</f>
        <v>BUY</v>
      </c>
      <c r="J52" s="75" t="s">
        <v>1229</v>
      </c>
      <c r="K52" s="88">
        <v>30000</v>
      </c>
      <c r="L52" s="88"/>
      <c r="M52" s="89">
        <f>LS[[#This Row],[Amount]]/LS[[#This Row],[Unit]]</f>
        <v>10</v>
      </c>
      <c r="N52" s="90">
        <f>LS[[#This Row],[Unit Capital]]/10</f>
        <v>3000</v>
      </c>
      <c r="O52" s="90">
        <f>SUMIFS(LS[[#Headers],[Unit]]:LS[[#This Row],[Unit]],LS[[#Headers],[Investor ID]]:LS[[#This Row],[Investor ID]],LS[[#This Row],[Investor ID]])</f>
        <v>10000</v>
      </c>
      <c r="P52" s="96">
        <v>30000</v>
      </c>
      <c r="Q52" s="48">
        <f>LS[[#This Row],[Amount]]-LS[[#This Row],[Unit Capital]]</f>
        <v>0</v>
      </c>
      <c r="R5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2" s="89">
        <f t="shared" si="0"/>
        <v>14.224</v>
      </c>
      <c r="T5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" s="96" cm="1">
        <f t="array" ref="U52">IF(LS[[#This Row],[B/S]]="S",ABS(LS[[#This Row],[Unit]])*(INDEX(LS[NAV at Cost (Average)],MATCH(CONCATENATE((LS[[#This Row],[Frequency]]-1),LS[[#This Row],[Investor ID]]),LS[Unique Code],0),0)),0)</f>
        <v>0</v>
      </c>
      <c r="V52" s="96">
        <f>IF(LS[[#This Row],[BO TRANSFER]]="YES",LS[[#This Row],[Unit]],)</f>
        <v>0</v>
      </c>
      <c r="W52" s="96">
        <f>SUMIFS(LS[[#Headers],[BO UNIT TRANSFER]]:LS[[#This Row],[BO UNIT TRANSFER]],LS[[#Headers],[Investor ID]]:LS[[#This Row],[Investor ID]],LS[[#This Row],[Investor ID]])</f>
        <v>0</v>
      </c>
    </row>
    <row r="53" spans="1:23">
      <c r="A53" s="75">
        <v>2023</v>
      </c>
      <c r="B53" s="75">
        <v>2</v>
      </c>
      <c r="C53" s="75">
        <v>27</v>
      </c>
      <c r="D53" s="81">
        <f>DATE(LS[[#This Row],[Year]],LS[[#This Row],[Month]],LS[[#This Row],[Day]])</f>
        <v>44984</v>
      </c>
      <c r="E53" t="str" cm="1">
        <f t="array" ref="E53">INDEX(INVESTORS_LIST[INVESTOR NAME],MATCH(LS[[#This Row],[Investor ID]],INVESTORS_LIST[INVESTOR CODE],0),)</f>
        <v>SANDHANI AML SLIC FIXED INCOME FUND</v>
      </c>
      <c r="F53" s="83" t="s">
        <v>978</v>
      </c>
      <c r="G53" s="75">
        <f>COUNTIF(LS[[#Headers],[Investor ID]]:LS[[#This Row],[Investor ID]],LS[[#This Row],[Investor ID]])</f>
        <v>1</v>
      </c>
      <c r="H53" s="75" t="str">
        <f>CONCATENATE(LS[[#This Row],[Frequency]],LS[[#This Row],[Investor ID]])</f>
        <v>1A00466</v>
      </c>
      <c r="I53" s="75" t="str">
        <f>IF(LS[[#This Row],[B/S]]="B","BUY",(IF(LS[[#This Row],[B/S]]="S","SELL"," ")))</f>
        <v>BUY</v>
      </c>
      <c r="J53" s="75" t="s">
        <v>1229</v>
      </c>
      <c r="K53" s="88">
        <v>1500000</v>
      </c>
      <c r="L53" s="88"/>
      <c r="M53" s="89">
        <f>LS[[#This Row],[Amount]]/LS[[#This Row],[Unit]]</f>
        <v>10</v>
      </c>
      <c r="N53" s="90">
        <f>LS[[#This Row],[Unit Capital]]/10</f>
        <v>150000</v>
      </c>
      <c r="O53" s="90">
        <f>SUMIFS(LS[[#Headers],[Unit]]:LS[[#This Row],[Unit]],LS[[#Headers],[Investor ID]]:LS[[#This Row],[Investor ID]],LS[[#This Row],[Investor ID]])</f>
        <v>150000</v>
      </c>
      <c r="P53" s="96">
        <v>1500000</v>
      </c>
      <c r="Q53" s="48">
        <f>LS[[#This Row],[Amount]]-LS[[#This Row],[Unit Capital]]</f>
        <v>0</v>
      </c>
      <c r="R5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3" s="89">
        <f t="shared" si="0"/>
        <v>14.224</v>
      </c>
      <c r="T5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" s="96" cm="1">
        <f t="array" ref="U53">IF(LS[[#This Row],[B/S]]="S",ABS(LS[[#This Row],[Unit]])*(INDEX(LS[NAV at Cost (Average)],MATCH(CONCATENATE((LS[[#This Row],[Frequency]]-1),LS[[#This Row],[Investor ID]]),LS[Unique Code],0),0)),0)</f>
        <v>0</v>
      </c>
      <c r="V53" s="96">
        <f>IF(LS[[#This Row],[BO TRANSFER]]="YES",LS[[#This Row],[Unit]],)</f>
        <v>0</v>
      </c>
      <c r="W53" s="96">
        <f>SUMIFS(LS[[#Headers],[BO UNIT TRANSFER]]:LS[[#This Row],[BO UNIT TRANSFER]],LS[[#Headers],[Investor ID]]:LS[[#This Row],[Investor ID]],LS[[#This Row],[Investor ID]])</f>
        <v>0</v>
      </c>
    </row>
    <row r="54" spans="1:23">
      <c r="A54" s="75">
        <v>2023</v>
      </c>
      <c r="B54" s="75">
        <v>2</v>
      </c>
      <c r="C54" s="75">
        <v>27</v>
      </c>
      <c r="D54" s="81">
        <f>DATE(LS[[#This Row],[Year]],LS[[#This Row],[Month]],LS[[#This Row],[Day]])</f>
        <v>44984</v>
      </c>
      <c r="E54" t="str" cm="1">
        <f t="array" ref="E54">INDEX(INVESTORS_LIST[INVESTOR NAME],MATCH(LS[[#This Row],[Investor ID]],INVESTORS_LIST[INVESTOR CODE],0),)</f>
        <v>FAKARUDDIN ALI AHMED</v>
      </c>
      <c r="F54" s="83" t="s">
        <v>228</v>
      </c>
      <c r="G54" s="75">
        <f>COUNTIF(LS[[#Headers],[Investor ID]]:LS[[#This Row],[Investor ID]],LS[[#This Row],[Investor ID]])</f>
        <v>1</v>
      </c>
      <c r="H54" s="75" t="str">
        <f>CONCATENATE(LS[[#This Row],[Frequency]],LS[[#This Row],[Investor ID]])</f>
        <v>1A00090</v>
      </c>
      <c r="I54" s="75" t="str">
        <f>IF(LS[[#This Row],[B/S]]="B","BUY",(IF(LS[[#This Row],[B/S]]="S","SELL"," ")))</f>
        <v>BUY</v>
      </c>
      <c r="J54" s="75" t="s">
        <v>1229</v>
      </c>
      <c r="K54" s="88">
        <v>500000</v>
      </c>
      <c r="L54" s="88"/>
      <c r="M54" s="89">
        <f>LS[[#This Row],[Amount]]/LS[[#This Row],[Unit]]</f>
        <v>10</v>
      </c>
      <c r="N54" s="90">
        <f>LS[[#This Row],[Unit Capital]]/10</f>
        <v>50000</v>
      </c>
      <c r="O54" s="90">
        <f>SUMIFS(LS[[#Headers],[Unit]]:LS[[#This Row],[Unit]],LS[[#Headers],[Investor ID]]:LS[[#This Row],[Investor ID]],LS[[#This Row],[Investor ID]])</f>
        <v>50000</v>
      </c>
      <c r="P54" s="96">
        <v>500000</v>
      </c>
      <c r="Q54" s="48">
        <f>LS[[#This Row],[Amount]]-LS[[#This Row],[Unit Capital]]</f>
        <v>0</v>
      </c>
      <c r="R5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4" s="89">
        <f t="shared" si="0"/>
        <v>14.224</v>
      </c>
      <c r="T5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" s="96" cm="1">
        <f t="array" ref="U54">IF(LS[[#This Row],[B/S]]="S",ABS(LS[[#This Row],[Unit]])*(INDEX(LS[NAV at Cost (Average)],MATCH(CONCATENATE((LS[[#This Row],[Frequency]]-1),LS[[#This Row],[Investor ID]]),LS[Unique Code],0),0)),0)</f>
        <v>0</v>
      </c>
      <c r="V54" s="96">
        <f>IF(LS[[#This Row],[BO TRANSFER]]="YES",LS[[#This Row],[Unit]],)</f>
        <v>0</v>
      </c>
      <c r="W54" s="96">
        <f>SUMIFS(LS[[#Headers],[BO UNIT TRANSFER]]:LS[[#This Row],[BO UNIT TRANSFER]],LS[[#Headers],[Investor ID]]:LS[[#This Row],[Investor ID]],LS[[#This Row],[Investor ID]])</f>
        <v>0</v>
      </c>
    </row>
    <row r="55" spans="1:23">
      <c r="A55" s="75">
        <v>2023</v>
      </c>
      <c r="B55" s="75">
        <v>2</v>
      </c>
      <c r="C55" s="75">
        <v>27</v>
      </c>
      <c r="D55" s="81">
        <f>DATE(LS[[#This Row],[Year]],LS[[#This Row],[Month]],LS[[#This Row],[Day]])</f>
        <v>44984</v>
      </c>
      <c r="E55" t="str" cm="1">
        <f t="array" ref="E55">INDEX(INVESTORS_LIST[INVESTOR NAME],MATCH(LS[[#This Row],[Investor ID]],INVESTORS_LIST[INVESTOR CODE],0),)</f>
        <v>SALMAN ZAMAL</v>
      </c>
      <c r="F55" s="83" t="s">
        <v>980</v>
      </c>
      <c r="G55" s="75">
        <f>COUNTIF(LS[[#Headers],[Investor ID]]:LS[[#This Row],[Investor ID]],LS[[#This Row],[Investor ID]])</f>
        <v>1</v>
      </c>
      <c r="H55" s="75" t="str">
        <f>CONCATENATE(LS[[#This Row],[Frequency]],LS[[#This Row],[Investor ID]])</f>
        <v>1A00467</v>
      </c>
      <c r="I55" s="75" t="str">
        <f>IF(LS[[#This Row],[B/S]]="B","BUY",(IF(LS[[#This Row],[B/S]]="S","SELL"," ")))</f>
        <v>BUY</v>
      </c>
      <c r="J55" s="75" t="s">
        <v>1229</v>
      </c>
      <c r="K55" s="88">
        <v>25000</v>
      </c>
      <c r="L55" s="88"/>
      <c r="M55" s="89">
        <f>LS[[#This Row],[Amount]]/LS[[#This Row],[Unit]]</f>
        <v>10</v>
      </c>
      <c r="N55" s="90">
        <f>LS[[#This Row],[Unit Capital]]/10</f>
        <v>2500</v>
      </c>
      <c r="O55" s="90">
        <f>SUMIFS(LS[[#Headers],[Unit]]:LS[[#This Row],[Unit]],LS[[#Headers],[Investor ID]]:LS[[#This Row],[Investor ID]],LS[[#This Row],[Investor ID]])</f>
        <v>2500</v>
      </c>
      <c r="P55" s="96">
        <v>25000</v>
      </c>
      <c r="Q55" s="48">
        <f>LS[[#This Row],[Amount]]-LS[[#This Row],[Unit Capital]]</f>
        <v>0</v>
      </c>
      <c r="R5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5" s="89">
        <f t="shared" si="0"/>
        <v>14.224</v>
      </c>
      <c r="T5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" s="96" cm="1">
        <f t="array" ref="U55">IF(LS[[#This Row],[B/S]]="S",ABS(LS[[#This Row],[Unit]])*(INDEX(LS[NAV at Cost (Average)],MATCH(CONCATENATE((LS[[#This Row],[Frequency]]-1),LS[[#This Row],[Investor ID]]),LS[Unique Code],0),0)),0)</f>
        <v>0</v>
      </c>
      <c r="V55" s="96">
        <f>IF(LS[[#This Row],[BO TRANSFER]]="YES",LS[[#This Row],[Unit]],)</f>
        <v>0</v>
      </c>
      <c r="W55" s="96">
        <f>SUMIFS(LS[[#Headers],[BO UNIT TRANSFER]]:LS[[#This Row],[BO UNIT TRANSFER]],LS[[#Headers],[Investor ID]]:LS[[#This Row],[Investor ID]],LS[[#This Row],[Investor ID]])</f>
        <v>0</v>
      </c>
    </row>
    <row r="56" spans="1:23">
      <c r="A56" s="75">
        <v>2023</v>
      </c>
      <c r="B56" s="75">
        <v>2</v>
      </c>
      <c r="C56" s="75">
        <v>27</v>
      </c>
      <c r="D56" s="81">
        <f>DATE(LS[[#This Row],[Year]],LS[[#This Row],[Month]],LS[[#This Row],[Day]])</f>
        <v>44984</v>
      </c>
      <c r="E56" t="str" cm="1">
        <f t="array" ref="E56">INDEX(INVESTORS_LIST[INVESTOR NAME],MATCH(LS[[#This Row],[Investor ID]],INVESTORS_LIST[INVESTOR CODE],0),)</f>
        <v>RAHNUMA SANJANA</v>
      </c>
      <c r="F56" s="83" t="s">
        <v>266</v>
      </c>
      <c r="G56" s="75">
        <f>COUNTIF(LS[[#Headers],[Investor ID]]:LS[[#This Row],[Investor ID]],LS[[#This Row],[Investor ID]])</f>
        <v>1</v>
      </c>
      <c r="H56" s="75" t="str">
        <f>CONCATENATE(LS[[#This Row],[Frequency]],LS[[#This Row],[Investor ID]])</f>
        <v>1A00109</v>
      </c>
      <c r="I56" s="75" t="str">
        <f>IF(LS[[#This Row],[B/S]]="B","BUY",(IF(LS[[#This Row],[B/S]]="S","SELL"," ")))</f>
        <v>BUY</v>
      </c>
      <c r="J56" s="75" t="s">
        <v>1229</v>
      </c>
      <c r="K56" s="88">
        <v>3700000</v>
      </c>
      <c r="L56" s="88"/>
      <c r="M56" s="89">
        <f>LS[[#This Row],[Amount]]/LS[[#This Row],[Unit]]</f>
        <v>10</v>
      </c>
      <c r="N56" s="90">
        <f>LS[[#This Row],[Unit Capital]]/10</f>
        <v>370000</v>
      </c>
      <c r="O56" s="90">
        <f>SUMIFS(LS[[#Headers],[Unit]]:LS[[#This Row],[Unit]],LS[[#Headers],[Investor ID]]:LS[[#This Row],[Investor ID]],LS[[#This Row],[Investor ID]])</f>
        <v>370000</v>
      </c>
      <c r="P56" s="96">
        <v>3700000</v>
      </c>
      <c r="Q56" s="48">
        <f>LS[[#This Row],[Amount]]-LS[[#This Row],[Unit Capital]]</f>
        <v>0</v>
      </c>
      <c r="R5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6" s="89">
        <f t="shared" si="0"/>
        <v>14.224</v>
      </c>
      <c r="T5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" s="96" cm="1">
        <f t="array" ref="U56">IF(LS[[#This Row],[B/S]]="S",ABS(LS[[#This Row],[Unit]])*(INDEX(LS[NAV at Cost (Average)],MATCH(CONCATENATE((LS[[#This Row],[Frequency]]-1),LS[[#This Row],[Investor ID]]),LS[Unique Code],0),0)),0)</f>
        <v>0</v>
      </c>
      <c r="V56" s="96">
        <f>IF(LS[[#This Row],[BO TRANSFER]]="YES",LS[[#This Row],[Unit]],)</f>
        <v>0</v>
      </c>
      <c r="W56" s="96">
        <f>SUMIFS(LS[[#Headers],[BO UNIT TRANSFER]]:LS[[#This Row],[BO UNIT TRANSFER]],LS[[#Headers],[Investor ID]]:LS[[#This Row],[Investor ID]],LS[[#This Row],[Investor ID]])</f>
        <v>0</v>
      </c>
    </row>
    <row r="57" spans="1:23">
      <c r="A57" s="75">
        <v>2023</v>
      </c>
      <c r="B57" s="75">
        <v>2</v>
      </c>
      <c r="C57" s="75">
        <v>27</v>
      </c>
      <c r="D57" s="81">
        <f>DATE(LS[[#This Row],[Year]],LS[[#This Row],[Month]],LS[[#This Row],[Day]])</f>
        <v>44984</v>
      </c>
      <c r="E57" t="str" cm="1">
        <f t="array" ref="E57">INDEX(INVESTORS_LIST[INVESTOR NAME],MATCH(LS[[#This Row],[Investor ID]],INVESTORS_LIST[INVESTOR CODE],0),)</f>
        <v>AMARSTOCK LIMITED</v>
      </c>
      <c r="F57" s="83" t="s">
        <v>960</v>
      </c>
      <c r="G57" s="75">
        <f>COUNTIF(LS[[#Headers],[Investor ID]]:LS[[#This Row],[Investor ID]],LS[[#This Row],[Investor ID]])</f>
        <v>1</v>
      </c>
      <c r="H57" s="75" t="str">
        <f>CONCATENATE(LS[[#This Row],[Frequency]],LS[[#This Row],[Investor ID]])</f>
        <v>1A00457</v>
      </c>
      <c r="I57" s="75" t="str">
        <f>IF(LS[[#This Row],[B/S]]="B","BUY",(IF(LS[[#This Row],[B/S]]="S","SELL"," ")))</f>
        <v>BUY</v>
      </c>
      <c r="J57" s="75" t="s">
        <v>1229</v>
      </c>
      <c r="K57" s="88">
        <v>3500000</v>
      </c>
      <c r="L57" s="88"/>
      <c r="M57" s="89">
        <f>LS[[#This Row],[Amount]]/LS[[#This Row],[Unit]]</f>
        <v>10</v>
      </c>
      <c r="N57" s="90">
        <f>LS[[#This Row],[Unit Capital]]/10</f>
        <v>350000</v>
      </c>
      <c r="O57" s="90">
        <f>SUMIFS(LS[[#Headers],[Unit]]:LS[[#This Row],[Unit]],LS[[#Headers],[Investor ID]]:LS[[#This Row],[Investor ID]],LS[[#This Row],[Investor ID]])</f>
        <v>350000</v>
      </c>
      <c r="P57" s="96">
        <v>3500000</v>
      </c>
      <c r="Q57" s="48">
        <f>LS[[#This Row],[Amount]]-LS[[#This Row],[Unit Capital]]</f>
        <v>0</v>
      </c>
      <c r="R5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7" s="89">
        <f t="shared" si="0"/>
        <v>14.224</v>
      </c>
      <c r="T5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" s="96" cm="1">
        <f t="array" ref="U57">IF(LS[[#This Row],[B/S]]="S",ABS(LS[[#This Row],[Unit]])*(INDEX(LS[NAV at Cost (Average)],MATCH(CONCATENATE((LS[[#This Row],[Frequency]]-1),LS[[#This Row],[Investor ID]]),LS[Unique Code],0),0)),0)</f>
        <v>0</v>
      </c>
      <c r="V57" s="96">
        <f>IF(LS[[#This Row],[BO TRANSFER]]="YES",LS[[#This Row],[Unit]],)</f>
        <v>0</v>
      </c>
      <c r="W57" s="96">
        <f>SUMIFS(LS[[#Headers],[BO UNIT TRANSFER]]:LS[[#This Row],[BO UNIT TRANSFER]],LS[[#Headers],[Investor ID]]:LS[[#This Row],[Investor ID]],LS[[#This Row],[Investor ID]])</f>
        <v>0</v>
      </c>
    </row>
    <row r="58" spans="1:23">
      <c r="A58" s="75">
        <v>2023</v>
      </c>
      <c r="B58" s="75">
        <v>2</v>
      </c>
      <c r="C58" s="75">
        <v>27</v>
      </c>
      <c r="D58" s="81">
        <f>DATE(LS[[#This Row],[Year]],LS[[#This Row],[Month]],LS[[#This Row],[Day]])</f>
        <v>44984</v>
      </c>
      <c r="E58" t="str" cm="1">
        <f t="array" ref="E58">INDEX(INVESTORS_LIST[INVESTOR NAME],MATCH(LS[[#This Row],[Investor ID]],INVESTORS_LIST[INVESTOR CODE],0),)</f>
        <v>RAHNUMA SANJANA</v>
      </c>
      <c r="F58" s="83" t="s">
        <v>266</v>
      </c>
      <c r="G58" s="75">
        <f>COUNTIF(LS[[#Headers],[Investor ID]]:LS[[#This Row],[Investor ID]],LS[[#This Row],[Investor ID]])</f>
        <v>2</v>
      </c>
      <c r="H58" s="75" t="str">
        <f>CONCATENATE(LS[[#This Row],[Frequency]],LS[[#This Row],[Investor ID]])</f>
        <v>2A00109</v>
      </c>
      <c r="I58" s="75" t="str">
        <f>IF(LS[[#This Row],[B/S]]="B","BUY",(IF(LS[[#This Row],[B/S]]="S","SELL"," ")))</f>
        <v>BUY</v>
      </c>
      <c r="J58" s="75" t="s">
        <v>1229</v>
      </c>
      <c r="K58" s="88">
        <v>1300000</v>
      </c>
      <c r="L58" s="88"/>
      <c r="M58" s="89">
        <f>LS[[#This Row],[Amount]]/LS[[#This Row],[Unit]]</f>
        <v>10</v>
      </c>
      <c r="N58" s="90">
        <f>LS[[#This Row],[Unit Capital]]/10</f>
        <v>130000</v>
      </c>
      <c r="O58" s="90">
        <f>SUMIFS(LS[[#Headers],[Unit]]:LS[[#This Row],[Unit]],LS[[#Headers],[Investor ID]]:LS[[#This Row],[Investor ID]],LS[[#This Row],[Investor ID]])</f>
        <v>500000</v>
      </c>
      <c r="P58" s="96">
        <v>1300000</v>
      </c>
      <c r="Q58" s="48">
        <f>LS[[#This Row],[Amount]]-LS[[#This Row],[Unit Capital]]</f>
        <v>0</v>
      </c>
      <c r="R5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8" s="89">
        <f t="shared" si="0"/>
        <v>14.224</v>
      </c>
      <c r="T5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" s="96" cm="1">
        <f t="array" ref="U58">IF(LS[[#This Row],[B/S]]="S",ABS(LS[[#This Row],[Unit]])*(INDEX(LS[NAV at Cost (Average)],MATCH(CONCATENATE((LS[[#This Row],[Frequency]]-1),LS[[#This Row],[Investor ID]]),LS[Unique Code],0),0)),0)</f>
        <v>0</v>
      </c>
      <c r="V58" s="96">
        <f>IF(LS[[#This Row],[BO TRANSFER]]="YES",LS[[#This Row],[Unit]],)</f>
        <v>0</v>
      </c>
      <c r="W58" s="96">
        <f>SUMIFS(LS[[#Headers],[BO UNIT TRANSFER]]:LS[[#This Row],[BO UNIT TRANSFER]],LS[[#Headers],[Investor ID]]:LS[[#This Row],[Investor ID]],LS[[#This Row],[Investor ID]])</f>
        <v>0</v>
      </c>
    </row>
    <row r="59" spans="1:23">
      <c r="A59" s="75">
        <v>2023</v>
      </c>
      <c r="B59" s="75">
        <v>2</v>
      </c>
      <c r="C59" s="75">
        <v>27</v>
      </c>
      <c r="D59" s="81">
        <f>DATE(LS[[#This Row],[Year]],LS[[#This Row],[Month]],LS[[#This Row],[Day]])</f>
        <v>44984</v>
      </c>
      <c r="E59" t="str" cm="1">
        <f t="array" ref="E59">INDEX(INVESTORS_LIST[INVESTOR NAME],MATCH(LS[[#This Row],[Investor ID]],INVESTORS_LIST[INVESTOR CODE],0),)</f>
        <v>RIZIA SULTANA AND MOFAZZAL MAMUN KHAN</v>
      </c>
      <c r="F59" s="83" t="s">
        <v>258</v>
      </c>
      <c r="G59" s="75">
        <f>COUNTIF(LS[[#Headers],[Investor ID]]:LS[[#This Row],[Investor ID]],LS[[#This Row],[Investor ID]])</f>
        <v>1</v>
      </c>
      <c r="H59" s="75" t="str">
        <f>CONCATENATE(LS[[#This Row],[Frequency]],LS[[#This Row],[Investor ID]])</f>
        <v>1A00105</v>
      </c>
      <c r="I59" s="75" t="str">
        <f>IF(LS[[#This Row],[B/S]]="B","BUY",(IF(LS[[#This Row],[B/S]]="S","SELL"," ")))</f>
        <v>BUY</v>
      </c>
      <c r="J59" s="75" t="s">
        <v>1229</v>
      </c>
      <c r="K59" s="88">
        <v>100000</v>
      </c>
      <c r="L59" s="88"/>
      <c r="M59" s="89">
        <f>LS[[#This Row],[Amount]]/LS[[#This Row],[Unit]]</f>
        <v>10</v>
      </c>
      <c r="N59" s="90">
        <f>LS[[#This Row],[Unit Capital]]/10</f>
        <v>10000</v>
      </c>
      <c r="O59" s="90">
        <f>SUMIFS(LS[[#Headers],[Unit]]:LS[[#This Row],[Unit]],LS[[#Headers],[Investor ID]]:LS[[#This Row],[Investor ID]],LS[[#This Row],[Investor ID]])</f>
        <v>10000</v>
      </c>
      <c r="P59" s="96">
        <v>100000</v>
      </c>
      <c r="Q59" s="48">
        <f>LS[[#This Row],[Amount]]-LS[[#This Row],[Unit Capital]]</f>
        <v>0</v>
      </c>
      <c r="R5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59" s="89">
        <f t="shared" si="0"/>
        <v>14.224</v>
      </c>
      <c r="T5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" s="96" cm="1">
        <f t="array" ref="U59">IF(LS[[#This Row],[B/S]]="S",ABS(LS[[#This Row],[Unit]])*(INDEX(LS[NAV at Cost (Average)],MATCH(CONCATENATE((LS[[#This Row],[Frequency]]-1),LS[[#This Row],[Investor ID]]),LS[Unique Code],0),0)),0)</f>
        <v>0</v>
      </c>
      <c r="V59" s="96">
        <f>IF(LS[[#This Row],[BO TRANSFER]]="YES",LS[[#This Row],[Unit]],)</f>
        <v>0</v>
      </c>
      <c r="W59" s="96">
        <f>SUMIFS(LS[[#Headers],[BO UNIT TRANSFER]]:LS[[#This Row],[BO UNIT TRANSFER]],LS[[#Headers],[Investor ID]]:LS[[#This Row],[Investor ID]],LS[[#This Row],[Investor ID]])</f>
        <v>0</v>
      </c>
    </row>
    <row r="60" spans="1:23">
      <c r="A60" s="75">
        <v>2023</v>
      </c>
      <c r="B60" s="75">
        <v>2</v>
      </c>
      <c r="C60" s="75">
        <v>27</v>
      </c>
      <c r="D60" s="81">
        <f>DATE(LS[[#This Row],[Year]],LS[[#This Row],[Month]],LS[[#This Row],[Day]])</f>
        <v>44984</v>
      </c>
      <c r="E60" t="str" cm="1">
        <f t="array" ref="E60">INDEX(INVESTORS_LIST[INVESTOR NAME],MATCH(LS[[#This Row],[Investor ID]],INVESTORS_LIST[INVESTOR CODE],0),)</f>
        <v>EDGE HIGH QUALITY INCOME FUND</v>
      </c>
      <c r="F60" s="83" t="s">
        <v>976</v>
      </c>
      <c r="G60" s="75">
        <f>COUNTIF(LS[[#Headers],[Investor ID]]:LS[[#This Row],[Investor ID]],LS[[#This Row],[Investor ID]])</f>
        <v>1</v>
      </c>
      <c r="H60" s="75" t="str">
        <f>CONCATENATE(LS[[#This Row],[Frequency]],LS[[#This Row],[Investor ID]])</f>
        <v>1A00465</v>
      </c>
      <c r="I60" s="75" t="str">
        <f>IF(LS[[#This Row],[B/S]]="B","BUY",(IF(LS[[#This Row],[B/S]]="S","SELL"," ")))</f>
        <v>BUY</v>
      </c>
      <c r="J60" s="75" t="s">
        <v>1229</v>
      </c>
      <c r="K60" s="88">
        <v>3000000</v>
      </c>
      <c r="L60" s="99" t="s">
        <v>1230</v>
      </c>
      <c r="M60" s="89">
        <f>LS[[#This Row],[Amount]]/LS[[#This Row],[Unit]]</f>
        <v>10</v>
      </c>
      <c r="N60" s="90">
        <f>LS[[#This Row],[Unit Capital]]/10</f>
        <v>300000</v>
      </c>
      <c r="O60" s="90">
        <f>SUMIFS(LS[[#Headers],[Unit]]:LS[[#This Row],[Unit]],LS[[#Headers],[Investor ID]]:LS[[#This Row],[Investor ID]],LS[[#This Row],[Investor ID]])</f>
        <v>300000</v>
      </c>
      <c r="P60" s="96">
        <v>3000000</v>
      </c>
      <c r="Q60" s="48">
        <f>LS[[#This Row],[Amount]]-LS[[#This Row],[Unit Capital]]</f>
        <v>0</v>
      </c>
      <c r="R6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0" s="89">
        <f t="shared" si="0"/>
        <v>14.224</v>
      </c>
      <c r="T6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0" s="96" cm="1">
        <f t="array" ref="U60">IF(LS[[#This Row],[B/S]]="S",ABS(LS[[#This Row],[Unit]])*(INDEX(LS[NAV at Cost (Average)],MATCH(CONCATENATE((LS[[#This Row],[Frequency]]-1),LS[[#This Row],[Investor ID]]),LS[Unique Code],0),0)),0)</f>
        <v>0</v>
      </c>
      <c r="V60" s="96">
        <f>IF(LS[[#This Row],[BO TRANSFER]]="YES",LS[[#This Row],[Unit]],)</f>
        <v>300000</v>
      </c>
      <c r="W60" s="96">
        <f>SUMIFS(LS[[#Headers],[BO UNIT TRANSFER]]:LS[[#This Row],[BO UNIT TRANSFER]],LS[[#Headers],[Investor ID]]:LS[[#This Row],[Investor ID]],LS[[#This Row],[Investor ID]])</f>
        <v>300000</v>
      </c>
    </row>
    <row r="61" spans="1:23">
      <c r="A61" s="75">
        <v>2023</v>
      </c>
      <c r="B61" s="75">
        <v>2</v>
      </c>
      <c r="C61" s="75">
        <v>28</v>
      </c>
      <c r="D61" s="81">
        <f>DATE(LS[[#This Row],[Year]],LS[[#This Row],[Month]],LS[[#This Row],[Day]])</f>
        <v>44985</v>
      </c>
      <c r="E61" t="str" cm="1">
        <f t="array" ref="E61">INDEX(INVESTORS_LIST[INVESTOR NAME],MATCH(LS[[#This Row],[Investor ID]],INVESTORS_LIST[INVESTOR CODE],0),)</f>
        <v>MOHAMMAD HUMAYAN RASHID</v>
      </c>
      <c r="F61" s="83" t="s">
        <v>974</v>
      </c>
      <c r="G61" s="75">
        <f>COUNTIF(LS[[#Headers],[Investor ID]]:LS[[#This Row],[Investor ID]],LS[[#This Row],[Investor ID]])</f>
        <v>2</v>
      </c>
      <c r="H61" s="75" t="str">
        <f>CONCATENATE(LS[[#This Row],[Frequency]],LS[[#This Row],[Investor ID]])</f>
        <v>2A00464</v>
      </c>
      <c r="I61" s="75" t="str">
        <f>IF(LS[[#This Row],[B/S]]="B","BUY",(IF(LS[[#This Row],[B/S]]="S","SELL"," ")))</f>
        <v>BUY</v>
      </c>
      <c r="J61" s="75" t="s">
        <v>1229</v>
      </c>
      <c r="K61" s="88">
        <v>900000</v>
      </c>
      <c r="L61" s="88"/>
      <c r="M61" s="89">
        <f>LS[[#This Row],[Amount]]/LS[[#This Row],[Unit]]</f>
        <v>10</v>
      </c>
      <c r="N61" s="90">
        <f>LS[[#This Row],[Unit Capital]]/10</f>
        <v>90000</v>
      </c>
      <c r="O61" s="90">
        <f>SUMIFS(LS[[#Headers],[Unit]]:LS[[#This Row],[Unit]],LS[[#Headers],[Investor ID]]:LS[[#This Row],[Investor ID]],LS[[#This Row],[Investor ID]])</f>
        <v>150000</v>
      </c>
      <c r="P61" s="96">
        <v>900000</v>
      </c>
      <c r="Q61" s="48">
        <f>LS[[#This Row],[Amount]]-LS[[#This Row],[Unit Capital]]</f>
        <v>0</v>
      </c>
      <c r="R6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1" s="89">
        <f t="shared" si="0"/>
        <v>14.224</v>
      </c>
      <c r="T6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1" s="96" cm="1">
        <f t="array" ref="U61">IF(LS[[#This Row],[B/S]]="S",ABS(LS[[#This Row],[Unit]])*(INDEX(LS[NAV at Cost (Average)],MATCH(CONCATENATE((LS[[#This Row],[Frequency]]-1),LS[[#This Row],[Investor ID]]),LS[Unique Code],0),0)),0)</f>
        <v>0</v>
      </c>
      <c r="V61" s="96">
        <f>IF(LS[[#This Row],[BO TRANSFER]]="YES",LS[[#This Row],[Unit]],)</f>
        <v>0</v>
      </c>
      <c r="W61" s="96">
        <f>SUMIFS(LS[[#Headers],[BO UNIT TRANSFER]]:LS[[#This Row],[BO UNIT TRANSFER]],LS[[#Headers],[Investor ID]]:LS[[#This Row],[Investor ID]],LS[[#This Row],[Investor ID]])</f>
        <v>0</v>
      </c>
    </row>
    <row r="62" spans="1:23">
      <c r="A62" s="75">
        <v>2023</v>
      </c>
      <c r="B62" s="75">
        <v>2</v>
      </c>
      <c r="C62" s="75">
        <v>28</v>
      </c>
      <c r="D62" s="81">
        <f>DATE(LS[[#This Row],[Year]],LS[[#This Row],[Month]],LS[[#This Row],[Day]])</f>
        <v>44985</v>
      </c>
      <c r="E62" t="str" cm="1">
        <f t="array" ref="E62">INDEX(INVESTORS_LIST[INVESTOR NAME],MATCH(LS[[#This Row],[Investor ID]],INVESTORS_LIST[INVESTOR CODE],0),)</f>
        <v>ABACI INVESTMENTS LIMITED</v>
      </c>
      <c r="F62" s="83" t="s">
        <v>140</v>
      </c>
      <c r="G62" s="75">
        <f>COUNTIF(LS[[#Headers],[Investor ID]]:LS[[#This Row],[Investor ID]],LS[[#This Row],[Investor ID]])</f>
        <v>1</v>
      </c>
      <c r="H62" s="75" t="str">
        <f>CONCATENATE(LS[[#This Row],[Frequency]],LS[[#This Row],[Investor ID]])</f>
        <v>1A00046</v>
      </c>
      <c r="I62" s="75" t="str">
        <f>IF(LS[[#This Row],[B/S]]="B","BUY",(IF(LS[[#This Row],[B/S]]="S","SELL"," ")))</f>
        <v>BUY</v>
      </c>
      <c r="J62" s="75" t="s">
        <v>1229</v>
      </c>
      <c r="K62" s="88">
        <v>2000000</v>
      </c>
      <c r="L62" s="88"/>
      <c r="M62" s="89">
        <f>LS[[#This Row],[Amount]]/LS[[#This Row],[Unit]]</f>
        <v>10</v>
      </c>
      <c r="N62" s="90">
        <f>LS[[#This Row],[Unit Capital]]/10</f>
        <v>200000</v>
      </c>
      <c r="O62" s="90">
        <f>SUMIFS(LS[[#Headers],[Unit]]:LS[[#This Row],[Unit]],LS[[#Headers],[Investor ID]]:LS[[#This Row],[Investor ID]],LS[[#This Row],[Investor ID]])</f>
        <v>200000</v>
      </c>
      <c r="P62" s="96">
        <v>2000000</v>
      </c>
      <c r="Q62" s="48">
        <f>LS[[#This Row],[Amount]]-LS[[#This Row],[Unit Capital]]</f>
        <v>0</v>
      </c>
      <c r="R6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2" s="89">
        <f t="shared" si="0"/>
        <v>14.224</v>
      </c>
      <c r="T6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" s="96" cm="1">
        <f t="array" ref="U62">IF(LS[[#This Row],[B/S]]="S",ABS(LS[[#This Row],[Unit]])*(INDEX(LS[NAV at Cost (Average)],MATCH(CONCATENATE((LS[[#This Row],[Frequency]]-1),LS[[#This Row],[Investor ID]]),LS[Unique Code],0),0)),0)</f>
        <v>0</v>
      </c>
      <c r="V62" s="96">
        <f>IF(LS[[#This Row],[BO TRANSFER]]="YES",LS[[#This Row],[Unit]],)</f>
        <v>0</v>
      </c>
      <c r="W62" s="96">
        <f>SUMIFS(LS[[#Headers],[BO UNIT TRANSFER]]:LS[[#This Row],[BO UNIT TRANSFER]],LS[[#Headers],[Investor ID]]:LS[[#This Row],[Investor ID]],LS[[#This Row],[Investor ID]])</f>
        <v>0</v>
      </c>
    </row>
    <row r="63" spans="1:23">
      <c r="A63" s="75">
        <v>2023</v>
      </c>
      <c r="B63" s="75">
        <v>2</v>
      </c>
      <c r="C63" s="75">
        <v>28</v>
      </c>
      <c r="D63" s="81">
        <f>DATE(LS[[#This Row],[Year]],LS[[#This Row],[Month]],LS[[#This Row],[Day]])</f>
        <v>44985</v>
      </c>
      <c r="E63" t="str" cm="1">
        <f t="array" ref="E63">INDEX(INVESTORS_LIST[INVESTOR NAME],MATCH(LS[[#This Row],[Investor ID]],INVESTORS_LIST[INVESTOR CODE],0),)</f>
        <v>ICB ASSET MANAGEMENT COMPANY LIMITED</v>
      </c>
      <c r="F63" s="83" t="s">
        <v>109</v>
      </c>
      <c r="G63" s="75">
        <f>COUNTIF(LS[[#Headers],[Investor ID]]:LS[[#This Row],[Investor ID]],LS[[#This Row],[Investor ID]])</f>
        <v>1</v>
      </c>
      <c r="H63" s="75" t="str">
        <f>CONCATENATE(LS[[#This Row],[Frequency]],LS[[#This Row],[Investor ID]])</f>
        <v>1A00031</v>
      </c>
      <c r="I63" s="75" t="str">
        <f>IF(LS[[#This Row],[B/S]]="B","BUY",(IF(LS[[#This Row],[B/S]]="S","SELL"," ")))</f>
        <v>BUY</v>
      </c>
      <c r="J63" s="75" t="s">
        <v>1229</v>
      </c>
      <c r="K63" s="88">
        <v>5000000</v>
      </c>
      <c r="L63" s="88"/>
      <c r="M63" s="89">
        <f>LS[[#This Row],[Amount]]/LS[[#This Row],[Unit]]</f>
        <v>10</v>
      </c>
      <c r="N63" s="90">
        <f>LS[[#This Row],[Unit Capital]]/10</f>
        <v>500000</v>
      </c>
      <c r="O63" s="90">
        <f>SUMIFS(LS[[#Headers],[Unit]]:LS[[#This Row],[Unit]],LS[[#Headers],[Investor ID]]:LS[[#This Row],[Investor ID]],LS[[#This Row],[Investor ID]])</f>
        <v>500000</v>
      </c>
      <c r="P63" s="96">
        <v>5000000</v>
      </c>
      <c r="Q63" s="48">
        <f>LS[[#This Row],[Amount]]-LS[[#This Row],[Unit Capital]]</f>
        <v>0</v>
      </c>
      <c r="R6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3" s="89">
        <f t="shared" si="0"/>
        <v>14.224</v>
      </c>
      <c r="T6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" s="96" cm="1">
        <f t="array" ref="U63">IF(LS[[#This Row],[B/S]]="S",ABS(LS[[#This Row],[Unit]])*(INDEX(LS[NAV at Cost (Average)],MATCH(CONCATENATE((LS[[#This Row],[Frequency]]-1),LS[[#This Row],[Investor ID]]),LS[Unique Code],0),0)),0)</f>
        <v>0</v>
      </c>
      <c r="V63" s="96">
        <f>IF(LS[[#This Row],[BO TRANSFER]]="YES",LS[[#This Row],[Unit]],)</f>
        <v>0</v>
      </c>
      <c r="W63" s="96">
        <f>SUMIFS(LS[[#Headers],[BO UNIT TRANSFER]]:LS[[#This Row],[BO UNIT TRANSFER]],LS[[#Headers],[Investor ID]]:LS[[#This Row],[Investor ID]],LS[[#This Row],[Investor ID]])</f>
        <v>0</v>
      </c>
    </row>
    <row r="64" spans="1:23">
      <c r="A64" s="75">
        <v>2023</v>
      </c>
      <c r="B64" s="75">
        <v>2</v>
      </c>
      <c r="C64" s="75">
        <v>28</v>
      </c>
      <c r="D64" s="81">
        <f>DATE(LS[[#This Row],[Year]],LS[[#This Row],[Month]],LS[[#This Row],[Day]])</f>
        <v>44985</v>
      </c>
      <c r="E64" t="str" cm="1">
        <f t="array" ref="E64">INDEX(INVESTORS_LIST[INVESTOR NAME],MATCH(LS[[#This Row],[Investor ID]],INVESTORS_LIST[INVESTOR CODE],0),)</f>
        <v>MALLIKA BISWAS</v>
      </c>
      <c r="F64" s="83" t="s">
        <v>970</v>
      </c>
      <c r="G64" s="75">
        <f>COUNTIF(LS[[#Headers],[Investor ID]]:LS[[#This Row],[Investor ID]],LS[[#This Row],[Investor ID]])</f>
        <v>1</v>
      </c>
      <c r="H64" s="75" t="str">
        <f>CONCATENATE(LS[[#This Row],[Frequency]],LS[[#This Row],[Investor ID]])</f>
        <v>1A00462</v>
      </c>
      <c r="I64" s="75" t="str">
        <f>IF(LS[[#This Row],[B/S]]="B","BUY",(IF(LS[[#This Row],[B/S]]="S","SELL"," ")))</f>
        <v>BUY</v>
      </c>
      <c r="J64" s="75" t="s">
        <v>1229</v>
      </c>
      <c r="K64" s="88">
        <v>1000000</v>
      </c>
      <c r="L64" s="88"/>
      <c r="M64" s="89">
        <f>LS[[#This Row],[Amount]]/LS[[#This Row],[Unit]]</f>
        <v>10</v>
      </c>
      <c r="N64" s="90">
        <f>LS[[#This Row],[Unit Capital]]/10</f>
        <v>100000</v>
      </c>
      <c r="O64" s="90">
        <f>SUMIFS(LS[[#Headers],[Unit]]:LS[[#This Row],[Unit]],LS[[#Headers],[Investor ID]]:LS[[#This Row],[Investor ID]],LS[[#This Row],[Investor ID]])</f>
        <v>100000</v>
      </c>
      <c r="P64" s="96">
        <v>1000000</v>
      </c>
      <c r="Q64" s="48">
        <f>LS[[#This Row],[Amount]]-LS[[#This Row],[Unit Capital]]</f>
        <v>0</v>
      </c>
      <c r="R6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4" s="89">
        <f t="shared" si="0"/>
        <v>14.224</v>
      </c>
      <c r="T6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" s="96" cm="1">
        <f t="array" ref="U64">IF(LS[[#This Row],[B/S]]="S",ABS(LS[[#This Row],[Unit]])*(INDEX(LS[NAV at Cost (Average)],MATCH(CONCATENATE((LS[[#This Row],[Frequency]]-1),LS[[#This Row],[Investor ID]]),LS[Unique Code],0),0)),0)</f>
        <v>0</v>
      </c>
      <c r="V64" s="96">
        <f>IF(LS[[#This Row],[BO TRANSFER]]="YES",LS[[#This Row],[Unit]],)</f>
        <v>0</v>
      </c>
      <c r="W64" s="96">
        <f>SUMIFS(LS[[#Headers],[BO UNIT TRANSFER]]:LS[[#This Row],[BO UNIT TRANSFER]],LS[[#Headers],[Investor ID]]:LS[[#This Row],[Investor ID]],LS[[#This Row],[Investor ID]])</f>
        <v>0</v>
      </c>
    </row>
    <row r="65" spans="1:23">
      <c r="A65" s="75">
        <v>2023</v>
      </c>
      <c r="B65" s="75">
        <v>2</v>
      </c>
      <c r="C65" s="75">
        <v>28</v>
      </c>
      <c r="D65" s="81">
        <f>DATE(LS[[#This Row],[Year]],LS[[#This Row],[Month]],LS[[#This Row],[Day]])</f>
        <v>44985</v>
      </c>
      <c r="E65" t="str" cm="1">
        <f t="array" ref="E65">INDEX(INVESTORS_LIST[INVESTOR NAME],MATCH(LS[[#This Row],[Investor ID]],INVESTORS_LIST[INVESTOR CODE],0),)</f>
        <v>SHANTA PAUL</v>
      </c>
      <c r="F65" s="83" t="s">
        <v>544</v>
      </c>
      <c r="G65" s="75">
        <f>COUNTIF(LS[[#Headers],[Investor ID]]:LS[[#This Row],[Investor ID]],LS[[#This Row],[Investor ID]])</f>
        <v>1</v>
      </c>
      <c r="H65" s="75" t="str">
        <f>CONCATENATE(LS[[#This Row],[Frequency]],LS[[#This Row],[Investor ID]])</f>
        <v>1A00247</v>
      </c>
      <c r="I65" s="75" t="str">
        <f>IF(LS[[#This Row],[B/S]]="B","BUY",(IF(LS[[#This Row],[B/S]]="S","SELL"," ")))</f>
        <v>BUY</v>
      </c>
      <c r="J65" s="75" t="s">
        <v>1229</v>
      </c>
      <c r="K65" s="88">
        <v>1000000</v>
      </c>
      <c r="L65" s="88"/>
      <c r="M65" s="89">
        <f>LS[[#This Row],[Amount]]/LS[[#This Row],[Unit]]</f>
        <v>10</v>
      </c>
      <c r="N65" s="90">
        <f>LS[[#This Row],[Unit Capital]]/10</f>
        <v>100000</v>
      </c>
      <c r="O65" s="90">
        <f>SUMIFS(LS[[#Headers],[Unit]]:LS[[#This Row],[Unit]],LS[[#Headers],[Investor ID]]:LS[[#This Row],[Investor ID]],LS[[#This Row],[Investor ID]])</f>
        <v>100000</v>
      </c>
      <c r="P65" s="96">
        <v>1000000</v>
      </c>
      <c r="Q65" s="48">
        <f>LS[[#This Row],[Amount]]-LS[[#This Row],[Unit Capital]]</f>
        <v>0</v>
      </c>
      <c r="R6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5" s="89">
        <f t="shared" si="0"/>
        <v>14.224</v>
      </c>
      <c r="T6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" s="96" cm="1">
        <f t="array" ref="U65">IF(LS[[#This Row],[B/S]]="S",ABS(LS[[#This Row],[Unit]])*(INDEX(LS[NAV at Cost (Average)],MATCH(CONCATENATE((LS[[#This Row],[Frequency]]-1),LS[[#This Row],[Investor ID]]),LS[Unique Code],0),0)),0)</f>
        <v>0</v>
      </c>
      <c r="V65" s="96">
        <f>IF(LS[[#This Row],[BO TRANSFER]]="YES",LS[[#This Row],[Unit]],)</f>
        <v>0</v>
      </c>
      <c r="W65" s="96">
        <f>SUMIFS(LS[[#Headers],[BO UNIT TRANSFER]]:LS[[#This Row],[BO UNIT TRANSFER]],LS[[#Headers],[Investor ID]]:LS[[#This Row],[Investor ID]],LS[[#This Row],[Investor ID]])</f>
        <v>0</v>
      </c>
    </row>
    <row r="66" spans="1:23">
      <c r="A66" s="75">
        <v>2023</v>
      </c>
      <c r="B66" s="75">
        <v>2</v>
      </c>
      <c r="C66" s="75">
        <v>28</v>
      </c>
      <c r="D66" s="81">
        <f>DATE(LS[[#This Row],[Year]],LS[[#This Row],[Month]],LS[[#This Row],[Day]])</f>
        <v>44985</v>
      </c>
      <c r="E66" t="str" cm="1">
        <f t="array" ref="E66">INDEX(INVESTORS_LIST[INVESTOR NAME],MATCH(LS[[#This Row],[Investor ID]],INVESTORS_LIST[INVESTOR CODE],0),)</f>
        <v>EKUSH WEALTH MANAGEMENT LIMITED</v>
      </c>
      <c r="F66" s="83" t="s">
        <v>47</v>
      </c>
      <c r="G66" s="75">
        <f>COUNTIF(LS[[#Headers],[Investor ID]]:LS[[#This Row],[Investor ID]],LS[[#This Row],[Investor ID]])</f>
        <v>3</v>
      </c>
      <c r="H66" s="75" t="str">
        <f>CONCATENATE(LS[[#This Row],[Frequency]],LS[[#This Row],[Investor ID]])</f>
        <v>3A00003</v>
      </c>
      <c r="I66" s="75" t="str">
        <f>IF(LS[[#This Row],[B/S]]="B","BUY",(IF(LS[[#This Row],[B/S]]="S","SELL"," ")))</f>
        <v>BUY</v>
      </c>
      <c r="J66" s="75" t="s">
        <v>1229</v>
      </c>
      <c r="K66" s="88">
        <v>300000</v>
      </c>
      <c r="L66" s="88"/>
      <c r="M66" s="89">
        <f>LS[[#This Row],[Amount]]/LS[[#This Row],[Unit]]</f>
        <v>10</v>
      </c>
      <c r="N66" s="90">
        <f>LS[[#This Row],[Unit Capital]]/10</f>
        <v>30000</v>
      </c>
      <c r="O66" s="90">
        <f>SUMIFS(LS[[#Headers],[Unit]]:LS[[#This Row],[Unit]],LS[[#Headers],[Investor ID]]:LS[[#This Row],[Investor ID]],LS[[#This Row],[Investor ID]])</f>
        <v>2530200</v>
      </c>
      <c r="P66" s="96">
        <v>300000</v>
      </c>
      <c r="Q66" s="48">
        <f>LS[[#This Row],[Amount]]-LS[[#This Row],[Unit Capital]]</f>
        <v>0</v>
      </c>
      <c r="R6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6" s="89">
        <f t="shared" si="0"/>
        <v>14.224</v>
      </c>
      <c r="T6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" s="96" cm="1">
        <f t="array" ref="U66">IF(LS[[#This Row],[B/S]]="S",ABS(LS[[#This Row],[Unit]])*(INDEX(LS[NAV at Cost (Average)],MATCH(CONCATENATE((LS[[#This Row],[Frequency]]-1),LS[[#This Row],[Investor ID]]),LS[Unique Code],0),0)),0)</f>
        <v>0</v>
      </c>
      <c r="V66" s="96">
        <f>IF(LS[[#This Row],[BO TRANSFER]]="YES",LS[[#This Row],[Unit]],)</f>
        <v>0</v>
      </c>
      <c r="W66" s="96">
        <f>SUMIFS(LS[[#Headers],[BO UNIT TRANSFER]]:LS[[#This Row],[BO UNIT TRANSFER]],LS[[#Headers],[Investor ID]]:LS[[#This Row],[Investor ID]],LS[[#This Row],[Investor ID]])</f>
        <v>0</v>
      </c>
    </row>
    <row r="67" spans="1:23">
      <c r="A67" s="75">
        <v>2023</v>
      </c>
      <c r="B67" s="75">
        <v>2</v>
      </c>
      <c r="C67" s="75">
        <v>28</v>
      </c>
      <c r="D67" s="81">
        <f>DATE(LS[[#This Row],[Year]],LS[[#This Row],[Month]],LS[[#This Row],[Day]])</f>
        <v>44985</v>
      </c>
      <c r="E67" t="str" cm="1">
        <f t="array" ref="E67">INDEX(INVESTORS_LIST[INVESTOR NAME],MATCH(LS[[#This Row],[Investor ID]],INVESTORS_LIST[INVESTOR CODE],0),)</f>
        <v>RAJIB CHOWDHURY</v>
      </c>
      <c r="F67" s="83" t="s">
        <v>322</v>
      </c>
      <c r="G67" s="75">
        <f>COUNTIF(LS[[#Headers],[Investor ID]]:LS[[#This Row],[Investor ID]],LS[[#This Row],[Investor ID]])</f>
        <v>1</v>
      </c>
      <c r="H67" s="75" t="str">
        <f>CONCATENATE(LS[[#This Row],[Frequency]],LS[[#This Row],[Investor ID]])</f>
        <v>1A00137</v>
      </c>
      <c r="I67" s="75" t="str">
        <f>IF(LS[[#This Row],[B/S]]="B","BUY",(IF(LS[[#This Row],[B/S]]="S","SELL"," ")))</f>
        <v>BUY</v>
      </c>
      <c r="J67" s="75" t="s">
        <v>1229</v>
      </c>
      <c r="K67" s="88">
        <v>300000</v>
      </c>
      <c r="L67" s="88"/>
      <c r="M67" s="89">
        <f>LS[[#This Row],[Amount]]/LS[[#This Row],[Unit]]</f>
        <v>10</v>
      </c>
      <c r="N67" s="90">
        <f>LS[[#This Row],[Unit Capital]]/10</f>
        <v>30000</v>
      </c>
      <c r="O67" s="90">
        <f>SUMIFS(LS[[#Headers],[Unit]]:LS[[#This Row],[Unit]],LS[[#Headers],[Investor ID]]:LS[[#This Row],[Investor ID]],LS[[#This Row],[Investor ID]])</f>
        <v>30000</v>
      </c>
      <c r="P67" s="96">
        <v>300000</v>
      </c>
      <c r="Q67" s="48">
        <f>LS[[#This Row],[Amount]]-LS[[#This Row],[Unit Capital]]</f>
        <v>0</v>
      </c>
      <c r="R6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7" s="89">
        <f t="shared" ref="S67:S130" si="1">IFERROR(NAV_MKT,0)</f>
        <v>14.224</v>
      </c>
      <c r="T6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" s="96" cm="1">
        <f t="array" ref="U67">IF(LS[[#This Row],[B/S]]="S",ABS(LS[[#This Row],[Unit]])*(INDEX(LS[NAV at Cost (Average)],MATCH(CONCATENATE((LS[[#This Row],[Frequency]]-1),LS[[#This Row],[Investor ID]]),LS[Unique Code],0),0)),0)</f>
        <v>0</v>
      </c>
      <c r="V67" s="96">
        <f>IF(LS[[#This Row],[BO TRANSFER]]="YES",LS[[#This Row],[Unit]],)</f>
        <v>0</v>
      </c>
      <c r="W67" s="96">
        <f>SUMIFS(LS[[#Headers],[BO UNIT TRANSFER]]:LS[[#This Row],[BO UNIT TRANSFER]],LS[[#Headers],[Investor ID]]:LS[[#This Row],[Investor ID]],LS[[#This Row],[Investor ID]])</f>
        <v>0</v>
      </c>
    </row>
    <row r="68" spans="1:23">
      <c r="A68" s="75">
        <v>2023</v>
      </c>
      <c r="B68" s="75">
        <v>2</v>
      </c>
      <c r="C68" s="75">
        <v>28</v>
      </c>
      <c r="D68" s="81">
        <f>DATE(LS[[#This Row],[Year]],LS[[#This Row],[Month]],LS[[#This Row],[Day]])</f>
        <v>44985</v>
      </c>
      <c r="E68" t="str" cm="1">
        <f t="array" ref="E68">INDEX(INVESTORS_LIST[INVESTOR NAME],MATCH(LS[[#This Row],[Investor ID]],INVESTORS_LIST[INVESTOR CODE],0),)</f>
        <v>SWADESH RANJAN SAHA</v>
      </c>
      <c r="F68" s="83" t="s">
        <v>234</v>
      </c>
      <c r="G68" s="75">
        <f>COUNTIF(LS[[#Headers],[Investor ID]]:LS[[#This Row],[Investor ID]],LS[[#This Row],[Investor ID]])</f>
        <v>1</v>
      </c>
      <c r="H68" s="75" t="str">
        <f>CONCATENATE(LS[[#This Row],[Frequency]],LS[[#This Row],[Investor ID]])</f>
        <v>1A00093</v>
      </c>
      <c r="I68" s="75" t="str">
        <f>IF(LS[[#This Row],[B/S]]="B","BUY",(IF(LS[[#This Row],[B/S]]="S","SELL"," ")))</f>
        <v>BUY</v>
      </c>
      <c r="J68" s="75" t="s">
        <v>1229</v>
      </c>
      <c r="K68" s="88">
        <v>1000000</v>
      </c>
      <c r="L68" s="88"/>
      <c r="M68" s="89">
        <f>LS[[#This Row],[Amount]]/LS[[#This Row],[Unit]]</f>
        <v>10</v>
      </c>
      <c r="N68" s="90">
        <f>LS[[#This Row],[Unit Capital]]/10</f>
        <v>100000</v>
      </c>
      <c r="O68" s="90">
        <f>SUMIFS(LS[[#Headers],[Unit]]:LS[[#This Row],[Unit]],LS[[#Headers],[Investor ID]]:LS[[#This Row],[Investor ID]],LS[[#This Row],[Investor ID]])</f>
        <v>100000</v>
      </c>
      <c r="P68" s="96">
        <v>1000000</v>
      </c>
      <c r="Q68" s="48">
        <f>LS[[#This Row],[Amount]]-LS[[#This Row],[Unit Capital]]</f>
        <v>0</v>
      </c>
      <c r="R6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68" s="89">
        <f t="shared" si="1"/>
        <v>14.224</v>
      </c>
      <c r="T6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" s="96" cm="1">
        <f t="array" ref="U68">IF(LS[[#This Row],[B/S]]="S",ABS(LS[[#This Row],[Unit]])*(INDEX(LS[NAV at Cost (Average)],MATCH(CONCATENATE((LS[[#This Row],[Frequency]]-1),LS[[#This Row],[Investor ID]]),LS[Unique Code],0),0)),0)</f>
        <v>0</v>
      </c>
      <c r="V68" s="96">
        <f>IF(LS[[#This Row],[BO TRANSFER]]="YES",LS[[#This Row],[Unit]],)</f>
        <v>0</v>
      </c>
      <c r="W68" s="96">
        <f>SUMIFS(LS[[#Headers],[BO UNIT TRANSFER]]:LS[[#This Row],[BO UNIT TRANSFER]],LS[[#Headers],[Investor ID]]:LS[[#This Row],[Investor ID]],LS[[#This Row],[Investor ID]])</f>
        <v>0</v>
      </c>
    </row>
    <row r="69" spans="1:23">
      <c r="A69" s="75">
        <v>2023</v>
      </c>
      <c r="B69" s="75">
        <v>3</v>
      </c>
      <c r="C69" s="75">
        <v>5</v>
      </c>
      <c r="D69" s="81">
        <f>DATE(LS[[#This Row],[Year]],LS[[#This Row],[Month]],LS[[#This Row],[Day]])</f>
        <v>44990</v>
      </c>
      <c r="E69" t="str" cm="1">
        <f t="array" ref="E69">INDEX(INVESTORS_LIST[INVESTOR NAME],MATCH(LS[[#This Row],[Investor ID]],INVESTORS_LIST[INVESTOR CODE],0),)</f>
        <v>SOURAV SAHA</v>
      </c>
      <c r="F69" s="83" t="s">
        <v>984</v>
      </c>
      <c r="G69" s="75">
        <f>COUNTIF(LS[[#Headers],[Investor ID]]:LS[[#This Row],[Investor ID]],LS[[#This Row],[Investor ID]])</f>
        <v>1</v>
      </c>
      <c r="H69" s="75" t="str">
        <f>CONCATENATE(LS[[#This Row],[Frequency]],LS[[#This Row],[Investor ID]])</f>
        <v>1A00469</v>
      </c>
      <c r="I69" s="75" t="str">
        <f>IF(LS[[#This Row],[B/S]]="B","BUY",(IF(LS[[#This Row],[B/S]]="S","SELL"," ")))</f>
        <v>BUY</v>
      </c>
      <c r="J69" s="75" t="s">
        <v>1229</v>
      </c>
      <c r="K69" s="88">
        <v>387001</v>
      </c>
      <c r="L69" s="88"/>
      <c r="M69" s="89">
        <f>LS[[#This Row],[Amount]]/LS[[#This Row],[Unit]]</f>
        <v>10.000025839793281</v>
      </c>
      <c r="N69" s="90">
        <f>LS[[#This Row],[Unit Capital]]/10</f>
        <v>38700</v>
      </c>
      <c r="O69" s="90">
        <f>SUMIFS(LS[[#Headers],[Unit]]:LS[[#This Row],[Unit]],LS[[#Headers],[Investor ID]]:LS[[#This Row],[Investor ID]],LS[[#This Row],[Investor ID]])</f>
        <v>38700</v>
      </c>
      <c r="P69" s="96">
        <v>387000</v>
      </c>
      <c r="Q69" s="48">
        <f>LS[[#This Row],[Amount]]-LS[[#This Row],[Unit Capital]]</f>
        <v>1</v>
      </c>
      <c r="R6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10.000025839793281</v>
      </c>
      <c r="S69" s="89">
        <f t="shared" si="1"/>
        <v>14.224</v>
      </c>
      <c r="T6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" s="96" cm="1">
        <f t="array" ref="U69">IF(LS[[#This Row],[B/S]]="S",ABS(LS[[#This Row],[Unit]])*(INDEX(LS[NAV at Cost (Average)],MATCH(CONCATENATE((LS[[#This Row],[Frequency]]-1),LS[[#This Row],[Investor ID]]),LS[Unique Code],0),0)),0)</f>
        <v>0</v>
      </c>
      <c r="V69" s="96">
        <f>IF(LS[[#This Row],[BO TRANSFER]]="YES",LS[[#This Row],[Unit]],)</f>
        <v>0</v>
      </c>
      <c r="W69" s="96">
        <f>SUMIFS(LS[[#Headers],[BO UNIT TRANSFER]]:LS[[#This Row],[BO UNIT TRANSFER]],LS[[#Headers],[Investor ID]]:LS[[#This Row],[Investor ID]],LS[[#This Row],[Investor ID]])</f>
        <v>0</v>
      </c>
    </row>
    <row r="70" spans="1:23">
      <c r="A70" s="75">
        <v>2023</v>
      </c>
      <c r="B70" s="75">
        <v>3</v>
      </c>
      <c r="C70" s="75">
        <v>5</v>
      </c>
      <c r="D70" s="81">
        <f>DATE(LS[[#This Row],[Year]],LS[[#This Row],[Month]],LS[[#This Row],[Day]])</f>
        <v>44990</v>
      </c>
      <c r="E70" t="str" cm="1">
        <f t="array" ref="E70">INDEX(INVESTORS_LIST[INVESTOR NAME],MATCH(LS[[#This Row],[Investor ID]],INVESTORS_LIST[INVESTOR CODE],0),)</f>
        <v>MD. SAIFULLAH AL AZAD</v>
      </c>
      <c r="F70" s="83" t="s">
        <v>688</v>
      </c>
      <c r="G70" s="75">
        <f>COUNTIF(LS[[#Headers],[Investor ID]]:LS[[#This Row],[Investor ID]],LS[[#This Row],[Investor ID]])</f>
        <v>1</v>
      </c>
      <c r="H70" s="75" t="str">
        <f>CONCATENATE(LS[[#This Row],[Frequency]],LS[[#This Row],[Investor ID]])</f>
        <v>1A00320</v>
      </c>
      <c r="I70" s="75" t="str">
        <f>IF(LS[[#This Row],[B/S]]="B","BUY",(IF(LS[[#This Row],[B/S]]="S","SELL"," ")))</f>
        <v>BUY</v>
      </c>
      <c r="J70" s="75" t="s">
        <v>1229</v>
      </c>
      <c r="K70" s="88">
        <v>200000</v>
      </c>
      <c r="L70" s="88"/>
      <c r="M70" s="89">
        <f>LS[[#This Row],[Amount]]/LS[[#This Row],[Unit]]</f>
        <v>10</v>
      </c>
      <c r="N70" s="90">
        <f>LS[[#This Row],[Unit Capital]]/10</f>
        <v>20000</v>
      </c>
      <c r="O70" s="90">
        <f>SUMIFS(LS[[#Headers],[Unit]]:LS[[#This Row],[Unit]],LS[[#Headers],[Investor ID]]:LS[[#This Row],[Investor ID]],LS[[#This Row],[Investor ID]])</f>
        <v>20000</v>
      </c>
      <c r="P70" s="96">
        <v>200000</v>
      </c>
      <c r="Q70" s="48">
        <f>LS[[#This Row],[Amount]]-LS[[#This Row],[Unit Capital]]</f>
        <v>0</v>
      </c>
      <c r="R7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70" s="89">
        <f t="shared" si="1"/>
        <v>14.224</v>
      </c>
      <c r="T7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0" s="96" cm="1">
        <f t="array" ref="U70">IF(LS[[#This Row],[B/S]]="S",ABS(LS[[#This Row],[Unit]])*(INDEX(LS[NAV at Cost (Average)],MATCH(CONCATENATE((LS[[#This Row],[Frequency]]-1),LS[[#This Row],[Investor ID]]),LS[Unique Code],0),0)),0)</f>
        <v>0</v>
      </c>
      <c r="V70" s="96">
        <f>IF(LS[[#This Row],[BO TRANSFER]]="YES",LS[[#This Row],[Unit]],)</f>
        <v>0</v>
      </c>
      <c r="W70" s="96">
        <f>SUMIFS(LS[[#Headers],[BO UNIT TRANSFER]]:LS[[#This Row],[BO UNIT TRANSFER]],LS[[#Headers],[Investor ID]]:LS[[#This Row],[Investor ID]],LS[[#This Row],[Investor ID]])</f>
        <v>0</v>
      </c>
    </row>
    <row r="71" spans="1:23">
      <c r="A71" s="75">
        <v>2023</v>
      </c>
      <c r="B71" s="75">
        <v>3</v>
      </c>
      <c r="C71" s="75">
        <v>9</v>
      </c>
      <c r="D71" s="81">
        <f>DATE(LS[[#This Row],[Year]],LS[[#This Row],[Month]],LS[[#This Row],[Day]])</f>
        <v>44994</v>
      </c>
      <c r="E71" t="str" cm="1">
        <f t="array" ref="E71">INDEX(INVESTORS_LIST[INVESTOR NAME],MATCH(LS[[#This Row],[Investor ID]],INVESTORS_LIST[INVESTOR CODE],0),)</f>
        <v>KANKA SAHA</v>
      </c>
      <c r="F71" s="83" t="s">
        <v>168</v>
      </c>
      <c r="G71" s="75">
        <f>COUNTIF(LS[[#Headers],[Investor ID]]:LS[[#This Row],[Investor ID]],LS[[#This Row],[Investor ID]])</f>
        <v>1</v>
      </c>
      <c r="H71" s="75" t="str">
        <f>CONCATENATE(LS[[#This Row],[Frequency]],LS[[#This Row],[Investor ID]])</f>
        <v>1A00060</v>
      </c>
      <c r="I71" s="75" t="str">
        <f>IF(LS[[#This Row],[B/S]]="B","BUY",(IF(LS[[#This Row],[B/S]]="S","SELL"," ")))</f>
        <v>BUY</v>
      </c>
      <c r="J71" s="75" t="s">
        <v>1229</v>
      </c>
      <c r="K71" s="88">
        <v>500000</v>
      </c>
      <c r="L71" s="88"/>
      <c r="M71" s="89">
        <f>LS[[#This Row],[Amount]]/LS[[#This Row],[Unit]]</f>
        <v>10.030090270812437</v>
      </c>
      <c r="N71" s="90">
        <f>LS[[#This Row],[Unit Capital]]/10</f>
        <v>49850</v>
      </c>
      <c r="O71" s="90">
        <f>SUMIFS(LS[[#Headers],[Unit]]:LS[[#This Row],[Unit]],LS[[#Headers],[Investor ID]]:LS[[#This Row],[Investor ID]],LS[[#This Row],[Investor ID]])</f>
        <v>49850</v>
      </c>
      <c r="P71" s="96">
        <v>498500</v>
      </c>
      <c r="Q71" s="48">
        <f>LS[[#This Row],[Amount]]-LS[[#This Row],[Unit Capital]]</f>
        <v>1500</v>
      </c>
      <c r="R7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10.030090270812437</v>
      </c>
      <c r="S71" s="89">
        <f t="shared" si="1"/>
        <v>14.224</v>
      </c>
      <c r="T7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" s="96" cm="1">
        <f t="array" ref="U71">IF(LS[[#This Row],[B/S]]="S",ABS(LS[[#This Row],[Unit]])*(INDEX(LS[NAV at Cost (Average)],MATCH(CONCATENATE((LS[[#This Row],[Frequency]]-1),LS[[#This Row],[Investor ID]]),LS[Unique Code],0),0)),0)</f>
        <v>0</v>
      </c>
      <c r="V71" s="96">
        <f>IF(LS[[#This Row],[BO TRANSFER]]="YES",LS[[#This Row],[Unit]],)</f>
        <v>0</v>
      </c>
      <c r="W71" s="96">
        <f>SUMIFS(LS[[#Headers],[BO UNIT TRANSFER]]:LS[[#This Row],[BO UNIT TRANSFER]],LS[[#Headers],[Investor ID]]:LS[[#This Row],[Investor ID]],LS[[#This Row],[Investor ID]])</f>
        <v>0</v>
      </c>
    </row>
    <row r="72" spans="1:23">
      <c r="A72" s="75">
        <v>2023</v>
      </c>
      <c r="B72" s="75">
        <v>3</v>
      </c>
      <c r="C72" s="75">
        <v>13</v>
      </c>
      <c r="D72" s="81">
        <f>DATE(LS[[#This Row],[Year]],LS[[#This Row],[Month]],LS[[#This Row],[Day]])</f>
        <v>44998</v>
      </c>
      <c r="E72" t="str" cm="1">
        <f t="array" ref="E72">INDEX(INVESTORS_LIST[INVESTOR NAME],MATCH(LS[[#This Row],[Investor ID]],INVESTORS_LIST[INVESTOR CODE],0),)</f>
        <v>ASMA UL HUSNA</v>
      </c>
      <c r="F72" s="83" t="s">
        <v>324</v>
      </c>
      <c r="G72" s="75">
        <f>COUNTIF(LS[[#Headers],[Investor ID]]:LS[[#This Row],[Investor ID]],LS[[#This Row],[Investor ID]])</f>
        <v>1</v>
      </c>
      <c r="H72" s="75" t="str">
        <f>CONCATENATE(LS[[#This Row],[Frequency]],LS[[#This Row],[Investor ID]])</f>
        <v>1A00138</v>
      </c>
      <c r="I72" s="75" t="str">
        <f>IF(LS[[#This Row],[B/S]]="B","BUY",(IF(LS[[#This Row],[B/S]]="S","SELL"," ")))</f>
        <v>BUY</v>
      </c>
      <c r="J72" s="75" t="s">
        <v>1229</v>
      </c>
      <c r="K72" s="88">
        <v>1500000</v>
      </c>
      <c r="L72" s="88"/>
      <c r="M72" s="89">
        <f>LS[[#This Row],[Amount]]/LS[[#This Row],[Unit]]</f>
        <v>10.030023202787008</v>
      </c>
      <c r="N72" s="90">
        <f>LS[[#This Row],[Unit Capital]]/10</f>
        <v>149551</v>
      </c>
      <c r="O72" s="90">
        <f>SUMIFS(LS[[#Headers],[Unit]]:LS[[#This Row],[Unit]],LS[[#Headers],[Investor ID]]:LS[[#This Row],[Investor ID]],LS[[#This Row],[Investor ID]])</f>
        <v>149551</v>
      </c>
      <c r="P72" s="96">
        <v>1495510</v>
      </c>
      <c r="Q72" s="48">
        <f>LS[[#This Row],[Amount]]-LS[[#This Row],[Unit Capital]]</f>
        <v>4490</v>
      </c>
      <c r="R7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10.030023202787008</v>
      </c>
      <c r="S72" s="89">
        <f t="shared" si="1"/>
        <v>14.224</v>
      </c>
      <c r="T7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2" s="96" cm="1">
        <f t="array" ref="U72">IF(LS[[#This Row],[B/S]]="S",ABS(LS[[#This Row],[Unit]])*(INDEX(LS[NAV at Cost (Average)],MATCH(CONCATENATE((LS[[#This Row],[Frequency]]-1),LS[[#This Row],[Investor ID]]),LS[Unique Code],0),0)),0)</f>
        <v>0</v>
      </c>
      <c r="V72" s="96">
        <f>IF(LS[[#This Row],[BO TRANSFER]]="YES",LS[[#This Row],[Unit]],)</f>
        <v>0</v>
      </c>
      <c r="W72" s="96">
        <f>SUMIFS(LS[[#Headers],[BO UNIT TRANSFER]]:LS[[#This Row],[BO UNIT TRANSFER]],LS[[#Headers],[Investor ID]]:LS[[#This Row],[Investor ID]],LS[[#This Row],[Investor ID]])</f>
        <v>0</v>
      </c>
    </row>
    <row r="73" spans="1:23">
      <c r="A73" s="75">
        <v>2023</v>
      </c>
      <c r="B73" s="75">
        <v>3</v>
      </c>
      <c r="C73" s="75">
        <v>19</v>
      </c>
      <c r="D73" s="81">
        <f>DATE(LS[[#This Row],[Year]],LS[[#This Row],[Month]],LS[[#This Row],[Day]])</f>
        <v>45004</v>
      </c>
      <c r="E73" t="str" cm="1">
        <f t="array" ref="E73">INDEX(INVESTORS_LIST[INVESTOR NAME],MATCH(LS[[#This Row],[Investor ID]],INVESTORS_LIST[INVESTOR CODE],0),)</f>
        <v>M.A. MALEK SIDDIQUE WALI &amp; CO.</v>
      </c>
      <c r="F73" s="83" t="s">
        <v>702</v>
      </c>
      <c r="G73" s="75">
        <f>COUNTIF(LS[[#Headers],[Investor ID]]:LS[[#This Row],[Investor ID]],LS[[#This Row],[Investor ID]])</f>
        <v>2</v>
      </c>
      <c r="H73" s="75" t="str">
        <f>CONCATENATE(LS[[#This Row],[Frequency]],LS[[#This Row],[Investor ID]])</f>
        <v>2A00327</v>
      </c>
      <c r="I73" s="75" t="str">
        <f>IF(LS[[#This Row],[B/S]]="B","BUY",(IF(LS[[#This Row],[B/S]]="S","SELL"," ")))</f>
        <v>SELL</v>
      </c>
      <c r="J73" s="75" t="s">
        <v>1231</v>
      </c>
      <c r="K73" s="88">
        <v>-500000</v>
      </c>
      <c r="L73" s="88"/>
      <c r="M73" s="89">
        <f>LS[[#This Row],[Amount]]/LS[[#This Row],[Unit]]</f>
        <v>10</v>
      </c>
      <c r="N73" s="90">
        <f>LS[[#This Row],[Unit Capital]]/10</f>
        <v>-50000</v>
      </c>
      <c r="O73" s="90">
        <f>SUMIFS(LS[[#Headers],[Unit]]:LS[[#This Row],[Unit]],LS[[#Headers],[Investor ID]]:LS[[#This Row],[Investor ID]],LS[[#This Row],[Investor ID]])</f>
        <v>0</v>
      </c>
      <c r="P73" s="96">
        <v>-500000</v>
      </c>
      <c r="Q73" s="48">
        <f>LS[[#This Row],[Amount]]-LS[[#This Row],[Unit Capital]]</f>
        <v>0</v>
      </c>
      <c r="R7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3" s="89">
        <f t="shared" si="1"/>
        <v>14.224</v>
      </c>
      <c r="T7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" s="96" cm="1">
        <f t="array" ref="U73">IF(LS[[#This Row],[B/S]]="S",ABS(LS[[#This Row],[Unit]])*(INDEX(LS[NAV at Cost (Average)],MATCH(CONCATENATE((LS[[#This Row],[Frequency]]-1),LS[[#This Row],[Investor ID]]),LS[Unique Code],0),0)),0)</f>
        <v>500000</v>
      </c>
      <c r="V73" s="96">
        <f>IF(LS[[#This Row],[BO TRANSFER]]="YES",LS[[#This Row],[Unit]],)</f>
        <v>0</v>
      </c>
      <c r="W73" s="96">
        <f>SUMIFS(LS[[#Headers],[BO UNIT TRANSFER]]:LS[[#This Row],[BO UNIT TRANSFER]],LS[[#Headers],[Investor ID]]:LS[[#This Row],[Investor ID]],LS[[#This Row],[Investor ID]])</f>
        <v>0</v>
      </c>
    </row>
    <row r="74" spans="1:23">
      <c r="A74" s="75">
        <v>2023</v>
      </c>
      <c r="B74" s="75">
        <v>3</v>
      </c>
      <c r="C74" s="75">
        <v>21</v>
      </c>
      <c r="D74" s="81">
        <f>DATE(LS[[#This Row],[Year]],LS[[#This Row],[Month]],LS[[#This Row],[Day]])</f>
        <v>45006</v>
      </c>
      <c r="E74" t="str" cm="1">
        <f t="array" ref="E74">INDEX(INVESTORS_LIST[INVESTOR NAME],MATCH(LS[[#This Row],[Investor ID]],INVESTORS_LIST[INVESTOR CODE],0),)</f>
        <v>MD. SHAHIDUL ISLAM</v>
      </c>
      <c r="F74" s="83" t="s">
        <v>101</v>
      </c>
      <c r="G74" s="75">
        <f>COUNTIF(LS[[#Headers],[Investor ID]]:LS[[#This Row],[Investor ID]],LS[[#This Row],[Investor ID]])</f>
        <v>2</v>
      </c>
      <c r="H74" s="75" t="str">
        <f>CONCATENATE(LS[[#This Row],[Frequency]],LS[[#This Row],[Investor ID]])</f>
        <v>2A00027</v>
      </c>
      <c r="I74" s="75" t="str">
        <f>IF(LS[[#This Row],[B/S]]="B","BUY",(IF(LS[[#This Row],[B/S]]="S","SELL"," ")))</f>
        <v>SELL</v>
      </c>
      <c r="J74" s="75" t="s">
        <v>1231</v>
      </c>
      <c r="K74" s="88">
        <v>-502850</v>
      </c>
      <c r="L74" s="88"/>
      <c r="M74" s="89">
        <f>LS[[#This Row],[Amount]]/LS[[#This Row],[Unit]]</f>
        <v>10.057</v>
      </c>
      <c r="N74" s="90">
        <f>LS[[#This Row],[Unit Capital]]/10</f>
        <v>-50000</v>
      </c>
      <c r="O74" s="90">
        <f>SUMIFS(LS[[#Headers],[Unit]]:LS[[#This Row],[Unit]],LS[[#Headers],[Investor ID]]:LS[[#This Row],[Investor ID]],LS[[#This Row],[Investor ID]])</f>
        <v>0</v>
      </c>
      <c r="P74" s="96">
        <v>-500000</v>
      </c>
      <c r="Q74" s="48">
        <f>LS[[#This Row],[Amount]]-LS[[#This Row],[Unit Capital]]</f>
        <v>-2850</v>
      </c>
      <c r="R7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4" s="89">
        <f t="shared" si="1"/>
        <v>14.224</v>
      </c>
      <c r="T74" s="96">
        <f>IF(LS[[#This Row],[B/S]]="B",0,ABS(LS[[#This Row],[Unit]])*(LS[[#This Row],[NAV (Strike Rate)]]-INDEX(LS[NAV at Cost (Average)],MATCH(CONCATENATE(LS[[#This Row],[Frequency]]-1,LS[[#This Row],[Investor ID]]),LS[Unique Code],0),)))</f>
        <v>2850.0000000000191</v>
      </c>
      <c r="U74" s="96" cm="1">
        <f t="array" ref="U74">IF(LS[[#This Row],[B/S]]="S",ABS(LS[[#This Row],[Unit]])*(INDEX(LS[NAV at Cost (Average)],MATCH(CONCATENATE((LS[[#This Row],[Frequency]]-1),LS[[#This Row],[Investor ID]]),LS[Unique Code],0),0)),0)</f>
        <v>500000</v>
      </c>
      <c r="V74" s="96">
        <f>IF(LS[[#This Row],[BO TRANSFER]]="YES",LS[[#This Row],[Unit]],)</f>
        <v>0</v>
      </c>
      <c r="W74" s="96">
        <f>SUMIFS(LS[[#Headers],[BO UNIT TRANSFER]]:LS[[#This Row],[BO UNIT TRANSFER]],LS[[#Headers],[Investor ID]]:LS[[#This Row],[Investor ID]],LS[[#This Row],[Investor ID]])</f>
        <v>0</v>
      </c>
    </row>
    <row r="75" spans="1:23">
      <c r="A75" s="75">
        <v>2023</v>
      </c>
      <c r="B75" s="75">
        <v>3</v>
      </c>
      <c r="C75" s="75">
        <v>23</v>
      </c>
      <c r="D75" s="81">
        <f>DATE(LS[[#This Row],[Year]],LS[[#This Row],[Month]],LS[[#This Row],[Day]])</f>
        <v>45008</v>
      </c>
      <c r="E75" t="str" cm="1">
        <f t="array" ref="E75">INDEX(INVESTORS_LIST[INVESTOR NAME],MATCH(LS[[#This Row],[Investor ID]],INVESTORS_LIST[INVESTOR CODE],0),)</f>
        <v>HAFIZA AFRIN TONNY</v>
      </c>
      <c r="F75" s="83" t="s">
        <v>766</v>
      </c>
      <c r="G75" s="75">
        <f>COUNTIF(LS[[#Headers],[Investor ID]]:LS[[#This Row],[Investor ID]],LS[[#This Row],[Investor ID]])</f>
        <v>2</v>
      </c>
      <c r="H75" s="75" t="str">
        <f>CONCATENATE(LS[[#This Row],[Frequency]],LS[[#This Row],[Investor ID]])</f>
        <v>2A00359</v>
      </c>
      <c r="I75" s="75" t="str">
        <f>IF(LS[[#This Row],[B/S]]="B","BUY",(IF(LS[[#This Row],[B/S]]="S","SELL"," ")))</f>
        <v>SELL</v>
      </c>
      <c r="J75" s="75" t="s">
        <v>1231</v>
      </c>
      <c r="K75" s="88">
        <v>-100570</v>
      </c>
      <c r="L75" s="88"/>
      <c r="M75" s="89">
        <f>LS[[#This Row],[Amount]]/LS[[#This Row],[Unit]]</f>
        <v>10.057</v>
      </c>
      <c r="N75" s="90">
        <f>LS[[#This Row],[Unit Capital]]/10</f>
        <v>-10000</v>
      </c>
      <c r="O75" s="90">
        <f>SUMIFS(LS[[#Headers],[Unit]]:LS[[#This Row],[Unit]],LS[[#Headers],[Investor ID]]:LS[[#This Row],[Investor ID]],LS[[#This Row],[Investor ID]])</f>
        <v>0</v>
      </c>
      <c r="P75" s="96">
        <v>-100000</v>
      </c>
      <c r="Q75" s="48">
        <f>LS[[#This Row],[Amount]]-LS[[#This Row],[Unit Capital]]</f>
        <v>-570</v>
      </c>
      <c r="R7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5" s="89">
        <f t="shared" si="1"/>
        <v>14.224</v>
      </c>
      <c r="T75" s="96">
        <f>IF(LS[[#This Row],[B/S]]="B",0,ABS(LS[[#This Row],[Unit]])*(LS[[#This Row],[NAV (Strike Rate)]]-INDEX(LS[NAV at Cost (Average)],MATCH(CONCATENATE(LS[[#This Row],[Frequency]]-1,LS[[#This Row],[Investor ID]]),LS[Unique Code],0),)))</f>
        <v>570.00000000000387</v>
      </c>
      <c r="U75" s="96" cm="1">
        <f t="array" ref="U75">IF(LS[[#This Row],[B/S]]="S",ABS(LS[[#This Row],[Unit]])*(INDEX(LS[NAV at Cost (Average)],MATCH(CONCATENATE((LS[[#This Row],[Frequency]]-1),LS[[#This Row],[Investor ID]]),LS[Unique Code],0),0)),0)</f>
        <v>100000</v>
      </c>
      <c r="V75" s="96">
        <f>IF(LS[[#This Row],[BO TRANSFER]]="YES",LS[[#This Row],[Unit]],)</f>
        <v>0</v>
      </c>
      <c r="W75" s="96">
        <f>SUMIFS(LS[[#Headers],[BO UNIT TRANSFER]]:LS[[#This Row],[BO UNIT TRANSFER]],LS[[#Headers],[Investor ID]]:LS[[#This Row],[Investor ID]],LS[[#This Row],[Investor ID]])</f>
        <v>0</v>
      </c>
    </row>
    <row r="76" spans="1:23">
      <c r="A76" s="75">
        <v>2023</v>
      </c>
      <c r="B76" s="75">
        <v>3</v>
      </c>
      <c r="C76" s="75">
        <v>30</v>
      </c>
      <c r="D76" s="81">
        <f>DATE(LS[[#This Row],[Year]],LS[[#This Row],[Month]],LS[[#This Row],[Day]])</f>
        <v>45015</v>
      </c>
      <c r="E76" t="str" cm="1">
        <f t="array" ref="E76">INDEX(INVESTORS_LIST[INVESTOR NAME],MATCH(LS[[#This Row],[Investor ID]],INVESTORS_LIST[INVESTOR CODE],0),)</f>
        <v>KHAN MUHAMMAD KAWSER AHMED</v>
      </c>
      <c r="F76" s="83" t="s">
        <v>944</v>
      </c>
      <c r="G76" s="75">
        <f>COUNTIF(LS[[#Headers],[Investor ID]]:LS[[#This Row],[Investor ID]],LS[[#This Row],[Investor ID]])</f>
        <v>2</v>
      </c>
      <c r="H76" s="75" t="str">
        <f>CONCATENATE(LS[[#This Row],[Frequency]],LS[[#This Row],[Investor ID]])</f>
        <v>2A00449</v>
      </c>
      <c r="I76" s="75" t="str">
        <f>IF(LS[[#This Row],[B/S]]="B","BUY",(IF(LS[[#This Row],[B/S]]="S","SELL"," ")))</f>
        <v>BUY</v>
      </c>
      <c r="J76" s="75" t="s">
        <v>1229</v>
      </c>
      <c r="K76" s="88">
        <v>5000000</v>
      </c>
      <c r="L76" s="88"/>
      <c r="M76" s="89">
        <f>LS[[#This Row],[Amount]]/LS[[#This Row],[Unit]]</f>
        <v>10.061009964424269</v>
      </c>
      <c r="N76" s="90">
        <f>LS[[#This Row],[Unit Capital]]/10</f>
        <v>496968</v>
      </c>
      <c r="O76" s="90">
        <f>SUMIFS(LS[[#Headers],[Unit]]:LS[[#This Row],[Unit]],LS[[#Headers],[Investor ID]]:LS[[#This Row],[Investor ID]],LS[[#This Row],[Investor ID]])</f>
        <v>1496968</v>
      </c>
      <c r="P76" s="96">
        <v>4969680</v>
      </c>
      <c r="Q76" s="48">
        <f>LS[[#This Row],[Amount]]-LS[[#This Row],[Unit Capital]]</f>
        <v>30320</v>
      </c>
      <c r="R7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10.020254273972455</v>
      </c>
      <c r="S76" s="89">
        <f t="shared" si="1"/>
        <v>14.224</v>
      </c>
      <c r="T7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6" s="96" cm="1">
        <f t="array" ref="U76">IF(LS[[#This Row],[B/S]]="S",ABS(LS[[#This Row],[Unit]])*(INDEX(LS[NAV at Cost (Average)],MATCH(CONCATENATE((LS[[#This Row],[Frequency]]-1),LS[[#This Row],[Investor ID]]),LS[Unique Code],0),0)),0)</f>
        <v>0</v>
      </c>
      <c r="V76" s="96">
        <f>IF(LS[[#This Row],[BO TRANSFER]]="YES",LS[[#This Row],[Unit]],)</f>
        <v>0</v>
      </c>
      <c r="W76" s="96">
        <f>SUMIFS(LS[[#Headers],[BO UNIT TRANSFER]]:LS[[#This Row],[BO UNIT TRANSFER]],LS[[#Headers],[Investor ID]]:LS[[#This Row],[Investor ID]],LS[[#This Row],[Investor ID]])</f>
        <v>0</v>
      </c>
    </row>
    <row r="77" spans="1:23">
      <c r="A77" s="75">
        <v>2023</v>
      </c>
      <c r="B77" s="75">
        <v>4</v>
      </c>
      <c r="C77" s="75">
        <v>2</v>
      </c>
      <c r="D77" s="81">
        <f>DATE(LS[[#This Row],[Year]],LS[[#This Row],[Month]],LS[[#This Row],[Day]])</f>
        <v>45018</v>
      </c>
      <c r="E77" t="str" cm="1">
        <f t="array" ref="E77">INDEX(INVESTORS_LIST[INVESTOR NAME],MATCH(LS[[#This Row],[Investor ID]],INVESTORS_LIST[INVESTOR CODE],0),)</f>
        <v>MOHAMMED ALI XAHANGIR</v>
      </c>
      <c r="F77" s="83" t="s">
        <v>312</v>
      </c>
      <c r="G77" s="75">
        <f>COUNTIF(LS[[#Headers],[Investor ID]]:LS[[#This Row],[Investor ID]],LS[[#This Row],[Investor ID]])</f>
        <v>2</v>
      </c>
      <c r="H77" s="75" t="str">
        <f>CONCATENATE(LS[[#This Row],[Frequency]],LS[[#This Row],[Investor ID]])</f>
        <v>2A00132</v>
      </c>
      <c r="I77" s="75" t="str">
        <f>IF(LS[[#This Row],[B/S]]="B","BUY",(IF(LS[[#This Row],[B/S]]="S","SELL"," ")))</f>
        <v>SELL</v>
      </c>
      <c r="J77" s="75" t="s">
        <v>1231</v>
      </c>
      <c r="K77" s="88">
        <v>-2620425</v>
      </c>
      <c r="L77" s="88"/>
      <c r="M77" s="89">
        <f>LS[[#This Row],[Amount]]/LS[[#This Row],[Unit]]</f>
        <v>10.078557692307692</v>
      </c>
      <c r="N77" s="90">
        <f>LS[[#This Row],[Unit Capital]]/10</f>
        <v>-260000</v>
      </c>
      <c r="O77" s="90">
        <f>SUMIFS(LS[[#Headers],[Unit]]:LS[[#This Row],[Unit]],LS[[#Headers],[Investor ID]]:LS[[#This Row],[Investor ID]],LS[[#This Row],[Investor ID]])</f>
        <v>0</v>
      </c>
      <c r="P77" s="96">
        <v>-2600000</v>
      </c>
      <c r="Q77" s="48">
        <f>LS[[#This Row],[Amount]]-LS[[#This Row],[Unit Capital]]</f>
        <v>-20425</v>
      </c>
      <c r="R7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7" s="89">
        <f t="shared" si="1"/>
        <v>14.224</v>
      </c>
      <c r="T77" s="96">
        <f>IF(LS[[#This Row],[B/S]]="B",0,ABS(LS[[#This Row],[Unit]])*(LS[[#This Row],[NAV (Strike Rate)]]-INDEX(LS[NAV at Cost (Average)],MATCH(CONCATENATE(LS[[#This Row],[Frequency]]-1,LS[[#This Row],[Investor ID]]),LS[Unique Code],0),)))</f>
        <v>20424.999999999935</v>
      </c>
      <c r="U77" s="96" cm="1">
        <f t="array" ref="U77">IF(LS[[#This Row],[B/S]]="S",ABS(LS[[#This Row],[Unit]])*(INDEX(LS[NAV at Cost (Average)],MATCH(CONCATENATE((LS[[#This Row],[Frequency]]-1),LS[[#This Row],[Investor ID]]),LS[Unique Code],0),0)),0)</f>
        <v>2600000</v>
      </c>
      <c r="V77" s="96">
        <f>IF(LS[[#This Row],[BO TRANSFER]]="YES",LS[[#This Row],[Unit]],)</f>
        <v>0</v>
      </c>
      <c r="W77" s="96">
        <f>SUMIFS(LS[[#Headers],[BO UNIT TRANSFER]]:LS[[#This Row],[BO UNIT TRANSFER]],LS[[#Headers],[Investor ID]]:LS[[#This Row],[Investor ID]],LS[[#This Row],[Investor ID]])</f>
        <v>0</v>
      </c>
    </row>
    <row r="78" spans="1:23">
      <c r="A78" s="75">
        <v>2023</v>
      </c>
      <c r="B78" s="75">
        <v>4</v>
      </c>
      <c r="C78" s="75">
        <v>2</v>
      </c>
      <c r="D78" s="81">
        <f>DATE(LS[[#This Row],[Year]],LS[[#This Row],[Month]],LS[[#This Row],[Day]])</f>
        <v>45018</v>
      </c>
      <c r="E78" t="str" cm="1">
        <f t="array" ref="E78">INDEX(INVESTORS_LIST[INVESTOR NAME],MATCH(LS[[#This Row],[Investor ID]],INVESTORS_LIST[INVESTOR CODE],0),)</f>
        <v>SWADESH RANJAN SAHA</v>
      </c>
      <c r="F78" s="83" t="s">
        <v>234</v>
      </c>
      <c r="G78" s="75">
        <f>COUNTIF(LS[[#Headers],[Investor ID]]:LS[[#This Row],[Investor ID]],LS[[#This Row],[Investor ID]])</f>
        <v>2</v>
      </c>
      <c r="H78" s="75" t="str">
        <f>CONCATENATE(LS[[#This Row],[Frequency]],LS[[#This Row],[Investor ID]])</f>
        <v>2A00093</v>
      </c>
      <c r="I78" s="75" t="str">
        <f>IF(LS[[#This Row],[B/S]]="B","BUY",(IF(LS[[#This Row],[B/S]]="S","SELL"," ")))</f>
        <v>SELL</v>
      </c>
      <c r="J78" s="75" t="s">
        <v>1231</v>
      </c>
      <c r="K78" s="88">
        <v>-1000000</v>
      </c>
      <c r="L78" s="88"/>
      <c r="M78" s="89">
        <f>LS[[#This Row],[Amount]]/LS[[#This Row],[Unit]]</f>
        <v>10</v>
      </c>
      <c r="N78" s="90">
        <f>LS[[#This Row],[Unit Capital]]/10</f>
        <v>-100000</v>
      </c>
      <c r="O78" s="90">
        <f>SUMIFS(LS[[#Headers],[Unit]]:LS[[#This Row],[Unit]],LS[[#Headers],[Investor ID]]:LS[[#This Row],[Investor ID]],LS[[#This Row],[Investor ID]])</f>
        <v>0</v>
      </c>
      <c r="P78" s="96">
        <v>-1000000</v>
      </c>
      <c r="Q78" s="48">
        <f>LS[[#This Row],[Amount]]-LS[[#This Row],[Unit Capital]]</f>
        <v>0</v>
      </c>
      <c r="R7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8" s="89">
        <f t="shared" si="1"/>
        <v>14.224</v>
      </c>
      <c r="T7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8" s="96" cm="1">
        <f t="array" ref="U78">IF(LS[[#This Row],[B/S]]="S",ABS(LS[[#This Row],[Unit]])*(INDEX(LS[NAV at Cost (Average)],MATCH(CONCATENATE((LS[[#This Row],[Frequency]]-1),LS[[#This Row],[Investor ID]]),LS[Unique Code],0),0)),0)</f>
        <v>1000000</v>
      </c>
      <c r="V78" s="96">
        <f>IF(LS[[#This Row],[BO TRANSFER]]="YES",LS[[#This Row],[Unit]],)</f>
        <v>0</v>
      </c>
      <c r="W78" s="96">
        <f>SUMIFS(LS[[#Headers],[BO UNIT TRANSFER]]:LS[[#This Row],[BO UNIT TRANSFER]],LS[[#Headers],[Investor ID]]:LS[[#This Row],[Investor ID]],LS[[#This Row],[Investor ID]])</f>
        <v>0</v>
      </c>
    </row>
    <row r="79" spans="1:23">
      <c r="A79" s="75">
        <v>2023</v>
      </c>
      <c r="B79" s="75">
        <v>4</v>
      </c>
      <c r="C79" s="75">
        <v>2</v>
      </c>
      <c r="D79" s="81">
        <f>DATE(LS[[#This Row],[Year]],LS[[#This Row],[Month]],LS[[#This Row],[Day]])</f>
        <v>45018</v>
      </c>
      <c r="E79" t="str" cm="1">
        <f t="array" ref="E79">INDEX(INVESTORS_LIST[INVESTOR NAME],MATCH(LS[[#This Row],[Investor ID]],INVESTORS_LIST[INVESTOR CODE],0),)</f>
        <v>EKUSH WEALTH MANAGEMENT LIMITED</v>
      </c>
      <c r="F79" s="83" t="s">
        <v>47</v>
      </c>
      <c r="G79" s="75">
        <f>COUNTIF(LS[[#Headers],[Investor ID]]:LS[[#This Row],[Investor ID]],LS[[#This Row],[Investor ID]])</f>
        <v>4</v>
      </c>
      <c r="H79" s="75" t="str">
        <f>CONCATENATE(LS[[#This Row],[Frequency]],LS[[#This Row],[Investor ID]])</f>
        <v>4A00003</v>
      </c>
      <c r="I79" s="75" t="str">
        <f>IF(LS[[#This Row],[B/S]]="B","BUY",(IF(LS[[#This Row],[B/S]]="S","SELL"," ")))</f>
        <v>BUY</v>
      </c>
      <c r="J79" s="75" t="s">
        <v>1229</v>
      </c>
      <c r="K79" s="88">
        <v>2500</v>
      </c>
      <c r="L79" s="88"/>
      <c r="M79" s="89">
        <f>LS[[#This Row],[Amount]]/LS[[#This Row],[Unit]]</f>
        <v>10.080645161290322</v>
      </c>
      <c r="N79" s="90">
        <f>LS[[#This Row],[Unit Capital]]/10</f>
        <v>248</v>
      </c>
      <c r="O79" s="90">
        <f>SUMIFS(LS[[#Headers],[Unit]]:LS[[#This Row],[Unit]],LS[[#Headers],[Investor ID]]:LS[[#This Row],[Investor ID]],LS[[#This Row],[Investor ID]])</f>
        <v>2530448</v>
      </c>
      <c r="P79" s="96">
        <v>2480</v>
      </c>
      <c r="Q79" s="48">
        <f>LS[[#This Row],[Amount]]-LS[[#This Row],[Unit Capital]]</f>
        <v>20</v>
      </c>
      <c r="R7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10.000007903738785</v>
      </c>
      <c r="S79" s="89">
        <f t="shared" si="1"/>
        <v>14.224</v>
      </c>
      <c r="T7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9" s="96" cm="1">
        <f t="array" ref="U79">IF(LS[[#This Row],[B/S]]="S",ABS(LS[[#This Row],[Unit]])*(INDEX(LS[NAV at Cost (Average)],MATCH(CONCATENATE((LS[[#This Row],[Frequency]]-1),LS[[#This Row],[Investor ID]]),LS[Unique Code],0),0)),0)</f>
        <v>0</v>
      </c>
      <c r="V79" s="96">
        <f>IF(LS[[#This Row],[BO TRANSFER]]="YES",LS[[#This Row],[Unit]],)</f>
        <v>0</v>
      </c>
      <c r="W79" s="96">
        <f>SUMIFS(LS[[#Headers],[BO UNIT TRANSFER]]:LS[[#This Row],[BO UNIT TRANSFER]],LS[[#Headers],[Investor ID]]:LS[[#This Row],[Investor ID]],LS[[#This Row],[Investor ID]])</f>
        <v>0</v>
      </c>
    </row>
    <row r="80" spans="1:23">
      <c r="A80" s="75">
        <v>2023</v>
      </c>
      <c r="B80" s="75">
        <v>4</v>
      </c>
      <c r="C80" s="75">
        <v>4</v>
      </c>
      <c r="D80" s="81">
        <f>DATE(LS[[#This Row],[Year]],LS[[#This Row],[Month]],LS[[#This Row],[Day]])</f>
        <v>45020</v>
      </c>
      <c r="E80" t="str" cm="1">
        <f t="array" ref="E80">INDEX(INVESTORS_LIST[INVESTOR NAME],MATCH(LS[[#This Row],[Investor ID]],INVESTORS_LIST[INVESTOR CODE],0),)</f>
        <v>AROORA SAMEERA CHOWDHURY</v>
      </c>
      <c r="F80" s="83" t="s">
        <v>138</v>
      </c>
      <c r="G80" s="75">
        <f>COUNTIF(LS[[#Headers],[Investor ID]]:LS[[#This Row],[Investor ID]],LS[[#This Row],[Investor ID]])</f>
        <v>2</v>
      </c>
      <c r="H80" s="75" t="str">
        <f>CONCATENATE(LS[[#This Row],[Frequency]],LS[[#This Row],[Investor ID]])</f>
        <v>2A00045</v>
      </c>
      <c r="I80" s="75" t="str">
        <f>IF(LS[[#This Row],[B/S]]="B","BUY",(IF(LS[[#This Row],[B/S]]="S","SELL"," ")))</f>
        <v>SELL</v>
      </c>
      <c r="J80" s="75" t="s">
        <v>1231</v>
      </c>
      <c r="K80" s="88">
        <v>-4500000</v>
      </c>
      <c r="L80" s="88"/>
      <c r="M80" s="89">
        <f>LS[[#This Row],[Amount]]/LS[[#This Row],[Unit]]</f>
        <v>10</v>
      </c>
      <c r="N80" s="90">
        <f>LS[[#This Row],[Unit Capital]]/10</f>
        <v>-450000</v>
      </c>
      <c r="O80" s="90">
        <f>SUMIFS(LS[[#Headers],[Unit]]:LS[[#This Row],[Unit]],LS[[#Headers],[Investor ID]]:LS[[#This Row],[Investor ID]],LS[[#This Row],[Investor ID]])</f>
        <v>0</v>
      </c>
      <c r="P80" s="96">
        <v>-4500000</v>
      </c>
      <c r="Q80" s="48">
        <f>LS[[#This Row],[Amount]]-LS[[#This Row],[Unit Capital]]</f>
        <v>0</v>
      </c>
      <c r="R8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0" s="89">
        <f t="shared" si="1"/>
        <v>14.224</v>
      </c>
      <c r="T8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" s="96" cm="1">
        <f t="array" ref="U80">IF(LS[[#This Row],[B/S]]="S",ABS(LS[[#This Row],[Unit]])*(INDEX(LS[NAV at Cost (Average)],MATCH(CONCATENATE((LS[[#This Row],[Frequency]]-1),LS[[#This Row],[Investor ID]]),LS[Unique Code],0),0)),0)</f>
        <v>4500000</v>
      </c>
      <c r="V80" s="96">
        <f>IF(LS[[#This Row],[BO TRANSFER]]="YES",LS[[#This Row],[Unit]],)</f>
        <v>0</v>
      </c>
      <c r="W80" s="96">
        <f>SUMIFS(LS[[#Headers],[BO UNIT TRANSFER]]:LS[[#This Row],[BO UNIT TRANSFER]],LS[[#Headers],[Investor ID]]:LS[[#This Row],[Investor ID]],LS[[#This Row],[Investor ID]])</f>
        <v>0</v>
      </c>
    </row>
    <row r="81" spans="1:23">
      <c r="A81" s="75">
        <v>2023</v>
      </c>
      <c r="B81" s="75">
        <v>4</v>
      </c>
      <c r="C81" s="75">
        <v>5</v>
      </c>
      <c r="D81" s="81">
        <f>DATE(LS[[#This Row],[Year]],LS[[#This Row],[Month]],LS[[#This Row],[Day]])</f>
        <v>45021</v>
      </c>
      <c r="E81" t="str" cm="1">
        <f t="array" ref="E81">INDEX(INVESTORS_LIST[INVESTOR NAME],MATCH(LS[[#This Row],[Investor ID]],INVESTORS_LIST[INVESTOR CODE],0),)</f>
        <v>EKUSH WEALTH MANAGEMENT LIMITED EMPLOYEES CONTRIBUTORY PROVIDENT FUND</v>
      </c>
      <c r="F81" s="83" t="s">
        <v>831</v>
      </c>
      <c r="G81" s="75">
        <f>COUNTIF(LS[[#Headers],[Investor ID]]:LS[[#This Row],[Investor ID]],LS[[#This Row],[Investor ID]])</f>
        <v>1</v>
      </c>
      <c r="H81" s="75" t="str">
        <f>CONCATENATE(LS[[#This Row],[Frequency]],LS[[#This Row],[Investor ID]])</f>
        <v>1A00392</v>
      </c>
      <c r="I81" s="75" t="str">
        <f>IF(LS[[#This Row],[B/S]]="B","BUY",(IF(LS[[#This Row],[B/S]]="S","SELL"," ")))</f>
        <v>BUY</v>
      </c>
      <c r="J81" s="75" t="s">
        <v>1229</v>
      </c>
      <c r="K81" s="88">
        <v>88000</v>
      </c>
      <c r="L81" s="88"/>
      <c r="M81" s="89">
        <f>LS[[#This Row],[Amount]]/LS[[#This Row],[Unit]]</f>
        <v>10.079028748138816</v>
      </c>
      <c r="N81" s="90">
        <f>LS[[#This Row],[Unit Capital]]/10</f>
        <v>8731</v>
      </c>
      <c r="O81" s="90">
        <f>SUMIFS(LS[[#Headers],[Unit]]:LS[[#This Row],[Unit]],LS[[#Headers],[Investor ID]]:LS[[#This Row],[Investor ID]],LS[[#This Row],[Investor ID]])</f>
        <v>8731</v>
      </c>
      <c r="P81" s="96">
        <v>87310</v>
      </c>
      <c r="Q81" s="48">
        <f>LS[[#This Row],[Amount]]-LS[[#This Row],[Unit Capital]]</f>
        <v>690</v>
      </c>
      <c r="R8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10.079028748138816</v>
      </c>
      <c r="S81" s="89">
        <f t="shared" si="1"/>
        <v>14.224</v>
      </c>
      <c r="T8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" s="96" cm="1">
        <f t="array" ref="U81">IF(LS[[#This Row],[B/S]]="S",ABS(LS[[#This Row],[Unit]])*(INDEX(LS[NAV at Cost (Average)],MATCH(CONCATENATE((LS[[#This Row],[Frequency]]-1),LS[[#This Row],[Investor ID]]),LS[Unique Code],0),0)),0)</f>
        <v>0</v>
      </c>
      <c r="V81" s="96">
        <f>IF(LS[[#This Row],[BO TRANSFER]]="YES",LS[[#This Row],[Unit]],)</f>
        <v>0</v>
      </c>
      <c r="W81" s="96">
        <f>SUMIFS(LS[[#Headers],[BO UNIT TRANSFER]]:LS[[#This Row],[BO UNIT TRANSFER]],LS[[#Headers],[Investor ID]]:LS[[#This Row],[Investor ID]],LS[[#This Row],[Investor ID]])</f>
        <v>0</v>
      </c>
    </row>
    <row r="82" spans="1:23">
      <c r="A82" s="75">
        <v>2023</v>
      </c>
      <c r="B82" s="75">
        <v>4</v>
      </c>
      <c r="C82" s="75">
        <v>12</v>
      </c>
      <c r="D82" s="81">
        <f>DATE(LS[[#This Row],[Year]],LS[[#This Row],[Month]],LS[[#This Row],[Day]])</f>
        <v>45028</v>
      </c>
      <c r="E82" t="str" cm="1">
        <f t="array" ref="E82">INDEX(INVESTORS_LIST[INVESTOR NAME],MATCH(LS[[#This Row],[Investor ID]],INVESTORS_LIST[INVESTOR CODE],0),)</f>
        <v>JNANDIP PAUL</v>
      </c>
      <c r="F82" s="83" t="s">
        <v>230</v>
      </c>
      <c r="G82" s="75">
        <f>COUNTIF(LS[[#Headers],[Investor ID]]:LS[[#This Row],[Investor ID]],LS[[#This Row],[Investor ID]])</f>
        <v>2</v>
      </c>
      <c r="H82" s="75" t="str">
        <f>CONCATENATE(LS[[#This Row],[Frequency]],LS[[#This Row],[Investor ID]])</f>
        <v>2A00091</v>
      </c>
      <c r="I82" s="75" t="str">
        <f>IF(LS[[#This Row],[B/S]]="B","BUY",(IF(LS[[#This Row],[B/S]]="S","SELL"," ")))</f>
        <v>SELL</v>
      </c>
      <c r="J82" s="75" t="s">
        <v>1231</v>
      </c>
      <c r="K82" s="88">
        <v>-300000</v>
      </c>
      <c r="L82" s="88"/>
      <c r="M82" s="89">
        <f>LS[[#This Row],[Amount]]/LS[[#This Row],[Unit]]</f>
        <v>10.091156782939217</v>
      </c>
      <c r="N82" s="90">
        <f>LS[[#This Row],[Unit Capital]]/10</f>
        <v>-29729</v>
      </c>
      <c r="O82" s="90">
        <f>SUMIFS(LS[[#Headers],[Unit]]:LS[[#This Row],[Unit]],LS[[#Headers],[Investor ID]]:LS[[#This Row],[Investor ID]],LS[[#This Row],[Investor ID]])</f>
        <v>18271</v>
      </c>
      <c r="P82" s="96">
        <v>-297290</v>
      </c>
      <c r="Q82" s="48">
        <f>LS[[#This Row],[Amount]]-LS[[#This Row],[Unit Capital]]</f>
        <v>-2710</v>
      </c>
      <c r="R8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82" s="89">
        <f t="shared" si="1"/>
        <v>14.224</v>
      </c>
      <c r="T82" s="96">
        <f>IF(LS[[#This Row],[B/S]]="B",0,ABS(LS[[#This Row],[Unit]])*(LS[[#This Row],[NAV (Strike Rate)]]-INDEX(LS[NAV at Cost (Average)],MATCH(CONCATENATE(LS[[#This Row],[Frequency]]-1,LS[[#This Row],[Investor ID]]),LS[Unique Code],0),)))</f>
        <v>2709.9999999999895</v>
      </c>
      <c r="U82" s="96" cm="1">
        <f t="array" ref="U82">IF(LS[[#This Row],[B/S]]="S",ABS(LS[[#This Row],[Unit]])*(INDEX(LS[NAV at Cost (Average)],MATCH(CONCATENATE((LS[[#This Row],[Frequency]]-1),LS[[#This Row],[Investor ID]]),LS[Unique Code],0),0)),0)</f>
        <v>297290</v>
      </c>
      <c r="V82" s="96">
        <f>IF(LS[[#This Row],[BO TRANSFER]]="YES",LS[[#This Row],[Unit]],)</f>
        <v>0</v>
      </c>
      <c r="W82" s="96">
        <f>SUMIFS(LS[[#Headers],[BO UNIT TRANSFER]]:LS[[#This Row],[BO UNIT TRANSFER]],LS[[#Headers],[Investor ID]]:LS[[#This Row],[Investor ID]],LS[[#This Row],[Investor ID]])</f>
        <v>0</v>
      </c>
    </row>
    <row r="83" spans="1:23">
      <c r="A83" s="75">
        <v>2023</v>
      </c>
      <c r="B83" s="75">
        <v>4</v>
      </c>
      <c r="C83" s="75">
        <v>16</v>
      </c>
      <c r="D83" s="81">
        <f>DATE(LS[[#This Row],[Year]],LS[[#This Row],[Month]],LS[[#This Row],[Day]])</f>
        <v>45032</v>
      </c>
      <c r="E83" t="str" cm="1">
        <f t="array" ref="E83">INDEX(INVESTORS_LIST[INVESTOR NAME],MATCH(LS[[#This Row],[Investor ID]],INVESTORS_LIST[INVESTOR CODE],0),)</f>
        <v>MOHAMMAD HUMAYAN RASHID</v>
      </c>
      <c r="F83" s="83" t="s">
        <v>974</v>
      </c>
      <c r="G83" s="75">
        <f>COUNTIF(LS[[#Headers],[Investor ID]]:LS[[#This Row],[Investor ID]],LS[[#This Row],[Investor ID]])</f>
        <v>3</v>
      </c>
      <c r="H83" s="75" t="str">
        <f>CONCATENATE(LS[[#This Row],[Frequency]],LS[[#This Row],[Investor ID]])</f>
        <v>3A00464</v>
      </c>
      <c r="I83" s="75" t="str">
        <f>IF(LS[[#This Row],[B/S]]="B","BUY",(IF(LS[[#This Row],[B/S]]="S","SELL"," ")))</f>
        <v>BUY</v>
      </c>
      <c r="J83" s="75" t="s">
        <v>1229</v>
      </c>
      <c r="K83" s="88">
        <v>505150</v>
      </c>
      <c r="L83" s="88"/>
      <c r="M83" s="89">
        <f>LS[[#This Row],[Amount]]/LS[[#This Row],[Unit]]</f>
        <v>10.103</v>
      </c>
      <c r="N83" s="90">
        <f>LS[[#This Row],[Unit Capital]]/10</f>
        <v>50000</v>
      </c>
      <c r="O83" s="90">
        <f>SUMIFS(LS[[#Headers],[Unit]]:LS[[#This Row],[Unit]],LS[[#Headers],[Investor ID]]:LS[[#This Row],[Investor ID]],LS[[#This Row],[Investor ID]])</f>
        <v>200000</v>
      </c>
      <c r="P83" s="96">
        <v>500000</v>
      </c>
      <c r="Q83" s="48">
        <f>LS[[#This Row],[Amount]]-LS[[#This Row],[Unit Capital]]</f>
        <v>5150</v>
      </c>
      <c r="R8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10.02575</v>
      </c>
      <c r="S83" s="89">
        <f t="shared" si="1"/>
        <v>14.224</v>
      </c>
      <c r="T8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" s="96" cm="1">
        <f t="array" ref="U83">IF(LS[[#This Row],[B/S]]="S",ABS(LS[[#This Row],[Unit]])*(INDEX(LS[NAV at Cost (Average)],MATCH(CONCATENATE((LS[[#This Row],[Frequency]]-1),LS[[#This Row],[Investor ID]]),LS[Unique Code],0),0)),0)</f>
        <v>0</v>
      </c>
      <c r="V83" s="96">
        <f>IF(LS[[#This Row],[BO TRANSFER]]="YES",LS[[#This Row],[Unit]],)</f>
        <v>0</v>
      </c>
      <c r="W83" s="96">
        <f>SUMIFS(LS[[#Headers],[BO UNIT TRANSFER]]:LS[[#This Row],[BO UNIT TRANSFER]],LS[[#Headers],[Investor ID]]:LS[[#This Row],[Investor ID]],LS[[#This Row],[Investor ID]])</f>
        <v>0</v>
      </c>
    </row>
    <row r="84" spans="1:23">
      <c r="A84" s="75">
        <v>2023</v>
      </c>
      <c r="B84" s="75">
        <v>4</v>
      </c>
      <c r="C84" s="75">
        <v>18</v>
      </c>
      <c r="D84" s="81">
        <f>DATE(LS[[#This Row],[Year]],LS[[#This Row],[Month]],LS[[#This Row],[Day]])</f>
        <v>45034</v>
      </c>
      <c r="E84" t="str" cm="1">
        <f t="array" ref="E84">INDEX(INVESTORS_LIST[INVESTOR NAME],MATCH(LS[[#This Row],[Investor ID]],INVESTORS_LIST[INVESTOR CODE],0),)</f>
        <v>FAHMIDA SAEED SAKI</v>
      </c>
      <c r="F84" s="83" t="s">
        <v>936</v>
      </c>
      <c r="G84" s="75">
        <f>COUNTIF(LS[[#Headers],[Investor ID]]:LS[[#This Row],[Investor ID]],LS[[#This Row],[Investor ID]])</f>
        <v>2</v>
      </c>
      <c r="H84" s="75" t="str">
        <f>CONCATENATE(LS[[#This Row],[Frequency]],LS[[#This Row],[Investor ID]])</f>
        <v>2A00445</v>
      </c>
      <c r="I84" s="75" t="str">
        <f>IF(LS[[#This Row],[B/S]]="B","BUY",(IF(LS[[#This Row],[B/S]]="S","SELL"," ")))</f>
        <v>BUY</v>
      </c>
      <c r="J84" s="75" t="s">
        <v>1229</v>
      </c>
      <c r="K84" s="88">
        <v>500000</v>
      </c>
      <c r="L84" s="88"/>
      <c r="M84" s="89">
        <f>LS[[#This Row],[Amount]]/LS[[#This Row],[Unit]]</f>
        <v>10.103051121438675</v>
      </c>
      <c r="N84" s="90">
        <f>LS[[#This Row],[Unit Capital]]/10</f>
        <v>49490</v>
      </c>
      <c r="O84" s="90">
        <f>SUMIFS(LS[[#Headers],[Unit]]:LS[[#This Row],[Unit]],LS[[#Headers],[Investor ID]]:LS[[#This Row],[Investor ID]],LS[[#This Row],[Investor ID]])</f>
        <v>59490</v>
      </c>
      <c r="P84" s="96">
        <v>494900</v>
      </c>
      <c r="Q84" s="48">
        <f>LS[[#This Row],[Amount]]-LS[[#This Row],[Unit Capital]]</f>
        <v>5100</v>
      </c>
      <c r="R8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10.085728693898133</v>
      </c>
      <c r="S84" s="89">
        <f t="shared" si="1"/>
        <v>14.224</v>
      </c>
      <c r="T8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" s="96" cm="1">
        <f t="array" ref="U84">IF(LS[[#This Row],[B/S]]="S",ABS(LS[[#This Row],[Unit]])*(INDEX(LS[NAV at Cost (Average)],MATCH(CONCATENATE((LS[[#This Row],[Frequency]]-1),LS[[#This Row],[Investor ID]]),LS[Unique Code],0),0)),0)</f>
        <v>0</v>
      </c>
      <c r="V84" s="96">
        <f>IF(LS[[#This Row],[BO TRANSFER]]="YES",LS[[#This Row],[Unit]],)</f>
        <v>0</v>
      </c>
      <c r="W84" s="96">
        <f>SUMIFS(LS[[#Headers],[BO UNIT TRANSFER]]:LS[[#This Row],[BO UNIT TRANSFER]],LS[[#Headers],[Investor ID]]:LS[[#This Row],[Investor ID]],LS[[#This Row],[Investor ID]])</f>
        <v>0</v>
      </c>
    </row>
    <row r="85" spans="1:23">
      <c r="A85" s="75">
        <v>2023</v>
      </c>
      <c r="B85" s="75">
        <v>4</v>
      </c>
      <c r="C85" s="75">
        <v>24</v>
      </c>
      <c r="D85" s="81">
        <f>DATE(LS[[#This Row],[Year]],LS[[#This Row],[Month]],LS[[#This Row],[Day]])</f>
        <v>45040</v>
      </c>
      <c r="E85" t="str" cm="1">
        <f t="array" ref="E85">INDEX(INVESTORS_LIST[INVESTOR NAME],MATCH(LS[[#This Row],[Investor ID]],INVESTORS_LIST[INVESTOR CODE],0),)</f>
        <v>MAMUN SIRAJUL ALAM</v>
      </c>
      <c r="F85" s="83" t="s">
        <v>992</v>
      </c>
      <c r="G85" s="75">
        <f>COUNTIF(LS[[#Headers],[Investor ID]]:LS[[#This Row],[Investor ID]],LS[[#This Row],[Investor ID]])</f>
        <v>1</v>
      </c>
      <c r="H85" s="75" t="str">
        <f>CONCATENATE(LS[[#This Row],[Frequency]],LS[[#This Row],[Investor ID]])</f>
        <v>1A00473</v>
      </c>
      <c r="I85" s="75" t="str">
        <f>IF(LS[[#This Row],[B/S]]="B","BUY",(IF(LS[[#This Row],[B/S]]="S","SELL"," ")))</f>
        <v>BUY</v>
      </c>
      <c r="J85" s="75" t="s">
        <v>1229</v>
      </c>
      <c r="K85" s="88">
        <v>101110</v>
      </c>
      <c r="L85" s="88"/>
      <c r="M85" s="89">
        <f>LS[[#This Row],[Amount]]/LS[[#This Row],[Unit]]</f>
        <v>10.111000000000001</v>
      </c>
      <c r="N85" s="90">
        <f>LS[[#This Row],[Unit Capital]]/10</f>
        <v>10000</v>
      </c>
      <c r="O85" s="90">
        <f>SUMIFS(LS[[#Headers],[Unit]]:LS[[#This Row],[Unit]],LS[[#Headers],[Investor ID]]:LS[[#This Row],[Investor ID]],LS[[#This Row],[Investor ID]])</f>
        <v>10000</v>
      </c>
      <c r="P85" s="96">
        <v>100000</v>
      </c>
      <c r="Q85" s="48">
        <f>LS[[#This Row],[Amount]]-LS[[#This Row],[Unit Capital]]</f>
        <v>1110</v>
      </c>
      <c r="R8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10.111000000000001</v>
      </c>
      <c r="S85" s="89">
        <f t="shared" si="1"/>
        <v>14.224</v>
      </c>
      <c r="T8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" s="96" cm="1">
        <f t="array" ref="U85">IF(LS[[#This Row],[B/S]]="S",ABS(LS[[#This Row],[Unit]])*(INDEX(LS[NAV at Cost (Average)],MATCH(CONCATENATE((LS[[#This Row],[Frequency]]-1),LS[[#This Row],[Investor ID]]),LS[Unique Code],0),0)),0)</f>
        <v>0</v>
      </c>
      <c r="V85" s="96">
        <f>IF(LS[[#This Row],[BO TRANSFER]]="YES",LS[[#This Row],[Unit]],)</f>
        <v>0</v>
      </c>
      <c r="W85" s="96">
        <f>SUMIFS(LS[[#Headers],[BO UNIT TRANSFER]]:LS[[#This Row],[BO UNIT TRANSFER]],LS[[#Headers],[Investor ID]]:LS[[#This Row],[Investor ID]],LS[[#This Row],[Investor ID]])</f>
        <v>0</v>
      </c>
    </row>
    <row r="86" spans="1:23">
      <c r="A86" s="75">
        <v>2023</v>
      </c>
      <c r="B86" s="75">
        <v>4</v>
      </c>
      <c r="C86" s="75">
        <v>27</v>
      </c>
      <c r="D86" s="81">
        <f>DATE(LS[[#This Row],[Year]],LS[[#This Row],[Month]],LS[[#This Row],[Day]])</f>
        <v>45043</v>
      </c>
      <c r="E86" t="str" cm="1">
        <f t="array" ref="E86">INDEX(INVESTORS_LIST[INVESTOR NAME],MATCH(LS[[#This Row],[Investor ID]],INVESTORS_LIST[INVESTOR CODE],0),)</f>
        <v>MUHAMMAD SHOHIDUZZAMAN</v>
      </c>
      <c r="F86" s="83" t="s">
        <v>986</v>
      </c>
      <c r="G86" s="75">
        <f>COUNTIF(LS[[#Headers],[Investor ID]]:LS[[#This Row],[Investor ID]],LS[[#This Row],[Investor ID]])</f>
        <v>1</v>
      </c>
      <c r="H86" s="75" t="str">
        <f>CONCATENATE(LS[[#This Row],[Frequency]],LS[[#This Row],[Investor ID]])</f>
        <v>1A00470</v>
      </c>
      <c r="I86" s="75" t="str">
        <f>IF(LS[[#This Row],[B/S]]="B","BUY",(IF(LS[[#This Row],[B/S]]="S","SELL"," ")))</f>
        <v>BUY</v>
      </c>
      <c r="J86" s="75" t="s">
        <v>1229</v>
      </c>
      <c r="K86" s="88">
        <v>2500000</v>
      </c>
      <c r="L86" s="99" t="s">
        <v>1230</v>
      </c>
      <c r="M86" s="89">
        <f>LS[[#This Row],[Amount]]/LS[[#This Row],[Unit]]</f>
        <v>10.11101898849366</v>
      </c>
      <c r="N86" s="90">
        <f>LS[[#This Row],[Unit Capital]]/10</f>
        <v>247255</v>
      </c>
      <c r="O86" s="90">
        <f>SUMIFS(LS[[#Headers],[Unit]]:LS[[#This Row],[Unit]],LS[[#Headers],[Investor ID]]:LS[[#This Row],[Investor ID]],LS[[#This Row],[Investor ID]])</f>
        <v>247255</v>
      </c>
      <c r="P86" s="96">
        <v>2472550</v>
      </c>
      <c r="Q86" s="48">
        <f>LS[[#This Row],[Amount]]-LS[[#This Row],[Unit Capital]]</f>
        <v>27450</v>
      </c>
      <c r="R8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10.11101898849366</v>
      </c>
      <c r="S86" s="89">
        <f t="shared" si="1"/>
        <v>14.224</v>
      </c>
      <c r="T8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6" s="96" cm="1">
        <f t="array" ref="U86">IF(LS[[#This Row],[B/S]]="S",ABS(LS[[#This Row],[Unit]])*(INDEX(LS[NAV at Cost (Average)],MATCH(CONCATENATE((LS[[#This Row],[Frequency]]-1),LS[[#This Row],[Investor ID]]),LS[Unique Code],0),0)),0)</f>
        <v>0</v>
      </c>
      <c r="V86" s="96">
        <f>IF(LS[[#This Row],[BO TRANSFER]]="YES",LS[[#This Row],[Unit]],)</f>
        <v>247255</v>
      </c>
      <c r="W86" s="96">
        <f>SUMIFS(LS[[#Headers],[BO UNIT TRANSFER]]:LS[[#This Row],[BO UNIT TRANSFER]],LS[[#Headers],[Investor ID]]:LS[[#This Row],[Investor ID]],LS[[#This Row],[Investor ID]])</f>
        <v>247255</v>
      </c>
    </row>
    <row r="87" spans="1:23">
      <c r="A87" s="75">
        <v>2023</v>
      </c>
      <c r="B87" s="75">
        <v>4</v>
      </c>
      <c r="C87" s="75">
        <v>25</v>
      </c>
      <c r="D87" s="81">
        <f>DATE(LS[[#This Row],[Year]],LS[[#This Row],[Month]],LS[[#This Row],[Day]])</f>
        <v>45041</v>
      </c>
      <c r="E87" t="str" cm="1">
        <f t="array" ref="E87">INDEX(INVESTORS_LIST[INVESTOR NAME],MATCH(LS[[#This Row],[Investor ID]],INVESTORS_LIST[INVESTOR CODE],0),)</f>
        <v>ARIFUR RAHMAN</v>
      </c>
      <c r="F87" s="83" t="s">
        <v>278</v>
      </c>
      <c r="G87" s="75">
        <f>COUNTIF(LS[[#Headers],[Investor ID]]:LS[[#This Row],[Investor ID]],LS[[#This Row],[Investor ID]])</f>
        <v>1</v>
      </c>
      <c r="H87" s="75" t="str">
        <f>CONCATENATE(LS[[#This Row],[Frequency]],LS[[#This Row],[Investor ID]])</f>
        <v>1A00115</v>
      </c>
      <c r="I87" s="75" t="str">
        <f>IF(LS[[#This Row],[B/S]]="B","BUY",(IF(LS[[#This Row],[B/S]]="S","SELL"," ")))</f>
        <v>BUY</v>
      </c>
      <c r="J87" s="75" t="s">
        <v>1229</v>
      </c>
      <c r="K87" s="88">
        <v>100000</v>
      </c>
      <c r="L87" s="88"/>
      <c r="M87" s="89">
        <f>LS[[#This Row],[Amount]]/LS[[#This Row],[Unit]]</f>
        <v>10.111223458038422</v>
      </c>
      <c r="N87" s="90">
        <f>LS[[#This Row],[Unit Capital]]/10</f>
        <v>9890</v>
      </c>
      <c r="O87" s="90">
        <f>SUMIFS(LS[[#Headers],[Unit]]:LS[[#This Row],[Unit]],LS[[#Headers],[Investor ID]]:LS[[#This Row],[Investor ID]],LS[[#This Row],[Investor ID]])</f>
        <v>9890</v>
      </c>
      <c r="P87" s="96">
        <v>98900</v>
      </c>
      <c r="Q87" s="48">
        <f>LS[[#This Row],[Amount]]-LS[[#This Row],[Unit Capital]]</f>
        <v>1100</v>
      </c>
      <c r="R8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10.111223458038422</v>
      </c>
      <c r="S87" s="89">
        <f t="shared" si="1"/>
        <v>14.224</v>
      </c>
      <c r="T8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7" s="96" cm="1">
        <f t="array" ref="U87">IF(LS[[#This Row],[B/S]]="S",ABS(LS[[#This Row],[Unit]])*(INDEX(LS[NAV at Cost (Average)],MATCH(CONCATENATE((LS[[#This Row],[Frequency]]-1),LS[[#This Row],[Investor ID]]),LS[Unique Code],0),0)),0)</f>
        <v>0</v>
      </c>
      <c r="V87" s="96">
        <f>IF(LS[[#This Row],[BO TRANSFER]]="YES",LS[[#This Row],[Unit]],)</f>
        <v>0</v>
      </c>
      <c r="W87" s="96">
        <f>SUMIFS(LS[[#Headers],[BO UNIT TRANSFER]]:LS[[#This Row],[BO UNIT TRANSFER]],LS[[#Headers],[Investor ID]]:LS[[#This Row],[Investor ID]],LS[[#This Row],[Investor ID]])</f>
        <v>0</v>
      </c>
    </row>
    <row r="88" spans="1:23">
      <c r="A88" s="75">
        <v>2023</v>
      </c>
      <c r="B88" s="75">
        <v>4</v>
      </c>
      <c r="C88" s="75">
        <v>26</v>
      </c>
      <c r="D88" s="81">
        <f>DATE(LS[[#This Row],[Year]],LS[[#This Row],[Month]],LS[[#This Row],[Day]])</f>
        <v>45042</v>
      </c>
      <c r="E88" t="str" cm="1">
        <f t="array" ref="E88">INDEX(INVESTORS_LIST[INVESTOR NAME],MATCH(LS[[#This Row],[Investor ID]],INVESTORS_LIST[INVESTOR CODE],0),)</f>
        <v>NANDINI SAHA</v>
      </c>
      <c r="F88" s="83" t="s">
        <v>242</v>
      </c>
      <c r="G88" s="75">
        <f>COUNTIF(LS[[#Headers],[Investor ID]]:LS[[#This Row],[Investor ID]],LS[[#This Row],[Investor ID]])</f>
        <v>1</v>
      </c>
      <c r="H88" s="75" t="str">
        <f>CONCATENATE(LS[[#This Row],[Frequency]],LS[[#This Row],[Investor ID]])</f>
        <v>1A00097</v>
      </c>
      <c r="I88" s="75" t="str">
        <f>IF(LS[[#This Row],[B/S]]="B","BUY",(IF(LS[[#This Row],[B/S]]="S","SELL"," ")))</f>
        <v>BUY</v>
      </c>
      <c r="J88" s="75" t="s">
        <v>1229</v>
      </c>
      <c r="K88" s="88">
        <v>400000</v>
      </c>
      <c r="L88" s="88"/>
      <c r="M88" s="89">
        <f>LS[[#This Row],[Amount]]/LS[[#This Row],[Unit]]</f>
        <v>10.110967872399586</v>
      </c>
      <c r="N88" s="90">
        <f>LS[[#This Row],[Unit Capital]]/10</f>
        <v>39561</v>
      </c>
      <c r="O88" s="90">
        <f>SUMIFS(LS[[#Headers],[Unit]]:LS[[#This Row],[Unit]],LS[[#Headers],[Investor ID]]:LS[[#This Row],[Investor ID]],LS[[#This Row],[Investor ID]])</f>
        <v>39561</v>
      </c>
      <c r="P88" s="96">
        <v>395610</v>
      </c>
      <c r="Q88" s="48">
        <f>LS[[#This Row],[Amount]]-LS[[#This Row],[Unit Capital]]</f>
        <v>4390</v>
      </c>
      <c r="R8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10.110967872399586</v>
      </c>
      <c r="S88" s="89">
        <f t="shared" si="1"/>
        <v>14.224</v>
      </c>
      <c r="T8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8" s="96" cm="1">
        <f t="array" ref="U88">IF(LS[[#This Row],[B/S]]="S",ABS(LS[[#This Row],[Unit]])*(INDEX(LS[NAV at Cost (Average)],MATCH(CONCATENATE((LS[[#This Row],[Frequency]]-1),LS[[#This Row],[Investor ID]]),LS[Unique Code],0),0)),0)</f>
        <v>0</v>
      </c>
      <c r="V88" s="96">
        <f>IF(LS[[#This Row],[BO TRANSFER]]="YES",LS[[#This Row],[Unit]],)</f>
        <v>0</v>
      </c>
      <c r="W88" s="96">
        <f>SUMIFS(LS[[#Headers],[BO UNIT TRANSFER]]:LS[[#This Row],[BO UNIT TRANSFER]],LS[[#Headers],[Investor ID]]:LS[[#This Row],[Investor ID]],LS[[#This Row],[Investor ID]])</f>
        <v>0</v>
      </c>
    </row>
    <row r="89" spans="1:23">
      <c r="A89" s="75">
        <v>2023</v>
      </c>
      <c r="B89" s="75">
        <v>4</v>
      </c>
      <c r="C89" s="75">
        <v>27</v>
      </c>
      <c r="D89" s="81">
        <f>DATE(LS[[#This Row],[Year]],LS[[#This Row],[Month]],LS[[#This Row],[Day]])</f>
        <v>45043</v>
      </c>
      <c r="E89" t="str" cm="1">
        <f t="array" ref="E89">INDEX(INVESTORS_LIST[INVESTOR NAME],MATCH(LS[[#This Row],[Investor ID]],INVESTORS_LIST[INVESTOR CODE],0),)</f>
        <v>EDGE HIGH QUALITY INCOME FUND</v>
      </c>
      <c r="F89" s="83" t="s">
        <v>976</v>
      </c>
      <c r="G89" s="75">
        <f>COUNTIF(LS[[#Headers],[Investor ID]]:LS[[#This Row],[Investor ID]],LS[[#This Row],[Investor ID]])</f>
        <v>2</v>
      </c>
      <c r="H89" s="75" t="str">
        <f>CONCATENATE(LS[[#This Row],[Frequency]],LS[[#This Row],[Investor ID]])</f>
        <v>2A00465</v>
      </c>
      <c r="I89" s="75" t="str">
        <f>IF(LS[[#This Row],[B/S]]="B","BUY",(IF(LS[[#This Row],[B/S]]="S","SELL"," ")))</f>
        <v>BUY</v>
      </c>
      <c r="J89" s="75" t="s">
        <v>1229</v>
      </c>
      <c r="K89" s="88">
        <v>10111000</v>
      </c>
      <c r="L89" s="99" t="s">
        <v>1230</v>
      </c>
      <c r="M89" s="89">
        <f>LS[[#This Row],[Amount]]/LS[[#This Row],[Unit]]</f>
        <v>10.111000000000001</v>
      </c>
      <c r="N89" s="90">
        <f>LS[[#This Row],[Unit Capital]]/10</f>
        <v>1000000</v>
      </c>
      <c r="O89" s="90">
        <f>SUMIFS(LS[[#Headers],[Unit]]:LS[[#This Row],[Unit]],LS[[#Headers],[Investor ID]]:LS[[#This Row],[Investor ID]],LS[[#This Row],[Investor ID]])</f>
        <v>1300000</v>
      </c>
      <c r="P89" s="96">
        <v>10000000</v>
      </c>
      <c r="Q89" s="48">
        <f>LS[[#This Row],[Amount]]-LS[[#This Row],[Unit Capital]]</f>
        <v>111000</v>
      </c>
      <c r="R8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10.085384615384617</v>
      </c>
      <c r="S89" s="89">
        <f t="shared" si="1"/>
        <v>14.224</v>
      </c>
      <c r="T8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9" s="96" cm="1">
        <f t="array" ref="U89">IF(LS[[#This Row],[B/S]]="S",ABS(LS[[#This Row],[Unit]])*(INDEX(LS[NAV at Cost (Average)],MATCH(CONCATENATE((LS[[#This Row],[Frequency]]-1),LS[[#This Row],[Investor ID]]),LS[Unique Code],0),0)),0)</f>
        <v>0</v>
      </c>
      <c r="V89" s="96">
        <f>IF(LS[[#This Row],[BO TRANSFER]]="YES",LS[[#This Row],[Unit]],)</f>
        <v>1000000</v>
      </c>
      <c r="W89" s="96">
        <f>SUMIFS(LS[[#Headers],[BO UNIT TRANSFER]]:LS[[#This Row],[BO UNIT TRANSFER]],LS[[#Headers],[Investor ID]]:LS[[#This Row],[Investor ID]],LS[[#This Row],[Investor ID]])</f>
        <v>1300000</v>
      </c>
    </row>
    <row r="90" spans="1:23">
      <c r="A90" s="75">
        <v>2023</v>
      </c>
      <c r="B90" s="75">
        <v>5</v>
      </c>
      <c r="C90" s="75">
        <v>2</v>
      </c>
      <c r="D90" s="81">
        <f>DATE(LS[[#This Row],[Year]],LS[[#This Row],[Month]],LS[[#This Row],[Day]])</f>
        <v>45048</v>
      </c>
      <c r="E90" t="str" cm="1">
        <f t="array" ref="E90">INDEX(INVESTORS_LIST[INVESTOR NAME],MATCH(LS[[#This Row],[Investor ID]],INVESTORS_LIST[INVESTOR CODE],0),)</f>
        <v>FARZANA JITU</v>
      </c>
      <c r="F90" s="83" t="s">
        <v>968</v>
      </c>
      <c r="G90" s="75">
        <f>COUNTIF(LS[[#Headers],[Investor ID]]:LS[[#This Row],[Investor ID]],LS[[#This Row],[Investor ID]])</f>
        <v>2</v>
      </c>
      <c r="H90" s="75" t="str">
        <f>CONCATENATE(LS[[#This Row],[Frequency]],LS[[#This Row],[Investor ID]])</f>
        <v>2A00461</v>
      </c>
      <c r="I90" s="75" t="str">
        <f>IF(LS[[#This Row],[B/S]]="B","BUY",(IF(LS[[#This Row],[B/S]]="S","SELL"," ")))</f>
        <v>SELL</v>
      </c>
      <c r="J90" s="75" t="s">
        <v>1231</v>
      </c>
      <c r="K90" s="88">
        <v>-101190</v>
      </c>
      <c r="L90" s="88"/>
      <c r="M90" s="89">
        <f>LS[[#This Row],[Amount]]/LS[[#This Row],[Unit]]</f>
        <v>10.119</v>
      </c>
      <c r="N90" s="90">
        <f>LS[[#This Row],[Unit Capital]]/10</f>
        <v>-10000</v>
      </c>
      <c r="O90" s="90">
        <f>SUMIFS(LS[[#Headers],[Unit]]:LS[[#This Row],[Unit]],LS[[#Headers],[Investor ID]]:LS[[#This Row],[Investor ID]],LS[[#This Row],[Investor ID]])</f>
        <v>0</v>
      </c>
      <c r="P90" s="96">
        <v>-100000</v>
      </c>
      <c r="Q90" s="48">
        <f>LS[[#This Row],[Amount]]-LS[[#This Row],[Unit Capital]]</f>
        <v>-1190</v>
      </c>
      <c r="R9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0" s="89">
        <f t="shared" si="1"/>
        <v>14.224</v>
      </c>
      <c r="T90" s="96">
        <f>IF(LS[[#This Row],[B/S]]="B",0,ABS(LS[[#This Row],[Unit]])*(LS[[#This Row],[NAV (Strike Rate)]]-INDEX(LS[NAV at Cost (Average)],MATCH(CONCATENATE(LS[[#This Row],[Frequency]]-1,LS[[#This Row],[Investor ID]]),LS[Unique Code],0),)))</f>
        <v>1189.9999999999977</v>
      </c>
      <c r="U90" s="96" cm="1">
        <f t="array" ref="U90">IF(LS[[#This Row],[B/S]]="S",ABS(LS[[#This Row],[Unit]])*(INDEX(LS[NAV at Cost (Average)],MATCH(CONCATENATE((LS[[#This Row],[Frequency]]-1),LS[[#This Row],[Investor ID]]),LS[Unique Code],0),0)),0)</f>
        <v>100000</v>
      </c>
      <c r="V90" s="96">
        <f>IF(LS[[#This Row],[BO TRANSFER]]="YES",LS[[#This Row],[Unit]],)</f>
        <v>0</v>
      </c>
      <c r="W90" s="96">
        <f>SUMIFS(LS[[#Headers],[BO UNIT TRANSFER]]:LS[[#This Row],[BO UNIT TRANSFER]],LS[[#Headers],[Investor ID]]:LS[[#This Row],[Investor ID]],LS[[#This Row],[Investor ID]])</f>
        <v>0</v>
      </c>
    </row>
    <row r="91" spans="1:23">
      <c r="A91" s="75">
        <v>2023</v>
      </c>
      <c r="B91" s="75">
        <v>5</v>
      </c>
      <c r="C91" s="75">
        <v>3</v>
      </c>
      <c r="D91" s="81">
        <f>DATE(LS[[#This Row],[Year]],LS[[#This Row],[Month]],LS[[#This Row],[Day]])</f>
        <v>45049</v>
      </c>
      <c r="E91" t="str" cm="1">
        <f t="array" ref="E91">INDEX(INVESTORS_LIST[INVESTOR NAME],MATCH(LS[[#This Row],[Investor ID]],INVESTORS_LIST[INVESTOR CODE],0),)</f>
        <v>MICHAEL BEA</v>
      </c>
      <c r="F91" s="83" t="s">
        <v>994</v>
      </c>
      <c r="G91" s="75">
        <f>COUNTIF(LS[[#Headers],[Investor ID]]:LS[[#This Row],[Investor ID]],LS[[#This Row],[Investor ID]])</f>
        <v>1</v>
      </c>
      <c r="H91" s="75" t="str">
        <f>CONCATENATE(LS[[#This Row],[Frequency]],LS[[#This Row],[Investor ID]])</f>
        <v>1A00474</v>
      </c>
      <c r="I91" s="75" t="str">
        <f>IF(LS[[#This Row],[B/S]]="B","BUY",(IF(LS[[#This Row],[B/S]]="S","SELL"," ")))</f>
        <v>BUY</v>
      </c>
      <c r="J91" s="75" t="s">
        <v>1229</v>
      </c>
      <c r="K91" s="88">
        <v>8000</v>
      </c>
      <c r="L91" s="88"/>
      <c r="M91" s="89">
        <f>LS[[#This Row],[Amount]]/LS[[#This Row],[Unit]]</f>
        <v>10.11378002528445</v>
      </c>
      <c r="N91" s="90">
        <f>LS[[#This Row],[Unit Capital]]/10</f>
        <v>791</v>
      </c>
      <c r="O91" s="90">
        <f>SUMIFS(LS[[#Headers],[Unit]]:LS[[#This Row],[Unit]],LS[[#Headers],[Investor ID]]:LS[[#This Row],[Investor ID]],LS[[#This Row],[Investor ID]])</f>
        <v>791</v>
      </c>
      <c r="P91" s="96">
        <v>7910</v>
      </c>
      <c r="Q91" s="48">
        <f>LS[[#This Row],[Amount]]-LS[[#This Row],[Unit Capital]]</f>
        <v>90</v>
      </c>
      <c r="R9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10.11378002528445</v>
      </c>
      <c r="S91" s="89">
        <f t="shared" si="1"/>
        <v>14.224</v>
      </c>
      <c r="T9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" s="96" cm="1">
        <f t="array" ref="U91">IF(LS[[#This Row],[B/S]]="S",ABS(LS[[#This Row],[Unit]])*(INDEX(LS[NAV at Cost (Average)],MATCH(CONCATENATE((LS[[#This Row],[Frequency]]-1),LS[[#This Row],[Investor ID]]),LS[Unique Code],0),0)),0)</f>
        <v>0</v>
      </c>
      <c r="V91" s="96">
        <f>IF(LS[[#This Row],[BO TRANSFER]]="YES",LS[[#This Row],[Unit]],)</f>
        <v>0</v>
      </c>
      <c r="W91" s="96">
        <f>SUMIFS(LS[[#Headers],[BO UNIT TRANSFER]]:LS[[#This Row],[BO UNIT TRANSFER]],LS[[#Headers],[Investor ID]]:LS[[#This Row],[Investor ID]],LS[[#This Row],[Investor ID]])</f>
        <v>0</v>
      </c>
    </row>
    <row r="92" spans="1:23">
      <c r="A92" s="75">
        <v>2023</v>
      </c>
      <c r="B92" s="75">
        <v>5</v>
      </c>
      <c r="C92" s="75">
        <v>8</v>
      </c>
      <c r="D92" s="81">
        <f>DATE(LS[[#This Row],[Year]],LS[[#This Row],[Month]],LS[[#This Row],[Day]])</f>
        <v>45054</v>
      </c>
      <c r="E92" t="str" cm="1">
        <f t="array" ref="E92">INDEX(INVESTORS_LIST[INVESTOR NAME],MATCH(LS[[#This Row],[Investor ID]],INVESTORS_LIST[INVESTOR CODE],0),)</f>
        <v>AMARSTOCK LIMITED</v>
      </c>
      <c r="F92" s="83" t="s">
        <v>960</v>
      </c>
      <c r="G92" s="75">
        <f>COUNTIF(LS[[#Headers],[Investor ID]]:LS[[#This Row],[Investor ID]],LS[[#This Row],[Investor ID]])</f>
        <v>2</v>
      </c>
      <c r="H92" s="75" t="str">
        <f>CONCATENATE(LS[[#This Row],[Frequency]],LS[[#This Row],[Investor ID]])</f>
        <v>2A00457</v>
      </c>
      <c r="I92" s="75" t="str">
        <f>IF(LS[[#This Row],[B/S]]="B","BUY",(IF(LS[[#This Row],[B/S]]="S","SELL"," ")))</f>
        <v>SELL</v>
      </c>
      <c r="J92" s="75" t="s">
        <v>1231</v>
      </c>
      <c r="K92" s="88">
        <v>-2500000</v>
      </c>
      <c r="L92" s="88"/>
      <c r="M92" s="89">
        <f>LS[[#This Row],[Amount]]/LS[[#This Row],[Unit]]</f>
        <v>10.126008044100789</v>
      </c>
      <c r="N92" s="90">
        <f>LS[[#This Row],[Unit Capital]]/10</f>
        <v>-246889</v>
      </c>
      <c r="O92" s="90">
        <f>SUMIFS(LS[[#Headers],[Unit]]:LS[[#This Row],[Unit]],LS[[#Headers],[Investor ID]]:LS[[#This Row],[Investor ID]],LS[[#This Row],[Investor ID]])</f>
        <v>103111</v>
      </c>
      <c r="P92" s="96">
        <v>-2468890</v>
      </c>
      <c r="Q92" s="48">
        <f>LS[[#This Row],[Amount]]-LS[[#This Row],[Unit Capital]]</f>
        <v>-31110</v>
      </c>
      <c r="R9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92" s="89">
        <f t="shared" si="1"/>
        <v>14.224</v>
      </c>
      <c r="T92" s="96">
        <f>IF(LS[[#This Row],[B/S]]="B",0,ABS(LS[[#This Row],[Unit]])*(LS[[#This Row],[NAV (Strike Rate)]]-INDEX(LS[NAV at Cost (Average)],MATCH(CONCATENATE(LS[[#This Row],[Frequency]]-1,LS[[#This Row],[Investor ID]]),LS[Unique Code],0),)))</f>
        <v>31109.999999999785</v>
      </c>
      <c r="U92" s="96" cm="1">
        <f t="array" ref="U92">IF(LS[[#This Row],[B/S]]="S",ABS(LS[[#This Row],[Unit]])*(INDEX(LS[NAV at Cost (Average)],MATCH(CONCATENATE((LS[[#This Row],[Frequency]]-1),LS[[#This Row],[Investor ID]]),LS[Unique Code],0),0)),0)</f>
        <v>2468890</v>
      </c>
      <c r="V92" s="96">
        <f>IF(LS[[#This Row],[BO TRANSFER]]="YES",LS[[#This Row],[Unit]],)</f>
        <v>0</v>
      </c>
      <c r="W92" s="96">
        <f>SUMIFS(LS[[#Headers],[BO UNIT TRANSFER]]:LS[[#This Row],[BO UNIT TRANSFER]],LS[[#Headers],[Investor ID]]:LS[[#This Row],[Investor ID]],LS[[#This Row],[Investor ID]])</f>
        <v>0</v>
      </c>
    </row>
    <row r="93" spans="1:23">
      <c r="A93" s="75">
        <v>2023</v>
      </c>
      <c r="B93" s="75">
        <v>5</v>
      </c>
      <c r="C93" s="75">
        <v>9</v>
      </c>
      <c r="D93" s="81">
        <f>DATE(LS[[#This Row],[Year]],LS[[#This Row],[Month]],LS[[#This Row],[Day]])</f>
        <v>45055</v>
      </c>
      <c r="E93" t="str" cm="1">
        <f t="array" ref="E93">INDEX(INVESTORS_LIST[INVESTOR NAME],MATCH(LS[[#This Row],[Investor ID]],INVESTORS_LIST[INVESTOR CODE],0),)</f>
        <v>SUMAIYA CHOWDHURY RUPTY</v>
      </c>
      <c r="F93" s="82" t="s">
        <v>636</v>
      </c>
      <c r="G93" s="75">
        <f>COUNTIF(LS[[#Headers],[Investor ID]]:LS[[#This Row],[Investor ID]],LS[[#This Row],[Investor ID]])</f>
        <v>1</v>
      </c>
      <c r="H93" s="75" t="str">
        <f>CONCATENATE(LS[[#This Row],[Frequency]],LS[[#This Row],[Investor ID]])</f>
        <v>1A00294</v>
      </c>
      <c r="I93" s="75" t="str">
        <f>IF(LS[[#This Row],[B/S]]="B","BUY",(IF(LS[[#This Row],[B/S]]="S","SELL"," ")))</f>
        <v>BUY</v>
      </c>
      <c r="J93" s="75" t="s">
        <v>1229</v>
      </c>
      <c r="K93" s="88">
        <v>200000</v>
      </c>
      <c r="L93" s="85"/>
      <c r="M93" s="86">
        <f>LS[[#This Row],[Amount]]/LS[[#This Row],[Unit]]</f>
        <v>10.12606956609792</v>
      </c>
      <c r="N93" s="87">
        <f>LS[[#This Row],[Unit Capital]]/10</f>
        <v>19751</v>
      </c>
      <c r="O93" s="87">
        <f>SUMIFS(LS[[#Headers],[Unit]]:LS[[#This Row],[Unit]],LS[[#Headers],[Investor ID]]:LS[[#This Row],[Investor ID]],LS[[#This Row],[Investor ID]])</f>
        <v>19751</v>
      </c>
      <c r="P93" s="95">
        <v>197510</v>
      </c>
      <c r="Q93" s="48">
        <f>LS[[#This Row],[Amount]]-LS[[#This Row],[Unit Capital]]</f>
        <v>2490</v>
      </c>
      <c r="R93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10.12606956609792</v>
      </c>
      <c r="S93" s="86">
        <f t="shared" si="1"/>
        <v>14.224</v>
      </c>
      <c r="T93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" s="95" cm="1">
        <f t="array" ref="U93">IF(LS[[#This Row],[B/S]]="S",ABS(LS[[#This Row],[Unit]])*(INDEX(LS[NAV at Cost (Average)],MATCH(CONCATENATE((LS[[#This Row],[Frequency]]-1),LS[[#This Row],[Investor ID]]),LS[Unique Code],0),0)),0)</f>
        <v>0</v>
      </c>
      <c r="V93" s="95">
        <f>IF(LS[[#This Row],[BO TRANSFER]]="YES",LS[[#This Row],[Unit]],)</f>
        <v>0</v>
      </c>
      <c r="W93" s="95">
        <f>SUMIFS(LS[[#Headers],[BO UNIT TRANSFER]]:LS[[#This Row],[BO UNIT TRANSFER]],LS[[#Headers],[Investor ID]]:LS[[#This Row],[Investor ID]],LS[[#This Row],[Investor ID]])</f>
        <v>0</v>
      </c>
    </row>
    <row r="94" spans="1:23">
      <c r="A94" s="75">
        <v>2023</v>
      </c>
      <c r="B94" s="75">
        <v>5</v>
      </c>
      <c r="C94" s="75">
        <v>14</v>
      </c>
      <c r="D94" s="81">
        <f>DATE(LS[[#This Row],[Year]],LS[[#This Row],[Month]],LS[[#This Row],[Day]])</f>
        <v>45060</v>
      </c>
      <c r="E94" t="str" cm="1">
        <f t="array" ref="E94">INDEX(INVESTORS_LIST[INVESTOR NAME],MATCH(LS[[#This Row],[Investor ID]],INVESTORS_LIST[INVESTOR CODE],0),)</f>
        <v>A.K.M REZAUL KARIM</v>
      </c>
      <c r="F94" s="83" t="s">
        <v>998</v>
      </c>
      <c r="G94" s="75">
        <f>COUNTIF(LS[[#Headers],[Investor ID]]:LS[[#This Row],[Investor ID]],LS[[#This Row],[Investor ID]])</f>
        <v>1</v>
      </c>
      <c r="H94" s="75" t="str">
        <f>CONCATENATE(LS[[#This Row],[Frequency]],LS[[#This Row],[Investor ID]])</f>
        <v>1A00476</v>
      </c>
      <c r="I94" s="75" t="str">
        <f>IF(LS[[#This Row],[B/S]]="B","BUY",(IF(LS[[#This Row],[B/S]]="S","SELL"," ")))</f>
        <v>BUY</v>
      </c>
      <c r="J94" s="75" t="s">
        <v>1229</v>
      </c>
      <c r="K94" s="88">
        <v>1000000</v>
      </c>
      <c r="L94" s="88"/>
      <c r="M94" s="89">
        <f>LS[[#This Row],[Amount]]/LS[[#This Row],[Unit]]</f>
        <v>10.125967029851351</v>
      </c>
      <c r="N94" s="90">
        <f>LS[[#This Row],[Unit Capital]]/10</f>
        <v>98756</v>
      </c>
      <c r="O94" s="90">
        <f>SUMIFS(LS[[#Headers],[Unit]]:LS[[#This Row],[Unit]],LS[[#Headers],[Investor ID]]:LS[[#This Row],[Investor ID]],LS[[#This Row],[Investor ID]])</f>
        <v>98756</v>
      </c>
      <c r="P94" s="96">
        <v>987560</v>
      </c>
      <c r="Q94" s="48">
        <f>LS[[#This Row],[Amount]]-LS[[#This Row],[Unit Capital]]</f>
        <v>12440</v>
      </c>
      <c r="R9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10.125967029851351</v>
      </c>
      <c r="S94" s="89">
        <f t="shared" si="1"/>
        <v>14.224</v>
      </c>
      <c r="T9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" s="96" cm="1">
        <f t="array" ref="U94">IF(LS[[#This Row],[B/S]]="S",ABS(LS[[#This Row],[Unit]])*(INDEX(LS[NAV at Cost (Average)],MATCH(CONCATENATE((LS[[#This Row],[Frequency]]-1),LS[[#This Row],[Investor ID]]),LS[Unique Code],0),0)),0)</f>
        <v>0</v>
      </c>
      <c r="V94" s="96">
        <f>IF(LS[[#This Row],[BO TRANSFER]]="YES",LS[[#This Row],[Unit]],)</f>
        <v>0</v>
      </c>
      <c r="W94" s="96">
        <f>SUMIFS(LS[[#Headers],[BO UNIT TRANSFER]]:LS[[#This Row],[BO UNIT TRANSFER]],LS[[#Headers],[Investor ID]]:LS[[#This Row],[Investor ID]],LS[[#This Row],[Investor ID]])</f>
        <v>0</v>
      </c>
    </row>
    <row r="95" spans="1:23">
      <c r="A95" s="75">
        <v>2023</v>
      </c>
      <c r="B95" s="75">
        <v>5</v>
      </c>
      <c r="C95" s="75">
        <v>15</v>
      </c>
      <c r="D95" s="81">
        <f>DATE(LS[[#This Row],[Year]],LS[[#This Row],[Month]],LS[[#This Row],[Day]])</f>
        <v>45061</v>
      </c>
      <c r="E95" t="str" cm="1">
        <f t="array" ref="E95">INDEX(INVESTORS_LIST[INVESTOR NAME],MATCH(LS[[#This Row],[Investor ID]],INVESTORS_LIST[INVESTOR CODE],0),)</f>
        <v>RAIS UDDIN AHMAD</v>
      </c>
      <c r="F95" s="83" t="s">
        <v>632</v>
      </c>
      <c r="G95" s="75">
        <f>COUNTIF(LS[[#Headers],[Investor ID]]:LS[[#This Row],[Investor ID]],LS[[#This Row],[Investor ID]])</f>
        <v>1</v>
      </c>
      <c r="H95" s="75" t="str">
        <f>CONCATENATE(LS[[#This Row],[Frequency]],LS[[#This Row],[Investor ID]])</f>
        <v>1A00292</v>
      </c>
      <c r="I95" s="75" t="str">
        <f>IF(LS[[#This Row],[B/S]]="B","BUY",(IF(LS[[#This Row],[B/S]]="S","SELL"," ")))</f>
        <v>BUY</v>
      </c>
      <c r="J95" s="75" t="s">
        <v>1229</v>
      </c>
      <c r="K95" s="88">
        <v>800000</v>
      </c>
      <c r="L95" s="88"/>
      <c r="M95" s="89">
        <f>LS[[#This Row],[Amount]]/LS[[#This Row],[Unit]]</f>
        <v>10.140959334753068</v>
      </c>
      <c r="N95" s="90">
        <f>LS[[#This Row],[Unit Capital]]/10</f>
        <v>78888</v>
      </c>
      <c r="O95" s="90">
        <f>SUMIFS(LS[[#Headers],[Unit]]:LS[[#This Row],[Unit]],LS[[#Headers],[Investor ID]]:LS[[#This Row],[Investor ID]],LS[[#This Row],[Investor ID]])</f>
        <v>78888</v>
      </c>
      <c r="P95" s="96">
        <v>788880</v>
      </c>
      <c r="Q95" s="48">
        <f>LS[[#This Row],[Amount]]-LS[[#This Row],[Unit Capital]]</f>
        <v>11120</v>
      </c>
      <c r="R9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95" s="89">
        <f t="shared" si="1"/>
        <v>14.224</v>
      </c>
      <c r="T9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" s="96" cm="1">
        <f t="array" ref="U95">IF(LS[[#This Row],[B/S]]="S",ABS(LS[[#This Row],[Unit]])*(INDEX(LS[NAV at Cost (Average)],MATCH(CONCATENATE((LS[[#This Row],[Frequency]]-1),LS[[#This Row],[Investor ID]]),LS[Unique Code],0),0)),0)</f>
        <v>0</v>
      </c>
      <c r="V95" s="96">
        <f>IF(LS[[#This Row],[BO TRANSFER]]="YES",LS[[#This Row],[Unit]],)</f>
        <v>0</v>
      </c>
      <c r="W95" s="96">
        <f>SUMIFS(LS[[#Headers],[BO UNIT TRANSFER]]:LS[[#This Row],[BO UNIT TRANSFER]],LS[[#Headers],[Investor ID]]:LS[[#This Row],[Investor ID]],LS[[#This Row],[Investor ID]])</f>
        <v>0</v>
      </c>
    </row>
    <row r="96" spans="1:23">
      <c r="A96" s="75">
        <v>2023</v>
      </c>
      <c r="B96" s="75">
        <v>5</v>
      </c>
      <c r="C96" s="75">
        <v>18</v>
      </c>
      <c r="D96" s="81">
        <f>DATE(LS[[#This Row],[Year]],LS[[#This Row],[Month]],LS[[#This Row],[Day]])</f>
        <v>45064</v>
      </c>
      <c r="E96" t="str" cm="1">
        <f t="array" ref="E96">INDEX(INVESTORS_LIST[INVESTOR NAME],MATCH(LS[[#This Row],[Investor ID]],INVESTORS_LIST[INVESTOR CODE],0),)</f>
        <v>CHAONIKA SAHA</v>
      </c>
      <c r="F96" s="83" t="s">
        <v>238</v>
      </c>
      <c r="G96" s="75">
        <f>COUNTIF(LS[[#Headers],[Investor ID]]:LS[[#This Row],[Investor ID]],LS[[#This Row],[Investor ID]])</f>
        <v>1</v>
      </c>
      <c r="H96" s="75" t="str">
        <f>CONCATENATE(LS[[#This Row],[Frequency]],LS[[#This Row],[Investor ID]])</f>
        <v>1A00095</v>
      </c>
      <c r="I96" s="75" t="str">
        <f>IF(LS[[#This Row],[B/S]]="B","BUY",(IF(LS[[#This Row],[B/S]]="S","SELL"," ")))</f>
        <v>BUY</v>
      </c>
      <c r="J96" s="75" t="s">
        <v>1229</v>
      </c>
      <c r="K96" s="88">
        <v>100000</v>
      </c>
      <c r="L96" s="88"/>
      <c r="M96" s="89">
        <f>LS[[#This Row],[Amount]]/LS[[#This Row],[Unit]]</f>
        <v>10.140959334753068</v>
      </c>
      <c r="N96" s="90">
        <f>LS[[#This Row],[Unit Capital]]/10</f>
        <v>9861</v>
      </c>
      <c r="O96" s="90">
        <f>SUMIFS(LS[[#Headers],[Unit]]:LS[[#This Row],[Unit]],LS[[#Headers],[Investor ID]]:LS[[#This Row],[Investor ID]],LS[[#This Row],[Investor ID]])</f>
        <v>9861</v>
      </c>
      <c r="P96" s="96">
        <v>98610</v>
      </c>
      <c r="Q96" s="48">
        <f>LS[[#This Row],[Amount]]-LS[[#This Row],[Unit Capital]]</f>
        <v>1390</v>
      </c>
      <c r="R9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96" s="89">
        <f t="shared" si="1"/>
        <v>14.224</v>
      </c>
      <c r="T9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" s="96" cm="1">
        <f t="array" ref="U96">IF(LS[[#This Row],[B/S]]="S",ABS(LS[[#This Row],[Unit]])*(INDEX(LS[NAV at Cost (Average)],MATCH(CONCATENATE((LS[[#This Row],[Frequency]]-1),LS[[#This Row],[Investor ID]]),LS[Unique Code],0),0)),0)</f>
        <v>0</v>
      </c>
      <c r="V96" s="96">
        <f>IF(LS[[#This Row],[BO TRANSFER]]="YES",LS[[#This Row],[Unit]],)</f>
        <v>0</v>
      </c>
      <c r="W96" s="96">
        <f>SUMIFS(LS[[#Headers],[BO UNIT TRANSFER]]:LS[[#This Row],[BO UNIT TRANSFER]],LS[[#Headers],[Investor ID]]:LS[[#This Row],[Investor ID]],LS[[#This Row],[Investor ID]])</f>
        <v>0</v>
      </c>
    </row>
    <row r="97" spans="1:23">
      <c r="A97" s="75">
        <v>2023</v>
      </c>
      <c r="B97" s="75">
        <v>5</v>
      </c>
      <c r="C97" s="75">
        <v>18</v>
      </c>
      <c r="D97" s="81">
        <f>DATE(LS[[#This Row],[Year]],LS[[#This Row],[Month]],LS[[#This Row],[Day]])</f>
        <v>45064</v>
      </c>
      <c r="E97" t="str" cm="1">
        <f t="array" ref="E97">INDEX(INVESTORS_LIST[INVESTOR NAME],MATCH(LS[[#This Row],[Investor ID]],INVESTORS_LIST[INVESTOR CODE],0),)</f>
        <v>ARCHONA SAHA</v>
      </c>
      <c r="F97" s="83" t="s">
        <v>872</v>
      </c>
      <c r="G97" s="75">
        <f>COUNTIF(LS[[#Headers],[Investor ID]]:LS[[#This Row],[Investor ID]],LS[[#This Row],[Investor ID]])</f>
        <v>1</v>
      </c>
      <c r="H97" s="75" t="str">
        <f>CONCATENATE(LS[[#This Row],[Frequency]],LS[[#This Row],[Investor ID]])</f>
        <v>1A00413</v>
      </c>
      <c r="I97" s="75" t="str">
        <f>IF(LS[[#This Row],[B/S]]="B","BUY",(IF(LS[[#This Row],[B/S]]="S","SELL"," ")))</f>
        <v>BUY</v>
      </c>
      <c r="J97" s="75" t="s">
        <v>1229</v>
      </c>
      <c r="K97" s="88">
        <v>500000</v>
      </c>
      <c r="L97" s="88"/>
      <c r="M97" s="89">
        <f>LS[[#This Row],[Amount]]/LS[[#This Row],[Unit]]</f>
        <v>10.140959334753068</v>
      </c>
      <c r="N97" s="90">
        <f>LS[[#This Row],[Unit Capital]]/10</f>
        <v>49305</v>
      </c>
      <c r="O97" s="90">
        <f>SUMIFS(LS[[#Headers],[Unit]]:LS[[#This Row],[Unit]],LS[[#Headers],[Investor ID]]:LS[[#This Row],[Investor ID]],LS[[#This Row],[Investor ID]])</f>
        <v>49305</v>
      </c>
      <c r="P97" s="96">
        <v>493050</v>
      </c>
      <c r="Q97" s="48">
        <f>LS[[#This Row],[Amount]]-LS[[#This Row],[Unit Capital]]</f>
        <v>6950</v>
      </c>
      <c r="R9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97" s="89">
        <f t="shared" si="1"/>
        <v>14.224</v>
      </c>
      <c r="T9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" s="96" cm="1">
        <f t="array" ref="U97">IF(LS[[#This Row],[B/S]]="S",ABS(LS[[#This Row],[Unit]])*(INDEX(LS[NAV at Cost (Average)],MATCH(CONCATENATE((LS[[#This Row],[Frequency]]-1),LS[[#This Row],[Investor ID]]),LS[Unique Code],0),0)),0)</f>
        <v>0</v>
      </c>
      <c r="V97" s="96">
        <f>IF(LS[[#This Row],[BO TRANSFER]]="YES",LS[[#This Row],[Unit]],)</f>
        <v>0</v>
      </c>
      <c r="W97" s="96">
        <f>SUMIFS(LS[[#Headers],[BO UNIT TRANSFER]]:LS[[#This Row],[BO UNIT TRANSFER]],LS[[#Headers],[Investor ID]]:LS[[#This Row],[Investor ID]],LS[[#This Row],[Investor ID]])</f>
        <v>0</v>
      </c>
    </row>
    <row r="98" spans="1:23">
      <c r="A98" s="75">
        <v>2023</v>
      </c>
      <c r="B98" s="75">
        <v>5</v>
      </c>
      <c r="C98" s="75">
        <v>23</v>
      </c>
      <c r="D98" s="81">
        <f>DATE(LS[[#This Row],[Year]],LS[[#This Row],[Month]],LS[[#This Row],[Day]])</f>
        <v>45069</v>
      </c>
      <c r="E98" t="str" cm="1">
        <f t="array" ref="E98">INDEX(INVESTORS_LIST[INVESTOR NAME],MATCH(LS[[#This Row],[Investor ID]],INVESTORS_LIST[INVESTOR CODE],0),)</f>
        <v>RAHNUMA SANJANA</v>
      </c>
      <c r="F98" s="83" t="s">
        <v>266</v>
      </c>
      <c r="G98" s="75">
        <f>COUNTIF(LS[[#Headers],[Investor ID]]:LS[[#This Row],[Investor ID]],LS[[#This Row],[Investor ID]])</f>
        <v>3</v>
      </c>
      <c r="H98" s="75" t="str">
        <f>CONCATENATE(LS[[#This Row],[Frequency]],LS[[#This Row],[Investor ID]])</f>
        <v>3A00109</v>
      </c>
      <c r="I98" s="75" t="str">
        <f>IF(LS[[#This Row],[B/S]]="B","BUY",(IF(LS[[#This Row],[B/S]]="S","SELL"," ")))</f>
        <v>SELL</v>
      </c>
      <c r="J98" s="75" t="s">
        <v>1231</v>
      </c>
      <c r="K98" s="88">
        <v>-2600000</v>
      </c>
      <c r="L98" s="88"/>
      <c r="M98" s="89">
        <f>LS[[#This Row],[Amount]]/LS[[#This Row],[Unit]]</f>
        <v>10</v>
      </c>
      <c r="N98" s="90">
        <f>LS[[#This Row],[Unit Capital]]/10</f>
        <v>-260000</v>
      </c>
      <c r="O98" s="90">
        <f>SUMIFS(LS[[#Headers],[Unit]]:LS[[#This Row],[Unit]],LS[[#Headers],[Investor ID]]:LS[[#This Row],[Investor ID]],LS[[#This Row],[Investor ID]])</f>
        <v>240000</v>
      </c>
      <c r="P98" s="96">
        <v>-2600000</v>
      </c>
      <c r="Q98" s="48">
        <f>LS[[#This Row],[Amount]]-LS[[#This Row],[Unit Capital]]</f>
        <v>0</v>
      </c>
      <c r="R9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98" s="89">
        <f t="shared" si="1"/>
        <v>14.224</v>
      </c>
      <c r="T9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" s="96" cm="1">
        <f t="array" ref="U98">IF(LS[[#This Row],[B/S]]="S",ABS(LS[[#This Row],[Unit]])*(INDEX(LS[NAV at Cost (Average)],MATCH(CONCATENATE((LS[[#This Row],[Frequency]]-1),LS[[#This Row],[Investor ID]]),LS[Unique Code],0),0)),0)</f>
        <v>2600000</v>
      </c>
      <c r="V98" s="96">
        <f>IF(LS[[#This Row],[BO TRANSFER]]="YES",LS[[#This Row],[Unit]],)</f>
        <v>0</v>
      </c>
      <c r="W98" s="96">
        <f>SUMIFS(LS[[#Headers],[BO UNIT TRANSFER]]:LS[[#This Row],[BO UNIT TRANSFER]],LS[[#Headers],[Investor ID]]:LS[[#This Row],[Investor ID]],LS[[#This Row],[Investor ID]])</f>
        <v>0</v>
      </c>
    </row>
    <row r="99" spans="1:23">
      <c r="A99" s="75">
        <v>2023</v>
      </c>
      <c r="B99" s="75">
        <v>5</v>
      </c>
      <c r="C99" s="75">
        <v>24</v>
      </c>
      <c r="D99" s="81">
        <f>DATE(LS[[#This Row],[Year]],LS[[#This Row],[Month]],LS[[#This Row],[Day]])</f>
        <v>45070</v>
      </c>
      <c r="E99" t="str" cm="1">
        <f t="array" ref="E99">INDEX(INVESTORS_LIST[INVESTOR NAME],MATCH(LS[[#This Row],[Investor ID]],INVESTORS_LIST[INVESTOR CODE],0),)</f>
        <v>KAZI MAZBAH UDDIN</v>
      </c>
      <c r="F99" s="83" t="s">
        <v>1004</v>
      </c>
      <c r="G99" s="75">
        <f>COUNTIF(LS[[#Headers],[Investor ID]]:LS[[#This Row],[Investor ID]],LS[[#This Row],[Investor ID]])</f>
        <v>1</v>
      </c>
      <c r="H99" s="75" t="str">
        <f>CONCATENATE(LS[[#This Row],[Frequency]],LS[[#This Row],[Investor ID]])</f>
        <v>1A00479</v>
      </c>
      <c r="I99" s="75" t="str">
        <f>IF(LS[[#This Row],[B/S]]="B","BUY",(IF(LS[[#This Row],[B/S]]="S","SELL"," ")))</f>
        <v>BUY</v>
      </c>
      <c r="J99" s="75" t="s">
        <v>1229</v>
      </c>
      <c r="K99" s="88">
        <v>500000</v>
      </c>
      <c r="L99" s="88"/>
      <c r="M99" s="89">
        <f>LS[[#This Row],[Amount]]/LS[[#This Row],[Unit]]</f>
        <v>10.153933633889769</v>
      </c>
      <c r="N99" s="90">
        <f>LS[[#This Row],[Unit Capital]]/10</f>
        <v>49242</v>
      </c>
      <c r="O99" s="90">
        <f>SUMIFS(LS[[#Headers],[Unit]]:LS[[#This Row],[Unit]],LS[[#Headers],[Investor ID]]:LS[[#This Row],[Investor ID]],LS[[#This Row],[Investor ID]])</f>
        <v>49242</v>
      </c>
      <c r="P99" s="96">
        <v>492420</v>
      </c>
      <c r="Q99" s="48">
        <f>LS[[#This Row],[Amount]]-LS[[#This Row],[Unit Capital]]</f>
        <v>7580</v>
      </c>
      <c r="R9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10.153933633889769</v>
      </c>
      <c r="S99" s="89">
        <f t="shared" si="1"/>
        <v>14.224</v>
      </c>
      <c r="T9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" s="96" cm="1">
        <f t="array" ref="U99">IF(LS[[#This Row],[B/S]]="S",ABS(LS[[#This Row],[Unit]])*(INDEX(LS[NAV at Cost (Average)],MATCH(CONCATENATE((LS[[#This Row],[Frequency]]-1),LS[[#This Row],[Investor ID]]),LS[Unique Code],0),0)),0)</f>
        <v>0</v>
      </c>
      <c r="V99" s="96">
        <f>IF(LS[[#This Row],[BO TRANSFER]]="YES",LS[[#This Row],[Unit]],)</f>
        <v>0</v>
      </c>
      <c r="W99" s="96">
        <f>SUMIFS(LS[[#Headers],[BO UNIT TRANSFER]]:LS[[#This Row],[BO UNIT TRANSFER]],LS[[#Headers],[Investor ID]]:LS[[#This Row],[Investor ID]],LS[[#This Row],[Investor ID]])</f>
        <v>0</v>
      </c>
    </row>
    <row r="100" spans="1:23">
      <c r="A100" s="75">
        <v>2023</v>
      </c>
      <c r="B100" s="75">
        <v>5</v>
      </c>
      <c r="C100" s="75">
        <v>28</v>
      </c>
      <c r="D100" s="81">
        <f>DATE(LS[[#This Row],[Year]],LS[[#This Row],[Month]],LS[[#This Row],[Day]])</f>
        <v>45074</v>
      </c>
      <c r="E100" t="str" cm="1">
        <f t="array" ref="E100">INDEX(INVESTORS_LIST[INVESTOR NAME],MATCH(LS[[#This Row],[Investor ID]],INVESTORS_LIST[INVESTOR CODE],0),)</f>
        <v>NUR-E-SALVEEN</v>
      </c>
      <c r="F100" s="83" t="s">
        <v>1008</v>
      </c>
      <c r="G100" s="75">
        <f>COUNTIF(LS[[#Headers],[Investor ID]]:LS[[#This Row],[Investor ID]],LS[[#This Row],[Investor ID]])</f>
        <v>1</v>
      </c>
      <c r="H100" s="75" t="str">
        <f>CONCATENATE(LS[[#This Row],[Frequency]],LS[[#This Row],[Investor ID]])</f>
        <v>1A00481</v>
      </c>
      <c r="I100" s="75" t="str">
        <f>IF(LS[[#This Row],[B/S]]="B","BUY",(IF(LS[[#This Row],[B/S]]="S","SELL"," ")))</f>
        <v>BUY</v>
      </c>
      <c r="J100" s="75" t="s">
        <v>1229</v>
      </c>
      <c r="K100" s="88">
        <v>1500000</v>
      </c>
      <c r="L100" s="88"/>
      <c r="M100" s="89">
        <f>LS[[#This Row],[Amount]]/LS[[#This Row],[Unit]]</f>
        <v>10.171008557208532</v>
      </c>
      <c r="N100" s="90">
        <f>LS[[#This Row],[Unit Capital]]/10</f>
        <v>147478</v>
      </c>
      <c r="O100" s="90">
        <f>SUMIFS(LS[[#Headers],[Unit]]:LS[[#This Row],[Unit]],LS[[#Headers],[Investor ID]]:LS[[#This Row],[Investor ID]],LS[[#This Row],[Investor ID]])</f>
        <v>147478</v>
      </c>
      <c r="P100" s="96">
        <v>1474780</v>
      </c>
      <c r="Q100" s="48">
        <f>LS[[#This Row],[Amount]]-LS[[#This Row],[Unit Capital]]</f>
        <v>25220</v>
      </c>
      <c r="R10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10.171008557208532</v>
      </c>
      <c r="S100" s="89">
        <f t="shared" si="1"/>
        <v>14.224</v>
      </c>
      <c r="T10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" s="96" cm="1">
        <f t="array" ref="U100">IF(LS[[#This Row],[B/S]]="S",ABS(LS[[#This Row],[Unit]])*(INDEX(LS[NAV at Cost (Average)],MATCH(CONCATENATE((LS[[#This Row],[Frequency]]-1),LS[[#This Row],[Investor ID]]),LS[Unique Code],0),0)),0)</f>
        <v>0</v>
      </c>
      <c r="V100" s="96">
        <f>IF(LS[[#This Row],[BO TRANSFER]]="YES",LS[[#This Row],[Unit]],)</f>
        <v>0</v>
      </c>
      <c r="W100" s="96">
        <f>SUMIFS(LS[[#Headers],[BO UNIT TRANSFER]]:LS[[#This Row],[BO UNIT TRANSFER]],LS[[#Headers],[Investor ID]]:LS[[#This Row],[Investor ID]],LS[[#This Row],[Investor ID]])</f>
        <v>0</v>
      </c>
    </row>
    <row r="101" spans="1:23">
      <c r="A101" s="75">
        <v>2023</v>
      </c>
      <c r="B101" s="75">
        <v>6</v>
      </c>
      <c r="C101" s="75">
        <v>1</v>
      </c>
      <c r="D101" s="81">
        <f>DATE(LS[[#This Row],[Year]],LS[[#This Row],[Month]],LS[[#This Row],[Day]])</f>
        <v>45078</v>
      </c>
      <c r="E101" t="str" cm="1">
        <f t="array" ref="E101">INDEX(INVESTORS_LIST[INVESTOR NAME],MATCH(LS[[#This Row],[Investor ID]],INVESTORS_LIST[INVESTOR CODE],0),)</f>
        <v>SHUVA SAHA</v>
      </c>
      <c r="F101" s="83" t="s">
        <v>154</v>
      </c>
      <c r="G101" s="75">
        <f>COUNTIF(LS[[#Headers],[Investor ID]]:LS[[#This Row],[Investor ID]],LS[[#This Row],[Investor ID]])</f>
        <v>2</v>
      </c>
      <c r="H101" s="75" t="str">
        <f>CONCATENATE(LS[[#This Row],[Frequency]],LS[[#This Row],[Investor ID]])</f>
        <v>2A00053</v>
      </c>
      <c r="I101" s="75" t="str">
        <f>IF(LS[[#This Row],[B/S]]="B","BUY",(IF(LS[[#This Row],[B/S]]="S","SELL"," ")))</f>
        <v>BUY</v>
      </c>
      <c r="J101" s="75" t="s">
        <v>1229</v>
      </c>
      <c r="K101" s="88">
        <v>40000</v>
      </c>
      <c r="L101" s="88"/>
      <c r="M101" s="89">
        <f>LS[[#This Row],[Amount]]/LS[[#This Row],[Unit]]</f>
        <v>10.170353419781337</v>
      </c>
      <c r="N101" s="90">
        <f>LS[[#This Row],[Unit Capital]]/10</f>
        <v>3933</v>
      </c>
      <c r="O101" s="90">
        <f>SUMIFS(LS[[#Headers],[Unit]]:LS[[#This Row],[Unit]],LS[[#Headers],[Investor ID]]:LS[[#This Row],[Investor ID]],LS[[#This Row],[Investor ID]])</f>
        <v>13933</v>
      </c>
      <c r="P101" s="96">
        <v>39330</v>
      </c>
      <c r="Q101" s="48">
        <f>LS[[#This Row],[Amount]]-LS[[#This Row],[Unit Capital]]</f>
        <v>670</v>
      </c>
      <c r="R10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10.048087274815186</v>
      </c>
      <c r="S101" s="89">
        <f t="shared" si="1"/>
        <v>14.224</v>
      </c>
      <c r="T10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" s="96" cm="1">
        <f t="array" ref="U101">IF(LS[[#This Row],[B/S]]="S",ABS(LS[[#This Row],[Unit]])*(INDEX(LS[NAV at Cost (Average)],MATCH(CONCATENATE((LS[[#This Row],[Frequency]]-1),LS[[#This Row],[Investor ID]]),LS[Unique Code],0),0)),0)</f>
        <v>0</v>
      </c>
      <c r="V101" s="96">
        <f>IF(LS[[#This Row],[BO TRANSFER]]="YES",LS[[#This Row],[Unit]],)</f>
        <v>0</v>
      </c>
      <c r="W101" s="96">
        <f>SUMIFS(LS[[#Headers],[BO UNIT TRANSFER]]:LS[[#This Row],[BO UNIT TRANSFER]],LS[[#Headers],[Investor ID]]:LS[[#This Row],[Investor ID]],LS[[#This Row],[Investor ID]])</f>
        <v>0</v>
      </c>
    </row>
    <row r="102" spans="1:23">
      <c r="A102" s="75">
        <v>2023</v>
      </c>
      <c r="B102" s="75">
        <v>6</v>
      </c>
      <c r="C102" s="75">
        <v>6</v>
      </c>
      <c r="D102" s="81">
        <f>DATE(LS[[#This Row],[Year]],LS[[#This Row],[Month]],LS[[#This Row],[Day]])</f>
        <v>45083</v>
      </c>
      <c r="E102" t="str" cm="1">
        <f t="array" ref="E102">INDEX(INVESTORS_LIST[INVESTOR NAME],MATCH(LS[[#This Row],[Investor ID]],INVESTORS_LIST[INVESTOR CODE],0),)</f>
        <v>TANVIR HASAN</v>
      </c>
      <c r="F102" s="97" t="s">
        <v>1468</v>
      </c>
      <c r="G102" s="75">
        <f>COUNTIF(LS[[#Headers],[Investor ID]]:LS[[#This Row],[Investor ID]],LS[[#This Row],[Investor ID]])</f>
        <v>1</v>
      </c>
      <c r="H102" s="75" t="str">
        <f>CONCATENATE(LS[[#This Row],[Frequency]],LS[[#This Row],[Investor ID]])</f>
        <v>1A00679</v>
      </c>
      <c r="I102" s="75" t="str">
        <f>IF(LS[[#This Row],[B/S]]="B","BUY",(IF(LS[[#This Row],[B/S]]="S","SELL"," ")))</f>
        <v>BUY</v>
      </c>
      <c r="J102" s="75" t="s">
        <v>1229</v>
      </c>
      <c r="K102" s="88">
        <v>250000</v>
      </c>
      <c r="L102" s="88"/>
      <c r="M102" s="89">
        <f>LS[[#This Row],[Amount]]/LS[[#This Row],[Unit]]</f>
        <v>10.192848697353936</v>
      </c>
      <c r="N102" s="90">
        <f>LS[[#This Row],[Unit Capital]]/10</f>
        <v>24527</v>
      </c>
      <c r="O102" s="90">
        <f>SUMIFS(LS[[#Headers],[Unit]]:LS[[#This Row],[Unit]],LS[[#Headers],[Investor ID]]:LS[[#This Row],[Investor ID]],LS[[#This Row],[Investor ID]])</f>
        <v>24527</v>
      </c>
      <c r="P102" s="96">
        <v>245270</v>
      </c>
      <c r="Q102" s="48">
        <f>LS[[#This Row],[Amount]]-LS[[#This Row],[Unit Capital]]</f>
        <v>4730</v>
      </c>
      <c r="R10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10.192848697353936</v>
      </c>
      <c r="S102" s="89">
        <f t="shared" si="1"/>
        <v>14.224</v>
      </c>
      <c r="T10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" s="96" cm="1">
        <f t="array" ref="U102">IF(LS[[#This Row],[B/S]]="S",ABS(LS[[#This Row],[Unit]])*(INDEX(LS[NAV at Cost (Average)],MATCH(CONCATENATE((LS[[#This Row],[Frequency]]-1),LS[[#This Row],[Investor ID]]),LS[Unique Code],0),0)),0)</f>
        <v>0</v>
      </c>
      <c r="V102" s="96">
        <f>IF(LS[[#This Row],[BO TRANSFER]]="YES",LS[[#This Row],[Unit]],)</f>
        <v>0</v>
      </c>
      <c r="W102" s="96">
        <f>SUMIFS(LS[[#Headers],[BO UNIT TRANSFER]]:LS[[#This Row],[BO UNIT TRANSFER]],LS[[#Headers],[Investor ID]]:LS[[#This Row],[Investor ID]],LS[[#This Row],[Investor ID]])</f>
        <v>0</v>
      </c>
    </row>
    <row r="103" spans="1:23">
      <c r="A103" s="75">
        <v>2023</v>
      </c>
      <c r="B103" s="75">
        <v>6</v>
      </c>
      <c r="C103" s="75">
        <v>6</v>
      </c>
      <c r="D103" s="81">
        <f>DATE(LS[[#This Row],[Year]],LS[[#This Row],[Month]],LS[[#This Row],[Day]])</f>
        <v>45083</v>
      </c>
      <c r="E103" t="str" cm="1">
        <f t="array" ref="E103">INDEX(INVESTORS_LIST[INVESTOR NAME],MATCH(LS[[#This Row],[Investor ID]],INVESTORS_LIST[INVESTOR CODE],0),)</f>
        <v>FAZLE KARIM MURAD</v>
      </c>
      <c r="F103" s="83" t="s">
        <v>1024</v>
      </c>
      <c r="G103" s="75">
        <f>COUNTIF(LS[[#Headers],[Investor ID]]:LS[[#This Row],[Investor ID]],LS[[#This Row],[Investor ID]])</f>
        <v>1</v>
      </c>
      <c r="H103" s="75" t="str">
        <f>CONCATENATE(LS[[#This Row],[Frequency]],LS[[#This Row],[Investor ID]])</f>
        <v>1A00489</v>
      </c>
      <c r="I103" s="75" t="str">
        <f>IF(LS[[#This Row],[B/S]]="B","BUY",(IF(LS[[#This Row],[B/S]]="S","SELL"," ")))</f>
        <v>BUY</v>
      </c>
      <c r="J103" s="75" t="s">
        <v>1229</v>
      </c>
      <c r="K103" s="88">
        <v>400000</v>
      </c>
      <c r="L103" s="88"/>
      <c r="M103" s="89">
        <f>LS[[#This Row],[Amount]]/LS[[#This Row],[Unit]]</f>
        <v>10.192900644700966</v>
      </c>
      <c r="N103" s="90">
        <f>LS[[#This Row],[Unit Capital]]/10</f>
        <v>39243</v>
      </c>
      <c r="O103" s="90">
        <f>SUMIFS(LS[[#Headers],[Unit]]:LS[[#This Row],[Unit]],LS[[#Headers],[Investor ID]]:LS[[#This Row],[Investor ID]],LS[[#This Row],[Investor ID]])</f>
        <v>39243</v>
      </c>
      <c r="P103" s="96">
        <v>392430</v>
      </c>
      <c r="Q103" s="48">
        <f>LS[[#This Row],[Amount]]-LS[[#This Row],[Unit Capital]]</f>
        <v>7570</v>
      </c>
      <c r="R10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10.192900644700966</v>
      </c>
      <c r="S103" s="89">
        <f t="shared" si="1"/>
        <v>14.224</v>
      </c>
      <c r="T10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" s="96" cm="1">
        <f t="array" ref="U103">IF(LS[[#This Row],[B/S]]="S",ABS(LS[[#This Row],[Unit]])*(INDEX(LS[NAV at Cost (Average)],MATCH(CONCATENATE((LS[[#This Row],[Frequency]]-1),LS[[#This Row],[Investor ID]]),LS[Unique Code],0),0)),0)</f>
        <v>0</v>
      </c>
      <c r="V103" s="96">
        <f>IF(LS[[#This Row],[BO TRANSFER]]="YES",LS[[#This Row],[Unit]],)</f>
        <v>0</v>
      </c>
      <c r="W103" s="96">
        <f>SUMIFS(LS[[#Headers],[BO UNIT TRANSFER]]:LS[[#This Row],[BO UNIT TRANSFER]],LS[[#Headers],[Investor ID]]:LS[[#This Row],[Investor ID]],LS[[#This Row],[Investor ID]])</f>
        <v>0</v>
      </c>
    </row>
    <row r="104" spans="1:23">
      <c r="A104" s="75">
        <v>2023</v>
      </c>
      <c r="B104" s="75">
        <v>6</v>
      </c>
      <c r="C104" s="75">
        <v>8</v>
      </c>
      <c r="D104" s="81">
        <f>DATE(LS[[#This Row],[Year]],LS[[#This Row],[Month]],LS[[#This Row],[Day]])</f>
        <v>45085</v>
      </c>
      <c r="E104" t="str" cm="1">
        <f t="array" ref="E104">INDEX(INVESTORS_LIST[INVESTOR NAME],MATCH(LS[[#This Row],[Investor ID]],INVESTORS_LIST[INVESTOR CODE],0),)</f>
        <v>SHUVA SAHA</v>
      </c>
      <c r="F104" s="83" t="s">
        <v>154</v>
      </c>
      <c r="G104" s="75">
        <f>COUNTIF(LS[[#Headers],[Investor ID]]:LS[[#This Row],[Investor ID]],LS[[#This Row],[Investor ID]])</f>
        <v>3</v>
      </c>
      <c r="H104" s="75" t="str">
        <f>CONCATENATE(LS[[#This Row],[Frequency]],LS[[#This Row],[Investor ID]])</f>
        <v>3A00053</v>
      </c>
      <c r="I104" s="75" t="str">
        <f>IF(LS[[#This Row],[B/S]]="B","BUY",(IF(LS[[#This Row],[B/S]]="S","SELL"," ")))</f>
        <v>BUY</v>
      </c>
      <c r="J104" s="75" t="s">
        <v>1229</v>
      </c>
      <c r="K104" s="88">
        <v>70000</v>
      </c>
      <c r="L104" s="88"/>
      <c r="M104" s="89">
        <f>LS[[#This Row],[Amount]]/LS[[#This Row],[Unit]]</f>
        <v>10.193679918450561</v>
      </c>
      <c r="N104" s="90">
        <f>LS[[#This Row],[Unit Capital]]/10</f>
        <v>6867</v>
      </c>
      <c r="O104" s="90">
        <f>SUMIFS(LS[[#Headers],[Unit]]:LS[[#This Row],[Unit]],LS[[#Headers],[Investor ID]]:LS[[#This Row],[Investor ID]],LS[[#This Row],[Investor ID]])</f>
        <v>20800</v>
      </c>
      <c r="P104" s="96">
        <v>68670</v>
      </c>
      <c r="Q104" s="48">
        <f>LS[[#This Row],[Amount]]-LS[[#This Row],[Unit Capital]]</f>
        <v>1330</v>
      </c>
      <c r="R10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10.096153846153847</v>
      </c>
      <c r="S104" s="89">
        <f t="shared" si="1"/>
        <v>14.224</v>
      </c>
      <c r="T10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" s="96" cm="1">
        <f t="array" ref="U104">IF(LS[[#This Row],[B/S]]="S",ABS(LS[[#This Row],[Unit]])*(INDEX(LS[NAV at Cost (Average)],MATCH(CONCATENATE((LS[[#This Row],[Frequency]]-1),LS[[#This Row],[Investor ID]]),LS[Unique Code],0),0)),0)</f>
        <v>0</v>
      </c>
      <c r="V104" s="96">
        <f>IF(LS[[#This Row],[BO TRANSFER]]="YES",LS[[#This Row],[Unit]],)</f>
        <v>0</v>
      </c>
      <c r="W104" s="96">
        <f>SUMIFS(LS[[#Headers],[BO UNIT TRANSFER]]:LS[[#This Row],[BO UNIT TRANSFER]],LS[[#Headers],[Investor ID]]:LS[[#This Row],[Investor ID]],LS[[#This Row],[Investor ID]])</f>
        <v>0</v>
      </c>
    </row>
    <row r="105" spans="1:23">
      <c r="A105" s="75">
        <v>2023</v>
      </c>
      <c r="B105" s="75">
        <v>6</v>
      </c>
      <c r="C105" s="75">
        <v>8</v>
      </c>
      <c r="D105" s="81">
        <f>DATE(LS[[#This Row],[Year]],LS[[#This Row],[Month]],LS[[#This Row],[Day]])</f>
        <v>45085</v>
      </c>
      <c r="E105" t="str" cm="1">
        <f t="array" ref="E105">INDEX(INVESTORS_LIST[INVESTOR NAME],MATCH(LS[[#This Row],[Investor ID]],INVESTORS_LIST[INVESTOR CODE],0),)</f>
        <v>ABACI INVESTMENTS LTD. EC PROVIDENT FUND</v>
      </c>
      <c r="F105" s="83" t="s">
        <v>542</v>
      </c>
      <c r="G105" s="75">
        <f>COUNTIF(LS[[#Headers],[Investor ID]]:LS[[#This Row],[Investor ID]],LS[[#This Row],[Investor ID]])</f>
        <v>2</v>
      </c>
      <c r="H105" s="75" t="str">
        <f>CONCATENATE(LS[[#This Row],[Frequency]],LS[[#This Row],[Investor ID]])</f>
        <v>2A00246</v>
      </c>
      <c r="I105" s="75" t="str">
        <f>IF(LS[[#This Row],[B/S]]="B","BUY",(IF(LS[[#This Row],[B/S]]="S","SELL"," ")))</f>
        <v>SELL</v>
      </c>
      <c r="J105" s="75" t="s">
        <v>1231</v>
      </c>
      <c r="K105" s="88">
        <v>-3000000</v>
      </c>
      <c r="L105" s="88"/>
      <c r="M105" s="89">
        <f>LS[[#This Row],[Amount]]/LS[[#This Row],[Unit]]</f>
        <v>10</v>
      </c>
      <c r="N105" s="90">
        <f>LS[[#This Row],[Unit Capital]]/10</f>
        <v>-300000</v>
      </c>
      <c r="O105" s="90">
        <f>SUMIFS(LS[[#Headers],[Unit]]:LS[[#This Row],[Unit]],LS[[#Headers],[Investor ID]]:LS[[#This Row],[Investor ID]],LS[[#This Row],[Investor ID]])</f>
        <v>0</v>
      </c>
      <c r="P105" s="96">
        <v>-3000000</v>
      </c>
      <c r="Q105" s="48">
        <f>LS[[#This Row],[Amount]]-LS[[#This Row],[Unit Capital]]</f>
        <v>0</v>
      </c>
      <c r="R10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5" s="89">
        <f t="shared" si="1"/>
        <v>14.224</v>
      </c>
      <c r="T10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" s="96" cm="1">
        <f t="array" ref="U105">IF(LS[[#This Row],[B/S]]="S",ABS(LS[[#This Row],[Unit]])*(INDEX(LS[NAV at Cost (Average)],MATCH(CONCATENATE((LS[[#This Row],[Frequency]]-1),LS[[#This Row],[Investor ID]]),LS[Unique Code],0),0)),0)</f>
        <v>3000000</v>
      </c>
      <c r="V105" s="96">
        <f>IF(LS[[#This Row],[BO TRANSFER]]="YES",LS[[#This Row],[Unit]],)</f>
        <v>0</v>
      </c>
      <c r="W105" s="96">
        <f>SUMIFS(LS[[#Headers],[BO UNIT TRANSFER]]:LS[[#This Row],[BO UNIT TRANSFER]],LS[[#Headers],[Investor ID]]:LS[[#This Row],[Investor ID]],LS[[#This Row],[Investor ID]])</f>
        <v>0</v>
      </c>
    </row>
    <row r="106" spans="1:23">
      <c r="A106" s="75">
        <v>2023</v>
      </c>
      <c r="B106" s="75">
        <v>6</v>
      </c>
      <c r="C106" s="75">
        <v>8</v>
      </c>
      <c r="D106" s="81">
        <f>DATE(LS[[#This Row],[Year]],LS[[#This Row],[Month]],LS[[#This Row],[Day]])</f>
        <v>45085</v>
      </c>
      <c r="E106" t="str" cm="1">
        <f t="array" ref="E106">INDEX(INVESTORS_LIST[INVESTOR NAME],MATCH(LS[[#This Row],[Investor ID]],INVESTORS_LIST[INVESTOR CODE],0),)</f>
        <v>ABACI INVESTMENTS LIMITED</v>
      </c>
      <c r="F106" s="83" t="s">
        <v>140</v>
      </c>
      <c r="G106" s="75">
        <f>COUNTIF(LS[[#Headers],[Investor ID]]:LS[[#This Row],[Investor ID]],LS[[#This Row],[Investor ID]])</f>
        <v>2</v>
      </c>
      <c r="H106" s="75" t="str">
        <f>CONCATENATE(LS[[#This Row],[Frequency]],LS[[#This Row],[Investor ID]])</f>
        <v>2A00046</v>
      </c>
      <c r="I106" s="75" t="str">
        <f>IF(LS[[#This Row],[B/S]]="B","BUY",(IF(LS[[#This Row],[B/S]]="S","SELL"," ")))</f>
        <v>SELL</v>
      </c>
      <c r="J106" s="75" t="s">
        <v>1231</v>
      </c>
      <c r="K106" s="88">
        <v>-2000000</v>
      </c>
      <c r="L106" s="88"/>
      <c r="M106" s="89">
        <f>LS[[#This Row],[Amount]]/LS[[#This Row],[Unit]]</f>
        <v>10</v>
      </c>
      <c r="N106" s="90">
        <f>LS[[#This Row],[Unit Capital]]/10</f>
        <v>-200000</v>
      </c>
      <c r="O106" s="90">
        <f>SUMIFS(LS[[#Headers],[Unit]]:LS[[#This Row],[Unit]],LS[[#Headers],[Investor ID]]:LS[[#This Row],[Investor ID]],LS[[#This Row],[Investor ID]])</f>
        <v>0</v>
      </c>
      <c r="P106" s="96">
        <v>-2000000</v>
      </c>
      <c r="Q106" s="48">
        <f>LS[[#This Row],[Amount]]-LS[[#This Row],[Unit Capital]]</f>
        <v>0</v>
      </c>
      <c r="R10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6" s="89">
        <f t="shared" si="1"/>
        <v>14.224</v>
      </c>
      <c r="T10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" s="96" cm="1">
        <f t="array" ref="U106">IF(LS[[#This Row],[B/S]]="S",ABS(LS[[#This Row],[Unit]])*(INDEX(LS[NAV at Cost (Average)],MATCH(CONCATENATE((LS[[#This Row],[Frequency]]-1),LS[[#This Row],[Investor ID]]),LS[Unique Code],0),0)),0)</f>
        <v>2000000</v>
      </c>
      <c r="V106" s="96">
        <f>IF(LS[[#This Row],[BO TRANSFER]]="YES",LS[[#This Row],[Unit]],)</f>
        <v>0</v>
      </c>
      <c r="W106" s="96">
        <f>SUMIFS(LS[[#Headers],[BO UNIT TRANSFER]]:LS[[#This Row],[BO UNIT TRANSFER]],LS[[#Headers],[Investor ID]]:LS[[#This Row],[Investor ID]],LS[[#This Row],[Investor ID]])</f>
        <v>0</v>
      </c>
    </row>
    <row r="107" spans="1:23">
      <c r="A107" s="75">
        <v>2023</v>
      </c>
      <c r="B107" s="75">
        <v>6</v>
      </c>
      <c r="C107" s="75">
        <v>11</v>
      </c>
      <c r="D107" s="81">
        <f>DATE(LS[[#This Row],[Year]],LS[[#This Row],[Month]],LS[[#This Row],[Day]])</f>
        <v>45088</v>
      </c>
      <c r="E107" t="str" cm="1">
        <f t="array" ref="E107">INDEX(INVESTORS_LIST[INVESTOR NAME],MATCH(LS[[#This Row],[Investor ID]],INVESTORS_LIST[INVESTOR CODE],0),)</f>
        <v>MUSTAFA KAMAL MASUD</v>
      </c>
      <c r="F107" s="83" t="s">
        <v>1026</v>
      </c>
      <c r="G107" s="75">
        <f>COUNTIF(LS[[#Headers],[Investor ID]]:LS[[#This Row],[Investor ID]],LS[[#This Row],[Investor ID]])</f>
        <v>1</v>
      </c>
      <c r="H107" s="75" t="str">
        <f>CONCATENATE(LS[[#This Row],[Frequency]],LS[[#This Row],[Investor ID]])</f>
        <v>1A00490</v>
      </c>
      <c r="I107" s="75" t="str">
        <f>IF(LS[[#This Row],[B/S]]="B","BUY",(IF(LS[[#This Row],[B/S]]="S","SELL"," ")))</f>
        <v>BUY</v>
      </c>
      <c r="J107" s="75" t="s">
        <v>1229</v>
      </c>
      <c r="K107" s="88">
        <v>1000000</v>
      </c>
      <c r="L107" s="88"/>
      <c r="M107" s="89">
        <f>LS[[#This Row],[Amount]]/LS[[#This Row],[Unit]]</f>
        <v>10.192952592577491</v>
      </c>
      <c r="N107" s="90">
        <f>LS[[#This Row],[Unit Capital]]/10</f>
        <v>98107</v>
      </c>
      <c r="O107" s="90">
        <f>SUMIFS(LS[[#Headers],[Unit]]:LS[[#This Row],[Unit]],LS[[#Headers],[Investor ID]]:LS[[#This Row],[Investor ID]],LS[[#This Row],[Investor ID]])</f>
        <v>98107</v>
      </c>
      <c r="P107" s="96">
        <v>981070</v>
      </c>
      <c r="Q107" s="48">
        <f>LS[[#This Row],[Amount]]-LS[[#This Row],[Unit Capital]]</f>
        <v>18930</v>
      </c>
      <c r="R10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10.192952592577491</v>
      </c>
      <c r="S107" s="89">
        <f t="shared" si="1"/>
        <v>14.224</v>
      </c>
      <c r="T10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" s="96" cm="1">
        <f t="array" ref="U107">IF(LS[[#This Row],[B/S]]="S",ABS(LS[[#This Row],[Unit]])*(INDEX(LS[NAV at Cost (Average)],MATCH(CONCATENATE((LS[[#This Row],[Frequency]]-1),LS[[#This Row],[Investor ID]]),LS[Unique Code],0),0)),0)</f>
        <v>0</v>
      </c>
      <c r="V107" s="96">
        <f>IF(LS[[#This Row],[BO TRANSFER]]="YES",LS[[#This Row],[Unit]],)</f>
        <v>0</v>
      </c>
      <c r="W107" s="96">
        <f>SUMIFS(LS[[#Headers],[BO UNIT TRANSFER]]:LS[[#This Row],[BO UNIT TRANSFER]],LS[[#Headers],[Investor ID]]:LS[[#This Row],[Investor ID]],LS[[#This Row],[Investor ID]])</f>
        <v>0</v>
      </c>
    </row>
    <row r="108" spans="1:23">
      <c r="A108" s="75">
        <v>2023</v>
      </c>
      <c r="B108" s="75">
        <v>6</v>
      </c>
      <c r="C108" s="75">
        <v>8</v>
      </c>
      <c r="D108" s="81">
        <f>DATE(LS[[#This Row],[Year]],LS[[#This Row],[Month]],LS[[#This Row],[Day]])</f>
        <v>45085</v>
      </c>
      <c r="E108" t="str" cm="1">
        <f t="array" ref="E108">INDEX(INVESTORS_LIST[INVESTOR NAME],MATCH(LS[[#This Row],[Investor ID]],INVESTORS_LIST[INVESTOR CODE],0),)</f>
        <v>AMIT KANTI SARKER</v>
      </c>
      <c r="F108" s="83" t="s">
        <v>364</v>
      </c>
      <c r="G108" s="75">
        <f>COUNTIF(LS[[#Headers],[Investor ID]]:LS[[#This Row],[Investor ID]],LS[[#This Row],[Investor ID]])</f>
        <v>2</v>
      </c>
      <c r="H108" s="75" t="str">
        <f>CONCATENATE(LS[[#This Row],[Frequency]],LS[[#This Row],[Investor ID]])</f>
        <v>2A00158</v>
      </c>
      <c r="I108" s="75" t="str">
        <f>IF(LS[[#This Row],[B/S]]="B","BUY",(IF(LS[[#This Row],[B/S]]="S","SELL"," ")))</f>
        <v>BUY</v>
      </c>
      <c r="J108" s="75" t="s">
        <v>1229</v>
      </c>
      <c r="K108" s="88">
        <v>100000</v>
      </c>
      <c r="L108" s="88"/>
      <c r="M108" s="89">
        <f>LS[[#This Row],[Amount]]/LS[[#This Row],[Unit]]</f>
        <v>10.192640913260625</v>
      </c>
      <c r="N108" s="90">
        <f>LS[[#This Row],[Unit Capital]]/10</f>
        <v>9811</v>
      </c>
      <c r="O108" s="90">
        <f>SUMIFS(LS[[#Headers],[Unit]]:LS[[#This Row],[Unit]],LS[[#Headers],[Investor ID]]:LS[[#This Row],[Investor ID]],LS[[#This Row],[Investor ID]])</f>
        <v>59811</v>
      </c>
      <c r="P108" s="96">
        <v>98110</v>
      </c>
      <c r="Q108" s="48">
        <f>LS[[#This Row],[Amount]]-LS[[#This Row],[Unit Capital]]</f>
        <v>1890</v>
      </c>
      <c r="R10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10.03159953854642</v>
      </c>
      <c r="S108" s="89">
        <f t="shared" si="1"/>
        <v>14.224</v>
      </c>
      <c r="T10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8" s="96" cm="1">
        <f t="array" ref="U108">IF(LS[[#This Row],[B/S]]="S",ABS(LS[[#This Row],[Unit]])*(INDEX(LS[NAV at Cost (Average)],MATCH(CONCATENATE((LS[[#This Row],[Frequency]]-1),LS[[#This Row],[Investor ID]]),LS[Unique Code],0),0)),0)</f>
        <v>0</v>
      </c>
      <c r="V108" s="96">
        <f>IF(LS[[#This Row],[BO TRANSFER]]="YES",LS[[#This Row],[Unit]],)</f>
        <v>0</v>
      </c>
      <c r="W108" s="96">
        <f>SUMIFS(LS[[#Headers],[BO UNIT TRANSFER]]:LS[[#This Row],[BO UNIT TRANSFER]],LS[[#Headers],[Investor ID]]:LS[[#This Row],[Investor ID]],LS[[#This Row],[Investor ID]])</f>
        <v>0</v>
      </c>
    </row>
    <row r="109" spans="1:23">
      <c r="A109" s="75">
        <v>2023</v>
      </c>
      <c r="B109" s="75">
        <v>6</v>
      </c>
      <c r="C109" s="75">
        <v>11</v>
      </c>
      <c r="D109" s="81">
        <f>DATE(LS[[#This Row],[Year]],LS[[#This Row],[Month]],LS[[#This Row],[Day]])</f>
        <v>45088</v>
      </c>
      <c r="E109" t="str" cm="1">
        <f t="array" ref="E109">INDEX(INVESTORS_LIST[INVESTOR NAME],MATCH(LS[[#This Row],[Investor ID]],INVESTORS_LIST[INVESTOR CODE],0),)</f>
        <v>MAYA RANI SAHA</v>
      </c>
      <c r="F109" s="83" t="s">
        <v>224</v>
      </c>
      <c r="G109" s="75">
        <f>COUNTIF(LS[[#Headers],[Investor ID]]:LS[[#This Row],[Investor ID]],LS[[#This Row],[Investor ID]])</f>
        <v>2</v>
      </c>
      <c r="H109" s="75" t="str">
        <f>CONCATENATE(LS[[#This Row],[Frequency]],LS[[#This Row],[Investor ID]])</f>
        <v>2A00088</v>
      </c>
      <c r="I109" s="75" t="str">
        <f>IF(LS[[#This Row],[B/S]]="B","BUY",(IF(LS[[#This Row],[B/S]]="S","SELL"," ")))</f>
        <v>BUY</v>
      </c>
      <c r="J109" s="75" t="s">
        <v>1229</v>
      </c>
      <c r="K109" s="88">
        <v>1000000</v>
      </c>
      <c r="L109" s="88"/>
      <c r="M109" s="89">
        <f>LS[[#This Row],[Amount]]/LS[[#This Row],[Unit]]</f>
        <v>10.217948848948062</v>
      </c>
      <c r="N109" s="90">
        <f>LS[[#This Row],[Unit Capital]]/10</f>
        <v>97867</v>
      </c>
      <c r="O109" s="90">
        <f>SUMIFS(LS[[#Headers],[Unit]]:LS[[#This Row],[Unit]],LS[[#Headers],[Investor ID]]:LS[[#This Row],[Investor ID]],LS[[#This Row],[Investor ID]])</f>
        <v>137867</v>
      </c>
      <c r="P109" s="96">
        <v>978670</v>
      </c>
      <c r="Q109" s="48">
        <f>LS[[#This Row],[Amount]]-LS[[#This Row],[Unit Capital]]</f>
        <v>21330</v>
      </c>
      <c r="R10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10.154714326125905</v>
      </c>
      <c r="S109" s="89">
        <f t="shared" si="1"/>
        <v>14.224</v>
      </c>
      <c r="T10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" s="96" cm="1">
        <f t="array" ref="U109">IF(LS[[#This Row],[B/S]]="S",ABS(LS[[#This Row],[Unit]])*(INDEX(LS[NAV at Cost (Average)],MATCH(CONCATENATE((LS[[#This Row],[Frequency]]-1),LS[[#This Row],[Investor ID]]),LS[Unique Code],0),0)),0)</f>
        <v>0</v>
      </c>
      <c r="V109" s="96">
        <f>IF(LS[[#This Row],[BO TRANSFER]]="YES",LS[[#This Row],[Unit]],)</f>
        <v>0</v>
      </c>
      <c r="W109" s="96">
        <f>SUMIFS(LS[[#Headers],[BO UNIT TRANSFER]]:LS[[#This Row],[BO UNIT TRANSFER]],LS[[#Headers],[Investor ID]]:LS[[#This Row],[Investor ID]],LS[[#This Row],[Investor ID]])</f>
        <v>0</v>
      </c>
    </row>
    <row r="110" spans="1:23">
      <c r="A110" s="75">
        <v>2023</v>
      </c>
      <c r="B110" s="75">
        <v>6</v>
      </c>
      <c r="C110" s="75">
        <v>11</v>
      </c>
      <c r="D110" s="81">
        <f>DATE(LS[[#This Row],[Year]],LS[[#This Row],[Month]],LS[[#This Row],[Day]])</f>
        <v>45088</v>
      </c>
      <c r="E110" t="str" cm="1">
        <f t="array" ref="E110">INDEX(INVESTORS_LIST[INVESTOR NAME],MATCH(LS[[#This Row],[Investor ID]],INVESTORS_LIST[INVESTOR CODE],0),)</f>
        <v>SWADESH RANJAN SAHA</v>
      </c>
      <c r="F110" s="83" t="s">
        <v>234</v>
      </c>
      <c r="G110" s="75">
        <f>COUNTIF(LS[[#Headers],[Investor ID]]:LS[[#This Row],[Investor ID]],LS[[#This Row],[Investor ID]])</f>
        <v>3</v>
      </c>
      <c r="H110" s="75" t="str">
        <f>CONCATENATE(LS[[#This Row],[Frequency]],LS[[#This Row],[Investor ID]])</f>
        <v>3A00093</v>
      </c>
      <c r="I110" s="75" t="str">
        <f>IF(LS[[#This Row],[B/S]]="B","BUY",(IF(LS[[#This Row],[B/S]]="S","SELL"," ")))</f>
        <v>BUY</v>
      </c>
      <c r="J110" s="75" t="s">
        <v>1229</v>
      </c>
      <c r="K110" s="88">
        <v>1000000</v>
      </c>
      <c r="L110" s="88"/>
      <c r="M110" s="89">
        <f>LS[[#This Row],[Amount]]/LS[[#This Row],[Unit]]</f>
        <v>10.217948848948062</v>
      </c>
      <c r="N110" s="90">
        <f>LS[[#This Row],[Unit Capital]]/10</f>
        <v>97867</v>
      </c>
      <c r="O110" s="90">
        <f>SUMIFS(LS[[#Headers],[Unit]]:LS[[#This Row],[Unit]],LS[[#Headers],[Investor ID]]:LS[[#This Row],[Investor ID]],LS[[#This Row],[Investor ID]])</f>
        <v>97867</v>
      </c>
      <c r="P110" s="96">
        <v>978670</v>
      </c>
      <c r="Q110" s="48">
        <f>LS[[#This Row],[Amount]]-LS[[#This Row],[Unit Capital]]</f>
        <v>21330</v>
      </c>
      <c r="R1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10.217948848948062</v>
      </c>
      <c r="S110" s="89">
        <f t="shared" si="1"/>
        <v>14.224</v>
      </c>
      <c r="T11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" s="96" cm="1">
        <f t="array" ref="U110">IF(LS[[#This Row],[B/S]]="S",ABS(LS[[#This Row],[Unit]])*(INDEX(LS[NAV at Cost (Average)],MATCH(CONCATENATE((LS[[#This Row],[Frequency]]-1),LS[[#This Row],[Investor ID]]),LS[Unique Code],0),0)),0)</f>
        <v>0</v>
      </c>
      <c r="V110" s="96">
        <f>IF(LS[[#This Row],[BO TRANSFER]]="YES",LS[[#This Row],[Unit]],)</f>
        <v>0</v>
      </c>
      <c r="W110" s="96">
        <f>SUMIFS(LS[[#Headers],[BO UNIT TRANSFER]]:LS[[#This Row],[BO UNIT TRANSFER]],LS[[#Headers],[Investor ID]]:LS[[#This Row],[Investor ID]],LS[[#This Row],[Investor ID]])</f>
        <v>0</v>
      </c>
    </row>
    <row r="111" spans="1:23">
      <c r="A111" s="75">
        <v>2023</v>
      </c>
      <c r="B111" s="75">
        <v>6</v>
      </c>
      <c r="C111" s="75">
        <v>12</v>
      </c>
      <c r="D111" s="81">
        <f>DATE(LS[[#This Row],[Year]],LS[[#This Row],[Month]],LS[[#This Row],[Day]])</f>
        <v>45089</v>
      </c>
      <c r="E111" t="str" cm="1">
        <f t="array" ref="E111">INDEX(INVESTORS_LIST[INVESTOR NAME],MATCH(LS[[#This Row],[Investor ID]],INVESTORS_LIST[INVESTOR CODE],0),)</f>
        <v>HAFIZA AFRIN TONNY</v>
      </c>
      <c r="F111" s="83" t="s">
        <v>766</v>
      </c>
      <c r="G111" s="75">
        <f>COUNTIF(LS[[#Headers],[Investor ID]]:LS[[#This Row],[Investor ID]],LS[[#This Row],[Investor ID]])</f>
        <v>3</v>
      </c>
      <c r="H111" s="75" t="str">
        <f>CONCATENATE(LS[[#This Row],[Frequency]],LS[[#This Row],[Investor ID]])</f>
        <v>3A00359</v>
      </c>
      <c r="I111" s="75" t="str">
        <f>IF(LS[[#This Row],[B/S]]="B","BUY",(IF(LS[[#This Row],[B/S]]="S","SELL"," ")))</f>
        <v>BUY</v>
      </c>
      <c r="J111" s="75" t="s">
        <v>1229</v>
      </c>
      <c r="K111" s="88">
        <v>20000</v>
      </c>
      <c r="L111" s="88"/>
      <c r="M111" s="89">
        <f>LS[[#This Row],[Amount]]/LS[[#This Row],[Unit]]</f>
        <v>10.219724067450178</v>
      </c>
      <c r="N111" s="90">
        <f>LS[[#This Row],[Unit Capital]]/10</f>
        <v>1957</v>
      </c>
      <c r="O111" s="90">
        <f>SUMIFS(LS[[#Headers],[Unit]]:LS[[#This Row],[Unit]],LS[[#Headers],[Investor ID]]:LS[[#This Row],[Investor ID]],LS[[#This Row],[Investor ID]])</f>
        <v>1957</v>
      </c>
      <c r="P111" s="96">
        <v>19570</v>
      </c>
      <c r="Q111" s="48">
        <f>LS[[#This Row],[Amount]]-LS[[#This Row],[Unit Capital]]</f>
        <v>430</v>
      </c>
      <c r="R1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10.219724067450178</v>
      </c>
      <c r="S111" s="89">
        <f t="shared" si="1"/>
        <v>14.224</v>
      </c>
      <c r="T11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1" s="96" cm="1">
        <f t="array" ref="U111">IF(LS[[#This Row],[B/S]]="S",ABS(LS[[#This Row],[Unit]])*(INDEX(LS[NAV at Cost (Average)],MATCH(CONCATENATE((LS[[#This Row],[Frequency]]-1),LS[[#This Row],[Investor ID]]),LS[Unique Code],0),0)),0)</f>
        <v>0</v>
      </c>
      <c r="V111" s="96">
        <f>IF(LS[[#This Row],[BO TRANSFER]]="YES",LS[[#This Row],[Unit]],)</f>
        <v>0</v>
      </c>
      <c r="W111" s="96">
        <f>SUMIFS(LS[[#Headers],[BO UNIT TRANSFER]]:LS[[#This Row],[BO UNIT TRANSFER]],LS[[#Headers],[Investor ID]]:LS[[#This Row],[Investor ID]],LS[[#This Row],[Investor ID]])</f>
        <v>0</v>
      </c>
    </row>
    <row r="112" spans="1:23">
      <c r="A112" s="75">
        <v>2023</v>
      </c>
      <c r="B112" s="75">
        <v>6</v>
      </c>
      <c r="C112" s="75">
        <v>12</v>
      </c>
      <c r="D112" s="81">
        <f>DATE(LS[[#This Row],[Year]],LS[[#This Row],[Month]],LS[[#This Row],[Day]])</f>
        <v>45089</v>
      </c>
      <c r="E112" t="str" cm="1">
        <f t="array" ref="E112">INDEX(INVESTORS_LIST[INVESTOR NAME],MATCH(LS[[#This Row],[Investor ID]],INVESTORS_LIST[INVESTOR CODE],0),)</f>
        <v>AMARSTOCK LIMITED</v>
      </c>
      <c r="F112" s="83" t="s">
        <v>960</v>
      </c>
      <c r="G112" s="75">
        <f>COUNTIF(LS[[#Headers],[Investor ID]]:LS[[#This Row],[Investor ID]],LS[[#This Row],[Investor ID]])</f>
        <v>3</v>
      </c>
      <c r="H112" s="75" t="str">
        <f>CONCATENATE(LS[[#This Row],[Frequency]],LS[[#This Row],[Investor ID]])</f>
        <v>3A00457</v>
      </c>
      <c r="I112" s="75" t="str">
        <f>IF(LS[[#This Row],[B/S]]="B","BUY",(IF(LS[[#This Row],[B/S]]="S","SELL"," ")))</f>
        <v>SELL</v>
      </c>
      <c r="J112" s="75" t="s">
        <v>1231</v>
      </c>
      <c r="K112" s="88">
        <v>-1053588.2</v>
      </c>
      <c r="L112" s="88"/>
      <c r="M112" s="89">
        <f>LS[[#This Row],[Amount]]/LS[[#This Row],[Unit]]</f>
        <v>10.218000019396571</v>
      </c>
      <c r="N112" s="90">
        <f>LS[[#This Row],[Unit Capital]]/10</f>
        <v>-103111</v>
      </c>
      <c r="O112" s="90">
        <f>SUMIFS(LS[[#Headers],[Unit]]:LS[[#This Row],[Unit]],LS[[#Headers],[Investor ID]]:LS[[#This Row],[Investor ID]],LS[[#This Row],[Investor ID]])</f>
        <v>0</v>
      </c>
      <c r="P112" s="96">
        <v>-1031110</v>
      </c>
      <c r="Q112" s="48">
        <f>LS[[#This Row],[Amount]]-LS[[#This Row],[Unit Capital]]</f>
        <v>-22478.199999999953</v>
      </c>
      <c r="R1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2" s="89">
        <f t="shared" si="1"/>
        <v>14.224</v>
      </c>
      <c r="T112" s="96">
        <f>IF(LS[[#This Row],[B/S]]="B",0,ABS(LS[[#This Row],[Unit]])*(LS[[#This Row],[NAV (Strike Rate)]]-INDEX(LS[NAV at Cost (Average)],MATCH(CONCATENATE(LS[[#This Row],[Frequency]]-1,LS[[#This Row],[Investor ID]]),LS[Unique Code],0),)))</f>
        <v>22478.199999999877</v>
      </c>
      <c r="U112" s="96" cm="1">
        <f t="array" ref="U112">IF(LS[[#This Row],[B/S]]="S",ABS(LS[[#This Row],[Unit]])*(INDEX(LS[NAV at Cost (Average)],MATCH(CONCATENATE((LS[[#This Row],[Frequency]]-1),LS[[#This Row],[Investor ID]]),LS[Unique Code],0),0)),0)</f>
        <v>1031110</v>
      </c>
      <c r="V112" s="96">
        <f>IF(LS[[#This Row],[BO TRANSFER]]="YES",LS[[#This Row],[Unit]],)</f>
        <v>0</v>
      </c>
      <c r="W112" s="96">
        <f>SUMIFS(LS[[#Headers],[BO UNIT TRANSFER]]:LS[[#This Row],[BO UNIT TRANSFER]],LS[[#Headers],[Investor ID]]:LS[[#This Row],[Investor ID]],LS[[#This Row],[Investor ID]])</f>
        <v>0</v>
      </c>
    </row>
    <row r="113" spans="1:23">
      <c r="A113" s="75">
        <v>2023</v>
      </c>
      <c r="B113" s="75">
        <v>6</v>
      </c>
      <c r="C113" s="75">
        <v>13</v>
      </c>
      <c r="D113" s="81">
        <f>DATE(LS[[#This Row],[Year]],LS[[#This Row],[Month]],LS[[#This Row],[Day]])</f>
        <v>45090</v>
      </c>
      <c r="E113" t="str" cm="1">
        <f t="array" ref="E113">INDEX(INVESTORS_LIST[INVESTOR NAME],MATCH(LS[[#This Row],[Investor ID]],INVESTORS_LIST[INVESTOR CODE],0),)</f>
        <v>BILKISS ARA</v>
      </c>
      <c r="F113" s="83" t="s">
        <v>194</v>
      </c>
      <c r="G113" s="75">
        <f>COUNTIF(LS[[#Headers],[Investor ID]]:LS[[#This Row],[Investor ID]],LS[[#This Row],[Investor ID]])</f>
        <v>2</v>
      </c>
      <c r="H113" s="75" t="str">
        <f>CONCATENATE(LS[[#This Row],[Frequency]],LS[[#This Row],[Investor ID]])</f>
        <v>2A00073</v>
      </c>
      <c r="I113" s="75" t="str">
        <f>IF(LS[[#This Row],[B/S]]="B","BUY",(IF(LS[[#This Row],[B/S]]="S","SELL"," ")))</f>
        <v>SELL</v>
      </c>
      <c r="J113" s="75" t="s">
        <v>1231</v>
      </c>
      <c r="K113" s="88">
        <v>-140000</v>
      </c>
      <c r="L113" s="88"/>
      <c r="M113" s="89">
        <f>LS[[#This Row],[Amount]]/LS[[#This Row],[Unit]]</f>
        <v>10.218232245821472</v>
      </c>
      <c r="N113" s="90">
        <f>LS[[#This Row],[Unit Capital]]/10</f>
        <v>-13701</v>
      </c>
      <c r="O113" s="90">
        <f>SUMIFS(LS[[#Headers],[Unit]]:LS[[#This Row],[Unit]],LS[[#Headers],[Investor ID]]:LS[[#This Row],[Investor ID]],LS[[#This Row],[Investor ID]])</f>
        <v>86299</v>
      </c>
      <c r="P113" s="96">
        <v>-137010</v>
      </c>
      <c r="Q113" s="48">
        <f>LS[[#This Row],[Amount]]-LS[[#This Row],[Unit Capital]]</f>
        <v>-2990</v>
      </c>
      <c r="R1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13" s="89">
        <f t="shared" si="1"/>
        <v>14.224</v>
      </c>
      <c r="T113" s="96">
        <f>IF(LS[[#This Row],[B/S]]="B",0,ABS(LS[[#This Row],[Unit]])*(LS[[#This Row],[NAV (Strike Rate)]]-INDEX(LS[NAV at Cost (Average)],MATCH(CONCATENATE(LS[[#This Row],[Frequency]]-1,LS[[#This Row],[Investor ID]]),LS[Unique Code],0),)))</f>
        <v>2989.9999999999886</v>
      </c>
      <c r="U113" s="96" cm="1">
        <f t="array" ref="U113">IF(LS[[#This Row],[B/S]]="S",ABS(LS[[#This Row],[Unit]])*(INDEX(LS[NAV at Cost (Average)],MATCH(CONCATENATE((LS[[#This Row],[Frequency]]-1),LS[[#This Row],[Investor ID]]),LS[Unique Code],0),0)),0)</f>
        <v>137010</v>
      </c>
      <c r="V113" s="96">
        <f>IF(LS[[#This Row],[BO TRANSFER]]="YES",LS[[#This Row],[Unit]],)</f>
        <v>0</v>
      </c>
      <c r="W113" s="96">
        <f>SUMIFS(LS[[#Headers],[BO UNIT TRANSFER]]:LS[[#This Row],[BO UNIT TRANSFER]],LS[[#Headers],[Investor ID]]:LS[[#This Row],[Investor ID]],LS[[#This Row],[Investor ID]])</f>
        <v>0</v>
      </c>
    </row>
    <row r="114" spans="1:23">
      <c r="A114" s="75">
        <v>2023</v>
      </c>
      <c r="B114" s="75">
        <v>6</v>
      </c>
      <c r="C114" s="75">
        <v>13</v>
      </c>
      <c r="D114" s="81">
        <f>DATE(LS[[#This Row],[Year]],LS[[#This Row],[Month]],LS[[#This Row],[Day]])</f>
        <v>45090</v>
      </c>
      <c r="E114" t="str" cm="1">
        <f t="array" ref="E114">INDEX(INVESTORS_LIST[INVESTOR NAME],MATCH(LS[[#This Row],[Investor ID]],INVESTORS_LIST[INVESTOR CODE],0),)</f>
        <v>NUSRAT JAHAN</v>
      </c>
      <c r="F114" s="83" t="s">
        <v>1030</v>
      </c>
      <c r="G114" s="75">
        <f>COUNTIF(LS[[#Headers],[Investor ID]]:LS[[#This Row],[Investor ID]],LS[[#This Row],[Investor ID]])</f>
        <v>1</v>
      </c>
      <c r="H114" s="75" t="str">
        <f>CONCATENATE(LS[[#This Row],[Frequency]],LS[[#This Row],[Investor ID]])</f>
        <v>1A00492</v>
      </c>
      <c r="I114" s="75" t="str">
        <f>IF(LS[[#This Row],[B/S]]="B","BUY",(IF(LS[[#This Row],[B/S]]="S","SELL"," ")))</f>
        <v>BUY</v>
      </c>
      <c r="J114" s="75" t="s">
        <v>1229</v>
      </c>
      <c r="K114" s="88">
        <v>500000</v>
      </c>
      <c r="L114" s="88"/>
      <c r="M114" s="89">
        <f>LS[[#This Row],[Amount]]/LS[[#This Row],[Unit]]</f>
        <v>10.218053256493572</v>
      </c>
      <c r="N114" s="90">
        <f>LS[[#This Row],[Unit Capital]]/10</f>
        <v>48933</v>
      </c>
      <c r="O114" s="90">
        <f>SUMIFS(LS[[#Headers],[Unit]]:LS[[#This Row],[Unit]],LS[[#Headers],[Investor ID]]:LS[[#This Row],[Investor ID]],LS[[#This Row],[Investor ID]])</f>
        <v>48933</v>
      </c>
      <c r="P114" s="96">
        <v>489330</v>
      </c>
      <c r="Q114" s="48">
        <f>LS[[#This Row],[Amount]]-LS[[#This Row],[Unit Capital]]</f>
        <v>10670</v>
      </c>
      <c r="R1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10.218053256493572</v>
      </c>
      <c r="S114" s="89">
        <f t="shared" si="1"/>
        <v>14.224</v>
      </c>
      <c r="T11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" s="96" cm="1">
        <f t="array" ref="U114">IF(LS[[#This Row],[B/S]]="S",ABS(LS[[#This Row],[Unit]])*(INDEX(LS[NAV at Cost (Average)],MATCH(CONCATENATE((LS[[#This Row],[Frequency]]-1),LS[[#This Row],[Investor ID]]),LS[Unique Code],0),0)),0)</f>
        <v>0</v>
      </c>
      <c r="V114" s="96">
        <f>IF(LS[[#This Row],[BO TRANSFER]]="YES",LS[[#This Row],[Unit]],)</f>
        <v>0</v>
      </c>
      <c r="W114" s="96">
        <f>SUMIFS(LS[[#Headers],[BO UNIT TRANSFER]]:LS[[#This Row],[BO UNIT TRANSFER]],LS[[#Headers],[Investor ID]]:LS[[#This Row],[Investor ID]],LS[[#This Row],[Investor ID]])</f>
        <v>0</v>
      </c>
    </row>
    <row r="115" spans="1:23">
      <c r="A115" s="75">
        <v>2023</v>
      </c>
      <c r="B115" s="75">
        <v>6</v>
      </c>
      <c r="C115" s="75">
        <v>14</v>
      </c>
      <c r="D115" s="81">
        <f>DATE(LS[[#This Row],[Year]],LS[[#This Row],[Month]],LS[[#This Row],[Day]])</f>
        <v>45091</v>
      </c>
      <c r="E115" t="str" cm="1">
        <f t="array" ref="E115">INDEX(INVESTORS_LIST[INVESTOR NAME],MATCH(LS[[#This Row],[Investor ID]],INVESTORS_LIST[INVESTOR CODE],0),)</f>
        <v>EKUSH WEALTH MANAGEMENT LIMITED</v>
      </c>
      <c r="F115" s="83" t="s">
        <v>47</v>
      </c>
      <c r="G115" s="75">
        <f>COUNTIF(LS[[#Headers],[Investor ID]]:LS[[#This Row],[Investor ID]],LS[[#This Row],[Investor ID]])</f>
        <v>5</v>
      </c>
      <c r="H115" s="75" t="str">
        <f>CONCATENATE(LS[[#This Row],[Frequency]],LS[[#This Row],[Investor ID]])</f>
        <v>5A00003</v>
      </c>
      <c r="I115" s="75" t="str">
        <f>IF(LS[[#This Row],[B/S]]="B","BUY",(IF(LS[[#This Row],[B/S]]="S","SELL"," ")))</f>
        <v>BUY</v>
      </c>
      <c r="J115" s="75" t="s">
        <v>1229</v>
      </c>
      <c r="K115" s="88">
        <v>1800000</v>
      </c>
      <c r="L115" s="88"/>
      <c r="M115" s="89">
        <f>LS[[#This Row],[Amount]]/LS[[#This Row],[Unit]]</f>
        <v>10.217983651226158</v>
      </c>
      <c r="N115" s="90">
        <f>LS[[#This Row],[Unit Capital]]/10</f>
        <v>176160</v>
      </c>
      <c r="O115" s="90">
        <f>SUMIFS(LS[[#Headers],[Unit]]:LS[[#This Row],[Unit]],LS[[#Headers],[Investor ID]]:LS[[#This Row],[Investor ID]],LS[[#This Row],[Investor ID]])</f>
        <v>2706608</v>
      </c>
      <c r="P115" s="96">
        <v>1761600</v>
      </c>
      <c r="Q115" s="48">
        <f>LS[[#This Row],[Amount]]-LS[[#This Row],[Unit Capital]]</f>
        <v>38400</v>
      </c>
      <c r="R11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115" s="89">
        <f t="shared" si="1"/>
        <v>14.224</v>
      </c>
      <c r="T11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5" s="96" cm="1">
        <f t="array" ref="U115">IF(LS[[#This Row],[B/S]]="S",ABS(LS[[#This Row],[Unit]])*(INDEX(LS[NAV at Cost (Average)],MATCH(CONCATENATE((LS[[#This Row],[Frequency]]-1),LS[[#This Row],[Investor ID]]),LS[Unique Code],0),0)),0)</f>
        <v>0</v>
      </c>
      <c r="V115" s="96">
        <f>IF(LS[[#This Row],[BO TRANSFER]]="YES",LS[[#This Row],[Unit]],)</f>
        <v>0</v>
      </c>
      <c r="W115" s="96">
        <f>SUMIFS(LS[[#Headers],[BO UNIT TRANSFER]]:LS[[#This Row],[BO UNIT TRANSFER]],LS[[#Headers],[Investor ID]]:LS[[#This Row],[Investor ID]],LS[[#This Row],[Investor ID]])</f>
        <v>0</v>
      </c>
    </row>
    <row r="116" spans="1:23">
      <c r="A116" s="75">
        <v>2023</v>
      </c>
      <c r="B116" s="75">
        <v>6</v>
      </c>
      <c r="C116" s="75">
        <v>15</v>
      </c>
      <c r="D116" s="81">
        <f>DATE(LS[[#This Row],[Year]],LS[[#This Row],[Month]],LS[[#This Row],[Day]])</f>
        <v>45092</v>
      </c>
      <c r="E116" t="str" cm="1">
        <f t="array" ref="E116">INDEX(INVESTORS_LIST[INVESTOR NAME],MATCH(LS[[#This Row],[Investor ID]],INVESTORS_LIST[INVESTOR CODE],0),)</f>
        <v>AHMED BIN MONSUR</v>
      </c>
      <c r="F116" s="83" t="s">
        <v>692</v>
      </c>
      <c r="G116" s="75">
        <f>COUNTIF(LS[[#Headers],[Investor ID]]:LS[[#This Row],[Investor ID]],LS[[#This Row],[Investor ID]])</f>
        <v>1</v>
      </c>
      <c r="H116" s="75" t="str">
        <f>CONCATENATE(LS[[#This Row],[Frequency]],LS[[#This Row],[Investor ID]])</f>
        <v>1A00322</v>
      </c>
      <c r="I116" s="75" t="str">
        <f>IF(LS[[#This Row],[B/S]]="B","BUY",(IF(LS[[#This Row],[B/S]]="S","SELL"," ")))</f>
        <v>BUY</v>
      </c>
      <c r="J116" s="75" t="s">
        <v>1229</v>
      </c>
      <c r="K116" s="88">
        <v>150000</v>
      </c>
      <c r="L116" s="88"/>
      <c r="M116" s="89">
        <f>LS[[#This Row],[Amount]]/LS[[#This Row],[Unit]]</f>
        <v>10.217983651226158</v>
      </c>
      <c r="N116" s="90">
        <f>LS[[#This Row],[Unit Capital]]/10</f>
        <v>14680</v>
      </c>
      <c r="O116" s="90">
        <f>SUMIFS(LS[[#Headers],[Unit]]:LS[[#This Row],[Unit]],LS[[#Headers],[Investor ID]]:LS[[#This Row],[Investor ID]],LS[[#This Row],[Investor ID]])</f>
        <v>14680</v>
      </c>
      <c r="P116" s="96">
        <v>146800</v>
      </c>
      <c r="Q116" s="48">
        <f>LS[[#This Row],[Amount]]-LS[[#This Row],[Unit Capital]]</f>
        <v>3200</v>
      </c>
      <c r="R11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10.217983651226158</v>
      </c>
      <c r="S116" s="89">
        <f t="shared" si="1"/>
        <v>14.224</v>
      </c>
      <c r="T11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" s="96" cm="1">
        <f t="array" ref="U116">IF(LS[[#This Row],[B/S]]="S",ABS(LS[[#This Row],[Unit]])*(INDEX(LS[NAV at Cost (Average)],MATCH(CONCATENATE((LS[[#This Row],[Frequency]]-1),LS[[#This Row],[Investor ID]]),LS[Unique Code],0),0)),0)</f>
        <v>0</v>
      </c>
      <c r="V116" s="96">
        <f>IF(LS[[#This Row],[BO TRANSFER]]="YES",LS[[#This Row],[Unit]],)</f>
        <v>0</v>
      </c>
      <c r="W116" s="96">
        <f>SUMIFS(LS[[#Headers],[BO UNIT TRANSFER]]:LS[[#This Row],[BO UNIT TRANSFER]],LS[[#Headers],[Investor ID]]:LS[[#This Row],[Investor ID]],LS[[#This Row],[Investor ID]])</f>
        <v>0</v>
      </c>
    </row>
    <row r="117" spans="1:23">
      <c r="A117" s="75">
        <v>2023</v>
      </c>
      <c r="B117" s="75">
        <v>6</v>
      </c>
      <c r="C117" s="75">
        <v>15</v>
      </c>
      <c r="D117" s="81">
        <f>DATE(LS[[#This Row],[Year]],LS[[#This Row],[Month]],LS[[#This Row],[Day]])</f>
        <v>45092</v>
      </c>
      <c r="E117" t="str" cm="1">
        <f t="array" ref="E117">INDEX(INVESTORS_LIST[INVESTOR NAME],MATCH(LS[[#This Row],[Investor ID]],INVESTORS_LIST[INVESTOR CODE],0),)</f>
        <v>A.T.M. MORSHED KAMAL</v>
      </c>
      <c r="F117" s="83" t="s">
        <v>652</v>
      </c>
      <c r="G117" s="75">
        <f>COUNTIF(LS[[#Headers],[Investor ID]]:LS[[#This Row],[Investor ID]],LS[[#This Row],[Investor ID]])</f>
        <v>1</v>
      </c>
      <c r="H117" s="75" t="str">
        <f>CONCATENATE(LS[[#This Row],[Frequency]],LS[[#This Row],[Investor ID]])</f>
        <v>1A00302</v>
      </c>
      <c r="I117" s="75" t="str">
        <f>IF(LS[[#This Row],[B/S]]="B","BUY",(IF(LS[[#This Row],[B/S]]="S","SELL"," ")))</f>
        <v>BUY</v>
      </c>
      <c r="J117" s="75" t="s">
        <v>1229</v>
      </c>
      <c r="K117" s="88">
        <v>400000</v>
      </c>
      <c r="L117" s="88"/>
      <c r="M117" s="89">
        <f>LS[[#This Row],[Amount]]/LS[[#This Row],[Unit]]</f>
        <v>10.217896645975426</v>
      </c>
      <c r="N117" s="90">
        <f>LS[[#This Row],[Unit Capital]]/10</f>
        <v>39147</v>
      </c>
      <c r="O117" s="90">
        <f>SUMIFS(LS[[#Headers],[Unit]]:LS[[#This Row],[Unit]],LS[[#Headers],[Investor ID]]:LS[[#This Row],[Investor ID]],LS[[#This Row],[Investor ID]])</f>
        <v>39147</v>
      </c>
      <c r="P117" s="96">
        <v>391470</v>
      </c>
      <c r="Q117" s="48">
        <f>LS[[#This Row],[Amount]]-LS[[#This Row],[Unit Capital]]</f>
        <v>8530</v>
      </c>
      <c r="R11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10.217896645975426</v>
      </c>
      <c r="S117" s="89">
        <f t="shared" si="1"/>
        <v>14.224</v>
      </c>
      <c r="T11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7" s="96" cm="1">
        <f t="array" ref="U117">IF(LS[[#This Row],[B/S]]="S",ABS(LS[[#This Row],[Unit]])*(INDEX(LS[NAV at Cost (Average)],MATCH(CONCATENATE((LS[[#This Row],[Frequency]]-1),LS[[#This Row],[Investor ID]]),LS[Unique Code],0),0)),0)</f>
        <v>0</v>
      </c>
      <c r="V117" s="96">
        <f>IF(LS[[#This Row],[BO TRANSFER]]="YES",LS[[#This Row],[Unit]],)</f>
        <v>0</v>
      </c>
      <c r="W117" s="96">
        <f>SUMIFS(LS[[#Headers],[BO UNIT TRANSFER]]:LS[[#This Row],[BO UNIT TRANSFER]],LS[[#Headers],[Investor ID]]:LS[[#This Row],[Investor ID]],LS[[#This Row],[Investor ID]])</f>
        <v>0</v>
      </c>
    </row>
    <row r="118" spans="1:23">
      <c r="A118" s="75">
        <v>2023</v>
      </c>
      <c r="B118" s="75">
        <v>6</v>
      </c>
      <c r="C118" s="75">
        <v>18</v>
      </c>
      <c r="D118" s="81">
        <f>DATE(LS[[#This Row],[Year]],LS[[#This Row],[Month]],LS[[#This Row],[Day]])</f>
        <v>45095</v>
      </c>
      <c r="E118" t="str" cm="1">
        <f t="array" ref="E118">INDEX(INVESTORS_LIST[INVESTOR NAME],MATCH(LS[[#This Row],[Investor ID]],INVESTORS_LIST[INVESTOR CODE],0),)</f>
        <v>FAIYEAD AHMEDUL HYE</v>
      </c>
      <c r="F118" s="83" t="s">
        <v>368</v>
      </c>
      <c r="G118" s="75">
        <f>COUNTIF(LS[[#Headers],[Investor ID]]:LS[[#This Row],[Investor ID]],LS[[#This Row],[Investor ID]])</f>
        <v>1</v>
      </c>
      <c r="H118" s="75" t="str">
        <f>CONCATENATE(LS[[#This Row],[Frequency]],LS[[#This Row],[Investor ID]])</f>
        <v>1A00160</v>
      </c>
      <c r="I118" s="75" t="str">
        <f>IF(LS[[#This Row],[B/S]]="B","BUY",(IF(LS[[#This Row],[B/S]]="S","SELL"," ")))</f>
        <v>BUY</v>
      </c>
      <c r="J118" s="75" t="s">
        <v>1229</v>
      </c>
      <c r="K118" s="88">
        <v>100000</v>
      </c>
      <c r="L118" s="88"/>
      <c r="M118" s="89">
        <f>LS[[#This Row],[Amount]]/LS[[#This Row],[Unit]]</f>
        <v>10.234367004400777</v>
      </c>
      <c r="N118" s="90">
        <f>LS[[#This Row],[Unit Capital]]/10</f>
        <v>9771</v>
      </c>
      <c r="O118" s="90">
        <f>SUMIFS(LS[[#Headers],[Unit]]:LS[[#This Row],[Unit]],LS[[#Headers],[Investor ID]]:LS[[#This Row],[Investor ID]],LS[[#This Row],[Investor ID]])</f>
        <v>9771</v>
      </c>
      <c r="P118" s="48">
        <v>97710</v>
      </c>
      <c r="Q118" s="48">
        <f>LS[[#This Row],[Amount]]-LS[[#This Row],[Unit Capital]]</f>
        <v>2290</v>
      </c>
      <c r="R11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10.234367004400777</v>
      </c>
      <c r="S118" s="89">
        <f t="shared" si="1"/>
        <v>14.224</v>
      </c>
      <c r="T11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" s="96" cm="1">
        <f t="array" ref="U118">IF(LS[[#This Row],[B/S]]="S",ABS(LS[[#This Row],[Unit]])*(INDEX(LS[NAV at Cost (Average)],MATCH(CONCATENATE((LS[[#This Row],[Frequency]]-1),LS[[#This Row],[Investor ID]]),LS[Unique Code],0),0)),0)</f>
        <v>0</v>
      </c>
      <c r="V118" s="96">
        <f>IF(LS[[#This Row],[BO TRANSFER]]="YES",LS[[#This Row],[Unit]],)</f>
        <v>0</v>
      </c>
      <c r="W118" s="96">
        <f>SUMIFS(LS[[#Headers],[BO UNIT TRANSFER]]:LS[[#This Row],[BO UNIT TRANSFER]],LS[[#Headers],[Investor ID]]:LS[[#This Row],[Investor ID]],LS[[#This Row],[Investor ID]])</f>
        <v>0</v>
      </c>
    </row>
    <row r="119" spans="1:23">
      <c r="A119" s="75">
        <v>2023</v>
      </c>
      <c r="B119" s="75">
        <v>6</v>
      </c>
      <c r="C119" s="75">
        <v>19</v>
      </c>
      <c r="D119" s="81">
        <f>DATE(LS[[#This Row],[Year]],LS[[#This Row],[Month]],LS[[#This Row],[Day]])</f>
        <v>45096</v>
      </c>
      <c r="E119" t="str" cm="1">
        <f t="array" ref="E119">INDEX(INVESTORS_LIST[INVESTOR NAME],MATCH(LS[[#This Row],[Investor ID]],INVESTORS_LIST[INVESTOR CODE],0),)</f>
        <v>NITYANANDA BISWAS</v>
      </c>
      <c r="F119" s="83" t="s">
        <v>554</v>
      </c>
      <c r="G119" s="75">
        <f>COUNTIF(LS[[#Headers],[Investor ID]]:LS[[#This Row],[Investor ID]],LS[[#This Row],[Investor ID]])</f>
        <v>2</v>
      </c>
      <c r="H119" s="75" t="str">
        <f>CONCATENATE(LS[[#This Row],[Frequency]],LS[[#This Row],[Investor ID]])</f>
        <v>2A00252</v>
      </c>
      <c r="I119" s="75" t="str">
        <f>IF(LS[[#This Row],[B/S]]="B","BUY",(IF(LS[[#This Row],[B/S]]="S","SELL"," ")))</f>
        <v>SELL</v>
      </c>
      <c r="J119" s="75" t="s">
        <v>1231</v>
      </c>
      <c r="K119" s="88">
        <v>-600000</v>
      </c>
      <c r="L119" s="88"/>
      <c r="M119" s="89">
        <f>LS[[#This Row],[Amount]]/LS[[#This Row],[Unit]]</f>
        <v>10.234017875417889</v>
      </c>
      <c r="N119" s="90">
        <f>LS[[#This Row],[Unit Capital]]/10</f>
        <v>-58628</v>
      </c>
      <c r="O119" s="90">
        <f>SUMIFS(LS[[#Headers],[Unit]]:LS[[#This Row],[Unit]],LS[[#Headers],[Investor ID]]:LS[[#This Row],[Investor ID]],LS[[#This Row],[Investor ID]])</f>
        <v>11372</v>
      </c>
      <c r="P119" s="96">
        <v>-586280</v>
      </c>
      <c r="Q119" s="48">
        <f>LS[[#This Row],[Amount]]-LS[[#This Row],[Unit Capital]]</f>
        <v>-13720</v>
      </c>
      <c r="R11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19" s="89">
        <f t="shared" si="1"/>
        <v>14.224</v>
      </c>
      <c r="T119" s="96">
        <f>IF(LS[[#This Row],[B/S]]="B",0,ABS(LS[[#This Row],[Unit]])*(LS[[#This Row],[NAV (Strike Rate)]]-INDEX(LS[NAV at Cost (Average)],MATCH(CONCATENATE(LS[[#This Row],[Frequency]]-1,LS[[#This Row],[Investor ID]]),LS[Unique Code],0),)))</f>
        <v>13719.999999999996</v>
      </c>
      <c r="U119" s="96" cm="1">
        <f t="array" ref="U119">IF(LS[[#This Row],[B/S]]="S",ABS(LS[[#This Row],[Unit]])*(INDEX(LS[NAV at Cost (Average)],MATCH(CONCATENATE((LS[[#This Row],[Frequency]]-1),LS[[#This Row],[Investor ID]]),LS[Unique Code],0),0)),0)</f>
        <v>586280</v>
      </c>
      <c r="V119" s="96">
        <f>IF(LS[[#This Row],[BO TRANSFER]]="YES",LS[[#This Row],[Unit]],)</f>
        <v>0</v>
      </c>
      <c r="W119" s="96">
        <f>SUMIFS(LS[[#Headers],[BO UNIT TRANSFER]]:LS[[#This Row],[BO UNIT TRANSFER]],LS[[#Headers],[Investor ID]]:LS[[#This Row],[Investor ID]],LS[[#This Row],[Investor ID]])</f>
        <v>0</v>
      </c>
    </row>
    <row r="120" spans="1:23">
      <c r="A120" s="75">
        <v>2023</v>
      </c>
      <c r="B120" s="75">
        <v>6</v>
      </c>
      <c r="C120" s="75">
        <v>20</v>
      </c>
      <c r="D120" s="81">
        <f>DATE(LS[[#This Row],[Year]],LS[[#This Row],[Month]],LS[[#This Row],[Day]])</f>
        <v>45097</v>
      </c>
      <c r="E120" t="str" cm="1">
        <f t="array" ref="E120">INDEX(INVESTORS_LIST[INVESTOR NAME],MATCH(LS[[#This Row],[Investor ID]],INVESTORS_LIST[INVESTOR CODE],0),)</f>
        <v>MAYA RANI SAHA</v>
      </c>
      <c r="F120" s="83" t="s">
        <v>224</v>
      </c>
      <c r="G120" s="75">
        <f>COUNTIF(LS[[#Headers],[Investor ID]]:LS[[#This Row],[Investor ID]],LS[[#This Row],[Investor ID]])</f>
        <v>3</v>
      </c>
      <c r="H120" s="75" t="str">
        <f>CONCATENATE(LS[[#This Row],[Frequency]],LS[[#This Row],[Investor ID]])</f>
        <v>3A00088</v>
      </c>
      <c r="I120" s="75" t="str">
        <f>IF(LS[[#This Row],[B/S]]="B","BUY",(IF(LS[[#This Row],[B/S]]="S","SELL"," ")))</f>
        <v>BUY</v>
      </c>
      <c r="J120" s="75" t="s">
        <v>1229</v>
      </c>
      <c r="K120" s="88">
        <v>2000000</v>
      </c>
      <c r="L120" s="88"/>
      <c r="M120" s="89">
        <f>LS[[#This Row],[Amount]]/LS[[#This Row],[Unit]]</f>
        <v>10.234000419594016</v>
      </c>
      <c r="N120" s="90">
        <f>LS[[#This Row],[Unit Capital]]/10</f>
        <v>195427</v>
      </c>
      <c r="O120" s="90">
        <f>SUMIFS(LS[[#Headers],[Unit]]:LS[[#This Row],[Unit]],LS[[#Headers],[Investor ID]]:LS[[#This Row],[Investor ID]],LS[[#This Row],[Investor ID]])</f>
        <v>333294</v>
      </c>
      <c r="P120" s="96">
        <v>1954270</v>
      </c>
      <c r="Q120" s="48">
        <f>LS[[#This Row],[Amount]]-LS[[#This Row],[Unit Capital]]</f>
        <v>45730</v>
      </c>
      <c r="R12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10.201203742041562</v>
      </c>
      <c r="S120" s="89">
        <f t="shared" si="1"/>
        <v>14.224</v>
      </c>
      <c r="T12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0" s="96" cm="1">
        <f t="array" ref="U120">IF(LS[[#This Row],[B/S]]="S",ABS(LS[[#This Row],[Unit]])*(INDEX(LS[NAV at Cost (Average)],MATCH(CONCATENATE((LS[[#This Row],[Frequency]]-1),LS[[#This Row],[Investor ID]]),LS[Unique Code],0),0)),0)</f>
        <v>0</v>
      </c>
      <c r="V120" s="96">
        <f>IF(LS[[#This Row],[BO TRANSFER]]="YES",LS[[#This Row],[Unit]],)</f>
        <v>0</v>
      </c>
      <c r="W120" s="96">
        <f>SUMIFS(LS[[#Headers],[BO UNIT TRANSFER]]:LS[[#This Row],[BO UNIT TRANSFER]],LS[[#Headers],[Investor ID]]:LS[[#This Row],[Investor ID]],LS[[#This Row],[Investor ID]])</f>
        <v>0</v>
      </c>
    </row>
    <row r="121" spans="1:23">
      <c r="A121" s="75">
        <v>2023</v>
      </c>
      <c r="B121" s="75">
        <v>6</v>
      </c>
      <c r="C121" s="75">
        <v>20</v>
      </c>
      <c r="D121" s="81">
        <f>DATE(LS[[#This Row],[Year]],LS[[#This Row],[Month]],LS[[#This Row],[Day]])</f>
        <v>45097</v>
      </c>
      <c r="E121" t="str" cm="1">
        <f t="array" ref="E121">INDEX(INVESTORS_LIST[INVESTOR NAME],MATCH(LS[[#This Row],[Investor ID]],INVESTORS_LIST[INVESTOR CODE],0),)</f>
        <v>JISHAN SHAMSAD</v>
      </c>
      <c r="F121" s="83" t="s">
        <v>1036</v>
      </c>
      <c r="G121" s="75">
        <f>COUNTIF(LS[[#Headers],[Investor ID]]:LS[[#This Row],[Investor ID]],LS[[#This Row],[Investor ID]])</f>
        <v>1</v>
      </c>
      <c r="H121" s="75" t="str">
        <f>CONCATENATE(LS[[#This Row],[Frequency]],LS[[#This Row],[Investor ID]])</f>
        <v>1A00495</v>
      </c>
      <c r="I121" s="75" t="str">
        <f>IF(LS[[#This Row],[B/S]]="B","BUY",(IF(LS[[#This Row],[B/S]]="S","SELL"," ")))</f>
        <v>BUY</v>
      </c>
      <c r="J121" s="75" t="s">
        <v>1229</v>
      </c>
      <c r="K121" s="88">
        <v>500000</v>
      </c>
      <c r="L121" s="88"/>
      <c r="M121" s="89">
        <f>LS[[#This Row],[Amount]]/LS[[#This Row],[Unit]]</f>
        <v>10.233948052479686</v>
      </c>
      <c r="N121" s="90">
        <f>LS[[#This Row],[Unit Capital]]/10</f>
        <v>48857</v>
      </c>
      <c r="O121" s="90">
        <f>SUMIFS(LS[[#Headers],[Unit]]:LS[[#This Row],[Unit]],LS[[#Headers],[Investor ID]]:LS[[#This Row],[Investor ID]],LS[[#This Row],[Investor ID]])</f>
        <v>48857</v>
      </c>
      <c r="P121" s="96">
        <v>488570</v>
      </c>
      <c r="Q121" s="48">
        <f>LS[[#This Row],[Amount]]-LS[[#This Row],[Unit Capital]]</f>
        <v>11430</v>
      </c>
      <c r="R12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10.233948052479686</v>
      </c>
      <c r="S121" s="89">
        <f t="shared" si="1"/>
        <v>14.224</v>
      </c>
      <c r="T12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1" s="96" cm="1">
        <f t="array" ref="U121">IF(LS[[#This Row],[B/S]]="S",ABS(LS[[#This Row],[Unit]])*(INDEX(LS[NAV at Cost (Average)],MATCH(CONCATENATE((LS[[#This Row],[Frequency]]-1),LS[[#This Row],[Investor ID]]),LS[Unique Code],0),0)),0)</f>
        <v>0</v>
      </c>
      <c r="V121" s="96">
        <f>IF(LS[[#This Row],[BO TRANSFER]]="YES",LS[[#This Row],[Unit]],)</f>
        <v>0</v>
      </c>
      <c r="W121" s="96">
        <f>SUMIFS(LS[[#Headers],[BO UNIT TRANSFER]]:LS[[#This Row],[BO UNIT TRANSFER]],LS[[#Headers],[Investor ID]]:LS[[#This Row],[Investor ID]],LS[[#This Row],[Investor ID]])</f>
        <v>0</v>
      </c>
    </row>
    <row r="122" spans="1:23">
      <c r="A122" s="75">
        <v>2023</v>
      </c>
      <c r="B122" s="75">
        <v>6</v>
      </c>
      <c r="C122" s="75">
        <v>20</v>
      </c>
      <c r="D122" s="81">
        <f>DATE(LS[[#This Row],[Year]],LS[[#This Row],[Month]],LS[[#This Row],[Day]])</f>
        <v>45097</v>
      </c>
      <c r="E122" t="str" cm="1">
        <f t="array" ref="E122">INDEX(INVESTORS_LIST[INVESTOR NAME],MATCH(LS[[#This Row],[Investor ID]],INVESTORS_LIST[INVESTOR CODE],0),)</f>
        <v>SWADESH RANJAN SAHA</v>
      </c>
      <c r="F122" s="83" t="s">
        <v>234</v>
      </c>
      <c r="G122" s="75">
        <f>COUNTIF(LS[[#Headers],[Investor ID]]:LS[[#This Row],[Investor ID]],LS[[#This Row],[Investor ID]])</f>
        <v>4</v>
      </c>
      <c r="H122" s="75" t="str">
        <f>CONCATENATE(LS[[#This Row],[Frequency]],LS[[#This Row],[Investor ID]])</f>
        <v>4A00093</v>
      </c>
      <c r="I122" s="75" t="str">
        <f>IF(LS[[#This Row],[B/S]]="B","BUY",(IF(LS[[#This Row],[B/S]]="S","SELL"," ")))</f>
        <v>BUY</v>
      </c>
      <c r="J122" s="75" t="s">
        <v>1229</v>
      </c>
      <c r="K122" s="88">
        <v>200000</v>
      </c>
      <c r="L122" s="88"/>
      <c r="M122" s="89">
        <f>LS[[#This Row],[Amount]]/LS[[#This Row],[Unit]]</f>
        <v>10.233843319858773</v>
      </c>
      <c r="N122" s="90">
        <f>LS[[#This Row],[Unit Capital]]/10</f>
        <v>19543</v>
      </c>
      <c r="O122" s="90">
        <f>SUMIFS(LS[[#Headers],[Unit]]:LS[[#This Row],[Unit]],LS[[#Headers],[Investor ID]]:LS[[#This Row],[Investor ID]],LS[[#This Row],[Investor ID]])</f>
        <v>117410</v>
      </c>
      <c r="P122" s="96">
        <v>195430</v>
      </c>
      <c r="Q122" s="48">
        <f>LS[[#This Row],[Amount]]-LS[[#This Row],[Unit Capital]]</f>
        <v>4570</v>
      </c>
      <c r="R12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10.220594497913295</v>
      </c>
      <c r="S122" s="89">
        <f t="shared" si="1"/>
        <v>14.224</v>
      </c>
      <c r="T12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2" s="96" cm="1">
        <f t="array" ref="U122">IF(LS[[#This Row],[B/S]]="S",ABS(LS[[#This Row],[Unit]])*(INDEX(LS[NAV at Cost (Average)],MATCH(CONCATENATE((LS[[#This Row],[Frequency]]-1),LS[[#This Row],[Investor ID]]),LS[Unique Code],0),0)),0)</f>
        <v>0</v>
      </c>
      <c r="V122" s="96">
        <f>IF(LS[[#This Row],[BO TRANSFER]]="YES",LS[[#This Row],[Unit]],)</f>
        <v>0</v>
      </c>
      <c r="W122" s="96">
        <f>SUMIFS(LS[[#Headers],[BO UNIT TRANSFER]]:LS[[#This Row],[BO UNIT TRANSFER]],LS[[#Headers],[Investor ID]]:LS[[#This Row],[Investor ID]],LS[[#This Row],[Investor ID]])</f>
        <v>0</v>
      </c>
    </row>
    <row r="123" spans="1:23">
      <c r="A123" s="75">
        <v>2023</v>
      </c>
      <c r="B123" s="75">
        <v>6</v>
      </c>
      <c r="C123" s="75">
        <v>20</v>
      </c>
      <c r="D123" s="81">
        <f>DATE(LS[[#This Row],[Year]],LS[[#This Row],[Month]],LS[[#This Row],[Day]])</f>
        <v>45097</v>
      </c>
      <c r="E123" t="str" cm="1">
        <f t="array" ref="E123">INDEX(INVESTORS_LIST[INVESTOR NAME],MATCH(LS[[#This Row],[Investor ID]],INVESTORS_LIST[INVESTOR CODE],0),)</f>
        <v>MUMINUL ALAM</v>
      </c>
      <c r="F123" s="83" t="s">
        <v>370</v>
      </c>
      <c r="G123" s="75">
        <f>COUNTIF(LS[[#Headers],[Investor ID]]:LS[[#This Row],[Investor ID]],LS[[#This Row],[Investor ID]])</f>
        <v>1</v>
      </c>
      <c r="H123" s="75" t="str">
        <f>CONCATENATE(LS[[#This Row],[Frequency]],LS[[#This Row],[Investor ID]])</f>
        <v>1A00161</v>
      </c>
      <c r="I123" s="75" t="str">
        <f>IF(LS[[#This Row],[B/S]]="B","BUY",(IF(LS[[#This Row],[B/S]]="S","SELL"," ")))</f>
        <v>BUY</v>
      </c>
      <c r="J123" s="75" t="s">
        <v>1229</v>
      </c>
      <c r="K123" s="88">
        <v>140000</v>
      </c>
      <c r="L123" s="88"/>
      <c r="M123" s="89">
        <f>LS[[#This Row],[Amount]]/LS[[#This Row],[Unit]]</f>
        <v>10.23391812865497</v>
      </c>
      <c r="N123" s="90">
        <f>LS[[#This Row],[Unit Capital]]/10</f>
        <v>13680</v>
      </c>
      <c r="O123" s="90">
        <f>SUMIFS(LS[[#Headers],[Unit]]:LS[[#This Row],[Unit]],LS[[#Headers],[Investor ID]]:LS[[#This Row],[Investor ID]],LS[[#This Row],[Investor ID]])</f>
        <v>13680</v>
      </c>
      <c r="P123" s="96">
        <v>136800</v>
      </c>
      <c r="Q123" s="48">
        <f>LS[[#This Row],[Amount]]-LS[[#This Row],[Unit Capital]]</f>
        <v>3200</v>
      </c>
      <c r="R12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10.23391812865497</v>
      </c>
      <c r="S123" s="89">
        <f t="shared" si="1"/>
        <v>14.224</v>
      </c>
      <c r="T12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3" s="96" cm="1">
        <f t="array" ref="U123">IF(LS[[#This Row],[B/S]]="S",ABS(LS[[#This Row],[Unit]])*(INDEX(LS[NAV at Cost (Average)],MATCH(CONCATENATE((LS[[#This Row],[Frequency]]-1),LS[[#This Row],[Investor ID]]),LS[Unique Code],0),0)),0)</f>
        <v>0</v>
      </c>
      <c r="V123" s="96">
        <f>IF(LS[[#This Row],[BO TRANSFER]]="YES",LS[[#This Row],[Unit]],)</f>
        <v>0</v>
      </c>
      <c r="W123" s="96">
        <f>SUMIFS(LS[[#Headers],[BO UNIT TRANSFER]]:LS[[#This Row],[BO UNIT TRANSFER]],LS[[#Headers],[Investor ID]]:LS[[#This Row],[Investor ID]],LS[[#This Row],[Investor ID]])</f>
        <v>0</v>
      </c>
    </row>
    <row r="124" spans="1:23">
      <c r="A124" s="75">
        <v>2023</v>
      </c>
      <c r="B124" s="75">
        <v>6</v>
      </c>
      <c r="C124" s="75">
        <v>21</v>
      </c>
      <c r="D124" s="81">
        <f>DATE(LS[[#This Row],[Year]],LS[[#This Row],[Month]],LS[[#This Row],[Day]])</f>
        <v>45098</v>
      </c>
      <c r="E124" t="str" cm="1">
        <f t="array" ref="E124">INDEX(INVESTORS_LIST[INVESTOR NAME],MATCH(LS[[#This Row],[Investor ID]],INVESTORS_LIST[INVESTOR CODE],0),)</f>
        <v>SHAHRIAR AZAD SHASHI</v>
      </c>
      <c r="F124" s="83" t="s">
        <v>1040</v>
      </c>
      <c r="G124" s="75">
        <f>COUNTIF(LS[[#Headers],[Investor ID]]:LS[[#This Row],[Investor ID]],LS[[#This Row],[Investor ID]])</f>
        <v>1</v>
      </c>
      <c r="H124" s="75" t="str">
        <f>CONCATENATE(LS[[#This Row],[Frequency]],LS[[#This Row],[Investor ID]])</f>
        <v>1A00497</v>
      </c>
      <c r="I124" s="75" t="str">
        <f>IF(LS[[#This Row],[B/S]]="B","BUY",(IF(LS[[#This Row],[B/S]]="S","SELL"," ")))</f>
        <v>BUY</v>
      </c>
      <c r="J124" s="75" t="s">
        <v>1229</v>
      </c>
      <c r="K124" s="88">
        <v>250000</v>
      </c>
      <c r="L124" s="88"/>
      <c r="M124" s="89">
        <f>LS[[#This Row],[Amount]]/LS[[#This Row],[Unit]]</f>
        <v>10.234157524152613</v>
      </c>
      <c r="N124" s="90">
        <f>LS[[#This Row],[Unit Capital]]/10</f>
        <v>24428</v>
      </c>
      <c r="O124" s="90">
        <f>SUMIFS(LS[[#Headers],[Unit]]:LS[[#This Row],[Unit]],LS[[#Headers],[Investor ID]]:LS[[#This Row],[Investor ID]],LS[[#This Row],[Investor ID]])</f>
        <v>24428</v>
      </c>
      <c r="P124" s="96">
        <v>244280</v>
      </c>
      <c r="Q124" s="48">
        <f>LS[[#This Row],[Amount]]-LS[[#This Row],[Unit Capital]]</f>
        <v>5720</v>
      </c>
      <c r="R12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10.234157524152613</v>
      </c>
      <c r="S124" s="89">
        <f t="shared" si="1"/>
        <v>14.224</v>
      </c>
      <c r="T12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" s="96" cm="1">
        <f t="array" ref="U124">IF(LS[[#This Row],[B/S]]="S",ABS(LS[[#This Row],[Unit]])*(INDEX(LS[NAV at Cost (Average)],MATCH(CONCATENATE((LS[[#This Row],[Frequency]]-1),LS[[#This Row],[Investor ID]]),LS[Unique Code],0),0)),0)</f>
        <v>0</v>
      </c>
      <c r="V124" s="96">
        <f>IF(LS[[#This Row],[BO TRANSFER]]="YES",LS[[#This Row],[Unit]],)</f>
        <v>0</v>
      </c>
      <c r="W124" s="96">
        <f>SUMIFS(LS[[#Headers],[BO UNIT TRANSFER]]:LS[[#This Row],[BO UNIT TRANSFER]],LS[[#Headers],[Investor ID]]:LS[[#This Row],[Investor ID]],LS[[#This Row],[Investor ID]])</f>
        <v>0</v>
      </c>
    </row>
    <row r="125" spans="1:23">
      <c r="A125" s="75">
        <v>2023</v>
      </c>
      <c r="B125" s="75">
        <v>6</v>
      </c>
      <c r="C125" s="75">
        <v>21</v>
      </c>
      <c r="D125" s="81">
        <f>DATE(LS[[#This Row],[Year]],LS[[#This Row],[Month]],LS[[#This Row],[Day]])</f>
        <v>45098</v>
      </c>
      <c r="E125" t="str" cm="1">
        <f t="array" ref="E125">INDEX(INVESTORS_LIST[INVESTOR NAME],MATCH(LS[[#This Row],[Investor ID]],INVESTORS_LIST[INVESTOR CODE],0),)</f>
        <v>TAMRIN AL DEEN</v>
      </c>
      <c r="F125" s="83" t="s">
        <v>898</v>
      </c>
      <c r="G125" s="75">
        <f>COUNTIF(LS[[#Headers],[Investor ID]]:LS[[#This Row],[Investor ID]],LS[[#This Row],[Investor ID]])</f>
        <v>1</v>
      </c>
      <c r="H125" s="75" t="str">
        <f>CONCATENATE(LS[[#This Row],[Frequency]],LS[[#This Row],[Investor ID]])</f>
        <v>1A00426</v>
      </c>
      <c r="I125" s="75" t="str">
        <f>IF(LS[[#This Row],[B/S]]="B","BUY",(IF(LS[[#This Row],[B/S]]="S","SELL"," ")))</f>
        <v>BUY</v>
      </c>
      <c r="J125" s="75" t="s">
        <v>1229</v>
      </c>
      <c r="K125" s="88">
        <v>50000</v>
      </c>
      <c r="L125" s="88"/>
      <c r="M125" s="89">
        <f>LS[[#This Row],[Amount]]/LS[[#This Row],[Unit]]</f>
        <v>10.233319688907082</v>
      </c>
      <c r="N125" s="90">
        <f>LS[[#This Row],[Unit Capital]]/10</f>
        <v>4886</v>
      </c>
      <c r="O125" s="90">
        <f>SUMIFS(LS[[#Headers],[Unit]]:LS[[#This Row],[Unit]],LS[[#Headers],[Investor ID]]:LS[[#This Row],[Investor ID]],LS[[#This Row],[Investor ID]])</f>
        <v>4886</v>
      </c>
      <c r="P125" s="96">
        <v>48860</v>
      </c>
      <c r="Q125" s="48">
        <f>LS[[#This Row],[Amount]]-LS[[#This Row],[Unit Capital]]</f>
        <v>1140</v>
      </c>
      <c r="R12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10.233319688907082</v>
      </c>
      <c r="S125" s="89">
        <f t="shared" si="1"/>
        <v>14.224</v>
      </c>
      <c r="T12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" s="96" cm="1">
        <f t="array" ref="U125">IF(LS[[#This Row],[B/S]]="S",ABS(LS[[#This Row],[Unit]])*(INDEX(LS[NAV at Cost (Average)],MATCH(CONCATENATE((LS[[#This Row],[Frequency]]-1),LS[[#This Row],[Investor ID]]),LS[Unique Code],0),0)),0)</f>
        <v>0</v>
      </c>
      <c r="V125" s="96">
        <f>IF(LS[[#This Row],[BO TRANSFER]]="YES",LS[[#This Row],[Unit]],)</f>
        <v>0</v>
      </c>
      <c r="W125" s="96">
        <f>SUMIFS(LS[[#Headers],[BO UNIT TRANSFER]]:LS[[#This Row],[BO UNIT TRANSFER]],LS[[#Headers],[Investor ID]]:LS[[#This Row],[Investor ID]],LS[[#This Row],[Investor ID]])</f>
        <v>0</v>
      </c>
    </row>
    <row r="126" spans="1:23">
      <c r="A126" s="75">
        <v>2023</v>
      </c>
      <c r="B126" s="75">
        <v>6</v>
      </c>
      <c r="C126" s="75">
        <v>21</v>
      </c>
      <c r="D126" s="81">
        <f>DATE(LS[[#This Row],[Year]],LS[[#This Row],[Month]],LS[[#This Row],[Day]])</f>
        <v>45098</v>
      </c>
      <c r="E126" t="str" cm="1">
        <f t="array" ref="E126">INDEX(INVESTORS_LIST[INVESTOR NAME],MATCH(LS[[#This Row],[Investor ID]],INVESTORS_LIST[INVESTOR CODE],0),)</f>
        <v>HAFIZA AFRIN TONNY</v>
      </c>
      <c r="F126" s="83" t="s">
        <v>766</v>
      </c>
      <c r="G126" s="75">
        <f>COUNTIF(LS[[#Headers],[Investor ID]]:LS[[#This Row],[Investor ID]],LS[[#This Row],[Investor ID]])</f>
        <v>4</v>
      </c>
      <c r="H126" s="75" t="str">
        <f>CONCATENATE(LS[[#This Row],[Frequency]],LS[[#This Row],[Investor ID]])</f>
        <v>4A00359</v>
      </c>
      <c r="I126" s="75" t="str">
        <f>IF(LS[[#This Row],[B/S]]="B","BUY",(IF(LS[[#This Row],[B/S]]="S","SELL"," ")))</f>
        <v>BUY</v>
      </c>
      <c r="J126" s="75" t="s">
        <v>1229</v>
      </c>
      <c r="K126" s="88">
        <v>50000</v>
      </c>
      <c r="L126" s="88"/>
      <c r="M126" s="89">
        <f>LS[[#This Row],[Amount]]/LS[[#This Row],[Unit]]</f>
        <v>10.233319688907082</v>
      </c>
      <c r="N126" s="90">
        <f>LS[[#This Row],[Unit Capital]]/10</f>
        <v>4886</v>
      </c>
      <c r="O126" s="90">
        <f>SUMIFS(LS[[#Headers],[Unit]]:LS[[#This Row],[Unit]],LS[[#Headers],[Investor ID]]:LS[[#This Row],[Investor ID]],LS[[#This Row],[Investor ID]])</f>
        <v>6843</v>
      </c>
      <c r="P126" s="96">
        <v>48860</v>
      </c>
      <c r="Q126" s="48">
        <f>LS[[#This Row],[Amount]]-LS[[#This Row],[Unit Capital]]</f>
        <v>1140</v>
      </c>
      <c r="R12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10.229431535876078</v>
      </c>
      <c r="S126" s="89">
        <f t="shared" si="1"/>
        <v>14.224</v>
      </c>
      <c r="T12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" s="96" cm="1">
        <f t="array" ref="U126">IF(LS[[#This Row],[B/S]]="S",ABS(LS[[#This Row],[Unit]])*(INDEX(LS[NAV at Cost (Average)],MATCH(CONCATENATE((LS[[#This Row],[Frequency]]-1),LS[[#This Row],[Investor ID]]),LS[Unique Code],0),0)),0)</f>
        <v>0</v>
      </c>
      <c r="V126" s="96">
        <f>IF(LS[[#This Row],[BO TRANSFER]]="YES",LS[[#This Row],[Unit]],)</f>
        <v>0</v>
      </c>
      <c r="W126" s="96">
        <f>SUMIFS(LS[[#Headers],[BO UNIT TRANSFER]]:LS[[#This Row],[BO UNIT TRANSFER]],LS[[#Headers],[Investor ID]]:LS[[#This Row],[Investor ID]],LS[[#This Row],[Investor ID]])</f>
        <v>0</v>
      </c>
    </row>
    <row r="127" spans="1:23">
      <c r="A127" s="75">
        <v>2023</v>
      </c>
      <c r="B127" s="75">
        <v>6</v>
      </c>
      <c r="C127" s="75">
        <v>21</v>
      </c>
      <c r="D127" s="81">
        <f>DATE(LS[[#This Row],[Year]],LS[[#This Row],[Month]],LS[[#This Row],[Day]])</f>
        <v>45098</v>
      </c>
      <c r="E127" t="str" cm="1">
        <f t="array" ref="E127">INDEX(INVESTORS_LIST[INVESTOR NAME],MATCH(LS[[#This Row],[Investor ID]],INVESTORS_LIST[INVESTOR CODE],0),)</f>
        <v>RAJIV HASSAN</v>
      </c>
      <c r="F127" s="83" t="s">
        <v>1038</v>
      </c>
      <c r="G127" s="75">
        <f>COUNTIF(LS[[#Headers],[Investor ID]]:LS[[#This Row],[Investor ID]],LS[[#This Row],[Investor ID]])</f>
        <v>1</v>
      </c>
      <c r="H127" s="75" t="str">
        <f>CONCATENATE(LS[[#This Row],[Frequency]],LS[[#This Row],[Investor ID]])</f>
        <v>1A00496</v>
      </c>
      <c r="I127" s="75" t="str">
        <f>IF(LS[[#This Row],[B/S]]="B","BUY",(IF(LS[[#This Row],[B/S]]="S","SELL"," ")))</f>
        <v>BUY</v>
      </c>
      <c r="J127" s="75" t="s">
        <v>1229</v>
      </c>
      <c r="K127" s="88">
        <v>1000000</v>
      </c>
      <c r="L127" s="88"/>
      <c r="M127" s="89">
        <f>LS[[#This Row],[Amount]]/LS[[#This Row],[Unit]]</f>
        <v>10.233948052479686</v>
      </c>
      <c r="N127" s="90">
        <f>LS[[#This Row],[Unit Capital]]/10</f>
        <v>97714</v>
      </c>
      <c r="O127" s="90">
        <f>SUMIFS(LS[[#Headers],[Unit]]:LS[[#This Row],[Unit]],LS[[#Headers],[Investor ID]]:LS[[#This Row],[Investor ID]],LS[[#This Row],[Investor ID]])</f>
        <v>97714</v>
      </c>
      <c r="P127" s="96">
        <v>977140</v>
      </c>
      <c r="Q127" s="48">
        <f>LS[[#This Row],[Amount]]-LS[[#This Row],[Unit Capital]]</f>
        <v>22860</v>
      </c>
      <c r="R12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10.233948052479686</v>
      </c>
      <c r="S127" s="89">
        <f t="shared" si="1"/>
        <v>14.224</v>
      </c>
      <c r="T12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" s="96" cm="1">
        <f t="array" ref="U127">IF(LS[[#This Row],[B/S]]="S",ABS(LS[[#This Row],[Unit]])*(INDEX(LS[NAV at Cost (Average)],MATCH(CONCATENATE((LS[[#This Row],[Frequency]]-1),LS[[#This Row],[Investor ID]]),LS[Unique Code],0),0)),0)</f>
        <v>0</v>
      </c>
      <c r="V127" s="96">
        <f>IF(LS[[#This Row],[BO TRANSFER]]="YES",LS[[#This Row],[Unit]],)</f>
        <v>0</v>
      </c>
      <c r="W127" s="96">
        <f>SUMIFS(LS[[#Headers],[BO UNIT TRANSFER]]:LS[[#This Row],[BO UNIT TRANSFER]],LS[[#Headers],[Investor ID]]:LS[[#This Row],[Investor ID]],LS[[#This Row],[Investor ID]])</f>
        <v>0</v>
      </c>
    </row>
    <row r="128" spans="1:23">
      <c r="A128" s="75">
        <v>2023</v>
      </c>
      <c r="B128" s="75">
        <v>6</v>
      </c>
      <c r="C128" s="75">
        <v>21</v>
      </c>
      <c r="D128" s="81">
        <f>DATE(LS[[#This Row],[Year]],LS[[#This Row],[Month]],LS[[#This Row],[Day]])</f>
        <v>45098</v>
      </c>
      <c r="E128" t="str" cm="1">
        <f t="array" ref="E128">INDEX(INVESTORS_LIST[INVESTOR NAME],MATCH(LS[[#This Row],[Investor ID]],INVESTORS_LIST[INVESTOR CODE],0),)</f>
        <v>MD. BASHARAT HASAN</v>
      </c>
      <c r="F128" s="83" t="s">
        <v>1042</v>
      </c>
      <c r="G128" s="75">
        <f>COUNTIF(LS[[#Headers],[Investor ID]]:LS[[#This Row],[Investor ID]],LS[[#This Row],[Investor ID]])</f>
        <v>1</v>
      </c>
      <c r="H128" s="75" t="str">
        <f>CONCATENATE(LS[[#This Row],[Frequency]],LS[[#This Row],[Investor ID]])</f>
        <v>1A00498</v>
      </c>
      <c r="I128" s="75" t="str">
        <f>IF(LS[[#This Row],[B/S]]="B","BUY",(IF(LS[[#This Row],[B/S]]="S","SELL"," ")))</f>
        <v>BUY</v>
      </c>
      <c r="J128" s="75" t="s">
        <v>1229</v>
      </c>
      <c r="K128" s="88">
        <v>300000</v>
      </c>
      <c r="L128" s="88"/>
      <c r="M128" s="89">
        <f>LS[[#This Row],[Amount]]/LS[[#This Row],[Unit]]</f>
        <v>10.234017875417889</v>
      </c>
      <c r="N128" s="90">
        <f>LS[[#This Row],[Unit Capital]]/10</f>
        <v>29314</v>
      </c>
      <c r="O128" s="90">
        <f>SUMIFS(LS[[#Headers],[Unit]]:LS[[#This Row],[Unit]],LS[[#Headers],[Investor ID]]:LS[[#This Row],[Investor ID]],LS[[#This Row],[Investor ID]])</f>
        <v>29314</v>
      </c>
      <c r="P128" s="96">
        <v>293140</v>
      </c>
      <c r="Q128" s="48">
        <f>LS[[#This Row],[Amount]]-LS[[#This Row],[Unit Capital]]</f>
        <v>6860</v>
      </c>
      <c r="R12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10.234017875417889</v>
      </c>
      <c r="S128" s="89">
        <f t="shared" si="1"/>
        <v>14.224</v>
      </c>
      <c r="T12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" s="96" cm="1">
        <f t="array" ref="U128">IF(LS[[#This Row],[B/S]]="S",ABS(LS[[#This Row],[Unit]])*(INDEX(LS[NAV at Cost (Average)],MATCH(CONCATENATE((LS[[#This Row],[Frequency]]-1),LS[[#This Row],[Investor ID]]),LS[Unique Code],0),0)),0)</f>
        <v>0</v>
      </c>
      <c r="V128" s="96">
        <f>IF(LS[[#This Row],[BO TRANSFER]]="YES",LS[[#This Row],[Unit]],)</f>
        <v>0</v>
      </c>
      <c r="W128" s="96">
        <f>SUMIFS(LS[[#Headers],[BO UNIT TRANSFER]]:LS[[#This Row],[BO UNIT TRANSFER]],LS[[#Headers],[Investor ID]]:LS[[#This Row],[Investor ID]],LS[[#This Row],[Investor ID]])</f>
        <v>0</v>
      </c>
    </row>
    <row r="129" spans="1:23">
      <c r="A129" s="75">
        <v>2023</v>
      </c>
      <c r="B129" s="75">
        <v>6</v>
      </c>
      <c r="C129" s="75">
        <v>21</v>
      </c>
      <c r="D129" s="81">
        <f>DATE(LS[[#This Row],[Year]],LS[[#This Row],[Month]],LS[[#This Row],[Day]])</f>
        <v>45098</v>
      </c>
      <c r="E129" t="str" cm="1">
        <f t="array" ref="E129">INDEX(INVESTORS_LIST[INVESTOR NAME],MATCH(LS[[#This Row],[Investor ID]],INVESTORS_LIST[INVESTOR CODE],0),)</f>
        <v>FARHANA AKHTER</v>
      </c>
      <c r="F129" s="83" t="s">
        <v>475</v>
      </c>
      <c r="G129" s="75">
        <f>COUNTIF(LS[[#Headers],[Investor ID]]:LS[[#This Row],[Investor ID]],LS[[#This Row],[Investor ID]])</f>
        <v>1</v>
      </c>
      <c r="H129" s="75" t="str">
        <f>CONCATENATE(LS[[#This Row],[Frequency]],LS[[#This Row],[Investor ID]])</f>
        <v>1A00213</v>
      </c>
      <c r="I129" s="75" t="str">
        <f>IF(LS[[#This Row],[B/S]]="B","BUY",(IF(LS[[#This Row],[B/S]]="S","SELL"," ")))</f>
        <v>BUY</v>
      </c>
      <c r="J129" s="75" t="s">
        <v>1229</v>
      </c>
      <c r="K129" s="88">
        <v>190000</v>
      </c>
      <c r="L129" s="88"/>
      <c r="M129" s="89">
        <f>LS[[#This Row],[Amount]]/LS[[#This Row],[Unit]]</f>
        <v>10.233760637724874</v>
      </c>
      <c r="N129" s="90">
        <f>LS[[#This Row],[Unit Capital]]/10</f>
        <v>18566</v>
      </c>
      <c r="O129" s="90">
        <f>SUMIFS(LS[[#Headers],[Unit]]:LS[[#This Row],[Unit]],LS[[#Headers],[Investor ID]]:LS[[#This Row],[Investor ID]],LS[[#This Row],[Investor ID]])</f>
        <v>18566</v>
      </c>
      <c r="P129" s="96">
        <v>185660</v>
      </c>
      <c r="Q129" s="48">
        <f>LS[[#This Row],[Amount]]-LS[[#This Row],[Unit Capital]]</f>
        <v>4340</v>
      </c>
      <c r="R12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10.233760637724874</v>
      </c>
      <c r="S129" s="89">
        <f t="shared" si="1"/>
        <v>14.224</v>
      </c>
      <c r="T12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9" s="96" cm="1">
        <f t="array" ref="U129">IF(LS[[#This Row],[B/S]]="S",ABS(LS[[#This Row],[Unit]])*(INDEX(LS[NAV at Cost (Average)],MATCH(CONCATENATE((LS[[#This Row],[Frequency]]-1),LS[[#This Row],[Investor ID]]),LS[Unique Code],0),0)),0)</f>
        <v>0</v>
      </c>
      <c r="V129" s="96">
        <f>IF(LS[[#This Row],[BO TRANSFER]]="YES",LS[[#This Row],[Unit]],)</f>
        <v>0</v>
      </c>
      <c r="W129" s="96">
        <f>SUMIFS(LS[[#Headers],[BO UNIT TRANSFER]]:LS[[#This Row],[BO UNIT TRANSFER]],LS[[#Headers],[Investor ID]]:LS[[#This Row],[Investor ID]],LS[[#This Row],[Investor ID]])</f>
        <v>0</v>
      </c>
    </row>
    <row r="130" spans="1:23">
      <c r="A130" s="75">
        <v>2023</v>
      </c>
      <c r="B130" s="75">
        <v>6</v>
      </c>
      <c r="C130" s="75">
        <v>22</v>
      </c>
      <c r="D130" s="81">
        <f>DATE(LS[[#This Row],[Year]],LS[[#This Row],[Month]],LS[[#This Row],[Day]])</f>
        <v>45099</v>
      </c>
      <c r="E130" t="str" cm="1">
        <f t="array" ref="E130">INDEX(INVESTORS_LIST[INVESTOR NAME],MATCH(LS[[#This Row],[Investor ID]],INVESTORS_LIST[INVESTOR CODE],0),)</f>
        <v>MAHFUZUL ISLAM</v>
      </c>
      <c r="F130" s="83" t="s">
        <v>473</v>
      </c>
      <c r="G130" s="75">
        <f>COUNTIF(LS[[#Headers],[Investor ID]]:LS[[#This Row],[Investor ID]],LS[[#This Row],[Investor ID]])</f>
        <v>1</v>
      </c>
      <c r="H130" s="75" t="str">
        <f>CONCATENATE(LS[[#This Row],[Frequency]],LS[[#This Row],[Investor ID]])</f>
        <v>1A00212</v>
      </c>
      <c r="I130" s="75" t="str">
        <f>IF(LS[[#This Row],[B/S]]="B","BUY",(IF(LS[[#This Row],[B/S]]="S","SELL"," ")))</f>
        <v>BUY</v>
      </c>
      <c r="J130" s="75" t="s">
        <v>1229</v>
      </c>
      <c r="K130" s="88">
        <v>204680</v>
      </c>
      <c r="L130" s="88"/>
      <c r="M130" s="89">
        <f>LS[[#This Row],[Amount]]/LS[[#This Row],[Unit]]</f>
        <v>10.234</v>
      </c>
      <c r="N130" s="90">
        <f>LS[[#This Row],[Unit Capital]]/10</f>
        <v>20000</v>
      </c>
      <c r="O130" s="90">
        <f>SUMIFS(LS[[#Headers],[Unit]]:LS[[#This Row],[Unit]],LS[[#Headers],[Investor ID]]:LS[[#This Row],[Investor ID]],LS[[#This Row],[Investor ID]])</f>
        <v>20000</v>
      </c>
      <c r="P130" s="96">
        <v>200000</v>
      </c>
      <c r="Q130" s="48">
        <f>LS[[#This Row],[Amount]]-LS[[#This Row],[Unit Capital]]</f>
        <v>4680</v>
      </c>
      <c r="R13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</v>
      </c>
      <c r="S130" s="89">
        <f t="shared" si="1"/>
        <v>14.224</v>
      </c>
      <c r="T13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0" s="96" cm="1">
        <f t="array" ref="U130">IF(LS[[#This Row],[B/S]]="S",ABS(LS[[#This Row],[Unit]])*(INDEX(LS[NAV at Cost (Average)],MATCH(CONCATENATE((LS[[#This Row],[Frequency]]-1),LS[[#This Row],[Investor ID]]),LS[Unique Code],0),0)),0)</f>
        <v>0</v>
      </c>
      <c r="V130" s="96">
        <f>IF(LS[[#This Row],[BO TRANSFER]]="YES",LS[[#This Row],[Unit]],)</f>
        <v>0</v>
      </c>
      <c r="W130" s="96">
        <f>SUMIFS(LS[[#Headers],[BO UNIT TRANSFER]]:LS[[#This Row],[BO UNIT TRANSFER]],LS[[#Headers],[Investor ID]]:LS[[#This Row],[Investor ID]],LS[[#This Row],[Investor ID]])</f>
        <v>0</v>
      </c>
    </row>
    <row r="131" spans="1:23">
      <c r="A131" s="75">
        <v>2023</v>
      </c>
      <c r="B131" s="75">
        <v>6</v>
      </c>
      <c r="C131" s="75">
        <v>22</v>
      </c>
      <c r="D131" s="81">
        <f>DATE(LS[[#This Row],[Year]],LS[[#This Row],[Month]],LS[[#This Row],[Day]])</f>
        <v>45099</v>
      </c>
      <c r="E131" t="str" cm="1">
        <f t="array" ref="E131">INDEX(INVESTORS_LIST[INVESTOR NAME],MATCH(LS[[#This Row],[Investor ID]],INVESTORS_LIST[INVESTOR CODE],0),)</f>
        <v>HUMAIRA TABASSUM READDHE</v>
      </c>
      <c r="F131" s="83" t="s">
        <v>1052</v>
      </c>
      <c r="G131" s="75">
        <f>COUNTIF(LS[[#Headers],[Investor ID]]:LS[[#This Row],[Investor ID]],LS[[#This Row],[Investor ID]])</f>
        <v>1</v>
      </c>
      <c r="H131" s="75" t="str">
        <f>CONCATENATE(LS[[#This Row],[Frequency]],LS[[#This Row],[Investor ID]])</f>
        <v>1A00503</v>
      </c>
      <c r="I131" s="75" t="str">
        <f>IF(LS[[#This Row],[B/S]]="B","BUY",(IF(LS[[#This Row],[B/S]]="S","SELL"," ")))</f>
        <v>BUY</v>
      </c>
      <c r="J131" s="75" t="s">
        <v>1229</v>
      </c>
      <c r="K131" s="88">
        <v>95320</v>
      </c>
      <c r="L131" s="88"/>
      <c r="M131" s="89">
        <f>LS[[#This Row],[Amount]]/LS[[#This Row],[Unit]]</f>
        <v>10.23405625939446</v>
      </c>
      <c r="N131" s="90">
        <f>LS[[#This Row],[Unit Capital]]/10</f>
        <v>9314</v>
      </c>
      <c r="O131" s="90">
        <f>SUMIFS(LS[[#Headers],[Unit]]:LS[[#This Row],[Unit]],LS[[#Headers],[Investor ID]]:LS[[#This Row],[Investor ID]],LS[[#This Row],[Investor ID]])</f>
        <v>9314</v>
      </c>
      <c r="P131" s="96">
        <v>93140</v>
      </c>
      <c r="Q131" s="48">
        <f>LS[[#This Row],[Amount]]-LS[[#This Row],[Unit Capital]]</f>
        <v>2180</v>
      </c>
      <c r="R13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10.23405625939446</v>
      </c>
      <c r="S131" s="89">
        <f t="shared" ref="S131:S194" si="2">IFERROR(NAV_MKT,0)</f>
        <v>14.224</v>
      </c>
      <c r="T13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1" s="96" cm="1">
        <f t="array" ref="U131">IF(LS[[#This Row],[B/S]]="S",ABS(LS[[#This Row],[Unit]])*(INDEX(LS[NAV at Cost (Average)],MATCH(CONCATENATE((LS[[#This Row],[Frequency]]-1),LS[[#This Row],[Investor ID]]),LS[Unique Code],0),0)),0)</f>
        <v>0</v>
      </c>
      <c r="V131" s="96">
        <f>IF(LS[[#This Row],[BO TRANSFER]]="YES",LS[[#This Row],[Unit]],)</f>
        <v>0</v>
      </c>
      <c r="W131" s="96">
        <f>SUMIFS(LS[[#Headers],[BO UNIT TRANSFER]]:LS[[#This Row],[BO UNIT TRANSFER]],LS[[#Headers],[Investor ID]]:LS[[#This Row],[Investor ID]],LS[[#This Row],[Investor ID]])</f>
        <v>0</v>
      </c>
    </row>
    <row r="132" spans="1:23">
      <c r="A132" s="75">
        <v>2023</v>
      </c>
      <c r="B132" s="75">
        <v>6</v>
      </c>
      <c r="C132" s="75">
        <v>22</v>
      </c>
      <c r="D132" s="81">
        <f>DATE(LS[[#This Row],[Year]],LS[[#This Row],[Month]],LS[[#This Row],[Day]])</f>
        <v>45099</v>
      </c>
      <c r="E132" t="str" cm="1">
        <f t="array" ref="E132">INDEX(INVESTORS_LIST[INVESTOR NAME],MATCH(LS[[#This Row],[Investor ID]],INVESTORS_LIST[INVESTOR CODE],0),)</f>
        <v>NADIRA AKTER</v>
      </c>
      <c r="F132" s="83" t="s">
        <v>589</v>
      </c>
      <c r="G132" s="75">
        <f>COUNTIF(LS[[#Headers],[Investor ID]]:LS[[#This Row],[Investor ID]],LS[[#This Row],[Investor ID]])</f>
        <v>1</v>
      </c>
      <c r="H132" s="75" t="str">
        <f>CONCATENATE(LS[[#This Row],[Frequency]],LS[[#This Row],[Investor ID]])</f>
        <v>1A00270</v>
      </c>
      <c r="I132" s="75" t="str">
        <f>IF(LS[[#This Row],[B/S]]="B","BUY",(IF(LS[[#This Row],[B/S]]="S","SELL"," ")))</f>
        <v>BUY</v>
      </c>
      <c r="J132" s="75" t="s">
        <v>1229</v>
      </c>
      <c r="K132" s="88">
        <v>500000</v>
      </c>
      <c r="L132" s="88"/>
      <c r="M132" s="89">
        <f>LS[[#This Row],[Amount]]/LS[[#This Row],[Unit]]</f>
        <v>10.233948052479686</v>
      </c>
      <c r="N132" s="90">
        <f>LS[[#This Row],[Unit Capital]]/10</f>
        <v>48857</v>
      </c>
      <c r="O132" s="90">
        <f>SUMIFS(LS[[#Headers],[Unit]]:LS[[#This Row],[Unit]],LS[[#Headers],[Investor ID]]:LS[[#This Row],[Investor ID]],LS[[#This Row],[Investor ID]])</f>
        <v>48857</v>
      </c>
      <c r="P132" s="96">
        <v>488570</v>
      </c>
      <c r="Q132" s="48">
        <f>LS[[#This Row],[Amount]]-LS[[#This Row],[Unit Capital]]</f>
        <v>11430</v>
      </c>
      <c r="R13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10.233948052479686</v>
      </c>
      <c r="S132" s="89">
        <f t="shared" si="2"/>
        <v>14.224</v>
      </c>
      <c r="T13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2" s="96" cm="1">
        <f t="array" ref="U132">IF(LS[[#This Row],[B/S]]="S",ABS(LS[[#This Row],[Unit]])*(INDEX(LS[NAV at Cost (Average)],MATCH(CONCATENATE((LS[[#This Row],[Frequency]]-1),LS[[#This Row],[Investor ID]]),LS[Unique Code],0),0)),0)</f>
        <v>0</v>
      </c>
      <c r="V132" s="96">
        <f>IF(LS[[#This Row],[BO TRANSFER]]="YES",LS[[#This Row],[Unit]],)</f>
        <v>0</v>
      </c>
      <c r="W132" s="96">
        <f>SUMIFS(LS[[#Headers],[BO UNIT TRANSFER]]:LS[[#This Row],[BO UNIT TRANSFER]],LS[[#Headers],[Investor ID]]:LS[[#This Row],[Investor ID]],LS[[#This Row],[Investor ID]])</f>
        <v>0</v>
      </c>
    </row>
    <row r="133" spans="1:23">
      <c r="A133" s="75">
        <v>2023</v>
      </c>
      <c r="B133" s="75">
        <v>6</v>
      </c>
      <c r="C133" s="75">
        <v>22</v>
      </c>
      <c r="D133" s="81">
        <f>DATE(LS[[#This Row],[Year]],LS[[#This Row],[Month]],LS[[#This Row],[Day]])</f>
        <v>45099</v>
      </c>
      <c r="E133" t="str" cm="1">
        <f t="array" ref="E133">INDEX(INVESTORS_LIST[INVESTOR NAME],MATCH(LS[[#This Row],[Investor ID]],INVESTORS_LIST[INVESTOR CODE],0),)</f>
        <v>IMTIAJ ARA</v>
      </c>
      <c r="F133" s="83" t="s">
        <v>587</v>
      </c>
      <c r="G133" s="75">
        <f>COUNTIF(LS[[#Headers],[Investor ID]]:LS[[#This Row],[Investor ID]],LS[[#This Row],[Investor ID]])</f>
        <v>1</v>
      </c>
      <c r="H133" s="75" t="str">
        <f>CONCATENATE(LS[[#This Row],[Frequency]],LS[[#This Row],[Investor ID]])</f>
        <v>1A00269</v>
      </c>
      <c r="I133" s="75" t="str">
        <f>IF(LS[[#This Row],[B/S]]="B","BUY",(IF(LS[[#This Row],[B/S]]="S","SELL"," ")))</f>
        <v>BUY</v>
      </c>
      <c r="J133" s="75" t="s">
        <v>1229</v>
      </c>
      <c r="K133" s="88">
        <v>300000</v>
      </c>
      <c r="L133" s="88"/>
      <c r="M133" s="89">
        <f>LS[[#This Row],[Amount]]/LS[[#This Row],[Unit]]</f>
        <v>10.234017875417889</v>
      </c>
      <c r="N133" s="90">
        <f>LS[[#This Row],[Unit Capital]]/10</f>
        <v>29314</v>
      </c>
      <c r="O133" s="90">
        <f>SUMIFS(LS[[#Headers],[Unit]]:LS[[#This Row],[Unit]],LS[[#Headers],[Investor ID]]:LS[[#This Row],[Investor ID]],LS[[#This Row],[Investor ID]])</f>
        <v>29314</v>
      </c>
      <c r="P133" s="96">
        <v>293140</v>
      </c>
      <c r="Q133" s="48">
        <f>LS[[#This Row],[Amount]]-LS[[#This Row],[Unit Capital]]</f>
        <v>6860</v>
      </c>
      <c r="R13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10.234017875417889</v>
      </c>
      <c r="S133" s="89">
        <f t="shared" si="2"/>
        <v>14.224</v>
      </c>
      <c r="T13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3" s="96" cm="1">
        <f t="array" ref="U133">IF(LS[[#This Row],[B/S]]="S",ABS(LS[[#This Row],[Unit]])*(INDEX(LS[NAV at Cost (Average)],MATCH(CONCATENATE((LS[[#This Row],[Frequency]]-1),LS[[#This Row],[Investor ID]]),LS[Unique Code],0),0)),0)</f>
        <v>0</v>
      </c>
      <c r="V133" s="96">
        <f>IF(LS[[#This Row],[BO TRANSFER]]="YES",LS[[#This Row],[Unit]],)</f>
        <v>0</v>
      </c>
      <c r="W133" s="96">
        <f>SUMIFS(LS[[#Headers],[BO UNIT TRANSFER]]:LS[[#This Row],[BO UNIT TRANSFER]],LS[[#Headers],[Investor ID]]:LS[[#This Row],[Investor ID]],LS[[#This Row],[Investor ID]])</f>
        <v>0</v>
      </c>
    </row>
    <row r="134" spans="1:23">
      <c r="A134" s="75">
        <v>2023</v>
      </c>
      <c r="B134" s="75">
        <v>6</v>
      </c>
      <c r="C134" s="75">
        <v>22</v>
      </c>
      <c r="D134" s="81">
        <f>DATE(LS[[#This Row],[Year]],LS[[#This Row],[Month]],LS[[#This Row],[Day]])</f>
        <v>45099</v>
      </c>
      <c r="E134" t="str" cm="1">
        <f t="array" ref="E134">INDEX(INVESTORS_LIST[INVESTOR NAME],MATCH(LS[[#This Row],[Investor ID]],INVESTORS_LIST[INVESTOR CODE],0),)</f>
        <v>HABIB REDWAN RAFI</v>
      </c>
      <c r="F134" s="83" t="s">
        <v>583</v>
      </c>
      <c r="G134" s="75">
        <f>COUNTIF(LS[[#Headers],[Investor ID]]:LS[[#This Row],[Investor ID]],LS[[#This Row],[Investor ID]])</f>
        <v>1</v>
      </c>
      <c r="H134" s="75" t="str">
        <f>CONCATENATE(LS[[#This Row],[Frequency]],LS[[#This Row],[Investor ID]])</f>
        <v>1A00267</v>
      </c>
      <c r="I134" s="75" t="str">
        <f>IF(LS[[#This Row],[B/S]]="B","BUY",(IF(LS[[#This Row],[B/S]]="S","SELL"," ")))</f>
        <v>BUY</v>
      </c>
      <c r="J134" s="75" t="s">
        <v>1229</v>
      </c>
      <c r="K134" s="88">
        <v>250000</v>
      </c>
      <c r="L134" s="88"/>
      <c r="M134" s="89">
        <f>LS[[#This Row],[Amount]]/LS[[#This Row],[Unit]]</f>
        <v>10.234157524152613</v>
      </c>
      <c r="N134" s="90">
        <f>LS[[#This Row],[Unit Capital]]/10</f>
        <v>24428</v>
      </c>
      <c r="O134" s="90">
        <f>SUMIFS(LS[[#Headers],[Unit]]:LS[[#This Row],[Unit]],LS[[#Headers],[Investor ID]]:LS[[#This Row],[Investor ID]],LS[[#This Row],[Investor ID]])</f>
        <v>24428</v>
      </c>
      <c r="P134" s="96">
        <v>244280</v>
      </c>
      <c r="Q134" s="48">
        <f>LS[[#This Row],[Amount]]-LS[[#This Row],[Unit Capital]]</f>
        <v>5720</v>
      </c>
      <c r="R13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10.234157524152613</v>
      </c>
      <c r="S134" s="89">
        <f t="shared" si="2"/>
        <v>14.224</v>
      </c>
      <c r="T13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4" s="96" cm="1">
        <f t="array" ref="U134">IF(LS[[#This Row],[B/S]]="S",ABS(LS[[#This Row],[Unit]])*(INDEX(LS[NAV at Cost (Average)],MATCH(CONCATENATE((LS[[#This Row],[Frequency]]-1),LS[[#This Row],[Investor ID]]),LS[Unique Code],0),0)),0)</f>
        <v>0</v>
      </c>
      <c r="V134" s="96">
        <f>IF(LS[[#This Row],[BO TRANSFER]]="YES",LS[[#This Row],[Unit]],)</f>
        <v>0</v>
      </c>
      <c r="W134" s="96">
        <f>SUMIFS(LS[[#Headers],[BO UNIT TRANSFER]]:LS[[#This Row],[BO UNIT TRANSFER]],LS[[#Headers],[Investor ID]]:LS[[#This Row],[Investor ID]],LS[[#This Row],[Investor ID]])</f>
        <v>0</v>
      </c>
    </row>
    <row r="135" spans="1:23">
      <c r="A135" s="75">
        <v>2023</v>
      </c>
      <c r="B135" s="75">
        <v>6</v>
      </c>
      <c r="C135" s="75">
        <v>24</v>
      </c>
      <c r="D135" s="81">
        <f>DATE(LS[[#This Row],[Year]],LS[[#This Row],[Month]],LS[[#This Row],[Day]])</f>
        <v>45101</v>
      </c>
      <c r="E135" t="str" cm="1">
        <f t="array" ref="E135">INDEX(INVESTORS_LIST[INVESTOR NAME],MATCH(LS[[#This Row],[Investor ID]],INVESTORS_LIST[INVESTOR CODE],0),)</f>
        <v>SAIFUL ISLAM</v>
      </c>
      <c r="F135" s="83" t="s">
        <v>1048</v>
      </c>
      <c r="G135" s="75">
        <f>COUNTIF(LS[[#Headers],[Investor ID]]:LS[[#This Row],[Investor ID]],LS[[#This Row],[Investor ID]])</f>
        <v>1</v>
      </c>
      <c r="H135" s="75" t="str">
        <f>CONCATENATE(LS[[#This Row],[Frequency]],LS[[#This Row],[Investor ID]])</f>
        <v>1A00501</v>
      </c>
      <c r="I135" s="75" t="str">
        <f>IF(LS[[#This Row],[B/S]]="B","BUY",(IF(LS[[#This Row],[B/S]]="S","SELL"," ")))</f>
        <v>BUY</v>
      </c>
      <c r="J135" s="75" t="s">
        <v>1229</v>
      </c>
      <c r="K135" s="88">
        <v>100000</v>
      </c>
      <c r="L135" s="88"/>
      <c r="M135" s="89">
        <f>LS[[#This Row],[Amount]]/LS[[#This Row],[Unit]]</f>
        <v>10.25430680885972</v>
      </c>
      <c r="N135" s="90">
        <f>LS[[#This Row],[Unit Capital]]/10</f>
        <v>9752</v>
      </c>
      <c r="O135" s="90">
        <f>SUMIFS(LS[[#Headers],[Unit]]:LS[[#This Row],[Unit]],LS[[#Headers],[Investor ID]]:LS[[#This Row],[Investor ID]],LS[[#This Row],[Investor ID]])</f>
        <v>9752</v>
      </c>
      <c r="P135" s="96">
        <v>97520</v>
      </c>
      <c r="Q135" s="48">
        <f>LS[[#This Row],[Amount]]-LS[[#This Row],[Unit Capital]]</f>
        <v>2480</v>
      </c>
      <c r="R13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35" s="89">
        <f t="shared" si="2"/>
        <v>14.224</v>
      </c>
      <c r="T13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5" s="96" cm="1">
        <f t="array" ref="U135">IF(LS[[#This Row],[B/S]]="S",ABS(LS[[#This Row],[Unit]])*(INDEX(LS[NAV at Cost (Average)],MATCH(CONCATENATE((LS[[#This Row],[Frequency]]-1),LS[[#This Row],[Investor ID]]),LS[Unique Code],0),0)),0)</f>
        <v>0</v>
      </c>
      <c r="V135" s="96">
        <f>IF(LS[[#This Row],[BO TRANSFER]]="YES",LS[[#This Row],[Unit]],)</f>
        <v>0</v>
      </c>
      <c r="W135" s="96">
        <f>SUMIFS(LS[[#Headers],[BO UNIT TRANSFER]]:LS[[#This Row],[BO UNIT TRANSFER]],LS[[#Headers],[Investor ID]]:LS[[#This Row],[Investor ID]],LS[[#This Row],[Investor ID]])</f>
        <v>0</v>
      </c>
    </row>
    <row r="136" spans="1:23">
      <c r="A136" s="75">
        <v>2023</v>
      </c>
      <c r="B136" s="75">
        <v>6</v>
      </c>
      <c r="C136" s="75">
        <v>24</v>
      </c>
      <c r="D136" s="81">
        <f>DATE(LS[[#This Row],[Year]],LS[[#This Row],[Month]],LS[[#This Row],[Day]])</f>
        <v>45101</v>
      </c>
      <c r="E136" t="str" cm="1">
        <f t="array" ref="E136">INDEX(INVESTORS_LIST[INVESTOR NAME],MATCH(LS[[#This Row],[Investor ID]],INVESTORS_LIST[INVESTOR CODE],0),)</f>
        <v>SAIFUL ISLAM</v>
      </c>
      <c r="F136" s="83" t="s">
        <v>1048</v>
      </c>
      <c r="G136" s="75">
        <f>COUNTIF(LS[[#Headers],[Investor ID]]:LS[[#This Row],[Investor ID]],LS[[#This Row],[Investor ID]])</f>
        <v>2</v>
      </c>
      <c r="H136" s="75" t="str">
        <f>CONCATENATE(LS[[#This Row],[Frequency]],LS[[#This Row],[Investor ID]])</f>
        <v>2A00501</v>
      </c>
      <c r="I136" s="75" t="str">
        <f>IF(LS[[#This Row],[B/S]]="B","BUY",(IF(LS[[#This Row],[B/S]]="S","SELL"," ")))</f>
        <v>BUY</v>
      </c>
      <c r="J136" s="75" t="s">
        <v>1229</v>
      </c>
      <c r="K136" s="88">
        <v>150000</v>
      </c>
      <c r="L136" s="88"/>
      <c r="M136" s="89">
        <f>LS[[#This Row],[Amount]]/LS[[#This Row],[Unit]]</f>
        <v>10.25430680885972</v>
      </c>
      <c r="N136" s="90">
        <f>LS[[#This Row],[Unit Capital]]/10</f>
        <v>14628</v>
      </c>
      <c r="O136" s="90">
        <f>SUMIFS(LS[[#Headers],[Unit]]:LS[[#This Row],[Unit]],LS[[#Headers],[Investor ID]]:LS[[#This Row],[Investor ID]],LS[[#This Row],[Investor ID]])</f>
        <v>24380</v>
      </c>
      <c r="P136" s="96">
        <v>146280</v>
      </c>
      <c r="Q136" s="48">
        <f>LS[[#This Row],[Amount]]-LS[[#This Row],[Unit Capital]]</f>
        <v>3720</v>
      </c>
      <c r="R13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36" s="89">
        <f t="shared" si="2"/>
        <v>14.224</v>
      </c>
      <c r="T13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6" s="96" cm="1">
        <f t="array" ref="U136">IF(LS[[#This Row],[B/S]]="S",ABS(LS[[#This Row],[Unit]])*(INDEX(LS[NAV at Cost (Average)],MATCH(CONCATENATE((LS[[#This Row],[Frequency]]-1),LS[[#This Row],[Investor ID]]),LS[Unique Code],0),0)),0)</f>
        <v>0</v>
      </c>
      <c r="V136" s="96">
        <f>IF(LS[[#This Row],[BO TRANSFER]]="YES",LS[[#This Row],[Unit]],)</f>
        <v>0</v>
      </c>
      <c r="W136" s="96">
        <f>SUMIFS(LS[[#Headers],[BO UNIT TRANSFER]]:LS[[#This Row],[BO UNIT TRANSFER]],LS[[#Headers],[Investor ID]]:LS[[#This Row],[Investor ID]],LS[[#This Row],[Investor ID]])</f>
        <v>0</v>
      </c>
    </row>
    <row r="137" spans="1:23">
      <c r="A137" s="75">
        <v>2023</v>
      </c>
      <c r="B137" s="75">
        <v>6</v>
      </c>
      <c r="C137" s="75">
        <v>25</v>
      </c>
      <c r="D137" s="81">
        <f>DATE(LS[[#This Row],[Year]],LS[[#This Row],[Month]],LS[[#This Row],[Day]])</f>
        <v>45102</v>
      </c>
      <c r="E137" t="str" cm="1">
        <f t="array" ref="E137">INDEX(INVESTORS_LIST[INVESTOR NAME],MATCH(LS[[#This Row],[Investor ID]],INVESTORS_LIST[INVESTOR CODE],0),)</f>
        <v>HAFIZA AFRIN TONNY</v>
      </c>
      <c r="F137" s="83" t="s">
        <v>766</v>
      </c>
      <c r="G137" s="75">
        <f>COUNTIF(LS[[#Headers],[Investor ID]]:LS[[#This Row],[Investor ID]],LS[[#This Row],[Investor ID]])</f>
        <v>5</v>
      </c>
      <c r="H137" s="75" t="str">
        <f>CONCATENATE(LS[[#This Row],[Frequency]],LS[[#This Row],[Investor ID]])</f>
        <v>5A00359</v>
      </c>
      <c r="I137" s="75" t="str">
        <f>IF(LS[[#This Row],[B/S]]="B","BUY",(IF(LS[[#This Row],[B/S]]="S","SELL"," ")))</f>
        <v>BUY</v>
      </c>
      <c r="J137" s="75" t="s">
        <v>1229</v>
      </c>
      <c r="K137" s="88">
        <v>30000</v>
      </c>
      <c r="L137" s="85"/>
      <c r="M137" s="86">
        <f>LS[[#This Row],[Amount]]/LS[[#This Row],[Unit]]</f>
        <v>10.252904989747096</v>
      </c>
      <c r="N137" s="87">
        <f>LS[[#This Row],[Unit Capital]]/10</f>
        <v>2926</v>
      </c>
      <c r="O137" s="87">
        <f>SUMIFS(LS[[#Headers],[Unit]]:LS[[#This Row],[Unit]],LS[[#Headers],[Investor ID]]:LS[[#This Row],[Investor ID]],LS[[#This Row],[Investor ID]])</f>
        <v>9769</v>
      </c>
      <c r="P137" s="96">
        <v>29260</v>
      </c>
      <c r="Q137" s="48">
        <f>LS[[#This Row],[Amount]]-LS[[#This Row],[Unit Capital]]</f>
        <v>740</v>
      </c>
      <c r="R137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10.236462278636502</v>
      </c>
      <c r="S137" s="86">
        <f t="shared" si="2"/>
        <v>14.224</v>
      </c>
      <c r="T137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" s="95" cm="1">
        <f t="array" ref="U137">IF(LS[[#This Row],[B/S]]="S",ABS(LS[[#This Row],[Unit]])*(INDEX(LS[NAV at Cost (Average)],MATCH(CONCATENATE((LS[[#This Row],[Frequency]]-1),LS[[#This Row],[Investor ID]]),LS[Unique Code],0),0)),0)</f>
        <v>0</v>
      </c>
      <c r="V137" s="95">
        <f>IF(LS[[#This Row],[BO TRANSFER]]="YES",LS[[#This Row],[Unit]],)</f>
        <v>0</v>
      </c>
      <c r="W137" s="95">
        <f>SUMIFS(LS[[#Headers],[BO UNIT TRANSFER]]:LS[[#This Row],[BO UNIT TRANSFER]],LS[[#Headers],[Investor ID]]:LS[[#This Row],[Investor ID]],LS[[#This Row],[Investor ID]])</f>
        <v>0</v>
      </c>
    </row>
    <row r="138" spans="1:23">
      <c r="A138" s="75">
        <v>2023</v>
      </c>
      <c r="B138" s="75">
        <v>6</v>
      </c>
      <c r="C138" s="75">
        <v>25</v>
      </c>
      <c r="D138" s="81">
        <f>DATE(LS[[#This Row],[Year]],LS[[#This Row],[Month]],LS[[#This Row],[Day]])</f>
        <v>45102</v>
      </c>
      <c r="E138" t="str" cm="1">
        <f t="array" ref="E138">INDEX(INVESTORS_LIST[INVESTOR NAME],MATCH(LS[[#This Row],[Investor ID]],INVESTORS_LIST[INVESTOR CODE],0),)</f>
        <v>MUHAMMAD SHOHIDUZZAMAN</v>
      </c>
      <c r="F138" s="83" t="s">
        <v>986</v>
      </c>
      <c r="G138" s="75">
        <f>COUNTIF(LS[[#Headers],[Investor ID]]:LS[[#This Row],[Investor ID]],LS[[#This Row],[Investor ID]])</f>
        <v>2</v>
      </c>
      <c r="H138" s="75" t="str">
        <f>CONCATENATE(LS[[#This Row],[Frequency]],LS[[#This Row],[Investor ID]])</f>
        <v>2A00470</v>
      </c>
      <c r="I138" s="75" t="str">
        <f>IF(LS[[#This Row],[B/S]]="B","BUY",(IF(LS[[#This Row],[B/S]]="S","SELL"," ")))</f>
        <v>SELL</v>
      </c>
      <c r="J138" s="75" t="s">
        <v>1231</v>
      </c>
      <c r="K138" s="88">
        <v>-1800000</v>
      </c>
      <c r="L138" s="99" t="s">
        <v>1230</v>
      </c>
      <c r="M138" s="89">
        <f>LS[[#This Row],[Amount]]/LS[[#This Row],[Unit]]</f>
        <v>10.254014731601165</v>
      </c>
      <c r="N138" s="90">
        <f>LS[[#This Row],[Unit Capital]]/10</f>
        <v>-175541</v>
      </c>
      <c r="O138" s="90">
        <f>SUMIFS(LS[[#Headers],[Unit]]:LS[[#This Row],[Unit]],LS[[#Headers],[Investor ID]]:LS[[#This Row],[Investor ID]],LS[[#This Row],[Investor ID]])</f>
        <v>71714</v>
      </c>
      <c r="P138" s="96">
        <v>-1755410</v>
      </c>
      <c r="Q138" s="48">
        <f>LS[[#This Row],[Amount]]-LS[[#This Row],[Unit Capital]]</f>
        <v>-44590</v>
      </c>
      <c r="R13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10.11101898849366</v>
      </c>
      <c r="S138" s="89">
        <f t="shared" si="2"/>
        <v>14.224</v>
      </c>
      <c r="T138" s="96">
        <f>IF(LS[[#This Row],[B/S]]="B",0,ABS(LS[[#This Row],[Unit]])*(LS[[#This Row],[NAV (Strike Rate)]]-INDEX(LS[NAV at Cost (Average)],MATCH(CONCATENATE(LS[[#This Row],[Frequency]]-1,LS[[#This Row],[Investor ID]]),LS[Unique Code],0),)))</f>
        <v>25101.615740834586</v>
      </c>
      <c r="U138" s="96" cm="1">
        <f t="array" ref="U138">IF(LS[[#This Row],[B/S]]="S",ABS(LS[[#This Row],[Unit]])*(INDEX(LS[NAV at Cost (Average)],MATCH(CONCATENATE((LS[[#This Row],[Frequency]]-1),LS[[#This Row],[Investor ID]]),LS[Unique Code],0),0)),0)</f>
        <v>1774898.3842591655</v>
      </c>
      <c r="V138" s="96">
        <f>IF(LS[[#This Row],[BO TRANSFER]]="YES",LS[[#This Row],[Unit]],)</f>
        <v>-175541</v>
      </c>
      <c r="W138" s="96">
        <f>SUMIFS(LS[[#Headers],[BO UNIT TRANSFER]]:LS[[#This Row],[BO UNIT TRANSFER]],LS[[#Headers],[Investor ID]]:LS[[#This Row],[Investor ID]],LS[[#This Row],[Investor ID]])</f>
        <v>71714</v>
      </c>
    </row>
    <row r="139" spans="1:23">
      <c r="A139" s="75">
        <v>2023</v>
      </c>
      <c r="B139" s="75">
        <v>6</v>
      </c>
      <c r="C139" s="75">
        <v>25</v>
      </c>
      <c r="D139" s="81">
        <f>DATE(LS[[#This Row],[Year]],LS[[#This Row],[Month]],LS[[#This Row],[Day]])</f>
        <v>45102</v>
      </c>
      <c r="E139" t="str" cm="1">
        <f t="array" ref="E139">INDEX(INVESTORS_LIST[INVESTOR NAME],MATCH(LS[[#This Row],[Investor ID]],INVESTORS_LIST[INVESTOR CODE],0),)</f>
        <v>MD. NIZAM UDDIN</v>
      </c>
      <c r="F139" s="83" t="s">
        <v>815</v>
      </c>
      <c r="G139" s="75">
        <f>COUNTIF(LS[[#Headers],[Investor ID]]:LS[[#This Row],[Investor ID]],LS[[#This Row],[Investor ID]])</f>
        <v>1</v>
      </c>
      <c r="H139" s="75" t="str">
        <f>CONCATENATE(LS[[#This Row],[Frequency]],LS[[#This Row],[Investor ID]])</f>
        <v>1A00384</v>
      </c>
      <c r="I139" s="75" t="str">
        <f>IF(LS[[#This Row],[B/S]]="B","BUY",(IF(LS[[#This Row],[B/S]]="S","SELL"," ")))</f>
        <v>BUY</v>
      </c>
      <c r="J139" s="75" t="s">
        <v>1229</v>
      </c>
      <c r="K139" s="88">
        <v>160000</v>
      </c>
      <c r="L139" s="88"/>
      <c r="M139" s="89">
        <f>LS[[#This Row],[Amount]]/LS[[#This Row],[Unit]]</f>
        <v>10.253781081773905</v>
      </c>
      <c r="N139" s="90">
        <f>LS[[#This Row],[Unit Capital]]/10</f>
        <v>15604</v>
      </c>
      <c r="O139" s="90">
        <f>SUMIFS(LS[[#Headers],[Unit]]:LS[[#This Row],[Unit]],LS[[#Headers],[Investor ID]]:LS[[#This Row],[Investor ID]],LS[[#This Row],[Investor ID]])</f>
        <v>15604</v>
      </c>
      <c r="P139" s="96">
        <v>156040</v>
      </c>
      <c r="Q139" s="48">
        <f>LS[[#This Row],[Amount]]-LS[[#This Row],[Unit Capital]]</f>
        <v>3960</v>
      </c>
      <c r="R13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10.253781081773905</v>
      </c>
      <c r="S139" s="89">
        <f t="shared" si="2"/>
        <v>14.224</v>
      </c>
      <c r="T13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" s="96" cm="1">
        <f t="array" ref="U139">IF(LS[[#This Row],[B/S]]="S",ABS(LS[[#This Row],[Unit]])*(INDEX(LS[NAV at Cost (Average)],MATCH(CONCATENATE((LS[[#This Row],[Frequency]]-1),LS[[#This Row],[Investor ID]]),LS[Unique Code],0),0)),0)</f>
        <v>0</v>
      </c>
      <c r="V139" s="96">
        <f>IF(LS[[#This Row],[BO TRANSFER]]="YES",LS[[#This Row],[Unit]],)</f>
        <v>0</v>
      </c>
      <c r="W139" s="96">
        <f>SUMIFS(LS[[#Headers],[BO UNIT TRANSFER]]:LS[[#This Row],[BO UNIT TRANSFER]],LS[[#Headers],[Investor ID]]:LS[[#This Row],[Investor ID]],LS[[#This Row],[Investor ID]])</f>
        <v>0</v>
      </c>
    </row>
    <row r="140" spans="1:23">
      <c r="A140" s="75">
        <v>2023</v>
      </c>
      <c r="B140" s="75">
        <v>6</v>
      </c>
      <c r="C140" s="75">
        <v>25</v>
      </c>
      <c r="D140" s="81">
        <f>DATE(LS[[#This Row],[Year]],LS[[#This Row],[Month]],LS[[#This Row],[Day]])</f>
        <v>45102</v>
      </c>
      <c r="E140" t="str" cm="1">
        <f t="array" ref="E140">INDEX(INVESTORS_LIST[INVESTOR NAME],MATCH(LS[[#This Row],[Investor ID]],INVESTORS_LIST[INVESTOR CODE],0),)</f>
        <v>NUR ELAHEE MOLLA</v>
      </c>
      <c r="F140" s="83" t="s">
        <v>628</v>
      </c>
      <c r="G140" s="75">
        <f>COUNTIF(LS[[#Headers],[Investor ID]]:LS[[#This Row],[Investor ID]],LS[[#This Row],[Investor ID]])</f>
        <v>1</v>
      </c>
      <c r="H140" s="75" t="str">
        <f>CONCATENATE(LS[[#This Row],[Frequency]],LS[[#This Row],[Investor ID]])</f>
        <v>1A00290</v>
      </c>
      <c r="I140" s="75" t="str">
        <f>IF(LS[[#This Row],[B/S]]="B","BUY",(IF(LS[[#This Row],[B/S]]="S","SELL"," ")))</f>
        <v>BUY</v>
      </c>
      <c r="J140" s="75" t="s">
        <v>1229</v>
      </c>
      <c r="K140" s="88">
        <v>200000</v>
      </c>
      <c r="L140" s="88"/>
      <c r="M140" s="89">
        <f>LS[[#This Row],[Amount]]/LS[[#This Row],[Unit]]</f>
        <v>10.253781081773905</v>
      </c>
      <c r="N140" s="90">
        <f>LS[[#This Row],[Unit Capital]]/10</f>
        <v>19505</v>
      </c>
      <c r="O140" s="90">
        <f>SUMIFS(LS[[#Headers],[Unit]]:LS[[#This Row],[Unit]],LS[[#Headers],[Investor ID]]:LS[[#This Row],[Investor ID]],LS[[#This Row],[Investor ID]])</f>
        <v>19505</v>
      </c>
      <c r="P140" s="96">
        <v>195050</v>
      </c>
      <c r="Q140" s="48">
        <f>LS[[#This Row],[Amount]]-LS[[#This Row],[Unit Capital]]</f>
        <v>4950</v>
      </c>
      <c r="R14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10.253781081773905</v>
      </c>
      <c r="S140" s="89">
        <f t="shared" si="2"/>
        <v>14.224</v>
      </c>
      <c r="T14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0" s="96" cm="1">
        <f t="array" ref="U140">IF(LS[[#This Row],[B/S]]="S",ABS(LS[[#This Row],[Unit]])*(INDEX(LS[NAV at Cost (Average)],MATCH(CONCATENATE((LS[[#This Row],[Frequency]]-1),LS[[#This Row],[Investor ID]]),LS[Unique Code],0),0)),0)</f>
        <v>0</v>
      </c>
      <c r="V140" s="96">
        <f>IF(LS[[#This Row],[BO TRANSFER]]="YES",LS[[#This Row],[Unit]],)</f>
        <v>0</v>
      </c>
      <c r="W140" s="96">
        <f>SUMIFS(LS[[#Headers],[BO UNIT TRANSFER]]:LS[[#This Row],[BO UNIT TRANSFER]],LS[[#Headers],[Investor ID]]:LS[[#This Row],[Investor ID]],LS[[#This Row],[Investor ID]])</f>
        <v>0</v>
      </c>
    </row>
    <row r="141" spans="1:23">
      <c r="A141" s="75">
        <v>2023</v>
      </c>
      <c r="B141" s="75">
        <v>6</v>
      </c>
      <c r="C141" s="75">
        <v>25</v>
      </c>
      <c r="D141" s="81">
        <f>DATE(LS[[#This Row],[Year]],LS[[#This Row],[Month]],LS[[#This Row],[Day]])</f>
        <v>45102</v>
      </c>
      <c r="E141" t="str" cm="1">
        <f t="array" ref="E141">INDEX(INVESTORS_LIST[INVESTOR NAME],MATCH(LS[[#This Row],[Investor ID]],INVESTORS_LIST[INVESTOR CODE],0),)</f>
        <v>FARHANA AKHTER</v>
      </c>
      <c r="F141" s="83" t="s">
        <v>475</v>
      </c>
      <c r="G141" s="75">
        <f>COUNTIF(LS[[#Headers],[Investor ID]]:LS[[#This Row],[Investor ID]],LS[[#This Row],[Investor ID]])</f>
        <v>2</v>
      </c>
      <c r="H141" s="75" t="str">
        <f>CONCATENATE(LS[[#This Row],[Frequency]],LS[[#This Row],[Investor ID]])</f>
        <v>2A00213</v>
      </c>
      <c r="I141" s="75" t="str">
        <f>IF(LS[[#This Row],[B/S]]="B","BUY",(IF(LS[[#This Row],[B/S]]="S","SELL"," ")))</f>
        <v>BUY</v>
      </c>
      <c r="J141" s="75" t="s">
        <v>1229</v>
      </c>
      <c r="K141" s="88">
        <v>60000</v>
      </c>
      <c r="L141" s="88"/>
      <c r="M141" s="89">
        <f>LS[[#This Row],[Amount]]/LS[[#This Row],[Unit]]</f>
        <v>10.254657323534438</v>
      </c>
      <c r="N141" s="90">
        <f>LS[[#This Row],[Unit Capital]]/10</f>
        <v>5851</v>
      </c>
      <c r="O141" s="90">
        <f>SUMIFS(LS[[#Headers],[Unit]]:LS[[#This Row],[Unit]],LS[[#Headers],[Investor ID]]:LS[[#This Row],[Investor ID]],LS[[#This Row],[Investor ID]])</f>
        <v>24417</v>
      </c>
      <c r="P141" s="96">
        <v>58510</v>
      </c>
      <c r="Q141" s="48">
        <f>LS[[#This Row],[Amount]]-LS[[#This Row],[Unit Capital]]</f>
        <v>1490</v>
      </c>
      <c r="R14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10.238768071425646</v>
      </c>
      <c r="S141" s="89">
        <f t="shared" si="2"/>
        <v>14.224</v>
      </c>
      <c r="T14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1" s="96" cm="1">
        <f t="array" ref="U141">IF(LS[[#This Row],[B/S]]="S",ABS(LS[[#This Row],[Unit]])*(INDEX(LS[NAV at Cost (Average)],MATCH(CONCATENATE((LS[[#This Row],[Frequency]]-1),LS[[#This Row],[Investor ID]]),LS[Unique Code],0),0)),0)</f>
        <v>0</v>
      </c>
      <c r="V141" s="96">
        <f>IF(LS[[#This Row],[BO TRANSFER]]="YES",LS[[#This Row],[Unit]],)</f>
        <v>0</v>
      </c>
      <c r="W141" s="96">
        <f>SUMIFS(LS[[#Headers],[BO UNIT TRANSFER]]:LS[[#This Row],[BO UNIT TRANSFER]],LS[[#Headers],[Investor ID]]:LS[[#This Row],[Investor ID]],LS[[#This Row],[Investor ID]])</f>
        <v>0</v>
      </c>
    </row>
    <row r="142" spans="1:23">
      <c r="A142" s="75">
        <v>2023</v>
      </c>
      <c r="B142" s="75">
        <v>6</v>
      </c>
      <c r="C142" s="75">
        <v>25</v>
      </c>
      <c r="D142" s="81">
        <f>DATE(LS[[#This Row],[Year]],LS[[#This Row],[Month]],LS[[#This Row],[Day]])</f>
        <v>45102</v>
      </c>
      <c r="E142" t="str" cm="1">
        <f t="array" ref="E142">INDEX(INVESTORS_LIST[INVESTOR NAME],MATCH(LS[[#This Row],[Investor ID]],INVESTORS_LIST[INVESTOR CODE],0),)</f>
        <v>MD SHAFIQUR RAHMAN MONSI</v>
      </c>
      <c r="F142" s="83" t="s">
        <v>1034</v>
      </c>
      <c r="G142" s="75">
        <f>COUNTIF(LS[[#Headers],[Investor ID]]:LS[[#This Row],[Investor ID]],LS[[#This Row],[Investor ID]])</f>
        <v>1</v>
      </c>
      <c r="H142" s="75" t="str">
        <f>CONCATENATE(LS[[#This Row],[Frequency]],LS[[#This Row],[Investor ID]])</f>
        <v>1A00494</v>
      </c>
      <c r="I142" s="75" t="str">
        <f>IF(LS[[#This Row],[B/S]]="B","BUY",(IF(LS[[#This Row],[B/S]]="S","SELL"," ")))</f>
        <v>BUY</v>
      </c>
      <c r="J142" s="75" t="s">
        <v>1229</v>
      </c>
      <c r="K142" s="88">
        <v>100000</v>
      </c>
      <c r="L142" s="88"/>
      <c r="M142" s="89">
        <f>LS[[#This Row],[Amount]]/LS[[#This Row],[Unit]]</f>
        <v>10.25430680885972</v>
      </c>
      <c r="N142" s="90">
        <f>LS[[#This Row],[Unit Capital]]/10</f>
        <v>9752</v>
      </c>
      <c r="O142" s="90">
        <f>SUMIFS(LS[[#Headers],[Unit]]:LS[[#This Row],[Unit]],LS[[#Headers],[Investor ID]]:LS[[#This Row],[Investor ID]],LS[[#This Row],[Investor ID]])</f>
        <v>9752</v>
      </c>
      <c r="P142" s="96">
        <v>97520</v>
      </c>
      <c r="Q142" s="48">
        <f>LS[[#This Row],[Amount]]-LS[[#This Row],[Unit Capital]]</f>
        <v>2480</v>
      </c>
      <c r="R14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42" s="89">
        <f t="shared" si="2"/>
        <v>14.224</v>
      </c>
      <c r="T14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" s="96" cm="1">
        <f t="array" ref="U142">IF(LS[[#This Row],[B/S]]="S",ABS(LS[[#This Row],[Unit]])*(INDEX(LS[NAV at Cost (Average)],MATCH(CONCATENATE((LS[[#This Row],[Frequency]]-1),LS[[#This Row],[Investor ID]]),LS[Unique Code],0),0)),0)</f>
        <v>0</v>
      </c>
      <c r="V142" s="96">
        <f>IF(LS[[#This Row],[BO TRANSFER]]="YES",LS[[#This Row],[Unit]],)</f>
        <v>0</v>
      </c>
      <c r="W142" s="96">
        <f>SUMIFS(LS[[#Headers],[BO UNIT TRANSFER]]:LS[[#This Row],[BO UNIT TRANSFER]],LS[[#Headers],[Investor ID]]:LS[[#This Row],[Investor ID]],LS[[#This Row],[Investor ID]])</f>
        <v>0</v>
      </c>
    </row>
    <row r="143" spans="1:23">
      <c r="A143" s="75">
        <v>2023</v>
      </c>
      <c r="B143" s="75">
        <v>6</v>
      </c>
      <c r="C143" s="75">
        <v>25</v>
      </c>
      <c r="D143" s="81">
        <f>DATE(LS[[#This Row],[Year]],LS[[#This Row],[Month]],LS[[#This Row],[Day]])</f>
        <v>45102</v>
      </c>
      <c r="E143" t="str" cm="1">
        <f t="array" ref="E143">INDEX(INVESTORS_LIST[INVESTOR NAME],MATCH(LS[[#This Row],[Investor ID]],INVESTORS_LIST[INVESTOR CODE],0),)</f>
        <v>MD SHAFIQUR RAHMAN MONSI</v>
      </c>
      <c r="F143" s="83" t="s">
        <v>1034</v>
      </c>
      <c r="G143" s="75">
        <f>COUNTIF(LS[[#Headers],[Investor ID]]:LS[[#This Row],[Investor ID]],LS[[#This Row],[Investor ID]])</f>
        <v>2</v>
      </c>
      <c r="H143" s="75" t="str">
        <f>CONCATENATE(LS[[#This Row],[Frequency]],LS[[#This Row],[Investor ID]])</f>
        <v>2A00494</v>
      </c>
      <c r="I143" s="75" t="str">
        <f>IF(LS[[#This Row],[B/S]]="B","BUY",(IF(LS[[#This Row],[B/S]]="S","SELL"," ")))</f>
        <v>BUY</v>
      </c>
      <c r="J143" s="75" t="s">
        <v>1229</v>
      </c>
      <c r="K143" s="88">
        <v>200000</v>
      </c>
      <c r="L143" s="88"/>
      <c r="M143" s="89">
        <f>LS[[#This Row],[Amount]]/LS[[#This Row],[Unit]]</f>
        <v>10.253781081773905</v>
      </c>
      <c r="N143" s="90">
        <f>LS[[#This Row],[Unit Capital]]/10</f>
        <v>19505</v>
      </c>
      <c r="O143" s="90">
        <f>SUMIFS(LS[[#Headers],[Unit]]:LS[[#This Row],[Unit]],LS[[#Headers],[Investor ID]]:LS[[#This Row],[Investor ID]],LS[[#This Row],[Investor ID]])</f>
        <v>29257</v>
      </c>
      <c r="P143" s="96">
        <v>195050</v>
      </c>
      <c r="Q143" s="48">
        <f>LS[[#This Row],[Amount]]-LS[[#This Row],[Unit Capital]]</f>
        <v>4950</v>
      </c>
      <c r="R14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10.253956318146084</v>
      </c>
      <c r="S143" s="89">
        <f t="shared" si="2"/>
        <v>14.224</v>
      </c>
      <c r="T14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3" s="96" cm="1">
        <f t="array" ref="U143">IF(LS[[#This Row],[B/S]]="S",ABS(LS[[#This Row],[Unit]])*(INDEX(LS[NAV at Cost (Average)],MATCH(CONCATENATE((LS[[#This Row],[Frequency]]-1),LS[[#This Row],[Investor ID]]),LS[Unique Code],0),0)),0)</f>
        <v>0</v>
      </c>
      <c r="V143" s="96">
        <f>IF(LS[[#This Row],[BO TRANSFER]]="YES",LS[[#This Row],[Unit]],)</f>
        <v>0</v>
      </c>
      <c r="W143" s="96">
        <f>SUMIFS(LS[[#Headers],[BO UNIT TRANSFER]]:LS[[#This Row],[BO UNIT TRANSFER]],LS[[#Headers],[Investor ID]]:LS[[#This Row],[Investor ID]],LS[[#This Row],[Investor ID]])</f>
        <v>0</v>
      </c>
    </row>
    <row r="144" spans="1:23">
      <c r="A144" s="75">
        <v>2023</v>
      </c>
      <c r="B144" s="75">
        <v>6</v>
      </c>
      <c r="C144" s="75">
        <v>25</v>
      </c>
      <c r="D144" s="81">
        <f>DATE(LS[[#This Row],[Year]],LS[[#This Row],[Month]],LS[[#This Row],[Day]])</f>
        <v>45102</v>
      </c>
      <c r="E144" t="str" cm="1">
        <f t="array" ref="E144">INDEX(INVESTORS_LIST[INVESTOR NAME],MATCH(LS[[#This Row],[Investor ID]],INVESTORS_LIST[INVESTOR CODE],0),)</f>
        <v>MUHAMMAD SAJJAD HOSSAIN</v>
      </c>
      <c r="F144" s="83" t="s">
        <v>1046</v>
      </c>
      <c r="G144" s="75">
        <f>COUNTIF(LS[[#Headers],[Investor ID]]:LS[[#This Row],[Investor ID]],LS[[#This Row],[Investor ID]])</f>
        <v>1</v>
      </c>
      <c r="H144" s="75" t="str">
        <f>CONCATENATE(LS[[#This Row],[Frequency]],LS[[#This Row],[Investor ID]])</f>
        <v>1A00500</v>
      </c>
      <c r="I144" s="75" t="str">
        <f>IF(LS[[#This Row],[B/S]]="B","BUY",(IF(LS[[#This Row],[B/S]]="S","SELL"," ")))</f>
        <v>BUY</v>
      </c>
      <c r="J144" s="75" t="s">
        <v>1229</v>
      </c>
      <c r="K144" s="88">
        <v>150000</v>
      </c>
      <c r="L144" s="88"/>
      <c r="M144" s="89">
        <f>LS[[#This Row],[Amount]]/LS[[#This Row],[Unit]]</f>
        <v>10.25430680885972</v>
      </c>
      <c r="N144" s="90">
        <f>LS[[#This Row],[Unit Capital]]/10</f>
        <v>14628</v>
      </c>
      <c r="O144" s="90">
        <f>SUMIFS(LS[[#Headers],[Unit]]:LS[[#This Row],[Unit]],LS[[#Headers],[Investor ID]]:LS[[#This Row],[Investor ID]],LS[[#This Row],[Investor ID]])</f>
        <v>14628</v>
      </c>
      <c r="P144" s="96">
        <v>146280</v>
      </c>
      <c r="Q144" s="48">
        <f>LS[[#This Row],[Amount]]-LS[[#This Row],[Unit Capital]]</f>
        <v>3720</v>
      </c>
      <c r="R14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44" s="89">
        <f t="shared" si="2"/>
        <v>14.224</v>
      </c>
      <c r="T14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4" s="96" cm="1">
        <f t="array" ref="U144">IF(LS[[#This Row],[B/S]]="S",ABS(LS[[#This Row],[Unit]])*(INDEX(LS[NAV at Cost (Average)],MATCH(CONCATENATE((LS[[#This Row],[Frequency]]-1),LS[[#This Row],[Investor ID]]),LS[Unique Code],0),0)),0)</f>
        <v>0</v>
      </c>
      <c r="V144" s="96">
        <f>IF(LS[[#This Row],[BO TRANSFER]]="YES",LS[[#This Row],[Unit]],)</f>
        <v>0</v>
      </c>
      <c r="W144" s="96">
        <f>SUMIFS(LS[[#Headers],[BO UNIT TRANSFER]]:LS[[#This Row],[BO UNIT TRANSFER]],LS[[#Headers],[Investor ID]]:LS[[#This Row],[Investor ID]],LS[[#This Row],[Investor ID]])</f>
        <v>0</v>
      </c>
    </row>
    <row r="145" spans="1:23">
      <c r="A145" s="75">
        <v>2023</v>
      </c>
      <c r="B145" s="75">
        <v>6</v>
      </c>
      <c r="C145" s="75">
        <v>25</v>
      </c>
      <c r="D145" s="81">
        <f>DATE(LS[[#This Row],[Year]],LS[[#This Row],[Month]],LS[[#This Row],[Day]])</f>
        <v>45102</v>
      </c>
      <c r="E145" t="str" cm="1">
        <f t="array" ref="E145">INDEX(INVESTORS_LIST[INVESTOR NAME],MATCH(LS[[#This Row],[Investor ID]],INVESTORS_LIST[INVESTOR CODE],0),)</f>
        <v>AMARSTOCK LIMITED</v>
      </c>
      <c r="F145" s="82" t="s">
        <v>960</v>
      </c>
      <c r="G145" s="75">
        <f>COUNTIF(LS[[#Headers],[Investor ID]]:LS[[#This Row],[Investor ID]],LS[[#This Row],[Investor ID]])</f>
        <v>4</v>
      </c>
      <c r="H145" s="75" t="str">
        <f>CONCATENATE(LS[[#This Row],[Frequency]],LS[[#This Row],[Investor ID]])</f>
        <v>4A00457</v>
      </c>
      <c r="I145" s="75" t="str">
        <f>IF(LS[[#This Row],[B/S]]="B","BUY",(IF(LS[[#This Row],[B/S]]="S","SELL"," ")))</f>
        <v>BUY</v>
      </c>
      <c r="J145" s="75" t="s">
        <v>1229</v>
      </c>
      <c r="K145" s="88">
        <v>3400000</v>
      </c>
      <c r="L145" s="85"/>
      <c r="M145" s="86">
        <f>LS[[#This Row],[Amount]]/LS[[#This Row],[Unit]]</f>
        <v>10.253997551104113</v>
      </c>
      <c r="N145" s="87">
        <f>LS[[#This Row],[Unit Capital]]/10</f>
        <v>331578</v>
      </c>
      <c r="O145" s="87">
        <f>SUMIFS(LS[[#Headers],[Unit]]:LS[[#This Row],[Unit]],LS[[#Headers],[Investor ID]]:LS[[#This Row],[Investor ID]],LS[[#This Row],[Investor ID]])</f>
        <v>331578</v>
      </c>
      <c r="P145" s="95">
        <v>3315780</v>
      </c>
      <c r="Q145" s="48">
        <f>LS[[#This Row],[Amount]]-LS[[#This Row],[Unit Capital]]</f>
        <v>84220</v>
      </c>
      <c r="R145" s="9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10.253997551104113</v>
      </c>
      <c r="S145" s="86">
        <f t="shared" si="2"/>
        <v>14.224</v>
      </c>
      <c r="T145" s="95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5" s="95" cm="1">
        <f t="array" ref="U145">IF(LS[[#This Row],[B/S]]="S",ABS(LS[[#This Row],[Unit]])*(INDEX(LS[NAV at Cost (Average)],MATCH(CONCATENATE((LS[[#This Row],[Frequency]]-1),LS[[#This Row],[Investor ID]]),LS[Unique Code],0),0)),0)</f>
        <v>0</v>
      </c>
      <c r="V145" s="95">
        <f>IF(LS[[#This Row],[BO TRANSFER]]="YES",LS[[#This Row],[Unit]],)</f>
        <v>0</v>
      </c>
      <c r="W145" s="95">
        <f>SUMIFS(LS[[#Headers],[BO UNIT TRANSFER]]:LS[[#This Row],[BO UNIT TRANSFER]],LS[[#Headers],[Investor ID]]:LS[[#This Row],[Investor ID]],LS[[#This Row],[Investor ID]])</f>
        <v>0</v>
      </c>
    </row>
    <row r="146" spans="1:23">
      <c r="A146" s="75">
        <v>2023</v>
      </c>
      <c r="B146" s="75">
        <v>6</v>
      </c>
      <c r="C146" s="75">
        <v>25</v>
      </c>
      <c r="D146" s="81">
        <f>DATE(LS[[#This Row],[Year]],LS[[#This Row],[Month]],LS[[#This Row],[Day]])</f>
        <v>45102</v>
      </c>
      <c r="E146" t="str" cm="1">
        <f t="array" ref="E146">INDEX(INVESTORS_LIST[INVESTOR NAME],MATCH(LS[[#This Row],[Investor ID]],INVESTORS_LIST[INVESTOR CODE],0),)</f>
        <v>SUMAIYA CHOWDHURY RUPTY</v>
      </c>
      <c r="F146" s="83" t="s">
        <v>636</v>
      </c>
      <c r="G146" s="75">
        <f>COUNTIF(LS[[#Headers],[Investor ID]]:LS[[#This Row],[Investor ID]],LS[[#This Row],[Investor ID]])</f>
        <v>2</v>
      </c>
      <c r="H146" s="75" t="str">
        <f>CONCATENATE(LS[[#This Row],[Frequency]],LS[[#This Row],[Investor ID]])</f>
        <v>2A00294</v>
      </c>
      <c r="I146" s="75" t="str">
        <f>IF(LS[[#This Row],[B/S]]="B","BUY",(IF(LS[[#This Row],[B/S]]="S","SELL"," ")))</f>
        <v>BUY</v>
      </c>
      <c r="J146" s="75" t="s">
        <v>1229</v>
      </c>
      <c r="K146" s="88">
        <v>200000</v>
      </c>
      <c r="L146" s="88"/>
      <c r="M146" s="89">
        <f>LS[[#This Row],[Amount]]/LS[[#This Row],[Unit]]</f>
        <v>10.253781081773905</v>
      </c>
      <c r="N146" s="90">
        <f>LS[[#This Row],[Unit Capital]]/10</f>
        <v>19505</v>
      </c>
      <c r="O146" s="90">
        <f>SUMIFS(LS[[#Headers],[Unit]]:LS[[#This Row],[Unit]],LS[[#Headers],[Investor ID]]:LS[[#This Row],[Investor ID]],LS[[#This Row],[Investor ID]])</f>
        <v>39256</v>
      </c>
      <c r="P146" s="95">
        <v>195050</v>
      </c>
      <c r="Q146" s="48">
        <f>LS[[#This Row],[Amount]]-LS[[#This Row],[Unit Capital]]</f>
        <v>4950</v>
      </c>
      <c r="R14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10.189525168127165</v>
      </c>
      <c r="S146" s="89">
        <f t="shared" si="2"/>
        <v>14.224</v>
      </c>
      <c r="T14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6" s="96" cm="1">
        <f t="array" ref="U146">IF(LS[[#This Row],[B/S]]="S",ABS(LS[[#This Row],[Unit]])*(INDEX(LS[NAV at Cost (Average)],MATCH(CONCATENATE((LS[[#This Row],[Frequency]]-1),LS[[#This Row],[Investor ID]]),LS[Unique Code],0),0)),0)</f>
        <v>0</v>
      </c>
      <c r="V146" s="96">
        <f>IF(LS[[#This Row],[BO TRANSFER]]="YES",LS[[#This Row],[Unit]],)</f>
        <v>0</v>
      </c>
      <c r="W146" s="96">
        <f>SUMIFS(LS[[#Headers],[BO UNIT TRANSFER]]:LS[[#This Row],[BO UNIT TRANSFER]],LS[[#Headers],[Investor ID]]:LS[[#This Row],[Investor ID]],LS[[#This Row],[Investor ID]])</f>
        <v>0</v>
      </c>
    </row>
    <row r="147" spans="1:23">
      <c r="A147" s="75">
        <v>2023</v>
      </c>
      <c r="B147" s="75">
        <v>6</v>
      </c>
      <c r="C147" s="75">
        <v>25</v>
      </c>
      <c r="D147" s="81">
        <f>DATE(LS[[#This Row],[Year]],LS[[#This Row],[Month]],LS[[#This Row],[Day]])</f>
        <v>45102</v>
      </c>
      <c r="E147" t="str" cm="1">
        <f t="array" ref="E147">INDEX(INVESTORS_LIST[INVESTOR NAME],MATCH(LS[[#This Row],[Investor ID]],INVESTORS_LIST[INVESTOR CODE],0),)</f>
        <v>MONIR AHMED</v>
      </c>
      <c r="F147" s="46" t="s">
        <v>125</v>
      </c>
      <c r="G147" s="46">
        <f>COUNTIF(LS[[#Headers],[Investor ID]]:LS[[#This Row],[Investor ID]],LS[[#This Row],[Investor ID]])</f>
        <v>1</v>
      </c>
      <c r="H147" s="46" t="str">
        <f>CONCATENATE(LS[[#This Row],[Frequency]],LS[[#This Row],[Investor ID]])</f>
        <v>1A00039</v>
      </c>
      <c r="I147" s="46" t="str">
        <f>IF(LS[[#This Row],[B/S]]="B","BUY",(IF(LS[[#This Row],[B/S]]="S","SELL"," ")))</f>
        <v>BUY</v>
      </c>
      <c r="J147" s="46" t="s">
        <v>1229</v>
      </c>
      <c r="K147" s="69">
        <v>150000</v>
      </c>
      <c r="L147" s="99"/>
      <c r="M147" s="89">
        <f>LS[[#This Row],[Amount]]/LS[[#This Row],[Unit]]</f>
        <v>10.25430680885972</v>
      </c>
      <c r="N147" s="90">
        <f>LS[[#This Row],[Unit Capital]]/10</f>
        <v>14628</v>
      </c>
      <c r="O147" s="90">
        <f>SUMIFS(LS[[#Headers],[Unit]]:LS[[#This Row],[Unit]],LS[[#Headers],[Investor ID]]:LS[[#This Row],[Investor ID]],LS[[#This Row],[Investor ID]])</f>
        <v>14628</v>
      </c>
      <c r="P147" s="73">
        <v>146280</v>
      </c>
      <c r="Q147" s="48">
        <f>LS[[#This Row],[Amount]]-LS[[#This Row],[Unit Capital]]</f>
        <v>3720</v>
      </c>
      <c r="R14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47" s="89">
        <f t="shared" si="2"/>
        <v>14.224</v>
      </c>
      <c r="T14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" s="96" cm="1">
        <f t="array" ref="U147">IF(LS[[#This Row],[B/S]]="S",ABS(LS[[#This Row],[Unit]])*(INDEX(LS[NAV at Cost (Average)],MATCH(CONCATENATE((LS[[#This Row],[Frequency]]-1),LS[[#This Row],[Investor ID]]),LS[Unique Code],0),0)),0)</f>
        <v>0</v>
      </c>
      <c r="V147" s="96">
        <f>IF(LS[[#This Row],[BO TRANSFER]]="YES",LS[[#This Row],[Unit]],)</f>
        <v>0</v>
      </c>
      <c r="W147" s="96">
        <f>SUMIFS(LS[[#Headers],[BO UNIT TRANSFER]]:LS[[#This Row],[BO UNIT TRANSFER]],LS[[#Headers],[Investor ID]]:LS[[#This Row],[Investor ID]],LS[[#This Row],[Investor ID]])</f>
        <v>0</v>
      </c>
    </row>
    <row r="148" spans="1:23">
      <c r="A148" s="75">
        <v>2023</v>
      </c>
      <c r="B148" s="75">
        <v>6</v>
      </c>
      <c r="C148" s="75">
        <v>26</v>
      </c>
      <c r="D148" s="81">
        <f>DATE(LS[[#This Row],[Year]],LS[[#This Row],[Month]],LS[[#This Row],[Day]])</f>
        <v>45103</v>
      </c>
      <c r="E148" t="str" cm="1">
        <f t="array" ref="E148">INDEX(INVESTORS_LIST[INVESTOR NAME],MATCH(LS[[#This Row],[Investor ID]],INVESTORS_LIST[INVESTOR CODE],0),)</f>
        <v>MUSTAFA KAMAL MASUD</v>
      </c>
      <c r="F148" s="83" t="s">
        <v>1026</v>
      </c>
      <c r="G148" s="75">
        <f>COUNTIF(LS[[#Headers],[Investor ID]]:LS[[#This Row],[Investor ID]],LS[[#This Row],[Investor ID]])</f>
        <v>2</v>
      </c>
      <c r="H148" s="75" t="str">
        <f>CONCATENATE(LS[[#This Row],[Frequency]],LS[[#This Row],[Investor ID]])</f>
        <v>2A00490</v>
      </c>
      <c r="I148" s="75" t="str">
        <f>IF(LS[[#This Row],[B/S]]="B","BUY",(IF(LS[[#This Row],[B/S]]="S","SELL"," ")))</f>
        <v>SELL</v>
      </c>
      <c r="J148" s="75" t="s">
        <v>1231</v>
      </c>
      <c r="K148" s="88">
        <v>-500000</v>
      </c>
      <c r="L148" s="88"/>
      <c r="M148" s="89">
        <f>LS[[#This Row],[Amount]]/LS[[#This Row],[Unit]]</f>
        <v>10.254096511556368</v>
      </c>
      <c r="N148" s="90">
        <f>LS[[#This Row],[Unit Capital]]/10</f>
        <v>-48761</v>
      </c>
      <c r="O148" s="90">
        <f>SUMIFS(LS[[#Headers],[Unit]]:LS[[#This Row],[Unit]],LS[[#Headers],[Investor ID]]:LS[[#This Row],[Investor ID]],LS[[#This Row],[Investor ID]])</f>
        <v>49346</v>
      </c>
      <c r="P148" s="96">
        <v>-487610</v>
      </c>
      <c r="Q148" s="48">
        <f>LS[[#This Row],[Amount]]-LS[[#This Row],[Unit Capital]]</f>
        <v>-12390</v>
      </c>
      <c r="R14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10.192952592577491</v>
      </c>
      <c r="S148" s="89">
        <f t="shared" si="2"/>
        <v>14.224</v>
      </c>
      <c r="T148" s="96">
        <f>IF(LS[[#This Row],[B/S]]="B",0,ABS(LS[[#This Row],[Unit]])*(LS[[#This Row],[NAV (Strike Rate)]]-INDEX(LS[NAV at Cost (Average)],MATCH(CONCATENATE(LS[[#This Row],[Frequency]]-1,LS[[#This Row],[Investor ID]]),LS[Unique Code],0),)))</f>
        <v>2981.4386333289972</v>
      </c>
      <c r="U148" s="96" cm="1">
        <f t="array" ref="U148">IF(LS[[#This Row],[B/S]]="S",ABS(LS[[#This Row],[Unit]])*(INDEX(LS[NAV at Cost (Average)],MATCH(CONCATENATE((LS[[#This Row],[Frequency]]-1),LS[[#This Row],[Investor ID]]),LS[Unique Code],0),0)),0)</f>
        <v>497018.56136667106</v>
      </c>
      <c r="V148" s="96">
        <f>IF(LS[[#This Row],[BO TRANSFER]]="YES",LS[[#This Row],[Unit]],)</f>
        <v>0</v>
      </c>
      <c r="W148" s="96">
        <f>SUMIFS(LS[[#Headers],[BO UNIT TRANSFER]]:LS[[#This Row],[BO UNIT TRANSFER]],LS[[#Headers],[Investor ID]]:LS[[#This Row],[Investor ID]],LS[[#This Row],[Investor ID]])</f>
        <v>0</v>
      </c>
    </row>
    <row r="149" spans="1:23">
      <c r="A149" s="75">
        <v>2023</v>
      </c>
      <c r="B149" s="75">
        <v>6</v>
      </c>
      <c r="C149" s="75">
        <v>26</v>
      </c>
      <c r="D149" s="81">
        <f>DATE(LS[[#This Row],[Year]],LS[[#This Row],[Month]],LS[[#This Row],[Day]])</f>
        <v>45103</v>
      </c>
      <c r="E149" t="str" cm="1">
        <f t="array" ref="E149">INDEX(INVESTORS_LIST[INVESTOR NAME],MATCH(LS[[#This Row],[Investor ID]],INVESTORS_LIST[INVESTOR CODE],0),)</f>
        <v>MD SHAFIQUR RAHMAN MONSI</v>
      </c>
      <c r="F149" s="83" t="s">
        <v>1034</v>
      </c>
      <c r="G149" s="75">
        <f>COUNTIF(LS[[#Headers],[Investor ID]]:LS[[#This Row],[Investor ID]],LS[[#This Row],[Investor ID]])</f>
        <v>3</v>
      </c>
      <c r="H149" s="75" t="str">
        <f>CONCATENATE(LS[[#This Row],[Frequency]],LS[[#This Row],[Investor ID]])</f>
        <v>3A00494</v>
      </c>
      <c r="I149" s="75" t="str">
        <f>IF(LS[[#This Row],[B/S]]="B","BUY",(IF(LS[[#This Row],[B/S]]="S","SELL"," ")))</f>
        <v>BUY</v>
      </c>
      <c r="J149" s="75" t="s">
        <v>1229</v>
      </c>
      <c r="K149" s="88">
        <v>100000</v>
      </c>
      <c r="L149" s="88"/>
      <c r="M149" s="89">
        <f>LS[[#This Row],[Amount]]/LS[[#This Row],[Unit]]</f>
        <v>10.25430680885972</v>
      </c>
      <c r="N149" s="90">
        <f>LS[[#This Row],[Unit Capital]]/10</f>
        <v>9752</v>
      </c>
      <c r="O149" s="90">
        <f>SUMIFS(LS[[#Headers],[Unit]]:LS[[#This Row],[Unit]],LS[[#Headers],[Investor ID]]:LS[[#This Row],[Investor ID]],LS[[#This Row],[Investor ID]])</f>
        <v>39009</v>
      </c>
      <c r="P149" s="96">
        <v>97520</v>
      </c>
      <c r="Q149" s="48">
        <f>LS[[#This Row],[Amount]]-LS[[#This Row],[Unit Capital]]</f>
        <v>2480</v>
      </c>
      <c r="R14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10.254043938578276</v>
      </c>
      <c r="S149" s="89">
        <f t="shared" si="2"/>
        <v>14.224</v>
      </c>
      <c r="T14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" s="96" cm="1">
        <f t="array" ref="U149">IF(LS[[#This Row],[B/S]]="S",ABS(LS[[#This Row],[Unit]])*(INDEX(LS[NAV at Cost (Average)],MATCH(CONCATENATE((LS[[#This Row],[Frequency]]-1),LS[[#This Row],[Investor ID]]),LS[Unique Code],0),0)),0)</f>
        <v>0</v>
      </c>
      <c r="V149" s="96">
        <f>IF(LS[[#This Row],[BO TRANSFER]]="YES",LS[[#This Row],[Unit]],)</f>
        <v>0</v>
      </c>
      <c r="W149" s="96">
        <f>SUMIFS(LS[[#Headers],[BO UNIT TRANSFER]]:LS[[#This Row],[BO UNIT TRANSFER]],LS[[#Headers],[Investor ID]]:LS[[#This Row],[Investor ID]],LS[[#This Row],[Investor ID]])</f>
        <v>0</v>
      </c>
    </row>
    <row r="150" spans="1:23">
      <c r="A150" s="75">
        <v>2023</v>
      </c>
      <c r="B150" s="75">
        <v>6</v>
      </c>
      <c r="C150" s="75">
        <v>26</v>
      </c>
      <c r="D150" s="81">
        <f>DATE(LS[[#This Row],[Year]],LS[[#This Row],[Month]],LS[[#This Row],[Day]])</f>
        <v>45103</v>
      </c>
      <c r="E150" t="str" cm="1">
        <f t="array" ref="E150">INDEX(INVESTORS_LIST[INVESTOR NAME],MATCH(LS[[#This Row],[Investor ID]],INVESTORS_LIST[INVESTOR CODE],0),)</f>
        <v>MUHAMMAD SAJJAD HOSSAIN</v>
      </c>
      <c r="F150" s="83" t="s">
        <v>1046</v>
      </c>
      <c r="G150" s="75">
        <f>COUNTIF(LS[[#Headers],[Investor ID]]:LS[[#This Row],[Investor ID]],LS[[#This Row],[Investor ID]])</f>
        <v>2</v>
      </c>
      <c r="H150" s="75" t="str">
        <f>CONCATENATE(LS[[#This Row],[Frequency]],LS[[#This Row],[Investor ID]])</f>
        <v>2A00500</v>
      </c>
      <c r="I150" s="75" t="str">
        <f>IF(LS[[#This Row],[B/S]]="B","BUY",(IF(LS[[#This Row],[B/S]]="S","SELL"," ")))</f>
        <v>BUY</v>
      </c>
      <c r="J150" s="75" t="s">
        <v>1229</v>
      </c>
      <c r="K150" s="88">
        <v>100000</v>
      </c>
      <c r="L150" s="88"/>
      <c r="M150" s="89">
        <f>LS[[#This Row],[Amount]]/LS[[#This Row],[Unit]]</f>
        <v>10.25430680885972</v>
      </c>
      <c r="N150" s="90">
        <f>LS[[#This Row],[Unit Capital]]/10</f>
        <v>9752</v>
      </c>
      <c r="O150" s="90">
        <f>SUMIFS(LS[[#Headers],[Unit]]:LS[[#This Row],[Unit]],LS[[#Headers],[Investor ID]]:LS[[#This Row],[Investor ID]],LS[[#This Row],[Investor ID]])</f>
        <v>24380</v>
      </c>
      <c r="P150" s="96">
        <v>97520</v>
      </c>
      <c r="Q150" s="48">
        <f>LS[[#This Row],[Amount]]-LS[[#This Row],[Unit Capital]]</f>
        <v>2480</v>
      </c>
      <c r="R15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50" s="89">
        <f t="shared" si="2"/>
        <v>14.224</v>
      </c>
      <c r="T15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" s="96" cm="1">
        <f t="array" ref="U150">IF(LS[[#This Row],[B/S]]="S",ABS(LS[[#This Row],[Unit]])*(INDEX(LS[NAV at Cost (Average)],MATCH(CONCATENATE((LS[[#This Row],[Frequency]]-1),LS[[#This Row],[Investor ID]]),LS[Unique Code],0),0)),0)</f>
        <v>0</v>
      </c>
      <c r="V150" s="96">
        <f>IF(LS[[#This Row],[BO TRANSFER]]="YES",LS[[#This Row],[Unit]],)</f>
        <v>0</v>
      </c>
      <c r="W150" s="96">
        <f>SUMIFS(LS[[#Headers],[BO UNIT TRANSFER]]:LS[[#This Row],[BO UNIT TRANSFER]],LS[[#Headers],[Investor ID]]:LS[[#This Row],[Investor ID]],LS[[#This Row],[Investor ID]])</f>
        <v>0</v>
      </c>
    </row>
    <row r="151" spans="1:23">
      <c r="A151" s="75">
        <v>2023</v>
      </c>
      <c r="B151" s="75">
        <v>6</v>
      </c>
      <c r="C151" s="75">
        <v>26</v>
      </c>
      <c r="D151" s="81">
        <f>DATE(LS[[#This Row],[Year]],LS[[#This Row],[Month]],LS[[#This Row],[Day]])</f>
        <v>45103</v>
      </c>
      <c r="E151" t="str" cm="1">
        <f t="array" ref="E151">INDEX(INVESTORS_LIST[INVESTOR NAME],MATCH(LS[[#This Row],[Investor ID]],INVESTORS_LIST[INVESTOR CODE],0),)</f>
        <v>ADNAN RASHID</v>
      </c>
      <c r="F151" s="75" t="s">
        <v>252</v>
      </c>
      <c r="G151" s="75">
        <f>COUNTIF(LS[[#Headers],[Investor ID]]:LS[[#This Row],[Investor ID]],LS[[#This Row],[Investor ID]])</f>
        <v>1</v>
      </c>
      <c r="H151" s="75" t="str">
        <f>CONCATENATE(LS[[#This Row],[Frequency]],LS[[#This Row],[Investor ID]])</f>
        <v>1A00102</v>
      </c>
      <c r="I151" s="75" t="str">
        <f>IF(LS[[#This Row],[B/S]]="B","BUY",(IF(LS[[#This Row],[B/S]]="S","SELL"," ")))</f>
        <v>BUY</v>
      </c>
      <c r="J151" s="75" t="s">
        <v>1229</v>
      </c>
      <c r="K151" s="88">
        <v>150000</v>
      </c>
      <c r="L151" s="88"/>
      <c r="M151" s="89">
        <f>LS[[#This Row],[Amount]]/LS[[#This Row],[Unit]]</f>
        <v>10.25430680885972</v>
      </c>
      <c r="N151" s="90">
        <f>LS[[#This Row],[Unit Capital]]/10</f>
        <v>14628</v>
      </c>
      <c r="O151" s="90">
        <f>SUMIFS(LS[[#Headers],[Unit]]:LS[[#This Row],[Unit]],LS[[#Headers],[Investor ID]]:LS[[#This Row],[Investor ID]],LS[[#This Row],[Investor ID]])</f>
        <v>14628</v>
      </c>
      <c r="P151" s="96">
        <v>146280</v>
      </c>
      <c r="Q151" s="48">
        <f>LS[[#This Row],[Amount]]-LS[[#This Row],[Unit Capital]]</f>
        <v>3720</v>
      </c>
      <c r="R15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51" s="89">
        <f t="shared" si="2"/>
        <v>14.224</v>
      </c>
      <c r="T15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1" s="96" cm="1">
        <f t="array" ref="U151">IF(LS[[#This Row],[B/S]]="S",ABS(LS[[#This Row],[Unit]])*(INDEX(LS[NAV at Cost (Average)],MATCH(CONCATENATE((LS[[#This Row],[Frequency]]-1),LS[[#This Row],[Investor ID]]),LS[Unique Code],0),0)),0)</f>
        <v>0</v>
      </c>
      <c r="V151" s="96">
        <f>IF(LS[[#This Row],[BO TRANSFER]]="YES",LS[[#This Row],[Unit]],)</f>
        <v>0</v>
      </c>
      <c r="W151" s="96">
        <f>SUMIFS(LS[[#Headers],[BO UNIT TRANSFER]]:LS[[#This Row],[BO UNIT TRANSFER]],LS[[#Headers],[Investor ID]]:LS[[#This Row],[Investor ID]],LS[[#This Row],[Investor ID]])</f>
        <v>0</v>
      </c>
    </row>
    <row r="152" spans="1:23">
      <c r="A152" s="75">
        <v>2023</v>
      </c>
      <c r="B152" s="75">
        <v>6</v>
      </c>
      <c r="C152" s="75">
        <v>26</v>
      </c>
      <c r="D152" s="81">
        <f>DATE(LS[[#This Row],[Year]],LS[[#This Row],[Month]],LS[[#This Row],[Day]])</f>
        <v>45103</v>
      </c>
      <c r="E152" t="str" cm="1">
        <f t="array" ref="E152">INDEX(INVESTORS_LIST[INVESTOR NAME],MATCH(LS[[#This Row],[Investor ID]],INVESTORS_LIST[INVESTOR CODE],0),)</f>
        <v>FATEHA KHATUN</v>
      </c>
      <c r="F152" s="83" t="s">
        <v>1054</v>
      </c>
      <c r="G152" s="75">
        <f>COUNTIF(LS[[#Headers],[Investor ID]]:LS[[#This Row],[Investor ID]],LS[[#This Row],[Investor ID]])</f>
        <v>1</v>
      </c>
      <c r="H152" s="75" t="str">
        <f>CONCATENATE(LS[[#This Row],[Frequency]],LS[[#This Row],[Investor ID]])</f>
        <v>1A00504</v>
      </c>
      <c r="I152" s="75" t="str">
        <f>IF(LS[[#This Row],[B/S]]="B","BUY",(IF(LS[[#This Row],[B/S]]="S","SELL"," ")))</f>
        <v>BUY</v>
      </c>
      <c r="J152" s="75" t="s">
        <v>1229</v>
      </c>
      <c r="K152" s="88">
        <v>75000</v>
      </c>
      <c r="L152" s="88"/>
      <c r="M152" s="89">
        <f>LS[[#This Row],[Amount]]/LS[[#This Row],[Unit]]</f>
        <v>10.25430680885972</v>
      </c>
      <c r="N152" s="90">
        <f>LS[[#This Row],[Unit Capital]]/10</f>
        <v>7314</v>
      </c>
      <c r="O152" s="90">
        <f>SUMIFS(LS[[#Headers],[Unit]]:LS[[#This Row],[Unit]],LS[[#Headers],[Investor ID]]:LS[[#This Row],[Investor ID]],LS[[#This Row],[Investor ID]])</f>
        <v>7314</v>
      </c>
      <c r="P152" s="96">
        <v>73140</v>
      </c>
      <c r="Q152" s="48">
        <f>LS[[#This Row],[Amount]]-LS[[#This Row],[Unit Capital]]</f>
        <v>1860</v>
      </c>
      <c r="R15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10.25430680885972</v>
      </c>
      <c r="S152" s="89">
        <f t="shared" si="2"/>
        <v>14.224</v>
      </c>
      <c r="T15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2" s="96" cm="1">
        <f t="array" ref="U152">IF(LS[[#This Row],[B/S]]="S",ABS(LS[[#This Row],[Unit]])*(INDEX(LS[NAV at Cost (Average)],MATCH(CONCATENATE((LS[[#This Row],[Frequency]]-1),LS[[#This Row],[Investor ID]]),LS[Unique Code],0),0)),0)</f>
        <v>0</v>
      </c>
      <c r="V152" s="96">
        <f>IF(LS[[#This Row],[BO TRANSFER]]="YES",LS[[#This Row],[Unit]],)</f>
        <v>0</v>
      </c>
      <c r="W152" s="96">
        <f>SUMIFS(LS[[#Headers],[BO UNIT TRANSFER]]:LS[[#This Row],[BO UNIT TRANSFER]],LS[[#Headers],[Investor ID]]:LS[[#This Row],[Investor ID]],LS[[#This Row],[Investor ID]])</f>
        <v>0</v>
      </c>
    </row>
    <row r="153" spans="1:23">
      <c r="A153" s="75">
        <v>2023</v>
      </c>
      <c r="B153" s="75">
        <v>7</v>
      </c>
      <c r="C153" s="75">
        <v>4</v>
      </c>
      <c r="D153" s="81">
        <f>DATE(LS[[#This Row],[Year]],LS[[#This Row],[Month]],LS[[#This Row],[Day]])</f>
        <v>45111</v>
      </c>
      <c r="E153" t="str" cm="1">
        <f t="array" ref="E153">INDEX(INVESTORS_LIST[INVESTOR NAME],MATCH(LS[[#This Row],[Investor ID]],INVESTORS_LIST[INVESTOR CODE],0),)</f>
        <v>BILKISS ARA</v>
      </c>
      <c r="F153" s="83" t="s">
        <v>194</v>
      </c>
      <c r="G153" s="75">
        <f>COUNTIF(LS[[#Headers],[Investor ID]]:LS[[#This Row],[Investor ID]],LS[[#This Row],[Investor ID]])</f>
        <v>3</v>
      </c>
      <c r="H153" s="75" t="str">
        <f>CONCATENATE(LS[[#This Row],[Frequency]],LS[[#This Row],[Investor ID]])</f>
        <v>3A00073</v>
      </c>
      <c r="I153" s="75" t="str">
        <f>IF(LS[[#This Row],[B/S]]="B","BUY",(IF(LS[[#This Row],[B/S]]="S","SELL"," ")))</f>
        <v>SELL</v>
      </c>
      <c r="J153" s="75" t="s">
        <v>1231</v>
      </c>
      <c r="K153" s="88">
        <v>-460000</v>
      </c>
      <c r="L153" s="88"/>
      <c r="M153" s="89">
        <f>LS[[#This Row],[Amount]]/LS[[#This Row],[Unit]]</f>
        <v>10.271066851248158</v>
      </c>
      <c r="N153" s="90">
        <f>LS[[#This Row],[Unit Capital]]/10</f>
        <v>-44786</v>
      </c>
      <c r="O153" s="90">
        <f>SUMIFS(LS[[#Headers],[Unit]]:LS[[#This Row],[Unit]],LS[[#Headers],[Investor ID]]:LS[[#This Row],[Investor ID]],LS[[#This Row],[Investor ID]])</f>
        <v>41513</v>
      </c>
      <c r="P153" s="96">
        <v>-447860</v>
      </c>
      <c r="Q153" s="48">
        <f>LS[[#This Row],[Amount]]-LS[[#This Row],[Unit Capital]]</f>
        <v>-12140</v>
      </c>
      <c r="R15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53" s="89">
        <f t="shared" si="2"/>
        <v>14.224</v>
      </c>
      <c r="T153" s="96">
        <f>IF(LS[[#This Row],[B/S]]="B",0,ABS(LS[[#This Row],[Unit]])*(LS[[#This Row],[NAV (Strike Rate)]]-INDEX(LS[NAV at Cost (Average)],MATCH(CONCATENATE(LS[[#This Row],[Frequency]]-1,LS[[#This Row],[Investor ID]]),LS[Unique Code],0),)))</f>
        <v>12139.999999999984</v>
      </c>
      <c r="U153" s="96" cm="1">
        <f t="array" ref="U153">IF(LS[[#This Row],[B/S]]="S",ABS(LS[[#This Row],[Unit]])*(INDEX(LS[NAV at Cost (Average)],MATCH(CONCATENATE((LS[[#This Row],[Frequency]]-1),LS[[#This Row],[Investor ID]]),LS[Unique Code],0),0)),0)</f>
        <v>447860</v>
      </c>
      <c r="V153" s="96">
        <f>IF(LS[[#This Row],[BO TRANSFER]]="YES",LS[[#This Row],[Unit]],)</f>
        <v>0</v>
      </c>
      <c r="W153" s="96">
        <f>SUMIFS(LS[[#Headers],[BO UNIT TRANSFER]]:LS[[#This Row],[BO UNIT TRANSFER]],LS[[#Headers],[Investor ID]]:LS[[#This Row],[Investor ID]],LS[[#This Row],[Investor ID]])</f>
        <v>0</v>
      </c>
    </row>
    <row r="154" spans="1:23">
      <c r="A154" s="75">
        <v>2023</v>
      </c>
      <c r="B154" s="75">
        <v>7</v>
      </c>
      <c r="C154" s="75">
        <v>5</v>
      </c>
      <c r="D154" s="81">
        <f>DATE(LS[[#This Row],[Year]],LS[[#This Row],[Month]],LS[[#This Row],[Day]])</f>
        <v>45112</v>
      </c>
      <c r="E154" t="str" cm="1">
        <f t="array" ref="E154">INDEX(INVESTORS_LIST[INVESTOR NAME],MATCH(LS[[#This Row],[Investor ID]],INVESTORS_LIST[INVESTOR CODE],0),)</f>
        <v>SK FEROZ ALAM &amp; MD BULBUL ISLAM</v>
      </c>
      <c r="F154" s="83" t="s">
        <v>481</v>
      </c>
      <c r="G154" s="75">
        <f>COUNTIF(LS[[#Headers],[Investor ID]]:LS[[#This Row],[Investor ID]],LS[[#This Row],[Investor ID]])</f>
        <v>1</v>
      </c>
      <c r="H154" s="75" t="str">
        <f>CONCATENATE(LS[[#This Row],[Frequency]],LS[[#This Row],[Investor ID]])</f>
        <v>1A00216</v>
      </c>
      <c r="I154" s="75" t="str">
        <f>IF(LS[[#This Row],[B/S]]="B","BUY",(IF(LS[[#This Row],[B/S]]="S","SELL"," ")))</f>
        <v>BUY</v>
      </c>
      <c r="J154" s="75" t="s">
        <v>1229</v>
      </c>
      <c r="K154" s="88">
        <v>200000</v>
      </c>
      <c r="L154" s="88"/>
      <c r="M154" s="89">
        <f>LS[[#This Row],[Amount]]/LS[[#This Row],[Unit]]</f>
        <v>10.271158586688578</v>
      </c>
      <c r="N154" s="90">
        <f>LS[[#This Row],[Unit Capital]]/10</f>
        <v>19472</v>
      </c>
      <c r="O154" s="90">
        <f>SUMIFS(LS[[#Headers],[Unit]]:LS[[#This Row],[Unit]],LS[[#Headers],[Investor ID]]:LS[[#This Row],[Investor ID]],LS[[#This Row],[Investor ID]])</f>
        <v>19472</v>
      </c>
      <c r="P154" s="96">
        <v>194720</v>
      </c>
      <c r="Q154" s="48">
        <f>LS[[#This Row],[Amount]]-LS[[#This Row],[Unit Capital]]</f>
        <v>5280</v>
      </c>
      <c r="R15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10.271158586688578</v>
      </c>
      <c r="S154" s="89">
        <f t="shared" si="2"/>
        <v>14.224</v>
      </c>
      <c r="T15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4" s="96" cm="1">
        <f t="array" ref="U154">IF(LS[[#This Row],[B/S]]="S",ABS(LS[[#This Row],[Unit]])*(INDEX(LS[NAV at Cost (Average)],MATCH(CONCATENATE((LS[[#This Row],[Frequency]]-1),LS[[#This Row],[Investor ID]]),LS[Unique Code],0),0)),0)</f>
        <v>0</v>
      </c>
      <c r="V154" s="96">
        <f>IF(LS[[#This Row],[BO TRANSFER]]="YES",LS[[#This Row],[Unit]],)</f>
        <v>0</v>
      </c>
      <c r="W154" s="96">
        <f>SUMIFS(LS[[#Headers],[BO UNIT TRANSFER]]:LS[[#This Row],[BO UNIT TRANSFER]],LS[[#Headers],[Investor ID]]:LS[[#This Row],[Investor ID]],LS[[#This Row],[Investor ID]])</f>
        <v>0</v>
      </c>
    </row>
    <row r="155" spans="1:23">
      <c r="A155" s="75">
        <v>2023</v>
      </c>
      <c r="B155" s="75">
        <v>7</v>
      </c>
      <c r="C155" s="75">
        <v>6</v>
      </c>
      <c r="D155" s="81">
        <f>DATE(LS[[#This Row],[Year]],LS[[#This Row],[Month]],LS[[#This Row],[Day]])</f>
        <v>45113</v>
      </c>
      <c r="E155" t="str" cm="1">
        <f t="array" ref="E155">INDEX(INVESTORS_LIST[INVESTOR NAME],MATCH(LS[[#This Row],[Investor ID]],INVESTORS_LIST[INVESTOR CODE],0),)</f>
        <v>NANDINI SAHA</v>
      </c>
      <c r="F155" s="83" t="s">
        <v>242</v>
      </c>
      <c r="G155" s="75">
        <f>COUNTIF(LS[[#Headers],[Investor ID]]:LS[[#This Row],[Investor ID]],LS[[#This Row],[Investor ID]])</f>
        <v>2</v>
      </c>
      <c r="H155" s="75" t="str">
        <f>CONCATENATE(LS[[#This Row],[Frequency]],LS[[#This Row],[Investor ID]])</f>
        <v>2A00097</v>
      </c>
      <c r="I155" s="75" t="str">
        <f>IF(LS[[#This Row],[B/S]]="B","BUY",(IF(LS[[#This Row],[B/S]]="S","SELL"," ")))</f>
        <v>BUY</v>
      </c>
      <c r="J155" s="75" t="s">
        <v>1229</v>
      </c>
      <c r="K155" s="88">
        <v>80000</v>
      </c>
      <c r="L155" s="88"/>
      <c r="M155" s="89">
        <f>LS[[#This Row],[Amount]]/LS[[#This Row],[Unit]]</f>
        <v>10.270894851713956</v>
      </c>
      <c r="N155" s="90">
        <f>LS[[#This Row],[Unit Capital]]/10</f>
        <v>7789</v>
      </c>
      <c r="O155" s="90">
        <f>SUMIFS(LS[[#Headers],[Unit]]:LS[[#This Row],[Unit]],LS[[#Headers],[Investor ID]]:LS[[#This Row],[Investor ID]],LS[[#This Row],[Investor ID]])</f>
        <v>47350</v>
      </c>
      <c r="P155" s="96">
        <v>77890</v>
      </c>
      <c r="Q155" s="48">
        <f>LS[[#This Row],[Amount]]-LS[[#This Row],[Unit Capital]]</f>
        <v>2110</v>
      </c>
      <c r="R15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10.13727560718057</v>
      </c>
      <c r="S155" s="89">
        <f t="shared" si="2"/>
        <v>14.224</v>
      </c>
      <c r="T15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5" s="96" cm="1">
        <f t="array" ref="U155">IF(LS[[#This Row],[B/S]]="S",ABS(LS[[#This Row],[Unit]])*(INDEX(LS[NAV at Cost (Average)],MATCH(CONCATENATE((LS[[#This Row],[Frequency]]-1),LS[[#This Row],[Investor ID]]),LS[Unique Code],0),0)),0)</f>
        <v>0</v>
      </c>
      <c r="V155" s="96">
        <f>IF(LS[[#This Row],[BO TRANSFER]]="YES",LS[[#This Row],[Unit]],)</f>
        <v>0</v>
      </c>
      <c r="W155" s="96">
        <f>SUMIFS(LS[[#Headers],[BO UNIT TRANSFER]]:LS[[#This Row],[BO UNIT TRANSFER]],LS[[#Headers],[Investor ID]]:LS[[#This Row],[Investor ID]],LS[[#This Row],[Investor ID]])</f>
        <v>0</v>
      </c>
    </row>
    <row r="156" spans="1:23">
      <c r="A156" s="75">
        <v>2023</v>
      </c>
      <c r="B156" s="75">
        <v>7</v>
      </c>
      <c r="C156" s="75">
        <v>12</v>
      </c>
      <c r="D156" s="81">
        <f>DATE(LS[[#This Row],[Year]],LS[[#This Row],[Month]],LS[[#This Row],[Day]])</f>
        <v>45119</v>
      </c>
      <c r="E156" t="str" cm="1">
        <f t="array" ref="E156">INDEX(INVESTORS_LIST[INVESTOR NAME],MATCH(LS[[#This Row],[Investor ID]],INVESTORS_LIST[INVESTOR CODE],0),)</f>
        <v>A.N.M. GOLAM SHABBIR</v>
      </c>
      <c r="F156" s="83" t="s">
        <v>1056</v>
      </c>
      <c r="G156" s="75">
        <f>COUNTIF(LS[[#Headers],[Investor ID]]:LS[[#This Row],[Investor ID]],LS[[#This Row],[Investor ID]])</f>
        <v>1</v>
      </c>
      <c r="H156" s="75" t="str">
        <f>CONCATENATE(LS[[#This Row],[Frequency]],LS[[#This Row],[Investor ID]])</f>
        <v>1A00505</v>
      </c>
      <c r="I156" s="75" t="str">
        <f>IF(LS[[#This Row],[B/S]]="B","BUY",(IF(LS[[#This Row],[B/S]]="S","SELL"," ")))</f>
        <v>BUY</v>
      </c>
      <c r="J156" s="75" t="s">
        <v>1229</v>
      </c>
      <c r="K156" s="88">
        <v>600000</v>
      </c>
      <c r="L156" s="88"/>
      <c r="M156" s="89">
        <f>LS[[#This Row],[Amount]]/LS[[#This Row],[Unit]]</f>
        <v>10.297954139777564</v>
      </c>
      <c r="N156" s="90">
        <f>LS[[#This Row],[Unit Capital]]/10</f>
        <v>58264</v>
      </c>
      <c r="O156" s="90">
        <f>SUMIFS(LS[[#Headers],[Unit]]:LS[[#This Row],[Unit]],LS[[#Headers],[Investor ID]]:LS[[#This Row],[Investor ID]],LS[[#This Row],[Investor ID]])</f>
        <v>58264</v>
      </c>
      <c r="P156" s="96">
        <v>582640</v>
      </c>
      <c r="Q156" s="48">
        <f>LS[[#This Row],[Amount]]-LS[[#This Row],[Unit Capital]]</f>
        <v>17360</v>
      </c>
      <c r="R15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10.297954139777564</v>
      </c>
      <c r="S156" s="89">
        <f t="shared" si="2"/>
        <v>14.224</v>
      </c>
      <c r="T15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6" s="96" cm="1">
        <f t="array" ref="U156">IF(LS[[#This Row],[B/S]]="S",ABS(LS[[#This Row],[Unit]])*(INDEX(LS[NAV at Cost (Average)],MATCH(CONCATENATE((LS[[#This Row],[Frequency]]-1),LS[[#This Row],[Investor ID]]),LS[Unique Code],0),0)),0)</f>
        <v>0</v>
      </c>
      <c r="V156" s="96">
        <f>IF(LS[[#This Row],[BO TRANSFER]]="YES",LS[[#This Row],[Unit]],)</f>
        <v>0</v>
      </c>
      <c r="W156" s="96">
        <f>SUMIFS(LS[[#Headers],[BO UNIT TRANSFER]]:LS[[#This Row],[BO UNIT TRANSFER]],LS[[#Headers],[Investor ID]]:LS[[#This Row],[Investor ID]],LS[[#This Row],[Investor ID]])</f>
        <v>0</v>
      </c>
    </row>
    <row r="157" spans="1:23">
      <c r="A157" s="75">
        <v>2023</v>
      </c>
      <c r="B157" s="75">
        <v>7</v>
      </c>
      <c r="C157" s="75">
        <v>13</v>
      </c>
      <c r="D157" s="81">
        <f>DATE(LS[[#This Row],[Year]],LS[[#This Row],[Month]],LS[[#This Row],[Day]])</f>
        <v>45120</v>
      </c>
      <c r="E157" t="str" cm="1">
        <f t="array" ref="E157">INDEX(INVESTORS_LIST[INVESTOR NAME],MATCH(LS[[#This Row],[Investor ID]],INVESTORS_LIST[INVESTOR CODE],0),)</f>
        <v>MOHAMMAD HUMAYAN RASHID</v>
      </c>
      <c r="F157" s="83" t="s">
        <v>974</v>
      </c>
      <c r="G157" s="75">
        <f>COUNTIF(LS[[#Headers],[Investor ID]]:LS[[#This Row],[Investor ID]],LS[[#This Row],[Investor ID]])</f>
        <v>4</v>
      </c>
      <c r="H157" s="75" t="str">
        <f>CONCATENATE(LS[[#This Row],[Frequency]],LS[[#This Row],[Investor ID]])</f>
        <v>4A00464</v>
      </c>
      <c r="I157" s="75" t="str">
        <f>IF(LS[[#This Row],[B/S]]="B","BUY",(IF(LS[[#This Row],[B/S]]="S","SELL"," ")))</f>
        <v>BUY</v>
      </c>
      <c r="J157" s="75" t="s">
        <v>1229</v>
      </c>
      <c r="K157" s="88">
        <v>1500000</v>
      </c>
      <c r="L157" s="88"/>
      <c r="M157" s="89">
        <f>LS[[#This Row],[Amount]]/LS[[#This Row],[Unit]]</f>
        <v>10.271017926349954</v>
      </c>
      <c r="N157" s="90">
        <f>LS[[#This Row],[Unit Capital]]/10</f>
        <v>146042</v>
      </c>
      <c r="O157" s="90">
        <f>SUMIFS(LS[[#Headers],[Unit]]:LS[[#This Row],[Unit]],LS[[#Headers],[Investor ID]]:LS[[#This Row],[Investor ID]],LS[[#This Row],[Investor ID]])</f>
        <v>346042</v>
      </c>
      <c r="P157" s="96">
        <v>1460420</v>
      </c>
      <c r="Q157" s="48">
        <f>LS[[#This Row],[Amount]]-LS[[#This Row],[Unit Capital]]</f>
        <v>39580</v>
      </c>
      <c r="R15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10.129261765912808</v>
      </c>
      <c r="S157" s="89">
        <f t="shared" si="2"/>
        <v>14.224</v>
      </c>
      <c r="T15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7" s="96" cm="1">
        <f t="array" ref="U157">IF(LS[[#This Row],[B/S]]="S",ABS(LS[[#This Row],[Unit]])*(INDEX(LS[NAV at Cost (Average)],MATCH(CONCATENATE((LS[[#This Row],[Frequency]]-1),LS[[#This Row],[Investor ID]]),LS[Unique Code],0),0)),0)</f>
        <v>0</v>
      </c>
      <c r="V157" s="96">
        <f>IF(LS[[#This Row],[BO TRANSFER]]="YES",LS[[#This Row],[Unit]],)</f>
        <v>0</v>
      </c>
      <c r="W157" s="96">
        <f>SUMIFS(LS[[#Headers],[BO UNIT TRANSFER]]:LS[[#This Row],[BO UNIT TRANSFER]],LS[[#Headers],[Investor ID]]:LS[[#This Row],[Investor ID]],LS[[#This Row],[Investor ID]])</f>
        <v>0</v>
      </c>
    </row>
    <row r="158" spans="1:23">
      <c r="A158" s="75">
        <v>2023</v>
      </c>
      <c r="B158" s="75">
        <v>7</v>
      </c>
      <c r="C158" s="75">
        <v>13</v>
      </c>
      <c r="D158" s="81">
        <f>DATE(LS[[#This Row],[Year]],LS[[#This Row],[Month]],LS[[#This Row],[Day]])</f>
        <v>45120</v>
      </c>
      <c r="E158" t="str" cm="1">
        <f t="array" ref="E158">INDEX(INVESTORS_LIST[INVESTOR NAME],MATCH(LS[[#This Row],[Investor ID]],INVESTORS_LIST[INVESTOR CODE],0),)</f>
        <v>MOHAMMAD HUMAYAN RASHID</v>
      </c>
      <c r="F158" s="83" t="s">
        <v>974</v>
      </c>
      <c r="G158" s="75">
        <f>COUNTIF(LS[[#Headers],[Investor ID]]:LS[[#This Row],[Investor ID]],LS[[#This Row],[Investor ID]])</f>
        <v>5</v>
      </c>
      <c r="H158" s="75" t="str">
        <f>CONCATENATE(LS[[#This Row],[Frequency]],LS[[#This Row],[Investor ID]])</f>
        <v>5A00464</v>
      </c>
      <c r="I158" s="75" t="str">
        <f>IF(LS[[#This Row],[B/S]]="B","BUY",(IF(LS[[#This Row],[B/S]]="S","SELL"," ")))</f>
        <v>BUY</v>
      </c>
      <c r="J158" s="75" t="s">
        <v>1229</v>
      </c>
      <c r="K158" s="88">
        <v>40757</v>
      </c>
      <c r="L158" s="88"/>
      <c r="M158" s="89">
        <f>LS[[#This Row],[Amount]]/LS[[#This Row],[Unit]]</f>
        <v>10.297372410308236</v>
      </c>
      <c r="N158" s="90">
        <f>LS[[#This Row],[Unit Capital]]/10</f>
        <v>3958</v>
      </c>
      <c r="O158" s="90">
        <f>SUMIFS(LS[[#Headers],[Unit]]:LS[[#This Row],[Unit]],LS[[#Headers],[Investor ID]]:LS[[#This Row],[Investor ID]],LS[[#This Row],[Investor ID]])</f>
        <v>350000</v>
      </c>
      <c r="P158" s="96">
        <v>39580</v>
      </c>
      <c r="Q158" s="48">
        <f>LS[[#This Row],[Amount]]-LS[[#This Row],[Unit Capital]]</f>
        <v>1177</v>
      </c>
      <c r="R15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10.131162857142858</v>
      </c>
      <c r="S158" s="89">
        <f t="shared" si="2"/>
        <v>14.224</v>
      </c>
      <c r="T15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8" s="96" cm="1">
        <f t="array" ref="U158">IF(LS[[#This Row],[B/S]]="S",ABS(LS[[#This Row],[Unit]])*(INDEX(LS[NAV at Cost (Average)],MATCH(CONCATENATE((LS[[#This Row],[Frequency]]-1),LS[[#This Row],[Investor ID]]),LS[Unique Code],0),0)),0)</f>
        <v>0</v>
      </c>
      <c r="V158" s="96">
        <f>IF(LS[[#This Row],[BO TRANSFER]]="YES",LS[[#This Row],[Unit]],)</f>
        <v>0</v>
      </c>
      <c r="W158" s="96">
        <f>SUMIFS(LS[[#Headers],[BO UNIT TRANSFER]]:LS[[#This Row],[BO UNIT TRANSFER]],LS[[#Headers],[Investor ID]]:LS[[#This Row],[Investor ID]],LS[[#This Row],[Investor ID]])</f>
        <v>0</v>
      </c>
    </row>
    <row r="159" spans="1:23">
      <c r="A159" s="75">
        <v>2023</v>
      </c>
      <c r="B159" s="75">
        <v>7</v>
      </c>
      <c r="C159" s="75">
        <v>13</v>
      </c>
      <c r="D159" s="81">
        <f>DATE(LS[[#This Row],[Year]],LS[[#This Row],[Month]],LS[[#This Row],[Day]])</f>
        <v>45120</v>
      </c>
      <c r="E159" t="str" cm="1">
        <f t="array" ref="E159">INDEX(INVESTORS_LIST[INVESTOR NAME],MATCH(LS[[#This Row],[Investor ID]],INVESTORS_LIST[INVESTOR CODE],0),)</f>
        <v>MICHAEL BEA</v>
      </c>
      <c r="F159" s="83" t="s">
        <v>994</v>
      </c>
      <c r="G159" s="75">
        <f>COUNTIF(LS[[#Headers],[Investor ID]]:LS[[#This Row],[Investor ID]],LS[[#This Row],[Investor ID]])</f>
        <v>2</v>
      </c>
      <c r="H159" s="75" t="str">
        <f>CONCATENATE(LS[[#This Row],[Frequency]],LS[[#This Row],[Investor ID]])</f>
        <v>2A00474</v>
      </c>
      <c r="I159" s="75" t="str">
        <f>IF(LS[[#This Row],[B/S]]="B","BUY",(IF(LS[[#This Row],[B/S]]="S","SELL"," ")))</f>
        <v>BUY</v>
      </c>
      <c r="J159" s="75" t="s">
        <v>1229</v>
      </c>
      <c r="K159" s="88">
        <v>15655</v>
      </c>
      <c r="L159" s="88"/>
      <c r="M159" s="89">
        <f>LS[[#This Row],[Amount]]/LS[[#This Row],[Unit]]</f>
        <v>10.299342105263158</v>
      </c>
      <c r="N159" s="90">
        <f>LS[[#This Row],[Unit Capital]]/10</f>
        <v>1520</v>
      </c>
      <c r="O159" s="90">
        <f>SUMIFS(LS[[#Headers],[Unit]]:LS[[#This Row],[Unit]],LS[[#Headers],[Investor ID]]:LS[[#This Row],[Investor ID]],LS[[#This Row],[Investor ID]])</f>
        <v>2311</v>
      </c>
      <c r="P159" s="96">
        <v>15200</v>
      </c>
      <c r="Q159" s="48">
        <f>LS[[#This Row],[Amount]]-LS[[#This Row],[Unit Capital]]</f>
        <v>455</v>
      </c>
      <c r="R15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10.235828645607961</v>
      </c>
      <c r="S159" s="89">
        <f t="shared" si="2"/>
        <v>14.224</v>
      </c>
      <c r="T15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9" s="96" cm="1">
        <f t="array" ref="U159">IF(LS[[#This Row],[B/S]]="S",ABS(LS[[#This Row],[Unit]])*(INDEX(LS[NAV at Cost (Average)],MATCH(CONCATENATE((LS[[#This Row],[Frequency]]-1),LS[[#This Row],[Investor ID]]),LS[Unique Code],0),0)),0)</f>
        <v>0</v>
      </c>
      <c r="V159" s="96">
        <f>IF(LS[[#This Row],[BO TRANSFER]]="YES",LS[[#This Row],[Unit]],)</f>
        <v>0</v>
      </c>
      <c r="W159" s="96">
        <f>SUMIFS(LS[[#Headers],[BO UNIT TRANSFER]]:LS[[#This Row],[BO UNIT TRANSFER]],LS[[#Headers],[Investor ID]]:LS[[#This Row],[Investor ID]],LS[[#This Row],[Investor ID]])</f>
        <v>0</v>
      </c>
    </row>
    <row r="160" spans="1:23">
      <c r="A160" s="75">
        <v>2023</v>
      </c>
      <c r="B160" s="75">
        <v>7</v>
      </c>
      <c r="C160" s="75">
        <v>13</v>
      </c>
      <c r="D160" s="81">
        <f>DATE(LS[[#This Row],[Year]],LS[[#This Row],[Month]],LS[[#This Row],[Day]])</f>
        <v>45120</v>
      </c>
      <c r="E160" t="str" cm="1">
        <f t="array" ref="E160">INDEX(INVESTORS_LIST[INVESTOR NAME],MATCH(LS[[#This Row],[Investor ID]],INVESTORS_LIST[INVESTOR CODE],0),)</f>
        <v>BILKISS ARA</v>
      </c>
      <c r="F160" s="83" t="s">
        <v>194</v>
      </c>
      <c r="G160" s="75">
        <f>COUNTIF(LS[[#Headers],[Investor ID]]:LS[[#This Row],[Investor ID]],LS[[#This Row],[Investor ID]])</f>
        <v>4</v>
      </c>
      <c r="H160" s="75" t="str">
        <f>CONCATENATE(LS[[#This Row],[Frequency]],LS[[#This Row],[Investor ID]])</f>
        <v>4A00073</v>
      </c>
      <c r="I160" s="75" t="str">
        <f>IF(LS[[#This Row],[B/S]]="B","BUY",(IF(LS[[#This Row],[B/S]]="S","SELL"," ")))</f>
        <v>SELL</v>
      </c>
      <c r="J160" s="75" t="s">
        <v>1231</v>
      </c>
      <c r="K160" s="88">
        <v>-427500.87</v>
      </c>
      <c r="L160" s="88"/>
      <c r="M160" s="89">
        <f>LS[[#This Row],[Amount]]/LS[[#This Row],[Unit]]</f>
        <v>10.297999903644641</v>
      </c>
      <c r="N160" s="90">
        <f>LS[[#This Row],[Unit Capital]]/10</f>
        <v>-41513</v>
      </c>
      <c r="O160" s="90">
        <f>SUMIFS(LS[[#Headers],[Unit]]:LS[[#This Row],[Unit]],LS[[#Headers],[Investor ID]]:LS[[#This Row],[Investor ID]],LS[[#This Row],[Investor ID]])</f>
        <v>0</v>
      </c>
      <c r="P160" s="96">
        <v>-415130</v>
      </c>
      <c r="Q160" s="48">
        <f>LS[[#This Row],[Amount]]-LS[[#This Row],[Unit Capital]]</f>
        <v>-12370.869999999995</v>
      </c>
      <c r="R16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60" s="89">
        <f t="shared" si="2"/>
        <v>14.224</v>
      </c>
      <c r="T160" s="96">
        <f>IF(LS[[#This Row],[B/S]]="B",0,ABS(LS[[#This Row],[Unit]])*(LS[[#This Row],[NAV (Strike Rate)]]-INDEX(LS[NAV at Cost (Average)],MATCH(CONCATENATE(LS[[#This Row],[Frequency]]-1,LS[[#This Row],[Investor ID]]),LS[Unique Code],0),)))</f>
        <v>12370.869999999974</v>
      </c>
      <c r="U160" s="96" cm="1">
        <f t="array" ref="U160">IF(LS[[#This Row],[B/S]]="S",ABS(LS[[#This Row],[Unit]])*(INDEX(LS[NAV at Cost (Average)],MATCH(CONCATENATE((LS[[#This Row],[Frequency]]-1),LS[[#This Row],[Investor ID]]),LS[Unique Code],0),0)),0)</f>
        <v>415130</v>
      </c>
      <c r="V160" s="96">
        <f>IF(LS[[#This Row],[BO TRANSFER]]="YES",LS[[#This Row],[Unit]],)</f>
        <v>0</v>
      </c>
      <c r="W160" s="96">
        <f>SUMIFS(LS[[#Headers],[BO UNIT TRANSFER]]:LS[[#This Row],[BO UNIT TRANSFER]],LS[[#Headers],[Investor ID]]:LS[[#This Row],[Investor ID]],LS[[#This Row],[Investor ID]])</f>
        <v>0</v>
      </c>
    </row>
    <row r="161" spans="1:23">
      <c r="A161" s="75">
        <v>2023</v>
      </c>
      <c r="B161" s="75">
        <v>7</v>
      </c>
      <c r="C161" s="75">
        <v>17</v>
      </c>
      <c r="D161" s="81">
        <f>DATE(LS[[#This Row],[Year]],LS[[#This Row],[Month]],LS[[#This Row],[Day]])</f>
        <v>45124</v>
      </c>
      <c r="E161" t="str" cm="1">
        <f t="array" ref="E161">INDEX(INVESTORS_LIST[INVESTOR NAME],MATCH(LS[[#This Row],[Investor ID]],INVESTORS_LIST[INVESTOR CODE],0),)</f>
        <v>TANVIR HASAN</v>
      </c>
      <c r="F161" s="97" t="s">
        <v>1468</v>
      </c>
      <c r="G161" s="75">
        <f>COUNTIF(LS[[#Headers],[Investor ID]]:LS[[#This Row],[Investor ID]],LS[[#This Row],[Investor ID]])</f>
        <v>2</v>
      </c>
      <c r="H161" s="75" t="str">
        <f>CONCATENATE(LS[[#This Row],[Frequency]],LS[[#This Row],[Investor ID]])</f>
        <v>2A00679</v>
      </c>
      <c r="I161" s="75" t="str">
        <f>IF(LS[[#This Row],[B/S]]="B","BUY",(IF(LS[[#This Row],[B/S]]="S","SELL"," ")))</f>
        <v>SELL</v>
      </c>
      <c r="J161" s="75" t="s">
        <v>1231</v>
      </c>
      <c r="K161" s="88">
        <v>-252873.37</v>
      </c>
      <c r="L161" s="88"/>
      <c r="M161" s="89">
        <f>LS[[#This Row],[Amount]]/LS[[#This Row],[Unit]]</f>
        <v>10.31</v>
      </c>
      <c r="N161" s="90">
        <f>LS[[#This Row],[Unit Capital]]/10</f>
        <v>-24527</v>
      </c>
      <c r="O161" s="90">
        <f>SUMIFS(LS[[#Headers],[Unit]]:LS[[#This Row],[Unit]],LS[[#Headers],[Investor ID]]:LS[[#This Row],[Investor ID]],LS[[#This Row],[Investor ID]])</f>
        <v>0</v>
      </c>
      <c r="P161" s="96">
        <v>-245270</v>
      </c>
      <c r="Q161" s="48">
        <f>LS[[#This Row],[Amount]]-LS[[#This Row],[Unit Capital]]</f>
        <v>-7603.3699999999953</v>
      </c>
      <c r="R16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61" s="89">
        <f t="shared" si="2"/>
        <v>14.224</v>
      </c>
      <c r="T161" s="96">
        <f>IF(LS[[#This Row],[B/S]]="B",0,ABS(LS[[#This Row],[Unit]])*(LS[[#This Row],[NAV (Strike Rate)]]-INDEX(LS[NAV at Cost (Average)],MATCH(CONCATENATE(LS[[#This Row],[Frequency]]-1,LS[[#This Row],[Investor ID]]),LS[Unique Code],0),)))</f>
        <v>2873.3700000000226</v>
      </c>
      <c r="U161" s="96" cm="1">
        <f t="array" ref="U161">IF(LS[[#This Row],[B/S]]="S",ABS(LS[[#This Row],[Unit]])*(INDEX(LS[NAV at Cost (Average)],MATCH(CONCATENATE((LS[[#This Row],[Frequency]]-1),LS[[#This Row],[Investor ID]]),LS[Unique Code],0),0)),0)</f>
        <v>250000</v>
      </c>
      <c r="V161" s="96">
        <f>IF(LS[[#This Row],[BO TRANSFER]]="YES",LS[[#This Row],[Unit]],)</f>
        <v>0</v>
      </c>
      <c r="W161" s="96">
        <f>SUMIFS(LS[[#Headers],[BO UNIT TRANSFER]]:LS[[#This Row],[BO UNIT TRANSFER]],LS[[#Headers],[Investor ID]]:LS[[#This Row],[Investor ID]],LS[[#This Row],[Investor ID]])</f>
        <v>0</v>
      </c>
    </row>
    <row r="162" spans="1:23">
      <c r="A162" s="75">
        <v>2023</v>
      </c>
      <c r="B162" s="75">
        <v>7</v>
      </c>
      <c r="C162" s="75">
        <v>18</v>
      </c>
      <c r="D162" s="81">
        <f>DATE(LS[[#This Row],[Year]],LS[[#This Row],[Month]],LS[[#This Row],[Day]])</f>
        <v>45125</v>
      </c>
      <c r="E162" t="str" cm="1">
        <f t="array" ref="E162">INDEX(INVESTORS_LIST[INVESTOR NAME],MATCH(LS[[#This Row],[Investor ID]],INVESTORS_LIST[INVESTOR CODE],0),)</f>
        <v>ASFIA AFRIN TONNY</v>
      </c>
      <c r="F162" s="83" t="s">
        <v>1061</v>
      </c>
      <c r="G162" s="75">
        <f>COUNTIF(LS[[#Headers],[Investor ID]]:LS[[#This Row],[Investor ID]],LS[[#This Row],[Investor ID]])</f>
        <v>1</v>
      </c>
      <c r="H162" s="75" t="str">
        <f>CONCATENATE(LS[[#This Row],[Frequency]],LS[[#This Row],[Investor ID]])</f>
        <v>1A00508</v>
      </c>
      <c r="I162" s="75" t="str">
        <f>IF(LS[[#This Row],[B/S]]="B","BUY",(IF(LS[[#This Row],[B/S]]="S","SELL"," ")))</f>
        <v>BUY</v>
      </c>
      <c r="J162" s="75" t="s">
        <v>1229</v>
      </c>
      <c r="K162" s="88">
        <v>200000</v>
      </c>
      <c r="L162" s="88"/>
      <c r="M162" s="89">
        <f>LS[[#This Row],[Amount]]/LS[[#This Row],[Unit]]</f>
        <v>10.309809784009484</v>
      </c>
      <c r="N162" s="90">
        <f>LS[[#This Row],[Unit Capital]]/10</f>
        <v>19399</v>
      </c>
      <c r="O162" s="90">
        <f>SUMIFS(LS[[#Headers],[Unit]]:LS[[#This Row],[Unit]],LS[[#Headers],[Investor ID]]:LS[[#This Row],[Investor ID]],LS[[#This Row],[Investor ID]])</f>
        <v>19399</v>
      </c>
      <c r="P162" s="96">
        <v>193990</v>
      </c>
      <c r="Q162" s="48">
        <f>LS[[#This Row],[Amount]]-LS[[#This Row],[Unit Capital]]</f>
        <v>6010</v>
      </c>
      <c r="R16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10.309809784009484</v>
      </c>
      <c r="S162" s="89">
        <f t="shared" si="2"/>
        <v>14.224</v>
      </c>
      <c r="T16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2" s="96" cm="1">
        <f t="array" ref="U162">IF(LS[[#This Row],[B/S]]="S",ABS(LS[[#This Row],[Unit]])*(INDEX(LS[NAV at Cost (Average)],MATCH(CONCATENATE((LS[[#This Row],[Frequency]]-1),LS[[#This Row],[Investor ID]]),LS[Unique Code],0),0)),0)</f>
        <v>0</v>
      </c>
      <c r="V162" s="96">
        <f>IF(LS[[#This Row],[BO TRANSFER]]="YES",LS[[#This Row],[Unit]],)</f>
        <v>0</v>
      </c>
      <c r="W162" s="96">
        <f>SUMIFS(LS[[#Headers],[BO UNIT TRANSFER]]:LS[[#This Row],[BO UNIT TRANSFER]],LS[[#Headers],[Investor ID]]:LS[[#This Row],[Investor ID]],LS[[#This Row],[Investor ID]])</f>
        <v>0</v>
      </c>
    </row>
    <row r="163" spans="1:23">
      <c r="A163" s="75">
        <v>2023</v>
      </c>
      <c r="B163" s="75">
        <v>7</v>
      </c>
      <c r="C163" s="75">
        <v>19</v>
      </c>
      <c r="D163" s="81">
        <f>DATE(LS[[#This Row],[Year]],LS[[#This Row],[Month]],LS[[#This Row],[Day]])</f>
        <v>45126</v>
      </c>
      <c r="E163" t="str" cm="1">
        <f t="array" ref="E163">INDEX(INVESTORS_LIST[INVESTOR NAME],MATCH(LS[[#This Row],[Investor ID]],INVESTORS_LIST[INVESTOR CODE],0),)</f>
        <v>MAHFUZUL ISLAM</v>
      </c>
      <c r="F163" s="83" t="s">
        <v>473</v>
      </c>
      <c r="G163" s="75">
        <f>COUNTIF(LS[[#Headers],[Investor ID]]:LS[[#This Row],[Investor ID]],LS[[#This Row],[Investor ID]])</f>
        <v>2</v>
      </c>
      <c r="H163" s="75" t="str">
        <f>CONCATENATE(LS[[#This Row],[Frequency]],LS[[#This Row],[Investor ID]])</f>
        <v>2A00212</v>
      </c>
      <c r="I163" s="75" t="str">
        <f>IF(LS[[#This Row],[B/S]]="B","BUY",(IF(LS[[#This Row],[B/S]]="S","SELL"," ")))</f>
        <v>SELL</v>
      </c>
      <c r="J163" s="75" t="s">
        <v>1231</v>
      </c>
      <c r="K163" s="88">
        <v>-30930</v>
      </c>
      <c r="L163" s="88"/>
      <c r="M163" s="89">
        <f>LS[[#This Row],[Amount]]/LS[[#This Row],[Unit]]</f>
        <v>10.31</v>
      </c>
      <c r="N163" s="90">
        <f>LS[[#This Row],[Unit Capital]]/10</f>
        <v>-3000</v>
      </c>
      <c r="O163" s="90">
        <f>SUMIFS(LS[[#Headers],[Unit]]:LS[[#This Row],[Unit]],LS[[#Headers],[Investor ID]]:LS[[#This Row],[Investor ID]],LS[[#This Row],[Investor ID]])</f>
        <v>17000</v>
      </c>
      <c r="P163" s="96">
        <v>-30000</v>
      </c>
      <c r="Q163" s="48">
        <f>LS[[#This Row],[Amount]]-LS[[#This Row],[Unit Capital]]</f>
        <v>-930</v>
      </c>
      <c r="R16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</v>
      </c>
      <c r="S163" s="89">
        <f t="shared" si="2"/>
        <v>14.224</v>
      </c>
      <c r="T163" s="96">
        <f>IF(LS[[#This Row],[B/S]]="B",0,ABS(LS[[#This Row],[Unit]])*(LS[[#This Row],[NAV (Strike Rate)]]-INDEX(LS[NAV at Cost (Average)],MATCH(CONCATENATE(LS[[#This Row],[Frequency]]-1,LS[[#This Row],[Investor ID]]),LS[Unique Code],0),)))</f>
        <v>228.00000000000153</v>
      </c>
      <c r="U163" s="96" cm="1">
        <f t="array" ref="U163">IF(LS[[#This Row],[B/S]]="S",ABS(LS[[#This Row],[Unit]])*(INDEX(LS[NAV at Cost (Average)],MATCH(CONCATENATE((LS[[#This Row],[Frequency]]-1),LS[[#This Row],[Investor ID]]),LS[Unique Code],0),0)),0)</f>
        <v>30702</v>
      </c>
      <c r="V163" s="96">
        <f>IF(LS[[#This Row],[BO TRANSFER]]="YES",LS[[#This Row],[Unit]],)</f>
        <v>0</v>
      </c>
      <c r="W163" s="96">
        <f>SUMIFS(LS[[#Headers],[BO UNIT TRANSFER]]:LS[[#This Row],[BO UNIT TRANSFER]],LS[[#Headers],[Investor ID]]:LS[[#This Row],[Investor ID]],LS[[#This Row],[Investor ID]])</f>
        <v>0</v>
      </c>
    </row>
    <row r="164" spans="1:23">
      <c r="A164" s="75">
        <v>2023</v>
      </c>
      <c r="B164" s="75">
        <v>7</v>
      </c>
      <c r="C164" s="75">
        <v>20</v>
      </c>
      <c r="D164" s="81">
        <f>DATE(LS[[#This Row],[Year]],LS[[#This Row],[Month]],LS[[#This Row],[Day]])</f>
        <v>45127</v>
      </c>
      <c r="E164" t="str" cm="1">
        <f t="array" ref="E164">INDEX(INVESTORS_LIST[INVESTOR NAME],MATCH(LS[[#This Row],[Investor ID]],INVESTORS_LIST[INVESTOR CODE],0),)</f>
        <v>MUSTAFA KAMAL MASUD</v>
      </c>
      <c r="F164" s="83" t="s">
        <v>1026</v>
      </c>
      <c r="G164" s="75">
        <f>COUNTIF(LS[[#Headers],[Investor ID]]:LS[[#This Row],[Investor ID]],LS[[#This Row],[Investor ID]])</f>
        <v>3</v>
      </c>
      <c r="H164" s="75" t="str">
        <f>CONCATENATE(LS[[#This Row],[Frequency]],LS[[#This Row],[Investor ID]])</f>
        <v>3A00490</v>
      </c>
      <c r="I164" s="75" t="str">
        <f>IF(LS[[#This Row],[B/S]]="B","BUY",(IF(LS[[#This Row],[B/S]]="S","SELL"," ")))</f>
        <v>BUY</v>
      </c>
      <c r="J164" s="75" t="s">
        <v>1229</v>
      </c>
      <c r="K164" s="88">
        <v>500825</v>
      </c>
      <c r="L164" s="88"/>
      <c r="M164" s="89">
        <f>LS[[#This Row],[Amount]]/LS[[#This Row],[Unit]]</f>
        <v>10.271015770800435</v>
      </c>
      <c r="N164" s="90">
        <f>LS[[#This Row],[Unit Capital]]/10</f>
        <v>48761</v>
      </c>
      <c r="O164" s="90">
        <f>SUMIFS(LS[[#Headers],[Unit]]:LS[[#This Row],[Unit]],LS[[#Headers],[Investor ID]]:LS[[#This Row],[Investor ID]],LS[[#This Row],[Investor ID]])</f>
        <v>98107</v>
      </c>
      <c r="P164" s="96">
        <v>487610</v>
      </c>
      <c r="Q164" s="48">
        <f>LS[[#This Row],[Amount]]-LS[[#This Row],[Unit Capital]]</f>
        <v>13215</v>
      </c>
      <c r="R16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10.23175144111357</v>
      </c>
      <c r="S164" s="89">
        <f t="shared" si="2"/>
        <v>14.224</v>
      </c>
      <c r="T16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4" s="96" cm="1">
        <f t="array" ref="U164">IF(LS[[#This Row],[B/S]]="S",ABS(LS[[#This Row],[Unit]])*(INDEX(LS[NAV at Cost (Average)],MATCH(CONCATENATE((LS[[#This Row],[Frequency]]-1),LS[[#This Row],[Investor ID]]),LS[Unique Code],0),0)),0)</f>
        <v>0</v>
      </c>
      <c r="V164" s="96">
        <f>IF(LS[[#This Row],[BO TRANSFER]]="YES",LS[[#This Row],[Unit]],)</f>
        <v>0</v>
      </c>
      <c r="W164" s="96">
        <f>SUMIFS(LS[[#Headers],[BO UNIT TRANSFER]]:LS[[#This Row],[BO UNIT TRANSFER]],LS[[#Headers],[Investor ID]]:LS[[#This Row],[Investor ID]],LS[[#This Row],[Investor ID]])</f>
        <v>0</v>
      </c>
    </row>
    <row r="165" spans="1:23">
      <c r="A165" s="75">
        <v>2023</v>
      </c>
      <c r="B165" s="75">
        <v>7</v>
      </c>
      <c r="C165" s="75">
        <v>20</v>
      </c>
      <c r="D165" s="81">
        <f>DATE(LS[[#This Row],[Year]],LS[[#This Row],[Month]],LS[[#This Row],[Day]])</f>
        <v>45127</v>
      </c>
      <c r="E165" t="str" cm="1">
        <f t="array" ref="E165">INDEX(INVESTORS_LIST[INVESTOR NAME],MATCH(LS[[#This Row],[Investor ID]],INVESTORS_LIST[INVESTOR CODE],0),)</f>
        <v>UMMYA ROMAN</v>
      </c>
      <c r="F165" s="83" t="s">
        <v>1059</v>
      </c>
      <c r="G165" s="75">
        <f>COUNTIF(LS[[#Headers],[Investor ID]]:LS[[#This Row],[Investor ID]],LS[[#This Row],[Investor ID]])</f>
        <v>1</v>
      </c>
      <c r="H165" s="75" t="str">
        <f>CONCATENATE(LS[[#This Row],[Frequency]],LS[[#This Row],[Investor ID]])</f>
        <v>1A00507</v>
      </c>
      <c r="I165" s="75" t="str">
        <f>IF(LS[[#This Row],[B/S]]="B","BUY",(IF(LS[[#This Row],[B/S]]="S","SELL"," ")))</f>
        <v>BUY</v>
      </c>
      <c r="J165" s="75" t="s">
        <v>1229</v>
      </c>
      <c r="K165" s="88">
        <v>700000</v>
      </c>
      <c r="L165" s="88"/>
      <c r="M165" s="89">
        <f>LS[[#This Row],[Amount]]/LS[[#This Row],[Unit]]</f>
        <v>10.310037557993962</v>
      </c>
      <c r="N165" s="90">
        <f>LS[[#This Row],[Unit Capital]]/10</f>
        <v>67895</v>
      </c>
      <c r="O165" s="90">
        <f>SUMIFS(LS[[#Headers],[Unit]]:LS[[#This Row],[Unit]],LS[[#Headers],[Investor ID]]:LS[[#This Row],[Investor ID]],LS[[#This Row],[Investor ID]])</f>
        <v>67895</v>
      </c>
      <c r="P165" s="96">
        <v>678950</v>
      </c>
      <c r="Q165" s="48">
        <f>LS[[#This Row],[Amount]]-LS[[#This Row],[Unit Capital]]</f>
        <v>21050</v>
      </c>
      <c r="R16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10.310037557993962</v>
      </c>
      <c r="S165" s="89">
        <f t="shared" si="2"/>
        <v>14.224</v>
      </c>
      <c r="T16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5" s="96" cm="1">
        <f t="array" ref="U165">IF(LS[[#This Row],[B/S]]="S",ABS(LS[[#This Row],[Unit]])*(INDEX(LS[NAV at Cost (Average)],MATCH(CONCATENATE((LS[[#This Row],[Frequency]]-1),LS[[#This Row],[Investor ID]]),LS[Unique Code],0),0)),0)</f>
        <v>0</v>
      </c>
      <c r="V165" s="96">
        <f>IF(LS[[#This Row],[BO TRANSFER]]="YES",LS[[#This Row],[Unit]],)</f>
        <v>0</v>
      </c>
      <c r="W165" s="96">
        <f>SUMIFS(LS[[#Headers],[BO UNIT TRANSFER]]:LS[[#This Row],[BO UNIT TRANSFER]],LS[[#Headers],[Investor ID]]:LS[[#This Row],[Investor ID]],LS[[#This Row],[Investor ID]])</f>
        <v>0</v>
      </c>
    </row>
    <row r="166" spans="1:23">
      <c r="A166" s="75">
        <v>2023</v>
      </c>
      <c r="B166" s="75">
        <v>7</v>
      </c>
      <c r="C166" s="75">
        <v>20</v>
      </c>
      <c r="D166" s="81">
        <f>DATE(LS[[#This Row],[Year]],LS[[#This Row],[Month]],LS[[#This Row],[Day]])</f>
        <v>45127</v>
      </c>
      <c r="E166" t="str" cm="1">
        <f t="array" ref="E166">INDEX(INVESTORS_LIST[INVESTOR NAME],MATCH(LS[[#This Row],[Investor ID]],INVESTORS_LIST[INVESTOR CODE],0),)</f>
        <v>NAUSHEEN AHMED</v>
      </c>
      <c r="F166" s="83" t="s">
        <v>585</v>
      </c>
      <c r="G166" s="75">
        <f>COUNTIF(LS[[#Headers],[Investor ID]]:LS[[#This Row],[Investor ID]],LS[[#This Row],[Investor ID]])</f>
        <v>1</v>
      </c>
      <c r="H166" s="75" t="str">
        <f>CONCATENATE(LS[[#This Row],[Frequency]],LS[[#This Row],[Investor ID]])</f>
        <v>1A00268</v>
      </c>
      <c r="I166" s="75" t="str">
        <f>IF(LS[[#This Row],[B/S]]="B","BUY",(IF(LS[[#This Row],[B/S]]="S","SELL"," ")))</f>
        <v>BUY</v>
      </c>
      <c r="J166" s="75" t="s">
        <v>1229</v>
      </c>
      <c r="K166" s="88">
        <v>435082</v>
      </c>
      <c r="L166" s="88"/>
      <c r="M166" s="89">
        <f>LS[[#This Row],[Amount]]/LS[[#This Row],[Unit]]</f>
        <v>10.31</v>
      </c>
      <c r="N166" s="90">
        <f>LS[[#This Row],[Unit Capital]]/10</f>
        <v>42200</v>
      </c>
      <c r="O166" s="90">
        <f>SUMIFS(LS[[#Headers],[Unit]]:LS[[#This Row],[Unit]],LS[[#Headers],[Investor ID]]:LS[[#This Row],[Investor ID]],LS[[#This Row],[Investor ID]])</f>
        <v>42200</v>
      </c>
      <c r="P166" s="96">
        <v>422000</v>
      </c>
      <c r="Q166" s="48">
        <f>LS[[#This Row],[Amount]]-LS[[#This Row],[Unit Capital]]</f>
        <v>13082</v>
      </c>
      <c r="R16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10.31</v>
      </c>
      <c r="S166" s="89">
        <f t="shared" si="2"/>
        <v>14.224</v>
      </c>
      <c r="T16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6" s="96" cm="1">
        <f t="array" ref="U166">IF(LS[[#This Row],[B/S]]="S",ABS(LS[[#This Row],[Unit]])*(INDEX(LS[NAV at Cost (Average)],MATCH(CONCATENATE((LS[[#This Row],[Frequency]]-1),LS[[#This Row],[Investor ID]]),LS[Unique Code],0),0)),0)</f>
        <v>0</v>
      </c>
      <c r="V166" s="96">
        <f>IF(LS[[#This Row],[BO TRANSFER]]="YES",LS[[#This Row],[Unit]],)</f>
        <v>0</v>
      </c>
      <c r="W166" s="96">
        <f>SUMIFS(LS[[#Headers],[BO UNIT TRANSFER]]:LS[[#This Row],[BO UNIT TRANSFER]],LS[[#Headers],[Investor ID]]:LS[[#This Row],[Investor ID]],LS[[#This Row],[Investor ID]])</f>
        <v>0</v>
      </c>
    </row>
    <row r="167" spans="1:23">
      <c r="A167" s="75">
        <v>2023</v>
      </c>
      <c r="B167" s="75">
        <v>7</v>
      </c>
      <c r="C167" s="75">
        <v>25</v>
      </c>
      <c r="D167" s="81">
        <f>DATE(LS[[#This Row],[Year]],LS[[#This Row],[Month]],LS[[#This Row],[Day]])</f>
        <v>45132</v>
      </c>
      <c r="E167" t="str" cm="1">
        <f t="array" ref="E167">INDEX(INVESTORS_LIST[INVESTOR NAME],MATCH(LS[[#This Row],[Investor ID]],INVESTORS_LIST[INVESTOR CODE],0),)</f>
        <v>RAJIV HASSAN</v>
      </c>
      <c r="F167" s="83" t="s">
        <v>1038</v>
      </c>
      <c r="G167" s="75">
        <f>COUNTIF(LS[[#Headers],[Investor ID]]:LS[[#This Row],[Investor ID]],LS[[#This Row],[Investor ID]])</f>
        <v>2</v>
      </c>
      <c r="H167" s="75" t="str">
        <f>CONCATENATE(LS[[#This Row],[Frequency]],LS[[#This Row],[Investor ID]])</f>
        <v>2A00496</v>
      </c>
      <c r="I167" s="75" t="str">
        <f>IF(LS[[#This Row],[B/S]]="B","BUY",(IF(LS[[#This Row],[B/S]]="S","SELL"," ")))</f>
        <v>BUY</v>
      </c>
      <c r="J167" s="75" t="s">
        <v>1229</v>
      </c>
      <c r="K167" s="88">
        <v>1000000</v>
      </c>
      <c r="L167" s="88"/>
      <c r="M167" s="89">
        <f>LS[[#This Row],[Amount]]/LS[[#This Row],[Unit]]</f>
        <v>10.310022372748548</v>
      </c>
      <c r="N167" s="90">
        <f>LS[[#This Row],[Unit Capital]]/10</f>
        <v>96993</v>
      </c>
      <c r="O167" s="90">
        <f>SUMIFS(LS[[#Headers],[Unit]]:LS[[#This Row],[Unit]],LS[[#Headers],[Investor ID]]:LS[[#This Row],[Investor ID]],LS[[#This Row],[Investor ID]])</f>
        <v>194707</v>
      </c>
      <c r="P167" s="96">
        <v>969930</v>
      </c>
      <c r="Q167" s="48">
        <f>LS[[#This Row],[Amount]]-LS[[#This Row],[Unit Capital]]</f>
        <v>30070</v>
      </c>
      <c r="R16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10.271844361014242</v>
      </c>
      <c r="S167" s="89">
        <f t="shared" si="2"/>
        <v>14.224</v>
      </c>
      <c r="T16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67" s="96" cm="1">
        <f t="array" ref="U167">IF(LS[[#This Row],[B/S]]="S",ABS(LS[[#This Row],[Unit]])*(INDEX(LS[NAV at Cost (Average)],MATCH(CONCATENATE((LS[[#This Row],[Frequency]]-1),LS[[#This Row],[Investor ID]]),LS[Unique Code],0),0)),0)</f>
        <v>0</v>
      </c>
      <c r="V167" s="96">
        <f>IF(LS[[#This Row],[BO TRANSFER]]="YES",LS[[#This Row],[Unit]],)</f>
        <v>0</v>
      </c>
      <c r="W167" s="96">
        <f>SUMIFS(LS[[#Headers],[BO UNIT TRANSFER]]:LS[[#This Row],[BO UNIT TRANSFER]],LS[[#Headers],[Investor ID]]:LS[[#This Row],[Investor ID]],LS[[#This Row],[Investor ID]])</f>
        <v>0</v>
      </c>
    </row>
    <row r="168" spans="1:23">
      <c r="A168" s="75">
        <v>2023</v>
      </c>
      <c r="B168" s="75">
        <v>7</v>
      </c>
      <c r="C168" s="75">
        <v>24</v>
      </c>
      <c r="D168" s="81">
        <f>DATE(LS[[#This Row],[Year]],LS[[#This Row],[Month]],LS[[#This Row],[Day]])</f>
        <v>45131</v>
      </c>
      <c r="E168" t="str" cm="1">
        <f t="array" ref="E168">INDEX(INVESTORS_LIST[INVESTOR NAME],MATCH(LS[[#This Row],[Investor ID]],INVESTORS_LIST[INVESTOR CODE],0),)</f>
        <v>MADHAB GHOSH</v>
      </c>
      <c r="F168" s="83" t="s">
        <v>982</v>
      </c>
      <c r="G168" s="75">
        <f>COUNTIF(LS[[#Headers],[Investor ID]]:LS[[#This Row],[Investor ID]],LS[[#This Row],[Investor ID]])</f>
        <v>2</v>
      </c>
      <c r="H168" s="75" t="str">
        <f>CONCATENATE(LS[[#This Row],[Frequency]],LS[[#This Row],[Investor ID]])</f>
        <v>2A00468</v>
      </c>
      <c r="I168" s="75" t="str">
        <f>IF(LS[[#This Row],[B/S]]="B","BUY",(IF(LS[[#This Row],[B/S]]="S","SELL"," ")))</f>
        <v>SELL</v>
      </c>
      <c r="J168" s="75" t="s">
        <v>1231</v>
      </c>
      <c r="K168" s="88">
        <v>-100000</v>
      </c>
      <c r="L168" s="88"/>
      <c r="M168" s="89">
        <f>LS[[#This Row],[Amount]]/LS[[#This Row],[Unit]]</f>
        <v>10.355182768975872</v>
      </c>
      <c r="N168" s="90">
        <f>LS[[#This Row],[Unit Capital]]/10</f>
        <v>-9657</v>
      </c>
      <c r="O168" s="90">
        <f>SUMIFS(LS[[#Headers],[Unit]]:LS[[#This Row],[Unit]],LS[[#Headers],[Investor ID]]:LS[[#This Row],[Investor ID]],LS[[#This Row],[Investor ID]])</f>
        <v>10343</v>
      </c>
      <c r="P168" s="96">
        <v>-96570</v>
      </c>
      <c r="Q168" s="48">
        <f>LS[[#This Row],[Amount]]-LS[[#This Row],[Unit Capital]]</f>
        <v>-3430</v>
      </c>
      <c r="R16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168" s="89">
        <f t="shared" si="2"/>
        <v>14.224</v>
      </c>
      <c r="T168" s="96">
        <f>IF(LS[[#This Row],[B/S]]="B",0,ABS(LS[[#This Row],[Unit]])*(LS[[#This Row],[NAV (Strike Rate)]]-INDEX(LS[NAV at Cost (Average)],MATCH(CONCATENATE(LS[[#This Row],[Frequency]]-1,LS[[#This Row],[Investor ID]]),LS[Unique Code],0),)))</f>
        <v>3430</v>
      </c>
      <c r="U168" s="96" cm="1">
        <f t="array" ref="U168">IF(LS[[#This Row],[B/S]]="S",ABS(LS[[#This Row],[Unit]])*(INDEX(LS[NAV at Cost (Average)],MATCH(CONCATENATE((LS[[#This Row],[Frequency]]-1),LS[[#This Row],[Investor ID]]),LS[Unique Code],0),0)),0)</f>
        <v>96570</v>
      </c>
      <c r="V168" s="96">
        <f>IF(LS[[#This Row],[BO TRANSFER]]="YES",LS[[#This Row],[Unit]],)</f>
        <v>0</v>
      </c>
      <c r="W168" s="96">
        <f>SUMIFS(LS[[#Headers],[BO UNIT TRANSFER]]:LS[[#This Row],[BO UNIT TRANSFER]],LS[[#Headers],[Investor ID]]:LS[[#This Row],[Investor ID]],LS[[#This Row],[Investor ID]])</f>
        <v>0</v>
      </c>
    </row>
    <row r="169" spans="1:23">
      <c r="A169" s="75">
        <v>2023</v>
      </c>
      <c r="B169" s="75">
        <v>7</v>
      </c>
      <c r="C169" s="75">
        <v>25</v>
      </c>
      <c r="D169" s="81">
        <f>DATE(LS[[#This Row],[Year]],LS[[#This Row],[Month]],LS[[#This Row],[Day]])</f>
        <v>45132</v>
      </c>
      <c r="E169" t="str" cm="1">
        <f t="array" ref="E169">INDEX(INVESTORS_LIST[INVESTOR NAME],MATCH(LS[[#This Row],[Investor ID]],INVESTORS_LIST[INVESTOR CODE],0),)</f>
        <v>NITYANANDA BISWAS</v>
      </c>
      <c r="F169" s="83" t="s">
        <v>554</v>
      </c>
      <c r="G169" s="75">
        <f>COUNTIF(LS[[#Headers],[Investor ID]]:LS[[#This Row],[Investor ID]],LS[[#This Row],[Investor ID]])</f>
        <v>3</v>
      </c>
      <c r="H169" s="75" t="str">
        <f>CONCATENATE(LS[[#This Row],[Frequency]],LS[[#This Row],[Investor ID]])</f>
        <v>3A00252</v>
      </c>
      <c r="I169" s="75" t="str">
        <f>IF(LS[[#This Row],[B/S]]="B","BUY",(IF(LS[[#This Row],[B/S]]="S","SELL"," ")))</f>
        <v>SELL</v>
      </c>
      <c r="J169" s="75" t="s">
        <v>1231</v>
      </c>
      <c r="K169" s="88">
        <v>-117757.06</v>
      </c>
      <c r="L169" s="88"/>
      <c r="M169" s="89">
        <f>LS[[#This Row],[Amount]]/LS[[#This Row],[Unit]]</f>
        <v>10.355</v>
      </c>
      <c r="N169" s="90">
        <f>LS[[#This Row],[Unit Capital]]/10</f>
        <v>-11372</v>
      </c>
      <c r="O169" s="90">
        <f>SUMIFS(LS[[#Headers],[Unit]]:LS[[#This Row],[Unit]],LS[[#Headers],[Investor ID]]:LS[[#This Row],[Investor ID]],LS[[#This Row],[Investor ID]])</f>
        <v>0</v>
      </c>
      <c r="P169" s="96">
        <v>-113720</v>
      </c>
      <c r="Q169" s="48">
        <f>LS[[#This Row],[Amount]]-LS[[#This Row],[Unit Capital]]</f>
        <v>-4037.0599999999977</v>
      </c>
      <c r="R16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69" s="89">
        <f t="shared" si="2"/>
        <v>14.224</v>
      </c>
      <c r="T169" s="96">
        <f>IF(LS[[#This Row],[B/S]]="B",0,ABS(LS[[#This Row],[Unit]])*(LS[[#This Row],[NAV (Strike Rate)]]-INDEX(LS[NAV at Cost (Average)],MATCH(CONCATENATE(LS[[#This Row],[Frequency]]-1,LS[[#This Row],[Investor ID]]),LS[Unique Code],0),)))</f>
        <v>4037.0600000000049</v>
      </c>
      <c r="U169" s="96" cm="1">
        <f t="array" ref="U169">IF(LS[[#This Row],[B/S]]="S",ABS(LS[[#This Row],[Unit]])*(INDEX(LS[NAV at Cost (Average)],MATCH(CONCATENATE((LS[[#This Row],[Frequency]]-1),LS[[#This Row],[Investor ID]]),LS[Unique Code],0),0)),0)</f>
        <v>113720</v>
      </c>
      <c r="V169" s="96">
        <f>IF(LS[[#This Row],[BO TRANSFER]]="YES",LS[[#This Row],[Unit]],)</f>
        <v>0</v>
      </c>
      <c r="W169" s="96">
        <f>SUMIFS(LS[[#Headers],[BO UNIT TRANSFER]]:LS[[#This Row],[BO UNIT TRANSFER]],LS[[#Headers],[Investor ID]]:LS[[#This Row],[Investor ID]],LS[[#This Row],[Investor ID]])</f>
        <v>0</v>
      </c>
    </row>
    <row r="170" spans="1:23">
      <c r="A170" s="75">
        <v>2023</v>
      </c>
      <c r="B170" s="75">
        <v>7</v>
      </c>
      <c r="C170" s="75">
        <v>25</v>
      </c>
      <c r="D170" s="81">
        <f>DATE(LS[[#This Row],[Year]],LS[[#This Row],[Month]],LS[[#This Row],[Day]])</f>
        <v>45132</v>
      </c>
      <c r="E170" t="str" cm="1">
        <f t="array" ref="E170">INDEX(INVESTORS_LIST[INVESTOR NAME],MATCH(LS[[#This Row],[Investor ID]],INVESTORS_LIST[INVESTOR CODE],0),)</f>
        <v>FAKARUDDIN ALI AHMED</v>
      </c>
      <c r="F170" s="83" t="s">
        <v>228</v>
      </c>
      <c r="G170" s="75">
        <f>COUNTIF(LS[[#Headers],[Investor ID]]:LS[[#This Row],[Investor ID]],LS[[#This Row],[Investor ID]])</f>
        <v>2</v>
      </c>
      <c r="H170" s="75" t="str">
        <f>CONCATENATE(LS[[#This Row],[Frequency]],LS[[#This Row],[Investor ID]])</f>
        <v>2A00090</v>
      </c>
      <c r="I170" s="75" t="str">
        <f>IF(LS[[#This Row],[B/S]]="B","BUY",(IF(LS[[#This Row],[B/S]]="S","SELL"," ")))</f>
        <v>SELL</v>
      </c>
      <c r="J170" s="75" t="s">
        <v>1231</v>
      </c>
      <c r="K170" s="88">
        <v>-517635</v>
      </c>
      <c r="L170" s="88"/>
      <c r="M170" s="89">
        <f>LS[[#This Row],[Amount]]/LS[[#This Row],[Unit]]</f>
        <v>10.3527</v>
      </c>
      <c r="N170" s="90">
        <f>LS[[#This Row],[Unit Capital]]/10</f>
        <v>-50000</v>
      </c>
      <c r="O170" s="90">
        <f>SUMIFS(LS[[#Headers],[Unit]]:LS[[#This Row],[Unit]],LS[[#Headers],[Investor ID]]:LS[[#This Row],[Investor ID]],LS[[#This Row],[Investor ID]])</f>
        <v>0</v>
      </c>
      <c r="P170" s="96">
        <v>-500000</v>
      </c>
      <c r="Q170" s="48">
        <f>LS[[#This Row],[Amount]]-LS[[#This Row],[Unit Capital]]</f>
        <v>-17635</v>
      </c>
      <c r="R17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70" s="89">
        <f t="shared" si="2"/>
        <v>14.224</v>
      </c>
      <c r="T170" s="96">
        <f>IF(LS[[#This Row],[B/S]]="B",0,ABS(LS[[#This Row],[Unit]])*(LS[[#This Row],[NAV (Strike Rate)]]-INDEX(LS[NAV at Cost (Average)],MATCH(CONCATENATE(LS[[#This Row],[Frequency]]-1,LS[[#This Row],[Investor ID]]),LS[Unique Code],0),)))</f>
        <v>17635.000000000022</v>
      </c>
      <c r="U170" s="96" cm="1">
        <f t="array" ref="U170">IF(LS[[#This Row],[B/S]]="S",ABS(LS[[#This Row],[Unit]])*(INDEX(LS[NAV at Cost (Average)],MATCH(CONCATENATE((LS[[#This Row],[Frequency]]-1),LS[[#This Row],[Investor ID]]),LS[Unique Code],0),0)),0)</f>
        <v>500000</v>
      </c>
      <c r="V170" s="96">
        <f>IF(LS[[#This Row],[BO TRANSFER]]="YES",LS[[#This Row],[Unit]],)</f>
        <v>0</v>
      </c>
      <c r="W170" s="96">
        <f>SUMIFS(LS[[#Headers],[BO UNIT TRANSFER]]:LS[[#This Row],[BO UNIT TRANSFER]],LS[[#Headers],[Investor ID]]:LS[[#This Row],[Investor ID]],LS[[#This Row],[Investor ID]])</f>
        <v>0</v>
      </c>
    </row>
    <row r="171" spans="1:23">
      <c r="A171" s="75">
        <v>2023</v>
      </c>
      <c r="B171" s="75">
        <v>7</v>
      </c>
      <c r="C171" s="75">
        <v>25</v>
      </c>
      <c r="D171" s="81">
        <f>DATE(LS[[#This Row],[Year]],LS[[#This Row],[Month]],LS[[#This Row],[Day]])</f>
        <v>45132</v>
      </c>
      <c r="E171" t="str" cm="1">
        <f t="array" ref="E171">INDEX(INVESTORS_LIST[INVESTOR NAME],MATCH(LS[[#This Row],[Investor ID]],INVESTORS_LIST[INVESTOR CODE],0),)</f>
        <v>HABIB REDWAN RAFI</v>
      </c>
      <c r="F171" s="83" t="s">
        <v>583</v>
      </c>
      <c r="G171" s="75">
        <f>COUNTIF(LS[[#Headers],[Investor ID]]:LS[[#This Row],[Investor ID]],LS[[#This Row],[Investor ID]])</f>
        <v>2</v>
      </c>
      <c r="H171" s="75" t="str">
        <f>CONCATENATE(LS[[#This Row],[Frequency]],LS[[#This Row],[Investor ID]])</f>
        <v>2A00267</v>
      </c>
      <c r="I171" s="75" t="str">
        <f>IF(LS[[#This Row],[B/S]]="B","BUY",(IF(LS[[#This Row],[B/S]]="S","SELL"," ")))</f>
        <v>SELL</v>
      </c>
      <c r="J171" s="75" t="s">
        <v>1231</v>
      </c>
      <c r="K171" s="88">
        <v>-252836.94</v>
      </c>
      <c r="L171" s="88"/>
      <c r="M171" s="89">
        <f>LS[[#This Row],[Amount]]/LS[[#This Row],[Unit]]</f>
        <v>10.35029228753889</v>
      </c>
      <c r="N171" s="90">
        <f>LS[[#This Row],[Unit Capital]]/10</f>
        <v>-24428</v>
      </c>
      <c r="O171" s="90">
        <f>SUMIFS(LS[[#Headers],[Unit]]:LS[[#This Row],[Unit]],LS[[#Headers],[Investor ID]]:LS[[#This Row],[Investor ID]],LS[[#This Row],[Investor ID]])</f>
        <v>0</v>
      </c>
      <c r="P171" s="96">
        <v>-244280</v>
      </c>
      <c r="Q171" s="48">
        <f>LS[[#This Row],[Amount]]-LS[[#This Row],[Unit Capital]]</f>
        <v>-8556.9400000000023</v>
      </c>
      <c r="R17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71" s="89">
        <f t="shared" si="2"/>
        <v>14.224</v>
      </c>
      <c r="T171" s="96">
        <f>IF(LS[[#This Row],[B/S]]="B",0,ABS(LS[[#This Row],[Unit]])*(LS[[#This Row],[NAV (Strike Rate)]]-INDEX(LS[NAV at Cost (Average)],MATCH(CONCATENATE(LS[[#This Row],[Frequency]]-1,LS[[#This Row],[Investor ID]]),LS[Unique Code],0),)))</f>
        <v>2836.9399999999864</v>
      </c>
      <c r="U171" s="96" cm="1">
        <f t="array" ref="U171">IF(LS[[#This Row],[B/S]]="S",ABS(LS[[#This Row],[Unit]])*(INDEX(LS[NAV at Cost (Average)],MATCH(CONCATENATE((LS[[#This Row],[Frequency]]-1),LS[[#This Row],[Investor ID]]),LS[Unique Code],0),0)),0)</f>
        <v>250000.00000000003</v>
      </c>
      <c r="V171" s="96">
        <f>IF(LS[[#This Row],[BO TRANSFER]]="YES",LS[[#This Row],[Unit]],)</f>
        <v>0</v>
      </c>
      <c r="W171" s="96">
        <f>SUMIFS(LS[[#Headers],[BO UNIT TRANSFER]]:LS[[#This Row],[BO UNIT TRANSFER]],LS[[#Headers],[Investor ID]]:LS[[#This Row],[Investor ID]],LS[[#This Row],[Investor ID]])</f>
        <v>0</v>
      </c>
    </row>
    <row r="172" spans="1:23">
      <c r="A172" s="75">
        <v>2023</v>
      </c>
      <c r="B172" s="75">
        <v>7</v>
      </c>
      <c r="C172" s="75">
        <v>25</v>
      </c>
      <c r="D172" s="81">
        <f>DATE(LS[[#This Row],[Year]],LS[[#This Row],[Month]],LS[[#This Row],[Day]])</f>
        <v>45132</v>
      </c>
      <c r="E172" t="str" cm="1">
        <f t="array" ref="E172">INDEX(INVESTORS_LIST[INVESTOR NAME],MATCH(LS[[#This Row],[Investor ID]],INVESTORS_LIST[INVESTOR CODE],0),)</f>
        <v>REAZ UDDIN AHMED</v>
      </c>
      <c r="F172" s="83" t="s">
        <v>178</v>
      </c>
      <c r="G172" s="75">
        <f>COUNTIF(LS[[#Headers],[Investor ID]]:LS[[#This Row],[Investor ID]],LS[[#This Row],[Investor ID]])</f>
        <v>1</v>
      </c>
      <c r="H172" s="75" t="str">
        <f>CONCATENATE(LS[[#This Row],[Frequency]],LS[[#This Row],[Investor ID]])</f>
        <v>1A00065</v>
      </c>
      <c r="I172" s="75" t="str">
        <f>IF(LS[[#This Row],[B/S]]="B","BUY",(IF(LS[[#This Row],[B/S]]="S","SELL"," ")))</f>
        <v>BUY</v>
      </c>
      <c r="J172" s="75" t="s">
        <v>1229</v>
      </c>
      <c r="K172" s="88">
        <v>10310</v>
      </c>
      <c r="L172" s="88"/>
      <c r="M172" s="89">
        <f>LS[[#This Row],[Amount]]/LS[[#This Row],[Unit]]</f>
        <v>10.31</v>
      </c>
      <c r="N172" s="90">
        <f>LS[[#This Row],[Unit Capital]]/10</f>
        <v>1000</v>
      </c>
      <c r="O172" s="90">
        <f>SUMIFS(LS[[#Headers],[Unit]]:LS[[#This Row],[Unit]],LS[[#Headers],[Investor ID]]:LS[[#This Row],[Investor ID]],LS[[#This Row],[Investor ID]])</f>
        <v>1000</v>
      </c>
      <c r="P172" s="96">
        <v>10000</v>
      </c>
      <c r="Q172" s="48">
        <f>LS[[#This Row],[Amount]]-LS[[#This Row],[Unit Capital]]</f>
        <v>310</v>
      </c>
      <c r="R17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10.31</v>
      </c>
      <c r="S172" s="89">
        <f t="shared" si="2"/>
        <v>14.224</v>
      </c>
      <c r="T17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2" s="96" cm="1">
        <f t="array" ref="U172">IF(LS[[#This Row],[B/S]]="S",ABS(LS[[#This Row],[Unit]])*(INDEX(LS[NAV at Cost (Average)],MATCH(CONCATENATE((LS[[#This Row],[Frequency]]-1),LS[[#This Row],[Investor ID]]),LS[Unique Code],0),0)),0)</f>
        <v>0</v>
      </c>
      <c r="V172" s="96">
        <f>IF(LS[[#This Row],[BO TRANSFER]]="YES",LS[[#This Row],[Unit]],)</f>
        <v>0</v>
      </c>
      <c r="W172" s="96">
        <f>SUMIFS(LS[[#Headers],[BO UNIT TRANSFER]]:LS[[#This Row],[BO UNIT TRANSFER]],LS[[#Headers],[Investor ID]]:LS[[#This Row],[Investor ID]],LS[[#This Row],[Investor ID]])</f>
        <v>0</v>
      </c>
    </row>
    <row r="173" spans="1:23">
      <c r="A173" s="75">
        <v>2023</v>
      </c>
      <c r="B173" s="75">
        <v>7</v>
      </c>
      <c r="C173" s="75">
        <v>24</v>
      </c>
      <c r="D173" s="81">
        <f>DATE(LS[[#This Row],[Year]],LS[[#This Row],[Month]],LS[[#This Row],[Day]])</f>
        <v>45131</v>
      </c>
      <c r="E173" t="str" cm="1">
        <f t="array" ref="E173">INDEX(INVESTORS_LIST[INVESTOR NAME],MATCH(LS[[#This Row],[Investor ID]],INVESTORS_LIST[INVESTOR CODE],0),)</f>
        <v>LILY RANI PAUL</v>
      </c>
      <c r="F173" s="83" t="s">
        <v>214</v>
      </c>
      <c r="G173" s="75">
        <f>COUNTIF(LS[[#Headers],[Investor ID]]:LS[[#This Row],[Investor ID]],LS[[#This Row],[Investor ID]])</f>
        <v>1</v>
      </c>
      <c r="H173" s="75" t="str">
        <f>CONCATENATE(LS[[#This Row],[Frequency]],LS[[#This Row],[Investor ID]])</f>
        <v>1A00083</v>
      </c>
      <c r="I173" s="75" t="str">
        <f>IF(LS[[#This Row],[B/S]]="B","BUY",(IF(LS[[#This Row],[B/S]]="S","SELL"," ")))</f>
        <v>BUY</v>
      </c>
      <c r="J173" s="75" t="s">
        <v>1229</v>
      </c>
      <c r="K173" s="88">
        <v>250000</v>
      </c>
      <c r="L173" s="88"/>
      <c r="M173" s="89">
        <f>LS[[#This Row],[Amount]]/LS[[#This Row],[Unit]]</f>
        <v>10.354968313796959</v>
      </c>
      <c r="N173" s="90">
        <f>LS[[#This Row],[Unit Capital]]/10</f>
        <v>24143</v>
      </c>
      <c r="O173" s="90">
        <f>SUMIFS(LS[[#Headers],[Unit]]:LS[[#This Row],[Unit]],LS[[#Headers],[Investor ID]]:LS[[#This Row],[Investor ID]],LS[[#This Row],[Investor ID]])</f>
        <v>24143</v>
      </c>
      <c r="P173" s="96">
        <v>241430</v>
      </c>
      <c r="Q173" s="48">
        <f>LS[[#This Row],[Amount]]-LS[[#This Row],[Unit Capital]]</f>
        <v>8570</v>
      </c>
      <c r="R17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10.354968313796959</v>
      </c>
      <c r="S173" s="89">
        <f t="shared" si="2"/>
        <v>14.224</v>
      </c>
      <c r="T17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3" s="96" cm="1">
        <f t="array" ref="U173">IF(LS[[#This Row],[B/S]]="S",ABS(LS[[#This Row],[Unit]])*(INDEX(LS[NAV at Cost (Average)],MATCH(CONCATENATE((LS[[#This Row],[Frequency]]-1),LS[[#This Row],[Investor ID]]),LS[Unique Code],0),0)),0)</f>
        <v>0</v>
      </c>
      <c r="V173" s="96">
        <f>IF(LS[[#This Row],[BO TRANSFER]]="YES",LS[[#This Row],[Unit]],)</f>
        <v>0</v>
      </c>
      <c r="W173" s="96">
        <f>SUMIFS(LS[[#Headers],[BO UNIT TRANSFER]]:LS[[#This Row],[BO UNIT TRANSFER]],LS[[#Headers],[Investor ID]]:LS[[#This Row],[Investor ID]],LS[[#This Row],[Investor ID]])</f>
        <v>0</v>
      </c>
    </row>
    <row r="174" spans="1:23">
      <c r="A174" s="75">
        <v>2023</v>
      </c>
      <c r="B174" s="75">
        <v>7</v>
      </c>
      <c r="C174" s="75">
        <v>27</v>
      </c>
      <c r="D174" s="81">
        <f>DATE(LS[[#This Row],[Year]],LS[[#This Row],[Month]],LS[[#This Row],[Day]])</f>
        <v>45134</v>
      </c>
      <c r="E174" t="str" cm="1">
        <f t="array" ref="E174">INDEX(INVESTORS_LIST[INVESTOR NAME],MATCH(LS[[#This Row],[Investor ID]],INVESTORS_LIST[INVESTOR CODE],0),)</f>
        <v>FAIYEAD AHMEDUL HYE</v>
      </c>
      <c r="F174" s="83" t="s">
        <v>368</v>
      </c>
      <c r="G174" s="75">
        <f>COUNTIF(LS[[#Headers],[Investor ID]]:LS[[#This Row],[Investor ID]],LS[[#This Row],[Investor ID]])</f>
        <v>2</v>
      </c>
      <c r="H174" s="75" t="str">
        <f>CONCATENATE(LS[[#This Row],[Frequency]],LS[[#This Row],[Investor ID]])</f>
        <v>2A00160</v>
      </c>
      <c r="I174" s="75" t="str">
        <f>IF(LS[[#This Row],[B/S]]="B","BUY",(IF(LS[[#This Row],[B/S]]="S","SELL"," ")))</f>
        <v>BUY</v>
      </c>
      <c r="J174" s="75" t="s">
        <v>1229</v>
      </c>
      <c r="K174" s="88">
        <v>30000</v>
      </c>
      <c r="L174" s="88"/>
      <c r="M174" s="89">
        <f>LS[[#This Row],[Amount]]/LS[[#This Row],[Unit]]</f>
        <v>10.355540214014498</v>
      </c>
      <c r="N174" s="90">
        <f>LS[[#This Row],[Unit Capital]]/10</f>
        <v>2897</v>
      </c>
      <c r="O174" s="90">
        <f>SUMIFS(LS[[#Headers],[Unit]]:LS[[#This Row],[Unit]],LS[[#Headers],[Investor ID]]:LS[[#This Row],[Investor ID]],LS[[#This Row],[Investor ID]])</f>
        <v>12668</v>
      </c>
      <c r="P174" s="96">
        <v>28970</v>
      </c>
      <c r="Q174" s="48">
        <f>LS[[#This Row],[Amount]]-LS[[#This Row],[Unit Capital]]</f>
        <v>1030</v>
      </c>
      <c r="R17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10.262077676034101</v>
      </c>
      <c r="S174" s="89">
        <f t="shared" si="2"/>
        <v>14.224</v>
      </c>
      <c r="T17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4" s="96" cm="1">
        <f t="array" ref="U174">IF(LS[[#This Row],[B/S]]="S",ABS(LS[[#This Row],[Unit]])*(INDEX(LS[NAV at Cost (Average)],MATCH(CONCATENATE((LS[[#This Row],[Frequency]]-1),LS[[#This Row],[Investor ID]]),LS[Unique Code],0),0)),0)</f>
        <v>0</v>
      </c>
      <c r="V174" s="96">
        <f>IF(LS[[#This Row],[BO TRANSFER]]="YES",LS[[#This Row],[Unit]],)</f>
        <v>0</v>
      </c>
      <c r="W174" s="96">
        <f>SUMIFS(LS[[#Headers],[BO UNIT TRANSFER]]:LS[[#This Row],[BO UNIT TRANSFER]],LS[[#Headers],[Investor ID]]:LS[[#This Row],[Investor ID]],LS[[#This Row],[Investor ID]])</f>
        <v>0</v>
      </c>
    </row>
    <row r="175" spans="1:23">
      <c r="A175" s="75">
        <v>2023</v>
      </c>
      <c r="B175" s="75">
        <v>7</v>
      </c>
      <c r="C175" s="75">
        <v>27</v>
      </c>
      <c r="D175" s="81">
        <f>DATE(LS[[#This Row],[Year]],LS[[#This Row],[Month]],LS[[#This Row],[Day]])</f>
        <v>45134</v>
      </c>
      <c r="E175" t="str" cm="1">
        <f t="array" ref="E175">INDEX(INVESTORS_LIST[INVESTOR NAME],MATCH(LS[[#This Row],[Investor ID]],INVESTORS_LIST[INVESTOR CODE],0),)</f>
        <v>HAFIZA AFRIN TONNY</v>
      </c>
      <c r="F175" s="83" t="s">
        <v>766</v>
      </c>
      <c r="G175" s="75">
        <f>COUNTIF(LS[[#Headers],[Investor ID]]:LS[[#This Row],[Investor ID]],LS[[#This Row],[Investor ID]])</f>
        <v>6</v>
      </c>
      <c r="H175" s="75" t="str">
        <f>CONCATENATE(LS[[#This Row],[Frequency]],LS[[#This Row],[Investor ID]])</f>
        <v>6A00359</v>
      </c>
      <c r="I175" s="75" t="str">
        <f>IF(LS[[#This Row],[B/S]]="B","BUY",(IF(LS[[#This Row],[B/S]]="S","SELL"," ")))</f>
        <v>BUY</v>
      </c>
      <c r="J175" s="75" t="s">
        <v>1229</v>
      </c>
      <c r="K175" s="88">
        <v>50000</v>
      </c>
      <c r="L175" s="88"/>
      <c r="M175" s="89">
        <f>LS[[#This Row],[Amount]]/LS[[#This Row],[Unit]]</f>
        <v>10.354110581901015</v>
      </c>
      <c r="N175" s="90">
        <f>LS[[#This Row],[Unit Capital]]/10</f>
        <v>4829</v>
      </c>
      <c r="O175" s="90">
        <f>SUMIFS(LS[[#Headers],[Unit]]:LS[[#This Row],[Unit]],LS[[#Headers],[Investor ID]]:LS[[#This Row],[Investor ID]],LS[[#This Row],[Investor ID]])</f>
        <v>14598</v>
      </c>
      <c r="P175" s="96">
        <v>48290</v>
      </c>
      <c r="Q175" s="48">
        <f>LS[[#This Row],[Amount]]-LS[[#This Row],[Unit Capital]]</f>
        <v>1710</v>
      </c>
      <c r="R17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10.275380189066995</v>
      </c>
      <c r="S175" s="89">
        <f t="shared" si="2"/>
        <v>14.224</v>
      </c>
      <c r="T17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5" s="96" cm="1">
        <f t="array" ref="U175">IF(LS[[#This Row],[B/S]]="S",ABS(LS[[#This Row],[Unit]])*(INDEX(LS[NAV at Cost (Average)],MATCH(CONCATENATE((LS[[#This Row],[Frequency]]-1),LS[[#This Row],[Investor ID]]),LS[Unique Code],0),0)),0)</f>
        <v>0</v>
      </c>
      <c r="V175" s="96">
        <f>IF(LS[[#This Row],[BO TRANSFER]]="YES",LS[[#This Row],[Unit]],)</f>
        <v>0</v>
      </c>
      <c r="W175" s="96">
        <f>SUMIFS(LS[[#Headers],[BO UNIT TRANSFER]]:LS[[#This Row],[BO UNIT TRANSFER]],LS[[#Headers],[Investor ID]]:LS[[#This Row],[Investor ID]],LS[[#This Row],[Investor ID]])</f>
        <v>0</v>
      </c>
    </row>
    <row r="176" spans="1:23">
      <c r="A176" s="75">
        <v>2023</v>
      </c>
      <c r="B176" s="75">
        <v>7</v>
      </c>
      <c r="C176" s="75">
        <v>27</v>
      </c>
      <c r="D176" s="81">
        <f>DATE(LS[[#This Row],[Year]],LS[[#This Row],[Month]],LS[[#This Row],[Day]])</f>
        <v>45134</v>
      </c>
      <c r="E176" t="str" cm="1">
        <f t="array" ref="E176">INDEX(INVESTORS_LIST[INVESTOR NAME],MATCH(LS[[#This Row],[Investor ID]],INVESTORS_LIST[INVESTOR CODE],0),)</f>
        <v>HAFIZA AFRIN TONNY</v>
      </c>
      <c r="F176" s="83" t="s">
        <v>766</v>
      </c>
      <c r="G176" s="75">
        <f>COUNTIF(LS[[#Headers],[Investor ID]]:LS[[#This Row],[Investor ID]],LS[[#This Row],[Investor ID]])</f>
        <v>7</v>
      </c>
      <c r="H176" s="75" t="str">
        <f>CONCATENATE(LS[[#This Row],[Frequency]],LS[[#This Row],[Investor ID]])</f>
        <v>7A00359</v>
      </c>
      <c r="I176" s="75" t="str">
        <f>IF(LS[[#This Row],[B/S]]="B","BUY",(IF(LS[[#This Row],[B/S]]="S","SELL"," ")))</f>
        <v>BUY</v>
      </c>
      <c r="J176" s="75" t="s">
        <v>1229</v>
      </c>
      <c r="K176" s="88">
        <v>100000</v>
      </c>
      <c r="L176" s="88"/>
      <c r="M176" s="89">
        <f>LS[[#This Row],[Amount]]/LS[[#This Row],[Unit]]</f>
        <v>10.355182768975872</v>
      </c>
      <c r="N176" s="90">
        <f>LS[[#This Row],[Unit Capital]]/10</f>
        <v>9657</v>
      </c>
      <c r="O176" s="90">
        <f>SUMIFS(LS[[#Headers],[Unit]]:LS[[#This Row],[Unit]],LS[[#Headers],[Investor ID]]:LS[[#This Row],[Investor ID]],LS[[#This Row],[Investor ID]])</f>
        <v>24255</v>
      </c>
      <c r="P176" s="96">
        <v>96570</v>
      </c>
      <c r="Q176" s="48">
        <f>LS[[#This Row],[Amount]]-LS[[#This Row],[Unit Capital]]</f>
        <v>3430</v>
      </c>
      <c r="R17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10.307153164296022</v>
      </c>
      <c r="S176" s="89">
        <f t="shared" si="2"/>
        <v>14.224</v>
      </c>
      <c r="T17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6" s="96" cm="1">
        <f t="array" ref="U176">IF(LS[[#This Row],[B/S]]="S",ABS(LS[[#This Row],[Unit]])*(INDEX(LS[NAV at Cost (Average)],MATCH(CONCATENATE((LS[[#This Row],[Frequency]]-1),LS[[#This Row],[Investor ID]]),LS[Unique Code],0),0)),0)</f>
        <v>0</v>
      </c>
      <c r="V176" s="96">
        <f>IF(LS[[#This Row],[BO TRANSFER]]="YES",LS[[#This Row],[Unit]],)</f>
        <v>0</v>
      </c>
      <c r="W176" s="96">
        <f>SUMIFS(LS[[#Headers],[BO UNIT TRANSFER]]:LS[[#This Row],[BO UNIT TRANSFER]],LS[[#Headers],[Investor ID]]:LS[[#This Row],[Investor ID]],LS[[#This Row],[Investor ID]])</f>
        <v>0</v>
      </c>
    </row>
    <row r="177" spans="1:23">
      <c r="A177" s="75">
        <v>2023</v>
      </c>
      <c r="B177" s="75">
        <v>7</v>
      </c>
      <c r="C177" s="75">
        <v>27</v>
      </c>
      <c r="D177" s="81">
        <f>DATE(LS[[#This Row],[Year]],LS[[#This Row],[Month]],LS[[#This Row],[Day]])</f>
        <v>45134</v>
      </c>
      <c r="E177" t="str" cm="1">
        <f t="array" ref="E177">INDEX(INVESTORS_LIST[INVESTOR NAME],MATCH(LS[[#This Row],[Investor ID]],INVESTORS_LIST[INVESTOR CODE],0),)</f>
        <v>MADHAB GHOSH</v>
      </c>
      <c r="F177" s="83" t="s">
        <v>982</v>
      </c>
      <c r="G177" s="75">
        <f>COUNTIF(LS[[#Headers],[Investor ID]]:LS[[#This Row],[Investor ID]],LS[[#This Row],[Investor ID]])</f>
        <v>3</v>
      </c>
      <c r="H177" s="75" t="str">
        <f>CONCATENATE(LS[[#This Row],[Frequency]],LS[[#This Row],[Investor ID]])</f>
        <v>3A00468</v>
      </c>
      <c r="I177" s="75" t="str">
        <f>IF(LS[[#This Row],[B/S]]="B","BUY",(IF(LS[[#This Row],[B/S]]="S","SELL"," ")))</f>
        <v>BUY</v>
      </c>
      <c r="J177" s="75" t="s">
        <v>1229</v>
      </c>
      <c r="K177" s="88">
        <v>100000</v>
      </c>
      <c r="L177" s="88"/>
      <c r="M177" s="89">
        <f>LS[[#This Row],[Amount]]/LS[[#This Row],[Unit]]</f>
        <v>10.355182768975872</v>
      </c>
      <c r="N177" s="90">
        <f>LS[[#This Row],[Unit Capital]]/10</f>
        <v>9657</v>
      </c>
      <c r="O177" s="90">
        <f>SUMIFS(LS[[#Headers],[Unit]]:LS[[#This Row],[Unit]],LS[[#Headers],[Investor ID]]:LS[[#This Row],[Investor ID]],LS[[#This Row],[Investor ID]])</f>
        <v>20000</v>
      </c>
      <c r="P177" s="96">
        <v>96570</v>
      </c>
      <c r="Q177" s="48">
        <f>LS[[#This Row],[Amount]]-LS[[#This Row],[Unit Capital]]</f>
        <v>3430</v>
      </c>
      <c r="R17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10.1715</v>
      </c>
      <c r="S177" s="89">
        <f t="shared" si="2"/>
        <v>14.224</v>
      </c>
      <c r="T17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7" s="96" cm="1">
        <f t="array" ref="U177">IF(LS[[#This Row],[B/S]]="S",ABS(LS[[#This Row],[Unit]])*(INDEX(LS[NAV at Cost (Average)],MATCH(CONCATENATE((LS[[#This Row],[Frequency]]-1),LS[[#This Row],[Investor ID]]),LS[Unique Code],0),0)),0)</f>
        <v>0</v>
      </c>
      <c r="V177" s="96">
        <f>IF(LS[[#This Row],[BO TRANSFER]]="YES",LS[[#This Row],[Unit]],)</f>
        <v>0</v>
      </c>
      <c r="W177" s="96">
        <f>SUMIFS(LS[[#Headers],[BO UNIT TRANSFER]]:LS[[#This Row],[BO UNIT TRANSFER]],LS[[#Headers],[Investor ID]]:LS[[#This Row],[Investor ID]],LS[[#This Row],[Investor ID]])</f>
        <v>0</v>
      </c>
    </row>
    <row r="178" spans="1:23">
      <c r="A178" s="75">
        <v>2023</v>
      </c>
      <c r="B178" s="75">
        <v>7</v>
      </c>
      <c r="C178" s="75">
        <v>30</v>
      </c>
      <c r="D178" s="81">
        <f>DATE(LS[[#This Row],[Year]],LS[[#This Row],[Month]],LS[[#This Row],[Day]])</f>
        <v>45137</v>
      </c>
      <c r="E178" t="str" cm="1">
        <f t="array" ref="E178">INDEX(INVESTORS_LIST[INVESTOR NAME],MATCH(LS[[#This Row],[Investor ID]],INVESTORS_LIST[INVESTOR CODE],0),)</f>
        <v>FAHMIDA SAEED SAKI</v>
      </c>
      <c r="F178" s="83" t="s">
        <v>936</v>
      </c>
      <c r="G178" s="75">
        <f>COUNTIF(LS[[#Headers],[Investor ID]]:LS[[#This Row],[Investor ID]],LS[[#This Row],[Investor ID]])</f>
        <v>3</v>
      </c>
      <c r="H178" s="75" t="str">
        <f>CONCATENATE(LS[[#This Row],[Frequency]],LS[[#This Row],[Investor ID]])</f>
        <v>3A00445</v>
      </c>
      <c r="I178" s="75" t="str">
        <f>IF(LS[[#This Row],[B/S]]="B","BUY",(IF(LS[[#This Row],[B/S]]="S","SELL"," ")))</f>
        <v>BUY</v>
      </c>
      <c r="J178" s="75" t="s">
        <v>1229</v>
      </c>
      <c r="K178" s="88">
        <v>500000</v>
      </c>
      <c r="L178" s="88"/>
      <c r="M178" s="89">
        <f>LS[[#This Row],[Amount]]/LS[[#This Row],[Unit]]</f>
        <v>10.354325001553148</v>
      </c>
      <c r="N178" s="90">
        <f>LS[[#This Row],[Unit Capital]]/10</f>
        <v>48289</v>
      </c>
      <c r="O178" s="90">
        <f>SUMIFS(LS[[#Headers],[Unit]]:LS[[#This Row],[Unit]],LS[[#Headers],[Investor ID]]:LS[[#This Row],[Investor ID]],LS[[#This Row],[Investor ID]])</f>
        <v>107779</v>
      </c>
      <c r="P178" s="96">
        <v>482890</v>
      </c>
      <c r="Q178" s="48">
        <f>LS[[#This Row],[Amount]]-LS[[#This Row],[Unit Capital]]</f>
        <v>17110</v>
      </c>
      <c r="R17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10.206069828074114</v>
      </c>
      <c r="S178" s="89">
        <f t="shared" si="2"/>
        <v>14.224</v>
      </c>
      <c r="T17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78" s="96" cm="1">
        <f t="array" ref="U178">IF(LS[[#This Row],[B/S]]="S",ABS(LS[[#This Row],[Unit]])*(INDEX(LS[NAV at Cost (Average)],MATCH(CONCATENATE((LS[[#This Row],[Frequency]]-1),LS[[#This Row],[Investor ID]]),LS[Unique Code],0),0)),0)</f>
        <v>0</v>
      </c>
      <c r="V178" s="96">
        <f>IF(LS[[#This Row],[BO TRANSFER]]="YES",LS[[#This Row],[Unit]],)</f>
        <v>0</v>
      </c>
      <c r="W178" s="96">
        <f>SUMIFS(LS[[#Headers],[BO UNIT TRANSFER]]:LS[[#This Row],[BO UNIT TRANSFER]],LS[[#Headers],[Investor ID]]:LS[[#This Row],[Investor ID]],LS[[#This Row],[Investor ID]])</f>
        <v>0</v>
      </c>
    </row>
    <row r="179" spans="1:23">
      <c r="A179" s="75">
        <v>2023</v>
      </c>
      <c r="B179" s="75">
        <v>7</v>
      </c>
      <c r="C179" s="75">
        <v>30</v>
      </c>
      <c r="D179" s="81">
        <f>DATE(LS[[#This Row],[Year]],LS[[#This Row],[Month]],LS[[#This Row],[Day]])</f>
        <v>45137</v>
      </c>
      <c r="E179" t="str" cm="1">
        <f t="array" ref="E179">INDEX(INVESTORS_LIST[INVESTOR NAME],MATCH(LS[[#This Row],[Investor ID]],INVESTORS_LIST[INVESTOR CODE],0),)</f>
        <v>SWADESH RANJAN SAHA</v>
      </c>
      <c r="F179" s="83" t="s">
        <v>234</v>
      </c>
      <c r="G179" s="75">
        <f>COUNTIF(LS[[#Headers],[Investor ID]]:LS[[#This Row],[Investor ID]],LS[[#This Row],[Investor ID]])</f>
        <v>5</v>
      </c>
      <c r="H179" s="75" t="str">
        <f>CONCATENATE(LS[[#This Row],[Frequency]],LS[[#This Row],[Investor ID]])</f>
        <v>5A00093</v>
      </c>
      <c r="I179" s="75" t="str">
        <f>IF(LS[[#This Row],[B/S]]="B","BUY",(IF(LS[[#This Row],[B/S]]="S","SELL"," ")))</f>
        <v>SELL</v>
      </c>
      <c r="J179" s="75" t="s">
        <v>1231</v>
      </c>
      <c r="K179" s="88">
        <v>-700000</v>
      </c>
      <c r="L179" s="88"/>
      <c r="M179" s="89">
        <f>LS[[#This Row],[Amount]]/LS[[#This Row],[Unit]]</f>
        <v>10.217933933758594</v>
      </c>
      <c r="N179" s="90">
        <f>LS[[#This Row],[Unit Capital]]/10</f>
        <v>-68507</v>
      </c>
      <c r="O179" s="90">
        <f>SUMIFS(LS[[#Headers],[Unit]]:LS[[#This Row],[Unit]],LS[[#Headers],[Investor ID]]:LS[[#This Row],[Investor ID]],LS[[#This Row],[Investor ID]])</f>
        <v>48903</v>
      </c>
      <c r="P179" s="96">
        <v>-685070</v>
      </c>
      <c r="Q179" s="48">
        <f>LS[[#This Row],[Amount]]-LS[[#This Row],[Unit Capital]]</f>
        <v>-14930</v>
      </c>
      <c r="R17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10.220594497913295</v>
      </c>
      <c r="S179" s="89">
        <f t="shared" si="2"/>
        <v>14.224</v>
      </c>
      <c r="T179" s="96">
        <f>IF(LS[[#This Row],[B/S]]="B",0,ABS(LS[[#This Row],[Unit]])*(LS[[#This Row],[NAV (Strike Rate)]]-INDEX(LS[NAV at Cost (Average)],MATCH(CONCATENATE(LS[[#This Row],[Frequency]]-1,LS[[#This Row],[Investor ID]]),LS[Unique Code],0),)))</f>
        <v>-182.26726854606</v>
      </c>
      <c r="U179" s="96" cm="1">
        <f t="array" ref="U179">IF(LS[[#This Row],[B/S]]="S",ABS(LS[[#This Row],[Unit]])*(INDEX(LS[NAV at Cost (Average)],MATCH(CONCATENATE((LS[[#This Row],[Frequency]]-1),LS[[#This Row],[Investor ID]]),LS[Unique Code],0),0)),0)</f>
        <v>700182.26726854604</v>
      </c>
      <c r="V179" s="96">
        <f>IF(LS[[#This Row],[BO TRANSFER]]="YES",LS[[#This Row],[Unit]],)</f>
        <v>0</v>
      </c>
      <c r="W179" s="96">
        <f>SUMIFS(LS[[#Headers],[BO UNIT TRANSFER]]:LS[[#This Row],[BO UNIT TRANSFER]],LS[[#Headers],[Investor ID]]:LS[[#This Row],[Investor ID]],LS[[#This Row],[Investor ID]])</f>
        <v>0</v>
      </c>
    </row>
    <row r="180" spans="1:23">
      <c r="A180" s="75">
        <v>2023</v>
      </c>
      <c r="B180" s="75">
        <v>8</v>
      </c>
      <c r="C180" s="75">
        <v>3</v>
      </c>
      <c r="D180" s="81">
        <f>DATE(LS[[#This Row],[Year]],LS[[#This Row],[Month]],LS[[#This Row],[Day]])</f>
        <v>45141</v>
      </c>
      <c r="E180" t="str" cm="1">
        <f t="array" ref="E180">INDEX(INVESTORS_LIST[INVESTOR NAME],MATCH(LS[[#This Row],[Investor ID]],INVESTORS_LIST[INVESTOR CODE],0),)</f>
        <v>MD. MONIRUZZAMAN</v>
      </c>
      <c r="F180" s="83" t="s">
        <v>1057</v>
      </c>
      <c r="G180" s="75">
        <f>COUNTIF(LS[[#Headers],[Investor ID]]:LS[[#This Row],[Investor ID]],LS[[#This Row],[Investor ID]])</f>
        <v>1</v>
      </c>
      <c r="H180" s="75" t="str">
        <f>CONCATENATE(LS[[#This Row],[Frequency]],LS[[#This Row],[Investor ID]])</f>
        <v>1A00506</v>
      </c>
      <c r="I180" s="75" t="str">
        <f>IF(LS[[#This Row],[B/S]]="B","BUY",(IF(LS[[#This Row],[B/S]]="S","SELL"," ")))</f>
        <v>BUY</v>
      </c>
      <c r="J180" s="75" t="s">
        <v>1229</v>
      </c>
      <c r="K180" s="88">
        <v>100000</v>
      </c>
      <c r="L180" s="88"/>
      <c r="M180" s="89">
        <f>LS[[#This Row],[Amount]]/LS[[#This Row],[Unit]]</f>
        <v>10.366991499066971</v>
      </c>
      <c r="N180" s="90">
        <f>LS[[#This Row],[Unit Capital]]/10</f>
        <v>9646</v>
      </c>
      <c r="O180" s="90">
        <f>SUMIFS(LS[[#Headers],[Unit]]:LS[[#This Row],[Unit]],LS[[#Headers],[Investor ID]]:LS[[#This Row],[Investor ID]],LS[[#This Row],[Investor ID]])</f>
        <v>9646</v>
      </c>
      <c r="P180" s="96">
        <v>96460</v>
      </c>
      <c r="Q180" s="48">
        <f>LS[[#This Row],[Amount]]-LS[[#This Row],[Unit Capital]]</f>
        <v>3540</v>
      </c>
      <c r="R18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10.366991499066971</v>
      </c>
      <c r="S180" s="89">
        <f t="shared" si="2"/>
        <v>14.224</v>
      </c>
      <c r="T18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0" s="96" cm="1">
        <f t="array" ref="U180">IF(LS[[#This Row],[B/S]]="S",ABS(LS[[#This Row],[Unit]])*(INDEX(LS[NAV at Cost (Average)],MATCH(CONCATENATE((LS[[#This Row],[Frequency]]-1),LS[[#This Row],[Investor ID]]),LS[Unique Code],0),0)),0)</f>
        <v>0</v>
      </c>
      <c r="V180" s="96">
        <f>IF(LS[[#This Row],[BO TRANSFER]]="YES",LS[[#This Row],[Unit]],)</f>
        <v>0</v>
      </c>
      <c r="W180" s="96">
        <f>SUMIFS(LS[[#Headers],[BO UNIT TRANSFER]]:LS[[#This Row],[BO UNIT TRANSFER]],LS[[#Headers],[Investor ID]]:LS[[#This Row],[Investor ID]],LS[[#This Row],[Investor ID]])</f>
        <v>0</v>
      </c>
    </row>
    <row r="181" spans="1:23">
      <c r="A181" s="75">
        <v>2023</v>
      </c>
      <c r="B181" s="75">
        <v>8</v>
      </c>
      <c r="C181" s="75">
        <v>3</v>
      </c>
      <c r="D181" s="81">
        <f>DATE(LS[[#This Row],[Year]],LS[[#This Row],[Month]],LS[[#This Row],[Day]])</f>
        <v>45141</v>
      </c>
      <c r="E181" t="str" cm="1">
        <f t="array" ref="E181">INDEX(INVESTORS_LIST[INVESTOR NAME],MATCH(LS[[#This Row],[Investor ID]],INVESTORS_LIST[INVESTOR CODE],0),)</f>
        <v>CHAONIKA SAHA</v>
      </c>
      <c r="F181" s="83" t="s">
        <v>238</v>
      </c>
      <c r="G181" s="75">
        <f>COUNTIF(LS[[#Headers],[Investor ID]]:LS[[#This Row],[Investor ID]],LS[[#This Row],[Investor ID]])</f>
        <v>2</v>
      </c>
      <c r="H181" s="75" t="str">
        <f>CONCATENATE(LS[[#This Row],[Frequency]],LS[[#This Row],[Investor ID]])</f>
        <v>2A00095</v>
      </c>
      <c r="I181" s="75" t="str">
        <f>IF(LS[[#This Row],[B/S]]="B","BUY",(IF(LS[[#This Row],[B/S]]="S","SELL"," ")))</f>
        <v>BUY</v>
      </c>
      <c r="J181" s="75" t="s">
        <v>1229</v>
      </c>
      <c r="K181" s="88">
        <v>20000</v>
      </c>
      <c r="L181" s="88"/>
      <c r="M181" s="89">
        <f>LS[[#This Row],[Amount]]/LS[[#This Row],[Unit]]</f>
        <v>10.368066355624675</v>
      </c>
      <c r="N181" s="90">
        <f>LS[[#This Row],[Unit Capital]]/10</f>
        <v>1929</v>
      </c>
      <c r="O181" s="90">
        <f>SUMIFS(LS[[#Headers],[Unit]]:LS[[#This Row],[Unit]],LS[[#Headers],[Investor ID]]:LS[[#This Row],[Investor ID]],LS[[#This Row],[Investor ID]])</f>
        <v>11790</v>
      </c>
      <c r="P181" s="96">
        <v>19290</v>
      </c>
      <c r="Q181" s="48">
        <f>LS[[#This Row],[Amount]]-LS[[#This Row],[Unit Capital]]</f>
        <v>710</v>
      </c>
      <c r="R18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10.178117048346056</v>
      </c>
      <c r="S181" s="89">
        <f t="shared" si="2"/>
        <v>14.224</v>
      </c>
      <c r="T18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1" s="96" cm="1">
        <f t="array" ref="U181">IF(LS[[#This Row],[B/S]]="S",ABS(LS[[#This Row],[Unit]])*(INDEX(LS[NAV at Cost (Average)],MATCH(CONCATENATE((LS[[#This Row],[Frequency]]-1),LS[[#This Row],[Investor ID]]),LS[Unique Code],0),0)),0)</f>
        <v>0</v>
      </c>
      <c r="V181" s="96">
        <f>IF(LS[[#This Row],[BO TRANSFER]]="YES",LS[[#This Row],[Unit]],)</f>
        <v>0</v>
      </c>
      <c r="W181" s="96">
        <f>SUMIFS(LS[[#Headers],[BO UNIT TRANSFER]]:LS[[#This Row],[BO UNIT TRANSFER]],LS[[#Headers],[Investor ID]]:LS[[#This Row],[Investor ID]],LS[[#This Row],[Investor ID]])</f>
        <v>0</v>
      </c>
    </row>
    <row r="182" spans="1:23">
      <c r="A182" s="75">
        <v>2023</v>
      </c>
      <c r="B182" s="75">
        <v>8</v>
      </c>
      <c r="C182" s="75">
        <v>6</v>
      </c>
      <c r="D182" s="81">
        <f>DATE(LS[[#This Row],[Year]],LS[[#This Row],[Month]],LS[[#This Row],[Day]])</f>
        <v>45144</v>
      </c>
      <c r="E182" t="str" cm="1">
        <f t="array" ref="E182">INDEX(INVESTORS_LIST[INVESTOR NAME],MATCH(LS[[#This Row],[Investor ID]],INVESTORS_LIST[INVESTOR CODE],0),)</f>
        <v>RASIDA BEGUM</v>
      </c>
      <c r="F182" s="83" t="s">
        <v>800</v>
      </c>
      <c r="G182" s="75">
        <f>COUNTIF(LS[[#Headers],[Investor ID]]:LS[[#This Row],[Investor ID]],LS[[#This Row],[Investor ID]])</f>
        <v>1</v>
      </c>
      <c r="H182" s="75" t="str">
        <f>CONCATENATE(LS[[#This Row],[Frequency]],LS[[#This Row],[Investor ID]])</f>
        <v>1A00376</v>
      </c>
      <c r="I182" s="75" t="str">
        <f>IF(LS[[#This Row],[B/S]]="B","BUY",(IF(LS[[#This Row],[B/S]]="S","SELL"," ")))</f>
        <v>BUY</v>
      </c>
      <c r="J182" s="75" t="s">
        <v>1229</v>
      </c>
      <c r="K182" s="88">
        <v>300000</v>
      </c>
      <c r="L182" s="88"/>
      <c r="M182" s="89">
        <f>LS[[#This Row],[Amount]]/LS[[#This Row],[Unit]]</f>
        <v>10.382059800664452</v>
      </c>
      <c r="N182" s="90">
        <f>LS[[#This Row],[Unit Capital]]/10</f>
        <v>28896</v>
      </c>
      <c r="O182" s="90">
        <f>SUMIFS(LS[[#Headers],[Unit]]:LS[[#This Row],[Unit]],LS[[#Headers],[Investor ID]]:LS[[#This Row],[Investor ID]],LS[[#This Row],[Investor ID]])</f>
        <v>28896</v>
      </c>
      <c r="P182" s="96">
        <v>288960</v>
      </c>
      <c r="Q182" s="48">
        <f>LS[[#This Row],[Amount]]-LS[[#This Row],[Unit Capital]]</f>
        <v>11040</v>
      </c>
      <c r="R18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10.382059800664452</v>
      </c>
      <c r="S182" s="89">
        <f t="shared" si="2"/>
        <v>14.224</v>
      </c>
      <c r="T18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2" s="96" cm="1">
        <f t="array" ref="U182">IF(LS[[#This Row],[B/S]]="S",ABS(LS[[#This Row],[Unit]])*(INDEX(LS[NAV at Cost (Average)],MATCH(CONCATENATE((LS[[#This Row],[Frequency]]-1),LS[[#This Row],[Investor ID]]),LS[Unique Code],0),0)),0)</f>
        <v>0</v>
      </c>
      <c r="V182" s="96">
        <f>IF(LS[[#This Row],[BO TRANSFER]]="YES",LS[[#This Row],[Unit]],)</f>
        <v>0</v>
      </c>
      <c r="W182" s="96">
        <f>SUMIFS(LS[[#Headers],[BO UNIT TRANSFER]]:LS[[#This Row],[BO UNIT TRANSFER]],LS[[#Headers],[Investor ID]]:LS[[#This Row],[Investor ID]],LS[[#This Row],[Investor ID]])</f>
        <v>0</v>
      </c>
    </row>
    <row r="183" spans="1:23">
      <c r="A183" s="75">
        <v>2023</v>
      </c>
      <c r="B183" s="75">
        <v>8</v>
      </c>
      <c r="C183" s="75">
        <v>9</v>
      </c>
      <c r="D183" s="81">
        <f>DATE(LS[[#This Row],[Year]],LS[[#This Row],[Month]],LS[[#This Row],[Day]])</f>
        <v>45147</v>
      </c>
      <c r="E183" t="str" cm="1">
        <f t="array" ref="E183">INDEX(INVESTORS_LIST[INVESTOR NAME],MATCH(LS[[#This Row],[Investor ID]],INVESTORS_LIST[INVESTOR CODE],0),)</f>
        <v>SAIFUL ISLAM</v>
      </c>
      <c r="F183" s="83" t="s">
        <v>1048</v>
      </c>
      <c r="G183" s="75">
        <f>COUNTIF(LS[[#Headers],[Investor ID]]:LS[[#This Row],[Investor ID]],LS[[#This Row],[Investor ID]])</f>
        <v>3</v>
      </c>
      <c r="H183" s="75" t="str">
        <f>CONCATENATE(LS[[#This Row],[Frequency]],LS[[#This Row],[Investor ID]])</f>
        <v>3A00501</v>
      </c>
      <c r="I183" s="75" t="str">
        <f>IF(LS[[#This Row],[B/S]]="B","BUY",(IF(LS[[#This Row],[B/S]]="S","SELL"," ")))</f>
        <v>SELL</v>
      </c>
      <c r="J183" s="75" t="s">
        <v>1231</v>
      </c>
      <c r="K183" s="88">
        <v>-253113.16</v>
      </c>
      <c r="L183" s="88"/>
      <c r="M183" s="89">
        <f>LS[[#This Row],[Amount]]/LS[[#This Row],[Unit]]</f>
        <v>10.382</v>
      </c>
      <c r="N183" s="90">
        <f>LS[[#This Row],[Unit Capital]]/10</f>
        <v>-24380</v>
      </c>
      <c r="O183" s="90">
        <f>SUMIFS(LS[[#Headers],[Unit]]:LS[[#This Row],[Unit]],LS[[#Headers],[Investor ID]]:LS[[#This Row],[Investor ID]],LS[[#This Row],[Investor ID]])</f>
        <v>0</v>
      </c>
      <c r="P183" s="96">
        <v>-243800</v>
      </c>
      <c r="Q183" s="48">
        <f>LS[[#This Row],[Amount]]-LS[[#This Row],[Unit Capital]]</f>
        <v>-9313.1600000000035</v>
      </c>
      <c r="R18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83" s="89">
        <f t="shared" si="2"/>
        <v>14.224</v>
      </c>
      <c r="T183" s="96">
        <f>IF(LS[[#This Row],[B/S]]="B",0,ABS(LS[[#This Row],[Unit]])*(LS[[#This Row],[NAV (Strike Rate)]]-INDEX(LS[NAV at Cost (Average)],MATCH(CONCATENATE(LS[[#This Row],[Frequency]]-1,LS[[#This Row],[Investor ID]]),LS[Unique Code],0),)))</f>
        <v>3113.1600000000126</v>
      </c>
      <c r="U183" s="96" cm="1">
        <f t="array" ref="U183">IF(LS[[#This Row],[B/S]]="S",ABS(LS[[#This Row],[Unit]])*(INDEX(LS[NAV at Cost (Average)],MATCH(CONCATENATE((LS[[#This Row],[Frequency]]-1),LS[[#This Row],[Investor ID]]),LS[Unique Code],0),0)),0)</f>
        <v>249999.99999999997</v>
      </c>
      <c r="V183" s="96">
        <f>IF(LS[[#This Row],[BO TRANSFER]]="YES",LS[[#This Row],[Unit]],)</f>
        <v>0</v>
      </c>
      <c r="W183" s="96">
        <f>SUMIFS(LS[[#Headers],[BO UNIT TRANSFER]]:LS[[#This Row],[BO UNIT TRANSFER]],LS[[#Headers],[Investor ID]]:LS[[#This Row],[Investor ID]],LS[[#This Row],[Investor ID]])</f>
        <v>0</v>
      </c>
    </row>
    <row r="184" spans="1:23">
      <c r="A184" s="75">
        <v>2023</v>
      </c>
      <c r="B184" s="75">
        <v>8</v>
      </c>
      <c r="C184" s="75">
        <v>10</v>
      </c>
      <c r="D184" s="81">
        <f>DATE(LS[[#This Row],[Year]],LS[[#This Row],[Month]],LS[[#This Row],[Day]])</f>
        <v>45148</v>
      </c>
      <c r="E184" t="str" cm="1">
        <f t="array" ref="E184">INDEX(INVESTORS_LIST[INVESTOR NAME],MATCH(LS[[#This Row],[Investor ID]],INVESTORS_LIST[INVESTOR CODE],0),)</f>
        <v>MAHFUZUL ISLAM</v>
      </c>
      <c r="F184" s="83" t="s">
        <v>473</v>
      </c>
      <c r="G184" s="75">
        <f>COUNTIF(LS[[#Headers],[Investor ID]]:LS[[#This Row],[Investor ID]],LS[[#This Row],[Investor ID]])</f>
        <v>3</v>
      </c>
      <c r="H184" s="75" t="str">
        <f>CONCATENATE(LS[[#This Row],[Frequency]],LS[[#This Row],[Investor ID]])</f>
        <v>3A00212</v>
      </c>
      <c r="I184" s="75" t="str">
        <f>IF(LS[[#This Row],[B/S]]="B","BUY",(IF(LS[[#This Row],[B/S]]="S","SELL"," ")))</f>
        <v>SELL</v>
      </c>
      <c r="J184" s="75" t="s">
        <v>1231</v>
      </c>
      <c r="K184" s="88">
        <v>-51910</v>
      </c>
      <c r="L184" s="88"/>
      <c r="M184" s="89">
        <f>LS[[#This Row],[Amount]]/LS[[#This Row],[Unit]]</f>
        <v>10.382</v>
      </c>
      <c r="N184" s="90">
        <f>LS[[#This Row],[Unit Capital]]/10</f>
        <v>-5000</v>
      </c>
      <c r="O184" s="90">
        <f>SUMIFS(LS[[#Headers],[Unit]]:LS[[#This Row],[Unit]],LS[[#Headers],[Investor ID]]:LS[[#This Row],[Investor ID]],LS[[#This Row],[Investor ID]])</f>
        <v>12000</v>
      </c>
      <c r="P184" s="96">
        <v>-50000</v>
      </c>
      <c r="Q184" s="48">
        <f>LS[[#This Row],[Amount]]-LS[[#This Row],[Unit Capital]]</f>
        <v>-1910</v>
      </c>
      <c r="R18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</v>
      </c>
      <c r="S184" s="89">
        <f t="shared" si="2"/>
        <v>14.224</v>
      </c>
      <c r="T184" s="96">
        <f>IF(LS[[#This Row],[B/S]]="B",0,ABS(LS[[#This Row],[Unit]])*(LS[[#This Row],[NAV (Strike Rate)]]-INDEX(LS[NAV at Cost (Average)],MATCH(CONCATENATE(LS[[#This Row],[Frequency]]-1,LS[[#This Row],[Investor ID]]),LS[Unique Code],0),)))</f>
        <v>739.99999999999841</v>
      </c>
      <c r="U184" s="96" cm="1">
        <f t="array" ref="U184">IF(LS[[#This Row],[B/S]]="S",ABS(LS[[#This Row],[Unit]])*(INDEX(LS[NAV at Cost (Average)],MATCH(CONCATENATE((LS[[#This Row],[Frequency]]-1),LS[[#This Row],[Investor ID]]),LS[Unique Code],0),0)),0)</f>
        <v>51170</v>
      </c>
      <c r="V184" s="96">
        <f>IF(LS[[#This Row],[BO TRANSFER]]="YES",LS[[#This Row],[Unit]],)</f>
        <v>0</v>
      </c>
      <c r="W184" s="96">
        <f>SUMIFS(LS[[#Headers],[BO UNIT TRANSFER]]:LS[[#This Row],[BO UNIT TRANSFER]],LS[[#Headers],[Investor ID]]:LS[[#This Row],[Investor ID]],LS[[#This Row],[Investor ID]])</f>
        <v>0</v>
      </c>
    </row>
    <row r="185" spans="1:23">
      <c r="A185" s="75">
        <v>2023</v>
      </c>
      <c r="B185" s="75">
        <v>8</v>
      </c>
      <c r="C185" s="75">
        <v>10</v>
      </c>
      <c r="D185" s="81">
        <f>DATE(LS[[#This Row],[Year]],LS[[#This Row],[Month]],LS[[#This Row],[Day]])</f>
        <v>45148</v>
      </c>
      <c r="E185" t="str" cm="1">
        <f t="array" ref="E185">INDEX(INVESTORS_LIST[INVESTOR NAME],MATCH(LS[[#This Row],[Investor ID]],INVESTORS_LIST[INVESTOR CODE],0),)</f>
        <v>AMARSTOCK LIMITED</v>
      </c>
      <c r="F185" s="83" t="s">
        <v>960</v>
      </c>
      <c r="G185" s="75">
        <f>COUNTIF(LS[[#Headers],[Investor ID]]:LS[[#This Row],[Investor ID]],LS[[#This Row],[Investor ID]])</f>
        <v>5</v>
      </c>
      <c r="H185" s="75" t="str">
        <f>CONCATENATE(LS[[#This Row],[Frequency]],LS[[#This Row],[Investor ID]])</f>
        <v>5A00457</v>
      </c>
      <c r="I185" s="75" t="str">
        <f>IF(LS[[#This Row],[B/S]]="B","BUY",(IF(LS[[#This Row],[B/S]]="S","SELL"," ")))</f>
        <v>SELL</v>
      </c>
      <c r="J185" s="75" t="s">
        <v>1231</v>
      </c>
      <c r="K185" s="88">
        <v>-2000000</v>
      </c>
      <c r="L185" s="88"/>
      <c r="M185" s="89">
        <f>LS[[#This Row],[Amount]]/LS[[#This Row],[Unit]]</f>
        <v>10.382005907361361</v>
      </c>
      <c r="N185" s="90">
        <f>LS[[#This Row],[Unit Capital]]/10</f>
        <v>-192641</v>
      </c>
      <c r="O185" s="90">
        <f>SUMIFS(LS[[#Headers],[Unit]]:LS[[#This Row],[Unit]],LS[[#Headers],[Investor ID]]:LS[[#This Row],[Investor ID]],LS[[#This Row],[Investor ID]])</f>
        <v>138937</v>
      </c>
      <c r="P185" s="96">
        <v>-1926410</v>
      </c>
      <c r="Q185" s="48">
        <f>LS[[#This Row],[Amount]]-LS[[#This Row],[Unit Capital]]</f>
        <v>-73590</v>
      </c>
      <c r="R18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10.253997551104113</v>
      </c>
      <c r="S185" s="89">
        <f t="shared" si="2"/>
        <v>14.224</v>
      </c>
      <c r="T185" s="96">
        <f>IF(LS[[#This Row],[B/S]]="B",0,ABS(LS[[#This Row],[Unit]])*(LS[[#This Row],[NAV (Strike Rate)]]-INDEX(LS[NAV at Cost (Average)],MATCH(CONCATENATE(LS[[#This Row],[Frequency]]-1,LS[[#This Row],[Investor ID]]),LS[Unique Code],0),)))</f>
        <v>24659.657757752349</v>
      </c>
      <c r="U185" s="96" cm="1">
        <f t="array" ref="U185">IF(LS[[#This Row],[B/S]]="S",ABS(LS[[#This Row],[Unit]])*(INDEX(LS[NAV at Cost (Average)],MATCH(CONCATENATE((LS[[#This Row],[Frequency]]-1),LS[[#This Row],[Investor ID]]),LS[Unique Code],0),0)),0)</f>
        <v>1975340.3422422474</v>
      </c>
      <c r="V185" s="96">
        <f>IF(LS[[#This Row],[BO TRANSFER]]="YES",LS[[#This Row],[Unit]],)</f>
        <v>0</v>
      </c>
      <c r="W185" s="96">
        <f>SUMIFS(LS[[#Headers],[BO UNIT TRANSFER]]:LS[[#This Row],[BO UNIT TRANSFER]],LS[[#Headers],[Investor ID]]:LS[[#This Row],[Investor ID]],LS[[#This Row],[Investor ID]])</f>
        <v>0</v>
      </c>
    </row>
    <row r="186" spans="1:23">
      <c r="A186" s="75">
        <v>2023</v>
      </c>
      <c r="B186" s="75">
        <v>8</v>
      </c>
      <c r="C186" s="75">
        <v>10</v>
      </c>
      <c r="D186" s="81">
        <f>DATE(LS[[#This Row],[Year]],LS[[#This Row],[Month]],LS[[#This Row],[Day]])</f>
        <v>45148</v>
      </c>
      <c r="E186" t="str" cm="1">
        <f t="array" ref="E186">INDEX(INVESTORS_LIST[INVESTOR NAME],MATCH(LS[[#This Row],[Investor ID]],INVESTORS_LIST[INVESTOR CODE],0),)</f>
        <v>SK FEROZ ALAM</v>
      </c>
      <c r="F186" s="75" t="s">
        <v>240</v>
      </c>
      <c r="G186" s="75">
        <f>COUNTIF(LS[[#Headers],[Investor ID]]:LS[[#This Row],[Investor ID]],LS[[#This Row],[Investor ID]])</f>
        <v>1</v>
      </c>
      <c r="H186" s="75" t="str">
        <f>CONCATENATE(LS[[#This Row],[Frequency]],LS[[#This Row],[Investor ID]])</f>
        <v>1A00096</v>
      </c>
      <c r="I186" s="75" t="str">
        <f>IF(LS[[#This Row],[B/S]]="B","BUY",(IF(LS[[#This Row],[B/S]]="S","SELL"," ")))</f>
        <v>BUY</v>
      </c>
      <c r="J186" s="75" t="s">
        <v>1229</v>
      </c>
      <c r="K186" s="88">
        <v>270000</v>
      </c>
      <c r="L186" s="88"/>
      <c r="M186" s="89">
        <f>LS[[#This Row],[Amount]]/LS[[#This Row],[Unit]]</f>
        <v>10.381820279155612</v>
      </c>
      <c r="N186" s="90">
        <f>LS[[#This Row],[Unit Capital]]/10</f>
        <v>26007</v>
      </c>
      <c r="O186" s="90">
        <f>SUMIFS(LS[[#Headers],[Unit]]:LS[[#This Row],[Unit]],LS[[#Headers],[Investor ID]]:LS[[#This Row],[Investor ID]],LS[[#This Row],[Investor ID]])</f>
        <v>26007</v>
      </c>
      <c r="P186" s="96">
        <v>260070</v>
      </c>
      <c r="Q186" s="48">
        <f>LS[[#This Row],[Amount]]-LS[[#This Row],[Unit Capital]]</f>
        <v>9930</v>
      </c>
      <c r="R18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10.381820279155612</v>
      </c>
      <c r="S186" s="89">
        <f t="shared" si="2"/>
        <v>14.224</v>
      </c>
      <c r="T18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6" s="96" cm="1">
        <f t="array" ref="U186">IF(LS[[#This Row],[B/S]]="S",ABS(LS[[#This Row],[Unit]])*(INDEX(LS[NAV at Cost (Average)],MATCH(CONCATENATE((LS[[#This Row],[Frequency]]-1),LS[[#This Row],[Investor ID]]),LS[Unique Code],0),0)),0)</f>
        <v>0</v>
      </c>
      <c r="V186" s="96">
        <f>IF(LS[[#This Row],[BO TRANSFER]]="YES",LS[[#This Row],[Unit]],)</f>
        <v>0</v>
      </c>
      <c r="W186" s="96">
        <f>SUMIFS(LS[[#Headers],[BO UNIT TRANSFER]]:LS[[#This Row],[BO UNIT TRANSFER]],LS[[#Headers],[Investor ID]]:LS[[#This Row],[Investor ID]],LS[[#This Row],[Investor ID]])</f>
        <v>0</v>
      </c>
    </row>
    <row r="187" spans="1:23">
      <c r="A187" s="75">
        <v>2023</v>
      </c>
      <c r="B187" s="75">
        <v>8</v>
      </c>
      <c r="C187" s="75">
        <v>10</v>
      </c>
      <c r="D187" s="81">
        <f>DATE(LS[[#This Row],[Year]],LS[[#This Row],[Month]],LS[[#This Row],[Day]])</f>
        <v>45148</v>
      </c>
      <c r="E187" t="str" cm="1">
        <f t="array" ref="E187">INDEX(INVESTORS_LIST[INVESTOR NAME],MATCH(LS[[#This Row],[Investor ID]],INVESTORS_LIST[INVESTOR CODE],0),)</f>
        <v>ARKO SAHA</v>
      </c>
      <c r="F187" s="83" t="s">
        <v>316</v>
      </c>
      <c r="G187" s="75">
        <f>COUNTIF(LS[[#Headers],[Investor ID]]:LS[[#This Row],[Investor ID]],LS[[#This Row],[Investor ID]])</f>
        <v>1</v>
      </c>
      <c r="H187" s="75" t="str">
        <f>CONCATENATE(LS[[#This Row],[Frequency]],LS[[#This Row],[Investor ID]])</f>
        <v>1A00134</v>
      </c>
      <c r="I187" s="75" t="str">
        <f>IF(LS[[#This Row],[B/S]]="B","BUY",(IF(LS[[#This Row],[B/S]]="S","SELL"," ")))</f>
        <v>BUY</v>
      </c>
      <c r="J187" s="75" t="s">
        <v>1229</v>
      </c>
      <c r="K187" s="88">
        <v>103820</v>
      </c>
      <c r="L187" s="88"/>
      <c r="M187" s="89">
        <f>LS[[#This Row],[Amount]]/LS[[#This Row],[Unit]]</f>
        <v>10.382</v>
      </c>
      <c r="N187" s="90">
        <f>LS[[#This Row],[Unit Capital]]/10</f>
        <v>10000</v>
      </c>
      <c r="O187" s="90">
        <f>SUMIFS(LS[[#Headers],[Unit]]:LS[[#This Row],[Unit]],LS[[#Headers],[Investor ID]]:LS[[#This Row],[Investor ID]],LS[[#This Row],[Investor ID]])</f>
        <v>10000</v>
      </c>
      <c r="P187" s="96">
        <v>100000</v>
      </c>
      <c r="Q187" s="48">
        <f>LS[[#This Row],[Amount]]-LS[[#This Row],[Unit Capital]]</f>
        <v>3820</v>
      </c>
      <c r="R18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10.382</v>
      </c>
      <c r="S187" s="89">
        <f t="shared" si="2"/>
        <v>14.224</v>
      </c>
      <c r="T18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7" s="96" cm="1">
        <f t="array" ref="U187">IF(LS[[#This Row],[B/S]]="S",ABS(LS[[#This Row],[Unit]])*(INDEX(LS[NAV at Cost (Average)],MATCH(CONCATENATE((LS[[#This Row],[Frequency]]-1),LS[[#This Row],[Investor ID]]),LS[Unique Code],0),0)),0)</f>
        <v>0</v>
      </c>
      <c r="V187" s="96">
        <f>IF(LS[[#This Row],[BO TRANSFER]]="YES",LS[[#This Row],[Unit]],)</f>
        <v>0</v>
      </c>
      <c r="W187" s="96">
        <f>SUMIFS(LS[[#Headers],[BO UNIT TRANSFER]]:LS[[#This Row],[BO UNIT TRANSFER]],LS[[#Headers],[Investor ID]]:LS[[#This Row],[Investor ID]],LS[[#This Row],[Investor ID]])</f>
        <v>0</v>
      </c>
    </row>
    <row r="188" spans="1:23">
      <c r="A188" s="75">
        <v>2023</v>
      </c>
      <c r="B188" s="75">
        <v>8</v>
      </c>
      <c r="C188" s="75">
        <v>14</v>
      </c>
      <c r="D188" s="81">
        <f>DATE(LS[[#This Row],[Year]],LS[[#This Row],[Month]],LS[[#This Row],[Day]])</f>
        <v>45152</v>
      </c>
      <c r="E188" t="str" cm="1">
        <f t="array" ref="E188">INDEX(INVESTORS_LIST[INVESTOR NAME],MATCH(LS[[#This Row],[Investor ID]],INVESTORS_LIST[INVESTOR CODE],0),)</f>
        <v>TANVIR AHMED SIDDIQUI</v>
      </c>
      <c r="F188" s="83" t="s">
        <v>111</v>
      </c>
      <c r="G188" s="75">
        <f>COUNTIF(LS[[#Headers],[Investor ID]]:LS[[#This Row],[Investor ID]],LS[[#This Row],[Investor ID]])</f>
        <v>1</v>
      </c>
      <c r="H188" s="75" t="str">
        <f>CONCATENATE(LS[[#This Row],[Frequency]],LS[[#This Row],[Investor ID]])</f>
        <v>1A00032</v>
      </c>
      <c r="I188" s="75" t="str">
        <f>IF(LS[[#This Row],[B/S]]="B","BUY",(IF(LS[[#This Row],[B/S]]="S","SELL"," ")))</f>
        <v>BUY</v>
      </c>
      <c r="J188" s="75" t="s">
        <v>1229</v>
      </c>
      <c r="K188" s="88">
        <v>100000</v>
      </c>
      <c r="L188" s="88"/>
      <c r="M188" s="89">
        <f>LS[[#This Row],[Amount]]/LS[[#This Row],[Unit]]</f>
        <v>10.396091069757771</v>
      </c>
      <c r="N188" s="90">
        <f>LS[[#This Row],[Unit Capital]]/10</f>
        <v>9619</v>
      </c>
      <c r="O188" s="90">
        <f>SUMIFS(LS[[#Headers],[Unit]]:LS[[#This Row],[Unit]],LS[[#Headers],[Investor ID]]:LS[[#This Row],[Investor ID]],LS[[#This Row],[Investor ID]])</f>
        <v>9619</v>
      </c>
      <c r="P188" s="96">
        <v>96190</v>
      </c>
      <c r="Q188" s="48">
        <f>LS[[#This Row],[Amount]]-LS[[#This Row],[Unit Capital]]</f>
        <v>3810</v>
      </c>
      <c r="R18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10.396091069757771</v>
      </c>
      <c r="S188" s="89">
        <f t="shared" si="2"/>
        <v>14.224</v>
      </c>
      <c r="T18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8" s="96" cm="1">
        <f t="array" ref="U188">IF(LS[[#This Row],[B/S]]="S",ABS(LS[[#This Row],[Unit]])*(INDEX(LS[NAV at Cost (Average)],MATCH(CONCATENATE((LS[[#This Row],[Frequency]]-1),LS[[#This Row],[Investor ID]]),LS[Unique Code],0),0)),0)</f>
        <v>0</v>
      </c>
      <c r="V188" s="96">
        <f>IF(LS[[#This Row],[BO TRANSFER]]="YES",LS[[#This Row],[Unit]],)</f>
        <v>0</v>
      </c>
      <c r="W188" s="96">
        <f>SUMIFS(LS[[#Headers],[BO UNIT TRANSFER]]:LS[[#This Row],[BO UNIT TRANSFER]],LS[[#Headers],[Investor ID]]:LS[[#This Row],[Investor ID]],LS[[#This Row],[Investor ID]])</f>
        <v>0</v>
      </c>
    </row>
    <row r="189" spans="1:23">
      <c r="A189" s="75">
        <v>2023</v>
      </c>
      <c r="B189" s="75">
        <v>8</v>
      </c>
      <c r="C189" s="75">
        <v>16</v>
      </c>
      <c r="D189" s="81">
        <f>DATE(LS[[#This Row],[Year]],LS[[#This Row],[Month]],LS[[#This Row],[Day]])</f>
        <v>45154</v>
      </c>
      <c r="E189" t="str" cm="1">
        <f t="array" ref="E189">INDEX(INVESTORS_LIST[INVESTOR NAME],MATCH(LS[[#This Row],[Investor ID]],INVESTORS_LIST[INVESTOR CODE],0),)</f>
        <v>KALPANA RANI</v>
      </c>
      <c r="F189" s="83" t="s">
        <v>1063</v>
      </c>
      <c r="G189" s="75">
        <f>COUNTIF(LS[[#Headers],[Investor ID]]:LS[[#This Row],[Investor ID]],LS[[#This Row],[Investor ID]])</f>
        <v>1</v>
      </c>
      <c r="H189" s="75" t="str">
        <f>CONCATENATE(LS[[#This Row],[Frequency]],LS[[#This Row],[Investor ID]])</f>
        <v>1A00509</v>
      </c>
      <c r="I189" s="75" t="str">
        <f>IF(LS[[#This Row],[B/S]]="B","BUY",(IF(LS[[#This Row],[B/S]]="S","SELL"," ")))</f>
        <v>BUY</v>
      </c>
      <c r="J189" s="75" t="s">
        <v>1229</v>
      </c>
      <c r="K189" s="88">
        <v>300000</v>
      </c>
      <c r="L189" s="88"/>
      <c r="M189" s="89">
        <f>LS[[#This Row],[Amount]]/LS[[#This Row],[Unit]]</f>
        <v>10.396091069757771</v>
      </c>
      <c r="N189" s="90">
        <f>LS[[#This Row],[Unit Capital]]/10</f>
        <v>28857</v>
      </c>
      <c r="O189" s="90">
        <f>SUMIFS(LS[[#Headers],[Unit]]:LS[[#This Row],[Unit]],LS[[#Headers],[Investor ID]]:LS[[#This Row],[Investor ID]],LS[[#This Row],[Investor ID]])</f>
        <v>28857</v>
      </c>
      <c r="P189" s="96">
        <v>288570</v>
      </c>
      <c r="Q189" s="48">
        <f>LS[[#This Row],[Amount]]-LS[[#This Row],[Unit Capital]]</f>
        <v>11430</v>
      </c>
      <c r="R18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10.396091069757771</v>
      </c>
      <c r="S189" s="89">
        <f t="shared" si="2"/>
        <v>14.224</v>
      </c>
      <c r="T18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89" s="96" cm="1">
        <f t="array" ref="U189">IF(LS[[#This Row],[B/S]]="S",ABS(LS[[#This Row],[Unit]])*(INDEX(LS[NAV at Cost (Average)],MATCH(CONCATENATE((LS[[#This Row],[Frequency]]-1),LS[[#This Row],[Investor ID]]),LS[Unique Code],0),0)),0)</f>
        <v>0</v>
      </c>
      <c r="V189" s="96">
        <f>IF(LS[[#This Row],[BO TRANSFER]]="YES",LS[[#This Row],[Unit]],)</f>
        <v>0</v>
      </c>
      <c r="W189" s="96">
        <f>SUMIFS(LS[[#Headers],[BO UNIT TRANSFER]]:LS[[#This Row],[BO UNIT TRANSFER]],LS[[#Headers],[Investor ID]]:LS[[#This Row],[Investor ID]],LS[[#This Row],[Investor ID]])</f>
        <v>0</v>
      </c>
    </row>
    <row r="190" spans="1:23">
      <c r="A190" s="75">
        <v>2023</v>
      </c>
      <c r="B190" s="75">
        <v>8</v>
      </c>
      <c r="C190" s="75">
        <v>21</v>
      </c>
      <c r="D190" s="81">
        <f>DATE(LS[[#This Row],[Year]],LS[[#This Row],[Month]],LS[[#This Row],[Day]])</f>
        <v>45159</v>
      </c>
      <c r="E190" t="str" cm="1">
        <f t="array" ref="E190">INDEX(INVESTORS_LIST[INVESTOR NAME],MATCH(LS[[#This Row],[Investor ID]],INVESTORS_LIST[INVESTOR CODE],0),)</f>
        <v>NADIRA AKTER</v>
      </c>
      <c r="F190" s="83" t="s">
        <v>589</v>
      </c>
      <c r="G190" s="75">
        <f>COUNTIF(LS[[#Headers],[Investor ID]]:LS[[#This Row],[Investor ID]],LS[[#This Row],[Investor ID]])</f>
        <v>2</v>
      </c>
      <c r="H190" s="75" t="str">
        <f>CONCATENATE(LS[[#This Row],[Frequency]],LS[[#This Row],[Investor ID]])</f>
        <v>2A00270</v>
      </c>
      <c r="I190" s="75" t="str">
        <f>IF(LS[[#This Row],[B/S]]="B","BUY",(IF(LS[[#This Row],[B/S]]="S","SELL"," ")))</f>
        <v>SELL</v>
      </c>
      <c r="J190" s="75" t="s">
        <v>1231</v>
      </c>
      <c r="K190" s="88">
        <v>-500000</v>
      </c>
      <c r="L190" s="88"/>
      <c r="M190" s="89">
        <f>LS[[#This Row],[Amount]]/LS[[#This Row],[Unit]]</f>
        <v>10.233948052479686</v>
      </c>
      <c r="N190" s="90">
        <f>LS[[#This Row],[Unit Capital]]/10</f>
        <v>-48857</v>
      </c>
      <c r="O190" s="90">
        <f>SUMIFS(LS[[#Headers],[Unit]]:LS[[#This Row],[Unit]],LS[[#Headers],[Investor ID]]:LS[[#This Row],[Investor ID]],LS[[#This Row],[Investor ID]])</f>
        <v>0</v>
      </c>
      <c r="P190" s="96">
        <v>-488570</v>
      </c>
      <c r="Q190" s="48">
        <f>LS[[#This Row],[Amount]]-LS[[#This Row],[Unit Capital]]</f>
        <v>-11430</v>
      </c>
      <c r="R19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90" s="89">
        <f t="shared" si="2"/>
        <v>14.224</v>
      </c>
      <c r="T19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0" s="96" cm="1">
        <f t="array" ref="U190">IF(LS[[#This Row],[B/S]]="S",ABS(LS[[#This Row],[Unit]])*(INDEX(LS[NAV at Cost (Average)],MATCH(CONCATENATE((LS[[#This Row],[Frequency]]-1),LS[[#This Row],[Investor ID]]),LS[Unique Code],0),0)),0)</f>
        <v>500000</v>
      </c>
      <c r="V190" s="96">
        <f>IF(LS[[#This Row],[BO TRANSFER]]="YES",LS[[#This Row],[Unit]],)</f>
        <v>0</v>
      </c>
      <c r="W190" s="96">
        <f>SUMIFS(LS[[#Headers],[BO UNIT TRANSFER]]:LS[[#This Row],[BO UNIT TRANSFER]],LS[[#Headers],[Investor ID]]:LS[[#This Row],[Investor ID]],LS[[#This Row],[Investor ID]])</f>
        <v>0</v>
      </c>
    </row>
    <row r="191" spans="1:23">
      <c r="A191" s="75">
        <v>2023</v>
      </c>
      <c r="B191" s="75">
        <v>8</v>
      </c>
      <c r="C191" s="75">
        <v>21</v>
      </c>
      <c r="D191" s="81">
        <f>DATE(LS[[#This Row],[Year]],LS[[#This Row],[Month]],LS[[#This Row],[Day]])</f>
        <v>45159</v>
      </c>
      <c r="E191" t="str" cm="1">
        <f t="array" ref="E191">INDEX(INVESTORS_LIST[INVESTOR NAME],MATCH(LS[[#This Row],[Investor ID]],INVESTORS_LIST[INVESTOR CODE],0),)</f>
        <v>MD. SAIFULLAH AL AZAD</v>
      </c>
      <c r="F191" s="83" t="s">
        <v>688</v>
      </c>
      <c r="G191" s="75">
        <f>COUNTIF(LS[[#Headers],[Investor ID]]:LS[[#This Row],[Investor ID]],LS[[#This Row],[Investor ID]])</f>
        <v>2</v>
      </c>
      <c r="H191" s="75" t="str">
        <f>CONCATENATE(LS[[#This Row],[Frequency]],LS[[#This Row],[Investor ID]])</f>
        <v>2A00320</v>
      </c>
      <c r="I191" s="75" t="str">
        <f>IF(LS[[#This Row],[B/S]]="B","BUY",(IF(LS[[#This Row],[B/S]]="S","SELL"," ")))</f>
        <v>SELL</v>
      </c>
      <c r="J191" s="75" t="s">
        <v>1231</v>
      </c>
      <c r="K191" s="88">
        <v>-208160</v>
      </c>
      <c r="L191" s="88"/>
      <c r="M191" s="89">
        <f>LS[[#This Row],[Amount]]/LS[[#This Row],[Unit]]</f>
        <v>10.407999999999999</v>
      </c>
      <c r="N191" s="90">
        <f>LS[[#This Row],[Unit Capital]]/10</f>
        <v>-20000</v>
      </c>
      <c r="O191" s="90">
        <f>SUMIFS(LS[[#Headers],[Unit]]:LS[[#This Row],[Unit]],LS[[#Headers],[Investor ID]]:LS[[#This Row],[Investor ID]],LS[[#This Row],[Investor ID]])</f>
        <v>0</v>
      </c>
      <c r="P191" s="96">
        <v>-200000</v>
      </c>
      <c r="Q191" s="48">
        <f>LS[[#This Row],[Amount]]-LS[[#This Row],[Unit Capital]]</f>
        <v>-8160</v>
      </c>
      <c r="R19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91" s="89">
        <f t="shared" si="2"/>
        <v>14.224</v>
      </c>
      <c r="T191" s="96">
        <f>IF(LS[[#This Row],[B/S]]="B",0,ABS(LS[[#This Row],[Unit]])*(LS[[#This Row],[NAV (Strike Rate)]]-INDEX(LS[NAV at Cost (Average)],MATCH(CONCATENATE(LS[[#This Row],[Frequency]]-1,LS[[#This Row],[Investor ID]]),LS[Unique Code],0),)))</f>
        <v>8159.9999999999891</v>
      </c>
      <c r="U191" s="96" cm="1">
        <f t="array" ref="U191">IF(LS[[#This Row],[B/S]]="S",ABS(LS[[#This Row],[Unit]])*(INDEX(LS[NAV at Cost (Average)],MATCH(CONCATENATE((LS[[#This Row],[Frequency]]-1),LS[[#This Row],[Investor ID]]),LS[Unique Code],0),0)),0)</f>
        <v>200000</v>
      </c>
      <c r="V191" s="96">
        <f>IF(LS[[#This Row],[BO TRANSFER]]="YES",LS[[#This Row],[Unit]],)</f>
        <v>0</v>
      </c>
      <c r="W191" s="96">
        <f>SUMIFS(LS[[#Headers],[BO UNIT TRANSFER]]:LS[[#This Row],[BO UNIT TRANSFER]],LS[[#Headers],[Investor ID]]:LS[[#This Row],[Investor ID]],LS[[#This Row],[Investor ID]])</f>
        <v>0</v>
      </c>
    </row>
    <row r="192" spans="1:23">
      <c r="A192" s="75">
        <v>2023</v>
      </c>
      <c r="B192" s="75">
        <v>8</v>
      </c>
      <c r="C192" s="75">
        <v>24</v>
      </c>
      <c r="D192" s="81">
        <f>DATE(LS[[#This Row],[Year]],LS[[#This Row],[Month]],LS[[#This Row],[Day]])</f>
        <v>45162</v>
      </c>
      <c r="E192" t="str" cm="1">
        <f t="array" ref="E192">INDEX(INVESTORS_LIST[INVESTOR NAME],MATCH(LS[[#This Row],[Investor ID]],INVESTORS_LIST[INVESTOR CODE],0),)</f>
        <v>EKUSH WEALTH MANAGEMENT LIMITED</v>
      </c>
      <c r="F192" s="83" t="s">
        <v>47</v>
      </c>
      <c r="G192" s="75">
        <f>COUNTIF(LS[[#Headers],[Investor ID]]:LS[[#This Row],[Investor ID]],LS[[#This Row],[Investor ID]])</f>
        <v>6</v>
      </c>
      <c r="H192" s="75" t="str">
        <f>CONCATENATE(LS[[#This Row],[Frequency]],LS[[#This Row],[Investor ID]])</f>
        <v>6A00003</v>
      </c>
      <c r="I192" s="75" t="str">
        <f>IF(LS[[#This Row],[B/S]]="B","BUY",(IF(LS[[#This Row],[B/S]]="S","SELL"," ")))</f>
        <v>SELL</v>
      </c>
      <c r="J192" s="75" t="s">
        <v>1231</v>
      </c>
      <c r="K192" s="88">
        <v>-100000</v>
      </c>
      <c r="L192" s="88"/>
      <c r="M192" s="89">
        <f>LS[[#This Row],[Amount]]/LS[[#This Row],[Unit]]</f>
        <v>10.407993338884262</v>
      </c>
      <c r="N192" s="90">
        <f>LS[[#This Row],[Unit Capital]]/10</f>
        <v>-9608</v>
      </c>
      <c r="O192" s="90">
        <f>SUMIFS(LS[[#Headers],[Unit]]:LS[[#This Row],[Unit]],LS[[#Headers],[Investor ID]]:LS[[#This Row],[Investor ID]],LS[[#This Row],[Investor ID]])</f>
        <v>2697000</v>
      </c>
      <c r="P192" s="96">
        <v>-96080</v>
      </c>
      <c r="Q192" s="48">
        <f>LS[[#This Row],[Amount]]-LS[[#This Row],[Unit Capital]]</f>
        <v>-3920</v>
      </c>
      <c r="R19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192" s="89">
        <f t="shared" si="2"/>
        <v>14.224</v>
      </c>
      <c r="T192" s="96">
        <f>IF(LS[[#This Row],[B/S]]="B",0,ABS(LS[[#This Row],[Unit]])*(LS[[#This Row],[NAV (Strike Rate)]]-INDEX(LS[NAV at Cost (Average)],MATCH(CONCATENATE(LS[[#This Row],[Frequency]]-1,LS[[#This Row],[Investor ID]]),LS[Unique Code],0),)))</f>
        <v>3783.6155069370766</v>
      </c>
      <c r="U192" s="96" cm="1">
        <f t="array" ref="U192">IF(LS[[#This Row],[B/S]]="S",ABS(LS[[#This Row],[Unit]])*(INDEX(LS[NAV at Cost (Average)],MATCH(CONCATENATE((LS[[#This Row],[Frequency]]-1),LS[[#This Row],[Investor ID]]),LS[Unique Code],0),0)),0)</f>
        <v>96216.384493062913</v>
      </c>
      <c r="V192" s="96">
        <f>IF(LS[[#This Row],[BO TRANSFER]]="YES",LS[[#This Row],[Unit]],)</f>
        <v>0</v>
      </c>
      <c r="W192" s="96">
        <f>SUMIFS(LS[[#Headers],[BO UNIT TRANSFER]]:LS[[#This Row],[BO UNIT TRANSFER]],LS[[#Headers],[Investor ID]]:LS[[#This Row],[Investor ID]],LS[[#This Row],[Investor ID]])</f>
        <v>0</v>
      </c>
    </row>
    <row r="193" spans="1:23">
      <c r="A193" s="75">
        <v>2023</v>
      </c>
      <c r="B193" s="75">
        <v>8</v>
      </c>
      <c r="C193" s="75">
        <v>21</v>
      </c>
      <c r="D193" s="81">
        <f>DATE(LS[[#This Row],[Year]],LS[[#This Row],[Month]],LS[[#This Row],[Day]])</f>
        <v>45159</v>
      </c>
      <c r="E193" t="str" cm="1">
        <f t="array" ref="E193">INDEX(INVESTORS_LIST[INVESTOR NAME],MATCH(LS[[#This Row],[Investor ID]],INVESTORS_LIST[INVESTOR CODE],0),)</f>
        <v>SULTANA RAZIA</v>
      </c>
      <c r="F193" s="83" t="s">
        <v>511</v>
      </c>
      <c r="G193" s="75">
        <f>COUNTIF(LS[[#Headers],[Investor ID]]:LS[[#This Row],[Investor ID]],LS[[#This Row],[Investor ID]])</f>
        <v>2</v>
      </c>
      <c r="H193" s="75" t="str">
        <f>CONCATENATE(LS[[#This Row],[Frequency]],LS[[#This Row],[Investor ID]])</f>
        <v>2A00231</v>
      </c>
      <c r="I193" s="75" t="str">
        <f>IF(LS[[#This Row],[B/S]]="B","BUY",(IF(LS[[#This Row],[B/S]]="S","SELL"," ")))</f>
        <v>BUY</v>
      </c>
      <c r="J193" s="75" t="s">
        <v>1229</v>
      </c>
      <c r="K193" s="88">
        <v>700000</v>
      </c>
      <c r="L193" s="88"/>
      <c r="M193" s="89">
        <f>LS[[#This Row],[Amount]]/LS[[#This Row],[Unit]]</f>
        <v>10.407993338884262</v>
      </c>
      <c r="N193" s="90">
        <f>LS[[#This Row],[Unit Capital]]/10</f>
        <v>67256</v>
      </c>
      <c r="O193" s="90">
        <f>SUMIFS(LS[[#Headers],[Unit]]:LS[[#This Row],[Unit]],LS[[#Headers],[Investor ID]]:LS[[#This Row],[Investor ID]],LS[[#This Row],[Investor ID]])</f>
        <v>167256</v>
      </c>
      <c r="P193" s="96">
        <v>672560</v>
      </c>
      <c r="Q193" s="48">
        <f>LS[[#This Row],[Amount]]-LS[[#This Row],[Unit Capital]]</f>
        <v>27440</v>
      </c>
      <c r="R19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10.164059884249294</v>
      </c>
      <c r="S193" s="89">
        <f t="shared" si="2"/>
        <v>14.224</v>
      </c>
      <c r="T19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3" s="96" cm="1">
        <f t="array" ref="U193">IF(LS[[#This Row],[B/S]]="S",ABS(LS[[#This Row],[Unit]])*(INDEX(LS[NAV at Cost (Average)],MATCH(CONCATENATE((LS[[#This Row],[Frequency]]-1),LS[[#This Row],[Investor ID]]),LS[Unique Code],0),0)),0)</f>
        <v>0</v>
      </c>
      <c r="V193" s="96">
        <f>IF(LS[[#This Row],[BO TRANSFER]]="YES",LS[[#This Row],[Unit]],)</f>
        <v>0</v>
      </c>
      <c r="W193" s="96">
        <f>SUMIFS(LS[[#Headers],[BO UNIT TRANSFER]]:LS[[#This Row],[BO UNIT TRANSFER]],LS[[#Headers],[Investor ID]]:LS[[#This Row],[Investor ID]],LS[[#This Row],[Investor ID]])</f>
        <v>0</v>
      </c>
    </row>
    <row r="194" spans="1:23">
      <c r="A194" s="75">
        <v>2023</v>
      </c>
      <c r="B194" s="75">
        <v>8</v>
      </c>
      <c r="C194" s="75">
        <v>22</v>
      </c>
      <c r="D194" s="81">
        <f>DATE(LS[[#This Row],[Year]],LS[[#This Row],[Month]],LS[[#This Row],[Day]])</f>
        <v>45160</v>
      </c>
      <c r="E194" t="str" cm="1">
        <f t="array" ref="E194">INDEX(INVESTORS_LIST[INVESTOR NAME],MATCH(LS[[#This Row],[Investor ID]],INVESTORS_LIST[INVESTOR CODE],0),)</f>
        <v>FAIYEAD AHMEDUL HYE</v>
      </c>
      <c r="F194" s="83" t="s">
        <v>368</v>
      </c>
      <c r="G194" s="75">
        <f>COUNTIF(LS[[#Headers],[Investor ID]]:LS[[#This Row],[Investor ID]],LS[[#This Row],[Investor ID]])</f>
        <v>3</v>
      </c>
      <c r="H194" s="75" t="str">
        <f>CONCATENATE(LS[[#This Row],[Frequency]],LS[[#This Row],[Investor ID]])</f>
        <v>3A00160</v>
      </c>
      <c r="I194" s="75" t="str">
        <f>IF(LS[[#This Row],[B/S]]="B","BUY",(IF(LS[[#This Row],[B/S]]="S","SELL"," ")))</f>
        <v>BUY</v>
      </c>
      <c r="J194" s="75" t="s">
        <v>1229</v>
      </c>
      <c r="K194" s="88">
        <v>25000</v>
      </c>
      <c r="L194" s="88"/>
      <c r="M194" s="89">
        <f>LS[[#This Row],[Amount]]/LS[[#This Row],[Unit]]</f>
        <v>10.407993338884262</v>
      </c>
      <c r="N194" s="90">
        <f>LS[[#This Row],[Unit Capital]]/10</f>
        <v>2402</v>
      </c>
      <c r="O194" s="90">
        <f>SUMIFS(LS[[#Headers],[Unit]]:LS[[#This Row],[Unit]],LS[[#Headers],[Investor ID]]:LS[[#This Row],[Investor ID]],LS[[#This Row],[Investor ID]])</f>
        <v>15070</v>
      </c>
      <c r="P194" s="96">
        <v>24020</v>
      </c>
      <c r="Q194" s="48">
        <f>LS[[#This Row],[Amount]]-LS[[#This Row],[Unit Capital]]</f>
        <v>980</v>
      </c>
      <c r="R19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10.285335102853352</v>
      </c>
      <c r="S194" s="89">
        <f t="shared" si="2"/>
        <v>14.224</v>
      </c>
      <c r="T19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4" s="96" cm="1">
        <f t="array" ref="U194">IF(LS[[#This Row],[B/S]]="S",ABS(LS[[#This Row],[Unit]])*(INDEX(LS[NAV at Cost (Average)],MATCH(CONCATENATE((LS[[#This Row],[Frequency]]-1),LS[[#This Row],[Investor ID]]),LS[Unique Code],0),0)),0)</f>
        <v>0</v>
      </c>
      <c r="V194" s="96">
        <f>IF(LS[[#This Row],[BO TRANSFER]]="YES",LS[[#This Row],[Unit]],)</f>
        <v>0</v>
      </c>
      <c r="W194" s="96">
        <f>SUMIFS(LS[[#Headers],[BO UNIT TRANSFER]]:LS[[#This Row],[BO UNIT TRANSFER]],LS[[#Headers],[Investor ID]]:LS[[#This Row],[Investor ID]],LS[[#This Row],[Investor ID]])</f>
        <v>0</v>
      </c>
    </row>
    <row r="195" spans="1:23">
      <c r="A195" s="75">
        <v>2023</v>
      </c>
      <c r="B195" s="75">
        <v>8</v>
      </c>
      <c r="C195" s="75">
        <v>22</v>
      </c>
      <c r="D195" s="81">
        <f>DATE(LS[[#This Row],[Year]],LS[[#This Row],[Month]],LS[[#This Row],[Day]])</f>
        <v>45160</v>
      </c>
      <c r="E195" t="str" cm="1">
        <f t="array" ref="E195">INDEX(INVESTORS_LIST[INVESTOR NAME],MATCH(LS[[#This Row],[Investor ID]],INVESTORS_LIST[INVESTOR CODE],0),)</f>
        <v>MAYA RANI SAHA</v>
      </c>
      <c r="F195" s="83" t="s">
        <v>224</v>
      </c>
      <c r="G195" s="75">
        <f>COUNTIF(LS[[#Headers],[Investor ID]]:LS[[#This Row],[Investor ID]],LS[[#This Row],[Investor ID]])</f>
        <v>4</v>
      </c>
      <c r="H195" s="75" t="str">
        <f>CONCATENATE(LS[[#This Row],[Frequency]],LS[[#This Row],[Investor ID]])</f>
        <v>4A00088</v>
      </c>
      <c r="I195" s="75" t="str">
        <f>IF(LS[[#This Row],[B/S]]="B","BUY",(IF(LS[[#This Row],[B/S]]="S","SELL"," ")))</f>
        <v>BUY</v>
      </c>
      <c r="J195" s="75" t="s">
        <v>1229</v>
      </c>
      <c r="K195" s="88">
        <v>100000</v>
      </c>
      <c r="L195" s="88"/>
      <c r="M195" s="89">
        <f>LS[[#This Row],[Amount]]/LS[[#This Row],[Unit]]</f>
        <v>10.407993338884262</v>
      </c>
      <c r="N195" s="90">
        <f>LS[[#This Row],[Unit Capital]]/10</f>
        <v>9608</v>
      </c>
      <c r="O195" s="90">
        <f>SUMIFS(LS[[#Headers],[Unit]]:LS[[#This Row],[Unit]],LS[[#Headers],[Investor ID]]:LS[[#This Row],[Investor ID]],LS[[#This Row],[Investor ID]])</f>
        <v>342902</v>
      </c>
      <c r="P195" s="96">
        <v>96080</v>
      </c>
      <c r="Q195" s="48">
        <f>LS[[#This Row],[Amount]]-LS[[#This Row],[Unit Capital]]</f>
        <v>3920</v>
      </c>
      <c r="R19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10.206997917772426</v>
      </c>
      <c r="S195" s="89">
        <f t="shared" ref="S195:S258" si="3">IFERROR(NAV_MKT,0)</f>
        <v>14.224</v>
      </c>
      <c r="T19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5" s="96" cm="1">
        <f t="array" ref="U195">IF(LS[[#This Row],[B/S]]="S",ABS(LS[[#This Row],[Unit]])*(INDEX(LS[NAV at Cost (Average)],MATCH(CONCATENATE((LS[[#This Row],[Frequency]]-1),LS[[#This Row],[Investor ID]]),LS[Unique Code],0),0)),0)</f>
        <v>0</v>
      </c>
      <c r="V195" s="96">
        <f>IF(LS[[#This Row],[BO TRANSFER]]="YES",LS[[#This Row],[Unit]],)</f>
        <v>0</v>
      </c>
      <c r="W195" s="96">
        <f>SUMIFS(LS[[#Headers],[BO UNIT TRANSFER]]:LS[[#This Row],[BO UNIT TRANSFER]],LS[[#Headers],[Investor ID]]:LS[[#This Row],[Investor ID]],LS[[#This Row],[Investor ID]])</f>
        <v>0</v>
      </c>
    </row>
    <row r="196" spans="1:23">
      <c r="A196" s="75">
        <v>2023</v>
      </c>
      <c r="B196" s="75">
        <v>8</v>
      </c>
      <c r="C196" s="75">
        <v>23</v>
      </c>
      <c r="D196" s="81">
        <f>DATE(LS[[#This Row],[Year]],LS[[#This Row],[Month]],LS[[#This Row],[Day]])</f>
        <v>45161</v>
      </c>
      <c r="E196" t="str" cm="1">
        <f t="array" ref="E196">INDEX(INVESTORS_LIST[INVESTOR NAME],MATCH(LS[[#This Row],[Investor ID]],INVESTORS_LIST[INVESTOR CODE],0),)</f>
        <v>FAKARUDDIN ALI AHMED</v>
      </c>
      <c r="F196" s="83" t="s">
        <v>228</v>
      </c>
      <c r="G196" s="75">
        <f>COUNTIF(LS[[#Headers],[Investor ID]]:LS[[#This Row],[Investor ID]],LS[[#This Row],[Investor ID]])</f>
        <v>3</v>
      </c>
      <c r="H196" s="75" t="str">
        <f>CONCATENATE(LS[[#This Row],[Frequency]],LS[[#This Row],[Investor ID]])</f>
        <v>3A00090</v>
      </c>
      <c r="I196" s="75" t="str">
        <f>IF(LS[[#This Row],[B/S]]="B","BUY",(IF(LS[[#This Row],[B/S]]="S","SELL"," ")))</f>
        <v>BUY</v>
      </c>
      <c r="J196" s="75" t="s">
        <v>1229</v>
      </c>
      <c r="K196" s="88">
        <v>200000</v>
      </c>
      <c r="L196" s="88"/>
      <c r="M196" s="89">
        <f>LS[[#This Row],[Amount]]/LS[[#This Row],[Unit]]</f>
        <v>10.407993338884262</v>
      </c>
      <c r="N196" s="90">
        <f>LS[[#This Row],[Unit Capital]]/10</f>
        <v>19216</v>
      </c>
      <c r="O196" s="90">
        <f>SUMIFS(LS[[#Headers],[Unit]]:LS[[#This Row],[Unit]],LS[[#Headers],[Investor ID]]:LS[[#This Row],[Investor ID]],LS[[#This Row],[Investor ID]])</f>
        <v>19216</v>
      </c>
      <c r="P196" s="96">
        <v>192160</v>
      </c>
      <c r="Q196" s="48">
        <f>LS[[#This Row],[Amount]]-LS[[#This Row],[Unit Capital]]</f>
        <v>7840</v>
      </c>
      <c r="R19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10.407993338884262</v>
      </c>
      <c r="S196" s="89">
        <f t="shared" si="3"/>
        <v>14.224</v>
      </c>
      <c r="T19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6" s="96" cm="1">
        <f t="array" ref="U196">IF(LS[[#This Row],[B/S]]="S",ABS(LS[[#This Row],[Unit]])*(INDEX(LS[NAV at Cost (Average)],MATCH(CONCATENATE((LS[[#This Row],[Frequency]]-1),LS[[#This Row],[Investor ID]]),LS[Unique Code],0),0)),0)</f>
        <v>0</v>
      </c>
      <c r="V196" s="96">
        <f>IF(LS[[#This Row],[BO TRANSFER]]="YES",LS[[#This Row],[Unit]],)</f>
        <v>0</v>
      </c>
      <c r="W196" s="96">
        <f>SUMIFS(LS[[#Headers],[BO UNIT TRANSFER]]:LS[[#This Row],[BO UNIT TRANSFER]],LS[[#Headers],[Investor ID]]:LS[[#This Row],[Investor ID]],LS[[#This Row],[Investor ID]])</f>
        <v>0</v>
      </c>
    </row>
    <row r="197" spans="1:23">
      <c r="A197" s="75">
        <v>2023</v>
      </c>
      <c r="B197" s="75">
        <v>8</v>
      </c>
      <c r="C197" s="75">
        <v>24</v>
      </c>
      <c r="D197" s="81">
        <f>DATE(LS[[#This Row],[Year]],LS[[#This Row],[Month]],LS[[#This Row],[Day]])</f>
        <v>45162</v>
      </c>
      <c r="E197" t="str" cm="1">
        <f t="array" ref="E197">INDEX(INVESTORS_LIST[INVESTOR NAME],MATCH(LS[[#This Row],[Investor ID]],INVESTORS_LIST[INVESTOR CODE],0),)</f>
        <v>EKUSH WEALTH MANAGEMENT LIMITED</v>
      </c>
      <c r="F197" s="83" t="s">
        <v>47</v>
      </c>
      <c r="G197" s="75">
        <f>COUNTIF(LS[[#Headers],[Investor ID]]:LS[[#This Row],[Investor ID]],LS[[#This Row],[Investor ID]])</f>
        <v>7</v>
      </c>
      <c r="H197" s="75" t="str">
        <f>CONCATENATE(LS[[#This Row],[Frequency]],LS[[#This Row],[Investor ID]])</f>
        <v>7A00003</v>
      </c>
      <c r="I197" s="75" t="str">
        <f>IF(LS[[#This Row],[B/S]]="B","BUY",(IF(LS[[#This Row],[B/S]]="S","SELL"," ")))</f>
        <v>SELL</v>
      </c>
      <c r="J197" s="75" t="s">
        <v>1231</v>
      </c>
      <c r="K197" s="88">
        <v>-490000</v>
      </c>
      <c r="L197" s="88"/>
      <c r="M197" s="89">
        <f>LS[[#This Row],[Amount]]/LS[[#This Row],[Unit]]</f>
        <v>10.408037553898765</v>
      </c>
      <c r="N197" s="90">
        <f>LS[[#This Row],[Unit Capital]]/10</f>
        <v>-47079</v>
      </c>
      <c r="O197" s="90">
        <f>SUMIFS(LS[[#Headers],[Unit]]:LS[[#This Row],[Unit]],LS[[#Headers],[Investor ID]]:LS[[#This Row],[Investor ID]],LS[[#This Row],[Investor ID]])</f>
        <v>2649921</v>
      </c>
      <c r="P197" s="96">
        <v>-470790</v>
      </c>
      <c r="Q197" s="48">
        <f>LS[[#This Row],[Amount]]-LS[[#This Row],[Unit Capital]]</f>
        <v>-19210</v>
      </c>
      <c r="R19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197" s="89">
        <f t="shared" si="3"/>
        <v>14.224</v>
      </c>
      <c r="T197" s="96">
        <f>IF(LS[[#This Row],[B/S]]="B",0,ABS(LS[[#This Row],[Unit]])*(LS[[#This Row],[NAV (Strike Rate)]]-INDEX(LS[NAV at Cost (Average)],MATCH(CONCATENATE(LS[[#This Row],[Frequency]]-1,LS[[#This Row],[Investor ID]]),LS[Unique Code],0),)))</f>
        <v>18541.718822969477</v>
      </c>
      <c r="U197" s="96" cm="1">
        <f t="array" ref="U197">IF(LS[[#This Row],[B/S]]="S",ABS(LS[[#This Row],[Unit]])*(INDEX(LS[NAV at Cost (Average)],MATCH(CONCATENATE((LS[[#This Row],[Frequency]]-1),LS[[#This Row],[Investor ID]]),LS[Unique Code],0),0)),0)</f>
        <v>471458.28117703047</v>
      </c>
      <c r="V197" s="96">
        <f>IF(LS[[#This Row],[BO TRANSFER]]="YES",LS[[#This Row],[Unit]],)</f>
        <v>0</v>
      </c>
      <c r="W197" s="96">
        <f>SUMIFS(LS[[#Headers],[BO UNIT TRANSFER]]:LS[[#This Row],[BO UNIT TRANSFER]],LS[[#Headers],[Investor ID]]:LS[[#This Row],[Investor ID]],LS[[#This Row],[Investor ID]])</f>
        <v>0</v>
      </c>
    </row>
    <row r="198" spans="1:23">
      <c r="A198" s="75">
        <v>2023</v>
      </c>
      <c r="B198" s="75">
        <v>8</v>
      </c>
      <c r="C198" s="75">
        <v>24</v>
      </c>
      <c r="D198" s="81">
        <f>DATE(LS[[#This Row],[Year]],LS[[#This Row],[Month]],LS[[#This Row],[Day]])</f>
        <v>45162</v>
      </c>
      <c r="E198" t="str" cm="1">
        <f t="array" ref="E198">INDEX(INVESTORS_LIST[INVESTOR NAME],MATCH(LS[[#This Row],[Investor ID]],INVESTORS_LIST[INVESTOR CODE],0),)</f>
        <v>EKUSH WEALTH MANAGEMENT LIMITED</v>
      </c>
      <c r="F198" s="83" t="s">
        <v>47</v>
      </c>
      <c r="G198" s="75">
        <f>COUNTIF(LS[[#Headers],[Investor ID]]:LS[[#This Row],[Investor ID]],LS[[#This Row],[Investor ID]])</f>
        <v>8</v>
      </c>
      <c r="H198" s="75" t="str">
        <f>CONCATENATE(LS[[#This Row],[Frequency]],LS[[#This Row],[Investor ID]])</f>
        <v>8A00003</v>
      </c>
      <c r="I198" s="75" t="str">
        <f>IF(LS[[#This Row],[B/S]]="B","BUY",(IF(LS[[#This Row],[B/S]]="S","SELL"," ")))</f>
        <v>SELL</v>
      </c>
      <c r="J198" s="75" t="s">
        <v>1231</v>
      </c>
      <c r="K198" s="88">
        <v>-160000</v>
      </c>
      <c r="L198" s="88"/>
      <c r="M198" s="89">
        <f>LS[[#This Row],[Amount]]/LS[[#This Row],[Unit]]</f>
        <v>10.407857932739217</v>
      </c>
      <c r="N198" s="90">
        <f>LS[[#This Row],[Unit Capital]]/10</f>
        <v>-15373</v>
      </c>
      <c r="O198" s="90">
        <f>SUMIFS(LS[[#Headers],[Unit]]:LS[[#This Row],[Unit]],LS[[#Headers],[Investor ID]]:LS[[#This Row],[Investor ID]],LS[[#This Row],[Investor ID]])</f>
        <v>2634548</v>
      </c>
      <c r="P198" s="96">
        <v>-153730</v>
      </c>
      <c r="Q198" s="48">
        <f>LS[[#This Row],[Amount]]-LS[[#This Row],[Unit Capital]]</f>
        <v>-6270</v>
      </c>
      <c r="R19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198" s="89">
        <f t="shared" si="3"/>
        <v>14.224</v>
      </c>
      <c r="T198" s="96">
        <f>IF(LS[[#This Row],[B/S]]="B",0,ABS(LS[[#This Row],[Unit]])*(LS[[#This Row],[NAV (Strike Rate)]]-INDEX(LS[NAV at Cost (Average)],MATCH(CONCATENATE(LS[[#This Row],[Frequency]]-1,LS[[#This Row],[Investor ID]]),LS[Unique Code],0),)))</f>
        <v>6051.7819721215337</v>
      </c>
      <c r="U198" s="96" cm="1">
        <f t="array" ref="U198">IF(LS[[#This Row],[B/S]]="S",ABS(LS[[#This Row],[Unit]])*(INDEX(LS[NAV at Cost (Average)],MATCH(CONCATENATE((LS[[#This Row],[Frequency]]-1),LS[[#This Row],[Investor ID]]),LS[Unique Code],0),0)),0)</f>
        <v>153948.21802787847</v>
      </c>
      <c r="V198" s="96">
        <f>IF(LS[[#This Row],[BO TRANSFER]]="YES",LS[[#This Row],[Unit]],)</f>
        <v>0</v>
      </c>
      <c r="W198" s="96">
        <f>SUMIFS(LS[[#Headers],[BO UNIT TRANSFER]]:LS[[#This Row],[BO UNIT TRANSFER]],LS[[#Headers],[Investor ID]]:LS[[#This Row],[Investor ID]],LS[[#This Row],[Investor ID]])</f>
        <v>0</v>
      </c>
    </row>
    <row r="199" spans="1:23">
      <c r="A199" s="75">
        <v>2023</v>
      </c>
      <c r="B199" s="75">
        <v>8</v>
      </c>
      <c r="C199" s="75">
        <v>27</v>
      </c>
      <c r="D199" s="81">
        <f>DATE(LS[[#This Row],[Year]],LS[[#This Row],[Month]],LS[[#This Row],[Day]])</f>
        <v>45165</v>
      </c>
      <c r="E199" t="str" cm="1">
        <f t="array" ref="E199">INDEX(INVESTORS_LIST[INVESTOR NAME],MATCH(LS[[#This Row],[Investor ID]],INVESTORS_LIST[INVESTOR CODE],0),)</f>
        <v>AMARSTOCK LIMITED</v>
      </c>
      <c r="F199" s="83" t="s">
        <v>960</v>
      </c>
      <c r="G199" s="75">
        <f>COUNTIF(LS[[#Headers],[Investor ID]]:LS[[#This Row],[Investor ID]],LS[[#This Row],[Investor ID]])</f>
        <v>6</v>
      </c>
      <c r="H199" s="75" t="str">
        <f>CONCATENATE(LS[[#This Row],[Frequency]],LS[[#This Row],[Investor ID]])</f>
        <v>6A00457</v>
      </c>
      <c r="I199" s="75" t="str">
        <f>IF(LS[[#This Row],[B/S]]="B","BUY",(IF(LS[[#This Row],[B/S]]="S","SELL"," ")))</f>
        <v>BUY</v>
      </c>
      <c r="J199" s="75" t="s">
        <v>1229</v>
      </c>
      <c r="K199" s="88">
        <v>1500000</v>
      </c>
      <c r="L199" s="88"/>
      <c r="M199" s="89">
        <f>LS[[#This Row],[Amount]]/LS[[#This Row],[Unit]]</f>
        <v>10.424992181255863</v>
      </c>
      <c r="N199" s="90">
        <f>LS[[#This Row],[Unit Capital]]/10</f>
        <v>143885</v>
      </c>
      <c r="O199" s="90">
        <f>SUMIFS(LS[[#Headers],[Unit]]:LS[[#This Row],[Unit]],LS[[#Headers],[Investor ID]]:LS[[#This Row],[Investor ID]],LS[[#This Row],[Investor ID]])</f>
        <v>282822</v>
      </c>
      <c r="P199" s="96">
        <v>1438850</v>
      </c>
      <c r="Q199" s="48">
        <f>LS[[#This Row],[Amount]]-LS[[#This Row],[Unit Capital]]</f>
        <v>61150</v>
      </c>
      <c r="R19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10.340990650507216</v>
      </c>
      <c r="S199" s="89">
        <f t="shared" si="3"/>
        <v>14.224</v>
      </c>
      <c r="T19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99" s="96" cm="1">
        <f t="array" ref="U199">IF(LS[[#This Row],[B/S]]="S",ABS(LS[[#This Row],[Unit]])*(INDEX(LS[NAV at Cost (Average)],MATCH(CONCATENATE((LS[[#This Row],[Frequency]]-1),LS[[#This Row],[Investor ID]]),LS[Unique Code],0),0)),0)</f>
        <v>0</v>
      </c>
      <c r="V199" s="96">
        <f>IF(LS[[#This Row],[BO TRANSFER]]="YES",LS[[#This Row],[Unit]],)</f>
        <v>0</v>
      </c>
      <c r="W199" s="96">
        <f>SUMIFS(LS[[#Headers],[BO UNIT TRANSFER]]:LS[[#This Row],[BO UNIT TRANSFER]],LS[[#Headers],[Investor ID]]:LS[[#This Row],[Investor ID]],LS[[#This Row],[Investor ID]])</f>
        <v>0</v>
      </c>
    </row>
    <row r="200" spans="1:23">
      <c r="A200" s="75">
        <v>2023</v>
      </c>
      <c r="B200" s="75">
        <v>8</v>
      </c>
      <c r="C200" s="75">
        <v>31</v>
      </c>
      <c r="D200" s="81">
        <f>DATE(LS[[#This Row],[Year]],LS[[#This Row],[Month]],LS[[#This Row],[Day]])</f>
        <v>45169</v>
      </c>
      <c r="E200" t="str" cm="1">
        <f t="array" ref="E200">INDEX(INVESTORS_LIST[INVESTOR NAME],MATCH(LS[[#This Row],[Investor ID]],INVESTORS_LIST[INVESTOR CODE],0),)</f>
        <v>HAFIZA AFRIN TONNY</v>
      </c>
      <c r="F200" s="83" t="s">
        <v>766</v>
      </c>
      <c r="G200" s="75">
        <f>COUNTIF(LS[[#Headers],[Investor ID]]:LS[[#This Row],[Investor ID]],LS[[#This Row],[Investor ID]])</f>
        <v>8</v>
      </c>
      <c r="H200" s="75" t="str">
        <f>CONCATENATE(LS[[#This Row],[Frequency]],LS[[#This Row],[Investor ID]])</f>
        <v>8A00359</v>
      </c>
      <c r="I200" s="75" t="str">
        <f>IF(LS[[#This Row],[B/S]]="B","BUY",(IF(LS[[#This Row],[B/S]]="S","SELL"," ")))</f>
        <v>SELL</v>
      </c>
      <c r="J200" s="75" t="s">
        <v>1231</v>
      </c>
      <c r="K200" s="88">
        <v>-50000</v>
      </c>
      <c r="L200" s="88"/>
      <c r="M200" s="89">
        <f>LS[[#This Row],[Amount]]/LS[[#This Row],[Unit]]</f>
        <v>10.425354462051709</v>
      </c>
      <c r="N200" s="90">
        <f>LS[[#This Row],[Unit Capital]]/10</f>
        <v>-4796</v>
      </c>
      <c r="O200" s="90">
        <f>SUMIFS(LS[[#Headers],[Unit]]:LS[[#This Row],[Unit]],LS[[#Headers],[Investor ID]]:LS[[#This Row],[Investor ID]],LS[[#This Row],[Investor ID]])</f>
        <v>19459</v>
      </c>
      <c r="P200" s="96">
        <v>-47960</v>
      </c>
      <c r="Q200" s="48">
        <f>LS[[#This Row],[Amount]]-LS[[#This Row],[Unit Capital]]</f>
        <v>-2040</v>
      </c>
      <c r="R20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10.307153164296022</v>
      </c>
      <c r="S200" s="89">
        <f t="shared" si="3"/>
        <v>14.224</v>
      </c>
      <c r="T200" s="96">
        <f>IF(LS[[#This Row],[B/S]]="B",0,ABS(LS[[#This Row],[Unit]])*(LS[[#This Row],[NAV (Strike Rate)]]-INDEX(LS[NAV at Cost (Average)],MATCH(CONCATENATE(LS[[#This Row],[Frequency]]-1,LS[[#This Row],[Investor ID]]),LS[Unique Code],0),)))</f>
        <v>566.89342403627802</v>
      </c>
      <c r="U200" s="96" cm="1">
        <f t="array" ref="U200">IF(LS[[#This Row],[B/S]]="S",ABS(LS[[#This Row],[Unit]])*(INDEX(LS[NAV at Cost (Average)],MATCH(CONCATENATE((LS[[#This Row],[Frequency]]-1),LS[[#This Row],[Investor ID]]),LS[Unique Code],0),0)),0)</f>
        <v>49433.10657596372</v>
      </c>
      <c r="V200" s="96">
        <f>IF(LS[[#This Row],[BO TRANSFER]]="YES",LS[[#This Row],[Unit]],)</f>
        <v>0</v>
      </c>
      <c r="W200" s="96">
        <f>SUMIFS(LS[[#Headers],[BO UNIT TRANSFER]]:LS[[#This Row],[BO UNIT TRANSFER]],LS[[#Headers],[Investor ID]]:LS[[#This Row],[Investor ID]],LS[[#This Row],[Investor ID]])</f>
        <v>0</v>
      </c>
    </row>
    <row r="201" spans="1:23">
      <c r="A201" s="75">
        <v>2023</v>
      </c>
      <c r="B201" s="75">
        <v>8</v>
      </c>
      <c r="C201" s="75">
        <v>31</v>
      </c>
      <c r="D201" s="81">
        <f>DATE(LS[[#This Row],[Year]],LS[[#This Row],[Month]],LS[[#This Row],[Day]])</f>
        <v>45169</v>
      </c>
      <c r="E201" t="str" cm="1">
        <f t="array" ref="E201">INDEX(INVESTORS_LIST[INVESTOR NAME],MATCH(LS[[#This Row],[Investor ID]],INVESTORS_LIST[INVESTOR CODE],0),)</f>
        <v>TAMRIN AL DEEN</v>
      </c>
      <c r="F201" s="83" t="s">
        <v>898</v>
      </c>
      <c r="G201" s="75">
        <f>COUNTIF(LS[[#Headers],[Investor ID]]:LS[[#This Row],[Investor ID]],LS[[#This Row],[Investor ID]])</f>
        <v>2</v>
      </c>
      <c r="H201" s="75" t="str">
        <f>CONCATENATE(LS[[#This Row],[Frequency]],LS[[#This Row],[Investor ID]])</f>
        <v>2A00426</v>
      </c>
      <c r="I201" s="75" t="str">
        <f>IF(LS[[#This Row],[B/S]]="B","BUY",(IF(LS[[#This Row],[B/S]]="S","SELL"," ")))</f>
        <v>SELL</v>
      </c>
      <c r="J201" s="75" t="s">
        <v>1231</v>
      </c>
      <c r="K201" s="88">
        <v>-50936.55</v>
      </c>
      <c r="L201" s="88"/>
      <c r="M201" s="89">
        <f>LS[[#This Row],[Amount]]/LS[[#This Row],[Unit]]</f>
        <v>10.425000000000001</v>
      </c>
      <c r="N201" s="90">
        <f>LS[[#This Row],[Unit Capital]]/10</f>
        <v>-4886</v>
      </c>
      <c r="O201" s="90">
        <f>SUMIFS(LS[[#Headers],[Unit]]:LS[[#This Row],[Unit]],LS[[#Headers],[Investor ID]]:LS[[#This Row],[Investor ID]],LS[[#This Row],[Investor ID]])</f>
        <v>0</v>
      </c>
      <c r="P201" s="96">
        <v>-48860</v>
      </c>
      <c r="Q201" s="48">
        <f>LS[[#This Row],[Amount]]-LS[[#This Row],[Unit Capital]]</f>
        <v>-2076.5500000000029</v>
      </c>
      <c r="R20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01" s="89">
        <f t="shared" si="3"/>
        <v>14.224</v>
      </c>
      <c r="T201" s="96">
        <f>IF(LS[[#This Row],[B/S]]="B",0,ABS(LS[[#This Row],[Unit]])*(LS[[#This Row],[NAV (Strike Rate)]]-INDEX(LS[NAV at Cost (Average)],MATCH(CONCATENATE(LS[[#This Row],[Frequency]]-1,LS[[#This Row],[Investor ID]]),LS[Unique Code],0),)))</f>
        <v>936.54999999999927</v>
      </c>
      <c r="U201" s="96" cm="1">
        <f t="array" ref="U201">IF(LS[[#This Row],[B/S]]="S",ABS(LS[[#This Row],[Unit]])*(INDEX(LS[NAV at Cost (Average)],MATCH(CONCATENATE((LS[[#This Row],[Frequency]]-1),LS[[#This Row],[Investor ID]]),LS[Unique Code],0),0)),0)</f>
        <v>50000.000000000007</v>
      </c>
      <c r="V201" s="96">
        <f>IF(LS[[#This Row],[BO TRANSFER]]="YES",LS[[#This Row],[Unit]],)</f>
        <v>0</v>
      </c>
      <c r="W201" s="96">
        <f>SUMIFS(LS[[#Headers],[BO UNIT TRANSFER]]:LS[[#This Row],[BO UNIT TRANSFER]],LS[[#Headers],[Investor ID]]:LS[[#This Row],[Investor ID]],LS[[#This Row],[Investor ID]])</f>
        <v>0</v>
      </c>
    </row>
    <row r="202" spans="1:23">
      <c r="A202" s="75">
        <v>2023</v>
      </c>
      <c r="B202" s="75">
        <v>8</v>
      </c>
      <c r="C202" s="75">
        <v>31</v>
      </c>
      <c r="D202" s="81">
        <f>DATE(LS[[#This Row],[Year]],LS[[#This Row],[Month]],LS[[#This Row],[Day]])</f>
        <v>45169</v>
      </c>
      <c r="E202" t="str" cm="1">
        <f t="array" ref="E202">INDEX(INVESTORS_LIST[INVESTOR NAME],MATCH(LS[[#This Row],[Investor ID]],INVESTORS_LIST[INVESTOR CODE],0),)</f>
        <v>MAHFUZUL ISLAM</v>
      </c>
      <c r="F202" s="83" t="s">
        <v>473</v>
      </c>
      <c r="G202" s="75">
        <f>COUNTIF(LS[[#Headers],[Investor ID]]:LS[[#This Row],[Investor ID]],LS[[#This Row],[Investor ID]])</f>
        <v>4</v>
      </c>
      <c r="H202" s="75" t="str">
        <f>CONCATENATE(LS[[#This Row],[Frequency]],LS[[#This Row],[Investor ID]])</f>
        <v>4A00212</v>
      </c>
      <c r="I202" s="75" t="str">
        <f>IF(LS[[#This Row],[B/S]]="B","BUY",(IF(LS[[#This Row],[B/S]]="S","SELL"," ")))</f>
        <v>SELL</v>
      </c>
      <c r="J202" s="75" t="s">
        <v>1231</v>
      </c>
      <c r="K202" s="88">
        <v>-125100</v>
      </c>
      <c r="L202" s="88"/>
      <c r="M202" s="89">
        <f>LS[[#This Row],[Amount]]/LS[[#This Row],[Unit]]</f>
        <v>10.425000000000001</v>
      </c>
      <c r="N202" s="90">
        <f>LS[[#This Row],[Unit Capital]]/10</f>
        <v>-12000</v>
      </c>
      <c r="O202" s="90">
        <f>SUMIFS(LS[[#Headers],[Unit]]:LS[[#This Row],[Unit]],LS[[#Headers],[Investor ID]]:LS[[#This Row],[Investor ID]],LS[[#This Row],[Investor ID]])</f>
        <v>0</v>
      </c>
      <c r="P202" s="96">
        <v>-120000</v>
      </c>
      <c r="Q202" s="48">
        <f>LS[[#This Row],[Amount]]-LS[[#This Row],[Unit Capital]]</f>
        <v>-5100</v>
      </c>
      <c r="R20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02" s="89">
        <f t="shared" si="3"/>
        <v>14.224</v>
      </c>
      <c r="T202" s="96">
        <f>IF(LS[[#This Row],[B/S]]="B",0,ABS(LS[[#This Row],[Unit]])*(LS[[#This Row],[NAV (Strike Rate)]]-INDEX(LS[NAV at Cost (Average)],MATCH(CONCATENATE(LS[[#This Row],[Frequency]]-1,LS[[#This Row],[Investor ID]]),LS[Unique Code],0),)))</f>
        <v>2292.0000000000086</v>
      </c>
      <c r="U202" s="96" cm="1">
        <f t="array" ref="U202">IF(LS[[#This Row],[B/S]]="S",ABS(LS[[#This Row],[Unit]])*(INDEX(LS[NAV at Cost (Average)],MATCH(CONCATENATE((LS[[#This Row],[Frequency]]-1),LS[[#This Row],[Investor ID]]),LS[Unique Code],0),0)),0)</f>
        <v>122808</v>
      </c>
      <c r="V202" s="96">
        <f>IF(LS[[#This Row],[BO TRANSFER]]="YES",LS[[#This Row],[Unit]],)</f>
        <v>0</v>
      </c>
      <c r="W202" s="96">
        <f>SUMIFS(LS[[#Headers],[BO UNIT TRANSFER]]:LS[[#This Row],[BO UNIT TRANSFER]],LS[[#Headers],[Investor ID]]:LS[[#This Row],[Investor ID]],LS[[#This Row],[Investor ID]])</f>
        <v>0</v>
      </c>
    </row>
    <row r="203" spans="1:23">
      <c r="A203" s="75">
        <v>2023</v>
      </c>
      <c r="B203" s="75">
        <v>9</v>
      </c>
      <c r="C203" s="75">
        <v>3</v>
      </c>
      <c r="D203" s="81">
        <f>DATE(LS[[#This Row],[Year]],LS[[#This Row],[Month]],LS[[#This Row],[Day]])</f>
        <v>45172</v>
      </c>
      <c r="E203" t="str" cm="1">
        <f t="array" ref="E203">INDEX(INVESTORS_LIST[INVESTOR NAME],MATCH(LS[[#This Row],[Investor ID]],INVESTORS_LIST[INVESTOR CODE],0),)</f>
        <v>FARHANA AKHTER</v>
      </c>
      <c r="F203" s="83" t="s">
        <v>475</v>
      </c>
      <c r="G203" s="75">
        <f>COUNTIF(LS[[#Headers],[Investor ID]]:LS[[#This Row],[Investor ID]],LS[[#This Row],[Investor ID]])</f>
        <v>3</v>
      </c>
      <c r="H203" s="75" t="str">
        <f>CONCATENATE(LS[[#This Row],[Frequency]],LS[[#This Row],[Investor ID]])</f>
        <v>3A00213</v>
      </c>
      <c r="I203" s="75" t="str">
        <f>IF(LS[[#This Row],[B/S]]="B","BUY",(IF(LS[[#This Row],[B/S]]="S","SELL"," ")))</f>
        <v>SELL</v>
      </c>
      <c r="J203" s="75" t="s">
        <v>1231</v>
      </c>
      <c r="K203" s="88">
        <v>-229989.06</v>
      </c>
      <c r="L203" s="88"/>
      <c r="M203" s="89">
        <f>LS[[#This Row],[Amount]]/LS[[#This Row],[Unit]]</f>
        <v>10.438864379084967</v>
      </c>
      <c r="N203" s="90">
        <f>LS[[#This Row],[Unit Capital]]/10</f>
        <v>-22032</v>
      </c>
      <c r="O203" s="90">
        <f>SUMIFS(LS[[#Headers],[Unit]]:LS[[#This Row],[Unit]],LS[[#Headers],[Investor ID]]:LS[[#This Row],[Investor ID]],LS[[#This Row],[Investor ID]])</f>
        <v>2385</v>
      </c>
      <c r="P203" s="96">
        <v>-220320</v>
      </c>
      <c r="Q203" s="48">
        <f>LS[[#This Row],[Amount]]-LS[[#This Row],[Unit Capital]]</f>
        <v>-9669.0599999999977</v>
      </c>
      <c r="R20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10.238768071425646</v>
      </c>
      <c r="S203" s="89">
        <f t="shared" si="3"/>
        <v>14.224</v>
      </c>
      <c r="T203" s="96">
        <f>IF(LS[[#This Row],[B/S]]="B",0,ABS(LS[[#This Row],[Unit]])*(LS[[#This Row],[NAV (Strike Rate)]]-INDEX(LS[NAV at Cost (Average)],MATCH(CONCATENATE(LS[[#This Row],[Frequency]]-1,LS[[#This Row],[Investor ID]]),LS[Unique Code],0),)))</f>
        <v>4408.5218503501492</v>
      </c>
      <c r="U203" s="96" cm="1">
        <f t="array" ref="U203">IF(LS[[#This Row],[B/S]]="S",ABS(LS[[#This Row],[Unit]])*(INDEX(LS[NAV at Cost (Average)],MATCH(CONCATENATE((LS[[#This Row],[Frequency]]-1),LS[[#This Row],[Investor ID]]),LS[Unique Code],0),0)),0)</f>
        <v>225580.53814964983</v>
      </c>
      <c r="V203" s="96">
        <f>IF(LS[[#This Row],[BO TRANSFER]]="YES",LS[[#This Row],[Unit]],)</f>
        <v>0</v>
      </c>
      <c r="W203" s="96">
        <f>SUMIFS(LS[[#Headers],[BO UNIT TRANSFER]]:LS[[#This Row],[BO UNIT TRANSFER]],LS[[#Headers],[Investor ID]]:LS[[#This Row],[Investor ID]],LS[[#This Row],[Investor ID]])</f>
        <v>0</v>
      </c>
    </row>
    <row r="204" spans="1:23">
      <c r="A204" s="75">
        <v>2023</v>
      </c>
      <c r="B204" s="75">
        <v>9</v>
      </c>
      <c r="C204" s="75">
        <v>4</v>
      </c>
      <c r="D204" s="81">
        <f>DATE(LS[[#This Row],[Year]],LS[[#This Row],[Month]],LS[[#This Row],[Day]])</f>
        <v>45173</v>
      </c>
      <c r="E204" t="str" cm="1">
        <f t="array" ref="E204">INDEX(INVESTORS_LIST[INVESTOR NAME],MATCH(LS[[#This Row],[Investor ID]],INVESTORS_LIST[INVESTOR CODE],0),)</f>
        <v>MAYA RANI SAHA</v>
      </c>
      <c r="F204" s="83" t="s">
        <v>224</v>
      </c>
      <c r="G204" s="75">
        <f>COUNTIF(LS[[#Headers],[Investor ID]]:LS[[#This Row],[Investor ID]],LS[[#This Row],[Investor ID]])</f>
        <v>5</v>
      </c>
      <c r="H204" s="75" t="str">
        <f>CONCATENATE(LS[[#This Row],[Frequency]],LS[[#This Row],[Investor ID]])</f>
        <v>5A00088</v>
      </c>
      <c r="I204" s="75" t="str">
        <f>IF(LS[[#This Row],[B/S]]="B","BUY",(IF(LS[[#This Row],[B/S]]="S","SELL"," ")))</f>
        <v>BUY</v>
      </c>
      <c r="J204" s="75" t="s">
        <v>1229</v>
      </c>
      <c r="K204" s="88">
        <v>100000</v>
      </c>
      <c r="L204" s="88"/>
      <c r="M204" s="89">
        <f>LS[[#This Row],[Amount]]/LS[[#This Row],[Unit]]</f>
        <v>10.439503079653408</v>
      </c>
      <c r="N204" s="90">
        <f>LS[[#This Row],[Unit Capital]]/10</f>
        <v>9579</v>
      </c>
      <c r="O204" s="90">
        <f>SUMIFS(LS[[#Headers],[Unit]]:LS[[#This Row],[Unit]],LS[[#Headers],[Investor ID]]:LS[[#This Row],[Investor ID]],LS[[#This Row],[Investor ID]])</f>
        <v>352481</v>
      </c>
      <c r="P204" s="96">
        <v>95790</v>
      </c>
      <c r="Q204" s="48">
        <f>LS[[#This Row],[Amount]]-LS[[#This Row],[Unit Capital]]</f>
        <v>4210</v>
      </c>
      <c r="R20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10.213316462447622</v>
      </c>
      <c r="S204" s="89">
        <f t="shared" si="3"/>
        <v>14.224</v>
      </c>
      <c r="T20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04" s="96" cm="1">
        <f t="array" ref="U204">IF(LS[[#This Row],[B/S]]="S",ABS(LS[[#This Row],[Unit]])*(INDEX(LS[NAV at Cost (Average)],MATCH(CONCATENATE((LS[[#This Row],[Frequency]]-1),LS[[#This Row],[Investor ID]]),LS[Unique Code],0),0)),0)</f>
        <v>0</v>
      </c>
      <c r="V204" s="96">
        <f>IF(LS[[#This Row],[BO TRANSFER]]="YES",LS[[#This Row],[Unit]],)</f>
        <v>0</v>
      </c>
      <c r="W204" s="96">
        <f>SUMIFS(LS[[#Headers],[BO UNIT TRANSFER]]:LS[[#This Row],[BO UNIT TRANSFER]],LS[[#Headers],[Investor ID]]:LS[[#This Row],[Investor ID]],LS[[#This Row],[Investor ID]])</f>
        <v>0</v>
      </c>
    </row>
    <row r="205" spans="1:23">
      <c r="A205" s="75">
        <v>2023</v>
      </c>
      <c r="B205" s="75">
        <v>9</v>
      </c>
      <c r="C205" s="75">
        <v>5</v>
      </c>
      <c r="D205" s="81">
        <f>DATE(LS[[#This Row],[Year]],LS[[#This Row],[Month]],LS[[#This Row],[Day]])</f>
        <v>45174</v>
      </c>
      <c r="E205" t="str" cm="1">
        <f t="array" ref="E205">INDEX(INVESTORS_LIST[INVESTOR NAME],MATCH(LS[[#This Row],[Investor ID]],INVESTORS_LIST[INVESTOR CODE],0),)</f>
        <v>SABRIA ISLAM TALUKDER</v>
      </c>
      <c r="F205" s="83" t="s">
        <v>409</v>
      </c>
      <c r="G205" s="75">
        <f>COUNTIF(LS[[#Headers],[Investor ID]]:LS[[#This Row],[Investor ID]],LS[[#This Row],[Investor ID]])</f>
        <v>1</v>
      </c>
      <c r="H205" s="75" t="str">
        <f>CONCATENATE(LS[[#This Row],[Frequency]],LS[[#This Row],[Investor ID]])</f>
        <v>1A00180</v>
      </c>
      <c r="I205" s="75" t="str">
        <f>IF(LS[[#This Row],[B/S]]="B","BUY",(IF(LS[[#This Row],[B/S]]="S","SELL"," ")))</f>
        <v>BUY</v>
      </c>
      <c r="J205" s="75" t="s">
        <v>1229</v>
      </c>
      <c r="K205" s="88">
        <v>250000</v>
      </c>
      <c r="L205" s="88"/>
      <c r="M205" s="89">
        <f>LS[[#This Row],[Amount]]/LS[[#This Row],[Unit]]</f>
        <v>10.438849221261847</v>
      </c>
      <c r="N205" s="90">
        <f>LS[[#This Row],[Unit Capital]]/10</f>
        <v>23949</v>
      </c>
      <c r="O205" s="90">
        <f>SUMIFS(LS[[#Headers],[Unit]]:LS[[#This Row],[Unit]],LS[[#Headers],[Investor ID]]:LS[[#This Row],[Investor ID]],LS[[#This Row],[Investor ID]])</f>
        <v>23949</v>
      </c>
      <c r="P205" s="96">
        <v>239490</v>
      </c>
      <c r="Q205" s="48">
        <f>LS[[#This Row],[Amount]]-LS[[#This Row],[Unit Capital]]</f>
        <v>10510</v>
      </c>
      <c r="R20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10.438849221261847</v>
      </c>
      <c r="S205" s="89">
        <f t="shared" si="3"/>
        <v>14.224</v>
      </c>
      <c r="T20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05" s="96" cm="1">
        <f t="array" ref="U205">IF(LS[[#This Row],[B/S]]="S",ABS(LS[[#This Row],[Unit]])*(INDEX(LS[NAV at Cost (Average)],MATCH(CONCATENATE((LS[[#This Row],[Frequency]]-1),LS[[#This Row],[Investor ID]]),LS[Unique Code],0),0)),0)</f>
        <v>0</v>
      </c>
      <c r="V205" s="96">
        <f>IF(LS[[#This Row],[BO TRANSFER]]="YES",LS[[#This Row],[Unit]],)</f>
        <v>0</v>
      </c>
      <c r="W205" s="96">
        <f>SUMIFS(LS[[#Headers],[BO UNIT TRANSFER]]:LS[[#This Row],[BO UNIT TRANSFER]],LS[[#Headers],[Investor ID]]:LS[[#This Row],[Investor ID]],LS[[#This Row],[Investor ID]])</f>
        <v>0</v>
      </c>
    </row>
    <row r="206" spans="1:23">
      <c r="A206" s="75">
        <v>2023</v>
      </c>
      <c r="B206" s="75">
        <v>9</v>
      </c>
      <c r="C206" s="75">
        <v>10</v>
      </c>
      <c r="D206" s="81">
        <f>DATE(LS[[#This Row],[Year]],LS[[#This Row],[Month]],LS[[#This Row],[Day]])</f>
        <v>45179</v>
      </c>
      <c r="E206" t="str" cm="1">
        <f t="array" ref="E206">INDEX(INVESTORS_LIST[INVESTOR NAME],MATCH(LS[[#This Row],[Investor ID]],INVESTORS_LIST[INVESTOR CODE],0),)</f>
        <v>EKUSH WEALTH MANAGEMENT LIMITED</v>
      </c>
      <c r="F206" s="83" t="s">
        <v>47</v>
      </c>
      <c r="G206" s="75">
        <f>COUNTIF(LS[[#Headers],[Investor ID]]:LS[[#This Row],[Investor ID]],LS[[#This Row],[Investor ID]])</f>
        <v>9</v>
      </c>
      <c r="H206" s="75" t="str">
        <f>CONCATENATE(LS[[#This Row],[Frequency]],LS[[#This Row],[Investor ID]])</f>
        <v>9A00003</v>
      </c>
      <c r="I206" s="75" t="str">
        <f>IF(LS[[#This Row],[B/S]]="B","BUY",(IF(LS[[#This Row],[B/S]]="S","SELL"," ")))</f>
        <v>SELL</v>
      </c>
      <c r="J206" s="75" t="s">
        <v>1231</v>
      </c>
      <c r="K206" s="88">
        <v>-150000</v>
      </c>
      <c r="L206" s="88"/>
      <c r="M206" s="89">
        <f>LS[[#This Row],[Amount]]/LS[[#This Row],[Unit]]</f>
        <v>10.453690152623876</v>
      </c>
      <c r="N206" s="90">
        <f>LS[[#This Row],[Unit Capital]]/10</f>
        <v>-14349</v>
      </c>
      <c r="O206" s="90">
        <f>SUMIFS(LS[[#Headers],[Unit]]:LS[[#This Row],[Unit]],LS[[#Headers],[Investor ID]]:LS[[#This Row],[Investor ID]],LS[[#This Row],[Investor ID]])</f>
        <v>2620199</v>
      </c>
      <c r="P206" s="96">
        <v>-143490</v>
      </c>
      <c r="Q206" s="48">
        <f>LS[[#This Row],[Amount]]-LS[[#This Row],[Unit Capital]]</f>
        <v>-6510</v>
      </c>
      <c r="R20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06" s="89">
        <f t="shared" si="3"/>
        <v>14.224</v>
      </c>
      <c r="T206" s="96">
        <f>IF(LS[[#This Row],[B/S]]="B",0,ABS(LS[[#This Row],[Unit]])*(LS[[#This Row],[NAV (Strike Rate)]]-INDEX(LS[NAV at Cost (Average)],MATCH(CONCATENATE(LS[[#This Row],[Frequency]]-1,LS[[#This Row],[Investor ID]]),LS[Unique Code],0),)))</f>
        <v>6306.3175384096812</v>
      </c>
      <c r="U206" s="96" cm="1">
        <f t="array" ref="U206">IF(LS[[#This Row],[B/S]]="S",ABS(LS[[#This Row],[Unit]])*(INDEX(LS[NAV at Cost (Average)],MATCH(CONCATENATE((LS[[#This Row],[Frequency]]-1),LS[[#This Row],[Investor ID]]),LS[Unique Code],0),0)),0)</f>
        <v>143693.68246159033</v>
      </c>
      <c r="V206" s="96">
        <f>IF(LS[[#This Row],[BO TRANSFER]]="YES",LS[[#This Row],[Unit]],)</f>
        <v>0</v>
      </c>
      <c r="W206" s="96">
        <f>SUMIFS(LS[[#Headers],[BO UNIT TRANSFER]]:LS[[#This Row],[BO UNIT TRANSFER]],LS[[#Headers],[Investor ID]]:LS[[#This Row],[Investor ID]],LS[[#This Row],[Investor ID]])</f>
        <v>0</v>
      </c>
    </row>
    <row r="207" spans="1:23">
      <c r="A207" s="75">
        <v>2023</v>
      </c>
      <c r="B207" s="75">
        <v>9</v>
      </c>
      <c r="C207" s="75">
        <v>11</v>
      </c>
      <c r="D207" s="81">
        <f>DATE(LS[[#This Row],[Year]],LS[[#This Row],[Month]],LS[[#This Row],[Day]])</f>
        <v>45180</v>
      </c>
      <c r="E207" t="str" cm="1">
        <f t="array" ref="E207">INDEX(INVESTORS_LIST[INVESTOR NAME],MATCH(LS[[#This Row],[Investor ID]],INVESTORS_LIST[INVESTOR CODE],0),)</f>
        <v>MAYA RANI SAHA</v>
      </c>
      <c r="F207" s="83" t="s">
        <v>224</v>
      </c>
      <c r="G207" s="75">
        <f>COUNTIF(LS[[#Headers],[Investor ID]]:LS[[#This Row],[Investor ID]],LS[[#This Row],[Investor ID]])</f>
        <v>6</v>
      </c>
      <c r="H207" s="75" t="str">
        <f>CONCATENATE(LS[[#This Row],[Frequency]],LS[[#This Row],[Investor ID]])</f>
        <v>6A00088</v>
      </c>
      <c r="I207" s="75" t="str">
        <f>IF(LS[[#This Row],[B/S]]="B","BUY",(IF(LS[[#This Row],[B/S]]="S","SELL"," ")))</f>
        <v>BUY</v>
      </c>
      <c r="J207" s="75" t="s">
        <v>1229</v>
      </c>
      <c r="K207" s="88">
        <v>100000</v>
      </c>
      <c r="L207" s="88"/>
      <c r="M207" s="89">
        <f>LS[[#This Row],[Amount]]/LS[[#This Row],[Unit]]</f>
        <v>10.453690152623876</v>
      </c>
      <c r="N207" s="90">
        <f>LS[[#This Row],[Unit Capital]]/10</f>
        <v>9566</v>
      </c>
      <c r="O207" s="90">
        <f>SUMIFS(LS[[#Headers],[Unit]]:LS[[#This Row],[Unit]],LS[[#Headers],[Investor ID]]:LS[[#This Row],[Investor ID]],LS[[#This Row],[Investor ID]])</f>
        <v>362047</v>
      </c>
      <c r="P207" s="96">
        <v>95660</v>
      </c>
      <c r="Q207" s="48">
        <f>LS[[#This Row],[Amount]]-LS[[#This Row],[Unit Capital]]</f>
        <v>4340</v>
      </c>
      <c r="R20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10.219667612216094</v>
      </c>
      <c r="S207" s="89">
        <f t="shared" si="3"/>
        <v>14.224</v>
      </c>
      <c r="T20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07" s="96" cm="1">
        <f t="array" ref="U207">IF(LS[[#This Row],[B/S]]="S",ABS(LS[[#This Row],[Unit]])*(INDEX(LS[NAV at Cost (Average)],MATCH(CONCATENATE((LS[[#This Row],[Frequency]]-1),LS[[#This Row],[Investor ID]]),LS[Unique Code],0),0)),0)</f>
        <v>0</v>
      </c>
      <c r="V207" s="96">
        <f>IF(LS[[#This Row],[BO TRANSFER]]="YES",LS[[#This Row],[Unit]],)</f>
        <v>0</v>
      </c>
      <c r="W207" s="96">
        <f>SUMIFS(LS[[#Headers],[BO UNIT TRANSFER]]:LS[[#This Row],[BO UNIT TRANSFER]],LS[[#Headers],[Investor ID]]:LS[[#This Row],[Investor ID]],LS[[#This Row],[Investor ID]])</f>
        <v>0</v>
      </c>
    </row>
    <row r="208" spans="1:23">
      <c r="A208" s="75">
        <v>2023</v>
      </c>
      <c r="B208" s="75">
        <v>9</v>
      </c>
      <c r="C208" s="75">
        <v>11</v>
      </c>
      <c r="D208" s="81">
        <f>DATE(LS[[#This Row],[Year]],LS[[#This Row],[Month]],LS[[#This Row],[Day]])</f>
        <v>45180</v>
      </c>
      <c r="E208" t="str" cm="1">
        <f t="array" ref="E208">INDEX(INVESTORS_LIST[INVESTOR NAME],MATCH(LS[[#This Row],[Investor ID]],INVESTORS_LIST[INVESTOR CODE],0),)</f>
        <v>S.M. MAHBUBUR RAHMAN</v>
      </c>
      <c r="F208" s="83" t="s">
        <v>1067</v>
      </c>
      <c r="G208" s="75">
        <f>COUNTIF(LS[[#Headers],[Investor ID]]:LS[[#This Row],[Investor ID]],LS[[#This Row],[Investor ID]])</f>
        <v>1</v>
      </c>
      <c r="H208" s="75" t="str">
        <f>CONCATENATE(LS[[#This Row],[Frequency]],LS[[#This Row],[Investor ID]])</f>
        <v>1A00511</v>
      </c>
      <c r="I208" s="75" t="str">
        <f>IF(LS[[#This Row],[B/S]]="B","BUY",(IF(LS[[#This Row],[B/S]]="S","SELL"," ")))</f>
        <v>BUY</v>
      </c>
      <c r="J208" s="75" t="s">
        <v>1229</v>
      </c>
      <c r="K208" s="88">
        <v>365365</v>
      </c>
      <c r="L208" s="88"/>
      <c r="M208" s="89">
        <f>LS[[#This Row],[Amount]]/LS[[#This Row],[Unit]]</f>
        <v>10.439</v>
      </c>
      <c r="N208" s="90">
        <f>LS[[#This Row],[Unit Capital]]/10</f>
        <v>35000</v>
      </c>
      <c r="O208" s="90">
        <f>SUMIFS(LS[[#Headers],[Unit]]:LS[[#This Row],[Unit]],LS[[#Headers],[Investor ID]]:LS[[#This Row],[Investor ID]],LS[[#This Row],[Investor ID]])</f>
        <v>35000</v>
      </c>
      <c r="P208" s="96">
        <v>350000</v>
      </c>
      <c r="Q208" s="48">
        <f>LS[[#This Row],[Amount]]-LS[[#This Row],[Unit Capital]]</f>
        <v>15365</v>
      </c>
      <c r="R20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10.439</v>
      </c>
      <c r="S208" s="89">
        <f t="shared" si="3"/>
        <v>14.224</v>
      </c>
      <c r="T20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08" s="96" cm="1">
        <f t="array" ref="U208">IF(LS[[#This Row],[B/S]]="S",ABS(LS[[#This Row],[Unit]])*(INDEX(LS[NAV at Cost (Average)],MATCH(CONCATENATE((LS[[#This Row],[Frequency]]-1),LS[[#This Row],[Investor ID]]),LS[Unique Code],0),0)),0)</f>
        <v>0</v>
      </c>
      <c r="V208" s="96">
        <f>IF(LS[[#This Row],[BO TRANSFER]]="YES",LS[[#This Row],[Unit]],)</f>
        <v>0</v>
      </c>
      <c r="W208" s="96">
        <f>SUMIFS(LS[[#Headers],[BO UNIT TRANSFER]]:LS[[#This Row],[BO UNIT TRANSFER]],LS[[#Headers],[Investor ID]]:LS[[#This Row],[Investor ID]],LS[[#This Row],[Investor ID]])</f>
        <v>0</v>
      </c>
    </row>
    <row r="209" spans="1:23">
      <c r="A209" s="75">
        <v>2023</v>
      </c>
      <c r="B209" s="75">
        <v>9</v>
      </c>
      <c r="C209" s="75">
        <v>12</v>
      </c>
      <c r="D209" s="81">
        <f>DATE(LS[[#This Row],[Year]],LS[[#This Row],[Month]],LS[[#This Row],[Day]])</f>
        <v>45181</v>
      </c>
      <c r="E209" t="str" cm="1">
        <f t="array" ref="E209">INDEX(INVESTORS_LIST[INVESTOR NAME],MATCH(LS[[#This Row],[Investor ID]],INVESTORS_LIST[INVESTOR CODE],0),)</f>
        <v>EKUSH WEALTH MANAGEMENT LIMITED</v>
      </c>
      <c r="F209" s="83" t="s">
        <v>47</v>
      </c>
      <c r="G209" s="75">
        <f>COUNTIF(LS[[#Headers],[Investor ID]]:LS[[#This Row],[Investor ID]],LS[[#This Row],[Investor ID]])</f>
        <v>10</v>
      </c>
      <c r="H209" s="75" t="str">
        <f>CONCATENATE(LS[[#This Row],[Frequency]],LS[[#This Row],[Investor ID]])</f>
        <v>10A00003</v>
      </c>
      <c r="I209" s="75" t="str">
        <f>IF(LS[[#This Row],[B/S]]="B","BUY",(IF(LS[[#This Row],[B/S]]="S","SELL"," ")))</f>
        <v>SELL</v>
      </c>
      <c r="J209" s="75" t="s">
        <v>1231</v>
      </c>
      <c r="K209" s="88">
        <v>-100000</v>
      </c>
      <c r="L209" s="88"/>
      <c r="M209" s="89">
        <f>LS[[#This Row],[Amount]]/LS[[#This Row],[Unit]]</f>
        <v>10.453690152623876</v>
      </c>
      <c r="N209" s="90">
        <f>LS[[#This Row],[Unit Capital]]/10</f>
        <v>-9566</v>
      </c>
      <c r="O209" s="90">
        <f>SUMIFS(LS[[#Headers],[Unit]]:LS[[#This Row],[Unit]],LS[[#Headers],[Investor ID]]:LS[[#This Row],[Investor ID]],LS[[#This Row],[Investor ID]])</f>
        <v>2610633</v>
      </c>
      <c r="P209" s="96">
        <v>-95660</v>
      </c>
      <c r="Q209" s="48">
        <f>LS[[#This Row],[Amount]]-LS[[#This Row],[Unit Capital]]</f>
        <v>-4340</v>
      </c>
      <c r="R20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09" s="89">
        <f t="shared" si="3"/>
        <v>14.224</v>
      </c>
      <c r="T209" s="96">
        <f>IF(LS[[#This Row],[B/S]]="B",0,ABS(LS[[#This Row],[Unit]])*(LS[[#This Row],[NAV (Strike Rate)]]-INDEX(LS[NAV at Cost (Average)],MATCH(CONCATENATE(LS[[#This Row],[Frequency]]-1,LS[[#This Row],[Investor ID]]),LS[Unique Code],0),)))</f>
        <v>4204.2116922731211</v>
      </c>
      <c r="U209" s="96" cm="1">
        <f t="array" ref="U209">IF(LS[[#This Row],[B/S]]="S",ABS(LS[[#This Row],[Unit]])*(INDEX(LS[NAV at Cost (Average)],MATCH(CONCATENATE((LS[[#This Row],[Frequency]]-1),LS[[#This Row],[Investor ID]]),LS[Unique Code],0),0)),0)</f>
        <v>95795.788307726878</v>
      </c>
      <c r="V209" s="96">
        <f>IF(LS[[#This Row],[BO TRANSFER]]="YES",LS[[#This Row],[Unit]],)</f>
        <v>0</v>
      </c>
      <c r="W209" s="96">
        <f>SUMIFS(LS[[#Headers],[BO UNIT TRANSFER]]:LS[[#This Row],[BO UNIT TRANSFER]],LS[[#Headers],[Investor ID]]:LS[[#This Row],[Investor ID]],LS[[#This Row],[Investor ID]])</f>
        <v>0</v>
      </c>
    </row>
    <row r="210" spans="1:23">
      <c r="A210" s="75">
        <v>2023</v>
      </c>
      <c r="B210" s="75">
        <v>9</v>
      </c>
      <c r="C210" s="75">
        <v>14</v>
      </c>
      <c r="D210" s="81">
        <f>DATE(LS[[#This Row],[Year]],LS[[#This Row],[Month]],LS[[#This Row],[Day]])</f>
        <v>45183</v>
      </c>
      <c r="E210" t="str" cm="1">
        <f t="array" ref="E210">INDEX(INVESTORS_LIST[INVESTOR NAME],MATCH(LS[[#This Row],[Investor ID]],INVESTORS_LIST[INVESTOR CODE],0),)</f>
        <v>HAFIZA AFRIN TONNY</v>
      </c>
      <c r="F210" s="83" t="s">
        <v>766</v>
      </c>
      <c r="G210" s="75">
        <f>COUNTIF(LS[[#Headers],[Investor ID]]:LS[[#This Row],[Investor ID]],LS[[#This Row],[Investor ID]])</f>
        <v>9</v>
      </c>
      <c r="H210" s="75" t="str">
        <f>CONCATENATE(LS[[#This Row],[Frequency]],LS[[#This Row],[Investor ID]])</f>
        <v>9A00359</v>
      </c>
      <c r="I210" s="75" t="str">
        <f>IF(LS[[#This Row],[B/S]]="B","BUY",(IF(LS[[#This Row],[B/S]]="S","SELL"," ")))</f>
        <v>SELL</v>
      </c>
      <c r="J210" s="75" t="s">
        <v>1231</v>
      </c>
      <c r="K210" s="88">
        <v>-100002.96</v>
      </c>
      <c r="L210" s="88"/>
      <c r="M210" s="89">
        <f>LS[[#This Row],[Amount]]/LS[[#This Row],[Unit]]</f>
        <v>10.453999581852395</v>
      </c>
      <c r="N210" s="90">
        <f>LS[[#This Row],[Unit Capital]]/10</f>
        <v>-9566</v>
      </c>
      <c r="O210" s="90">
        <f>SUMIFS(LS[[#Headers],[Unit]]:LS[[#This Row],[Unit]],LS[[#Headers],[Investor ID]]:LS[[#This Row],[Investor ID]],LS[[#This Row],[Investor ID]])</f>
        <v>9893</v>
      </c>
      <c r="P210" s="96">
        <v>-95660</v>
      </c>
      <c r="Q210" s="48">
        <f>LS[[#This Row],[Amount]]-LS[[#This Row],[Unit Capital]]</f>
        <v>-4342.9600000000064</v>
      </c>
      <c r="R2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10.307153164296022</v>
      </c>
      <c r="S210" s="89">
        <f t="shared" si="3"/>
        <v>14.224</v>
      </c>
      <c r="T210" s="96">
        <f>IF(LS[[#This Row],[B/S]]="B",0,ABS(LS[[#This Row],[Unit]])*(LS[[#This Row],[NAV (Strike Rate)]]-INDEX(LS[NAV at Cost (Average)],MATCH(CONCATENATE(LS[[#This Row],[Frequency]]-1,LS[[#This Row],[Investor ID]]),LS[Unique Code],0),)))</f>
        <v>1404.7328303442689</v>
      </c>
      <c r="U210" s="96" cm="1">
        <f t="array" ref="U210">IF(LS[[#This Row],[B/S]]="S",ABS(LS[[#This Row],[Unit]])*(INDEX(LS[NAV at Cost (Average)],MATCH(CONCATENATE((LS[[#This Row],[Frequency]]-1),LS[[#This Row],[Investor ID]]),LS[Unique Code],0),0)),0)</f>
        <v>98598.227169655744</v>
      </c>
      <c r="V210" s="96">
        <f>IF(LS[[#This Row],[BO TRANSFER]]="YES",LS[[#This Row],[Unit]],)</f>
        <v>0</v>
      </c>
      <c r="W210" s="96">
        <f>SUMIFS(LS[[#Headers],[BO UNIT TRANSFER]]:LS[[#This Row],[BO UNIT TRANSFER]],LS[[#Headers],[Investor ID]]:LS[[#This Row],[Investor ID]],LS[[#This Row],[Investor ID]])</f>
        <v>0</v>
      </c>
    </row>
    <row r="211" spans="1:23">
      <c r="A211" s="75">
        <v>2023</v>
      </c>
      <c r="B211" s="75">
        <v>9</v>
      </c>
      <c r="C211" s="75">
        <v>14</v>
      </c>
      <c r="D211" s="81">
        <f>DATE(LS[[#This Row],[Year]],LS[[#This Row],[Month]],LS[[#This Row],[Day]])</f>
        <v>45183</v>
      </c>
      <c r="E211" t="str" cm="1">
        <f t="array" ref="E211">INDEX(INVESTORS_LIST[INVESTOR NAME],MATCH(LS[[#This Row],[Investor ID]],INVESTORS_LIST[INVESTOR CODE],0),)</f>
        <v>MAHMUD ALI ALAMGIR</v>
      </c>
      <c r="F211" s="97" t="s">
        <v>451</v>
      </c>
      <c r="G211" s="75">
        <f>COUNTIF(LS[[#Headers],[Investor ID]]:LS[[#This Row],[Investor ID]],LS[[#This Row],[Investor ID]])</f>
        <v>1</v>
      </c>
      <c r="H211" s="75" t="str">
        <f>CONCATENATE(LS[[#This Row],[Frequency]],LS[[#This Row],[Investor ID]])</f>
        <v>1A00201</v>
      </c>
      <c r="I211" s="75" t="str">
        <f>IF(LS[[#This Row],[B/S]]="B","BUY",(IF(LS[[#This Row],[B/S]]="S","SELL"," ")))</f>
        <v>BUY</v>
      </c>
      <c r="J211" s="75" t="s">
        <v>1229</v>
      </c>
      <c r="K211" s="88">
        <v>500000</v>
      </c>
      <c r="L211" s="88"/>
      <c r="M211" s="89">
        <f>LS[[#This Row],[Amount]]/LS[[#This Row],[Unit]]</f>
        <v>10.453908716469087</v>
      </c>
      <c r="N211" s="90">
        <f>LS[[#This Row],[Unit Capital]]/10</f>
        <v>47829</v>
      </c>
      <c r="O211" s="90">
        <f>SUMIFS(LS[[#Headers],[Unit]]:LS[[#This Row],[Unit]],LS[[#Headers],[Investor ID]]:LS[[#This Row],[Investor ID]],LS[[#This Row],[Investor ID]])</f>
        <v>47829</v>
      </c>
      <c r="P211" s="96">
        <v>478290</v>
      </c>
      <c r="Q211" s="48">
        <f>LS[[#This Row],[Amount]]-LS[[#This Row],[Unit Capital]]</f>
        <v>21710</v>
      </c>
      <c r="R2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10.453908716469087</v>
      </c>
      <c r="S211" s="89">
        <f t="shared" si="3"/>
        <v>14.224</v>
      </c>
      <c r="T21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1" s="96" cm="1">
        <f t="array" ref="U211">IF(LS[[#This Row],[B/S]]="S",ABS(LS[[#This Row],[Unit]])*(INDEX(LS[NAV at Cost (Average)],MATCH(CONCATENATE((LS[[#This Row],[Frequency]]-1),LS[[#This Row],[Investor ID]]),LS[Unique Code],0),0)),0)</f>
        <v>0</v>
      </c>
      <c r="V211" s="96">
        <f>IF(LS[[#This Row],[BO TRANSFER]]="YES",LS[[#This Row],[Unit]],)</f>
        <v>0</v>
      </c>
      <c r="W211" s="96">
        <f>SUMIFS(LS[[#Headers],[BO UNIT TRANSFER]]:LS[[#This Row],[BO UNIT TRANSFER]],LS[[#Headers],[Investor ID]]:LS[[#This Row],[Investor ID]],LS[[#This Row],[Investor ID]])</f>
        <v>0</v>
      </c>
    </row>
    <row r="212" spans="1:23">
      <c r="A212" s="75">
        <v>2023</v>
      </c>
      <c r="B212" s="75">
        <v>9</v>
      </c>
      <c r="C212" s="75">
        <v>14</v>
      </c>
      <c r="D212" s="81">
        <f>DATE(LS[[#This Row],[Year]],LS[[#This Row],[Month]],LS[[#This Row],[Day]])</f>
        <v>45183</v>
      </c>
      <c r="E212" t="str" cm="1">
        <f t="array" ref="E212">INDEX(INVESTORS_LIST[INVESTOR NAME],MATCH(LS[[#This Row],[Investor ID]],INVESTORS_LIST[INVESTOR CODE],0),)</f>
        <v>SK FEROZ ALAM &amp; MD BULBUL ISLAM</v>
      </c>
      <c r="F212" s="97" t="s">
        <v>481</v>
      </c>
      <c r="G212" s="75">
        <f>COUNTIF(LS[[#Headers],[Investor ID]]:LS[[#This Row],[Investor ID]],LS[[#This Row],[Investor ID]])</f>
        <v>2</v>
      </c>
      <c r="H212" s="75" t="str">
        <f>CONCATENATE(LS[[#This Row],[Frequency]],LS[[#This Row],[Investor ID]])</f>
        <v>2A00216</v>
      </c>
      <c r="I212" s="75" t="str">
        <f>IF(LS[[#This Row],[B/S]]="B","BUY",(IF(LS[[#This Row],[B/S]]="S","SELL"," ")))</f>
        <v>BUY</v>
      </c>
      <c r="J212" s="75" t="s">
        <v>1229</v>
      </c>
      <c r="K212" s="88">
        <v>100000</v>
      </c>
      <c r="L212" s="88"/>
      <c r="M212" s="89">
        <f>LS[[#This Row],[Amount]]/LS[[#This Row],[Unit]]</f>
        <v>10.453690152623876</v>
      </c>
      <c r="N212" s="90">
        <f>LS[[#This Row],[Unit Capital]]/10</f>
        <v>9566</v>
      </c>
      <c r="O212" s="90">
        <f>SUMIFS(LS[[#Headers],[Unit]]:LS[[#This Row],[Unit]],LS[[#Headers],[Investor ID]]:LS[[#This Row],[Investor ID]],LS[[#This Row],[Investor ID]])</f>
        <v>29038</v>
      </c>
      <c r="P212" s="96">
        <v>95660</v>
      </c>
      <c r="Q212" s="48">
        <f>LS[[#This Row],[Amount]]-LS[[#This Row],[Unit Capital]]</f>
        <v>4340</v>
      </c>
      <c r="R2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10.33129003374888</v>
      </c>
      <c r="S212" s="89">
        <f t="shared" si="3"/>
        <v>14.224</v>
      </c>
      <c r="T21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2" s="96" cm="1">
        <f t="array" ref="U212">IF(LS[[#This Row],[B/S]]="S",ABS(LS[[#This Row],[Unit]])*(INDEX(LS[NAV at Cost (Average)],MATCH(CONCATENATE((LS[[#This Row],[Frequency]]-1),LS[[#This Row],[Investor ID]]),LS[Unique Code],0),0)),0)</f>
        <v>0</v>
      </c>
      <c r="V212" s="96">
        <f>IF(LS[[#This Row],[BO TRANSFER]]="YES",LS[[#This Row],[Unit]],)</f>
        <v>0</v>
      </c>
      <c r="W212" s="96">
        <f>SUMIFS(LS[[#Headers],[BO UNIT TRANSFER]]:LS[[#This Row],[BO UNIT TRANSFER]],LS[[#Headers],[Investor ID]]:LS[[#This Row],[Investor ID]],LS[[#This Row],[Investor ID]])</f>
        <v>0</v>
      </c>
    </row>
    <row r="213" spans="1:23">
      <c r="A213" s="75">
        <v>2023</v>
      </c>
      <c r="B213" s="75">
        <v>9</v>
      </c>
      <c r="C213" s="75">
        <v>18</v>
      </c>
      <c r="D213" s="81">
        <f>DATE(LS[[#This Row],[Year]],LS[[#This Row],[Month]],LS[[#This Row],[Day]])</f>
        <v>45187</v>
      </c>
      <c r="E213" t="str" cm="1">
        <f t="array" ref="E213">INDEX(INVESTORS_LIST[INVESTOR NAME],MATCH(LS[[#This Row],[Investor ID]],INVESTORS_LIST[INVESTOR CODE],0),)</f>
        <v>FAIYEAD AHMEDUL HYE</v>
      </c>
      <c r="F213" s="83" t="s">
        <v>368</v>
      </c>
      <c r="G213" s="75">
        <f>COUNTIF(LS[[#Headers],[Investor ID]]:LS[[#This Row],[Investor ID]],LS[[#This Row],[Investor ID]])</f>
        <v>4</v>
      </c>
      <c r="H213" s="75" t="str">
        <f>CONCATENATE(LS[[#This Row],[Frequency]],LS[[#This Row],[Investor ID]])</f>
        <v>4A00160</v>
      </c>
      <c r="I213" s="75" t="str">
        <f>IF(LS[[#This Row],[B/S]]="B","BUY",(IF(LS[[#This Row],[B/S]]="S","SELL"," ")))</f>
        <v>BUY</v>
      </c>
      <c r="J213" s="75" t="s">
        <v>1229</v>
      </c>
      <c r="K213" s="88">
        <v>24000</v>
      </c>
      <c r="L213" s="88"/>
      <c r="M213" s="89">
        <f>LS[[#This Row],[Amount]]/LS[[#This Row],[Unit]]</f>
        <v>10.466637592673354</v>
      </c>
      <c r="N213" s="90">
        <f>LS[[#This Row],[Unit Capital]]/10</f>
        <v>2293</v>
      </c>
      <c r="O213" s="90">
        <f>SUMIFS(LS[[#Headers],[Unit]]:LS[[#This Row],[Unit]],LS[[#Headers],[Investor ID]]:LS[[#This Row],[Investor ID]],LS[[#This Row],[Investor ID]])</f>
        <v>17363</v>
      </c>
      <c r="P213" s="96">
        <v>22930</v>
      </c>
      <c r="Q213" s="48">
        <f>LS[[#This Row],[Amount]]-LS[[#This Row],[Unit Capital]]</f>
        <v>1070</v>
      </c>
      <c r="R2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10.309278350515466</v>
      </c>
      <c r="S213" s="89">
        <f t="shared" si="3"/>
        <v>14.224</v>
      </c>
      <c r="T21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3" s="96" cm="1">
        <f t="array" ref="U213">IF(LS[[#This Row],[B/S]]="S",ABS(LS[[#This Row],[Unit]])*(INDEX(LS[NAV at Cost (Average)],MATCH(CONCATENATE((LS[[#This Row],[Frequency]]-1),LS[[#This Row],[Investor ID]]),LS[Unique Code],0),0)),0)</f>
        <v>0</v>
      </c>
      <c r="V213" s="96">
        <f>IF(LS[[#This Row],[BO TRANSFER]]="YES",LS[[#This Row],[Unit]],)</f>
        <v>0</v>
      </c>
      <c r="W213" s="96">
        <f>SUMIFS(LS[[#Headers],[BO UNIT TRANSFER]]:LS[[#This Row],[BO UNIT TRANSFER]],LS[[#Headers],[Investor ID]]:LS[[#This Row],[Investor ID]],LS[[#This Row],[Investor ID]])</f>
        <v>0</v>
      </c>
    </row>
    <row r="214" spans="1:23">
      <c r="A214" s="75">
        <v>2023</v>
      </c>
      <c r="B214" s="75">
        <v>9</v>
      </c>
      <c r="C214" s="75">
        <v>19</v>
      </c>
      <c r="D214" s="81">
        <f>DATE(LS[[#This Row],[Year]],LS[[#This Row],[Month]],LS[[#This Row],[Day]])</f>
        <v>45188</v>
      </c>
      <c r="E214" t="str" cm="1">
        <f t="array" ref="E214">INDEX(INVESTORS_LIST[INVESTOR NAME],MATCH(LS[[#This Row],[Investor ID]],INVESTORS_LIST[INVESTOR CODE],0),)</f>
        <v>DHAKA IMPERIAL COLLEGE TEACHERS STAFF MULTIPURPOSE CO-OPERATIVE SOCIETY LTD.</v>
      </c>
      <c r="F214" s="83" t="s">
        <v>736</v>
      </c>
      <c r="G214" s="75">
        <f>COUNTIF(LS[[#Headers],[Investor ID]]:LS[[#This Row],[Investor ID]],LS[[#This Row],[Investor ID]])</f>
        <v>2</v>
      </c>
      <c r="H214" s="75" t="str">
        <f>CONCATENATE(LS[[#This Row],[Frequency]],LS[[#This Row],[Investor ID]])</f>
        <v>2A00344</v>
      </c>
      <c r="I214" s="75" t="str">
        <f>IF(LS[[#This Row],[B/S]]="B","BUY",(IF(LS[[#This Row],[B/S]]="S","SELL"," ")))</f>
        <v>BUY</v>
      </c>
      <c r="J214" s="75" t="s">
        <v>1229</v>
      </c>
      <c r="K214" s="88">
        <v>2000000</v>
      </c>
      <c r="L214" s="88"/>
      <c r="M214" s="89">
        <f>LS[[#This Row],[Amount]]/LS[[#This Row],[Unit]]</f>
        <v>10.466984514096412</v>
      </c>
      <c r="N214" s="90">
        <f>LS[[#This Row],[Unit Capital]]/10</f>
        <v>191077</v>
      </c>
      <c r="O214" s="90">
        <f>SUMIFS(LS[[#Headers],[Unit]]:LS[[#This Row],[Unit]],LS[[#Headers],[Investor ID]]:LS[[#This Row],[Investor ID]],LS[[#This Row],[Investor ID]])</f>
        <v>441077</v>
      </c>
      <c r="P214" s="96">
        <v>1910770</v>
      </c>
      <c r="Q214" s="48">
        <f>LS[[#This Row],[Amount]]-LS[[#This Row],[Unit Capital]]</f>
        <v>89230</v>
      </c>
      <c r="R2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10.202300278636157</v>
      </c>
      <c r="S214" s="89">
        <f t="shared" si="3"/>
        <v>14.224</v>
      </c>
      <c r="T21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4" s="96" cm="1">
        <f t="array" ref="U214">IF(LS[[#This Row],[B/S]]="S",ABS(LS[[#This Row],[Unit]])*(INDEX(LS[NAV at Cost (Average)],MATCH(CONCATENATE((LS[[#This Row],[Frequency]]-1),LS[[#This Row],[Investor ID]]),LS[Unique Code],0),0)),0)</f>
        <v>0</v>
      </c>
      <c r="V214" s="96">
        <f>IF(LS[[#This Row],[BO TRANSFER]]="YES",LS[[#This Row],[Unit]],)</f>
        <v>0</v>
      </c>
      <c r="W214" s="96">
        <f>SUMIFS(LS[[#Headers],[BO UNIT TRANSFER]]:LS[[#This Row],[BO UNIT TRANSFER]],LS[[#Headers],[Investor ID]]:LS[[#This Row],[Investor ID]],LS[[#This Row],[Investor ID]])</f>
        <v>0</v>
      </c>
    </row>
    <row r="215" spans="1:23">
      <c r="A215" s="75">
        <v>2023</v>
      </c>
      <c r="B215" s="75">
        <v>9</v>
      </c>
      <c r="C215" s="75">
        <v>21</v>
      </c>
      <c r="D215" s="81">
        <f>DATE(LS[[#This Row],[Year]],LS[[#This Row],[Month]],LS[[#This Row],[Day]])</f>
        <v>45190</v>
      </c>
      <c r="E215" t="str">
        <f t="array" ref="E215">INDEX(INVESTORS_LIST[INVESTOR NAME],MATCH(LS[[#This Row],[Investor ID]],INVESTORS_LIST[INVESTOR CODE],0),)</f>
        <v>KHAN MUHAMMAD KAWSER AHMED</v>
      </c>
      <c r="F215" s="83" t="s">
        <v>944</v>
      </c>
      <c r="G215" s="75">
        <f>COUNTIF(LS[[#Headers],[Investor ID]]:LS[[#This Row],[Investor ID]],LS[[#This Row],[Investor ID]])</f>
        <v>3</v>
      </c>
      <c r="H215" s="75" t="str">
        <f>CONCATENATE(LS[[#This Row],[Frequency]],LS[[#This Row],[Investor ID]])</f>
        <v>3A00449</v>
      </c>
      <c r="I215" s="75" t="str">
        <f>IF(LS[[#This Row],[B/S]]="B","BUY",(IF(LS[[#This Row],[B/S]]="S","SELL"," ")))</f>
        <v>SELL</v>
      </c>
      <c r="J215" s="75" t="s">
        <v>1231</v>
      </c>
      <c r="K215" s="88">
        <v>-15668764.060000001</v>
      </c>
      <c r="L215" s="88"/>
      <c r="M215" s="89">
        <f>LS[[#This Row],[Amount]]/LS[[#This Row],[Unit]]</f>
        <v>10.467000002672068</v>
      </c>
      <c r="N215" s="90">
        <f>LS[[#This Row],[Unit Capital]]/10</f>
        <v>-1496968</v>
      </c>
      <c r="O215" s="90">
        <f>SUMIFS(LS[[#Headers],[Unit]]:LS[[#This Row],[Unit]],LS[[#Headers],[Investor ID]]:LS[[#This Row],[Investor ID]],LS[[#This Row],[Investor ID]])</f>
        <v>0</v>
      </c>
      <c r="P215" s="96">
        <v>-14969680</v>
      </c>
      <c r="Q215" s="48">
        <f>LS[[#This Row],[Amount]]-LS[[#This Row],[Unit Capital]]</f>
        <v>-699084.06000000052</v>
      </c>
      <c r="R21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15" s="89">
        <f t="shared" si="3"/>
        <v>14.224</v>
      </c>
      <c r="T215" s="96">
        <f>IF(LS[[#This Row],[B/S]]="B",0,ABS(LS[[#This Row],[Unit]])*(LS[[#This Row],[NAV (Strike Rate)]]-INDEX(LS[NAV at Cost (Average)],MATCH(CONCATENATE(LS[[#This Row],[Frequency]]-1,LS[[#This Row],[Investor ID]]),LS[Unique Code],0),)))</f>
        <v>668764.06000000169</v>
      </c>
      <c r="U215" s="96">
        <f t="array" ref="U215">IF(LS[[#This Row],[B/S]]="S",ABS(LS[[#This Row],[Unit]])*(INDEX(LS[NAV at Cost (Average)],MATCH(CONCATENATE((LS[[#This Row],[Frequency]]-1),LS[[#This Row],[Investor ID]]),LS[Unique Code],0),0)),0)</f>
        <v>14999999.999999998</v>
      </c>
      <c r="V215" s="96">
        <f>IF(LS[[#This Row],[BO TRANSFER]]="YES",LS[[#This Row],[Unit]],)</f>
        <v>0</v>
      </c>
      <c r="W215" s="96">
        <f>SUMIFS(LS[[#Headers],[BO UNIT TRANSFER]]:LS[[#This Row],[BO UNIT TRANSFER]],LS[[#Headers],[Investor ID]]:LS[[#This Row],[Investor ID]],LS[[#This Row],[Investor ID]])</f>
        <v>0</v>
      </c>
    </row>
    <row r="216" spans="1:23">
      <c r="A216" s="75">
        <v>2023</v>
      </c>
      <c r="B216" s="75">
        <v>9</v>
      </c>
      <c r="C216" s="75">
        <v>21</v>
      </c>
      <c r="D216" s="81">
        <f>DATE(LS[[#This Row],[Year]],LS[[#This Row],[Month]],LS[[#This Row],[Day]])</f>
        <v>45190</v>
      </c>
      <c r="E216" t="str">
        <f t="array" ref="E216">INDEX(INVESTORS_LIST[INVESTOR NAME],MATCH(LS[[#This Row],[Investor ID]],INVESTORS_LIST[INVESTOR CODE],0),)</f>
        <v>MOHAMMAD AKIB NAWAZ</v>
      </c>
      <c r="F216" s="83" t="s">
        <v>495</v>
      </c>
      <c r="G216" s="75">
        <f>COUNTIF(LS[[#Headers],[Investor ID]]:LS[[#This Row],[Investor ID]],LS[[#This Row],[Investor ID]])</f>
        <v>3</v>
      </c>
      <c r="H216" s="75" t="str">
        <f>CONCATENATE(LS[[#This Row],[Frequency]],LS[[#This Row],[Investor ID]])</f>
        <v>3A00223</v>
      </c>
      <c r="I216" s="75" t="str">
        <f>IF(LS[[#This Row],[B/S]]="B","BUY",(IF(LS[[#This Row],[B/S]]="S","SELL"," ")))</f>
        <v>SELL</v>
      </c>
      <c r="J216" s="75" t="s">
        <v>1231</v>
      </c>
      <c r="K216" s="88">
        <v>-209340</v>
      </c>
      <c r="L216" s="88"/>
      <c r="M216" s="89">
        <f>LS[[#This Row],[Amount]]/LS[[#This Row],[Unit]]</f>
        <v>10.467000000000001</v>
      </c>
      <c r="N216" s="90">
        <f>LS[[#This Row],[Unit Capital]]/10</f>
        <v>-20000</v>
      </c>
      <c r="O216" s="90">
        <f>SUMIFS(LS[[#Headers],[Unit]]:LS[[#This Row],[Unit]],LS[[#Headers],[Investor ID]]:LS[[#This Row],[Investor ID]],LS[[#This Row],[Investor ID]])</f>
        <v>0</v>
      </c>
      <c r="P216" s="96">
        <v>-200000</v>
      </c>
      <c r="Q216" s="48">
        <f>LS[[#This Row],[Amount]]-LS[[#This Row],[Unit Capital]]</f>
        <v>-9340</v>
      </c>
      <c r="R21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16" s="89">
        <f t="shared" si="3"/>
        <v>14.224</v>
      </c>
      <c r="T216" s="96">
        <f>IF(LS[[#This Row],[B/S]]="B",0,ABS(LS[[#This Row],[Unit]])*(LS[[#This Row],[NAV (Strike Rate)]]-INDEX(LS[NAV at Cost (Average)],MATCH(CONCATENATE(LS[[#This Row],[Frequency]]-1,LS[[#This Row],[Investor ID]]),LS[Unique Code],0),)))</f>
        <v>9340.0000000000109</v>
      </c>
      <c r="U216" s="96">
        <f t="array" ref="U216">IF(LS[[#This Row],[B/S]]="S",ABS(LS[[#This Row],[Unit]])*(INDEX(LS[NAV at Cost (Average)],MATCH(CONCATENATE((LS[[#This Row],[Frequency]]-1),LS[[#This Row],[Investor ID]]),LS[Unique Code],0),0)),0)</f>
        <v>200000</v>
      </c>
      <c r="V216" s="96">
        <f>IF(LS[[#This Row],[BO TRANSFER]]="YES",LS[[#This Row],[Unit]],)</f>
        <v>0</v>
      </c>
      <c r="W216" s="96">
        <f>SUMIFS(LS[[#Headers],[BO UNIT TRANSFER]]:LS[[#This Row],[BO UNIT TRANSFER]],LS[[#Headers],[Investor ID]]:LS[[#This Row],[Investor ID]],LS[[#This Row],[Investor ID]])</f>
        <v>0</v>
      </c>
    </row>
    <row r="217" spans="1:23">
      <c r="A217" s="75">
        <v>2023</v>
      </c>
      <c r="B217" s="75">
        <v>9</v>
      </c>
      <c r="C217" s="75">
        <v>24</v>
      </c>
      <c r="D217" s="81">
        <f>DATE(LS[[#This Row],[Year]],LS[[#This Row],[Month]],LS[[#This Row],[Day]])</f>
        <v>45193</v>
      </c>
      <c r="E217" t="str" cm="1">
        <f t="array" ref="E217">INDEX(INVESTORS_LIST[INVESTOR NAME],MATCH(LS[[#This Row],[Investor ID]],INVESTORS_LIST[INVESTOR CODE],0),)</f>
        <v>MONIR AHMED</v>
      </c>
      <c r="F217" s="75" t="s">
        <v>125</v>
      </c>
      <c r="G217" s="75">
        <f>COUNTIF(LS[[#Headers],[Investor ID]]:LS[[#This Row],[Investor ID]],LS[[#This Row],[Investor ID]])</f>
        <v>2</v>
      </c>
      <c r="H217" s="75" t="str">
        <f>CONCATENATE(LS[[#This Row],[Frequency]],LS[[#This Row],[Investor ID]])</f>
        <v>2A00039</v>
      </c>
      <c r="I217" s="75" t="str">
        <f>IF(LS[[#This Row],[B/S]]="B","BUY",(IF(LS[[#This Row],[B/S]]="S","SELL"," ")))</f>
        <v>SELL</v>
      </c>
      <c r="J217" s="75" t="s">
        <v>1231</v>
      </c>
      <c r="K217" s="88">
        <v>-153111.27600000001</v>
      </c>
      <c r="L217" s="99"/>
      <c r="M217" s="89">
        <f>LS[[#This Row],[Amount]]/LS[[#This Row],[Unit]]</f>
        <v>10.467000000000001</v>
      </c>
      <c r="N217" s="90">
        <f>LS[[#This Row],[Unit Capital]]/10</f>
        <v>-14628</v>
      </c>
      <c r="O217" s="90">
        <f>SUMIFS(LS[[#Headers],[Unit]]:LS[[#This Row],[Unit]],LS[[#Headers],[Investor ID]]:LS[[#This Row],[Investor ID]],LS[[#This Row],[Investor ID]])</f>
        <v>0</v>
      </c>
      <c r="P217" s="96">
        <v>-146280</v>
      </c>
      <c r="Q217" s="48">
        <f>LS[[#This Row],[Amount]]-LS[[#This Row],[Unit Capital]]</f>
        <v>-6831.2760000000126</v>
      </c>
      <c r="R21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17" s="89">
        <f t="shared" si="3"/>
        <v>14.224</v>
      </c>
      <c r="T217" s="96">
        <f>IF(LS[[#This Row],[B/S]]="B",0,ABS(LS[[#This Row],[Unit]])*(LS[[#This Row],[NAV (Strike Rate)]]-INDEX(LS[NAV at Cost (Average)],MATCH(CONCATENATE(LS[[#This Row],[Frequency]]-1,LS[[#This Row],[Investor ID]]),LS[Unique Code],0),)))</f>
        <v>3111.2760000000203</v>
      </c>
      <c r="U217" s="96" cm="1">
        <f t="array" ref="U217">IF(LS[[#This Row],[B/S]]="S",ABS(LS[[#This Row],[Unit]])*(INDEX(LS[NAV at Cost (Average)],MATCH(CONCATENATE((LS[[#This Row],[Frequency]]-1),LS[[#This Row],[Investor ID]]),LS[Unique Code],0),0)),0)</f>
        <v>150000</v>
      </c>
      <c r="V217" s="96">
        <f>IF(LS[[#This Row],[BO TRANSFER]]="YES",LS[[#This Row],[Unit]],)</f>
        <v>0</v>
      </c>
      <c r="W217" s="96">
        <f>SUMIFS(LS[[#Headers],[BO UNIT TRANSFER]]:LS[[#This Row],[BO UNIT TRANSFER]],LS[[#Headers],[Investor ID]]:LS[[#This Row],[Investor ID]],LS[[#This Row],[Investor ID]])</f>
        <v>0</v>
      </c>
    </row>
    <row r="218" spans="1:23">
      <c r="A218" s="75">
        <v>2023</v>
      </c>
      <c r="B218" s="75">
        <v>9</v>
      </c>
      <c r="C218" s="75">
        <v>25</v>
      </c>
      <c r="D218" s="81">
        <f>DATE(LS[[#This Row],[Year]],LS[[#This Row],[Month]],LS[[#This Row],[Day]])</f>
        <v>45194</v>
      </c>
      <c r="E218" t="str" cm="1">
        <f t="array" ref="E218">INDEX(INVESTORS_LIST[INVESTOR NAME],MATCH(LS[[#This Row],[Investor ID]],INVESTORS_LIST[INVESTOR CODE],0),)</f>
        <v>GOURI TOSH PAUL</v>
      </c>
      <c r="F218" s="83" t="s">
        <v>606</v>
      </c>
      <c r="G218" s="75">
        <f>COUNTIF(LS[[#Headers],[Investor ID]]:LS[[#This Row],[Investor ID]],LS[[#This Row],[Investor ID]])</f>
        <v>1</v>
      </c>
      <c r="H218" s="75" t="str">
        <f>CONCATENATE(LS[[#This Row],[Frequency]],LS[[#This Row],[Investor ID]])</f>
        <v>1A00279</v>
      </c>
      <c r="I218" s="75" t="str">
        <f>IF(LS[[#This Row],[B/S]]="B","BUY",(IF(LS[[#This Row],[B/S]]="S","SELL"," ")))</f>
        <v>BUY</v>
      </c>
      <c r="J218" s="75" t="s">
        <v>1229</v>
      </c>
      <c r="K218" s="88">
        <v>1300000</v>
      </c>
      <c r="L218" s="88"/>
      <c r="M218" s="89">
        <f>LS[[#This Row],[Amount]]/LS[[#This Row],[Unit]]</f>
        <v>10.483025562454641</v>
      </c>
      <c r="N218" s="90">
        <f>LS[[#This Row],[Unit Capital]]/10</f>
        <v>124010</v>
      </c>
      <c r="O218" s="90">
        <f>SUMIFS(LS[[#Headers],[Unit]]:LS[[#This Row],[Unit]],LS[[#Headers],[Investor ID]]:LS[[#This Row],[Investor ID]],LS[[#This Row],[Investor ID]])</f>
        <v>124010</v>
      </c>
      <c r="P218" s="96">
        <v>1240100</v>
      </c>
      <c r="Q218" s="48">
        <f>LS[[#This Row],[Amount]]-LS[[#This Row],[Unit Capital]]</f>
        <v>59900</v>
      </c>
      <c r="R21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10.483025562454641</v>
      </c>
      <c r="S218" s="89">
        <f t="shared" si="3"/>
        <v>14.224</v>
      </c>
      <c r="T21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8" s="96" cm="1">
        <f t="array" ref="U218">IF(LS[[#This Row],[B/S]]="S",ABS(LS[[#This Row],[Unit]])*(INDEX(LS[NAV at Cost (Average)],MATCH(CONCATENATE((LS[[#This Row],[Frequency]]-1),LS[[#This Row],[Investor ID]]),LS[Unique Code],0),0)),0)</f>
        <v>0</v>
      </c>
      <c r="V218" s="96">
        <f>IF(LS[[#This Row],[BO TRANSFER]]="YES",LS[[#This Row],[Unit]],)</f>
        <v>0</v>
      </c>
      <c r="W218" s="96">
        <f>SUMIFS(LS[[#Headers],[BO UNIT TRANSFER]]:LS[[#This Row],[BO UNIT TRANSFER]],LS[[#Headers],[Investor ID]]:LS[[#This Row],[Investor ID]],LS[[#This Row],[Investor ID]])</f>
        <v>0</v>
      </c>
    </row>
    <row r="219" spans="1:23">
      <c r="A219" s="75">
        <v>2023</v>
      </c>
      <c r="B219" s="75">
        <v>9</v>
      </c>
      <c r="C219" s="75">
        <v>26</v>
      </c>
      <c r="D219" s="81">
        <f>DATE(LS[[#This Row],[Year]],LS[[#This Row],[Month]],LS[[#This Row],[Day]])</f>
        <v>45195</v>
      </c>
      <c r="E219" t="str" cm="1">
        <f t="array" ref="E219">INDEX(INVESTORS_LIST[INVESTOR NAME],MATCH(LS[[#This Row],[Investor ID]],INVESTORS_LIST[INVESTOR CODE],0),)</f>
        <v>LILY RANI PAUL</v>
      </c>
      <c r="F219" s="83" t="s">
        <v>214</v>
      </c>
      <c r="G219" s="75">
        <f>COUNTIF(LS[[#Headers],[Investor ID]]:LS[[#This Row],[Investor ID]],LS[[#This Row],[Investor ID]])</f>
        <v>2</v>
      </c>
      <c r="H219" s="75" t="str">
        <f>CONCATENATE(LS[[#This Row],[Frequency]],LS[[#This Row],[Investor ID]])</f>
        <v>2A00083</v>
      </c>
      <c r="I219" s="75" t="str">
        <f>IF(LS[[#This Row],[B/S]]="B","BUY",(IF(LS[[#This Row],[B/S]]="S","SELL"," ")))</f>
        <v>BUY</v>
      </c>
      <c r="J219" s="75" t="s">
        <v>1229</v>
      </c>
      <c r="K219" s="88">
        <v>1200000</v>
      </c>
      <c r="L219" s="88"/>
      <c r="M219" s="89">
        <f>LS[[#This Row],[Amount]]/LS[[#This Row],[Unit]]</f>
        <v>10.483004429069371</v>
      </c>
      <c r="N219" s="90">
        <f>LS[[#This Row],[Unit Capital]]/10</f>
        <v>114471</v>
      </c>
      <c r="O219" s="90">
        <f>SUMIFS(LS[[#Headers],[Unit]]:LS[[#This Row],[Unit]],LS[[#Headers],[Investor ID]]:LS[[#This Row],[Investor ID]],LS[[#This Row],[Investor ID]])</f>
        <v>138614</v>
      </c>
      <c r="P219" s="96">
        <v>1144710</v>
      </c>
      <c r="Q219" s="48">
        <f>LS[[#This Row],[Amount]]-LS[[#This Row],[Unit Capital]]</f>
        <v>55290</v>
      </c>
      <c r="R21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10.460703825010462</v>
      </c>
      <c r="S219" s="89">
        <f t="shared" si="3"/>
        <v>14.224</v>
      </c>
      <c r="T21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19" s="96" cm="1">
        <f t="array" ref="U219">IF(LS[[#This Row],[B/S]]="S",ABS(LS[[#This Row],[Unit]])*(INDEX(LS[NAV at Cost (Average)],MATCH(CONCATENATE((LS[[#This Row],[Frequency]]-1),LS[[#This Row],[Investor ID]]),LS[Unique Code],0),0)),0)</f>
        <v>0</v>
      </c>
      <c r="V219" s="96">
        <f>IF(LS[[#This Row],[BO TRANSFER]]="YES",LS[[#This Row],[Unit]],)</f>
        <v>0</v>
      </c>
      <c r="W219" s="96">
        <f>SUMIFS(LS[[#Headers],[BO UNIT TRANSFER]]:LS[[#This Row],[BO UNIT TRANSFER]],LS[[#Headers],[Investor ID]]:LS[[#This Row],[Investor ID]],LS[[#This Row],[Investor ID]])</f>
        <v>0</v>
      </c>
    </row>
    <row r="220" spans="1:23">
      <c r="A220" s="75">
        <v>2023</v>
      </c>
      <c r="B220" s="75">
        <v>9</v>
      </c>
      <c r="C220" s="75">
        <v>25</v>
      </c>
      <c r="D220" s="81">
        <f>DATE(LS[[#This Row],[Year]],LS[[#This Row],[Month]],LS[[#This Row],[Day]])</f>
        <v>45194</v>
      </c>
      <c r="E220" t="str" cm="1">
        <f t="array" ref="E220">INDEX(INVESTORS_LIST[INVESTOR NAME],MATCH(LS[[#This Row],[Investor ID]],INVESTORS_LIST[INVESTOR CODE],0),)</f>
        <v>EKUSH WEALTH MANAGEMENT LIMITED</v>
      </c>
      <c r="F220" s="83" t="s">
        <v>47</v>
      </c>
      <c r="G220" s="75">
        <f>COUNTIF(LS[[#Headers],[Investor ID]]:LS[[#This Row],[Investor ID]],LS[[#This Row],[Investor ID]])</f>
        <v>11</v>
      </c>
      <c r="H220" s="75" t="str">
        <f>CONCATENATE(LS[[#This Row],[Frequency]],LS[[#This Row],[Investor ID]])</f>
        <v>11A00003</v>
      </c>
      <c r="I220" s="75" t="str">
        <f>IF(LS[[#This Row],[B/S]]="B","BUY",(IF(LS[[#This Row],[B/S]]="S","SELL"," ")))</f>
        <v>SELL</v>
      </c>
      <c r="J220" s="75" t="s">
        <v>1231</v>
      </c>
      <c r="K220" s="88">
        <v>-1157996</v>
      </c>
      <c r="L220" s="88"/>
      <c r="M220" s="89">
        <f>LS[[#This Row],[Amount]]/LS[[#This Row],[Unit]]</f>
        <v>10.467003516129907</v>
      </c>
      <c r="N220" s="90">
        <f>LS[[#This Row],[Unit Capital]]/10</f>
        <v>-110633</v>
      </c>
      <c r="O220" s="90">
        <f>SUMIFS(LS[[#Headers],[Unit]]:LS[[#This Row],[Unit]],LS[[#Headers],[Investor ID]]:LS[[#This Row],[Investor ID]],LS[[#This Row],[Investor ID]])</f>
        <v>2500000</v>
      </c>
      <c r="P220" s="96">
        <v>-1106330</v>
      </c>
      <c r="Q220" s="48">
        <f>LS[[#This Row],[Amount]]-LS[[#This Row],[Unit Capital]]</f>
        <v>-51666</v>
      </c>
      <c r="R22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20" s="89">
        <f t="shared" si="3"/>
        <v>14.224</v>
      </c>
      <c r="T220" s="96">
        <f>IF(LS[[#This Row],[B/S]]="B",0,ABS(LS[[#This Row],[Unit]])*(LS[[#This Row],[NAV (Strike Rate)]]-INDEX(LS[NAV at Cost (Average)],MATCH(CONCATENATE(LS[[#This Row],[Frequency]]-1,LS[[#This Row],[Investor ID]]),LS[Unique Code],0),)))</f>
        <v>50095.576850434052</v>
      </c>
      <c r="U220" s="96" cm="1">
        <f t="array" ref="U220">IF(LS[[#This Row],[B/S]]="S",ABS(LS[[#This Row],[Unit]])*(INDEX(LS[NAV at Cost (Average)],MATCH(CONCATENATE((LS[[#This Row],[Frequency]]-1),LS[[#This Row],[Investor ID]]),LS[Unique Code],0),0)),0)</f>
        <v>1107900.4231495659</v>
      </c>
      <c r="V220" s="96">
        <f>IF(LS[[#This Row],[BO TRANSFER]]="YES",LS[[#This Row],[Unit]],)</f>
        <v>0</v>
      </c>
      <c r="W220" s="96">
        <f>SUMIFS(LS[[#Headers],[BO UNIT TRANSFER]]:LS[[#This Row],[BO UNIT TRANSFER]],LS[[#Headers],[Investor ID]]:LS[[#This Row],[Investor ID]],LS[[#This Row],[Investor ID]])</f>
        <v>0</v>
      </c>
    </row>
    <row r="221" spans="1:23">
      <c r="A221" s="75">
        <v>2023</v>
      </c>
      <c r="B221" s="75">
        <v>9</v>
      </c>
      <c r="C221" s="75">
        <v>26</v>
      </c>
      <c r="D221" s="81">
        <f>DATE(LS[[#This Row],[Year]],LS[[#This Row],[Month]],LS[[#This Row],[Day]])</f>
        <v>45195</v>
      </c>
      <c r="E221" t="str" cm="1">
        <f t="array" ref="E221">INDEX(INVESTORS_LIST[INVESTOR NAME],MATCH(LS[[#This Row],[Investor ID]],INVESTORS_LIST[INVESTOR CODE],0),)</f>
        <v>LILY RANI PAUL</v>
      </c>
      <c r="F221" s="83" t="s">
        <v>214</v>
      </c>
      <c r="G221" s="75">
        <f>COUNTIF(LS[[#Headers],[Investor ID]]:LS[[#This Row],[Investor ID]],LS[[#This Row],[Investor ID]])</f>
        <v>3</v>
      </c>
      <c r="H221" s="75" t="str">
        <f>CONCATENATE(LS[[#This Row],[Frequency]],LS[[#This Row],[Investor ID]])</f>
        <v>3A00083</v>
      </c>
      <c r="I221" s="75" t="str">
        <f>IF(LS[[#This Row],[B/S]]="B","BUY",(IF(LS[[#This Row],[B/S]]="S","SELL"," ")))</f>
        <v>BUY</v>
      </c>
      <c r="J221" s="75" t="s">
        <v>1229</v>
      </c>
      <c r="K221" s="88">
        <v>25000</v>
      </c>
      <c r="L221" s="88"/>
      <c r="M221" s="89">
        <f>LS[[#This Row],[Amount]]/LS[[#This Row],[Unit]]</f>
        <v>10.482180293501049</v>
      </c>
      <c r="N221" s="90">
        <f>LS[[#This Row],[Unit Capital]]/10</f>
        <v>2385</v>
      </c>
      <c r="O221" s="90">
        <f>SUMIFS(LS[[#Headers],[Unit]]:LS[[#This Row],[Unit]],LS[[#Headers],[Investor ID]]:LS[[#This Row],[Investor ID]],LS[[#This Row],[Investor ID]])</f>
        <v>140999</v>
      </c>
      <c r="P221" s="96">
        <v>23850</v>
      </c>
      <c r="Q221" s="48">
        <f>LS[[#This Row],[Amount]]-LS[[#This Row],[Unit Capital]]</f>
        <v>1150</v>
      </c>
      <c r="R22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10.461067099766666</v>
      </c>
      <c r="S221" s="89">
        <f t="shared" si="3"/>
        <v>14.224</v>
      </c>
      <c r="T22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1" s="96" cm="1">
        <f t="array" ref="U221">IF(LS[[#This Row],[B/S]]="S",ABS(LS[[#This Row],[Unit]])*(INDEX(LS[NAV at Cost (Average)],MATCH(CONCATENATE((LS[[#This Row],[Frequency]]-1),LS[[#This Row],[Investor ID]]),LS[Unique Code],0),0)),0)</f>
        <v>0</v>
      </c>
      <c r="V221" s="96">
        <f>IF(LS[[#This Row],[BO TRANSFER]]="YES",LS[[#This Row],[Unit]],)</f>
        <v>0</v>
      </c>
      <c r="W221" s="96">
        <f>SUMIFS(LS[[#Headers],[BO UNIT TRANSFER]]:LS[[#This Row],[BO UNIT TRANSFER]],LS[[#Headers],[Investor ID]]:LS[[#This Row],[Investor ID]],LS[[#This Row],[Investor ID]])</f>
        <v>0</v>
      </c>
    </row>
    <row r="222" spans="1:23">
      <c r="A222" s="75">
        <v>2023</v>
      </c>
      <c r="B222" s="75">
        <v>9</v>
      </c>
      <c r="C222" s="75">
        <v>27</v>
      </c>
      <c r="D222" s="81">
        <f>DATE(LS[[#This Row],[Year]],LS[[#This Row],[Month]],LS[[#This Row],[Day]])</f>
        <v>45196</v>
      </c>
      <c r="E222" t="str" cm="1">
        <f t="array" ref="E222">INDEX(INVESTORS_LIST[INVESTOR NAME],MATCH(LS[[#This Row],[Investor ID]],INVESTORS_LIST[INVESTOR CODE],0),)</f>
        <v>MD. NIZAM UDDIN</v>
      </c>
      <c r="F222" s="83" t="s">
        <v>815</v>
      </c>
      <c r="G222" s="75">
        <f>COUNTIF(LS[[#Headers],[Investor ID]]:LS[[#This Row],[Investor ID]],LS[[#This Row],[Investor ID]])</f>
        <v>2</v>
      </c>
      <c r="H222" s="75" t="str">
        <f>CONCATENATE(LS[[#This Row],[Frequency]],LS[[#This Row],[Investor ID]])</f>
        <v>2A00384</v>
      </c>
      <c r="I222" s="75" t="str">
        <f>IF(LS[[#This Row],[B/S]]="B","BUY",(IF(LS[[#This Row],[B/S]]="S","SELL"," ")))</f>
        <v>SELL</v>
      </c>
      <c r="J222" s="75" t="s">
        <v>1231</v>
      </c>
      <c r="K222" s="88">
        <v>-163576.73000000001</v>
      </c>
      <c r="L222" s="88"/>
      <c r="M222" s="89">
        <f>LS[[#This Row],[Amount]]/LS[[#This Row],[Unit]]</f>
        <v>10.482999871827737</v>
      </c>
      <c r="N222" s="90">
        <f>LS[[#This Row],[Unit Capital]]/10</f>
        <v>-15604</v>
      </c>
      <c r="O222" s="90">
        <f>SUMIFS(LS[[#Headers],[Unit]]:LS[[#This Row],[Unit]],LS[[#Headers],[Investor ID]]:LS[[#This Row],[Investor ID]],LS[[#This Row],[Investor ID]])</f>
        <v>0</v>
      </c>
      <c r="P222" s="96">
        <v>-156040</v>
      </c>
      <c r="Q222" s="48">
        <f>LS[[#This Row],[Amount]]-LS[[#This Row],[Unit Capital]]</f>
        <v>-7536.7300000000105</v>
      </c>
      <c r="R22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22" s="89">
        <f t="shared" si="3"/>
        <v>14.224</v>
      </c>
      <c r="T222" s="96">
        <f>IF(LS[[#This Row],[B/S]]="B",0,ABS(LS[[#This Row],[Unit]])*(LS[[#This Row],[NAV (Strike Rate)]]-INDEX(LS[NAV at Cost (Average)],MATCH(CONCATENATE(LS[[#This Row],[Frequency]]-1,LS[[#This Row],[Investor ID]]),LS[Unique Code],0),)))</f>
        <v>3576.7299999999886</v>
      </c>
      <c r="U222" s="96" cm="1">
        <f t="array" ref="U222">IF(LS[[#This Row],[B/S]]="S",ABS(LS[[#This Row],[Unit]])*(INDEX(LS[NAV at Cost (Average)],MATCH(CONCATENATE((LS[[#This Row],[Frequency]]-1),LS[[#This Row],[Investor ID]]),LS[Unique Code],0),0)),0)</f>
        <v>160000</v>
      </c>
      <c r="V222" s="96">
        <f>IF(LS[[#This Row],[BO TRANSFER]]="YES",LS[[#This Row],[Unit]],)</f>
        <v>0</v>
      </c>
      <c r="W222" s="96">
        <f>SUMIFS(LS[[#Headers],[BO UNIT TRANSFER]]:LS[[#This Row],[BO UNIT TRANSFER]],LS[[#Headers],[Investor ID]]:LS[[#This Row],[Investor ID]],LS[[#This Row],[Investor ID]])</f>
        <v>0</v>
      </c>
    </row>
    <row r="223" spans="1:23">
      <c r="A223" s="75">
        <v>2023</v>
      </c>
      <c r="B223" s="75">
        <v>10</v>
      </c>
      <c r="C223" s="75">
        <v>1</v>
      </c>
      <c r="D223" s="81">
        <f>DATE(LS[[#This Row],[Year]],LS[[#This Row],[Month]],LS[[#This Row],[Day]])</f>
        <v>45200</v>
      </c>
      <c r="E223" t="str" cm="1">
        <f t="array" ref="E223">INDEX(INVESTORS_LIST[INVESTOR NAME],MATCH(LS[[#This Row],[Investor ID]],INVESTORS_LIST[INVESTOR CODE],0),)</f>
        <v>FAIYEAD AHMEDUL HYE</v>
      </c>
      <c r="F223" s="83" t="s">
        <v>368</v>
      </c>
      <c r="G223" s="75">
        <f>COUNTIF(LS[[#Headers],[Investor ID]]:LS[[#This Row],[Investor ID]],LS[[#This Row],[Investor ID]])</f>
        <v>5</v>
      </c>
      <c r="H223" s="75" t="str">
        <f>CONCATENATE(LS[[#This Row],[Frequency]],LS[[#This Row],[Investor ID]])</f>
        <v>5A00160</v>
      </c>
      <c r="I223" s="75" t="str">
        <f>IF(LS[[#This Row],[B/S]]="B","BUY",(IF(LS[[#This Row],[B/S]]="S","SELL"," ")))</f>
        <v>BUY</v>
      </c>
      <c r="J223" s="75" t="s">
        <v>1229</v>
      </c>
      <c r="K223" s="88">
        <v>126000</v>
      </c>
      <c r="L223" s="88"/>
      <c r="M223" s="89">
        <f>LS[[#This Row],[Amount]]/LS[[#This Row],[Unit]]</f>
        <v>10.498250291618064</v>
      </c>
      <c r="N223" s="90">
        <f>LS[[#This Row],[Unit Capital]]/10</f>
        <v>12002</v>
      </c>
      <c r="O223" s="90">
        <f>SUMIFS(LS[[#Headers],[Unit]]:LS[[#This Row],[Unit]],LS[[#Headers],[Investor ID]]:LS[[#This Row],[Investor ID]],LS[[#This Row],[Investor ID]])</f>
        <v>29365</v>
      </c>
      <c r="P223" s="96">
        <v>120020</v>
      </c>
      <c r="Q223" s="48">
        <f>LS[[#This Row],[Amount]]-LS[[#This Row],[Unit Capital]]</f>
        <v>5980</v>
      </c>
      <c r="R22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10.386514558147457</v>
      </c>
      <c r="S223" s="89">
        <f t="shared" si="3"/>
        <v>14.224</v>
      </c>
      <c r="T22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3" s="96" cm="1">
        <f t="array" ref="U223">IF(LS[[#This Row],[B/S]]="S",ABS(LS[[#This Row],[Unit]])*(INDEX(LS[NAV at Cost (Average)],MATCH(CONCATENATE((LS[[#This Row],[Frequency]]-1),LS[[#This Row],[Investor ID]]),LS[Unique Code],0),0)),0)</f>
        <v>0</v>
      </c>
      <c r="V223" s="96">
        <f>IF(LS[[#This Row],[BO TRANSFER]]="YES",LS[[#This Row],[Unit]],)</f>
        <v>0</v>
      </c>
      <c r="W223" s="96">
        <f>SUMIFS(LS[[#Headers],[BO UNIT TRANSFER]]:LS[[#This Row],[BO UNIT TRANSFER]],LS[[#Headers],[Investor ID]]:LS[[#This Row],[Investor ID]],LS[[#This Row],[Investor ID]])</f>
        <v>0</v>
      </c>
    </row>
    <row r="224" spans="1:23">
      <c r="A224" s="75">
        <v>2023</v>
      </c>
      <c r="B224" s="75">
        <v>10</v>
      </c>
      <c r="C224" s="75">
        <v>2</v>
      </c>
      <c r="D224" s="81">
        <f>DATE(LS[[#This Row],[Year]],LS[[#This Row],[Month]],LS[[#This Row],[Day]])</f>
        <v>45201</v>
      </c>
      <c r="E224" t="str" cm="1">
        <f t="array" ref="E224">INDEX(INVESTORS_LIST[INVESTOR NAME],MATCH(LS[[#This Row],[Investor ID]],INVESTORS_LIST[INVESTOR CODE],0),)</f>
        <v>TANIA AKTER</v>
      </c>
      <c r="F224" s="83" t="s">
        <v>1069</v>
      </c>
      <c r="G224" s="75">
        <f>COUNTIF(LS[[#Headers],[Investor ID]]:LS[[#This Row],[Investor ID]],LS[[#This Row],[Investor ID]])</f>
        <v>1</v>
      </c>
      <c r="H224" s="75" t="str">
        <f>CONCATENATE(LS[[#This Row],[Frequency]],LS[[#This Row],[Investor ID]])</f>
        <v>1A00512</v>
      </c>
      <c r="I224" s="75" t="str">
        <f>IF(LS[[#This Row],[B/S]]="B","BUY",(IF(LS[[#This Row],[B/S]]="S","SELL"," ")))</f>
        <v>BUY</v>
      </c>
      <c r="J224" s="75" t="s">
        <v>1229</v>
      </c>
      <c r="K224" s="88">
        <v>100000</v>
      </c>
      <c r="L224" s="88"/>
      <c r="M224" s="89">
        <f>LS[[#This Row],[Amount]]/LS[[#This Row],[Unit]]</f>
        <v>10.497585555322276</v>
      </c>
      <c r="N224" s="90">
        <f>LS[[#This Row],[Unit Capital]]/10</f>
        <v>9526</v>
      </c>
      <c r="O224" s="90">
        <f>SUMIFS(LS[[#Headers],[Unit]]:LS[[#This Row],[Unit]],LS[[#Headers],[Investor ID]]:LS[[#This Row],[Investor ID]],LS[[#This Row],[Investor ID]])</f>
        <v>9526</v>
      </c>
      <c r="P224" s="96">
        <v>95260</v>
      </c>
      <c r="Q224" s="48">
        <f>LS[[#This Row],[Amount]]-LS[[#This Row],[Unit Capital]]</f>
        <v>4740</v>
      </c>
      <c r="R22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10.497585555322276</v>
      </c>
      <c r="S224" s="89">
        <f t="shared" si="3"/>
        <v>14.224</v>
      </c>
      <c r="T22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4" s="96" cm="1">
        <f t="array" ref="U224">IF(LS[[#This Row],[B/S]]="S",ABS(LS[[#This Row],[Unit]])*(INDEX(LS[NAV at Cost (Average)],MATCH(CONCATENATE((LS[[#This Row],[Frequency]]-1),LS[[#This Row],[Investor ID]]),LS[Unique Code],0),0)),0)</f>
        <v>0</v>
      </c>
      <c r="V224" s="96">
        <f>IF(LS[[#This Row],[BO TRANSFER]]="YES",LS[[#This Row],[Unit]],)</f>
        <v>0</v>
      </c>
      <c r="W224" s="96">
        <f>SUMIFS(LS[[#Headers],[BO UNIT TRANSFER]]:LS[[#This Row],[BO UNIT TRANSFER]],LS[[#Headers],[Investor ID]]:LS[[#This Row],[Investor ID]],LS[[#This Row],[Investor ID]])</f>
        <v>0</v>
      </c>
    </row>
    <row r="225" spans="1:23">
      <c r="A225" s="75">
        <v>2023</v>
      </c>
      <c r="B225" s="75">
        <v>10</v>
      </c>
      <c r="C225" s="75">
        <v>3</v>
      </c>
      <c r="D225" s="81">
        <f>DATE(LS[[#This Row],[Year]],LS[[#This Row],[Month]],LS[[#This Row],[Day]])</f>
        <v>45202</v>
      </c>
      <c r="E225" t="str" cm="1">
        <f t="array" ref="E225">INDEX(INVESTORS_LIST[INVESTOR NAME],MATCH(LS[[#This Row],[Investor ID]],INVESTORS_LIST[INVESTOR CODE],0),)</f>
        <v>SAMS SAIYADENA ZEESHA</v>
      </c>
      <c r="F225" s="83" t="s">
        <v>958</v>
      </c>
      <c r="G225" s="75">
        <f>COUNTIF(LS[[#Headers],[Investor ID]]:LS[[#This Row],[Investor ID]],LS[[#This Row],[Investor ID]])</f>
        <v>4</v>
      </c>
      <c r="H225" s="75" t="str">
        <f>CONCATENATE(LS[[#This Row],[Frequency]],LS[[#This Row],[Investor ID]])</f>
        <v>4A00456</v>
      </c>
      <c r="I225" s="75" t="str">
        <f>IF(LS[[#This Row],[B/S]]="B","BUY",(IF(LS[[#This Row],[B/S]]="S","SELL"," ")))</f>
        <v>SELL</v>
      </c>
      <c r="J225" s="75" t="s">
        <v>1231</v>
      </c>
      <c r="K225" s="88">
        <v>-104980</v>
      </c>
      <c r="L225" s="88"/>
      <c r="M225" s="89">
        <f>LS[[#This Row],[Amount]]/LS[[#This Row],[Unit]]</f>
        <v>10.497999999999999</v>
      </c>
      <c r="N225" s="90">
        <f>LS[[#This Row],[Unit Capital]]/10</f>
        <v>-10000</v>
      </c>
      <c r="O225" s="90">
        <f>SUMIFS(LS[[#Headers],[Unit]]:LS[[#This Row],[Unit]],LS[[#Headers],[Investor ID]]:LS[[#This Row],[Investor ID]],LS[[#This Row],[Investor ID]])</f>
        <v>0</v>
      </c>
      <c r="P225" s="96">
        <v>-100000</v>
      </c>
      <c r="Q225" s="48">
        <f>LS[[#This Row],[Amount]]-LS[[#This Row],[Unit Capital]]</f>
        <v>-4980</v>
      </c>
      <c r="R22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25" s="89">
        <f t="shared" si="3"/>
        <v>14.224</v>
      </c>
      <c r="T225" s="96">
        <f>IF(LS[[#This Row],[B/S]]="B",0,ABS(LS[[#This Row],[Unit]])*(LS[[#This Row],[NAV (Strike Rate)]]-INDEX(LS[NAV at Cost (Average)],MATCH(CONCATENATE(LS[[#This Row],[Frequency]]-1,LS[[#This Row],[Investor ID]]),LS[Unique Code],0),)))</f>
        <v>4979.9999999999936</v>
      </c>
      <c r="U225" s="96" cm="1">
        <f t="array" ref="U225">IF(LS[[#This Row],[B/S]]="S",ABS(LS[[#This Row],[Unit]])*(INDEX(LS[NAV at Cost (Average)],MATCH(CONCATENATE((LS[[#This Row],[Frequency]]-1),LS[[#This Row],[Investor ID]]),LS[Unique Code],0),0)),0)</f>
        <v>100000</v>
      </c>
      <c r="V225" s="96">
        <f>IF(LS[[#This Row],[BO TRANSFER]]="YES",LS[[#This Row],[Unit]],)</f>
        <v>0</v>
      </c>
      <c r="W225" s="96">
        <f>SUMIFS(LS[[#Headers],[BO UNIT TRANSFER]]:LS[[#This Row],[BO UNIT TRANSFER]],LS[[#Headers],[Investor ID]]:LS[[#This Row],[Investor ID]],LS[[#This Row],[Investor ID]])</f>
        <v>0</v>
      </c>
    </row>
    <row r="226" spans="1:23">
      <c r="A226" s="75">
        <v>2023</v>
      </c>
      <c r="B226" s="75">
        <v>10</v>
      </c>
      <c r="C226" s="75">
        <v>3</v>
      </c>
      <c r="D226" s="81">
        <f>DATE(LS[[#This Row],[Year]],LS[[#This Row],[Month]],LS[[#This Row],[Day]])</f>
        <v>45202</v>
      </c>
      <c r="E226" t="str" cm="1">
        <f t="array" ref="E226">INDEX(INVESTORS_LIST[INVESTOR NAME],MATCH(LS[[#This Row],[Investor ID]],INVESTORS_LIST[INVESTOR CODE],0),)</f>
        <v>ARKO SAHA</v>
      </c>
      <c r="F226" s="83" t="s">
        <v>316</v>
      </c>
      <c r="G226" s="75">
        <f>COUNTIF(LS[[#Headers],[Investor ID]]:LS[[#This Row],[Investor ID]],LS[[#This Row],[Investor ID]])</f>
        <v>2</v>
      </c>
      <c r="H226" s="75" t="str">
        <f>CONCATENATE(LS[[#This Row],[Frequency]],LS[[#This Row],[Investor ID]])</f>
        <v>2A00134</v>
      </c>
      <c r="I226" s="75" t="str">
        <f>IF(LS[[#This Row],[B/S]]="B","BUY",(IF(LS[[#This Row],[B/S]]="S","SELL"," ")))</f>
        <v>SELL</v>
      </c>
      <c r="J226" s="75" t="s">
        <v>1231</v>
      </c>
      <c r="K226" s="88">
        <v>-104980</v>
      </c>
      <c r="L226" s="88"/>
      <c r="M226" s="89">
        <f>LS[[#This Row],[Amount]]/LS[[#This Row],[Unit]]</f>
        <v>10.497999999999999</v>
      </c>
      <c r="N226" s="90">
        <f>LS[[#This Row],[Unit Capital]]/10</f>
        <v>-10000</v>
      </c>
      <c r="O226" s="90">
        <f>SUMIFS(LS[[#Headers],[Unit]]:LS[[#This Row],[Unit]],LS[[#Headers],[Investor ID]]:LS[[#This Row],[Investor ID]],LS[[#This Row],[Investor ID]])</f>
        <v>0</v>
      </c>
      <c r="P226" s="96">
        <v>-100000</v>
      </c>
      <c r="Q226" s="48">
        <f>LS[[#This Row],[Amount]]-LS[[#This Row],[Unit Capital]]</f>
        <v>-4980</v>
      </c>
      <c r="R22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26" s="89">
        <f t="shared" si="3"/>
        <v>14.224</v>
      </c>
      <c r="T226" s="96">
        <f>IF(LS[[#This Row],[B/S]]="B",0,ABS(LS[[#This Row],[Unit]])*(LS[[#This Row],[NAV (Strike Rate)]]-INDEX(LS[NAV at Cost (Average)],MATCH(CONCATENATE(LS[[#This Row],[Frequency]]-1,LS[[#This Row],[Investor ID]]),LS[Unique Code],0),)))</f>
        <v>1159.9999999999966</v>
      </c>
      <c r="U226" s="96" cm="1">
        <f t="array" ref="U226">IF(LS[[#This Row],[B/S]]="S",ABS(LS[[#This Row],[Unit]])*(INDEX(LS[NAV at Cost (Average)],MATCH(CONCATENATE((LS[[#This Row],[Frequency]]-1),LS[[#This Row],[Investor ID]]),LS[Unique Code],0),0)),0)</f>
        <v>103820</v>
      </c>
      <c r="V226" s="96">
        <f>IF(LS[[#This Row],[BO TRANSFER]]="YES",LS[[#This Row],[Unit]],)</f>
        <v>0</v>
      </c>
      <c r="W226" s="96">
        <f>SUMIFS(LS[[#Headers],[BO UNIT TRANSFER]]:LS[[#This Row],[BO UNIT TRANSFER]],LS[[#Headers],[Investor ID]]:LS[[#This Row],[Investor ID]],LS[[#This Row],[Investor ID]])</f>
        <v>0</v>
      </c>
    </row>
    <row r="227" spans="1:23">
      <c r="A227" s="75">
        <v>2023</v>
      </c>
      <c r="B227" s="75">
        <v>10</v>
      </c>
      <c r="C227" s="75">
        <v>3</v>
      </c>
      <c r="D227" s="81">
        <f>DATE(LS[[#This Row],[Year]],LS[[#This Row],[Month]],LS[[#This Row],[Day]])</f>
        <v>45202</v>
      </c>
      <c r="E227" t="str" cm="1">
        <f t="array" ref="E227">INDEX(INVESTORS_LIST[INVESTOR NAME],MATCH(LS[[#This Row],[Investor ID]],INVESTORS_LIST[INVESTOR CODE],0),)</f>
        <v>SHAHRIAR AZAD SHASHI</v>
      </c>
      <c r="F227" s="83" t="s">
        <v>1040</v>
      </c>
      <c r="G227" s="75">
        <f>COUNTIF(LS[[#Headers],[Investor ID]]:LS[[#This Row],[Investor ID]],LS[[#This Row],[Investor ID]])</f>
        <v>2</v>
      </c>
      <c r="H227" s="75" t="str">
        <f>CONCATENATE(LS[[#This Row],[Frequency]],LS[[#This Row],[Investor ID]])</f>
        <v>2A00497</v>
      </c>
      <c r="I227" s="75" t="str">
        <f>IF(LS[[#This Row],[B/S]]="B","BUY",(IF(LS[[#This Row],[B/S]]="S","SELL"," ")))</f>
        <v>SELL</v>
      </c>
      <c r="J227" s="75" t="s">
        <v>1231</v>
      </c>
      <c r="K227" s="88">
        <v>-25195.200000000001</v>
      </c>
      <c r="L227" s="88"/>
      <c r="M227" s="89">
        <f>LS[[#This Row],[Amount]]/LS[[#This Row],[Unit]]</f>
        <v>10.498000000000001</v>
      </c>
      <c r="N227" s="90">
        <f>LS[[#This Row],[Unit Capital]]/10</f>
        <v>-2400</v>
      </c>
      <c r="O227" s="90">
        <f>SUMIFS(LS[[#Headers],[Unit]]:LS[[#This Row],[Unit]],LS[[#Headers],[Investor ID]]:LS[[#This Row],[Investor ID]],LS[[#This Row],[Investor ID]])</f>
        <v>22028</v>
      </c>
      <c r="P227" s="96">
        <v>-24000</v>
      </c>
      <c r="Q227" s="48">
        <f>LS[[#This Row],[Amount]]-LS[[#This Row],[Unit Capital]]</f>
        <v>-1195.2000000000007</v>
      </c>
      <c r="R22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10.234157524152613</v>
      </c>
      <c r="S227" s="89">
        <f t="shared" si="3"/>
        <v>14.224</v>
      </c>
      <c r="T227" s="96">
        <f>IF(LS[[#This Row],[B/S]]="B",0,ABS(LS[[#This Row],[Unit]])*(LS[[#This Row],[NAV (Strike Rate)]]-INDEX(LS[NAV at Cost (Average)],MATCH(CONCATENATE(LS[[#This Row],[Frequency]]-1,LS[[#This Row],[Investor ID]]),LS[Unique Code],0),)))</f>
        <v>633.22194203373238</v>
      </c>
      <c r="U227" s="96" cm="1">
        <f t="array" ref="U227">IF(LS[[#This Row],[B/S]]="S",ABS(LS[[#This Row],[Unit]])*(INDEX(LS[NAV at Cost (Average)],MATCH(CONCATENATE((LS[[#This Row],[Frequency]]-1),LS[[#This Row],[Investor ID]]),LS[Unique Code],0),0)),0)</f>
        <v>24561.978057966269</v>
      </c>
      <c r="V227" s="96">
        <f>IF(LS[[#This Row],[BO TRANSFER]]="YES",LS[[#This Row],[Unit]],)</f>
        <v>0</v>
      </c>
      <c r="W227" s="96">
        <f>SUMIFS(LS[[#Headers],[BO UNIT TRANSFER]]:LS[[#This Row],[BO UNIT TRANSFER]],LS[[#Headers],[Investor ID]]:LS[[#This Row],[Investor ID]],LS[[#This Row],[Investor ID]])</f>
        <v>0</v>
      </c>
    </row>
    <row r="228" spans="1:23">
      <c r="A228" s="75">
        <v>2023</v>
      </c>
      <c r="B228" s="75">
        <v>10</v>
      </c>
      <c r="C228" s="75">
        <v>4</v>
      </c>
      <c r="D228" s="81">
        <f>DATE(LS[[#This Row],[Year]],LS[[#This Row],[Month]],LS[[#This Row],[Day]])</f>
        <v>45203</v>
      </c>
      <c r="E228" t="str" cm="1">
        <f t="array" ref="E228">INDEX(INVESTORS_LIST[INVESTOR NAME],MATCH(LS[[#This Row],[Investor ID]],INVESTORS_LIST[INVESTOR CODE],0),)</f>
        <v>CHAONIKA SAHA</v>
      </c>
      <c r="F228" s="83" t="s">
        <v>238</v>
      </c>
      <c r="G228" s="75">
        <f>COUNTIF(LS[[#Headers],[Investor ID]]:LS[[#This Row],[Investor ID]],LS[[#This Row],[Investor ID]])</f>
        <v>3</v>
      </c>
      <c r="H228" s="75" t="str">
        <f>CONCATENATE(LS[[#This Row],[Frequency]],LS[[#This Row],[Investor ID]])</f>
        <v>3A00095</v>
      </c>
      <c r="I228" s="75" t="str">
        <f>IF(LS[[#This Row],[B/S]]="B","BUY",(IF(LS[[#This Row],[B/S]]="S","SELL"," ")))</f>
        <v>BUY</v>
      </c>
      <c r="J228" s="75" t="s">
        <v>1229</v>
      </c>
      <c r="K228" s="88">
        <v>14000</v>
      </c>
      <c r="L228" s="88"/>
      <c r="M228" s="89">
        <f>LS[[#This Row],[Amount]]/LS[[#This Row],[Unit]]</f>
        <v>10.494752623688155</v>
      </c>
      <c r="N228" s="90">
        <f>LS[[#This Row],[Unit Capital]]/10</f>
        <v>1334</v>
      </c>
      <c r="O228" s="90">
        <f>SUMIFS(LS[[#Headers],[Unit]]:LS[[#This Row],[Unit]],LS[[#Headers],[Investor ID]]:LS[[#This Row],[Investor ID]],LS[[#This Row],[Investor ID]])</f>
        <v>13124</v>
      </c>
      <c r="P228" s="96">
        <v>13340</v>
      </c>
      <c r="Q228" s="48">
        <f>LS[[#This Row],[Amount]]-LS[[#This Row],[Unit Capital]]</f>
        <v>660</v>
      </c>
      <c r="R22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10.210301737275223</v>
      </c>
      <c r="S228" s="89">
        <f t="shared" si="3"/>
        <v>14.224</v>
      </c>
      <c r="T22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8" s="96" cm="1">
        <f t="array" ref="U228">IF(LS[[#This Row],[B/S]]="S",ABS(LS[[#This Row],[Unit]])*(INDEX(LS[NAV at Cost (Average)],MATCH(CONCATENATE((LS[[#This Row],[Frequency]]-1),LS[[#This Row],[Investor ID]]),LS[Unique Code],0),0)),0)</f>
        <v>0</v>
      </c>
      <c r="V228" s="96">
        <f>IF(LS[[#This Row],[BO TRANSFER]]="YES",LS[[#This Row],[Unit]],)</f>
        <v>0</v>
      </c>
      <c r="W228" s="96">
        <f>SUMIFS(LS[[#Headers],[BO UNIT TRANSFER]]:LS[[#This Row],[BO UNIT TRANSFER]],LS[[#Headers],[Investor ID]]:LS[[#This Row],[Investor ID]],LS[[#This Row],[Investor ID]])</f>
        <v>0</v>
      </c>
    </row>
    <row r="229" spans="1:23">
      <c r="A229" s="75">
        <v>2023</v>
      </c>
      <c r="B229" s="75">
        <v>10</v>
      </c>
      <c r="C229" s="75">
        <v>8</v>
      </c>
      <c r="D229" s="81">
        <f>DATE(LS[[#This Row],[Year]],LS[[#This Row],[Month]],LS[[#This Row],[Day]])</f>
        <v>45207</v>
      </c>
      <c r="E229" t="str" cm="1">
        <f t="array" ref="E229">INDEX(INVESTORS_LIST[INVESTOR NAME],MATCH(LS[[#This Row],[Investor ID]],INVESTORS_LIST[INVESTOR CODE],0),)</f>
        <v>MOHAMMAD HUMAYAN RASHID</v>
      </c>
      <c r="F229" s="83" t="s">
        <v>974</v>
      </c>
      <c r="G229" s="75">
        <f>COUNTIF(LS[[#Headers],[Investor ID]]:LS[[#This Row],[Investor ID]],LS[[#This Row],[Investor ID]])</f>
        <v>6</v>
      </c>
      <c r="H229" s="75" t="str">
        <f>CONCATENATE(LS[[#This Row],[Frequency]],LS[[#This Row],[Investor ID]])</f>
        <v>6A00464</v>
      </c>
      <c r="I229" s="75" t="str">
        <f>IF(LS[[#This Row],[B/S]]="B","BUY",(IF(LS[[#This Row],[B/S]]="S","SELL"," ")))</f>
        <v>BUY</v>
      </c>
      <c r="J229" s="75" t="s">
        <v>1229</v>
      </c>
      <c r="K229" s="88">
        <v>1454093</v>
      </c>
      <c r="L229" s="88"/>
      <c r="M229" s="89">
        <f>LS[[#This Row],[Amount]]/LS[[#This Row],[Unit]]</f>
        <v>10.498032647226575</v>
      </c>
      <c r="N229" s="90">
        <f>LS[[#This Row],[Unit Capital]]/10</f>
        <v>138511</v>
      </c>
      <c r="O229" s="90">
        <f>SUMIFS(LS[[#Headers],[Unit]]:LS[[#This Row],[Unit]],LS[[#Headers],[Investor ID]]:LS[[#This Row],[Investor ID]],LS[[#This Row],[Investor ID]])</f>
        <v>488511</v>
      </c>
      <c r="P229" s="96">
        <v>1385110</v>
      </c>
      <c r="Q229" s="48">
        <f>LS[[#This Row],[Amount]]-LS[[#This Row],[Unit Capital]]</f>
        <v>68983</v>
      </c>
      <c r="R22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10.235184059314939</v>
      </c>
      <c r="S229" s="89">
        <f t="shared" si="3"/>
        <v>14.224</v>
      </c>
      <c r="T22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29" s="96" cm="1">
        <f t="array" ref="U229">IF(LS[[#This Row],[B/S]]="S",ABS(LS[[#This Row],[Unit]])*(INDEX(LS[NAV at Cost (Average)],MATCH(CONCATENATE((LS[[#This Row],[Frequency]]-1),LS[[#This Row],[Investor ID]]),LS[Unique Code],0),0)),0)</f>
        <v>0</v>
      </c>
      <c r="V229" s="96">
        <f>IF(LS[[#This Row],[BO TRANSFER]]="YES",LS[[#This Row],[Unit]],)</f>
        <v>0</v>
      </c>
      <c r="W229" s="96">
        <f>SUMIFS(LS[[#Headers],[BO UNIT TRANSFER]]:LS[[#This Row],[BO UNIT TRANSFER]],LS[[#Headers],[Investor ID]]:LS[[#This Row],[Investor ID]],LS[[#This Row],[Investor ID]])</f>
        <v>0</v>
      </c>
    </row>
    <row r="230" spans="1:23">
      <c r="A230" s="75">
        <v>2023</v>
      </c>
      <c r="B230" s="75">
        <v>10</v>
      </c>
      <c r="C230" s="75">
        <v>8</v>
      </c>
      <c r="D230" s="81">
        <f>DATE(LS[[#This Row],[Year]],LS[[#This Row],[Month]],LS[[#This Row],[Day]])</f>
        <v>45207</v>
      </c>
      <c r="E230" t="str" cm="1">
        <f t="array" ref="E230">INDEX(INVESTORS_LIST[INVESTOR NAME],MATCH(LS[[#This Row],[Investor ID]],INVESTORS_LIST[INVESTOR CODE],0),)</f>
        <v>HUMAIRA TABASSUM READDHE</v>
      </c>
      <c r="F230" s="83" t="s">
        <v>1052</v>
      </c>
      <c r="G230" s="75">
        <f>COUNTIF(LS[[#Headers],[Investor ID]]:LS[[#This Row],[Investor ID]],LS[[#This Row],[Investor ID]])</f>
        <v>2</v>
      </c>
      <c r="H230" s="75" t="str">
        <f>CONCATENATE(LS[[#This Row],[Frequency]],LS[[#This Row],[Investor ID]])</f>
        <v>2A00503</v>
      </c>
      <c r="I230" s="75" t="str">
        <f>IF(LS[[#This Row],[B/S]]="B","BUY",(IF(LS[[#This Row],[B/S]]="S","SELL"," ")))</f>
        <v>SELL</v>
      </c>
      <c r="J230" s="75" t="s">
        <v>1231</v>
      </c>
      <c r="K230" s="88">
        <v>-97908.77</v>
      </c>
      <c r="L230" s="88"/>
      <c r="M230" s="89">
        <f>LS[[#This Row],[Amount]]/LS[[#This Row],[Unit]]</f>
        <v>10.512000214730513</v>
      </c>
      <c r="N230" s="90">
        <f>LS[[#This Row],[Unit Capital]]/10</f>
        <v>-9314</v>
      </c>
      <c r="O230" s="90">
        <f>SUMIFS(LS[[#Headers],[Unit]]:LS[[#This Row],[Unit]],LS[[#Headers],[Investor ID]]:LS[[#This Row],[Investor ID]],LS[[#This Row],[Investor ID]])</f>
        <v>0</v>
      </c>
      <c r="P230" s="96">
        <v>-93140</v>
      </c>
      <c r="Q230" s="48">
        <f>LS[[#This Row],[Amount]]-LS[[#This Row],[Unit Capital]]</f>
        <v>-4768.7700000000041</v>
      </c>
      <c r="R23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30" s="89">
        <f t="shared" si="3"/>
        <v>14.224</v>
      </c>
      <c r="T230" s="96">
        <f>IF(LS[[#This Row],[B/S]]="B",0,ABS(LS[[#This Row],[Unit]])*(LS[[#This Row],[NAV (Strike Rate)]]-INDEX(LS[NAV at Cost (Average)],MATCH(CONCATENATE(LS[[#This Row],[Frequency]]-1,LS[[#This Row],[Investor ID]]),LS[Unique Code],0),)))</f>
        <v>2588.7699999999932</v>
      </c>
      <c r="U230" s="96" cm="1">
        <f t="array" ref="U230">IF(LS[[#This Row],[B/S]]="S",ABS(LS[[#This Row],[Unit]])*(INDEX(LS[NAV at Cost (Average)],MATCH(CONCATENATE((LS[[#This Row],[Frequency]]-1),LS[[#This Row],[Investor ID]]),LS[Unique Code],0),0)),0)</f>
        <v>95320</v>
      </c>
      <c r="V230" s="96">
        <f>IF(LS[[#This Row],[BO TRANSFER]]="YES",LS[[#This Row],[Unit]],)</f>
        <v>0</v>
      </c>
      <c r="W230" s="96">
        <f>SUMIFS(LS[[#Headers],[BO UNIT TRANSFER]]:LS[[#This Row],[BO UNIT TRANSFER]],LS[[#Headers],[Investor ID]]:LS[[#This Row],[Investor ID]],LS[[#This Row],[Investor ID]])</f>
        <v>0</v>
      </c>
    </row>
    <row r="231" spans="1:23">
      <c r="A231" s="75">
        <v>2023</v>
      </c>
      <c r="B231" s="75">
        <v>10</v>
      </c>
      <c r="C231" s="75">
        <v>8</v>
      </c>
      <c r="D231" s="81">
        <f>DATE(LS[[#This Row],[Year]],LS[[#This Row],[Month]],LS[[#This Row],[Day]])</f>
        <v>45207</v>
      </c>
      <c r="E231" t="str" cm="1">
        <f t="array" ref="E231">INDEX(INVESTORS_LIST[INVESTOR NAME],MATCH(LS[[#This Row],[Investor ID]],INVESTORS_LIST[INVESTOR CODE],0),)</f>
        <v>MINHAJ UDDIN</v>
      </c>
      <c r="F231" s="83" t="s">
        <v>90</v>
      </c>
      <c r="G231" s="75">
        <f>COUNTIF(LS[[#Headers],[Investor ID]]:LS[[#This Row],[Investor ID]],LS[[#This Row],[Investor ID]])</f>
        <v>2</v>
      </c>
      <c r="H231" s="75" t="str">
        <f>CONCATENATE(LS[[#This Row],[Frequency]],LS[[#This Row],[Investor ID]])</f>
        <v>2A00022</v>
      </c>
      <c r="I231" s="75" t="str">
        <f>IF(LS[[#This Row],[B/S]]="B","BUY",(IF(LS[[#This Row],[B/S]]="S","SELL"," ")))</f>
        <v>SELL</v>
      </c>
      <c r="J231" s="75" t="s">
        <v>1231</v>
      </c>
      <c r="K231" s="88">
        <v>-892330</v>
      </c>
      <c r="L231" s="88"/>
      <c r="M231" s="89">
        <f>LS[[#This Row],[Amount]]/LS[[#This Row],[Unit]]</f>
        <v>10.497999999999999</v>
      </c>
      <c r="N231" s="90">
        <f>LS[[#This Row],[Unit Capital]]/10</f>
        <v>-85000</v>
      </c>
      <c r="O231" s="90">
        <f>SUMIFS(LS[[#Headers],[Unit]]:LS[[#This Row],[Unit]],LS[[#Headers],[Investor ID]]:LS[[#This Row],[Investor ID]],LS[[#This Row],[Investor ID]])</f>
        <v>0</v>
      </c>
      <c r="P231" s="96">
        <v>-850000</v>
      </c>
      <c r="Q231" s="48">
        <f>LS[[#This Row],[Amount]]-LS[[#This Row],[Unit Capital]]</f>
        <v>-42330</v>
      </c>
      <c r="R23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31" s="89">
        <f t="shared" si="3"/>
        <v>14.224</v>
      </c>
      <c r="T231" s="96">
        <f>IF(LS[[#This Row],[B/S]]="B",0,ABS(LS[[#This Row],[Unit]])*(LS[[#This Row],[NAV (Strike Rate)]]-INDEX(LS[NAV at Cost (Average)],MATCH(CONCATENATE(LS[[#This Row],[Frequency]]-1,LS[[#This Row],[Investor ID]]),LS[Unique Code],0),)))</f>
        <v>42329.999999999942</v>
      </c>
      <c r="U231" s="96" cm="1">
        <f t="array" ref="U231">IF(LS[[#This Row],[B/S]]="S",ABS(LS[[#This Row],[Unit]])*(INDEX(LS[NAV at Cost (Average)],MATCH(CONCATENATE((LS[[#This Row],[Frequency]]-1),LS[[#This Row],[Investor ID]]),LS[Unique Code],0),0)),0)</f>
        <v>850000</v>
      </c>
      <c r="V231" s="96">
        <f>IF(LS[[#This Row],[BO TRANSFER]]="YES",LS[[#This Row],[Unit]],)</f>
        <v>0</v>
      </c>
      <c r="W231" s="96">
        <f>SUMIFS(LS[[#Headers],[BO UNIT TRANSFER]]:LS[[#This Row],[BO UNIT TRANSFER]],LS[[#Headers],[Investor ID]]:LS[[#This Row],[Investor ID]],LS[[#This Row],[Investor ID]])</f>
        <v>0</v>
      </c>
    </row>
    <row r="232" spans="1:23">
      <c r="A232" s="75">
        <v>2023</v>
      </c>
      <c r="B232" s="75">
        <v>10</v>
      </c>
      <c r="C232" s="75">
        <v>8</v>
      </c>
      <c r="D232" s="81">
        <f>DATE(LS[[#This Row],[Year]],LS[[#This Row],[Month]],LS[[#This Row],[Day]])</f>
        <v>45207</v>
      </c>
      <c r="E232" t="str" cm="1">
        <f t="array" ref="E232">INDEX(INVESTORS_LIST[INVESTOR NAME],MATCH(LS[[#This Row],[Investor ID]],INVESTORS_LIST[INVESTOR CODE],0),)</f>
        <v>NANDINI SAHA</v>
      </c>
      <c r="F232" s="83" t="s">
        <v>242</v>
      </c>
      <c r="G232" s="75">
        <f>COUNTIF(LS[[#Headers],[Investor ID]]:LS[[#This Row],[Investor ID]],LS[[#This Row],[Investor ID]])</f>
        <v>3</v>
      </c>
      <c r="H232" s="75" t="str">
        <f>CONCATENATE(LS[[#This Row],[Frequency]],LS[[#This Row],[Investor ID]])</f>
        <v>3A00097</v>
      </c>
      <c r="I232" s="75" t="str">
        <f>IF(LS[[#This Row],[B/S]]="B","BUY",(IF(LS[[#This Row],[B/S]]="S","SELL"," ")))</f>
        <v>BUY</v>
      </c>
      <c r="J232" s="75" t="s">
        <v>1229</v>
      </c>
      <c r="K232" s="88">
        <v>45000</v>
      </c>
      <c r="L232" s="88"/>
      <c r="M232" s="89">
        <f>LS[[#This Row],[Amount]]/LS[[#This Row],[Unit]]</f>
        <v>10.51156271899089</v>
      </c>
      <c r="N232" s="90">
        <f>LS[[#This Row],[Unit Capital]]/10</f>
        <v>4281</v>
      </c>
      <c r="O232" s="90">
        <f>SUMIFS(LS[[#Headers],[Unit]]:LS[[#This Row],[Unit]],LS[[#Headers],[Investor ID]]:LS[[#This Row],[Investor ID]],LS[[#This Row],[Investor ID]])</f>
        <v>51631</v>
      </c>
      <c r="P232" s="96">
        <v>42810</v>
      </c>
      <c r="Q232" s="48">
        <f>LS[[#This Row],[Amount]]-LS[[#This Row],[Unit Capital]]</f>
        <v>2190</v>
      </c>
      <c r="R23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10.168309736398674</v>
      </c>
      <c r="S232" s="89">
        <f t="shared" si="3"/>
        <v>14.224</v>
      </c>
      <c r="T23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2" s="96" cm="1">
        <f t="array" ref="U232">IF(LS[[#This Row],[B/S]]="S",ABS(LS[[#This Row],[Unit]])*(INDEX(LS[NAV at Cost (Average)],MATCH(CONCATENATE((LS[[#This Row],[Frequency]]-1),LS[[#This Row],[Investor ID]]),LS[Unique Code],0),0)),0)</f>
        <v>0</v>
      </c>
      <c r="V232" s="96">
        <f>IF(LS[[#This Row],[BO TRANSFER]]="YES",LS[[#This Row],[Unit]],)</f>
        <v>0</v>
      </c>
      <c r="W232" s="96">
        <f>SUMIFS(LS[[#Headers],[BO UNIT TRANSFER]]:LS[[#This Row],[BO UNIT TRANSFER]],LS[[#Headers],[Investor ID]]:LS[[#This Row],[Investor ID]],LS[[#This Row],[Investor ID]])</f>
        <v>0</v>
      </c>
    </row>
    <row r="233" spans="1:23">
      <c r="A233" s="75">
        <v>2023</v>
      </c>
      <c r="B233" s="75">
        <v>10</v>
      </c>
      <c r="C233" s="75">
        <v>8</v>
      </c>
      <c r="D233" s="81">
        <f>DATE(LS[[#This Row],[Year]],LS[[#This Row],[Month]],LS[[#This Row],[Day]])</f>
        <v>45207</v>
      </c>
      <c r="E233" t="str" cm="1">
        <f t="array" ref="E233">INDEX(INVESTORS_LIST[INVESTOR NAME],MATCH(LS[[#This Row],[Investor ID]],INVESTORS_LIST[INVESTOR CODE],0),)</f>
        <v>TANVIR AHMED SIDDIQUI</v>
      </c>
      <c r="F233" s="83" t="s">
        <v>111</v>
      </c>
      <c r="G233" s="75">
        <f>COUNTIF(LS[[#Headers],[Investor ID]]:LS[[#This Row],[Investor ID]],LS[[#This Row],[Investor ID]])</f>
        <v>2</v>
      </c>
      <c r="H233" s="75" t="str">
        <f>CONCATENATE(LS[[#This Row],[Frequency]],LS[[#This Row],[Investor ID]])</f>
        <v>2A00032</v>
      </c>
      <c r="I233" s="75" t="str">
        <f>IF(LS[[#This Row],[B/S]]="B","BUY",(IF(LS[[#This Row],[B/S]]="S","SELL"," ")))</f>
        <v>BUY</v>
      </c>
      <c r="J233" s="75" t="s">
        <v>1229</v>
      </c>
      <c r="K233" s="88">
        <v>50000</v>
      </c>
      <c r="L233" s="88"/>
      <c r="M233" s="89">
        <f>LS[[#This Row],[Amount]]/LS[[#This Row],[Unit]]</f>
        <v>10.513036164844408</v>
      </c>
      <c r="N233" s="90">
        <f>LS[[#This Row],[Unit Capital]]/10</f>
        <v>4756</v>
      </c>
      <c r="O233" s="90">
        <f>SUMIFS(LS[[#Headers],[Unit]]:LS[[#This Row],[Unit]],LS[[#Headers],[Investor ID]]:LS[[#This Row],[Investor ID]],LS[[#This Row],[Investor ID]])</f>
        <v>14375</v>
      </c>
      <c r="P233" s="96">
        <v>47560</v>
      </c>
      <c r="Q233" s="48">
        <f>LS[[#This Row],[Amount]]-LS[[#This Row],[Unit Capital]]</f>
        <v>2440</v>
      </c>
      <c r="R23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10.434782608695652</v>
      </c>
      <c r="S233" s="89">
        <f t="shared" si="3"/>
        <v>14.224</v>
      </c>
      <c r="T23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3" s="96" cm="1">
        <f t="array" ref="U233">IF(LS[[#This Row],[B/S]]="S",ABS(LS[[#This Row],[Unit]])*(INDEX(LS[NAV at Cost (Average)],MATCH(CONCATENATE((LS[[#This Row],[Frequency]]-1),LS[[#This Row],[Investor ID]]),LS[Unique Code],0),0)),0)</f>
        <v>0</v>
      </c>
      <c r="V233" s="96">
        <f>IF(LS[[#This Row],[BO TRANSFER]]="YES",LS[[#This Row],[Unit]],)</f>
        <v>0</v>
      </c>
      <c r="W233" s="96">
        <f>SUMIFS(LS[[#Headers],[BO UNIT TRANSFER]]:LS[[#This Row],[BO UNIT TRANSFER]],LS[[#Headers],[Investor ID]]:LS[[#This Row],[Investor ID]],LS[[#This Row],[Investor ID]])</f>
        <v>0</v>
      </c>
    </row>
    <row r="234" spans="1:23">
      <c r="A234" s="75">
        <v>2023</v>
      </c>
      <c r="B234" s="75">
        <v>10</v>
      </c>
      <c r="C234" s="75">
        <v>8</v>
      </c>
      <c r="D234" s="81">
        <f>DATE(LS[[#This Row],[Year]],LS[[#This Row],[Month]],LS[[#This Row],[Day]])</f>
        <v>45207</v>
      </c>
      <c r="E234" t="str" cm="1">
        <f t="array" ref="E234">INDEX(INVESTORS_LIST[INVESTOR NAME],MATCH(LS[[#This Row],[Investor ID]],INVESTORS_LIST[INVESTOR CODE],0),)</f>
        <v>ARZUN KUMAR SARKAR</v>
      </c>
      <c r="F234" s="83" t="s">
        <v>310</v>
      </c>
      <c r="G234" s="75">
        <f>COUNTIF(LS[[#Headers],[Investor ID]]:LS[[#This Row],[Investor ID]],LS[[#This Row],[Investor ID]])</f>
        <v>1</v>
      </c>
      <c r="H234" s="75" t="str">
        <f>CONCATENATE(LS[[#This Row],[Frequency]],LS[[#This Row],[Investor ID]])</f>
        <v>1A00131</v>
      </c>
      <c r="I234" s="75" t="str">
        <f>IF(LS[[#This Row],[B/S]]="B","BUY",(IF(LS[[#This Row],[B/S]]="S","SELL"," ")))</f>
        <v>BUY</v>
      </c>
      <c r="J234" s="75" t="s">
        <v>1229</v>
      </c>
      <c r="K234" s="88">
        <v>300000</v>
      </c>
      <c r="L234" s="88"/>
      <c r="M234" s="89">
        <f>LS[[#This Row],[Amount]]/LS[[#This Row],[Unit]]</f>
        <v>10.511931041732366</v>
      </c>
      <c r="N234" s="90">
        <f>LS[[#This Row],[Unit Capital]]/10</f>
        <v>28539</v>
      </c>
      <c r="O234" s="90">
        <f>SUMIFS(LS[[#Headers],[Unit]]:LS[[#This Row],[Unit]],LS[[#Headers],[Investor ID]]:LS[[#This Row],[Investor ID]],LS[[#This Row],[Investor ID]])</f>
        <v>28539</v>
      </c>
      <c r="P234" s="96">
        <v>285390</v>
      </c>
      <c r="Q234" s="48">
        <f>LS[[#This Row],[Amount]]-LS[[#This Row],[Unit Capital]]</f>
        <v>14610</v>
      </c>
      <c r="R23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10.511931041732366</v>
      </c>
      <c r="S234" s="89">
        <f t="shared" si="3"/>
        <v>14.224</v>
      </c>
      <c r="T23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4" s="96" cm="1">
        <f t="array" ref="U234">IF(LS[[#This Row],[B/S]]="S",ABS(LS[[#This Row],[Unit]])*(INDEX(LS[NAV at Cost (Average)],MATCH(CONCATENATE((LS[[#This Row],[Frequency]]-1),LS[[#This Row],[Investor ID]]),LS[Unique Code],0),0)),0)</f>
        <v>0</v>
      </c>
      <c r="V234" s="96">
        <f>IF(LS[[#This Row],[BO TRANSFER]]="YES",LS[[#This Row],[Unit]],)</f>
        <v>0</v>
      </c>
      <c r="W234" s="96">
        <f>SUMIFS(LS[[#Headers],[BO UNIT TRANSFER]]:LS[[#This Row],[BO UNIT TRANSFER]],LS[[#Headers],[Investor ID]]:LS[[#This Row],[Investor ID]],LS[[#This Row],[Investor ID]])</f>
        <v>0</v>
      </c>
    </row>
    <row r="235" spans="1:23">
      <c r="A235" s="75">
        <v>2023</v>
      </c>
      <c r="B235" s="75">
        <v>10</v>
      </c>
      <c r="C235" s="75">
        <v>9</v>
      </c>
      <c r="D235" s="81">
        <f>DATE(LS[[#This Row],[Year]],LS[[#This Row],[Month]],LS[[#This Row],[Day]])</f>
        <v>45208</v>
      </c>
      <c r="E235" t="str" cm="1">
        <f t="array" ref="E235">INDEX(INVESTORS_LIST[INVESTOR NAME],MATCH(LS[[#This Row],[Investor ID]],INVESTORS_LIST[INVESTOR CODE],0),)</f>
        <v>SHUVA SAHA</v>
      </c>
      <c r="F235" s="83" t="s">
        <v>154</v>
      </c>
      <c r="G235" s="75">
        <f>COUNTIF(LS[[#Headers],[Investor ID]]:LS[[#This Row],[Investor ID]],LS[[#This Row],[Investor ID]])</f>
        <v>4</v>
      </c>
      <c r="H235" s="75" t="str">
        <f>CONCATENATE(LS[[#This Row],[Frequency]],LS[[#This Row],[Investor ID]])</f>
        <v>4A00053</v>
      </c>
      <c r="I235" s="75" t="str">
        <f>IF(LS[[#This Row],[B/S]]="B","BUY",(IF(LS[[#This Row],[B/S]]="S","SELL"," ")))</f>
        <v>BUY</v>
      </c>
      <c r="J235" s="75" t="s">
        <v>1229</v>
      </c>
      <c r="K235" s="88">
        <v>60000</v>
      </c>
      <c r="L235" s="88"/>
      <c r="M235" s="89">
        <f>LS[[#This Row],[Amount]]/LS[[#This Row],[Unit]]</f>
        <v>10.51156271899089</v>
      </c>
      <c r="N235" s="90">
        <f>LS[[#This Row],[Unit Capital]]/10</f>
        <v>5708</v>
      </c>
      <c r="O235" s="90">
        <f>SUMIFS(LS[[#Headers],[Unit]]:LS[[#This Row],[Unit]],LS[[#Headers],[Investor ID]]:LS[[#This Row],[Investor ID]],LS[[#This Row],[Investor ID]])</f>
        <v>26508</v>
      </c>
      <c r="P235" s="96">
        <v>57080</v>
      </c>
      <c r="Q235" s="48">
        <f>LS[[#This Row],[Amount]]-LS[[#This Row],[Unit Capital]]</f>
        <v>2920</v>
      </c>
      <c r="R23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10.185604345857854</v>
      </c>
      <c r="S235" s="89">
        <f t="shared" si="3"/>
        <v>14.224</v>
      </c>
      <c r="T23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5" s="96" cm="1">
        <f t="array" ref="U235">IF(LS[[#This Row],[B/S]]="S",ABS(LS[[#This Row],[Unit]])*(INDEX(LS[NAV at Cost (Average)],MATCH(CONCATENATE((LS[[#This Row],[Frequency]]-1),LS[[#This Row],[Investor ID]]),LS[Unique Code],0),0)),0)</f>
        <v>0</v>
      </c>
      <c r="V235" s="96">
        <f>IF(LS[[#This Row],[BO TRANSFER]]="YES",LS[[#This Row],[Unit]],)</f>
        <v>0</v>
      </c>
      <c r="W235" s="96">
        <f>SUMIFS(LS[[#Headers],[BO UNIT TRANSFER]]:LS[[#This Row],[BO UNIT TRANSFER]],LS[[#Headers],[Investor ID]]:LS[[#This Row],[Investor ID]],LS[[#This Row],[Investor ID]])</f>
        <v>0</v>
      </c>
    </row>
    <row r="236" spans="1:23">
      <c r="A236" s="75">
        <v>2023</v>
      </c>
      <c r="B236" s="75">
        <v>10</v>
      </c>
      <c r="C236" s="75">
        <v>9</v>
      </c>
      <c r="D236" s="81">
        <f>DATE(LS[[#This Row],[Year]],LS[[#This Row],[Month]],LS[[#This Row],[Day]])</f>
        <v>45208</v>
      </c>
      <c r="E236" t="str" cm="1">
        <f t="array" ref="E236">INDEX(INVESTORS_LIST[INVESTOR NAME],MATCH(LS[[#This Row],[Investor ID]],INVESTORS_LIST[INVESTOR CODE],0),)</f>
        <v>ADNAN RASHID</v>
      </c>
      <c r="F236" s="83" t="s">
        <v>252</v>
      </c>
      <c r="G236" s="75">
        <f>COUNTIF(LS[[#Headers],[Investor ID]]:LS[[#This Row],[Investor ID]],LS[[#This Row],[Investor ID]])</f>
        <v>2</v>
      </c>
      <c r="H236" s="75" t="str">
        <f>CONCATENATE(LS[[#This Row],[Frequency]],LS[[#This Row],[Investor ID]])</f>
        <v>2A00102</v>
      </c>
      <c r="I236" s="75" t="str">
        <f>IF(LS[[#This Row],[B/S]]="B","BUY",(IF(LS[[#This Row],[B/S]]="S","SELL"," ")))</f>
        <v>BUY</v>
      </c>
      <c r="J236" s="75" t="s">
        <v>1229</v>
      </c>
      <c r="K236" s="88">
        <v>200000</v>
      </c>
      <c r="L236" s="88"/>
      <c r="M236" s="89">
        <f>LS[[#This Row],[Amount]]/LS[[#This Row],[Unit]]</f>
        <v>10.511931041732366</v>
      </c>
      <c r="N236" s="90">
        <f>LS[[#This Row],[Unit Capital]]/10</f>
        <v>19026</v>
      </c>
      <c r="O236" s="90">
        <f>SUMIFS(LS[[#Headers],[Unit]]:LS[[#This Row],[Unit]],LS[[#Headers],[Investor ID]]:LS[[#This Row],[Investor ID]],LS[[#This Row],[Investor ID]])</f>
        <v>33654</v>
      </c>
      <c r="P236" s="96">
        <v>190260</v>
      </c>
      <c r="Q236" s="48">
        <f>LS[[#This Row],[Amount]]-LS[[#This Row],[Unit Capital]]</f>
        <v>9740</v>
      </c>
      <c r="R23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10.399952457360193</v>
      </c>
      <c r="S236" s="89">
        <f t="shared" si="3"/>
        <v>14.224</v>
      </c>
      <c r="T23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6" s="96" cm="1">
        <f t="array" ref="U236">IF(LS[[#This Row],[B/S]]="S",ABS(LS[[#This Row],[Unit]])*(INDEX(LS[NAV at Cost (Average)],MATCH(CONCATENATE((LS[[#This Row],[Frequency]]-1),LS[[#This Row],[Investor ID]]),LS[Unique Code],0),0)),0)</f>
        <v>0</v>
      </c>
      <c r="V236" s="96">
        <f>IF(LS[[#This Row],[BO TRANSFER]]="YES",LS[[#This Row],[Unit]],)</f>
        <v>0</v>
      </c>
      <c r="W236" s="96">
        <f>SUMIFS(LS[[#Headers],[BO UNIT TRANSFER]]:LS[[#This Row],[BO UNIT TRANSFER]],LS[[#Headers],[Investor ID]]:LS[[#This Row],[Investor ID]],LS[[#This Row],[Investor ID]])</f>
        <v>0</v>
      </c>
    </row>
    <row r="237" spans="1:23">
      <c r="A237" s="75">
        <v>2023</v>
      </c>
      <c r="B237" s="75">
        <v>10</v>
      </c>
      <c r="C237" s="75">
        <v>9</v>
      </c>
      <c r="D237" s="81">
        <f>DATE(LS[[#This Row],[Year]],LS[[#This Row],[Month]],LS[[#This Row],[Day]])</f>
        <v>45208</v>
      </c>
      <c r="E237" t="str" cm="1">
        <f t="array" ref="E237">INDEX(INVESTORS_LIST[INVESTOR NAME],MATCH(LS[[#This Row],[Investor ID]],INVESTORS_LIST[INVESTOR CODE],0),)</f>
        <v>SWADESH RANJAN SAHA</v>
      </c>
      <c r="F237" s="83" t="s">
        <v>234</v>
      </c>
      <c r="G237" s="75">
        <f>COUNTIF(LS[[#Headers],[Investor ID]]:LS[[#This Row],[Investor ID]],LS[[#This Row],[Investor ID]])</f>
        <v>6</v>
      </c>
      <c r="H237" s="75" t="str">
        <f>CONCATENATE(LS[[#This Row],[Frequency]],LS[[#This Row],[Investor ID]])</f>
        <v>6A00093</v>
      </c>
      <c r="I237" s="75" t="str">
        <f>IF(LS[[#This Row],[B/S]]="B","BUY",(IF(LS[[#This Row],[B/S]]="S","SELL"," ")))</f>
        <v>BUY</v>
      </c>
      <c r="J237" s="75" t="s">
        <v>1229</v>
      </c>
      <c r="K237" s="88">
        <v>1500000</v>
      </c>
      <c r="L237" s="88"/>
      <c r="M237" s="89">
        <f>LS[[#This Row],[Amount]]/LS[[#This Row],[Unit]]</f>
        <v>10.512004709378109</v>
      </c>
      <c r="N237" s="90">
        <f>LS[[#This Row],[Unit Capital]]/10</f>
        <v>142694</v>
      </c>
      <c r="O237" s="90">
        <f>SUMIFS(LS[[#Headers],[Unit]]:LS[[#This Row],[Unit]],LS[[#Headers],[Investor ID]]:LS[[#This Row],[Investor ID]],LS[[#This Row],[Investor ID]])</f>
        <v>191597</v>
      </c>
      <c r="P237" s="96">
        <v>1426940</v>
      </c>
      <c r="Q237" s="48">
        <f>LS[[#This Row],[Amount]]-LS[[#This Row],[Unit Capital]]</f>
        <v>73060</v>
      </c>
      <c r="R23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10.437625498997654</v>
      </c>
      <c r="S237" s="89">
        <f t="shared" si="3"/>
        <v>14.224</v>
      </c>
      <c r="T23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7" s="96" cm="1">
        <f t="array" ref="U237">IF(LS[[#This Row],[B/S]]="S",ABS(LS[[#This Row],[Unit]])*(INDEX(LS[NAV at Cost (Average)],MATCH(CONCATENATE((LS[[#This Row],[Frequency]]-1),LS[[#This Row],[Investor ID]]),LS[Unique Code],0),0)),0)</f>
        <v>0</v>
      </c>
      <c r="V237" s="96">
        <f>IF(LS[[#This Row],[BO TRANSFER]]="YES",LS[[#This Row],[Unit]],)</f>
        <v>0</v>
      </c>
      <c r="W237" s="96">
        <f>SUMIFS(LS[[#Headers],[BO UNIT TRANSFER]]:LS[[#This Row],[BO UNIT TRANSFER]],LS[[#Headers],[Investor ID]]:LS[[#This Row],[Investor ID]],LS[[#This Row],[Investor ID]])</f>
        <v>0</v>
      </c>
    </row>
    <row r="238" spans="1:23">
      <c r="A238" s="75">
        <v>2023</v>
      </c>
      <c r="B238" s="75">
        <v>10</v>
      </c>
      <c r="C238" s="75">
        <v>10</v>
      </c>
      <c r="D238" s="81">
        <f>DATE(LS[[#This Row],[Year]],LS[[#This Row],[Month]],LS[[#This Row],[Day]])</f>
        <v>45209</v>
      </c>
      <c r="E238" t="str" cm="1">
        <f t="array" ref="E238">INDEX(INVESTORS_LIST[INVESTOR NAME],MATCH(LS[[#This Row],[Investor ID]],INVESTORS_LIST[INVESTOR CODE],0),)</f>
        <v>MD SHAFIQUR RAHMAN MONSI</v>
      </c>
      <c r="F238" s="83" t="s">
        <v>1034</v>
      </c>
      <c r="G238" s="75">
        <f>COUNTIF(LS[[#Headers],[Investor ID]]:LS[[#This Row],[Investor ID]],LS[[#This Row],[Investor ID]])</f>
        <v>4</v>
      </c>
      <c r="H238" s="75" t="str">
        <f>CONCATENATE(LS[[#This Row],[Frequency]],LS[[#This Row],[Investor ID]])</f>
        <v>4A00494</v>
      </c>
      <c r="I238" s="75" t="str">
        <f>IF(LS[[#This Row],[B/S]]="B","BUY",(IF(LS[[#This Row],[B/S]]="S","SELL"," ")))</f>
        <v>SELL</v>
      </c>
      <c r="J238" s="75" t="s">
        <v>1231</v>
      </c>
      <c r="K238" s="88">
        <v>-410062.61</v>
      </c>
      <c r="L238" s="88"/>
      <c r="M238" s="89">
        <f>LS[[#This Row],[Amount]]/LS[[#This Row],[Unit]]</f>
        <v>10.512000051270219</v>
      </c>
      <c r="N238" s="90">
        <f>LS[[#This Row],[Unit Capital]]/10</f>
        <v>-39009</v>
      </c>
      <c r="O238" s="90">
        <f>SUMIFS(LS[[#Headers],[Unit]]:LS[[#This Row],[Unit]],LS[[#Headers],[Investor ID]]:LS[[#This Row],[Investor ID]],LS[[#This Row],[Investor ID]])</f>
        <v>0</v>
      </c>
      <c r="P238" s="96">
        <v>-390090</v>
      </c>
      <c r="Q238" s="48">
        <f>LS[[#This Row],[Amount]]-LS[[#This Row],[Unit Capital]]</f>
        <v>-19972.609999999986</v>
      </c>
      <c r="R23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38" s="89">
        <f t="shared" si="3"/>
        <v>14.224</v>
      </c>
      <c r="T238" s="96">
        <f>IF(LS[[#This Row],[B/S]]="B",0,ABS(LS[[#This Row],[Unit]])*(LS[[#This Row],[NAV (Strike Rate)]]-INDEX(LS[NAV at Cost (Average)],MATCH(CONCATENATE(LS[[#This Row],[Frequency]]-1,LS[[#This Row],[Investor ID]]),LS[Unique Code],0),)))</f>
        <v>10062.610000000002</v>
      </c>
      <c r="U238" s="96" cm="1">
        <f t="array" ref="U238">IF(LS[[#This Row],[B/S]]="S",ABS(LS[[#This Row],[Unit]])*(INDEX(LS[NAV at Cost (Average)],MATCH(CONCATENATE((LS[[#This Row],[Frequency]]-1),LS[[#This Row],[Investor ID]]),LS[Unique Code],0),0)),0)</f>
        <v>399999.99999999994</v>
      </c>
      <c r="V238" s="96">
        <f>IF(LS[[#This Row],[BO TRANSFER]]="YES",LS[[#This Row],[Unit]],)</f>
        <v>0</v>
      </c>
      <c r="W238" s="96">
        <f>SUMIFS(LS[[#Headers],[BO UNIT TRANSFER]]:LS[[#This Row],[BO UNIT TRANSFER]],LS[[#Headers],[Investor ID]]:LS[[#This Row],[Investor ID]],LS[[#This Row],[Investor ID]])</f>
        <v>0</v>
      </c>
    </row>
    <row r="239" spans="1:23">
      <c r="A239" s="75">
        <v>2023</v>
      </c>
      <c r="B239" s="75">
        <v>10</v>
      </c>
      <c r="C239" s="75">
        <v>10</v>
      </c>
      <c r="D239" s="81">
        <f>DATE(LS[[#This Row],[Year]],LS[[#This Row],[Month]],LS[[#This Row],[Day]])</f>
        <v>45209</v>
      </c>
      <c r="E239" t="str" cm="1">
        <f t="array" ref="E239">INDEX(INVESTORS_LIST[INVESTOR NAME],MATCH(LS[[#This Row],[Investor ID]],INVESTORS_LIST[INVESTOR CODE],0),)</f>
        <v>MAYA RANI SAHA</v>
      </c>
      <c r="F239" s="83" t="s">
        <v>224</v>
      </c>
      <c r="G239" s="75">
        <f>COUNTIF(LS[[#Headers],[Investor ID]]:LS[[#This Row],[Investor ID]],LS[[#This Row],[Investor ID]])</f>
        <v>7</v>
      </c>
      <c r="H239" s="75" t="str">
        <f>CONCATENATE(LS[[#This Row],[Frequency]],LS[[#This Row],[Investor ID]])</f>
        <v>7A00088</v>
      </c>
      <c r="I239" s="75" t="str">
        <f>IF(LS[[#This Row],[B/S]]="B","BUY",(IF(LS[[#This Row],[B/S]]="S","SELL"," ")))</f>
        <v>BUY</v>
      </c>
      <c r="J239" s="75" t="s">
        <v>1229</v>
      </c>
      <c r="K239" s="88">
        <v>1200000</v>
      </c>
      <c r="L239" s="88"/>
      <c r="M239" s="89">
        <f>LS[[#This Row],[Amount]]/LS[[#This Row],[Unit]]</f>
        <v>10.512023126450877</v>
      </c>
      <c r="N239" s="90">
        <f>LS[[#This Row],[Unit Capital]]/10</f>
        <v>114155</v>
      </c>
      <c r="O239" s="90">
        <f>SUMIFS(LS[[#Headers],[Unit]]:LS[[#This Row],[Unit]],LS[[#Headers],[Investor ID]]:LS[[#This Row],[Investor ID]],LS[[#This Row],[Investor ID]])</f>
        <v>476202</v>
      </c>
      <c r="P239" s="96">
        <v>1141550</v>
      </c>
      <c r="Q239" s="48">
        <f>LS[[#This Row],[Amount]]-LS[[#This Row],[Unit Capital]]</f>
        <v>58450</v>
      </c>
      <c r="R23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10.289750988026089</v>
      </c>
      <c r="S239" s="89">
        <f t="shared" si="3"/>
        <v>14.224</v>
      </c>
      <c r="T23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39" s="96" cm="1">
        <f t="array" ref="U239">IF(LS[[#This Row],[B/S]]="S",ABS(LS[[#This Row],[Unit]])*(INDEX(LS[NAV at Cost (Average)],MATCH(CONCATENATE((LS[[#This Row],[Frequency]]-1),LS[[#This Row],[Investor ID]]),LS[Unique Code],0),0)),0)</f>
        <v>0</v>
      </c>
      <c r="V239" s="96">
        <f>IF(LS[[#This Row],[BO TRANSFER]]="YES",LS[[#This Row],[Unit]],)</f>
        <v>0</v>
      </c>
      <c r="W239" s="96">
        <f>SUMIFS(LS[[#Headers],[BO UNIT TRANSFER]]:LS[[#This Row],[BO UNIT TRANSFER]],LS[[#Headers],[Investor ID]]:LS[[#This Row],[Investor ID]],LS[[#This Row],[Investor ID]])</f>
        <v>0</v>
      </c>
    </row>
    <row r="240" spans="1:23">
      <c r="A240" s="75">
        <v>2023</v>
      </c>
      <c r="B240" s="75">
        <v>10</v>
      </c>
      <c r="C240" s="75">
        <v>11</v>
      </c>
      <c r="D240" s="81">
        <f>DATE(LS[[#This Row],[Year]],LS[[#This Row],[Month]],LS[[#This Row],[Day]])</f>
        <v>45210</v>
      </c>
      <c r="E240" t="str" cm="1">
        <f t="array" ref="E240">INDEX(INVESTORS_LIST[INVESTOR NAME],MATCH(LS[[#This Row],[Investor ID]],INVESTORS_LIST[INVESTOR CODE],0),)</f>
        <v>MAYA RANI SAHA</v>
      </c>
      <c r="F240" s="83" t="s">
        <v>224</v>
      </c>
      <c r="G240" s="75">
        <f>COUNTIF(LS[[#Headers],[Investor ID]]:LS[[#This Row],[Investor ID]],LS[[#This Row],[Investor ID]])</f>
        <v>8</v>
      </c>
      <c r="H240" s="75" t="str">
        <f>CONCATENATE(LS[[#This Row],[Frequency]],LS[[#This Row],[Investor ID]])</f>
        <v>8A00088</v>
      </c>
      <c r="I240" s="75" t="str">
        <f>IF(LS[[#This Row],[B/S]]="B","BUY",(IF(LS[[#This Row],[B/S]]="S","SELL"," ")))</f>
        <v>BUY</v>
      </c>
      <c r="J240" s="75" t="s">
        <v>1229</v>
      </c>
      <c r="K240" s="88">
        <v>200000</v>
      </c>
      <c r="L240" s="88"/>
      <c r="M240" s="89">
        <f>LS[[#This Row],[Amount]]/LS[[#This Row],[Unit]]</f>
        <v>10.511931041732366</v>
      </c>
      <c r="N240" s="90">
        <f>LS[[#This Row],[Unit Capital]]/10</f>
        <v>19026</v>
      </c>
      <c r="O240" s="90">
        <f>SUMIFS(LS[[#Headers],[Unit]]:LS[[#This Row],[Unit]],LS[[#Headers],[Investor ID]]:LS[[#This Row],[Investor ID]],LS[[#This Row],[Investor ID]])</f>
        <v>495228</v>
      </c>
      <c r="P240" s="96">
        <v>190260</v>
      </c>
      <c r="Q240" s="48">
        <f>LS[[#This Row],[Amount]]-LS[[#This Row],[Unit Capital]]</f>
        <v>9740</v>
      </c>
      <c r="R24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10.298286849693474</v>
      </c>
      <c r="S240" s="89">
        <f t="shared" si="3"/>
        <v>14.224</v>
      </c>
      <c r="T24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0" s="96" cm="1">
        <f t="array" ref="U240">IF(LS[[#This Row],[B/S]]="S",ABS(LS[[#This Row],[Unit]])*(INDEX(LS[NAV at Cost (Average)],MATCH(CONCATENATE((LS[[#This Row],[Frequency]]-1),LS[[#This Row],[Investor ID]]),LS[Unique Code],0),0)),0)</f>
        <v>0</v>
      </c>
      <c r="V240" s="96">
        <f>IF(LS[[#This Row],[BO TRANSFER]]="YES",LS[[#This Row],[Unit]],)</f>
        <v>0</v>
      </c>
      <c r="W240" s="96">
        <f>SUMIFS(LS[[#Headers],[BO UNIT TRANSFER]]:LS[[#This Row],[BO UNIT TRANSFER]],LS[[#Headers],[Investor ID]]:LS[[#This Row],[Investor ID]],LS[[#This Row],[Investor ID]])</f>
        <v>0</v>
      </c>
    </row>
    <row r="241" spans="1:23">
      <c r="A241" s="75">
        <v>2023</v>
      </c>
      <c r="B241" s="75">
        <v>10</v>
      </c>
      <c r="C241" s="75">
        <v>18</v>
      </c>
      <c r="D241" s="81">
        <f>DATE(LS[[#This Row],[Year]],LS[[#This Row],[Month]],LS[[#This Row],[Day]])</f>
        <v>45217</v>
      </c>
      <c r="E241" t="str" cm="1">
        <f t="array" ref="E241">INDEX(INVESTORS_LIST[INVESTOR NAME],MATCH(LS[[#This Row],[Investor ID]],INVESTORS_LIST[INVESTOR CODE],0),)</f>
        <v>JNANDIP PAUL</v>
      </c>
      <c r="F241" s="83" t="s">
        <v>230</v>
      </c>
      <c r="G241" s="75">
        <f>COUNTIF(LS[[#Headers],[Investor ID]]:LS[[#This Row],[Investor ID]],LS[[#This Row],[Investor ID]])</f>
        <v>3</v>
      </c>
      <c r="H241" s="75" t="str">
        <f>CONCATENATE(LS[[#This Row],[Frequency]],LS[[#This Row],[Investor ID]])</f>
        <v>3A00091</v>
      </c>
      <c r="I241" s="75" t="str">
        <f>IF(LS[[#This Row],[B/S]]="B","BUY",(IF(LS[[#This Row],[B/S]]="S","SELL"," ")))</f>
        <v>SELL</v>
      </c>
      <c r="J241" s="75" t="s">
        <v>1231</v>
      </c>
      <c r="K241" s="88">
        <v>-91987.67</v>
      </c>
      <c r="L241" s="88"/>
      <c r="M241" s="89">
        <f>LS[[#This Row],[Amount]]/LS[[#This Row],[Unit]]</f>
        <v>10.508072880968699</v>
      </c>
      <c r="N241" s="90">
        <f>LS[[#This Row],[Unit Capital]]/10</f>
        <v>-8754</v>
      </c>
      <c r="O241" s="90">
        <f>SUMIFS(LS[[#Headers],[Unit]]:LS[[#This Row],[Unit]],LS[[#Headers],[Investor ID]]:LS[[#This Row],[Investor ID]],LS[[#This Row],[Investor ID]])</f>
        <v>9517</v>
      </c>
      <c r="P241" s="96">
        <v>-87540</v>
      </c>
      <c r="Q241" s="48">
        <f>LS[[#This Row],[Amount]]-LS[[#This Row],[Unit Capital]]</f>
        <v>-4447.6699999999983</v>
      </c>
      <c r="R24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241" s="89">
        <f t="shared" si="3"/>
        <v>14.224</v>
      </c>
      <c r="T241" s="96">
        <f>IF(LS[[#This Row],[B/S]]="B",0,ABS(LS[[#This Row],[Unit]])*(LS[[#This Row],[NAV (Strike Rate)]]-INDEX(LS[NAV at Cost (Average)],MATCH(CONCATENATE(LS[[#This Row],[Frequency]]-1,LS[[#This Row],[Investor ID]]),LS[Unique Code],0),)))</f>
        <v>4447.6699999999928</v>
      </c>
      <c r="U241" s="96" cm="1">
        <f t="array" ref="U241">IF(LS[[#This Row],[B/S]]="S",ABS(LS[[#This Row],[Unit]])*(INDEX(LS[NAV at Cost (Average)],MATCH(CONCATENATE((LS[[#This Row],[Frequency]]-1),LS[[#This Row],[Investor ID]]),LS[Unique Code],0),0)),0)</f>
        <v>87540</v>
      </c>
      <c r="V241" s="96">
        <f>IF(LS[[#This Row],[BO TRANSFER]]="YES",LS[[#This Row],[Unit]],)</f>
        <v>0</v>
      </c>
      <c r="W241" s="96">
        <f>SUMIFS(LS[[#Headers],[BO UNIT TRANSFER]]:LS[[#This Row],[BO UNIT TRANSFER]],LS[[#Headers],[Investor ID]]:LS[[#This Row],[Investor ID]],LS[[#This Row],[Investor ID]])</f>
        <v>0</v>
      </c>
    </row>
    <row r="242" spans="1:23">
      <c r="A242" s="75">
        <v>2023</v>
      </c>
      <c r="B242" s="75">
        <v>10</v>
      </c>
      <c r="C242" s="75">
        <v>22</v>
      </c>
      <c r="D242" s="81">
        <f>DATE(LS[[#This Row],[Year]],LS[[#This Row],[Month]],LS[[#This Row],[Day]])</f>
        <v>45221</v>
      </c>
      <c r="E242" t="str" cm="1">
        <f t="array" ref="E242">INDEX(INVESTORS_LIST[INVESTOR NAME],MATCH(LS[[#This Row],[Investor ID]],INVESTORS_LIST[INVESTOR CODE],0),)</f>
        <v>MOIN UDDIN</v>
      </c>
      <c r="F242" s="83" t="s">
        <v>1071</v>
      </c>
      <c r="G242" s="75">
        <f>COUNTIF(LS[[#Headers],[Investor ID]]:LS[[#This Row],[Investor ID]],LS[[#This Row],[Investor ID]])</f>
        <v>1</v>
      </c>
      <c r="H242" s="75" t="str">
        <f>CONCATENATE(LS[[#This Row],[Frequency]],LS[[#This Row],[Investor ID]])</f>
        <v>1A00513</v>
      </c>
      <c r="I242" s="75" t="str">
        <f>IF(LS[[#This Row],[B/S]]="B","BUY",(IF(LS[[#This Row],[B/S]]="S","SELL"," ")))</f>
        <v>BUY</v>
      </c>
      <c r="J242" s="75" t="s">
        <v>1229</v>
      </c>
      <c r="K242" s="88">
        <v>50000000</v>
      </c>
      <c r="L242" s="88"/>
      <c r="M242" s="89">
        <f>LS[[#This Row],[Amount]]/LS[[#This Row],[Unit]]</f>
        <v>10.522000661623402</v>
      </c>
      <c r="N242" s="90">
        <f>LS[[#This Row],[Unit Capital]]/10</f>
        <v>4751948</v>
      </c>
      <c r="O242" s="90">
        <f>SUMIFS(LS[[#Headers],[Unit]]:LS[[#This Row],[Unit]],LS[[#Headers],[Investor ID]]:LS[[#This Row],[Investor ID]],LS[[#This Row],[Investor ID]])</f>
        <v>4751948</v>
      </c>
      <c r="P242" s="96">
        <v>47519480</v>
      </c>
      <c r="Q242" s="48">
        <f>LS[[#This Row],[Amount]]-LS[[#This Row],[Unit Capital]]</f>
        <v>2480520</v>
      </c>
      <c r="R24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242" s="89">
        <f t="shared" si="3"/>
        <v>14.224</v>
      </c>
      <c r="T24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2" s="96" cm="1">
        <f t="array" ref="U242">IF(LS[[#This Row],[B/S]]="S",ABS(LS[[#This Row],[Unit]])*(INDEX(LS[NAV at Cost (Average)],MATCH(CONCATENATE((LS[[#This Row],[Frequency]]-1),LS[[#This Row],[Investor ID]]),LS[Unique Code],0),0)),0)</f>
        <v>0</v>
      </c>
      <c r="V242" s="96">
        <f>IF(LS[[#This Row],[BO TRANSFER]]="YES",LS[[#This Row],[Unit]],)</f>
        <v>0</v>
      </c>
      <c r="W242" s="96">
        <f>SUMIFS(LS[[#Headers],[BO UNIT TRANSFER]]:LS[[#This Row],[BO UNIT TRANSFER]],LS[[#Headers],[Investor ID]]:LS[[#This Row],[Investor ID]],LS[[#This Row],[Investor ID]])</f>
        <v>0</v>
      </c>
    </row>
    <row r="243" spans="1:23">
      <c r="A243" s="75">
        <v>2023</v>
      </c>
      <c r="B243" s="75">
        <v>10</v>
      </c>
      <c r="C243" s="75">
        <v>22</v>
      </c>
      <c r="D243" s="81">
        <f>DATE(LS[[#This Row],[Year]],LS[[#This Row],[Month]],LS[[#This Row],[Day]])</f>
        <v>45221</v>
      </c>
      <c r="E243" t="str" cm="1">
        <f t="array" ref="E243">INDEX(INVESTORS_LIST[INVESTOR NAME],MATCH(LS[[#This Row],[Investor ID]],INVESTORS_LIST[INVESTOR CODE],0),)</f>
        <v>AMIT KANTI SARKER</v>
      </c>
      <c r="F243" s="83" t="s">
        <v>364</v>
      </c>
      <c r="G243" s="75">
        <f>COUNTIF(LS[[#Headers],[Investor ID]]:LS[[#This Row],[Investor ID]],LS[[#This Row],[Investor ID]])</f>
        <v>3</v>
      </c>
      <c r="H243" s="75" t="str">
        <f>CONCATENATE(LS[[#This Row],[Frequency]],LS[[#This Row],[Investor ID]])</f>
        <v>3A00158</v>
      </c>
      <c r="I243" s="75" t="str">
        <f>IF(LS[[#This Row],[B/S]]="B","BUY",(IF(LS[[#This Row],[B/S]]="S","SELL"," ")))</f>
        <v>SELL</v>
      </c>
      <c r="J243" s="75" t="s">
        <v>1231</v>
      </c>
      <c r="K243" s="88">
        <v>-629331.34</v>
      </c>
      <c r="L243" s="88"/>
      <c r="M243" s="89">
        <f>LS[[#This Row],[Amount]]/LS[[#This Row],[Unit]]</f>
        <v>10.521999966561335</v>
      </c>
      <c r="N243" s="90">
        <f>LS[[#This Row],[Unit Capital]]/10</f>
        <v>-59811</v>
      </c>
      <c r="O243" s="90">
        <f>SUMIFS(LS[[#Headers],[Unit]]:LS[[#This Row],[Unit]],LS[[#Headers],[Investor ID]]:LS[[#This Row],[Investor ID]],LS[[#This Row],[Investor ID]])</f>
        <v>0</v>
      </c>
      <c r="P243" s="96">
        <v>-598110</v>
      </c>
      <c r="Q243" s="48">
        <f>LS[[#This Row],[Amount]]-LS[[#This Row],[Unit Capital]]</f>
        <v>-31221.339999999967</v>
      </c>
      <c r="R24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43" s="89">
        <f t="shared" si="3"/>
        <v>14.224</v>
      </c>
      <c r="T243" s="96">
        <f>IF(LS[[#This Row],[B/S]]="B",0,ABS(LS[[#This Row],[Unit]])*(LS[[#This Row],[NAV (Strike Rate)]]-INDEX(LS[NAV at Cost (Average)],MATCH(CONCATENATE(LS[[#This Row],[Frequency]]-1,LS[[#This Row],[Investor ID]]),LS[Unique Code],0),)))</f>
        <v>29331.340000000095</v>
      </c>
      <c r="U243" s="96" cm="1">
        <f t="array" ref="U243">IF(LS[[#This Row],[B/S]]="S",ABS(LS[[#This Row],[Unit]])*(INDEX(LS[NAV at Cost (Average)],MATCH(CONCATENATE((LS[[#This Row],[Frequency]]-1),LS[[#This Row],[Investor ID]]),LS[Unique Code],0),0)),0)</f>
        <v>599999.99999999988</v>
      </c>
      <c r="V243" s="96">
        <f>IF(LS[[#This Row],[BO TRANSFER]]="YES",LS[[#This Row],[Unit]],)</f>
        <v>0</v>
      </c>
      <c r="W243" s="96">
        <f>SUMIFS(LS[[#Headers],[BO UNIT TRANSFER]]:LS[[#This Row],[BO UNIT TRANSFER]],LS[[#Headers],[Investor ID]]:LS[[#This Row],[Investor ID]],LS[[#This Row],[Investor ID]])</f>
        <v>0</v>
      </c>
    </row>
    <row r="244" spans="1:23">
      <c r="A244" s="75">
        <v>2023</v>
      </c>
      <c r="B244" s="75">
        <v>10</v>
      </c>
      <c r="C244" s="75">
        <v>23</v>
      </c>
      <c r="D244" s="81">
        <f>DATE(LS[[#This Row],[Year]],LS[[#This Row],[Month]],LS[[#This Row],[Day]])</f>
        <v>45222</v>
      </c>
      <c r="E244" t="str" cm="1">
        <f t="array" ref="E244">INDEX(INVESTORS_LIST[INVESTOR NAME],MATCH(LS[[#This Row],[Investor ID]],INVESTORS_LIST[INVESTOR CODE],0),)</f>
        <v>MOIN UDDIN</v>
      </c>
      <c r="F244" s="83" t="s">
        <v>1071</v>
      </c>
      <c r="G244" s="75">
        <f>COUNTIF(LS[[#Headers],[Investor ID]]:LS[[#This Row],[Investor ID]],LS[[#This Row],[Investor ID]])</f>
        <v>2</v>
      </c>
      <c r="H244" s="75" t="str">
        <f>CONCATENATE(LS[[#This Row],[Frequency]],LS[[#This Row],[Investor ID]])</f>
        <v>2A00513</v>
      </c>
      <c r="I244" s="75" t="str">
        <f>IF(LS[[#This Row],[B/S]]="B","BUY",(IF(LS[[#This Row],[B/S]]="S","SELL"," ")))</f>
        <v>BUY</v>
      </c>
      <c r="J244" s="75" t="s">
        <v>1229</v>
      </c>
      <c r="K244" s="88">
        <v>50000000</v>
      </c>
      <c r="L244" s="88"/>
      <c r="M244" s="89">
        <f>LS[[#This Row],[Amount]]/LS[[#This Row],[Unit]]</f>
        <v>10.522000661623402</v>
      </c>
      <c r="N244" s="90">
        <f>LS[[#This Row],[Unit Capital]]/10</f>
        <v>4751948</v>
      </c>
      <c r="O244" s="90">
        <f>SUMIFS(LS[[#Headers],[Unit]]:LS[[#This Row],[Unit]],LS[[#Headers],[Investor ID]]:LS[[#This Row],[Investor ID]],LS[[#This Row],[Investor ID]])</f>
        <v>9503896</v>
      </c>
      <c r="P244" s="96">
        <v>47519480</v>
      </c>
      <c r="Q244" s="48">
        <f>LS[[#This Row],[Amount]]-LS[[#This Row],[Unit Capital]]</f>
        <v>2480520</v>
      </c>
      <c r="R24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244" s="89">
        <f t="shared" si="3"/>
        <v>14.224</v>
      </c>
      <c r="T24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4" s="96" cm="1">
        <f t="array" ref="U244">IF(LS[[#This Row],[B/S]]="S",ABS(LS[[#This Row],[Unit]])*(INDEX(LS[NAV at Cost (Average)],MATCH(CONCATENATE((LS[[#This Row],[Frequency]]-1),LS[[#This Row],[Investor ID]]),LS[Unique Code],0),0)),0)</f>
        <v>0</v>
      </c>
      <c r="V244" s="96">
        <f>IF(LS[[#This Row],[BO TRANSFER]]="YES",LS[[#This Row],[Unit]],)</f>
        <v>0</v>
      </c>
      <c r="W244" s="96">
        <f>SUMIFS(LS[[#Headers],[BO UNIT TRANSFER]]:LS[[#This Row],[BO UNIT TRANSFER]],LS[[#Headers],[Investor ID]]:LS[[#This Row],[Investor ID]],LS[[#This Row],[Investor ID]])</f>
        <v>0</v>
      </c>
    </row>
    <row r="245" spans="1:23">
      <c r="A245" s="75">
        <v>2023</v>
      </c>
      <c r="B245" s="75">
        <v>10</v>
      </c>
      <c r="C245" s="75">
        <v>23</v>
      </c>
      <c r="D245" s="81">
        <f>DATE(LS[[#This Row],[Year]],LS[[#This Row],[Month]],LS[[#This Row],[Day]])</f>
        <v>45222</v>
      </c>
      <c r="E245" t="str" cm="1">
        <f t="array" ref="E245">INDEX(INVESTORS_LIST[INVESTOR NAME],MATCH(LS[[#This Row],[Investor ID]],INVESTORS_LIST[INVESTOR CODE],0),)</f>
        <v>MAHMUD ALI ALAMGIR</v>
      </c>
      <c r="F245" s="83" t="s">
        <v>451</v>
      </c>
      <c r="G245" s="75">
        <f>COUNTIF(LS[[#Headers],[Investor ID]]:LS[[#This Row],[Investor ID]],LS[[#This Row],[Investor ID]])</f>
        <v>2</v>
      </c>
      <c r="H245" s="75" t="str">
        <f>CONCATENATE(LS[[#This Row],[Frequency]],LS[[#This Row],[Investor ID]])</f>
        <v>2A00201</v>
      </c>
      <c r="I245" s="75" t="str">
        <f>IF(LS[[#This Row],[B/S]]="B","BUY",(IF(LS[[#This Row],[B/S]]="S","SELL"," ")))</f>
        <v>BUY</v>
      </c>
      <c r="J245" s="75" t="s">
        <v>1229</v>
      </c>
      <c r="K245" s="88">
        <v>3000000</v>
      </c>
      <c r="L245" s="88"/>
      <c r="M245" s="89">
        <f>LS[[#This Row],[Amount]]/LS[[#This Row],[Unit]]</f>
        <v>10.521996233125348</v>
      </c>
      <c r="N245" s="90">
        <f>LS[[#This Row],[Unit Capital]]/10</f>
        <v>285117</v>
      </c>
      <c r="O245" s="90">
        <f>SUMIFS(LS[[#Headers],[Unit]]:LS[[#This Row],[Unit]],LS[[#Headers],[Investor ID]]:LS[[#This Row],[Investor ID]],LS[[#This Row],[Investor ID]])</f>
        <v>332946</v>
      </c>
      <c r="P245" s="96">
        <v>2851170</v>
      </c>
      <c r="Q245" s="48">
        <f>LS[[#This Row],[Amount]]-LS[[#This Row],[Unit Capital]]</f>
        <v>148830</v>
      </c>
      <c r="R24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10.512215194055493</v>
      </c>
      <c r="S245" s="89">
        <f t="shared" si="3"/>
        <v>14.224</v>
      </c>
      <c r="T24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5" s="96" cm="1">
        <f t="array" ref="U245">IF(LS[[#This Row],[B/S]]="S",ABS(LS[[#This Row],[Unit]])*(INDEX(LS[NAV at Cost (Average)],MATCH(CONCATENATE((LS[[#This Row],[Frequency]]-1),LS[[#This Row],[Investor ID]]),LS[Unique Code],0),0)),0)</f>
        <v>0</v>
      </c>
      <c r="V245" s="96">
        <f>IF(LS[[#This Row],[BO TRANSFER]]="YES",LS[[#This Row],[Unit]],)</f>
        <v>0</v>
      </c>
      <c r="W245" s="96">
        <f>SUMIFS(LS[[#Headers],[BO UNIT TRANSFER]]:LS[[#This Row],[BO UNIT TRANSFER]],LS[[#Headers],[Investor ID]]:LS[[#This Row],[Investor ID]],LS[[#This Row],[Investor ID]])</f>
        <v>0</v>
      </c>
    </row>
    <row r="246" spans="1:23">
      <c r="A246" s="75">
        <v>2023</v>
      </c>
      <c r="B246" s="75">
        <v>10</v>
      </c>
      <c r="C246" s="75">
        <v>25</v>
      </c>
      <c r="D246" s="81">
        <f>DATE(LS[[#This Row],[Year]],LS[[#This Row],[Month]],LS[[#This Row],[Day]])</f>
        <v>45224</v>
      </c>
      <c r="E246" t="str" cm="1">
        <f t="array" ref="E246">INDEX(INVESTORS_LIST[INVESTOR NAME],MATCH(LS[[#This Row],[Investor ID]],INVESTORS_LIST[INVESTOR CODE],0),)</f>
        <v>A.T.M. MORSHED KAMAL</v>
      </c>
      <c r="F246" s="83" t="s">
        <v>652</v>
      </c>
      <c r="G246" s="75">
        <f>COUNTIF(LS[[#Headers],[Investor ID]]:LS[[#This Row],[Investor ID]],LS[[#This Row],[Investor ID]])</f>
        <v>2</v>
      </c>
      <c r="H246" s="75" t="str">
        <f>CONCATENATE(LS[[#This Row],[Frequency]],LS[[#This Row],[Investor ID]])</f>
        <v>2A00302</v>
      </c>
      <c r="I246" s="75" t="str">
        <f>IF(LS[[#This Row],[B/S]]="B","BUY",(IF(LS[[#This Row],[B/S]]="S","SELL"," ")))</f>
        <v>SELL</v>
      </c>
      <c r="J246" s="75" t="s">
        <v>1231</v>
      </c>
      <c r="K246" s="88">
        <v>-411904.73</v>
      </c>
      <c r="L246" s="88"/>
      <c r="M246" s="89">
        <f>LS[[#This Row],[Amount]]/LS[[#This Row],[Unit]]</f>
        <v>10.521999897821033</v>
      </c>
      <c r="N246" s="90">
        <f>LS[[#This Row],[Unit Capital]]/10</f>
        <v>-39147</v>
      </c>
      <c r="O246" s="90">
        <f>SUMIFS(LS[[#Headers],[Unit]]:LS[[#This Row],[Unit]],LS[[#Headers],[Investor ID]]:LS[[#This Row],[Investor ID]],LS[[#This Row],[Investor ID]])</f>
        <v>0</v>
      </c>
      <c r="P246" s="96">
        <v>-391470</v>
      </c>
      <c r="Q246" s="48">
        <f>LS[[#This Row],[Amount]]-LS[[#This Row],[Unit Capital]]</f>
        <v>-20434.729999999981</v>
      </c>
      <c r="R24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46" s="89">
        <f t="shared" si="3"/>
        <v>14.224</v>
      </c>
      <c r="T246" s="96">
        <f>IF(LS[[#This Row],[B/S]]="B",0,ABS(LS[[#This Row],[Unit]])*(LS[[#This Row],[NAV (Strike Rate)]]-INDEX(LS[NAV at Cost (Average)],MATCH(CONCATENATE(LS[[#This Row],[Frequency]]-1,LS[[#This Row],[Investor ID]]),LS[Unique Code],0),)))</f>
        <v>11904.72999999998</v>
      </c>
      <c r="U246" s="96" cm="1">
        <f t="array" ref="U246">IF(LS[[#This Row],[B/S]]="S",ABS(LS[[#This Row],[Unit]])*(INDEX(LS[NAV at Cost (Average)],MATCH(CONCATENATE((LS[[#This Row],[Frequency]]-1),LS[[#This Row],[Investor ID]]),LS[Unique Code],0),0)),0)</f>
        <v>400000</v>
      </c>
      <c r="V246" s="96">
        <f>IF(LS[[#This Row],[BO TRANSFER]]="YES",LS[[#This Row],[Unit]],)</f>
        <v>0</v>
      </c>
      <c r="W246" s="96">
        <f>SUMIFS(LS[[#Headers],[BO UNIT TRANSFER]]:LS[[#This Row],[BO UNIT TRANSFER]],LS[[#Headers],[Investor ID]]:LS[[#This Row],[Investor ID]],LS[[#This Row],[Investor ID]])</f>
        <v>0</v>
      </c>
    </row>
    <row r="247" spans="1:23">
      <c r="A247" s="75">
        <v>2023</v>
      </c>
      <c r="B247" s="75">
        <v>10</v>
      </c>
      <c r="C247" s="75">
        <v>29</v>
      </c>
      <c r="D247" s="81">
        <f>DATE(LS[[#This Row],[Year]],LS[[#This Row],[Month]],LS[[#This Row],[Day]])</f>
        <v>45228</v>
      </c>
      <c r="E247" t="str" cm="1">
        <f t="array" ref="E247">INDEX(INVESTORS_LIST[INVESTOR NAME],MATCH(LS[[#This Row],[Investor ID]],INVESTORS_LIST[INVESTOR CODE],0),)</f>
        <v>ASMAR OSMAN</v>
      </c>
      <c r="F247" s="83" t="s">
        <v>728</v>
      </c>
      <c r="G247" s="75">
        <f>COUNTIF(LS[[#Headers],[Investor ID]]:LS[[#This Row],[Investor ID]],LS[[#This Row],[Investor ID]])</f>
        <v>1</v>
      </c>
      <c r="H247" s="75" t="str">
        <f>CONCATENATE(LS[[#This Row],[Frequency]],LS[[#This Row],[Investor ID]])</f>
        <v>1A00340</v>
      </c>
      <c r="I247" s="75" t="str">
        <f>IF(LS[[#This Row],[B/S]]="B","BUY",(IF(LS[[#This Row],[B/S]]="S","SELL"," ")))</f>
        <v>BUY</v>
      </c>
      <c r="J247" s="75" t="s">
        <v>1229</v>
      </c>
      <c r="K247" s="88">
        <v>1000000</v>
      </c>
      <c r="L247" s="88"/>
      <c r="M247" s="89">
        <f>LS[[#This Row],[Amount]]/LS[[#This Row],[Unit]]</f>
        <v>10.538962544527116</v>
      </c>
      <c r="N247" s="90">
        <f>LS[[#This Row],[Unit Capital]]/10</f>
        <v>94886</v>
      </c>
      <c r="O247" s="90">
        <f>SUMIFS(LS[[#Headers],[Unit]]:LS[[#This Row],[Unit]],LS[[#Headers],[Investor ID]]:LS[[#This Row],[Investor ID]],LS[[#This Row],[Investor ID]])</f>
        <v>94886</v>
      </c>
      <c r="P247" s="96">
        <v>948860</v>
      </c>
      <c r="Q247" s="48">
        <f>LS[[#This Row],[Amount]]-LS[[#This Row],[Unit Capital]]</f>
        <v>51140</v>
      </c>
      <c r="R24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10.538962544527116</v>
      </c>
      <c r="S247" s="89">
        <f t="shared" si="3"/>
        <v>14.224</v>
      </c>
      <c r="T24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7" s="96" cm="1">
        <f t="array" ref="U247">IF(LS[[#This Row],[B/S]]="S",ABS(LS[[#This Row],[Unit]])*(INDEX(LS[NAV at Cost (Average)],MATCH(CONCATENATE((LS[[#This Row],[Frequency]]-1),LS[[#This Row],[Investor ID]]),LS[Unique Code],0),0)),0)</f>
        <v>0</v>
      </c>
      <c r="V247" s="96">
        <f>IF(LS[[#This Row],[BO TRANSFER]]="YES",LS[[#This Row],[Unit]],)</f>
        <v>0</v>
      </c>
      <c r="W247" s="96">
        <f>SUMIFS(LS[[#Headers],[BO UNIT TRANSFER]]:LS[[#This Row],[BO UNIT TRANSFER]],LS[[#Headers],[Investor ID]]:LS[[#This Row],[Investor ID]],LS[[#This Row],[Investor ID]])</f>
        <v>0</v>
      </c>
    </row>
    <row r="248" spans="1:23">
      <c r="A248" s="75">
        <v>2023</v>
      </c>
      <c r="B248" s="75">
        <v>10</v>
      </c>
      <c r="C248" s="75">
        <v>31</v>
      </c>
      <c r="D248" s="81">
        <f>DATE(LS[[#This Row],[Year]],LS[[#This Row],[Month]],LS[[#This Row],[Day]])</f>
        <v>45230</v>
      </c>
      <c r="E248" t="str" cm="1">
        <f t="array" ref="E248">INDEX(INVESTORS_LIST[INVESTOR NAME],MATCH(LS[[#This Row],[Investor ID]],INVESTORS_LIST[INVESTOR CODE],0),)</f>
        <v>ASFIA AFRIN TONNY</v>
      </c>
      <c r="F248" s="83" t="s">
        <v>1061</v>
      </c>
      <c r="G248" s="75">
        <f>COUNTIF(LS[[#Headers],[Investor ID]]:LS[[#This Row],[Investor ID]],LS[[#This Row],[Investor ID]])</f>
        <v>2</v>
      </c>
      <c r="H248" s="75" t="str">
        <f>CONCATENATE(LS[[#This Row],[Frequency]],LS[[#This Row],[Investor ID]])</f>
        <v>2A00508</v>
      </c>
      <c r="I248" s="75" t="str">
        <f>IF(LS[[#This Row],[B/S]]="B","BUY",(IF(LS[[#This Row],[B/S]]="S","SELL"," ")))</f>
        <v>BUY</v>
      </c>
      <c r="J248" s="75" t="s">
        <v>1229</v>
      </c>
      <c r="K248" s="88">
        <v>100000</v>
      </c>
      <c r="L248" s="88"/>
      <c r="M248" s="89">
        <f>LS[[#This Row],[Amount]]/LS[[#This Row],[Unit]]</f>
        <v>10.538518284329223</v>
      </c>
      <c r="N248" s="90">
        <f>LS[[#This Row],[Unit Capital]]/10</f>
        <v>9489</v>
      </c>
      <c r="O248" s="90">
        <f>SUMIFS(LS[[#Headers],[Unit]]:LS[[#This Row],[Unit]],LS[[#Headers],[Investor ID]]:LS[[#This Row],[Investor ID]],LS[[#This Row],[Investor ID]])</f>
        <v>28888</v>
      </c>
      <c r="P248" s="96">
        <v>94890</v>
      </c>
      <c r="Q248" s="48">
        <f>LS[[#This Row],[Amount]]-LS[[#This Row],[Unit Capital]]</f>
        <v>5110</v>
      </c>
      <c r="R24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10.384934921074494</v>
      </c>
      <c r="S248" s="89">
        <f t="shared" si="3"/>
        <v>14.224</v>
      </c>
      <c r="T24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48" s="96" cm="1">
        <f t="array" ref="U248">IF(LS[[#This Row],[B/S]]="S",ABS(LS[[#This Row],[Unit]])*(INDEX(LS[NAV at Cost (Average)],MATCH(CONCATENATE((LS[[#This Row],[Frequency]]-1),LS[[#This Row],[Investor ID]]),LS[Unique Code],0),0)),0)</f>
        <v>0</v>
      </c>
      <c r="V248" s="96">
        <f>IF(LS[[#This Row],[BO TRANSFER]]="YES",LS[[#This Row],[Unit]],)</f>
        <v>0</v>
      </c>
      <c r="W248" s="96">
        <f>SUMIFS(LS[[#Headers],[BO UNIT TRANSFER]]:LS[[#This Row],[BO UNIT TRANSFER]],LS[[#Headers],[Investor ID]]:LS[[#This Row],[Investor ID]],LS[[#This Row],[Investor ID]])</f>
        <v>0</v>
      </c>
    </row>
    <row r="249" spans="1:23">
      <c r="A249" s="75">
        <v>2023</v>
      </c>
      <c r="B249" s="75">
        <v>11</v>
      </c>
      <c r="C249" s="75">
        <v>5</v>
      </c>
      <c r="D249" s="81">
        <f>DATE(LS[[#This Row],[Year]],LS[[#This Row],[Month]],LS[[#This Row],[Day]])</f>
        <v>45235</v>
      </c>
      <c r="E249" t="str" cm="1">
        <f t="array" ref="E249">INDEX(INVESTORS_LIST[INVESTOR NAME],MATCH(LS[[#This Row],[Investor ID]],INVESTORS_LIST[INVESTOR CODE],0),)</f>
        <v>MOIN UDDIN</v>
      </c>
      <c r="F249" s="83" t="s">
        <v>1071</v>
      </c>
      <c r="G249" s="75">
        <f>COUNTIF(LS[[#Headers],[Investor ID]]:LS[[#This Row],[Investor ID]],LS[[#This Row],[Investor ID]])</f>
        <v>3</v>
      </c>
      <c r="H249" s="75" t="str">
        <f>CONCATENATE(LS[[#This Row],[Frequency]],LS[[#This Row],[Investor ID]])</f>
        <v>3A00513</v>
      </c>
      <c r="I249" s="75" t="str">
        <f>IF(LS[[#This Row],[B/S]]="B","BUY",(IF(LS[[#This Row],[B/S]]="S","SELL"," ")))</f>
        <v>SELL</v>
      </c>
      <c r="J249" s="75" t="s">
        <v>1231</v>
      </c>
      <c r="K249" s="88">
        <v>-313622.28000000003</v>
      </c>
      <c r="L249" s="88"/>
      <c r="M249" s="89">
        <f>LS[[#This Row],[Amount]]/LS[[#This Row],[Unit]]</f>
        <v>10.555052670548246</v>
      </c>
      <c r="N249" s="90">
        <f>LS[[#This Row],[Unit Capital]]/10</f>
        <v>-29713</v>
      </c>
      <c r="O249" s="90">
        <f>SUMIFS(LS[[#Headers],[Unit]]:LS[[#This Row],[Unit]],LS[[#Headers],[Investor ID]]:LS[[#This Row],[Investor ID]],LS[[#This Row],[Investor ID]])</f>
        <v>9474183</v>
      </c>
      <c r="P249" s="96">
        <v>-297130</v>
      </c>
      <c r="Q249" s="48">
        <f>LS[[#This Row],[Amount]]-LS[[#This Row],[Unit Capital]]</f>
        <v>-16492.280000000028</v>
      </c>
      <c r="R24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249" s="89">
        <f t="shared" si="3"/>
        <v>14.224</v>
      </c>
      <c r="T249" s="96">
        <f>IF(LS[[#This Row],[B/S]]="B",0,ABS(LS[[#This Row],[Unit]])*(LS[[#This Row],[NAV (Strike Rate)]]-INDEX(LS[NAV at Cost (Average)],MATCH(CONCATENATE(LS[[#This Row],[Frequency]]-1,LS[[#This Row],[Investor ID]]),LS[Unique Code],0),)))</f>
        <v>982.07434118390461</v>
      </c>
      <c r="U249" s="96" cm="1">
        <f t="array" ref="U249">IF(LS[[#This Row],[B/S]]="S",ABS(LS[[#This Row],[Unit]])*(INDEX(LS[NAV at Cost (Average)],MATCH(CONCATENATE((LS[[#This Row],[Frequency]]-1),LS[[#This Row],[Investor ID]]),LS[Unique Code],0),0)),0)</f>
        <v>312640.20565881615</v>
      </c>
      <c r="V249" s="96">
        <f>IF(LS[[#This Row],[BO TRANSFER]]="YES",LS[[#This Row],[Unit]],)</f>
        <v>0</v>
      </c>
      <c r="W249" s="96">
        <f>SUMIFS(LS[[#Headers],[BO UNIT TRANSFER]]:LS[[#This Row],[BO UNIT TRANSFER]],LS[[#Headers],[Investor ID]]:LS[[#This Row],[Investor ID]],LS[[#This Row],[Investor ID]])</f>
        <v>0</v>
      </c>
    </row>
    <row r="250" spans="1:23">
      <c r="A250" s="75">
        <v>2023</v>
      </c>
      <c r="B250" s="75">
        <v>11</v>
      </c>
      <c r="C250" s="75">
        <v>6</v>
      </c>
      <c r="D250" s="81">
        <f>DATE(LS[[#This Row],[Year]],LS[[#This Row],[Month]],LS[[#This Row],[Day]])</f>
        <v>45236</v>
      </c>
      <c r="E250" t="str" cm="1">
        <f t="array" ref="E250">INDEX(INVESTORS_LIST[INVESTOR NAME],MATCH(LS[[#This Row],[Investor ID]],INVESTORS_LIST[INVESTOR CODE],0),)</f>
        <v>RIZIA SULTANA AND MOFAZZAL MAMUN KHAN</v>
      </c>
      <c r="F250" s="83" t="s">
        <v>258</v>
      </c>
      <c r="G250" s="75">
        <f>COUNTIF(LS[[#Headers],[Investor ID]]:LS[[#This Row],[Investor ID]],LS[[#This Row],[Investor ID]])</f>
        <v>2</v>
      </c>
      <c r="H250" s="75" t="str">
        <f>CONCATENATE(LS[[#This Row],[Frequency]],LS[[#This Row],[Investor ID]])</f>
        <v>2A00105</v>
      </c>
      <c r="I250" s="75" t="str">
        <f>IF(LS[[#This Row],[B/S]]="B","BUY",(IF(LS[[#This Row],[B/S]]="S","SELL"," ")))</f>
        <v>SELL</v>
      </c>
      <c r="J250" s="75" t="s">
        <v>1231</v>
      </c>
      <c r="K250" s="88">
        <v>-105550</v>
      </c>
      <c r="L250" s="88"/>
      <c r="M250" s="89">
        <f>LS[[#This Row],[Amount]]/LS[[#This Row],[Unit]]</f>
        <v>10.555</v>
      </c>
      <c r="N250" s="90">
        <f>LS[[#This Row],[Unit Capital]]/10</f>
        <v>-10000</v>
      </c>
      <c r="O250" s="90">
        <f>SUMIFS(LS[[#Headers],[Unit]]:LS[[#This Row],[Unit]],LS[[#Headers],[Investor ID]]:LS[[#This Row],[Investor ID]],LS[[#This Row],[Investor ID]])</f>
        <v>0</v>
      </c>
      <c r="P250" s="96">
        <v>-100000</v>
      </c>
      <c r="Q250" s="48">
        <f>LS[[#This Row],[Amount]]-LS[[#This Row],[Unit Capital]]</f>
        <v>-5550</v>
      </c>
      <c r="R25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50" s="89">
        <f t="shared" si="3"/>
        <v>14.224</v>
      </c>
      <c r="T250" s="96">
        <f>IF(LS[[#This Row],[B/S]]="B",0,ABS(LS[[#This Row],[Unit]])*(LS[[#This Row],[NAV (Strike Rate)]]-INDEX(LS[NAV at Cost (Average)],MATCH(CONCATENATE(LS[[#This Row],[Frequency]]-1,LS[[#This Row],[Investor ID]]),LS[Unique Code],0),)))</f>
        <v>5549.9999999999973</v>
      </c>
      <c r="U250" s="96" cm="1">
        <f t="array" ref="U250">IF(LS[[#This Row],[B/S]]="S",ABS(LS[[#This Row],[Unit]])*(INDEX(LS[NAV at Cost (Average)],MATCH(CONCATENATE((LS[[#This Row],[Frequency]]-1),LS[[#This Row],[Investor ID]]),LS[Unique Code],0),0)),0)</f>
        <v>100000</v>
      </c>
      <c r="V250" s="96">
        <f>IF(LS[[#This Row],[BO TRANSFER]]="YES",LS[[#This Row],[Unit]],)</f>
        <v>0</v>
      </c>
      <c r="W250" s="96">
        <f>SUMIFS(LS[[#Headers],[BO UNIT TRANSFER]]:LS[[#This Row],[BO UNIT TRANSFER]],LS[[#Headers],[Investor ID]]:LS[[#This Row],[Investor ID]],LS[[#This Row],[Investor ID]])</f>
        <v>0</v>
      </c>
    </row>
    <row r="251" spans="1:23">
      <c r="A251" s="75">
        <v>2023</v>
      </c>
      <c r="B251" s="75">
        <v>11</v>
      </c>
      <c r="C251" s="75">
        <v>6</v>
      </c>
      <c r="D251" s="81">
        <f>DATE(LS[[#This Row],[Year]],LS[[#This Row],[Month]],LS[[#This Row],[Day]])</f>
        <v>45236</v>
      </c>
      <c r="E251" t="str" cm="1">
        <f t="array" ref="E251">INDEX(INVESTORS_LIST[INVESTOR NAME],MATCH(LS[[#This Row],[Investor ID]],INVESTORS_LIST[INVESTOR CODE],0),)</f>
        <v>SATINATH GHOSH</v>
      </c>
      <c r="F251" s="83" t="s">
        <v>348</v>
      </c>
      <c r="G251" s="75">
        <f>COUNTIF(LS[[#Headers],[Investor ID]]:LS[[#This Row],[Investor ID]],LS[[#This Row],[Investor ID]])</f>
        <v>2</v>
      </c>
      <c r="H251" s="75" t="str">
        <f>CONCATENATE(LS[[#This Row],[Frequency]],LS[[#This Row],[Investor ID]])</f>
        <v>2A00150</v>
      </c>
      <c r="I251" s="75" t="str">
        <f>IF(LS[[#This Row],[B/S]]="B","BUY",(IF(LS[[#This Row],[B/S]]="S","SELL"," ")))</f>
        <v>BUY</v>
      </c>
      <c r="J251" s="75" t="s">
        <v>1229</v>
      </c>
      <c r="K251" s="88">
        <v>200000</v>
      </c>
      <c r="L251" s="88"/>
      <c r="M251" s="89">
        <f>LS[[#This Row],[Amount]]/LS[[#This Row],[Unit]]</f>
        <v>10.555203715431707</v>
      </c>
      <c r="N251" s="90">
        <f>LS[[#This Row],[Unit Capital]]/10</f>
        <v>18948</v>
      </c>
      <c r="O251" s="90">
        <f>SUMIFS(LS[[#Headers],[Unit]]:LS[[#This Row],[Unit]],LS[[#Headers],[Investor ID]]:LS[[#This Row],[Investor ID]],LS[[#This Row],[Investor ID]])</f>
        <v>28948</v>
      </c>
      <c r="P251" s="96">
        <v>189480</v>
      </c>
      <c r="Q251" s="48">
        <f>LS[[#This Row],[Amount]]-LS[[#This Row],[Unit Capital]]</f>
        <v>10520</v>
      </c>
      <c r="R25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10.36341025286721</v>
      </c>
      <c r="S251" s="89">
        <f t="shared" si="3"/>
        <v>14.224</v>
      </c>
      <c r="T25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1" s="96" cm="1">
        <f t="array" ref="U251">IF(LS[[#This Row],[B/S]]="S",ABS(LS[[#This Row],[Unit]])*(INDEX(LS[NAV at Cost (Average)],MATCH(CONCATENATE((LS[[#This Row],[Frequency]]-1),LS[[#This Row],[Investor ID]]),LS[Unique Code],0),0)),0)</f>
        <v>0</v>
      </c>
      <c r="V251" s="96">
        <f>IF(LS[[#This Row],[BO TRANSFER]]="YES",LS[[#This Row],[Unit]],)</f>
        <v>0</v>
      </c>
      <c r="W251" s="96">
        <f>SUMIFS(LS[[#Headers],[BO UNIT TRANSFER]]:LS[[#This Row],[BO UNIT TRANSFER]],LS[[#Headers],[Investor ID]]:LS[[#This Row],[Investor ID]],LS[[#This Row],[Investor ID]])</f>
        <v>0</v>
      </c>
    </row>
    <row r="252" spans="1:23">
      <c r="A252" s="75">
        <v>2023</v>
      </c>
      <c r="B252" s="75">
        <v>11</v>
      </c>
      <c r="C252" s="75">
        <v>9</v>
      </c>
      <c r="D252" s="81">
        <f>DATE(LS[[#This Row],[Year]],LS[[#This Row],[Month]],LS[[#This Row],[Day]])</f>
        <v>45239</v>
      </c>
      <c r="E252" t="str" cm="1">
        <f t="array" ref="E252">INDEX(INVESTORS_LIST[INVESTOR NAME],MATCH(LS[[#This Row],[Investor ID]],INVESTORS_LIST[INVESTOR CODE],0),)</f>
        <v>IMTIAJ ARA</v>
      </c>
      <c r="F252" s="83" t="s">
        <v>587</v>
      </c>
      <c r="G252" s="75">
        <f>COUNTIF(LS[[#Headers],[Investor ID]]:LS[[#This Row],[Investor ID]],LS[[#This Row],[Investor ID]])</f>
        <v>2</v>
      </c>
      <c r="H252" s="75" t="str">
        <f>CONCATENATE(LS[[#This Row],[Frequency]],LS[[#This Row],[Investor ID]])</f>
        <v>2A00269</v>
      </c>
      <c r="I252" s="75" t="str">
        <f>IF(LS[[#This Row],[B/S]]="B","BUY",(IF(LS[[#This Row],[B/S]]="S","SELL"," ")))</f>
        <v>SELL</v>
      </c>
      <c r="J252" s="75" t="s">
        <v>1231</v>
      </c>
      <c r="K252" s="88">
        <v>-309409.27</v>
      </c>
      <c r="L252" s="88"/>
      <c r="M252" s="89">
        <f>LS[[#This Row],[Amount]]/LS[[#This Row],[Unit]]</f>
        <v>10.555000000000001</v>
      </c>
      <c r="N252" s="90">
        <f>LS[[#This Row],[Unit Capital]]/10</f>
        <v>-29314</v>
      </c>
      <c r="O252" s="90">
        <f>SUMIFS(LS[[#Headers],[Unit]]:LS[[#This Row],[Unit]],LS[[#Headers],[Investor ID]]:LS[[#This Row],[Investor ID]],LS[[#This Row],[Investor ID]])</f>
        <v>0</v>
      </c>
      <c r="P252" s="96">
        <v>-293140</v>
      </c>
      <c r="Q252" s="48">
        <f>LS[[#This Row],[Amount]]-LS[[#This Row],[Unit Capital]]</f>
        <v>-16269.270000000019</v>
      </c>
      <c r="R25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52" s="89">
        <f t="shared" si="3"/>
        <v>14.224</v>
      </c>
      <c r="T252" s="96">
        <f>IF(LS[[#This Row],[B/S]]="B",0,ABS(LS[[#This Row],[Unit]])*(LS[[#This Row],[NAV (Strike Rate)]]-INDEX(LS[NAV at Cost (Average)],MATCH(CONCATENATE(LS[[#This Row],[Frequency]]-1,LS[[#This Row],[Investor ID]]),LS[Unique Code],0),)))</f>
        <v>9409.2700000000459</v>
      </c>
      <c r="U252" s="96" cm="1">
        <f t="array" ref="U252">IF(LS[[#This Row],[B/S]]="S",ABS(LS[[#This Row],[Unit]])*(INDEX(LS[NAV at Cost (Average)],MATCH(CONCATENATE((LS[[#This Row],[Frequency]]-1),LS[[#This Row],[Investor ID]]),LS[Unique Code],0),0)),0)</f>
        <v>300000</v>
      </c>
      <c r="V252" s="96">
        <f>IF(LS[[#This Row],[BO TRANSFER]]="YES",LS[[#This Row],[Unit]],)</f>
        <v>0</v>
      </c>
      <c r="W252" s="96">
        <f>SUMIFS(LS[[#Headers],[BO UNIT TRANSFER]]:LS[[#This Row],[BO UNIT TRANSFER]],LS[[#Headers],[Investor ID]]:LS[[#This Row],[Investor ID]],LS[[#This Row],[Investor ID]])</f>
        <v>0</v>
      </c>
    </row>
    <row r="253" spans="1:23">
      <c r="A253" s="75">
        <v>2023</v>
      </c>
      <c r="B253" s="75">
        <v>11</v>
      </c>
      <c r="C253" s="75">
        <v>12</v>
      </c>
      <c r="D253" s="81">
        <f>DATE(LS[[#This Row],[Year]],LS[[#This Row],[Month]],LS[[#This Row],[Day]])</f>
        <v>45242</v>
      </c>
      <c r="E253" t="str" cm="1">
        <f t="array" ref="E253">INDEX(INVESTORS_LIST[INVESTOR NAME],MATCH(LS[[#This Row],[Investor ID]],INVESTORS_LIST[INVESTOR CODE],0),)</f>
        <v>MD. BABUL MIAH</v>
      </c>
      <c r="F253" s="83" t="s">
        <v>870</v>
      </c>
      <c r="G253" s="75">
        <f>COUNTIF(LS[[#Headers],[Investor ID]]:LS[[#This Row],[Investor ID]],LS[[#This Row],[Investor ID]])</f>
        <v>1</v>
      </c>
      <c r="H253" s="75" t="str">
        <f>CONCATENATE(LS[[#This Row],[Frequency]],LS[[#This Row],[Investor ID]])</f>
        <v>1A00412</v>
      </c>
      <c r="I253" s="75" t="str">
        <f>IF(LS[[#This Row],[B/S]]="B","BUY",(IF(LS[[#This Row],[B/S]]="S","SELL"," ")))</f>
        <v>BUY</v>
      </c>
      <c r="J253" s="75" t="s">
        <v>1229</v>
      </c>
      <c r="K253" s="88">
        <v>120000</v>
      </c>
      <c r="L253" s="88"/>
      <c r="M253" s="89">
        <f>LS[[#This Row],[Amount]]/LS[[#This Row],[Unit]]</f>
        <v>10.56431023857734</v>
      </c>
      <c r="N253" s="90">
        <f>LS[[#This Row],[Unit Capital]]/10</f>
        <v>11359</v>
      </c>
      <c r="O253" s="90">
        <f>SUMIFS(LS[[#Headers],[Unit]]:LS[[#This Row],[Unit]],LS[[#Headers],[Investor ID]]:LS[[#This Row],[Investor ID]],LS[[#This Row],[Investor ID]])</f>
        <v>11359</v>
      </c>
      <c r="P253" s="96">
        <v>113590</v>
      </c>
      <c r="Q253" s="48">
        <f>LS[[#This Row],[Amount]]-LS[[#This Row],[Unit Capital]]</f>
        <v>6410</v>
      </c>
      <c r="R25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10.56431023857734</v>
      </c>
      <c r="S253" s="89">
        <f t="shared" si="3"/>
        <v>14.224</v>
      </c>
      <c r="T25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3" s="96" cm="1">
        <f t="array" ref="U253">IF(LS[[#This Row],[B/S]]="S",ABS(LS[[#This Row],[Unit]])*(INDEX(LS[NAV at Cost (Average)],MATCH(CONCATENATE((LS[[#This Row],[Frequency]]-1),LS[[#This Row],[Investor ID]]),LS[Unique Code],0),0)),0)</f>
        <v>0</v>
      </c>
      <c r="V253" s="96">
        <f>IF(LS[[#This Row],[BO TRANSFER]]="YES",LS[[#This Row],[Unit]],)</f>
        <v>0</v>
      </c>
      <c r="W253" s="96">
        <f>SUMIFS(LS[[#Headers],[BO UNIT TRANSFER]]:LS[[#This Row],[BO UNIT TRANSFER]],LS[[#Headers],[Investor ID]]:LS[[#This Row],[Investor ID]],LS[[#This Row],[Investor ID]])</f>
        <v>0</v>
      </c>
    </row>
    <row r="254" spans="1:23">
      <c r="A254" s="75">
        <v>2023</v>
      </c>
      <c r="B254" s="75">
        <v>11</v>
      </c>
      <c r="C254" s="75">
        <v>14</v>
      </c>
      <c r="D254" s="81">
        <f>DATE(LS[[#This Row],[Year]],LS[[#This Row],[Month]],LS[[#This Row],[Day]])</f>
        <v>45244</v>
      </c>
      <c r="E254" t="str" cm="1">
        <f t="array" ref="E254">INDEX(INVESTORS_LIST[INVESTOR NAME],MATCH(LS[[#This Row],[Investor ID]],INVESTORS_LIST[INVESTOR CODE],0),)</f>
        <v>MORSHEDA MIM</v>
      </c>
      <c r="F254" s="83" t="s">
        <v>54</v>
      </c>
      <c r="G254" s="75">
        <f>COUNTIF(LS[[#Headers],[Investor ID]]:LS[[#This Row],[Investor ID]],LS[[#This Row],[Investor ID]])</f>
        <v>1</v>
      </c>
      <c r="H254" s="75" t="str">
        <f>CONCATENATE(LS[[#This Row],[Frequency]],LS[[#This Row],[Investor ID]])</f>
        <v>1A00005</v>
      </c>
      <c r="I254" s="75" t="str">
        <f>IF(LS[[#This Row],[B/S]]="B","BUY",(IF(LS[[#This Row],[B/S]]="S","SELL"," ")))</f>
        <v>BUY</v>
      </c>
      <c r="J254" s="75" t="s">
        <v>1229</v>
      </c>
      <c r="K254" s="88">
        <v>1000000</v>
      </c>
      <c r="L254" s="88"/>
      <c r="M254" s="89">
        <f>LS[[#This Row],[Amount]]/LS[[#This Row],[Unit]]</f>
        <v>10.564012634559111</v>
      </c>
      <c r="N254" s="90">
        <f>LS[[#This Row],[Unit Capital]]/10</f>
        <v>94661</v>
      </c>
      <c r="O254" s="90">
        <f>SUMIFS(LS[[#Headers],[Unit]]:LS[[#This Row],[Unit]],LS[[#Headers],[Investor ID]]:LS[[#This Row],[Investor ID]],LS[[#This Row],[Investor ID]])</f>
        <v>94661</v>
      </c>
      <c r="P254" s="96">
        <v>946610</v>
      </c>
      <c r="Q254" s="48">
        <f>LS[[#This Row],[Amount]]-LS[[#This Row],[Unit Capital]]</f>
        <v>53390</v>
      </c>
      <c r="R25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10.564012634559111</v>
      </c>
      <c r="S254" s="89">
        <f t="shared" si="3"/>
        <v>14.224</v>
      </c>
      <c r="T25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4" s="96" cm="1">
        <f t="array" ref="U254">IF(LS[[#This Row],[B/S]]="S",ABS(LS[[#This Row],[Unit]])*(INDEX(LS[NAV at Cost (Average)],MATCH(CONCATENATE((LS[[#This Row],[Frequency]]-1),LS[[#This Row],[Investor ID]]),LS[Unique Code],0),0)),0)</f>
        <v>0</v>
      </c>
      <c r="V254" s="96">
        <f>IF(LS[[#This Row],[BO TRANSFER]]="YES",LS[[#This Row],[Unit]],)</f>
        <v>0</v>
      </c>
      <c r="W254" s="96">
        <f>SUMIFS(LS[[#Headers],[BO UNIT TRANSFER]]:LS[[#This Row],[BO UNIT TRANSFER]],LS[[#Headers],[Investor ID]]:LS[[#This Row],[Investor ID]],LS[[#This Row],[Investor ID]])</f>
        <v>0</v>
      </c>
    </row>
    <row r="255" spans="1:23">
      <c r="A255" s="75">
        <v>2023</v>
      </c>
      <c r="B255" s="75">
        <v>11</v>
      </c>
      <c r="C255" s="75">
        <v>16</v>
      </c>
      <c r="D255" s="81">
        <f>DATE(LS[[#This Row],[Year]],LS[[#This Row],[Month]],LS[[#This Row],[Day]])</f>
        <v>45246</v>
      </c>
      <c r="E255" t="str" cm="1">
        <f t="array" ref="E255">INDEX(INVESTORS_LIST[INVESTOR NAME],MATCH(LS[[#This Row],[Investor ID]],INVESTORS_LIST[INVESTOR CODE],0),)</f>
        <v>SULTANA RAZIA</v>
      </c>
      <c r="F255" s="83" t="s">
        <v>511</v>
      </c>
      <c r="G255" s="75">
        <f>COUNTIF(LS[[#Headers],[Investor ID]]:LS[[#This Row],[Investor ID]],LS[[#This Row],[Investor ID]])</f>
        <v>3</v>
      </c>
      <c r="H255" s="75" t="str">
        <f>CONCATENATE(LS[[#This Row],[Frequency]],LS[[#This Row],[Investor ID]])</f>
        <v>3A00231</v>
      </c>
      <c r="I255" s="75" t="str">
        <f>IF(LS[[#This Row],[B/S]]="B","BUY",(IF(LS[[#This Row],[B/S]]="S","SELL"," ")))</f>
        <v>BUY</v>
      </c>
      <c r="J255" s="75" t="s">
        <v>1229</v>
      </c>
      <c r="K255" s="88">
        <v>450000</v>
      </c>
      <c r="L255" s="88"/>
      <c r="M255" s="89">
        <f>LS[[#This Row],[Amount]]/LS[[#This Row],[Unit]]</f>
        <v>10.563876238321049</v>
      </c>
      <c r="N255" s="90">
        <f>LS[[#This Row],[Unit Capital]]/10</f>
        <v>42598</v>
      </c>
      <c r="O255" s="90">
        <f>SUMIFS(LS[[#Headers],[Unit]]:LS[[#This Row],[Unit]],LS[[#Headers],[Investor ID]]:LS[[#This Row],[Investor ID]],LS[[#This Row],[Investor ID]])</f>
        <v>209854</v>
      </c>
      <c r="P255" s="96">
        <v>425980</v>
      </c>
      <c r="Q255" s="48">
        <f>LS[[#This Row],[Amount]]-LS[[#This Row],[Unit Capital]]</f>
        <v>24020</v>
      </c>
      <c r="R25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10.245218104015173</v>
      </c>
      <c r="S255" s="89">
        <f t="shared" si="3"/>
        <v>14.224</v>
      </c>
      <c r="T25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5" s="96" cm="1">
        <f t="array" ref="U255">IF(LS[[#This Row],[B/S]]="S",ABS(LS[[#This Row],[Unit]])*(INDEX(LS[NAV at Cost (Average)],MATCH(CONCATENATE((LS[[#This Row],[Frequency]]-1),LS[[#This Row],[Investor ID]]),LS[Unique Code],0),0)),0)</f>
        <v>0</v>
      </c>
      <c r="V255" s="96">
        <f>IF(LS[[#This Row],[BO TRANSFER]]="YES",LS[[#This Row],[Unit]],)</f>
        <v>0</v>
      </c>
      <c r="W255" s="96">
        <f>SUMIFS(LS[[#Headers],[BO UNIT TRANSFER]]:LS[[#This Row],[BO UNIT TRANSFER]],LS[[#Headers],[Investor ID]]:LS[[#This Row],[Investor ID]],LS[[#This Row],[Investor ID]])</f>
        <v>0</v>
      </c>
    </row>
    <row r="256" spans="1:23">
      <c r="A256" s="75">
        <v>2023</v>
      </c>
      <c r="B256" s="75">
        <v>11</v>
      </c>
      <c r="C256" s="75">
        <v>22</v>
      </c>
      <c r="D256" s="81">
        <f>DATE(LS[[#This Row],[Year]],LS[[#This Row],[Month]],LS[[#This Row],[Day]])</f>
        <v>45252</v>
      </c>
      <c r="E256" t="str" cm="1">
        <f t="array" ref="E256">INDEX(INVESTORS_LIST[INVESTOR NAME],MATCH(LS[[#This Row],[Investor ID]],INVESTORS_LIST[INVESTOR CODE],0),)</f>
        <v>SAIQA MAZED</v>
      </c>
      <c r="F256" s="83" t="s">
        <v>1073</v>
      </c>
      <c r="G256" s="75">
        <f>COUNTIF(LS[[#Headers],[Investor ID]]:LS[[#This Row],[Investor ID]],LS[[#This Row],[Investor ID]])</f>
        <v>1</v>
      </c>
      <c r="H256" s="75" t="str">
        <f>CONCATENATE(LS[[#This Row],[Frequency]],LS[[#This Row],[Investor ID]])</f>
        <v>1A00514</v>
      </c>
      <c r="I256" s="75" t="str">
        <f>IF(LS[[#This Row],[B/S]]="B","BUY",(IF(LS[[#This Row],[B/S]]="S","SELL"," ")))</f>
        <v>BUY</v>
      </c>
      <c r="J256" s="75" t="s">
        <v>1229</v>
      </c>
      <c r="K256" s="88">
        <v>2000000</v>
      </c>
      <c r="L256" s="88"/>
      <c r="M256" s="89">
        <f>LS[[#This Row],[Amount]]/LS[[#This Row],[Unit]]</f>
        <v>10.576023098034446</v>
      </c>
      <c r="N256" s="90">
        <f>LS[[#This Row],[Unit Capital]]/10</f>
        <v>189107</v>
      </c>
      <c r="O256" s="90">
        <f>SUMIFS(LS[[#Headers],[Unit]]:LS[[#This Row],[Unit]],LS[[#Headers],[Investor ID]]:LS[[#This Row],[Investor ID]],LS[[#This Row],[Investor ID]])</f>
        <v>189107</v>
      </c>
      <c r="P256" s="96">
        <v>1891070</v>
      </c>
      <c r="Q256" s="48">
        <f>LS[[#This Row],[Amount]]-LS[[#This Row],[Unit Capital]]</f>
        <v>108930</v>
      </c>
      <c r="R25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10.576023098034446</v>
      </c>
      <c r="S256" s="89">
        <f t="shared" si="3"/>
        <v>14.224</v>
      </c>
      <c r="T25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6" s="96" cm="1">
        <f t="array" ref="U256">IF(LS[[#This Row],[B/S]]="S",ABS(LS[[#This Row],[Unit]])*(INDEX(LS[NAV at Cost (Average)],MATCH(CONCATENATE((LS[[#This Row],[Frequency]]-1),LS[[#This Row],[Investor ID]]),LS[Unique Code],0),0)),0)</f>
        <v>0</v>
      </c>
      <c r="V256" s="96">
        <f>IF(LS[[#This Row],[BO TRANSFER]]="YES",LS[[#This Row],[Unit]],)</f>
        <v>0</v>
      </c>
      <c r="W256" s="96">
        <f>SUMIFS(LS[[#Headers],[BO UNIT TRANSFER]]:LS[[#This Row],[BO UNIT TRANSFER]],LS[[#Headers],[Investor ID]]:LS[[#This Row],[Investor ID]],LS[[#This Row],[Investor ID]])</f>
        <v>0</v>
      </c>
    </row>
    <row r="257" spans="1:23">
      <c r="A257" s="75">
        <v>2023</v>
      </c>
      <c r="B257" s="75">
        <v>11</v>
      </c>
      <c r="C257" s="75">
        <v>23</v>
      </c>
      <c r="D257" s="81">
        <f>DATE(LS[[#This Row],[Year]],LS[[#This Row],[Month]],LS[[#This Row],[Day]])</f>
        <v>45253</v>
      </c>
      <c r="E257" t="str" cm="1">
        <f t="array" ref="E257">INDEX(INVESTORS_LIST[INVESTOR NAME],MATCH(LS[[#This Row],[Investor ID]],INVESTORS_LIST[INVESTOR CODE],0),)</f>
        <v>AMARSTOCK LIMITED</v>
      </c>
      <c r="F257" s="83" t="s">
        <v>960</v>
      </c>
      <c r="G257" s="75">
        <f>COUNTIF(LS[[#Headers],[Investor ID]]:LS[[#This Row],[Investor ID]],LS[[#This Row],[Investor ID]])</f>
        <v>7</v>
      </c>
      <c r="H257" s="75" t="str">
        <f>CONCATENATE(LS[[#This Row],[Frequency]],LS[[#This Row],[Investor ID]])</f>
        <v>7A00457</v>
      </c>
      <c r="I257" s="75" t="str">
        <f>IF(LS[[#This Row],[B/S]]="B","BUY",(IF(LS[[#This Row],[B/S]]="S","SELL"," ")))</f>
        <v>SELL</v>
      </c>
      <c r="J257" s="75" t="s">
        <v>1231</v>
      </c>
      <c r="K257" s="88">
        <v>-2800000</v>
      </c>
      <c r="L257" s="88"/>
      <c r="M257" s="89">
        <f>LS[[#This Row],[Amount]]/LS[[#This Row],[Unit]]</f>
        <v>10.576015108593012</v>
      </c>
      <c r="N257" s="90">
        <f>LS[[#This Row],[Unit Capital]]/10</f>
        <v>-264750</v>
      </c>
      <c r="O257" s="90">
        <f>SUMIFS(LS[[#Headers],[Unit]]:LS[[#This Row],[Unit]],LS[[#Headers],[Investor ID]]:LS[[#This Row],[Investor ID]],LS[[#This Row],[Investor ID]])</f>
        <v>18072</v>
      </c>
      <c r="P257" s="96">
        <v>-2647500</v>
      </c>
      <c r="Q257" s="48">
        <f>LS[[#This Row],[Amount]]-LS[[#This Row],[Unit Capital]]</f>
        <v>-152500</v>
      </c>
      <c r="R25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10.340990650507216</v>
      </c>
      <c r="S257" s="89">
        <f t="shared" si="3"/>
        <v>14.224</v>
      </c>
      <c r="T257" s="96">
        <f>IF(LS[[#This Row],[B/S]]="B",0,ABS(LS[[#This Row],[Unit]])*(LS[[#This Row],[NAV (Strike Rate)]]-INDEX(LS[NAV at Cost (Average)],MATCH(CONCATENATE(LS[[#This Row],[Frequency]]-1,LS[[#This Row],[Investor ID]]),LS[Unique Code],0),)))</f>
        <v>62222.725278214515</v>
      </c>
      <c r="U257" s="96" cm="1">
        <f t="array" ref="U257">IF(LS[[#This Row],[B/S]]="S",ABS(LS[[#This Row],[Unit]])*(INDEX(LS[NAV at Cost (Average)],MATCH(CONCATENATE((LS[[#This Row],[Frequency]]-1),LS[[#This Row],[Investor ID]]),LS[Unique Code],0),0)),0)</f>
        <v>2737777.2747217854</v>
      </c>
      <c r="V257" s="96">
        <f>IF(LS[[#This Row],[BO TRANSFER]]="YES",LS[[#This Row],[Unit]],)</f>
        <v>0</v>
      </c>
      <c r="W257" s="96">
        <f>SUMIFS(LS[[#Headers],[BO UNIT TRANSFER]]:LS[[#This Row],[BO UNIT TRANSFER]],LS[[#Headers],[Investor ID]]:LS[[#This Row],[Investor ID]],LS[[#This Row],[Investor ID]])</f>
        <v>0</v>
      </c>
    </row>
    <row r="258" spans="1:23">
      <c r="A258" s="75">
        <v>2023</v>
      </c>
      <c r="B258" s="75">
        <v>11</v>
      </c>
      <c r="C258" s="75">
        <v>23</v>
      </c>
      <c r="D258" s="81">
        <f>DATE(LS[[#This Row],[Year]],LS[[#This Row],[Month]],LS[[#This Row],[Day]])</f>
        <v>45253</v>
      </c>
      <c r="E258" t="str" cm="1">
        <f t="array" ref="E258">INDEX(INVESTORS_LIST[INVESTOR NAME],MATCH(LS[[#This Row],[Investor ID]],INVESTORS_LIST[INVESTOR CODE],0),)</f>
        <v>MAYA RANI SAHA</v>
      </c>
      <c r="F258" s="83" t="s">
        <v>224</v>
      </c>
      <c r="G258" s="75">
        <f>COUNTIF(LS[[#Headers],[Investor ID]]:LS[[#This Row],[Investor ID]],LS[[#This Row],[Investor ID]])</f>
        <v>9</v>
      </c>
      <c r="H258" s="75" t="str">
        <f>CONCATENATE(LS[[#This Row],[Frequency]],LS[[#This Row],[Investor ID]])</f>
        <v>9A00088</v>
      </c>
      <c r="I258" s="75" t="str">
        <f>IF(LS[[#This Row],[B/S]]="B","BUY",(IF(LS[[#This Row],[B/S]]="S","SELL"," ")))</f>
        <v>BUY</v>
      </c>
      <c r="J258" s="75" t="s">
        <v>1229</v>
      </c>
      <c r="K258" s="88">
        <v>600000</v>
      </c>
      <c r="L258" s="88"/>
      <c r="M258" s="89">
        <f>LS[[#This Row],[Amount]]/LS[[#This Row],[Unit]]</f>
        <v>10.576041740111402</v>
      </c>
      <c r="N258" s="90">
        <f>LS[[#This Row],[Unit Capital]]/10</f>
        <v>56732</v>
      </c>
      <c r="O258" s="90">
        <f>SUMIFS(LS[[#Headers],[Unit]]:LS[[#This Row],[Unit]],LS[[#Headers],[Investor ID]]:LS[[#This Row],[Investor ID]],LS[[#This Row],[Investor ID]])</f>
        <v>551960</v>
      </c>
      <c r="P258" s="96">
        <v>567320</v>
      </c>
      <c r="Q258" s="48">
        <f>LS[[#This Row],[Amount]]-LS[[#This Row],[Unit Capital]]</f>
        <v>32680</v>
      </c>
      <c r="R25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10.32683527791869</v>
      </c>
      <c r="S258" s="89">
        <f t="shared" si="3"/>
        <v>14.224</v>
      </c>
      <c r="T25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8" s="96" cm="1">
        <f t="array" ref="U258">IF(LS[[#This Row],[B/S]]="S",ABS(LS[[#This Row],[Unit]])*(INDEX(LS[NAV at Cost (Average)],MATCH(CONCATENATE((LS[[#This Row],[Frequency]]-1),LS[[#This Row],[Investor ID]]),LS[Unique Code],0),0)),0)</f>
        <v>0</v>
      </c>
      <c r="V258" s="96">
        <f>IF(LS[[#This Row],[BO TRANSFER]]="YES",LS[[#This Row],[Unit]],)</f>
        <v>0</v>
      </c>
      <c r="W258" s="96">
        <f>SUMIFS(LS[[#Headers],[BO UNIT TRANSFER]]:LS[[#This Row],[BO UNIT TRANSFER]],LS[[#Headers],[Investor ID]]:LS[[#This Row],[Investor ID]],LS[[#This Row],[Investor ID]])</f>
        <v>0</v>
      </c>
    </row>
    <row r="259" spans="1:23">
      <c r="A259" s="75">
        <v>2023</v>
      </c>
      <c r="B259" s="75">
        <v>11</v>
      </c>
      <c r="C259" s="75">
        <v>26</v>
      </c>
      <c r="D259" s="81">
        <f>DATE(LS[[#This Row],[Year]],LS[[#This Row],[Month]],LS[[#This Row],[Day]])</f>
        <v>45256</v>
      </c>
      <c r="E259" t="str" cm="1">
        <f t="array" ref="E259">INDEX(INVESTORS_LIST[INVESTOR NAME],MATCH(LS[[#This Row],[Investor ID]],INVESTORS_LIST[INVESTOR CODE],0),)</f>
        <v>BABITA RANI BARMAN</v>
      </c>
      <c r="F259" s="83" t="s">
        <v>188</v>
      </c>
      <c r="G259" s="75">
        <f>COUNTIF(LS[[#Headers],[Investor ID]]:LS[[#This Row],[Investor ID]],LS[[#This Row],[Investor ID]])</f>
        <v>1</v>
      </c>
      <c r="H259" s="75" t="str">
        <f>CONCATENATE(LS[[#This Row],[Frequency]],LS[[#This Row],[Investor ID]])</f>
        <v>1A00070</v>
      </c>
      <c r="I259" s="75" t="str">
        <f>IF(LS[[#This Row],[B/S]]="B","BUY",(IF(LS[[#This Row],[B/S]]="S","SELL"," ")))</f>
        <v>BUY</v>
      </c>
      <c r="J259" s="75" t="s">
        <v>1229</v>
      </c>
      <c r="K259" s="88">
        <v>60000</v>
      </c>
      <c r="L259" s="88"/>
      <c r="M259" s="89">
        <f>LS[[#This Row],[Amount]]/LS[[#This Row],[Unit]]</f>
        <v>10.595090941197245</v>
      </c>
      <c r="N259" s="90">
        <f>LS[[#This Row],[Unit Capital]]/10</f>
        <v>5663</v>
      </c>
      <c r="O259" s="90">
        <f>SUMIFS(LS[[#Headers],[Unit]]:LS[[#This Row],[Unit]],LS[[#Headers],[Investor ID]]:LS[[#This Row],[Investor ID]],LS[[#This Row],[Investor ID]])</f>
        <v>5663</v>
      </c>
      <c r="P259" s="96">
        <v>56630</v>
      </c>
      <c r="Q259" s="48">
        <f>LS[[#This Row],[Amount]]-LS[[#This Row],[Unit Capital]]</f>
        <v>3370</v>
      </c>
      <c r="R25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10.595090941197245</v>
      </c>
      <c r="S259" s="89">
        <f t="shared" ref="S259:S322" si="4">IFERROR(NAV_MKT,0)</f>
        <v>14.224</v>
      </c>
      <c r="T25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59" s="96" cm="1">
        <f t="array" ref="U259">IF(LS[[#This Row],[B/S]]="S",ABS(LS[[#This Row],[Unit]])*(INDEX(LS[NAV at Cost (Average)],MATCH(CONCATENATE((LS[[#This Row],[Frequency]]-1),LS[[#This Row],[Investor ID]]),LS[Unique Code],0),0)),0)</f>
        <v>0</v>
      </c>
      <c r="V259" s="96">
        <f>IF(LS[[#This Row],[BO TRANSFER]]="YES",LS[[#This Row],[Unit]],)</f>
        <v>0</v>
      </c>
      <c r="W259" s="96">
        <f>SUMIFS(LS[[#Headers],[BO UNIT TRANSFER]]:LS[[#This Row],[BO UNIT TRANSFER]],LS[[#Headers],[Investor ID]]:LS[[#This Row],[Investor ID]],LS[[#This Row],[Investor ID]])</f>
        <v>0</v>
      </c>
    </row>
    <row r="260" spans="1:23">
      <c r="A260" s="75">
        <v>2023</v>
      </c>
      <c r="B260" s="75">
        <v>11</v>
      </c>
      <c r="C260" s="75">
        <v>27</v>
      </c>
      <c r="D260" s="81">
        <f>DATE(LS[[#This Row],[Year]],LS[[#This Row],[Month]],LS[[#This Row],[Day]])</f>
        <v>45257</v>
      </c>
      <c r="E260" t="str" cm="1">
        <f t="array" ref="E260">INDEX(INVESTORS_LIST[INVESTOR NAME],MATCH(LS[[#This Row],[Investor ID]],INVESTORS_LIST[INVESTOR CODE],0),)</f>
        <v>SWADESH RANJAN SAHA</v>
      </c>
      <c r="F260" s="83" t="s">
        <v>234</v>
      </c>
      <c r="G260" s="75">
        <f>COUNTIF(LS[[#Headers],[Investor ID]]:LS[[#This Row],[Investor ID]],LS[[#This Row],[Investor ID]])</f>
        <v>7</v>
      </c>
      <c r="H260" s="75" t="str">
        <f>CONCATENATE(LS[[#This Row],[Frequency]],LS[[#This Row],[Investor ID]])</f>
        <v>7A00093</v>
      </c>
      <c r="I260" s="75" t="str">
        <f>IF(LS[[#This Row],[B/S]]="B","BUY",(IF(LS[[#This Row],[B/S]]="S","SELL"," ")))</f>
        <v>BUY</v>
      </c>
      <c r="J260" s="75" t="s">
        <v>1229</v>
      </c>
      <c r="K260" s="88">
        <v>2000000</v>
      </c>
      <c r="L260" s="88"/>
      <c r="M260" s="89">
        <f>LS[[#This Row],[Amount]]/LS[[#This Row],[Unit]]</f>
        <v>10.595016104424479</v>
      </c>
      <c r="N260" s="90">
        <f>LS[[#This Row],[Unit Capital]]/10</f>
        <v>188768</v>
      </c>
      <c r="O260" s="90">
        <f>SUMIFS(LS[[#Headers],[Unit]]:LS[[#This Row],[Unit]],LS[[#Headers],[Investor ID]]:LS[[#This Row],[Investor ID]],LS[[#This Row],[Investor ID]])</f>
        <v>380365</v>
      </c>
      <c r="P260" s="96">
        <v>1887680</v>
      </c>
      <c r="Q260" s="48">
        <f>LS[[#This Row],[Amount]]-LS[[#This Row],[Unit Capital]]</f>
        <v>112320</v>
      </c>
      <c r="R26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10.515735498091185</v>
      </c>
      <c r="S260" s="89">
        <f t="shared" si="4"/>
        <v>14.224</v>
      </c>
      <c r="T26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60" s="96" cm="1">
        <f t="array" ref="U260">IF(LS[[#This Row],[B/S]]="S",ABS(LS[[#This Row],[Unit]])*(INDEX(LS[NAV at Cost (Average)],MATCH(CONCATENATE((LS[[#This Row],[Frequency]]-1),LS[[#This Row],[Investor ID]]),LS[Unique Code],0),0)),0)</f>
        <v>0</v>
      </c>
      <c r="V260" s="96">
        <f>IF(LS[[#This Row],[BO TRANSFER]]="YES",LS[[#This Row],[Unit]],)</f>
        <v>0</v>
      </c>
      <c r="W260" s="96">
        <f>SUMIFS(LS[[#Headers],[BO UNIT TRANSFER]]:LS[[#This Row],[BO UNIT TRANSFER]],LS[[#Headers],[Investor ID]]:LS[[#This Row],[Investor ID]],LS[[#This Row],[Investor ID]])</f>
        <v>0</v>
      </c>
    </row>
    <row r="261" spans="1:23">
      <c r="A261" s="75">
        <v>2023</v>
      </c>
      <c r="B261" s="75">
        <v>11</v>
      </c>
      <c r="C261" s="75">
        <v>28</v>
      </c>
      <c r="D261" s="81">
        <f>DATE(LS[[#This Row],[Year]],LS[[#This Row],[Month]],LS[[#This Row],[Day]])</f>
        <v>45258</v>
      </c>
      <c r="E261" t="str" cm="1">
        <f t="array" ref="E261">INDEX(INVESTORS_LIST[INVESTOR NAME],MATCH(LS[[#This Row],[Investor ID]],INVESTORS_LIST[INVESTOR CODE],0),)</f>
        <v>MORSHEDA MIM</v>
      </c>
      <c r="F261" s="83" t="s">
        <v>54</v>
      </c>
      <c r="G261" s="75">
        <f>COUNTIF(LS[[#Headers],[Investor ID]]:LS[[#This Row],[Investor ID]],LS[[#This Row],[Investor ID]])</f>
        <v>2</v>
      </c>
      <c r="H261" s="75" t="str">
        <f>CONCATENATE(LS[[#This Row],[Frequency]],LS[[#This Row],[Investor ID]])</f>
        <v>2A00005</v>
      </c>
      <c r="I261" s="75" t="str">
        <f>IF(LS[[#This Row],[B/S]]="B","BUY",(IF(LS[[#This Row],[B/S]]="S","SELL"," ")))</f>
        <v>SELL</v>
      </c>
      <c r="J261" s="75" t="s">
        <v>1231</v>
      </c>
      <c r="K261" s="88">
        <v>-500010</v>
      </c>
      <c r="L261" s="88"/>
      <c r="M261" s="89">
        <f>LS[[#This Row],[Amount]]/LS[[#This Row],[Unit]]</f>
        <v>10.595003496281228</v>
      </c>
      <c r="N261" s="90">
        <f>LS[[#This Row],[Unit Capital]]/10</f>
        <v>-47193</v>
      </c>
      <c r="O261" s="90">
        <f>SUMIFS(LS[[#Headers],[Unit]]:LS[[#This Row],[Unit]],LS[[#Headers],[Investor ID]]:LS[[#This Row],[Investor ID]],LS[[#This Row],[Investor ID]])</f>
        <v>47468</v>
      </c>
      <c r="P261" s="96">
        <v>-471930</v>
      </c>
      <c r="Q261" s="48">
        <f>LS[[#This Row],[Amount]]-LS[[#This Row],[Unit Capital]]</f>
        <v>-28080</v>
      </c>
      <c r="R26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10.564012634559111</v>
      </c>
      <c r="S261" s="89">
        <f t="shared" si="4"/>
        <v>14.224</v>
      </c>
      <c r="T261" s="96">
        <f>IF(LS[[#This Row],[B/S]]="B",0,ABS(LS[[#This Row],[Unit]])*(LS[[#This Row],[NAV (Strike Rate)]]-INDEX(LS[NAV at Cost (Average)],MATCH(CONCATENATE(LS[[#This Row],[Frequency]]-1,LS[[#This Row],[Investor ID]]),LS[Unique Code],0),)))</f>
        <v>1462.5517372518605</v>
      </c>
      <c r="U261" s="96" cm="1">
        <f t="array" ref="U261">IF(LS[[#This Row],[B/S]]="S",ABS(LS[[#This Row],[Unit]])*(INDEX(LS[NAV at Cost (Average)],MATCH(CONCATENATE((LS[[#This Row],[Frequency]]-1),LS[[#This Row],[Investor ID]]),LS[Unique Code],0),0)),0)</f>
        <v>498547.44826274813</v>
      </c>
      <c r="V261" s="96">
        <f>IF(LS[[#This Row],[BO TRANSFER]]="YES",LS[[#This Row],[Unit]],)</f>
        <v>0</v>
      </c>
      <c r="W261" s="96">
        <f>SUMIFS(LS[[#Headers],[BO UNIT TRANSFER]]:LS[[#This Row],[BO UNIT TRANSFER]],LS[[#Headers],[Investor ID]]:LS[[#This Row],[Investor ID]],LS[[#This Row],[Investor ID]])</f>
        <v>0</v>
      </c>
    </row>
    <row r="262" spans="1:23">
      <c r="A262" s="75">
        <v>2023</v>
      </c>
      <c r="B262" s="75">
        <v>11</v>
      </c>
      <c r="C262" s="75">
        <v>28</v>
      </c>
      <c r="D262" s="81">
        <f>DATE(LS[[#This Row],[Year]],LS[[#This Row],[Month]],LS[[#This Row],[Day]])</f>
        <v>45258</v>
      </c>
      <c r="E262" t="str" cm="1">
        <f t="array" ref="E262">INDEX(INVESTORS_LIST[INVESTOR NAME],MATCH(LS[[#This Row],[Investor ID]],INVESTORS_LIST[INVESTOR CODE],0),)</f>
        <v>MST. GOLENUR</v>
      </c>
      <c r="F262" s="83" t="s">
        <v>1075</v>
      </c>
      <c r="G262" s="75">
        <f>COUNTIF(LS[[#Headers],[Investor ID]]:LS[[#This Row],[Investor ID]],LS[[#This Row],[Investor ID]])</f>
        <v>1</v>
      </c>
      <c r="H262" s="75" t="str">
        <f>CONCATENATE(LS[[#This Row],[Frequency]],LS[[#This Row],[Investor ID]])</f>
        <v>1A00515</v>
      </c>
      <c r="I262" s="75" t="str">
        <f>IF(LS[[#This Row],[B/S]]="B","BUY",(IF(LS[[#This Row],[B/S]]="S","SELL"," ")))</f>
        <v>BUY</v>
      </c>
      <c r="J262" s="75" t="s">
        <v>1229</v>
      </c>
      <c r="K262" s="88">
        <v>2000</v>
      </c>
      <c r="L262" s="88"/>
      <c r="M262" s="89">
        <f>LS[[#This Row],[Amount]]/LS[[#This Row],[Unit]]</f>
        <v>10.582010582010582</v>
      </c>
      <c r="N262" s="90">
        <f>LS[[#This Row],[Unit Capital]]/10</f>
        <v>189</v>
      </c>
      <c r="O262" s="90">
        <f>SUMIFS(LS[[#Headers],[Unit]]:LS[[#This Row],[Unit]],LS[[#Headers],[Investor ID]]:LS[[#This Row],[Investor ID]],LS[[#This Row],[Investor ID]])</f>
        <v>189</v>
      </c>
      <c r="P262" s="96">
        <v>1890</v>
      </c>
      <c r="Q262" s="48">
        <f>LS[[#This Row],[Amount]]-LS[[#This Row],[Unit Capital]]</f>
        <v>110</v>
      </c>
      <c r="R26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10.582010582010582</v>
      </c>
      <c r="S262" s="89">
        <f t="shared" si="4"/>
        <v>14.224</v>
      </c>
      <c r="T26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62" s="96" cm="1">
        <f t="array" ref="U262">IF(LS[[#This Row],[B/S]]="S",ABS(LS[[#This Row],[Unit]])*(INDEX(LS[NAV at Cost (Average)],MATCH(CONCATENATE((LS[[#This Row],[Frequency]]-1),LS[[#This Row],[Investor ID]]),LS[Unique Code],0),0)),0)</f>
        <v>0</v>
      </c>
      <c r="V262" s="96">
        <f>IF(LS[[#This Row],[BO TRANSFER]]="YES",LS[[#This Row],[Unit]],)</f>
        <v>0</v>
      </c>
      <c r="W262" s="96">
        <f>SUMIFS(LS[[#Headers],[BO UNIT TRANSFER]]:LS[[#This Row],[BO UNIT TRANSFER]],LS[[#Headers],[Investor ID]]:LS[[#This Row],[Investor ID]],LS[[#This Row],[Investor ID]])</f>
        <v>0</v>
      </c>
    </row>
    <row r="263" spans="1:23">
      <c r="A263" s="75">
        <v>2023</v>
      </c>
      <c r="B263" s="75">
        <v>11</v>
      </c>
      <c r="C263" s="75">
        <v>28</v>
      </c>
      <c r="D263" s="81">
        <f>DATE(LS[[#This Row],[Year]],LS[[#This Row],[Month]],LS[[#This Row],[Day]])</f>
        <v>45258</v>
      </c>
      <c r="E263" t="str" cm="1">
        <f t="array" ref="E263">INDEX(INVESTORS_LIST[INVESTOR NAME],MATCH(LS[[#This Row],[Investor ID]],INVESTORS_LIST[INVESTOR CODE],0),)</f>
        <v>MUHAMMAD SHOHIDUZZAMAN</v>
      </c>
      <c r="F263" s="83" t="s">
        <v>986</v>
      </c>
      <c r="G263" s="75">
        <f>COUNTIF(LS[[#Headers],[Investor ID]]:LS[[#This Row],[Investor ID]],LS[[#This Row],[Investor ID]])</f>
        <v>3</v>
      </c>
      <c r="H263" s="75" t="str">
        <f>CONCATENATE(LS[[#This Row],[Frequency]],LS[[#This Row],[Investor ID]])</f>
        <v>3A00470</v>
      </c>
      <c r="I263" s="75" t="str">
        <f>IF(LS[[#This Row],[B/S]]="B","BUY",(IF(LS[[#This Row],[B/S]]="S","SELL"," ")))</f>
        <v>SELL</v>
      </c>
      <c r="J263" s="75" t="s">
        <v>1231</v>
      </c>
      <c r="K263" s="88">
        <v>-759809.83</v>
      </c>
      <c r="L263" s="99" t="s">
        <v>1230</v>
      </c>
      <c r="M263" s="89">
        <f>LS[[#This Row],[Amount]]/LS[[#This Row],[Unit]]</f>
        <v>10.594999999999999</v>
      </c>
      <c r="N263" s="90">
        <f>LS[[#This Row],[Unit Capital]]/10</f>
        <v>-71714</v>
      </c>
      <c r="O263" s="90">
        <f>SUMIFS(LS[[#Headers],[Unit]]:LS[[#This Row],[Unit]],LS[[#Headers],[Investor ID]]:LS[[#This Row],[Investor ID]],LS[[#This Row],[Investor ID]])</f>
        <v>0</v>
      </c>
      <c r="P263" s="96">
        <v>-717140</v>
      </c>
      <c r="Q263" s="48">
        <f>LS[[#This Row],[Amount]]-LS[[#This Row],[Unit Capital]]</f>
        <v>-42669.829999999958</v>
      </c>
      <c r="R26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63" s="89">
        <f t="shared" si="4"/>
        <v>14.224</v>
      </c>
      <c r="T263" s="96">
        <f>IF(LS[[#This Row],[B/S]]="B",0,ABS(LS[[#This Row],[Unit]])*(LS[[#This Row],[NAV (Strike Rate)]]-INDEX(LS[NAV at Cost (Average)],MATCH(CONCATENATE(LS[[#This Row],[Frequency]]-1,LS[[#This Row],[Investor ID]]),LS[Unique Code],0),)))</f>
        <v>34708.214259165594</v>
      </c>
      <c r="U263" s="96" cm="1">
        <f t="array" ref="U263">IF(LS[[#This Row],[B/S]]="S",ABS(LS[[#This Row],[Unit]])*(INDEX(LS[NAV at Cost (Average)],MATCH(CONCATENATE((LS[[#This Row],[Frequency]]-1),LS[[#This Row],[Investor ID]]),LS[Unique Code],0),0)),0)</f>
        <v>725101.61574083427</v>
      </c>
      <c r="V263" s="96">
        <f>IF(LS[[#This Row],[BO TRANSFER]]="YES",LS[[#This Row],[Unit]],)</f>
        <v>-71714</v>
      </c>
      <c r="W263" s="96">
        <f>SUMIFS(LS[[#Headers],[BO UNIT TRANSFER]]:LS[[#This Row],[BO UNIT TRANSFER]],LS[[#Headers],[Investor ID]]:LS[[#This Row],[Investor ID]],LS[[#This Row],[Investor ID]])</f>
        <v>0</v>
      </c>
    </row>
    <row r="264" spans="1:23">
      <c r="A264" s="75">
        <v>2023</v>
      </c>
      <c r="B264" s="75">
        <v>11</v>
      </c>
      <c r="C264" s="75">
        <v>28</v>
      </c>
      <c r="D264" s="81">
        <f>DATE(LS[[#This Row],[Year]],LS[[#This Row],[Month]],LS[[#This Row],[Day]])</f>
        <v>45258</v>
      </c>
      <c r="E264" t="str" cm="1">
        <f t="array" ref="E264">INDEX(INVESTORS_LIST[INVESTOR NAME],MATCH(LS[[#This Row],[Investor ID]],INVESTORS_LIST[INVESTOR CODE],0),)</f>
        <v>EKUSH WEALTH MANAGEMENT LIMITED</v>
      </c>
      <c r="F264" s="83" t="s">
        <v>47</v>
      </c>
      <c r="G264" s="75">
        <f>COUNTIF(LS[[#Headers],[Investor ID]]:LS[[#This Row],[Investor ID]],LS[[#This Row],[Investor ID]])</f>
        <v>12</v>
      </c>
      <c r="H264" s="75" t="str">
        <f>CONCATENATE(LS[[#This Row],[Frequency]],LS[[#This Row],[Investor ID]])</f>
        <v>12A00003</v>
      </c>
      <c r="I264" s="75" t="str">
        <f>IF(LS[[#This Row],[B/S]]="B","BUY",(IF(LS[[#This Row],[B/S]]="S","SELL"," ")))</f>
        <v>SELL</v>
      </c>
      <c r="J264" s="75" t="s">
        <v>1231</v>
      </c>
      <c r="K264" s="88">
        <v>-805000</v>
      </c>
      <c r="L264" s="88"/>
      <c r="M264" s="89">
        <f>LS[[#This Row],[Amount]]/LS[[#This Row],[Unit]]</f>
        <v>10.595032838021032</v>
      </c>
      <c r="N264" s="90">
        <f>LS[[#This Row],[Unit Capital]]/10</f>
        <v>-75979</v>
      </c>
      <c r="O264" s="90">
        <f>SUMIFS(LS[[#Headers],[Unit]]:LS[[#This Row],[Unit]],LS[[#Headers],[Investor ID]]:LS[[#This Row],[Investor ID]],LS[[#This Row],[Investor ID]])</f>
        <v>2424021</v>
      </c>
      <c r="P264" s="96">
        <v>-759790</v>
      </c>
      <c r="Q264" s="48">
        <f>LS[[#This Row],[Amount]]-LS[[#This Row],[Unit Capital]]</f>
        <v>-45210</v>
      </c>
      <c r="R26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64" s="89">
        <f t="shared" si="4"/>
        <v>14.224</v>
      </c>
      <c r="T264" s="96">
        <f>IF(LS[[#This Row],[B/S]]="B",0,ABS(LS[[#This Row],[Unit]])*(LS[[#This Row],[NAV (Strike Rate)]]-INDEX(LS[NAV at Cost (Average)],MATCH(CONCATENATE(LS[[#This Row],[Frequency]]-1,LS[[#This Row],[Investor ID]]),LS[Unique Code],0),)))</f>
        <v>44131.486532220297</v>
      </c>
      <c r="U264" s="96" cm="1">
        <f t="array" ref="U264">IF(LS[[#This Row],[B/S]]="S",ABS(LS[[#This Row],[Unit]])*(INDEX(LS[NAV at Cost (Average)],MATCH(CONCATENATE((LS[[#This Row],[Frequency]]-1),LS[[#This Row],[Investor ID]]),LS[Unique Code],0),0)),0)</f>
        <v>760868.51346777973</v>
      </c>
      <c r="V264" s="96">
        <f>IF(LS[[#This Row],[BO TRANSFER]]="YES",LS[[#This Row],[Unit]],)</f>
        <v>0</v>
      </c>
      <c r="W264" s="96">
        <f>SUMIFS(LS[[#Headers],[BO UNIT TRANSFER]]:LS[[#This Row],[BO UNIT TRANSFER]],LS[[#Headers],[Investor ID]]:LS[[#This Row],[Investor ID]],LS[[#This Row],[Investor ID]])</f>
        <v>0</v>
      </c>
    </row>
    <row r="265" spans="1:23">
      <c r="A265" s="75">
        <v>2023</v>
      </c>
      <c r="B265" s="75">
        <v>11</v>
      </c>
      <c r="C265" s="75">
        <v>29</v>
      </c>
      <c r="D265" s="81">
        <f>DATE(LS[[#This Row],[Year]],LS[[#This Row],[Month]],LS[[#This Row],[Day]])</f>
        <v>45259</v>
      </c>
      <c r="E265" t="str" cm="1">
        <f t="array" ref="E265">INDEX(INVESTORS_LIST[INVESTOR NAME],MATCH(LS[[#This Row],[Investor ID]],INVESTORS_LIST[INVESTOR CODE],0),)</f>
        <v>MOHAMMAD HASAN SHAHRIAR MASUD</v>
      </c>
      <c r="F265" s="83" t="s">
        <v>954</v>
      </c>
      <c r="G265" s="75">
        <f>COUNTIF(LS[[#Headers],[Investor ID]]:LS[[#This Row],[Investor ID]],LS[[#This Row],[Investor ID]])</f>
        <v>2</v>
      </c>
      <c r="H265" s="75" t="str">
        <f>CONCATENATE(LS[[#This Row],[Frequency]],LS[[#This Row],[Investor ID]])</f>
        <v>2A00454</v>
      </c>
      <c r="I265" s="75" t="str">
        <f>IF(LS[[#This Row],[B/S]]="B","BUY",(IF(LS[[#This Row],[B/S]]="S","SELL"," ")))</f>
        <v>BUY</v>
      </c>
      <c r="J265" s="75" t="s">
        <v>1229</v>
      </c>
      <c r="K265" s="88">
        <v>3500000</v>
      </c>
      <c r="L265" s="88"/>
      <c r="M265" s="89">
        <f>LS[[#This Row],[Amount]]/LS[[#This Row],[Unit]]</f>
        <v>10.594984031845495</v>
      </c>
      <c r="N265" s="90">
        <f>LS[[#This Row],[Unit Capital]]/10</f>
        <v>330345</v>
      </c>
      <c r="O265" s="90">
        <f>SUMIFS(LS[[#Headers],[Unit]]:LS[[#This Row],[Unit]],LS[[#Headers],[Investor ID]]:LS[[#This Row],[Investor ID]],LS[[#This Row],[Investor ID]])</f>
        <v>480345</v>
      </c>
      <c r="P265" s="96">
        <v>3303450</v>
      </c>
      <c r="Q265" s="48">
        <f>LS[[#This Row],[Amount]]-LS[[#This Row],[Unit Capital]]</f>
        <v>196550</v>
      </c>
      <c r="R26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10.409185064901269</v>
      </c>
      <c r="S265" s="89">
        <f t="shared" si="4"/>
        <v>14.224</v>
      </c>
      <c r="T26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65" s="96" cm="1">
        <f t="array" ref="U265">IF(LS[[#This Row],[B/S]]="S",ABS(LS[[#This Row],[Unit]])*(INDEX(LS[NAV at Cost (Average)],MATCH(CONCATENATE((LS[[#This Row],[Frequency]]-1),LS[[#This Row],[Investor ID]]),LS[Unique Code],0),0)),0)</f>
        <v>0</v>
      </c>
      <c r="V265" s="96">
        <f>IF(LS[[#This Row],[BO TRANSFER]]="YES",LS[[#This Row],[Unit]],)</f>
        <v>0</v>
      </c>
      <c r="W265" s="96">
        <f>SUMIFS(LS[[#Headers],[BO UNIT TRANSFER]]:LS[[#This Row],[BO UNIT TRANSFER]],LS[[#Headers],[Investor ID]]:LS[[#This Row],[Investor ID]],LS[[#This Row],[Investor ID]])</f>
        <v>0</v>
      </c>
    </row>
    <row r="266" spans="1:23">
      <c r="A266" s="75">
        <v>2023</v>
      </c>
      <c r="B266" s="75">
        <v>11</v>
      </c>
      <c r="C266" s="75">
        <v>30</v>
      </c>
      <c r="D266" s="81">
        <f>DATE(LS[[#This Row],[Year]],LS[[#This Row],[Month]],LS[[#This Row],[Day]])</f>
        <v>45260</v>
      </c>
      <c r="E266" t="str" cm="1">
        <f t="array" ref="E266">INDEX(INVESTORS_LIST[INVESTOR NAME],MATCH(LS[[#This Row],[Investor ID]],INVESTORS_LIST[INVESTOR CODE],0),)</f>
        <v>EKUSH WEALTH MANAGEMENT LIMITED</v>
      </c>
      <c r="F266" s="83" t="s">
        <v>47</v>
      </c>
      <c r="G266" s="75">
        <f>COUNTIF(LS[[#Headers],[Investor ID]]:LS[[#This Row],[Investor ID]],LS[[#This Row],[Investor ID]])</f>
        <v>13</v>
      </c>
      <c r="H266" s="75" t="str">
        <f>CONCATENATE(LS[[#This Row],[Frequency]],LS[[#This Row],[Investor ID]])</f>
        <v>13A00003</v>
      </c>
      <c r="I266" s="75" t="str">
        <f>IF(LS[[#This Row],[B/S]]="B","BUY",(IF(LS[[#This Row],[B/S]]="S","SELL"," ")))</f>
        <v>SELL</v>
      </c>
      <c r="J266" s="75" t="s">
        <v>1231</v>
      </c>
      <c r="K266" s="88">
        <v>-500000</v>
      </c>
      <c r="L266" s="88"/>
      <c r="M266" s="89">
        <f>LS[[#This Row],[Amount]]/LS[[#This Row],[Unit]]</f>
        <v>10.595016104424479</v>
      </c>
      <c r="N266" s="90">
        <f>LS[[#This Row],[Unit Capital]]/10</f>
        <v>-47192</v>
      </c>
      <c r="O266" s="90">
        <f>SUMIFS(LS[[#Headers],[Unit]]:LS[[#This Row],[Unit]],LS[[#Headers],[Investor ID]]:LS[[#This Row],[Investor ID]],LS[[#This Row],[Investor ID]])</f>
        <v>2376829</v>
      </c>
      <c r="P266" s="96">
        <v>-471920</v>
      </c>
      <c r="Q266" s="48">
        <f>LS[[#This Row],[Amount]]-LS[[#This Row],[Unit Capital]]</f>
        <v>-28080</v>
      </c>
      <c r="R26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66" s="89">
        <f t="shared" si="4"/>
        <v>14.224</v>
      </c>
      <c r="T266" s="96">
        <f>IF(LS[[#This Row],[B/S]]="B",0,ABS(LS[[#This Row],[Unit]])*(LS[[#This Row],[NAV (Strike Rate)]]-INDEX(LS[NAV at Cost (Average)],MATCH(CONCATENATE(LS[[#This Row],[Frequency]]-1,LS[[#This Row],[Investor ID]]),LS[Unique Code],0),)))</f>
        <v>27410.114800517804</v>
      </c>
      <c r="U266" s="96" cm="1">
        <f t="array" ref="U266">IF(LS[[#This Row],[B/S]]="S",ABS(LS[[#This Row],[Unit]])*(INDEX(LS[NAV at Cost (Average)],MATCH(CONCATENATE((LS[[#This Row],[Frequency]]-1),LS[[#This Row],[Investor ID]]),LS[Unique Code],0),0)),0)</f>
        <v>472589.8851994822</v>
      </c>
      <c r="V266" s="96">
        <f>IF(LS[[#This Row],[BO TRANSFER]]="YES",LS[[#This Row],[Unit]],)</f>
        <v>0</v>
      </c>
      <c r="W266" s="96">
        <f>SUMIFS(LS[[#Headers],[BO UNIT TRANSFER]]:LS[[#This Row],[BO UNIT TRANSFER]],LS[[#Headers],[Investor ID]]:LS[[#This Row],[Investor ID]],LS[[#This Row],[Investor ID]])</f>
        <v>0</v>
      </c>
    </row>
    <row r="267" spans="1:23">
      <c r="A267" s="75">
        <v>2023</v>
      </c>
      <c r="B267" s="75">
        <v>11</v>
      </c>
      <c r="C267" s="75">
        <v>30</v>
      </c>
      <c r="D267" s="81">
        <f>DATE(LS[[#This Row],[Year]],LS[[#This Row],[Month]],LS[[#This Row],[Day]])</f>
        <v>45260</v>
      </c>
      <c r="E267" t="str" cm="1">
        <f t="array" ref="E267">INDEX(INVESTORS_LIST[INVESTOR NAME],MATCH(LS[[#This Row],[Investor ID]],INVESTORS_LIST[INVESTOR CODE],0),)</f>
        <v>SAILA SATTER</v>
      </c>
      <c r="F267" s="83" t="s">
        <v>389</v>
      </c>
      <c r="G267" s="75">
        <f>COUNTIF(LS[[#Headers],[Investor ID]]:LS[[#This Row],[Investor ID]],LS[[#This Row],[Investor ID]])</f>
        <v>2</v>
      </c>
      <c r="H267" s="75" t="str">
        <f>CONCATENATE(LS[[#This Row],[Frequency]],LS[[#This Row],[Investor ID]])</f>
        <v>2A00170</v>
      </c>
      <c r="I267" s="75" t="str">
        <f>IF(LS[[#This Row],[B/S]]="B","BUY",(IF(LS[[#This Row],[B/S]]="S","SELL"," ")))</f>
        <v>SELL</v>
      </c>
      <c r="J267" s="75" t="s">
        <v>1231</v>
      </c>
      <c r="K267" s="88">
        <v>-847600</v>
      </c>
      <c r="L267" s="88"/>
      <c r="M267" s="89">
        <f>LS[[#This Row],[Amount]]/LS[[#This Row],[Unit]]</f>
        <v>10.595000000000001</v>
      </c>
      <c r="N267" s="90">
        <f>LS[[#This Row],[Unit Capital]]/10</f>
        <v>-80000</v>
      </c>
      <c r="O267" s="90">
        <f>SUMIFS(LS[[#Headers],[Unit]]:LS[[#This Row],[Unit]],LS[[#Headers],[Investor ID]]:LS[[#This Row],[Investor ID]],LS[[#This Row],[Investor ID]])</f>
        <v>0</v>
      </c>
      <c r="P267" s="96">
        <v>-800000</v>
      </c>
      <c r="Q267" s="48">
        <f>LS[[#This Row],[Amount]]-LS[[#This Row],[Unit Capital]]</f>
        <v>-47600</v>
      </c>
      <c r="R26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67" s="89">
        <f t="shared" si="4"/>
        <v>14.224</v>
      </c>
      <c r="T267" s="96">
        <f>IF(LS[[#This Row],[B/S]]="B",0,ABS(LS[[#This Row],[Unit]])*(LS[[#This Row],[NAV (Strike Rate)]]-INDEX(LS[NAV at Cost (Average)],MATCH(CONCATENATE(LS[[#This Row],[Frequency]]-1,LS[[#This Row],[Investor ID]]),LS[Unique Code],0),)))</f>
        <v>47600.000000000051</v>
      </c>
      <c r="U267" s="96" cm="1">
        <f t="array" ref="U267">IF(LS[[#This Row],[B/S]]="S",ABS(LS[[#This Row],[Unit]])*(INDEX(LS[NAV at Cost (Average)],MATCH(CONCATENATE((LS[[#This Row],[Frequency]]-1),LS[[#This Row],[Investor ID]]),LS[Unique Code],0),0)),0)</f>
        <v>800000</v>
      </c>
      <c r="V267" s="96">
        <f>IF(LS[[#This Row],[BO TRANSFER]]="YES",LS[[#This Row],[Unit]],)</f>
        <v>0</v>
      </c>
      <c r="W267" s="96">
        <f>SUMIFS(LS[[#Headers],[BO UNIT TRANSFER]]:LS[[#This Row],[BO UNIT TRANSFER]],LS[[#Headers],[Investor ID]]:LS[[#This Row],[Investor ID]],LS[[#This Row],[Investor ID]])</f>
        <v>0</v>
      </c>
    </row>
    <row r="268" spans="1:23">
      <c r="A268" s="75">
        <v>2023</v>
      </c>
      <c r="B268" s="75">
        <v>11</v>
      </c>
      <c r="C268" s="75">
        <v>30</v>
      </c>
      <c r="D268" s="81">
        <f>DATE(LS[[#This Row],[Year]],LS[[#This Row],[Month]],LS[[#This Row],[Day]])</f>
        <v>45260</v>
      </c>
      <c r="E268" t="str" cm="1">
        <f t="array" ref="E268">INDEX(INVESTORS_LIST[INVESTOR NAME],MATCH(LS[[#This Row],[Investor ID]],INVESTORS_LIST[INVESTOR CODE],0),)</f>
        <v>RAJIB CHOWDHURY</v>
      </c>
      <c r="F268" s="83" t="s">
        <v>322</v>
      </c>
      <c r="G268" s="75">
        <f>COUNTIF(LS[[#Headers],[Investor ID]]:LS[[#This Row],[Investor ID]],LS[[#This Row],[Investor ID]])</f>
        <v>2</v>
      </c>
      <c r="H268" s="75" t="str">
        <f>CONCATENATE(LS[[#This Row],[Frequency]],LS[[#This Row],[Investor ID]])</f>
        <v>2A00137</v>
      </c>
      <c r="I268" s="75" t="str">
        <f>IF(LS[[#This Row],[B/S]]="B","BUY",(IF(LS[[#This Row],[B/S]]="S","SELL"," ")))</f>
        <v>SELL</v>
      </c>
      <c r="J268" s="75" t="s">
        <v>1231</v>
      </c>
      <c r="K268" s="88">
        <v>-317850</v>
      </c>
      <c r="L268" s="88"/>
      <c r="M268" s="89">
        <f>LS[[#This Row],[Amount]]/LS[[#This Row],[Unit]]</f>
        <v>10.595000000000001</v>
      </c>
      <c r="N268" s="90">
        <f>LS[[#This Row],[Unit Capital]]/10</f>
        <v>-30000</v>
      </c>
      <c r="O268" s="90">
        <f>SUMIFS(LS[[#Headers],[Unit]]:LS[[#This Row],[Unit]],LS[[#Headers],[Investor ID]]:LS[[#This Row],[Investor ID]],LS[[#This Row],[Investor ID]])</f>
        <v>0</v>
      </c>
      <c r="P268" s="96">
        <v>-300000</v>
      </c>
      <c r="Q268" s="48">
        <f>LS[[#This Row],[Amount]]-LS[[#This Row],[Unit Capital]]</f>
        <v>-17850</v>
      </c>
      <c r="R26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68" s="89">
        <f t="shared" si="4"/>
        <v>14.224</v>
      </c>
      <c r="T268" s="96">
        <f>IF(LS[[#This Row],[B/S]]="B",0,ABS(LS[[#This Row],[Unit]])*(LS[[#This Row],[NAV (Strike Rate)]]-INDEX(LS[NAV at Cost (Average)],MATCH(CONCATENATE(LS[[#This Row],[Frequency]]-1,LS[[#This Row],[Investor ID]]),LS[Unique Code],0),)))</f>
        <v>17850.000000000018</v>
      </c>
      <c r="U268" s="96" cm="1">
        <f t="array" ref="U268">IF(LS[[#This Row],[B/S]]="S",ABS(LS[[#This Row],[Unit]])*(INDEX(LS[NAV at Cost (Average)],MATCH(CONCATENATE((LS[[#This Row],[Frequency]]-1),LS[[#This Row],[Investor ID]]),LS[Unique Code],0),0)),0)</f>
        <v>300000</v>
      </c>
      <c r="V268" s="96">
        <f>IF(LS[[#This Row],[BO TRANSFER]]="YES",LS[[#This Row],[Unit]],)</f>
        <v>0</v>
      </c>
      <c r="W268" s="96">
        <f>SUMIFS(LS[[#Headers],[BO UNIT TRANSFER]]:LS[[#This Row],[BO UNIT TRANSFER]],LS[[#Headers],[Investor ID]]:LS[[#This Row],[Investor ID]],LS[[#This Row],[Investor ID]])</f>
        <v>0</v>
      </c>
    </row>
    <row r="269" spans="1:23">
      <c r="A269" s="75">
        <v>2023</v>
      </c>
      <c r="B269" s="75">
        <v>11</v>
      </c>
      <c r="C269" s="75">
        <v>30</v>
      </c>
      <c r="D269" s="81">
        <f>DATE(LS[[#This Row],[Year]],LS[[#This Row],[Month]],LS[[#This Row],[Day]])</f>
        <v>45260</v>
      </c>
      <c r="E269" t="str" cm="1">
        <f t="array" ref="E269">INDEX(INVESTORS_LIST[INVESTOR NAME],MATCH(LS[[#This Row],[Investor ID]],INVESTORS_LIST[INVESTOR CODE],0),)</f>
        <v>ASHAK ELAHI</v>
      </c>
      <c r="F269" s="83" t="s">
        <v>1077</v>
      </c>
      <c r="G269" s="75">
        <f>COUNTIF(LS[[#Headers],[Investor ID]]:LS[[#This Row],[Investor ID]],LS[[#This Row],[Investor ID]])</f>
        <v>1</v>
      </c>
      <c r="H269" s="75" t="str">
        <f>CONCATENATE(LS[[#This Row],[Frequency]],LS[[#This Row],[Investor ID]])</f>
        <v>1A00516</v>
      </c>
      <c r="I269" s="75" t="str">
        <f>IF(LS[[#This Row],[B/S]]="B","BUY",(IF(LS[[#This Row],[B/S]]="S","SELL"," ")))</f>
        <v>BUY</v>
      </c>
      <c r="J269" s="75" t="s">
        <v>1229</v>
      </c>
      <c r="K269" s="88">
        <v>49820</v>
      </c>
      <c r="L269" s="88"/>
      <c r="M269" s="89">
        <f>LS[[#This Row],[Amount]]/LS[[#This Row],[Unit]]</f>
        <v>10.595491280306252</v>
      </c>
      <c r="N269" s="90">
        <f>LS[[#This Row],[Unit Capital]]/10</f>
        <v>4702</v>
      </c>
      <c r="O269" s="90">
        <f>SUMIFS(LS[[#Headers],[Unit]]:LS[[#This Row],[Unit]],LS[[#Headers],[Investor ID]]:LS[[#This Row],[Investor ID]],LS[[#This Row],[Investor ID]])</f>
        <v>4702</v>
      </c>
      <c r="P269" s="96">
        <v>47020</v>
      </c>
      <c r="Q269" s="48">
        <f>LS[[#This Row],[Amount]]-LS[[#This Row],[Unit Capital]]</f>
        <v>2800</v>
      </c>
      <c r="R26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10.595491280306252</v>
      </c>
      <c r="S269" s="89">
        <f t="shared" si="4"/>
        <v>14.224</v>
      </c>
      <c r="T26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69" s="96" cm="1">
        <f t="array" ref="U269">IF(LS[[#This Row],[B/S]]="S",ABS(LS[[#This Row],[Unit]])*(INDEX(LS[NAV at Cost (Average)],MATCH(CONCATENATE((LS[[#This Row],[Frequency]]-1),LS[[#This Row],[Investor ID]]),LS[Unique Code],0),0)),0)</f>
        <v>0</v>
      </c>
      <c r="V269" s="96">
        <f>IF(LS[[#This Row],[BO TRANSFER]]="YES",LS[[#This Row],[Unit]],)</f>
        <v>0</v>
      </c>
      <c r="W269" s="96">
        <f>SUMIFS(LS[[#Headers],[BO UNIT TRANSFER]]:LS[[#This Row],[BO UNIT TRANSFER]],LS[[#Headers],[Investor ID]]:LS[[#This Row],[Investor ID]],LS[[#This Row],[Investor ID]])</f>
        <v>0</v>
      </c>
    </row>
    <row r="270" spans="1:23">
      <c r="A270" s="75">
        <v>2023</v>
      </c>
      <c r="B270" s="75">
        <v>12</v>
      </c>
      <c r="C270" s="75">
        <v>5</v>
      </c>
      <c r="D270" s="81">
        <f>DATE(LS[[#This Row],[Year]],LS[[#This Row],[Month]],LS[[#This Row],[Day]])</f>
        <v>45265</v>
      </c>
      <c r="E270" t="str" cm="1">
        <f t="array" ref="E270">INDEX(INVESTORS_LIST[INVESTOR NAME],MATCH(LS[[#This Row],[Investor ID]],INVESTORS_LIST[INVESTOR CODE],0),)</f>
        <v>MD. IFTEKHARUL ISLAM BHUIYAN</v>
      </c>
      <c r="F270" s="83" t="s">
        <v>948</v>
      </c>
      <c r="G270" s="75">
        <f>COUNTIF(LS[[#Headers],[Investor ID]]:LS[[#This Row],[Investor ID]],LS[[#This Row],[Investor ID]])</f>
        <v>2</v>
      </c>
      <c r="H270" s="75" t="str">
        <f>CONCATENATE(LS[[#This Row],[Frequency]],LS[[#This Row],[Investor ID]])</f>
        <v>2A00451</v>
      </c>
      <c r="I270" s="75" t="str">
        <f>IF(LS[[#This Row],[B/S]]="B","BUY",(IF(LS[[#This Row],[B/S]]="S","SELL"," ")))</f>
        <v>SELL</v>
      </c>
      <c r="J270" s="75" t="s">
        <v>1231</v>
      </c>
      <c r="K270" s="88">
        <v>-52975</v>
      </c>
      <c r="L270" s="88"/>
      <c r="M270" s="89">
        <f>LS[[#This Row],[Amount]]/LS[[#This Row],[Unit]]</f>
        <v>10.595000000000001</v>
      </c>
      <c r="N270" s="90">
        <f>LS[[#This Row],[Unit Capital]]/10</f>
        <v>-5000</v>
      </c>
      <c r="O270" s="90">
        <f>SUMIFS(LS[[#Headers],[Unit]]:LS[[#This Row],[Unit]],LS[[#Headers],[Investor ID]]:LS[[#This Row],[Investor ID]],LS[[#This Row],[Investor ID]])</f>
        <v>0</v>
      </c>
      <c r="P270" s="96">
        <v>-50000</v>
      </c>
      <c r="Q270" s="48">
        <f>LS[[#This Row],[Amount]]-LS[[#This Row],[Unit Capital]]</f>
        <v>-2975</v>
      </c>
      <c r="R27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70" s="89">
        <f t="shared" si="4"/>
        <v>14.224</v>
      </c>
      <c r="T270" s="96">
        <f>IF(LS[[#This Row],[B/S]]="B",0,ABS(LS[[#This Row],[Unit]])*(LS[[#This Row],[NAV (Strike Rate)]]-INDEX(LS[NAV at Cost (Average)],MATCH(CONCATENATE(LS[[#This Row],[Frequency]]-1,LS[[#This Row],[Investor ID]]),LS[Unique Code],0),)))</f>
        <v>2975.0000000000032</v>
      </c>
      <c r="U270" s="96" cm="1">
        <f t="array" ref="U270">IF(LS[[#This Row],[B/S]]="S",ABS(LS[[#This Row],[Unit]])*(INDEX(LS[NAV at Cost (Average)],MATCH(CONCATENATE((LS[[#This Row],[Frequency]]-1),LS[[#This Row],[Investor ID]]),LS[Unique Code],0),0)),0)</f>
        <v>50000</v>
      </c>
      <c r="V270" s="96">
        <f>IF(LS[[#This Row],[BO TRANSFER]]="YES",LS[[#This Row],[Unit]],)</f>
        <v>0</v>
      </c>
      <c r="W270" s="96">
        <f>SUMIFS(LS[[#Headers],[BO UNIT TRANSFER]]:LS[[#This Row],[BO UNIT TRANSFER]],LS[[#Headers],[Investor ID]]:LS[[#This Row],[Investor ID]],LS[[#This Row],[Investor ID]])</f>
        <v>0</v>
      </c>
    </row>
    <row r="271" spans="1:23">
      <c r="A271" s="75">
        <v>2023</v>
      </c>
      <c r="B271" s="75">
        <v>12</v>
      </c>
      <c r="C271" s="75">
        <v>4</v>
      </c>
      <c r="D271" s="81">
        <f>DATE(LS[[#This Row],[Year]],LS[[#This Row],[Month]],LS[[#This Row],[Day]])</f>
        <v>45264</v>
      </c>
      <c r="E271" t="str" cm="1">
        <f t="array" ref="E271">INDEX(INVESTORS_LIST[INVESTOR NAME],MATCH(LS[[#This Row],[Investor ID]],INVESTORS_LIST[INVESTOR CODE],0),)</f>
        <v>ARZUN KUMAR SARKAR</v>
      </c>
      <c r="F271" s="83" t="s">
        <v>310</v>
      </c>
      <c r="G271" s="75">
        <f>COUNTIF(LS[[#Headers],[Investor ID]]:LS[[#This Row],[Investor ID]],LS[[#This Row],[Investor ID]])</f>
        <v>2</v>
      </c>
      <c r="H271" s="75" t="str">
        <f>CONCATENATE(LS[[#This Row],[Frequency]],LS[[#This Row],[Investor ID]])</f>
        <v>2A00131</v>
      </c>
      <c r="I271" s="75" t="str">
        <f>IF(LS[[#This Row],[B/S]]="B","BUY",(IF(LS[[#This Row],[B/S]]="S","SELL"," ")))</f>
        <v>SELL</v>
      </c>
      <c r="J271" s="75" t="s">
        <v>1231</v>
      </c>
      <c r="K271" s="88">
        <v>-60000</v>
      </c>
      <c r="L271" s="88"/>
      <c r="M271" s="89">
        <f>LS[[#This Row],[Amount]]/LS[[#This Row],[Unit]]</f>
        <v>10.611956137247965</v>
      </c>
      <c r="N271" s="90">
        <f>LS[[#This Row],[Unit Capital]]/10</f>
        <v>-5654</v>
      </c>
      <c r="O271" s="90">
        <f>SUMIFS(LS[[#Headers],[Unit]]:LS[[#This Row],[Unit]],LS[[#Headers],[Investor ID]]:LS[[#This Row],[Investor ID]],LS[[#This Row],[Investor ID]])</f>
        <v>22885</v>
      </c>
      <c r="P271" s="96">
        <v>-56540</v>
      </c>
      <c r="Q271" s="48">
        <f>LS[[#This Row],[Amount]]-LS[[#This Row],[Unit Capital]]</f>
        <v>-3460</v>
      </c>
      <c r="R27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10.511931041732366</v>
      </c>
      <c r="S271" s="89">
        <f t="shared" si="4"/>
        <v>14.224</v>
      </c>
      <c r="T271" s="96">
        <f>IF(LS[[#This Row],[B/S]]="B",0,ABS(LS[[#This Row],[Unit]])*(LS[[#This Row],[NAV (Strike Rate)]]-INDEX(LS[NAV at Cost (Average)],MATCH(CONCATENATE(LS[[#This Row],[Frequency]]-1,LS[[#This Row],[Investor ID]]),LS[Unique Code],0),)))</f>
        <v>565.54189004519935</v>
      </c>
      <c r="U271" s="96" cm="1">
        <f t="array" ref="U271">IF(LS[[#This Row],[B/S]]="S",ABS(LS[[#This Row],[Unit]])*(INDEX(LS[NAV at Cost (Average)],MATCH(CONCATENATE((LS[[#This Row],[Frequency]]-1),LS[[#This Row],[Investor ID]]),LS[Unique Code],0),0)),0)</f>
        <v>59434.458109954794</v>
      </c>
      <c r="V271" s="96">
        <f>IF(LS[[#This Row],[BO TRANSFER]]="YES",LS[[#This Row],[Unit]],)</f>
        <v>0</v>
      </c>
      <c r="W271" s="96">
        <f>SUMIFS(LS[[#Headers],[BO UNIT TRANSFER]]:LS[[#This Row],[BO UNIT TRANSFER]],LS[[#Headers],[Investor ID]]:LS[[#This Row],[Investor ID]],LS[[#This Row],[Investor ID]])</f>
        <v>0</v>
      </c>
    </row>
    <row r="272" spans="1:23">
      <c r="A272" s="75">
        <v>2023</v>
      </c>
      <c r="B272" s="75">
        <v>12</v>
      </c>
      <c r="C272" s="75">
        <v>7</v>
      </c>
      <c r="D272" s="81">
        <f>DATE(LS[[#This Row],[Year]],LS[[#This Row],[Month]],LS[[#This Row],[Day]])</f>
        <v>45267</v>
      </c>
      <c r="E272" t="str" cm="1">
        <f t="array" ref="E272">INDEX(INVESTORS_LIST[INVESTOR NAME],MATCH(LS[[#This Row],[Investor ID]],INVESTORS_LIST[INVESTOR CODE],0),)</f>
        <v>MOHAMMAD HUMAYAN RASHID</v>
      </c>
      <c r="F272" s="83" t="s">
        <v>974</v>
      </c>
      <c r="G272" s="75">
        <f>COUNTIF(LS[[#Headers],[Investor ID]]:LS[[#This Row],[Investor ID]],LS[[#This Row],[Investor ID]])</f>
        <v>7</v>
      </c>
      <c r="H272" s="75" t="str">
        <f>CONCATENATE(LS[[#This Row],[Frequency]],LS[[#This Row],[Investor ID]])</f>
        <v>7A00464</v>
      </c>
      <c r="I272" s="75" t="str">
        <f>IF(LS[[#This Row],[B/S]]="B","BUY",(IF(LS[[#This Row],[B/S]]="S","SELL"," ")))</f>
        <v>BUY</v>
      </c>
      <c r="J272" s="75" t="s">
        <v>1229</v>
      </c>
      <c r="K272" s="88">
        <v>3000000</v>
      </c>
      <c r="L272" s="88"/>
      <c r="M272" s="89">
        <f>LS[[#This Row],[Amount]]/LS[[#This Row],[Unit]]</f>
        <v>10.611993675251769</v>
      </c>
      <c r="N272" s="90">
        <f>LS[[#This Row],[Unit Capital]]/10</f>
        <v>282699</v>
      </c>
      <c r="O272" s="90">
        <f>SUMIFS(LS[[#Headers],[Unit]]:LS[[#This Row],[Unit]],LS[[#Headers],[Investor ID]]:LS[[#This Row],[Investor ID]],LS[[#This Row],[Investor ID]])</f>
        <v>771210</v>
      </c>
      <c r="P272" s="96">
        <v>2826990</v>
      </c>
      <c r="Q272" s="48">
        <f>LS[[#This Row],[Amount]]-LS[[#This Row],[Unit Capital]]</f>
        <v>173010</v>
      </c>
      <c r="R27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10.373309474721541</v>
      </c>
      <c r="S272" s="89">
        <f t="shared" si="4"/>
        <v>14.224</v>
      </c>
      <c r="T27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72" s="96" cm="1">
        <f t="array" ref="U272">IF(LS[[#This Row],[B/S]]="S",ABS(LS[[#This Row],[Unit]])*(INDEX(LS[NAV at Cost (Average)],MATCH(CONCATENATE((LS[[#This Row],[Frequency]]-1),LS[[#This Row],[Investor ID]]),LS[Unique Code],0),0)),0)</f>
        <v>0</v>
      </c>
      <c r="V272" s="96">
        <f>IF(LS[[#This Row],[BO TRANSFER]]="YES",LS[[#This Row],[Unit]],)</f>
        <v>0</v>
      </c>
      <c r="W272" s="96">
        <f>SUMIFS(LS[[#Headers],[BO UNIT TRANSFER]]:LS[[#This Row],[BO UNIT TRANSFER]],LS[[#Headers],[Investor ID]]:LS[[#This Row],[Investor ID]],LS[[#This Row],[Investor ID]])</f>
        <v>0</v>
      </c>
    </row>
    <row r="273" spans="1:23">
      <c r="A273" s="75">
        <v>2023</v>
      </c>
      <c r="B273" s="75">
        <v>12</v>
      </c>
      <c r="C273" s="75">
        <v>7</v>
      </c>
      <c r="D273" s="81">
        <f>DATE(LS[[#This Row],[Year]],LS[[#This Row],[Month]],LS[[#This Row],[Day]])</f>
        <v>45267</v>
      </c>
      <c r="E273" t="str" cm="1">
        <f t="array" ref="E273">INDEX(INVESTORS_LIST[INVESTOR NAME],MATCH(LS[[#This Row],[Investor ID]],INVESTORS_LIST[INVESTOR CODE],0),)</f>
        <v>MAYA RANI SAHA</v>
      </c>
      <c r="F273" s="83" t="s">
        <v>224</v>
      </c>
      <c r="G273" s="75">
        <f>COUNTIF(LS[[#Headers],[Investor ID]]:LS[[#This Row],[Investor ID]],LS[[#This Row],[Investor ID]])</f>
        <v>10</v>
      </c>
      <c r="H273" s="75" t="str">
        <f>CONCATENATE(LS[[#This Row],[Frequency]],LS[[#This Row],[Investor ID]])</f>
        <v>10A00088</v>
      </c>
      <c r="I273" s="75" t="str">
        <f>IF(LS[[#This Row],[B/S]]="B","BUY",(IF(LS[[#This Row],[B/S]]="S","SELL"," ")))</f>
        <v>BUY</v>
      </c>
      <c r="J273" s="75" t="s">
        <v>1229</v>
      </c>
      <c r="K273" s="88">
        <v>100000</v>
      </c>
      <c r="L273" s="88"/>
      <c r="M273" s="89">
        <f>LS[[#This Row],[Amount]]/LS[[#This Row],[Unit]]</f>
        <v>10.612331529236974</v>
      </c>
      <c r="N273" s="90">
        <f>LS[[#This Row],[Unit Capital]]/10</f>
        <v>9423</v>
      </c>
      <c r="O273" s="90">
        <f>SUMIFS(LS[[#Headers],[Unit]]:LS[[#This Row],[Unit]],LS[[#Headers],[Investor ID]]:LS[[#This Row],[Investor ID]],LS[[#This Row],[Investor ID]])</f>
        <v>561383</v>
      </c>
      <c r="P273" s="96">
        <v>94230</v>
      </c>
      <c r="Q273" s="48">
        <f>LS[[#This Row],[Amount]]-LS[[#This Row],[Unit Capital]]</f>
        <v>5770</v>
      </c>
      <c r="R27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10.331627427264452</v>
      </c>
      <c r="S273" s="89">
        <f t="shared" si="4"/>
        <v>14.224</v>
      </c>
      <c r="T27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73" s="96" cm="1">
        <f t="array" ref="U273">IF(LS[[#This Row],[B/S]]="S",ABS(LS[[#This Row],[Unit]])*(INDEX(LS[NAV at Cost (Average)],MATCH(CONCATENATE((LS[[#This Row],[Frequency]]-1),LS[[#This Row],[Investor ID]]),LS[Unique Code],0),0)),0)</f>
        <v>0</v>
      </c>
      <c r="V273" s="96">
        <f>IF(LS[[#This Row],[BO TRANSFER]]="YES",LS[[#This Row],[Unit]],)</f>
        <v>0</v>
      </c>
      <c r="W273" s="96">
        <f>SUMIFS(LS[[#Headers],[BO UNIT TRANSFER]]:LS[[#This Row],[BO UNIT TRANSFER]],LS[[#Headers],[Investor ID]]:LS[[#This Row],[Investor ID]],LS[[#This Row],[Investor ID]])</f>
        <v>0</v>
      </c>
    </row>
    <row r="274" spans="1:23">
      <c r="A274" s="75">
        <v>2023</v>
      </c>
      <c r="B274" s="75">
        <v>12</v>
      </c>
      <c r="C274" s="75">
        <v>7</v>
      </c>
      <c r="D274" s="81">
        <f>DATE(LS[[#This Row],[Year]],LS[[#This Row],[Month]],LS[[#This Row],[Day]])</f>
        <v>45267</v>
      </c>
      <c r="E274" t="str" cm="1">
        <f t="array" ref="E274">INDEX(INVESTORS_LIST[INVESTOR NAME],MATCH(LS[[#This Row],[Investor ID]],INVESTORS_LIST[INVESTOR CODE],0),)</f>
        <v>KALPANA RANI</v>
      </c>
      <c r="F274" s="83" t="s">
        <v>1063</v>
      </c>
      <c r="G274" s="75">
        <f>COUNTIF(LS[[#Headers],[Investor ID]]:LS[[#This Row],[Investor ID]],LS[[#This Row],[Investor ID]])</f>
        <v>2</v>
      </c>
      <c r="H274" s="75" t="str">
        <f>CONCATENATE(LS[[#This Row],[Frequency]],LS[[#This Row],[Investor ID]])</f>
        <v>2A00509</v>
      </c>
      <c r="I274" s="75" t="str">
        <f>IF(LS[[#This Row],[B/S]]="B","BUY",(IF(LS[[#This Row],[B/S]]="S","SELL"," ")))</f>
        <v>SELL</v>
      </c>
      <c r="J274" s="75" t="s">
        <v>1231</v>
      </c>
      <c r="K274" s="88">
        <v>-306230.484</v>
      </c>
      <c r="L274" s="88"/>
      <c r="M274" s="89">
        <f>LS[[#This Row],[Amount]]/LS[[#This Row],[Unit]]</f>
        <v>10.612</v>
      </c>
      <c r="N274" s="90">
        <f>LS[[#This Row],[Unit Capital]]/10</f>
        <v>-28857</v>
      </c>
      <c r="O274" s="90">
        <f>SUMIFS(LS[[#Headers],[Unit]]:LS[[#This Row],[Unit]],LS[[#Headers],[Investor ID]]:LS[[#This Row],[Investor ID]],LS[[#This Row],[Investor ID]])</f>
        <v>0</v>
      </c>
      <c r="P274" s="96">
        <v>-288570</v>
      </c>
      <c r="Q274" s="48">
        <f>LS[[#This Row],[Amount]]-LS[[#This Row],[Unit Capital]]</f>
        <v>-17660.483999999997</v>
      </c>
      <c r="R27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74" s="89">
        <f t="shared" si="4"/>
        <v>14.224</v>
      </c>
      <c r="T274" s="96">
        <f>IF(LS[[#This Row],[B/S]]="B",0,ABS(LS[[#This Row],[Unit]])*(LS[[#This Row],[NAV (Strike Rate)]]-INDEX(LS[NAV at Cost (Average)],MATCH(CONCATENATE(LS[[#This Row],[Frequency]]-1,LS[[#This Row],[Investor ID]]),LS[Unique Code],0),)))</f>
        <v>6230.4839999999958</v>
      </c>
      <c r="U274" s="96" cm="1">
        <f t="array" ref="U274">IF(LS[[#This Row],[B/S]]="S",ABS(LS[[#This Row],[Unit]])*(INDEX(LS[NAV at Cost (Average)],MATCH(CONCATENATE((LS[[#This Row],[Frequency]]-1),LS[[#This Row],[Investor ID]]),LS[Unique Code],0),0)),0)</f>
        <v>300000</v>
      </c>
      <c r="V274" s="96">
        <f>IF(LS[[#This Row],[BO TRANSFER]]="YES",LS[[#This Row],[Unit]],)</f>
        <v>0</v>
      </c>
      <c r="W274" s="96">
        <f>SUMIFS(LS[[#Headers],[BO UNIT TRANSFER]]:LS[[#This Row],[BO UNIT TRANSFER]],LS[[#Headers],[Investor ID]]:LS[[#This Row],[Investor ID]],LS[[#This Row],[Investor ID]])</f>
        <v>0</v>
      </c>
    </row>
    <row r="275" spans="1:23">
      <c r="A275" s="75">
        <v>2023</v>
      </c>
      <c r="B275" s="75">
        <v>12</v>
      </c>
      <c r="C275" s="75">
        <v>11</v>
      </c>
      <c r="D275" s="81">
        <f>DATE(LS[[#This Row],[Year]],LS[[#This Row],[Month]],LS[[#This Row],[Day]])</f>
        <v>45271</v>
      </c>
      <c r="E275" t="str" cm="1">
        <f t="array" ref="E275">INDEX(INVESTORS_LIST[INVESTOR NAME],MATCH(LS[[#This Row],[Investor ID]],INVESTORS_LIST[INVESTOR CODE],0),)</f>
        <v>HAFIZA AFRIN TONNY</v>
      </c>
      <c r="F275" s="83" t="s">
        <v>766</v>
      </c>
      <c r="G275" s="75">
        <f>COUNTIF(LS[[#Headers],[Investor ID]]:LS[[#This Row],[Investor ID]],LS[[#This Row],[Investor ID]])</f>
        <v>10</v>
      </c>
      <c r="H275" s="75" t="str">
        <f>CONCATENATE(LS[[#This Row],[Frequency]],LS[[#This Row],[Investor ID]])</f>
        <v>10A00359</v>
      </c>
      <c r="I275" s="75" t="str">
        <f>IF(LS[[#This Row],[B/S]]="B","BUY",(IF(LS[[#This Row],[B/S]]="S","SELL"," ")))</f>
        <v>SELL</v>
      </c>
      <c r="J275" s="75" t="s">
        <v>1231</v>
      </c>
      <c r="K275" s="88">
        <v>-105132.91</v>
      </c>
      <c r="L275" s="88"/>
      <c r="M275" s="89">
        <f>LS[[#This Row],[Amount]]/LS[[#This Row],[Unit]]</f>
        <v>10.626999898918427</v>
      </c>
      <c r="N275" s="90">
        <f>LS[[#This Row],[Unit Capital]]/10</f>
        <v>-9893</v>
      </c>
      <c r="O275" s="90">
        <f>SUMIFS(LS[[#Headers],[Unit]]:LS[[#This Row],[Unit]],LS[[#Headers],[Investor ID]]:LS[[#This Row],[Investor ID]],LS[[#This Row],[Investor ID]])</f>
        <v>0</v>
      </c>
      <c r="P275" s="96">
        <v>-98930</v>
      </c>
      <c r="Q275" s="48">
        <f>LS[[#This Row],[Amount]]-LS[[#This Row],[Unit Capital]]</f>
        <v>-6202.9100000000035</v>
      </c>
      <c r="R27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75" s="89">
        <f t="shared" si="4"/>
        <v>14.224</v>
      </c>
      <c r="T275" s="96">
        <f>IF(LS[[#This Row],[B/S]]="B",0,ABS(LS[[#This Row],[Unit]])*(LS[[#This Row],[NAV (Strike Rate)]]-INDEX(LS[NAV at Cost (Average)],MATCH(CONCATENATE(LS[[#This Row],[Frequency]]-1,LS[[#This Row],[Investor ID]]),LS[Unique Code],0),)))</f>
        <v>3164.2437456194589</v>
      </c>
      <c r="U275" s="96" cm="1">
        <f t="array" ref="U275">IF(LS[[#This Row],[B/S]]="S",ABS(LS[[#This Row],[Unit]])*(INDEX(LS[NAV at Cost (Average)],MATCH(CONCATENATE((LS[[#This Row],[Frequency]]-1),LS[[#This Row],[Investor ID]]),LS[Unique Code],0),0)),0)</f>
        <v>101968.66625438054</v>
      </c>
      <c r="V275" s="96">
        <f>IF(LS[[#This Row],[BO TRANSFER]]="YES",LS[[#This Row],[Unit]],)</f>
        <v>0</v>
      </c>
      <c r="W275" s="96">
        <f>SUMIFS(LS[[#Headers],[BO UNIT TRANSFER]]:LS[[#This Row],[BO UNIT TRANSFER]],LS[[#Headers],[Investor ID]]:LS[[#This Row],[Investor ID]],LS[[#This Row],[Investor ID]])</f>
        <v>0</v>
      </c>
    </row>
    <row r="276" spans="1:23">
      <c r="A276" s="75">
        <v>2023</v>
      </c>
      <c r="B276" s="75">
        <v>12</v>
      </c>
      <c r="C276" s="75">
        <v>11</v>
      </c>
      <c r="D276" s="81">
        <f>DATE(LS[[#This Row],[Year]],LS[[#This Row],[Month]],LS[[#This Row],[Day]])</f>
        <v>45271</v>
      </c>
      <c r="E276" t="str" cm="1">
        <f t="array" ref="E276">INDEX(INVESTORS_LIST[INVESTOR NAME],MATCH(LS[[#This Row],[Investor ID]],INVESTORS_LIST[INVESTOR CODE],0),)</f>
        <v>MAMUN SIRAJUL ALAM</v>
      </c>
      <c r="F276" s="83" t="s">
        <v>992</v>
      </c>
      <c r="G276" s="75">
        <f>COUNTIF(LS[[#Headers],[Investor ID]]:LS[[#This Row],[Investor ID]],LS[[#This Row],[Investor ID]])</f>
        <v>2</v>
      </c>
      <c r="H276" s="75" t="str">
        <f>CONCATENATE(LS[[#This Row],[Frequency]],LS[[#This Row],[Investor ID]])</f>
        <v>2A00473</v>
      </c>
      <c r="I276" s="75" t="str">
        <f>IF(LS[[#This Row],[B/S]]="B","BUY",(IF(LS[[#This Row],[B/S]]="S","SELL"," ")))</f>
        <v>SELL</v>
      </c>
      <c r="J276" s="75" t="s">
        <v>1231</v>
      </c>
      <c r="K276" s="88">
        <v>-106270</v>
      </c>
      <c r="L276" s="88"/>
      <c r="M276" s="89">
        <f>LS[[#This Row],[Amount]]/LS[[#This Row],[Unit]]</f>
        <v>10.627000000000001</v>
      </c>
      <c r="N276" s="90">
        <f>LS[[#This Row],[Unit Capital]]/10</f>
        <v>-10000</v>
      </c>
      <c r="O276" s="90">
        <f>SUMIFS(LS[[#Headers],[Unit]]:LS[[#This Row],[Unit]],LS[[#Headers],[Investor ID]]:LS[[#This Row],[Investor ID]],LS[[#This Row],[Investor ID]])</f>
        <v>0</v>
      </c>
      <c r="P276" s="96">
        <v>-100000</v>
      </c>
      <c r="Q276" s="48">
        <f>LS[[#This Row],[Amount]]-LS[[#This Row],[Unit Capital]]</f>
        <v>-6270</v>
      </c>
      <c r="R27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76" s="89">
        <f t="shared" si="4"/>
        <v>14.224</v>
      </c>
      <c r="T276" s="96">
        <f>IF(LS[[#This Row],[B/S]]="B",0,ABS(LS[[#This Row],[Unit]])*(LS[[#This Row],[NAV (Strike Rate)]]-INDEX(LS[NAV at Cost (Average)],MATCH(CONCATENATE(LS[[#This Row],[Frequency]]-1,LS[[#This Row],[Investor ID]]),LS[Unique Code],0),)))</f>
        <v>5160</v>
      </c>
      <c r="U276" s="96" cm="1">
        <f t="array" ref="U276">IF(LS[[#This Row],[B/S]]="S",ABS(LS[[#This Row],[Unit]])*(INDEX(LS[NAV at Cost (Average)],MATCH(CONCATENATE((LS[[#This Row],[Frequency]]-1),LS[[#This Row],[Investor ID]]),LS[Unique Code],0),0)),0)</f>
        <v>101110</v>
      </c>
      <c r="V276" s="96">
        <f>IF(LS[[#This Row],[BO TRANSFER]]="YES",LS[[#This Row],[Unit]],)</f>
        <v>0</v>
      </c>
      <c r="W276" s="96">
        <f>SUMIFS(LS[[#Headers],[BO UNIT TRANSFER]]:LS[[#This Row],[BO UNIT TRANSFER]],LS[[#Headers],[Investor ID]]:LS[[#This Row],[Investor ID]],LS[[#This Row],[Investor ID]])</f>
        <v>0</v>
      </c>
    </row>
    <row r="277" spans="1:23">
      <c r="A277" s="75">
        <v>2023</v>
      </c>
      <c r="B277" s="75">
        <v>12</v>
      </c>
      <c r="C277" s="75">
        <v>11</v>
      </c>
      <c r="D277" s="81">
        <f>DATE(LS[[#This Row],[Year]],LS[[#This Row],[Month]],LS[[#This Row],[Day]])</f>
        <v>45271</v>
      </c>
      <c r="E277" t="str" cm="1">
        <f t="array" ref="E277">INDEX(INVESTORS_LIST[INVESTOR NAME],MATCH(LS[[#This Row],[Investor ID]],INVESTORS_LIST[INVESTOR CODE],0),)</f>
        <v>MIDLAND BANK LIMITED</v>
      </c>
      <c r="F277" s="83" t="s">
        <v>493</v>
      </c>
      <c r="G277" s="75">
        <f>COUNTIF(LS[[#Headers],[Investor ID]]:LS[[#This Row],[Investor ID]],LS[[#This Row],[Investor ID]])</f>
        <v>1</v>
      </c>
      <c r="H277" s="75" t="str">
        <f>CONCATENATE(LS[[#This Row],[Frequency]],LS[[#This Row],[Investor ID]])</f>
        <v>1A00222</v>
      </c>
      <c r="I277" s="75" t="str">
        <f>IF(LS[[#This Row],[B/S]]="B","BUY",(IF(LS[[#This Row],[B/S]]="S","SELL"," ")))</f>
        <v>BUY</v>
      </c>
      <c r="J277" s="75" t="s">
        <v>1229</v>
      </c>
      <c r="K277" s="88">
        <v>4565480</v>
      </c>
      <c r="L277" s="88"/>
      <c r="M277" s="89">
        <f>LS[[#This Row],[Amount]]/LS[[#This Row],[Unit]]</f>
        <v>10.627009084962909</v>
      </c>
      <c r="N277" s="90">
        <f>LS[[#This Row],[Unit Capital]]/10</f>
        <v>429611</v>
      </c>
      <c r="O277" s="90">
        <f>SUMIFS(LS[[#Headers],[Unit]]:LS[[#This Row],[Unit]],LS[[#Headers],[Investor ID]]:LS[[#This Row],[Investor ID]],LS[[#This Row],[Investor ID]])</f>
        <v>429611</v>
      </c>
      <c r="P277" s="96">
        <v>4296110</v>
      </c>
      <c r="Q277" s="48">
        <f>LS[[#This Row],[Amount]]-LS[[#This Row],[Unit Capital]]</f>
        <v>269370</v>
      </c>
      <c r="R27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10.627009084962909</v>
      </c>
      <c r="S277" s="89">
        <f t="shared" si="4"/>
        <v>14.224</v>
      </c>
      <c r="T27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77" s="96" cm="1">
        <f t="array" ref="U277">IF(LS[[#This Row],[B/S]]="S",ABS(LS[[#This Row],[Unit]])*(INDEX(LS[NAV at Cost (Average)],MATCH(CONCATENATE((LS[[#This Row],[Frequency]]-1),LS[[#This Row],[Investor ID]]),LS[Unique Code],0),0)),0)</f>
        <v>0</v>
      </c>
      <c r="V277" s="96">
        <f>IF(LS[[#This Row],[BO TRANSFER]]="YES",LS[[#This Row],[Unit]],)</f>
        <v>0</v>
      </c>
      <c r="W277" s="96">
        <f>SUMIFS(LS[[#Headers],[BO UNIT TRANSFER]]:LS[[#This Row],[BO UNIT TRANSFER]],LS[[#Headers],[Investor ID]]:LS[[#This Row],[Investor ID]],LS[[#This Row],[Investor ID]])</f>
        <v>0</v>
      </c>
    </row>
    <row r="278" spans="1:23">
      <c r="A278" s="75">
        <v>2023</v>
      </c>
      <c r="B278" s="75">
        <v>12</v>
      </c>
      <c r="C278" s="75">
        <v>11</v>
      </c>
      <c r="D278" s="81">
        <f>DATE(LS[[#This Row],[Year]],LS[[#This Row],[Month]],LS[[#This Row],[Day]])</f>
        <v>45271</v>
      </c>
      <c r="E278" t="str" cm="1">
        <f t="array" ref="E278">INDEX(INVESTORS_LIST[INVESTOR NAME],MATCH(LS[[#This Row],[Investor ID]],INVESTORS_LIST[INVESTOR CODE],0),)</f>
        <v>ASHAK ELAHI</v>
      </c>
      <c r="F278" s="83" t="s">
        <v>1077</v>
      </c>
      <c r="G278" s="75">
        <f>COUNTIF(LS[[#Headers],[Investor ID]]:LS[[#This Row],[Investor ID]],LS[[#This Row],[Investor ID]])</f>
        <v>2</v>
      </c>
      <c r="H278" s="75" t="str">
        <f>CONCATENATE(LS[[#This Row],[Frequency]],LS[[#This Row],[Investor ID]])</f>
        <v>2A00516</v>
      </c>
      <c r="I278" s="75" t="str">
        <f>IF(LS[[#This Row],[B/S]]="B","BUY",(IF(LS[[#This Row],[B/S]]="S","SELL"," ")))</f>
        <v>BUY</v>
      </c>
      <c r="J278" s="75" t="s">
        <v>1229</v>
      </c>
      <c r="K278" s="88">
        <v>55240</v>
      </c>
      <c r="L278" s="88"/>
      <c r="M278" s="89">
        <f>LS[[#This Row],[Amount]]/LS[[#This Row],[Unit]]</f>
        <v>10.627164293959215</v>
      </c>
      <c r="N278" s="90">
        <f>LS[[#This Row],[Unit Capital]]/10</f>
        <v>5198</v>
      </c>
      <c r="O278" s="90">
        <f>SUMIFS(LS[[#Headers],[Unit]]:LS[[#This Row],[Unit]],LS[[#Headers],[Investor ID]]:LS[[#This Row],[Investor ID]],LS[[#This Row],[Investor ID]])</f>
        <v>9900</v>
      </c>
      <c r="P278" s="96">
        <v>51980</v>
      </c>
      <c r="Q278" s="48">
        <f>LS[[#This Row],[Amount]]-LS[[#This Row],[Unit Capital]]</f>
        <v>3260</v>
      </c>
      <c r="R27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10.612121212121211</v>
      </c>
      <c r="S278" s="89">
        <f t="shared" si="4"/>
        <v>14.224</v>
      </c>
      <c r="T27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78" s="96" cm="1">
        <f t="array" ref="U278">IF(LS[[#This Row],[B/S]]="S",ABS(LS[[#This Row],[Unit]])*(INDEX(LS[NAV at Cost (Average)],MATCH(CONCATENATE((LS[[#This Row],[Frequency]]-1),LS[[#This Row],[Investor ID]]),LS[Unique Code],0),0)),0)</f>
        <v>0</v>
      </c>
      <c r="V278" s="96">
        <f>IF(LS[[#This Row],[BO TRANSFER]]="YES",LS[[#This Row],[Unit]],)</f>
        <v>0</v>
      </c>
      <c r="W278" s="96">
        <f>SUMIFS(LS[[#Headers],[BO UNIT TRANSFER]]:LS[[#This Row],[BO UNIT TRANSFER]],LS[[#Headers],[Investor ID]]:LS[[#This Row],[Investor ID]],LS[[#This Row],[Investor ID]])</f>
        <v>0</v>
      </c>
    </row>
    <row r="279" spans="1:23">
      <c r="A279" s="75">
        <v>2023</v>
      </c>
      <c r="B279" s="75">
        <v>12</v>
      </c>
      <c r="C279" s="75">
        <v>11</v>
      </c>
      <c r="D279" s="81">
        <f>DATE(LS[[#This Row],[Year]],LS[[#This Row],[Month]],LS[[#This Row],[Day]])</f>
        <v>45271</v>
      </c>
      <c r="E279" t="str" cm="1">
        <f t="array" ref="E279">INDEX(INVESTORS_LIST[INVESTOR NAME],MATCH(LS[[#This Row],[Investor ID]],INVESTORS_LIST[INVESTOR CODE],0),)</f>
        <v>FAKARUDDIN ALI AHMED</v>
      </c>
      <c r="F279" s="83" t="s">
        <v>228</v>
      </c>
      <c r="G279" s="75">
        <f>COUNTIF(LS[[#Headers],[Investor ID]]:LS[[#This Row],[Investor ID]],LS[[#This Row],[Investor ID]])</f>
        <v>4</v>
      </c>
      <c r="H279" s="75" t="str">
        <f>CONCATENATE(LS[[#This Row],[Frequency]],LS[[#This Row],[Investor ID]])</f>
        <v>4A00090</v>
      </c>
      <c r="I279" s="75" t="str">
        <f>IF(LS[[#This Row],[B/S]]="B","BUY",(IF(LS[[#This Row],[B/S]]="S","SELL"," ")))</f>
        <v>SELL</v>
      </c>
      <c r="J279" s="75" t="s">
        <v>1231</v>
      </c>
      <c r="K279" s="88">
        <v>-200000</v>
      </c>
      <c r="L279" s="88"/>
      <c r="M279" s="89">
        <f>LS[[#This Row],[Amount]]/LS[[#This Row],[Unit]]</f>
        <v>10.626992561105208</v>
      </c>
      <c r="N279" s="90">
        <f>LS[[#This Row],[Unit Capital]]/10</f>
        <v>-18820</v>
      </c>
      <c r="O279" s="90">
        <f>SUMIFS(LS[[#Headers],[Unit]]:LS[[#This Row],[Unit]],LS[[#Headers],[Investor ID]]:LS[[#This Row],[Investor ID]],LS[[#This Row],[Investor ID]])</f>
        <v>396</v>
      </c>
      <c r="P279" s="96">
        <v>-188200</v>
      </c>
      <c r="Q279" s="48">
        <f>LS[[#This Row],[Amount]]-LS[[#This Row],[Unit Capital]]</f>
        <v>-11800</v>
      </c>
      <c r="R27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10.407993338884262</v>
      </c>
      <c r="S279" s="89">
        <f t="shared" si="4"/>
        <v>14.224</v>
      </c>
      <c r="T279" s="96">
        <f>IF(LS[[#This Row],[B/S]]="B",0,ABS(LS[[#This Row],[Unit]])*(LS[[#This Row],[NAV (Strike Rate)]]-INDEX(LS[NAV at Cost (Average)],MATCH(CONCATENATE(LS[[#This Row],[Frequency]]-1,LS[[#This Row],[Investor ID]]),LS[Unique Code],0),)))</f>
        <v>4121.5653621982001</v>
      </c>
      <c r="U279" s="96" cm="1">
        <f t="array" ref="U279">IF(LS[[#This Row],[B/S]]="S",ABS(LS[[#This Row],[Unit]])*(INDEX(LS[NAV at Cost (Average)],MATCH(CONCATENATE((LS[[#This Row],[Frequency]]-1),LS[[#This Row],[Investor ID]]),LS[Unique Code],0),0)),0)</f>
        <v>195878.43463780181</v>
      </c>
      <c r="V279" s="96">
        <f>IF(LS[[#This Row],[BO TRANSFER]]="YES",LS[[#This Row],[Unit]],)</f>
        <v>0</v>
      </c>
      <c r="W279" s="96">
        <f>SUMIFS(LS[[#Headers],[BO UNIT TRANSFER]]:LS[[#This Row],[BO UNIT TRANSFER]],LS[[#Headers],[Investor ID]]:LS[[#This Row],[Investor ID]],LS[[#This Row],[Investor ID]])</f>
        <v>0</v>
      </c>
    </row>
    <row r="280" spans="1:23">
      <c r="A280" s="75">
        <v>2023</v>
      </c>
      <c r="B280" s="75">
        <v>12</v>
      </c>
      <c r="C280" s="75">
        <v>13</v>
      </c>
      <c r="D280" s="81">
        <f>DATE(LS[[#This Row],[Year]],LS[[#This Row],[Month]],LS[[#This Row],[Day]])</f>
        <v>45273</v>
      </c>
      <c r="E280" t="str" cm="1">
        <f t="array" ref="E280">INDEX(INVESTORS_LIST[INVESTOR NAME],MATCH(LS[[#This Row],[Investor ID]],INVESTORS_LIST[INVESTOR CODE],0),)</f>
        <v>N M AL HOSSAIN</v>
      </c>
      <c r="F280" s="83" t="s">
        <v>280</v>
      </c>
      <c r="G280" s="75">
        <f>COUNTIF(LS[[#Headers],[Investor ID]]:LS[[#This Row],[Investor ID]],LS[[#This Row],[Investor ID]])</f>
        <v>1</v>
      </c>
      <c r="H280" s="75" t="str">
        <f>CONCATENATE(LS[[#This Row],[Frequency]],LS[[#This Row],[Investor ID]])</f>
        <v>1A00116</v>
      </c>
      <c r="I280" s="75" t="str">
        <f>IF(LS[[#This Row],[B/S]]="B","BUY",(IF(LS[[#This Row],[B/S]]="S","SELL"," ")))</f>
        <v>BUY</v>
      </c>
      <c r="J280" s="75" t="s">
        <v>1229</v>
      </c>
      <c r="K280" s="88">
        <v>10000000</v>
      </c>
      <c r="L280" s="88"/>
      <c r="M280" s="89">
        <f>LS[[#This Row],[Amount]]/LS[[#This Row],[Unit]]</f>
        <v>10.6419999297628</v>
      </c>
      <c r="N280" s="90">
        <f>LS[[#This Row],[Unit Capital]]/10</f>
        <v>939673</v>
      </c>
      <c r="O280" s="90">
        <f>SUMIFS(LS[[#Headers],[Unit]]:LS[[#This Row],[Unit]],LS[[#Headers],[Investor ID]]:LS[[#This Row],[Investor ID]],LS[[#This Row],[Investor ID]])</f>
        <v>939673</v>
      </c>
      <c r="P280" s="96">
        <v>9396730</v>
      </c>
      <c r="Q280" s="48">
        <f>LS[[#This Row],[Amount]]-LS[[#This Row],[Unit Capital]]</f>
        <v>603270</v>
      </c>
      <c r="R28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10.6419999297628</v>
      </c>
      <c r="S280" s="89">
        <f t="shared" si="4"/>
        <v>14.224</v>
      </c>
      <c r="T28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0" s="96" cm="1">
        <f t="array" ref="U280">IF(LS[[#This Row],[B/S]]="S",ABS(LS[[#This Row],[Unit]])*(INDEX(LS[NAV at Cost (Average)],MATCH(CONCATENATE((LS[[#This Row],[Frequency]]-1),LS[[#This Row],[Investor ID]]),LS[Unique Code],0),0)),0)</f>
        <v>0</v>
      </c>
      <c r="V280" s="96">
        <f>IF(LS[[#This Row],[BO TRANSFER]]="YES",LS[[#This Row],[Unit]],)</f>
        <v>0</v>
      </c>
      <c r="W280" s="96">
        <f>SUMIFS(LS[[#Headers],[BO UNIT TRANSFER]]:LS[[#This Row],[BO UNIT TRANSFER]],LS[[#Headers],[Investor ID]]:LS[[#This Row],[Investor ID]],LS[[#This Row],[Investor ID]])</f>
        <v>0</v>
      </c>
    </row>
    <row r="281" spans="1:23">
      <c r="A281" s="75">
        <v>2023</v>
      </c>
      <c r="B281" s="75">
        <v>12</v>
      </c>
      <c r="C281" s="75">
        <v>14</v>
      </c>
      <c r="D281" s="81">
        <f>DATE(LS[[#This Row],[Year]],LS[[#This Row],[Month]],LS[[#This Row],[Day]])</f>
        <v>45274</v>
      </c>
      <c r="E281" t="str" cm="1">
        <f t="array" ref="E281">INDEX(INVESTORS_LIST[INVESTOR NAME],MATCH(LS[[#This Row],[Investor ID]],INVESTORS_LIST[INVESTOR CODE],0),)</f>
        <v>BEAUTY BEGUM LOTA</v>
      </c>
      <c r="F281" s="83" t="s">
        <v>1081</v>
      </c>
      <c r="G281" s="75">
        <f>COUNTIF(LS[[#Headers],[Investor ID]]:LS[[#This Row],[Investor ID]],LS[[#This Row],[Investor ID]])</f>
        <v>1</v>
      </c>
      <c r="H281" s="75" t="str">
        <f>CONCATENATE(LS[[#This Row],[Frequency]],LS[[#This Row],[Investor ID]])</f>
        <v>1A00518</v>
      </c>
      <c r="I281" s="75" t="str">
        <f>IF(LS[[#This Row],[B/S]]="B","BUY",(IF(LS[[#This Row],[B/S]]="S","SELL"," ")))</f>
        <v>BUY</v>
      </c>
      <c r="J281" s="75" t="s">
        <v>1229</v>
      </c>
      <c r="K281" s="88">
        <v>500000</v>
      </c>
      <c r="L281" s="88"/>
      <c r="M281" s="89">
        <f>LS[[#This Row],[Amount]]/LS[[#This Row],[Unit]]</f>
        <v>10.626992561105208</v>
      </c>
      <c r="N281" s="90">
        <f>LS[[#This Row],[Unit Capital]]/10</f>
        <v>47050</v>
      </c>
      <c r="O281" s="90">
        <f>SUMIFS(LS[[#Headers],[Unit]]:LS[[#This Row],[Unit]],LS[[#Headers],[Investor ID]]:LS[[#This Row],[Investor ID]],LS[[#This Row],[Investor ID]])</f>
        <v>47050</v>
      </c>
      <c r="P281" s="96">
        <v>470500</v>
      </c>
      <c r="Q281" s="48">
        <f>LS[[#This Row],[Amount]]-LS[[#This Row],[Unit Capital]]</f>
        <v>29500</v>
      </c>
      <c r="R28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10.626992561105208</v>
      </c>
      <c r="S281" s="89">
        <f t="shared" si="4"/>
        <v>14.224</v>
      </c>
      <c r="T28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1" s="96" cm="1">
        <f t="array" ref="U281">IF(LS[[#This Row],[B/S]]="S",ABS(LS[[#This Row],[Unit]])*(INDEX(LS[NAV at Cost (Average)],MATCH(CONCATENATE((LS[[#This Row],[Frequency]]-1),LS[[#This Row],[Investor ID]]),LS[Unique Code],0),0)),0)</f>
        <v>0</v>
      </c>
      <c r="V281" s="96">
        <f>IF(LS[[#This Row],[BO TRANSFER]]="YES",LS[[#This Row],[Unit]],)</f>
        <v>0</v>
      </c>
      <c r="W281" s="96">
        <f>SUMIFS(LS[[#Headers],[BO UNIT TRANSFER]]:LS[[#This Row],[BO UNIT TRANSFER]],LS[[#Headers],[Investor ID]]:LS[[#This Row],[Investor ID]],LS[[#This Row],[Investor ID]])</f>
        <v>0</v>
      </c>
    </row>
    <row r="282" spans="1:23">
      <c r="A282" s="75">
        <v>2023</v>
      </c>
      <c r="B282" s="75">
        <v>12</v>
      </c>
      <c r="C282" s="75">
        <v>14</v>
      </c>
      <c r="D282" s="81">
        <f>DATE(LS[[#This Row],[Year]],LS[[#This Row],[Month]],LS[[#This Row],[Day]])</f>
        <v>45274</v>
      </c>
      <c r="E282" t="str" cm="1">
        <f t="array" ref="E282">INDEX(INVESTORS_LIST[INVESTOR NAME],MATCH(LS[[#This Row],[Investor ID]],INVESTORS_LIST[INVESTOR CODE],0),)</f>
        <v>BEAUTY BEGUM LOTA</v>
      </c>
      <c r="F282" s="83" t="s">
        <v>1081</v>
      </c>
      <c r="G282" s="75">
        <f>COUNTIF(LS[[#Headers],[Investor ID]]:LS[[#This Row],[Investor ID]],LS[[#This Row],[Investor ID]])</f>
        <v>2</v>
      </c>
      <c r="H282" s="75" t="str">
        <f>CONCATENATE(LS[[#This Row],[Frequency]],LS[[#This Row],[Investor ID]])</f>
        <v>2A00518</v>
      </c>
      <c r="I282" s="75" t="str">
        <f>IF(LS[[#This Row],[B/S]]="B","BUY",(IF(LS[[#This Row],[B/S]]="S","SELL"," ")))</f>
        <v>BUY</v>
      </c>
      <c r="J282" s="75" t="s">
        <v>1229</v>
      </c>
      <c r="K282" s="88">
        <v>500000</v>
      </c>
      <c r="L282" s="88"/>
      <c r="M282" s="89">
        <f>LS[[#This Row],[Amount]]/LS[[#This Row],[Unit]]</f>
        <v>10.626992561105208</v>
      </c>
      <c r="N282" s="90">
        <f>LS[[#This Row],[Unit Capital]]/10</f>
        <v>47050</v>
      </c>
      <c r="O282" s="90">
        <f>SUMIFS(LS[[#Headers],[Unit]]:LS[[#This Row],[Unit]],LS[[#Headers],[Investor ID]]:LS[[#This Row],[Investor ID]],LS[[#This Row],[Investor ID]])</f>
        <v>94100</v>
      </c>
      <c r="P282" s="96">
        <v>470500</v>
      </c>
      <c r="Q282" s="48">
        <f>LS[[#This Row],[Amount]]-LS[[#This Row],[Unit Capital]]</f>
        <v>29500</v>
      </c>
      <c r="R28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10.626992561105208</v>
      </c>
      <c r="S282" s="89">
        <f t="shared" si="4"/>
        <v>14.224</v>
      </c>
      <c r="T28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2" s="96" cm="1">
        <f t="array" ref="U282">IF(LS[[#This Row],[B/S]]="S",ABS(LS[[#This Row],[Unit]])*(INDEX(LS[NAV at Cost (Average)],MATCH(CONCATENATE((LS[[#This Row],[Frequency]]-1),LS[[#This Row],[Investor ID]]),LS[Unique Code],0),0)),0)</f>
        <v>0</v>
      </c>
      <c r="V282" s="96">
        <f>IF(LS[[#This Row],[BO TRANSFER]]="YES",LS[[#This Row],[Unit]],)</f>
        <v>0</v>
      </c>
      <c r="W282" s="96">
        <f>SUMIFS(LS[[#Headers],[BO UNIT TRANSFER]]:LS[[#This Row],[BO UNIT TRANSFER]],LS[[#Headers],[Investor ID]]:LS[[#This Row],[Investor ID]],LS[[#This Row],[Investor ID]])</f>
        <v>0</v>
      </c>
    </row>
    <row r="283" spans="1:23">
      <c r="A283" s="75">
        <v>2023</v>
      </c>
      <c r="B283" s="75">
        <v>12</v>
      </c>
      <c r="C283" s="75">
        <v>14</v>
      </c>
      <c r="D283" s="81">
        <f>DATE(LS[[#This Row],[Year]],LS[[#This Row],[Month]],LS[[#This Row],[Day]])</f>
        <v>45274</v>
      </c>
      <c r="E283" t="str" cm="1">
        <f t="array" ref="E283">INDEX(INVESTORS_LIST[INVESTOR NAME],MATCH(LS[[#This Row],[Investor ID]],INVESTORS_LIST[INVESTOR CODE],0),)</f>
        <v>FARZANA MOSTAFA TITHE</v>
      </c>
      <c r="F283" s="83" t="s">
        <v>1079</v>
      </c>
      <c r="G283" s="75">
        <f>COUNTIF(LS[[#Headers],[Investor ID]]:LS[[#This Row],[Investor ID]],LS[[#This Row],[Investor ID]])</f>
        <v>1</v>
      </c>
      <c r="H283" s="75" t="str">
        <f>CONCATENATE(LS[[#This Row],[Frequency]],LS[[#This Row],[Investor ID]])</f>
        <v>1A00517</v>
      </c>
      <c r="I283" s="75" t="str">
        <f>IF(LS[[#This Row],[B/S]]="B","BUY",(IF(LS[[#This Row],[B/S]]="S","SELL"," ")))</f>
        <v>BUY</v>
      </c>
      <c r="J283" s="75" t="s">
        <v>1229</v>
      </c>
      <c r="K283" s="88">
        <v>2125400</v>
      </c>
      <c r="L283" s="88"/>
      <c r="M283" s="89">
        <f>LS[[#This Row],[Amount]]/LS[[#This Row],[Unit]]</f>
        <v>10.627000000000001</v>
      </c>
      <c r="N283" s="90">
        <f>LS[[#This Row],[Unit Capital]]/10</f>
        <v>200000</v>
      </c>
      <c r="O283" s="90">
        <f>SUMIFS(LS[[#Headers],[Unit]]:LS[[#This Row],[Unit]],LS[[#Headers],[Investor ID]]:LS[[#This Row],[Investor ID]],LS[[#This Row],[Investor ID]])</f>
        <v>200000</v>
      </c>
      <c r="P283" s="96">
        <v>2000000</v>
      </c>
      <c r="Q283" s="48">
        <f>LS[[#This Row],[Amount]]-LS[[#This Row],[Unit Capital]]</f>
        <v>125400</v>
      </c>
      <c r="R28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10.627000000000001</v>
      </c>
      <c r="S283" s="89">
        <f t="shared" si="4"/>
        <v>14.224</v>
      </c>
      <c r="T28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3" s="96" cm="1">
        <f t="array" ref="U283">IF(LS[[#This Row],[B/S]]="S",ABS(LS[[#This Row],[Unit]])*(INDEX(LS[NAV at Cost (Average)],MATCH(CONCATENATE((LS[[#This Row],[Frequency]]-1),LS[[#This Row],[Investor ID]]),LS[Unique Code],0),0)),0)</f>
        <v>0</v>
      </c>
      <c r="V283" s="96">
        <f>IF(LS[[#This Row],[BO TRANSFER]]="YES",LS[[#This Row],[Unit]],)</f>
        <v>0</v>
      </c>
      <c r="W283" s="96">
        <f>SUMIFS(LS[[#Headers],[BO UNIT TRANSFER]]:LS[[#This Row],[BO UNIT TRANSFER]],LS[[#Headers],[Investor ID]]:LS[[#This Row],[Investor ID]],LS[[#This Row],[Investor ID]])</f>
        <v>0</v>
      </c>
    </row>
    <row r="284" spans="1:23">
      <c r="A284" s="75">
        <v>2023</v>
      </c>
      <c r="B284" s="75">
        <v>12</v>
      </c>
      <c r="C284" s="75">
        <v>14</v>
      </c>
      <c r="D284" s="81">
        <f>DATE(LS[[#This Row],[Year]],LS[[#This Row],[Month]],LS[[#This Row],[Day]])</f>
        <v>45274</v>
      </c>
      <c r="E284" t="str" cm="1">
        <f t="array" ref="E284">INDEX(INVESTORS_LIST[INVESTOR NAME],MATCH(LS[[#This Row],[Investor ID]],INVESTORS_LIST[INVESTOR CODE],0),)</f>
        <v>BEAUTY BEGUM LOTA</v>
      </c>
      <c r="F284" s="83" t="s">
        <v>1081</v>
      </c>
      <c r="G284" s="75">
        <f>COUNTIF(LS[[#Headers],[Investor ID]]:LS[[#This Row],[Investor ID]],LS[[#This Row],[Investor ID]])</f>
        <v>3</v>
      </c>
      <c r="H284" s="75" t="str">
        <f>CONCATENATE(LS[[#This Row],[Frequency]],LS[[#This Row],[Investor ID]])</f>
        <v>3A00518</v>
      </c>
      <c r="I284" s="75" t="str">
        <f>IF(LS[[#This Row],[B/S]]="B","BUY",(IF(LS[[#This Row],[B/S]]="S","SELL"," ")))</f>
        <v>BUY</v>
      </c>
      <c r="J284" s="75" t="s">
        <v>1229</v>
      </c>
      <c r="K284" s="88">
        <v>1000000</v>
      </c>
      <c r="L284" s="88"/>
      <c r="M284" s="89">
        <f>LS[[#This Row],[Amount]]/LS[[#This Row],[Unit]]</f>
        <v>10.626992561105208</v>
      </c>
      <c r="N284" s="90">
        <f>LS[[#This Row],[Unit Capital]]/10</f>
        <v>94100</v>
      </c>
      <c r="O284" s="90">
        <f>SUMIFS(LS[[#Headers],[Unit]]:LS[[#This Row],[Unit]],LS[[#Headers],[Investor ID]]:LS[[#This Row],[Investor ID]],LS[[#This Row],[Investor ID]])</f>
        <v>188200</v>
      </c>
      <c r="P284" s="96">
        <v>941000</v>
      </c>
      <c r="Q284" s="48">
        <f>LS[[#This Row],[Amount]]-LS[[#This Row],[Unit Capital]]</f>
        <v>59000</v>
      </c>
      <c r="R28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10.626992561105208</v>
      </c>
      <c r="S284" s="89">
        <f t="shared" si="4"/>
        <v>14.224</v>
      </c>
      <c r="T28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4" s="96" cm="1">
        <f t="array" ref="U284">IF(LS[[#This Row],[B/S]]="S",ABS(LS[[#This Row],[Unit]])*(INDEX(LS[NAV at Cost (Average)],MATCH(CONCATENATE((LS[[#This Row],[Frequency]]-1),LS[[#This Row],[Investor ID]]),LS[Unique Code],0),0)),0)</f>
        <v>0</v>
      </c>
      <c r="V284" s="96">
        <f>IF(LS[[#This Row],[BO TRANSFER]]="YES",LS[[#This Row],[Unit]],)</f>
        <v>0</v>
      </c>
      <c r="W284" s="96">
        <f>SUMIFS(LS[[#Headers],[BO UNIT TRANSFER]]:LS[[#This Row],[BO UNIT TRANSFER]],LS[[#Headers],[Investor ID]]:LS[[#This Row],[Investor ID]],LS[[#This Row],[Investor ID]])</f>
        <v>0</v>
      </c>
    </row>
    <row r="285" spans="1:23">
      <c r="A285" s="75">
        <v>2023</v>
      </c>
      <c r="B285" s="75">
        <v>12</v>
      </c>
      <c r="C285" s="75">
        <v>21</v>
      </c>
      <c r="D285" s="81">
        <f>DATE(LS[[#This Row],[Year]],LS[[#This Row],[Month]],LS[[#This Row],[Day]])</f>
        <v>45281</v>
      </c>
      <c r="E285" t="str" cm="1">
        <f t="array" ref="E285">INDEX(INVESTORS_LIST[INVESTOR NAME],MATCH(LS[[#This Row],[Investor ID]],INVESTORS_LIST[INVESTOR CODE],0),)</f>
        <v>MD. JEDAR HOSSAIN</v>
      </c>
      <c r="F285" s="83" t="s">
        <v>1083</v>
      </c>
      <c r="G285" s="75">
        <f>COUNTIF(LS[[#Headers],[Investor ID]]:LS[[#This Row],[Investor ID]],LS[[#This Row],[Investor ID]])</f>
        <v>1</v>
      </c>
      <c r="H285" s="75" t="str">
        <f>CONCATENATE(LS[[#This Row],[Frequency]],LS[[#This Row],[Investor ID]])</f>
        <v>1A00519</v>
      </c>
      <c r="I285" s="75" t="str">
        <f>IF(LS[[#This Row],[B/S]]="B","BUY",(IF(LS[[#This Row],[B/S]]="S","SELL"," ")))</f>
        <v>BUY</v>
      </c>
      <c r="J285" s="75" t="s">
        <v>1229</v>
      </c>
      <c r="K285" s="88">
        <v>15000</v>
      </c>
      <c r="L285" s="88"/>
      <c r="M285" s="89">
        <f>LS[[#This Row],[Amount]]/LS[[#This Row],[Unit]]</f>
        <v>10.638297872340425</v>
      </c>
      <c r="N285" s="90">
        <f>LS[[#This Row],[Unit Capital]]/10</f>
        <v>1410</v>
      </c>
      <c r="O285" s="90">
        <f>SUMIFS(LS[[#Headers],[Unit]]:LS[[#This Row],[Unit]],LS[[#Headers],[Investor ID]]:LS[[#This Row],[Investor ID]],LS[[#This Row],[Investor ID]])</f>
        <v>1410</v>
      </c>
      <c r="P285" s="96">
        <v>14100</v>
      </c>
      <c r="Q285" s="48">
        <f>LS[[#This Row],[Amount]]-LS[[#This Row],[Unit Capital]]</f>
        <v>900</v>
      </c>
      <c r="R28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10.638297872340425</v>
      </c>
      <c r="S285" s="89">
        <f t="shared" si="4"/>
        <v>14.224</v>
      </c>
      <c r="T28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5" s="96" cm="1">
        <f t="array" ref="U285">IF(LS[[#This Row],[B/S]]="S",ABS(LS[[#This Row],[Unit]])*(INDEX(LS[NAV at Cost (Average)],MATCH(CONCATENATE((LS[[#This Row],[Frequency]]-1),LS[[#This Row],[Investor ID]]),LS[Unique Code],0),0)),0)</f>
        <v>0</v>
      </c>
      <c r="V285" s="96">
        <f>IF(LS[[#This Row],[BO TRANSFER]]="YES",LS[[#This Row],[Unit]],)</f>
        <v>0</v>
      </c>
      <c r="W285" s="96">
        <f>SUMIFS(LS[[#Headers],[BO UNIT TRANSFER]]:LS[[#This Row],[BO UNIT TRANSFER]],LS[[#Headers],[Investor ID]]:LS[[#This Row],[Investor ID]],LS[[#This Row],[Investor ID]])</f>
        <v>0</v>
      </c>
    </row>
    <row r="286" spans="1:23">
      <c r="A286" s="75">
        <v>2023</v>
      </c>
      <c r="B286" s="75">
        <v>12</v>
      </c>
      <c r="C286" s="75">
        <v>21</v>
      </c>
      <c r="D286" s="81">
        <f>DATE(LS[[#This Row],[Year]],LS[[#This Row],[Month]],LS[[#This Row],[Day]])</f>
        <v>45281</v>
      </c>
      <c r="E286" t="str" cm="1">
        <f t="array" ref="E286">INDEX(INVESTORS_LIST[INVESTOR NAME],MATCH(LS[[#This Row],[Investor ID]],INVESTORS_LIST[INVESTOR CODE],0),)</f>
        <v>IFTEKHAR ALAM</v>
      </c>
      <c r="F286" s="83" t="s">
        <v>216</v>
      </c>
      <c r="G286" s="75">
        <f>COUNTIF(LS[[#Headers],[Investor ID]]:LS[[#This Row],[Investor ID]],LS[[#This Row],[Investor ID]])</f>
        <v>1</v>
      </c>
      <c r="H286" s="75" t="str">
        <f>CONCATENATE(LS[[#This Row],[Frequency]],LS[[#This Row],[Investor ID]])</f>
        <v>1A00084</v>
      </c>
      <c r="I286" s="75" t="str">
        <f>IF(LS[[#This Row],[B/S]]="B","BUY",(IF(LS[[#This Row],[B/S]]="S","SELL"," ")))</f>
        <v>BUY</v>
      </c>
      <c r="J286" s="75" t="s">
        <v>1229</v>
      </c>
      <c r="K286" s="88">
        <v>500000</v>
      </c>
      <c r="L286" s="88"/>
      <c r="M286" s="89">
        <f>LS[[#This Row],[Amount]]/LS[[#This Row],[Unit]]</f>
        <v>10.641920653839605</v>
      </c>
      <c r="N286" s="90">
        <f>LS[[#This Row],[Unit Capital]]/10</f>
        <v>46984</v>
      </c>
      <c r="O286" s="90">
        <f>SUMIFS(LS[[#Headers],[Unit]]:LS[[#This Row],[Unit]],LS[[#Headers],[Investor ID]]:LS[[#This Row],[Investor ID]],LS[[#This Row],[Investor ID]])</f>
        <v>46984</v>
      </c>
      <c r="P286" s="96">
        <v>469840</v>
      </c>
      <c r="Q286" s="48">
        <f>LS[[#This Row],[Amount]]-LS[[#This Row],[Unit Capital]]</f>
        <v>30160</v>
      </c>
      <c r="R28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10.641920653839605</v>
      </c>
      <c r="S286" s="89">
        <f t="shared" si="4"/>
        <v>14.224</v>
      </c>
      <c r="T28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6" s="96" cm="1">
        <f t="array" ref="U286">IF(LS[[#This Row],[B/S]]="S",ABS(LS[[#This Row],[Unit]])*(INDEX(LS[NAV at Cost (Average)],MATCH(CONCATENATE((LS[[#This Row],[Frequency]]-1),LS[[#This Row],[Investor ID]]),LS[Unique Code],0),0)),0)</f>
        <v>0</v>
      </c>
      <c r="V286" s="96">
        <f>IF(LS[[#This Row],[BO TRANSFER]]="YES",LS[[#This Row],[Unit]],)</f>
        <v>0</v>
      </c>
      <c r="W286" s="96">
        <f>SUMIFS(LS[[#Headers],[BO UNIT TRANSFER]]:LS[[#This Row],[BO UNIT TRANSFER]],LS[[#Headers],[Investor ID]]:LS[[#This Row],[Investor ID]],LS[[#This Row],[Investor ID]])</f>
        <v>0</v>
      </c>
    </row>
    <row r="287" spans="1:23">
      <c r="A287" s="75">
        <v>2023</v>
      </c>
      <c r="B287" s="75">
        <v>12</v>
      </c>
      <c r="C287" s="75">
        <v>21</v>
      </c>
      <c r="D287" s="81">
        <f>DATE(LS[[#This Row],[Year]],LS[[#This Row],[Month]],LS[[#This Row],[Day]])</f>
        <v>45281</v>
      </c>
      <c r="E287" t="str" cm="1">
        <f t="array" ref="E287">INDEX(INVESTORS_LIST[INVESTOR NAME],MATCH(LS[[#This Row],[Investor ID]],INVESTORS_LIST[INVESTOR CODE],0),)</f>
        <v>ASHAK ELAHI</v>
      </c>
      <c r="F287" s="83" t="s">
        <v>1077</v>
      </c>
      <c r="G287" s="75">
        <f>COUNTIF(LS[[#Headers],[Investor ID]]:LS[[#This Row],[Investor ID]],LS[[#This Row],[Investor ID]])</f>
        <v>3</v>
      </c>
      <c r="H287" s="75" t="str">
        <f>CONCATENATE(LS[[#This Row],[Frequency]],LS[[#This Row],[Investor ID]])</f>
        <v>3A00516</v>
      </c>
      <c r="I287" s="75" t="str">
        <f>IF(LS[[#This Row],[B/S]]="B","BUY",(IF(LS[[#This Row],[B/S]]="S","SELL"," ")))</f>
        <v>BUY</v>
      </c>
      <c r="J287" s="75" t="s">
        <v>1229</v>
      </c>
      <c r="K287" s="88">
        <v>6376.3</v>
      </c>
      <c r="L287" s="88"/>
      <c r="M287" s="89">
        <f>LS[[#This Row],[Amount]]/LS[[#This Row],[Unit]]</f>
        <v>10.644908180300501</v>
      </c>
      <c r="N287" s="90">
        <f>LS[[#This Row],[Unit Capital]]/10</f>
        <v>599</v>
      </c>
      <c r="O287" s="90">
        <f>SUMIFS(LS[[#Headers],[Unit]]:LS[[#This Row],[Unit]],LS[[#Headers],[Investor ID]]:LS[[#This Row],[Investor ID]],LS[[#This Row],[Investor ID]])</f>
        <v>10499</v>
      </c>
      <c r="P287" s="96">
        <v>5990</v>
      </c>
      <c r="Q287" s="48">
        <f>LS[[#This Row],[Amount]]-LS[[#This Row],[Unit Capital]]</f>
        <v>386.30000000000018</v>
      </c>
      <c r="R28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10.613991808743689</v>
      </c>
      <c r="S287" s="89">
        <f t="shared" si="4"/>
        <v>14.224</v>
      </c>
      <c r="T28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7" s="96" cm="1">
        <f t="array" ref="U287">IF(LS[[#This Row],[B/S]]="S",ABS(LS[[#This Row],[Unit]])*(INDEX(LS[NAV at Cost (Average)],MATCH(CONCATENATE((LS[[#This Row],[Frequency]]-1),LS[[#This Row],[Investor ID]]),LS[Unique Code],0),0)),0)</f>
        <v>0</v>
      </c>
      <c r="V287" s="96">
        <f>IF(LS[[#This Row],[BO TRANSFER]]="YES",LS[[#This Row],[Unit]],)</f>
        <v>0</v>
      </c>
      <c r="W287" s="96">
        <f>SUMIFS(LS[[#Headers],[BO UNIT TRANSFER]]:LS[[#This Row],[BO UNIT TRANSFER]],LS[[#Headers],[Investor ID]]:LS[[#This Row],[Investor ID]],LS[[#This Row],[Investor ID]])</f>
        <v>0</v>
      </c>
    </row>
    <row r="288" spans="1:23">
      <c r="A288" s="75">
        <v>2023</v>
      </c>
      <c r="B288" s="75">
        <v>12</v>
      </c>
      <c r="C288" s="75">
        <v>24</v>
      </c>
      <c r="D288" s="81">
        <f>DATE(LS[[#This Row],[Year]],LS[[#This Row],[Month]],LS[[#This Row],[Day]])</f>
        <v>45284</v>
      </c>
      <c r="E288" t="str" cm="1">
        <f t="array" ref="E288">INDEX(INVESTORS_LIST[INVESTOR NAME],MATCH(LS[[#This Row],[Investor ID]],INVESTORS_LIST[INVESTOR CODE],0),)</f>
        <v>MD. JEDAR HOSSAIN</v>
      </c>
      <c r="F288" s="83" t="s">
        <v>1083</v>
      </c>
      <c r="G288" s="75">
        <f>COUNTIF(LS[[#Headers],[Investor ID]]:LS[[#This Row],[Investor ID]],LS[[#This Row],[Investor ID]])</f>
        <v>2</v>
      </c>
      <c r="H288" s="75" t="str">
        <f>CONCATENATE(LS[[#This Row],[Frequency]],LS[[#This Row],[Investor ID]])</f>
        <v>2A00519</v>
      </c>
      <c r="I288" s="75" t="str">
        <f>IF(LS[[#This Row],[B/S]]="B","BUY",(IF(LS[[#This Row],[B/S]]="S","SELL"," ")))</f>
        <v>BUY</v>
      </c>
      <c r="J288" s="75" t="s">
        <v>1229</v>
      </c>
      <c r="K288" s="88">
        <v>1500</v>
      </c>
      <c r="L288" s="88"/>
      <c r="M288" s="89">
        <f>LS[[#This Row],[Amount]]/LS[[#This Row],[Unit]]</f>
        <v>10.638297872340425</v>
      </c>
      <c r="N288" s="90">
        <f>LS[[#This Row],[Unit Capital]]/10</f>
        <v>141</v>
      </c>
      <c r="O288" s="90">
        <f>SUMIFS(LS[[#Headers],[Unit]]:LS[[#This Row],[Unit]],LS[[#Headers],[Investor ID]]:LS[[#This Row],[Investor ID]],LS[[#This Row],[Investor ID]])</f>
        <v>1551</v>
      </c>
      <c r="P288" s="96">
        <v>1410</v>
      </c>
      <c r="Q288" s="48">
        <f>LS[[#This Row],[Amount]]-LS[[#This Row],[Unit Capital]]</f>
        <v>90</v>
      </c>
      <c r="R28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10.638297872340425</v>
      </c>
      <c r="S288" s="89">
        <f t="shared" si="4"/>
        <v>14.224</v>
      </c>
      <c r="T28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8" s="96" cm="1">
        <f t="array" ref="U288">IF(LS[[#This Row],[B/S]]="S",ABS(LS[[#This Row],[Unit]])*(INDEX(LS[NAV at Cost (Average)],MATCH(CONCATENATE((LS[[#This Row],[Frequency]]-1),LS[[#This Row],[Investor ID]]),LS[Unique Code],0),0)),0)</f>
        <v>0</v>
      </c>
      <c r="V288" s="96">
        <f>IF(LS[[#This Row],[BO TRANSFER]]="YES",LS[[#This Row],[Unit]],)</f>
        <v>0</v>
      </c>
      <c r="W288" s="96">
        <f>SUMIFS(LS[[#Headers],[BO UNIT TRANSFER]]:LS[[#This Row],[BO UNIT TRANSFER]],LS[[#Headers],[Investor ID]]:LS[[#This Row],[Investor ID]],LS[[#This Row],[Investor ID]])</f>
        <v>0</v>
      </c>
    </row>
    <row r="289" spans="1:23">
      <c r="A289" s="75">
        <v>2023</v>
      </c>
      <c r="B289" s="75">
        <v>12</v>
      </c>
      <c r="C289" s="75">
        <v>24</v>
      </c>
      <c r="D289" s="81">
        <f>DATE(LS[[#This Row],[Year]],LS[[#This Row],[Month]],LS[[#This Row],[Day]])</f>
        <v>45284</v>
      </c>
      <c r="E289" t="str" cm="1">
        <f t="array" ref="E289">INDEX(INVESTORS_LIST[INVESTOR NAME],MATCH(LS[[#This Row],[Investor ID]],INVESTORS_LIST[INVESTOR CODE],0),)</f>
        <v>SWADESH RANJAN SAHA</v>
      </c>
      <c r="F289" s="83" t="s">
        <v>234</v>
      </c>
      <c r="G289" s="75">
        <f>COUNTIF(LS[[#Headers],[Investor ID]]:LS[[#This Row],[Investor ID]],LS[[#This Row],[Investor ID]])</f>
        <v>8</v>
      </c>
      <c r="H289" s="75" t="str">
        <f>CONCATENATE(LS[[#This Row],[Frequency]],LS[[#This Row],[Investor ID]])</f>
        <v>8A00093</v>
      </c>
      <c r="I289" s="75" t="str">
        <f>IF(LS[[#This Row],[B/S]]="B","BUY",(IF(LS[[#This Row],[B/S]]="S","SELL"," ")))</f>
        <v>BUY</v>
      </c>
      <c r="J289" s="75" t="s">
        <v>1229</v>
      </c>
      <c r="K289" s="88">
        <v>1500000</v>
      </c>
      <c r="L289" s="88"/>
      <c r="M289" s="89">
        <f>LS[[#This Row],[Amount]]/LS[[#This Row],[Unit]]</f>
        <v>10.659995878134927</v>
      </c>
      <c r="N289" s="90">
        <f>LS[[#This Row],[Unit Capital]]/10</f>
        <v>140713</v>
      </c>
      <c r="O289" s="90">
        <f>SUMIFS(LS[[#Headers],[Unit]]:LS[[#This Row],[Unit]],LS[[#Headers],[Investor ID]]:LS[[#This Row],[Investor ID]],LS[[#This Row],[Investor ID]])</f>
        <v>521078</v>
      </c>
      <c r="P289" s="96">
        <v>1407130</v>
      </c>
      <c r="Q289" s="48">
        <f>LS[[#This Row],[Amount]]-LS[[#This Row],[Unit Capital]]</f>
        <v>92870</v>
      </c>
      <c r="R28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10.55469187478929</v>
      </c>
      <c r="S289" s="89">
        <f t="shared" si="4"/>
        <v>14.224</v>
      </c>
      <c r="T28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89" s="96" cm="1">
        <f t="array" ref="U289">IF(LS[[#This Row],[B/S]]="S",ABS(LS[[#This Row],[Unit]])*(INDEX(LS[NAV at Cost (Average)],MATCH(CONCATENATE((LS[[#This Row],[Frequency]]-1),LS[[#This Row],[Investor ID]]),LS[Unique Code],0),0)),0)</f>
        <v>0</v>
      </c>
      <c r="V289" s="96">
        <f>IF(LS[[#This Row],[BO TRANSFER]]="YES",LS[[#This Row],[Unit]],)</f>
        <v>0</v>
      </c>
      <c r="W289" s="96">
        <f>SUMIFS(LS[[#Headers],[BO UNIT TRANSFER]]:LS[[#This Row],[BO UNIT TRANSFER]],LS[[#Headers],[Investor ID]]:LS[[#This Row],[Investor ID]],LS[[#This Row],[Investor ID]])</f>
        <v>0</v>
      </c>
    </row>
    <row r="290" spans="1:23">
      <c r="A290" s="75">
        <v>2023</v>
      </c>
      <c r="B290" s="75">
        <v>12</v>
      </c>
      <c r="C290" s="75">
        <v>24</v>
      </c>
      <c r="D290" s="81">
        <f>DATE(LS[[#This Row],[Year]],LS[[#This Row],[Month]],LS[[#This Row],[Day]])</f>
        <v>45284</v>
      </c>
      <c r="E290" t="str" cm="1">
        <f t="array" ref="E290">INDEX(INVESTORS_LIST[INVESTOR NAME],MATCH(LS[[#This Row],[Investor ID]],INVESTORS_LIST[INVESTOR CODE],0),)</f>
        <v>A. K. M. MAHMUDUL ALAM</v>
      </c>
      <c r="F290" s="83" t="s">
        <v>1085</v>
      </c>
      <c r="G290" s="75">
        <f>COUNTIF(LS[[#Headers],[Investor ID]]:LS[[#This Row],[Investor ID]],LS[[#This Row],[Investor ID]])</f>
        <v>1</v>
      </c>
      <c r="H290" s="75" t="str">
        <f>CONCATENATE(LS[[#This Row],[Frequency]],LS[[#This Row],[Investor ID]])</f>
        <v>1SB00002</v>
      </c>
      <c r="I290" s="75" t="str">
        <f>IF(LS[[#This Row],[B/S]]="B","BUY",(IF(LS[[#This Row],[B/S]]="S","SELL"," ")))</f>
        <v>BUY</v>
      </c>
      <c r="J290" s="75" t="s">
        <v>1229</v>
      </c>
      <c r="K290" s="88">
        <v>3000000</v>
      </c>
      <c r="L290" s="88"/>
      <c r="M290" s="89">
        <f>LS[[#This Row],[Amount]]/LS[[#This Row],[Unit]]</f>
        <v>10.659995878134927</v>
      </c>
      <c r="N290" s="90">
        <f>LS[[#This Row],[Unit Capital]]/10</f>
        <v>281426</v>
      </c>
      <c r="O290" s="90">
        <f>SUMIFS(LS[[#Headers],[Unit]]:LS[[#This Row],[Unit]],LS[[#Headers],[Investor ID]]:LS[[#This Row],[Investor ID]],LS[[#This Row],[Investor ID]])</f>
        <v>281426</v>
      </c>
      <c r="P290" s="96">
        <v>2814260</v>
      </c>
      <c r="Q290" s="48">
        <f>LS[[#This Row],[Amount]]-LS[[#This Row],[Unit Capital]]</f>
        <v>185740</v>
      </c>
      <c r="R29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10.659995878134927</v>
      </c>
      <c r="S290" s="89">
        <f t="shared" si="4"/>
        <v>14.224</v>
      </c>
      <c r="T29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0" s="96" cm="1">
        <f t="array" ref="U290">IF(LS[[#This Row],[B/S]]="S",ABS(LS[[#This Row],[Unit]])*(INDEX(LS[NAV at Cost (Average)],MATCH(CONCATENATE((LS[[#This Row],[Frequency]]-1),LS[[#This Row],[Investor ID]]),LS[Unique Code],0),0)),0)</f>
        <v>0</v>
      </c>
      <c r="V290" s="96">
        <f>IF(LS[[#This Row],[BO TRANSFER]]="YES",LS[[#This Row],[Unit]],)</f>
        <v>0</v>
      </c>
      <c r="W290" s="96">
        <f>SUMIFS(LS[[#Headers],[BO UNIT TRANSFER]]:LS[[#This Row],[BO UNIT TRANSFER]],LS[[#Headers],[Investor ID]]:LS[[#This Row],[Investor ID]],LS[[#This Row],[Investor ID]])</f>
        <v>0</v>
      </c>
    </row>
    <row r="291" spans="1:23">
      <c r="A291" s="75">
        <v>2023</v>
      </c>
      <c r="B291" s="75">
        <v>12</v>
      </c>
      <c r="C291" s="75">
        <v>24</v>
      </c>
      <c r="D291" s="81">
        <f>DATE(LS[[#This Row],[Year]],LS[[#This Row],[Month]],LS[[#This Row],[Day]])</f>
        <v>45284</v>
      </c>
      <c r="E291" t="str" cm="1">
        <f t="array" ref="E291">INDEX(INVESTORS_LIST[INVESTOR NAME],MATCH(LS[[#This Row],[Investor ID]],INVESTORS_LIST[INVESTOR CODE],0),)</f>
        <v xml:space="preserve">H. S. M. SHAFEE BIN ALAM </v>
      </c>
      <c r="F291" s="83" t="s">
        <v>1087</v>
      </c>
      <c r="G291" s="75">
        <f>COUNTIF(LS[[#Headers],[Investor ID]]:LS[[#This Row],[Investor ID]],LS[[#This Row],[Investor ID]])</f>
        <v>1</v>
      </c>
      <c r="H291" s="75" t="str">
        <f>CONCATENATE(LS[[#This Row],[Frequency]],LS[[#This Row],[Investor ID]])</f>
        <v>1A00520</v>
      </c>
      <c r="I291" s="75" t="str">
        <f>IF(LS[[#This Row],[B/S]]="B","BUY",(IF(LS[[#This Row],[B/S]]="S","SELL"," ")))</f>
        <v>BUY</v>
      </c>
      <c r="J291" s="75" t="s">
        <v>1229</v>
      </c>
      <c r="K291" s="88">
        <v>500000</v>
      </c>
      <c r="L291" s="88"/>
      <c r="M291" s="89">
        <f>LS[[#This Row],[Amount]]/LS[[#This Row],[Unit]]</f>
        <v>10.660071635681392</v>
      </c>
      <c r="N291" s="90">
        <f>LS[[#This Row],[Unit Capital]]/10</f>
        <v>46904</v>
      </c>
      <c r="O291" s="90">
        <f>SUMIFS(LS[[#Headers],[Unit]]:LS[[#This Row],[Unit]],LS[[#Headers],[Investor ID]]:LS[[#This Row],[Investor ID]],LS[[#This Row],[Investor ID]])</f>
        <v>46904</v>
      </c>
      <c r="P291" s="96">
        <v>469040</v>
      </c>
      <c r="Q291" s="48">
        <f>LS[[#This Row],[Amount]]-LS[[#This Row],[Unit Capital]]</f>
        <v>30960</v>
      </c>
      <c r="R29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10.660071635681392</v>
      </c>
      <c r="S291" s="89">
        <f t="shared" si="4"/>
        <v>14.224</v>
      </c>
      <c r="T29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1" s="96" cm="1">
        <f t="array" ref="U291">IF(LS[[#This Row],[B/S]]="S",ABS(LS[[#This Row],[Unit]])*(INDEX(LS[NAV at Cost (Average)],MATCH(CONCATENATE((LS[[#This Row],[Frequency]]-1),LS[[#This Row],[Investor ID]]),LS[Unique Code],0),0)),0)</f>
        <v>0</v>
      </c>
      <c r="V291" s="96">
        <f>IF(LS[[#This Row],[BO TRANSFER]]="YES",LS[[#This Row],[Unit]],)</f>
        <v>0</v>
      </c>
      <c r="W291" s="96">
        <f>SUMIFS(LS[[#Headers],[BO UNIT TRANSFER]]:LS[[#This Row],[BO UNIT TRANSFER]],LS[[#Headers],[Investor ID]]:LS[[#This Row],[Investor ID]],LS[[#This Row],[Investor ID]])</f>
        <v>0</v>
      </c>
    </row>
    <row r="292" spans="1:23">
      <c r="A292" s="75">
        <v>2023</v>
      </c>
      <c r="B292" s="75">
        <v>12</v>
      </c>
      <c r="C292" s="75">
        <v>26</v>
      </c>
      <c r="D292" s="81">
        <f>DATE(LS[[#This Row],[Year]],LS[[#This Row],[Month]],LS[[#This Row],[Day]])</f>
        <v>45286</v>
      </c>
      <c r="E292" t="str" cm="1">
        <f t="array" ref="E292">INDEX(INVESTORS_LIST[INVESTOR NAME],MATCH(LS[[#This Row],[Investor ID]],INVESTORS_LIST[INVESTOR CODE],0),)</f>
        <v>ASHAK ELAHI</v>
      </c>
      <c r="F292" s="83" t="s">
        <v>1077</v>
      </c>
      <c r="G292" s="75">
        <f>COUNTIF(LS[[#Headers],[Investor ID]]:LS[[#This Row],[Investor ID]],LS[[#This Row],[Investor ID]])</f>
        <v>4</v>
      </c>
      <c r="H292" s="75" t="str">
        <f>CONCATENATE(LS[[#This Row],[Frequency]],LS[[#This Row],[Investor ID]])</f>
        <v>4A00516</v>
      </c>
      <c r="I292" s="75" t="str">
        <f>IF(LS[[#This Row],[B/S]]="B","BUY",(IF(LS[[#This Row],[B/S]]="S","SELL"," ")))</f>
        <v>BUY</v>
      </c>
      <c r="J292" s="75" t="s">
        <v>1229</v>
      </c>
      <c r="K292" s="88">
        <v>47959.34</v>
      </c>
      <c r="L292" s="88"/>
      <c r="M292" s="89">
        <f>LS[[#This Row],[Amount]]/LS[[#This Row],[Unit]]</f>
        <v>10.659999999999998</v>
      </c>
      <c r="N292" s="90">
        <f>LS[[#This Row],[Unit Capital]]/10</f>
        <v>4499</v>
      </c>
      <c r="O292" s="90">
        <f>SUMIFS(LS[[#Headers],[Unit]]:LS[[#This Row],[Unit]],LS[[#Headers],[Investor ID]]:LS[[#This Row],[Investor ID]],LS[[#This Row],[Investor ID]])</f>
        <v>14998</v>
      </c>
      <c r="P292" s="96">
        <v>44990</v>
      </c>
      <c r="Q292" s="48">
        <f>LS[[#This Row],[Amount]]-LS[[#This Row],[Unit Capital]]</f>
        <v>2969.3399999999965</v>
      </c>
      <c r="R29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10.627793039071875</v>
      </c>
      <c r="S292" s="89">
        <f t="shared" si="4"/>
        <v>14.224</v>
      </c>
      <c r="T29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2" s="96" cm="1">
        <f t="array" ref="U292">IF(LS[[#This Row],[B/S]]="S",ABS(LS[[#This Row],[Unit]])*(INDEX(LS[NAV at Cost (Average)],MATCH(CONCATENATE((LS[[#This Row],[Frequency]]-1),LS[[#This Row],[Investor ID]]),LS[Unique Code],0),0)),0)</f>
        <v>0</v>
      </c>
      <c r="V292" s="96">
        <f>IF(LS[[#This Row],[BO TRANSFER]]="YES",LS[[#This Row],[Unit]],)</f>
        <v>0</v>
      </c>
      <c r="W292" s="96">
        <f>SUMIFS(LS[[#Headers],[BO UNIT TRANSFER]]:LS[[#This Row],[BO UNIT TRANSFER]],LS[[#Headers],[Investor ID]]:LS[[#This Row],[Investor ID]],LS[[#This Row],[Investor ID]])</f>
        <v>0</v>
      </c>
    </row>
    <row r="293" spans="1:23">
      <c r="A293" s="75">
        <v>2023</v>
      </c>
      <c r="B293" s="75">
        <v>12</v>
      </c>
      <c r="C293" s="75">
        <v>26</v>
      </c>
      <c r="D293" s="81">
        <f>DATE(LS[[#This Row],[Year]],LS[[#This Row],[Month]],LS[[#This Row],[Day]])</f>
        <v>45286</v>
      </c>
      <c r="E293" t="str" cm="1">
        <f t="array" ref="E293">INDEX(INVESTORS_LIST[INVESTOR NAME],MATCH(LS[[#This Row],[Investor ID]],INVESTORS_LIST[INVESTOR CODE],0),)</f>
        <v>CWT OPPORTUNITIES FUND</v>
      </c>
      <c r="F293" s="83" t="s">
        <v>1095</v>
      </c>
      <c r="G293" s="75">
        <f>COUNTIF(LS[[#Headers],[Investor ID]]:LS[[#This Row],[Investor ID]],LS[[#This Row],[Investor ID]])</f>
        <v>1</v>
      </c>
      <c r="H293" s="75" t="str">
        <f>CONCATENATE(LS[[#This Row],[Frequency]],LS[[#This Row],[Investor ID]])</f>
        <v>1A00524</v>
      </c>
      <c r="I293" s="75" t="str">
        <f>IF(LS[[#This Row],[B/S]]="B","BUY",(IF(LS[[#This Row],[B/S]]="S","SELL"," ")))</f>
        <v>BUY</v>
      </c>
      <c r="J293" s="75" t="s">
        <v>1229</v>
      </c>
      <c r="K293" s="88">
        <v>7500000</v>
      </c>
      <c r="L293" s="88"/>
      <c r="M293" s="89">
        <f>LS[[#This Row],[Amount]]/LS[[#This Row],[Unit]]</f>
        <v>10.659995878134927</v>
      </c>
      <c r="N293" s="90">
        <f>LS[[#This Row],[Unit Capital]]/10</f>
        <v>703565</v>
      </c>
      <c r="O293" s="90">
        <f>SUMIFS(LS[[#Headers],[Unit]]:LS[[#This Row],[Unit]],LS[[#Headers],[Investor ID]]:LS[[#This Row],[Investor ID]],LS[[#This Row],[Investor ID]])</f>
        <v>703565</v>
      </c>
      <c r="P293" s="96">
        <v>7035650</v>
      </c>
      <c r="Q293" s="48">
        <f>LS[[#This Row],[Amount]]-LS[[#This Row],[Unit Capital]]</f>
        <v>464350</v>
      </c>
      <c r="R29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10.659995878134927</v>
      </c>
      <c r="S293" s="89">
        <f t="shared" si="4"/>
        <v>14.224</v>
      </c>
      <c r="T29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3" s="96" cm="1">
        <f t="array" ref="U293">IF(LS[[#This Row],[B/S]]="S",ABS(LS[[#This Row],[Unit]])*(INDEX(LS[NAV at Cost (Average)],MATCH(CONCATENATE((LS[[#This Row],[Frequency]]-1),LS[[#This Row],[Investor ID]]),LS[Unique Code],0),0)),0)</f>
        <v>0</v>
      </c>
      <c r="V293" s="96">
        <f>IF(LS[[#This Row],[BO TRANSFER]]="YES",LS[[#This Row],[Unit]],)</f>
        <v>0</v>
      </c>
      <c r="W293" s="96">
        <f>SUMIFS(LS[[#Headers],[BO UNIT TRANSFER]]:LS[[#This Row],[BO UNIT TRANSFER]],LS[[#Headers],[Investor ID]]:LS[[#This Row],[Investor ID]],LS[[#This Row],[Investor ID]])</f>
        <v>0</v>
      </c>
    </row>
    <row r="294" spans="1:23">
      <c r="A294" s="75">
        <v>2023</v>
      </c>
      <c r="B294" s="75">
        <v>12</v>
      </c>
      <c r="C294" s="75">
        <v>26</v>
      </c>
      <c r="D294" s="81">
        <f>DATE(LS[[#This Row],[Year]],LS[[#This Row],[Month]],LS[[#This Row],[Day]])</f>
        <v>45286</v>
      </c>
      <c r="E294" t="str" cm="1">
        <f t="array" ref="E294">INDEX(INVESTORS_LIST[INVESTOR NAME],MATCH(LS[[#This Row],[Investor ID]],INVESTORS_LIST[INVESTOR CODE],0),)</f>
        <v xml:space="preserve">CWT-SADHARAN BIMA GROWTH FUND </v>
      </c>
      <c r="F294" s="83" t="s">
        <v>1093</v>
      </c>
      <c r="G294" s="75">
        <f>COUNTIF(LS[[#Headers],[Investor ID]]:LS[[#This Row],[Investor ID]],LS[[#This Row],[Investor ID]])</f>
        <v>1</v>
      </c>
      <c r="H294" s="75" t="str">
        <f>CONCATENATE(LS[[#This Row],[Frequency]],LS[[#This Row],[Investor ID]])</f>
        <v>1A00523</v>
      </c>
      <c r="I294" s="75" t="str">
        <f>IF(LS[[#This Row],[B/S]]="B","BUY",(IF(LS[[#This Row],[B/S]]="S","SELL"," ")))</f>
        <v>BUY</v>
      </c>
      <c r="J294" s="75" t="s">
        <v>1229</v>
      </c>
      <c r="K294" s="88">
        <v>5000000</v>
      </c>
      <c r="L294" s="88"/>
      <c r="M294" s="89">
        <f>LS[[#This Row],[Amount]]/LS[[#This Row],[Unit]]</f>
        <v>10.660003453841119</v>
      </c>
      <c r="N294" s="90">
        <f>LS[[#This Row],[Unit Capital]]/10</f>
        <v>469043</v>
      </c>
      <c r="O294" s="90">
        <f>SUMIFS(LS[[#Headers],[Unit]]:LS[[#This Row],[Unit]],LS[[#Headers],[Investor ID]]:LS[[#This Row],[Investor ID]],LS[[#This Row],[Investor ID]])</f>
        <v>469043</v>
      </c>
      <c r="P294" s="96">
        <v>4690430</v>
      </c>
      <c r="Q294" s="48">
        <f>LS[[#This Row],[Amount]]-LS[[#This Row],[Unit Capital]]</f>
        <v>309570</v>
      </c>
      <c r="R29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10.660003453841119</v>
      </c>
      <c r="S294" s="89">
        <f t="shared" si="4"/>
        <v>14.224</v>
      </c>
      <c r="T29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4" s="96" cm="1">
        <f t="array" ref="U294">IF(LS[[#This Row],[B/S]]="S",ABS(LS[[#This Row],[Unit]])*(INDEX(LS[NAV at Cost (Average)],MATCH(CONCATENATE((LS[[#This Row],[Frequency]]-1),LS[[#This Row],[Investor ID]]),LS[Unique Code],0),0)),0)</f>
        <v>0</v>
      </c>
      <c r="V294" s="96">
        <f>IF(LS[[#This Row],[BO TRANSFER]]="YES",LS[[#This Row],[Unit]],)</f>
        <v>0</v>
      </c>
      <c r="W294" s="96">
        <f>SUMIFS(LS[[#Headers],[BO UNIT TRANSFER]]:LS[[#This Row],[BO UNIT TRANSFER]],LS[[#Headers],[Investor ID]]:LS[[#This Row],[Investor ID]],LS[[#This Row],[Investor ID]])</f>
        <v>0</v>
      </c>
    </row>
    <row r="295" spans="1:23">
      <c r="A295" s="75">
        <v>2023</v>
      </c>
      <c r="B295" s="75">
        <v>12</v>
      </c>
      <c r="C295" s="75">
        <v>26</v>
      </c>
      <c r="D295" s="81">
        <f>DATE(LS[[#This Row],[Year]],LS[[#This Row],[Month]],LS[[#This Row],[Day]])</f>
        <v>45286</v>
      </c>
      <c r="E295" t="str" cm="1">
        <f t="array" ref="E295">INDEX(INVESTORS_LIST[INVESTOR NAME],MATCH(LS[[#This Row],[Investor ID]],INVESTORS_LIST[INVESTOR CODE],0),)</f>
        <v xml:space="preserve">CWT EMERGING BANGLADESH FIRST GROWTH FUND </v>
      </c>
      <c r="F295" s="83" t="s">
        <v>1091</v>
      </c>
      <c r="G295" s="75">
        <f>COUNTIF(LS[[#Headers],[Investor ID]]:LS[[#This Row],[Investor ID]],LS[[#This Row],[Investor ID]])</f>
        <v>1</v>
      </c>
      <c r="H295" s="75" t="str">
        <f>CONCATENATE(LS[[#This Row],[Frequency]],LS[[#This Row],[Investor ID]])</f>
        <v>1A00522</v>
      </c>
      <c r="I295" s="75" t="str">
        <f>IF(LS[[#This Row],[B/S]]="B","BUY",(IF(LS[[#This Row],[B/S]]="S","SELL"," ")))</f>
        <v>BUY</v>
      </c>
      <c r="J295" s="75" t="s">
        <v>1229</v>
      </c>
      <c r="K295" s="88">
        <v>2000000</v>
      </c>
      <c r="L295" s="88"/>
      <c r="M295" s="89">
        <f>LS[[#This Row],[Amount]]/LS[[#This Row],[Unit]]</f>
        <v>10.660014817420596</v>
      </c>
      <c r="N295" s="90">
        <f>LS[[#This Row],[Unit Capital]]/10</f>
        <v>187617</v>
      </c>
      <c r="O295" s="90">
        <f>SUMIFS(LS[[#Headers],[Unit]]:LS[[#This Row],[Unit]],LS[[#Headers],[Investor ID]]:LS[[#This Row],[Investor ID]],LS[[#This Row],[Investor ID]])</f>
        <v>187617</v>
      </c>
      <c r="P295" s="96">
        <v>1876170</v>
      </c>
      <c r="Q295" s="48">
        <f>LS[[#This Row],[Amount]]-LS[[#This Row],[Unit Capital]]</f>
        <v>123830</v>
      </c>
      <c r="R29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10.660014817420596</v>
      </c>
      <c r="S295" s="89">
        <f t="shared" si="4"/>
        <v>14.224</v>
      </c>
      <c r="T29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5" s="96" cm="1">
        <f t="array" ref="U295">IF(LS[[#This Row],[B/S]]="S",ABS(LS[[#This Row],[Unit]])*(INDEX(LS[NAV at Cost (Average)],MATCH(CONCATENATE((LS[[#This Row],[Frequency]]-1),LS[[#This Row],[Investor ID]]),LS[Unique Code],0),0)),0)</f>
        <v>0</v>
      </c>
      <c r="V295" s="96">
        <f>IF(LS[[#This Row],[BO TRANSFER]]="YES",LS[[#This Row],[Unit]],)</f>
        <v>0</v>
      </c>
      <c r="W295" s="96">
        <f>SUMIFS(LS[[#Headers],[BO UNIT TRANSFER]]:LS[[#This Row],[BO UNIT TRANSFER]],LS[[#Headers],[Investor ID]]:LS[[#This Row],[Investor ID]],LS[[#This Row],[Investor ID]])</f>
        <v>0</v>
      </c>
    </row>
    <row r="296" spans="1:23">
      <c r="A296" s="75">
        <v>2023</v>
      </c>
      <c r="B296" s="75">
        <v>12</v>
      </c>
      <c r="C296" s="75">
        <v>26</v>
      </c>
      <c r="D296" s="81">
        <f>DATE(LS[[#This Row],[Year]],LS[[#This Row],[Month]],LS[[#This Row],[Day]])</f>
        <v>45286</v>
      </c>
      <c r="E296" t="str" cm="1">
        <f t="array" ref="E296">INDEX(INVESTORS_LIST[INVESTOR NAME],MATCH(LS[[#This Row],[Investor ID]],INVESTORS_LIST[INVESTOR CODE],0),)</f>
        <v xml:space="preserve">CWT-SADHARAN BIMA GROWTH FUND </v>
      </c>
      <c r="F296" s="83" t="s">
        <v>1093</v>
      </c>
      <c r="G296" s="75">
        <f>COUNTIF(LS[[#Headers],[Investor ID]]:LS[[#This Row],[Investor ID]],LS[[#This Row],[Investor ID]])</f>
        <v>2</v>
      </c>
      <c r="H296" s="75" t="str">
        <f>CONCATENATE(LS[[#This Row],[Frequency]],LS[[#This Row],[Investor ID]])</f>
        <v>2A00523</v>
      </c>
      <c r="I296" s="75" t="str">
        <f>IF(LS[[#This Row],[B/S]]="B","BUY",(IF(LS[[#This Row],[B/S]]="S","SELL"," ")))</f>
        <v>BUY</v>
      </c>
      <c r="J296" s="75" t="s">
        <v>1229</v>
      </c>
      <c r="K296" s="88">
        <v>3000000</v>
      </c>
      <c r="L296" s="88"/>
      <c r="M296" s="89">
        <f>LS[[#This Row],[Amount]]/LS[[#This Row],[Unit]]</f>
        <v>10.659995878134927</v>
      </c>
      <c r="N296" s="90">
        <f>LS[[#This Row],[Unit Capital]]/10</f>
        <v>281426</v>
      </c>
      <c r="O296" s="90">
        <f>SUMIFS(LS[[#Headers],[Unit]]:LS[[#This Row],[Unit]],LS[[#Headers],[Investor ID]]:LS[[#This Row],[Investor ID]],LS[[#This Row],[Investor ID]])</f>
        <v>750469</v>
      </c>
      <c r="P296" s="96">
        <v>2814260</v>
      </c>
      <c r="Q296" s="48">
        <f>LS[[#This Row],[Amount]]-LS[[#This Row],[Unit Capital]]</f>
        <v>185740</v>
      </c>
      <c r="R29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10.660000612950036</v>
      </c>
      <c r="S296" s="89">
        <f t="shared" si="4"/>
        <v>14.224</v>
      </c>
      <c r="T29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6" s="96" cm="1">
        <f t="array" ref="U296">IF(LS[[#This Row],[B/S]]="S",ABS(LS[[#This Row],[Unit]])*(INDEX(LS[NAV at Cost (Average)],MATCH(CONCATENATE((LS[[#This Row],[Frequency]]-1),LS[[#This Row],[Investor ID]]),LS[Unique Code],0),0)),0)</f>
        <v>0</v>
      </c>
      <c r="V296" s="96">
        <f>IF(LS[[#This Row],[BO TRANSFER]]="YES",LS[[#This Row],[Unit]],)</f>
        <v>0</v>
      </c>
      <c r="W296" s="96">
        <f>SUMIFS(LS[[#Headers],[BO UNIT TRANSFER]]:LS[[#This Row],[BO UNIT TRANSFER]],LS[[#Headers],[Investor ID]]:LS[[#This Row],[Investor ID]],LS[[#This Row],[Investor ID]])</f>
        <v>0</v>
      </c>
    </row>
    <row r="297" spans="1:23">
      <c r="A297" s="75">
        <v>2023</v>
      </c>
      <c r="B297" s="75">
        <v>12</v>
      </c>
      <c r="C297" s="75">
        <v>26</v>
      </c>
      <c r="D297" s="81">
        <f>DATE(LS[[#This Row],[Year]],LS[[#This Row],[Month]],LS[[#This Row],[Day]])</f>
        <v>45286</v>
      </c>
      <c r="E297" t="str" cm="1">
        <f t="array" ref="E297">INDEX(INVESTORS_LIST[INVESTOR NAME],MATCH(LS[[#This Row],[Investor ID]],INVESTORS_LIST[INVESTOR CODE],0),)</f>
        <v xml:space="preserve">CWT EMERGING BANGLADESH FIRST GROWTH FUND </v>
      </c>
      <c r="F297" s="83" t="s">
        <v>1091</v>
      </c>
      <c r="G297" s="75">
        <f>COUNTIF(LS[[#Headers],[Investor ID]]:LS[[#This Row],[Investor ID]],LS[[#This Row],[Investor ID]])</f>
        <v>2</v>
      </c>
      <c r="H297" s="75" t="str">
        <f>CONCATENATE(LS[[#This Row],[Frequency]],LS[[#This Row],[Investor ID]])</f>
        <v>2A00522</v>
      </c>
      <c r="I297" s="75" t="str">
        <f>IF(LS[[#This Row],[B/S]]="B","BUY",(IF(LS[[#This Row],[B/S]]="S","SELL"," ")))</f>
        <v>BUY</v>
      </c>
      <c r="J297" s="75" t="s">
        <v>1229</v>
      </c>
      <c r="K297" s="88">
        <v>5000000</v>
      </c>
      <c r="L297" s="88"/>
      <c r="M297" s="89">
        <f>LS[[#This Row],[Amount]]/LS[[#This Row],[Unit]]</f>
        <v>10.660003453841119</v>
      </c>
      <c r="N297" s="90">
        <f>LS[[#This Row],[Unit Capital]]/10</f>
        <v>469043</v>
      </c>
      <c r="O297" s="90">
        <f>SUMIFS(LS[[#Headers],[Unit]]:LS[[#This Row],[Unit]],LS[[#Headers],[Investor ID]]:LS[[#This Row],[Investor ID]],LS[[#This Row],[Investor ID]])</f>
        <v>656660</v>
      </c>
      <c r="P297" s="96">
        <v>4690430</v>
      </c>
      <c r="Q297" s="48">
        <f>LS[[#This Row],[Amount]]-LS[[#This Row],[Unit Capital]]</f>
        <v>309570</v>
      </c>
      <c r="R29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10.660006700575639</v>
      </c>
      <c r="S297" s="89">
        <f t="shared" si="4"/>
        <v>14.224</v>
      </c>
      <c r="T29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297" s="96" cm="1">
        <f t="array" ref="U297">IF(LS[[#This Row],[B/S]]="S",ABS(LS[[#This Row],[Unit]])*(INDEX(LS[NAV at Cost (Average)],MATCH(CONCATENATE((LS[[#This Row],[Frequency]]-1),LS[[#This Row],[Investor ID]]),LS[Unique Code],0),0)),0)</f>
        <v>0</v>
      </c>
      <c r="V297" s="96">
        <f>IF(LS[[#This Row],[BO TRANSFER]]="YES",LS[[#This Row],[Unit]],)</f>
        <v>0</v>
      </c>
      <c r="W297" s="96">
        <f>SUMIFS(LS[[#Headers],[BO UNIT TRANSFER]]:LS[[#This Row],[BO UNIT TRANSFER]],LS[[#Headers],[Investor ID]]:LS[[#This Row],[Investor ID]],LS[[#This Row],[Investor ID]])</f>
        <v>0</v>
      </c>
    </row>
    <row r="298" spans="1:23">
      <c r="A298" s="75">
        <v>2023</v>
      </c>
      <c r="B298" s="75">
        <v>12</v>
      </c>
      <c r="C298" s="75">
        <v>27</v>
      </c>
      <c r="D298" s="81">
        <f>DATE(LS[[#This Row],[Year]],LS[[#This Row],[Month]],LS[[#This Row],[Day]])</f>
        <v>45287</v>
      </c>
      <c r="E298" t="str" cm="1">
        <f t="array" ref="E298">INDEX(INVESTORS_LIST[INVESTOR NAME],MATCH(LS[[#This Row],[Investor ID]],INVESTORS_LIST[INVESTOR CODE],0),)</f>
        <v>EKUSH WEALTH MANAGEMENT LIMITED</v>
      </c>
      <c r="F298" s="83" t="s">
        <v>47</v>
      </c>
      <c r="G298" s="75">
        <f>COUNTIF(LS[[#Headers],[Investor ID]]:LS[[#This Row],[Investor ID]],LS[[#This Row],[Investor ID]])</f>
        <v>14</v>
      </c>
      <c r="H298" s="75" t="str">
        <f>CONCATENATE(LS[[#This Row],[Frequency]],LS[[#This Row],[Investor ID]])</f>
        <v>14A00003</v>
      </c>
      <c r="I298" s="75" t="str">
        <f>IF(LS[[#This Row],[B/S]]="B","BUY",(IF(LS[[#This Row],[B/S]]="S","SELL"," ")))</f>
        <v>SELL</v>
      </c>
      <c r="J298" s="75" t="s">
        <v>1231</v>
      </c>
      <c r="K298" s="88">
        <v>-2500000</v>
      </c>
      <c r="L298" s="88"/>
      <c r="M298" s="89">
        <f>LS[[#This Row],[Amount]]/LS[[#This Row],[Unit]]</f>
        <v>10.659980726754846</v>
      </c>
      <c r="N298" s="90">
        <f>LS[[#This Row],[Unit Capital]]/10</f>
        <v>-234522</v>
      </c>
      <c r="O298" s="90">
        <f>SUMIFS(LS[[#Headers],[Unit]]:LS[[#This Row],[Unit]],LS[[#Headers],[Investor ID]]:LS[[#This Row],[Investor ID]],LS[[#This Row],[Investor ID]])</f>
        <v>2142307</v>
      </c>
      <c r="P298" s="96">
        <v>-2345220</v>
      </c>
      <c r="Q298" s="48">
        <f>LS[[#This Row],[Amount]]-LS[[#This Row],[Unit Capital]]</f>
        <v>-154780</v>
      </c>
      <c r="R29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298" s="89">
        <f t="shared" si="4"/>
        <v>14.224</v>
      </c>
      <c r="T298" s="96">
        <f>IF(LS[[#This Row],[B/S]]="B",0,ABS(LS[[#This Row],[Unit]])*(LS[[#This Row],[NAV (Strike Rate)]]-INDEX(LS[NAV at Cost (Average)],MATCH(CONCATENATE(LS[[#This Row],[Frequency]]-1,LS[[#This Row],[Investor ID]]),LS[Unique Code],0),)))</f>
        <v>151450.98625290365</v>
      </c>
      <c r="U298" s="96" cm="1">
        <f t="array" ref="U298">IF(LS[[#This Row],[B/S]]="S",ABS(LS[[#This Row],[Unit]])*(INDEX(LS[NAV at Cost (Average)],MATCH(CONCATENATE((LS[[#This Row],[Frequency]]-1),LS[[#This Row],[Investor ID]]),LS[Unique Code],0),0)),0)</f>
        <v>2348549.0137470961</v>
      </c>
      <c r="V298" s="96">
        <f>IF(LS[[#This Row],[BO TRANSFER]]="YES",LS[[#This Row],[Unit]],)</f>
        <v>0</v>
      </c>
      <c r="W298" s="96">
        <f>SUMIFS(LS[[#Headers],[BO UNIT TRANSFER]]:LS[[#This Row],[BO UNIT TRANSFER]],LS[[#Headers],[Investor ID]]:LS[[#This Row],[Investor ID]],LS[[#This Row],[Investor ID]])</f>
        <v>0</v>
      </c>
    </row>
    <row r="299" spans="1:23">
      <c r="A299" s="75">
        <v>2023</v>
      </c>
      <c r="B299" s="75">
        <v>12</v>
      </c>
      <c r="C299" s="75">
        <v>27</v>
      </c>
      <c r="D299" s="81">
        <f>DATE(LS[[#This Row],[Year]],LS[[#This Row],[Month]],LS[[#This Row],[Day]])</f>
        <v>45287</v>
      </c>
      <c r="E299" t="str" cm="1">
        <f t="array" ref="E299">INDEX(INVESTORS_LIST[INVESTOR NAME],MATCH(LS[[#This Row],[Investor ID]],INVESTORS_LIST[INVESTOR CODE],0),)</f>
        <v>SHAHRIAR AZAD SHASHI</v>
      </c>
      <c r="F299" s="83" t="s">
        <v>1040</v>
      </c>
      <c r="G299" s="75">
        <f>COUNTIF(LS[[#Headers],[Investor ID]]:LS[[#This Row],[Investor ID]],LS[[#This Row],[Investor ID]])</f>
        <v>3</v>
      </c>
      <c r="H299" s="75" t="str">
        <f>CONCATENATE(LS[[#This Row],[Frequency]],LS[[#This Row],[Investor ID]])</f>
        <v>3A00497</v>
      </c>
      <c r="I299" s="75" t="str">
        <f>IF(LS[[#This Row],[B/S]]="B","BUY",(IF(LS[[#This Row],[B/S]]="S","SELL"," ")))</f>
        <v>SELL</v>
      </c>
      <c r="J299" s="75" t="s">
        <v>1231</v>
      </c>
      <c r="K299" s="88">
        <v>-234818.48</v>
      </c>
      <c r="L299" s="88"/>
      <c r="M299" s="89">
        <f>LS[[#This Row],[Amount]]/LS[[#This Row],[Unit]]</f>
        <v>10.66</v>
      </c>
      <c r="N299" s="90">
        <f>LS[[#This Row],[Unit Capital]]/10</f>
        <v>-22028</v>
      </c>
      <c r="O299" s="90">
        <f>SUMIFS(LS[[#Headers],[Unit]]:LS[[#This Row],[Unit]],LS[[#Headers],[Investor ID]]:LS[[#This Row],[Investor ID]],LS[[#This Row],[Investor ID]])</f>
        <v>0</v>
      </c>
      <c r="P299" s="96">
        <v>-220280</v>
      </c>
      <c r="Q299" s="48">
        <f>LS[[#This Row],[Amount]]-LS[[#This Row],[Unit Capital]]</f>
        <v>-14538.48000000001</v>
      </c>
      <c r="R29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299" s="89">
        <f t="shared" si="4"/>
        <v>14.224</v>
      </c>
      <c r="T299" s="96">
        <f>IF(LS[[#This Row],[B/S]]="B",0,ABS(LS[[#This Row],[Unit]])*(LS[[#This Row],[NAV (Strike Rate)]]-INDEX(LS[NAV at Cost (Average)],MATCH(CONCATENATE(LS[[#This Row],[Frequency]]-1,LS[[#This Row],[Investor ID]]),LS[Unique Code],0),)))</f>
        <v>9380.4580579662525</v>
      </c>
      <c r="U299" s="96" cm="1">
        <f t="array" ref="U299">IF(LS[[#This Row],[B/S]]="S",ABS(LS[[#This Row],[Unit]])*(INDEX(LS[NAV at Cost (Average)],MATCH(CONCATENATE((LS[[#This Row],[Frequency]]-1),LS[[#This Row],[Investor ID]]),LS[Unique Code],0),0)),0)</f>
        <v>225438.02194203375</v>
      </c>
      <c r="V299" s="96">
        <f>IF(LS[[#This Row],[BO TRANSFER]]="YES",LS[[#This Row],[Unit]],)</f>
        <v>0</v>
      </c>
      <c r="W299" s="96">
        <f>SUMIFS(LS[[#Headers],[BO UNIT TRANSFER]]:LS[[#This Row],[BO UNIT TRANSFER]],LS[[#Headers],[Investor ID]]:LS[[#This Row],[Investor ID]],LS[[#This Row],[Investor ID]])</f>
        <v>0</v>
      </c>
    </row>
    <row r="300" spans="1:23">
      <c r="A300" s="75">
        <v>2023</v>
      </c>
      <c r="B300" s="75">
        <v>12</v>
      </c>
      <c r="C300" s="75">
        <v>28</v>
      </c>
      <c r="D300" s="81">
        <f>DATE(LS[[#This Row],[Year]],LS[[#This Row],[Month]],LS[[#This Row],[Day]])</f>
        <v>45288</v>
      </c>
      <c r="E300" t="str" cm="1">
        <f t="array" ref="E300">INDEX(INVESTORS_LIST[INVESTOR NAME],MATCH(LS[[#This Row],[Investor ID]],INVESTORS_LIST[INVESTOR CODE],0),)</f>
        <v>MST. GOLENUR</v>
      </c>
      <c r="F300" s="83" t="s">
        <v>1075</v>
      </c>
      <c r="G300" s="75">
        <f>COUNTIF(LS[[#Headers],[Investor ID]]:LS[[#This Row],[Investor ID]],LS[[#This Row],[Investor ID]])</f>
        <v>2</v>
      </c>
      <c r="H300" s="75" t="str">
        <f>CONCATENATE(LS[[#This Row],[Frequency]],LS[[#This Row],[Investor ID]])</f>
        <v>2A00515</v>
      </c>
      <c r="I300" s="75" t="str">
        <f>IF(LS[[#This Row],[B/S]]="B","BUY",(IF(LS[[#This Row],[B/S]]="S","SELL"," ")))</f>
        <v>BUY</v>
      </c>
      <c r="J300" s="75" t="s">
        <v>1229</v>
      </c>
      <c r="K300" s="88">
        <v>2000</v>
      </c>
      <c r="L300" s="88"/>
      <c r="M300" s="89">
        <f>LS[[#This Row],[Amount]]/LS[[#This Row],[Unit]]</f>
        <v>10.638297872340425</v>
      </c>
      <c r="N300" s="90">
        <f>LS[[#This Row],[Unit Capital]]/10</f>
        <v>188</v>
      </c>
      <c r="O300" s="90">
        <f>SUMIFS(LS[[#Headers],[Unit]]:LS[[#This Row],[Unit]],LS[[#Headers],[Investor ID]]:LS[[#This Row],[Investor ID]],LS[[#This Row],[Investor ID]])</f>
        <v>377</v>
      </c>
      <c r="P300" s="96">
        <v>1880</v>
      </c>
      <c r="Q300" s="48">
        <f>LS[[#This Row],[Amount]]-LS[[#This Row],[Unit Capital]]</f>
        <v>120</v>
      </c>
      <c r="R30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10.610079575596817</v>
      </c>
      <c r="S300" s="89">
        <f t="shared" si="4"/>
        <v>14.224</v>
      </c>
      <c r="T30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0" s="96" cm="1">
        <f t="array" ref="U300">IF(LS[[#This Row],[B/S]]="S",ABS(LS[[#This Row],[Unit]])*(INDEX(LS[NAV at Cost (Average)],MATCH(CONCATENATE((LS[[#This Row],[Frequency]]-1),LS[[#This Row],[Investor ID]]),LS[Unique Code],0),0)),0)</f>
        <v>0</v>
      </c>
      <c r="V300" s="96">
        <f>IF(LS[[#This Row],[BO TRANSFER]]="YES",LS[[#This Row],[Unit]],)</f>
        <v>0</v>
      </c>
      <c r="W300" s="96">
        <f>SUMIFS(LS[[#Headers],[BO UNIT TRANSFER]]:LS[[#This Row],[BO UNIT TRANSFER]],LS[[#Headers],[Investor ID]]:LS[[#This Row],[Investor ID]],LS[[#This Row],[Investor ID]])</f>
        <v>0</v>
      </c>
    </row>
    <row r="301" spans="1:23">
      <c r="A301" s="75">
        <v>2023</v>
      </c>
      <c r="B301" s="75">
        <v>12</v>
      </c>
      <c r="C301" s="75">
        <v>28</v>
      </c>
      <c r="D301" s="81">
        <f>DATE(LS[[#This Row],[Year]],LS[[#This Row],[Month]],LS[[#This Row],[Day]])</f>
        <v>45288</v>
      </c>
      <c r="E301" t="str" cm="1">
        <f t="array" ref="E301">INDEX(INVESTORS_LIST[INVESTOR NAME],MATCH(LS[[#This Row],[Investor ID]],INVESTORS_LIST[INVESTOR CODE],0),)</f>
        <v>EKUSH WEALTH MANAGEMENT LIMITED</v>
      </c>
      <c r="F301" s="83" t="s">
        <v>47</v>
      </c>
      <c r="G301" s="75">
        <f>COUNTIF(LS[[#Headers],[Investor ID]]:LS[[#This Row],[Investor ID]],LS[[#This Row],[Investor ID]])</f>
        <v>15</v>
      </c>
      <c r="H301" s="75" t="str">
        <f>CONCATENATE(LS[[#This Row],[Frequency]],LS[[#This Row],[Investor ID]])</f>
        <v>15A00003</v>
      </c>
      <c r="I301" s="75" t="str">
        <f>IF(LS[[#This Row],[B/S]]="B","BUY",(IF(LS[[#This Row],[B/S]]="S","SELL"," ")))</f>
        <v>SELL</v>
      </c>
      <c r="J301" s="75" t="s">
        <v>1231</v>
      </c>
      <c r="K301" s="88">
        <v>-500000</v>
      </c>
      <c r="L301" s="88"/>
      <c r="M301" s="89">
        <f>LS[[#This Row],[Amount]]/LS[[#This Row],[Unit]]</f>
        <v>10.660071635681392</v>
      </c>
      <c r="N301" s="90">
        <f>LS[[#This Row],[Unit Capital]]/10</f>
        <v>-46904</v>
      </c>
      <c r="O301" s="90">
        <f>SUMIFS(LS[[#Headers],[Unit]]:LS[[#This Row],[Unit]],LS[[#Headers],[Investor ID]]:LS[[#This Row],[Investor ID]],LS[[#This Row],[Investor ID]])</f>
        <v>2095403</v>
      </c>
      <c r="P301" s="96">
        <v>-469040</v>
      </c>
      <c r="Q301" s="48">
        <f>LS[[#This Row],[Amount]]-LS[[#This Row],[Unit Capital]]</f>
        <v>-30960</v>
      </c>
      <c r="R30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301" s="89">
        <f t="shared" si="4"/>
        <v>14.224</v>
      </c>
      <c r="T301" s="96">
        <f>IF(LS[[#This Row],[B/S]]="B",0,ABS(LS[[#This Row],[Unit]])*(LS[[#This Row],[NAV (Strike Rate)]]-INDEX(LS[NAV at Cost (Average)],MATCH(CONCATENATE(LS[[#This Row],[Frequency]]-1,LS[[#This Row],[Investor ID]]),LS[Unique Code],0),)))</f>
        <v>30294.20292853635</v>
      </c>
      <c r="U301" s="96" cm="1">
        <f t="array" ref="U301">IF(LS[[#This Row],[B/S]]="S",ABS(LS[[#This Row],[Unit]])*(INDEX(LS[NAV at Cost (Average)],MATCH(CONCATENATE((LS[[#This Row],[Frequency]]-1),LS[[#This Row],[Investor ID]]),LS[Unique Code],0),0)),0)</f>
        <v>469705.79707146366</v>
      </c>
      <c r="V301" s="96">
        <f>IF(LS[[#This Row],[BO TRANSFER]]="YES",LS[[#This Row],[Unit]],)</f>
        <v>0</v>
      </c>
      <c r="W301" s="96">
        <f>SUMIFS(LS[[#Headers],[BO UNIT TRANSFER]]:LS[[#This Row],[BO UNIT TRANSFER]],LS[[#Headers],[Investor ID]]:LS[[#This Row],[Investor ID]],LS[[#This Row],[Investor ID]])</f>
        <v>0</v>
      </c>
    </row>
    <row r="302" spans="1:23">
      <c r="A302" s="75">
        <v>2023</v>
      </c>
      <c r="B302" s="75">
        <v>12</v>
      </c>
      <c r="C302" s="75">
        <v>28</v>
      </c>
      <c r="D302" s="81">
        <f>DATE(LS[[#This Row],[Year]],LS[[#This Row],[Month]],LS[[#This Row],[Day]])</f>
        <v>45288</v>
      </c>
      <c r="E302" t="str" cm="1">
        <f t="array" ref="E302">INDEX(INVESTORS_LIST[INVESTOR NAME],MATCH(LS[[#This Row],[Investor ID]],INVESTORS_LIST[INVESTOR CODE],0),)</f>
        <v>IFTEKHAR ALAM</v>
      </c>
      <c r="F302" s="83" t="s">
        <v>216</v>
      </c>
      <c r="G302" s="75">
        <f>COUNTIF(LS[[#Headers],[Investor ID]]:LS[[#This Row],[Investor ID]],LS[[#This Row],[Investor ID]])</f>
        <v>2</v>
      </c>
      <c r="H302" s="75" t="str">
        <f>CONCATENATE(LS[[#This Row],[Frequency]],LS[[#This Row],[Investor ID]])</f>
        <v>2A00084</v>
      </c>
      <c r="I302" s="75" t="str">
        <f>IF(LS[[#This Row],[B/S]]="B","BUY",(IF(LS[[#This Row],[B/S]]="S","SELL"," ")))</f>
        <v>BUY</v>
      </c>
      <c r="J302" s="75" t="s">
        <v>1229</v>
      </c>
      <c r="K302" s="88">
        <v>500000</v>
      </c>
      <c r="L302" s="88"/>
      <c r="M302" s="89">
        <f>LS[[#This Row],[Amount]]/LS[[#This Row],[Unit]]</f>
        <v>10.660071635681392</v>
      </c>
      <c r="N302" s="90">
        <f>LS[[#This Row],[Unit Capital]]/10</f>
        <v>46904</v>
      </c>
      <c r="O302" s="90">
        <f>SUMIFS(LS[[#Headers],[Unit]]:LS[[#This Row],[Unit]],LS[[#Headers],[Investor ID]]:LS[[#This Row],[Investor ID]],LS[[#This Row],[Investor ID]])</f>
        <v>93888</v>
      </c>
      <c r="P302" s="96">
        <v>469040</v>
      </c>
      <c r="Q302" s="48">
        <f>LS[[#This Row],[Amount]]-LS[[#This Row],[Unit Capital]]</f>
        <v>30960</v>
      </c>
      <c r="R30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10.650988411724608</v>
      </c>
      <c r="S302" s="89">
        <f t="shared" si="4"/>
        <v>14.224</v>
      </c>
      <c r="T30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2" s="96" cm="1">
        <f t="array" ref="U302">IF(LS[[#This Row],[B/S]]="S",ABS(LS[[#This Row],[Unit]])*(INDEX(LS[NAV at Cost (Average)],MATCH(CONCATENATE((LS[[#This Row],[Frequency]]-1),LS[[#This Row],[Investor ID]]),LS[Unique Code],0),0)),0)</f>
        <v>0</v>
      </c>
      <c r="V302" s="96">
        <f>IF(LS[[#This Row],[BO TRANSFER]]="YES",LS[[#This Row],[Unit]],)</f>
        <v>0</v>
      </c>
      <c r="W302" s="96">
        <f>SUMIFS(LS[[#Headers],[BO UNIT TRANSFER]]:LS[[#This Row],[BO UNIT TRANSFER]],LS[[#Headers],[Investor ID]]:LS[[#This Row],[Investor ID]],LS[[#This Row],[Investor ID]])</f>
        <v>0</v>
      </c>
    </row>
    <row r="303" spans="1:23">
      <c r="A303" s="75">
        <v>2024</v>
      </c>
      <c r="B303" s="75">
        <v>1</v>
      </c>
      <c r="C303" s="75">
        <v>1</v>
      </c>
      <c r="D303" s="81">
        <f>DATE(LS[[#This Row],[Year]],LS[[#This Row],[Month]],LS[[#This Row],[Day]])</f>
        <v>45292</v>
      </c>
      <c r="E303" t="str" cm="1">
        <f t="array" ref="E303">INDEX(INVESTORS_LIST[INVESTOR NAME],MATCH(LS[[#This Row],[Investor ID]],INVESTORS_LIST[INVESTOR CODE],0),)</f>
        <v>MUHAMMAD SAJJAD HOSSAIN</v>
      </c>
      <c r="F303" s="83" t="s">
        <v>1046</v>
      </c>
      <c r="G303" s="75">
        <f>COUNTIF(LS[[#Headers],[Investor ID]]:LS[[#This Row],[Investor ID]],LS[[#This Row],[Investor ID]])</f>
        <v>3</v>
      </c>
      <c r="H303" s="75" t="str">
        <f>CONCATENATE(LS[[#This Row],[Frequency]],LS[[#This Row],[Investor ID]])</f>
        <v>3A00500</v>
      </c>
      <c r="I303" s="75" t="str">
        <f>IF(LS[[#This Row],[B/S]]="B","BUY",(IF(LS[[#This Row],[B/S]]="S","SELL"," ")))</f>
        <v>SELL</v>
      </c>
      <c r="J303" s="75" t="s">
        <v>1231</v>
      </c>
      <c r="K303" s="88">
        <v>-259890.8</v>
      </c>
      <c r="L303" s="88"/>
      <c r="M303" s="89">
        <f>LS[[#This Row],[Amount]]/LS[[#This Row],[Unit]]</f>
        <v>10.66</v>
      </c>
      <c r="N303" s="90">
        <f>LS[[#This Row],[Unit Capital]]/10</f>
        <v>-24380</v>
      </c>
      <c r="O303" s="90">
        <f>SUMIFS(LS[[#Headers],[Unit]]:LS[[#This Row],[Unit]],LS[[#Headers],[Investor ID]]:LS[[#This Row],[Investor ID]],LS[[#This Row],[Investor ID]])</f>
        <v>0</v>
      </c>
      <c r="P303" s="96">
        <v>-243800</v>
      </c>
      <c r="Q303" s="48">
        <f>LS[[#This Row],[Amount]]-LS[[#This Row],[Unit Capital]]</f>
        <v>-16090.799999999988</v>
      </c>
      <c r="R30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03" s="89">
        <f t="shared" si="4"/>
        <v>14.224</v>
      </c>
      <c r="T303" s="96">
        <f>IF(LS[[#This Row],[B/S]]="B",0,ABS(LS[[#This Row],[Unit]])*(LS[[#This Row],[NAV (Strike Rate)]]-INDEX(LS[NAV at Cost (Average)],MATCH(CONCATENATE(LS[[#This Row],[Frequency]]-1,LS[[#This Row],[Investor ID]]),LS[Unique Code],0),)))</f>
        <v>9890.8000000000247</v>
      </c>
      <c r="U303" s="96" cm="1">
        <f t="array" ref="U303">IF(LS[[#This Row],[B/S]]="S",ABS(LS[[#This Row],[Unit]])*(INDEX(LS[NAV at Cost (Average)],MATCH(CONCATENATE((LS[[#This Row],[Frequency]]-1),LS[[#This Row],[Investor ID]]),LS[Unique Code],0),0)),0)</f>
        <v>249999.99999999997</v>
      </c>
      <c r="V303" s="96">
        <f>IF(LS[[#This Row],[BO TRANSFER]]="YES",LS[[#This Row],[Unit]],)</f>
        <v>0</v>
      </c>
      <c r="W303" s="96">
        <f>SUMIFS(LS[[#Headers],[BO UNIT TRANSFER]]:LS[[#This Row],[BO UNIT TRANSFER]],LS[[#Headers],[Investor ID]]:LS[[#This Row],[Investor ID]],LS[[#This Row],[Investor ID]])</f>
        <v>0</v>
      </c>
    </row>
    <row r="304" spans="1:23">
      <c r="A304" s="75">
        <v>2024</v>
      </c>
      <c r="B304" s="75">
        <v>1</v>
      </c>
      <c r="C304" s="75">
        <v>3</v>
      </c>
      <c r="D304" s="81">
        <f>DATE(LS[[#This Row],[Year]],LS[[#This Row],[Month]],LS[[#This Row],[Day]])</f>
        <v>45294</v>
      </c>
      <c r="E304" t="str" cm="1">
        <f t="array" ref="E304">INDEX(INVESTORS_LIST[INVESTOR NAME],MATCH(LS[[#This Row],[Investor ID]],INVESTORS_LIST[INVESTOR CODE],0),)</f>
        <v>AMIT KANTI SARKER</v>
      </c>
      <c r="F304" s="83" t="s">
        <v>364</v>
      </c>
      <c r="G304" s="75">
        <f>COUNTIF(LS[[#Headers],[Investor ID]]:LS[[#This Row],[Investor ID]],LS[[#This Row],[Investor ID]])</f>
        <v>4</v>
      </c>
      <c r="H304" s="75" t="str">
        <f>CONCATENATE(LS[[#This Row],[Frequency]],LS[[#This Row],[Investor ID]])</f>
        <v>4A00158</v>
      </c>
      <c r="I304" s="75" t="str">
        <f>IF(LS[[#This Row],[B/S]]="B","BUY",(IF(LS[[#This Row],[B/S]]="S","SELL"," ")))</f>
        <v>BUY</v>
      </c>
      <c r="J304" s="75" t="s">
        <v>1229</v>
      </c>
      <c r="K304" s="88">
        <v>1000000</v>
      </c>
      <c r="L304" s="88"/>
      <c r="M304" s="89">
        <f>LS[[#This Row],[Amount]]/LS[[#This Row],[Unit]]</f>
        <v>10.679995300802068</v>
      </c>
      <c r="N304" s="90">
        <f>LS[[#This Row],[Unit Capital]]/10</f>
        <v>93633</v>
      </c>
      <c r="O304" s="90">
        <f>SUMIFS(LS[[#Headers],[Unit]]:LS[[#This Row],[Unit]],LS[[#Headers],[Investor ID]]:LS[[#This Row],[Investor ID]],LS[[#This Row],[Investor ID]])</f>
        <v>93633</v>
      </c>
      <c r="P304" s="96">
        <v>936330</v>
      </c>
      <c r="Q304" s="48">
        <f>LS[[#This Row],[Amount]]-LS[[#This Row],[Unit Capital]]</f>
        <v>63670</v>
      </c>
      <c r="R30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10.679995300802068</v>
      </c>
      <c r="S304" s="89">
        <f t="shared" si="4"/>
        <v>14.224</v>
      </c>
      <c r="T30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4" s="96" cm="1">
        <f t="array" ref="U304">IF(LS[[#This Row],[B/S]]="S",ABS(LS[[#This Row],[Unit]])*(INDEX(LS[NAV at Cost (Average)],MATCH(CONCATENATE((LS[[#This Row],[Frequency]]-1),LS[[#This Row],[Investor ID]]),LS[Unique Code],0),0)),0)</f>
        <v>0</v>
      </c>
      <c r="V304" s="96">
        <f>IF(LS[[#This Row],[BO TRANSFER]]="YES",LS[[#This Row],[Unit]],)</f>
        <v>0</v>
      </c>
      <c r="W304" s="96">
        <f>SUMIFS(LS[[#Headers],[BO UNIT TRANSFER]]:LS[[#This Row],[BO UNIT TRANSFER]],LS[[#Headers],[Investor ID]]:LS[[#This Row],[Investor ID]],LS[[#This Row],[Investor ID]])</f>
        <v>0</v>
      </c>
    </row>
    <row r="305" spans="1:23">
      <c r="A305" s="75">
        <v>2024</v>
      </c>
      <c r="B305" s="75">
        <v>1</v>
      </c>
      <c r="C305" s="75">
        <v>3</v>
      </c>
      <c r="D305" s="81">
        <f>DATE(LS[[#This Row],[Year]],LS[[#This Row],[Month]],LS[[#This Row],[Day]])</f>
        <v>45294</v>
      </c>
      <c r="E305" t="str" cm="1">
        <f t="array" ref="E305">INDEX(INVESTORS_LIST[INVESTOR NAME],MATCH(LS[[#This Row],[Investor ID]],INVESTORS_LIST[INVESTOR CODE],0),)</f>
        <v>NAUSHEEN AHMED</v>
      </c>
      <c r="F305" s="83" t="s">
        <v>585</v>
      </c>
      <c r="G305" s="75">
        <f>COUNTIF(LS[[#Headers],[Investor ID]]:LS[[#This Row],[Investor ID]],LS[[#This Row],[Investor ID]])</f>
        <v>2</v>
      </c>
      <c r="H305" s="75" t="str">
        <f>CONCATENATE(LS[[#This Row],[Frequency]],LS[[#This Row],[Investor ID]])</f>
        <v>2A00268</v>
      </c>
      <c r="I305" s="75" t="str">
        <f>IF(LS[[#This Row],[B/S]]="B","BUY",(IF(LS[[#This Row],[B/S]]="S","SELL"," ")))</f>
        <v>SELL</v>
      </c>
      <c r="J305" s="75" t="s">
        <v>1231</v>
      </c>
      <c r="K305" s="88">
        <v>-400500</v>
      </c>
      <c r="L305" s="88"/>
      <c r="M305" s="89">
        <f>LS[[#This Row],[Amount]]/LS[[#This Row],[Unit]]</f>
        <v>10.68</v>
      </c>
      <c r="N305" s="90">
        <f>LS[[#This Row],[Unit Capital]]/10</f>
        <v>-37500</v>
      </c>
      <c r="O305" s="90">
        <f>SUMIFS(LS[[#Headers],[Unit]]:LS[[#This Row],[Unit]],LS[[#Headers],[Investor ID]]:LS[[#This Row],[Investor ID]],LS[[#This Row],[Investor ID]])</f>
        <v>4700</v>
      </c>
      <c r="P305" s="96">
        <v>-375000</v>
      </c>
      <c r="Q305" s="48">
        <f>LS[[#This Row],[Amount]]-LS[[#This Row],[Unit Capital]]</f>
        <v>-25500</v>
      </c>
      <c r="R30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10.31</v>
      </c>
      <c r="S305" s="89">
        <f t="shared" si="4"/>
        <v>14.224</v>
      </c>
      <c r="T305" s="96">
        <f>IF(LS[[#This Row],[B/S]]="B",0,ABS(LS[[#This Row],[Unit]])*(LS[[#This Row],[NAV (Strike Rate)]]-INDEX(LS[NAV at Cost (Average)],MATCH(CONCATENATE(LS[[#This Row],[Frequency]]-1,LS[[#This Row],[Investor ID]]),LS[Unique Code],0),)))</f>
        <v>13874.999999999971</v>
      </c>
      <c r="U305" s="96" cm="1">
        <f t="array" ref="U305">IF(LS[[#This Row],[B/S]]="S",ABS(LS[[#This Row],[Unit]])*(INDEX(LS[NAV at Cost (Average)],MATCH(CONCATENATE((LS[[#This Row],[Frequency]]-1),LS[[#This Row],[Investor ID]]),LS[Unique Code],0),0)),0)</f>
        <v>386625</v>
      </c>
      <c r="V305" s="96">
        <f>IF(LS[[#This Row],[BO TRANSFER]]="YES",LS[[#This Row],[Unit]],)</f>
        <v>0</v>
      </c>
      <c r="W305" s="96">
        <f>SUMIFS(LS[[#Headers],[BO UNIT TRANSFER]]:LS[[#This Row],[BO UNIT TRANSFER]],LS[[#Headers],[Investor ID]]:LS[[#This Row],[Investor ID]],LS[[#This Row],[Investor ID]])</f>
        <v>0</v>
      </c>
    </row>
    <row r="306" spans="1:23">
      <c r="A306" s="75">
        <v>2024</v>
      </c>
      <c r="B306" s="75">
        <v>1</v>
      </c>
      <c r="C306" s="75">
        <v>9</v>
      </c>
      <c r="D306" s="81">
        <f>DATE(LS[[#This Row],[Year]],LS[[#This Row],[Month]],LS[[#This Row],[Day]])</f>
        <v>45300</v>
      </c>
      <c r="E306" t="str" cm="1">
        <f t="array" ref="E306">INDEX(INVESTORS_LIST[INVESTOR NAME],MATCH(LS[[#This Row],[Investor ID]],INVESTORS_LIST[INVESTOR CODE],0),)</f>
        <v>ARIFUR RAHMAN</v>
      </c>
      <c r="F306" s="83" t="s">
        <v>278</v>
      </c>
      <c r="G306" s="75">
        <f>COUNTIF(LS[[#Headers],[Investor ID]]:LS[[#This Row],[Investor ID]],LS[[#This Row],[Investor ID]])</f>
        <v>2</v>
      </c>
      <c r="H306" s="75" t="str">
        <f>CONCATENATE(LS[[#This Row],[Frequency]],LS[[#This Row],[Investor ID]])</f>
        <v>2A00115</v>
      </c>
      <c r="I306" s="75" t="str">
        <f>IF(LS[[#This Row],[B/S]]="B","BUY",(IF(LS[[#This Row],[B/S]]="S","SELL"," ")))</f>
        <v>BUY</v>
      </c>
      <c r="J306" s="75" t="s">
        <v>1229</v>
      </c>
      <c r="K306" s="88">
        <v>50000</v>
      </c>
      <c r="L306" s="88"/>
      <c r="M306" s="89">
        <f>LS[[#This Row],[Amount]]/LS[[#This Row],[Unit]]</f>
        <v>10.69747539580659</v>
      </c>
      <c r="N306" s="90">
        <f>LS[[#This Row],[Unit Capital]]/10</f>
        <v>4674</v>
      </c>
      <c r="O306" s="90">
        <f>SUMIFS(LS[[#Headers],[Unit]]:LS[[#This Row],[Unit]],LS[[#Headers],[Investor ID]]:LS[[#This Row],[Investor ID]],LS[[#This Row],[Investor ID]])</f>
        <v>14564</v>
      </c>
      <c r="P306" s="96">
        <v>46740</v>
      </c>
      <c r="Q306" s="48">
        <f>LS[[#This Row],[Amount]]-LS[[#This Row],[Unit Capital]]</f>
        <v>3260</v>
      </c>
      <c r="R30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10.299368305410601</v>
      </c>
      <c r="S306" s="89">
        <f t="shared" si="4"/>
        <v>14.224</v>
      </c>
      <c r="T30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6" s="96" cm="1">
        <f t="array" ref="U306">IF(LS[[#This Row],[B/S]]="S",ABS(LS[[#This Row],[Unit]])*(INDEX(LS[NAV at Cost (Average)],MATCH(CONCATENATE((LS[[#This Row],[Frequency]]-1),LS[[#This Row],[Investor ID]]),LS[Unique Code],0),0)),0)</f>
        <v>0</v>
      </c>
      <c r="V306" s="96">
        <f>IF(LS[[#This Row],[BO TRANSFER]]="YES",LS[[#This Row],[Unit]],)</f>
        <v>0</v>
      </c>
      <c r="W306" s="96">
        <f>SUMIFS(LS[[#Headers],[BO UNIT TRANSFER]]:LS[[#This Row],[BO UNIT TRANSFER]],LS[[#Headers],[Investor ID]]:LS[[#This Row],[Investor ID]],LS[[#This Row],[Investor ID]])</f>
        <v>0</v>
      </c>
    </row>
    <row r="307" spans="1:23">
      <c r="A307" s="75">
        <v>2024</v>
      </c>
      <c r="B307" s="75">
        <v>1</v>
      </c>
      <c r="C307" s="75">
        <v>10</v>
      </c>
      <c r="D307" s="81">
        <f>DATE(LS[[#This Row],[Year]],LS[[#This Row],[Month]],LS[[#This Row],[Day]])</f>
        <v>45301</v>
      </c>
      <c r="E307" t="str" cm="1">
        <f t="array" ref="E307">INDEX(INVESTORS_LIST[INVESTOR NAME],MATCH(LS[[#This Row],[Investor ID]],INVESTORS_LIST[INVESTOR CODE],0),)</f>
        <v>ASHAK ELAHI</v>
      </c>
      <c r="F307" s="83" t="s">
        <v>1077</v>
      </c>
      <c r="G307" s="75">
        <f>COUNTIF(LS[[#Headers],[Investor ID]]:LS[[#This Row],[Investor ID]],LS[[#This Row],[Investor ID]])</f>
        <v>5</v>
      </c>
      <c r="H307" s="75" t="str">
        <f>CONCATENATE(LS[[#This Row],[Frequency]],LS[[#This Row],[Investor ID]])</f>
        <v>5A00516</v>
      </c>
      <c r="I307" s="75" t="str">
        <f>IF(LS[[#This Row],[B/S]]="B","BUY",(IF(LS[[#This Row],[B/S]]="S","SELL"," ")))</f>
        <v>BUY</v>
      </c>
      <c r="J307" s="75" t="s">
        <v>1229</v>
      </c>
      <c r="K307" s="88">
        <v>29973</v>
      </c>
      <c r="L307" s="88"/>
      <c r="M307" s="89">
        <f>LS[[#This Row],[Amount]]/LS[[#This Row],[Unit]]</f>
        <v>10.697002141327623</v>
      </c>
      <c r="N307" s="90">
        <f>LS[[#This Row],[Unit Capital]]/10</f>
        <v>2802</v>
      </c>
      <c r="O307" s="90">
        <f>SUMIFS(LS[[#Headers],[Unit]]:LS[[#This Row],[Unit]],LS[[#Headers],[Investor ID]]:LS[[#This Row],[Investor ID]],LS[[#This Row],[Investor ID]])</f>
        <v>17800</v>
      </c>
      <c r="P307" s="96">
        <v>28020</v>
      </c>
      <c r="Q307" s="48">
        <f>LS[[#This Row],[Amount]]-LS[[#This Row],[Unit Capital]]</f>
        <v>1953</v>
      </c>
      <c r="R30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10.638687640449438</v>
      </c>
      <c r="S307" s="89">
        <f t="shared" si="4"/>
        <v>14.224</v>
      </c>
      <c r="T30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7" s="96" cm="1">
        <f t="array" ref="U307">IF(LS[[#This Row],[B/S]]="S",ABS(LS[[#This Row],[Unit]])*(INDEX(LS[NAV at Cost (Average)],MATCH(CONCATENATE((LS[[#This Row],[Frequency]]-1),LS[[#This Row],[Investor ID]]),LS[Unique Code],0),0)),0)</f>
        <v>0</v>
      </c>
      <c r="V307" s="96">
        <f>IF(LS[[#This Row],[BO TRANSFER]]="YES",LS[[#This Row],[Unit]],)</f>
        <v>0</v>
      </c>
      <c r="W307" s="96">
        <f>SUMIFS(LS[[#Headers],[BO UNIT TRANSFER]]:LS[[#This Row],[BO UNIT TRANSFER]],LS[[#Headers],[Investor ID]]:LS[[#This Row],[Investor ID]],LS[[#This Row],[Investor ID]])</f>
        <v>0</v>
      </c>
    </row>
    <row r="308" spans="1:23">
      <c r="A308" s="75">
        <v>2024</v>
      </c>
      <c r="B308" s="75">
        <v>1</v>
      </c>
      <c r="C308" s="75">
        <v>10</v>
      </c>
      <c r="D308" s="81">
        <f>DATE(LS[[#This Row],[Year]],LS[[#This Row],[Month]],LS[[#This Row],[Day]])</f>
        <v>45301</v>
      </c>
      <c r="E308" t="str" cm="1">
        <f t="array" ref="E308">INDEX(INVESTORS_LIST[INVESTOR NAME],MATCH(LS[[#This Row],[Investor ID]],INVESTORS_LIST[INVESTOR CODE],0),)</f>
        <v>KHAN MUHAMMAD KAWSER AHMED</v>
      </c>
      <c r="F308" s="83" t="s">
        <v>944</v>
      </c>
      <c r="G308" s="75">
        <f>COUNTIF(LS[[#Headers],[Investor ID]]:LS[[#This Row],[Investor ID]],LS[[#This Row],[Investor ID]])</f>
        <v>4</v>
      </c>
      <c r="H308" s="75" t="str">
        <f>CONCATENATE(LS[[#This Row],[Frequency]],LS[[#This Row],[Investor ID]])</f>
        <v>4A00449</v>
      </c>
      <c r="I308" s="75" t="str">
        <f>IF(LS[[#This Row],[B/S]]="B","BUY",(IF(LS[[#This Row],[B/S]]="S","SELL"," ")))</f>
        <v>BUY</v>
      </c>
      <c r="J308" s="75" t="s">
        <v>1229</v>
      </c>
      <c r="K308" s="88">
        <v>20000000</v>
      </c>
      <c r="L308" s="88"/>
      <c r="M308" s="89">
        <f>LS[[#This Row],[Amount]]/LS[[#This Row],[Unit]]</f>
        <v>10.697000507572675</v>
      </c>
      <c r="N308" s="90">
        <f>LS[[#This Row],[Unit Capital]]/10</f>
        <v>1869683</v>
      </c>
      <c r="O308" s="90">
        <f>SUMIFS(LS[[#Headers],[Unit]]:LS[[#This Row],[Unit]],LS[[#Headers],[Investor ID]]:LS[[#This Row],[Investor ID]],LS[[#This Row],[Investor ID]])</f>
        <v>1869683</v>
      </c>
      <c r="P308" s="96">
        <v>18696830</v>
      </c>
      <c r="Q308" s="48">
        <f>LS[[#This Row],[Amount]]-LS[[#This Row],[Unit Capital]]</f>
        <v>1303170</v>
      </c>
      <c r="R30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10.697000507572675</v>
      </c>
      <c r="S308" s="89">
        <f t="shared" si="4"/>
        <v>14.224</v>
      </c>
      <c r="T30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08" s="96" cm="1">
        <f t="array" ref="U308">IF(LS[[#This Row],[B/S]]="S",ABS(LS[[#This Row],[Unit]])*(INDEX(LS[NAV at Cost (Average)],MATCH(CONCATENATE((LS[[#This Row],[Frequency]]-1),LS[[#This Row],[Investor ID]]),LS[Unique Code],0),0)),0)</f>
        <v>0</v>
      </c>
      <c r="V308" s="96">
        <f>IF(LS[[#This Row],[BO TRANSFER]]="YES",LS[[#This Row],[Unit]],)</f>
        <v>0</v>
      </c>
      <c r="W308" s="96">
        <f>SUMIFS(LS[[#Headers],[BO UNIT TRANSFER]]:LS[[#This Row],[BO UNIT TRANSFER]],LS[[#Headers],[Investor ID]]:LS[[#This Row],[Investor ID]],LS[[#This Row],[Investor ID]])</f>
        <v>0</v>
      </c>
    </row>
    <row r="309" spans="1:23">
      <c r="A309" s="75">
        <v>2024</v>
      </c>
      <c r="B309" s="75">
        <v>1</v>
      </c>
      <c r="C309" s="75">
        <v>11</v>
      </c>
      <c r="D309" s="81">
        <f>DATE(LS[[#This Row],[Year]],LS[[#This Row],[Month]],LS[[#This Row],[Day]])</f>
        <v>45302</v>
      </c>
      <c r="E309" t="str" cm="1">
        <f t="array" ref="E309">INDEX(INVESTORS_LIST[INVESTOR NAME],MATCH(LS[[#This Row],[Investor ID]],INVESTORS_LIST[INVESTOR CODE],0),)</f>
        <v>EKUSH WEALTH MANAGEMENT LIMITED</v>
      </c>
      <c r="F309" s="83" t="s">
        <v>47</v>
      </c>
      <c r="G309" s="75">
        <f>COUNTIF(LS[[#Headers],[Investor ID]]:LS[[#This Row],[Investor ID]],LS[[#This Row],[Investor ID]])</f>
        <v>16</v>
      </c>
      <c r="H309" s="75" t="str">
        <f>CONCATENATE(LS[[#This Row],[Frequency]],LS[[#This Row],[Investor ID]])</f>
        <v>16A00003</v>
      </c>
      <c r="I309" s="75" t="str">
        <f>IF(LS[[#This Row],[B/S]]="B","BUY",(IF(LS[[#This Row],[B/S]]="S","SELL"," ")))</f>
        <v>SELL</v>
      </c>
      <c r="J309" s="75" t="s">
        <v>1231</v>
      </c>
      <c r="K309" s="88">
        <v>-10500000</v>
      </c>
      <c r="L309" s="88"/>
      <c r="M309" s="89">
        <f>LS[[#This Row],[Amount]]/LS[[#This Row],[Unit]]</f>
        <v>10.6969958760534</v>
      </c>
      <c r="N309" s="90">
        <f>LS[[#This Row],[Unit Capital]]/10</f>
        <v>-981584</v>
      </c>
      <c r="O309" s="90">
        <f>SUMIFS(LS[[#Headers],[Unit]]:LS[[#This Row],[Unit]],LS[[#Headers],[Investor ID]]:LS[[#This Row],[Investor ID]],LS[[#This Row],[Investor ID]])</f>
        <v>1113819</v>
      </c>
      <c r="P309" s="96">
        <v>-9815840</v>
      </c>
      <c r="Q309" s="48">
        <f>LS[[#This Row],[Amount]]-LS[[#This Row],[Unit Capital]]</f>
        <v>-684160</v>
      </c>
      <c r="R30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309" s="89">
        <f t="shared" si="4"/>
        <v>14.224</v>
      </c>
      <c r="T309" s="96">
        <f>IF(LS[[#This Row],[B/S]]="B",0,ABS(LS[[#This Row],[Unit]])*(LS[[#This Row],[NAV (Strike Rate)]]-INDEX(LS[NAV at Cost (Average)],MATCH(CONCATENATE(LS[[#This Row],[Frequency]]-1,LS[[#This Row],[Investor ID]]),LS[Unique Code],0),)))</f>
        <v>670226.52412170439</v>
      </c>
      <c r="U309" s="96" cm="1">
        <f t="array" ref="U309">IF(LS[[#This Row],[B/S]]="S",ABS(LS[[#This Row],[Unit]])*(INDEX(LS[NAV at Cost (Average)],MATCH(CONCATENATE((LS[[#This Row],[Frequency]]-1),LS[[#This Row],[Investor ID]]),LS[Unique Code],0),0)),0)</f>
        <v>9829773.4758782964</v>
      </c>
      <c r="V309" s="96">
        <f>IF(LS[[#This Row],[BO TRANSFER]]="YES",LS[[#This Row],[Unit]],)</f>
        <v>0</v>
      </c>
      <c r="W309" s="96">
        <f>SUMIFS(LS[[#Headers],[BO UNIT TRANSFER]]:LS[[#This Row],[BO UNIT TRANSFER]],LS[[#Headers],[Investor ID]]:LS[[#This Row],[Investor ID]],LS[[#This Row],[Investor ID]])</f>
        <v>0</v>
      </c>
    </row>
    <row r="310" spans="1:23">
      <c r="A310" s="75">
        <v>2024</v>
      </c>
      <c r="B310" s="75">
        <v>1</v>
      </c>
      <c r="C310" s="75">
        <v>11</v>
      </c>
      <c r="D310" s="81">
        <f>DATE(LS[[#This Row],[Year]],LS[[#This Row],[Month]],LS[[#This Row],[Day]])</f>
        <v>45302</v>
      </c>
      <c r="E310" t="str" cm="1">
        <f t="array" ref="E310">INDEX(INVESTORS_LIST[INVESTOR NAME],MATCH(LS[[#This Row],[Investor ID]],INVESTORS_LIST[INVESTOR CODE],0),)</f>
        <v>MST SANTA ISLAM</v>
      </c>
      <c r="F310" s="97" t="s">
        <v>1097</v>
      </c>
      <c r="G310" s="75">
        <f>COUNTIF(LS[[#Headers],[Investor ID]]:LS[[#This Row],[Investor ID]],LS[[#This Row],[Investor ID]])</f>
        <v>1</v>
      </c>
      <c r="H310" s="75" t="str">
        <f>CONCATENATE(LS[[#This Row],[Frequency]],LS[[#This Row],[Investor ID]])</f>
        <v>1A00525</v>
      </c>
      <c r="I310" s="75" t="str">
        <f>IF(LS[[#This Row],[B/S]]="B","BUY",(IF(LS[[#This Row],[B/S]]="S","SELL"," ")))</f>
        <v>BUY</v>
      </c>
      <c r="J310" s="75" t="s">
        <v>1229</v>
      </c>
      <c r="K310" s="88">
        <v>1000000</v>
      </c>
      <c r="L310" s="88"/>
      <c r="M310" s="89">
        <f>LS[[#This Row],[Amount]]/LS[[#This Row],[Unit]]</f>
        <v>10.697017671473194</v>
      </c>
      <c r="N310" s="90">
        <f>LS[[#This Row],[Unit Capital]]/10</f>
        <v>93484</v>
      </c>
      <c r="O310" s="90">
        <f>SUMIFS(LS[[#Headers],[Unit]]:LS[[#This Row],[Unit]],LS[[#Headers],[Investor ID]]:LS[[#This Row],[Investor ID]],LS[[#This Row],[Investor ID]])</f>
        <v>93484</v>
      </c>
      <c r="P310" s="96">
        <v>934840</v>
      </c>
      <c r="Q310" s="48">
        <f>LS[[#This Row],[Amount]]-LS[[#This Row],[Unit Capital]]</f>
        <v>65160</v>
      </c>
      <c r="R3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10.697017671473194</v>
      </c>
      <c r="S310" s="89">
        <f t="shared" si="4"/>
        <v>14.224</v>
      </c>
      <c r="T31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0" s="96" cm="1">
        <f t="array" ref="U310">IF(LS[[#This Row],[B/S]]="S",ABS(LS[[#This Row],[Unit]])*(INDEX(LS[NAV at Cost (Average)],MATCH(CONCATENATE((LS[[#This Row],[Frequency]]-1),LS[[#This Row],[Investor ID]]),LS[Unique Code],0),0)),0)</f>
        <v>0</v>
      </c>
      <c r="V310" s="96">
        <f>IF(LS[[#This Row],[BO TRANSFER]]="YES",LS[[#This Row],[Unit]],)</f>
        <v>0</v>
      </c>
      <c r="W310" s="96">
        <f>SUMIFS(LS[[#Headers],[BO UNIT TRANSFER]]:LS[[#This Row],[BO UNIT TRANSFER]],LS[[#Headers],[Investor ID]]:LS[[#This Row],[Investor ID]],LS[[#This Row],[Investor ID]])</f>
        <v>0</v>
      </c>
    </row>
    <row r="311" spans="1:23">
      <c r="A311" s="75">
        <v>2024</v>
      </c>
      <c r="B311" s="75">
        <v>1</v>
      </c>
      <c r="C311" s="75">
        <v>11</v>
      </c>
      <c r="D311" s="81">
        <f>DATE(LS[[#This Row],[Year]],LS[[#This Row],[Month]],LS[[#This Row],[Day]])</f>
        <v>45302</v>
      </c>
      <c r="E311" t="str" cm="1">
        <f t="array" ref="E311">INDEX(INVESTORS_LIST[INVESTOR NAME],MATCH(LS[[#This Row],[Investor ID]],INVESTORS_LIST[INVESTOR CODE],0),)</f>
        <v>ARZUN KUMAR SARKAR</v>
      </c>
      <c r="F311" s="83" t="s">
        <v>310</v>
      </c>
      <c r="G311" s="75">
        <f>COUNTIF(LS[[#Headers],[Investor ID]]:LS[[#This Row],[Investor ID]],LS[[#This Row],[Investor ID]])</f>
        <v>3</v>
      </c>
      <c r="H311" s="75" t="str">
        <f>CONCATENATE(LS[[#This Row],[Frequency]],LS[[#This Row],[Investor ID]])</f>
        <v>3A00131</v>
      </c>
      <c r="I311" s="75" t="str">
        <f>IF(LS[[#This Row],[B/S]]="B","BUY",(IF(LS[[#This Row],[B/S]]="S","SELL"," ")))</f>
        <v>SELL</v>
      </c>
      <c r="J311" s="75" t="s">
        <v>1231</v>
      </c>
      <c r="K311" s="88">
        <v>-40000</v>
      </c>
      <c r="L311" s="88"/>
      <c r="M311" s="89">
        <f>LS[[#This Row],[Amount]]/LS[[#This Row],[Unit]]</f>
        <v>10.698047606311848</v>
      </c>
      <c r="N311" s="90">
        <f>LS[[#This Row],[Unit Capital]]/10</f>
        <v>-3739</v>
      </c>
      <c r="O311" s="90">
        <f>SUMIFS(LS[[#Headers],[Unit]]:LS[[#This Row],[Unit]],LS[[#Headers],[Investor ID]]:LS[[#This Row],[Investor ID]],LS[[#This Row],[Investor ID]])</f>
        <v>19146</v>
      </c>
      <c r="P311" s="96">
        <v>-37390</v>
      </c>
      <c r="Q311" s="48">
        <f>LS[[#This Row],[Amount]]-LS[[#This Row],[Unit Capital]]</f>
        <v>-2610</v>
      </c>
      <c r="R3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10.511931041732366</v>
      </c>
      <c r="S311" s="89">
        <f t="shared" si="4"/>
        <v>14.224</v>
      </c>
      <c r="T311" s="96">
        <f>IF(LS[[#This Row],[B/S]]="B",0,ABS(LS[[#This Row],[Unit]])*(LS[[#This Row],[NAV (Strike Rate)]]-INDEX(LS[NAV at Cost (Average)],MATCH(CONCATENATE(LS[[#This Row],[Frequency]]-1,LS[[#This Row],[Investor ID]]),LS[Unique Code],0),)))</f>
        <v>695.88983496268315</v>
      </c>
      <c r="U311" s="96" cm="1">
        <f t="array" ref="U311">IF(LS[[#This Row],[B/S]]="S",ABS(LS[[#This Row],[Unit]])*(INDEX(LS[NAV at Cost (Average)],MATCH(CONCATENATE((LS[[#This Row],[Frequency]]-1),LS[[#This Row],[Investor ID]]),LS[Unique Code],0),0)),0)</f>
        <v>39304.110165037317</v>
      </c>
      <c r="V311" s="96">
        <f>IF(LS[[#This Row],[BO TRANSFER]]="YES",LS[[#This Row],[Unit]],)</f>
        <v>0</v>
      </c>
      <c r="W311" s="96">
        <f>SUMIFS(LS[[#Headers],[BO UNIT TRANSFER]]:LS[[#This Row],[BO UNIT TRANSFER]],LS[[#Headers],[Investor ID]]:LS[[#This Row],[Investor ID]],LS[[#This Row],[Investor ID]])</f>
        <v>0</v>
      </c>
    </row>
    <row r="312" spans="1:23">
      <c r="A312" s="75">
        <v>2024</v>
      </c>
      <c r="B312" s="75">
        <v>1</v>
      </c>
      <c r="C312" s="75">
        <v>14</v>
      </c>
      <c r="D312" s="81">
        <f>DATE(LS[[#This Row],[Year]],LS[[#This Row],[Month]],LS[[#This Row],[Day]])</f>
        <v>45305</v>
      </c>
      <c r="E312" t="str" cm="1">
        <f t="array" ref="E312">INDEX(INVESTORS_LIST[INVESTOR NAME],MATCH(LS[[#This Row],[Investor ID]],INVESTORS_LIST[INVESTOR CODE],0),)</f>
        <v>FAIYEAD AHMEDUL HYE</v>
      </c>
      <c r="F312" s="83" t="s">
        <v>368</v>
      </c>
      <c r="G312" s="75">
        <f>COUNTIF(LS[[#Headers],[Investor ID]]:LS[[#This Row],[Investor ID]],LS[[#This Row],[Investor ID]])</f>
        <v>6</v>
      </c>
      <c r="H312" s="75" t="str">
        <f>CONCATENATE(LS[[#This Row],[Frequency]],LS[[#This Row],[Investor ID]])</f>
        <v>6A00160</v>
      </c>
      <c r="I312" s="75" t="str">
        <f>IF(LS[[#This Row],[B/S]]="B","BUY",(IF(LS[[#This Row],[B/S]]="S","SELL"," ")))</f>
        <v>BUY</v>
      </c>
      <c r="J312" s="75" t="s">
        <v>1229</v>
      </c>
      <c r="K312" s="88">
        <v>33000</v>
      </c>
      <c r="L312" s="88"/>
      <c r="M312" s="89">
        <f>LS[[#This Row],[Amount]]/LS[[#This Row],[Unit]]</f>
        <v>10.714285714285714</v>
      </c>
      <c r="N312" s="90">
        <f>LS[[#This Row],[Unit Capital]]/10</f>
        <v>3080</v>
      </c>
      <c r="O312" s="90">
        <f>SUMIFS(LS[[#Headers],[Unit]]:LS[[#This Row],[Unit]],LS[[#Headers],[Investor ID]]:LS[[#This Row],[Investor ID]],LS[[#This Row],[Investor ID]])</f>
        <v>32445</v>
      </c>
      <c r="P312" s="96">
        <v>30800</v>
      </c>
      <c r="Q312" s="48">
        <f>LS[[#This Row],[Amount]]-LS[[#This Row],[Unit Capital]]</f>
        <v>2200</v>
      </c>
      <c r="R3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10.417629835105567</v>
      </c>
      <c r="S312" s="89">
        <f t="shared" si="4"/>
        <v>14.224</v>
      </c>
      <c r="T31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2" s="96" cm="1">
        <f t="array" ref="U312">IF(LS[[#This Row],[B/S]]="S",ABS(LS[[#This Row],[Unit]])*(INDEX(LS[NAV at Cost (Average)],MATCH(CONCATENATE((LS[[#This Row],[Frequency]]-1),LS[[#This Row],[Investor ID]]),LS[Unique Code],0),0)),0)</f>
        <v>0</v>
      </c>
      <c r="V312" s="96">
        <f>IF(LS[[#This Row],[BO TRANSFER]]="YES",LS[[#This Row],[Unit]],)</f>
        <v>0</v>
      </c>
      <c r="W312" s="96">
        <f>SUMIFS(LS[[#Headers],[BO UNIT TRANSFER]]:LS[[#This Row],[BO UNIT TRANSFER]],LS[[#Headers],[Investor ID]]:LS[[#This Row],[Investor ID]],LS[[#This Row],[Investor ID]])</f>
        <v>0</v>
      </c>
    </row>
    <row r="313" spans="1:23">
      <c r="A313" s="75">
        <v>2024</v>
      </c>
      <c r="B313" s="75">
        <v>1</v>
      </c>
      <c r="C313" s="75">
        <v>14</v>
      </c>
      <c r="D313" s="81">
        <f>DATE(LS[[#This Row],[Year]],LS[[#This Row],[Month]],LS[[#This Row],[Day]])</f>
        <v>45305</v>
      </c>
      <c r="E313" t="str" cm="1">
        <f t="array" ref="E313">INDEX(INVESTORS_LIST[INVESTOR NAME],MATCH(LS[[#This Row],[Investor ID]],INVESTORS_LIST[INVESTOR CODE],0),)</f>
        <v>KAZI MAZBAH UDDIN</v>
      </c>
      <c r="F313" s="83" t="s">
        <v>1004</v>
      </c>
      <c r="G313" s="75">
        <f>COUNTIF(LS[[#Headers],[Investor ID]]:LS[[#This Row],[Investor ID]],LS[[#This Row],[Investor ID]])</f>
        <v>2</v>
      </c>
      <c r="H313" s="75" t="str">
        <f>CONCATENATE(LS[[#This Row],[Frequency]],LS[[#This Row],[Investor ID]])</f>
        <v>2A00479</v>
      </c>
      <c r="I313" s="75" t="str">
        <f>IF(LS[[#This Row],[B/S]]="B","BUY",(IF(LS[[#This Row],[B/S]]="S","SELL"," ")))</f>
        <v>SELL</v>
      </c>
      <c r="J313" s="75" t="s">
        <v>1231</v>
      </c>
      <c r="K313" s="88">
        <v>-527677.77</v>
      </c>
      <c r="L313" s="88"/>
      <c r="M313" s="89">
        <f>LS[[#This Row],[Amount]]/LS[[#This Row],[Unit]]</f>
        <v>10.7160101133179</v>
      </c>
      <c r="N313" s="90">
        <f>LS[[#This Row],[Unit Capital]]/10</f>
        <v>-49242</v>
      </c>
      <c r="O313" s="90">
        <f>SUMIFS(LS[[#Headers],[Unit]]:LS[[#This Row],[Unit]],LS[[#Headers],[Investor ID]]:LS[[#This Row],[Investor ID]],LS[[#This Row],[Investor ID]])</f>
        <v>0</v>
      </c>
      <c r="P313" s="96">
        <v>-492420</v>
      </c>
      <c r="Q313" s="48">
        <f>LS[[#This Row],[Amount]]-LS[[#This Row],[Unit Capital]]</f>
        <v>-35257.770000000019</v>
      </c>
      <c r="R3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13" s="89">
        <f t="shared" si="4"/>
        <v>14.224</v>
      </c>
      <c r="T313" s="96">
        <f>IF(LS[[#This Row],[B/S]]="B",0,ABS(LS[[#This Row],[Unit]])*(LS[[#This Row],[NAV (Strike Rate)]]-INDEX(LS[NAV at Cost (Average)],MATCH(CONCATENATE(LS[[#This Row],[Frequency]]-1,LS[[#This Row],[Investor ID]]),LS[Unique Code],0),)))</f>
        <v>27677.769999999993</v>
      </c>
      <c r="U313" s="96" cm="1">
        <f t="array" ref="U313">IF(LS[[#This Row],[B/S]]="S",ABS(LS[[#This Row],[Unit]])*(INDEX(LS[NAV at Cost (Average)],MATCH(CONCATENATE((LS[[#This Row],[Frequency]]-1),LS[[#This Row],[Investor ID]]),LS[Unique Code],0),0)),0)</f>
        <v>500000</v>
      </c>
      <c r="V313" s="96">
        <f>IF(LS[[#This Row],[BO TRANSFER]]="YES",LS[[#This Row],[Unit]],)</f>
        <v>0</v>
      </c>
      <c r="W313" s="96">
        <f>SUMIFS(LS[[#Headers],[BO UNIT TRANSFER]]:LS[[#This Row],[BO UNIT TRANSFER]],LS[[#Headers],[Investor ID]]:LS[[#This Row],[Investor ID]],LS[[#This Row],[Investor ID]])</f>
        <v>0</v>
      </c>
    </row>
    <row r="314" spans="1:23">
      <c r="A314" s="75">
        <v>2024</v>
      </c>
      <c r="B314" s="75">
        <v>1</v>
      </c>
      <c r="C314" s="75">
        <v>14</v>
      </c>
      <c r="D314" s="81">
        <f>DATE(LS[[#This Row],[Year]],LS[[#This Row],[Month]],LS[[#This Row],[Day]])</f>
        <v>45305</v>
      </c>
      <c r="E314" t="str" cm="1">
        <f t="array" ref="E314">INDEX(INVESTORS_LIST[INVESTOR NAME],MATCH(LS[[#This Row],[Investor ID]],INVESTORS_LIST[INVESTOR CODE],0),)</f>
        <v>MAHMUD ALI ALAMGIR</v>
      </c>
      <c r="F314" s="83" t="s">
        <v>451</v>
      </c>
      <c r="G314" s="75">
        <f>COUNTIF(LS[[#Headers],[Investor ID]]:LS[[#This Row],[Investor ID]],LS[[#This Row],[Investor ID]])</f>
        <v>3</v>
      </c>
      <c r="H314" s="75" t="str">
        <f>CONCATENATE(LS[[#This Row],[Frequency]],LS[[#This Row],[Investor ID]])</f>
        <v>3A00201</v>
      </c>
      <c r="I314" s="75" t="str">
        <f>IF(LS[[#This Row],[B/S]]="B","BUY",(IF(LS[[#This Row],[B/S]]="S","SELL"," ")))</f>
        <v>SELL</v>
      </c>
      <c r="J314" s="75" t="s">
        <v>1231</v>
      </c>
      <c r="K314" s="88">
        <v>-1500000</v>
      </c>
      <c r="L314" s="88"/>
      <c r="M314" s="89">
        <f>LS[[#This Row],[Amount]]/LS[[#This Row],[Unit]]</f>
        <v>10.715969652373944</v>
      </c>
      <c r="N314" s="90">
        <f>LS[[#This Row],[Unit Capital]]/10</f>
        <v>-139978</v>
      </c>
      <c r="O314" s="90">
        <f>SUMIFS(LS[[#Headers],[Unit]]:LS[[#This Row],[Unit]],LS[[#Headers],[Investor ID]]:LS[[#This Row],[Investor ID]],LS[[#This Row],[Investor ID]])</f>
        <v>192968</v>
      </c>
      <c r="P314" s="96">
        <v>-1399780</v>
      </c>
      <c r="Q314" s="48">
        <f>LS[[#This Row],[Amount]]-LS[[#This Row],[Unit Capital]]</f>
        <v>-100220</v>
      </c>
      <c r="R3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10.512215194055493</v>
      </c>
      <c r="S314" s="89">
        <f t="shared" si="4"/>
        <v>14.224</v>
      </c>
      <c r="T314" s="96">
        <f>IF(LS[[#This Row],[B/S]]="B",0,ABS(LS[[#This Row],[Unit]])*(LS[[#This Row],[NAV (Strike Rate)]]-INDEX(LS[NAV at Cost (Average)],MATCH(CONCATENATE(LS[[#This Row],[Frequency]]-1,LS[[#This Row],[Investor ID]]),LS[Unique Code],0),)))</f>
        <v>28521.141566500221</v>
      </c>
      <c r="U314" s="96" cm="1">
        <f t="array" ref="U314">IF(LS[[#This Row],[B/S]]="S",ABS(LS[[#This Row],[Unit]])*(INDEX(LS[NAV at Cost (Average)],MATCH(CONCATENATE((LS[[#This Row],[Frequency]]-1),LS[[#This Row],[Investor ID]]),LS[Unique Code],0),0)),0)</f>
        <v>1471478.8584334997</v>
      </c>
      <c r="V314" s="96">
        <f>IF(LS[[#This Row],[BO TRANSFER]]="YES",LS[[#This Row],[Unit]],)</f>
        <v>0</v>
      </c>
      <c r="W314" s="96">
        <f>SUMIFS(LS[[#Headers],[BO UNIT TRANSFER]]:LS[[#This Row],[BO UNIT TRANSFER]],LS[[#Headers],[Investor ID]]:LS[[#This Row],[Investor ID]],LS[[#This Row],[Investor ID]])</f>
        <v>0</v>
      </c>
    </row>
    <row r="315" spans="1:23">
      <c r="A315" s="75">
        <v>2024</v>
      </c>
      <c r="B315" s="75">
        <v>1</v>
      </c>
      <c r="C315" s="75">
        <v>16</v>
      </c>
      <c r="D315" s="81">
        <f>DATE(LS[[#This Row],[Year]],LS[[#This Row],[Month]],LS[[#This Row],[Day]])</f>
        <v>45307</v>
      </c>
      <c r="E315" t="str" cm="1">
        <f t="array" ref="E315">INDEX(INVESTORS_LIST[INVESTOR NAME],MATCH(LS[[#This Row],[Investor ID]],INVESTORS_LIST[INVESTOR CODE],0),)</f>
        <v>BEAUTY BEGUM LOTA</v>
      </c>
      <c r="F315" s="83" t="s">
        <v>1081</v>
      </c>
      <c r="G315" s="75">
        <f>COUNTIF(LS[[#Headers],[Investor ID]]:LS[[#This Row],[Investor ID]],LS[[#This Row],[Investor ID]])</f>
        <v>4</v>
      </c>
      <c r="H315" s="75" t="str">
        <f>CONCATENATE(LS[[#This Row],[Frequency]],LS[[#This Row],[Investor ID]])</f>
        <v>4A00518</v>
      </c>
      <c r="I315" s="75" t="str">
        <f>IF(LS[[#This Row],[B/S]]="B","BUY",(IF(LS[[#This Row],[B/S]]="S","SELL"," ")))</f>
        <v>SELL</v>
      </c>
      <c r="J315" s="75" t="s">
        <v>1231</v>
      </c>
      <c r="K315" s="88">
        <v>-500437.2</v>
      </c>
      <c r="L315" s="88"/>
      <c r="M315" s="89">
        <f>LS[[#This Row],[Amount]]/LS[[#This Row],[Unit]]</f>
        <v>10.716000000000001</v>
      </c>
      <c r="N315" s="90">
        <f>LS[[#This Row],[Unit Capital]]/10</f>
        <v>-46700</v>
      </c>
      <c r="O315" s="90">
        <f>SUMIFS(LS[[#Headers],[Unit]]:LS[[#This Row],[Unit]],LS[[#Headers],[Investor ID]]:LS[[#This Row],[Investor ID]],LS[[#This Row],[Investor ID]])</f>
        <v>141500</v>
      </c>
      <c r="P315" s="96">
        <v>-467000</v>
      </c>
      <c r="Q315" s="48">
        <f>LS[[#This Row],[Amount]]-LS[[#This Row],[Unit Capital]]</f>
        <v>-33437.200000000012</v>
      </c>
      <c r="R31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10.626992561105208</v>
      </c>
      <c r="S315" s="89">
        <f t="shared" si="4"/>
        <v>14.224</v>
      </c>
      <c r="T315" s="96">
        <f>IF(LS[[#This Row],[B/S]]="B",0,ABS(LS[[#This Row],[Unit]])*(LS[[#This Row],[NAV (Strike Rate)]]-INDEX(LS[NAV at Cost (Average)],MATCH(CONCATENATE(LS[[#This Row],[Frequency]]-1,LS[[#This Row],[Investor ID]]),LS[Unique Code],0),)))</f>
        <v>4156.6473963868339</v>
      </c>
      <c r="U315" s="96" cm="1">
        <f t="array" ref="U315">IF(LS[[#This Row],[B/S]]="S",ABS(LS[[#This Row],[Unit]])*(INDEX(LS[NAV at Cost (Average)],MATCH(CONCATENATE((LS[[#This Row],[Frequency]]-1),LS[[#This Row],[Investor ID]]),LS[Unique Code],0),0)),0)</f>
        <v>496280.55260361324</v>
      </c>
      <c r="V315" s="96">
        <f>IF(LS[[#This Row],[BO TRANSFER]]="YES",LS[[#This Row],[Unit]],)</f>
        <v>0</v>
      </c>
      <c r="W315" s="96">
        <f>SUMIFS(LS[[#Headers],[BO UNIT TRANSFER]]:LS[[#This Row],[BO UNIT TRANSFER]],LS[[#Headers],[Investor ID]]:LS[[#This Row],[Investor ID]],LS[[#This Row],[Investor ID]])</f>
        <v>0</v>
      </c>
    </row>
    <row r="316" spans="1:23">
      <c r="A316" s="75">
        <v>2024</v>
      </c>
      <c r="B316" s="75">
        <v>1</v>
      </c>
      <c r="C316" s="75">
        <v>16</v>
      </c>
      <c r="D316" s="81">
        <f>DATE(LS[[#This Row],[Year]],LS[[#This Row],[Month]],LS[[#This Row],[Day]])</f>
        <v>45307</v>
      </c>
      <c r="E316" t="str" cm="1">
        <f t="array" ref="E316">INDEX(INVESTORS_LIST[INVESTOR NAME],MATCH(LS[[#This Row],[Investor ID]],INVESTORS_LIST[INVESTOR CODE],0),)</f>
        <v>SYED FAZLE RABBY</v>
      </c>
      <c r="F316" s="83" t="s">
        <v>166</v>
      </c>
      <c r="G316" s="75">
        <f>COUNTIF(LS[[#Headers],[Investor ID]]:LS[[#This Row],[Investor ID]],LS[[#This Row],[Investor ID]])</f>
        <v>1</v>
      </c>
      <c r="H316" s="75" t="str">
        <f>CONCATENATE(LS[[#This Row],[Frequency]],LS[[#This Row],[Investor ID]])</f>
        <v>1A00059</v>
      </c>
      <c r="I316" s="75" t="str">
        <f>IF(LS[[#This Row],[B/S]]="B","BUY",(IF(LS[[#This Row],[B/S]]="S","SELL"," ")))</f>
        <v>BUY</v>
      </c>
      <c r="J316" s="75" t="s">
        <v>1229</v>
      </c>
      <c r="K316" s="88">
        <v>1250000</v>
      </c>
      <c r="L316" s="88"/>
      <c r="M316" s="89">
        <f>LS[[#This Row],[Amount]]/LS[[#This Row],[Unit]]</f>
        <v>10.716000274329607</v>
      </c>
      <c r="N316" s="90">
        <f>LS[[#This Row],[Unit Capital]]/10</f>
        <v>116648</v>
      </c>
      <c r="O316" s="90">
        <f>SUMIFS(LS[[#Headers],[Unit]]:LS[[#This Row],[Unit]],LS[[#Headers],[Investor ID]]:LS[[#This Row],[Investor ID]],LS[[#This Row],[Investor ID]])</f>
        <v>116648</v>
      </c>
      <c r="P316" s="96">
        <v>1166480</v>
      </c>
      <c r="Q316" s="48">
        <f>LS[[#This Row],[Amount]]-LS[[#This Row],[Unit Capital]]</f>
        <v>83520</v>
      </c>
      <c r="R31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10.716000274329607</v>
      </c>
      <c r="S316" s="89">
        <f t="shared" si="4"/>
        <v>14.224</v>
      </c>
      <c r="T31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6" s="96" cm="1">
        <f t="array" ref="U316">IF(LS[[#This Row],[B/S]]="S",ABS(LS[[#This Row],[Unit]])*(INDEX(LS[NAV at Cost (Average)],MATCH(CONCATENATE((LS[[#This Row],[Frequency]]-1),LS[[#This Row],[Investor ID]]),LS[Unique Code],0),0)),0)</f>
        <v>0</v>
      </c>
      <c r="V316" s="96">
        <f>IF(LS[[#This Row],[BO TRANSFER]]="YES",LS[[#This Row],[Unit]],)</f>
        <v>0</v>
      </c>
      <c r="W316" s="96">
        <f>SUMIFS(LS[[#Headers],[BO UNIT TRANSFER]]:LS[[#This Row],[BO UNIT TRANSFER]],LS[[#Headers],[Investor ID]]:LS[[#This Row],[Investor ID]],LS[[#This Row],[Investor ID]])</f>
        <v>0</v>
      </c>
    </row>
    <row r="317" spans="1:23">
      <c r="A317" s="75">
        <v>2024</v>
      </c>
      <c r="B317" s="75">
        <v>1</v>
      </c>
      <c r="C317" s="75">
        <v>18</v>
      </c>
      <c r="D317" s="81">
        <f>DATE(LS[[#This Row],[Year]],LS[[#This Row],[Month]],LS[[#This Row],[Day]])</f>
        <v>45309</v>
      </c>
      <c r="E317" t="str" cm="1">
        <f t="array" ref="E317">INDEX(INVESTORS_LIST[INVESTOR NAME],MATCH(LS[[#This Row],[Investor ID]],INVESTORS_LIST[INVESTOR CODE],0),)</f>
        <v>CHAONIKA SAHA</v>
      </c>
      <c r="F317" s="83" t="s">
        <v>238</v>
      </c>
      <c r="G317" s="75">
        <f>COUNTIF(LS[[#Headers],[Investor ID]]:LS[[#This Row],[Investor ID]],LS[[#This Row],[Investor ID]])</f>
        <v>4</v>
      </c>
      <c r="H317" s="75" t="str">
        <f>CONCATENATE(LS[[#This Row],[Frequency]],LS[[#This Row],[Investor ID]])</f>
        <v>4A00095</v>
      </c>
      <c r="I317" s="75" t="str">
        <f>IF(LS[[#This Row],[B/S]]="B","BUY",(IF(LS[[#This Row],[B/S]]="S","SELL"," ")))</f>
        <v>BUY</v>
      </c>
      <c r="J317" s="75" t="s">
        <v>1229</v>
      </c>
      <c r="K317" s="88">
        <v>30000</v>
      </c>
      <c r="L317" s="88"/>
      <c r="M317" s="89">
        <f>LS[[#This Row],[Amount]]/LS[[#This Row],[Unit]]</f>
        <v>10.714285714285714</v>
      </c>
      <c r="N317" s="90">
        <f>LS[[#This Row],[Unit Capital]]/10</f>
        <v>2800</v>
      </c>
      <c r="O317" s="90">
        <f>SUMIFS(LS[[#Headers],[Unit]]:LS[[#This Row],[Unit]],LS[[#Headers],[Investor ID]]:LS[[#This Row],[Investor ID]],LS[[#This Row],[Investor ID]])</f>
        <v>15924</v>
      </c>
      <c r="P317" s="96">
        <v>28000</v>
      </c>
      <c r="Q317" s="48">
        <f>LS[[#This Row],[Amount]]-LS[[#This Row],[Unit Capital]]</f>
        <v>2000</v>
      </c>
      <c r="R31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10.298919869379555</v>
      </c>
      <c r="S317" s="89">
        <f t="shared" si="4"/>
        <v>14.224</v>
      </c>
      <c r="T31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7" s="96" cm="1">
        <f t="array" ref="U317">IF(LS[[#This Row],[B/S]]="S",ABS(LS[[#This Row],[Unit]])*(INDEX(LS[NAV at Cost (Average)],MATCH(CONCATENATE((LS[[#This Row],[Frequency]]-1),LS[[#This Row],[Investor ID]]),LS[Unique Code],0),0)),0)</f>
        <v>0</v>
      </c>
      <c r="V317" s="96">
        <f>IF(LS[[#This Row],[BO TRANSFER]]="YES",LS[[#This Row],[Unit]],)</f>
        <v>0</v>
      </c>
      <c r="W317" s="96">
        <f>SUMIFS(LS[[#Headers],[BO UNIT TRANSFER]]:LS[[#This Row],[BO UNIT TRANSFER]],LS[[#Headers],[Investor ID]]:LS[[#This Row],[Investor ID]],LS[[#This Row],[Investor ID]])</f>
        <v>0</v>
      </c>
    </row>
    <row r="318" spans="1:23">
      <c r="A318" s="75">
        <v>2024</v>
      </c>
      <c r="B318" s="75">
        <v>1</v>
      </c>
      <c r="C318" s="75">
        <v>18</v>
      </c>
      <c r="D318" s="81">
        <f>DATE(LS[[#This Row],[Year]],LS[[#This Row],[Month]],LS[[#This Row],[Day]])</f>
        <v>45309</v>
      </c>
      <c r="E318" t="str" cm="1">
        <f t="array" ref="E318">INDEX(INVESTORS_LIST[INVESTOR NAME],MATCH(LS[[#This Row],[Investor ID]],INVESTORS_LIST[INVESTOR CODE],0),)</f>
        <v>N M AL HOSSAIN</v>
      </c>
      <c r="F318" s="83" t="s">
        <v>280</v>
      </c>
      <c r="G318" s="75">
        <f>COUNTIF(LS[[#Headers],[Investor ID]]:LS[[#This Row],[Investor ID]],LS[[#This Row],[Investor ID]])</f>
        <v>2</v>
      </c>
      <c r="H318" s="75" t="str">
        <f>CONCATENATE(LS[[#This Row],[Frequency]],LS[[#This Row],[Investor ID]])</f>
        <v>2A00116</v>
      </c>
      <c r="I318" s="75" t="str">
        <f>IF(LS[[#This Row],[B/S]]="B","BUY",(IF(LS[[#This Row],[B/S]]="S","SELL"," ")))</f>
        <v>BUY</v>
      </c>
      <c r="J318" s="75" t="s">
        <v>1229</v>
      </c>
      <c r="K318" s="88">
        <v>5000000</v>
      </c>
      <c r="L318" s="88"/>
      <c r="M318" s="89">
        <f>LS[[#This Row],[Amount]]/LS[[#This Row],[Unit]]</f>
        <v>10.716000274329607</v>
      </c>
      <c r="N318" s="90">
        <f>LS[[#This Row],[Unit Capital]]/10</f>
        <v>466592</v>
      </c>
      <c r="O318" s="90">
        <f>SUMIFS(LS[[#Headers],[Unit]]:LS[[#This Row],[Unit]],LS[[#Headers],[Investor ID]]:LS[[#This Row],[Investor ID]],LS[[#This Row],[Investor ID]])</f>
        <v>1406265</v>
      </c>
      <c r="P318" s="96">
        <v>4665920</v>
      </c>
      <c r="Q318" s="48">
        <f>LS[[#This Row],[Amount]]-LS[[#This Row],[Unit Capital]]</f>
        <v>334080</v>
      </c>
      <c r="R31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318" s="89">
        <f t="shared" si="4"/>
        <v>14.224</v>
      </c>
      <c r="T31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18" s="96" cm="1">
        <f t="array" ref="U318">IF(LS[[#This Row],[B/S]]="S",ABS(LS[[#This Row],[Unit]])*(INDEX(LS[NAV at Cost (Average)],MATCH(CONCATENATE((LS[[#This Row],[Frequency]]-1),LS[[#This Row],[Investor ID]]),LS[Unique Code],0),0)),0)</f>
        <v>0</v>
      </c>
      <c r="V318" s="96">
        <f>IF(LS[[#This Row],[BO TRANSFER]]="YES",LS[[#This Row],[Unit]],)</f>
        <v>0</v>
      </c>
      <c r="W318" s="96">
        <f>SUMIFS(LS[[#Headers],[BO UNIT TRANSFER]]:LS[[#This Row],[BO UNIT TRANSFER]],LS[[#Headers],[Investor ID]]:LS[[#This Row],[Investor ID]],LS[[#This Row],[Investor ID]])</f>
        <v>0</v>
      </c>
    </row>
    <row r="319" spans="1:23">
      <c r="A319" s="75">
        <v>2024</v>
      </c>
      <c r="B319" s="75">
        <v>1</v>
      </c>
      <c r="C319" s="75">
        <v>18</v>
      </c>
      <c r="D319" s="81">
        <f>DATE(LS[[#This Row],[Year]],LS[[#This Row],[Month]],LS[[#This Row],[Day]])</f>
        <v>45309</v>
      </c>
      <c r="E319" t="str" cm="1">
        <f t="array" ref="E319">INDEX(INVESTORS_LIST[INVESTOR NAME],MATCH(LS[[#This Row],[Investor ID]],INVESTORS_LIST[INVESTOR CODE],0),)</f>
        <v>MOIN UDDIN</v>
      </c>
      <c r="F319" s="83" t="s">
        <v>1071</v>
      </c>
      <c r="G319" s="75">
        <f>COUNTIF(LS[[#Headers],[Investor ID]]:LS[[#This Row],[Investor ID]],LS[[#This Row],[Investor ID]])</f>
        <v>4</v>
      </c>
      <c r="H319" s="75" t="str">
        <f>CONCATENATE(LS[[#This Row],[Frequency]],LS[[#This Row],[Investor ID]])</f>
        <v>4A00513</v>
      </c>
      <c r="I319" s="75" t="str">
        <f>IF(LS[[#This Row],[B/S]]="B","BUY",(IF(LS[[#This Row],[B/S]]="S","SELL"," ")))</f>
        <v>SELL</v>
      </c>
      <c r="J319" s="75" t="s">
        <v>1231</v>
      </c>
      <c r="K319" s="88">
        <v>-10000000</v>
      </c>
      <c r="L319" s="88"/>
      <c r="M319" s="89">
        <f>LS[[#This Row],[Amount]]/LS[[#This Row],[Unit]]</f>
        <v>10.716000274329607</v>
      </c>
      <c r="N319" s="90">
        <f>LS[[#This Row],[Unit Capital]]/10</f>
        <v>-933184</v>
      </c>
      <c r="O319" s="90">
        <f>SUMIFS(LS[[#Headers],[Unit]]:LS[[#This Row],[Unit]],LS[[#Headers],[Investor ID]]:LS[[#This Row],[Investor ID]],LS[[#This Row],[Investor ID]])</f>
        <v>8540999</v>
      </c>
      <c r="P319" s="96">
        <v>-9331840</v>
      </c>
      <c r="Q319" s="48">
        <f>LS[[#This Row],[Amount]]-LS[[#This Row],[Unit Capital]]</f>
        <v>-668160</v>
      </c>
      <c r="R31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319" s="89">
        <f t="shared" si="4"/>
        <v>14.224</v>
      </c>
      <c r="T319" s="96">
        <f>IF(LS[[#This Row],[B/S]]="B",0,ABS(LS[[#This Row],[Unit]])*(LS[[#This Row],[NAV (Strike Rate)]]-INDEX(LS[NAV at Cost (Average)],MATCH(CONCATENATE(LS[[#This Row],[Frequency]]-1,LS[[#This Row],[Investor ID]]),LS[Unique Code],0),)))</f>
        <v>181037.33458362776</v>
      </c>
      <c r="U319" s="96" cm="1">
        <f t="array" ref="U319">IF(LS[[#This Row],[B/S]]="S",ABS(LS[[#This Row],[Unit]])*(INDEX(LS[NAV at Cost (Average)],MATCH(CONCATENATE((LS[[#This Row],[Frequency]]-1),LS[[#This Row],[Investor ID]]),LS[Unique Code],0),0)),0)</f>
        <v>9818962.6654163729</v>
      </c>
      <c r="V319" s="96">
        <f>IF(LS[[#This Row],[BO TRANSFER]]="YES",LS[[#This Row],[Unit]],)</f>
        <v>0</v>
      </c>
      <c r="W319" s="96">
        <f>SUMIFS(LS[[#Headers],[BO UNIT TRANSFER]]:LS[[#This Row],[BO UNIT TRANSFER]],LS[[#Headers],[Investor ID]]:LS[[#This Row],[Investor ID]],LS[[#This Row],[Investor ID]])</f>
        <v>0</v>
      </c>
    </row>
    <row r="320" spans="1:23">
      <c r="A320" s="75">
        <v>2024</v>
      </c>
      <c r="B320" s="75">
        <v>1</v>
      </c>
      <c r="C320" s="75">
        <v>18</v>
      </c>
      <c r="D320" s="81">
        <f>DATE(LS[[#This Row],[Year]],LS[[#This Row],[Month]],LS[[#This Row],[Day]])</f>
        <v>45309</v>
      </c>
      <c r="E320" t="str" cm="1">
        <f t="array" ref="E320">INDEX(INVESTORS_LIST[INVESTOR NAME],MATCH(LS[[#This Row],[Investor ID]],INVESTORS_LIST[INVESTOR CODE],0),)</f>
        <v>SYED FAZLE RABBY</v>
      </c>
      <c r="F320" s="83" t="s">
        <v>166</v>
      </c>
      <c r="G320" s="75">
        <f>COUNTIF(LS[[#Headers],[Investor ID]]:LS[[#This Row],[Investor ID]],LS[[#This Row],[Investor ID]])</f>
        <v>2</v>
      </c>
      <c r="H320" s="75" t="str">
        <f>CONCATENATE(LS[[#This Row],[Frequency]],LS[[#This Row],[Investor ID]])</f>
        <v>2A00059</v>
      </c>
      <c r="I320" s="75" t="str">
        <f>IF(LS[[#This Row],[B/S]]="B","BUY",(IF(LS[[#This Row],[B/S]]="S","SELL"," ")))</f>
        <v>BUY</v>
      </c>
      <c r="J320" s="75" t="s">
        <v>1229</v>
      </c>
      <c r="K320" s="88">
        <v>300000</v>
      </c>
      <c r="L320" s="88"/>
      <c r="M320" s="89">
        <f>LS[[#This Row],[Amount]]/LS[[#This Row],[Unit]]</f>
        <v>10.715816545220745</v>
      </c>
      <c r="N320" s="90">
        <f>LS[[#This Row],[Unit Capital]]/10</f>
        <v>27996</v>
      </c>
      <c r="O320" s="90">
        <f>SUMIFS(LS[[#Headers],[Unit]]:LS[[#This Row],[Unit]],LS[[#Headers],[Investor ID]]:LS[[#This Row],[Investor ID]],LS[[#This Row],[Investor ID]])</f>
        <v>144644</v>
      </c>
      <c r="P320" s="96">
        <v>279960</v>
      </c>
      <c r="Q320" s="48">
        <f>LS[[#This Row],[Amount]]-LS[[#This Row],[Unit Capital]]</f>
        <v>20040</v>
      </c>
      <c r="R32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10.715964713365228</v>
      </c>
      <c r="S320" s="89">
        <f t="shared" si="4"/>
        <v>14.224</v>
      </c>
      <c r="T32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0" s="96" cm="1">
        <f t="array" ref="U320">IF(LS[[#This Row],[B/S]]="S",ABS(LS[[#This Row],[Unit]])*(INDEX(LS[NAV at Cost (Average)],MATCH(CONCATENATE((LS[[#This Row],[Frequency]]-1),LS[[#This Row],[Investor ID]]),LS[Unique Code],0),0)),0)</f>
        <v>0</v>
      </c>
      <c r="V320" s="96">
        <f>IF(LS[[#This Row],[BO TRANSFER]]="YES",LS[[#This Row],[Unit]],)</f>
        <v>0</v>
      </c>
      <c r="W320" s="96">
        <f>SUMIFS(LS[[#Headers],[BO UNIT TRANSFER]]:LS[[#This Row],[BO UNIT TRANSFER]],LS[[#Headers],[Investor ID]]:LS[[#This Row],[Investor ID]],LS[[#This Row],[Investor ID]])</f>
        <v>0</v>
      </c>
    </row>
    <row r="321" spans="1:23">
      <c r="A321" s="75">
        <v>2024</v>
      </c>
      <c r="B321" s="75">
        <v>1</v>
      </c>
      <c r="C321" s="75">
        <v>18</v>
      </c>
      <c r="D321" s="81">
        <f>DATE(LS[[#This Row],[Year]],LS[[#This Row],[Month]],LS[[#This Row],[Day]])</f>
        <v>45309</v>
      </c>
      <c r="E321" t="str" cm="1">
        <f t="array" ref="E321">INDEX(INVESTORS_LIST[INVESTOR NAME],MATCH(LS[[#This Row],[Investor ID]],INVESTORS_LIST[INVESTOR CODE],0),)</f>
        <v>SYED FAZLE RABBY</v>
      </c>
      <c r="F321" s="83" t="s">
        <v>166</v>
      </c>
      <c r="G321" s="75">
        <f>COUNTIF(LS[[#Headers],[Investor ID]]:LS[[#This Row],[Investor ID]],LS[[#This Row],[Investor ID]])</f>
        <v>3</v>
      </c>
      <c r="H321" s="75" t="str">
        <f>CONCATENATE(LS[[#This Row],[Frequency]],LS[[#This Row],[Investor ID]])</f>
        <v>3A00059</v>
      </c>
      <c r="I321" s="75" t="str">
        <f>IF(LS[[#This Row],[B/S]]="B","BUY",(IF(LS[[#This Row],[B/S]]="S","SELL"," ")))</f>
        <v>BUY</v>
      </c>
      <c r="J321" s="75" t="s">
        <v>1229</v>
      </c>
      <c r="K321" s="88">
        <v>250000</v>
      </c>
      <c r="L321" s="88"/>
      <c r="M321" s="89">
        <f>LS[[#This Row],[Amount]]/LS[[#This Row],[Unit]]</f>
        <v>10.715816545220745</v>
      </c>
      <c r="N321" s="90">
        <f>LS[[#This Row],[Unit Capital]]/10</f>
        <v>23330</v>
      </c>
      <c r="O321" s="90">
        <f>SUMIFS(LS[[#Headers],[Unit]]:LS[[#This Row],[Unit]],LS[[#Headers],[Investor ID]]:LS[[#This Row],[Investor ID]],LS[[#This Row],[Investor ID]])</f>
        <v>167974</v>
      </c>
      <c r="P321" s="96">
        <v>233300</v>
      </c>
      <c r="Q321" s="48">
        <f>LS[[#This Row],[Amount]]-LS[[#This Row],[Unit Capital]]</f>
        <v>16700</v>
      </c>
      <c r="R32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10.715944134211245</v>
      </c>
      <c r="S321" s="89">
        <f t="shared" si="4"/>
        <v>14.224</v>
      </c>
      <c r="T32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1" s="96" cm="1">
        <f t="array" ref="U321">IF(LS[[#This Row],[B/S]]="S",ABS(LS[[#This Row],[Unit]])*(INDEX(LS[NAV at Cost (Average)],MATCH(CONCATENATE((LS[[#This Row],[Frequency]]-1),LS[[#This Row],[Investor ID]]),LS[Unique Code],0),0)),0)</f>
        <v>0</v>
      </c>
      <c r="V321" s="96">
        <f>IF(LS[[#This Row],[BO TRANSFER]]="YES",LS[[#This Row],[Unit]],)</f>
        <v>0</v>
      </c>
      <c r="W321" s="96">
        <f>SUMIFS(LS[[#Headers],[BO UNIT TRANSFER]]:LS[[#This Row],[BO UNIT TRANSFER]],LS[[#Headers],[Investor ID]]:LS[[#This Row],[Investor ID]],LS[[#This Row],[Investor ID]])</f>
        <v>0</v>
      </c>
    </row>
    <row r="322" spans="1:23">
      <c r="A322" s="75">
        <v>2024</v>
      </c>
      <c r="B322" s="75">
        <v>1</v>
      </c>
      <c r="C322" s="75">
        <v>22</v>
      </c>
      <c r="D322" s="81">
        <f>DATE(LS[[#This Row],[Year]],LS[[#This Row],[Month]],LS[[#This Row],[Day]])</f>
        <v>45313</v>
      </c>
      <c r="E322" t="str" cm="1">
        <f t="array" ref="E322">INDEX(INVESTORS_LIST[INVESTOR NAME],MATCH(LS[[#This Row],[Investor ID]],INVESTORS_LIST[INVESTOR CODE],0),)</f>
        <v>MOIN UDDIN</v>
      </c>
      <c r="F322" s="83" t="s">
        <v>1071</v>
      </c>
      <c r="G322" s="75">
        <f>COUNTIF(LS[[#Headers],[Investor ID]]:LS[[#This Row],[Investor ID]],LS[[#This Row],[Investor ID]])</f>
        <v>5</v>
      </c>
      <c r="H322" s="75" t="str">
        <f>CONCATENATE(LS[[#This Row],[Frequency]],LS[[#This Row],[Investor ID]])</f>
        <v>5A00513</v>
      </c>
      <c r="I322" s="75" t="str">
        <f>IF(LS[[#This Row],[B/S]]="B","BUY",(IF(LS[[#This Row],[B/S]]="S","SELL"," ")))</f>
        <v>SELL</v>
      </c>
      <c r="J322" s="75" t="s">
        <v>1231</v>
      </c>
      <c r="K322" s="88">
        <v>-15000000</v>
      </c>
      <c r="L322" s="88"/>
      <c r="M322" s="89">
        <f>LS[[#This Row],[Amount]]/LS[[#This Row],[Unit]]</f>
        <v>10.732999465496627</v>
      </c>
      <c r="N322" s="90">
        <f>LS[[#This Row],[Unit Capital]]/10</f>
        <v>-1397559</v>
      </c>
      <c r="O322" s="90">
        <f>SUMIFS(LS[[#Headers],[Unit]]:LS[[#This Row],[Unit]],LS[[#Headers],[Investor ID]]:LS[[#This Row],[Investor ID]],LS[[#This Row],[Investor ID]])</f>
        <v>7143440</v>
      </c>
      <c r="P322" s="96">
        <v>-13975590</v>
      </c>
      <c r="Q322" s="48">
        <f>LS[[#This Row],[Amount]]-LS[[#This Row],[Unit Capital]]</f>
        <v>-1024410</v>
      </c>
      <c r="R32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322" s="89">
        <f t="shared" si="4"/>
        <v>14.224</v>
      </c>
      <c r="T322" s="96">
        <f>IF(LS[[#This Row],[B/S]]="B",0,ABS(LS[[#This Row],[Unit]])*(LS[[#This Row],[NAV (Strike Rate)]]-INDEX(LS[NAV at Cost (Average)],MATCH(CONCATENATE(LS[[#This Row],[Frequency]]-1,LS[[#This Row],[Investor ID]]),LS[Unique Code],0),)))</f>
        <v>294883.27734226157</v>
      </c>
      <c r="U322" s="96" cm="1">
        <f t="array" ref="U322">IF(LS[[#This Row],[B/S]]="S",ABS(LS[[#This Row],[Unit]])*(INDEX(LS[NAV at Cost (Average)],MATCH(CONCATENATE((LS[[#This Row],[Frequency]]-1),LS[[#This Row],[Investor ID]]),LS[Unique Code],0),0)),0)</f>
        <v>14705116.72265774</v>
      </c>
      <c r="V322" s="96">
        <f>IF(LS[[#This Row],[BO TRANSFER]]="YES",LS[[#This Row],[Unit]],)</f>
        <v>0</v>
      </c>
      <c r="W322" s="96">
        <f>SUMIFS(LS[[#Headers],[BO UNIT TRANSFER]]:LS[[#This Row],[BO UNIT TRANSFER]],LS[[#Headers],[Investor ID]]:LS[[#This Row],[Investor ID]],LS[[#This Row],[Investor ID]])</f>
        <v>0</v>
      </c>
    </row>
    <row r="323" spans="1:23">
      <c r="A323" s="75">
        <v>2024</v>
      </c>
      <c r="B323" s="75">
        <v>1</v>
      </c>
      <c r="C323" s="75">
        <v>24</v>
      </c>
      <c r="D323" s="81">
        <f>DATE(LS[[#This Row],[Year]],LS[[#This Row],[Month]],LS[[#This Row],[Day]])</f>
        <v>45315</v>
      </c>
      <c r="E323" t="str" cm="1">
        <f t="array" ref="E323">INDEX(INVESTORS_LIST[INVESTOR NAME],MATCH(LS[[#This Row],[Investor ID]],INVESTORS_LIST[INVESTOR CODE],0),)</f>
        <v>GOURI TOSH PAUL</v>
      </c>
      <c r="F323" s="83" t="s">
        <v>606</v>
      </c>
      <c r="G323" s="75">
        <f>COUNTIF(LS[[#Headers],[Investor ID]]:LS[[#This Row],[Investor ID]],LS[[#This Row],[Investor ID]])</f>
        <v>2</v>
      </c>
      <c r="H323" s="75" t="str">
        <f>CONCATENATE(LS[[#This Row],[Frequency]],LS[[#This Row],[Investor ID]])</f>
        <v>2A00279</v>
      </c>
      <c r="I323" s="75" t="str">
        <f>IF(LS[[#This Row],[B/S]]="B","BUY",(IF(LS[[#This Row],[B/S]]="S","SELL"," ")))</f>
        <v>SELL</v>
      </c>
      <c r="J323" s="75" t="s">
        <v>1231</v>
      </c>
      <c r="K323" s="88">
        <v>-400000</v>
      </c>
      <c r="L323" s="88"/>
      <c r="M323" s="89">
        <f>LS[[#This Row],[Amount]]/LS[[#This Row],[Unit]]</f>
        <v>10.733068584308255</v>
      </c>
      <c r="N323" s="90">
        <f>LS[[#This Row],[Unit Capital]]/10</f>
        <v>-37268</v>
      </c>
      <c r="O323" s="90">
        <f>SUMIFS(LS[[#Headers],[Unit]]:LS[[#This Row],[Unit]],LS[[#Headers],[Investor ID]]:LS[[#This Row],[Investor ID]],LS[[#This Row],[Investor ID]])</f>
        <v>86742</v>
      </c>
      <c r="P323" s="96">
        <v>-372680</v>
      </c>
      <c r="Q323" s="48">
        <f>LS[[#This Row],[Amount]]-LS[[#This Row],[Unit Capital]]</f>
        <v>-27320</v>
      </c>
      <c r="R32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10.483025562454641</v>
      </c>
      <c r="S323" s="89">
        <f t="shared" ref="S323:S386" si="5">IFERROR(NAV_MKT,0)</f>
        <v>14.224</v>
      </c>
      <c r="T323" s="96">
        <f>IF(LS[[#This Row],[B/S]]="B",0,ABS(LS[[#This Row],[Unit]])*(LS[[#This Row],[NAV (Strike Rate)]]-INDEX(LS[NAV at Cost (Average)],MATCH(CONCATENATE(LS[[#This Row],[Frequency]]-1,LS[[#This Row],[Investor ID]]),LS[Unique Code],0),)))</f>
        <v>9318.60333844048</v>
      </c>
      <c r="U323" s="96" cm="1">
        <f t="array" ref="U323">IF(LS[[#This Row],[B/S]]="S",ABS(LS[[#This Row],[Unit]])*(INDEX(LS[NAV at Cost (Average)],MATCH(CONCATENATE((LS[[#This Row],[Frequency]]-1),LS[[#This Row],[Investor ID]]),LS[Unique Code],0),0)),0)</f>
        <v>390681.39666155953</v>
      </c>
      <c r="V323" s="96">
        <f>IF(LS[[#This Row],[BO TRANSFER]]="YES",LS[[#This Row],[Unit]],)</f>
        <v>0</v>
      </c>
      <c r="W323" s="96">
        <f>SUMIFS(LS[[#Headers],[BO UNIT TRANSFER]]:LS[[#This Row],[BO UNIT TRANSFER]],LS[[#Headers],[Investor ID]]:LS[[#This Row],[Investor ID]],LS[[#This Row],[Investor ID]])</f>
        <v>0</v>
      </c>
    </row>
    <row r="324" spans="1:23">
      <c r="A324" s="75">
        <v>2024</v>
      </c>
      <c r="B324" s="75">
        <v>1</v>
      </c>
      <c r="C324" s="75">
        <v>24</v>
      </c>
      <c r="D324" s="81">
        <f>DATE(LS[[#This Row],[Year]],LS[[#This Row],[Month]],LS[[#This Row],[Day]])</f>
        <v>45315</v>
      </c>
      <c r="E324" t="str" cm="1">
        <f t="array" ref="E324">INDEX(INVESTORS_LIST[INVESTOR NAME],MATCH(LS[[#This Row],[Investor ID]],INVESTORS_LIST[INVESTOR CODE],0),)</f>
        <v>KHAN MUHAMMAD KAWSER AHMED</v>
      </c>
      <c r="F324" s="83" t="s">
        <v>944</v>
      </c>
      <c r="G324" s="75">
        <f>COUNTIF(LS[[#Headers],[Investor ID]]:LS[[#This Row],[Investor ID]],LS[[#This Row],[Investor ID]])</f>
        <v>5</v>
      </c>
      <c r="H324" s="75" t="str">
        <f>CONCATENATE(LS[[#This Row],[Frequency]],LS[[#This Row],[Investor ID]])</f>
        <v>5A00449</v>
      </c>
      <c r="I324" s="75" t="str">
        <f>IF(LS[[#This Row],[B/S]]="B","BUY",(IF(LS[[#This Row],[B/S]]="S","SELL"," ")))</f>
        <v>BUY</v>
      </c>
      <c r="J324" s="75" t="s">
        <v>1229</v>
      </c>
      <c r="K324" s="88">
        <v>20000000</v>
      </c>
      <c r="L324" s="88"/>
      <c r="M324" s="89">
        <f>LS[[#This Row],[Amount]]/LS[[#This Row],[Unit]]</f>
        <v>10.732999465496627</v>
      </c>
      <c r="N324" s="90">
        <f>LS[[#This Row],[Unit Capital]]/10</f>
        <v>1863412</v>
      </c>
      <c r="O324" s="90">
        <f>SUMIFS(LS[[#Headers],[Unit]]:LS[[#This Row],[Unit]],LS[[#Headers],[Investor ID]]:LS[[#This Row],[Investor ID]],LS[[#This Row],[Investor ID]])</f>
        <v>3733095</v>
      </c>
      <c r="P324" s="96">
        <v>18634120</v>
      </c>
      <c r="Q324" s="48">
        <f>LS[[#This Row],[Amount]]-LS[[#This Row],[Unit Capital]]</f>
        <v>1365880</v>
      </c>
      <c r="R32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10.714969750301023</v>
      </c>
      <c r="S324" s="89">
        <f t="shared" si="5"/>
        <v>14.224</v>
      </c>
      <c r="T32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4" s="96" cm="1">
        <f t="array" ref="U324">IF(LS[[#This Row],[B/S]]="S",ABS(LS[[#This Row],[Unit]])*(INDEX(LS[NAV at Cost (Average)],MATCH(CONCATENATE((LS[[#This Row],[Frequency]]-1),LS[[#This Row],[Investor ID]]),LS[Unique Code],0),0)),0)</f>
        <v>0</v>
      </c>
      <c r="V324" s="96">
        <f>IF(LS[[#This Row],[BO TRANSFER]]="YES",LS[[#This Row],[Unit]],)</f>
        <v>0</v>
      </c>
      <c r="W324" s="96">
        <f>SUMIFS(LS[[#Headers],[BO UNIT TRANSFER]]:LS[[#This Row],[BO UNIT TRANSFER]],LS[[#Headers],[Investor ID]]:LS[[#This Row],[Investor ID]],LS[[#This Row],[Investor ID]])</f>
        <v>0</v>
      </c>
    </row>
    <row r="325" spans="1:23">
      <c r="A325" s="75">
        <v>2024</v>
      </c>
      <c r="B325" s="75">
        <v>1</v>
      </c>
      <c r="C325" s="75">
        <v>24</v>
      </c>
      <c r="D325" s="81">
        <f>DATE(LS[[#This Row],[Year]],LS[[#This Row],[Month]],LS[[#This Row],[Day]])</f>
        <v>45315</v>
      </c>
      <c r="E325" t="str" cm="1">
        <f t="array" ref="E325">INDEX(INVESTORS_LIST[INVESTOR NAME],MATCH(LS[[#This Row],[Investor ID]],INVESTORS_LIST[INVESTOR CODE],0),)</f>
        <v>MAHMUD ALI ALAMGIR</v>
      </c>
      <c r="F325" s="83" t="s">
        <v>451</v>
      </c>
      <c r="G325" s="75">
        <f>COUNTIF(LS[[#Headers],[Investor ID]]:LS[[#This Row],[Investor ID]],LS[[#This Row],[Investor ID]])</f>
        <v>4</v>
      </c>
      <c r="H325" s="75" t="str">
        <f>CONCATENATE(LS[[#This Row],[Frequency]],LS[[#This Row],[Investor ID]])</f>
        <v>4A00201</v>
      </c>
      <c r="I325" s="75" t="str">
        <f>IF(LS[[#This Row],[B/S]]="B","BUY",(IF(LS[[#This Row],[B/S]]="S","SELL"," ")))</f>
        <v>BUY</v>
      </c>
      <c r="J325" s="75" t="s">
        <v>1229</v>
      </c>
      <c r="K325" s="88">
        <v>1500000</v>
      </c>
      <c r="L325" s="88"/>
      <c r="M325" s="89">
        <f>LS[[#This Row],[Amount]]/LS[[#This Row],[Unit]]</f>
        <v>10.73299178568362</v>
      </c>
      <c r="N325" s="90">
        <f>LS[[#This Row],[Unit Capital]]/10</f>
        <v>139756</v>
      </c>
      <c r="O325" s="90">
        <f>SUMIFS(LS[[#Headers],[Unit]]:LS[[#This Row],[Unit]],LS[[#Headers],[Investor ID]]:LS[[#This Row],[Investor ID]],LS[[#This Row],[Investor ID]])</f>
        <v>332724</v>
      </c>
      <c r="P325" s="96">
        <v>1397560</v>
      </c>
      <c r="Q325" s="48">
        <f>LS[[#This Row],[Amount]]-LS[[#This Row],[Unit Capital]]</f>
        <v>102440</v>
      </c>
      <c r="R32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10.60494927196866</v>
      </c>
      <c r="S325" s="89">
        <f t="shared" si="5"/>
        <v>14.224</v>
      </c>
      <c r="T32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5" s="96" cm="1">
        <f t="array" ref="U325">IF(LS[[#This Row],[B/S]]="S",ABS(LS[[#This Row],[Unit]])*(INDEX(LS[NAV at Cost (Average)],MATCH(CONCATENATE((LS[[#This Row],[Frequency]]-1),LS[[#This Row],[Investor ID]]),LS[Unique Code],0),0)),0)</f>
        <v>0</v>
      </c>
      <c r="V325" s="96">
        <f>IF(LS[[#This Row],[BO TRANSFER]]="YES",LS[[#This Row],[Unit]],)</f>
        <v>0</v>
      </c>
      <c r="W325" s="96">
        <f>SUMIFS(LS[[#Headers],[BO UNIT TRANSFER]]:LS[[#This Row],[BO UNIT TRANSFER]],LS[[#Headers],[Investor ID]]:LS[[#This Row],[Investor ID]],LS[[#This Row],[Investor ID]])</f>
        <v>0</v>
      </c>
    </row>
    <row r="326" spans="1:23">
      <c r="A326" s="75">
        <v>2024</v>
      </c>
      <c r="B326" s="75">
        <v>1</v>
      </c>
      <c r="C326" s="75">
        <v>25</v>
      </c>
      <c r="D326" s="81">
        <f>DATE(LS[[#This Row],[Year]],LS[[#This Row],[Month]],LS[[#This Row],[Day]])</f>
        <v>45316</v>
      </c>
      <c r="E326" t="str" cm="1">
        <f t="array" ref="E326">INDEX(INVESTORS_LIST[INVESTOR NAME],MATCH(LS[[#This Row],[Investor ID]],INVESTORS_LIST[INVESTOR CODE],0),)</f>
        <v>MOIN UDDIN</v>
      </c>
      <c r="F326" s="83" t="s">
        <v>1071</v>
      </c>
      <c r="G326" s="75">
        <f>COUNTIF(LS[[#Headers],[Investor ID]]:LS[[#This Row],[Investor ID]],LS[[#This Row],[Investor ID]])</f>
        <v>6</v>
      </c>
      <c r="H326" s="75" t="str">
        <f>CONCATENATE(LS[[#This Row],[Frequency]],LS[[#This Row],[Investor ID]])</f>
        <v>6A00513</v>
      </c>
      <c r="I326" s="75" t="str">
        <f>IF(LS[[#This Row],[B/S]]="B","BUY",(IF(LS[[#This Row],[B/S]]="S","SELL"," ")))</f>
        <v>SELL</v>
      </c>
      <c r="J326" s="75" t="s">
        <v>1231</v>
      </c>
      <c r="K326" s="88">
        <v>-50000000</v>
      </c>
      <c r="L326" s="88"/>
      <c r="M326" s="89">
        <f>LS[[#This Row],[Amount]]/LS[[#This Row],[Unit]]</f>
        <v>10.732999465496627</v>
      </c>
      <c r="N326" s="90">
        <f>LS[[#This Row],[Unit Capital]]/10</f>
        <v>-4658530</v>
      </c>
      <c r="O326" s="90">
        <f>SUMIFS(LS[[#Headers],[Unit]]:LS[[#This Row],[Unit]],LS[[#Headers],[Investor ID]]:LS[[#This Row],[Investor ID]],LS[[#This Row],[Investor ID]])</f>
        <v>2484910</v>
      </c>
      <c r="P326" s="96">
        <v>-46585300</v>
      </c>
      <c r="Q326" s="48">
        <f>LS[[#This Row],[Amount]]-LS[[#This Row],[Unit Capital]]</f>
        <v>-3414700</v>
      </c>
      <c r="R32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10.522000661623402</v>
      </c>
      <c r="S326" s="89">
        <f t="shared" si="5"/>
        <v>14.224</v>
      </c>
      <c r="T326" s="96">
        <f>IF(LS[[#This Row],[B/S]]="B",0,ABS(LS[[#This Row],[Unit]])*(LS[[#This Row],[NAV (Strike Rate)]]-INDEX(LS[NAV at Cost (Average)],MATCH(CONCATENATE(LS[[#This Row],[Frequency]]-1,LS[[#This Row],[Investor ID]]),LS[Unique Code],0),)))</f>
        <v>982944.2578075385</v>
      </c>
      <c r="U326" s="96" cm="1">
        <f t="array" ref="U326">IF(LS[[#This Row],[B/S]]="S",ABS(LS[[#This Row],[Unit]])*(INDEX(LS[NAV at Cost (Average)],MATCH(CONCATENATE((LS[[#This Row],[Frequency]]-1),LS[[#This Row],[Investor ID]]),LS[Unique Code],0),0)),0)</f>
        <v>49017055.742192462</v>
      </c>
      <c r="V326" s="96">
        <f>IF(LS[[#This Row],[BO TRANSFER]]="YES",LS[[#This Row],[Unit]],)</f>
        <v>0</v>
      </c>
      <c r="W326" s="96">
        <f>SUMIFS(LS[[#Headers],[BO UNIT TRANSFER]]:LS[[#This Row],[BO UNIT TRANSFER]],LS[[#Headers],[Investor ID]]:LS[[#This Row],[Investor ID]],LS[[#This Row],[Investor ID]])</f>
        <v>0</v>
      </c>
    </row>
    <row r="327" spans="1:23">
      <c r="A327" s="75">
        <v>2024</v>
      </c>
      <c r="B327" s="75">
        <v>1</v>
      </c>
      <c r="C327" s="75">
        <v>25</v>
      </c>
      <c r="D327" s="81">
        <f>DATE(LS[[#This Row],[Year]],LS[[#This Row],[Month]],LS[[#This Row],[Day]])</f>
        <v>45316</v>
      </c>
      <c r="E327" t="str" cm="1">
        <f t="array" ref="E327">INDEX(INVESTORS_LIST[INVESTOR NAME],MATCH(LS[[#This Row],[Investor ID]],INVESTORS_LIST[INVESTOR CODE],0),)</f>
        <v>FAIYEAD AHMEDUL HYE</v>
      </c>
      <c r="F327" s="83" t="s">
        <v>368</v>
      </c>
      <c r="G327" s="75">
        <f>COUNTIF(LS[[#Headers],[Investor ID]]:LS[[#This Row],[Investor ID]],LS[[#This Row],[Investor ID]])</f>
        <v>7</v>
      </c>
      <c r="H327" s="75" t="str">
        <f>CONCATENATE(LS[[#This Row],[Frequency]],LS[[#This Row],[Investor ID]])</f>
        <v>7A00160</v>
      </c>
      <c r="I327" s="75" t="str">
        <f>IF(LS[[#This Row],[B/S]]="B","BUY",(IF(LS[[#This Row],[B/S]]="S","SELL"," ")))</f>
        <v>BUY</v>
      </c>
      <c r="J327" s="75" t="s">
        <v>1229</v>
      </c>
      <c r="K327" s="88">
        <v>50000</v>
      </c>
      <c r="L327" s="88"/>
      <c r="M327" s="89">
        <f>LS[[#This Row],[Amount]]/LS[[#This Row],[Unit]]</f>
        <v>10.73191672032625</v>
      </c>
      <c r="N327" s="90">
        <f>LS[[#This Row],[Unit Capital]]/10</f>
        <v>4659</v>
      </c>
      <c r="O327" s="90">
        <f>SUMIFS(LS[[#Headers],[Unit]]:LS[[#This Row],[Unit]],LS[[#Headers],[Investor ID]]:LS[[#This Row],[Investor ID]],LS[[#This Row],[Investor ID]])</f>
        <v>37104</v>
      </c>
      <c r="P327" s="96">
        <v>46590</v>
      </c>
      <c r="Q327" s="48">
        <f>LS[[#This Row],[Amount]]-LS[[#This Row],[Unit Capital]]</f>
        <v>3410</v>
      </c>
      <c r="R32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10.457093574816735</v>
      </c>
      <c r="S327" s="89">
        <f t="shared" si="5"/>
        <v>14.224</v>
      </c>
      <c r="T32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7" s="96" cm="1">
        <f t="array" ref="U327">IF(LS[[#This Row],[B/S]]="S",ABS(LS[[#This Row],[Unit]])*(INDEX(LS[NAV at Cost (Average)],MATCH(CONCATENATE((LS[[#This Row],[Frequency]]-1),LS[[#This Row],[Investor ID]]),LS[Unique Code],0),0)),0)</f>
        <v>0</v>
      </c>
      <c r="V327" s="96">
        <f>IF(LS[[#This Row],[BO TRANSFER]]="YES",LS[[#This Row],[Unit]],)</f>
        <v>0</v>
      </c>
      <c r="W327" s="96">
        <f>SUMIFS(LS[[#Headers],[BO UNIT TRANSFER]]:LS[[#This Row],[BO UNIT TRANSFER]],LS[[#Headers],[Investor ID]]:LS[[#This Row],[Investor ID]],LS[[#This Row],[Investor ID]])</f>
        <v>0</v>
      </c>
    </row>
    <row r="328" spans="1:23">
      <c r="A328" s="75">
        <v>2024</v>
      </c>
      <c r="B328" s="75">
        <v>1</v>
      </c>
      <c r="C328" s="75">
        <v>25</v>
      </c>
      <c r="D328" s="81">
        <f>DATE(LS[[#This Row],[Year]],LS[[#This Row],[Month]],LS[[#This Row],[Day]])</f>
        <v>45316</v>
      </c>
      <c r="E328" t="str" cm="1">
        <f t="array" ref="E328">INDEX(INVESTORS_LIST[INVESTOR NAME],MATCH(LS[[#This Row],[Investor ID]],INVESTORS_LIST[INVESTOR CODE],0),)</f>
        <v>SYED FAZLE RABBY</v>
      </c>
      <c r="F328" s="83" t="s">
        <v>166</v>
      </c>
      <c r="G328" s="75">
        <f>COUNTIF(LS[[#Headers],[Investor ID]]:LS[[#This Row],[Investor ID]],LS[[#This Row],[Investor ID]])</f>
        <v>4</v>
      </c>
      <c r="H328" s="75" t="str">
        <f>CONCATENATE(LS[[#This Row],[Frequency]],LS[[#This Row],[Investor ID]])</f>
        <v>4A00059</v>
      </c>
      <c r="I328" s="75" t="str">
        <f>IF(LS[[#This Row],[B/S]]="B","BUY",(IF(LS[[#This Row],[B/S]]="S","SELL"," ")))</f>
        <v>BUY</v>
      </c>
      <c r="J328" s="75" t="s">
        <v>1229</v>
      </c>
      <c r="K328" s="88">
        <v>150000</v>
      </c>
      <c r="L328" s="88"/>
      <c r="M328" s="89">
        <f>LS[[#This Row],[Amount]]/LS[[#This Row],[Unit]]</f>
        <v>10.732684602175157</v>
      </c>
      <c r="N328" s="90">
        <f>LS[[#This Row],[Unit Capital]]/10</f>
        <v>13976</v>
      </c>
      <c r="O328" s="90">
        <f>SUMIFS(LS[[#Headers],[Unit]]:LS[[#This Row],[Unit]],LS[[#Headers],[Investor ID]]:LS[[#This Row],[Investor ID]],LS[[#This Row],[Investor ID]])</f>
        <v>181950</v>
      </c>
      <c r="P328" s="96">
        <v>139760</v>
      </c>
      <c r="Q328" s="48">
        <f>LS[[#This Row],[Amount]]-LS[[#This Row],[Unit Capital]]</f>
        <v>10240</v>
      </c>
      <c r="R32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10.717230008244021</v>
      </c>
      <c r="S328" s="89">
        <f t="shared" si="5"/>
        <v>14.224</v>
      </c>
      <c r="T32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8" s="96" cm="1">
        <f t="array" ref="U328">IF(LS[[#This Row],[B/S]]="S",ABS(LS[[#This Row],[Unit]])*(INDEX(LS[NAV at Cost (Average)],MATCH(CONCATENATE((LS[[#This Row],[Frequency]]-1),LS[[#This Row],[Investor ID]]),LS[Unique Code],0),0)),0)</f>
        <v>0</v>
      </c>
      <c r="V328" s="96">
        <f>IF(LS[[#This Row],[BO TRANSFER]]="YES",LS[[#This Row],[Unit]],)</f>
        <v>0</v>
      </c>
      <c r="W328" s="96">
        <f>SUMIFS(LS[[#Headers],[BO UNIT TRANSFER]]:LS[[#This Row],[BO UNIT TRANSFER]],LS[[#Headers],[Investor ID]]:LS[[#This Row],[Investor ID]],LS[[#This Row],[Investor ID]])</f>
        <v>0</v>
      </c>
    </row>
    <row r="329" spans="1:23">
      <c r="A329" s="75">
        <v>2024</v>
      </c>
      <c r="B329" s="75">
        <v>1</v>
      </c>
      <c r="C329" s="75">
        <v>25</v>
      </c>
      <c r="D329" s="81">
        <f>DATE(LS[[#This Row],[Year]],LS[[#This Row],[Month]],LS[[#This Row],[Day]])</f>
        <v>45316</v>
      </c>
      <c r="E329" t="str" cm="1">
        <f t="array" ref="E329">INDEX(INVESTORS_LIST[INVESTOR NAME],MATCH(LS[[#This Row],[Investor ID]],INVESTORS_LIST[INVESTOR CODE],0),)</f>
        <v>AMIT KANTI SARKER</v>
      </c>
      <c r="F329" s="83" t="s">
        <v>364</v>
      </c>
      <c r="G329" s="75">
        <f>COUNTIF(LS[[#Headers],[Investor ID]]:LS[[#This Row],[Investor ID]],LS[[#This Row],[Investor ID]])</f>
        <v>5</v>
      </c>
      <c r="H329" s="75" t="str">
        <f>CONCATENATE(LS[[#This Row],[Frequency]],LS[[#This Row],[Investor ID]])</f>
        <v>5A00158</v>
      </c>
      <c r="I329" s="75" t="str">
        <f>IF(LS[[#This Row],[B/S]]="B","BUY",(IF(LS[[#This Row],[B/S]]="S","SELL"," ")))</f>
        <v>BUY</v>
      </c>
      <c r="J329" s="75" t="s">
        <v>1229</v>
      </c>
      <c r="K329" s="88">
        <v>700000</v>
      </c>
      <c r="L329" s="88"/>
      <c r="M329" s="89">
        <f>LS[[#This Row],[Amount]]/LS[[#This Row],[Unit]]</f>
        <v>10.733068584308255</v>
      </c>
      <c r="N329" s="90">
        <f>LS[[#This Row],[Unit Capital]]/10</f>
        <v>65219</v>
      </c>
      <c r="O329" s="90">
        <f>SUMIFS(LS[[#Headers],[Unit]]:LS[[#This Row],[Unit]],LS[[#Headers],[Investor ID]]:LS[[#This Row],[Investor ID]],LS[[#This Row],[Investor ID]])</f>
        <v>158852</v>
      </c>
      <c r="P329" s="96">
        <v>652190</v>
      </c>
      <c r="Q329" s="48">
        <f>LS[[#This Row],[Amount]]-LS[[#This Row],[Unit Capital]]</f>
        <v>47810</v>
      </c>
      <c r="R32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10.701785309596353</v>
      </c>
      <c r="S329" s="89">
        <f t="shared" si="5"/>
        <v>14.224</v>
      </c>
      <c r="T32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29" s="96" cm="1">
        <f t="array" ref="U329">IF(LS[[#This Row],[B/S]]="S",ABS(LS[[#This Row],[Unit]])*(INDEX(LS[NAV at Cost (Average)],MATCH(CONCATENATE((LS[[#This Row],[Frequency]]-1),LS[[#This Row],[Investor ID]]),LS[Unique Code],0),0)),0)</f>
        <v>0</v>
      </c>
      <c r="V329" s="96">
        <f>IF(LS[[#This Row],[BO TRANSFER]]="YES",LS[[#This Row],[Unit]],)</f>
        <v>0</v>
      </c>
      <c r="W329" s="96">
        <f>SUMIFS(LS[[#Headers],[BO UNIT TRANSFER]]:LS[[#This Row],[BO UNIT TRANSFER]],LS[[#Headers],[Investor ID]]:LS[[#This Row],[Investor ID]],LS[[#This Row],[Investor ID]])</f>
        <v>0</v>
      </c>
    </row>
    <row r="330" spans="1:23">
      <c r="A330" s="75">
        <v>2024</v>
      </c>
      <c r="B330" s="75">
        <v>1</v>
      </c>
      <c r="C330" s="75">
        <v>25</v>
      </c>
      <c r="D330" s="81">
        <f>DATE(LS[[#This Row],[Year]],LS[[#This Row],[Month]],LS[[#This Row],[Day]])</f>
        <v>45316</v>
      </c>
      <c r="E330" t="str" cm="1">
        <f t="array" ref="E330">INDEX(INVESTORS_LIST[INVESTOR NAME],MATCH(LS[[#This Row],[Investor ID]],INVESTORS_LIST[INVESTOR CODE],0),)</f>
        <v>EKUSH WEALTH MANAGEMENT LIMITED</v>
      </c>
      <c r="F330" s="83" t="s">
        <v>47</v>
      </c>
      <c r="G330" s="75">
        <f>COUNTIF(LS[[#Headers],[Investor ID]]:LS[[#This Row],[Investor ID]],LS[[#This Row],[Investor ID]])</f>
        <v>17</v>
      </c>
      <c r="H330" s="75" t="str">
        <f>CONCATENATE(LS[[#This Row],[Frequency]],LS[[#This Row],[Investor ID]])</f>
        <v>17A00003</v>
      </c>
      <c r="I330" s="75" t="str">
        <f>IF(LS[[#This Row],[B/S]]="B","BUY",(IF(LS[[#This Row],[B/S]]="S","SELL"," ")))</f>
        <v>SELL</v>
      </c>
      <c r="J330" s="75" t="s">
        <v>1231</v>
      </c>
      <c r="K330" s="88">
        <v>-550000</v>
      </c>
      <c r="L330" s="88"/>
      <c r="M330" s="89">
        <f>LS[[#This Row],[Amount]]/LS[[#This Row],[Unit]]</f>
        <v>10.732963859183513</v>
      </c>
      <c r="N330" s="90">
        <f>LS[[#This Row],[Unit Capital]]/10</f>
        <v>-51244</v>
      </c>
      <c r="O330" s="90">
        <f>SUMIFS(LS[[#Headers],[Unit]]:LS[[#This Row],[Unit]],LS[[#Headers],[Investor ID]]:LS[[#This Row],[Investor ID]],LS[[#This Row],[Investor ID]])</f>
        <v>1062575</v>
      </c>
      <c r="P330" s="96">
        <v>-512440</v>
      </c>
      <c r="Q330" s="48">
        <f>LS[[#This Row],[Amount]]-LS[[#This Row],[Unit Capital]]</f>
        <v>-37560</v>
      </c>
      <c r="R33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330" s="89">
        <f t="shared" si="5"/>
        <v>14.224</v>
      </c>
      <c r="T330" s="96">
        <f>IF(LS[[#This Row],[B/S]]="B",0,ABS(LS[[#This Row],[Unit]])*(LS[[#This Row],[NAV (Strike Rate)]]-INDEX(LS[NAV at Cost (Average)],MATCH(CONCATENATE(LS[[#This Row],[Frequency]]-1,LS[[#This Row],[Investor ID]]),LS[Unique Code],0),)))</f>
        <v>36832.597110479146</v>
      </c>
      <c r="U330" s="96" cm="1">
        <f t="array" ref="U330">IF(LS[[#This Row],[B/S]]="S",ABS(LS[[#This Row],[Unit]])*(INDEX(LS[NAV at Cost (Average)],MATCH(CONCATENATE((LS[[#This Row],[Frequency]]-1),LS[[#This Row],[Investor ID]]),LS[Unique Code],0),0)),0)</f>
        <v>513167.4028895208</v>
      </c>
      <c r="V330" s="96">
        <f>IF(LS[[#This Row],[BO TRANSFER]]="YES",LS[[#This Row],[Unit]],)</f>
        <v>0</v>
      </c>
      <c r="W330" s="96">
        <f>SUMIFS(LS[[#Headers],[BO UNIT TRANSFER]]:LS[[#This Row],[BO UNIT TRANSFER]],LS[[#Headers],[Investor ID]]:LS[[#This Row],[Investor ID]],LS[[#This Row],[Investor ID]])</f>
        <v>0</v>
      </c>
    </row>
    <row r="331" spans="1:23">
      <c r="A331" s="75">
        <v>2024</v>
      </c>
      <c r="B331" s="75">
        <v>1</v>
      </c>
      <c r="C331" s="75">
        <v>30</v>
      </c>
      <c r="D331" s="81">
        <f>DATE(LS[[#This Row],[Year]],LS[[#This Row],[Month]],LS[[#This Row],[Day]])</f>
        <v>45321</v>
      </c>
      <c r="E331" t="str" cm="1">
        <f t="array" ref="E331">INDEX(INVESTORS_LIST[INVESTOR NAME],MATCH(LS[[#This Row],[Investor ID]],INVESTORS_LIST[INVESTOR CODE],0),)</f>
        <v>MOIN UDDIN</v>
      </c>
      <c r="F331" s="83" t="s">
        <v>1071</v>
      </c>
      <c r="G331" s="75">
        <f>COUNTIF(LS[[#Headers],[Investor ID]]:LS[[#This Row],[Investor ID]],LS[[#This Row],[Investor ID]])</f>
        <v>7</v>
      </c>
      <c r="H331" s="75" t="str">
        <f>CONCATENATE(LS[[#This Row],[Frequency]],LS[[#This Row],[Investor ID]])</f>
        <v>7A00513</v>
      </c>
      <c r="I331" s="75" t="str">
        <f>IF(LS[[#This Row],[B/S]]="B","BUY",(IF(LS[[#This Row],[B/S]]="S","SELL"," ")))</f>
        <v>SELL</v>
      </c>
      <c r="J331" s="75" t="s">
        <v>1231</v>
      </c>
      <c r="K331" s="88">
        <v>-26697873.039999999</v>
      </c>
      <c r="L331" s="88"/>
      <c r="M331" s="89">
        <f>LS[[#This Row],[Amount]]/LS[[#This Row],[Unit]]</f>
        <v>10.744</v>
      </c>
      <c r="N331" s="90">
        <f>LS[[#This Row],[Unit Capital]]/10</f>
        <v>-2484910</v>
      </c>
      <c r="O331" s="90">
        <f>SUMIFS(LS[[#Headers],[Unit]]:LS[[#This Row],[Unit]],LS[[#Headers],[Investor ID]]:LS[[#This Row],[Investor ID]],LS[[#This Row],[Investor ID]])</f>
        <v>0</v>
      </c>
      <c r="P331" s="96">
        <v>-24849100</v>
      </c>
      <c r="Q331" s="48">
        <f>LS[[#This Row],[Amount]]-LS[[#This Row],[Unit Capital]]</f>
        <v>-1848773.0399999991</v>
      </c>
      <c r="R33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31" s="89">
        <f t="shared" si="5"/>
        <v>14.224</v>
      </c>
      <c r="T331" s="96">
        <f>IF(LS[[#This Row],[B/S]]="B",0,ABS(LS[[#This Row],[Unit]])*(LS[[#This Row],[NAV (Strike Rate)]]-INDEX(LS[NAV at Cost (Average)],MATCH(CONCATENATE(LS[[#This Row],[Frequency]]-1,LS[[#This Row],[Investor ID]]),LS[Unique Code],0),)))</f>
        <v>551648.37592539249</v>
      </c>
      <c r="U331" s="96" cm="1">
        <f t="array" ref="U331">IF(LS[[#This Row],[B/S]]="S",ABS(LS[[#This Row],[Unit]])*(INDEX(LS[NAV at Cost (Average)],MATCH(CONCATENATE((LS[[#This Row],[Frequency]]-1),LS[[#This Row],[Investor ID]]),LS[Unique Code],0),0)),0)</f>
        <v>26146224.664074607</v>
      </c>
      <c r="V331" s="96">
        <f>IF(LS[[#This Row],[BO TRANSFER]]="YES",LS[[#This Row],[Unit]],)</f>
        <v>0</v>
      </c>
      <c r="W331" s="96">
        <f>SUMIFS(LS[[#Headers],[BO UNIT TRANSFER]]:LS[[#This Row],[BO UNIT TRANSFER]],LS[[#Headers],[Investor ID]]:LS[[#This Row],[Investor ID]],LS[[#This Row],[Investor ID]])</f>
        <v>0</v>
      </c>
    </row>
    <row r="332" spans="1:23">
      <c r="A332" s="75">
        <v>2024</v>
      </c>
      <c r="B332" s="75">
        <v>1</v>
      </c>
      <c r="C332" s="75">
        <v>30</v>
      </c>
      <c r="D332" s="81">
        <f>DATE(LS[[#This Row],[Year]],LS[[#This Row],[Month]],LS[[#This Row],[Day]])</f>
        <v>45321</v>
      </c>
      <c r="E332" t="str" cm="1">
        <f t="array" ref="E332">INDEX(INVESTORS_LIST[INVESTOR NAME],MATCH(LS[[#This Row],[Investor ID]],INVESTORS_LIST[INVESTOR CODE],0),)</f>
        <v>GOURI TOSH PAUL</v>
      </c>
      <c r="F332" s="83" t="s">
        <v>606</v>
      </c>
      <c r="G332" s="75">
        <f>COUNTIF(LS[[#Headers],[Investor ID]]:LS[[#This Row],[Investor ID]],LS[[#This Row],[Investor ID]])</f>
        <v>3</v>
      </c>
      <c r="H332" s="75" t="str">
        <f>CONCATENATE(LS[[#This Row],[Frequency]],LS[[#This Row],[Investor ID]])</f>
        <v>3A00279</v>
      </c>
      <c r="I332" s="75" t="str">
        <f>IF(LS[[#This Row],[B/S]]="B","BUY",(IF(LS[[#This Row],[B/S]]="S","SELL"," ")))</f>
        <v>SELL</v>
      </c>
      <c r="J332" s="75" t="s">
        <v>1231</v>
      </c>
      <c r="K332" s="88">
        <v>-100000</v>
      </c>
      <c r="L332" s="88"/>
      <c r="M332" s="89">
        <f>LS[[#This Row],[Amount]]/LS[[#This Row],[Unit]]</f>
        <v>10.743446497636441</v>
      </c>
      <c r="N332" s="90">
        <f>LS[[#This Row],[Unit Capital]]/10</f>
        <v>-9308</v>
      </c>
      <c r="O332" s="90">
        <f>SUMIFS(LS[[#Headers],[Unit]]:LS[[#This Row],[Unit]],LS[[#Headers],[Investor ID]]:LS[[#This Row],[Investor ID]],LS[[#This Row],[Investor ID]])</f>
        <v>77434</v>
      </c>
      <c r="P332" s="96">
        <v>-93080</v>
      </c>
      <c r="Q332" s="48">
        <f>LS[[#This Row],[Amount]]-LS[[#This Row],[Unit Capital]]</f>
        <v>-6920</v>
      </c>
      <c r="R33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10.483025562454641</v>
      </c>
      <c r="S332" s="89">
        <f t="shared" si="5"/>
        <v>14.224</v>
      </c>
      <c r="T332" s="96">
        <f>IF(LS[[#This Row],[B/S]]="B",0,ABS(LS[[#This Row],[Unit]])*(LS[[#This Row],[NAV (Strike Rate)]]-INDEX(LS[NAV at Cost (Average)],MATCH(CONCATENATE(LS[[#This Row],[Frequency]]-1,LS[[#This Row],[Investor ID]]),LS[Unique Code],0),)))</f>
        <v>2423.9980646721974</v>
      </c>
      <c r="U332" s="96" cm="1">
        <f t="array" ref="U332">IF(LS[[#This Row],[B/S]]="S",ABS(LS[[#This Row],[Unit]])*(INDEX(LS[NAV at Cost (Average)],MATCH(CONCATENATE((LS[[#This Row],[Frequency]]-1),LS[[#This Row],[Investor ID]]),LS[Unique Code],0),0)),0)</f>
        <v>97576.001935327789</v>
      </c>
      <c r="V332" s="96">
        <f>IF(LS[[#This Row],[BO TRANSFER]]="YES",LS[[#This Row],[Unit]],)</f>
        <v>0</v>
      </c>
      <c r="W332" s="96">
        <f>SUMIFS(LS[[#Headers],[BO UNIT TRANSFER]]:LS[[#This Row],[BO UNIT TRANSFER]],LS[[#Headers],[Investor ID]]:LS[[#This Row],[Investor ID]],LS[[#This Row],[Investor ID]])</f>
        <v>0</v>
      </c>
    </row>
    <row r="333" spans="1:23">
      <c r="A333" s="75">
        <v>2024</v>
      </c>
      <c r="B333" s="75">
        <v>1</v>
      </c>
      <c r="C333" s="75">
        <v>29</v>
      </c>
      <c r="D333" s="81">
        <f>DATE(LS[[#This Row],[Year]],LS[[#This Row],[Month]],LS[[#This Row],[Day]])</f>
        <v>45320</v>
      </c>
      <c r="E333" t="str" cm="1">
        <f t="array" ref="E333">INDEX(INVESTORS_LIST[INVESTOR NAME],MATCH(LS[[#This Row],[Investor ID]],INVESTORS_LIST[INVESTOR CODE],0),)</f>
        <v>MST. GOLENUR</v>
      </c>
      <c r="F333" s="83" t="s">
        <v>1075</v>
      </c>
      <c r="G333" s="75">
        <f>COUNTIF(LS[[#Headers],[Investor ID]]:LS[[#This Row],[Investor ID]],LS[[#This Row],[Investor ID]])</f>
        <v>3</v>
      </c>
      <c r="H333" s="75" t="str">
        <f>CONCATENATE(LS[[#This Row],[Frequency]],LS[[#This Row],[Investor ID]])</f>
        <v>3A00515</v>
      </c>
      <c r="I333" s="75" t="str">
        <f>IF(LS[[#This Row],[B/S]]="B","BUY",(IF(LS[[#This Row],[B/S]]="S","SELL"," ")))</f>
        <v>BUY</v>
      </c>
      <c r="J333" s="75" t="s">
        <v>1229</v>
      </c>
      <c r="K333" s="88">
        <v>2000</v>
      </c>
      <c r="L333" s="88"/>
      <c r="M333" s="89">
        <f>LS[[#This Row],[Amount]]/LS[[#This Row],[Unit]]</f>
        <v>10.75268817204301</v>
      </c>
      <c r="N333" s="90">
        <f>LS[[#This Row],[Unit Capital]]/10</f>
        <v>186</v>
      </c>
      <c r="O333" s="90">
        <f>SUMIFS(LS[[#Headers],[Unit]]:LS[[#This Row],[Unit]],LS[[#Headers],[Investor ID]]:LS[[#This Row],[Investor ID]],LS[[#This Row],[Investor ID]])</f>
        <v>563</v>
      </c>
      <c r="P333" s="96">
        <v>1860</v>
      </c>
      <c r="Q333" s="48">
        <f>LS[[#This Row],[Amount]]-LS[[#This Row],[Unit Capital]]</f>
        <v>140</v>
      </c>
      <c r="R33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10.657193605683837</v>
      </c>
      <c r="S333" s="89">
        <f t="shared" si="5"/>
        <v>14.224</v>
      </c>
      <c r="T33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3" s="96" cm="1">
        <f t="array" ref="U333">IF(LS[[#This Row],[B/S]]="S",ABS(LS[[#This Row],[Unit]])*(INDEX(LS[NAV at Cost (Average)],MATCH(CONCATENATE((LS[[#This Row],[Frequency]]-1),LS[[#This Row],[Investor ID]]),LS[Unique Code],0),0)),0)</f>
        <v>0</v>
      </c>
      <c r="V333" s="96">
        <f>IF(LS[[#This Row],[BO TRANSFER]]="YES",LS[[#This Row],[Unit]],)</f>
        <v>0</v>
      </c>
      <c r="W333" s="96">
        <f>SUMIFS(LS[[#Headers],[BO UNIT TRANSFER]]:LS[[#This Row],[BO UNIT TRANSFER]],LS[[#Headers],[Investor ID]]:LS[[#This Row],[Investor ID]],LS[[#This Row],[Investor ID]])</f>
        <v>0</v>
      </c>
    </row>
    <row r="334" spans="1:23">
      <c r="A334" s="75">
        <v>2024</v>
      </c>
      <c r="B334" s="75">
        <v>1</v>
      </c>
      <c r="C334" s="75">
        <v>29</v>
      </c>
      <c r="D334" s="81">
        <f>DATE(LS[[#This Row],[Year]],LS[[#This Row],[Month]],LS[[#This Row],[Day]])</f>
        <v>45320</v>
      </c>
      <c r="E334" t="str" cm="1">
        <f t="array" ref="E334">INDEX(INVESTORS_LIST[INVESTOR NAME],MATCH(LS[[#This Row],[Investor ID]],INVESTORS_LIST[INVESTOR CODE],0),)</f>
        <v>SYED FAZLE RABBY</v>
      </c>
      <c r="F334" s="83" t="s">
        <v>166</v>
      </c>
      <c r="G334" s="75">
        <f>COUNTIF(LS[[#Headers],[Investor ID]]:LS[[#This Row],[Investor ID]],LS[[#This Row],[Investor ID]])</f>
        <v>5</v>
      </c>
      <c r="H334" s="75" t="str">
        <f>CONCATENATE(LS[[#This Row],[Frequency]],LS[[#This Row],[Investor ID]])</f>
        <v>5A00059</v>
      </c>
      <c r="I334" s="75" t="str">
        <f>IF(LS[[#This Row],[B/S]]="B","BUY",(IF(LS[[#This Row],[B/S]]="S","SELL"," ")))</f>
        <v>BUY</v>
      </c>
      <c r="J334" s="75" t="s">
        <v>1229</v>
      </c>
      <c r="K334" s="88">
        <v>300000</v>
      </c>
      <c r="L334" s="88"/>
      <c r="M334" s="89">
        <f>LS[[#This Row],[Amount]]/LS[[#This Row],[Unit]]</f>
        <v>10.743831250223829</v>
      </c>
      <c r="N334" s="90">
        <f>LS[[#This Row],[Unit Capital]]/10</f>
        <v>27923</v>
      </c>
      <c r="O334" s="90">
        <f>SUMIFS(LS[[#Headers],[Unit]]:LS[[#This Row],[Unit]],LS[[#Headers],[Investor ID]]:LS[[#This Row],[Investor ID]],LS[[#This Row],[Investor ID]])</f>
        <v>209873</v>
      </c>
      <c r="P334" s="96">
        <v>279230</v>
      </c>
      <c r="Q334" s="48">
        <f>LS[[#This Row],[Amount]]-LS[[#This Row],[Unit Capital]]</f>
        <v>20770</v>
      </c>
      <c r="R33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10.720769227104009</v>
      </c>
      <c r="S334" s="89">
        <f t="shared" si="5"/>
        <v>14.224</v>
      </c>
      <c r="T33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4" s="96" cm="1">
        <f t="array" ref="U334">IF(LS[[#This Row],[B/S]]="S",ABS(LS[[#This Row],[Unit]])*(INDEX(LS[NAV at Cost (Average)],MATCH(CONCATENATE((LS[[#This Row],[Frequency]]-1),LS[[#This Row],[Investor ID]]),LS[Unique Code],0),0)),0)</f>
        <v>0</v>
      </c>
      <c r="V334" s="96">
        <f>IF(LS[[#This Row],[BO TRANSFER]]="YES",LS[[#This Row],[Unit]],)</f>
        <v>0</v>
      </c>
      <c r="W334" s="96">
        <f>SUMIFS(LS[[#Headers],[BO UNIT TRANSFER]]:LS[[#This Row],[BO UNIT TRANSFER]],LS[[#Headers],[Investor ID]]:LS[[#This Row],[Investor ID]],LS[[#This Row],[Investor ID]])</f>
        <v>0</v>
      </c>
    </row>
    <row r="335" spans="1:23">
      <c r="A335" s="75">
        <v>2024</v>
      </c>
      <c r="B335" s="75">
        <v>1</v>
      </c>
      <c r="C335" s="75">
        <v>29</v>
      </c>
      <c r="D335" s="81">
        <f>DATE(LS[[#This Row],[Year]],LS[[#This Row],[Month]],LS[[#This Row],[Day]])</f>
        <v>45320</v>
      </c>
      <c r="E335" t="str" cm="1">
        <f t="array" ref="E335">INDEX(INVESTORS_LIST[INVESTOR NAME],MATCH(LS[[#This Row],[Investor ID]],INVESTORS_LIST[INVESTOR CODE],0),)</f>
        <v>SYED FAZLE RABBY</v>
      </c>
      <c r="F335" s="83" t="s">
        <v>166</v>
      </c>
      <c r="G335" s="75">
        <f>COUNTIF(LS[[#Headers],[Investor ID]]:LS[[#This Row],[Investor ID]],LS[[#This Row],[Investor ID]])</f>
        <v>6</v>
      </c>
      <c r="H335" s="75" t="str">
        <f>CONCATENATE(LS[[#This Row],[Frequency]],LS[[#This Row],[Investor ID]])</f>
        <v>6A00059</v>
      </c>
      <c r="I335" s="75" t="str">
        <f>IF(LS[[#This Row],[B/S]]="B","BUY",(IF(LS[[#This Row],[B/S]]="S","SELL"," ")))</f>
        <v>BUY</v>
      </c>
      <c r="J335" s="75" t="s">
        <v>1229</v>
      </c>
      <c r="K335" s="88">
        <v>250000</v>
      </c>
      <c r="L335" s="88"/>
      <c r="M335" s="89">
        <f>LS[[#This Row],[Amount]]/LS[[#This Row],[Unit]]</f>
        <v>10.743908204048305</v>
      </c>
      <c r="N335" s="90">
        <f>LS[[#This Row],[Unit Capital]]/10</f>
        <v>23269</v>
      </c>
      <c r="O335" s="90">
        <f>SUMIFS(LS[[#Headers],[Unit]]:LS[[#This Row],[Unit]],LS[[#Headers],[Investor ID]]:LS[[#This Row],[Investor ID]],LS[[#This Row],[Investor ID]])</f>
        <v>233142</v>
      </c>
      <c r="P335" s="96">
        <v>232690</v>
      </c>
      <c r="Q335" s="48">
        <f>LS[[#This Row],[Amount]]-LS[[#This Row],[Unit Capital]]</f>
        <v>17310</v>
      </c>
      <c r="R33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10.723078638769504</v>
      </c>
      <c r="S335" s="89">
        <f t="shared" si="5"/>
        <v>14.224</v>
      </c>
      <c r="T33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5" s="96" cm="1">
        <f t="array" ref="U335">IF(LS[[#This Row],[B/S]]="S",ABS(LS[[#This Row],[Unit]])*(INDEX(LS[NAV at Cost (Average)],MATCH(CONCATENATE((LS[[#This Row],[Frequency]]-1),LS[[#This Row],[Investor ID]]),LS[Unique Code],0),0)),0)</f>
        <v>0</v>
      </c>
      <c r="V335" s="96">
        <f>IF(LS[[#This Row],[BO TRANSFER]]="YES",LS[[#This Row],[Unit]],)</f>
        <v>0</v>
      </c>
      <c r="W335" s="96">
        <f>SUMIFS(LS[[#Headers],[BO UNIT TRANSFER]]:LS[[#This Row],[BO UNIT TRANSFER]],LS[[#Headers],[Investor ID]]:LS[[#This Row],[Investor ID]],LS[[#This Row],[Investor ID]])</f>
        <v>0</v>
      </c>
    </row>
    <row r="336" spans="1:23">
      <c r="A336" s="75">
        <v>2024</v>
      </c>
      <c r="B336" s="75">
        <v>1</v>
      </c>
      <c r="C336" s="75">
        <v>29</v>
      </c>
      <c r="D336" s="81">
        <f>DATE(LS[[#This Row],[Year]],LS[[#This Row],[Month]],LS[[#This Row],[Day]])</f>
        <v>45320</v>
      </c>
      <c r="E336" t="str" cm="1">
        <f t="array" ref="E336">INDEX(INVESTORS_LIST[INVESTOR NAME],MATCH(LS[[#This Row],[Investor ID]],INVESTORS_LIST[INVESTOR CODE],0),)</f>
        <v>SYED FAZLE RABBY</v>
      </c>
      <c r="F336" s="83" t="s">
        <v>166</v>
      </c>
      <c r="G336" s="75">
        <f>COUNTIF(LS[[#Headers],[Investor ID]]:LS[[#This Row],[Investor ID]],LS[[#This Row],[Investor ID]])</f>
        <v>7</v>
      </c>
      <c r="H336" s="75" t="str">
        <f>CONCATENATE(LS[[#This Row],[Frequency]],LS[[#This Row],[Investor ID]])</f>
        <v>7A00059</v>
      </c>
      <c r="I336" s="75" t="str">
        <f>IF(LS[[#This Row],[B/S]]="B","BUY",(IF(LS[[#This Row],[B/S]]="S","SELL"," ")))</f>
        <v>BUY</v>
      </c>
      <c r="J336" s="75" t="s">
        <v>1229</v>
      </c>
      <c r="K336" s="88">
        <v>250000</v>
      </c>
      <c r="L336" s="88"/>
      <c r="M336" s="89">
        <f>LS[[#This Row],[Amount]]/LS[[#This Row],[Unit]]</f>
        <v>10.743908204048305</v>
      </c>
      <c r="N336" s="90">
        <f>LS[[#This Row],[Unit Capital]]/10</f>
        <v>23269</v>
      </c>
      <c r="O336" s="90">
        <f>SUMIFS(LS[[#Headers],[Unit]]:LS[[#This Row],[Unit]],LS[[#Headers],[Investor ID]]:LS[[#This Row],[Investor ID]],LS[[#This Row],[Investor ID]])</f>
        <v>256411</v>
      </c>
      <c r="P336" s="96">
        <v>232690</v>
      </c>
      <c r="Q336" s="48">
        <f>LS[[#This Row],[Amount]]-LS[[#This Row],[Unit Capital]]</f>
        <v>17310</v>
      </c>
      <c r="R33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10.724968897590196</v>
      </c>
      <c r="S336" s="89">
        <f t="shared" si="5"/>
        <v>14.224</v>
      </c>
      <c r="T33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6" s="96" cm="1">
        <f t="array" ref="U336">IF(LS[[#This Row],[B/S]]="S",ABS(LS[[#This Row],[Unit]])*(INDEX(LS[NAV at Cost (Average)],MATCH(CONCATENATE((LS[[#This Row],[Frequency]]-1),LS[[#This Row],[Investor ID]]),LS[Unique Code],0),0)),0)</f>
        <v>0</v>
      </c>
      <c r="V336" s="96">
        <f>IF(LS[[#This Row],[BO TRANSFER]]="YES",LS[[#This Row],[Unit]],)</f>
        <v>0</v>
      </c>
      <c r="W336" s="96">
        <f>SUMIFS(LS[[#Headers],[BO UNIT TRANSFER]]:LS[[#This Row],[BO UNIT TRANSFER]],LS[[#Headers],[Investor ID]]:LS[[#This Row],[Investor ID]],LS[[#This Row],[Investor ID]])</f>
        <v>0</v>
      </c>
    </row>
    <row r="337" spans="1:23">
      <c r="A337" s="75">
        <v>2024</v>
      </c>
      <c r="B337" s="75">
        <v>1</v>
      </c>
      <c r="C337" s="75">
        <v>30</v>
      </c>
      <c r="D337" s="81">
        <f>DATE(LS[[#This Row],[Year]],LS[[#This Row],[Month]],LS[[#This Row],[Day]])</f>
        <v>45321</v>
      </c>
      <c r="E337" t="str" cm="1">
        <f t="array" ref="E337">INDEX(INVESTORS_LIST[INVESTOR NAME],MATCH(LS[[#This Row],[Investor ID]],INVESTORS_LIST[INVESTOR CODE],0),)</f>
        <v>SYED FAZLE RABBY</v>
      </c>
      <c r="F337" s="83" t="s">
        <v>166</v>
      </c>
      <c r="G337" s="75">
        <f>COUNTIF(LS[[#Headers],[Investor ID]]:LS[[#This Row],[Investor ID]],LS[[#This Row],[Investor ID]])</f>
        <v>8</v>
      </c>
      <c r="H337" s="75" t="str">
        <f>CONCATENATE(LS[[#This Row],[Frequency]],LS[[#This Row],[Investor ID]])</f>
        <v>8A00059</v>
      </c>
      <c r="I337" s="75" t="str">
        <f>IF(LS[[#This Row],[B/S]]="B","BUY",(IF(LS[[#This Row],[B/S]]="S","SELL"," ")))</f>
        <v>BUY</v>
      </c>
      <c r="J337" s="75" t="s">
        <v>1229</v>
      </c>
      <c r="K337" s="88">
        <v>300000</v>
      </c>
      <c r="L337" s="88"/>
      <c r="M337" s="89">
        <f>LS[[#This Row],[Amount]]/LS[[#This Row],[Unit]]</f>
        <v>10.743831250223829</v>
      </c>
      <c r="N337" s="90">
        <f>LS[[#This Row],[Unit Capital]]/10</f>
        <v>27923</v>
      </c>
      <c r="O337" s="90">
        <f>SUMIFS(LS[[#Headers],[Unit]]:LS[[#This Row],[Unit]],LS[[#Headers],[Investor ID]]:LS[[#This Row],[Investor ID]],LS[[#This Row],[Investor ID]])</f>
        <v>284334</v>
      </c>
      <c r="P337" s="96">
        <v>279230</v>
      </c>
      <c r="Q337" s="48">
        <f>LS[[#This Row],[Amount]]-LS[[#This Row],[Unit Capital]]</f>
        <v>20770</v>
      </c>
      <c r="R33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10.726821273572629</v>
      </c>
      <c r="S337" s="89">
        <f t="shared" si="5"/>
        <v>14.224</v>
      </c>
      <c r="T33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7" s="96" cm="1">
        <f t="array" ref="U337">IF(LS[[#This Row],[B/S]]="S",ABS(LS[[#This Row],[Unit]])*(INDEX(LS[NAV at Cost (Average)],MATCH(CONCATENATE((LS[[#This Row],[Frequency]]-1),LS[[#This Row],[Investor ID]]),LS[Unique Code],0),0)),0)</f>
        <v>0</v>
      </c>
      <c r="V337" s="96">
        <f>IF(LS[[#This Row],[BO TRANSFER]]="YES",LS[[#This Row],[Unit]],)</f>
        <v>0</v>
      </c>
      <c r="W337" s="96">
        <f>SUMIFS(LS[[#Headers],[BO UNIT TRANSFER]]:LS[[#This Row],[BO UNIT TRANSFER]],LS[[#Headers],[Investor ID]]:LS[[#This Row],[Investor ID]],LS[[#This Row],[Investor ID]])</f>
        <v>0</v>
      </c>
    </row>
    <row r="338" spans="1:23">
      <c r="A338" s="75">
        <v>2024</v>
      </c>
      <c r="B338" s="75">
        <v>1</v>
      </c>
      <c r="C338" s="75">
        <v>30</v>
      </c>
      <c r="D338" s="81">
        <f>DATE(LS[[#This Row],[Year]],LS[[#This Row],[Month]],LS[[#This Row],[Day]])</f>
        <v>45321</v>
      </c>
      <c r="E338" t="str" cm="1">
        <f t="array" ref="E338">INDEX(INVESTORS_LIST[INVESTOR NAME],MATCH(LS[[#This Row],[Investor ID]],INVESTORS_LIST[INVESTOR CODE],0),)</f>
        <v>RAIS UDDIN AHMAD</v>
      </c>
      <c r="F338" s="83" t="s">
        <v>632</v>
      </c>
      <c r="G338" s="75">
        <f>COUNTIF(LS[[#Headers],[Investor ID]]:LS[[#This Row],[Investor ID]],LS[[#This Row],[Investor ID]])</f>
        <v>2</v>
      </c>
      <c r="H338" s="75" t="str">
        <f>CONCATENATE(LS[[#This Row],[Frequency]],LS[[#This Row],[Investor ID]])</f>
        <v>2A00292</v>
      </c>
      <c r="I338" s="75" t="str">
        <f>IF(LS[[#This Row],[B/S]]="B","BUY",(IF(LS[[#This Row],[B/S]]="S","SELL"," ")))</f>
        <v>SELL</v>
      </c>
      <c r="J338" s="75" t="s">
        <v>1231</v>
      </c>
      <c r="K338" s="88">
        <v>-500000</v>
      </c>
      <c r="L338" s="88"/>
      <c r="M338" s="89">
        <f>LS[[#This Row],[Amount]]/LS[[#This Row],[Unit]]</f>
        <v>10.743908204048305</v>
      </c>
      <c r="N338" s="90">
        <f>LS[[#This Row],[Unit Capital]]/10</f>
        <v>-46538</v>
      </c>
      <c r="O338" s="90">
        <f>SUMIFS(LS[[#Headers],[Unit]]:LS[[#This Row],[Unit]],LS[[#Headers],[Investor ID]]:LS[[#This Row],[Investor ID]],LS[[#This Row],[Investor ID]])</f>
        <v>32350</v>
      </c>
      <c r="P338" s="96">
        <v>-465380</v>
      </c>
      <c r="Q338" s="48">
        <f>LS[[#This Row],[Amount]]-LS[[#This Row],[Unit Capital]]</f>
        <v>-34620</v>
      </c>
      <c r="R33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338" s="89">
        <f t="shared" si="5"/>
        <v>14.224</v>
      </c>
      <c r="T338" s="96">
        <f>IF(LS[[#This Row],[B/S]]="B",0,ABS(LS[[#This Row],[Unit]])*(LS[[#This Row],[NAV (Strike Rate)]]-INDEX(LS[NAV at Cost (Average)],MATCH(CONCATENATE(LS[[#This Row],[Frequency]]-1,LS[[#This Row],[Investor ID]]),LS[Unique Code],0),)))</f>
        <v>28060.034479261707</v>
      </c>
      <c r="U338" s="96" cm="1">
        <f t="array" ref="U338">IF(LS[[#This Row],[B/S]]="S",ABS(LS[[#This Row],[Unit]])*(INDEX(LS[NAV at Cost (Average)],MATCH(CONCATENATE((LS[[#This Row],[Frequency]]-1),LS[[#This Row],[Investor ID]]),LS[Unique Code],0),0)),0)</f>
        <v>471939.96552073827</v>
      </c>
      <c r="V338" s="96">
        <f>IF(LS[[#This Row],[BO TRANSFER]]="YES",LS[[#This Row],[Unit]],)</f>
        <v>0</v>
      </c>
      <c r="W338" s="96">
        <f>SUMIFS(LS[[#Headers],[BO UNIT TRANSFER]]:LS[[#This Row],[BO UNIT TRANSFER]],LS[[#Headers],[Investor ID]]:LS[[#This Row],[Investor ID]],LS[[#This Row],[Investor ID]])</f>
        <v>0</v>
      </c>
    </row>
    <row r="339" spans="1:23">
      <c r="A339" s="75">
        <v>2024</v>
      </c>
      <c r="B339" s="75">
        <v>1</v>
      </c>
      <c r="C339" s="75">
        <v>31</v>
      </c>
      <c r="D339" s="81">
        <f>DATE(LS[[#This Row],[Year]],LS[[#This Row],[Month]],LS[[#This Row],[Day]])</f>
        <v>45322</v>
      </c>
      <c r="E339" t="str" cm="1">
        <f t="array" ref="E339">INDEX(INVESTORS_LIST[INVESTOR NAME],MATCH(LS[[#This Row],[Investor ID]],INVESTORS_LIST[INVESTOR CODE],0),)</f>
        <v>TAJDIKUL ALAM</v>
      </c>
      <c r="F339" s="83" t="s">
        <v>1099</v>
      </c>
      <c r="G339" s="75">
        <f>COUNTIF(LS[[#Headers],[Investor ID]]:LS[[#This Row],[Investor ID]],LS[[#This Row],[Investor ID]])</f>
        <v>1</v>
      </c>
      <c r="H339" s="75" t="str">
        <f>CONCATENATE(LS[[#This Row],[Frequency]],LS[[#This Row],[Investor ID]])</f>
        <v>1A00526</v>
      </c>
      <c r="I339" s="75" t="str">
        <f>IF(LS[[#This Row],[B/S]]="B","BUY",(IF(LS[[#This Row],[B/S]]="S","SELL"," ")))</f>
        <v>BUY</v>
      </c>
      <c r="J339" s="75" t="s">
        <v>1229</v>
      </c>
      <c r="K339" s="88">
        <v>50000</v>
      </c>
      <c r="L339" s="88"/>
      <c r="M339" s="89">
        <f>LS[[#This Row],[Amount]]/LS[[#This Row],[Unit]]</f>
        <v>10.743446497636441</v>
      </c>
      <c r="N339" s="90">
        <f>LS[[#This Row],[Unit Capital]]/10</f>
        <v>4654</v>
      </c>
      <c r="O339" s="90">
        <f>SUMIFS(LS[[#Headers],[Unit]]:LS[[#This Row],[Unit]],LS[[#Headers],[Investor ID]]:LS[[#This Row],[Investor ID]],LS[[#This Row],[Investor ID]])</f>
        <v>4654</v>
      </c>
      <c r="P339" s="96">
        <v>46540</v>
      </c>
      <c r="Q339" s="48">
        <f>LS[[#This Row],[Amount]]-LS[[#This Row],[Unit Capital]]</f>
        <v>3460</v>
      </c>
      <c r="R33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10.743446497636441</v>
      </c>
      <c r="S339" s="89">
        <f t="shared" si="5"/>
        <v>14.224</v>
      </c>
      <c r="T33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39" s="96" cm="1">
        <f t="array" ref="U339">IF(LS[[#This Row],[B/S]]="S",ABS(LS[[#This Row],[Unit]])*(INDEX(LS[NAV at Cost (Average)],MATCH(CONCATENATE((LS[[#This Row],[Frequency]]-1),LS[[#This Row],[Investor ID]]),LS[Unique Code],0),0)),0)</f>
        <v>0</v>
      </c>
      <c r="V339" s="96">
        <f>IF(LS[[#This Row],[BO TRANSFER]]="YES",LS[[#This Row],[Unit]],)</f>
        <v>0</v>
      </c>
      <c r="W339" s="96">
        <f>SUMIFS(LS[[#Headers],[BO UNIT TRANSFER]]:LS[[#This Row],[BO UNIT TRANSFER]],LS[[#Headers],[Investor ID]]:LS[[#This Row],[Investor ID]],LS[[#This Row],[Investor ID]])</f>
        <v>0</v>
      </c>
    </row>
    <row r="340" spans="1:23">
      <c r="A340" s="75">
        <v>2024</v>
      </c>
      <c r="B340" s="75">
        <v>1</v>
      </c>
      <c r="C340" s="75">
        <v>31</v>
      </c>
      <c r="D340" s="81">
        <f>DATE(LS[[#This Row],[Year]],LS[[#This Row],[Month]],LS[[#This Row],[Day]])</f>
        <v>45322</v>
      </c>
      <c r="E340" t="str" cm="1">
        <f t="array" ref="E340">INDEX(INVESTORS_LIST[INVESTOR NAME],MATCH(LS[[#This Row],[Investor ID]],INVESTORS_LIST[INVESTOR CODE],0),)</f>
        <v>TAJDIKUL ALAM</v>
      </c>
      <c r="F340" s="83" t="s">
        <v>1099</v>
      </c>
      <c r="G340" s="75">
        <f>COUNTIF(LS[[#Headers],[Investor ID]]:LS[[#This Row],[Investor ID]],LS[[#This Row],[Investor ID]])</f>
        <v>2</v>
      </c>
      <c r="H340" s="75" t="str">
        <f>CONCATENATE(LS[[#This Row],[Frequency]],LS[[#This Row],[Investor ID]])</f>
        <v>2A00526</v>
      </c>
      <c r="I340" s="75" t="str">
        <f>IF(LS[[#This Row],[B/S]]="B","BUY",(IF(LS[[#This Row],[B/S]]="S","SELL"," ")))</f>
        <v>BUY</v>
      </c>
      <c r="J340" s="75" t="s">
        <v>1229</v>
      </c>
      <c r="K340" s="88">
        <v>250000</v>
      </c>
      <c r="L340" s="88"/>
      <c r="M340" s="89">
        <f>LS[[#This Row],[Amount]]/LS[[#This Row],[Unit]]</f>
        <v>10.743908204048305</v>
      </c>
      <c r="N340" s="90">
        <f>LS[[#This Row],[Unit Capital]]/10</f>
        <v>23269</v>
      </c>
      <c r="O340" s="90">
        <f>SUMIFS(LS[[#Headers],[Unit]]:LS[[#This Row],[Unit]],LS[[#Headers],[Investor ID]]:LS[[#This Row],[Investor ID]],LS[[#This Row],[Investor ID]])</f>
        <v>27923</v>
      </c>
      <c r="P340" s="96">
        <v>232690</v>
      </c>
      <c r="Q340" s="48">
        <f>LS[[#This Row],[Amount]]-LS[[#This Row],[Unit Capital]]</f>
        <v>17310</v>
      </c>
      <c r="R34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10.743831250223831</v>
      </c>
      <c r="S340" s="89">
        <f t="shared" si="5"/>
        <v>14.224</v>
      </c>
      <c r="T34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0" s="96" cm="1">
        <f t="array" ref="U340">IF(LS[[#This Row],[B/S]]="S",ABS(LS[[#This Row],[Unit]])*(INDEX(LS[NAV at Cost (Average)],MATCH(CONCATENATE((LS[[#This Row],[Frequency]]-1),LS[[#This Row],[Investor ID]]),LS[Unique Code],0),0)),0)</f>
        <v>0</v>
      </c>
      <c r="V340" s="96">
        <f>IF(LS[[#This Row],[BO TRANSFER]]="YES",LS[[#This Row],[Unit]],)</f>
        <v>0</v>
      </c>
      <c r="W340" s="96">
        <f>SUMIFS(LS[[#Headers],[BO UNIT TRANSFER]]:LS[[#This Row],[BO UNIT TRANSFER]],LS[[#Headers],[Investor ID]]:LS[[#This Row],[Investor ID]],LS[[#This Row],[Investor ID]])</f>
        <v>0</v>
      </c>
    </row>
    <row r="341" spans="1:23">
      <c r="A341" s="75">
        <v>2024</v>
      </c>
      <c r="B341" s="75">
        <v>1</v>
      </c>
      <c r="C341" s="75">
        <v>31</v>
      </c>
      <c r="D341" s="81">
        <f>DATE(LS[[#This Row],[Year]],LS[[#This Row],[Month]],LS[[#This Row],[Day]])</f>
        <v>45322</v>
      </c>
      <c r="E341" t="str" cm="1">
        <f t="array" ref="E341">INDEX(INVESTORS_LIST[INVESTOR NAME],MATCH(LS[[#This Row],[Investor ID]],INVESTORS_LIST[INVESTOR CODE],0),)</f>
        <v>SANDHANI AML SLIC FIXED INCOME FUND</v>
      </c>
      <c r="F341" s="97" t="s">
        <v>978</v>
      </c>
      <c r="G341" s="75">
        <f>COUNTIF(LS[[#Headers],[Investor ID]]:LS[[#This Row],[Investor ID]],LS[[#This Row],[Investor ID]])</f>
        <v>2</v>
      </c>
      <c r="H341" s="75" t="str">
        <f>CONCATENATE(LS[[#This Row],[Frequency]],LS[[#This Row],[Investor ID]])</f>
        <v>2A00466</v>
      </c>
      <c r="I341" s="75" t="str">
        <f>IF(LS[[#This Row],[B/S]]="B","BUY",(IF(LS[[#This Row],[B/S]]="S","SELL"," ")))</f>
        <v>BUY</v>
      </c>
      <c r="J341" s="75" t="s">
        <v>1229</v>
      </c>
      <c r="K341" s="88">
        <v>3867840</v>
      </c>
      <c r="L341" s="88"/>
      <c r="M341" s="89">
        <f>LS[[#This Row],[Amount]]/LS[[#This Row],[Unit]]</f>
        <v>10.744</v>
      </c>
      <c r="N341" s="90">
        <f>LS[[#This Row],[Unit Capital]]/10</f>
        <v>360000</v>
      </c>
      <c r="O341" s="90">
        <f>SUMIFS(LS[[#Headers],[Unit]]:LS[[#This Row],[Unit]],LS[[#Headers],[Investor ID]]:LS[[#This Row],[Investor ID]],LS[[#This Row],[Investor ID]])</f>
        <v>510000</v>
      </c>
      <c r="P341" s="96">
        <v>3600000</v>
      </c>
      <c r="Q341" s="48">
        <f>LS[[#This Row],[Amount]]-LS[[#This Row],[Unit Capital]]</f>
        <v>267840</v>
      </c>
      <c r="R34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10.525176470588235</v>
      </c>
      <c r="S341" s="89">
        <f t="shared" si="5"/>
        <v>14.224</v>
      </c>
      <c r="T34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1" s="96" cm="1">
        <f t="array" ref="U341">IF(LS[[#This Row],[B/S]]="S",ABS(LS[[#This Row],[Unit]])*(INDEX(LS[NAV at Cost (Average)],MATCH(CONCATENATE((LS[[#This Row],[Frequency]]-1),LS[[#This Row],[Investor ID]]),LS[Unique Code],0),0)),0)</f>
        <v>0</v>
      </c>
      <c r="V341" s="96">
        <f>IF(LS[[#This Row],[BO TRANSFER]]="YES",LS[[#This Row],[Unit]],)</f>
        <v>0</v>
      </c>
      <c r="W341" s="96">
        <f>SUMIFS(LS[[#Headers],[BO UNIT TRANSFER]]:LS[[#This Row],[BO UNIT TRANSFER]],LS[[#Headers],[Investor ID]]:LS[[#This Row],[Investor ID]],LS[[#This Row],[Investor ID]])</f>
        <v>0</v>
      </c>
    </row>
    <row r="342" spans="1:23">
      <c r="A342" s="75">
        <v>2024</v>
      </c>
      <c r="B342" s="75">
        <v>1</v>
      </c>
      <c r="C342" s="75">
        <v>31</v>
      </c>
      <c r="D342" s="81">
        <f>DATE(LS[[#This Row],[Year]],LS[[#This Row],[Month]],LS[[#This Row],[Day]])</f>
        <v>45322</v>
      </c>
      <c r="E342" t="str" cm="1">
        <f t="array" ref="E342">INDEX(INVESTORS_LIST[INVESTOR NAME],MATCH(LS[[#This Row],[Investor ID]],INVESTORS_LIST[INVESTOR CODE],0),)</f>
        <v>SYED FAZLE RABBY</v>
      </c>
      <c r="F342" s="83" t="s">
        <v>166</v>
      </c>
      <c r="G342" s="75">
        <f>COUNTIF(LS[[#Headers],[Investor ID]]:LS[[#This Row],[Investor ID]],LS[[#This Row],[Investor ID]])</f>
        <v>9</v>
      </c>
      <c r="H342" s="75" t="str">
        <f>CONCATENATE(LS[[#This Row],[Frequency]],LS[[#This Row],[Investor ID]])</f>
        <v>9A00059</v>
      </c>
      <c r="I342" s="75" t="str">
        <f>IF(LS[[#This Row],[B/S]]="B","BUY",(IF(LS[[#This Row],[B/S]]="S","SELL"," ")))</f>
        <v>BUY</v>
      </c>
      <c r="J342" s="75" t="s">
        <v>1229</v>
      </c>
      <c r="K342" s="88">
        <v>500000</v>
      </c>
      <c r="L342" s="88"/>
      <c r="M342" s="89">
        <f>LS[[#This Row],[Amount]]/LS[[#This Row],[Unit]]</f>
        <v>10.743908204048305</v>
      </c>
      <c r="N342" s="90">
        <f>LS[[#This Row],[Unit Capital]]/10</f>
        <v>46538</v>
      </c>
      <c r="O342" s="90">
        <f>SUMIFS(LS[[#Headers],[Unit]]:LS[[#This Row],[Unit]],LS[[#Headers],[Investor ID]]:LS[[#This Row],[Investor ID]],LS[[#This Row],[Investor ID]])</f>
        <v>330872</v>
      </c>
      <c r="P342" s="96">
        <v>465380</v>
      </c>
      <c r="Q342" s="48">
        <f>LS[[#This Row],[Amount]]-LS[[#This Row],[Unit Capital]]</f>
        <v>34620</v>
      </c>
      <c r="R34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10.729224594405087</v>
      </c>
      <c r="S342" s="89">
        <f t="shared" si="5"/>
        <v>14.224</v>
      </c>
      <c r="T34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2" s="96" cm="1">
        <f t="array" ref="U342">IF(LS[[#This Row],[B/S]]="S",ABS(LS[[#This Row],[Unit]])*(INDEX(LS[NAV at Cost (Average)],MATCH(CONCATENATE((LS[[#This Row],[Frequency]]-1),LS[[#This Row],[Investor ID]]),LS[Unique Code],0),0)),0)</f>
        <v>0</v>
      </c>
      <c r="V342" s="96">
        <f>IF(LS[[#This Row],[BO TRANSFER]]="YES",LS[[#This Row],[Unit]],)</f>
        <v>0</v>
      </c>
      <c r="W342" s="96">
        <f>SUMIFS(LS[[#Headers],[BO UNIT TRANSFER]]:LS[[#This Row],[BO UNIT TRANSFER]],LS[[#Headers],[Investor ID]]:LS[[#This Row],[Investor ID]],LS[[#This Row],[Investor ID]])</f>
        <v>0</v>
      </c>
    </row>
    <row r="343" spans="1:23">
      <c r="A343" s="75">
        <v>2024</v>
      </c>
      <c r="B343" s="75">
        <v>2</v>
      </c>
      <c r="C343" s="75">
        <v>4</v>
      </c>
      <c r="D343" s="81">
        <f>DATE(LS[[#This Row],[Year]],LS[[#This Row],[Month]],LS[[#This Row],[Day]])</f>
        <v>45326</v>
      </c>
      <c r="E343" t="str" cm="1">
        <f t="array" ref="E343">INDEX(INVESTORS_LIST[INVESTOR NAME],MATCH(LS[[#This Row],[Investor ID]],INVESTORS_LIST[INVESTOR CODE],0),)</f>
        <v>JNANDIP PAUL</v>
      </c>
      <c r="F343" s="83" t="s">
        <v>230</v>
      </c>
      <c r="G343" s="75">
        <f>COUNTIF(LS[[#Headers],[Investor ID]]:LS[[#This Row],[Investor ID]],LS[[#This Row],[Investor ID]])</f>
        <v>4</v>
      </c>
      <c r="H343" s="75" t="str">
        <f>CONCATENATE(LS[[#This Row],[Frequency]],LS[[#This Row],[Investor ID]])</f>
        <v>4A00091</v>
      </c>
      <c r="I343" s="75" t="str">
        <f>IF(LS[[#This Row],[B/S]]="B","BUY",(IF(LS[[#This Row],[B/S]]="S","SELL"," ")))</f>
        <v>BUY</v>
      </c>
      <c r="J343" s="75" t="s">
        <v>1229</v>
      </c>
      <c r="K343" s="88">
        <v>10011.450000000001</v>
      </c>
      <c r="L343" s="88"/>
      <c r="M343" s="89">
        <f>LS[[#This Row],[Amount]]/LS[[#This Row],[Unit]]</f>
        <v>10.765000000000001</v>
      </c>
      <c r="N343" s="90">
        <f>LS[[#This Row],[Unit Capital]]/10</f>
        <v>930</v>
      </c>
      <c r="O343" s="90">
        <f>SUMIFS(LS[[#Headers],[Unit]]:LS[[#This Row],[Unit]],LS[[#Headers],[Investor ID]]:LS[[#This Row],[Investor ID]],LS[[#This Row],[Investor ID]])</f>
        <v>10447</v>
      </c>
      <c r="P343" s="96">
        <v>9300</v>
      </c>
      <c r="Q343" s="48">
        <f>LS[[#This Row],[Amount]]-LS[[#This Row],[Unit Capital]]</f>
        <v>711.45000000000073</v>
      </c>
      <c r="R34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10.068100890207715</v>
      </c>
      <c r="S343" s="89">
        <f t="shared" si="5"/>
        <v>14.224</v>
      </c>
      <c r="T34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3" s="96" cm="1">
        <f t="array" ref="U343">IF(LS[[#This Row],[B/S]]="S",ABS(LS[[#This Row],[Unit]])*(INDEX(LS[NAV at Cost (Average)],MATCH(CONCATENATE((LS[[#This Row],[Frequency]]-1),LS[[#This Row],[Investor ID]]),LS[Unique Code],0),0)),0)</f>
        <v>0</v>
      </c>
      <c r="V343" s="96">
        <f>IF(LS[[#This Row],[BO TRANSFER]]="YES",LS[[#This Row],[Unit]],)</f>
        <v>0</v>
      </c>
      <c r="W343" s="96">
        <f>SUMIFS(LS[[#Headers],[BO UNIT TRANSFER]]:LS[[#This Row],[BO UNIT TRANSFER]],LS[[#Headers],[Investor ID]]:LS[[#This Row],[Investor ID]],LS[[#This Row],[Investor ID]])</f>
        <v>0</v>
      </c>
    </row>
    <row r="344" spans="1:23">
      <c r="A344" s="75">
        <v>2024</v>
      </c>
      <c r="B344" s="75">
        <v>2</v>
      </c>
      <c r="C344" s="75">
        <v>4</v>
      </c>
      <c r="D344" s="81">
        <f>DATE(LS[[#This Row],[Year]],LS[[#This Row],[Month]],LS[[#This Row],[Day]])</f>
        <v>45326</v>
      </c>
      <c r="E344" t="str" cm="1">
        <f t="array" ref="E344">INDEX(INVESTORS_LIST[INVESTOR NAME],MATCH(LS[[#This Row],[Investor ID]],INVESTORS_LIST[INVESTOR CODE],0),)</f>
        <v>KAZI AHSAN MARUF</v>
      </c>
      <c r="F344" s="83" t="s">
        <v>158</v>
      </c>
      <c r="G344" s="75">
        <f>COUNTIF(LS[[#Headers],[Investor ID]]:LS[[#This Row],[Investor ID]],LS[[#This Row],[Investor ID]])</f>
        <v>1</v>
      </c>
      <c r="H344" s="75" t="str">
        <f>CONCATENATE(LS[[#This Row],[Frequency]],LS[[#This Row],[Investor ID]])</f>
        <v>1A00055</v>
      </c>
      <c r="I344" s="75" t="str">
        <f>IF(LS[[#This Row],[B/S]]="B","BUY",(IF(LS[[#This Row],[B/S]]="S","SELL"," ")))</f>
        <v>BUY</v>
      </c>
      <c r="J344" s="75" t="s">
        <v>1229</v>
      </c>
      <c r="K344" s="88">
        <v>800000</v>
      </c>
      <c r="L344" s="88"/>
      <c r="M344" s="89">
        <f>LS[[#This Row],[Amount]]/LS[[#This Row],[Unit]]</f>
        <v>10.764986880172239</v>
      </c>
      <c r="N344" s="90">
        <f>LS[[#This Row],[Unit Capital]]/10</f>
        <v>74315</v>
      </c>
      <c r="O344" s="90">
        <f>SUMIFS(LS[[#Headers],[Unit]]:LS[[#This Row],[Unit]],LS[[#Headers],[Investor ID]]:LS[[#This Row],[Investor ID]],LS[[#This Row],[Investor ID]])</f>
        <v>74315</v>
      </c>
      <c r="P344" s="96">
        <v>743150</v>
      </c>
      <c r="Q344" s="48">
        <f>LS[[#This Row],[Amount]]-LS[[#This Row],[Unit Capital]]</f>
        <v>56850</v>
      </c>
      <c r="R34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10.764986880172239</v>
      </c>
      <c r="S344" s="89">
        <f t="shared" si="5"/>
        <v>14.224</v>
      </c>
      <c r="T34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4" s="96" cm="1">
        <f t="array" ref="U344">IF(LS[[#This Row],[B/S]]="S",ABS(LS[[#This Row],[Unit]])*(INDEX(LS[NAV at Cost (Average)],MATCH(CONCATENATE((LS[[#This Row],[Frequency]]-1),LS[[#This Row],[Investor ID]]),LS[Unique Code],0),0)),0)</f>
        <v>0</v>
      </c>
      <c r="V344" s="96">
        <f>IF(LS[[#This Row],[BO TRANSFER]]="YES",LS[[#This Row],[Unit]],)</f>
        <v>0</v>
      </c>
      <c r="W344" s="96">
        <f>SUMIFS(LS[[#Headers],[BO UNIT TRANSFER]]:LS[[#This Row],[BO UNIT TRANSFER]],LS[[#Headers],[Investor ID]]:LS[[#This Row],[Investor ID]],LS[[#This Row],[Investor ID]])</f>
        <v>0</v>
      </c>
    </row>
    <row r="345" spans="1:23">
      <c r="A345" s="75">
        <v>2024</v>
      </c>
      <c r="B345" s="75">
        <v>2</v>
      </c>
      <c r="C345" s="75">
        <v>5</v>
      </c>
      <c r="D345" s="81">
        <f>DATE(LS[[#This Row],[Year]],LS[[#This Row],[Month]],LS[[#This Row],[Day]])</f>
        <v>45327</v>
      </c>
      <c r="E345" t="str" cm="1">
        <f t="array" ref="E345">INDEX(INVESTORS_LIST[INVESTOR NAME],MATCH(LS[[#This Row],[Investor ID]],INVESTORS_LIST[INVESTOR CODE],0),)</f>
        <v>FAIYEAD AHMEDUL HYE</v>
      </c>
      <c r="F345" s="83" t="s">
        <v>368</v>
      </c>
      <c r="G345" s="75">
        <f>COUNTIF(LS[[#Headers],[Investor ID]]:LS[[#This Row],[Investor ID]],LS[[#This Row],[Investor ID]])</f>
        <v>8</v>
      </c>
      <c r="H345" s="75" t="str">
        <f>CONCATENATE(LS[[#This Row],[Frequency]],LS[[#This Row],[Investor ID]])</f>
        <v>8A00160</v>
      </c>
      <c r="I345" s="75" t="str">
        <f>IF(LS[[#This Row],[B/S]]="B","BUY",(IF(LS[[#This Row],[B/S]]="S","SELL"," ")))</f>
        <v>BUY</v>
      </c>
      <c r="J345" s="75" t="s">
        <v>1229</v>
      </c>
      <c r="K345" s="88">
        <v>15000</v>
      </c>
      <c r="L345" s="88"/>
      <c r="M345" s="89">
        <f>LS[[#This Row],[Amount]]/LS[[#This Row],[Unit]]</f>
        <v>10.768126346015793</v>
      </c>
      <c r="N345" s="90">
        <f>LS[[#This Row],[Unit Capital]]/10</f>
        <v>1393</v>
      </c>
      <c r="O345" s="90">
        <f>SUMIFS(LS[[#Headers],[Unit]]:LS[[#This Row],[Unit]],LS[[#Headers],[Investor ID]]:LS[[#This Row],[Investor ID]],LS[[#This Row],[Investor ID]])</f>
        <v>38497</v>
      </c>
      <c r="P345" s="96">
        <v>13930</v>
      </c>
      <c r="Q345" s="48">
        <f>LS[[#This Row],[Amount]]-LS[[#This Row],[Unit Capital]]</f>
        <v>1070</v>
      </c>
      <c r="R34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10.4683481829753</v>
      </c>
      <c r="S345" s="89">
        <f t="shared" si="5"/>
        <v>14.224</v>
      </c>
      <c r="T34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5" s="96" cm="1">
        <f t="array" ref="U345">IF(LS[[#This Row],[B/S]]="S",ABS(LS[[#This Row],[Unit]])*(INDEX(LS[NAV at Cost (Average)],MATCH(CONCATENATE((LS[[#This Row],[Frequency]]-1),LS[[#This Row],[Investor ID]]),LS[Unique Code],0),0)),0)</f>
        <v>0</v>
      </c>
      <c r="V345" s="96">
        <f>IF(LS[[#This Row],[BO TRANSFER]]="YES",LS[[#This Row],[Unit]],)</f>
        <v>0</v>
      </c>
      <c r="W345" s="96">
        <f>SUMIFS(LS[[#Headers],[BO UNIT TRANSFER]]:LS[[#This Row],[BO UNIT TRANSFER]],LS[[#Headers],[Investor ID]]:LS[[#This Row],[Investor ID]],LS[[#This Row],[Investor ID]])</f>
        <v>0</v>
      </c>
    </row>
    <row r="346" spans="1:23">
      <c r="A346" s="75">
        <v>2024</v>
      </c>
      <c r="B346" s="75">
        <v>2</v>
      </c>
      <c r="C346" s="75">
        <v>5</v>
      </c>
      <c r="D346" s="81">
        <f>DATE(LS[[#This Row],[Year]],LS[[#This Row],[Month]],LS[[#This Row],[Day]])</f>
        <v>45327</v>
      </c>
      <c r="E346" t="str" cm="1">
        <f t="array" ref="E346">INDEX(INVESTORS_LIST[INVESTOR NAME],MATCH(LS[[#This Row],[Investor ID]],INVESTORS_LIST[INVESTOR CODE],0),)</f>
        <v>TAJDIKUL ALAM</v>
      </c>
      <c r="F346" s="83" t="s">
        <v>1099</v>
      </c>
      <c r="G346" s="75">
        <f>COUNTIF(LS[[#Headers],[Investor ID]]:LS[[#This Row],[Investor ID]],LS[[#This Row],[Investor ID]])</f>
        <v>3</v>
      </c>
      <c r="H346" s="75" t="str">
        <f>CONCATENATE(LS[[#This Row],[Frequency]],LS[[#This Row],[Investor ID]])</f>
        <v>3A00526</v>
      </c>
      <c r="I346" s="75" t="str">
        <f>IF(LS[[#This Row],[B/S]]="B","BUY",(IF(LS[[#This Row],[B/S]]="S","SELL"," ")))</f>
        <v>BUY</v>
      </c>
      <c r="J346" s="75" t="s">
        <v>1229</v>
      </c>
      <c r="K346" s="88">
        <v>200000</v>
      </c>
      <c r="L346" s="88"/>
      <c r="M346" s="89">
        <f>LS[[#This Row],[Amount]]/LS[[#This Row],[Unit]]</f>
        <v>10.764842025943269</v>
      </c>
      <c r="N346" s="90">
        <f>LS[[#This Row],[Unit Capital]]/10</f>
        <v>18579</v>
      </c>
      <c r="O346" s="90">
        <f>SUMIFS(LS[[#Headers],[Unit]]:LS[[#This Row],[Unit]],LS[[#Headers],[Investor ID]]:LS[[#This Row],[Investor ID]],LS[[#This Row],[Investor ID]])</f>
        <v>46502</v>
      </c>
      <c r="P346" s="96">
        <v>185790</v>
      </c>
      <c r="Q346" s="48">
        <f>LS[[#This Row],[Amount]]-LS[[#This Row],[Unit Capital]]</f>
        <v>14210</v>
      </c>
      <c r="R34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10.752225710722119</v>
      </c>
      <c r="S346" s="89">
        <f t="shared" si="5"/>
        <v>14.224</v>
      </c>
      <c r="T34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6" s="96" cm="1">
        <f t="array" ref="U346">IF(LS[[#This Row],[B/S]]="S",ABS(LS[[#This Row],[Unit]])*(INDEX(LS[NAV at Cost (Average)],MATCH(CONCATENATE((LS[[#This Row],[Frequency]]-1),LS[[#This Row],[Investor ID]]),LS[Unique Code],0),0)),0)</f>
        <v>0</v>
      </c>
      <c r="V346" s="96">
        <f>IF(LS[[#This Row],[BO TRANSFER]]="YES",LS[[#This Row],[Unit]],)</f>
        <v>0</v>
      </c>
      <c r="W346" s="96">
        <f>SUMIFS(LS[[#Headers],[BO UNIT TRANSFER]]:LS[[#This Row],[BO UNIT TRANSFER]],LS[[#Headers],[Investor ID]]:LS[[#This Row],[Investor ID]],LS[[#This Row],[Investor ID]])</f>
        <v>0</v>
      </c>
    </row>
    <row r="347" spans="1:23">
      <c r="A347" s="75">
        <v>2024</v>
      </c>
      <c r="B347" s="75">
        <v>2</v>
      </c>
      <c r="C347" s="75">
        <v>8</v>
      </c>
      <c r="D347" s="81">
        <f>DATE(LS[[#This Row],[Year]],LS[[#This Row],[Month]],LS[[#This Row],[Day]])</f>
        <v>45330</v>
      </c>
      <c r="E347" t="str" cm="1">
        <f t="array" ref="E347">INDEX(INVESTORS_LIST[INVESTOR NAME],MATCH(LS[[#This Row],[Investor ID]],INVESTORS_LIST[INVESTOR CODE],0),)</f>
        <v>SRIJON GHOSH</v>
      </c>
      <c r="F347" s="83" t="s">
        <v>894</v>
      </c>
      <c r="G347" s="75">
        <f>COUNTIF(LS[[#Headers],[Investor ID]]:LS[[#This Row],[Investor ID]],LS[[#This Row],[Investor ID]])</f>
        <v>1</v>
      </c>
      <c r="H347" s="75" t="str">
        <f>CONCATENATE(LS[[#This Row],[Frequency]],LS[[#This Row],[Investor ID]])</f>
        <v>1A00424</v>
      </c>
      <c r="I347" s="75" t="str">
        <f>IF(LS[[#This Row],[B/S]]="B","BUY",(IF(LS[[#This Row],[B/S]]="S","SELL"," ")))</f>
        <v>BUY</v>
      </c>
      <c r="J347" s="75" t="s">
        <v>1229</v>
      </c>
      <c r="K347" s="88">
        <f>88.55+105</f>
        <v>193.55</v>
      </c>
      <c r="L347" s="88"/>
      <c r="M347" s="89">
        <f>LS[[#This Row],[Amount]]/LS[[#This Row],[Unit]]</f>
        <v>10.752777777777778</v>
      </c>
      <c r="N347" s="90">
        <f>LS[[#This Row],[Unit Capital]]/10</f>
        <v>18</v>
      </c>
      <c r="O347" s="90">
        <f>SUMIFS(LS[[#Headers],[Unit]]:LS[[#This Row],[Unit]],LS[[#Headers],[Investor ID]]:LS[[#This Row],[Investor ID]],LS[[#This Row],[Investor ID]])</f>
        <v>18</v>
      </c>
      <c r="P347" s="96">
        <v>180</v>
      </c>
      <c r="Q347" s="48">
        <f>LS[[#This Row],[Amount]]-LS[[#This Row],[Unit Capital]]</f>
        <v>13.550000000000011</v>
      </c>
      <c r="R34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10.752777777777778</v>
      </c>
      <c r="S347" s="89">
        <f t="shared" si="5"/>
        <v>14.224</v>
      </c>
      <c r="T34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7" s="96" cm="1">
        <f t="array" ref="U347">IF(LS[[#This Row],[B/S]]="S",ABS(LS[[#This Row],[Unit]])*(INDEX(LS[NAV at Cost (Average)],MATCH(CONCATENATE((LS[[#This Row],[Frequency]]-1),LS[[#This Row],[Investor ID]]),LS[Unique Code],0),0)),0)</f>
        <v>0</v>
      </c>
      <c r="V347" s="96">
        <f>IF(LS[[#This Row],[BO TRANSFER]]="YES",LS[[#This Row],[Unit]],)</f>
        <v>0</v>
      </c>
      <c r="W347" s="96">
        <f>SUMIFS(LS[[#Headers],[BO UNIT TRANSFER]]:LS[[#This Row],[BO UNIT TRANSFER]],LS[[#Headers],[Investor ID]]:LS[[#This Row],[Investor ID]],LS[[#This Row],[Investor ID]])</f>
        <v>0</v>
      </c>
    </row>
    <row r="348" spans="1:23">
      <c r="A348" s="75">
        <v>2024</v>
      </c>
      <c r="B348" s="75">
        <v>2</v>
      </c>
      <c r="C348" s="75">
        <v>8</v>
      </c>
      <c r="D348" s="81">
        <f>DATE(LS[[#This Row],[Year]],LS[[#This Row],[Month]],LS[[#This Row],[Day]])</f>
        <v>45330</v>
      </c>
      <c r="E348" t="str" cm="1">
        <f t="array" ref="E348">INDEX(INVESTORS_LIST[INVESTOR NAME],MATCH(LS[[#This Row],[Investor ID]],INVESTORS_LIST[INVESTOR CODE],0),)</f>
        <v>ASMA UL HUSNA</v>
      </c>
      <c r="F348" s="83" t="s">
        <v>324</v>
      </c>
      <c r="G348" s="75">
        <f>COUNTIF(LS[[#Headers],[Investor ID]]:LS[[#This Row],[Investor ID]],LS[[#This Row],[Investor ID]])</f>
        <v>2</v>
      </c>
      <c r="H348" s="75" t="str">
        <f>CONCATENATE(LS[[#This Row],[Frequency]],LS[[#This Row],[Investor ID]])</f>
        <v>2A00138</v>
      </c>
      <c r="I348" s="75" t="str">
        <f>IF(LS[[#This Row],[B/S]]="B","BUY",(IF(LS[[#This Row],[B/S]]="S","SELL"," ")))</f>
        <v>BUY</v>
      </c>
      <c r="J348" s="75" t="s">
        <v>1229</v>
      </c>
      <c r="K348" s="88">
        <v>400000</v>
      </c>
      <c r="L348" s="88"/>
      <c r="M348" s="89">
        <f>LS[[#This Row],[Amount]]/LS[[#This Row],[Unit]]</f>
        <v>10.765131738299647</v>
      </c>
      <c r="N348" s="90">
        <f>LS[[#This Row],[Unit Capital]]/10</f>
        <v>37157</v>
      </c>
      <c r="O348" s="90">
        <f>SUMIFS(LS[[#Headers],[Unit]]:LS[[#This Row],[Unit]],LS[[#Headers],[Investor ID]]:LS[[#This Row],[Investor ID]],LS[[#This Row],[Investor ID]])</f>
        <v>186708</v>
      </c>
      <c r="P348" s="96">
        <v>371570</v>
      </c>
      <c r="Q348" s="48">
        <f>LS[[#This Row],[Amount]]-LS[[#This Row],[Unit Capital]]</f>
        <v>28430</v>
      </c>
      <c r="R34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10.176318100991924</v>
      </c>
      <c r="S348" s="89">
        <f t="shared" si="5"/>
        <v>14.224</v>
      </c>
      <c r="T34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8" s="96" cm="1">
        <f t="array" ref="U348">IF(LS[[#This Row],[B/S]]="S",ABS(LS[[#This Row],[Unit]])*(INDEX(LS[NAV at Cost (Average)],MATCH(CONCATENATE((LS[[#This Row],[Frequency]]-1),LS[[#This Row],[Investor ID]]),LS[Unique Code],0),0)),0)</f>
        <v>0</v>
      </c>
      <c r="V348" s="96">
        <f>IF(LS[[#This Row],[BO TRANSFER]]="YES",LS[[#This Row],[Unit]],)</f>
        <v>0</v>
      </c>
      <c r="W348" s="96">
        <f>SUMIFS(LS[[#Headers],[BO UNIT TRANSFER]]:LS[[#This Row],[BO UNIT TRANSFER]],LS[[#Headers],[Investor ID]]:LS[[#This Row],[Investor ID]],LS[[#This Row],[Investor ID]])</f>
        <v>0</v>
      </c>
    </row>
    <row r="349" spans="1:23">
      <c r="A349" s="75">
        <v>2024</v>
      </c>
      <c r="B349" s="75">
        <v>2</v>
      </c>
      <c r="C349" s="75">
        <v>8</v>
      </c>
      <c r="D349" s="81">
        <f>DATE(LS[[#This Row],[Year]],LS[[#This Row],[Month]],LS[[#This Row],[Day]])</f>
        <v>45330</v>
      </c>
      <c r="E349" t="str" cm="1">
        <f t="array" ref="E349">INDEX(INVESTORS_LIST[INVESTOR NAME],MATCH(LS[[#This Row],[Investor ID]],INVESTORS_LIST[INVESTOR CODE],0),)</f>
        <v>SYED FAZLE RABBY</v>
      </c>
      <c r="F349" s="83" t="s">
        <v>166</v>
      </c>
      <c r="G349" s="75">
        <f>COUNTIF(LS[[#Headers],[Investor ID]]:LS[[#This Row],[Investor ID]],LS[[#This Row],[Investor ID]])</f>
        <v>10</v>
      </c>
      <c r="H349" s="75" t="str">
        <f>CONCATENATE(LS[[#This Row],[Frequency]],LS[[#This Row],[Investor ID]])</f>
        <v>10A00059</v>
      </c>
      <c r="I349" s="75" t="str">
        <f>IF(LS[[#This Row],[B/S]]="B","BUY",(IF(LS[[#This Row],[B/S]]="S","SELL"," ")))</f>
        <v>BUY</v>
      </c>
      <c r="J349" s="75" t="s">
        <v>1229</v>
      </c>
      <c r="K349" s="88">
        <v>100000</v>
      </c>
      <c r="L349" s="88"/>
      <c r="M349" s="89">
        <f>LS[[#This Row],[Amount]]/LS[[#This Row],[Unit]]</f>
        <v>10.765421466250404</v>
      </c>
      <c r="N349" s="90">
        <f>LS[[#This Row],[Unit Capital]]/10</f>
        <v>9289</v>
      </c>
      <c r="O349" s="90">
        <f>SUMIFS(LS[[#Headers],[Unit]]:LS[[#This Row],[Unit]],LS[[#Headers],[Investor ID]]:LS[[#This Row],[Investor ID]],LS[[#This Row],[Investor ID]])</f>
        <v>340161</v>
      </c>
      <c r="P349" s="96">
        <v>92890</v>
      </c>
      <c r="Q349" s="48">
        <f>LS[[#This Row],[Amount]]-LS[[#This Row],[Unit Capital]]</f>
        <v>7110</v>
      </c>
      <c r="R34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10.730213046175194</v>
      </c>
      <c r="S349" s="89">
        <f t="shared" si="5"/>
        <v>14.224</v>
      </c>
      <c r="T34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49" s="96" cm="1">
        <f t="array" ref="U349">IF(LS[[#This Row],[B/S]]="S",ABS(LS[[#This Row],[Unit]])*(INDEX(LS[NAV at Cost (Average)],MATCH(CONCATENATE((LS[[#This Row],[Frequency]]-1),LS[[#This Row],[Investor ID]]),LS[Unique Code],0),0)),0)</f>
        <v>0</v>
      </c>
      <c r="V349" s="96">
        <f>IF(LS[[#This Row],[BO TRANSFER]]="YES",LS[[#This Row],[Unit]],)</f>
        <v>0</v>
      </c>
      <c r="W349" s="96">
        <f>SUMIFS(LS[[#Headers],[BO UNIT TRANSFER]]:LS[[#This Row],[BO UNIT TRANSFER]],LS[[#Headers],[Investor ID]]:LS[[#This Row],[Investor ID]],LS[[#This Row],[Investor ID]])</f>
        <v>0</v>
      </c>
    </row>
    <row r="350" spans="1:23">
      <c r="A350" s="75">
        <v>2024</v>
      </c>
      <c r="B350" s="75">
        <v>2</v>
      </c>
      <c r="C350" s="75">
        <v>11</v>
      </c>
      <c r="D350" s="81">
        <f>DATE(LS[[#This Row],[Year]],LS[[#This Row],[Month]],LS[[#This Row],[Day]])</f>
        <v>45333</v>
      </c>
      <c r="E350" t="str" cm="1">
        <f t="array" ref="E350">INDEX(INVESTORS_LIST[INVESTOR NAME],MATCH(LS[[#This Row],[Investor ID]],INVESTORS_LIST[INVESTOR CODE],0),)</f>
        <v>A.K.M REZAUL KARIM</v>
      </c>
      <c r="F350" s="83" t="s">
        <v>998</v>
      </c>
      <c r="G350" s="75">
        <f>COUNTIF(LS[[#Headers],[Investor ID]]:LS[[#This Row],[Investor ID]],LS[[#This Row],[Investor ID]])</f>
        <v>2</v>
      </c>
      <c r="H350" s="75" t="str">
        <f>CONCATENATE(LS[[#This Row],[Frequency]],LS[[#This Row],[Investor ID]])</f>
        <v>2A00476</v>
      </c>
      <c r="I350" s="75" t="str">
        <f>IF(LS[[#This Row],[B/S]]="B","BUY",(IF(LS[[#This Row],[B/S]]="S","SELL"," ")))</f>
        <v>SELL</v>
      </c>
      <c r="J350" s="75" t="s">
        <v>1231</v>
      </c>
      <c r="K350" s="88">
        <v>-500000</v>
      </c>
      <c r="L350" s="88"/>
      <c r="M350" s="89">
        <f>LS[[#This Row],[Amount]]/LS[[#This Row],[Unit]]</f>
        <v>10.786090258003279</v>
      </c>
      <c r="N350" s="90">
        <f>LS[[#This Row],[Unit Capital]]/10</f>
        <v>-46356</v>
      </c>
      <c r="O350" s="90">
        <f>SUMIFS(LS[[#Headers],[Unit]]:LS[[#This Row],[Unit]],LS[[#Headers],[Investor ID]]:LS[[#This Row],[Investor ID]],LS[[#This Row],[Investor ID]])</f>
        <v>52400</v>
      </c>
      <c r="P350" s="96">
        <v>-463560</v>
      </c>
      <c r="Q350" s="48">
        <f>LS[[#This Row],[Amount]]-LS[[#This Row],[Unit Capital]]</f>
        <v>-36440</v>
      </c>
      <c r="R35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10.125967029851351</v>
      </c>
      <c r="S350" s="89">
        <f t="shared" si="5"/>
        <v>14.224</v>
      </c>
      <c r="T350" s="96">
        <f>IF(LS[[#This Row],[B/S]]="B",0,ABS(LS[[#This Row],[Unit]])*(LS[[#This Row],[NAV (Strike Rate)]]-INDEX(LS[NAV at Cost (Average)],MATCH(CONCATENATE(LS[[#This Row],[Frequency]]-1,LS[[#This Row],[Investor ID]]),LS[Unique Code],0),)))</f>
        <v>30600.672364210775</v>
      </c>
      <c r="U350" s="96" cm="1">
        <f t="array" ref="U350">IF(LS[[#This Row],[B/S]]="S",ABS(LS[[#This Row],[Unit]])*(INDEX(LS[NAV at Cost (Average)],MATCH(CONCATENATE((LS[[#This Row],[Frequency]]-1),LS[[#This Row],[Investor ID]]),LS[Unique Code],0),0)),0)</f>
        <v>469399.32763578923</v>
      </c>
      <c r="V350" s="96">
        <f>IF(LS[[#This Row],[BO TRANSFER]]="YES",LS[[#This Row],[Unit]],)</f>
        <v>0</v>
      </c>
      <c r="W350" s="96">
        <f>SUMIFS(LS[[#Headers],[BO UNIT TRANSFER]]:LS[[#This Row],[BO UNIT TRANSFER]],LS[[#Headers],[Investor ID]]:LS[[#This Row],[Investor ID]],LS[[#This Row],[Investor ID]])</f>
        <v>0</v>
      </c>
    </row>
    <row r="351" spans="1:23">
      <c r="A351" s="75">
        <v>2024</v>
      </c>
      <c r="B351" s="75">
        <v>2</v>
      </c>
      <c r="C351" s="75">
        <v>13</v>
      </c>
      <c r="D351" s="81">
        <f>DATE(LS[[#This Row],[Year]],LS[[#This Row],[Month]],LS[[#This Row],[Day]])</f>
        <v>45335</v>
      </c>
      <c r="E351" t="str" cm="1">
        <f t="array" ref="E351">INDEX(INVESTORS_LIST[INVESTOR NAME],MATCH(LS[[#This Row],[Investor ID]],INVESTORS_LIST[INVESTOR CODE],0),)</f>
        <v>MD. MAHMUDUL KABIR</v>
      </c>
      <c r="F351" s="83" t="s">
        <v>938</v>
      </c>
      <c r="G351" s="75">
        <f>COUNTIF(LS[[#Headers],[Investor ID]]:LS[[#This Row],[Investor ID]],LS[[#This Row],[Investor ID]])</f>
        <v>2</v>
      </c>
      <c r="H351" s="75" t="str">
        <f>CONCATENATE(LS[[#This Row],[Frequency]],LS[[#This Row],[Investor ID]])</f>
        <v>2A00446</v>
      </c>
      <c r="I351" s="75" t="str">
        <f>IF(LS[[#This Row],[B/S]]="B","BUY",(IF(LS[[#This Row],[B/S]]="S","SELL"," ")))</f>
        <v>SELL</v>
      </c>
      <c r="J351" s="75" t="s">
        <v>1231</v>
      </c>
      <c r="K351" s="88">
        <v>-539300</v>
      </c>
      <c r="L351" s="88"/>
      <c r="M351" s="89">
        <f>LS[[#This Row],[Amount]]/LS[[#This Row],[Unit]]</f>
        <v>10.786</v>
      </c>
      <c r="N351" s="90">
        <f>LS[[#This Row],[Unit Capital]]/10</f>
        <v>-50000</v>
      </c>
      <c r="O351" s="90">
        <f>SUMIFS(LS[[#Headers],[Unit]]:LS[[#This Row],[Unit]],LS[[#Headers],[Investor ID]]:LS[[#This Row],[Investor ID]],LS[[#This Row],[Investor ID]])</f>
        <v>50000</v>
      </c>
      <c r="P351" s="96">
        <v>-500000</v>
      </c>
      <c r="Q351" s="48">
        <f>LS[[#This Row],[Amount]]-LS[[#This Row],[Unit Capital]]</f>
        <v>-39300</v>
      </c>
      <c r="R35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351" s="89">
        <f t="shared" si="5"/>
        <v>14.224</v>
      </c>
      <c r="T351" s="96">
        <f>IF(LS[[#This Row],[B/S]]="B",0,ABS(LS[[#This Row],[Unit]])*(LS[[#This Row],[NAV (Strike Rate)]]-INDEX(LS[NAV at Cost (Average)],MATCH(CONCATENATE(LS[[#This Row],[Frequency]]-1,LS[[#This Row],[Investor ID]]),LS[Unique Code],0),)))</f>
        <v>39299.999999999978</v>
      </c>
      <c r="U351" s="96" cm="1">
        <f t="array" ref="U351">IF(LS[[#This Row],[B/S]]="S",ABS(LS[[#This Row],[Unit]])*(INDEX(LS[NAV at Cost (Average)],MATCH(CONCATENATE((LS[[#This Row],[Frequency]]-1),LS[[#This Row],[Investor ID]]),LS[Unique Code],0),0)),0)</f>
        <v>500000</v>
      </c>
      <c r="V351" s="96">
        <f>IF(LS[[#This Row],[BO TRANSFER]]="YES",LS[[#This Row],[Unit]],)</f>
        <v>0</v>
      </c>
      <c r="W351" s="96">
        <f>SUMIFS(LS[[#Headers],[BO UNIT TRANSFER]]:LS[[#This Row],[BO UNIT TRANSFER]],LS[[#Headers],[Investor ID]]:LS[[#This Row],[Investor ID]],LS[[#This Row],[Investor ID]])</f>
        <v>0</v>
      </c>
    </row>
    <row r="352" spans="1:23">
      <c r="A352" s="75">
        <v>2024</v>
      </c>
      <c r="B352" s="75">
        <v>2</v>
      </c>
      <c r="C352" s="75">
        <v>11</v>
      </c>
      <c r="D352" s="81">
        <f>DATE(LS[[#This Row],[Year]],LS[[#This Row],[Month]],LS[[#This Row],[Day]])</f>
        <v>45333</v>
      </c>
      <c r="E352" t="str" cm="1">
        <f t="array" ref="E352">INDEX(INVESTORS_LIST[INVESTOR NAME],MATCH(LS[[#This Row],[Investor ID]],INVESTORS_LIST[INVESTOR CODE],0),)</f>
        <v>SYED FAZLE RABBY</v>
      </c>
      <c r="F352" s="83" t="s">
        <v>166</v>
      </c>
      <c r="G352" s="75">
        <f>COUNTIF(LS[[#Headers],[Investor ID]]:LS[[#This Row],[Investor ID]],LS[[#This Row],[Investor ID]])</f>
        <v>11</v>
      </c>
      <c r="H352" s="75" t="str">
        <f>CONCATENATE(LS[[#This Row],[Frequency]],LS[[#This Row],[Investor ID]])</f>
        <v>11A00059</v>
      </c>
      <c r="I352" s="75" t="str">
        <f>IF(LS[[#This Row],[B/S]]="B","BUY",(IF(LS[[#This Row],[B/S]]="S","SELL"," ")))</f>
        <v>BUY</v>
      </c>
      <c r="J352" s="75" t="s">
        <v>1229</v>
      </c>
      <c r="K352" s="88">
        <v>300000</v>
      </c>
      <c r="L352" s="88"/>
      <c r="M352" s="89">
        <f>LS[[#This Row],[Amount]]/LS[[#This Row],[Unit]]</f>
        <v>10.785935140576688</v>
      </c>
      <c r="N352" s="90">
        <f>LS[[#This Row],[Unit Capital]]/10</f>
        <v>27814</v>
      </c>
      <c r="O352" s="90">
        <f>SUMIFS(LS[[#Headers],[Unit]]:LS[[#This Row],[Unit]],LS[[#Headers],[Investor ID]]:LS[[#This Row],[Investor ID]],LS[[#This Row],[Investor ID]])</f>
        <v>367975</v>
      </c>
      <c r="P352" s="96">
        <v>278140</v>
      </c>
      <c r="Q352" s="48">
        <f>LS[[#This Row],[Amount]]-LS[[#This Row],[Unit Capital]]</f>
        <v>21860</v>
      </c>
      <c r="R35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10.734424892995447</v>
      </c>
      <c r="S352" s="89">
        <f t="shared" si="5"/>
        <v>14.224</v>
      </c>
      <c r="T35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52" s="96" cm="1">
        <f t="array" ref="U352">IF(LS[[#This Row],[B/S]]="S",ABS(LS[[#This Row],[Unit]])*(INDEX(LS[NAV at Cost (Average)],MATCH(CONCATENATE((LS[[#This Row],[Frequency]]-1),LS[[#This Row],[Investor ID]]),LS[Unique Code],0),0)),0)</f>
        <v>0</v>
      </c>
      <c r="V352" s="96">
        <f>IF(LS[[#This Row],[BO TRANSFER]]="YES",LS[[#This Row],[Unit]],)</f>
        <v>0</v>
      </c>
      <c r="W352" s="96">
        <f>SUMIFS(LS[[#Headers],[BO UNIT TRANSFER]]:LS[[#This Row],[BO UNIT TRANSFER]],LS[[#Headers],[Investor ID]]:LS[[#This Row],[Investor ID]],LS[[#This Row],[Investor ID]])</f>
        <v>0</v>
      </c>
    </row>
    <row r="353" spans="1:23">
      <c r="A353" s="75">
        <v>2024</v>
      </c>
      <c r="B353" s="75">
        <v>2</v>
      </c>
      <c r="C353" s="75">
        <v>15</v>
      </c>
      <c r="D353" s="81">
        <f>DATE(LS[[#This Row],[Year]],LS[[#This Row],[Month]],LS[[#This Row],[Day]])</f>
        <v>45337</v>
      </c>
      <c r="E353" t="str" cm="1">
        <f t="array" ref="E353">INDEX(INVESTORS_LIST[INVESTOR NAME],MATCH(LS[[#This Row],[Investor ID]],INVESTORS_LIST[INVESTOR CODE],0),)</f>
        <v>MAHMUD ALI ALAMGIR</v>
      </c>
      <c r="F353" s="83" t="s">
        <v>451</v>
      </c>
      <c r="G353" s="75">
        <f>COUNTIF(LS[[#Headers],[Investor ID]]:LS[[#This Row],[Investor ID]],LS[[#This Row],[Investor ID]])</f>
        <v>5</v>
      </c>
      <c r="H353" s="75" t="str">
        <f>CONCATENATE(LS[[#This Row],[Frequency]],LS[[#This Row],[Investor ID]])</f>
        <v>5A00201</v>
      </c>
      <c r="I353" s="75" t="str">
        <f>IF(LS[[#This Row],[B/S]]="B","BUY",(IF(LS[[#This Row],[B/S]]="S","SELL"," ")))</f>
        <v>SELL</v>
      </c>
      <c r="J353" s="75" t="s">
        <v>1231</v>
      </c>
      <c r="K353" s="88">
        <v>-3000000</v>
      </c>
      <c r="L353" s="88"/>
      <c r="M353" s="89">
        <f>LS[[#This Row],[Amount]]/LS[[#This Row],[Unit]]</f>
        <v>10.786012698732284</v>
      </c>
      <c r="N353" s="90">
        <f>LS[[#This Row],[Unit Capital]]/10</f>
        <v>-278138</v>
      </c>
      <c r="O353" s="90">
        <f>SUMIFS(LS[[#Headers],[Unit]]:LS[[#This Row],[Unit]],LS[[#Headers],[Investor ID]]:LS[[#This Row],[Investor ID]],LS[[#This Row],[Investor ID]])</f>
        <v>54586</v>
      </c>
      <c r="P353" s="96">
        <v>-2781380</v>
      </c>
      <c r="Q353" s="48">
        <f>LS[[#This Row],[Amount]]-LS[[#This Row],[Unit Capital]]</f>
        <v>-218620</v>
      </c>
      <c r="R35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10.60494927196866</v>
      </c>
      <c r="S353" s="89">
        <f t="shared" si="5"/>
        <v>14.224</v>
      </c>
      <c r="T353" s="96">
        <f>IF(LS[[#This Row],[B/S]]="B",0,ABS(LS[[#This Row],[Unit]])*(LS[[#This Row],[NAV (Strike Rate)]]-INDEX(LS[NAV at Cost (Average)],MATCH(CONCATENATE(LS[[#This Row],[Frequency]]-1,LS[[#This Row],[Investor ID]]),LS[Unique Code],0),)))</f>
        <v>50360.619393180721</v>
      </c>
      <c r="U353" s="96" cm="1">
        <f t="array" ref="U353">IF(LS[[#This Row],[B/S]]="S",ABS(LS[[#This Row],[Unit]])*(INDEX(LS[NAV at Cost (Average)],MATCH(CONCATENATE((LS[[#This Row],[Frequency]]-1),LS[[#This Row],[Investor ID]]),LS[Unique Code],0),0)),0)</f>
        <v>2949639.3806068194</v>
      </c>
      <c r="V353" s="96">
        <f>IF(LS[[#This Row],[BO TRANSFER]]="YES",LS[[#This Row],[Unit]],)</f>
        <v>0</v>
      </c>
      <c r="W353" s="96">
        <f>SUMIFS(LS[[#Headers],[BO UNIT TRANSFER]]:LS[[#This Row],[BO UNIT TRANSFER]],LS[[#Headers],[Investor ID]]:LS[[#This Row],[Investor ID]],LS[[#This Row],[Investor ID]])</f>
        <v>0</v>
      </c>
    </row>
    <row r="354" spans="1:23">
      <c r="A354" s="75">
        <v>2024</v>
      </c>
      <c r="B354" s="75">
        <v>2</v>
      </c>
      <c r="C354" s="75">
        <v>15</v>
      </c>
      <c r="D354" s="81">
        <f>DATE(LS[[#This Row],[Year]],LS[[#This Row],[Month]],LS[[#This Row],[Day]])</f>
        <v>45337</v>
      </c>
      <c r="E354" t="str" cm="1">
        <f t="array" ref="E354">INDEX(INVESTORS_LIST[INVESTOR NAME],MATCH(LS[[#This Row],[Investor ID]],INVESTORS_LIST[INVESTOR CODE],0),)</f>
        <v>SHAH MUNTASIN MUJTABA</v>
      </c>
      <c r="F354" s="83" t="s">
        <v>1103</v>
      </c>
      <c r="G354" s="75">
        <f>COUNTIF(LS[[#Headers],[Investor ID]]:LS[[#This Row],[Investor ID]],LS[[#This Row],[Investor ID]])</f>
        <v>1</v>
      </c>
      <c r="H354" s="75" t="str">
        <f>CONCATENATE(LS[[#This Row],[Frequency]],LS[[#This Row],[Investor ID]])</f>
        <v>1A00528</v>
      </c>
      <c r="I354" s="75" t="str">
        <f>IF(LS[[#This Row],[B/S]]="B","BUY",(IF(LS[[#This Row],[B/S]]="S","SELL"," ")))</f>
        <v>BUY</v>
      </c>
      <c r="J354" s="75" t="s">
        <v>1229</v>
      </c>
      <c r="K354" s="88">
        <v>3699598</v>
      </c>
      <c r="L354" s="88"/>
      <c r="M354" s="89">
        <f>LS[[#This Row],[Amount]]/LS[[#This Row],[Unit]]</f>
        <v>10.786</v>
      </c>
      <c r="N354" s="90">
        <f>LS[[#This Row],[Unit Capital]]/10</f>
        <v>343000</v>
      </c>
      <c r="O354" s="90">
        <f>SUMIFS(LS[[#Headers],[Unit]]:LS[[#This Row],[Unit]],LS[[#Headers],[Investor ID]]:LS[[#This Row],[Investor ID]],LS[[#This Row],[Investor ID]])</f>
        <v>343000</v>
      </c>
      <c r="P354" s="96">
        <v>3430000</v>
      </c>
      <c r="Q354" s="48">
        <f>LS[[#This Row],[Amount]]-LS[[#This Row],[Unit Capital]]</f>
        <v>269598</v>
      </c>
      <c r="R35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10.786</v>
      </c>
      <c r="S354" s="89">
        <f t="shared" si="5"/>
        <v>14.224</v>
      </c>
      <c r="T35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54" s="96" cm="1">
        <f t="array" ref="U354">IF(LS[[#This Row],[B/S]]="S",ABS(LS[[#This Row],[Unit]])*(INDEX(LS[NAV at Cost (Average)],MATCH(CONCATENATE((LS[[#This Row],[Frequency]]-1),LS[[#This Row],[Investor ID]]),LS[Unique Code],0),0)),0)</f>
        <v>0</v>
      </c>
      <c r="V354" s="96">
        <f>IF(LS[[#This Row],[BO TRANSFER]]="YES",LS[[#This Row],[Unit]],)</f>
        <v>0</v>
      </c>
      <c r="W354" s="96">
        <f>SUMIFS(LS[[#Headers],[BO UNIT TRANSFER]]:LS[[#This Row],[BO UNIT TRANSFER]],LS[[#Headers],[Investor ID]]:LS[[#This Row],[Investor ID]],LS[[#This Row],[Investor ID]])</f>
        <v>0</v>
      </c>
    </row>
    <row r="355" spans="1:23">
      <c r="A355" s="75">
        <v>2024</v>
      </c>
      <c r="B355" s="75">
        <v>2</v>
      </c>
      <c r="C355" s="75">
        <v>15</v>
      </c>
      <c r="D355" s="81">
        <f>DATE(LS[[#This Row],[Year]],LS[[#This Row],[Month]],LS[[#This Row],[Day]])</f>
        <v>45337</v>
      </c>
      <c r="E355" t="str" cm="1">
        <f t="array" ref="E355">INDEX(INVESTORS_LIST[INVESTOR NAME],MATCH(LS[[#This Row],[Investor ID]],INVESTORS_LIST[INVESTOR CODE],0),)</f>
        <v>ANJANA SAHA</v>
      </c>
      <c r="F355" s="83" t="s">
        <v>73</v>
      </c>
      <c r="G355" s="75">
        <f>COUNTIF(LS[[#Headers],[Investor ID]]:LS[[#This Row],[Investor ID]],LS[[#This Row],[Investor ID]])</f>
        <v>2</v>
      </c>
      <c r="H355" s="75" t="str">
        <f>CONCATENATE(LS[[#This Row],[Frequency]],LS[[#This Row],[Investor ID]])</f>
        <v>2A00014</v>
      </c>
      <c r="I355" s="75" t="str">
        <f>IF(LS[[#This Row],[B/S]]="B","BUY",(IF(LS[[#This Row],[B/S]]="S","SELL"," ")))</f>
        <v>BUY</v>
      </c>
      <c r="J355" s="75" t="s">
        <v>1229</v>
      </c>
      <c r="K355" s="88">
        <v>2500000</v>
      </c>
      <c r="L355" s="88"/>
      <c r="M355" s="89">
        <f>LS[[#This Row],[Amount]]/LS[[#This Row],[Unit]]</f>
        <v>10.785997187011933</v>
      </c>
      <c r="N355" s="90">
        <f>LS[[#This Row],[Unit Capital]]/10</f>
        <v>231782</v>
      </c>
      <c r="O355" s="90">
        <f>SUMIFS(LS[[#Headers],[Unit]]:LS[[#This Row],[Unit]],LS[[#Headers],[Investor ID]]:LS[[#This Row],[Investor ID]],LS[[#This Row],[Investor ID]])</f>
        <v>381782</v>
      </c>
      <c r="P355" s="96">
        <v>2317820</v>
      </c>
      <c r="Q355" s="48">
        <f>LS[[#This Row],[Amount]]-LS[[#This Row],[Unit Capital]]</f>
        <v>182180</v>
      </c>
      <c r="R35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10.477183314037855</v>
      </c>
      <c r="S355" s="89">
        <f t="shared" si="5"/>
        <v>14.224</v>
      </c>
      <c r="T35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55" s="96" cm="1">
        <f t="array" ref="U355">IF(LS[[#This Row],[B/S]]="S",ABS(LS[[#This Row],[Unit]])*(INDEX(LS[NAV at Cost (Average)],MATCH(CONCATENATE((LS[[#This Row],[Frequency]]-1),LS[[#This Row],[Investor ID]]),LS[Unique Code],0),0)),0)</f>
        <v>0</v>
      </c>
      <c r="V355" s="96">
        <f>IF(LS[[#This Row],[BO TRANSFER]]="YES",LS[[#This Row],[Unit]],)</f>
        <v>0</v>
      </c>
      <c r="W355" s="96">
        <f>SUMIFS(LS[[#Headers],[BO UNIT TRANSFER]]:LS[[#This Row],[BO UNIT TRANSFER]],LS[[#Headers],[Investor ID]]:LS[[#This Row],[Investor ID]],LS[[#This Row],[Investor ID]])</f>
        <v>0</v>
      </c>
    </row>
    <row r="356" spans="1:23">
      <c r="A356" s="75">
        <v>2024</v>
      </c>
      <c r="B356" s="75">
        <v>2</v>
      </c>
      <c r="C356" s="75">
        <v>18</v>
      </c>
      <c r="D356" s="81">
        <f>DATE(LS[[#This Row],[Year]],LS[[#This Row],[Month]],LS[[#This Row],[Day]])</f>
        <v>45340</v>
      </c>
      <c r="E356" t="str" cm="1">
        <f t="array" ref="E356">INDEX(INVESTORS_LIST[INVESTOR NAME],MATCH(LS[[#This Row],[Investor ID]],INVESTORS_LIST[INVESTOR CODE],0),)</f>
        <v>JNANDIP PAUL</v>
      </c>
      <c r="F356" s="83" t="s">
        <v>230</v>
      </c>
      <c r="G356" s="75">
        <f>COUNTIF(LS[[#Headers],[Investor ID]]:LS[[#This Row],[Investor ID]],LS[[#This Row],[Investor ID]])</f>
        <v>5</v>
      </c>
      <c r="H356" s="75" t="str">
        <f>CONCATENATE(LS[[#This Row],[Frequency]],LS[[#This Row],[Investor ID]])</f>
        <v>5A00091</v>
      </c>
      <c r="I356" s="75" t="str">
        <f>IF(LS[[#This Row],[B/S]]="B","BUY",(IF(LS[[#This Row],[B/S]]="S","SELL"," ")))</f>
        <v>SELL</v>
      </c>
      <c r="J356" s="75" t="s">
        <v>1231</v>
      </c>
      <c r="K356" s="88">
        <v>-50000</v>
      </c>
      <c r="L356" s="88"/>
      <c r="M356" s="89">
        <f>LS[[#This Row],[Amount]]/LS[[#This Row],[Unit]]</f>
        <v>10.810810810810811</v>
      </c>
      <c r="N356" s="90">
        <f>LS[[#This Row],[Unit Capital]]/10</f>
        <v>-4625</v>
      </c>
      <c r="O356" s="90">
        <f>SUMIFS(LS[[#Headers],[Unit]]:LS[[#This Row],[Unit]],LS[[#Headers],[Investor ID]]:LS[[#This Row],[Investor ID]],LS[[#This Row],[Investor ID]])</f>
        <v>5822</v>
      </c>
      <c r="P356" s="96">
        <v>-46250</v>
      </c>
      <c r="Q356" s="48">
        <f>LS[[#This Row],[Amount]]-LS[[#This Row],[Unit Capital]]</f>
        <v>-3750</v>
      </c>
      <c r="R35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10.068100890207715</v>
      </c>
      <c r="S356" s="89">
        <f t="shared" si="5"/>
        <v>14.224</v>
      </c>
      <c r="T356" s="96">
        <f>IF(LS[[#This Row],[B/S]]="B",0,ABS(LS[[#This Row],[Unit]])*(LS[[#This Row],[NAV (Strike Rate)]]-INDEX(LS[NAV at Cost (Average)],MATCH(CONCATENATE(LS[[#This Row],[Frequency]]-1,LS[[#This Row],[Investor ID]]),LS[Unique Code],0),)))</f>
        <v>3435.0333827893173</v>
      </c>
      <c r="U356" s="96" cm="1">
        <f t="array" ref="U356">IF(LS[[#This Row],[B/S]]="S",ABS(LS[[#This Row],[Unit]])*(INDEX(LS[NAV at Cost (Average)],MATCH(CONCATENATE((LS[[#This Row],[Frequency]]-1),LS[[#This Row],[Investor ID]]),LS[Unique Code],0),0)),0)</f>
        <v>46564.966617210681</v>
      </c>
      <c r="V356" s="96">
        <f>IF(LS[[#This Row],[BO TRANSFER]]="YES",LS[[#This Row],[Unit]],)</f>
        <v>0</v>
      </c>
      <c r="W356" s="96">
        <f>SUMIFS(LS[[#Headers],[BO UNIT TRANSFER]]:LS[[#This Row],[BO UNIT TRANSFER]],LS[[#Headers],[Investor ID]]:LS[[#This Row],[Investor ID]],LS[[#This Row],[Investor ID]])</f>
        <v>0</v>
      </c>
    </row>
    <row r="357" spans="1:23">
      <c r="A357" s="75">
        <v>2024</v>
      </c>
      <c r="B357" s="75">
        <v>2</v>
      </c>
      <c r="C357" s="75">
        <v>20</v>
      </c>
      <c r="D357" s="81">
        <f>DATE(LS[[#This Row],[Year]],LS[[#This Row],[Month]],LS[[#This Row],[Day]])</f>
        <v>45342</v>
      </c>
      <c r="E357" t="str" cm="1">
        <f t="array" ref="E357">INDEX(INVESTORS_LIST[INVESTOR NAME],MATCH(LS[[#This Row],[Investor ID]],INVESTORS_LIST[INVESTOR CODE],0),)</f>
        <v>FAKARUDDIN ALI AHMED</v>
      </c>
      <c r="F357" s="83" t="s">
        <v>228</v>
      </c>
      <c r="G357" s="75">
        <f>COUNTIF(LS[[#Headers],[Investor ID]]:LS[[#This Row],[Investor ID]],LS[[#This Row],[Investor ID]])</f>
        <v>5</v>
      </c>
      <c r="H357" s="75" t="str">
        <f>CONCATENATE(LS[[#This Row],[Frequency]],LS[[#This Row],[Investor ID]])</f>
        <v>5A00090</v>
      </c>
      <c r="I357" s="75" t="str">
        <f>IF(LS[[#This Row],[B/S]]="B","BUY",(IF(LS[[#This Row],[B/S]]="S","SELL"," ")))</f>
        <v>SELL</v>
      </c>
      <c r="J357" s="75" t="s">
        <v>1231</v>
      </c>
      <c r="K357" s="88">
        <v>-4280.7700000000004</v>
      </c>
      <c r="L357" s="88"/>
      <c r="M357" s="89">
        <f>LS[[#This Row],[Amount]]/LS[[#This Row],[Unit]]</f>
        <v>10.810025252525254</v>
      </c>
      <c r="N357" s="90">
        <f>LS[[#This Row],[Unit Capital]]/10</f>
        <v>-396</v>
      </c>
      <c r="O357" s="90">
        <f>SUMIFS(LS[[#Headers],[Unit]]:LS[[#This Row],[Unit]],LS[[#Headers],[Investor ID]]:LS[[#This Row],[Investor ID]],LS[[#This Row],[Investor ID]])</f>
        <v>0</v>
      </c>
      <c r="P357" s="96">
        <v>-3960</v>
      </c>
      <c r="Q357" s="48">
        <f>LS[[#This Row],[Amount]]-LS[[#This Row],[Unit Capital]]</f>
        <v>-320.77000000000044</v>
      </c>
      <c r="R35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57" s="89">
        <f t="shared" si="5"/>
        <v>14.224</v>
      </c>
      <c r="T357" s="96">
        <f>IF(LS[[#This Row],[B/S]]="B",0,ABS(LS[[#This Row],[Unit]])*(LS[[#This Row],[NAV (Strike Rate)]]-INDEX(LS[NAV at Cost (Average)],MATCH(CONCATENATE(LS[[#This Row],[Frequency]]-1,LS[[#This Row],[Investor ID]]),LS[Unique Code],0),)))</f>
        <v>159.20463780183258</v>
      </c>
      <c r="U357" s="96" cm="1">
        <f t="array" ref="U357">IF(LS[[#This Row],[B/S]]="S",ABS(LS[[#This Row],[Unit]])*(INDEX(LS[NAV at Cost (Average)],MATCH(CONCATENATE((LS[[#This Row],[Frequency]]-1),LS[[#This Row],[Investor ID]]),LS[Unique Code],0),0)),0)</f>
        <v>4121.5653621981683</v>
      </c>
      <c r="V357" s="96">
        <f>IF(LS[[#This Row],[BO TRANSFER]]="YES",LS[[#This Row],[Unit]],)</f>
        <v>0</v>
      </c>
      <c r="W357" s="96">
        <f>SUMIFS(LS[[#Headers],[BO UNIT TRANSFER]]:LS[[#This Row],[BO UNIT TRANSFER]],LS[[#Headers],[Investor ID]]:LS[[#This Row],[Investor ID]],LS[[#This Row],[Investor ID]])</f>
        <v>0</v>
      </c>
    </row>
    <row r="358" spans="1:23">
      <c r="A358" s="75">
        <v>2024</v>
      </c>
      <c r="B358" s="75">
        <v>2</v>
      </c>
      <c r="C358" s="75">
        <v>20</v>
      </c>
      <c r="D358" s="81">
        <f>DATE(LS[[#This Row],[Year]],LS[[#This Row],[Month]],LS[[#This Row],[Day]])</f>
        <v>45342</v>
      </c>
      <c r="E358" t="str" cm="1">
        <f t="array" ref="E358">INDEX(INVESTORS_LIST[INVESTOR NAME],MATCH(LS[[#This Row],[Investor ID]],INVESTORS_LIST[INVESTOR CODE],0),)</f>
        <v>ADNAN RASHID</v>
      </c>
      <c r="F358" s="83" t="s">
        <v>252</v>
      </c>
      <c r="G358" s="75">
        <f>COUNTIF(LS[[#Headers],[Investor ID]]:LS[[#This Row],[Investor ID]],LS[[#This Row],[Investor ID]])</f>
        <v>3</v>
      </c>
      <c r="H358" s="75" t="str">
        <f>CONCATENATE(LS[[#This Row],[Frequency]],LS[[#This Row],[Investor ID]])</f>
        <v>3A00102</v>
      </c>
      <c r="I358" s="75" t="str">
        <f>IF(LS[[#This Row],[B/S]]="B","BUY",(IF(LS[[#This Row],[B/S]]="S","SELL"," ")))</f>
        <v>SELL</v>
      </c>
      <c r="J358" s="75" t="s">
        <v>1231</v>
      </c>
      <c r="K358" s="88">
        <v>-300000</v>
      </c>
      <c r="L358" s="88"/>
      <c r="M358" s="89">
        <f>LS[[#This Row],[Amount]]/LS[[#This Row],[Unit]]</f>
        <v>10.810031709426347</v>
      </c>
      <c r="N358" s="90">
        <f>LS[[#This Row],[Unit Capital]]/10</f>
        <v>-27752</v>
      </c>
      <c r="O358" s="90">
        <f>SUMIFS(LS[[#Headers],[Unit]]:LS[[#This Row],[Unit]],LS[[#Headers],[Investor ID]]:LS[[#This Row],[Investor ID]],LS[[#This Row],[Investor ID]])</f>
        <v>5902</v>
      </c>
      <c r="P358" s="96">
        <v>-277520</v>
      </c>
      <c r="Q358" s="48">
        <f>LS[[#This Row],[Amount]]-LS[[#This Row],[Unit Capital]]</f>
        <v>-22480</v>
      </c>
      <c r="R35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10.399952457360193</v>
      </c>
      <c r="S358" s="89">
        <f t="shared" si="5"/>
        <v>14.224</v>
      </c>
      <c r="T358" s="96">
        <f>IF(LS[[#This Row],[B/S]]="B",0,ABS(LS[[#This Row],[Unit]])*(LS[[#This Row],[NAV (Strike Rate)]]-INDEX(LS[NAV at Cost (Average)],MATCH(CONCATENATE(LS[[#This Row],[Frequency]]-1,LS[[#This Row],[Investor ID]]),LS[Unique Code],0),)))</f>
        <v>11380.519403339913</v>
      </c>
      <c r="U358" s="96" cm="1">
        <f t="array" ref="U358">IF(LS[[#This Row],[B/S]]="S",ABS(LS[[#This Row],[Unit]])*(INDEX(LS[NAV at Cost (Average)],MATCH(CONCATENATE((LS[[#This Row],[Frequency]]-1),LS[[#This Row],[Investor ID]]),LS[Unique Code],0),0)),0)</f>
        <v>288619.48059666005</v>
      </c>
      <c r="V358" s="96">
        <f>IF(LS[[#This Row],[BO TRANSFER]]="YES",LS[[#This Row],[Unit]],)</f>
        <v>0</v>
      </c>
      <c r="W358" s="96">
        <f>SUMIFS(LS[[#Headers],[BO UNIT TRANSFER]]:LS[[#This Row],[BO UNIT TRANSFER]],LS[[#Headers],[Investor ID]]:LS[[#This Row],[Investor ID]],LS[[#This Row],[Investor ID]])</f>
        <v>0</v>
      </c>
    </row>
    <row r="359" spans="1:23">
      <c r="A359" s="75">
        <v>2024</v>
      </c>
      <c r="B359" s="75">
        <v>2</v>
      </c>
      <c r="C359" s="75">
        <v>22</v>
      </c>
      <c r="D359" s="81">
        <f>DATE(LS[[#This Row],[Year]],LS[[#This Row],[Month]],LS[[#This Row],[Day]])</f>
        <v>45344</v>
      </c>
      <c r="E359" t="str" cm="1">
        <f t="array" ref="E359">INDEX(INVESTORS_LIST[INVESTOR NAME],MATCH(LS[[#This Row],[Investor ID]],INVESTORS_LIST[INVESTOR CODE],0),)</f>
        <v>ASHIK CHOWDHURY OVI</v>
      </c>
      <c r="F359" s="83" t="s">
        <v>1101</v>
      </c>
      <c r="G359" s="75">
        <f>COUNTIF(LS[[#Headers],[Investor ID]]:LS[[#This Row],[Investor ID]],LS[[#This Row],[Investor ID]])</f>
        <v>1</v>
      </c>
      <c r="H359" s="75" t="str">
        <f>CONCATENATE(LS[[#This Row],[Frequency]],LS[[#This Row],[Investor ID]])</f>
        <v>1A00527</v>
      </c>
      <c r="I359" s="75" t="str">
        <f>IF(LS[[#This Row],[B/S]]="B","BUY",(IF(LS[[#This Row],[B/S]]="S","SELL"," ")))</f>
        <v>BUY</v>
      </c>
      <c r="J359" s="75" t="s">
        <v>1229</v>
      </c>
      <c r="K359" s="88">
        <v>15000</v>
      </c>
      <c r="L359" s="88"/>
      <c r="M359" s="89">
        <f>LS[[#This Row],[Amount]]/LS[[#This Row],[Unit]]</f>
        <v>10.806916426512968</v>
      </c>
      <c r="N359" s="90">
        <f>LS[[#This Row],[Unit Capital]]/10</f>
        <v>1388</v>
      </c>
      <c r="O359" s="90">
        <f>SUMIFS(LS[[#Headers],[Unit]]:LS[[#This Row],[Unit]],LS[[#Headers],[Investor ID]]:LS[[#This Row],[Investor ID]],LS[[#This Row],[Investor ID]])</f>
        <v>1388</v>
      </c>
      <c r="P359" s="96">
        <v>13880</v>
      </c>
      <c r="Q359" s="48">
        <f>LS[[#This Row],[Amount]]-LS[[#This Row],[Unit Capital]]</f>
        <v>1120</v>
      </c>
      <c r="R35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10.806916426512968</v>
      </c>
      <c r="S359" s="89">
        <f t="shared" si="5"/>
        <v>14.224</v>
      </c>
      <c r="T35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59" s="96" cm="1">
        <f t="array" ref="U359">IF(LS[[#This Row],[B/S]]="S",ABS(LS[[#This Row],[Unit]])*(INDEX(LS[NAV at Cost (Average)],MATCH(CONCATENATE((LS[[#This Row],[Frequency]]-1),LS[[#This Row],[Investor ID]]),LS[Unique Code],0),0)),0)</f>
        <v>0</v>
      </c>
      <c r="V359" s="96">
        <f>IF(LS[[#This Row],[BO TRANSFER]]="YES",LS[[#This Row],[Unit]],)</f>
        <v>0</v>
      </c>
      <c r="W359" s="96">
        <f>SUMIFS(LS[[#Headers],[BO UNIT TRANSFER]]:LS[[#This Row],[BO UNIT TRANSFER]],LS[[#Headers],[Investor ID]]:LS[[#This Row],[Investor ID]],LS[[#This Row],[Investor ID]])</f>
        <v>0</v>
      </c>
    </row>
    <row r="360" spans="1:23">
      <c r="A360" s="75">
        <v>2024</v>
      </c>
      <c r="B360" s="75">
        <v>2</v>
      </c>
      <c r="C360" s="75">
        <v>22</v>
      </c>
      <c r="D360" s="81">
        <f>DATE(LS[[#This Row],[Year]],LS[[#This Row],[Month]],LS[[#This Row],[Day]])</f>
        <v>45344</v>
      </c>
      <c r="E360" t="str" cm="1">
        <f t="array" ref="E360">INDEX(INVESTORS_LIST[INVESTOR NAME],MATCH(LS[[#This Row],[Investor ID]],INVESTORS_LIST[INVESTOR CODE],0),)</f>
        <v>BEAUTY BEGUM LOTA</v>
      </c>
      <c r="F360" s="83" t="s">
        <v>1081</v>
      </c>
      <c r="G360" s="75">
        <f>COUNTIF(LS[[#Headers],[Investor ID]]:LS[[#This Row],[Investor ID]],LS[[#This Row],[Investor ID]])</f>
        <v>5</v>
      </c>
      <c r="H360" s="75" t="str">
        <f>CONCATENATE(LS[[#This Row],[Frequency]],LS[[#This Row],[Investor ID]])</f>
        <v>5A00518</v>
      </c>
      <c r="I360" s="75" t="str">
        <f>IF(LS[[#This Row],[B/S]]="B","BUY",(IF(LS[[#This Row],[B/S]]="S","SELL"," ")))</f>
        <v>BUY</v>
      </c>
      <c r="J360" s="75" t="s">
        <v>1229</v>
      </c>
      <c r="K360" s="88">
        <v>100966</v>
      </c>
      <c r="L360" s="88"/>
      <c r="M360" s="89">
        <f>LS[[#This Row],[Amount]]/LS[[#This Row],[Unit]]</f>
        <v>10.810064239828694</v>
      </c>
      <c r="N360" s="90">
        <f>LS[[#This Row],[Unit Capital]]/10</f>
        <v>9340</v>
      </c>
      <c r="O360" s="90">
        <f>SUMIFS(LS[[#Headers],[Unit]]:LS[[#This Row],[Unit]],LS[[#Headers],[Investor ID]]:LS[[#This Row],[Investor ID]],LS[[#This Row],[Investor ID]])</f>
        <v>150840</v>
      </c>
      <c r="P360" s="96">
        <v>93400</v>
      </c>
      <c r="Q360" s="48">
        <f>LS[[#This Row],[Amount]]-LS[[#This Row],[Unit Capital]]</f>
        <v>7566</v>
      </c>
      <c r="R36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10.638328343916646</v>
      </c>
      <c r="S360" s="89">
        <f t="shared" si="5"/>
        <v>14.224</v>
      </c>
      <c r="T36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0" s="96" cm="1">
        <f t="array" ref="U360">IF(LS[[#This Row],[B/S]]="S",ABS(LS[[#This Row],[Unit]])*(INDEX(LS[NAV at Cost (Average)],MATCH(CONCATENATE((LS[[#This Row],[Frequency]]-1),LS[[#This Row],[Investor ID]]),LS[Unique Code],0),0)),0)</f>
        <v>0</v>
      </c>
      <c r="V360" s="96">
        <f>IF(LS[[#This Row],[BO TRANSFER]]="YES",LS[[#This Row],[Unit]],)</f>
        <v>0</v>
      </c>
      <c r="W360" s="96">
        <f>SUMIFS(LS[[#Headers],[BO UNIT TRANSFER]]:LS[[#This Row],[BO UNIT TRANSFER]],LS[[#Headers],[Investor ID]]:LS[[#This Row],[Investor ID]],LS[[#This Row],[Investor ID]])</f>
        <v>0</v>
      </c>
    </row>
    <row r="361" spans="1:23">
      <c r="A361" s="75">
        <v>2024</v>
      </c>
      <c r="B361" s="75">
        <v>2</v>
      </c>
      <c r="C361" s="75">
        <v>22</v>
      </c>
      <c r="D361" s="81">
        <f>DATE(LS[[#This Row],[Year]],LS[[#This Row],[Month]],LS[[#This Row],[Day]])</f>
        <v>45344</v>
      </c>
      <c r="E361" t="str" cm="1">
        <f t="array" ref="E361">INDEX(INVESTORS_LIST[INVESTOR NAME],MATCH(LS[[#This Row],[Investor ID]],INVESTORS_LIST[INVESTOR CODE],0),)</f>
        <v>SHAHEEN SIAM</v>
      </c>
      <c r="F361" s="83" t="s">
        <v>1469</v>
      </c>
      <c r="G361" s="75">
        <f>COUNTIF(LS[[#Headers],[Investor ID]]:LS[[#This Row],[Investor ID]],LS[[#This Row],[Investor ID]])</f>
        <v>1</v>
      </c>
      <c r="H361" s="75" t="str">
        <f>CONCATENATE(LS[[#This Row],[Frequency]],LS[[#This Row],[Investor ID]])</f>
        <v>1BI0002</v>
      </c>
      <c r="I361" s="75" t="str">
        <f>IF(LS[[#This Row],[B/S]]="B","BUY",(IF(LS[[#This Row],[B/S]]="S","SELL"," ")))</f>
        <v>BUY</v>
      </c>
      <c r="J361" s="75" t="s">
        <v>1229</v>
      </c>
      <c r="K361" s="88">
        <v>10810</v>
      </c>
      <c r="L361" s="88"/>
      <c r="M361" s="89">
        <f>LS[[#This Row],[Amount]]/LS[[#This Row],[Unit]]</f>
        <v>10.81</v>
      </c>
      <c r="N361" s="90">
        <f>LS[[#This Row],[Unit Capital]]/10</f>
        <v>1000</v>
      </c>
      <c r="O361" s="90">
        <f>SUMIFS(LS[[#Headers],[Unit]]:LS[[#This Row],[Unit]],LS[[#Headers],[Investor ID]]:LS[[#This Row],[Investor ID]],LS[[#This Row],[Investor ID]])</f>
        <v>1000</v>
      </c>
      <c r="P361" s="96">
        <v>10000</v>
      </c>
      <c r="Q361" s="48">
        <f>LS[[#This Row],[Amount]]-LS[[#This Row],[Unit Capital]]</f>
        <v>810</v>
      </c>
      <c r="R36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10.81</v>
      </c>
      <c r="S361" s="89">
        <f t="shared" si="5"/>
        <v>14.224</v>
      </c>
      <c r="T36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1" s="96" cm="1">
        <f t="array" ref="U361">IF(LS[[#This Row],[B/S]]="S",ABS(LS[[#This Row],[Unit]])*(INDEX(LS[NAV at Cost (Average)],MATCH(CONCATENATE((LS[[#This Row],[Frequency]]-1),LS[[#This Row],[Investor ID]]),LS[Unique Code],0),0)),0)</f>
        <v>0</v>
      </c>
      <c r="V361" s="96">
        <f>IF(LS[[#This Row],[BO TRANSFER]]="YES",LS[[#This Row],[Unit]],)</f>
        <v>0</v>
      </c>
      <c r="W361" s="96">
        <f>SUMIFS(LS[[#Headers],[BO UNIT TRANSFER]]:LS[[#This Row],[BO UNIT TRANSFER]],LS[[#Headers],[Investor ID]]:LS[[#This Row],[Investor ID]],LS[[#This Row],[Investor ID]])</f>
        <v>0</v>
      </c>
    </row>
    <row r="362" spans="1:23">
      <c r="A362" s="75">
        <v>2024</v>
      </c>
      <c r="B362" s="75">
        <v>2</v>
      </c>
      <c r="C362" s="75">
        <v>20</v>
      </c>
      <c r="D362" s="81">
        <f>DATE(LS[[#This Row],[Year]],LS[[#This Row],[Month]],LS[[#This Row],[Day]])</f>
        <v>45342</v>
      </c>
      <c r="E362" t="str" cm="1">
        <f t="array" ref="E362">INDEX(INVESTORS_LIST[INVESTOR NAME],MATCH(LS[[#This Row],[Investor ID]],INVESTORS_LIST[INVESTOR CODE],0),)</f>
        <v>KAZI AHSAN MARUF</v>
      </c>
      <c r="F362" s="83" t="s">
        <v>158</v>
      </c>
      <c r="G362" s="75">
        <f>COUNTIF(LS[[#Headers],[Investor ID]]:LS[[#This Row],[Investor ID]],LS[[#This Row],[Investor ID]])</f>
        <v>2</v>
      </c>
      <c r="H362" s="75" t="str">
        <f>CONCATENATE(LS[[#This Row],[Frequency]],LS[[#This Row],[Investor ID]])</f>
        <v>2A00055</v>
      </c>
      <c r="I362" s="75" t="str">
        <f>IF(LS[[#This Row],[B/S]]="B","BUY",(IF(LS[[#This Row],[B/S]]="S","SELL"," ")))</f>
        <v>BUY</v>
      </c>
      <c r="J362" s="75" t="s">
        <v>1229</v>
      </c>
      <c r="K362" s="88">
        <v>500000</v>
      </c>
      <c r="L362" s="88"/>
      <c r="M362" s="89">
        <f>LS[[#This Row],[Amount]]/LS[[#This Row],[Unit]]</f>
        <v>10.810109614511491</v>
      </c>
      <c r="N362" s="90">
        <f>LS[[#This Row],[Unit Capital]]/10</f>
        <v>46253</v>
      </c>
      <c r="O362" s="90">
        <f>SUMIFS(LS[[#Headers],[Unit]]:LS[[#This Row],[Unit]],LS[[#Headers],[Investor ID]]:LS[[#This Row],[Investor ID]],LS[[#This Row],[Investor ID]])</f>
        <v>120568</v>
      </c>
      <c r="P362" s="96">
        <v>462530</v>
      </c>
      <c r="Q362" s="48">
        <f>LS[[#This Row],[Amount]]-LS[[#This Row],[Unit Capital]]</f>
        <v>37470</v>
      </c>
      <c r="R36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10.782297126932519</v>
      </c>
      <c r="S362" s="89">
        <f t="shared" si="5"/>
        <v>14.224</v>
      </c>
      <c r="T36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2" s="96" cm="1">
        <f t="array" ref="U362">IF(LS[[#This Row],[B/S]]="S",ABS(LS[[#This Row],[Unit]])*(INDEX(LS[NAV at Cost (Average)],MATCH(CONCATENATE((LS[[#This Row],[Frequency]]-1),LS[[#This Row],[Investor ID]]),LS[Unique Code],0),0)),0)</f>
        <v>0</v>
      </c>
      <c r="V362" s="96">
        <f>IF(LS[[#This Row],[BO TRANSFER]]="YES",LS[[#This Row],[Unit]],)</f>
        <v>0</v>
      </c>
      <c r="W362" s="96">
        <f>SUMIFS(LS[[#Headers],[BO UNIT TRANSFER]]:LS[[#This Row],[BO UNIT TRANSFER]],LS[[#Headers],[Investor ID]]:LS[[#This Row],[Investor ID]],LS[[#This Row],[Investor ID]])</f>
        <v>0</v>
      </c>
    </row>
    <row r="363" spans="1:23">
      <c r="A363" s="75">
        <v>2024</v>
      </c>
      <c r="B363" s="75">
        <v>2</v>
      </c>
      <c r="C363" s="75">
        <v>22</v>
      </c>
      <c r="D363" s="81">
        <f>DATE(LS[[#This Row],[Year]],LS[[#This Row],[Month]],LS[[#This Row],[Day]])</f>
        <v>45344</v>
      </c>
      <c r="E363" t="str" cm="1">
        <f t="array" ref="E363">INDEX(INVESTORS_LIST[INVESTOR NAME],MATCH(LS[[#This Row],[Investor ID]],INVESTORS_LIST[INVESTOR CODE],0),)</f>
        <v>SUMAIYA CHOWDHURY RUPTY</v>
      </c>
      <c r="F363" s="83" t="s">
        <v>636</v>
      </c>
      <c r="G363" s="75">
        <f>COUNTIF(LS[[#Headers],[Investor ID]]:LS[[#This Row],[Investor ID]],LS[[#This Row],[Investor ID]])</f>
        <v>3</v>
      </c>
      <c r="H363" s="75" t="str">
        <f>CONCATENATE(LS[[#This Row],[Frequency]],LS[[#This Row],[Investor ID]])</f>
        <v>3A00294</v>
      </c>
      <c r="I363" s="75" t="str">
        <f>IF(LS[[#This Row],[B/S]]="B","BUY",(IF(LS[[#This Row],[B/S]]="S","SELL"," ")))</f>
        <v>BUY</v>
      </c>
      <c r="J363" s="75" t="s">
        <v>1229</v>
      </c>
      <c r="K363" s="88">
        <v>10000</v>
      </c>
      <c r="L363" s="88"/>
      <c r="M363" s="89">
        <f>LS[[#This Row],[Amount]]/LS[[#This Row],[Unit]]</f>
        <v>10.810810810810811</v>
      </c>
      <c r="N363" s="90">
        <f>LS[[#This Row],[Unit Capital]]/10</f>
        <v>925</v>
      </c>
      <c r="O363" s="90">
        <f>SUMIFS(LS[[#Headers],[Unit]]:LS[[#This Row],[Unit]],LS[[#Headers],[Investor ID]]:LS[[#This Row],[Investor ID]],LS[[#This Row],[Investor ID]])</f>
        <v>40181</v>
      </c>
      <c r="P363" s="96">
        <v>9250</v>
      </c>
      <c r="Q363" s="48">
        <f>LS[[#This Row],[Amount]]-LS[[#This Row],[Unit Capital]]</f>
        <v>750</v>
      </c>
      <c r="R36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10.203827679749134</v>
      </c>
      <c r="S363" s="89">
        <f t="shared" si="5"/>
        <v>14.224</v>
      </c>
      <c r="T36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3" s="96" cm="1">
        <f t="array" ref="U363">IF(LS[[#This Row],[B/S]]="S",ABS(LS[[#This Row],[Unit]])*(INDEX(LS[NAV at Cost (Average)],MATCH(CONCATENATE((LS[[#This Row],[Frequency]]-1),LS[[#This Row],[Investor ID]]),LS[Unique Code],0),0)),0)</f>
        <v>0</v>
      </c>
      <c r="V363" s="96">
        <f>IF(LS[[#This Row],[BO TRANSFER]]="YES",LS[[#This Row],[Unit]],)</f>
        <v>0</v>
      </c>
      <c r="W363" s="96">
        <f>SUMIFS(LS[[#Headers],[BO UNIT TRANSFER]]:LS[[#This Row],[BO UNIT TRANSFER]],LS[[#Headers],[Investor ID]]:LS[[#This Row],[Investor ID]],LS[[#This Row],[Investor ID]])</f>
        <v>0</v>
      </c>
    </row>
    <row r="364" spans="1:23">
      <c r="A364" s="75">
        <v>2024</v>
      </c>
      <c r="B364" s="75">
        <v>2</v>
      </c>
      <c r="C364" s="75">
        <v>25</v>
      </c>
      <c r="D364" s="81">
        <f>DATE(LS[[#This Row],[Year]],LS[[#This Row],[Month]],LS[[#This Row],[Day]])</f>
        <v>45347</v>
      </c>
      <c r="E364" t="str" cm="1">
        <f t="array" ref="E364">INDEX(INVESTORS_LIST[INVESTOR NAME],MATCH(LS[[#This Row],[Investor ID]],INVESTORS_LIST[INVESTOR CODE],0),)</f>
        <v>MD SHAFIQUR RAHMAN MONSI</v>
      </c>
      <c r="F364" s="83" t="s">
        <v>1034</v>
      </c>
      <c r="G364" s="75">
        <f>COUNTIF(LS[[#Headers],[Investor ID]]:LS[[#This Row],[Investor ID]],LS[[#This Row],[Investor ID]])</f>
        <v>5</v>
      </c>
      <c r="H364" s="75" t="str">
        <f>CONCATENATE(LS[[#This Row],[Frequency]],LS[[#This Row],[Investor ID]])</f>
        <v>5A00494</v>
      </c>
      <c r="I364" s="75" t="str">
        <f>IF(LS[[#This Row],[B/S]]="B","BUY",(IF(LS[[#This Row],[B/S]]="S","SELL"," ")))</f>
        <v>BUY</v>
      </c>
      <c r="J364" s="75" t="s">
        <v>1229</v>
      </c>
      <c r="K364" s="88">
        <v>100000</v>
      </c>
      <c r="L364" s="88"/>
      <c r="M364" s="89">
        <f>LS[[#This Row],[Amount]]/LS[[#This Row],[Unit]]</f>
        <v>10.82485386447283</v>
      </c>
      <c r="N364" s="90">
        <f>LS[[#This Row],[Unit Capital]]/10</f>
        <v>9238</v>
      </c>
      <c r="O364" s="90">
        <f>SUMIFS(LS[[#Headers],[Unit]]:LS[[#This Row],[Unit]],LS[[#Headers],[Investor ID]]:LS[[#This Row],[Investor ID]],LS[[#This Row],[Investor ID]])</f>
        <v>9238</v>
      </c>
      <c r="P364" s="96">
        <v>92380</v>
      </c>
      <c r="Q364" s="48">
        <f>LS[[#This Row],[Amount]]-LS[[#This Row],[Unit Capital]]</f>
        <v>7620</v>
      </c>
      <c r="R36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10.82485386447283</v>
      </c>
      <c r="S364" s="89">
        <f t="shared" si="5"/>
        <v>14.224</v>
      </c>
      <c r="T36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4" s="96" cm="1">
        <f t="array" ref="U364">IF(LS[[#This Row],[B/S]]="S",ABS(LS[[#This Row],[Unit]])*(INDEX(LS[NAV at Cost (Average)],MATCH(CONCATENATE((LS[[#This Row],[Frequency]]-1),LS[[#This Row],[Investor ID]]),LS[Unique Code],0),0)),0)</f>
        <v>0</v>
      </c>
      <c r="V364" s="96">
        <f>IF(LS[[#This Row],[BO TRANSFER]]="YES",LS[[#This Row],[Unit]],)</f>
        <v>0</v>
      </c>
      <c r="W364" s="96">
        <f>SUMIFS(LS[[#Headers],[BO UNIT TRANSFER]]:LS[[#This Row],[BO UNIT TRANSFER]],LS[[#Headers],[Investor ID]]:LS[[#This Row],[Investor ID]],LS[[#This Row],[Investor ID]])</f>
        <v>0</v>
      </c>
    </row>
    <row r="365" spans="1:23">
      <c r="A365" s="75">
        <v>2024</v>
      </c>
      <c r="B365" s="75">
        <v>2</v>
      </c>
      <c r="C365" s="75">
        <v>25</v>
      </c>
      <c r="D365" s="81">
        <f>DATE(LS[[#This Row],[Year]],LS[[#This Row],[Month]],LS[[#This Row],[Day]])</f>
        <v>45347</v>
      </c>
      <c r="E365" t="str" cm="1">
        <f t="array" ref="E365">INDEX(INVESTORS_LIST[INVESTOR NAME],MATCH(LS[[#This Row],[Investor ID]],INVESTORS_LIST[INVESTOR CODE],0),)</f>
        <v>RABIA AFROZA</v>
      </c>
      <c r="F365" s="83" t="s">
        <v>942</v>
      </c>
      <c r="G365" s="75">
        <f>COUNTIF(LS[[#Headers],[Investor ID]]:LS[[#This Row],[Investor ID]],LS[[#This Row],[Investor ID]])</f>
        <v>2</v>
      </c>
      <c r="H365" s="75" t="str">
        <f>CONCATENATE(LS[[#This Row],[Frequency]],LS[[#This Row],[Investor ID]])</f>
        <v>2A00448</v>
      </c>
      <c r="I365" s="75" t="str">
        <f>IF(LS[[#This Row],[B/S]]="B","BUY",(IF(LS[[#This Row],[B/S]]="S","SELL"," ")))</f>
        <v>BUY</v>
      </c>
      <c r="J365" s="75" t="s">
        <v>1229</v>
      </c>
      <c r="K365" s="88">
        <v>500000</v>
      </c>
      <c r="L365" s="88"/>
      <c r="M365" s="89">
        <f>LS[[#This Row],[Amount]]/LS[[#This Row],[Unit]]</f>
        <v>10.825088224469029</v>
      </c>
      <c r="N365" s="90">
        <f>LS[[#This Row],[Unit Capital]]/10</f>
        <v>46189</v>
      </c>
      <c r="O365" s="90">
        <f>SUMIFS(LS[[#Headers],[Unit]]:LS[[#This Row],[Unit]],LS[[#Headers],[Investor ID]]:LS[[#This Row],[Investor ID]],LS[[#This Row],[Investor ID]])</f>
        <v>196189</v>
      </c>
      <c r="P365" s="96">
        <v>461890</v>
      </c>
      <c r="Q365" s="48">
        <f>LS[[#This Row],[Amount]]-LS[[#This Row],[Unit Capital]]</f>
        <v>38110</v>
      </c>
      <c r="R36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10.194251461600803</v>
      </c>
      <c r="S365" s="89">
        <f t="shared" si="5"/>
        <v>14.224</v>
      </c>
      <c r="T36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5" s="96" cm="1">
        <f t="array" ref="U365">IF(LS[[#This Row],[B/S]]="S",ABS(LS[[#This Row],[Unit]])*(INDEX(LS[NAV at Cost (Average)],MATCH(CONCATENATE((LS[[#This Row],[Frequency]]-1),LS[[#This Row],[Investor ID]]),LS[Unique Code],0),0)),0)</f>
        <v>0</v>
      </c>
      <c r="V365" s="96">
        <f>IF(LS[[#This Row],[BO TRANSFER]]="YES",LS[[#This Row],[Unit]],)</f>
        <v>0</v>
      </c>
      <c r="W365" s="96">
        <f>SUMIFS(LS[[#Headers],[BO UNIT TRANSFER]]:LS[[#This Row],[BO UNIT TRANSFER]],LS[[#Headers],[Investor ID]]:LS[[#This Row],[Investor ID]],LS[[#This Row],[Investor ID]])</f>
        <v>0</v>
      </c>
    </row>
    <row r="366" spans="1:23">
      <c r="A366" s="75">
        <v>2024</v>
      </c>
      <c r="B366" s="75">
        <v>2</v>
      </c>
      <c r="C366" s="75">
        <v>28</v>
      </c>
      <c r="D366" s="81">
        <f>DATE(LS[[#This Row],[Year]],LS[[#This Row],[Month]],LS[[#This Row],[Day]])</f>
        <v>45350</v>
      </c>
      <c r="E366" t="str" cm="1">
        <f t="array" ref="E366">INDEX(INVESTORS_LIST[INVESTOR NAME],MATCH(LS[[#This Row],[Investor ID]],INVESTORS_LIST[INVESTOR CODE],0),)</f>
        <v>ARCHONA SAHA</v>
      </c>
      <c r="F366" s="83" t="s">
        <v>872</v>
      </c>
      <c r="G366" s="75">
        <f>COUNTIF(LS[[#Headers],[Investor ID]]:LS[[#This Row],[Investor ID]],LS[[#This Row],[Investor ID]])</f>
        <v>2</v>
      </c>
      <c r="H366" s="75" t="str">
        <f>CONCATENATE(LS[[#This Row],[Frequency]],LS[[#This Row],[Investor ID]])</f>
        <v>2A00413</v>
      </c>
      <c r="I366" s="75" t="str">
        <f>IF(LS[[#This Row],[B/S]]="B","BUY",(IF(LS[[#This Row],[B/S]]="S","SELL"," ")))</f>
        <v>SELL</v>
      </c>
      <c r="J366" s="75" t="s">
        <v>1231</v>
      </c>
      <c r="K366" s="88">
        <v>-230626.63</v>
      </c>
      <c r="L366" s="88"/>
      <c r="M366" s="89">
        <f>LS[[#This Row],[Amount]]/LS[[#This Row],[Unit]]</f>
        <v>10.825000234686694</v>
      </c>
      <c r="N366" s="90">
        <f>LS[[#This Row],[Unit Capital]]/10</f>
        <v>-21305</v>
      </c>
      <c r="O366" s="90">
        <f>SUMIFS(LS[[#Headers],[Unit]]:LS[[#This Row],[Unit]],LS[[#Headers],[Investor ID]]:LS[[#This Row],[Investor ID]],LS[[#This Row],[Investor ID]])</f>
        <v>28000</v>
      </c>
      <c r="P366" s="96">
        <v>-213050</v>
      </c>
      <c r="Q366" s="48">
        <f>LS[[#This Row],[Amount]]-LS[[#This Row],[Unit Capital]]</f>
        <v>-17576.630000000005</v>
      </c>
      <c r="R36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366" s="89">
        <f t="shared" si="5"/>
        <v>14.224</v>
      </c>
      <c r="T366" s="96">
        <f>IF(LS[[#This Row],[B/S]]="B",0,ABS(LS[[#This Row],[Unit]])*(LS[[#This Row],[NAV (Strike Rate)]]-INDEX(LS[NAV at Cost (Average)],MATCH(CONCATENATE(LS[[#This Row],[Frequency]]-1,LS[[#This Row],[Investor ID]]),LS[Unique Code],0),)))</f>
        <v>14573.491373085899</v>
      </c>
      <c r="U366" s="96" cm="1">
        <f t="array" ref="U366">IF(LS[[#This Row],[B/S]]="S",ABS(LS[[#This Row],[Unit]])*(INDEX(LS[NAV at Cost (Average)],MATCH(CONCATENATE((LS[[#This Row],[Frequency]]-1),LS[[#This Row],[Investor ID]]),LS[Unique Code],0),0)),0)</f>
        <v>216053.13862691412</v>
      </c>
      <c r="V366" s="96">
        <f>IF(LS[[#This Row],[BO TRANSFER]]="YES",LS[[#This Row],[Unit]],)</f>
        <v>0</v>
      </c>
      <c r="W366" s="96">
        <f>SUMIFS(LS[[#Headers],[BO UNIT TRANSFER]]:LS[[#This Row],[BO UNIT TRANSFER]],LS[[#Headers],[Investor ID]]:LS[[#This Row],[Investor ID]],LS[[#This Row],[Investor ID]])</f>
        <v>0</v>
      </c>
    </row>
    <row r="367" spans="1:23">
      <c r="A367" s="75">
        <v>2024</v>
      </c>
      <c r="B367" s="75">
        <v>2</v>
      </c>
      <c r="C367" s="75">
        <v>29</v>
      </c>
      <c r="D367" s="81">
        <f>DATE(LS[[#This Row],[Year]],LS[[#This Row],[Month]],LS[[#This Row],[Day]])</f>
        <v>45351</v>
      </c>
      <c r="E367" t="str" cm="1">
        <f t="array" ref="E367">INDEX(INVESTORS_LIST[INVESTOR NAME],MATCH(LS[[#This Row],[Investor ID]],INVESTORS_LIST[INVESTOR CODE],0),)</f>
        <v>FAHMIDA SAEED SAKI</v>
      </c>
      <c r="F367" s="83" t="s">
        <v>936</v>
      </c>
      <c r="G367" s="75">
        <f>COUNTIF(LS[[#Headers],[Investor ID]]:LS[[#This Row],[Investor ID]],LS[[#This Row],[Investor ID]])</f>
        <v>4</v>
      </c>
      <c r="H367" s="75" t="str">
        <f>CONCATENATE(LS[[#This Row],[Frequency]],LS[[#This Row],[Investor ID]])</f>
        <v>4A00445</v>
      </c>
      <c r="I367" s="75" t="str">
        <f>IF(LS[[#This Row],[B/S]]="B","BUY",(IF(LS[[#This Row],[B/S]]="S","SELL"," ")))</f>
        <v>SELL</v>
      </c>
      <c r="J367" s="75" t="s">
        <v>1231</v>
      </c>
      <c r="K367" s="88">
        <v>-1166707.68</v>
      </c>
      <c r="L367" s="88"/>
      <c r="M367" s="89">
        <f>LS[[#This Row],[Amount]]/LS[[#This Row],[Unit]]</f>
        <v>10.825000046391226</v>
      </c>
      <c r="N367" s="90">
        <f>LS[[#This Row],[Unit Capital]]/10</f>
        <v>-107779</v>
      </c>
      <c r="O367" s="90">
        <f>SUMIFS(LS[[#Headers],[Unit]]:LS[[#This Row],[Unit]],LS[[#Headers],[Investor ID]]:LS[[#This Row],[Investor ID]],LS[[#This Row],[Investor ID]])</f>
        <v>0</v>
      </c>
      <c r="P367" s="96">
        <v>-1077790</v>
      </c>
      <c r="Q367" s="48">
        <f>LS[[#This Row],[Amount]]-LS[[#This Row],[Unit Capital]]</f>
        <v>-88917.679999999935</v>
      </c>
      <c r="R36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67" s="89">
        <f t="shared" si="5"/>
        <v>14.224</v>
      </c>
      <c r="T367" s="96">
        <f>IF(LS[[#This Row],[B/S]]="B",0,ABS(LS[[#This Row],[Unit]])*(LS[[#This Row],[NAV (Strike Rate)]]-INDEX(LS[NAV at Cost (Average)],MATCH(CONCATENATE(LS[[#This Row],[Frequency]]-1,LS[[#This Row],[Investor ID]]),LS[Unique Code],0),)))</f>
        <v>66707.68000000008</v>
      </c>
      <c r="U367" s="96" cm="1">
        <f t="array" ref="U367">IF(LS[[#This Row],[B/S]]="S",ABS(LS[[#This Row],[Unit]])*(INDEX(LS[NAV at Cost (Average)],MATCH(CONCATENATE((LS[[#This Row],[Frequency]]-1),LS[[#This Row],[Investor ID]]),LS[Unique Code],0),0)),0)</f>
        <v>1100000</v>
      </c>
      <c r="V367" s="96">
        <f>IF(LS[[#This Row],[BO TRANSFER]]="YES",LS[[#This Row],[Unit]],)</f>
        <v>0</v>
      </c>
      <c r="W367" s="96">
        <f>SUMIFS(LS[[#Headers],[BO UNIT TRANSFER]]:LS[[#This Row],[BO UNIT TRANSFER]],LS[[#Headers],[Investor ID]]:LS[[#This Row],[Investor ID]],LS[[#This Row],[Investor ID]])</f>
        <v>0</v>
      </c>
    </row>
    <row r="368" spans="1:23">
      <c r="A368" s="75">
        <v>2024</v>
      </c>
      <c r="B368" s="75">
        <v>2</v>
      </c>
      <c r="C368" s="75">
        <v>29</v>
      </c>
      <c r="D368" s="81">
        <f>DATE(LS[[#This Row],[Year]],LS[[#This Row],[Month]],LS[[#This Row],[Day]])</f>
        <v>45351</v>
      </c>
      <c r="E368" t="str" cm="1">
        <f t="array" ref="E368">INDEX(INVESTORS_LIST[INVESTOR NAME],MATCH(LS[[#This Row],[Investor ID]],INVESTORS_LIST[INVESTOR CODE],0),)</f>
        <v>ASHAK ELAHI</v>
      </c>
      <c r="F368" s="83" t="s">
        <v>1077</v>
      </c>
      <c r="G368" s="75">
        <f>COUNTIF(LS[[#Headers],[Investor ID]]:LS[[#This Row],[Investor ID]],LS[[#This Row],[Investor ID]])</f>
        <v>6</v>
      </c>
      <c r="H368" s="75" t="str">
        <f>CONCATENATE(LS[[#This Row],[Frequency]],LS[[#This Row],[Investor ID]])</f>
        <v>6A00516</v>
      </c>
      <c r="I368" s="75" t="str">
        <f>IF(LS[[#This Row],[B/S]]="B","BUY",(IF(LS[[#This Row],[B/S]]="S","SELL"," ")))</f>
        <v>SELL</v>
      </c>
      <c r="J368" s="75" t="s">
        <v>1231</v>
      </c>
      <c r="K368" s="88">
        <v>-149385</v>
      </c>
      <c r="L368" s="88"/>
      <c r="M368" s="89">
        <f>LS[[#This Row],[Amount]]/LS[[#This Row],[Unit]]</f>
        <v>10.824999999999999</v>
      </c>
      <c r="N368" s="90">
        <f>LS[[#This Row],[Unit Capital]]/10</f>
        <v>-13800</v>
      </c>
      <c r="O368" s="90">
        <f>SUMIFS(LS[[#Headers],[Unit]]:LS[[#This Row],[Unit]],LS[[#Headers],[Investor ID]]:LS[[#This Row],[Investor ID]],LS[[#This Row],[Investor ID]])</f>
        <v>4000</v>
      </c>
      <c r="P368" s="96">
        <v>-138000</v>
      </c>
      <c r="Q368" s="48">
        <f>LS[[#This Row],[Amount]]-LS[[#This Row],[Unit Capital]]</f>
        <v>-11385</v>
      </c>
      <c r="R36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10.638687640449438</v>
      </c>
      <c r="S368" s="89">
        <f t="shared" si="5"/>
        <v>14.224</v>
      </c>
      <c r="T368" s="96">
        <f>IF(LS[[#This Row],[B/S]]="B",0,ABS(LS[[#This Row],[Unit]])*(LS[[#This Row],[NAV (Strike Rate)]]-INDEX(LS[NAV at Cost (Average)],MATCH(CONCATENATE(LS[[#This Row],[Frequency]]-1,LS[[#This Row],[Investor ID]]),LS[Unique Code],0),)))</f>
        <v>2571.1105617977405</v>
      </c>
      <c r="U368" s="96" cm="1">
        <f t="array" ref="U368">IF(LS[[#This Row],[B/S]]="S",ABS(LS[[#This Row],[Unit]])*(INDEX(LS[NAV at Cost (Average)],MATCH(CONCATENATE((LS[[#This Row],[Frequency]]-1),LS[[#This Row],[Investor ID]]),LS[Unique Code],0),0)),0)</f>
        <v>146813.88943820226</v>
      </c>
      <c r="V368" s="96">
        <f>IF(LS[[#This Row],[BO TRANSFER]]="YES",LS[[#This Row],[Unit]],)</f>
        <v>0</v>
      </c>
      <c r="W368" s="96">
        <f>SUMIFS(LS[[#Headers],[BO UNIT TRANSFER]]:LS[[#This Row],[BO UNIT TRANSFER]],LS[[#Headers],[Investor ID]]:LS[[#This Row],[Investor ID]],LS[[#This Row],[Investor ID]])</f>
        <v>0</v>
      </c>
    </row>
    <row r="369" spans="1:23">
      <c r="A369" s="75">
        <v>2024</v>
      </c>
      <c r="B369" s="75">
        <v>2</v>
      </c>
      <c r="C369" s="75">
        <v>29</v>
      </c>
      <c r="D369" s="81">
        <f>DATE(LS[[#This Row],[Year]],LS[[#This Row],[Month]],LS[[#This Row],[Day]])</f>
        <v>45351</v>
      </c>
      <c r="E369" t="str" cm="1">
        <f t="array" ref="E369">INDEX(INVESTORS_LIST[INVESTOR NAME],MATCH(LS[[#This Row],[Investor ID]],INVESTORS_LIST[INVESTOR CODE],0),)</f>
        <v>MST. GOLENUR</v>
      </c>
      <c r="F369" s="83" t="s">
        <v>1075</v>
      </c>
      <c r="G369" s="75">
        <f>COUNTIF(LS[[#Headers],[Investor ID]]:LS[[#This Row],[Investor ID]],LS[[#This Row],[Investor ID]])</f>
        <v>4</v>
      </c>
      <c r="H369" s="75" t="str">
        <f>CONCATENATE(LS[[#This Row],[Frequency]],LS[[#This Row],[Investor ID]])</f>
        <v>4A00515</v>
      </c>
      <c r="I369" s="75" t="str">
        <f>IF(LS[[#This Row],[B/S]]="B","BUY",(IF(LS[[#This Row],[B/S]]="S","SELL"," ")))</f>
        <v>BUY</v>
      </c>
      <c r="J369" s="75" t="s">
        <v>1229</v>
      </c>
      <c r="K369" s="88">
        <v>2000</v>
      </c>
      <c r="L369" s="88"/>
      <c r="M369" s="89">
        <f>LS[[#This Row],[Amount]]/LS[[#This Row],[Unit]]</f>
        <v>10.810810810810811</v>
      </c>
      <c r="N369" s="90">
        <f>LS[[#This Row],[Unit Capital]]/10</f>
        <v>185</v>
      </c>
      <c r="O369" s="90">
        <f>SUMIFS(LS[[#Headers],[Unit]]:LS[[#This Row],[Unit]],LS[[#Headers],[Investor ID]]:LS[[#This Row],[Investor ID]],LS[[#This Row],[Investor ID]])</f>
        <v>748</v>
      </c>
      <c r="P369" s="96">
        <v>1850</v>
      </c>
      <c r="Q369" s="48">
        <f>LS[[#This Row],[Amount]]-LS[[#This Row],[Unit Capital]]</f>
        <v>150</v>
      </c>
      <c r="R36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10.695187165775401</v>
      </c>
      <c r="S369" s="89">
        <f t="shared" si="5"/>
        <v>14.224</v>
      </c>
      <c r="T36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69" s="96" cm="1">
        <f t="array" ref="U369">IF(LS[[#This Row],[B/S]]="S",ABS(LS[[#This Row],[Unit]])*(INDEX(LS[NAV at Cost (Average)],MATCH(CONCATENATE((LS[[#This Row],[Frequency]]-1),LS[[#This Row],[Investor ID]]),LS[Unique Code],0),0)),0)</f>
        <v>0</v>
      </c>
      <c r="V369" s="96">
        <f>IF(LS[[#This Row],[BO TRANSFER]]="YES",LS[[#This Row],[Unit]],)</f>
        <v>0</v>
      </c>
      <c r="W369" s="96">
        <f>SUMIFS(LS[[#Headers],[BO UNIT TRANSFER]]:LS[[#This Row],[BO UNIT TRANSFER]],LS[[#Headers],[Investor ID]]:LS[[#This Row],[Investor ID]],LS[[#This Row],[Investor ID]])</f>
        <v>0</v>
      </c>
    </row>
    <row r="370" spans="1:23">
      <c r="A370" s="75">
        <v>2024</v>
      </c>
      <c r="B370" s="75">
        <v>3</v>
      </c>
      <c r="C370" s="75">
        <v>5</v>
      </c>
      <c r="D370" s="81">
        <f>DATE(LS[[#This Row],[Year]],LS[[#This Row],[Month]],LS[[#This Row],[Day]])</f>
        <v>45356</v>
      </c>
      <c r="E370" t="str" cm="1">
        <f t="array" ref="E370">INDEX(INVESTORS_LIST[INVESTOR NAME],MATCH(LS[[#This Row],[Investor ID]],INVESTORS_LIST[INVESTOR CODE],0),)</f>
        <v>SYED FAZLE RABBY</v>
      </c>
      <c r="F370" s="83" t="s">
        <v>166</v>
      </c>
      <c r="G370" s="75">
        <f>COUNTIF(LS[[#Headers],[Investor ID]]:LS[[#This Row],[Investor ID]],LS[[#This Row],[Investor ID]])</f>
        <v>12</v>
      </c>
      <c r="H370" s="75" t="str">
        <f>CONCATENATE(LS[[#This Row],[Frequency]],LS[[#This Row],[Investor ID]])</f>
        <v>12A00059</v>
      </c>
      <c r="I370" s="75" t="str">
        <f>IF(LS[[#This Row],[B/S]]="B","BUY",(IF(LS[[#This Row],[B/S]]="S","SELL"," ")))</f>
        <v>BUY</v>
      </c>
      <c r="J370" s="75" t="s">
        <v>1229</v>
      </c>
      <c r="K370" s="88">
        <v>90000</v>
      </c>
      <c r="L370" s="88"/>
      <c r="M370" s="89">
        <f>LS[[#This Row],[Amount]]/LS[[#This Row],[Unit]]</f>
        <v>10.847294202723877</v>
      </c>
      <c r="N370" s="90">
        <f>LS[[#This Row],[Unit Capital]]/10</f>
        <v>8297</v>
      </c>
      <c r="O370" s="90">
        <f>SUMIFS(LS[[#Headers],[Unit]]:LS[[#This Row],[Unit]],LS[[#Headers],[Investor ID]]:LS[[#This Row],[Investor ID]],LS[[#This Row],[Investor ID]])</f>
        <v>376272</v>
      </c>
      <c r="P370" s="96">
        <v>82970</v>
      </c>
      <c r="Q370" s="48">
        <f>LS[[#This Row],[Amount]]-LS[[#This Row],[Unit Capital]]</f>
        <v>7030</v>
      </c>
      <c r="R37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10.736913721988348</v>
      </c>
      <c r="S370" s="89">
        <f t="shared" si="5"/>
        <v>14.224</v>
      </c>
      <c r="T37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0" s="96" cm="1">
        <f t="array" ref="U370">IF(LS[[#This Row],[B/S]]="S",ABS(LS[[#This Row],[Unit]])*(INDEX(LS[NAV at Cost (Average)],MATCH(CONCATENATE((LS[[#This Row],[Frequency]]-1),LS[[#This Row],[Investor ID]]),LS[Unique Code],0),0)),0)</f>
        <v>0</v>
      </c>
      <c r="V370" s="96">
        <f>IF(LS[[#This Row],[BO TRANSFER]]="YES",LS[[#This Row],[Unit]],)</f>
        <v>0</v>
      </c>
      <c r="W370" s="96">
        <f>SUMIFS(LS[[#Headers],[BO UNIT TRANSFER]]:LS[[#This Row],[BO UNIT TRANSFER]],LS[[#Headers],[Investor ID]]:LS[[#This Row],[Investor ID]],LS[[#This Row],[Investor ID]])</f>
        <v>0</v>
      </c>
    </row>
    <row r="371" spans="1:23">
      <c r="A371" s="75">
        <v>2024</v>
      </c>
      <c r="B371" s="75">
        <v>3</v>
      </c>
      <c r="C371" s="75">
        <v>3</v>
      </c>
      <c r="D371" s="81">
        <f>DATE(LS[[#This Row],[Year]],LS[[#This Row],[Month]],LS[[#This Row],[Day]])</f>
        <v>45354</v>
      </c>
      <c r="E371" t="str" cm="1">
        <f t="array" ref="E371">INDEX(INVESTORS_LIST[INVESTOR NAME],MATCH(LS[[#This Row],[Investor ID]],INVESTORS_LIST[INVESTOR CODE],0),)</f>
        <v>SUMAIYA CHOWDHURY RUPTY</v>
      </c>
      <c r="F371" s="83" t="s">
        <v>636</v>
      </c>
      <c r="G371" s="75">
        <f>COUNTIF(LS[[#Headers],[Investor ID]]:LS[[#This Row],[Investor ID]],LS[[#This Row],[Investor ID]])</f>
        <v>4</v>
      </c>
      <c r="H371" s="75" t="str">
        <f>CONCATENATE(LS[[#This Row],[Frequency]],LS[[#This Row],[Investor ID]])</f>
        <v>4A00294</v>
      </c>
      <c r="I371" s="75" t="str">
        <f>IF(LS[[#This Row],[B/S]]="B","BUY",(IF(LS[[#This Row],[B/S]]="S","SELL"," ")))</f>
        <v>BUY</v>
      </c>
      <c r="J371" s="75" t="s">
        <v>1229</v>
      </c>
      <c r="K371" s="88">
        <v>400000</v>
      </c>
      <c r="L371" s="88"/>
      <c r="M371" s="89">
        <f>LS[[#This Row],[Amount]]/LS[[#This Row],[Unit]]</f>
        <v>10.846869322341838</v>
      </c>
      <c r="N371" s="90">
        <f>LS[[#This Row],[Unit Capital]]/10</f>
        <v>36877</v>
      </c>
      <c r="O371" s="90">
        <f>SUMIFS(LS[[#Headers],[Unit]]:LS[[#This Row],[Unit]],LS[[#Headers],[Investor ID]]:LS[[#This Row],[Investor ID]],LS[[#This Row],[Investor ID]])</f>
        <v>77058</v>
      </c>
      <c r="P371" s="96">
        <v>368770</v>
      </c>
      <c r="Q371" s="48">
        <f>LS[[#This Row],[Amount]]-LS[[#This Row],[Unit Capital]]</f>
        <v>31230</v>
      </c>
      <c r="R37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10.51156271899089</v>
      </c>
      <c r="S371" s="89">
        <f t="shared" si="5"/>
        <v>14.224</v>
      </c>
      <c r="T37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1" s="96" cm="1">
        <f t="array" ref="U371">IF(LS[[#This Row],[B/S]]="S",ABS(LS[[#This Row],[Unit]])*(INDEX(LS[NAV at Cost (Average)],MATCH(CONCATENATE((LS[[#This Row],[Frequency]]-1),LS[[#This Row],[Investor ID]]),LS[Unique Code],0),0)),0)</f>
        <v>0</v>
      </c>
      <c r="V371" s="96">
        <f>IF(LS[[#This Row],[BO TRANSFER]]="YES",LS[[#This Row],[Unit]],)</f>
        <v>0</v>
      </c>
      <c r="W371" s="96">
        <f>SUMIFS(LS[[#Headers],[BO UNIT TRANSFER]]:LS[[#This Row],[BO UNIT TRANSFER]],LS[[#Headers],[Investor ID]]:LS[[#This Row],[Investor ID]],LS[[#This Row],[Investor ID]])</f>
        <v>0</v>
      </c>
    </row>
    <row r="372" spans="1:23">
      <c r="A372" s="75">
        <v>2024</v>
      </c>
      <c r="B372" s="75">
        <v>3</v>
      </c>
      <c r="C372" s="75">
        <v>6</v>
      </c>
      <c r="D372" s="81">
        <f>DATE(LS[[#This Row],[Year]],LS[[#This Row],[Month]],LS[[#This Row],[Day]])</f>
        <v>45357</v>
      </c>
      <c r="E372" t="str" cm="1">
        <f t="array" ref="E372">INDEX(INVESTORS_LIST[INVESTOR NAME],MATCH(LS[[#This Row],[Investor ID]],INVESTORS_LIST[INVESTOR CODE],0),)</f>
        <v>ADNAN NOOR</v>
      </c>
      <c r="F372" s="83" t="s">
        <v>1105</v>
      </c>
      <c r="G372" s="75">
        <f>COUNTIF(LS[[#Headers],[Investor ID]]:LS[[#This Row],[Investor ID]],LS[[#This Row],[Investor ID]])</f>
        <v>1</v>
      </c>
      <c r="H372" s="75" t="str">
        <f>CONCATENATE(LS[[#This Row],[Frequency]],LS[[#This Row],[Investor ID]])</f>
        <v>1A00529</v>
      </c>
      <c r="I372" s="75" t="str">
        <f>IF(LS[[#This Row],[B/S]]="B","BUY",(IF(LS[[#This Row],[B/S]]="S","SELL"," ")))</f>
        <v>BUY</v>
      </c>
      <c r="J372" s="75" t="s">
        <v>1229</v>
      </c>
      <c r="K372" s="88">
        <v>1900000</v>
      </c>
      <c r="L372" s="88"/>
      <c r="M372" s="89">
        <f>LS[[#This Row],[Amount]]/LS[[#This Row],[Unit]]</f>
        <v>10.846977689479573</v>
      </c>
      <c r="N372" s="90">
        <f>LS[[#This Row],[Unit Capital]]/10</f>
        <v>175164</v>
      </c>
      <c r="O372" s="90">
        <f>SUMIFS(LS[[#Headers],[Unit]]:LS[[#This Row],[Unit]],LS[[#Headers],[Investor ID]]:LS[[#This Row],[Investor ID]],LS[[#This Row],[Investor ID]])</f>
        <v>175164</v>
      </c>
      <c r="P372" s="96">
        <v>1751640</v>
      </c>
      <c r="Q372" s="48">
        <f>LS[[#This Row],[Amount]]-LS[[#This Row],[Unit Capital]]</f>
        <v>148360</v>
      </c>
      <c r="R37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10.846977689479573</v>
      </c>
      <c r="S372" s="89">
        <f t="shared" si="5"/>
        <v>14.224</v>
      </c>
      <c r="T37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2" s="96" cm="1">
        <f t="array" ref="U372">IF(LS[[#This Row],[B/S]]="S",ABS(LS[[#This Row],[Unit]])*(INDEX(LS[NAV at Cost (Average)],MATCH(CONCATENATE((LS[[#This Row],[Frequency]]-1),LS[[#This Row],[Investor ID]]),LS[Unique Code],0),0)),0)</f>
        <v>0</v>
      </c>
      <c r="V372" s="96">
        <f>IF(LS[[#This Row],[BO TRANSFER]]="YES",LS[[#This Row],[Unit]],)</f>
        <v>0</v>
      </c>
      <c r="W372" s="96">
        <f>SUMIFS(LS[[#Headers],[BO UNIT TRANSFER]]:LS[[#This Row],[BO UNIT TRANSFER]],LS[[#Headers],[Investor ID]]:LS[[#This Row],[Investor ID]],LS[[#This Row],[Investor ID]])</f>
        <v>0</v>
      </c>
    </row>
    <row r="373" spans="1:23">
      <c r="A373" s="75">
        <v>2024</v>
      </c>
      <c r="B373" s="75">
        <v>3</v>
      </c>
      <c r="C373" s="75">
        <v>6</v>
      </c>
      <c r="D373" s="81">
        <f>DATE(LS[[#This Row],[Year]],LS[[#This Row],[Month]],LS[[#This Row],[Day]])</f>
        <v>45357</v>
      </c>
      <c r="E373" t="str" cm="1">
        <f t="array" ref="E373">INDEX(INVESTORS_LIST[INVESTOR NAME],MATCH(LS[[#This Row],[Investor ID]],INVESTORS_LIST[INVESTOR CODE],0),)</f>
        <v>ADNAN NOOR</v>
      </c>
      <c r="F373" s="83" t="s">
        <v>1105</v>
      </c>
      <c r="G373" s="75">
        <f>COUNTIF(LS[[#Headers],[Investor ID]]:LS[[#This Row],[Investor ID]],LS[[#This Row],[Investor ID]])</f>
        <v>2</v>
      </c>
      <c r="H373" s="75" t="str">
        <f>CONCATENATE(LS[[#This Row],[Frequency]],LS[[#This Row],[Investor ID]])</f>
        <v>2A00529</v>
      </c>
      <c r="I373" s="75" t="str">
        <f>IF(LS[[#This Row],[B/S]]="B","BUY",(IF(LS[[#This Row],[B/S]]="S","SELL"," ")))</f>
        <v>BUY</v>
      </c>
      <c r="J373" s="75" t="s">
        <v>1229</v>
      </c>
      <c r="K373" s="88">
        <v>100000</v>
      </c>
      <c r="L373" s="88"/>
      <c r="M373" s="89">
        <f>LS[[#This Row],[Amount]]/LS[[#This Row],[Unit]]</f>
        <v>10.847163466753443</v>
      </c>
      <c r="N373" s="90">
        <f>LS[[#This Row],[Unit Capital]]/10</f>
        <v>9219</v>
      </c>
      <c r="O373" s="90">
        <f>SUMIFS(LS[[#Headers],[Unit]]:LS[[#This Row],[Unit]],LS[[#Headers],[Investor ID]]:LS[[#This Row],[Investor ID]],LS[[#This Row],[Investor ID]])</f>
        <v>184383</v>
      </c>
      <c r="P373" s="96">
        <v>92190</v>
      </c>
      <c r="Q373" s="48">
        <f>LS[[#This Row],[Amount]]-LS[[#This Row],[Unit Capital]]</f>
        <v>7810</v>
      </c>
      <c r="R37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10.846986978192131</v>
      </c>
      <c r="S373" s="89">
        <f t="shared" si="5"/>
        <v>14.224</v>
      </c>
      <c r="T37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3" s="96" cm="1">
        <f t="array" ref="U373">IF(LS[[#This Row],[B/S]]="S",ABS(LS[[#This Row],[Unit]])*(INDEX(LS[NAV at Cost (Average)],MATCH(CONCATENATE((LS[[#This Row],[Frequency]]-1),LS[[#This Row],[Investor ID]]),LS[Unique Code],0),0)),0)</f>
        <v>0</v>
      </c>
      <c r="V373" s="96">
        <f>IF(LS[[#This Row],[BO TRANSFER]]="YES",LS[[#This Row],[Unit]],)</f>
        <v>0</v>
      </c>
      <c r="W373" s="96">
        <f>SUMIFS(LS[[#Headers],[BO UNIT TRANSFER]]:LS[[#This Row],[BO UNIT TRANSFER]],LS[[#Headers],[Investor ID]]:LS[[#This Row],[Investor ID]],LS[[#This Row],[Investor ID]])</f>
        <v>0</v>
      </c>
    </row>
    <row r="374" spans="1:23">
      <c r="A374" s="75">
        <v>2024</v>
      </c>
      <c r="B374" s="75">
        <v>3</v>
      </c>
      <c r="C374" s="75">
        <v>6</v>
      </c>
      <c r="D374" s="81">
        <f>DATE(LS[[#This Row],[Year]],LS[[#This Row],[Month]],LS[[#This Row],[Day]])</f>
        <v>45357</v>
      </c>
      <c r="E374" t="str" cm="1">
        <f t="array" ref="E374">INDEX(INVESTORS_LIST[INVESTOR NAME],MATCH(LS[[#This Row],[Investor ID]],INVESTORS_LIST[INVESTOR CODE],0),)</f>
        <v>3A &amp; COMPANY LTD.</v>
      </c>
      <c r="F374" s="83" t="s">
        <v>1113</v>
      </c>
      <c r="G374" s="75">
        <f>COUNTIF(LS[[#Headers],[Investor ID]]:LS[[#This Row],[Investor ID]],LS[[#This Row],[Investor ID]])</f>
        <v>1</v>
      </c>
      <c r="H374" s="75" t="str">
        <f>CONCATENATE(LS[[#This Row],[Frequency]],LS[[#This Row],[Investor ID]])</f>
        <v>1A00531</v>
      </c>
      <c r="I374" s="75" t="str">
        <f>IF(LS[[#This Row],[B/S]]="B","BUY",(IF(LS[[#This Row],[B/S]]="S","SELL"," ")))</f>
        <v>BUY</v>
      </c>
      <c r="J374" s="75" t="s">
        <v>1229</v>
      </c>
      <c r="K374" s="88">
        <v>5000000</v>
      </c>
      <c r="L374" s="88"/>
      <c r="M374" s="89">
        <f>LS[[#This Row],[Amount]]/LS[[#This Row],[Unit]]</f>
        <v>10.846998743917545</v>
      </c>
      <c r="N374" s="90">
        <f>LS[[#This Row],[Unit Capital]]/10</f>
        <v>460957</v>
      </c>
      <c r="O374" s="90">
        <f>SUMIFS(LS[[#Headers],[Unit]]:LS[[#This Row],[Unit]],LS[[#Headers],[Investor ID]]:LS[[#This Row],[Investor ID]],LS[[#This Row],[Investor ID]])</f>
        <v>460957</v>
      </c>
      <c r="P374" s="96">
        <v>4609570</v>
      </c>
      <c r="Q374" s="48">
        <f>LS[[#This Row],[Amount]]-LS[[#This Row],[Unit Capital]]</f>
        <v>390430</v>
      </c>
      <c r="R37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10.846998743917545</v>
      </c>
      <c r="S374" s="89">
        <f t="shared" si="5"/>
        <v>14.224</v>
      </c>
      <c r="T37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4" s="96" cm="1">
        <f t="array" ref="U374">IF(LS[[#This Row],[B/S]]="S",ABS(LS[[#This Row],[Unit]])*(INDEX(LS[NAV at Cost (Average)],MATCH(CONCATENATE((LS[[#This Row],[Frequency]]-1),LS[[#This Row],[Investor ID]]),LS[Unique Code],0),0)),0)</f>
        <v>0</v>
      </c>
      <c r="V374" s="96">
        <f>IF(LS[[#This Row],[BO TRANSFER]]="YES",LS[[#This Row],[Unit]],)</f>
        <v>0</v>
      </c>
      <c r="W374" s="96">
        <f>SUMIFS(LS[[#Headers],[BO UNIT TRANSFER]]:LS[[#This Row],[BO UNIT TRANSFER]],LS[[#Headers],[Investor ID]]:LS[[#This Row],[Investor ID]],LS[[#This Row],[Investor ID]])</f>
        <v>0</v>
      </c>
    </row>
    <row r="375" spans="1:23">
      <c r="A375" s="75">
        <v>2024</v>
      </c>
      <c r="B375" s="75">
        <v>3</v>
      </c>
      <c r="C375" s="75">
        <v>7</v>
      </c>
      <c r="D375" s="81">
        <f>DATE(LS[[#This Row],[Year]],LS[[#This Row],[Month]],LS[[#This Row],[Day]])</f>
        <v>45358</v>
      </c>
      <c r="E375" t="str" cm="1">
        <f t="array" ref="E375">INDEX(INVESTORS_LIST[INVESTOR NAME],MATCH(LS[[#This Row],[Investor ID]],INVESTORS_LIST[INVESTOR CODE],0),)</f>
        <v>MD SHAFIQUR RAHMAN MONSI</v>
      </c>
      <c r="F375" s="83" t="s">
        <v>1034</v>
      </c>
      <c r="G375" s="75">
        <f>COUNTIF(LS[[#Headers],[Investor ID]]:LS[[#This Row],[Investor ID]],LS[[#This Row],[Investor ID]])</f>
        <v>6</v>
      </c>
      <c r="H375" s="75" t="str">
        <f>CONCATENATE(LS[[#This Row],[Frequency]],LS[[#This Row],[Investor ID]])</f>
        <v>6A00494</v>
      </c>
      <c r="I375" s="75" t="str">
        <f>IF(LS[[#This Row],[B/S]]="B","BUY",(IF(LS[[#This Row],[B/S]]="S","SELL"," ")))</f>
        <v>BUY</v>
      </c>
      <c r="J375" s="75" t="s">
        <v>1229</v>
      </c>
      <c r="K375" s="88">
        <v>100000</v>
      </c>
      <c r="L375" s="88"/>
      <c r="M375" s="89">
        <f>LS[[#This Row],[Amount]]/LS[[#This Row],[Unit]]</f>
        <v>10.847163466753443</v>
      </c>
      <c r="N375" s="90">
        <f>LS[[#This Row],[Unit Capital]]/10</f>
        <v>9219</v>
      </c>
      <c r="O375" s="90">
        <f>SUMIFS(LS[[#Headers],[Unit]]:LS[[#This Row],[Unit]],LS[[#Headers],[Investor ID]]:LS[[#This Row],[Investor ID]],LS[[#This Row],[Investor ID]])</f>
        <v>18457</v>
      </c>
      <c r="P375" s="96">
        <v>92190</v>
      </c>
      <c r="Q375" s="48">
        <f>LS[[#This Row],[Amount]]-LS[[#This Row],[Unit Capital]]</f>
        <v>7810</v>
      </c>
      <c r="R37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10.835997182640732</v>
      </c>
      <c r="S375" s="89">
        <f t="shared" si="5"/>
        <v>14.224</v>
      </c>
      <c r="T37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75" s="96" cm="1">
        <f t="array" ref="U375">IF(LS[[#This Row],[B/S]]="S",ABS(LS[[#This Row],[Unit]])*(INDEX(LS[NAV at Cost (Average)],MATCH(CONCATENATE((LS[[#This Row],[Frequency]]-1),LS[[#This Row],[Investor ID]]),LS[Unique Code],0),0)),0)</f>
        <v>0</v>
      </c>
      <c r="V375" s="96">
        <f>IF(LS[[#This Row],[BO TRANSFER]]="YES",LS[[#This Row],[Unit]],)</f>
        <v>0</v>
      </c>
      <c r="W375" s="96">
        <f>SUMIFS(LS[[#Headers],[BO UNIT TRANSFER]]:LS[[#This Row],[BO UNIT TRANSFER]],LS[[#Headers],[Investor ID]]:LS[[#This Row],[Investor ID]],LS[[#This Row],[Investor ID]])</f>
        <v>0</v>
      </c>
    </row>
    <row r="376" spans="1:23">
      <c r="A376" s="75">
        <v>2024</v>
      </c>
      <c r="B376" s="75">
        <v>3</v>
      </c>
      <c r="C376" s="75">
        <v>10</v>
      </c>
      <c r="D376" s="81">
        <f>DATE(LS[[#This Row],[Year]],LS[[#This Row],[Month]],LS[[#This Row],[Day]])</f>
        <v>45361</v>
      </c>
      <c r="E376" t="str" cm="1">
        <f t="array" ref="E376">INDEX(INVESTORS_LIST[INVESTOR NAME],MATCH(LS[[#This Row],[Investor ID]],INVESTORS_LIST[INVESTOR CODE],0),)</f>
        <v>FATEHA KHATUN</v>
      </c>
      <c r="F376" s="83" t="s">
        <v>1054</v>
      </c>
      <c r="G376" s="75">
        <f>COUNTIF(LS[[#Headers],[Investor ID]]:LS[[#This Row],[Investor ID]],LS[[#This Row],[Investor ID]])</f>
        <v>2</v>
      </c>
      <c r="H376" s="75" t="str">
        <f>CONCATENATE(LS[[#This Row],[Frequency]],LS[[#This Row],[Investor ID]])</f>
        <v>2A00504</v>
      </c>
      <c r="I376" s="75" t="str">
        <f>IF(LS[[#This Row],[B/S]]="B","BUY",(IF(LS[[#This Row],[B/S]]="S","SELL"," ")))</f>
        <v>SELL</v>
      </c>
      <c r="J376" s="75" t="s">
        <v>1231</v>
      </c>
      <c r="K376" s="88">
        <v>-79451.98</v>
      </c>
      <c r="L376" s="88"/>
      <c r="M376" s="89">
        <f>LS[[#This Row],[Amount]]/LS[[#This Row],[Unit]]</f>
        <v>10.862999726551818</v>
      </c>
      <c r="N376" s="90">
        <f>LS[[#This Row],[Unit Capital]]/10</f>
        <v>-7314</v>
      </c>
      <c r="O376" s="90">
        <f>SUMIFS(LS[[#Headers],[Unit]]:LS[[#This Row],[Unit]],LS[[#Headers],[Investor ID]]:LS[[#This Row],[Investor ID]],LS[[#This Row],[Investor ID]])</f>
        <v>0</v>
      </c>
      <c r="P376" s="96">
        <v>-73140</v>
      </c>
      <c r="Q376" s="48">
        <f>LS[[#This Row],[Amount]]-LS[[#This Row],[Unit Capital]]</f>
        <v>-6311.9799999999959</v>
      </c>
      <c r="R37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76" s="89">
        <f t="shared" si="5"/>
        <v>14.224</v>
      </c>
      <c r="T376" s="96">
        <f>IF(LS[[#This Row],[B/S]]="B",0,ABS(LS[[#This Row],[Unit]])*(LS[[#This Row],[NAV (Strike Rate)]]-INDEX(LS[NAV at Cost (Average)],MATCH(CONCATENATE(LS[[#This Row],[Frequency]]-1,LS[[#This Row],[Investor ID]]),LS[Unique Code],0),)))</f>
        <v>4451.9800000000041</v>
      </c>
      <c r="U376" s="96" cm="1">
        <f t="array" ref="U376">IF(LS[[#This Row],[B/S]]="S",ABS(LS[[#This Row],[Unit]])*(INDEX(LS[NAV at Cost (Average)],MATCH(CONCATENATE((LS[[#This Row],[Frequency]]-1),LS[[#This Row],[Investor ID]]),LS[Unique Code],0),0)),0)</f>
        <v>75000</v>
      </c>
      <c r="V376" s="96">
        <f>IF(LS[[#This Row],[BO TRANSFER]]="YES",LS[[#This Row],[Unit]],)</f>
        <v>0</v>
      </c>
      <c r="W376" s="96">
        <f>SUMIFS(LS[[#Headers],[BO UNIT TRANSFER]]:LS[[#This Row],[BO UNIT TRANSFER]],LS[[#Headers],[Investor ID]]:LS[[#This Row],[Investor ID]],LS[[#This Row],[Investor ID]])</f>
        <v>0</v>
      </c>
    </row>
    <row r="377" spans="1:23">
      <c r="A377" s="75">
        <v>2024</v>
      </c>
      <c r="B377" s="75">
        <v>3</v>
      </c>
      <c r="C377" s="75">
        <v>12</v>
      </c>
      <c r="D377" s="81">
        <f>DATE(LS[[#This Row],[Year]],LS[[#This Row],[Month]],LS[[#This Row],[Day]])</f>
        <v>45363</v>
      </c>
      <c r="E377" t="str" cm="1">
        <f t="array" ref="E377">INDEX(INVESTORS_LIST[INVESTOR NAME],MATCH(LS[[#This Row],[Investor ID]],INVESTORS_LIST[INVESTOR CODE],0),)</f>
        <v>MUSTAFA KAMAL MASUD</v>
      </c>
      <c r="F377" s="83" t="s">
        <v>1026</v>
      </c>
      <c r="G377" s="75">
        <f>COUNTIF(LS[[#Headers],[Investor ID]]:LS[[#This Row],[Investor ID]],LS[[#This Row],[Investor ID]])</f>
        <v>4</v>
      </c>
      <c r="H377" s="75" t="str">
        <f>CONCATENATE(LS[[#This Row],[Frequency]],LS[[#This Row],[Investor ID]])</f>
        <v>4A00490</v>
      </c>
      <c r="I377" s="75" t="str">
        <f>IF(LS[[#This Row],[B/S]]="B","BUY",(IF(LS[[#This Row],[B/S]]="S","SELL"," ")))</f>
        <v>SELL</v>
      </c>
      <c r="J377" s="75" t="s">
        <v>1231</v>
      </c>
      <c r="K377" s="88">
        <v>-500000</v>
      </c>
      <c r="L377" s="88"/>
      <c r="M377" s="89">
        <f>LS[[#This Row],[Amount]]/LS[[#This Row],[Unit]]</f>
        <v>10.862952985139481</v>
      </c>
      <c r="N377" s="90">
        <f>LS[[#This Row],[Unit Capital]]/10</f>
        <v>-46028</v>
      </c>
      <c r="O377" s="90">
        <f>SUMIFS(LS[[#Headers],[Unit]]:LS[[#This Row],[Unit]],LS[[#Headers],[Investor ID]]:LS[[#This Row],[Investor ID]],LS[[#This Row],[Investor ID]])</f>
        <v>52079</v>
      </c>
      <c r="P377" s="96">
        <v>-460280</v>
      </c>
      <c r="Q377" s="48">
        <f>LS[[#This Row],[Amount]]-LS[[#This Row],[Unit Capital]]</f>
        <v>-39720</v>
      </c>
      <c r="R37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10.23175144111357</v>
      </c>
      <c r="S377" s="89">
        <f t="shared" si="5"/>
        <v>14.224</v>
      </c>
      <c r="T377" s="96">
        <f>IF(LS[[#This Row],[B/S]]="B",0,ABS(LS[[#This Row],[Unit]])*(LS[[#This Row],[NAV (Strike Rate)]]-INDEX(LS[NAV at Cost (Average)],MATCH(CONCATENATE(LS[[#This Row],[Frequency]]-1,LS[[#This Row],[Investor ID]]),LS[Unique Code],0),)))</f>
        <v>29052.944668424647</v>
      </c>
      <c r="U377" s="96" cm="1">
        <f t="array" ref="U377">IF(LS[[#This Row],[B/S]]="S",ABS(LS[[#This Row],[Unit]])*(INDEX(LS[NAV at Cost (Average)],MATCH(CONCATENATE((LS[[#This Row],[Frequency]]-1),LS[[#This Row],[Investor ID]]),LS[Unique Code],0),0)),0)</f>
        <v>470947.05533157539</v>
      </c>
      <c r="V377" s="96">
        <f>IF(LS[[#This Row],[BO TRANSFER]]="YES",LS[[#This Row],[Unit]],)</f>
        <v>0</v>
      </c>
      <c r="W377" s="96">
        <f>SUMIFS(LS[[#Headers],[BO UNIT TRANSFER]]:LS[[#This Row],[BO UNIT TRANSFER]],LS[[#Headers],[Investor ID]]:LS[[#This Row],[Investor ID]],LS[[#This Row],[Investor ID]])</f>
        <v>0</v>
      </c>
    </row>
    <row r="378" spans="1:23">
      <c r="A378" s="75">
        <v>2024</v>
      </c>
      <c r="B378" s="75">
        <v>3</v>
      </c>
      <c r="C378" s="75">
        <v>13</v>
      </c>
      <c r="D378" s="81">
        <f>DATE(LS[[#This Row],[Year]],LS[[#This Row],[Month]],LS[[#This Row],[Day]])</f>
        <v>45364</v>
      </c>
      <c r="E378" t="str" cm="1">
        <f t="array" ref="E378">INDEX(INVESTORS_LIST[INVESTOR NAME],MATCH(LS[[#This Row],[Investor ID]],INVESTORS_LIST[INVESTOR CODE],0),)</f>
        <v xml:space="preserve">CWT-SADHARAN BIMA GROWTH FUND </v>
      </c>
      <c r="F378" s="83" t="s">
        <v>1093</v>
      </c>
      <c r="G378" s="75">
        <f>COUNTIF(LS[[#Headers],[Investor ID]]:LS[[#This Row],[Investor ID]],LS[[#This Row],[Investor ID]])</f>
        <v>3</v>
      </c>
      <c r="H378" s="75" t="str">
        <f>CONCATENATE(LS[[#This Row],[Frequency]],LS[[#This Row],[Investor ID]])</f>
        <v>3A00523</v>
      </c>
      <c r="I378" s="75" t="str">
        <f>IF(LS[[#This Row],[B/S]]="B","BUY",(IF(LS[[#This Row],[B/S]]="S","SELL"," ")))</f>
        <v>SELL</v>
      </c>
      <c r="J378" s="75" t="s">
        <v>1231</v>
      </c>
      <c r="K378" s="88">
        <v>-3003619.5</v>
      </c>
      <c r="L378" s="88"/>
      <c r="M378" s="89">
        <f>LS[[#This Row],[Amount]]/LS[[#This Row],[Unit]]</f>
        <v>10.863</v>
      </c>
      <c r="N378" s="90">
        <f>LS[[#This Row],[Unit Capital]]/10</f>
        <v>-276500</v>
      </c>
      <c r="O378" s="90">
        <f>SUMIFS(LS[[#Headers],[Unit]]:LS[[#This Row],[Unit]],LS[[#Headers],[Investor ID]]:LS[[#This Row],[Investor ID]],LS[[#This Row],[Investor ID]])</f>
        <v>473969</v>
      </c>
      <c r="P378" s="96">
        <v>-2765000</v>
      </c>
      <c r="Q378" s="48">
        <f>LS[[#This Row],[Amount]]-LS[[#This Row],[Unit Capital]]</f>
        <v>-238619.5</v>
      </c>
      <c r="R37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10.660000612950036</v>
      </c>
      <c r="S378" s="89">
        <f t="shared" si="5"/>
        <v>14.224</v>
      </c>
      <c r="T378" s="96">
        <f>IF(LS[[#This Row],[B/S]]="B",0,ABS(LS[[#This Row],[Unit]])*(LS[[#This Row],[NAV (Strike Rate)]]-INDEX(LS[NAV at Cost (Average)],MATCH(CONCATENATE(LS[[#This Row],[Frequency]]-1,LS[[#This Row],[Investor ID]]),LS[Unique Code],0),)))</f>
        <v>56129.330519314986</v>
      </c>
      <c r="U378" s="96" cm="1">
        <f t="array" ref="U378">IF(LS[[#This Row],[B/S]]="S",ABS(LS[[#This Row],[Unit]])*(INDEX(LS[NAV at Cost (Average)],MATCH(CONCATENATE((LS[[#This Row],[Frequency]]-1),LS[[#This Row],[Investor ID]]),LS[Unique Code],0),0)),0)</f>
        <v>2947490.1694806847</v>
      </c>
      <c r="V378" s="96">
        <f>IF(LS[[#This Row],[BO TRANSFER]]="YES",LS[[#This Row],[Unit]],)</f>
        <v>0</v>
      </c>
      <c r="W378" s="96">
        <f>SUMIFS(LS[[#Headers],[BO UNIT TRANSFER]]:LS[[#This Row],[BO UNIT TRANSFER]],LS[[#Headers],[Investor ID]]:LS[[#This Row],[Investor ID]],LS[[#This Row],[Investor ID]])</f>
        <v>0</v>
      </c>
    </row>
    <row r="379" spans="1:23">
      <c r="A379" s="75">
        <v>2024</v>
      </c>
      <c r="B379" s="75">
        <v>3</v>
      </c>
      <c r="C379" s="75">
        <v>13</v>
      </c>
      <c r="D379" s="81">
        <f>DATE(LS[[#This Row],[Year]],LS[[#This Row],[Month]],LS[[#This Row],[Day]])</f>
        <v>45364</v>
      </c>
      <c r="E379" t="str" cm="1">
        <f t="array" ref="E379">INDEX(INVESTORS_LIST[INVESTOR NAME],MATCH(LS[[#This Row],[Investor ID]],INVESTORS_LIST[INVESTOR CODE],0),)</f>
        <v>CWT OPPORTUNITIES FUND</v>
      </c>
      <c r="F379" s="83" t="s">
        <v>1095</v>
      </c>
      <c r="G379" s="75">
        <f>COUNTIF(LS[[#Headers],[Investor ID]]:LS[[#This Row],[Investor ID]],LS[[#This Row],[Investor ID]])</f>
        <v>2</v>
      </c>
      <c r="H379" s="75" t="str">
        <f>CONCATENATE(LS[[#This Row],[Frequency]],LS[[#This Row],[Investor ID]])</f>
        <v>2A00524</v>
      </c>
      <c r="I379" s="75" t="str">
        <f>IF(LS[[#This Row],[B/S]]="B","BUY",(IF(LS[[#This Row],[B/S]]="S","SELL"," ")))</f>
        <v>SELL</v>
      </c>
      <c r="J379" s="75" t="s">
        <v>1231</v>
      </c>
      <c r="K379" s="88">
        <v>-3003619.5</v>
      </c>
      <c r="L379" s="88"/>
      <c r="M379" s="89">
        <f>LS[[#This Row],[Amount]]/LS[[#This Row],[Unit]]</f>
        <v>10.863</v>
      </c>
      <c r="N379" s="90">
        <f>LS[[#This Row],[Unit Capital]]/10</f>
        <v>-276500</v>
      </c>
      <c r="O379" s="90">
        <f>SUMIFS(LS[[#Headers],[Unit]]:LS[[#This Row],[Unit]],LS[[#Headers],[Investor ID]]:LS[[#This Row],[Investor ID]],LS[[#This Row],[Investor ID]])</f>
        <v>427065</v>
      </c>
      <c r="P379" s="96">
        <v>-2765000</v>
      </c>
      <c r="Q379" s="48">
        <f>LS[[#This Row],[Amount]]-LS[[#This Row],[Unit Capital]]</f>
        <v>-238619.5</v>
      </c>
      <c r="R37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10.659995878134927</v>
      </c>
      <c r="S379" s="89">
        <f t="shared" si="5"/>
        <v>14.224</v>
      </c>
      <c r="T379" s="96">
        <f>IF(LS[[#This Row],[B/S]]="B",0,ABS(LS[[#This Row],[Unit]])*(LS[[#This Row],[NAV (Strike Rate)]]-INDEX(LS[NAV at Cost (Average)],MATCH(CONCATENATE(LS[[#This Row],[Frequency]]-1,LS[[#This Row],[Investor ID]]),LS[Unique Code],0),)))</f>
        <v>56130.639695692589</v>
      </c>
      <c r="U379" s="96" cm="1">
        <f t="array" ref="U379">IF(LS[[#This Row],[B/S]]="S",ABS(LS[[#This Row],[Unit]])*(INDEX(LS[NAV at Cost (Average)],MATCH(CONCATENATE((LS[[#This Row],[Frequency]]-1),LS[[#This Row],[Investor ID]]),LS[Unique Code],0),0)),0)</f>
        <v>2947488.8603043072</v>
      </c>
      <c r="V379" s="96">
        <f>IF(LS[[#This Row],[BO TRANSFER]]="YES",LS[[#This Row],[Unit]],)</f>
        <v>0</v>
      </c>
      <c r="W379" s="96">
        <f>SUMIFS(LS[[#Headers],[BO UNIT TRANSFER]]:LS[[#This Row],[BO UNIT TRANSFER]],LS[[#Headers],[Investor ID]]:LS[[#This Row],[Investor ID]],LS[[#This Row],[Investor ID]])</f>
        <v>0</v>
      </c>
    </row>
    <row r="380" spans="1:23">
      <c r="A380" s="75">
        <v>2024</v>
      </c>
      <c r="B380" s="75">
        <v>3</v>
      </c>
      <c r="C380" s="75">
        <v>13</v>
      </c>
      <c r="D380" s="81">
        <f>DATE(LS[[#This Row],[Year]],LS[[#This Row],[Month]],LS[[#This Row],[Day]])</f>
        <v>45364</v>
      </c>
      <c r="E380" t="str" cm="1">
        <f t="array" ref="E380">INDEX(INVESTORS_LIST[INVESTOR NAME],MATCH(LS[[#This Row],[Investor ID]],INVESTORS_LIST[INVESTOR CODE],0),)</f>
        <v xml:space="preserve">CWT EMERGING BANGLADESH FIRST GROWTH FUND </v>
      </c>
      <c r="F380" s="83" t="s">
        <v>1091</v>
      </c>
      <c r="G380" s="75">
        <f>COUNTIF(LS[[#Headers],[Investor ID]]:LS[[#This Row],[Investor ID]],LS[[#This Row],[Investor ID]])</f>
        <v>3</v>
      </c>
      <c r="H380" s="75" t="str">
        <f>CONCATENATE(LS[[#This Row],[Frequency]],LS[[#This Row],[Investor ID]])</f>
        <v>3A00522</v>
      </c>
      <c r="I380" s="75" t="str">
        <f>IF(LS[[#This Row],[B/S]]="B","BUY",(IF(LS[[#This Row],[B/S]]="S","SELL"," ")))</f>
        <v>SELL</v>
      </c>
      <c r="J380" s="75" t="s">
        <v>1231</v>
      </c>
      <c r="K380" s="88">
        <v>-3003619.5</v>
      </c>
      <c r="L380" s="88"/>
      <c r="M380" s="89">
        <f>LS[[#This Row],[Amount]]/LS[[#This Row],[Unit]]</f>
        <v>10.863</v>
      </c>
      <c r="N380" s="90">
        <f>LS[[#This Row],[Unit Capital]]/10</f>
        <v>-276500</v>
      </c>
      <c r="O380" s="90">
        <f>SUMIFS(LS[[#Headers],[Unit]]:LS[[#This Row],[Unit]],LS[[#Headers],[Investor ID]]:LS[[#This Row],[Investor ID]],LS[[#This Row],[Investor ID]])</f>
        <v>380160</v>
      </c>
      <c r="P380" s="96">
        <v>-2765000</v>
      </c>
      <c r="Q380" s="48">
        <f>LS[[#This Row],[Amount]]-LS[[#This Row],[Unit Capital]]</f>
        <v>-238619.5</v>
      </c>
      <c r="R38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10.660006700575639</v>
      </c>
      <c r="S380" s="89">
        <f t="shared" si="5"/>
        <v>14.224</v>
      </c>
      <c r="T380" s="96">
        <f>IF(LS[[#This Row],[B/S]]="B",0,ABS(LS[[#This Row],[Unit]])*(LS[[#This Row],[NAV (Strike Rate)]]-INDEX(LS[NAV at Cost (Average)],MATCH(CONCATENATE(LS[[#This Row],[Frequency]]-1,LS[[#This Row],[Investor ID]]),LS[Unique Code],0),)))</f>
        <v>56127.647290835586</v>
      </c>
      <c r="U380" s="96" cm="1">
        <f t="array" ref="U380">IF(LS[[#This Row],[B/S]]="S",ABS(LS[[#This Row],[Unit]])*(INDEX(LS[NAV at Cost (Average)],MATCH(CONCATENATE((LS[[#This Row],[Frequency]]-1),LS[[#This Row],[Investor ID]]),LS[Unique Code],0),0)),0)</f>
        <v>2947491.8527091644</v>
      </c>
      <c r="V380" s="96">
        <f>IF(LS[[#This Row],[BO TRANSFER]]="YES",LS[[#This Row],[Unit]],)</f>
        <v>0</v>
      </c>
      <c r="W380" s="96">
        <f>SUMIFS(LS[[#Headers],[BO UNIT TRANSFER]]:LS[[#This Row],[BO UNIT TRANSFER]],LS[[#Headers],[Investor ID]]:LS[[#This Row],[Investor ID]],LS[[#This Row],[Investor ID]])</f>
        <v>0</v>
      </c>
    </row>
    <row r="381" spans="1:23">
      <c r="A381" s="75">
        <v>2024</v>
      </c>
      <c r="B381" s="75">
        <v>3</v>
      </c>
      <c r="C381" s="75">
        <v>13</v>
      </c>
      <c r="D381" s="81">
        <f>DATE(LS[[#This Row],[Year]],LS[[#This Row],[Month]],LS[[#This Row],[Day]])</f>
        <v>45364</v>
      </c>
      <c r="E381" t="str" cm="1">
        <f t="array" ref="E381">INDEX(INVESTORS_LIST[INVESTOR NAME],MATCH(LS[[#This Row],[Investor ID]],INVESTORS_LIST[INVESTOR CODE],0),)</f>
        <v>GOURI TOSH PAUL</v>
      </c>
      <c r="F381" s="83" t="s">
        <v>606</v>
      </c>
      <c r="G381" s="75">
        <f>COUNTIF(LS[[#Headers],[Investor ID]]:LS[[#This Row],[Investor ID]],LS[[#This Row],[Investor ID]])</f>
        <v>4</v>
      </c>
      <c r="H381" s="75" t="str">
        <f>CONCATENATE(LS[[#This Row],[Frequency]],LS[[#This Row],[Investor ID]])</f>
        <v>4A00279</v>
      </c>
      <c r="I381" s="75" t="str">
        <f>IF(LS[[#This Row],[B/S]]="B","BUY",(IF(LS[[#This Row],[B/S]]="S","SELL"," ")))</f>
        <v>SELL</v>
      </c>
      <c r="J381" s="75" t="s">
        <v>1231</v>
      </c>
      <c r="K381" s="88">
        <v>-841165.54</v>
      </c>
      <c r="L381" s="88"/>
      <c r="M381" s="89">
        <f>LS[[#This Row],[Amount]]/LS[[#This Row],[Unit]]</f>
        <v>10.862999974171553</v>
      </c>
      <c r="N381" s="90">
        <f>LS[[#This Row],[Unit Capital]]/10</f>
        <v>-77434</v>
      </c>
      <c r="O381" s="90">
        <f>SUMIFS(LS[[#Headers],[Unit]]:LS[[#This Row],[Unit]],LS[[#Headers],[Investor ID]]:LS[[#This Row],[Investor ID]],LS[[#This Row],[Investor ID]])</f>
        <v>0</v>
      </c>
      <c r="P381" s="96">
        <v>-774340</v>
      </c>
      <c r="Q381" s="48">
        <f>LS[[#This Row],[Amount]]-LS[[#This Row],[Unit Capital]]</f>
        <v>-66825.540000000037</v>
      </c>
      <c r="R38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81" s="89">
        <f t="shared" si="5"/>
        <v>14.224</v>
      </c>
      <c r="T381" s="96">
        <f>IF(LS[[#This Row],[B/S]]="B",0,ABS(LS[[#This Row],[Unit]])*(LS[[#This Row],[NAV (Strike Rate)]]-INDEX(LS[NAV at Cost (Average)],MATCH(CONCATENATE(LS[[#This Row],[Frequency]]-1,LS[[#This Row],[Investor ID]]),LS[Unique Code],0),)))</f>
        <v>29422.938596887358</v>
      </c>
      <c r="U381" s="96" cm="1">
        <f t="array" ref="U381">IF(LS[[#This Row],[B/S]]="S",ABS(LS[[#This Row],[Unit]])*(INDEX(LS[NAV at Cost (Average)],MATCH(CONCATENATE((LS[[#This Row],[Frequency]]-1),LS[[#This Row],[Investor ID]]),LS[Unique Code],0),0)),0)</f>
        <v>811742.60140311264</v>
      </c>
      <c r="V381" s="96">
        <f>IF(LS[[#This Row],[BO TRANSFER]]="YES",LS[[#This Row],[Unit]],)</f>
        <v>0</v>
      </c>
      <c r="W381" s="96">
        <f>SUMIFS(LS[[#Headers],[BO UNIT TRANSFER]]:LS[[#This Row],[BO UNIT TRANSFER]],LS[[#Headers],[Investor ID]]:LS[[#This Row],[Investor ID]],LS[[#This Row],[Investor ID]])</f>
        <v>0</v>
      </c>
    </row>
    <row r="382" spans="1:23">
      <c r="A382" s="75">
        <v>2024</v>
      </c>
      <c r="B382" s="75">
        <v>3</v>
      </c>
      <c r="C382" s="75">
        <v>10</v>
      </c>
      <c r="D382" s="81">
        <f>DATE(LS[[#This Row],[Year]],LS[[#This Row],[Month]],LS[[#This Row],[Day]])</f>
        <v>45361</v>
      </c>
      <c r="E382" t="str" cm="1">
        <f t="array" ref="E382">INDEX(INVESTORS_LIST[INVESTOR NAME],MATCH(LS[[#This Row],[Investor ID]],INVESTORS_LIST[INVESTOR CODE],0),)</f>
        <v>KAZI HABIBUR RAHMAN</v>
      </c>
      <c r="F382" s="83" t="s">
        <v>1114</v>
      </c>
      <c r="G382" s="75">
        <f>COUNTIF(LS[[#Headers],[Investor ID]]:LS[[#This Row],[Investor ID]],LS[[#This Row],[Investor ID]])</f>
        <v>1</v>
      </c>
      <c r="H382" s="75" t="str">
        <f>CONCATENATE(LS[[#This Row],[Frequency]],LS[[#This Row],[Investor ID]])</f>
        <v>1A00532</v>
      </c>
      <c r="I382" s="75" t="str">
        <f>IF(LS[[#This Row],[B/S]]="B","BUY",(IF(LS[[#This Row],[B/S]]="S","SELL"," ")))</f>
        <v>BUY</v>
      </c>
      <c r="J382" s="75" t="s">
        <v>1229</v>
      </c>
      <c r="K382" s="88">
        <v>450000</v>
      </c>
      <c r="L382" s="88"/>
      <c r="M382" s="89">
        <f>LS[[#This Row],[Amount]]/LS[[#This Row],[Unit]]</f>
        <v>10.851741101572296</v>
      </c>
      <c r="N382" s="90">
        <f>LS[[#This Row],[Unit Capital]]/10</f>
        <v>41468</v>
      </c>
      <c r="O382" s="90">
        <f>SUMIFS(LS[[#Headers],[Unit]]:LS[[#This Row],[Unit]],LS[[#Headers],[Investor ID]]:LS[[#This Row],[Investor ID]],LS[[#This Row],[Investor ID]])</f>
        <v>41468</v>
      </c>
      <c r="P382" s="96">
        <v>414680</v>
      </c>
      <c r="Q382" s="48">
        <f>LS[[#This Row],[Amount]]-LS[[#This Row],[Unit Capital]]</f>
        <v>35320</v>
      </c>
      <c r="R38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10.851741101572296</v>
      </c>
      <c r="S382" s="89">
        <f t="shared" si="5"/>
        <v>14.224</v>
      </c>
      <c r="T38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2" s="96" cm="1">
        <f t="array" ref="U382">IF(LS[[#This Row],[B/S]]="S",ABS(LS[[#This Row],[Unit]])*(INDEX(LS[NAV at Cost (Average)],MATCH(CONCATENATE((LS[[#This Row],[Frequency]]-1),LS[[#This Row],[Investor ID]]),LS[Unique Code],0),0)),0)</f>
        <v>0</v>
      </c>
      <c r="V382" s="96">
        <f>IF(LS[[#This Row],[BO TRANSFER]]="YES",LS[[#This Row],[Unit]],)</f>
        <v>0</v>
      </c>
      <c r="W382" s="96">
        <f>SUMIFS(LS[[#Headers],[BO UNIT TRANSFER]]:LS[[#This Row],[BO UNIT TRANSFER]],LS[[#Headers],[Investor ID]]:LS[[#This Row],[Investor ID]],LS[[#This Row],[Investor ID]])</f>
        <v>0</v>
      </c>
    </row>
    <row r="383" spans="1:23">
      <c r="A383" s="75">
        <v>2024</v>
      </c>
      <c r="B383" s="75">
        <v>3</v>
      </c>
      <c r="C383" s="75">
        <v>10</v>
      </c>
      <c r="D383" s="81">
        <f>DATE(LS[[#This Row],[Year]],LS[[#This Row],[Month]],LS[[#This Row],[Day]])</f>
        <v>45361</v>
      </c>
      <c r="E383" t="str" cm="1">
        <f t="array" ref="E383">INDEX(INVESTORS_LIST[INVESTOR NAME],MATCH(LS[[#This Row],[Investor ID]],INVESTORS_LIST[INVESTOR CODE],0),)</f>
        <v>KAZI HABIBUR RAHMAN</v>
      </c>
      <c r="F383" s="83" t="s">
        <v>1111</v>
      </c>
      <c r="G383" s="75">
        <f>COUNTIF(LS[[#Headers],[Investor ID]]:LS[[#This Row],[Investor ID]],LS[[#This Row],[Investor ID]])</f>
        <v>1</v>
      </c>
      <c r="H383" s="75" t="str">
        <f>CONCATENATE(LS[[#This Row],[Frequency]],LS[[#This Row],[Investor ID]])</f>
        <v>1A00530</v>
      </c>
      <c r="I383" s="75" t="str">
        <f>IF(LS[[#This Row],[B/S]]="B","BUY",(IF(LS[[#This Row],[B/S]]="S","SELL"," ")))</f>
        <v>BUY</v>
      </c>
      <c r="J383" s="75" t="s">
        <v>1229</v>
      </c>
      <c r="K383" s="88">
        <v>352310</v>
      </c>
      <c r="L383" s="88"/>
      <c r="M383" s="89">
        <f>LS[[#This Row],[Amount]]/LS[[#This Row],[Unit]]</f>
        <v>10.84698275862069</v>
      </c>
      <c r="N383" s="90">
        <f>LS[[#This Row],[Unit Capital]]/10</f>
        <v>32480</v>
      </c>
      <c r="O383" s="90">
        <f>SUMIFS(LS[[#Headers],[Unit]]:LS[[#This Row],[Unit]],LS[[#Headers],[Investor ID]]:LS[[#This Row],[Investor ID]],LS[[#This Row],[Investor ID]])</f>
        <v>32480</v>
      </c>
      <c r="P383" s="96">
        <v>324800</v>
      </c>
      <c r="Q383" s="48">
        <f>LS[[#This Row],[Amount]]-LS[[#This Row],[Unit Capital]]</f>
        <v>27510</v>
      </c>
      <c r="R38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10.84698275862069</v>
      </c>
      <c r="S383" s="89">
        <f t="shared" si="5"/>
        <v>14.224</v>
      </c>
      <c r="T38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3" s="96" cm="1">
        <f t="array" ref="U383">IF(LS[[#This Row],[B/S]]="S",ABS(LS[[#This Row],[Unit]])*(INDEX(LS[NAV at Cost (Average)],MATCH(CONCATENATE((LS[[#This Row],[Frequency]]-1),LS[[#This Row],[Investor ID]]),LS[Unique Code],0),0)),0)</f>
        <v>0</v>
      </c>
      <c r="V383" s="96">
        <f>IF(LS[[#This Row],[BO TRANSFER]]="YES",LS[[#This Row],[Unit]],)</f>
        <v>0</v>
      </c>
      <c r="W383" s="96">
        <f>SUMIFS(LS[[#Headers],[BO UNIT TRANSFER]]:LS[[#This Row],[BO UNIT TRANSFER]],LS[[#Headers],[Investor ID]]:LS[[#This Row],[Investor ID]],LS[[#This Row],[Investor ID]])</f>
        <v>0</v>
      </c>
    </row>
    <row r="384" spans="1:23">
      <c r="A384" s="75">
        <v>2024</v>
      </c>
      <c r="B384" s="75">
        <v>3</v>
      </c>
      <c r="C384" s="75">
        <v>10</v>
      </c>
      <c r="D384" s="81">
        <f>DATE(LS[[#This Row],[Year]],LS[[#This Row],[Month]],LS[[#This Row],[Day]])</f>
        <v>45361</v>
      </c>
      <c r="E384" t="str" cm="1">
        <f t="array" ref="E384">INDEX(INVESTORS_LIST[INVESTOR NAME],MATCH(LS[[#This Row],[Investor ID]],INVESTORS_LIST[INVESTOR CODE],0),)</f>
        <v>KAZI HABIBUR RAHMAN</v>
      </c>
      <c r="F384" s="83" t="s">
        <v>1114</v>
      </c>
      <c r="G384" s="75">
        <f>COUNTIF(LS[[#Headers],[Investor ID]]:LS[[#This Row],[Investor ID]],LS[[#This Row],[Investor ID]])</f>
        <v>2</v>
      </c>
      <c r="H384" s="75" t="str">
        <f>CONCATENATE(LS[[#This Row],[Frequency]],LS[[#This Row],[Investor ID]])</f>
        <v>2A00532</v>
      </c>
      <c r="I384" s="75" t="str">
        <f>IF(LS[[#This Row],[B/S]]="B","BUY",(IF(LS[[#This Row],[B/S]]="S","SELL"," ")))</f>
        <v>BUY</v>
      </c>
      <c r="J384" s="75" t="s">
        <v>1229</v>
      </c>
      <c r="K384" s="88">
        <v>369000</v>
      </c>
      <c r="L384" s="88"/>
      <c r="M384" s="89">
        <f>LS[[#This Row],[Amount]]/LS[[#This Row],[Unit]]</f>
        <v>10.851983648501603</v>
      </c>
      <c r="N384" s="90">
        <f>LS[[#This Row],[Unit Capital]]/10</f>
        <v>34003</v>
      </c>
      <c r="O384" s="90">
        <f>SUMIFS(LS[[#Headers],[Unit]]:LS[[#This Row],[Unit]],LS[[#Headers],[Investor ID]]:LS[[#This Row],[Investor ID]],LS[[#This Row],[Investor ID]])</f>
        <v>75471</v>
      </c>
      <c r="P384" s="96">
        <v>340030</v>
      </c>
      <c r="Q384" s="48">
        <f>LS[[#This Row],[Amount]]-LS[[#This Row],[Unit Capital]]</f>
        <v>28970</v>
      </c>
      <c r="R38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10.851850379616012</v>
      </c>
      <c r="S384" s="89">
        <f t="shared" si="5"/>
        <v>14.224</v>
      </c>
      <c r="T38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4" s="96" cm="1">
        <f t="array" ref="U384">IF(LS[[#This Row],[B/S]]="S",ABS(LS[[#This Row],[Unit]])*(INDEX(LS[NAV at Cost (Average)],MATCH(CONCATENATE((LS[[#This Row],[Frequency]]-1),LS[[#This Row],[Investor ID]]),LS[Unique Code],0),0)),0)</f>
        <v>0</v>
      </c>
      <c r="V384" s="96">
        <f>IF(LS[[#This Row],[BO TRANSFER]]="YES",LS[[#This Row],[Unit]],)</f>
        <v>0</v>
      </c>
      <c r="W384" s="96">
        <f>SUMIFS(LS[[#Headers],[BO UNIT TRANSFER]]:LS[[#This Row],[BO UNIT TRANSFER]],LS[[#Headers],[Investor ID]]:LS[[#This Row],[Investor ID]],LS[[#This Row],[Investor ID]])</f>
        <v>0</v>
      </c>
    </row>
    <row r="385" spans="1:23">
      <c r="A385" s="75">
        <v>2024</v>
      </c>
      <c r="B385" s="75">
        <v>3</v>
      </c>
      <c r="C385" s="75">
        <v>10</v>
      </c>
      <c r="D385" s="81">
        <f>DATE(LS[[#This Row],[Year]],LS[[#This Row],[Month]],LS[[#This Row],[Day]])</f>
        <v>45361</v>
      </c>
      <c r="E385" t="str" cm="1">
        <f t="array" ref="E385">INDEX(INVESTORS_LIST[INVESTOR NAME],MATCH(LS[[#This Row],[Investor ID]],INVESTORS_LIST[INVESTOR CODE],0),)</f>
        <v>KAZI HABIBUR RAHMAN</v>
      </c>
      <c r="F385" s="83" t="s">
        <v>1114</v>
      </c>
      <c r="G385" s="75">
        <f>COUNTIF(LS[[#Headers],[Investor ID]]:LS[[#This Row],[Investor ID]],LS[[#This Row],[Investor ID]])</f>
        <v>3</v>
      </c>
      <c r="H385" s="75" t="str">
        <f>CONCATENATE(LS[[#This Row],[Frequency]],LS[[#This Row],[Investor ID]])</f>
        <v>3A00532</v>
      </c>
      <c r="I385" s="75" t="str">
        <f>IF(LS[[#This Row],[B/S]]="B","BUY",(IF(LS[[#This Row],[B/S]]="S","SELL"," ")))</f>
        <v>BUY</v>
      </c>
      <c r="J385" s="75" t="s">
        <v>1229</v>
      </c>
      <c r="K385" s="88">
        <v>450000</v>
      </c>
      <c r="L385" s="88"/>
      <c r="M385" s="89">
        <f>LS[[#This Row],[Amount]]/LS[[#This Row],[Unit]]</f>
        <v>10.851741101572296</v>
      </c>
      <c r="N385" s="90">
        <f>LS[[#This Row],[Unit Capital]]/10</f>
        <v>41468</v>
      </c>
      <c r="O385" s="90">
        <f>SUMIFS(LS[[#Headers],[Unit]]:LS[[#This Row],[Unit]],LS[[#Headers],[Investor ID]]:LS[[#This Row],[Investor ID]],LS[[#This Row],[Investor ID]])</f>
        <v>116939</v>
      </c>
      <c r="P385" s="96">
        <v>414680</v>
      </c>
      <c r="Q385" s="48">
        <f>LS[[#This Row],[Amount]]-LS[[#This Row],[Unit Capital]]</f>
        <v>35320</v>
      </c>
      <c r="R38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10.851811628284832</v>
      </c>
      <c r="S385" s="89">
        <f t="shared" si="5"/>
        <v>14.224</v>
      </c>
      <c r="T38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5" s="96" cm="1">
        <f t="array" ref="U385">IF(LS[[#This Row],[B/S]]="S",ABS(LS[[#This Row],[Unit]])*(INDEX(LS[NAV at Cost (Average)],MATCH(CONCATENATE((LS[[#This Row],[Frequency]]-1),LS[[#This Row],[Investor ID]]),LS[Unique Code],0),0)),0)</f>
        <v>0</v>
      </c>
      <c r="V385" s="96">
        <f>IF(LS[[#This Row],[BO TRANSFER]]="YES",LS[[#This Row],[Unit]],)</f>
        <v>0</v>
      </c>
      <c r="W385" s="96">
        <f>SUMIFS(LS[[#Headers],[BO UNIT TRANSFER]]:LS[[#This Row],[BO UNIT TRANSFER]],LS[[#Headers],[Investor ID]]:LS[[#This Row],[Investor ID]],LS[[#This Row],[Investor ID]])</f>
        <v>0</v>
      </c>
    </row>
    <row r="386" spans="1:23">
      <c r="A386" s="75">
        <v>2024</v>
      </c>
      <c r="B386" s="75">
        <v>3</v>
      </c>
      <c r="C386" s="75">
        <v>11</v>
      </c>
      <c r="D386" s="81">
        <f>DATE(LS[[#This Row],[Year]],LS[[#This Row],[Month]],LS[[#This Row],[Day]])</f>
        <v>45362</v>
      </c>
      <c r="E386" t="str" cm="1">
        <f t="array" ref="E386">INDEX(INVESTORS_LIST[INVESTOR NAME],MATCH(LS[[#This Row],[Investor ID]],INVESTORS_LIST[INVESTOR CODE],0),)</f>
        <v>AKIB TANVIR ANJUM</v>
      </c>
      <c r="F386" s="83" t="s">
        <v>1116</v>
      </c>
      <c r="G386" s="75">
        <f>COUNTIF(LS[[#Headers],[Investor ID]]:LS[[#This Row],[Investor ID]],LS[[#This Row],[Investor ID]])</f>
        <v>1</v>
      </c>
      <c r="H386" s="75" t="str">
        <f>CONCATENATE(LS[[#This Row],[Frequency]],LS[[#This Row],[Investor ID]])</f>
        <v>1A00533</v>
      </c>
      <c r="I386" s="75" t="str">
        <f>IF(LS[[#This Row],[B/S]]="B","BUY",(IF(LS[[#This Row],[B/S]]="S","SELL"," ")))</f>
        <v>BUY</v>
      </c>
      <c r="J386" s="75" t="s">
        <v>1229</v>
      </c>
      <c r="K386" s="88">
        <v>5000</v>
      </c>
      <c r="L386" s="88"/>
      <c r="M386" s="89">
        <f>LS[[#This Row],[Amount]]/LS[[#This Row],[Unit]]</f>
        <v>10.869565217391305</v>
      </c>
      <c r="N386" s="90">
        <f>LS[[#This Row],[Unit Capital]]/10</f>
        <v>460</v>
      </c>
      <c r="O386" s="90">
        <f>SUMIFS(LS[[#Headers],[Unit]]:LS[[#This Row],[Unit]],LS[[#Headers],[Investor ID]]:LS[[#This Row],[Investor ID]],LS[[#This Row],[Investor ID]])</f>
        <v>460</v>
      </c>
      <c r="P386" s="96">
        <v>4600</v>
      </c>
      <c r="Q386" s="48">
        <f>LS[[#This Row],[Amount]]-LS[[#This Row],[Unit Capital]]</f>
        <v>400</v>
      </c>
      <c r="R38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10.869565217391305</v>
      </c>
      <c r="S386" s="89">
        <f t="shared" si="5"/>
        <v>14.224</v>
      </c>
      <c r="T38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6" s="96" cm="1">
        <f t="array" ref="U386">IF(LS[[#This Row],[B/S]]="S",ABS(LS[[#This Row],[Unit]])*(INDEX(LS[NAV at Cost (Average)],MATCH(CONCATENATE((LS[[#This Row],[Frequency]]-1),LS[[#This Row],[Investor ID]]),LS[Unique Code],0),0)),0)</f>
        <v>0</v>
      </c>
      <c r="V386" s="96">
        <f>IF(LS[[#This Row],[BO TRANSFER]]="YES",LS[[#This Row],[Unit]],)</f>
        <v>0</v>
      </c>
      <c r="W386" s="96">
        <f>SUMIFS(LS[[#Headers],[BO UNIT TRANSFER]]:LS[[#This Row],[BO UNIT TRANSFER]],LS[[#Headers],[Investor ID]]:LS[[#This Row],[Investor ID]],LS[[#This Row],[Investor ID]])</f>
        <v>0</v>
      </c>
    </row>
    <row r="387" spans="1:23">
      <c r="A387" s="75">
        <v>2024</v>
      </c>
      <c r="B387" s="75">
        <v>3</v>
      </c>
      <c r="C387" s="75">
        <v>14</v>
      </c>
      <c r="D387" s="81">
        <f>DATE(LS[[#This Row],[Year]],LS[[#This Row],[Month]],LS[[#This Row],[Day]])</f>
        <v>45365</v>
      </c>
      <c r="E387" t="str" cm="1">
        <f t="array" ref="E387">INDEX(INVESTORS_LIST[INVESTOR NAME],MATCH(LS[[#This Row],[Investor ID]],INVESTORS_LIST[INVESTOR CODE],0),)</f>
        <v>AKIB TANVIR ANJUM</v>
      </c>
      <c r="F387" s="83" t="s">
        <v>1116</v>
      </c>
      <c r="G387" s="75">
        <f>COUNTIF(LS[[#Headers],[Investor ID]]:LS[[#This Row],[Investor ID]],LS[[#This Row],[Investor ID]])</f>
        <v>2</v>
      </c>
      <c r="H387" s="75" t="str">
        <f>CONCATENATE(LS[[#This Row],[Frequency]],LS[[#This Row],[Investor ID]])</f>
        <v>2A00533</v>
      </c>
      <c r="I387" s="75" t="str">
        <f>IF(LS[[#This Row],[B/S]]="B","BUY",(IF(LS[[#This Row],[B/S]]="S","SELL"," ")))</f>
        <v>BUY</v>
      </c>
      <c r="J387" s="75" t="s">
        <v>1229</v>
      </c>
      <c r="K387" s="88">
        <v>5000</v>
      </c>
      <c r="L387" s="88"/>
      <c r="M387" s="89">
        <f>LS[[#This Row],[Amount]]/LS[[#This Row],[Unit]]</f>
        <v>10.869565217391305</v>
      </c>
      <c r="N387" s="90">
        <f>LS[[#This Row],[Unit Capital]]/10</f>
        <v>460</v>
      </c>
      <c r="O387" s="90">
        <f>SUMIFS(LS[[#Headers],[Unit]]:LS[[#This Row],[Unit]],LS[[#Headers],[Investor ID]]:LS[[#This Row],[Investor ID]],LS[[#This Row],[Investor ID]])</f>
        <v>920</v>
      </c>
      <c r="P387" s="96">
        <v>4600</v>
      </c>
      <c r="Q387" s="48">
        <f>LS[[#This Row],[Amount]]-LS[[#This Row],[Unit Capital]]</f>
        <v>400</v>
      </c>
      <c r="R38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10.869565217391305</v>
      </c>
      <c r="S387" s="89">
        <f t="shared" ref="S387:S450" si="6">IFERROR(NAV_MKT,0)</f>
        <v>14.224</v>
      </c>
      <c r="T38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7" s="96" cm="1">
        <f t="array" ref="U387">IF(LS[[#This Row],[B/S]]="S",ABS(LS[[#This Row],[Unit]])*(INDEX(LS[NAV at Cost (Average)],MATCH(CONCATENATE((LS[[#This Row],[Frequency]]-1),LS[[#This Row],[Investor ID]]),LS[Unique Code],0),0)),0)</f>
        <v>0</v>
      </c>
      <c r="V387" s="96">
        <f>IF(LS[[#This Row],[BO TRANSFER]]="YES",LS[[#This Row],[Unit]],)</f>
        <v>0</v>
      </c>
      <c r="W387" s="96">
        <f>SUMIFS(LS[[#Headers],[BO UNIT TRANSFER]]:LS[[#This Row],[BO UNIT TRANSFER]],LS[[#Headers],[Investor ID]]:LS[[#This Row],[Investor ID]],LS[[#This Row],[Investor ID]])</f>
        <v>0</v>
      </c>
    </row>
    <row r="388" spans="1:23">
      <c r="A388" s="75">
        <v>2024</v>
      </c>
      <c r="B388" s="75">
        <v>3</v>
      </c>
      <c r="C388" s="75">
        <v>19</v>
      </c>
      <c r="D388" s="81">
        <f>DATE(LS[[#This Row],[Year]],LS[[#This Row],[Month]],LS[[#This Row],[Day]])</f>
        <v>45370</v>
      </c>
      <c r="E388" t="str" cm="1">
        <f t="array" ref="E388">INDEX(INVESTORS_LIST[INVESTOR NAME],MATCH(LS[[#This Row],[Investor ID]],INVESTORS_LIST[INVESTOR CODE],0),)</f>
        <v>RITA RANI GHOSH</v>
      </c>
      <c r="F388" s="83" t="s">
        <v>934</v>
      </c>
      <c r="G388" s="75">
        <f>COUNTIF(LS[[#Headers],[Investor ID]]:LS[[#This Row],[Investor ID]],LS[[#This Row],[Investor ID]])</f>
        <v>2</v>
      </c>
      <c r="H388" s="75" t="str">
        <f>CONCATENATE(LS[[#This Row],[Frequency]],LS[[#This Row],[Investor ID]])</f>
        <v>2A00444</v>
      </c>
      <c r="I388" s="75" t="str">
        <f>IF(LS[[#This Row],[B/S]]="B","BUY",(IF(LS[[#This Row],[B/S]]="S","SELL"," ")))</f>
        <v>SELL</v>
      </c>
      <c r="J388" s="75" t="s">
        <v>1231</v>
      </c>
      <c r="K388" s="88">
        <v>-217260</v>
      </c>
      <c r="L388" s="88"/>
      <c r="M388" s="89">
        <f>LS[[#This Row],[Amount]]/LS[[#This Row],[Unit]]</f>
        <v>10.863</v>
      </c>
      <c r="N388" s="90">
        <f>LS[[#This Row],[Unit Capital]]/10</f>
        <v>-20000</v>
      </c>
      <c r="O388" s="90">
        <f>SUMIFS(LS[[#Headers],[Unit]]:LS[[#This Row],[Unit]],LS[[#Headers],[Investor ID]]:LS[[#This Row],[Investor ID]],LS[[#This Row],[Investor ID]])</f>
        <v>0</v>
      </c>
      <c r="P388" s="96">
        <v>-200000</v>
      </c>
      <c r="Q388" s="48">
        <f>LS[[#This Row],[Amount]]-LS[[#This Row],[Unit Capital]]</f>
        <v>-17260</v>
      </c>
      <c r="R38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388" s="89">
        <f t="shared" si="6"/>
        <v>14.224</v>
      </c>
      <c r="T388" s="96">
        <f>IF(LS[[#This Row],[B/S]]="B",0,ABS(LS[[#This Row],[Unit]])*(LS[[#This Row],[NAV (Strike Rate)]]-INDEX(LS[NAV at Cost (Average)],MATCH(CONCATENATE(LS[[#This Row],[Frequency]]-1,LS[[#This Row],[Investor ID]]),LS[Unique Code],0),)))</f>
        <v>17259.999999999993</v>
      </c>
      <c r="U388" s="96" cm="1">
        <f t="array" ref="U388">IF(LS[[#This Row],[B/S]]="S",ABS(LS[[#This Row],[Unit]])*(INDEX(LS[NAV at Cost (Average)],MATCH(CONCATENATE((LS[[#This Row],[Frequency]]-1),LS[[#This Row],[Investor ID]]),LS[Unique Code],0),0)),0)</f>
        <v>200000</v>
      </c>
      <c r="V388" s="96">
        <f>IF(LS[[#This Row],[BO TRANSFER]]="YES",LS[[#This Row],[Unit]],)</f>
        <v>0</v>
      </c>
      <c r="W388" s="96">
        <f>SUMIFS(LS[[#Headers],[BO UNIT TRANSFER]]:LS[[#This Row],[BO UNIT TRANSFER]],LS[[#Headers],[Investor ID]]:LS[[#This Row],[Investor ID]],LS[[#This Row],[Investor ID]])</f>
        <v>0</v>
      </c>
    </row>
    <row r="389" spans="1:23">
      <c r="A389" s="75">
        <v>2024</v>
      </c>
      <c r="B389" s="75">
        <v>3</v>
      </c>
      <c r="C389" s="75">
        <v>20</v>
      </c>
      <c r="D389" s="81">
        <f>DATE(LS[[#This Row],[Year]],LS[[#This Row],[Month]],LS[[#This Row],[Day]])</f>
        <v>45371</v>
      </c>
      <c r="E389" t="str" cm="1">
        <f t="array" ref="E389">INDEX(INVESTORS_LIST[INVESTOR NAME],MATCH(LS[[#This Row],[Investor ID]],INVESTORS_LIST[INVESTOR CODE],0),)</f>
        <v>BEAUTY BEGUM LOTA</v>
      </c>
      <c r="F389" s="83" t="s">
        <v>1081</v>
      </c>
      <c r="G389" s="75">
        <f>COUNTIF(LS[[#Headers],[Investor ID]]:LS[[#This Row],[Investor ID]],LS[[#This Row],[Investor ID]])</f>
        <v>6</v>
      </c>
      <c r="H389" s="75" t="str">
        <f>CONCATENATE(LS[[#This Row],[Frequency]],LS[[#This Row],[Investor ID]])</f>
        <v>6A00518</v>
      </c>
      <c r="I389" s="75" t="str">
        <f>IF(LS[[#This Row],[B/S]]="B","BUY",(IF(LS[[#This Row],[B/S]]="S","SELL"," ")))</f>
        <v>BUY</v>
      </c>
      <c r="J389" s="75" t="s">
        <v>1229</v>
      </c>
      <c r="K389" s="88">
        <v>101460</v>
      </c>
      <c r="L389" s="88"/>
      <c r="M389" s="89">
        <f>LS[[#This Row],[Amount]]/LS[[#This Row],[Unit]]</f>
        <v>10.862955032119915</v>
      </c>
      <c r="N389" s="90">
        <f>LS[[#This Row],[Unit Capital]]/10</f>
        <v>9340</v>
      </c>
      <c r="O389" s="90">
        <f>SUMIFS(LS[[#Headers],[Unit]]:LS[[#This Row],[Unit]],LS[[#Headers],[Investor ID]]:LS[[#This Row],[Investor ID]],LS[[#This Row],[Investor ID]])</f>
        <v>160180</v>
      </c>
      <c r="P389" s="96">
        <v>93400</v>
      </c>
      <c r="Q389" s="48">
        <f>LS[[#This Row],[Amount]]-LS[[#This Row],[Unit Capital]]</f>
        <v>8060</v>
      </c>
      <c r="R38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10.651426191761685</v>
      </c>
      <c r="S389" s="89">
        <f t="shared" si="6"/>
        <v>14.224</v>
      </c>
      <c r="T38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89" s="96" cm="1">
        <f t="array" ref="U389">IF(LS[[#This Row],[B/S]]="S",ABS(LS[[#This Row],[Unit]])*(INDEX(LS[NAV at Cost (Average)],MATCH(CONCATENATE((LS[[#This Row],[Frequency]]-1),LS[[#This Row],[Investor ID]]),LS[Unique Code],0),0)),0)</f>
        <v>0</v>
      </c>
      <c r="V389" s="96">
        <f>IF(LS[[#This Row],[BO TRANSFER]]="YES",LS[[#This Row],[Unit]],)</f>
        <v>0</v>
      </c>
      <c r="W389" s="96">
        <f>SUMIFS(LS[[#Headers],[BO UNIT TRANSFER]]:LS[[#This Row],[BO UNIT TRANSFER]],LS[[#Headers],[Investor ID]]:LS[[#This Row],[Investor ID]],LS[[#This Row],[Investor ID]])</f>
        <v>0</v>
      </c>
    </row>
    <row r="390" spans="1:23">
      <c r="A390" s="75">
        <v>2024</v>
      </c>
      <c r="B390" s="75">
        <v>3</v>
      </c>
      <c r="C390" s="75">
        <v>18</v>
      </c>
      <c r="D390" s="81">
        <f>DATE(LS[[#This Row],[Year]],LS[[#This Row],[Month]],LS[[#This Row],[Day]])</f>
        <v>45369</v>
      </c>
      <c r="E390" t="str" cm="1">
        <f t="array" ref="E390">INDEX(INVESTORS_LIST[INVESTOR NAME],MATCH(LS[[#This Row],[Investor ID]],INVESTORS_LIST[INVESTOR CODE],0),)</f>
        <v>KAZI HABIBUR RAHMAN</v>
      </c>
      <c r="F390" s="83" t="s">
        <v>1114</v>
      </c>
      <c r="G390" s="75">
        <f>COUNTIF(LS[[#Headers],[Investor ID]]:LS[[#This Row],[Investor ID]],LS[[#This Row],[Investor ID]])</f>
        <v>4</v>
      </c>
      <c r="H390" s="75" t="str">
        <f>CONCATENATE(LS[[#This Row],[Frequency]],LS[[#This Row],[Investor ID]])</f>
        <v>4A00532</v>
      </c>
      <c r="I390" s="75" t="str">
        <f>IF(LS[[#This Row],[B/S]]="B","BUY",(IF(LS[[#This Row],[B/S]]="S","SELL"," ")))</f>
        <v>BUY</v>
      </c>
      <c r="J390" s="75" t="s">
        <v>1229</v>
      </c>
      <c r="K390" s="88">
        <v>450000</v>
      </c>
      <c r="L390" s="88"/>
      <c r="M390" s="89">
        <f>LS[[#This Row],[Amount]]/LS[[#This Row],[Unit]]</f>
        <v>10.863005431502716</v>
      </c>
      <c r="N390" s="90">
        <f>LS[[#This Row],[Unit Capital]]/10</f>
        <v>41425</v>
      </c>
      <c r="O390" s="90">
        <f>SUMIFS(LS[[#Headers],[Unit]]:LS[[#This Row],[Unit]],LS[[#Headers],[Investor ID]]:LS[[#This Row],[Investor ID]],LS[[#This Row],[Investor ID]])</f>
        <v>158364</v>
      </c>
      <c r="P390" s="96">
        <v>414250</v>
      </c>
      <c r="Q390" s="48">
        <f>LS[[#This Row],[Amount]]-LS[[#This Row],[Unit Capital]]</f>
        <v>35750</v>
      </c>
      <c r="R39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10.854739713571266</v>
      </c>
      <c r="S390" s="89">
        <f t="shared" si="6"/>
        <v>14.224</v>
      </c>
      <c r="T39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0" s="96" cm="1">
        <f t="array" ref="U390">IF(LS[[#This Row],[B/S]]="S",ABS(LS[[#This Row],[Unit]])*(INDEX(LS[NAV at Cost (Average)],MATCH(CONCATENATE((LS[[#This Row],[Frequency]]-1),LS[[#This Row],[Investor ID]]),LS[Unique Code],0),0)),0)</f>
        <v>0</v>
      </c>
      <c r="V390" s="96">
        <f>IF(LS[[#This Row],[BO TRANSFER]]="YES",LS[[#This Row],[Unit]],)</f>
        <v>0</v>
      </c>
      <c r="W390" s="96">
        <f>SUMIFS(LS[[#Headers],[BO UNIT TRANSFER]]:LS[[#This Row],[BO UNIT TRANSFER]],LS[[#Headers],[Investor ID]]:LS[[#This Row],[Investor ID]],LS[[#This Row],[Investor ID]])</f>
        <v>0</v>
      </c>
    </row>
    <row r="391" spans="1:23">
      <c r="A391" s="75">
        <v>2024</v>
      </c>
      <c r="B391" s="75">
        <v>3</v>
      </c>
      <c r="C391" s="75">
        <v>18</v>
      </c>
      <c r="D391" s="81">
        <f>DATE(LS[[#This Row],[Year]],LS[[#This Row],[Month]],LS[[#This Row],[Day]])</f>
        <v>45369</v>
      </c>
      <c r="E391" t="str" cm="1">
        <f t="array" ref="E391">INDEX(INVESTORS_LIST[INVESTOR NAME],MATCH(LS[[#This Row],[Investor ID]],INVESTORS_LIST[INVESTOR CODE],0),)</f>
        <v>KAZI HABIBUR RAHMAN</v>
      </c>
      <c r="F391" s="83" t="s">
        <v>1114</v>
      </c>
      <c r="G391" s="75">
        <f>COUNTIF(LS[[#Headers],[Investor ID]]:LS[[#This Row],[Investor ID]],LS[[#This Row],[Investor ID]])</f>
        <v>5</v>
      </c>
      <c r="H391" s="75" t="str">
        <f>CONCATENATE(LS[[#This Row],[Frequency]],LS[[#This Row],[Investor ID]])</f>
        <v>5A00532</v>
      </c>
      <c r="I391" s="75" t="str">
        <f>IF(LS[[#This Row],[B/S]]="B","BUY",(IF(LS[[#This Row],[B/S]]="S","SELL"," ")))</f>
        <v>BUY</v>
      </c>
      <c r="J391" s="75" t="s">
        <v>1229</v>
      </c>
      <c r="K391" s="88">
        <v>450000</v>
      </c>
      <c r="L391" s="88"/>
      <c r="M391" s="89">
        <f>LS[[#This Row],[Amount]]/LS[[#This Row],[Unit]]</f>
        <v>10.863005431502716</v>
      </c>
      <c r="N391" s="90">
        <f>LS[[#This Row],[Unit Capital]]/10</f>
        <v>41425</v>
      </c>
      <c r="O391" s="90">
        <f>SUMIFS(LS[[#Headers],[Unit]]:LS[[#This Row],[Unit]],LS[[#Headers],[Investor ID]]:LS[[#This Row],[Investor ID]],LS[[#This Row],[Investor ID]])</f>
        <v>199789</v>
      </c>
      <c r="P391" s="96">
        <v>414250</v>
      </c>
      <c r="Q391" s="48">
        <f>LS[[#This Row],[Amount]]-LS[[#This Row],[Unit Capital]]</f>
        <v>35750</v>
      </c>
      <c r="R39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10.856453558504221</v>
      </c>
      <c r="S391" s="89">
        <f t="shared" si="6"/>
        <v>14.224</v>
      </c>
      <c r="T39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1" s="96" cm="1">
        <f t="array" ref="U391">IF(LS[[#This Row],[B/S]]="S",ABS(LS[[#This Row],[Unit]])*(INDEX(LS[NAV at Cost (Average)],MATCH(CONCATENATE((LS[[#This Row],[Frequency]]-1),LS[[#This Row],[Investor ID]]),LS[Unique Code],0),0)),0)</f>
        <v>0</v>
      </c>
      <c r="V391" s="96">
        <f>IF(LS[[#This Row],[BO TRANSFER]]="YES",LS[[#This Row],[Unit]],)</f>
        <v>0</v>
      </c>
      <c r="W391" s="96">
        <f>SUMIFS(LS[[#Headers],[BO UNIT TRANSFER]]:LS[[#This Row],[BO UNIT TRANSFER]],LS[[#Headers],[Investor ID]]:LS[[#This Row],[Investor ID]],LS[[#This Row],[Investor ID]])</f>
        <v>0</v>
      </c>
    </row>
    <row r="392" spans="1:23">
      <c r="A392" s="75">
        <v>2024</v>
      </c>
      <c r="B392" s="75">
        <v>3</v>
      </c>
      <c r="C392" s="75">
        <v>19</v>
      </c>
      <c r="D392" s="81">
        <f>DATE(LS[[#This Row],[Year]],LS[[#This Row],[Month]],LS[[#This Row],[Day]])</f>
        <v>45370</v>
      </c>
      <c r="E392" t="str" cm="1">
        <f t="array" ref="E392">INDEX(INVESTORS_LIST[INVESTOR NAME],MATCH(LS[[#This Row],[Investor ID]],INVESTORS_LIST[INVESTOR CODE],0),)</f>
        <v>SHAH MUNTASIN MUJTABA</v>
      </c>
      <c r="F392" s="83" t="s">
        <v>1103</v>
      </c>
      <c r="G392" s="75">
        <f>COUNTIF(LS[[#Headers],[Investor ID]]:LS[[#This Row],[Investor ID]],LS[[#This Row],[Investor ID]])</f>
        <v>2</v>
      </c>
      <c r="H392" s="75" t="str">
        <f>CONCATENATE(LS[[#This Row],[Frequency]],LS[[#This Row],[Investor ID]])</f>
        <v>2A00528</v>
      </c>
      <c r="I392" s="75" t="str">
        <f>IF(LS[[#This Row],[B/S]]="B","BUY",(IF(LS[[#This Row],[B/S]]="S","SELL"," ")))</f>
        <v>BUY</v>
      </c>
      <c r="J392" s="75" t="s">
        <v>1229</v>
      </c>
      <c r="K392" s="88">
        <v>603993</v>
      </c>
      <c r="L392" s="88"/>
      <c r="M392" s="89">
        <f>LS[[#This Row],[Amount]]/LS[[#This Row],[Unit]]</f>
        <v>10.862988075754034</v>
      </c>
      <c r="N392" s="90">
        <f>LS[[#This Row],[Unit Capital]]/10</f>
        <v>55601</v>
      </c>
      <c r="O392" s="90">
        <f>SUMIFS(LS[[#Headers],[Unit]]:LS[[#This Row],[Unit]],LS[[#Headers],[Investor ID]]:LS[[#This Row],[Investor ID]],LS[[#This Row],[Investor ID]])</f>
        <v>398601</v>
      </c>
      <c r="P392" s="96">
        <v>556010</v>
      </c>
      <c r="Q392" s="48">
        <f>LS[[#This Row],[Amount]]-LS[[#This Row],[Unit Capital]]</f>
        <v>47983</v>
      </c>
      <c r="R39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10.796739094984709</v>
      </c>
      <c r="S392" s="89">
        <f t="shared" si="6"/>
        <v>14.224</v>
      </c>
      <c r="T39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2" s="96" cm="1">
        <f t="array" ref="U392">IF(LS[[#This Row],[B/S]]="S",ABS(LS[[#This Row],[Unit]])*(INDEX(LS[NAV at Cost (Average)],MATCH(CONCATENATE((LS[[#This Row],[Frequency]]-1),LS[[#This Row],[Investor ID]]),LS[Unique Code],0),0)),0)</f>
        <v>0</v>
      </c>
      <c r="V392" s="96">
        <f>IF(LS[[#This Row],[BO TRANSFER]]="YES",LS[[#This Row],[Unit]],)</f>
        <v>0</v>
      </c>
      <c r="W392" s="96">
        <f>SUMIFS(LS[[#Headers],[BO UNIT TRANSFER]]:LS[[#This Row],[BO UNIT TRANSFER]],LS[[#Headers],[Investor ID]]:LS[[#This Row],[Investor ID]],LS[[#This Row],[Investor ID]])</f>
        <v>0</v>
      </c>
    </row>
    <row r="393" spans="1:23">
      <c r="A393" s="75">
        <v>2024</v>
      </c>
      <c r="B393" s="75">
        <v>3</v>
      </c>
      <c r="C393" s="75">
        <v>19</v>
      </c>
      <c r="D393" s="81">
        <f>DATE(LS[[#This Row],[Year]],LS[[#This Row],[Month]],LS[[#This Row],[Day]])</f>
        <v>45370</v>
      </c>
      <c r="E393" t="str" cm="1">
        <f t="array" ref="E393">INDEX(INVESTORS_LIST[INVESTOR NAME],MATCH(LS[[#This Row],[Investor ID]],INVESTORS_LIST[INVESTOR CODE],0),)</f>
        <v>SYED FAZLE RABBY</v>
      </c>
      <c r="F393" s="83" t="s">
        <v>166</v>
      </c>
      <c r="G393" s="75">
        <f>COUNTIF(LS[[#Headers],[Investor ID]]:LS[[#This Row],[Investor ID]],LS[[#This Row],[Investor ID]])</f>
        <v>13</v>
      </c>
      <c r="H393" s="75" t="str">
        <f>CONCATENATE(LS[[#This Row],[Frequency]],LS[[#This Row],[Investor ID]])</f>
        <v>13A00059</v>
      </c>
      <c r="I393" s="75" t="str">
        <f>IF(LS[[#This Row],[B/S]]="B","BUY",(IF(LS[[#This Row],[B/S]]="S","SELL"," ")))</f>
        <v>BUY</v>
      </c>
      <c r="J393" s="75" t="s">
        <v>1229</v>
      </c>
      <c r="K393" s="88">
        <v>100000</v>
      </c>
      <c r="L393" s="88"/>
      <c r="M393" s="89">
        <f>LS[[#This Row],[Amount]]/LS[[#This Row],[Unit]]</f>
        <v>10.862480990658266</v>
      </c>
      <c r="N393" s="90">
        <f>LS[[#This Row],[Unit Capital]]/10</f>
        <v>9206</v>
      </c>
      <c r="O393" s="90">
        <f>SUMIFS(LS[[#Headers],[Unit]]:LS[[#This Row],[Unit]],LS[[#Headers],[Investor ID]]:LS[[#This Row],[Investor ID]],LS[[#This Row],[Investor ID]])</f>
        <v>385478</v>
      </c>
      <c r="P393" s="96">
        <v>92060</v>
      </c>
      <c r="Q393" s="48">
        <f>LS[[#This Row],[Amount]]-LS[[#This Row],[Unit Capital]]</f>
        <v>7940</v>
      </c>
      <c r="R39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10.739912524190744</v>
      </c>
      <c r="S393" s="89">
        <f t="shared" si="6"/>
        <v>14.224</v>
      </c>
      <c r="T39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3" s="96" cm="1">
        <f t="array" ref="U393">IF(LS[[#This Row],[B/S]]="S",ABS(LS[[#This Row],[Unit]])*(INDEX(LS[NAV at Cost (Average)],MATCH(CONCATENATE((LS[[#This Row],[Frequency]]-1),LS[[#This Row],[Investor ID]]),LS[Unique Code],0),0)),0)</f>
        <v>0</v>
      </c>
      <c r="V393" s="96">
        <f>IF(LS[[#This Row],[BO TRANSFER]]="YES",LS[[#This Row],[Unit]],)</f>
        <v>0</v>
      </c>
      <c r="W393" s="96">
        <f>SUMIFS(LS[[#Headers],[BO UNIT TRANSFER]]:LS[[#This Row],[BO UNIT TRANSFER]],LS[[#Headers],[Investor ID]]:LS[[#This Row],[Investor ID]],LS[[#This Row],[Investor ID]])</f>
        <v>0</v>
      </c>
    </row>
    <row r="394" spans="1:23">
      <c r="A394" s="75">
        <v>2024</v>
      </c>
      <c r="B394" s="75">
        <v>3</v>
      </c>
      <c r="C394" s="75">
        <v>19</v>
      </c>
      <c r="D394" s="81">
        <f>DATE(LS[[#This Row],[Year]],LS[[#This Row],[Month]],LS[[#This Row],[Day]])</f>
        <v>45370</v>
      </c>
      <c r="E394" t="str" cm="1">
        <f t="array" ref="E394">INDEX(INVESTORS_LIST[INVESTOR NAME],MATCH(LS[[#This Row],[Investor ID]],INVESTORS_LIST[INVESTOR CODE],0),)</f>
        <v>NAZMUL AHSAN</v>
      </c>
      <c r="F394" s="83" t="s">
        <v>262</v>
      </c>
      <c r="G394" s="75">
        <f>COUNTIF(LS[[#Headers],[Investor ID]]:LS[[#This Row],[Investor ID]],LS[[#This Row],[Investor ID]])</f>
        <v>1</v>
      </c>
      <c r="H394" s="75" t="str">
        <f>CONCATENATE(LS[[#This Row],[Frequency]],LS[[#This Row],[Investor ID]])</f>
        <v>1A00107</v>
      </c>
      <c r="I394" s="75" t="str">
        <f>IF(LS[[#This Row],[B/S]]="B","BUY",(IF(LS[[#This Row],[B/S]]="S","SELL"," ")))</f>
        <v>BUY</v>
      </c>
      <c r="J394" s="75" t="s">
        <v>1229</v>
      </c>
      <c r="K394" s="88">
        <v>1400000</v>
      </c>
      <c r="L394" s="88"/>
      <c r="M394" s="89">
        <f>LS[[#This Row],[Amount]]/LS[[#This Row],[Unit]]</f>
        <v>10.862986700600567</v>
      </c>
      <c r="N394" s="90">
        <f>LS[[#This Row],[Unit Capital]]/10</f>
        <v>128878</v>
      </c>
      <c r="O394" s="90">
        <f>SUMIFS(LS[[#Headers],[Unit]]:LS[[#This Row],[Unit]],LS[[#Headers],[Investor ID]]:LS[[#This Row],[Investor ID]],LS[[#This Row],[Investor ID]])</f>
        <v>128878</v>
      </c>
      <c r="P394" s="96">
        <v>1288780</v>
      </c>
      <c r="Q394" s="48">
        <f>LS[[#This Row],[Amount]]-LS[[#This Row],[Unit Capital]]</f>
        <v>111220</v>
      </c>
      <c r="R39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10.862986700600567</v>
      </c>
      <c r="S394" s="89">
        <f t="shared" si="6"/>
        <v>14.224</v>
      </c>
      <c r="T39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4" s="96" cm="1">
        <f t="array" ref="U394">IF(LS[[#This Row],[B/S]]="S",ABS(LS[[#This Row],[Unit]])*(INDEX(LS[NAV at Cost (Average)],MATCH(CONCATENATE((LS[[#This Row],[Frequency]]-1),LS[[#This Row],[Investor ID]]),LS[Unique Code],0),0)),0)</f>
        <v>0</v>
      </c>
      <c r="V394" s="96">
        <f>IF(LS[[#This Row],[BO TRANSFER]]="YES",LS[[#This Row],[Unit]],)</f>
        <v>0</v>
      </c>
      <c r="W394" s="96">
        <f>SUMIFS(LS[[#Headers],[BO UNIT TRANSFER]]:LS[[#This Row],[BO UNIT TRANSFER]],LS[[#Headers],[Investor ID]]:LS[[#This Row],[Investor ID]],LS[[#This Row],[Investor ID]])</f>
        <v>0</v>
      </c>
    </row>
    <row r="395" spans="1:23">
      <c r="A395" s="75">
        <v>2024</v>
      </c>
      <c r="B395" s="75">
        <v>3</v>
      </c>
      <c r="C395" s="75">
        <v>19</v>
      </c>
      <c r="D395" s="81">
        <f>DATE(LS[[#This Row],[Year]],LS[[#This Row],[Month]],LS[[#This Row],[Day]])</f>
        <v>45370</v>
      </c>
      <c r="E395" t="str" cm="1">
        <f t="array" ref="E395">INDEX(INVESTORS_LIST[INVESTOR NAME],MATCH(LS[[#This Row],[Investor ID]],INVESTORS_LIST[INVESTOR CODE],0),)</f>
        <v>KAZI HABIBUR RAHMAN</v>
      </c>
      <c r="F395" s="83" t="s">
        <v>1114</v>
      </c>
      <c r="G395" s="75">
        <f>COUNTIF(LS[[#Headers],[Investor ID]]:LS[[#This Row],[Investor ID]],LS[[#This Row],[Investor ID]])</f>
        <v>6</v>
      </c>
      <c r="H395" s="75" t="str">
        <f>CONCATENATE(LS[[#This Row],[Frequency]],LS[[#This Row],[Investor ID]])</f>
        <v>6A00532</v>
      </c>
      <c r="I395" s="75" t="str">
        <f>IF(LS[[#This Row],[B/S]]="B","BUY",(IF(LS[[#This Row],[B/S]]="S","SELL"," ")))</f>
        <v>BUY</v>
      </c>
      <c r="J395" s="75" t="s">
        <v>1229</v>
      </c>
      <c r="K395" s="88">
        <v>480000</v>
      </c>
      <c r="L395" s="88"/>
      <c r="M395" s="89">
        <f>LS[[#This Row],[Amount]]/LS[[#This Row],[Unit]]</f>
        <v>10.862923484282707</v>
      </c>
      <c r="N395" s="90">
        <f>LS[[#This Row],[Unit Capital]]/10</f>
        <v>44187</v>
      </c>
      <c r="O395" s="90">
        <f>SUMIFS(LS[[#Headers],[Unit]]:LS[[#This Row],[Unit]],LS[[#Headers],[Investor ID]]:LS[[#This Row],[Investor ID]],LS[[#This Row],[Investor ID]])</f>
        <v>243976</v>
      </c>
      <c r="P395" s="96">
        <v>441870</v>
      </c>
      <c r="Q395" s="48">
        <f>LS[[#This Row],[Amount]]-LS[[#This Row],[Unit Capital]]</f>
        <v>38130</v>
      </c>
      <c r="R39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10.857625340197396</v>
      </c>
      <c r="S395" s="89">
        <f t="shared" si="6"/>
        <v>14.224</v>
      </c>
      <c r="T39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5" s="96" cm="1">
        <f t="array" ref="U395">IF(LS[[#This Row],[B/S]]="S",ABS(LS[[#This Row],[Unit]])*(INDEX(LS[NAV at Cost (Average)],MATCH(CONCATENATE((LS[[#This Row],[Frequency]]-1),LS[[#This Row],[Investor ID]]),LS[Unique Code],0),0)),0)</f>
        <v>0</v>
      </c>
      <c r="V395" s="96">
        <f>IF(LS[[#This Row],[BO TRANSFER]]="YES",LS[[#This Row],[Unit]],)</f>
        <v>0</v>
      </c>
      <c r="W395" s="96">
        <f>SUMIFS(LS[[#Headers],[BO UNIT TRANSFER]]:LS[[#This Row],[BO UNIT TRANSFER]],LS[[#Headers],[Investor ID]]:LS[[#This Row],[Investor ID]],LS[[#This Row],[Investor ID]])</f>
        <v>0</v>
      </c>
    </row>
    <row r="396" spans="1:23">
      <c r="A396" s="75">
        <v>2024</v>
      </c>
      <c r="B396" s="75">
        <v>3</v>
      </c>
      <c r="C396" s="75">
        <v>20</v>
      </c>
      <c r="D396" s="81">
        <f>DATE(LS[[#This Row],[Year]],LS[[#This Row],[Month]],LS[[#This Row],[Day]])</f>
        <v>45371</v>
      </c>
      <c r="E396" t="str" cm="1">
        <f t="array" ref="E396">INDEX(INVESTORS_LIST[INVESTOR NAME],MATCH(LS[[#This Row],[Investor ID]],INVESTORS_LIST[INVESTOR CODE],0),)</f>
        <v>SYED FAZLE RABBY</v>
      </c>
      <c r="F396" s="83" t="s">
        <v>166</v>
      </c>
      <c r="G396" s="75">
        <f>COUNTIF(LS[[#Headers],[Investor ID]]:LS[[#This Row],[Investor ID]],LS[[#This Row],[Investor ID]])</f>
        <v>14</v>
      </c>
      <c r="H396" s="75" t="str">
        <f>CONCATENATE(LS[[#This Row],[Frequency]],LS[[#This Row],[Investor ID]])</f>
        <v>14A00059</v>
      </c>
      <c r="I396" s="75" t="str">
        <f>IF(LS[[#This Row],[B/S]]="B","BUY",(IF(LS[[#This Row],[B/S]]="S","SELL"," ")))</f>
        <v>BUY</v>
      </c>
      <c r="J396" s="75" t="s">
        <v>1229</v>
      </c>
      <c r="K396" s="88">
        <v>100000</v>
      </c>
      <c r="L396" s="88"/>
      <c r="M396" s="89">
        <f>LS[[#This Row],[Amount]]/LS[[#This Row],[Unit]]</f>
        <v>10.862480990658266</v>
      </c>
      <c r="N396" s="90">
        <f>LS[[#This Row],[Unit Capital]]/10</f>
        <v>9206</v>
      </c>
      <c r="O396" s="90">
        <f>SUMIFS(LS[[#Headers],[Unit]]:LS[[#This Row],[Unit]],LS[[#Headers],[Investor ID]]:LS[[#This Row],[Investor ID]],LS[[#This Row],[Investor ID]])</f>
        <v>394684</v>
      </c>
      <c r="P396" s="96">
        <v>92060</v>
      </c>
      <c r="Q396" s="48">
        <f>LS[[#This Row],[Amount]]-LS[[#This Row],[Unit Capital]]</f>
        <v>7940</v>
      </c>
      <c r="R39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10.742771432335743</v>
      </c>
      <c r="S396" s="89">
        <f t="shared" si="6"/>
        <v>14.224</v>
      </c>
      <c r="T39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6" s="96" cm="1">
        <f t="array" ref="U396">IF(LS[[#This Row],[B/S]]="S",ABS(LS[[#This Row],[Unit]])*(INDEX(LS[NAV at Cost (Average)],MATCH(CONCATENATE((LS[[#This Row],[Frequency]]-1),LS[[#This Row],[Investor ID]]),LS[Unique Code],0),0)),0)</f>
        <v>0</v>
      </c>
      <c r="V396" s="96">
        <f>IF(LS[[#This Row],[BO TRANSFER]]="YES",LS[[#This Row],[Unit]],)</f>
        <v>0</v>
      </c>
      <c r="W396" s="96">
        <f>SUMIFS(LS[[#Headers],[BO UNIT TRANSFER]]:LS[[#This Row],[BO UNIT TRANSFER]],LS[[#Headers],[Investor ID]]:LS[[#This Row],[Investor ID]],LS[[#This Row],[Investor ID]])</f>
        <v>0</v>
      </c>
    </row>
    <row r="397" spans="1:23">
      <c r="A397" s="75">
        <v>2024</v>
      </c>
      <c r="B397" s="75">
        <v>3</v>
      </c>
      <c r="C397" s="75">
        <v>21</v>
      </c>
      <c r="D397" s="81">
        <f>DATE(LS[[#This Row],[Year]],LS[[#This Row],[Month]],LS[[#This Row],[Day]])</f>
        <v>45372</v>
      </c>
      <c r="E397" t="str" cm="1">
        <f t="array" ref="E397">INDEX(INVESTORS_LIST[INVESTOR NAME],MATCH(LS[[#This Row],[Investor ID]],INVESTORS_LIST[INVESTOR CODE],0),)</f>
        <v>KAZI HABIBUR RAHMAN</v>
      </c>
      <c r="F397" s="83" t="s">
        <v>1114</v>
      </c>
      <c r="G397" s="75">
        <f>COUNTIF(LS[[#Headers],[Investor ID]]:LS[[#This Row],[Investor ID]],LS[[#This Row],[Investor ID]])</f>
        <v>7</v>
      </c>
      <c r="H397" s="75" t="str">
        <f>CONCATENATE(LS[[#This Row],[Frequency]],LS[[#This Row],[Investor ID]])</f>
        <v>7A00532</v>
      </c>
      <c r="I397" s="75" t="str">
        <f>IF(LS[[#This Row],[B/S]]="B","BUY",(IF(LS[[#This Row],[B/S]]="S","SELL"," ")))</f>
        <v>BUY</v>
      </c>
      <c r="J397" s="75" t="s">
        <v>1229</v>
      </c>
      <c r="K397" s="88">
        <v>455000</v>
      </c>
      <c r="L397" s="88"/>
      <c r="M397" s="89">
        <f>LS[[#This Row],[Amount]]/LS[[#This Row],[Unit]]</f>
        <v>10.863077474036052</v>
      </c>
      <c r="N397" s="90">
        <f>LS[[#This Row],[Unit Capital]]/10</f>
        <v>41885</v>
      </c>
      <c r="O397" s="90">
        <f>SUMIFS(LS[[#Headers],[Unit]]:LS[[#This Row],[Unit]],LS[[#Headers],[Investor ID]]:LS[[#This Row],[Investor ID]],LS[[#This Row],[Investor ID]])</f>
        <v>285861</v>
      </c>
      <c r="P397" s="96">
        <v>418850</v>
      </c>
      <c r="Q397" s="48">
        <f>LS[[#This Row],[Amount]]-LS[[#This Row],[Unit Capital]]</f>
        <v>36150</v>
      </c>
      <c r="R39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10.858424199173726</v>
      </c>
      <c r="S397" s="89">
        <f t="shared" si="6"/>
        <v>14.224</v>
      </c>
      <c r="T39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7" s="96" cm="1">
        <f t="array" ref="U397">IF(LS[[#This Row],[B/S]]="S",ABS(LS[[#This Row],[Unit]])*(INDEX(LS[NAV at Cost (Average)],MATCH(CONCATENATE((LS[[#This Row],[Frequency]]-1),LS[[#This Row],[Investor ID]]),LS[Unique Code],0),0)),0)</f>
        <v>0</v>
      </c>
      <c r="V397" s="96">
        <f>IF(LS[[#This Row],[BO TRANSFER]]="YES",LS[[#This Row],[Unit]],)</f>
        <v>0</v>
      </c>
      <c r="W397" s="96">
        <f>SUMIFS(LS[[#Headers],[BO UNIT TRANSFER]]:LS[[#This Row],[BO UNIT TRANSFER]],LS[[#Headers],[Investor ID]]:LS[[#This Row],[Investor ID]],LS[[#This Row],[Investor ID]])</f>
        <v>0</v>
      </c>
    </row>
    <row r="398" spans="1:23">
      <c r="A398" s="75">
        <v>2024</v>
      </c>
      <c r="B398" s="75">
        <v>3</v>
      </c>
      <c r="C398" s="75">
        <v>21</v>
      </c>
      <c r="D398" s="81">
        <f>DATE(LS[[#This Row],[Year]],LS[[#This Row],[Month]],LS[[#This Row],[Day]])</f>
        <v>45372</v>
      </c>
      <c r="E398" t="str" cm="1">
        <f t="array" ref="E398">INDEX(INVESTORS_LIST[INVESTOR NAME],MATCH(LS[[#This Row],[Investor ID]],INVESTORS_LIST[INVESTOR CODE],0),)</f>
        <v>SUHAIEB CHOWDHURY</v>
      </c>
      <c r="F398" s="83" t="s">
        <v>288</v>
      </c>
      <c r="G398" s="75">
        <f>COUNTIF(LS[[#Headers],[Investor ID]]:LS[[#This Row],[Investor ID]],LS[[#This Row],[Investor ID]])</f>
        <v>1</v>
      </c>
      <c r="H398" s="75" t="str">
        <f>CONCATENATE(LS[[#This Row],[Frequency]],LS[[#This Row],[Investor ID]])</f>
        <v>1A00120</v>
      </c>
      <c r="I398" s="75" t="str">
        <f>IF(LS[[#This Row],[B/S]]="B","BUY",(IF(LS[[#This Row],[B/S]]="S","SELL"," ")))</f>
        <v>BUY</v>
      </c>
      <c r="J398" s="75" t="s">
        <v>1229</v>
      </c>
      <c r="K398" s="88">
        <v>2715750</v>
      </c>
      <c r="L398" s="88"/>
      <c r="M398" s="89">
        <f>LS[[#This Row],[Amount]]/LS[[#This Row],[Unit]]</f>
        <v>10.863</v>
      </c>
      <c r="N398" s="90">
        <f>LS[[#This Row],[Unit Capital]]/10</f>
        <v>250000</v>
      </c>
      <c r="O398" s="90">
        <f>SUMIFS(LS[[#Headers],[Unit]]:LS[[#This Row],[Unit]],LS[[#Headers],[Investor ID]]:LS[[#This Row],[Investor ID]],LS[[#This Row],[Investor ID]])</f>
        <v>250000</v>
      </c>
      <c r="P398" s="96">
        <v>2500000</v>
      </c>
      <c r="Q398" s="48">
        <f>LS[[#This Row],[Amount]]-LS[[#This Row],[Unit Capital]]</f>
        <v>215750</v>
      </c>
      <c r="R39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10.863</v>
      </c>
      <c r="S398" s="89">
        <f t="shared" si="6"/>
        <v>14.224</v>
      </c>
      <c r="T39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8" s="96" cm="1">
        <f t="array" ref="U398">IF(LS[[#This Row],[B/S]]="S",ABS(LS[[#This Row],[Unit]])*(INDEX(LS[NAV at Cost (Average)],MATCH(CONCATENATE((LS[[#This Row],[Frequency]]-1),LS[[#This Row],[Investor ID]]),LS[Unique Code],0),0)),0)</f>
        <v>0</v>
      </c>
      <c r="V398" s="96">
        <f>IF(LS[[#This Row],[BO TRANSFER]]="YES",LS[[#This Row],[Unit]],)</f>
        <v>0</v>
      </c>
      <c r="W398" s="96">
        <f>SUMIFS(LS[[#Headers],[BO UNIT TRANSFER]]:LS[[#This Row],[BO UNIT TRANSFER]],LS[[#Headers],[Investor ID]]:LS[[#This Row],[Investor ID]],LS[[#This Row],[Investor ID]])</f>
        <v>0</v>
      </c>
    </row>
    <row r="399" spans="1:23">
      <c r="A399" s="75">
        <v>2024</v>
      </c>
      <c r="B399" s="75">
        <v>3</v>
      </c>
      <c r="C399" s="75">
        <v>21</v>
      </c>
      <c r="D399" s="81">
        <f>DATE(LS[[#This Row],[Year]],LS[[#This Row],[Month]],LS[[#This Row],[Day]])</f>
        <v>45372</v>
      </c>
      <c r="E399" t="str" cm="1">
        <f t="array" ref="E399">INDEX(INVESTORS_LIST[INVESTOR NAME],MATCH(LS[[#This Row],[Investor ID]],INVESTORS_LIST[INVESTOR CODE],0),)</f>
        <v>SUJAN BARUA</v>
      </c>
      <c r="F399" s="83" t="s">
        <v>180</v>
      </c>
      <c r="G399" s="75">
        <f>COUNTIF(LS[[#Headers],[Investor ID]]:LS[[#This Row],[Investor ID]],LS[[#This Row],[Investor ID]])</f>
        <v>1</v>
      </c>
      <c r="H399" s="75" t="str">
        <f>CONCATENATE(LS[[#This Row],[Frequency]],LS[[#This Row],[Investor ID]])</f>
        <v>1A00066</v>
      </c>
      <c r="I399" s="75" t="str">
        <f>IF(LS[[#This Row],[B/S]]="B","BUY",(IF(LS[[#This Row],[B/S]]="S","SELL"," ")))</f>
        <v>BUY</v>
      </c>
      <c r="J399" s="75" t="s">
        <v>1229</v>
      </c>
      <c r="K399" s="88">
        <v>500000</v>
      </c>
      <c r="L399" s="88"/>
      <c r="M399" s="89">
        <f>LS[[#This Row],[Amount]]/LS[[#This Row],[Unit]]</f>
        <v>10.862952985139481</v>
      </c>
      <c r="N399" s="90">
        <f>LS[[#This Row],[Unit Capital]]/10</f>
        <v>46028</v>
      </c>
      <c r="O399" s="90">
        <f>SUMIFS(LS[[#Headers],[Unit]]:LS[[#This Row],[Unit]],LS[[#Headers],[Investor ID]]:LS[[#This Row],[Investor ID]],LS[[#This Row],[Investor ID]])</f>
        <v>46028</v>
      </c>
      <c r="P399" s="96">
        <v>460280</v>
      </c>
      <c r="Q399" s="48">
        <f>LS[[#This Row],[Amount]]-LS[[#This Row],[Unit Capital]]</f>
        <v>39720</v>
      </c>
      <c r="R39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10.862952985139481</v>
      </c>
      <c r="S399" s="89">
        <f t="shared" si="6"/>
        <v>14.224</v>
      </c>
      <c r="T39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399" s="96" cm="1">
        <f t="array" ref="U399">IF(LS[[#This Row],[B/S]]="S",ABS(LS[[#This Row],[Unit]])*(INDEX(LS[NAV at Cost (Average)],MATCH(CONCATENATE((LS[[#This Row],[Frequency]]-1),LS[[#This Row],[Investor ID]]),LS[Unique Code],0),0)),0)</f>
        <v>0</v>
      </c>
      <c r="V399" s="96">
        <f>IF(LS[[#This Row],[BO TRANSFER]]="YES",LS[[#This Row],[Unit]],)</f>
        <v>0</v>
      </c>
      <c r="W399" s="96">
        <f>SUMIFS(LS[[#Headers],[BO UNIT TRANSFER]]:LS[[#This Row],[BO UNIT TRANSFER]],LS[[#Headers],[Investor ID]]:LS[[#This Row],[Investor ID]],LS[[#This Row],[Investor ID]])</f>
        <v>0</v>
      </c>
    </row>
    <row r="400" spans="1:23">
      <c r="A400" s="75">
        <v>2024</v>
      </c>
      <c r="B400" s="75">
        <v>3</v>
      </c>
      <c r="C400" s="75">
        <v>24</v>
      </c>
      <c r="D400" s="81">
        <f>DATE(LS[[#This Row],[Year]],LS[[#This Row],[Month]],LS[[#This Row],[Day]])</f>
        <v>45375</v>
      </c>
      <c r="E400" t="str" cm="1">
        <f t="array" ref="E400">INDEX(INVESTORS_LIST[INVESTOR NAME],MATCH(LS[[#This Row],[Investor ID]],INVESTORS_LIST[INVESTOR CODE],0),)</f>
        <v>MAHMUD ALI ALAMGIR</v>
      </c>
      <c r="F400" s="83" t="s">
        <v>451</v>
      </c>
      <c r="G400" s="75">
        <f>COUNTIF(LS[[#Headers],[Investor ID]]:LS[[#This Row],[Investor ID]],LS[[#This Row],[Investor ID]])</f>
        <v>6</v>
      </c>
      <c r="H400" s="75" t="str">
        <f>CONCATENATE(LS[[#This Row],[Frequency]],LS[[#This Row],[Investor ID]])</f>
        <v>6A00201</v>
      </c>
      <c r="I400" s="75" t="str">
        <f>IF(LS[[#This Row],[B/S]]="B","BUY",(IF(LS[[#This Row],[B/S]]="S","SELL"," ")))</f>
        <v>BUY</v>
      </c>
      <c r="J400" s="75" t="s">
        <v>1229</v>
      </c>
      <c r="K400" s="88">
        <v>800000</v>
      </c>
      <c r="L400" s="88"/>
      <c r="M400" s="89">
        <f>LS[[#This Row],[Amount]]/LS[[#This Row],[Unit]]</f>
        <v>10.883021126664762</v>
      </c>
      <c r="N400" s="90">
        <f>LS[[#This Row],[Unit Capital]]/10</f>
        <v>73509</v>
      </c>
      <c r="O400" s="90">
        <f>SUMIFS(LS[[#Headers],[Unit]]:LS[[#This Row],[Unit]],LS[[#Headers],[Investor ID]]:LS[[#This Row],[Investor ID]],LS[[#This Row],[Investor ID]])</f>
        <v>128095</v>
      </c>
      <c r="P400" s="96">
        <v>735090</v>
      </c>
      <c r="Q400" s="48">
        <f>LS[[#This Row],[Amount]]-LS[[#This Row],[Unit Capital]]</f>
        <v>64910</v>
      </c>
      <c r="R40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10.76452446199837</v>
      </c>
      <c r="S400" s="89">
        <f t="shared" si="6"/>
        <v>14.224</v>
      </c>
      <c r="T40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0" s="96" cm="1">
        <f t="array" ref="U400">IF(LS[[#This Row],[B/S]]="S",ABS(LS[[#This Row],[Unit]])*(INDEX(LS[NAV at Cost (Average)],MATCH(CONCATENATE((LS[[#This Row],[Frequency]]-1),LS[[#This Row],[Investor ID]]),LS[Unique Code],0),0)),0)</f>
        <v>0</v>
      </c>
      <c r="V400" s="96">
        <f>IF(LS[[#This Row],[BO TRANSFER]]="YES",LS[[#This Row],[Unit]],)</f>
        <v>0</v>
      </c>
      <c r="W400" s="96">
        <f>SUMIFS(LS[[#Headers],[BO UNIT TRANSFER]]:LS[[#This Row],[BO UNIT TRANSFER]],LS[[#Headers],[Investor ID]]:LS[[#This Row],[Investor ID]],LS[[#This Row],[Investor ID]])</f>
        <v>0</v>
      </c>
    </row>
    <row r="401" spans="1:23">
      <c r="A401" s="75">
        <v>2024</v>
      </c>
      <c r="B401" s="75">
        <v>3</v>
      </c>
      <c r="C401" s="75">
        <v>27</v>
      </c>
      <c r="D401" s="81">
        <f>DATE(LS[[#This Row],[Year]],LS[[#This Row],[Month]],LS[[#This Row],[Day]])</f>
        <v>45378</v>
      </c>
      <c r="E401" t="str" cm="1">
        <f t="array" ref="E401">INDEX(INVESTORS_LIST[INVESTOR NAME],MATCH(LS[[#This Row],[Investor ID]],INVESTORS_LIST[INVESTOR CODE],0),)</f>
        <v>ASHAK ELAHI</v>
      </c>
      <c r="F401" s="83" t="s">
        <v>1077</v>
      </c>
      <c r="G401" s="75">
        <f>COUNTIF(LS[[#Headers],[Investor ID]]:LS[[#This Row],[Investor ID]],LS[[#This Row],[Investor ID]])</f>
        <v>7</v>
      </c>
      <c r="H401" s="75" t="str">
        <f>CONCATENATE(LS[[#This Row],[Frequency]],LS[[#This Row],[Investor ID]])</f>
        <v>7A00516</v>
      </c>
      <c r="I401" s="75" t="str">
        <f>IF(LS[[#This Row],[B/S]]="B","BUY",(IF(LS[[#This Row],[B/S]]="S","SELL"," ")))</f>
        <v>BUY</v>
      </c>
      <c r="J401" s="75" t="s">
        <v>1229</v>
      </c>
      <c r="K401" s="88">
        <v>206777</v>
      </c>
      <c r="L401" s="88"/>
      <c r="M401" s="89">
        <f>LS[[#This Row],[Amount]]/LS[[#This Row],[Unit]]</f>
        <v>10.882999999999999</v>
      </c>
      <c r="N401" s="90">
        <f>LS[[#This Row],[Unit Capital]]/10</f>
        <v>19000</v>
      </c>
      <c r="O401" s="90">
        <f>SUMIFS(LS[[#Headers],[Unit]]:LS[[#This Row],[Unit]],LS[[#Headers],[Investor ID]]:LS[[#This Row],[Investor ID]],LS[[#This Row],[Investor ID]])</f>
        <v>23000</v>
      </c>
      <c r="P401" s="96">
        <v>190000</v>
      </c>
      <c r="Q401" s="48">
        <f>LS[[#This Row],[Amount]]-LS[[#This Row],[Unit Capital]]</f>
        <v>16777</v>
      </c>
      <c r="R40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10.840510893991206</v>
      </c>
      <c r="S401" s="89">
        <f t="shared" si="6"/>
        <v>14.224</v>
      </c>
      <c r="T40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1" s="96" cm="1">
        <f t="array" ref="U401">IF(LS[[#This Row],[B/S]]="S",ABS(LS[[#This Row],[Unit]])*(INDEX(LS[NAV at Cost (Average)],MATCH(CONCATENATE((LS[[#This Row],[Frequency]]-1),LS[[#This Row],[Investor ID]]),LS[Unique Code],0),0)),0)</f>
        <v>0</v>
      </c>
      <c r="V401" s="96">
        <f>IF(LS[[#This Row],[BO TRANSFER]]="YES",LS[[#This Row],[Unit]],)</f>
        <v>0</v>
      </c>
      <c r="W401" s="96">
        <f>SUMIFS(LS[[#Headers],[BO UNIT TRANSFER]]:LS[[#This Row],[BO UNIT TRANSFER]],LS[[#Headers],[Investor ID]]:LS[[#This Row],[Investor ID]],LS[[#This Row],[Investor ID]])</f>
        <v>0</v>
      </c>
    </row>
    <row r="402" spans="1:23">
      <c r="A402" s="75">
        <v>2024</v>
      </c>
      <c r="B402" s="75">
        <v>3</v>
      </c>
      <c r="C402" s="75">
        <v>28</v>
      </c>
      <c r="D402" s="81">
        <f>DATE(LS[[#This Row],[Year]],LS[[#This Row],[Month]],LS[[#This Row],[Day]])</f>
        <v>45379</v>
      </c>
      <c r="E402" t="str" cm="1">
        <f t="array" ref="E402">INDEX(INVESTORS_LIST[INVESTOR NAME],MATCH(LS[[#This Row],[Investor ID]],INVESTORS_LIST[INVESTOR CODE],0),)</f>
        <v>FAIYEAD AHMEDUL HYE</v>
      </c>
      <c r="F402" s="83" t="s">
        <v>368</v>
      </c>
      <c r="G402" s="75">
        <f>COUNTIF(LS[[#Headers],[Investor ID]]:LS[[#This Row],[Investor ID]],LS[[#This Row],[Investor ID]])</f>
        <v>9</v>
      </c>
      <c r="H402" s="75" t="str">
        <f>CONCATENATE(LS[[#This Row],[Frequency]],LS[[#This Row],[Investor ID]])</f>
        <v>9A00160</v>
      </c>
      <c r="I402" s="75" t="str">
        <f>IF(LS[[#This Row],[B/S]]="B","BUY",(IF(LS[[#This Row],[B/S]]="S","SELL"," ")))</f>
        <v>BUY</v>
      </c>
      <c r="J402" s="75" t="s">
        <v>1229</v>
      </c>
      <c r="K402" s="88">
        <v>17000</v>
      </c>
      <c r="L402" s="88"/>
      <c r="M402" s="89">
        <f>LS[[#This Row],[Amount]]/LS[[#This Row],[Unit]]</f>
        <v>10.883482714468631</v>
      </c>
      <c r="N402" s="90">
        <f>LS[[#This Row],[Unit Capital]]/10</f>
        <v>1562</v>
      </c>
      <c r="O402" s="90">
        <f>SUMIFS(LS[[#Headers],[Unit]]:LS[[#This Row],[Unit]],LS[[#Headers],[Investor ID]]:LS[[#This Row],[Investor ID]],LS[[#This Row],[Investor ID]])</f>
        <v>40059</v>
      </c>
      <c r="P402" s="96">
        <v>15620</v>
      </c>
      <c r="Q402" s="48">
        <f>LS[[#This Row],[Amount]]-LS[[#This Row],[Unit Capital]]</f>
        <v>1380</v>
      </c>
      <c r="R40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10.484535310417138</v>
      </c>
      <c r="S402" s="89">
        <f t="shared" si="6"/>
        <v>14.224</v>
      </c>
      <c r="T40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2" s="96" cm="1">
        <f t="array" ref="U402">IF(LS[[#This Row],[B/S]]="S",ABS(LS[[#This Row],[Unit]])*(INDEX(LS[NAV at Cost (Average)],MATCH(CONCATENATE((LS[[#This Row],[Frequency]]-1),LS[[#This Row],[Investor ID]]),LS[Unique Code],0),0)),0)</f>
        <v>0</v>
      </c>
      <c r="V402" s="96">
        <f>IF(LS[[#This Row],[BO TRANSFER]]="YES",LS[[#This Row],[Unit]],)</f>
        <v>0</v>
      </c>
      <c r="W402" s="96">
        <f>SUMIFS(LS[[#Headers],[BO UNIT TRANSFER]]:LS[[#This Row],[BO UNIT TRANSFER]],LS[[#Headers],[Investor ID]]:LS[[#This Row],[Investor ID]],LS[[#This Row],[Investor ID]])</f>
        <v>0</v>
      </c>
    </row>
    <row r="403" spans="1:23">
      <c r="A403" s="75">
        <v>2024</v>
      </c>
      <c r="B403" s="75">
        <v>3</v>
      </c>
      <c r="C403" s="75">
        <v>28</v>
      </c>
      <c r="D403" s="81">
        <f>DATE(LS[[#This Row],[Year]],LS[[#This Row],[Month]],LS[[#This Row],[Day]])</f>
        <v>45379</v>
      </c>
      <c r="E403" t="str" cm="1">
        <f t="array" ref="E403">INDEX(INVESTORS_LIST[INVESTOR NAME],MATCH(LS[[#This Row],[Investor ID]],INVESTORS_LIST[INVESTOR CODE],0),)</f>
        <v>JOY SHREE SAHA</v>
      </c>
      <c r="F403" s="83" t="s">
        <v>575</v>
      </c>
      <c r="G403" s="75">
        <f>COUNTIF(LS[[#Headers],[Investor ID]]:LS[[#This Row],[Investor ID]],LS[[#This Row],[Investor ID]])</f>
        <v>2</v>
      </c>
      <c r="H403" s="75" t="str">
        <f>CONCATENATE(LS[[#This Row],[Frequency]],LS[[#This Row],[Investor ID]])</f>
        <v>2A00263</v>
      </c>
      <c r="I403" s="75" t="str">
        <f>IF(LS[[#This Row],[B/S]]="B","BUY",(IF(LS[[#This Row],[B/S]]="S","SELL"," ")))</f>
        <v>SELL</v>
      </c>
      <c r="J403" s="75" t="s">
        <v>1231</v>
      </c>
      <c r="K403" s="88">
        <v>-870640</v>
      </c>
      <c r="L403" s="88"/>
      <c r="M403" s="89">
        <f>LS[[#This Row],[Amount]]/LS[[#This Row],[Unit]]</f>
        <v>10.882999999999999</v>
      </c>
      <c r="N403" s="90">
        <f>LS[[#This Row],[Unit Capital]]/10</f>
        <v>-80000</v>
      </c>
      <c r="O403" s="90">
        <f>SUMIFS(LS[[#Headers],[Unit]]:LS[[#This Row],[Unit]],LS[[#Headers],[Investor ID]]:LS[[#This Row],[Investor ID]],LS[[#This Row],[Investor ID]])</f>
        <v>0</v>
      </c>
      <c r="P403" s="96">
        <v>-800000</v>
      </c>
      <c r="Q403" s="48">
        <f>LS[[#This Row],[Amount]]-LS[[#This Row],[Unit Capital]]</f>
        <v>-70640</v>
      </c>
      <c r="R40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03" s="89">
        <f t="shared" si="6"/>
        <v>14.224</v>
      </c>
      <c r="T403" s="96">
        <f>IF(LS[[#This Row],[B/S]]="B",0,ABS(LS[[#This Row],[Unit]])*(LS[[#This Row],[NAV (Strike Rate)]]-INDEX(LS[NAV at Cost (Average)],MATCH(CONCATENATE(LS[[#This Row],[Frequency]]-1,LS[[#This Row],[Investor ID]]),LS[Unique Code],0),)))</f>
        <v>70639.999999999927</v>
      </c>
      <c r="U403" s="96" cm="1">
        <f t="array" ref="U403">IF(LS[[#This Row],[B/S]]="S",ABS(LS[[#This Row],[Unit]])*(INDEX(LS[NAV at Cost (Average)],MATCH(CONCATENATE((LS[[#This Row],[Frequency]]-1),LS[[#This Row],[Investor ID]]),LS[Unique Code],0),0)),0)</f>
        <v>800000</v>
      </c>
      <c r="V403" s="96">
        <f>IF(LS[[#This Row],[BO TRANSFER]]="YES",LS[[#This Row],[Unit]],)</f>
        <v>0</v>
      </c>
      <c r="W403" s="96">
        <f>SUMIFS(LS[[#Headers],[BO UNIT TRANSFER]]:LS[[#This Row],[BO UNIT TRANSFER]],LS[[#Headers],[Investor ID]]:LS[[#This Row],[Investor ID]],LS[[#This Row],[Investor ID]])</f>
        <v>0</v>
      </c>
    </row>
    <row r="404" spans="1:23">
      <c r="A404" s="75">
        <v>2024</v>
      </c>
      <c r="B404" s="75">
        <v>3</v>
      </c>
      <c r="C404" s="75">
        <v>28</v>
      </c>
      <c r="D404" s="81">
        <f>DATE(LS[[#This Row],[Year]],LS[[#This Row],[Month]],LS[[#This Row],[Day]])</f>
        <v>45379</v>
      </c>
      <c r="E404" t="str" cm="1">
        <f t="array" ref="E404">INDEX(INVESTORS_LIST[INVESTOR NAME],MATCH(LS[[#This Row],[Investor ID]],INVESTORS_LIST[INVESTOR CODE],0),)</f>
        <v>TANVIR AHMED SIDDIQUI</v>
      </c>
      <c r="F404" s="83" t="s">
        <v>111</v>
      </c>
      <c r="G404" s="75">
        <f>COUNTIF(LS[[#Headers],[Investor ID]]:LS[[#This Row],[Investor ID]],LS[[#This Row],[Investor ID]])</f>
        <v>3</v>
      </c>
      <c r="H404" s="75" t="str">
        <f>CONCATENATE(LS[[#This Row],[Frequency]],LS[[#This Row],[Investor ID]])</f>
        <v>3A00032</v>
      </c>
      <c r="I404" s="75" t="str">
        <f>IF(LS[[#This Row],[B/S]]="B","BUY",(IF(LS[[#This Row],[B/S]]="S","SELL"," ")))</f>
        <v>BUY</v>
      </c>
      <c r="J404" s="75" t="s">
        <v>1229</v>
      </c>
      <c r="K404" s="88">
        <v>50000</v>
      </c>
      <c r="L404" s="88"/>
      <c r="M404" s="89">
        <f>LS[[#This Row],[Amount]]/LS[[#This Row],[Unit]]</f>
        <v>10.8837614279495</v>
      </c>
      <c r="N404" s="90">
        <f>LS[[#This Row],[Unit Capital]]/10</f>
        <v>4594</v>
      </c>
      <c r="O404" s="90">
        <f>SUMIFS(LS[[#Headers],[Unit]]:LS[[#This Row],[Unit]],LS[[#Headers],[Investor ID]]:LS[[#This Row],[Investor ID]],LS[[#This Row],[Investor ID]])</f>
        <v>18969</v>
      </c>
      <c r="P404" s="96">
        <v>45940</v>
      </c>
      <c r="Q404" s="48">
        <f>LS[[#This Row],[Amount]]-LS[[#This Row],[Unit Capital]]</f>
        <v>4060</v>
      </c>
      <c r="R40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10.543518372080763</v>
      </c>
      <c r="S404" s="89">
        <f t="shared" si="6"/>
        <v>14.224</v>
      </c>
      <c r="T40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4" s="96" cm="1">
        <f t="array" ref="U404">IF(LS[[#This Row],[B/S]]="S",ABS(LS[[#This Row],[Unit]])*(INDEX(LS[NAV at Cost (Average)],MATCH(CONCATENATE((LS[[#This Row],[Frequency]]-1),LS[[#This Row],[Investor ID]]),LS[Unique Code],0),0)),0)</f>
        <v>0</v>
      </c>
      <c r="V404" s="96">
        <f>IF(LS[[#This Row],[BO TRANSFER]]="YES",LS[[#This Row],[Unit]],)</f>
        <v>0</v>
      </c>
      <c r="W404" s="96">
        <f>SUMIFS(LS[[#Headers],[BO UNIT TRANSFER]]:LS[[#This Row],[BO UNIT TRANSFER]],LS[[#Headers],[Investor ID]]:LS[[#This Row],[Investor ID]],LS[[#This Row],[Investor ID]])</f>
        <v>0</v>
      </c>
    </row>
    <row r="405" spans="1:23">
      <c r="A405" s="75">
        <v>2024</v>
      </c>
      <c r="B405" s="75">
        <v>3</v>
      </c>
      <c r="C405" s="75">
        <v>28</v>
      </c>
      <c r="D405" s="81">
        <f>DATE(LS[[#This Row],[Year]],LS[[#This Row],[Month]],LS[[#This Row],[Day]])</f>
        <v>45379</v>
      </c>
      <c r="E405" t="str" cm="1">
        <f t="array" ref="E405">INDEX(INVESTORS_LIST[INVESTOR NAME],MATCH(LS[[#This Row],[Investor ID]],INVESTORS_LIST[INVESTOR CODE],0),)</f>
        <v>SYED FAZLE RABBY</v>
      </c>
      <c r="F405" s="83" t="s">
        <v>166</v>
      </c>
      <c r="G405" s="75">
        <f>COUNTIF(LS[[#Headers],[Investor ID]]:LS[[#This Row],[Investor ID]],LS[[#This Row],[Investor ID]])</f>
        <v>15</v>
      </c>
      <c r="H405" s="75" t="str">
        <f>CONCATENATE(LS[[#This Row],[Frequency]],LS[[#This Row],[Investor ID]])</f>
        <v>15A00059</v>
      </c>
      <c r="I405" s="75" t="str">
        <f>IF(LS[[#This Row],[B/S]]="B","BUY",(IF(LS[[#This Row],[B/S]]="S","SELL"," ")))</f>
        <v>BUY</v>
      </c>
      <c r="J405" s="75" t="s">
        <v>1229</v>
      </c>
      <c r="K405" s="88">
        <v>200000</v>
      </c>
      <c r="L405" s="88"/>
      <c r="M405" s="89">
        <f>LS[[#This Row],[Amount]]/LS[[#This Row],[Unit]]</f>
        <v>10.883169178864886</v>
      </c>
      <c r="N405" s="90">
        <f>LS[[#This Row],[Unit Capital]]/10</f>
        <v>18377</v>
      </c>
      <c r="O405" s="90">
        <f>SUMIFS(LS[[#Headers],[Unit]]:LS[[#This Row],[Unit]],LS[[#Headers],[Investor ID]]:LS[[#This Row],[Investor ID]],LS[[#This Row],[Investor ID]])</f>
        <v>413061</v>
      </c>
      <c r="P405" s="96">
        <v>183770</v>
      </c>
      <c r="Q405" s="48">
        <f>LS[[#This Row],[Amount]]-LS[[#This Row],[Unit Capital]]</f>
        <v>16230</v>
      </c>
      <c r="R40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10.749017699564956</v>
      </c>
      <c r="S405" s="89">
        <f t="shared" si="6"/>
        <v>14.224</v>
      </c>
      <c r="T40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5" s="96" cm="1">
        <f t="array" ref="U405">IF(LS[[#This Row],[B/S]]="S",ABS(LS[[#This Row],[Unit]])*(INDEX(LS[NAV at Cost (Average)],MATCH(CONCATENATE((LS[[#This Row],[Frequency]]-1),LS[[#This Row],[Investor ID]]),LS[Unique Code],0),0)),0)</f>
        <v>0</v>
      </c>
      <c r="V405" s="96">
        <f>IF(LS[[#This Row],[BO TRANSFER]]="YES",LS[[#This Row],[Unit]],)</f>
        <v>0</v>
      </c>
      <c r="W405" s="96">
        <f>SUMIFS(LS[[#Headers],[BO UNIT TRANSFER]]:LS[[#This Row],[BO UNIT TRANSFER]],LS[[#Headers],[Investor ID]]:LS[[#This Row],[Investor ID]],LS[[#This Row],[Investor ID]])</f>
        <v>0</v>
      </c>
    </row>
    <row r="406" spans="1:23">
      <c r="A406" s="75">
        <v>2024</v>
      </c>
      <c r="B406" s="75">
        <v>4</v>
      </c>
      <c r="C406" s="75">
        <v>3</v>
      </c>
      <c r="D406" s="81">
        <f>DATE(LS[[#This Row],[Year]],LS[[#This Row],[Month]],LS[[#This Row],[Day]])</f>
        <v>45385</v>
      </c>
      <c r="E406" t="str" cm="1">
        <f t="array" ref="E406">INDEX(INVESTORS_LIST[INVESTOR NAME],MATCH(LS[[#This Row],[Investor ID]],INVESTORS_LIST[INVESTOR CODE],0),)</f>
        <v>SHAH MUNTASIN MUJTABA</v>
      </c>
      <c r="F406" s="83" t="s">
        <v>1103</v>
      </c>
      <c r="G406" s="75">
        <f>COUNTIF(LS[[#Headers],[Investor ID]]:LS[[#This Row],[Investor ID]],LS[[#This Row],[Investor ID]])</f>
        <v>3</v>
      </c>
      <c r="H406" s="75" t="str">
        <f>CONCATENATE(LS[[#This Row],[Frequency]],LS[[#This Row],[Investor ID]])</f>
        <v>3A00528</v>
      </c>
      <c r="I406" s="75" t="str">
        <f>IF(LS[[#This Row],[B/S]]="B","BUY",(IF(LS[[#This Row],[B/S]]="S","SELL"," ")))</f>
        <v>BUY</v>
      </c>
      <c r="J406" s="75" t="s">
        <v>1229</v>
      </c>
      <c r="K406" s="88">
        <v>601956</v>
      </c>
      <c r="L406" s="88"/>
      <c r="M406" s="89">
        <f>LS[[#This Row],[Amount]]/LS[[#This Row],[Unit]]</f>
        <v>10.904999999999999</v>
      </c>
      <c r="N406" s="90">
        <f>LS[[#This Row],[Unit Capital]]/10</f>
        <v>55200</v>
      </c>
      <c r="O406" s="90">
        <f>SUMIFS(LS[[#Headers],[Unit]]:LS[[#This Row],[Unit]],LS[[#Headers],[Investor ID]]:LS[[#This Row],[Investor ID]],LS[[#This Row],[Investor ID]])</f>
        <v>453801</v>
      </c>
      <c r="P406" s="96">
        <v>552000</v>
      </c>
      <c r="Q406" s="48">
        <f>LS[[#This Row],[Amount]]-LS[[#This Row],[Unit Capital]]</f>
        <v>49956</v>
      </c>
      <c r="R40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10.809907867104744</v>
      </c>
      <c r="S406" s="89">
        <f t="shared" si="6"/>
        <v>14.224</v>
      </c>
      <c r="T40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6" s="96" cm="1">
        <f t="array" ref="U406">IF(LS[[#This Row],[B/S]]="S",ABS(LS[[#This Row],[Unit]])*(INDEX(LS[NAV at Cost (Average)],MATCH(CONCATENATE((LS[[#This Row],[Frequency]]-1),LS[[#This Row],[Investor ID]]),LS[Unique Code],0),0)),0)</f>
        <v>0</v>
      </c>
      <c r="V406" s="96">
        <f>IF(LS[[#This Row],[BO TRANSFER]]="YES",LS[[#This Row],[Unit]],)</f>
        <v>0</v>
      </c>
      <c r="W406" s="96">
        <f>SUMIFS(LS[[#Headers],[BO UNIT TRANSFER]]:LS[[#This Row],[BO UNIT TRANSFER]],LS[[#Headers],[Investor ID]]:LS[[#This Row],[Investor ID]],LS[[#This Row],[Investor ID]])</f>
        <v>0</v>
      </c>
    </row>
    <row r="407" spans="1:23">
      <c r="A407" s="75">
        <v>2024</v>
      </c>
      <c r="B407" s="75">
        <v>3</v>
      </c>
      <c r="C407" s="75">
        <v>31</v>
      </c>
      <c r="D407" s="81">
        <f>DATE(LS[[#This Row],[Year]],LS[[#This Row],[Month]],LS[[#This Row],[Day]])</f>
        <v>45382</v>
      </c>
      <c r="E407" t="str" cm="1">
        <f t="array" ref="E407">INDEX(INVESTORS_LIST[INVESTOR NAME],MATCH(LS[[#This Row],[Investor ID]],INVESTORS_LIST[INVESTOR CODE],0),)</f>
        <v>MST. GOLENUR</v>
      </c>
      <c r="F407" s="83" t="s">
        <v>1075</v>
      </c>
      <c r="G407" s="75">
        <f>COUNTIF(LS[[#Headers],[Investor ID]]:LS[[#This Row],[Investor ID]],LS[[#This Row],[Investor ID]])</f>
        <v>5</v>
      </c>
      <c r="H407" s="75" t="str">
        <f>CONCATENATE(LS[[#This Row],[Frequency]],LS[[#This Row],[Investor ID]])</f>
        <v>5A00515</v>
      </c>
      <c r="I407" s="75" t="str">
        <f>IF(LS[[#This Row],[B/S]]="B","BUY",(IF(LS[[#This Row],[B/S]]="S","SELL"," ")))</f>
        <v>BUY</v>
      </c>
      <c r="J407" s="75" t="s">
        <v>1229</v>
      </c>
      <c r="K407" s="88">
        <v>2000</v>
      </c>
      <c r="L407" s="88"/>
      <c r="M407" s="89">
        <f>LS[[#This Row],[Amount]]/LS[[#This Row],[Unit]]</f>
        <v>10.928961748633879</v>
      </c>
      <c r="N407" s="90">
        <f>LS[[#This Row],[Unit Capital]]/10</f>
        <v>183</v>
      </c>
      <c r="O407" s="90">
        <f>SUMIFS(LS[[#Headers],[Unit]]:LS[[#This Row],[Unit]],LS[[#Headers],[Investor ID]]:LS[[#This Row],[Investor ID]],LS[[#This Row],[Investor ID]])</f>
        <v>931</v>
      </c>
      <c r="P407" s="96">
        <v>1830</v>
      </c>
      <c r="Q407" s="48">
        <f>LS[[#This Row],[Amount]]-LS[[#This Row],[Unit Capital]]</f>
        <v>170</v>
      </c>
      <c r="R40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10.741138560687434</v>
      </c>
      <c r="S407" s="89">
        <f t="shared" si="6"/>
        <v>14.224</v>
      </c>
      <c r="T40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07" s="96" cm="1">
        <f t="array" ref="U407">IF(LS[[#This Row],[B/S]]="S",ABS(LS[[#This Row],[Unit]])*(INDEX(LS[NAV at Cost (Average)],MATCH(CONCATENATE((LS[[#This Row],[Frequency]]-1),LS[[#This Row],[Investor ID]]),LS[Unique Code],0),0)),0)</f>
        <v>0</v>
      </c>
      <c r="V407" s="96">
        <f>IF(LS[[#This Row],[BO TRANSFER]]="YES",LS[[#This Row],[Unit]],)</f>
        <v>0</v>
      </c>
      <c r="W407" s="96">
        <f>SUMIFS(LS[[#Headers],[BO UNIT TRANSFER]]:LS[[#This Row],[BO UNIT TRANSFER]],LS[[#Headers],[Investor ID]]:LS[[#This Row],[Investor ID]],LS[[#This Row],[Investor ID]])</f>
        <v>0</v>
      </c>
    </row>
    <row r="408" spans="1:23">
      <c r="A408" s="75">
        <v>2024</v>
      </c>
      <c r="B408" s="75">
        <v>3</v>
      </c>
      <c r="C408" s="75">
        <v>31</v>
      </c>
      <c r="D408" s="81">
        <f>DATE(LS[[#This Row],[Year]],LS[[#This Row],[Month]],LS[[#This Row],[Day]])</f>
        <v>45382</v>
      </c>
      <c r="E408" t="str" cm="1">
        <f t="array" ref="E408">INDEX(INVESTORS_LIST[INVESTOR NAME],MATCH(LS[[#This Row],[Investor ID]],INVESTORS_LIST[INVESTOR CODE],0),)</f>
        <v>MADHAB GHOSH</v>
      </c>
      <c r="F408" s="83" t="s">
        <v>982</v>
      </c>
      <c r="G408" s="75">
        <f>COUNTIF(LS[[#Headers],[Investor ID]]:LS[[#This Row],[Investor ID]],LS[[#This Row],[Investor ID]])</f>
        <v>4</v>
      </c>
      <c r="H408" s="75" t="str">
        <f>CONCATENATE(LS[[#This Row],[Frequency]],LS[[#This Row],[Investor ID]])</f>
        <v>4A00468</v>
      </c>
      <c r="I408" s="75" t="str">
        <f>IF(LS[[#This Row],[B/S]]="B","BUY",(IF(LS[[#This Row],[B/S]]="S","SELL"," ")))</f>
        <v>SELL</v>
      </c>
      <c r="J408" s="75" t="s">
        <v>1231</v>
      </c>
      <c r="K408" s="88">
        <v>-200000</v>
      </c>
      <c r="L408" s="88"/>
      <c r="M408" s="89">
        <f>LS[[#This Row],[Amount]]/LS[[#This Row],[Unit]]</f>
        <v>10.905125408942203</v>
      </c>
      <c r="N408" s="90">
        <f>LS[[#This Row],[Unit Capital]]/10</f>
        <v>-18340</v>
      </c>
      <c r="O408" s="90">
        <f>SUMIFS(LS[[#Headers],[Unit]]:LS[[#This Row],[Unit]],LS[[#Headers],[Investor ID]]:LS[[#This Row],[Investor ID]],LS[[#This Row],[Investor ID]])</f>
        <v>1660</v>
      </c>
      <c r="P408" s="96">
        <v>-183400</v>
      </c>
      <c r="Q408" s="48">
        <f>LS[[#This Row],[Amount]]-LS[[#This Row],[Unit Capital]]</f>
        <v>-16600</v>
      </c>
      <c r="R40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10.1715</v>
      </c>
      <c r="S408" s="89">
        <f t="shared" si="6"/>
        <v>14.224</v>
      </c>
      <c r="T408" s="96">
        <f>IF(LS[[#This Row],[B/S]]="B",0,ABS(LS[[#This Row],[Unit]])*(LS[[#This Row],[NAV (Strike Rate)]]-INDEX(LS[NAV at Cost (Average)],MATCH(CONCATENATE(LS[[#This Row],[Frequency]]-1,LS[[#This Row],[Investor ID]]),LS[Unique Code],0),)))</f>
        <v>13454.689999999999</v>
      </c>
      <c r="U408" s="96" cm="1">
        <f t="array" ref="U408">IF(LS[[#This Row],[B/S]]="S",ABS(LS[[#This Row],[Unit]])*(INDEX(LS[NAV at Cost (Average)],MATCH(CONCATENATE((LS[[#This Row],[Frequency]]-1),LS[[#This Row],[Investor ID]]),LS[Unique Code],0),0)),0)</f>
        <v>186545.31</v>
      </c>
      <c r="V408" s="96">
        <f>IF(LS[[#This Row],[BO TRANSFER]]="YES",LS[[#This Row],[Unit]],)</f>
        <v>0</v>
      </c>
      <c r="W408" s="96">
        <f>SUMIFS(LS[[#Headers],[BO UNIT TRANSFER]]:LS[[#This Row],[BO UNIT TRANSFER]],LS[[#Headers],[Investor ID]]:LS[[#This Row],[Investor ID]],LS[[#This Row],[Investor ID]])</f>
        <v>0</v>
      </c>
    </row>
    <row r="409" spans="1:23">
      <c r="A409" s="75">
        <v>2024</v>
      </c>
      <c r="B409" s="75">
        <v>4</v>
      </c>
      <c r="C409" s="75">
        <v>2</v>
      </c>
      <c r="D409" s="81">
        <f>DATE(LS[[#This Row],[Year]],LS[[#This Row],[Month]],LS[[#This Row],[Day]])</f>
        <v>45384</v>
      </c>
      <c r="E409" t="str" cm="1">
        <f t="array" ref="E409">INDEX(INVESTORS_LIST[INVESTOR NAME],MATCH(LS[[#This Row],[Investor ID]],INVESTORS_LIST[INVESTOR CODE],0),)</f>
        <v>MD. MAHMUDUL KABIR</v>
      </c>
      <c r="F409" s="83" t="s">
        <v>938</v>
      </c>
      <c r="G409" s="75">
        <f>COUNTIF(LS[[#Headers],[Investor ID]]:LS[[#This Row],[Investor ID]],LS[[#This Row],[Investor ID]])</f>
        <v>3</v>
      </c>
      <c r="H409" s="75" t="str">
        <f>CONCATENATE(LS[[#This Row],[Frequency]],LS[[#This Row],[Investor ID]])</f>
        <v>3A00446</v>
      </c>
      <c r="I409" s="75" t="str">
        <f>IF(LS[[#This Row],[B/S]]="B","BUY",(IF(LS[[#This Row],[B/S]]="S","SELL"," ")))</f>
        <v>SELL</v>
      </c>
      <c r="J409" s="75" t="s">
        <v>1231</v>
      </c>
      <c r="K409" s="88">
        <v>-545250</v>
      </c>
      <c r="L409" s="88"/>
      <c r="M409" s="89">
        <f>LS[[#This Row],[Amount]]/LS[[#This Row],[Unit]]</f>
        <v>10.904999999999999</v>
      </c>
      <c r="N409" s="90">
        <f>LS[[#This Row],[Unit Capital]]/10</f>
        <v>-50000</v>
      </c>
      <c r="O409" s="90">
        <f>SUMIFS(LS[[#Headers],[Unit]]:LS[[#This Row],[Unit]],LS[[#Headers],[Investor ID]]:LS[[#This Row],[Investor ID]],LS[[#This Row],[Investor ID]])</f>
        <v>0</v>
      </c>
      <c r="P409" s="96">
        <v>-500000</v>
      </c>
      <c r="Q409" s="48">
        <f>LS[[#This Row],[Amount]]-LS[[#This Row],[Unit Capital]]</f>
        <v>-45250</v>
      </c>
      <c r="R40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09" s="89">
        <f t="shared" si="6"/>
        <v>14.224</v>
      </c>
      <c r="T409" s="96">
        <f>IF(LS[[#This Row],[B/S]]="B",0,ABS(LS[[#This Row],[Unit]])*(LS[[#This Row],[NAV (Strike Rate)]]-INDEX(LS[NAV at Cost (Average)],MATCH(CONCATENATE(LS[[#This Row],[Frequency]]-1,LS[[#This Row],[Investor ID]]),LS[Unique Code],0),)))</f>
        <v>45249.999999999971</v>
      </c>
      <c r="U409" s="96" cm="1">
        <f t="array" ref="U409">IF(LS[[#This Row],[B/S]]="S",ABS(LS[[#This Row],[Unit]])*(INDEX(LS[NAV at Cost (Average)],MATCH(CONCATENATE((LS[[#This Row],[Frequency]]-1),LS[[#This Row],[Investor ID]]),LS[Unique Code],0),0)),0)</f>
        <v>500000</v>
      </c>
      <c r="V409" s="96">
        <f>IF(LS[[#This Row],[BO TRANSFER]]="YES",LS[[#This Row],[Unit]],)</f>
        <v>0</v>
      </c>
      <c r="W409" s="96">
        <f>SUMIFS(LS[[#Headers],[BO UNIT TRANSFER]]:LS[[#This Row],[BO UNIT TRANSFER]],LS[[#Headers],[Investor ID]]:LS[[#This Row],[Investor ID]],LS[[#This Row],[Investor ID]])</f>
        <v>0</v>
      </c>
    </row>
    <row r="410" spans="1:23">
      <c r="A410" s="75">
        <v>2024</v>
      </c>
      <c r="B410" s="75">
        <v>4</v>
      </c>
      <c r="C410" s="75">
        <v>2</v>
      </c>
      <c r="D410" s="81">
        <f>DATE(LS[[#This Row],[Year]],LS[[#This Row],[Month]],LS[[#This Row],[Day]])</f>
        <v>45384</v>
      </c>
      <c r="E410" t="str" cm="1">
        <f t="array" ref="E410">INDEX(INVESTORS_LIST[INVESTOR NAME],MATCH(LS[[#This Row],[Investor ID]],INVESTORS_LIST[INVESTOR CODE],0),)</f>
        <v>CHAMPA SAHA</v>
      </c>
      <c r="F410" s="83" t="s">
        <v>1118</v>
      </c>
      <c r="G410" s="75">
        <f>COUNTIF(LS[[#Headers],[Investor ID]]:LS[[#This Row],[Investor ID]],LS[[#This Row],[Investor ID]])</f>
        <v>1</v>
      </c>
      <c r="H410" s="75" t="str">
        <f>CONCATENATE(LS[[#This Row],[Frequency]],LS[[#This Row],[Investor ID]])</f>
        <v>1A00534</v>
      </c>
      <c r="I410" s="75" t="str">
        <f>IF(LS[[#This Row],[B/S]]="B","BUY",(IF(LS[[#This Row],[B/S]]="S","SELL"," ")))</f>
        <v>BUY</v>
      </c>
      <c r="J410" s="75" t="s">
        <v>1229</v>
      </c>
      <c r="K410" s="88">
        <v>1200000</v>
      </c>
      <c r="L410" s="88"/>
      <c r="M410" s="89">
        <f>LS[[#This Row],[Amount]]/LS[[#This Row],[Unit]]</f>
        <v>10.90502630837597</v>
      </c>
      <c r="N410" s="90">
        <f>LS[[#This Row],[Unit Capital]]/10</f>
        <v>110041</v>
      </c>
      <c r="O410" s="90">
        <f>SUMIFS(LS[[#Headers],[Unit]]:LS[[#This Row],[Unit]],LS[[#Headers],[Investor ID]]:LS[[#This Row],[Investor ID]],LS[[#This Row],[Investor ID]])</f>
        <v>110041</v>
      </c>
      <c r="P410" s="96">
        <v>1100410</v>
      </c>
      <c r="Q410" s="48">
        <f>LS[[#This Row],[Amount]]-LS[[#This Row],[Unit Capital]]</f>
        <v>99590</v>
      </c>
      <c r="R4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10.90502630837597</v>
      </c>
      <c r="S410" s="89">
        <f t="shared" si="6"/>
        <v>14.224</v>
      </c>
      <c r="T41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0" s="96" cm="1">
        <f t="array" ref="U410">IF(LS[[#This Row],[B/S]]="S",ABS(LS[[#This Row],[Unit]])*(INDEX(LS[NAV at Cost (Average)],MATCH(CONCATENATE((LS[[#This Row],[Frequency]]-1),LS[[#This Row],[Investor ID]]),LS[Unique Code],0),0)),0)</f>
        <v>0</v>
      </c>
      <c r="V410" s="96">
        <f>IF(LS[[#This Row],[BO TRANSFER]]="YES",LS[[#This Row],[Unit]],)</f>
        <v>0</v>
      </c>
      <c r="W410" s="96">
        <f>SUMIFS(LS[[#Headers],[BO UNIT TRANSFER]]:LS[[#This Row],[BO UNIT TRANSFER]],LS[[#Headers],[Investor ID]]:LS[[#This Row],[Investor ID]],LS[[#This Row],[Investor ID]])</f>
        <v>0</v>
      </c>
    </row>
    <row r="411" spans="1:23">
      <c r="A411" s="75">
        <v>2024</v>
      </c>
      <c r="B411" s="75">
        <v>3</v>
      </c>
      <c r="C411" s="75">
        <v>28</v>
      </c>
      <c r="D411" s="81">
        <f>DATE(LS[[#This Row],[Year]],LS[[#This Row],[Month]],LS[[#This Row],[Day]])</f>
        <v>45379</v>
      </c>
      <c r="E411" t="str" cm="1">
        <f t="array" ref="E411">INDEX(INVESTORS_LIST[INVESTOR NAME],MATCH(LS[[#This Row],[Investor ID]],INVESTORS_LIST[INVESTOR CODE],0),)</f>
        <v>SYED FAZLE RABBY</v>
      </c>
      <c r="F411" s="83" t="s">
        <v>166</v>
      </c>
      <c r="G411" s="75">
        <f>COUNTIF(LS[[#Headers],[Investor ID]]:LS[[#This Row],[Investor ID]],LS[[#This Row],[Investor ID]])</f>
        <v>16</v>
      </c>
      <c r="H411" s="75" t="str">
        <f>CONCATENATE(LS[[#This Row],[Frequency]],LS[[#This Row],[Investor ID]])</f>
        <v>16A00059</v>
      </c>
      <c r="I411" s="75" t="str">
        <f>IF(LS[[#This Row],[B/S]]="B","BUY",(IF(LS[[#This Row],[B/S]]="S","SELL"," ")))</f>
        <v>BUY</v>
      </c>
      <c r="J411" s="75" t="s">
        <v>1229</v>
      </c>
      <c r="K411" s="88">
        <v>125000</v>
      </c>
      <c r="L411" s="88"/>
      <c r="M411" s="89">
        <f>LS[[#This Row],[Amount]]/LS[[#This Row],[Unit]]</f>
        <v>10.882813860351732</v>
      </c>
      <c r="N411" s="90">
        <f>LS[[#This Row],[Unit Capital]]/10</f>
        <v>11486</v>
      </c>
      <c r="O411" s="90">
        <f>SUMIFS(LS[[#Headers],[Unit]]:LS[[#This Row],[Unit]],LS[[#Headers],[Investor ID]]:LS[[#This Row],[Investor ID]],LS[[#This Row],[Investor ID]])</f>
        <v>424547</v>
      </c>
      <c r="P411" s="96">
        <v>114860</v>
      </c>
      <c r="Q411" s="48">
        <f>LS[[#This Row],[Amount]]-LS[[#This Row],[Unit Capital]]</f>
        <v>10140</v>
      </c>
      <c r="R4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10.752637517165354</v>
      </c>
      <c r="S411" s="89">
        <f t="shared" si="6"/>
        <v>14.224</v>
      </c>
      <c r="T41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1" s="96" cm="1">
        <f t="array" ref="U411">IF(LS[[#This Row],[B/S]]="S",ABS(LS[[#This Row],[Unit]])*(INDEX(LS[NAV at Cost (Average)],MATCH(CONCATENATE((LS[[#This Row],[Frequency]]-1),LS[[#This Row],[Investor ID]]),LS[Unique Code],0),0)),0)</f>
        <v>0</v>
      </c>
      <c r="V411" s="96">
        <f>IF(LS[[#This Row],[BO TRANSFER]]="YES",LS[[#This Row],[Unit]],)</f>
        <v>0</v>
      </c>
      <c r="W411" s="96">
        <f>SUMIFS(LS[[#Headers],[BO UNIT TRANSFER]]:LS[[#This Row],[BO UNIT TRANSFER]],LS[[#Headers],[Investor ID]]:LS[[#This Row],[Investor ID]],LS[[#This Row],[Investor ID]])</f>
        <v>0</v>
      </c>
    </row>
    <row r="412" spans="1:23">
      <c r="A412" s="75">
        <v>2024</v>
      </c>
      <c r="B412" s="75">
        <v>4</v>
      </c>
      <c r="C412" s="75">
        <v>4</v>
      </c>
      <c r="D412" s="81">
        <f>DATE(LS[[#This Row],[Year]],LS[[#This Row],[Month]],LS[[#This Row],[Day]])</f>
        <v>45386</v>
      </c>
      <c r="E412" t="str" cm="1">
        <f t="array" ref="E412">INDEX(INVESTORS_LIST[INVESTOR NAME],MATCH(LS[[#This Row],[Investor ID]],INVESTORS_LIST[INVESTOR CODE],0),)</f>
        <v>MD. BABUL MIAH</v>
      </c>
      <c r="F412" s="83" t="s">
        <v>870</v>
      </c>
      <c r="G412" s="75">
        <f>COUNTIF(LS[[#Headers],[Investor ID]]:LS[[#This Row],[Investor ID]],LS[[#This Row],[Investor ID]])</f>
        <v>2</v>
      </c>
      <c r="H412" s="75" t="str">
        <f>CONCATENATE(LS[[#This Row],[Frequency]],LS[[#This Row],[Investor ID]])</f>
        <v>2A00412</v>
      </c>
      <c r="I412" s="75" t="str">
        <f>IF(LS[[#This Row],[B/S]]="B","BUY",(IF(LS[[#This Row],[B/S]]="S","SELL"," ")))</f>
        <v>SELL</v>
      </c>
      <c r="J412" s="75" t="s">
        <v>1231</v>
      </c>
      <c r="K412" s="88">
        <v>-123869.9</v>
      </c>
      <c r="L412" s="88"/>
      <c r="M412" s="89">
        <f>LS[[#This Row],[Amount]]/LS[[#This Row],[Unit]]</f>
        <v>10.905000440179593</v>
      </c>
      <c r="N412" s="90">
        <f>LS[[#This Row],[Unit Capital]]/10</f>
        <v>-11359</v>
      </c>
      <c r="O412" s="90">
        <f>SUMIFS(LS[[#Headers],[Unit]]:LS[[#This Row],[Unit]],LS[[#Headers],[Investor ID]]:LS[[#This Row],[Investor ID]],LS[[#This Row],[Investor ID]])</f>
        <v>0</v>
      </c>
      <c r="P412" s="96">
        <v>-113590</v>
      </c>
      <c r="Q412" s="48">
        <f>LS[[#This Row],[Amount]]-LS[[#This Row],[Unit Capital]]</f>
        <v>-10279.899999999994</v>
      </c>
      <c r="R4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12" s="89">
        <f t="shared" si="6"/>
        <v>14.224</v>
      </c>
      <c r="T412" s="96">
        <f>IF(LS[[#This Row],[B/S]]="B",0,ABS(LS[[#This Row],[Unit]])*(LS[[#This Row],[NAV (Strike Rate)]]-INDEX(LS[NAV at Cost (Average)],MATCH(CONCATENATE(LS[[#This Row],[Frequency]]-1,LS[[#This Row],[Investor ID]]),LS[Unique Code],0),)))</f>
        <v>3869.8999999999974</v>
      </c>
      <c r="U412" s="96" cm="1">
        <f t="array" ref="U412">IF(LS[[#This Row],[B/S]]="S",ABS(LS[[#This Row],[Unit]])*(INDEX(LS[NAV at Cost (Average)],MATCH(CONCATENATE((LS[[#This Row],[Frequency]]-1),LS[[#This Row],[Investor ID]]),LS[Unique Code],0),0)),0)</f>
        <v>120000</v>
      </c>
      <c r="V412" s="96">
        <f>IF(LS[[#This Row],[BO TRANSFER]]="YES",LS[[#This Row],[Unit]],)</f>
        <v>0</v>
      </c>
      <c r="W412" s="96">
        <f>SUMIFS(LS[[#Headers],[BO UNIT TRANSFER]]:LS[[#This Row],[BO UNIT TRANSFER]],LS[[#Headers],[Investor ID]]:LS[[#This Row],[Investor ID]],LS[[#This Row],[Investor ID]])</f>
        <v>0</v>
      </c>
    </row>
    <row r="413" spans="1:23">
      <c r="A413" s="75">
        <v>2024</v>
      </c>
      <c r="B413" s="75">
        <v>4</v>
      </c>
      <c r="C413" s="75">
        <v>4</v>
      </c>
      <c r="D413" s="81">
        <f>DATE(LS[[#This Row],[Year]],LS[[#This Row],[Month]],LS[[#This Row],[Day]])</f>
        <v>45386</v>
      </c>
      <c r="E413" t="str" cm="1">
        <f t="array" ref="E413">INDEX(INVESTORS_LIST[INVESTOR NAME],MATCH(LS[[#This Row],[Investor ID]],INVESTORS_LIST[INVESTOR CODE],0),)</f>
        <v>ASHAK ELAHI</v>
      </c>
      <c r="F413" s="83" t="s">
        <v>1077</v>
      </c>
      <c r="G413" s="75">
        <f>COUNTIF(LS[[#Headers],[Investor ID]]:LS[[#This Row],[Investor ID]],LS[[#This Row],[Investor ID]])</f>
        <v>8</v>
      </c>
      <c r="H413" s="75" t="str">
        <f>CONCATENATE(LS[[#This Row],[Frequency]],LS[[#This Row],[Investor ID]])</f>
        <v>8A00516</v>
      </c>
      <c r="I413" s="75" t="str">
        <f>IF(LS[[#This Row],[B/S]]="B","BUY",(IF(LS[[#This Row],[B/S]]="S","SELL"," ")))</f>
        <v>BUY</v>
      </c>
      <c r="J413" s="75" t="s">
        <v>1229</v>
      </c>
      <c r="K413" s="88">
        <v>15177.4</v>
      </c>
      <c r="L413" s="88"/>
      <c r="M413" s="89">
        <f>LS[[#This Row],[Amount]]/LS[[#This Row],[Unit]]</f>
        <v>10.903304597701149</v>
      </c>
      <c r="N413" s="90">
        <f>LS[[#This Row],[Unit Capital]]/10</f>
        <v>1392</v>
      </c>
      <c r="O413" s="90">
        <f>SUMIFS(LS[[#Headers],[Unit]]:LS[[#This Row],[Unit]],LS[[#Headers],[Investor ID]]:LS[[#This Row],[Investor ID]],LS[[#This Row],[Investor ID]])</f>
        <v>24392</v>
      </c>
      <c r="P413" s="96">
        <v>13920</v>
      </c>
      <c r="Q413" s="48">
        <f>LS[[#This Row],[Amount]]-LS[[#This Row],[Unit Capital]]</f>
        <v>1257.3999999999996</v>
      </c>
      <c r="R4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10.844094398237035</v>
      </c>
      <c r="S413" s="89">
        <f t="shared" si="6"/>
        <v>14.224</v>
      </c>
      <c r="T41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3" s="96" cm="1">
        <f t="array" ref="U413">IF(LS[[#This Row],[B/S]]="S",ABS(LS[[#This Row],[Unit]])*(INDEX(LS[NAV at Cost (Average)],MATCH(CONCATENATE((LS[[#This Row],[Frequency]]-1),LS[[#This Row],[Investor ID]]),LS[Unique Code],0),0)),0)</f>
        <v>0</v>
      </c>
      <c r="V413" s="96">
        <f>IF(LS[[#This Row],[BO TRANSFER]]="YES",LS[[#This Row],[Unit]],)</f>
        <v>0</v>
      </c>
      <c r="W413" s="96">
        <f>SUMIFS(LS[[#Headers],[BO UNIT TRANSFER]]:LS[[#This Row],[BO UNIT TRANSFER]],LS[[#Headers],[Investor ID]]:LS[[#This Row],[Investor ID]],LS[[#This Row],[Investor ID]])</f>
        <v>0</v>
      </c>
    </row>
    <row r="414" spans="1:23">
      <c r="A414" s="75">
        <v>2024</v>
      </c>
      <c r="B414" s="75">
        <v>4</v>
      </c>
      <c r="C414" s="75">
        <v>8</v>
      </c>
      <c r="D414" s="81">
        <f>DATE(LS[[#This Row],[Year]],LS[[#This Row],[Month]],LS[[#This Row],[Day]])</f>
        <v>45390</v>
      </c>
      <c r="E414" t="str" cm="1">
        <f t="array" ref="E414">INDEX(INVESTORS_LIST[INVESTOR NAME],MATCH(LS[[#This Row],[Investor ID]],INVESTORS_LIST[INVESTOR CODE],0),)</f>
        <v>NANDINI SAHA</v>
      </c>
      <c r="F414" s="83" t="s">
        <v>242</v>
      </c>
      <c r="G414" s="75">
        <f>COUNTIF(LS[[#Headers],[Investor ID]]:LS[[#This Row],[Investor ID]],LS[[#This Row],[Investor ID]])</f>
        <v>4</v>
      </c>
      <c r="H414" s="75" t="str">
        <f>CONCATENATE(LS[[#This Row],[Frequency]],LS[[#This Row],[Investor ID]])</f>
        <v>4A00097</v>
      </c>
      <c r="I414" s="75" t="str">
        <f>IF(LS[[#This Row],[B/S]]="B","BUY",(IF(LS[[#This Row],[B/S]]="S","SELL"," ")))</f>
        <v>BUY</v>
      </c>
      <c r="J414" s="75" t="s">
        <v>1229</v>
      </c>
      <c r="K414" s="88">
        <v>130000</v>
      </c>
      <c r="L414" s="88"/>
      <c r="M414" s="89">
        <f>LS[[#This Row],[Amount]]/LS[[#This Row],[Unit]]</f>
        <v>10.926206085056313</v>
      </c>
      <c r="N414" s="90">
        <f>LS[[#This Row],[Unit Capital]]/10</f>
        <v>11898</v>
      </c>
      <c r="O414" s="90">
        <f>SUMIFS(LS[[#Headers],[Unit]]:LS[[#This Row],[Unit]],LS[[#Headers],[Investor ID]]:LS[[#This Row],[Investor ID]],LS[[#This Row],[Investor ID]])</f>
        <v>63529</v>
      </c>
      <c r="P414" s="96">
        <v>118980</v>
      </c>
      <c r="Q414" s="48">
        <f>LS[[#This Row],[Amount]]-LS[[#This Row],[Unit Capital]]</f>
        <v>11020</v>
      </c>
      <c r="R4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10.310252010892661</v>
      </c>
      <c r="S414" s="89">
        <f t="shared" si="6"/>
        <v>14.224</v>
      </c>
      <c r="T41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4" s="96" cm="1">
        <f t="array" ref="U414">IF(LS[[#This Row],[B/S]]="S",ABS(LS[[#This Row],[Unit]])*(INDEX(LS[NAV at Cost (Average)],MATCH(CONCATENATE((LS[[#This Row],[Frequency]]-1),LS[[#This Row],[Investor ID]]),LS[Unique Code],0),0)),0)</f>
        <v>0</v>
      </c>
      <c r="V414" s="96">
        <f>IF(LS[[#This Row],[BO TRANSFER]]="YES",LS[[#This Row],[Unit]],)</f>
        <v>0</v>
      </c>
      <c r="W414" s="96">
        <f>SUMIFS(LS[[#Headers],[BO UNIT TRANSFER]]:LS[[#This Row],[BO UNIT TRANSFER]],LS[[#Headers],[Investor ID]]:LS[[#This Row],[Investor ID]],LS[[#This Row],[Investor ID]])</f>
        <v>0</v>
      </c>
    </row>
    <row r="415" spans="1:23">
      <c r="A415" s="75">
        <v>2024</v>
      </c>
      <c r="B415" s="75">
        <v>4</v>
      </c>
      <c r="C415" s="75">
        <v>9</v>
      </c>
      <c r="D415" s="81">
        <f>DATE(LS[[#This Row],[Year]],LS[[#This Row],[Month]],LS[[#This Row],[Day]])</f>
        <v>45391</v>
      </c>
      <c r="E415" t="str" cm="1">
        <f t="array" ref="E415">INDEX(INVESTORS_LIST[INVESTOR NAME],MATCH(LS[[#This Row],[Investor ID]],INVESTORS_LIST[INVESTOR CODE],0),)</f>
        <v>ISMAIL HOSSEN</v>
      </c>
      <c r="F415" s="83" t="s">
        <v>1120</v>
      </c>
      <c r="G415" s="75">
        <f>COUNTIF(LS[[#Headers],[Investor ID]]:LS[[#This Row],[Investor ID]],LS[[#This Row],[Investor ID]])</f>
        <v>1</v>
      </c>
      <c r="H415" s="75" t="str">
        <f>CONCATENATE(LS[[#This Row],[Frequency]],LS[[#This Row],[Investor ID]])</f>
        <v>1A00535</v>
      </c>
      <c r="I415" s="75" t="str">
        <f>IF(LS[[#This Row],[B/S]]="B","BUY",(IF(LS[[#This Row],[B/S]]="S","SELL"," ")))</f>
        <v>BUY</v>
      </c>
      <c r="J415" s="75" t="s">
        <v>1229</v>
      </c>
      <c r="K415" s="88">
        <v>50008</v>
      </c>
      <c r="L415" s="88"/>
      <c r="M415" s="89">
        <f>LS[[#This Row],[Amount]]/LS[[#This Row],[Unit]]</f>
        <v>10.925934017915665</v>
      </c>
      <c r="N415" s="90">
        <f>LS[[#This Row],[Unit Capital]]/10</f>
        <v>4577</v>
      </c>
      <c r="O415" s="90">
        <f>SUMIFS(LS[[#Headers],[Unit]]:LS[[#This Row],[Unit]],LS[[#Headers],[Investor ID]]:LS[[#This Row],[Investor ID]],LS[[#This Row],[Investor ID]])</f>
        <v>4577</v>
      </c>
      <c r="P415" s="96">
        <v>45770</v>
      </c>
      <c r="Q415" s="48">
        <f>LS[[#This Row],[Amount]]-LS[[#This Row],[Unit Capital]]</f>
        <v>4238</v>
      </c>
      <c r="R41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10.925934017915665</v>
      </c>
      <c r="S415" s="89">
        <f t="shared" si="6"/>
        <v>14.224</v>
      </c>
      <c r="T41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5" s="96" cm="1">
        <f t="array" ref="U415">IF(LS[[#This Row],[B/S]]="S",ABS(LS[[#This Row],[Unit]])*(INDEX(LS[NAV at Cost (Average)],MATCH(CONCATENATE((LS[[#This Row],[Frequency]]-1),LS[[#This Row],[Investor ID]]),LS[Unique Code],0),0)),0)</f>
        <v>0</v>
      </c>
      <c r="V415" s="96">
        <f>IF(LS[[#This Row],[BO TRANSFER]]="YES",LS[[#This Row],[Unit]],)</f>
        <v>0</v>
      </c>
      <c r="W415" s="96">
        <f>SUMIFS(LS[[#Headers],[BO UNIT TRANSFER]]:LS[[#This Row],[BO UNIT TRANSFER]],LS[[#Headers],[Investor ID]]:LS[[#This Row],[Investor ID]],LS[[#This Row],[Investor ID]])</f>
        <v>0</v>
      </c>
    </row>
    <row r="416" spans="1:23">
      <c r="A416" s="75">
        <v>2024</v>
      </c>
      <c r="B416" s="75">
        <v>4</v>
      </c>
      <c r="C416" s="75">
        <v>9</v>
      </c>
      <c r="D416" s="81">
        <f>DATE(LS[[#This Row],[Year]],LS[[#This Row],[Month]],LS[[#This Row],[Day]])</f>
        <v>45391</v>
      </c>
      <c r="E416" t="str" cm="1">
        <f t="array" ref="E416">INDEX(INVESTORS_LIST[INVESTOR NAME],MATCH(LS[[#This Row],[Investor ID]],INVESTORS_LIST[INVESTOR CODE],0),)</f>
        <v>JOY SHREE SAHA</v>
      </c>
      <c r="F416" s="83" t="s">
        <v>575</v>
      </c>
      <c r="G416" s="75">
        <f>COUNTIF(LS[[#Headers],[Investor ID]]:LS[[#This Row],[Investor ID]],LS[[#This Row],[Investor ID]])</f>
        <v>3</v>
      </c>
      <c r="H416" s="75" t="str">
        <f>CONCATENATE(LS[[#This Row],[Frequency]],LS[[#This Row],[Investor ID]])</f>
        <v>3A00263</v>
      </c>
      <c r="I416" s="75" t="str">
        <f>IF(LS[[#This Row],[B/S]]="B","BUY",(IF(LS[[#This Row],[B/S]]="S","SELL"," ")))</f>
        <v>BUY</v>
      </c>
      <c r="J416" s="75" t="s">
        <v>1229</v>
      </c>
      <c r="K416" s="88">
        <v>1092000</v>
      </c>
      <c r="L416" s="88"/>
      <c r="M416" s="89">
        <f>LS[[#This Row],[Amount]]/LS[[#This Row],[Unit]]</f>
        <v>10.926009305117814</v>
      </c>
      <c r="N416" s="90">
        <f>LS[[#This Row],[Unit Capital]]/10</f>
        <v>99945</v>
      </c>
      <c r="O416" s="90">
        <f>SUMIFS(LS[[#Headers],[Unit]]:LS[[#This Row],[Unit]],LS[[#Headers],[Investor ID]]:LS[[#This Row],[Investor ID]],LS[[#This Row],[Investor ID]])</f>
        <v>99945</v>
      </c>
      <c r="P416" s="96">
        <v>999450</v>
      </c>
      <c r="Q416" s="48">
        <f>LS[[#This Row],[Amount]]-LS[[#This Row],[Unit Capital]]</f>
        <v>92550</v>
      </c>
      <c r="R41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10.926009305117814</v>
      </c>
      <c r="S416" s="89">
        <f t="shared" si="6"/>
        <v>14.224</v>
      </c>
      <c r="T41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6" s="96" cm="1">
        <f t="array" ref="U416">IF(LS[[#This Row],[B/S]]="S",ABS(LS[[#This Row],[Unit]])*(INDEX(LS[NAV at Cost (Average)],MATCH(CONCATENATE((LS[[#This Row],[Frequency]]-1),LS[[#This Row],[Investor ID]]),LS[Unique Code],0),0)),0)</f>
        <v>0</v>
      </c>
      <c r="V416" s="96">
        <f>IF(LS[[#This Row],[BO TRANSFER]]="YES",LS[[#This Row],[Unit]],)</f>
        <v>0</v>
      </c>
      <c r="W416" s="96">
        <f>SUMIFS(LS[[#Headers],[BO UNIT TRANSFER]]:LS[[#This Row],[BO UNIT TRANSFER]],LS[[#Headers],[Investor ID]]:LS[[#This Row],[Investor ID]],LS[[#This Row],[Investor ID]])</f>
        <v>0</v>
      </c>
    </row>
    <row r="417" spans="1:23">
      <c r="A417" s="75">
        <v>2024</v>
      </c>
      <c r="B417" s="75">
        <v>4</v>
      </c>
      <c r="C417" s="75">
        <v>9</v>
      </c>
      <c r="D417" s="81">
        <f>DATE(LS[[#This Row],[Year]],LS[[#This Row],[Month]],LS[[#This Row],[Day]])</f>
        <v>45391</v>
      </c>
      <c r="E417" t="str" cm="1">
        <f t="array" ref="E417">INDEX(INVESTORS_LIST[INVESTOR NAME],MATCH(LS[[#This Row],[Investor ID]],INVESTORS_LIST[INVESTOR CODE],0),)</f>
        <v>JOY SHREE SAHA</v>
      </c>
      <c r="F417" s="83" t="s">
        <v>575</v>
      </c>
      <c r="G417" s="75">
        <f>COUNTIF(LS[[#Headers],[Investor ID]]:LS[[#This Row],[Investor ID]],LS[[#This Row],[Investor ID]])</f>
        <v>4</v>
      </c>
      <c r="H417" s="75" t="str">
        <f>CONCATENATE(LS[[#This Row],[Frequency]],LS[[#This Row],[Investor ID]])</f>
        <v>4A00263</v>
      </c>
      <c r="I417" s="75" t="str">
        <f>IF(LS[[#This Row],[B/S]]="B","BUY",(IF(LS[[#This Row],[B/S]]="S","SELL"," ")))</f>
        <v>BUY</v>
      </c>
      <c r="J417" s="75" t="s">
        <v>1229</v>
      </c>
      <c r="K417" s="88">
        <v>600</v>
      </c>
      <c r="L417" s="88"/>
      <c r="M417" s="89">
        <f>LS[[#This Row],[Amount]]/LS[[#This Row],[Unit]]</f>
        <v>10.909090909090908</v>
      </c>
      <c r="N417" s="90">
        <f>LS[[#This Row],[Unit Capital]]/10</f>
        <v>55</v>
      </c>
      <c r="O417" s="90">
        <f>SUMIFS(LS[[#Headers],[Unit]]:LS[[#This Row],[Unit]],LS[[#Headers],[Investor ID]]:LS[[#This Row],[Investor ID]],LS[[#This Row],[Investor ID]])</f>
        <v>100000</v>
      </c>
      <c r="P417" s="96">
        <v>550</v>
      </c>
      <c r="Q417" s="48">
        <f>LS[[#This Row],[Amount]]-LS[[#This Row],[Unit Capital]]</f>
        <v>50</v>
      </c>
      <c r="R41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10.925999999999998</v>
      </c>
      <c r="S417" s="89">
        <f t="shared" si="6"/>
        <v>14.224</v>
      </c>
      <c r="T41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17" s="96" cm="1">
        <f t="array" ref="U417">IF(LS[[#This Row],[B/S]]="S",ABS(LS[[#This Row],[Unit]])*(INDEX(LS[NAV at Cost (Average)],MATCH(CONCATENATE((LS[[#This Row],[Frequency]]-1),LS[[#This Row],[Investor ID]]),LS[Unique Code],0),0)),0)</f>
        <v>0</v>
      </c>
      <c r="V417" s="96">
        <f>IF(LS[[#This Row],[BO TRANSFER]]="YES",LS[[#This Row],[Unit]],)</f>
        <v>0</v>
      </c>
      <c r="W417" s="96">
        <f>SUMIFS(LS[[#Headers],[BO UNIT TRANSFER]]:LS[[#This Row],[BO UNIT TRANSFER]],LS[[#Headers],[Investor ID]]:LS[[#This Row],[Investor ID]],LS[[#This Row],[Investor ID]])</f>
        <v>0</v>
      </c>
    </row>
    <row r="418" spans="1:23">
      <c r="A418" s="75">
        <v>2024</v>
      </c>
      <c r="B418" s="75">
        <v>4</v>
      </c>
      <c r="C418" s="75">
        <v>22</v>
      </c>
      <c r="D418" s="81">
        <f>DATE(LS[[#This Row],[Year]],LS[[#This Row],[Month]],LS[[#This Row],[Day]])</f>
        <v>45404</v>
      </c>
      <c r="E418" t="str" cm="1">
        <f t="array" ref="E418">INDEX(INVESTORS_LIST[INVESTOR NAME],MATCH(LS[[#This Row],[Investor ID]],INVESTORS_LIST[INVESTOR CODE],0),)</f>
        <v>KAZI HABIBUR RAHMAN</v>
      </c>
      <c r="F418" s="83" t="s">
        <v>1114</v>
      </c>
      <c r="G418" s="75">
        <f>COUNTIF(LS[[#Headers],[Investor ID]]:LS[[#This Row],[Investor ID]],LS[[#This Row],[Investor ID]])</f>
        <v>8</v>
      </c>
      <c r="H418" s="75" t="str">
        <f>CONCATENATE(LS[[#This Row],[Frequency]],LS[[#This Row],[Investor ID]])</f>
        <v>8A00532</v>
      </c>
      <c r="I418" s="75" t="str">
        <f>IF(LS[[#This Row],[B/S]]="B","BUY",(IF(LS[[#This Row],[B/S]]="S","SELL"," ")))</f>
        <v>SELL</v>
      </c>
      <c r="J418" s="75" t="s">
        <v>1231</v>
      </c>
      <c r="K418" s="88">
        <v>-493830</v>
      </c>
      <c r="L418" s="88"/>
      <c r="M418" s="89">
        <f>LS[[#This Row],[Amount]]/LS[[#This Row],[Unit]]</f>
        <v>10.974</v>
      </c>
      <c r="N418" s="90">
        <f>LS[[#This Row],[Unit Capital]]/10</f>
        <v>-45000</v>
      </c>
      <c r="O418" s="90">
        <f>SUMIFS(LS[[#Headers],[Unit]]:LS[[#This Row],[Unit]],LS[[#Headers],[Investor ID]]:LS[[#This Row],[Investor ID]],LS[[#This Row],[Investor ID]])</f>
        <v>240861</v>
      </c>
      <c r="P418" s="96">
        <v>-450000</v>
      </c>
      <c r="Q418" s="48">
        <f>LS[[#This Row],[Amount]]-LS[[#This Row],[Unit Capital]]</f>
        <v>-43830</v>
      </c>
      <c r="R41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10.858424199173726</v>
      </c>
      <c r="S418" s="89">
        <f t="shared" si="6"/>
        <v>14.224</v>
      </c>
      <c r="T418" s="96">
        <f>IF(LS[[#This Row],[B/S]]="B",0,ABS(LS[[#This Row],[Unit]])*(LS[[#This Row],[NAV (Strike Rate)]]-INDEX(LS[NAV at Cost (Average)],MATCH(CONCATENATE(LS[[#This Row],[Frequency]]-1,LS[[#This Row],[Investor ID]]),LS[Unique Code],0),)))</f>
        <v>5200.9110371823472</v>
      </c>
      <c r="U418" s="96" cm="1">
        <f t="array" ref="U418">IF(LS[[#This Row],[B/S]]="S",ABS(LS[[#This Row],[Unit]])*(INDEX(LS[NAV at Cost (Average)],MATCH(CONCATENATE((LS[[#This Row],[Frequency]]-1),LS[[#This Row],[Investor ID]]),LS[Unique Code],0),0)),0)</f>
        <v>488629.08896281768</v>
      </c>
      <c r="V418" s="96">
        <f>IF(LS[[#This Row],[BO TRANSFER]]="YES",LS[[#This Row],[Unit]],)</f>
        <v>0</v>
      </c>
      <c r="W418" s="96">
        <f>SUMIFS(LS[[#Headers],[BO UNIT TRANSFER]]:LS[[#This Row],[BO UNIT TRANSFER]],LS[[#Headers],[Investor ID]]:LS[[#This Row],[Investor ID]],LS[[#This Row],[Investor ID]])</f>
        <v>0</v>
      </c>
    </row>
    <row r="419" spans="1:23">
      <c r="A419" s="75">
        <v>2024</v>
      </c>
      <c r="B419" s="75">
        <v>4</v>
      </c>
      <c r="C419" s="75">
        <v>22</v>
      </c>
      <c r="D419" s="81">
        <f>DATE(LS[[#This Row],[Year]],LS[[#This Row],[Month]],LS[[#This Row],[Day]])</f>
        <v>45404</v>
      </c>
      <c r="E419" t="str" cm="1">
        <f t="array" ref="E419">INDEX(INVESTORS_LIST[INVESTOR NAME],MATCH(LS[[#This Row],[Investor ID]],INVESTORS_LIST[INVESTOR CODE],0),)</f>
        <v>BEAUTY BEGUM LOTA</v>
      </c>
      <c r="F419" s="83" t="s">
        <v>1081</v>
      </c>
      <c r="G419" s="75">
        <f>COUNTIF(LS[[#Headers],[Investor ID]]:LS[[#This Row],[Investor ID]],LS[[#This Row],[Investor ID]])</f>
        <v>7</v>
      </c>
      <c r="H419" s="75" t="str">
        <f>CONCATENATE(LS[[#This Row],[Frequency]],LS[[#This Row],[Investor ID]])</f>
        <v>7A00518</v>
      </c>
      <c r="I419" s="75" t="str">
        <f>IF(LS[[#This Row],[B/S]]="B","BUY",(IF(LS[[#This Row],[B/S]]="S","SELL"," ")))</f>
        <v>SELL</v>
      </c>
      <c r="J419" s="75" t="s">
        <v>1231</v>
      </c>
      <c r="K419" s="88">
        <v>-400002.3</v>
      </c>
      <c r="L419" s="88"/>
      <c r="M419" s="89">
        <f>LS[[#This Row],[Amount]]/LS[[#This Row],[Unit]]</f>
        <v>10.974</v>
      </c>
      <c r="N419" s="90">
        <f>LS[[#This Row],[Unit Capital]]/10</f>
        <v>-36450</v>
      </c>
      <c r="O419" s="90">
        <f>SUMIFS(LS[[#Headers],[Unit]]:LS[[#This Row],[Unit]],LS[[#Headers],[Investor ID]]:LS[[#This Row],[Investor ID]],LS[[#This Row],[Investor ID]])</f>
        <v>123730</v>
      </c>
      <c r="P419" s="96">
        <v>-364500</v>
      </c>
      <c r="Q419" s="48">
        <f>LS[[#This Row],[Amount]]-LS[[#This Row],[Unit Capital]]</f>
        <v>-35502.299999999988</v>
      </c>
      <c r="R41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10.651426191761685</v>
      </c>
      <c r="S419" s="89">
        <f t="shared" si="6"/>
        <v>14.224</v>
      </c>
      <c r="T419" s="96">
        <f>IF(LS[[#This Row],[B/S]]="B",0,ABS(LS[[#This Row],[Unit]])*(LS[[#This Row],[NAV (Strike Rate)]]-INDEX(LS[NAV at Cost (Average)],MATCH(CONCATENATE(LS[[#This Row],[Frequency]]-1,LS[[#This Row],[Investor ID]]),LS[Unique Code],0),)))</f>
        <v>11757.815310286604</v>
      </c>
      <c r="U419" s="96" cm="1">
        <f t="array" ref="U419">IF(LS[[#This Row],[B/S]]="S",ABS(LS[[#This Row],[Unit]])*(INDEX(LS[NAV at Cost (Average)],MATCH(CONCATENATE((LS[[#This Row],[Frequency]]-1),LS[[#This Row],[Investor ID]]),LS[Unique Code],0),0)),0)</f>
        <v>388244.4846897134</v>
      </c>
      <c r="V419" s="96">
        <f>IF(LS[[#This Row],[BO TRANSFER]]="YES",LS[[#This Row],[Unit]],)</f>
        <v>0</v>
      </c>
      <c r="W419" s="96">
        <f>SUMIFS(LS[[#Headers],[BO UNIT TRANSFER]]:LS[[#This Row],[BO UNIT TRANSFER]],LS[[#Headers],[Investor ID]]:LS[[#This Row],[Investor ID]],LS[[#This Row],[Investor ID]])</f>
        <v>0</v>
      </c>
    </row>
    <row r="420" spans="1:23">
      <c r="A420" s="75">
        <v>2024</v>
      </c>
      <c r="B420" s="75">
        <v>4</v>
      </c>
      <c r="C420" s="75">
        <v>22</v>
      </c>
      <c r="D420" s="81">
        <f>DATE(LS[[#This Row],[Year]],LS[[#This Row],[Month]],LS[[#This Row],[Day]])</f>
        <v>45404</v>
      </c>
      <c r="E420" t="str" cm="1">
        <f t="array" ref="E420">INDEX(INVESTORS_LIST[INVESTOR NAME],MATCH(LS[[#This Row],[Investor ID]],INVESTORS_LIST[INVESTOR CODE],0),)</f>
        <v>MAHMUD ALI ALAMGIR</v>
      </c>
      <c r="F420" s="83" t="s">
        <v>451</v>
      </c>
      <c r="G420" s="75">
        <f>COUNTIF(LS[[#Headers],[Investor ID]]:LS[[#This Row],[Investor ID]],LS[[#This Row],[Investor ID]])</f>
        <v>7</v>
      </c>
      <c r="H420" s="75" t="str">
        <f>CONCATENATE(LS[[#This Row],[Frequency]],LS[[#This Row],[Investor ID]])</f>
        <v>7A00201</v>
      </c>
      <c r="I420" s="75" t="str">
        <f>IF(LS[[#This Row],[B/S]]="B","BUY",(IF(LS[[#This Row],[B/S]]="S","SELL"," ")))</f>
        <v>SELL</v>
      </c>
      <c r="J420" s="75" t="s">
        <v>1231</v>
      </c>
      <c r="K420" s="88">
        <v>-1200000</v>
      </c>
      <c r="L420" s="88"/>
      <c r="M420" s="89">
        <f>LS[[#This Row],[Amount]]/LS[[#This Row],[Unit]]</f>
        <v>10.974037256856487</v>
      </c>
      <c r="N420" s="90">
        <f>LS[[#This Row],[Unit Capital]]/10</f>
        <v>-109349</v>
      </c>
      <c r="O420" s="90">
        <f>SUMIFS(LS[[#Headers],[Unit]]:LS[[#This Row],[Unit]],LS[[#Headers],[Investor ID]]:LS[[#This Row],[Investor ID]],LS[[#This Row],[Investor ID]])</f>
        <v>18746</v>
      </c>
      <c r="P420" s="96">
        <v>-1093490</v>
      </c>
      <c r="Q420" s="48">
        <f>LS[[#This Row],[Amount]]-LS[[#This Row],[Unit Capital]]</f>
        <v>-106510</v>
      </c>
      <c r="R42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10.76452446199837</v>
      </c>
      <c r="S420" s="89">
        <f t="shared" si="6"/>
        <v>14.224</v>
      </c>
      <c r="T420" s="96">
        <f>IF(LS[[#This Row],[B/S]]="B",0,ABS(LS[[#This Row],[Unit]])*(LS[[#This Row],[NAV (Strike Rate)]]-INDEX(LS[NAV at Cost (Average)],MATCH(CONCATENATE(LS[[#This Row],[Frequency]]-1,LS[[#This Row],[Investor ID]]),LS[Unique Code],0),)))</f>
        <v>22910.014604940261</v>
      </c>
      <c r="U420" s="96" cm="1">
        <f t="array" ref="U420">IF(LS[[#This Row],[B/S]]="S",ABS(LS[[#This Row],[Unit]])*(INDEX(LS[NAV at Cost (Average)],MATCH(CONCATENATE((LS[[#This Row],[Frequency]]-1),LS[[#This Row],[Investor ID]]),LS[Unique Code],0),0)),0)</f>
        <v>1177089.9853950597</v>
      </c>
      <c r="V420" s="96">
        <f>IF(LS[[#This Row],[BO TRANSFER]]="YES",LS[[#This Row],[Unit]],)</f>
        <v>0</v>
      </c>
      <c r="W420" s="96">
        <f>SUMIFS(LS[[#Headers],[BO UNIT TRANSFER]]:LS[[#This Row],[BO UNIT TRANSFER]],LS[[#Headers],[Investor ID]]:LS[[#This Row],[Investor ID]],LS[[#This Row],[Investor ID]])</f>
        <v>0</v>
      </c>
    </row>
    <row r="421" spans="1:23">
      <c r="A421" s="75">
        <v>2024</v>
      </c>
      <c r="B421" s="75">
        <v>4</v>
      </c>
      <c r="C421" s="75">
        <v>22</v>
      </c>
      <c r="D421" s="81">
        <f>DATE(LS[[#This Row],[Year]],LS[[#This Row],[Month]],LS[[#This Row],[Day]])</f>
        <v>45404</v>
      </c>
      <c r="E421" t="str" cm="1">
        <f t="array" ref="E421">INDEX(INVESTORS_LIST[INVESTOR NAME],MATCH(LS[[#This Row],[Investor ID]],INVESTORS_LIST[INVESTOR CODE],0),)</f>
        <v>BABITA RANI BARMAN</v>
      </c>
      <c r="F421" s="83" t="s">
        <v>188</v>
      </c>
      <c r="G421" s="75">
        <f>COUNTIF(LS[[#Headers],[Investor ID]]:LS[[#This Row],[Investor ID]],LS[[#This Row],[Investor ID]])</f>
        <v>2</v>
      </c>
      <c r="H421" s="75" t="str">
        <f>CONCATENATE(LS[[#This Row],[Frequency]],LS[[#This Row],[Investor ID]])</f>
        <v>2A00070</v>
      </c>
      <c r="I421" s="75" t="str">
        <f>IF(LS[[#This Row],[B/S]]="B","BUY",(IF(LS[[#This Row],[B/S]]="S","SELL"," ")))</f>
        <v>SELL</v>
      </c>
      <c r="J421" s="75" t="s">
        <v>1231</v>
      </c>
      <c r="K421" s="88">
        <v>-62145.760000000002</v>
      </c>
      <c r="L421" s="88"/>
      <c r="M421" s="89">
        <f>LS[[#This Row],[Amount]]/LS[[#This Row],[Unit]]</f>
        <v>10.973999646830302</v>
      </c>
      <c r="N421" s="90">
        <f>LS[[#This Row],[Unit Capital]]/10</f>
        <v>-5663</v>
      </c>
      <c r="O421" s="90">
        <f>SUMIFS(LS[[#Headers],[Unit]]:LS[[#This Row],[Unit]],LS[[#Headers],[Investor ID]]:LS[[#This Row],[Investor ID]],LS[[#This Row],[Investor ID]])</f>
        <v>0</v>
      </c>
      <c r="P421" s="96">
        <v>-56630</v>
      </c>
      <c r="Q421" s="48">
        <f>LS[[#This Row],[Amount]]-LS[[#This Row],[Unit Capital]]</f>
        <v>-5515.760000000002</v>
      </c>
      <c r="R42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21" s="89">
        <f t="shared" si="6"/>
        <v>14.224</v>
      </c>
      <c r="T421" s="96">
        <f>IF(LS[[#This Row],[B/S]]="B",0,ABS(LS[[#This Row],[Unit]])*(LS[[#This Row],[NAV (Strike Rate)]]-INDEX(LS[NAV at Cost (Average)],MATCH(CONCATENATE(LS[[#This Row],[Frequency]]-1,LS[[#This Row],[Investor ID]]),LS[Unique Code],0),)))</f>
        <v>2145.7600000000011</v>
      </c>
      <c r="U421" s="96" cm="1">
        <f t="array" ref="U421">IF(LS[[#This Row],[B/S]]="S",ABS(LS[[#This Row],[Unit]])*(INDEX(LS[NAV at Cost (Average)],MATCH(CONCATENATE((LS[[#This Row],[Frequency]]-1),LS[[#This Row],[Investor ID]]),LS[Unique Code],0),0)),0)</f>
        <v>60000</v>
      </c>
      <c r="V421" s="96">
        <f>IF(LS[[#This Row],[BO TRANSFER]]="YES",LS[[#This Row],[Unit]],)</f>
        <v>0</v>
      </c>
      <c r="W421" s="96">
        <f>SUMIFS(LS[[#Headers],[BO UNIT TRANSFER]]:LS[[#This Row],[BO UNIT TRANSFER]],LS[[#Headers],[Investor ID]]:LS[[#This Row],[Investor ID]],LS[[#This Row],[Investor ID]])</f>
        <v>0</v>
      </c>
    </row>
    <row r="422" spans="1:23">
      <c r="A422" s="75">
        <v>2024</v>
      </c>
      <c r="B422" s="75">
        <v>4</v>
      </c>
      <c r="C422" s="75">
        <v>22</v>
      </c>
      <c r="D422" s="81">
        <f>DATE(LS[[#This Row],[Year]],LS[[#This Row],[Month]],LS[[#This Row],[Day]])</f>
        <v>45404</v>
      </c>
      <c r="E422" t="str" cm="1">
        <f t="array" ref="E422">INDEX(INVESTORS_LIST[INVESTOR NAME],MATCH(LS[[#This Row],[Investor ID]],INVESTORS_LIST[INVESTOR CODE],0),)</f>
        <v>SYED FAZLE RABBY</v>
      </c>
      <c r="F422" s="83" t="s">
        <v>166</v>
      </c>
      <c r="G422" s="75">
        <f>COUNTIF(LS[[#Headers],[Investor ID]]:LS[[#This Row],[Investor ID]],LS[[#This Row],[Investor ID]])</f>
        <v>17</v>
      </c>
      <c r="H422" s="75" t="str">
        <f>CONCATENATE(LS[[#This Row],[Frequency]],LS[[#This Row],[Investor ID]])</f>
        <v>17A00059</v>
      </c>
      <c r="I422" s="75" t="str">
        <f>IF(LS[[#This Row],[B/S]]="B","BUY",(IF(LS[[#This Row],[B/S]]="S","SELL"," ")))</f>
        <v>BUY</v>
      </c>
      <c r="J422" s="75" t="s">
        <v>1229</v>
      </c>
      <c r="K422" s="88">
        <v>175000</v>
      </c>
      <c r="L422" s="88"/>
      <c r="M422" s="89">
        <f>LS[[#This Row],[Amount]]/LS[[#This Row],[Unit]]</f>
        <v>10.973850881043456</v>
      </c>
      <c r="N422" s="90">
        <f>LS[[#This Row],[Unit Capital]]/10</f>
        <v>15947</v>
      </c>
      <c r="O422" s="90">
        <f>SUMIFS(LS[[#Headers],[Unit]]:LS[[#This Row],[Unit]],LS[[#Headers],[Investor ID]]:LS[[#This Row],[Investor ID]],LS[[#This Row],[Investor ID]])</f>
        <v>440494</v>
      </c>
      <c r="P422" s="96">
        <v>159470</v>
      </c>
      <c r="Q422" s="48">
        <f>LS[[#This Row],[Amount]]-LS[[#This Row],[Unit Capital]]</f>
        <v>15530</v>
      </c>
      <c r="R42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10.760646001988675</v>
      </c>
      <c r="S422" s="89">
        <f t="shared" si="6"/>
        <v>14.224</v>
      </c>
      <c r="T42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2" s="96" cm="1">
        <f t="array" ref="U422">IF(LS[[#This Row],[B/S]]="S",ABS(LS[[#This Row],[Unit]])*(INDEX(LS[NAV at Cost (Average)],MATCH(CONCATENATE((LS[[#This Row],[Frequency]]-1),LS[[#This Row],[Investor ID]]),LS[Unique Code],0),0)),0)</f>
        <v>0</v>
      </c>
      <c r="V422" s="96">
        <f>IF(LS[[#This Row],[BO TRANSFER]]="YES",LS[[#This Row],[Unit]],)</f>
        <v>0</v>
      </c>
      <c r="W422" s="96">
        <f>SUMIFS(LS[[#Headers],[BO UNIT TRANSFER]]:LS[[#This Row],[BO UNIT TRANSFER]],LS[[#Headers],[Investor ID]]:LS[[#This Row],[Investor ID]],LS[[#This Row],[Investor ID]])</f>
        <v>0</v>
      </c>
    </row>
    <row r="423" spans="1:23">
      <c r="A423" s="75">
        <v>2024</v>
      </c>
      <c r="B423" s="75">
        <v>4</v>
      </c>
      <c r="C423" s="75">
        <v>24</v>
      </c>
      <c r="D423" s="81">
        <f>DATE(LS[[#This Row],[Year]],LS[[#This Row],[Month]],LS[[#This Row],[Day]])</f>
        <v>45406</v>
      </c>
      <c r="E423" t="str" cm="1">
        <f t="array" ref="E423">INDEX(INVESTORS_LIST[INVESTOR NAME],MATCH(LS[[#This Row],[Investor ID]],INVESTORS_LIST[INVESTOR CODE],0),)</f>
        <v>MD SHAFIQUR RAHMAN MONSI</v>
      </c>
      <c r="F423" s="83" t="s">
        <v>1034</v>
      </c>
      <c r="G423" s="75">
        <f>COUNTIF(LS[[#Headers],[Investor ID]]:LS[[#This Row],[Investor ID]],LS[[#This Row],[Investor ID]])</f>
        <v>7</v>
      </c>
      <c r="H423" s="75" t="str">
        <f>CONCATENATE(LS[[#This Row],[Frequency]],LS[[#This Row],[Investor ID]])</f>
        <v>7A00494</v>
      </c>
      <c r="I423" s="75" t="str">
        <f>IF(LS[[#This Row],[B/S]]="B","BUY",(IF(LS[[#This Row],[B/S]]="S","SELL"," ")))</f>
        <v>BUY</v>
      </c>
      <c r="J423" s="75" t="s">
        <v>1229</v>
      </c>
      <c r="K423" s="88">
        <v>40000</v>
      </c>
      <c r="L423" s="88"/>
      <c r="M423" s="89">
        <f>LS[[#This Row],[Amount]]/LS[[#This Row],[Unit]]</f>
        <v>10.973936899862826</v>
      </c>
      <c r="N423" s="90">
        <f>LS[[#This Row],[Unit Capital]]/10</f>
        <v>3645</v>
      </c>
      <c r="O423" s="90">
        <f>SUMIFS(LS[[#Headers],[Unit]]:LS[[#This Row],[Unit]],LS[[#Headers],[Investor ID]]:LS[[#This Row],[Investor ID]],LS[[#This Row],[Investor ID]])</f>
        <v>22102</v>
      </c>
      <c r="P423" s="96">
        <v>36450</v>
      </c>
      <c r="Q423" s="48">
        <f>LS[[#This Row],[Amount]]-LS[[#This Row],[Unit Capital]]</f>
        <v>3550</v>
      </c>
      <c r="R42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10.858745814858382</v>
      </c>
      <c r="S423" s="89">
        <f t="shared" si="6"/>
        <v>14.224</v>
      </c>
      <c r="T42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3" s="96" cm="1">
        <f t="array" ref="U423">IF(LS[[#This Row],[B/S]]="S",ABS(LS[[#This Row],[Unit]])*(INDEX(LS[NAV at Cost (Average)],MATCH(CONCATENATE((LS[[#This Row],[Frequency]]-1),LS[[#This Row],[Investor ID]]),LS[Unique Code],0),0)),0)</f>
        <v>0</v>
      </c>
      <c r="V423" s="96">
        <f>IF(LS[[#This Row],[BO TRANSFER]]="YES",LS[[#This Row],[Unit]],)</f>
        <v>0</v>
      </c>
      <c r="W423" s="96">
        <f>SUMIFS(LS[[#Headers],[BO UNIT TRANSFER]]:LS[[#This Row],[BO UNIT TRANSFER]],LS[[#Headers],[Investor ID]]:LS[[#This Row],[Investor ID]],LS[[#This Row],[Investor ID]])</f>
        <v>0</v>
      </c>
    </row>
    <row r="424" spans="1:23">
      <c r="A424" s="75">
        <v>2024</v>
      </c>
      <c r="B424" s="75">
        <v>4</v>
      </c>
      <c r="C424" s="75">
        <v>25</v>
      </c>
      <c r="D424" s="81">
        <f>DATE(LS[[#This Row],[Year]],LS[[#This Row],[Month]],LS[[#This Row],[Day]])</f>
        <v>45407</v>
      </c>
      <c r="E424" t="str" cm="1">
        <f t="array" ref="E424">INDEX(INVESTORS_LIST[INVESTOR NAME],MATCH(LS[[#This Row],[Investor ID]],INVESTORS_LIST[INVESTOR CODE],0),)</f>
        <v>SYED FAZLE RABBY</v>
      </c>
      <c r="F424" s="83" t="s">
        <v>166</v>
      </c>
      <c r="G424" s="75">
        <f>COUNTIF(LS[[#Headers],[Investor ID]]:LS[[#This Row],[Investor ID]],LS[[#This Row],[Investor ID]])</f>
        <v>18</v>
      </c>
      <c r="H424" s="75" t="str">
        <f>CONCATENATE(LS[[#This Row],[Frequency]],LS[[#This Row],[Investor ID]])</f>
        <v>18A00059</v>
      </c>
      <c r="I424" s="75" t="str">
        <f>IF(LS[[#This Row],[B/S]]="B","BUY",(IF(LS[[#This Row],[B/S]]="S","SELL"," ")))</f>
        <v>BUY</v>
      </c>
      <c r="J424" s="75" t="s">
        <v>1229</v>
      </c>
      <c r="K424" s="88">
        <v>200000</v>
      </c>
      <c r="L424" s="88"/>
      <c r="M424" s="89">
        <f>LS[[#This Row],[Amount]]/LS[[#This Row],[Unit]]</f>
        <v>10.973936899862826</v>
      </c>
      <c r="N424" s="90">
        <f>LS[[#This Row],[Unit Capital]]/10</f>
        <v>18225</v>
      </c>
      <c r="O424" s="90">
        <f>SUMIFS(LS[[#Headers],[Unit]]:LS[[#This Row],[Unit]],LS[[#Headers],[Investor ID]]:LS[[#This Row],[Investor ID]],LS[[#This Row],[Investor ID]])</f>
        <v>458719</v>
      </c>
      <c r="P424" s="96">
        <v>182250</v>
      </c>
      <c r="Q424" s="48">
        <f>LS[[#This Row],[Amount]]-LS[[#This Row],[Unit Capital]]</f>
        <v>17750</v>
      </c>
      <c r="R42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10.769120093128908</v>
      </c>
      <c r="S424" s="89">
        <f t="shared" si="6"/>
        <v>14.224</v>
      </c>
      <c r="T42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4" s="96" cm="1">
        <f t="array" ref="U424">IF(LS[[#This Row],[B/S]]="S",ABS(LS[[#This Row],[Unit]])*(INDEX(LS[NAV at Cost (Average)],MATCH(CONCATENATE((LS[[#This Row],[Frequency]]-1),LS[[#This Row],[Investor ID]]),LS[Unique Code],0),0)),0)</f>
        <v>0</v>
      </c>
      <c r="V424" s="96">
        <f>IF(LS[[#This Row],[BO TRANSFER]]="YES",LS[[#This Row],[Unit]],)</f>
        <v>0</v>
      </c>
      <c r="W424" s="96">
        <f>SUMIFS(LS[[#Headers],[BO UNIT TRANSFER]]:LS[[#This Row],[BO UNIT TRANSFER]],LS[[#Headers],[Investor ID]]:LS[[#This Row],[Investor ID]],LS[[#This Row],[Investor ID]])</f>
        <v>0</v>
      </c>
    </row>
    <row r="425" spans="1:23">
      <c r="A425" s="75">
        <v>2024</v>
      </c>
      <c r="B425" s="75">
        <v>4</v>
      </c>
      <c r="C425" s="75">
        <v>28</v>
      </c>
      <c r="D425" s="81">
        <f>DATE(LS[[#This Row],[Year]],LS[[#This Row],[Month]],LS[[#This Row],[Day]])</f>
        <v>45410</v>
      </c>
      <c r="E425" t="str" cm="1">
        <f t="array" ref="E425">INDEX(INVESTORS_LIST[INVESTOR NAME],MATCH(LS[[#This Row],[Investor ID]],INVESTORS_LIST[INVESTOR CODE],0),)</f>
        <v xml:space="preserve">H. S. M. SHAFEE BIN ALAM </v>
      </c>
      <c r="F425" s="83" t="s">
        <v>1087</v>
      </c>
      <c r="G425" s="75">
        <f>COUNTIF(LS[[#Headers],[Investor ID]]:LS[[#This Row],[Investor ID]],LS[[#This Row],[Investor ID]])</f>
        <v>2</v>
      </c>
      <c r="H425" s="75" t="str">
        <f>CONCATENATE(LS[[#This Row],[Frequency]],LS[[#This Row],[Investor ID]])</f>
        <v>2A00520</v>
      </c>
      <c r="I425" s="75" t="str">
        <f>IF(LS[[#This Row],[B/S]]="B","BUY",(IF(LS[[#This Row],[B/S]]="S","SELL"," ")))</f>
        <v>SELL</v>
      </c>
      <c r="J425" s="75" t="s">
        <v>1231</v>
      </c>
      <c r="K425" s="88">
        <v>-515521.86</v>
      </c>
      <c r="L425" s="88"/>
      <c r="M425" s="89">
        <f>LS[[#This Row],[Amount]]/LS[[#This Row],[Unit]]</f>
        <v>10.990999914719426</v>
      </c>
      <c r="N425" s="90">
        <f>LS[[#This Row],[Unit Capital]]/10</f>
        <v>-46904</v>
      </c>
      <c r="O425" s="90">
        <f>SUMIFS(LS[[#Headers],[Unit]]:LS[[#This Row],[Unit]],LS[[#Headers],[Investor ID]]:LS[[#This Row],[Investor ID]],LS[[#This Row],[Investor ID]])</f>
        <v>0</v>
      </c>
      <c r="P425" s="96">
        <v>-469040</v>
      </c>
      <c r="Q425" s="48">
        <f>LS[[#This Row],[Amount]]-LS[[#This Row],[Unit Capital]]</f>
        <v>-46481.859999999986</v>
      </c>
      <c r="R42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25" s="89">
        <f t="shared" si="6"/>
        <v>14.224</v>
      </c>
      <c r="T425" s="96">
        <f>IF(LS[[#This Row],[B/S]]="B",0,ABS(LS[[#This Row],[Unit]])*(LS[[#This Row],[NAV (Strike Rate)]]-INDEX(LS[NAV at Cost (Average)],MATCH(CONCATENATE(LS[[#This Row],[Frequency]]-1,LS[[#This Row],[Investor ID]]),LS[Unique Code],0),)))</f>
        <v>15521.859999999931</v>
      </c>
      <c r="U425" s="96" cm="1">
        <f t="array" ref="U425">IF(LS[[#This Row],[B/S]]="S",ABS(LS[[#This Row],[Unit]])*(INDEX(LS[NAV at Cost (Average)],MATCH(CONCATENATE((LS[[#This Row],[Frequency]]-1),LS[[#This Row],[Investor ID]]),LS[Unique Code],0),0)),0)</f>
        <v>500000</v>
      </c>
      <c r="V425" s="96">
        <f>IF(LS[[#This Row],[BO TRANSFER]]="YES",LS[[#This Row],[Unit]],)</f>
        <v>0</v>
      </c>
      <c r="W425" s="96">
        <f>SUMIFS(LS[[#Headers],[BO UNIT TRANSFER]]:LS[[#This Row],[BO UNIT TRANSFER]],LS[[#Headers],[Investor ID]]:LS[[#This Row],[Investor ID]],LS[[#This Row],[Investor ID]])</f>
        <v>0</v>
      </c>
    </row>
    <row r="426" spans="1:23">
      <c r="A426" s="75">
        <v>2024</v>
      </c>
      <c r="B426" s="75">
        <v>4</v>
      </c>
      <c r="C426" s="75">
        <v>28</v>
      </c>
      <c r="D426" s="81">
        <f>DATE(LS[[#This Row],[Year]],LS[[#This Row],[Month]],LS[[#This Row],[Day]])</f>
        <v>45410</v>
      </c>
      <c r="E426" t="str" cm="1">
        <f t="array" ref="E426">INDEX(INVESTORS_LIST[INVESTOR NAME],MATCH(LS[[#This Row],[Investor ID]],INVESTORS_LIST[INVESTOR CODE],0),)</f>
        <v>LILY RANI PAUL</v>
      </c>
      <c r="F426" s="83" t="s">
        <v>214</v>
      </c>
      <c r="G426" s="75">
        <f>COUNTIF(LS[[#Headers],[Investor ID]]:LS[[#This Row],[Investor ID]],LS[[#This Row],[Investor ID]])</f>
        <v>4</v>
      </c>
      <c r="H426" s="75" t="str">
        <f>CONCATENATE(LS[[#This Row],[Frequency]],LS[[#This Row],[Investor ID]])</f>
        <v>4A00083</v>
      </c>
      <c r="I426" s="75" t="str">
        <f>IF(LS[[#This Row],[B/S]]="B","BUY",(IF(LS[[#This Row],[B/S]]="S","SELL"," ")))</f>
        <v>SELL</v>
      </c>
      <c r="J426" s="75" t="s">
        <v>1231</v>
      </c>
      <c r="K426" s="88">
        <v>-300000</v>
      </c>
      <c r="L426" s="88"/>
      <c r="M426" s="89">
        <f>LS[[#This Row],[Amount]]/LS[[#This Row],[Unit]]</f>
        <v>10.99102399706906</v>
      </c>
      <c r="N426" s="90">
        <f>LS[[#This Row],[Unit Capital]]/10</f>
        <v>-27295</v>
      </c>
      <c r="O426" s="90">
        <f>SUMIFS(LS[[#Headers],[Unit]]:LS[[#This Row],[Unit]],LS[[#Headers],[Investor ID]]:LS[[#This Row],[Investor ID]],LS[[#This Row],[Investor ID]])</f>
        <v>113704</v>
      </c>
      <c r="P426" s="96">
        <v>-272950</v>
      </c>
      <c r="Q426" s="48">
        <f>LS[[#This Row],[Amount]]-LS[[#This Row],[Unit Capital]]</f>
        <v>-27050</v>
      </c>
      <c r="R42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10.461067099766666</v>
      </c>
      <c r="S426" s="89">
        <f t="shared" si="6"/>
        <v>14.224</v>
      </c>
      <c r="T426" s="96">
        <f>IF(LS[[#This Row],[B/S]]="B",0,ABS(LS[[#This Row],[Unit]])*(LS[[#This Row],[NAV (Strike Rate)]]-INDEX(LS[NAV at Cost (Average)],MATCH(CONCATENATE(LS[[#This Row],[Frequency]]-1,LS[[#This Row],[Investor ID]]),LS[Unique Code],0),)))</f>
        <v>14465.173511868858</v>
      </c>
      <c r="U426" s="96" cm="1">
        <f t="array" ref="U426">IF(LS[[#This Row],[B/S]]="S",ABS(LS[[#This Row],[Unit]])*(INDEX(LS[NAV at Cost (Average)],MATCH(CONCATENATE((LS[[#This Row],[Frequency]]-1),LS[[#This Row],[Investor ID]]),LS[Unique Code],0),0)),0)</f>
        <v>285534.82648813113</v>
      </c>
      <c r="V426" s="96">
        <f>IF(LS[[#This Row],[BO TRANSFER]]="YES",LS[[#This Row],[Unit]],)</f>
        <v>0</v>
      </c>
      <c r="W426" s="96">
        <f>SUMIFS(LS[[#Headers],[BO UNIT TRANSFER]]:LS[[#This Row],[BO UNIT TRANSFER]],LS[[#Headers],[Investor ID]]:LS[[#This Row],[Investor ID]],LS[[#This Row],[Investor ID]])</f>
        <v>0</v>
      </c>
    </row>
    <row r="427" spans="1:23">
      <c r="A427" s="75">
        <v>2024</v>
      </c>
      <c r="B427" s="75">
        <v>4</v>
      </c>
      <c r="C427" s="75">
        <v>28</v>
      </c>
      <c r="D427" s="81">
        <f>DATE(LS[[#This Row],[Year]],LS[[#This Row],[Month]],LS[[#This Row],[Day]])</f>
        <v>45410</v>
      </c>
      <c r="E427" t="str" cm="1">
        <f t="array" ref="E427">INDEX(INVESTORS_LIST[INVESTOR NAME],MATCH(LS[[#This Row],[Investor ID]],INVESTORS_LIST[INVESTOR CODE],0),)</f>
        <v>MUSTAFA KAMAL MASUD</v>
      </c>
      <c r="F427" s="83" t="s">
        <v>1026</v>
      </c>
      <c r="G427" s="75">
        <f>COUNTIF(LS[[#Headers],[Investor ID]]:LS[[#This Row],[Investor ID]],LS[[#This Row],[Investor ID]])</f>
        <v>5</v>
      </c>
      <c r="H427" s="75" t="str">
        <f>CONCATENATE(LS[[#This Row],[Frequency]],LS[[#This Row],[Investor ID]])</f>
        <v>5A00490</v>
      </c>
      <c r="I427" s="75" t="str">
        <f>IF(LS[[#This Row],[B/S]]="B","BUY",(IF(LS[[#This Row],[B/S]]="S","SELL"," ")))</f>
        <v>BUY</v>
      </c>
      <c r="J427" s="75" t="s">
        <v>1229</v>
      </c>
      <c r="K427" s="88">
        <v>2000000</v>
      </c>
      <c r="L427" s="88"/>
      <c r="M427" s="89">
        <f>LS[[#This Row],[Amount]]/LS[[#This Row],[Unit]]</f>
        <v>10.991003863337857</v>
      </c>
      <c r="N427" s="90">
        <f>LS[[#This Row],[Unit Capital]]/10</f>
        <v>181967</v>
      </c>
      <c r="O427" s="90">
        <f>SUMIFS(LS[[#Headers],[Unit]]:LS[[#This Row],[Unit]],LS[[#Headers],[Investor ID]]:LS[[#This Row],[Investor ID]],LS[[#This Row],[Investor ID]])</f>
        <v>234046</v>
      </c>
      <c r="P427" s="96">
        <v>1819670</v>
      </c>
      <c r="Q427" s="48">
        <f>LS[[#This Row],[Amount]]-LS[[#This Row],[Unit Capital]]</f>
        <v>180330</v>
      </c>
      <c r="R42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10.822057985617159</v>
      </c>
      <c r="S427" s="89">
        <f t="shared" si="6"/>
        <v>14.224</v>
      </c>
      <c r="T42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7" s="96" cm="1">
        <f t="array" ref="U427">IF(LS[[#This Row],[B/S]]="S",ABS(LS[[#This Row],[Unit]])*(INDEX(LS[NAV at Cost (Average)],MATCH(CONCATENATE((LS[[#This Row],[Frequency]]-1),LS[[#This Row],[Investor ID]]),LS[Unique Code],0),0)),0)</f>
        <v>0</v>
      </c>
      <c r="V427" s="96">
        <f>IF(LS[[#This Row],[BO TRANSFER]]="YES",LS[[#This Row],[Unit]],)</f>
        <v>0</v>
      </c>
      <c r="W427" s="96">
        <f>SUMIFS(LS[[#Headers],[BO UNIT TRANSFER]]:LS[[#This Row],[BO UNIT TRANSFER]],LS[[#Headers],[Investor ID]]:LS[[#This Row],[Investor ID]],LS[[#This Row],[Investor ID]])</f>
        <v>0</v>
      </c>
    </row>
    <row r="428" spans="1:23">
      <c r="A428" s="75">
        <v>2024</v>
      </c>
      <c r="B428" s="75">
        <v>4</v>
      </c>
      <c r="C428" s="75">
        <v>28</v>
      </c>
      <c r="D428" s="81">
        <f>DATE(LS[[#This Row],[Year]],LS[[#This Row],[Month]],LS[[#This Row],[Day]])</f>
        <v>45410</v>
      </c>
      <c r="E428" t="str" cm="1">
        <f t="array" ref="E428">INDEX(INVESTORS_LIST[INVESTOR NAME],MATCH(LS[[#This Row],[Investor ID]],INVESTORS_LIST[INVESTOR CODE],0),)</f>
        <v>MUMINUL ALAM</v>
      </c>
      <c r="F428" s="83" t="s">
        <v>370</v>
      </c>
      <c r="G428" s="75">
        <f>COUNTIF(LS[[#Headers],[Investor ID]]:LS[[#This Row],[Investor ID]],LS[[#This Row],[Investor ID]])</f>
        <v>2</v>
      </c>
      <c r="H428" s="75" t="str">
        <f>CONCATENATE(LS[[#This Row],[Frequency]],LS[[#This Row],[Investor ID]])</f>
        <v>2A00161</v>
      </c>
      <c r="I428" s="75" t="str">
        <f>IF(LS[[#This Row],[B/S]]="B","BUY",(IF(LS[[#This Row],[B/S]]="S","SELL"," ")))</f>
        <v>SELL</v>
      </c>
      <c r="J428" s="75" t="s">
        <v>1231</v>
      </c>
      <c r="K428" s="88">
        <v>-150356.88</v>
      </c>
      <c r="L428" s="88"/>
      <c r="M428" s="89">
        <f>LS[[#This Row],[Amount]]/LS[[#This Row],[Unit]]</f>
        <v>10.991</v>
      </c>
      <c r="N428" s="90">
        <f>LS[[#This Row],[Unit Capital]]/10</f>
        <v>-13680</v>
      </c>
      <c r="O428" s="90">
        <f>SUMIFS(LS[[#Headers],[Unit]]:LS[[#This Row],[Unit]],LS[[#Headers],[Investor ID]]:LS[[#This Row],[Investor ID]],LS[[#This Row],[Investor ID]])</f>
        <v>0</v>
      </c>
      <c r="P428" s="96">
        <v>-136800</v>
      </c>
      <c r="Q428" s="48">
        <f>LS[[#This Row],[Amount]]-LS[[#This Row],[Unit Capital]]</f>
        <v>-13556.880000000005</v>
      </c>
      <c r="R42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28" s="89">
        <f t="shared" si="6"/>
        <v>14.224</v>
      </c>
      <c r="T428" s="96">
        <f>IF(LS[[#This Row],[B/S]]="B",0,ABS(LS[[#This Row],[Unit]])*(LS[[#This Row],[NAV (Strike Rate)]]-INDEX(LS[NAV at Cost (Average)],MATCH(CONCATENATE(LS[[#This Row],[Frequency]]-1,LS[[#This Row],[Investor ID]]),LS[Unique Code],0),)))</f>
        <v>10356.880000000001</v>
      </c>
      <c r="U428" s="96" cm="1">
        <f t="array" ref="U428">IF(LS[[#This Row],[B/S]]="S",ABS(LS[[#This Row],[Unit]])*(INDEX(LS[NAV at Cost (Average)],MATCH(CONCATENATE((LS[[#This Row],[Frequency]]-1),LS[[#This Row],[Investor ID]]),LS[Unique Code],0),0)),0)</f>
        <v>140000</v>
      </c>
      <c r="V428" s="96">
        <f>IF(LS[[#This Row],[BO TRANSFER]]="YES",LS[[#This Row],[Unit]],)</f>
        <v>0</v>
      </c>
      <c r="W428" s="96">
        <f>SUMIFS(LS[[#Headers],[BO UNIT TRANSFER]]:LS[[#This Row],[BO UNIT TRANSFER]],LS[[#Headers],[Investor ID]]:LS[[#This Row],[Investor ID]],LS[[#This Row],[Investor ID]])</f>
        <v>0</v>
      </c>
    </row>
    <row r="429" spans="1:23">
      <c r="A429" s="75">
        <v>2024</v>
      </c>
      <c r="B429" s="75">
        <v>4</v>
      </c>
      <c r="C429" s="75">
        <v>29</v>
      </c>
      <c r="D429" s="81">
        <f>DATE(LS[[#This Row],[Year]],LS[[#This Row],[Month]],LS[[#This Row],[Day]])</f>
        <v>45411</v>
      </c>
      <c r="E429" t="str" cm="1">
        <f t="array" ref="E429">INDEX(INVESTORS_LIST[INVESTOR NAME],MATCH(LS[[#This Row],[Investor ID]],INVESTORS_LIST[INVESTOR CODE],0),)</f>
        <v>NAZMUL AHSAN</v>
      </c>
      <c r="F429" s="83" t="s">
        <v>262</v>
      </c>
      <c r="G429" s="75">
        <f>COUNTIF(LS[[#Headers],[Investor ID]]:LS[[#This Row],[Investor ID]],LS[[#This Row],[Investor ID]])</f>
        <v>2</v>
      </c>
      <c r="H429" s="75" t="str">
        <f>CONCATENATE(LS[[#This Row],[Frequency]],LS[[#This Row],[Investor ID]])</f>
        <v>2A00107</v>
      </c>
      <c r="I429" s="75" t="str">
        <f>IF(LS[[#This Row],[B/S]]="B","BUY",(IF(LS[[#This Row],[B/S]]="S","SELL"," ")))</f>
        <v>BUY</v>
      </c>
      <c r="J429" s="75" t="s">
        <v>1229</v>
      </c>
      <c r="K429" s="88">
        <v>500000</v>
      </c>
      <c r="L429" s="88"/>
      <c r="M429" s="89">
        <f>LS[[#This Row],[Amount]]/LS[[#This Row],[Unit]]</f>
        <v>10.990943462586829</v>
      </c>
      <c r="N429" s="90">
        <f>LS[[#This Row],[Unit Capital]]/10</f>
        <v>45492</v>
      </c>
      <c r="O429" s="90">
        <f>SUMIFS(LS[[#Headers],[Unit]]:LS[[#This Row],[Unit]],LS[[#Headers],[Investor ID]]:LS[[#This Row],[Investor ID]],LS[[#This Row],[Investor ID]])</f>
        <v>174370</v>
      </c>
      <c r="P429" s="96">
        <v>454920</v>
      </c>
      <c r="Q429" s="48">
        <f>LS[[#This Row],[Amount]]-LS[[#This Row],[Unit Capital]]</f>
        <v>45080</v>
      </c>
      <c r="R42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10.896369788381028</v>
      </c>
      <c r="S429" s="89">
        <f t="shared" si="6"/>
        <v>14.224</v>
      </c>
      <c r="T42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29" s="96" cm="1">
        <f t="array" ref="U429">IF(LS[[#This Row],[B/S]]="S",ABS(LS[[#This Row],[Unit]])*(INDEX(LS[NAV at Cost (Average)],MATCH(CONCATENATE((LS[[#This Row],[Frequency]]-1),LS[[#This Row],[Investor ID]]),LS[Unique Code],0),0)),0)</f>
        <v>0</v>
      </c>
      <c r="V429" s="96">
        <f>IF(LS[[#This Row],[BO TRANSFER]]="YES",LS[[#This Row],[Unit]],)</f>
        <v>0</v>
      </c>
      <c r="W429" s="96">
        <f>SUMIFS(LS[[#Headers],[BO UNIT TRANSFER]]:LS[[#This Row],[BO UNIT TRANSFER]],LS[[#Headers],[Investor ID]]:LS[[#This Row],[Investor ID]],LS[[#This Row],[Investor ID]])</f>
        <v>0</v>
      </c>
    </row>
    <row r="430" spans="1:23">
      <c r="A430" s="75">
        <v>2024</v>
      </c>
      <c r="B430" s="75">
        <v>4</v>
      </c>
      <c r="C430" s="75">
        <v>30</v>
      </c>
      <c r="D430" s="81">
        <f>DATE(LS[[#This Row],[Year]],LS[[#This Row],[Month]],LS[[#This Row],[Day]])</f>
        <v>45412</v>
      </c>
      <c r="E430" t="str" cm="1">
        <f t="array" ref="E430">INDEX(INVESTORS_LIST[INVESTOR NAME],MATCH(LS[[#This Row],[Investor ID]],INVESTORS_LIST[INVESTOR CODE],0),)</f>
        <v>MST. GOLENUR</v>
      </c>
      <c r="F430" s="83" t="s">
        <v>1075</v>
      </c>
      <c r="G430" s="75">
        <f>COUNTIF(LS[[#Headers],[Investor ID]]:LS[[#This Row],[Investor ID]],LS[[#This Row],[Investor ID]])</f>
        <v>6</v>
      </c>
      <c r="H430" s="75" t="str">
        <f>CONCATENATE(LS[[#This Row],[Frequency]],LS[[#This Row],[Investor ID]])</f>
        <v>6A00515</v>
      </c>
      <c r="I430" s="75" t="str">
        <f>IF(LS[[#This Row],[B/S]]="B","BUY",(IF(LS[[#This Row],[B/S]]="S","SELL"," ")))</f>
        <v>BUY</v>
      </c>
      <c r="J430" s="75" t="s">
        <v>1229</v>
      </c>
      <c r="K430" s="88">
        <v>2000</v>
      </c>
      <c r="L430" s="88"/>
      <c r="M430" s="89">
        <f>LS[[#This Row],[Amount]]/LS[[#This Row],[Unit]]</f>
        <v>10.989010989010989</v>
      </c>
      <c r="N430" s="90">
        <f>LS[[#This Row],[Unit Capital]]/10</f>
        <v>182</v>
      </c>
      <c r="O430" s="90">
        <f>SUMIFS(LS[[#Headers],[Unit]]:LS[[#This Row],[Unit]],LS[[#Headers],[Investor ID]]:LS[[#This Row],[Investor ID]],LS[[#This Row],[Investor ID]])</f>
        <v>1113</v>
      </c>
      <c r="P430" s="96">
        <v>1820</v>
      </c>
      <c r="Q430" s="48">
        <f>LS[[#This Row],[Amount]]-LS[[#This Row],[Unit Capital]]</f>
        <v>180</v>
      </c>
      <c r="R43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10.781671159029649</v>
      </c>
      <c r="S430" s="89">
        <f t="shared" si="6"/>
        <v>14.224</v>
      </c>
      <c r="T43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0" s="96" cm="1">
        <f t="array" ref="U430">IF(LS[[#This Row],[B/S]]="S",ABS(LS[[#This Row],[Unit]])*(INDEX(LS[NAV at Cost (Average)],MATCH(CONCATENATE((LS[[#This Row],[Frequency]]-1),LS[[#This Row],[Investor ID]]),LS[Unique Code],0),0)),0)</f>
        <v>0</v>
      </c>
      <c r="V430" s="96">
        <f>IF(LS[[#This Row],[BO TRANSFER]]="YES",LS[[#This Row],[Unit]],)</f>
        <v>0</v>
      </c>
      <c r="W430" s="96">
        <f>SUMIFS(LS[[#Headers],[BO UNIT TRANSFER]]:LS[[#This Row],[BO UNIT TRANSFER]],LS[[#Headers],[Investor ID]]:LS[[#This Row],[Investor ID]],LS[[#This Row],[Investor ID]])</f>
        <v>0</v>
      </c>
    </row>
    <row r="431" spans="1:23">
      <c r="A431" s="75">
        <v>2024</v>
      </c>
      <c r="B431" s="75">
        <v>5</v>
      </c>
      <c r="C431" s="75">
        <v>2</v>
      </c>
      <c r="D431" s="81">
        <f>DATE(LS[[#This Row],[Year]],LS[[#This Row],[Month]],LS[[#This Row],[Day]])</f>
        <v>45414</v>
      </c>
      <c r="E431" t="str" cm="1">
        <f t="array" ref="E431">INDEX(INVESTORS_LIST[INVESTOR NAME],MATCH(LS[[#This Row],[Investor ID]],INVESTORS_LIST[INVESTOR CODE],0),)</f>
        <v>KHAN MUHAMMAD KAWSER AHMED</v>
      </c>
      <c r="F431" s="83" t="s">
        <v>944</v>
      </c>
      <c r="G431" s="75">
        <f>COUNTIF(LS[[#Headers],[Investor ID]]:LS[[#This Row],[Investor ID]],LS[[#This Row],[Investor ID]])</f>
        <v>6</v>
      </c>
      <c r="H431" s="75" t="str">
        <f>CONCATENATE(LS[[#This Row],[Frequency]],LS[[#This Row],[Investor ID]])</f>
        <v>6A00449</v>
      </c>
      <c r="I431" s="75" t="str">
        <f>IF(LS[[#This Row],[B/S]]="B","BUY",(IF(LS[[#This Row],[B/S]]="S","SELL"," ")))</f>
        <v>BUY</v>
      </c>
      <c r="J431" s="75" t="s">
        <v>1229</v>
      </c>
      <c r="K431" s="88">
        <v>10000000</v>
      </c>
      <c r="L431" s="88"/>
      <c r="M431" s="89">
        <f>LS[[#This Row],[Amount]]/LS[[#This Row],[Unit]]</f>
        <v>10.991003863337857</v>
      </c>
      <c r="N431" s="90">
        <f>LS[[#This Row],[Unit Capital]]/10</f>
        <v>909835</v>
      </c>
      <c r="O431" s="90">
        <f>SUMIFS(LS[[#Headers],[Unit]]:LS[[#This Row],[Unit]],LS[[#Headers],[Investor ID]]:LS[[#This Row],[Investor ID]],LS[[#This Row],[Investor ID]])</f>
        <v>4642930</v>
      </c>
      <c r="P431" s="96">
        <v>9098350</v>
      </c>
      <c r="Q431" s="48">
        <f>LS[[#This Row],[Amount]]-LS[[#This Row],[Unit Capital]]</f>
        <v>901650</v>
      </c>
      <c r="R43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10.769061777799793</v>
      </c>
      <c r="S431" s="89">
        <f t="shared" si="6"/>
        <v>14.224</v>
      </c>
      <c r="T43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1" s="96" cm="1">
        <f t="array" ref="U431">IF(LS[[#This Row],[B/S]]="S",ABS(LS[[#This Row],[Unit]])*(INDEX(LS[NAV at Cost (Average)],MATCH(CONCATENATE((LS[[#This Row],[Frequency]]-1),LS[[#This Row],[Investor ID]]),LS[Unique Code],0),0)),0)</f>
        <v>0</v>
      </c>
      <c r="V431" s="96">
        <f>IF(LS[[#This Row],[BO TRANSFER]]="YES",LS[[#This Row],[Unit]],)</f>
        <v>0</v>
      </c>
      <c r="W431" s="96">
        <f>SUMIFS(LS[[#Headers],[BO UNIT TRANSFER]]:LS[[#This Row],[BO UNIT TRANSFER]],LS[[#Headers],[Investor ID]]:LS[[#This Row],[Investor ID]],LS[[#This Row],[Investor ID]])</f>
        <v>0</v>
      </c>
    </row>
    <row r="432" spans="1:23">
      <c r="A432" s="75">
        <v>2024</v>
      </c>
      <c r="B432" s="75">
        <v>5</v>
      </c>
      <c r="C432" s="75">
        <v>2</v>
      </c>
      <c r="D432" s="81">
        <f>DATE(LS[[#This Row],[Year]],LS[[#This Row],[Month]],LS[[#This Row],[Day]])</f>
        <v>45414</v>
      </c>
      <c r="E432" t="str" cm="1">
        <f t="array" ref="E432">INDEX(INVESTORS_LIST[INVESTOR NAME],MATCH(LS[[#This Row],[Investor ID]],INVESTORS_LIST[INVESTOR CODE],0),)</f>
        <v>SYED FAZLE RABBY</v>
      </c>
      <c r="F432" s="83" t="s">
        <v>166</v>
      </c>
      <c r="G432" s="75">
        <f>COUNTIF(LS[[#Headers],[Investor ID]]:LS[[#This Row],[Investor ID]],LS[[#This Row],[Investor ID]])</f>
        <v>19</v>
      </c>
      <c r="H432" s="75" t="str">
        <f>CONCATENATE(LS[[#This Row],[Frequency]],LS[[#This Row],[Investor ID]])</f>
        <v>19A00059</v>
      </c>
      <c r="I432" s="75" t="str">
        <f>IF(LS[[#This Row],[B/S]]="B","BUY",(IF(LS[[#This Row],[B/S]]="S","SELL"," ")))</f>
        <v>BUY</v>
      </c>
      <c r="J432" s="75" t="s">
        <v>1229</v>
      </c>
      <c r="K432" s="88">
        <v>205000</v>
      </c>
      <c r="L432" s="88"/>
      <c r="M432" s="89">
        <f>LS[[#This Row],[Amount]]/LS[[#This Row],[Unit]]</f>
        <v>10.990778468796911</v>
      </c>
      <c r="N432" s="90">
        <f>LS[[#This Row],[Unit Capital]]/10</f>
        <v>18652</v>
      </c>
      <c r="O432" s="90">
        <f>SUMIFS(LS[[#Headers],[Unit]]:LS[[#This Row],[Unit]],LS[[#Headers],[Investor ID]]:LS[[#This Row],[Investor ID]],LS[[#This Row],[Investor ID]])</f>
        <v>477371</v>
      </c>
      <c r="P432" s="96">
        <v>186520</v>
      </c>
      <c r="Q432" s="48">
        <f>LS[[#This Row],[Amount]]-LS[[#This Row],[Unit Capital]]</f>
        <v>18480</v>
      </c>
      <c r="R43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10.777780803609771</v>
      </c>
      <c r="S432" s="89">
        <f t="shared" si="6"/>
        <v>14.224</v>
      </c>
      <c r="T43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2" s="96" cm="1">
        <f t="array" ref="U432">IF(LS[[#This Row],[B/S]]="S",ABS(LS[[#This Row],[Unit]])*(INDEX(LS[NAV at Cost (Average)],MATCH(CONCATENATE((LS[[#This Row],[Frequency]]-1),LS[[#This Row],[Investor ID]]),LS[Unique Code],0),0)),0)</f>
        <v>0</v>
      </c>
      <c r="V432" s="96">
        <f>IF(LS[[#This Row],[BO TRANSFER]]="YES",LS[[#This Row],[Unit]],)</f>
        <v>0</v>
      </c>
      <c r="W432" s="96">
        <f>SUMIFS(LS[[#Headers],[BO UNIT TRANSFER]]:LS[[#This Row],[BO UNIT TRANSFER]],LS[[#Headers],[Investor ID]]:LS[[#This Row],[Investor ID]],LS[[#This Row],[Investor ID]])</f>
        <v>0</v>
      </c>
    </row>
    <row r="433" spans="1:23">
      <c r="A433" s="75">
        <v>2024</v>
      </c>
      <c r="B433" s="75">
        <v>5</v>
      </c>
      <c r="C433" s="75">
        <v>2</v>
      </c>
      <c r="D433" s="81">
        <f>DATE(LS[[#This Row],[Year]],LS[[#This Row],[Month]],LS[[#This Row],[Day]])</f>
        <v>45414</v>
      </c>
      <c r="E433" t="str" cm="1">
        <f t="array" ref="E433">INDEX(INVESTORS_LIST[INVESTOR NAME],MATCH(LS[[#This Row],[Investor ID]],INVESTORS_LIST[INVESTOR CODE],0),)</f>
        <v>KAZI HABIBUR RAHMAN</v>
      </c>
      <c r="F433" s="83" t="s">
        <v>1114</v>
      </c>
      <c r="G433" s="75">
        <f>COUNTIF(LS[[#Headers],[Investor ID]]:LS[[#This Row],[Investor ID]],LS[[#This Row],[Investor ID]])</f>
        <v>9</v>
      </c>
      <c r="H433" s="75" t="str">
        <f>CONCATENATE(LS[[#This Row],[Frequency]],LS[[#This Row],[Investor ID]])</f>
        <v>9A00532</v>
      </c>
      <c r="I433" s="75" t="str">
        <f>IF(LS[[#This Row],[B/S]]="B","BUY",(IF(LS[[#This Row],[B/S]]="S","SELL"," ")))</f>
        <v>BUY</v>
      </c>
      <c r="J433" s="75" t="s">
        <v>1229</v>
      </c>
      <c r="K433" s="88">
        <v>800000</v>
      </c>
      <c r="L433" s="88"/>
      <c r="M433" s="89">
        <f>LS[[#This Row],[Amount]]/LS[[#This Row],[Unit]]</f>
        <v>10.990973662879361</v>
      </c>
      <c r="N433" s="90">
        <f>LS[[#This Row],[Unit Capital]]/10</f>
        <v>72787</v>
      </c>
      <c r="O433" s="90">
        <f>SUMIFS(LS[[#Headers],[Unit]]:LS[[#This Row],[Unit]],LS[[#Headers],[Investor ID]]:LS[[#This Row],[Investor ID]],LS[[#This Row],[Investor ID]])</f>
        <v>313648</v>
      </c>
      <c r="P433" s="96">
        <v>727870</v>
      </c>
      <c r="Q433" s="48">
        <f>LS[[#This Row],[Amount]]-LS[[#This Row],[Unit Capital]]</f>
        <v>72130</v>
      </c>
      <c r="R43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10.889184407479668</v>
      </c>
      <c r="S433" s="89">
        <f t="shared" si="6"/>
        <v>14.224</v>
      </c>
      <c r="T43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3" s="96" cm="1">
        <f t="array" ref="U433">IF(LS[[#This Row],[B/S]]="S",ABS(LS[[#This Row],[Unit]])*(INDEX(LS[NAV at Cost (Average)],MATCH(CONCATENATE((LS[[#This Row],[Frequency]]-1),LS[[#This Row],[Investor ID]]),LS[Unique Code],0),0)),0)</f>
        <v>0</v>
      </c>
      <c r="V433" s="96">
        <f>IF(LS[[#This Row],[BO TRANSFER]]="YES",LS[[#This Row],[Unit]],)</f>
        <v>0</v>
      </c>
      <c r="W433" s="96">
        <f>SUMIFS(LS[[#Headers],[BO UNIT TRANSFER]]:LS[[#This Row],[BO UNIT TRANSFER]],LS[[#Headers],[Investor ID]]:LS[[#This Row],[Investor ID]],LS[[#This Row],[Investor ID]])</f>
        <v>0</v>
      </c>
    </row>
    <row r="434" spans="1:23">
      <c r="A434" s="75">
        <v>2024</v>
      </c>
      <c r="B434" s="75">
        <v>5</v>
      </c>
      <c r="C434" s="75">
        <v>6</v>
      </c>
      <c r="D434" s="81">
        <f>DATE(LS[[#This Row],[Year]],LS[[#This Row],[Month]],LS[[#This Row],[Day]])</f>
        <v>45418</v>
      </c>
      <c r="E434" t="str" cm="1">
        <f t="array" ref="E434">INDEX(INVESTORS_LIST[INVESTOR NAME],MATCH(LS[[#This Row],[Investor ID]],INVESTORS_LIST[INVESTOR CODE],0),)</f>
        <v>ARIFUR RAHMAN</v>
      </c>
      <c r="F434" s="83" t="s">
        <v>278</v>
      </c>
      <c r="G434" s="75">
        <f>COUNTIF(LS[[#Headers],[Investor ID]]:LS[[#This Row],[Investor ID]],LS[[#This Row],[Investor ID]])</f>
        <v>3</v>
      </c>
      <c r="H434" s="75" t="str">
        <f>CONCATENATE(LS[[#This Row],[Frequency]],LS[[#This Row],[Investor ID]])</f>
        <v>3A00115</v>
      </c>
      <c r="I434" s="75" t="str">
        <f>IF(LS[[#This Row],[B/S]]="B","BUY",(IF(LS[[#This Row],[B/S]]="S","SELL"," ")))</f>
        <v>BUY</v>
      </c>
      <c r="J434" s="75" t="s">
        <v>1229</v>
      </c>
      <c r="K434" s="88">
        <v>21000</v>
      </c>
      <c r="L434" s="88"/>
      <c r="M434" s="89">
        <f>LS[[#This Row],[Amount]]/LS[[#This Row],[Unit]]</f>
        <v>11.012060828526481</v>
      </c>
      <c r="N434" s="90">
        <f>LS[[#This Row],[Unit Capital]]/10</f>
        <v>1907</v>
      </c>
      <c r="O434" s="90">
        <f>SUMIFS(LS[[#Headers],[Unit]]:LS[[#This Row],[Unit]],LS[[#Headers],[Investor ID]]:LS[[#This Row],[Investor ID]],LS[[#This Row],[Investor ID]])</f>
        <v>16471</v>
      </c>
      <c r="P434" s="96">
        <v>19070</v>
      </c>
      <c r="Q434" s="48">
        <f>LS[[#This Row],[Amount]]-LS[[#This Row],[Unit Capital]]</f>
        <v>1930</v>
      </c>
      <c r="R43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10.381883310060106</v>
      </c>
      <c r="S434" s="89">
        <f t="shared" si="6"/>
        <v>14.224</v>
      </c>
      <c r="T43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4" s="96" cm="1">
        <f t="array" ref="U434">IF(LS[[#This Row],[B/S]]="S",ABS(LS[[#This Row],[Unit]])*(INDEX(LS[NAV at Cost (Average)],MATCH(CONCATENATE((LS[[#This Row],[Frequency]]-1),LS[[#This Row],[Investor ID]]),LS[Unique Code],0),0)),0)</f>
        <v>0</v>
      </c>
      <c r="V434" s="96">
        <f>IF(LS[[#This Row],[BO TRANSFER]]="YES",LS[[#This Row],[Unit]],)</f>
        <v>0</v>
      </c>
      <c r="W434" s="96">
        <f>SUMIFS(LS[[#Headers],[BO UNIT TRANSFER]]:LS[[#This Row],[BO UNIT TRANSFER]],LS[[#Headers],[Investor ID]]:LS[[#This Row],[Investor ID]],LS[[#This Row],[Investor ID]])</f>
        <v>0</v>
      </c>
    </row>
    <row r="435" spans="1:23">
      <c r="A435" s="75">
        <v>2024</v>
      </c>
      <c r="B435" s="75">
        <v>5</v>
      </c>
      <c r="C435" s="75">
        <v>6</v>
      </c>
      <c r="D435" s="81">
        <f>DATE(LS[[#This Row],[Year]],LS[[#This Row],[Month]],LS[[#This Row],[Day]])</f>
        <v>45418</v>
      </c>
      <c r="E435" t="str" cm="1">
        <f t="array" ref="E435">INDEX(INVESTORS_LIST[INVESTOR NAME],MATCH(LS[[#This Row],[Investor ID]],INVESTORS_LIST[INVESTOR CODE],0),)</f>
        <v>MD MINHAZ UDDIN</v>
      </c>
      <c r="F435" s="83" t="s">
        <v>1126</v>
      </c>
      <c r="G435" s="75">
        <f>COUNTIF(LS[[#Headers],[Investor ID]]:LS[[#This Row],[Investor ID]],LS[[#This Row],[Investor ID]])</f>
        <v>1</v>
      </c>
      <c r="H435" s="75" t="str">
        <f>CONCATENATE(LS[[#This Row],[Frequency]],LS[[#This Row],[Investor ID]])</f>
        <v>1A00538</v>
      </c>
      <c r="I435" s="75" t="str">
        <f>IF(LS[[#This Row],[B/S]]="B","BUY",(IF(LS[[#This Row],[B/S]]="S","SELL"," ")))</f>
        <v>BUY</v>
      </c>
      <c r="J435" s="75" t="s">
        <v>1229</v>
      </c>
      <c r="K435" s="88">
        <v>3000000</v>
      </c>
      <c r="L435" s="88"/>
      <c r="M435" s="89">
        <f>LS[[#This Row],[Amount]]/LS[[#This Row],[Unit]]</f>
        <v>11.013013711202071</v>
      </c>
      <c r="N435" s="90">
        <f>LS[[#This Row],[Unit Capital]]/10</f>
        <v>272405</v>
      </c>
      <c r="O435" s="90">
        <f>SUMIFS(LS[[#Headers],[Unit]]:LS[[#This Row],[Unit]],LS[[#Headers],[Investor ID]]:LS[[#This Row],[Investor ID]],LS[[#This Row],[Investor ID]])</f>
        <v>272405</v>
      </c>
      <c r="P435" s="96">
        <v>2724050</v>
      </c>
      <c r="Q435" s="48">
        <f>LS[[#This Row],[Amount]]-LS[[#This Row],[Unit Capital]]</f>
        <v>275950</v>
      </c>
      <c r="R43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11.013013711202071</v>
      </c>
      <c r="S435" s="89">
        <f t="shared" si="6"/>
        <v>14.224</v>
      </c>
      <c r="T43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5" s="96" cm="1">
        <f t="array" ref="U435">IF(LS[[#This Row],[B/S]]="S",ABS(LS[[#This Row],[Unit]])*(INDEX(LS[NAV at Cost (Average)],MATCH(CONCATENATE((LS[[#This Row],[Frequency]]-1),LS[[#This Row],[Investor ID]]),LS[Unique Code],0),0)),0)</f>
        <v>0</v>
      </c>
      <c r="V435" s="96">
        <f>IF(LS[[#This Row],[BO TRANSFER]]="YES",LS[[#This Row],[Unit]],)</f>
        <v>0</v>
      </c>
      <c r="W435" s="96">
        <f>SUMIFS(LS[[#Headers],[BO UNIT TRANSFER]]:LS[[#This Row],[BO UNIT TRANSFER]],LS[[#Headers],[Investor ID]]:LS[[#This Row],[Investor ID]],LS[[#This Row],[Investor ID]])</f>
        <v>0</v>
      </c>
    </row>
    <row r="436" spans="1:23">
      <c r="A436" s="75">
        <v>2024</v>
      </c>
      <c r="B436" s="75">
        <v>5</v>
      </c>
      <c r="C436" s="75">
        <v>5</v>
      </c>
      <c r="D436" s="81">
        <f>DATE(LS[[#This Row],[Year]],LS[[#This Row],[Month]],LS[[#This Row],[Day]])</f>
        <v>45417</v>
      </c>
      <c r="E436" t="str" cm="1">
        <f t="array" ref="E436">INDEX(INVESTORS_LIST[INVESTOR NAME],MATCH(LS[[#This Row],[Investor ID]],INVESTORS_LIST[INVESTOR CODE],0),)</f>
        <v>KAZI HABIBUR RAHMAN</v>
      </c>
      <c r="F436" s="83" t="s">
        <v>1114</v>
      </c>
      <c r="G436" s="75">
        <f>COUNTIF(LS[[#Headers],[Investor ID]]:LS[[#This Row],[Investor ID]],LS[[#This Row],[Investor ID]])</f>
        <v>10</v>
      </c>
      <c r="H436" s="75" t="str">
        <f>CONCATENATE(LS[[#This Row],[Frequency]],LS[[#This Row],[Investor ID]])</f>
        <v>10A00532</v>
      </c>
      <c r="I436" s="75" t="str">
        <f>IF(LS[[#This Row],[B/S]]="B","BUY",(IF(LS[[#This Row],[B/S]]="S","SELL"," ")))</f>
        <v>BUY</v>
      </c>
      <c r="J436" s="75" t="s">
        <v>1229</v>
      </c>
      <c r="K436" s="88">
        <v>2500000</v>
      </c>
      <c r="L436" s="88"/>
      <c r="M436" s="89">
        <f>LS[[#This Row],[Amount]]/LS[[#This Row],[Unit]]</f>
        <v>11.01302179697274</v>
      </c>
      <c r="N436" s="90">
        <f>LS[[#This Row],[Unit Capital]]/10</f>
        <v>227004</v>
      </c>
      <c r="O436" s="90">
        <f>SUMIFS(LS[[#Headers],[Unit]]:LS[[#This Row],[Unit]],LS[[#Headers],[Investor ID]]:LS[[#This Row],[Investor ID]],LS[[#This Row],[Investor ID]])</f>
        <v>540652</v>
      </c>
      <c r="P436" s="96">
        <v>2270040</v>
      </c>
      <c r="Q436" s="48">
        <f>LS[[#This Row],[Amount]]-LS[[#This Row],[Unit Capital]]</f>
        <v>229960</v>
      </c>
      <c r="R43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10.941180114079264</v>
      </c>
      <c r="S436" s="89">
        <f t="shared" si="6"/>
        <v>14.224</v>
      </c>
      <c r="T43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6" s="96" cm="1">
        <f t="array" ref="U436">IF(LS[[#This Row],[B/S]]="S",ABS(LS[[#This Row],[Unit]])*(INDEX(LS[NAV at Cost (Average)],MATCH(CONCATENATE((LS[[#This Row],[Frequency]]-1),LS[[#This Row],[Investor ID]]),LS[Unique Code],0),0)),0)</f>
        <v>0</v>
      </c>
      <c r="V436" s="96">
        <f>IF(LS[[#This Row],[BO TRANSFER]]="YES",LS[[#This Row],[Unit]],)</f>
        <v>0</v>
      </c>
      <c r="W436" s="96">
        <f>SUMIFS(LS[[#Headers],[BO UNIT TRANSFER]]:LS[[#This Row],[BO UNIT TRANSFER]],LS[[#Headers],[Investor ID]]:LS[[#This Row],[Investor ID]],LS[[#This Row],[Investor ID]])</f>
        <v>0</v>
      </c>
    </row>
    <row r="437" spans="1:23">
      <c r="A437" s="75">
        <v>2024</v>
      </c>
      <c r="B437" s="75">
        <v>5</v>
      </c>
      <c r="C437" s="75">
        <v>6</v>
      </c>
      <c r="D437" s="81">
        <f>DATE(LS[[#This Row],[Year]],LS[[#This Row],[Month]],LS[[#This Row],[Day]])</f>
        <v>45418</v>
      </c>
      <c r="E437" t="str" cm="1">
        <f t="array" ref="E437">INDEX(INVESTORS_LIST[INVESTOR NAME],MATCH(LS[[#This Row],[Investor ID]],INVESTORS_LIST[INVESTOR CODE],0),)</f>
        <v>KAZI HABIBUR RAHMAN</v>
      </c>
      <c r="F437" s="83" t="s">
        <v>1114</v>
      </c>
      <c r="G437" s="75">
        <f>COUNTIF(LS[[#Headers],[Investor ID]]:LS[[#This Row],[Investor ID]],LS[[#This Row],[Investor ID]])</f>
        <v>11</v>
      </c>
      <c r="H437" s="75" t="str">
        <f>CONCATENATE(LS[[#This Row],[Frequency]],LS[[#This Row],[Investor ID]])</f>
        <v>11A00532</v>
      </c>
      <c r="I437" s="75" t="str">
        <f>IF(LS[[#This Row],[B/S]]="B","BUY",(IF(LS[[#This Row],[B/S]]="S","SELL"," ")))</f>
        <v>BUY</v>
      </c>
      <c r="J437" s="75" t="s">
        <v>1229</v>
      </c>
      <c r="K437" s="88">
        <v>1500000</v>
      </c>
      <c r="L437" s="88"/>
      <c r="M437" s="89">
        <f>LS[[#This Row],[Amount]]/LS[[#This Row],[Unit]]</f>
        <v>11.012973282526817</v>
      </c>
      <c r="N437" s="90">
        <f>LS[[#This Row],[Unit Capital]]/10</f>
        <v>136203</v>
      </c>
      <c r="O437" s="90">
        <f>SUMIFS(LS[[#Headers],[Unit]]:LS[[#This Row],[Unit]],LS[[#Headers],[Investor ID]]:LS[[#This Row],[Investor ID]],LS[[#This Row],[Investor ID]])</f>
        <v>676855</v>
      </c>
      <c r="P437" s="96">
        <v>1362030</v>
      </c>
      <c r="Q437" s="48">
        <f>LS[[#This Row],[Amount]]-LS[[#This Row],[Unit Capital]]</f>
        <v>137970</v>
      </c>
      <c r="R43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10.955626996974512</v>
      </c>
      <c r="S437" s="89">
        <f t="shared" si="6"/>
        <v>14.224</v>
      </c>
      <c r="T43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7" s="96" cm="1">
        <f t="array" ref="U437">IF(LS[[#This Row],[B/S]]="S",ABS(LS[[#This Row],[Unit]])*(INDEX(LS[NAV at Cost (Average)],MATCH(CONCATENATE((LS[[#This Row],[Frequency]]-1),LS[[#This Row],[Investor ID]]),LS[Unique Code],0),0)),0)</f>
        <v>0</v>
      </c>
      <c r="V437" s="96">
        <f>IF(LS[[#This Row],[BO TRANSFER]]="YES",LS[[#This Row],[Unit]],)</f>
        <v>0</v>
      </c>
      <c r="W437" s="96">
        <f>SUMIFS(LS[[#Headers],[BO UNIT TRANSFER]]:LS[[#This Row],[BO UNIT TRANSFER]],LS[[#Headers],[Investor ID]]:LS[[#This Row],[Investor ID]],LS[[#This Row],[Investor ID]])</f>
        <v>0</v>
      </c>
    </row>
    <row r="438" spans="1:23">
      <c r="A438" s="75">
        <v>2024</v>
      </c>
      <c r="B438" s="75">
        <v>5</v>
      </c>
      <c r="C438" s="75">
        <v>7</v>
      </c>
      <c r="D438" s="81">
        <f>DATE(LS[[#This Row],[Year]],LS[[#This Row],[Month]],LS[[#This Row],[Day]])</f>
        <v>45419</v>
      </c>
      <c r="E438" t="str" cm="1">
        <f t="array" ref="E438">INDEX(INVESTORS_LIST[INVESTOR NAME],MATCH(LS[[#This Row],[Investor ID]],INVESTORS_LIST[INVESTOR CODE],0),)</f>
        <v>TANVIR HASAN</v>
      </c>
      <c r="F438" s="97" t="s">
        <v>1468</v>
      </c>
      <c r="G438" s="75">
        <f>COUNTIF(LS[[#Headers],[Investor ID]]:LS[[#This Row],[Investor ID]],LS[[#This Row],[Investor ID]])</f>
        <v>3</v>
      </c>
      <c r="H438" s="75" t="str">
        <f>CONCATENATE(LS[[#This Row],[Frequency]],LS[[#This Row],[Investor ID]])</f>
        <v>3A00679</v>
      </c>
      <c r="I438" s="75" t="str">
        <f>IF(LS[[#This Row],[B/S]]="B","BUY",(IF(LS[[#This Row],[B/S]]="S","SELL"," ")))</f>
        <v>BUY</v>
      </c>
      <c r="J438" s="75" t="s">
        <v>1229</v>
      </c>
      <c r="K438" s="88">
        <v>1000000</v>
      </c>
      <c r="L438" s="88"/>
      <c r="M438" s="89">
        <f>LS[[#This Row],[Amount]]/LS[[#This Row],[Unit]]</f>
        <v>11.012973282526817</v>
      </c>
      <c r="N438" s="90">
        <f>LS[[#This Row],[Unit Capital]]/10</f>
        <v>90802</v>
      </c>
      <c r="O438" s="90">
        <f>SUMIFS(LS[[#Headers],[Unit]]:LS[[#This Row],[Unit]],LS[[#Headers],[Investor ID]]:LS[[#This Row],[Investor ID]],LS[[#This Row],[Investor ID]])</f>
        <v>90802</v>
      </c>
      <c r="P438" s="96">
        <v>908020</v>
      </c>
      <c r="Q438" s="48">
        <f>LS[[#This Row],[Amount]]-LS[[#This Row],[Unit Capital]]</f>
        <v>91980</v>
      </c>
      <c r="R43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11.012973282526817</v>
      </c>
      <c r="S438" s="89">
        <f t="shared" si="6"/>
        <v>14.224</v>
      </c>
      <c r="T43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8" s="96" cm="1">
        <f t="array" ref="U438">IF(LS[[#This Row],[B/S]]="S",ABS(LS[[#This Row],[Unit]])*(INDEX(LS[NAV at Cost (Average)],MATCH(CONCATENATE((LS[[#This Row],[Frequency]]-1),LS[[#This Row],[Investor ID]]),LS[Unique Code],0),0)),0)</f>
        <v>0</v>
      </c>
      <c r="V438" s="96">
        <f>IF(LS[[#This Row],[BO TRANSFER]]="YES",LS[[#This Row],[Unit]],)</f>
        <v>0</v>
      </c>
      <c r="W438" s="96">
        <f>SUMIFS(LS[[#Headers],[BO UNIT TRANSFER]]:LS[[#This Row],[BO UNIT TRANSFER]],LS[[#Headers],[Investor ID]]:LS[[#This Row],[Investor ID]],LS[[#This Row],[Investor ID]])</f>
        <v>0</v>
      </c>
    </row>
    <row r="439" spans="1:23">
      <c r="A439" s="75">
        <v>2024</v>
      </c>
      <c r="B439" s="75">
        <v>5</v>
      </c>
      <c r="C439" s="75">
        <v>7</v>
      </c>
      <c r="D439" s="81">
        <f>DATE(LS[[#This Row],[Year]],LS[[#This Row],[Month]],LS[[#This Row],[Day]])</f>
        <v>45419</v>
      </c>
      <c r="E439" t="str" cm="1">
        <f t="array" ref="E439">INDEX(INVESTORS_LIST[INVESTOR NAME],MATCH(LS[[#This Row],[Investor ID]],INVESTORS_LIST[INVESTOR CODE],0),)</f>
        <v>JOY SHREE SAHA</v>
      </c>
      <c r="F439" s="83" t="s">
        <v>575</v>
      </c>
      <c r="G439" s="75">
        <f>COUNTIF(LS[[#Headers],[Investor ID]]:LS[[#This Row],[Investor ID]],LS[[#This Row],[Investor ID]])</f>
        <v>5</v>
      </c>
      <c r="H439" s="75" t="str">
        <f>CONCATENATE(LS[[#This Row],[Frequency]],LS[[#This Row],[Investor ID]])</f>
        <v>5A00263</v>
      </c>
      <c r="I439" s="75" t="str">
        <f>IF(LS[[#This Row],[B/S]]="B","BUY",(IF(LS[[#This Row],[B/S]]="S","SELL"," ")))</f>
        <v>BUY</v>
      </c>
      <c r="J439" s="75" t="s">
        <v>1229</v>
      </c>
      <c r="K439" s="88">
        <v>3898700</v>
      </c>
      <c r="L439" s="88"/>
      <c r="M439" s="89">
        <f>LS[[#This Row],[Amount]]/LS[[#This Row],[Unit]]</f>
        <v>11.012996844712987</v>
      </c>
      <c r="N439" s="90">
        <f>LS[[#This Row],[Unit Capital]]/10</f>
        <v>354009</v>
      </c>
      <c r="O439" s="90">
        <f>SUMIFS(LS[[#Headers],[Unit]]:LS[[#This Row],[Unit]],LS[[#Headers],[Investor ID]]:LS[[#This Row],[Investor ID]],LS[[#This Row],[Investor ID]])</f>
        <v>454009</v>
      </c>
      <c r="P439" s="96">
        <v>3540090</v>
      </c>
      <c r="Q439" s="48">
        <f>LS[[#This Row],[Amount]]-LS[[#This Row],[Unit Capital]]</f>
        <v>358610</v>
      </c>
      <c r="R43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10.993834923977278</v>
      </c>
      <c r="S439" s="89">
        <f t="shared" si="6"/>
        <v>14.224</v>
      </c>
      <c r="T43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39" s="96" cm="1">
        <f t="array" ref="U439">IF(LS[[#This Row],[B/S]]="S",ABS(LS[[#This Row],[Unit]])*(INDEX(LS[NAV at Cost (Average)],MATCH(CONCATENATE((LS[[#This Row],[Frequency]]-1),LS[[#This Row],[Investor ID]]),LS[Unique Code],0),0)),0)</f>
        <v>0</v>
      </c>
      <c r="V439" s="96">
        <f>IF(LS[[#This Row],[BO TRANSFER]]="YES",LS[[#This Row],[Unit]],)</f>
        <v>0</v>
      </c>
      <c r="W439" s="96">
        <f>SUMIFS(LS[[#Headers],[BO UNIT TRANSFER]]:LS[[#This Row],[BO UNIT TRANSFER]],LS[[#Headers],[Investor ID]]:LS[[#This Row],[Investor ID]],LS[[#This Row],[Investor ID]])</f>
        <v>0</v>
      </c>
    </row>
    <row r="440" spans="1:23">
      <c r="A440" s="75">
        <v>2024</v>
      </c>
      <c r="B440" s="75">
        <v>5</v>
      </c>
      <c r="C440" s="75">
        <v>8</v>
      </c>
      <c r="D440" s="81">
        <f>DATE(LS[[#This Row],[Year]],LS[[#This Row],[Month]],LS[[#This Row],[Day]])</f>
        <v>45420</v>
      </c>
      <c r="E440" t="str" cm="1">
        <f t="array" ref="E440">INDEX(INVESTORS_LIST[INVESTOR NAME],MATCH(LS[[#This Row],[Investor ID]],INVESTORS_LIST[INVESTOR CODE],0),)</f>
        <v>TANZEEN FERDOUS ALAM</v>
      </c>
      <c r="F440" s="83" t="s">
        <v>1128</v>
      </c>
      <c r="G440" s="75">
        <f>COUNTIF(LS[[#Headers],[Investor ID]]:LS[[#This Row],[Investor ID]],LS[[#This Row],[Investor ID]])</f>
        <v>1</v>
      </c>
      <c r="H440" s="75" t="str">
        <f>CONCATENATE(LS[[#This Row],[Frequency]],LS[[#This Row],[Investor ID]])</f>
        <v>1A00539</v>
      </c>
      <c r="I440" s="75" t="str">
        <f>IF(LS[[#This Row],[B/S]]="B","BUY",(IF(LS[[#This Row],[B/S]]="S","SELL"," ")))</f>
        <v>BUY</v>
      </c>
      <c r="J440" s="75" t="s">
        <v>1229</v>
      </c>
      <c r="K440" s="88">
        <v>2000000</v>
      </c>
      <c r="L440" s="88"/>
      <c r="M440" s="89">
        <f>LS[[#This Row],[Amount]]/LS[[#This Row],[Unit]]</f>
        <v>11.012973282526817</v>
      </c>
      <c r="N440" s="90">
        <f>LS[[#This Row],[Unit Capital]]/10</f>
        <v>181604</v>
      </c>
      <c r="O440" s="90">
        <f>SUMIFS(LS[[#Headers],[Unit]]:LS[[#This Row],[Unit]],LS[[#Headers],[Investor ID]]:LS[[#This Row],[Investor ID]],LS[[#This Row],[Investor ID]])</f>
        <v>181604</v>
      </c>
      <c r="P440" s="96">
        <v>1816040</v>
      </c>
      <c r="Q440" s="48">
        <f>LS[[#This Row],[Amount]]-LS[[#This Row],[Unit Capital]]</f>
        <v>183960</v>
      </c>
      <c r="R44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11.012973282526817</v>
      </c>
      <c r="S440" s="89">
        <f t="shared" si="6"/>
        <v>14.224</v>
      </c>
      <c r="T44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0" s="96" cm="1">
        <f t="array" ref="U440">IF(LS[[#This Row],[B/S]]="S",ABS(LS[[#This Row],[Unit]])*(INDEX(LS[NAV at Cost (Average)],MATCH(CONCATENATE((LS[[#This Row],[Frequency]]-1),LS[[#This Row],[Investor ID]]),LS[Unique Code],0),0)),0)</f>
        <v>0</v>
      </c>
      <c r="V440" s="96">
        <f>IF(LS[[#This Row],[BO TRANSFER]]="YES",LS[[#This Row],[Unit]],)</f>
        <v>0</v>
      </c>
      <c r="W440" s="96">
        <f>SUMIFS(LS[[#Headers],[BO UNIT TRANSFER]]:LS[[#This Row],[BO UNIT TRANSFER]],LS[[#Headers],[Investor ID]]:LS[[#This Row],[Investor ID]],LS[[#This Row],[Investor ID]])</f>
        <v>0</v>
      </c>
    </row>
    <row r="441" spans="1:23">
      <c r="A441" s="75">
        <v>2024</v>
      </c>
      <c r="B441" s="75">
        <v>5</v>
      </c>
      <c r="C441" s="75">
        <v>8</v>
      </c>
      <c r="D441" s="81">
        <f>DATE(LS[[#This Row],[Year]],LS[[#This Row],[Month]],LS[[#This Row],[Day]])</f>
        <v>45420</v>
      </c>
      <c r="E441" t="str" cm="1">
        <f t="array" ref="E441">INDEX(INVESTORS_LIST[INVESTOR NAME],MATCH(LS[[#This Row],[Investor ID]],INVESTORS_LIST[INVESTOR CODE],0),)</f>
        <v>SYED FAZLE RABBY</v>
      </c>
      <c r="F441" s="83" t="s">
        <v>166</v>
      </c>
      <c r="G441" s="75">
        <f>COUNTIF(LS[[#Headers],[Investor ID]]:LS[[#This Row],[Investor ID]],LS[[#This Row],[Investor ID]])</f>
        <v>20</v>
      </c>
      <c r="H441" s="75" t="str">
        <f>CONCATENATE(LS[[#This Row],[Frequency]],LS[[#This Row],[Investor ID]])</f>
        <v>20A00059</v>
      </c>
      <c r="I441" s="75" t="str">
        <f>IF(LS[[#This Row],[B/S]]="B","BUY",(IF(LS[[#This Row],[B/S]]="S","SELL"," ")))</f>
        <v>BUY</v>
      </c>
      <c r="J441" s="75" t="s">
        <v>1229</v>
      </c>
      <c r="K441" s="88">
        <v>186500</v>
      </c>
      <c r="L441" s="88"/>
      <c r="M441" s="89">
        <f>LS[[#This Row],[Amount]]/LS[[#This Row],[Unit]]</f>
        <v>11.012695600826691</v>
      </c>
      <c r="N441" s="90">
        <f>LS[[#This Row],[Unit Capital]]/10</f>
        <v>16935</v>
      </c>
      <c r="O441" s="90">
        <f>SUMIFS(LS[[#Headers],[Unit]]:LS[[#This Row],[Unit]],LS[[#Headers],[Investor ID]]:LS[[#This Row],[Investor ID]],LS[[#This Row],[Investor ID]])</f>
        <v>494306</v>
      </c>
      <c r="P441" s="96">
        <v>169350</v>
      </c>
      <c r="Q441" s="48">
        <f>LS[[#This Row],[Amount]]-LS[[#This Row],[Unit Capital]]</f>
        <v>17150</v>
      </c>
      <c r="R44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10.785829020889894</v>
      </c>
      <c r="S441" s="89">
        <f t="shared" si="6"/>
        <v>14.224</v>
      </c>
      <c r="T44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1" s="96" cm="1">
        <f t="array" ref="U441">IF(LS[[#This Row],[B/S]]="S",ABS(LS[[#This Row],[Unit]])*(INDEX(LS[NAV at Cost (Average)],MATCH(CONCATENATE((LS[[#This Row],[Frequency]]-1),LS[[#This Row],[Investor ID]]),LS[Unique Code],0),0)),0)</f>
        <v>0</v>
      </c>
      <c r="V441" s="96">
        <f>IF(LS[[#This Row],[BO TRANSFER]]="YES",LS[[#This Row],[Unit]],)</f>
        <v>0</v>
      </c>
      <c r="W441" s="96">
        <f>SUMIFS(LS[[#Headers],[BO UNIT TRANSFER]]:LS[[#This Row],[BO UNIT TRANSFER]],LS[[#Headers],[Investor ID]]:LS[[#This Row],[Investor ID]],LS[[#This Row],[Investor ID]])</f>
        <v>0</v>
      </c>
    </row>
    <row r="442" spans="1:23">
      <c r="A442" s="75">
        <v>2024</v>
      </c>
      <c r="B442" s="75">
        <v>5</v>
      </c>
      <c r="C442" s="75">
        <v>13</v>
      </c>
      <c r="D442" s="81">
        <f>DATE(LS[[#This Row],[Year]],LS[[#This Row],[Month]],LS[[#This Row],[Day]])</f>
        <v>45425</v>
      </c>
      <c r="E442" t="str" cm="1">
        <f t="array" ref="E442">INDEX(INVESTORS_LIST[INVESTOR NAME],MATCH(LS[[#This Row],[Investor ID]],INVESTORS_LIST[INVESTOR CODE],0),)</f>
        <v>TAPATI RANI DAS</v>
      </c>
      <c r="F442" s="83" t="s">
        <v>956</v>
      </c>
      <c r="G442" s="75">
        <f>COUNTIF(LS[[#Headers],[Investor ID]]:LS[[#This Row],[Investor ID]],LS[[#This Row],[Investor ID]])</f>
        <v>2</v>
      </c>
      <c r="H442" s="75" t="str">
        <f>CONCATENATE(LS[[#This Row],[Frequency]],LS[[#This Row],[Investor ID]])</f>
        <v>2A00455</v>
      </c>
      <c r="I442" s="75" t="str">
        <f>IF(LS[[#This Row],[B/S]]="B","BUY",(IF(LS[[#This Row],[B/S]]="S","SELL"," ")))</f>
        <v>SELL</v>
      </c>
      <c r="J442" s="75" t="s">
        <v>1231</v>
      </c>
      <c r="K442" s="88">
        <v>-1103600</v>
      </c>
      <c r="L442" s="88"/>
      <c r="M442" s="89">
        <f>LS[[#This Row],[Amount]]/LS[[#This Row],[Unit]]</f>
        <v>11.036</v>
      </c>
      <c r="N442" s="90">
        <f>LS[[#This Row],[Unit Capital]]/10</f>
        <v>-100000</v>
      </c>
      <c r="O442" s="90">
        <f>SUMIFS(LS[[#Headers],[Unit]]:LS[[#This Row],[Unit]],LS[[#Headers],[Investor ID]]:LS[[#This Row],[Investor ID]],LS[[#This Row],[Investor ID]])</f>
        <v>0</v>
      </c>
      <c r="P442" s="96">
        <v>-1000000</v>
      </c>
      <c r="Q442" s="48">
        <f>LS[[#This Row],[Amount]]-LS[[#This Row],[Unit Capital]]</f>
        <v>-103600</v>
      </c>
      <c r="R44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42" s="89">
        <f t="shared" si="6"/>
        <v>14.224</v>
      </c>
      <c r="T442" s="96">
        <f>IF(LS[[#This Row],[B/S]]="B",0,ABS(LS[[#This Row],[Unit]])*(LS[[#This Row],[NAV (Strike Rate)]]-INDEX(LS[NAV at Cost (Average)],MATCH(CONCATENATE(LS[[#This Row],[Frequency]]-1,LS[[#This Row],[Investor ID]]),LS[Unique Code],0),)))</f>
        <v>103599.99999999996</v>
      </c>
      <c r="U442" s="96" cm="1">
        <f t="array" ref="U442">IF(LS[[#This Row],[B/S]]="S",ABS(LS[[#This Row],[Unit]])*(INDEX(LS[NAV at Cost (Average)],MATCH(CONCATENATE((LS[[#This Row],[Frequency]]-1),LS[[#This Row],[Investor ID]]),LS[Unique Code],0),0)),0)</f>
        <v>1000000</v>
      </c>
      <c r="V442" s="96">
        <f>IF(LS[[#This Row],[BO TRANSFER]]="YES",LS[[#This Row],[Unit]],)</f>
        <v>0</v>
      </c>
      <c r="W442" s="96">
        <f>SUMIFS(LS[[#Headers],[BO UNIT TRANSFER]]:LS[[#This Row],[BO UNIT TRANSFER]],LS[[#Headers],[Investor ID]]:LS[[#This Row],[Investor ID]],LS[[#This Row],[Investor ID]])</f>
        <v>0</v>
      </c>
    </row>
    <row r="443" spans="1:23">
      <c r="A443" s="75">
        <v>2024</v>
      </c>
      <c r="B443" s="75">
        <v>5</v>
      </c>
      <c r="C443" s="75">
        <v>15</v>
      </c>
      <c r="D443" s="81">
        <f>DATE(LS[[#This Row],[Year]],LS[[#This Row],[Month]],LS[[#This Row],[Day]])</f>
        <v>45427</v>
      </c>
      <c r="E443" t="str" cm="1">
        <f t="array" ref="E443">INDEX(INVESTORS_LIST[INVESTOR NAME],MATCH(LS[[#This Row],[Investor ID]],INVESTORS_LIST[INVESTOR CODE],0),)</f>
        <v>EDGE HIGH QUALITY INCOME FUND</v>
      </c>
      <c r="F443" s="83" t="s">
        <v>976</v>
      </c>
      <c r="G443" s="75">
        <f>COUNTIF(LS[[#Headers],[Investor ID]]:LS[[#This Row],[Investor ID]],LS[[#This Row],[Investor ID]])</f>
        <v>3</v>
      </c>
      <c r="H443" s="75" t="str">
        <f>CONCATENATE(LS[[#This Row],[Frequency]],LS[[#This Row],[Investor ID]])</f>
        <v>3A00465</v>
      </c>
      <c r="I443" s="75" t="str">
        <f>IF(LS[[#This Row],[B/S]]="B","BUY",(IF(LS[[#This Row],[B/S]]="S","SELL"," ")))</f>
        <v>SELL</v>
      </c>
      <c r="J443" s="75" t="s">
        <v>1231</v>
      </c>
      <c r="K443" s="88">
        <v>-7000134.7999999998</v>
      </c>
      <c r="L443" s="99" t="s">
        <v>1230</v>
      </c>
      <c r="M443" s="89">
        <f>LS[[#This Row],[Amount]]/LS[[#This Row],[Unit]]</f>
        <v>11.036</v>
      </c>
      <c r="N443" s="90">
        <f>LS[[#This Row],[Unit Capital]]/10</f>
        <v>-634300</v>
      </c>
      <c r="O443" s="90">
        <f>SUMIFS(LS[[#Headers],[Unit]]:LS[[#This Row],[Unit]],LS[[#Headers],[Investor ID]]:LS[[#This Row],[Investor ID]],LS[[#This Row],[Investor ID]])</f>
        <v>665700</v>
      </c>
      <c r="P443" s="96">
        <v>-6343000</v>
      </c>
      <c r="Q443" s="48">
        <f>LS[[#This Row],[Amount]]-LS[[#This Row],[Unit Capital]]</f>
        <v>-657134.79999999981</v>
      </c>
      <c r="R44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10.085384615384617</v>
      </c>
      <c r="S443" s="89">
        <f t="shared" si="6"/>
        <v>14.224</v>
      </c>
      <c r="T443" s="96">
        <f>IF(LS[[#This Row],[B/S]]="B",0,ABS(LS[[#This Row],[Unit]])*(LS[[#This Row],[NAV (Strike Rate)]]-INDEX(LS[NAV at Cost (Average)],MATCH(CONCATENATE(LS[[#This Row],[Frequency]]-1,LS[[#This Row],[Investor ID]]),LS[Unique Code],0),)))</f>
        <v>602975.33846153691</v>
      </c>
      <c r="U443" s="96" cm="1">
        <f t="array" ref="U443">IF(LS[[#This Row],[B/S]]="S",ABS(LS[[#This Row],[Unit]])*(INDEX(LS[NAV at Cost (Average)],MATCH(CONCATENATE((LS[[#This Row],[Frequency]]-1),LS[[#This Row],[Investor ID]]),LS[Unique Code],0),0)),0)</f>
        <v>6397159.4615384629</v>
      </c>
      <c r="V443" s="96">
        <f>IF(LS[[#This Row],[BO TRANSFER]]="YES",LS[[#This Row],[Unit]],)</f>
        <v>-634300</v>
      </c>
      <c r="W443" s="96">
        <f>SUMIFS(LS[[#Headers],[BO UNIT TRANSFER]]:LS[[#This Row],[BO UNIT TRANSFER]],LS[[#Headers],[Investor ID]]:LS[[#This Row],[Investor ID]],LS[[#This Row],[Investor ID]])</f>
        <v>665700</v>
      </c>
    </row>
    <row r="444" spans="1:23">
      <c r="A444" s="75">
        <v>2024</v>
      </c>
      <c r="B444" s="75">
        <v>5</v>
      </c>
      <c r="C444" s="75">
        <v>15</v>
      </c>
      <c r="D444" s="81">
        <f>DATE(LS[[#This Row],[Year]],LS[[#This Row],[Month]],LS[[#This Row],[Day]])</f>
        <v>45427</v>
      </c>
      <c r="E444" t="str" cm="1">
        <f t="array" ref="E444">INDEX(INVESTORS_LIST[INVESTOR NAME],MATCH(LS[[#This Row],[Investor ID]],INVESTORS_LIST[INVESTOR CODE],0),)</f>
        <v>SHAH MUNTASIN MUJTABA</v>
      </c>
      <c r="F444" s="83" t="s">
        <v>1103</v>
      </c>
      <c r="G444" s="75">
        <f>COUNTIF(LS[[#Headers],[Investor ID]]:LS[[#This Row],[Investor ID]],LS[[#This Row],[Investor ID]])</f>
        <v>4</v>
      </c>
      <c r="H444" s="75" t="str">
        <f>CONCATENATE(LS[[#This Row],[Frequency]],LS[[#This Row],[Investor ID]])</f>
        <v>4A00528</v>
      </c>
      <c r="I444" s="75" t="str">
        <f>IF(LS[[#This Row],[B/S]]="B","BUY",(IF(LS[[#This Row],[B/S]]="S","SELL"," ")))</f>
        <v>BUY</v>
      </c>
      <c r="J444" s="75" t="s">
        <v>1229</v>
      </c>
      <c r="K444" s="88">
        <v>71734</v>
      </c>
      <c r="L444" s="88"/>
      <c r="M444" s="89">
        <f>LS[[#This Row],[Amount]]/LS[[#This Row],[Unit]]</f>
        <v>11.036</v>
      </c>
      <c r="N444" s="90">
        <f>LS[[#This Row],[Unit Capital]]/10</f>
        <v>6500</v>
      </c>
      <c r="O444" s="90">
        <f>SUMIFS(LS[[#Headers],[Unit]]:LS[[#This Row],[Unit]],LS[[#Headers],[Investor ID]]:LS[[#This Row],[Investor ID]],LS[[#This Row],[Investor ID]])</f>
        <v>460301</v>
      </c>
      <c r="P444" s="96">
        <v>65000</v>
      </c>
      <c r="Q444" s="48">
        <f>LS[[#This Row],[Amount]]-LS[[#This Row],[Unit Capital]]</f>
        <v>6734</v>
      </c>
      <c r="R44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10.813100558113062</v>
      </c>
      <c r="S444" s="89">
        <f t="shared" si="6"/>
        <v>14.224</v>
      </c>
      <c r="T44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4" s="96" cm="1">
        <f t="array" ref="U444">IF(LS[[#This Row],[B/S]]="S",ABS(LS[[#This Row],[Unit]])*(INDEX(LS[NAV at Cost (Average)],MATCH(CONCATENATE((LS[[#This Row],[Frequency]]-1),LS[[#This Row],[Investor ID]]),LS[Unique Code],0),0)),0)</f>
        <v>0</v>
      </c>
      <c r="V444" s="96">
        <f>IF(LS[[#This Row],[BO TRANSFER]]="YES",LS[[#This Row],[Unit]],)</f>
        <v>0</v>
      </c>
      <c r="W444" s="96">
        <f>SUMIFS(LS[[#Headers],[BO UNIT TRANSFER]]:LS[[#This Row],[BO UNIT TRANSFER]],LS[[#Headers],[Investor ID]]:LS[[#This Row],[Investor ID]],LS[[#This Row],[Investor ID]])</f>
        <v>0</v>
      </c>
    </row>
    <row r="445" spans="1:23">
      <c r="A445" s="75">
        <v>2024</v>
      </c>
      <c r="B445" s="75">
        <v>5</v>
      </c>
      <c r="C445" s="75">
        <v>19</v>
      </c>
      <c r="D445" s="81">
        <f>DATE(LS[[#This Row],[Year]],LS[[#This Row],[Month]],LS[[#This Row],[Day]])</f>
        <v>45431</v>
      </c>
      <c r="E445" t="str" cm="1">
        <f t="array" ref="E445">INDEX(INVESTORS_LIST[INVESTOR NAME],MATCH(LS[[#This Row],[Investor ID]],INVESTORS_LIST[INVESTOR CODE],0),)</f>
        <v>MAHMUD ALI ALAMGIR</v>
      </c>
      <c r="F445" s="83" t="s">
        <v>451</v>
      </c>
      <c r="G445" s="75">
        <f>COUNTIF(LS[[#Headers],[Investor ID]]:LS[[#This Row],[Investor ID]],LS[[#This Row],[Investor ID]])</f>
        <v>8</v>
      </c>
      <c r="H445" s="75" t="str">
        <f>CONCATENATE(LS[[#This Row],[Frequency]],LS[[#This Row],[Investor ID]])</f>
        <v>8A00201</v>
      </c>
      <c r="I445" s="75" t="str">
        <f>IF(LS[[#This Row],[B/S]]="B","BUY",(IF(LS[[#This Row],[B/S]]="S","SELL"," ")))</f>
        <v>BUY</v>
      </c>
      <c r="J445" s="75" t="s">
        <v>1229</v>
      </c>
      <c r="K445" s="88">
        <v>1900000</v>
      </c>
      <c r="L445" s="88"/>
      <c r="M445" s="89">
        <f>LS[[#This Row],[Amount]]/LS[[#This Row],[Unit]]</f>
        <v>11.034002148726735</v>
      </c>
      <c r="N445" s="90">
        <f>LS[[#This Row],[Unit Capital]]/10</f>
        <v>172195</v>
      </c>
      <c r="O445" s="90">
        <f>SUMIFS(LS[[#Headers],[Unit]]:LS[[#This Row],[Unit]],LS[[#Headers],[Investor ID]]:LS[[#This Row],[Investor ID]],LS[[#This Row],[Investor ID]])</f>
        <v>190941</v>
      </c>
      <c r="P445" s="96">
        <v>1721950</v>
      </c>
      <c r="Q445" s="48">
        <f>LS[[#This Row],[Amount]]-LS[[#This Row],[Unit Capital]]</f>
        <v>178050</v>
      </c>
      <c r="R44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11.007545658421302</v>
      </c>
      <c r="S445" s="89">
        <f t="shared" si="6"/>
        <v>14.224</v>
      </c>
      <c r="T44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5" s="96" cm="1">
        <f t="array" ref="U445">IF(LS[[#This Row],[B/S]]="S",ABS(LS[[#This Row],[Unit]])*(INDEX(LS[NAV at Cost (Average)],MATCH(CONCATENATE((LS[[#This Row],[Frequency]]-1),LS[[#This Row],[Investor ID]]),LS[Unique Code],0),0)),0)</f>
        <v>0</v>
      </c>
      <c r="V445" s="96">
        <f>IF(LS[[#This Row],[BO TRANSFER]]="YES",LS[[#This Row],[Unit]],)</f>
        <v>0</v>
      </c>
      <c r="W445" s="96">
        <f>SUMIFS(LS[[#Headers],[BO UNIT TRANSFER]]:LS[[#This Row],[BO UNIT TRANSFER]],LS[[#Headers],[Investor ID]]:LS[[#This Row],[Investor ID]],LS[[#This Row],[Investor ID]])</f>
        <v>0</v>
      </c>
    </row>
    <row r="446" spans="1:23">
      <c r="A446" s="75">
        <v>2024</v>
      </c>
      <c r="B446" s="75">
        <v>5</v>
      </c>
      <c r="C446" s="75">
        <v>19</v>
      </c>
      <c r="D446" s="81">
        <f>DATE(LS[[#This Row],[Year]],LS[[#This Row],[Month]],LS[[#This Row],[Day]])</f>
        <v>45431</v>
      </c>
      <c r="E446" t="str" cm="1">
        <f t="array" ref="E446">INDEX(INVESTORS_LIST[INVESTOR NAME],MATCH(LS[[#This Row],[Investor ID]],INVESTORS_LIST[INVESTOR CODE],0),)</f>
        <v>MAHMUD ALI ALAMGIR &amp; MOHAMMED ALI XAHANGIR</v>
      </c>
      <c r="F446" s="83" t="s">
        <v>1130</v>
      </c>
      <c r="G446" s="75">
        <f>COUNTIF(LS[[#Headers],[Investor ID]]:LS[[#This Row],[Investor ID]],LS[[#This Row],[Investor ID]])</f>
        <v>1</v>
      </c>
      <c r="H446" s="75" t="str">
        <f>CONCATENATE(LS[[#This Row],[Frequency]],LS[[#This Row],[Investor ID]])</f>
        <v>1A00540</v>
      </c>
      <c r="I446" s="75" t="str">
        <f>IF(LS[[#This Row],[B/S]]="B","BUY",(IF(LS[[#This Row],[B/S]]="S","SELL"," ")))</f>
        <v>BUY</v>
      </c>
      <c r="J446" s="75" t="s">
        <v>1229</v>
      </c>
      <c r="K446" s="88">
        <v>190000</v>
      </c>
      <c r="L446" s="88"/>
      <c r="M446" s="89">
        <f>LS[[#This Row],[Amount]]/LS[[#This Row],[Unit]]</f>
        <v>11.033681765389083</v>
      </c>
      <c r="N446" s="90">
        <f>LS[[#This Row],[Unit Capital]]/10</f>
        <v>17220</v>
      </c>
      <c r="O446" s="90">
        <f>SUMIFS(LS[[#Headers],[Unit]]:LS[[#This Row],[Unit]],LS[[#Headers],[Investor ID]]:LS[[#This Row],[Investor ID]],LS[[#This Row],[Investor ID]])</f>
        <v>17220</v>
      </c>
      <c r="P446" s="96">
        <v>172200</v>
      </c>
      <c r="Q446" s="48">
        <f>LS[[#This Row],[Amount]]-LS[[#This Row],[Unit Capital]]</f>
        <v>17800</v>
      </c>
      <c r="R44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11.033681765389083</v>
      </c>
      <c r="S446" s="89">
        <f t="shared" si="6"/>
        <v>14.224</v>
      </c>
      <c r="T44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6" s="96" cm="1">
        <f t="array" ref="U446">IF(LS[[#This Row],[B/S]]="S",ABS(LS[[#This Row],[Unit]])*(INDEX(LS[NAV at Cost (Average)],MATCH(CONCATENATE((LS[[#This Row],[Frequency]]-1),LS[[#This Row],[Investor ID]]),LS[Unique Code],0),0)),0)</f>
        <v>0</v>
      </c>
      <c r="V446" s="96">
        <f>IF(LS[[#This Row],[BO TRANSFER]]="YES",LS[[#This Row],[Unit]],)</f>
        <v>0</v>
      </c>
      <c r="W446" s="96">
        <f>SUMIFS(LS[[#Headers],[BO UNIT TRANSFER]]:LS[[#This Row],[BO UNIT TRANSFER]],LS[[#Headers],[Investor ID]]:LS[[#This Row],[Investor ID]],LS[[#This Row],[Investor ID]])</f>
        <v>0</v>
      </c>
    </row>
    <row r="447" spans="1:23">
      <c r="A447" s="75">
        <v>2024</v>
      </c>
      <c r="B447" s="75">
        <v>5</v>
      </c>
      <c r="C447" s="75">
        <v>19</v>
      </c>
      <c r="D447" s="81">
        <f>DATE(LS[[#This Row],[Year]],LS[[#This Row],[Month]],LS[[#This Row],[Day]])</f>
        <v>45431</v>
      </c>
      <c r="E447" t="str" cm="1">
        <f t="array" ref="E447">INDEX(INVESTORS_LIST[INVESTOR NAME],MATCH(LS[[#This Row],[Investor ID]],INVESTORS_LIST[INVESTOR CODE],0),)</f>
        <v>BETAONE INVESTMENTS LIMITED</v>
      </c>
      <c r="F447" s="83" t="s">
        <v>1124</v>
      </c>
      <c r="G447" s="75">
        <f>COUNTIF(LS[[#Headers],[Investor ID]]:LS[[#This Row],[Investor ID]],LS[[#This Row],[Investor ID]])</f>
        <v>1</v>
      </c>
      <c r="H447" s="75" t="str">
        <f>CONCATENATE(LS[[#This Row],[Frequency]],LS[[#This Row],[Investor ID]])</f>
        <v>1A00537</v>
      </c>
      <c r="I447" s="75" t="str">
        <f>IF(LS[[#This Row],[B/S]]="B","BUY",(IF(LS[[#This Row],[B/S]]="S","SELL"," ")))</f>
        <v>BUY</v>
      </c>
      <c r="J447" s="75" t="s">
        <v>1229</v>
      </c>
      <c r="K447" s="88">
        <v>3000000</v>
      </c>
      <c r="L447" s="88"/>
      <c r="M447" s="89">
        <f>LS[[#This Row],[Amount]]/LS[[#This Row],[Unit]]</f>
        <v>11.033995740877645</v>
      </c>
      <c r="N447" s="90">
        <f>LS[[#This Row],[Unit Capital]]/10</f>
        <v>271887</v>
      </c>
      <c r="O447" s="90">
        <f>SUMIFS(LS[[#Headers],[Unit]]:LS[[#This Row],[Unit]],LS[[#Headers],[Investor ID]]:LS[[#This Row],[Investor ID]],LS[[#This Row],[Investor ID]])</f>
        <v>271887</v>
      </c>
      <c r="P447" s="96">
        <v>2718870</v>
      </c>
      <c r="Q447" s="48">
        <f>LS[[#This Row],[Amount]]-LS[[#This Row],[Unit Capital]]</f>
        <v>281130</v>
      </c>
      <c r="R44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11.033995740877645</v>
      </c>
      <c r="S447" s="89">
        <f t="shared" si="6"/>
        <v>14.224</v>
      </c>
      <c r="T44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7" s="96" cm="1">
        <f t="array" ref="U447">IF(LS[[#This Row],[B/S]]="S",ABS(LS[[#This Row],[Unit]])*(INDEX(LS[NAV at Cost (Average)],MATCH(CONCATENATE((LS[[#This Row],[Frequency]]-1),LS[[#This Row],[Investor ID]]),LS[Unique Code],0),0)),0)</f>
        <v>0</v>
      </c>
      <c r="V447" s="96">
        <f>IF(LS[[#This Row],[BO TRANSFER]]="YES",LS[[#This Row],[Unit]],)</f>
        <v>0</v>
      </c>
      <c r="W447" s="96">
        <f>SUMIFS(LS[[#Headers],[BO UNIT TRANSFER]]:LS[[#This Row],[BO UNIT TRANSFER]],LS[[#Headers],[Investor ID]]:LS[[#This Row],[Investor ID]],LS[[#This Row],[Investor ID]])</f>
        <v>0</v>
      </c>
    </row>
    <row r="448" spans="1:23">
      <c r="A448" s="75">
        <v>2024</v>
      </c>
      <c r="B448" s="75">
        <v>5</v>
      </c>
      <c r="C448" s="75">
        <v>19</v>
      </c>
      <c r="D448" s="81">
        <f>DATE(LS[[#This Row],[Year]],LS[[#This Row],[Month]],LS[[#This Row],[Day]])</f>
        <v>45431</v>
      </c>
      <c r="E448" t="str" cm="1">
        <f t="array" ref="E448">INDEX(INVESTORS_LIST[INVESTOR NAME],MATCH(LS[[#This Row],[Investor ID]],INVESTORS_LIST[INVESTOR CODE],0),)</f>
        <v>MST SANTA ISLAM</v>
      </c>
      <c r="F448" s="83" t="s">
        <v>1097</v>
      </c>
      <c r="G448" s="75">
        <f>COUNTIF(LS[[#Headers],[Investor ID]]:LS[[#This Row],[Investor ID]],LS[[#This Row],[Investor ID]])</f>
        <v>2</v>
      </c>
      <c r="H448" s="75" t="str">
        <f>CONCATENATE(LS[[#This Row],[Frequency]],LS[[#This Row],[Investor ID]])</f>
        <v>2A00525</v>
      </c>
      <c r="I448" s="75" t="str">
        <f>IF(LS[[#This Row],[B/S]]="B","BUY",(IF(LS[[#This Row],[B/S]]="S","SELL"," ")))</f>
        <v>SELL</v>
      </c>
      <c r="J448" s="75" t="s">
        <v>1231</v>
      </c>
      <c r="K448" s="88">
        <v>-1031502.46</v>
      </c>
      <c r="L448" s="88"/>
      <c r="M448" s="89">
        <f>LS[[#This Row],[Amount]]/LS[[#This Row],[Unit]]</f>
        <v>11.034000042788071</v>
      </c>
      <c r="N448" s="90">
        <f>LS[[#This Row],[Unit Capital]]/10</f>
        <v>-93484</v>
      </c>
      <c r="O448" s="90">
        <f>SUMIFS(LS[[#Headers],[Unit]]:LS[[#This Row],[Unit]],LS[[#Headers],[Investor ID]]:LS[[#This Row],[Investor ID]],LS[[#This Row],[Investor ID]])</f>
        <v>0</v>
      </c>
      <c r="P448" s="96">
        <v>-934840</v>
      </c>
      <c r="Q448" s="48">
        <f>LS[[#This Row],[Amount]]-LS[[#This Row],[Unit Capital]]</f>
        <v>-96662.459999999963</v>
      </c>
      <c r="R44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48" s="89">
        <f t="shared" si="6"/>
        <v>14.224</v>
      </c>
      <c r="T448" s="96">
        <f>IF(LS[[#This Row],[B/S]]="B",0,ABS(LS[[#This Row],[Unit]])*(LS[[#This Row],[NAV (Strike Rate)]]-INDEX(LS[NAV at Cost (Average)],MATCH(CONCATENATE(LS[[#This Row],[Frequency]]-1,LS[[#This Row],[Investor ID]]),LS[Unique Code],0),)))</f>
        <v>31502.459999999915</v>
      </c>
      <c r="U448" s="96" cm="1">
        <f t="array" ref="U448">IF(LS[[#This Row],[B/S]]="S",ABS(LS[[#This Row],[Unit]])*(INDEX(LS[NAV at Cost (Average)],MATCH(CONCATENATE((LS[[#This Row],[Frequency]]-1),LS[[#This Row],[Investor ID]]),LS[Unique Code],0),0)),0)</f>
        <v>1000000.0000000001</v>
      </c>
      <c r="V448" s="96">
        <f>IF(LS[[#This Row],[BO TRANSFER]]="YES",LS[[#This Row],[Unit]],)</f>
        <v>0</v>
      </c>
      <c r="W448" s="96">
        <f>SUMIFS(LS[[#Headers],[BO UNIT TRANSFER]]:LS[[#This Row],[BO UNIT TRANSFER]],LS[[#Headers],[Investor ID]]:LS[[#This Row],[Investor ID]],LS[[#This Row],[Investor ID]])</f>
        <v>0</v>
      </c>
    </row>
    <row r="449" spans="1:23">
      <c r="A449" s="75">
        <v>2024</v>
      </c>
      <c r="B449" s="75">
        <v>5</v>
      </c>
      <c r="C449" s="75">
        <v>19</v>
      </c>
      <c r="D449" s="81">
        <f>DATE(LS[[#This Row],[Year]],LS[[#This Row],[Month]],LS[[#This Row],[Day]])</f>
        <v>45431</v>
      </c>
      <c r="E449" t="str" cm="1">
        <f t="array" ref="E449">INDEX(INVESTORS_LIST[INVESTOR NAME],MATCH(LS[[#This Row],[Investor ID]],INVESTORS_LIST[INVESTOR CODE],0),)</f>
        <v>NAZIA TABASSUM</v>
      </c>
      <c r="F449" s="83" t="s">
        <v>1133</v>
      </c>
      <c r="G449" s="75">
        <f>COUNTIF(LS[[#Headers],[Investor ID]]:LS[[#This Row],[Investor ID]],LS[[#This Row],[Investor ID]])</f>
        <v>1</v>
      </c>
      <c r="H449" s="75" t="str">
        <f>CONCATENATE(LS[[#This Row],[Frequency]],LS[[#This Row],[Investor ID]])</f>
        <v>1A00542</v>
      </c>
      <c r="I449" s="75" t="str">
        <f>IF(LS[[#This Row],[B/S]]="B","BUY",(IF(LS[[#This Row],[B/S]]="S","SELL"," ")))</f>
        <v>BUY</v>
      </c>
      <c r="J449" s="75" t="s">
        <v>1229</v>
      </c>
      <c r="K449" s="88">
        <v>1800000</v>
      </c>
      <c r="L449" s="88"/>
      <c r="M449" s="89">
        <f>LS[[#This Row],[Amount]]/LS[[#This Row],[Unit]]</f>
        <v>11.034009268567786</v>
      </c>
      <c r="N449" s="90">
        <f>LS[[#This Row],[Unit Capital]]/10</f>
        <v>163132</v>
      </c>
      <c r="O449" s="90">
        <f>SUMIFS(LS[[#Headers],[Unit]]:LS[[#This Row],[Unit]],LS[[#Headers],[Investor ID]]:LS[[#This Row],[Investor ID]],LS[[#This Row],[Investor ID]])</f>
        <v>163132</v>
      </c>
      <c r="P449" s="96">
        <v>1631320</v>
      </c>
      <c r="Q449" s="48">
        <f>LS[[#This Row],[Amount]]-LS[[#This Row],[Unit Capital]]</f>
        <v>168680</v>
      </c>
      <c r="R44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11.034009268567786</v>
      </c>
      <c r="S449" s="89">
        <f t="shared" si="6"/>
        <v>14.224</v>
      </c>
      <c r="T44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49" s="96" cm="1">
        <f t="array" ref="U449">IF(LS[[#This Row],[B/S]]="S",ABS(LS[[#This Row],[Unit]])*(INDEX(LS[NAV at Cost (Average)],MATCH(CONCATENATE((LS[[#This Row],[Frequency]]-1),LS[[#This Row],[Investor ID]]),LS[Unique Code],0),0)),0)</f>
        <v>0</v>
      </c>
      <c r="V449" s="96">
        <f>IF(LS[[#This Row],[BO TRANSFER]]="YES",LS[[#This Row],[Unit]],)</f>
        <v>0</v>
      </c>
      <c r="W449" s="96">
        <f>SUMIFS(LS[[#Headers],[BO UNIT TRANSFER]]:LS[[#This Row],[BO UNIT TRANSFER]],LS[[#Headers],[Investor ID]]:LS[[#This Row],[Investor ID]],LS[[#This Row],[Investor ID]])</f>
        <v>0</v>
      </c>
    </row>
    <row r="450" spans="1:23">
      <c r="A450" s="75">
        <v>2024</v>
      </c>
      <c r="B450" s="75">
        <v>5</v>
      </c>
      <c r="C450" s="75">
        <v>19</v>
      </c>
      <c r="D450" s="81">
        <f>DATE(LS[[#This Row],[Year]],LS[[#This Row],[Month]],LS[[#This Row],[Day]])</f>
        <v>45431</v>
      </c>
      <c r="E450" t="str" cm="1">
        <f t="array" ref="E450">INDEX(INVESTORS_LIST[INVESTOR NAME],MATCH(LS[[#This Row],[Investor ID]],INVESTORS_LIST[INVESTOR CODE],0),)</f>
        <v>NANDINI SAHA</v>
      </c>
      <c r="F450" s="83" t="s">
        <v>242</v>
      </c>
      <c r="G450" s="75">
        <f>COUNTIF(LS[[#Headers],[Investor ID]]:LS[[#This Row],[Investor ID]],LS[[#This Row],[Investor ID]])</f>
        <v>5</v>
      </c>
      <c r="H450" s="75" t="str">
        <f>CONCATENATE(LS[[#This Row],[Frequency]],LS[[#This Row],[Investor ID]])</f>
        <v>5A00097</v>
      </c>
      <c r="I450" s="75" t="str">
        <f>IF(LS[[#This Row],[B/S]]="B","BUY",(IF(LS[[#This Row],[B/S]]="S","SELL"," ")))</f>
        <v>BUY</v>
      </c>
      <c r="J450" s="75" t="s">
        <v>1229</v>
      </c>
      <c r="K450" s="88">
        <v>1000000</v>
      </c>
      <c r="L450" s="88"/>
      <c r="M450" s="89">
        <f>LS[[#This Row],[Amount]]/LS[[#This Row],[Unit]]</f>
        <v>11.033995740877645</v>
      </c>
      <c r="N450" s="90">
        <f>LS[[#This Row],[Unit Capital]]/10</f>
        <v>90629</v>
      </c>
      <c r="O450" s="90">
        <f>SUMIFS(LS[[#Headers],[Unit]]:LS[[#This Row],[Unit]],LS[[#Headers],[Investor ID]]:LS[[#This Row],[Investor ID]],LS[[#This Row],[Investor ID]])</f>
        <v>154158</v>
      </c>
      <c r="P450" s="96">
        <v>906290</v>
      </c>
      <c r="Q450" s="48">
        <f>LS[[#This Row],[Amount]]-LS[[#This Row],[Unit Capital]]</f>
        <v>93710</v>
      </c>
      <c r="R45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10.735738657740757</v>
      </c>
      <c r="S450" s="89">
        <f t="shared" si="6"/>
        <v>14.224</v>
      </c>
      <c r="T45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0" s="96" cm="1">
        <f t="array" ref="U450">IF(LS[[#This Row],[B/S]]="S",ABS(LS[[#This Row],[Unit]])*(INDEX(LS[NAV at Cost (Average)],MATCH(CONCATENATE((LS[[#This Row],[Frequency]]-1),LS[[#This Row],[Investor ID]]),LS[Unique Code],0),0)),0)</f>
        <v>0</v>
      </c>
      <c r="V450" s="96">
        <f>IF(LS[[#This Row],[BO TRANSFER]]="YES",LS[[#This Row],[Unit]],)</f>
        <v>0</v>
      </c>
      <c r="W450" s="96">
        <f>SUMIFS(LS[[#Headers],[BO UNIT TRANSFER]]:LS[[#This Row],[BO UNIT TRANSFER]],LS[[#Headers],[Investor ID]]:LS[[#This Row],[Investor ID]],LS[[#This Row],[Investor ID]])</f>
        <v>0</v>
      </c>
    </row>
    <row r="451" spans="1:23">
      <c r="A451" s="75">
        <v>2024</v>
      </c>
      <c r="B451" s="75">
        <v>5</v>
      </c>
      <c r="C451" s="75">
        <v>21</v>
      </c>
      <c r="D451" s="81">
        <f>DATE(LS[[#This Row],[Year]],LS[[#This Row],[Month]],LS[[#This Row],[Day]])</f>
        <v>45433</v>
      </c>
      <c r="E451" t="str" cm="1">
        <f t="array" ref="E451">INDEX(INVESTORS_LIST[INVESTOR NAME],MATCH(LS[[#This Row],[Investor ID]],INVESTORS_LIST[INVESTOR CODE],0),)</f>
        <v>MD AYNUL HOQUE</v>
      </c>
      <c r="F451" s="83" t="s">
        <v>1139</v>
      </c>
      <c r="G451" s="75">
        <f>COUNTIF(LS[[#Headers],[Investor ID]]:LS[[#This Row],[Investor ID]],LS[[#This Row],[Investor ID]])</f>
        <v>1</v>
      </c>
      <c r="H451" s="75" t="str">
        <f>CONCATENATE(LS[[#This Row],[Frequency]],LS[[#This Row],[Investor ID]])</f>
        <v>1A00545</v>
      </c>
      <c r="I451" s="75" t="str">
        <f>IF(LS[[#This Row],[B/S]]="B","BUY",(IF(LS[[#This Row],[B/S]]="S","SELL"," ")))</f>
        <v>BUY</v>
      </c>
      <c r="J451" s="75" t="s">
        <v>1229</v>
      </c>
      <c r="K451" s="88">
        <v>5000000</v>
      </c>
      <c r="L451" s="88"/>
      <c r="M451" s="89">
        <f>LS[[#This Row],[Amount]]/LS[[#This Row],[Unit]]</f>
        <v>11.033995740877645</v>
      </c>
      <c r="N451" s="90">
        <f>LS[[#This Row],[Unit Capital]]/10</f>
        <v>453145</v>
      </c>
      <c r="O451" s="90">
        <f>SUMIFS(LS[[#Headers],[Unit]]:LS[[#This Row],[Unit]],LS[[#Headers],[Investor ID]]:LS[[#This Row],[Investor ID]],LS[[#This Row],[Investor ID]])</f>
        <v>453145</v>
      </c>
      <c r="P451" s="96">
        <v>4531450</v>
      </c>
      <c r="Q451" s="48">
        <f>LS[[#This Row],[Amount]]-LS[[#This Row],[Unit Capital]]</f>
        <v>468550</v>
      </c>
      <c r="R45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11.033995740877645</v>
      </c>
      <c r="S451" s="89">
        <f t="shared" ref="S451:S514" si="7">IFERROR(NAV_MKT,0)</f>
        <v>14.224</v>
      </c>
      <c r="T45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1" s="96" cm="1">
        <f t="array" ref="U451">IF(LS[[#This Row],[B/S]]="S",ABS(LS[[#This Row],[Unit]])*(INDEX(LS[NAV at Cost (Average)],MATCH(CONCATENATE((LS[[#This Row],[Frequency]]-1),LS[[#This Row],[Investor ID]]),LS[Unique Code],0),0)),0)</f>
        <v>0</v>
      </c>
      <c r="V451" s="96">
        <f>IF(LS[[#This Row],[BO TRANSFER]]="YES",LS[[#This Row],[Unit]],)</f>
        <v>0</v>
      </c>
      <c r="W451" s="96">
        <f>SUMIFS(LS[[#Headers],[BO UNIT TRANSFER]]:LS[[#This Row],[BO UNIT TRANSFER]],LS[[#Headers],[Investor ID]]:LS[[#This Row],[Investor ID]],LS[[#This Row],[Investor ID]])</f>
        <v>0</v>
      </c>
    </row>
    <row r="452" spans="1:23">
      <c r="A452" s="75">
        <v>2024</v>
      </c>
      <c r="B452" s="75">
        <v>5</v>
      </c>
      <c r="C452" s="75">
        <v>21</v>
      </c>
      <c r="D452" s="81">
        <f>DATE(LS[[#This Row],[Year]],LS[[#This Row],[Month]],LS[[#This Row],[Day]])</f>
        <v>45433</v>
      </c>
      <c r="E452" t="str" cm="1">
        <f t="array" ref="E452">INDEX(INVESTORS_LIST[INVESTOR NAME],MATCH(LS[[#This Row],[Investor ID]],INVESTORS_LIST[INVESTOR CODE],0),)</f>
        <v>BABITA RANI BARMAN</v>
      </c>
      <c r="F452" s="83" t="s">
        <v>188</v>
      </c>
      <c r="G452" s="75">
        <f>COUNTIF(LS[[#Headers],[Investor ID]]:LS[[#This Row],[Investor ID]],LS[[#This Row],[Investor ID]])</f>
        <v>3</v>
      </c>
      <c r="H452" s="75" t="str">
        <f>CONCATENATE(LS[[#This Row],[Frequency]],LS[[#This Row],[Investor ID]])</f>
        <v>3A00070</v>
      </c>
      <c r="I452" s="75" t="str">
        <f>IF(LS[[#This Row],[B/S]]="B","BUY",(IF(LS[[#This Row],[B/S]]="S","SELL"," ")))</f>
        <v>BUY</v>
      </c>
      <c r="J452" s="75" t="s">
        <v>1229</v>
      </c>
      <c r="K452" s="88">
        <v>550000</v>
      </c>
      <c r="L452" s="88"/>
      <c r="M452" s="89">
        <f>LS[[#This Row],[Amount]]/LS[[#This Row],[Unit]]</f>
        <v>11.033984672792201</v>
      </c>
      <c r="N452" s="90">
        <f>LS[[#This Row],[Unit Capital]]/10</f>
        <v>49846</v>
      </c>
      <c r="O452" s="90">
        <f>SUMIFS(LS[[#Headers],[Unit]]:LS[[#This Row],[Unit]],LS[[#Headers],[Investor ID]]:LS[[#This Row],[Investor ID]],LS[[#This Row],[Investor ID]])</f>
        <v>49846</v>
      </c>
      <c r="P452" s="96">
        <v>498460</v>
      </c>
      <c r="Q452" s="48">
        <f>LS[[#This Row],[Amount]]-LS[[#This Row],[Unit Capital]]</f>
        <v>51540</v>
      </c>
      <c r="R45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11.033984672792201</v>
      </c>
      <c r="S452" s="89">
        <f t="shared" si="7"/>
        <v>14.224</v>
      </c>
      <c r="T45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2" s="96" cm="1">
        <f t="array" ref="U452">IF(LS[[#This Row],[B/S]]="S",ABS(LS[[#This Row],[Unit]])*(INDEX(LS[NAV at Cost (Average)],MATCH(CONCATENATE((LS[[#This Row],[Frequency]]-1),LS[[#This Row],[Investor ID]]),LS[Unique Code],0),0)),0)</f>
        <v>0</v>
      </c>
      <c r="V452" s="96">
        <f>IF(LS[[#This Row],[BO TRANSFER]]="YES",LS[[#This Row],[Unit]],)</f>
        <v>0</v>
      </c>
      <c r="W452" s="96">
        <f>SUMIFS(LS[[#Headers],[BO UNIT TRANSFER]]:LS[[#This Row],[BO UNIT TRANSFER]],LS[[#Headers],[Investor ID]]:LS[[#This Row],[Investor ID]],LS[[#This Row],[Investor ID]])</f>
        <v>0</v>
      </c>
    </row>
    <row r="453" spans="1:23">
      <c r="A453" s="75">
        <v>2024</v>
      </c>
      <c r="B453" s="75">
        <v>5</v>
      </c>
      <c r="C453" s="75">
        <v>23</v>
      </c>
      <c r="D453" s="81">
        <f>DATE(LS[[#This Row],[Year]],LS[[#This Row],[Month]],LS[[#This Row],[Day]])</f>
        <v>45435</v>
      </c>
      <c r="E453" t="str" cm="1">
        <f t="array" ref="E453">INDEX(INVESTORS_LIST[INVESTOR NAME],MATCH(LS[[#This Row],[Investor ID]],INVESTORS_LIST[INVESTOR CODE],0),)</f>
        <v>MADHAB GHOSH</v>
      </c>
      <c r="F453" s="83" t="s">
        <v>982</v>
      </c>
      <c r="G453" s="75">
        <f>COUNTIF(LS[[#Headers],[Investor ID]]:LS[[#This Row],[Investor ID]],LS[[#This Row],[Investor ID]])</f>
        <v>5</v>
      </c>
      <c r="H453" s="75" t="str">
        <f>CONCATENATE(LS[[#This Row],[Frequency]],LS[[#This Row],[Investor ID]])</f>
        <v>5A00468</v>
      </c>
      <c r="I453" s="75" t="str">
        <f>IF(LS[[#This Row],[B/S]]="B","BUY",(IF(LS[[#This Row],[B/S]]="S","SELL"," ")))</f>
        <v>BUY</v>
      </c>
      <c r="J453" s="75" t="s">
        <v>1229</v>
      </c>
      <c r="K453" s="88">
        <v>40000</v>
      </c>
      <c r="L453" s="88"/>
      <c r="M453" s="89">
        <f>LS[[#This Row],[Amount]]/LS[[#This Row],[Unit]]</f>
        <v>11.03448275862069</v>
      </c>
      <c r="N453" s="90">
        <f>LS[[#This Row],[Unit Capital]]/10</f>
        <v>3625</v>
      </c>
      <c r="O453" s="90">
        <f>SUMIFS(LS[[#Headers],[Unit]]:LS[[#This Row],[Unit]],LS[[#Headers],[Investor ID]]:LS[[#This Row],[Investor ID]],LS[[#This Row],[Investor ID]])</f>
        <v>5285</v>
      </c>
      <c r="P453" s="96">
        <v>36250</v>
      </c>
      <c r="Q453" s="48">
        <f>LS[[#This Row],[Amount]]-LS[[#This Row],[Unit Capital]]</f>
        <v>3750</v>
      </c>
      <c r="R45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10.76342289498581</v>
      </c>
      <c r="S453" s="89">
        <f t="shared" si="7"/>
        <v>14.224</v>
      </c>
      <c r="T45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3" s="96" cm="1">
        <f t="array" ref="U453">IF(LS[[#This Row],[B/S]]="S",ABS(LS[[#This Row],[Unit]])*(INDEX(LS[NAV at Cost (Average)],MATCH(CONCATENATE((LS[[#This Row],[Frequency]]-1),LS[[#This Row],[Investor ID]]),LS[Unique Code],0),0)),0)</f>
        <v>0</v>
      </c>
      <c r="V453" s="96">
        <f>IF(LS[[#This Row],[BO TRANSFER]]="YES",LS[[#This Row],[Unit]],)</f>
        <v>0</v>
      </c>
      <c r="W453" s="96">
        <f>SUMIFS(LS[[#Headers],[BO UNIT TRANSFER]]:LS[[#This Row],[BO UNIT TRANSFER]],LS[[#Headers],[Investor ID]]:LS[[#This Row],[Investor ID]],LS[[#This Row],[Investor ID]])</f>
        <v>0</v>
      </c>
    </row>
    <row r="454" spans="1:23">
      <c r="A454" s="75">
        <v>2024</v>
      </c>
      <c r="B454" s="75">
        <v>5</v>
      </c>
      <c r="C454" s="75">
        <v>23</v>
      </c>
      <c r="D454" s="81">
        <f>DATE(LS[[#This Row],[Year]],LS[[#This Row],[Month]],LS[[#This Row],[Day]])</f>
        <v>45435</v>
      </c>
      <c r="E454" t="str" cm="1">
        <f t="array" ref="E454">INDEX(INVESTORS_LIST[INVESTOR NAME],MATCH(LS[[#This Row],[Investor ID]],INVESTORS_LIST[INVESTOR CODE],0),)</f>
        <v>MOHAMMAD HASAN IMAM</v>
      </c>
      <c r="F454" s="83" t="s">
        <v>1122</v>
      </c>
      <c r="G454" s="75">
        <f>COUNTIF(LS[[#Headers],[Investor ID]]:LS[[#This Row],[Investor ID]],LS[[#This Row],[Investor ID]])</f>
        <v>1</v>
      </c>
      <c r="H454" s="75" t="str">
        <f>CONCATENATE(LS[[#This Row],[Frequency]],LS[[#This Row],[Investor ID]])</f>
        <v>1A00536</v>
      </c>
      <c r="I454" s="75" t="str">
        <f>IF(LS[[#This Row],[B/S]]="B","BUY",(IF(LS[[#This Row],[B/S]]="S","SELL"," ")))</f>
        <v>BUY</v>
      </c>
      <c r="J454" s="75" t="s">
        <v>1229</v>
      </c>
      <c r="K454" s="88">
        <v>20000</v>
      </c>
      <c r="L454" s="88"/>
      <c r="M454" s="89">
        <f>LS[[#This Row],[Amount]]/LS[[#This Row],[Unit]]</f>
        <v>11.031439602868174</v>
      </c>
      <c r="N454" s="90">
        <f>LS[[#This Row],[Unit Capital]]/10</f>
        <v>1813</v>
      </c>
      <c r="O454" s="90">
        <f>SUMIFS(LS[[#Headers],[Unit]]:LS[[#This Row],[Unit]],LS[[#Headers],[Investor ID]]:LS[[#This Row],[Investor ID]],LS[[#This Row],[Investor ID]])</f>
        <v>1813</v>
      </c>
      <c r="P454" s="96">
        <v>18130</v>
      </c>
      <c r="Q454" s="48">
        <f>LS[[#This Row],[Amount]]-LS[[#This Row],[Unit Capital]]</f>
        <v>1870</v>
      </c>
      <c r="R45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11.031439602868174</v>
      </c>
      <c r="S454" s="89">
        <f t="shared" si="7"/>
        <v>14.224</v>
      </c>
      <c r="T45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4" s="96" cm="1">
        <f t="array" ref="U454">IF(LS[[#This Row],[B/S]]="S",ABS(LS[[#This Row],[Unit]])*(INDEX(LS[NAV at Cost (Average)],MATCH(CONCATENATE((LS[[#This Row],[Frequency]]-1),LS[[#This Row],[Investor ID]]),LS[Unique Code],0),0)),0)</f>
        <v>0</v>
      </c>
      <c r="V454" s="96">
        <f>IF(LS[[#This Row],[BO TRANSFER]]="YES",LS[[#This Row],[Unit]],)</f>
        <v>0</v>
      </c>
      <c r="W454" s="96">
        <f>SUMIFS(LS[[#Headers],[BO UNIT TRANSFER]]:LS[[#This Row],[BO UNIT TRANSFER]],LS[[#Headers],[Investor ID]]:LS[[#This Row],[Investor ID]],LS[[#This Row],[Investor ID]])</f>
        <v>0</v>
      </c>
    </row>
    <row r="455" spans="1:23">
      <c r="A455" s="75">
        <v>2024</v>
      </c>
      <c r="B455" s="75">
        <v>5</v>
      </c>
      <c r="C455" s="75">
        <v>23</v>
      </c>
      <c r="D455" s="81">
        <f>DATE(LS[[#This Row],[Year]],LS[[#This Row],[Month]],LS[[#This Row],[Day]])</f>
        <v>45435</v>
      </c>
      <c r="E455" t="str" cm="1">
        <f t="array" ref="E455">INDEX(INVESTORS_LIST[INVESTOR NAME],MATCH(LS[[#This Row],[Investor ID]],INVESTORS_LIST[INVESTOR CODE],0),)</f>
        <v>KAZI MINUDDIN MAMUN</v>
      </c>
      <c r="F455" s="83" t="s">
        <v>1137</v>
      </c>
      <c r="G455" s="75">
        <f>COUNTIF(LS[[#Headers],[Investor ID]]:LS[[#This Row],[Investor ID]],LS[[#This Row],[Investor ID]])</f>
        <v>1</v>
      </c>
      <c r="H455" s="75" t="str">
        <f>CONCATENATE(LS[[#This Row],[Frequency]],LS[[#This Row],[Investor ID]])</f>
        <v>1A00544</v>
      </c>
      <c r="I455" s="75" t="str">
        <f>IF(LS[[#This Row],[B/S]]="B","BUY",(IF(LS[[#This Row],[B/S]]="S","SELL"," ")))</f>
        <v>BUY</v>
      </c>
      <c r="J455" s="75" t="s">
        <v>1229</v>
      </c>
      <c r="K455" s="88">
        <v>2500000</v>
      </c>
      <c r="L455" s="88"/>
      <c r="M455" s="89">
        <f>LS[[#This Row],[Amount]]/LS[[#This Row],[Unit]]</f>
        <v>11.03402009074378</v>
      </c>
      <c r="N455" s="90">
        <f>LS[[#This Row],[Unit Capital]]/10</f>
        <v>226572</v>
      </c>
      <c r="O455" s="90">
        <f>SUMIFS(LS[[#Headers],[Unit]]:LS[[#This Row],[Unit]],LS[[#Headers],[Investor ID]]:LS[[#This Row],[Investor ID]],LS[[#This Row],[Investor ID]])</f>
        <v>226572</v>
      </c>
      <c r="P455" s="96">
        <v>2265720</v>
      </c>
      <c r="Q455" s="48">
        <f>LS[[#This Row],[Amount]]-LS[[#This Row],[Unit Capital]]</f>
        <v>234280</v>
      </c>
      <c r="R45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11.03402009074378</v>
      </c>
      <c r="S455" s="89">
        <f t="shared" si="7"/>
        <v>14.224</v>
      </c>
      <c r="T45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5" s="96" cm="1">
        <f t="array" ref="U455">IF(LS[[#This Row],[B/S]]="S",ABS(LS[[#This Row],[Unit]])*(INDEX(LS[NAV at Cost (Average)],MATCH(CONCATENATE((LS[[#This Row],[Frequency]]-1),LS[[#This Row],[Investor ID]]),LS[Unique Code],0),0)),0)</f>
        <v>0</v>
      </c>
      <c r="V455" s="96">
        <f>IF(LS[[#This Row],[BO TRANSFER]]="YES",LS[[#This Row],[Unit]],)</f>
        <v>0</v>
      </c>
      <c r="W455" s="96">
        <f>SUMIFS(LS[[#Headers],[BO UNIT TRANSFER]]:LS[[#This Row],[BO UNIT TRANSFER]],LS[[#Headers],[Investor ID]]:LS[[#This Row],[Investor ID]],LS[[#This Row],[Investor ID]])</f>
        <v>0</v>
      </c>
    </row>
    <row r="456" spans="1:23">
      <c r="A456" s="75">
        <v>2024</v>
      </c>
      <c r="B456" s="75">
        <v>5</v>
      </c>
      <c r="C456" s="75">
        <v>23</v>
      </c>
      <c r="D456" s="81">
        <f>DATE(LS[[#This Row],[Year]],LS[[#This Row],[Month]],LS[[#This Row],[Day]])</f>
        <v>45435</v>
      </c>
      <c r="E456" t="str" cm="1">
        <f t="array" ref="E456">INDEX(INVESTORS_LIST[INVESTOR NAME],MATCH(LS[[#This Row],[Investor ID]],INVESTORS_LIST[INVESTOR CODE],0),)</f>
        <v>MADHAB GHOSH</v>
      </c>
      <c r="F456" s="83" t="s">
        <v>982</v>
      </c>
      <c r="G456" s="75">
        <f>COUNTIF(LS[[#Headers],[Investor ID]]:LS[[#This Row],[Investor ID]],LS[[#This Row],[Investor ID]])</f>
        <v>6</v>
      </c>
      <c r="H456" s="75" t="str">
        <f>CONCATENATE(LS[[#This Row],[Frequency]],LS[[#This Row],[Investor ID]])</f>
        <v>6A00468</v>
      </c>
      <c r="I456" s="75" t="str">
        <f>IF(LS[[#This Row],[B/S]]="B","BUY",(IF(LS[[#This Row],[B/S]]="S","SELL"," ")))</f>
        <v>BUY</v>
      </c>
      <c r="J456" s="75" t="s">
        <v>1229</v>
      </c>
      <c r="K456" s="88">
        <v>460000</v>
      </c>
      <c r="L456" s="88"/>
      <c r="M456" s="89">
        <f>LS[[#This Row],[Amount]]/LS[[#This Row],[Unit]]</f>
        <v>11.034085730048695</v>
      </c>
      <c r="N456" s="90">
        <f>LS[[#This Row],[Unit Capital]]/10</f>
        <v>41689</v>
      </c>
      <c r="O456" s="90">
        <f>SUMIFS(LS[[#Headers],[Unit]]:LS[[#This Row],[Unit]],LS[[#Headers],[Investor ID]]:LS[[#This Row],[Investor ID]],LS[[#This Row],[Investor ID]])</f>
        <v>46974</v>
      </c>
      <c r="P456" s="96">
        <v>416890</v>
      </c>
      <c r="Q456" s="48">
        <f>LS[[#This Row],[Amount]]-LS[[#This Row],[Unit Capital]]</f>
        <v>43110</v>
      </c>
      <c r="R45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11.003633712266362</v>
      </c>
      <c r="S456" s="89">
        <f t="shared" si="7"/>
        <v>14.224</v>
      </c>
      <c r="T45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6" s="96" cm="1">
        <f t="array" ref="U456">IF(LS[[#This Row],[B/S]]="S",ABS(LS[[#This Row],[Unit]])*(INDEX(LS[NAV at Cost (Average)],MATCH(CONCATENATE((LS[[#This Row],[Frequency]]-1),LS[[#This Row],[Investor ID]]),LS[Unique Code],0),0)),0)</f>
        <v>0</v>
      </c>
      <c r="V456" s="96">
        <f>IF(LS[[#This Row],[BO TRANSFER]]="YES",LS[[#This Row],[Unit]],)</f>
        <v>0</v>
      </c>
      <c r="W456" s="96">
        <f>SUMIFS(LS[[#Headers],[BO UNIT TRANSFER]]:LS[[#This Row],[BO UNIT TRANSFER]],LS[[#Headers],[Investor ID]]:LS[[#This Row],[Investor ID]],LS[[#This Row],[Investor ID]])</f>
        <v>0</v>
      </c>
    </row>
    <row r="457" spans="1:23">
      <c r="A457" s="75">
        <v>2024</v>
      </c>
      <c r="B457" s="75">
        <v>5</v>
      </c>
      <c r="C457" s="75">
        <v>23</v>
      </c>
      <c r="D457" s="81">
        <f>DATE(LS[[#This Row],[Year]],LS[[#This Row],[Month]],LS[[#This Row],[Day]])</f>
        <v>45435</v>
      </c>
      <c r="E457" t="str" cm="1">
        <f t="array" ref="E457">INDEX(INVESTORS_LIST[INVESTOR NAME],MATCH(LS[[#This Row],[Investor ID]],INVESTORS_LIST[INVESTOR CODE],0),)</f>
        <v>SRIJON GHOSH</v>
      </c>
      <c r="F457" s="83" t="s">
        <v>894</v>
      </c>
      <c r="G457" s="75">
        <f>COUNTIF(LS[[#Headers],[Investor ID]]:LS[[#This Row],[Investor ID]],LS[[#This Row],[Investor ID]])</f>
        <v>2</v>
      </c>
      <c r="H457" s="75" t="str">
        <f>CONCATENATE(LS[[#This Row],[Frequency]],LS[[#This Row],[Investor ID]])</f>
        <v>2A00424</v>
      </c>
      <c r="I457" s="75" t="str">
        <f>IF(LS[[#This Row],[B/S]]="B","BUY",(IF(LS[[#This Row],[B/S]]="S","SELL"," ")))</f>
        <v>BUY</v>
      </c>
      <c r="J457" s="75" t="s">
        <v>1229</v>
      </c>
      <c r="K457" s="88">
        <v>300000</v>
      </c>
      <c r="L457" s="88"/>
      <c r="M457" s="89">
        <f>LS[[#This Row],[Amount]]/LS[[#This Row],[Unit]]</f>
        <v>11.033873993158998</v>
      </c>
      <c r="N457" s="90">
        <f>LS[[#This Row],[Unit Capital]]/10</f>
        <v>27189</v>
      </c>
      <c r="O457" s="90">
        <f>SUMIFS(LS[[#Headers],[Unit]]:LS[[#This Row],[Unit]],LS[[#Headers],[Investor ID]]:LS[[#This Row],[Investor ID]],LS[[#This Row],[Investor ID]])</f>
        <v>27207</v>
      </c>
      <c r="P457" s="96">
        <v>271890</v>
      </c>
      <c r="Q457" s="48">
        <f>LS[[#This Row],[Amount]]-LS[[#This Row],[Unit Capital]]</f>
        <v>28110</v>
      </c>
      <c r="R45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11.033688021465064</v>
      </c>
      <c r="S457" s="89">
        <f t="shared" si="7"/>
        <v>14.224</v>
      </c>
      <c r="T45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7" s="96" cm="1">
        <f t="array" ref="U457">IF(LS[[#This Row],[B/S]]="S",ABS(LS[[#This Row],[Unit]])*(INDEX(LS[NAV at Cost (Average)],MATCH(CONCATENATE((LS[[#This Row],[Frequency]]-1),LS[[#This Row],[Investor ID]]),LS[Unique Code],0),0)),0)</f>
        <v>0</v>
      </c>
      <c r="V457" s="96">
        <f>IF(LS[[#This Row],[BO TRANSFER]]="YES",LS[[#This Row],[Unit]],)</f>
        <v>0</v>
      </c>
      <c r="W457" s="96">
        <f>SUMIFS(LS[[#Headers],[BO UNIT TRANSFER]]:LS[[#This Row],[BO UNIT TRANSFER]],LS[[#Headers],[Investor ID]]:LS[[#This Row],[Investor ID]],LS[[#This Row],[Investor ID]])</f>
        <v>0</v>
      </c>
    </row>
    <row r="458" spans="1:23">
      <c r="A458" s="75">
        <v>2024</v>
      </c>
      <c r="B458" s="75">
        <v>5</v>
      </c>
      <c r="C458" s="75">
        <v>26</v>
      </c>
      <c r="D458" s="81">
        <f>DATE(LS[[#This Row],[Year]],LS[[#This Row],[Month]],LS[[#This Row],[Day]])</f>
        <v>45438</v>
      </c>
      <c r="E458" t="str" cm="1">
        <f t="array" ref="E458">INDEX(INVESTORS_LIST[INVESTOR NAME],MATCH(LS[[#This Row],[Investor ID]],INVESTORS_LIST[INVESTOR CODE],0),)</f>
        <v>SYED ADNAN HUDA</v>
      </c>
      <c r="F458" s="83" t="s">
        <v>236</v>
      </c>
      <c r="G458" s="75">
        <f>COUNTIF(LS[[#Headers],[Investor ID]]:LS[[#This Row],[Investor ID]],LS[[#This Row],[Investor ID]])</f>
        <v>1</v>
      </c>
      <c r="H458" s="75" t="str">
        <f>CONCATENATE(LS[[#This Row],[Frequency]],LS[[#This Row],[Investor ID]])</f>
        <v>1A00094</v>
      </c>
      <c r="I458" s="75" t="str">
        <f>IF(LS[[#This Row],[B/S]]="B","BUY",(IF(LS[[#This Row],[B/S]]="S","SELL"," ")))</f>
        <v>BUY</v>
      </c>
      <c r="J458" s="75" t="s">
        <v>1229</v>
      </c>
      <c r="K458" s="88">
        <v>500000</v>
      </c>
      <c r="L458" s="88"/>
      <c r="M458" s="89">
        <f>LS[[#This Row],[Amount]]/LS[[#This Row],[Unit]]</f>
        <v>11.054120976299965</v>
      </c>
      <c r="N458" s="90">
        <f>LS[[#This Row],[Unit Capital]]/10</f>
        <v>45232</v>
      </c>
      <c r="O458" s="90">
        <f>SUMIFS(LS[[#Headers],[Unit]]:LS[[#This Row],[Unit]],LS[[#Headers],[Investor ID]]:LS[[#This Row],[Investor ID]],LS[[#This Row],[Investor ID]])</f>
        <v>45232</v>
      </c>
      <c r="P458" s="96">
        <v>452320</v>
      </c>
      <c r="Q458" s="48">
        <f>LS[[#This Row],[Amount]]-LS[[#This Row],[Unit Capital]]</f>
        <v>47680</v>
      </c>
      <c r="R45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11.054120976299965</v>
      </c>
      <c r="S458" s="89">
        <f t="shared" si="7"/>
        <v>14.224</v>
      </c>
      <c r="T45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8" s="96" cm="1">
        <f t="array" ref="U458">IF(LS[[#This Row],[B/S]]="S",ABS(LS[[#This Row],[Unit]])*(INDEX(LS[NAV at Cost (Average)],MATCH(CONCATENATE((LS[[#This Row],[Frequency]]-1),LS[[#This Row],[Investor ID]]),LS[Unique Code],0),0)),0)</f>
        <v>0</v>
      </c>
      <c r="V458" s="96">
        <f>IF(LS[[#This Row],[BO TRANSFER]]="YES",LS[[#This Row],[Unit]],)</f>
        <v>0</v>
      </c>
      <c r="W458" s="96">
        <f>SUMIFS(LS[[#Headers],[BO UNIT TRANSFER]]:LS[[#This Row],[BO UNIT TRANSFER]],LS[[#Headers],[Investor ID]]:LS[[#This Row],[Investor ID]],LS[[#This Row],[Investor ID]])</f>
        <v>0</v>
      </c>
    </row>
    <row r="459" spans="1:23">
      <c r="A459" s="75">
        <v>2024</v>
      </c>
      <c r="B459" s="75">
        <v>5</v>
      </c>
      <c r="C459" s="75">
        <v>26</v>
      </c>
      <c r="D459" s="81">
        <f>DATE(LS[[#This Row],[Year]],LS[[#This Row],[Month]],LS[[#This Row],[Day]])</f>
        <v>45438</v>
      </c>
      <c r="E459" t="str" cm="1">
        <f t="array" ref="E459">INDEX(INVESTORS_LIST[INVESTOR NAME],MATCH(LS[[#This Row],[Investor ID]],INVESTORS_LIST[INVESTOR CODE],0),)</f>
        <v>SYED ADNAN HUDA</v>
      </c>
      <c r="F459" s="83" t="s">
        <v>236</v>
      </c>
      <c r="G459" s="75">
        <f>COUNTIF(LS[[#Headers],[Investor ID]]:LS[[#This Row],[Investor ID]],LS[[#This Row],[Investor ID]])</f>
        <v>2</v>
      </c>
      <c r="H459" s="75" t="str">
        <f>CONCATENATE(LS[[#This Row],[Frequency]],LS[[#This Row],[Investor ID]])</f>
        <v>2A00094</v>
      </c>
      <c r="I459" s="75" t="str">
        <f>IF(LS[[#This Row],[B/S]]="B","BUY",(IF(LS[[#This Row],[B/S]]="S","SELL"," ")))</f>
        <v>BUY</v>
      </c>
      <c r="J459" s="75" t="s">
        <v>1229</v>
      </c>
      <c r="K459" s="88">
        <v>100000</v>
      </c>
      <c r="L459" s="88"/>
      <c r="M459" s="89">
        <f>LS[[#This Row],[Amount]]/LS[[#This Row],[Unit]]</f>
        <v>11.054609772275038</v>
      </c>
      <c r="N459" s="90">
        <f>LS[[#This Row],[Unit Capital]]/10</f>
        <v>9046</v>
      </c>
      <c r="O459" s="90">
        <f>SUMIFS(LS[[#Headers],[Unit]]:LS[[#This Row],[Unit]],LS[[#Headers],[Investor ID]]:LS[[#This Row],[Investor ID]],LS[[#This Row],[Investor ID]])</f>
        <v>54278</v>
      </c>
      <c r="P459" s="96">
        <v>90460</v>
      </c>
      <c r="Q459" s="48">
        <f>LS[[#This Row],[Amount]]-LS[[#This Row],[Unit Capital]]</f>
        <v>9540</v>
      </c>
      <c r="R45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11.054202439294006</v>
      </c>
      <c r="S459" s="89">
        <f t="shared" si="7"/>
        <v>14.224</v>
      </c>
      <c r="T45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59" s="96" cm="1">
        <f t="array" ref="U459">IF(LS[[#This Row],[B/S]]="S",ABS(LS[[#This Row],[Unit]])*(INDEX(LS[NAV at Cost (Average)],MATCH(CONCATENATE((LS[[#This Row],[Frequency]]-1),LS[[#This Row],[Investor ID]]),LS[Unique Code],0),0)),0)</f>
        <v>0</v>
      </c>
      <c r="V459" s="96">
        <f>IF(LS[[#This Row],[BO TRANSFER]]="YES",LS[[#This Row],[Unit]],)</f>
        <v>0</v>
      </c>
      <c r="W459" s="96">
        <f>SUMIFS(LS[[#Headers],[BO UNIT TRANSFER]]:LS[[#This Row],[BO UNIT TRANSFER]],LS[[#Headers],[Investor ID]]:LS[[#This Row],[Investor ID]],LS[[#This Row],[Investor ID]])</f>
        <v>0</v>
      </c>
    </row>
    <row r="460" spans="1:23">
      <c r="A460" s="75">
        <v>2024</v>
      </c>
      <c r="B460" s="75">
        <v>5</v>
      </c>
      <c r="C460" s="75">
        <v>26</v>
      </c>
      <c r="D460" s="81">
        <f>DATE(LS[[#This Row],[Year]],LS[[#This Row],[Month]],LS[[#This Row],[Day]])</f>
        <v>45438</v>
      </c>
      <c r="E460" t="str" cm="1">
        <f t="array" ref="E460">INDEX(INVESTORS_LIST[INVESTOR NAME],MATCH(LS[[#This Row],[Investor ID]],INVESTORS_LIST[INVESTOR CODE],0),)</f>
        <v>SYED ADNAN HUDA</v>
      </c>
      <c r="F460" s="83" t="s">
        <v>236</v>
      </c>
      <c r="G460" s="75">
        <f>COUNTIF(LS[[#Headers],[Investor ID]]:LS[[#This Row],[Investor ID]],LS[[#This Row],[Investor ID]])</f>
        <v>3</v>
      </c>
      <c r="H460" s="75" t="str">
        <f>CONCATENATE(LS[[#This Row],[Frequency]],LS[[#This Row],[Investor ID]])</f>
        <v>3A00094</v>
      </c>
      <c r="I460" s="75" t="str">
        <f>IF(LS[[#This Row],[B/S]]="B","BUY",(IF(LS[[#This Row],[B/S]]="S","SELL"," ")))</f>
        <v>BUY</v>
      </c>
      <c r="J460" s="75" t="s">
        <v>1229</v>
      </c>
      <c r="K460" s="88">
        <v>400000</v>
      </c>
      <c r="L460" s="88"/>
      <c r="M460" s="89">
        <f>LS[[#This Row],[Amount]]/LS[[#This Row],[Unit]]</f>
        <v>11.053998784060134</v>
      </c>
      <c r="N460" s="90">
        <f>LS[[#This Row],[Unit Capital]]/10</f>
        <v>36186</v>
      </c>
      <c r="O460" s="90">
        <f>SUMIFS(LS[[#Headers],[Unit]]:LS[[#This Row],[Unit]],LS[[#Headers],[Investor ID]]:LS[[#This Row],[Investor ID]],LS[[#This Row],[Investor ID]])</f>
        <v>90464</v>
      </c>
      <c r="P460" s="96">
        <v>361860</v>
      </c>
      <c r="Q460" s="48">
        <f>LS[[#This Row],[Amount]]-LS[[#This Row],[Unit Capital]]</f>
        <v>38140</v>
      </c>
      <c r="R46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11.054120976299965</v>
      </c>
      <c r="S460" s="89">
        <f t="shared" si="7"/>
        <v>14.224</v>
      </c>
      <c r="T46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0" s="96" cm="1">
        <f t="array" ref="U460">IF(LS[[#This Row],[B/S]]="S",ABS(LS[[#This Row],[Unit]])*(INDEX(LS[NAV at Cost (Average)],MATCH(CONCATENATE((LS[[#This Row],[Frequency]]-1),LS[[#This Row],[Investor ID]]),LS[Unique Code],0),0)),0)</f>
        <v>0</v>
      </c>
      <c r="V460" s="96">
        <f>IF(LS[[#This Row],[BO TRANSFER]]="YES",LS[[#This Row],[Unit]],)</f>
        <v>0</v>
      </c>
      <c r="W460" s="96">
        <f>SUMIFS(LS[[#Headers],[BO UNIT TRANSFER]]:LS[[#This Row],[BO UNIT TRANSFER]],LS[[#Headers],[Investor ID]]:LS[[#This Row],[Investor ID]],LS[[#This Row],[Investor ID]])</f>
        <v>0</v>
      </c>
    </row>
    <row r="461" spans="1:23">
      <c r="A461" s="75">
        <v>2024</v>
      </c>
      <c r="B461" s="75">
        <v>5</v>
      </c>
      <c r="C461" s="75">
        <v>26</v>
      </c>
      <c r="D461" s="81">
        <f>DATE(LS[[#This Row],[Year]],LS[[#This Row],[Month]],LS[[#This Row],[Day]])</f>
        <v>45438</v>
      </c>
      <c r="E461" t="str" cm="1">
        <f t="array" ref="E461">INDEX(INVESTORS_LIST[INVESTOR NAME],MATCH(LS[[#This Row],[Investor ID]],INVESTORS_LIST[INVESTOR CODE],0),)</f>
        <v>SYED ADNAN HUDA</v>
      </c>
      <c r="F461" s="83" t="s">
        <v>236</v>
      </c>
      <c r="G461" s="75">
        <f>COUNTIF(LS[[#Headers],[Investor ID]]:LS[[#This Row],[Investor ID]],LS[[#This Row],[Investor ID]])</f>
        <v>4</v>
      </c>
      <c r="H461" s="75" t="str">
        <f>CONCATENATE(LS[[#This Row],[Frequency]],LS[[#This Row],[Investor ID]])</f>
        <v>4A00094</v>
      </c>
      <c r="I461" s="75" t="str">
        <f>IF(LS[[#This Row],[B/S]]="B","BUY",(IF(LS[[#This Row],[B/S]]="S","SELL"," ")))</f>
        <v>BUY</v>
      </c>
      <c r="J461" s="75" t="s">
        <v>1229</v>
      </c>
      <c r="K461" s="88">
        <v>500000</v>
      </c>
      <c r="L461" s="88"/>
      <c r="M461" s="89">
        <f>LS[[#This Row],[Amount]]/LS[[#This Row],[Unit]]</f>
        <v>11.054120976299965</v>
      </c>
      <c r="N461" s="90">
        <f>LS[[#This Row],[Unit Capital]]/10</f>
        <v>45232</v>
      </c>
      <c r="O461" s="90">
        <f>SUMIFS(LS[[#Headers],[Unit]]:LS[[#This Row],[Unit]],LS[[#Headers],[Investor ID]]:LS[[#This Row],[Investor ID]],LS[[#This Row],[Investor ID]])</f>
        <v>135696</v>
      </c>
      <c r="P461" s="96">
        <v>452320</v>
      </c>
      <c r="Q461" s="48">
        <f>LS[[#This Row],[Amount]]-LS[[#This Row],[Unit Capital]]</f>
        <v>47680</v>
      </c>
      <c r="R46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11.054120976299965</v>
      </c>
      <c r="S461" s="89">
        <f t="shared" si="7"/>
        <v>14.224</v>
      </c>
      <c r="T46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1" s="96" cm="1">
        <f t="array" ref="U461">IF(LS[[#This Row],[B/S]]="S",ABS(LS[[#This Row],[Unit]])*(INDEX(LS[NAV at Cost (Average)],MATCH(CONCATENATE((LS[[#This Row],[Frequency]]-1),LS[[#This Row],[Investor ID]]),LS[Unique Code],0),0)),0)</f>
        <v>0</v>
      </c>
      <c r="V461" s="96">
        <f>IF(LS[[#This Row],[BO TRANSFER]]="YES",LS[[#This Row],[Unit]],)</f>
        <v>0</v>
      </c>
      <c r="W461" s="96">
        <f>SUMIFS(LS[[#Headers],[BO UNIT TRANSFER]]:LS[[#This Row],[BO UNIT TRANSFER]],LS[[#Headers],[Investor ID]]:LS[[#This Row],[Investor ID]],LS[[#This Row],[Investor ID]])</f>
        <v>0</v>
      </c>
    </row>
    <row r="462" spans="1:23">
      <c r="A462" s="75">
        <v>2024</v>
      </c>
      <c r="B462" s="75">
        <v>5</v>
      </c>
      <c r="C462" s="75">
        <v>27</v>
      </c>
      <c r="D462" s="81">
        <f>DATE(LS[[#This Row],[Year]],LS[[#This Row],[Month]],LS[[#This Row],[Day]])</f>
        <v>45439</v>
      </c>
      <c r="E462" t="str" cm="1">
        <f t="array" ref="E462">INDEX(INVESTORS_LIST[INVESTOR NAME],MATCH(LS[[#This Row],[Investor ID]],INVESTORS_LIST[INVESTOR CODE],0),)</f>
        <v>ASHAK ELAHI</v>
      </c>
      <c r="F462" s="83" t="s">
        <v>1077</v>
      </c>
      <c r="G462" s="75">
        <f>COUNTIF(LS[[#Headers],[Investor ID]]:LS[[#This Row],[Investor ID]],LS[[#This Row],[Investor ID]])</f>
        <v>9</v>
      </c>
      <c r="H462" s="75" t="str">
        <f>CONCATENATE(LS[[#This Row],[Frequency]],LS[[#This Row],[Investor ID]])</f>
        <v>9A00516</v>
      </c>
      <c r="I462" s="75" t="str">
        <f>IF(LS[[#This Row],[B/S]]="B","BUY",(IF(LS[[#This Row],[B/S]]="S","SELL"," ")))</f>
        <v>BUY</v>
      </c>
      <c r="J462" s="75" t="s">
        <v>1229</v>
      </c>
      <c r="K462" s="88">
        <v>132648</v>
      </c>
      <c r="L462" s="88"/>
      <c r="M462" s="89">
        <f>LS[[#This Row],[Amount]]/LS[[#This Row],[Unit]]</f>
        <v>11.054</v>
      </c>
      <c r="N462" s="90">
        <f>LS[[#This Row],[Unit Capital]]/10</f>
        <v>12000</v>
      </c>
      <c r="O462" s="90">
        <f>SUMIFS(LS[[#Headers],[Unit]]:LS[[#This Row],[Unit]],LS[[#Headers],[Investor ID]]:LS[[#This Row],[Investor ID]],LS[[#This Row],[Investor ID]])</f>
        <v>36392</v>
      </c>
      <c r="P462" s="96">
        <v>120000</v>
      </c>
      <c r="Q462" s="48">
        <f>LS[[#This Row],[Amount]]-LS[[#This Row],[Unit Capital]]</f>
        <v>12648</v>
      </c>
      <c r="R46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10.91330925922724</v>
      </c>
      <c r="S462" s="89">
        <f t="shared" si="7"/>
        <v>14.224</v>
      </c>
      <c r="T46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2" s="96" cm="1">
        <f t="array" ref="U462">IF(LS[[#This Row],[B/S]]="S",ABS(LS[[#This Row],[Unit]])*(INDEX(LS[NAV at Cost (Average)],MATCH(CONCATENATE((LS[[#This Row],[Frequency]]-1),LS[[#This Row],[Investor ID]]),LS[Unique Code],0),0)),0)</f>
        <v>0</v>
      </c>
      <c r="V462" s="96">
        <f>IF(LS[[#This Row],[BO TRANSFER]]="YES",LS[[#This Row],[Unit]],)</f>
        <v>0</v>
      </c>
      <c r="W462" s="96">
        <f>SUMIFS(LS[[#Headers],[BO UNIT TRANSFER]]:LS[[#This Row],[BO UNIT TRANSFER]],LS[[#Headers],[Investor ID]]:LS[[#This Row],[Investor ID]],LS[[#This Row],[Investor ID]])</f>
        <v>0</v>
      </c>
    </row>
    <row r="463" spans="1:23">
      <c r="A463" s="75">
        <v>2024</v>
      </c>
      <c r="B463" s="75">
        <v>5</v>
      </c>
      <c r="C463" s="75">
        <v>30</v>
      </c>
      <c r="D463" s="81">
        <f>DATE(LS[[#This Row],[Year]],LS[[#This Row],[Month]],LS[[#This Row],[Day]])</f>
        <v>45442</v>
      </c>
      <c r="E463" t="str" cm="1">
        <f t="array" ref="E463">INDEX(INVESTORS_LIST[INVESTOR NAME],MATCH(LS[[#This Row],[Investor ID]],INVESTORS_LIST[INVESTOR CODE],0),)</f>
        <v>SATINATH GHOSH</v>
      </c>
      <c r="F463" s="83" t="s">
        <v>348</v>
      </c>
      <c r="G463" s="75">
        <f>COUNTIF(LS[[#Headers],[Investor ID]]:LS[[#This Row],[Investor ID]],LS[[#This Row],[Investor ID]])</f>
        <v>3</v>
      </c>
      <c r="H463" s="75" t="str">
        <f>CONCATENATE(LS[[#This Row],[Frequency]],LS[[#This Row],[Investor ID]])</f>
        <v>3A00150</v>
      </c>
      <c r="I463" s="75" t="str">
        <f>IF(LS[[#This Row],[B/S]]="B","BUY",(IF(LS[[#This Row],[B/S]]="S","SELL"," ")))</f>
        <v>SELL</v>
      </c>
      <c r="J463" s="75" t="s">
        <v>1231</v>
      </c>
      <c r="K463" s="88">
        <v>-319991.19</v>
      </c>
      <c r="L463" s="88"/>
      <c r="M463" s="89">
        <f>LS[[#This Row],[Amount]]/LS[[#This Row],[Unit]]</f>
        <v>11.053999930910598</v>
      </c>
      <c r="N463" s="90">
        <f>LS[[#This Row],[Unit Capital]]/10</f>
        <v>-28948</v>
      </c>
      <c r="O463" s="90">
        <f>SUMIFS(LS[[#Headers],[Unit]]:LS[[#This Row],[Unit]],LS[[#Headers],[Investor ID]]:LS[[#This Row],[Investor ID]],LS[[#This Row],[Investor ID]])</f>
        <v>0</v>
      </c>
      <c r="P463" s="96">
        <v>-289480</v>
      </c>
      <c r="Q463" s="48">
        <f>LS[[#This Row],[Amount]]-LS[[#This Row],[Unit Capital]]</f>
        <v>-30511.190000000002</v>
      </c>
      <c r="R46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63" s="89">
        <f t="shared" si="7"/>
        <v>14.224</v>
      </c>
      <c r="T463" s="96">
        <f>IF(LS[[#This Row],[B/S]]="B",0,ABS(LS[[#This Row],[Unit]])*(LS[[#This Row],[NAV (Strike Rate)]]-INDEX(LS[NAV at Cost (Average)],MATCH(CONCATENATE(LS[[#This Row],[Frequency]]-1,LS[[#This Row],[Investor ID]]),LS[Unique Code],0),)))</f>
        <v>19991.189999999988</v>
      </c>
      <c r="U463" s="96" cm="1">
        <f t="array" ref="U463">IF(LS[[#This Row],[B/S]]="S",ABS(LS[[#This Row],[Unit]])*(INDEX(LS[NAV at Cost (Average)],MATCH(CONCATENATE((LS[[#This Row],[Frequency]]-1),LS[[#This Row],[Investor ID]]),LS[Unique Code],0),0)),0)</f>
        <v>300000</v>
      </c>
      <c r="V463" s="96">
        <f>IF(LS[[#This Row],[BO TRANSFER]]="YES",LS[[#This Row],[Unit]],)</f>
        <v>0</v>
      </c>
      <c r="W463" s="96">
        <f>SUMIFS(LS[[#Headers],[BO UNIT TRANSFER]]:LS[[#This Row],[BO UNIT TRANSFER]],LS[[#Headers],[Investor ID]]:LS[[#This Row],[Investor ID]],LS[[#This Row],[Investor ID]])</f>
        <v>0</v>
      </c>
    </row>
    <row r="464" spans="1:23">
      <c r="A464" s="75">
        <v>2024</v>
      </c>
      <c r="B464" s="75">
        <v>5</v>
      </c>
      <c r="C464" s="75">
        <v>30</v>
      </c>
      <c r="D464" s="81">
        <f>DATE(LS[[#This Row],[Year]],LS[[#This Row],[Month]],LS[[#This Row],[Day]])</f>
        <v>45442</v>
      </c>
      <c r="E464" t="str" cm="1">
        <f t="array" ref="E464">INDEX(INVESTORS_LIST[INVESTOR NAME],MATCH(LS[[#This Row],[Investor ID]],INVESTORS_LIST[INVESTOR CODE],0),)</f>
        <v>ARIFUR RAHMAN</v>
      </c>
      <c r="F464" s="83" t="s">
        <v>278</v>
      </c>
      <c r="G464" s="75">
        <f>COUNTIF(LS[[#Headers],[Investor ID]]:LS[[#This Row],[Investor ID]],LS[[#This Row],[Investor ID]])</f>
        <v>4</v>
      </c>
      <c r="H464" s="75" t="str">
        <f>CONCATENATE(LS[[#This Row],[Frequency]],LS[[#This Row],[Investor ID]])</f>
        <v>4A00115</v>
      </c>
      <c r="I464" s="75" t="str">
        <f>IF(LS[[#This Row],[B/S]]="B","BUY",(IF(LS[[#This Row],[B/S]]="S","SELL"," ")))</f>
        <v>BUY</v>
      </c>
      <c r="J464" s="75" t="s">
        <v>1229</v>
      </c>
      <c r="K464" s="88">
        <v>50000</v>
      </c>
      <c r="L464" s="88"/>
      <c r="M464" s="89">
        <f>LS[[#This Row],[Amount]]/LS[[#This Row],[Unit]]</f>
        <v>11.054609772275038</v>
      </c>
      <c r="N464" s="90">
        <f>LS[[#This Row],[Unit Capital]]/10</f>
        <v>4523</v>
      </c>
      <c r="O464" s="90">
        <f>SUMIFS(LS[[#Headers],[Unit]]:LS[[#This Row],[Unit]],LS[[#Headers],[Investor ID]]:LS[[#This Row],[Investor ID]],LS[[#This Row],[Investor ID]])</f>
        <v>20994</v>
      </c>
      <c r="P464" s="96">
        <v>45230</v>
      </c>
      <c r="Q464" s="48">
        <f>LS[[#This Row],[Amount]]-LS[[#This Row],[Unit Capital]]</f>
        <v>4770</v>
      </c>
      <c r="R46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10.526817185862626</v>
      </c>
      <c r="S464" s="89">
        <f t="shared" si="7"/>
        <v>14.224</v>
      </c>
      <c r="T46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4" s="96" cm="1">
        <f t="array" ref="U464">IF(LS[[#This Row],[B/S]]="S",ABS(LS[[#This Row],[Unit]])*(INDEX(LS[NAV at Cost (Average)],MATCH(CONCATENATE((LS[[#This Row],[Frequency]]-1),LS[[#This Row],[Investor ID]]),LS[Unique Code],0),0)),0)</f>
        <v>0</v>
      </c>
      <c r="V464" s="96">
        <f>IF(LS[[#This Row],[BO TRANSFER]]="YES",LS[[#This Row],[Unit]],)</f>
        <v>0</v>
      </c>
      <c r="W464" s="96">
        <f>SUMIFS(LS[[#Headers],[BO UNIT TRANSFER]]:LS[[#This Row],[BO UNIT TRANSFER]],LS[[#Headers],[Investor ID]]:LS[[#This Row],[Investor ID]],LS[[#This Row],[Investor ID]])</f>
        <v>0</v>
      </c>
    </row>
    <row r="465" spans="1:23">
      <c r="A465" s="75">
        <v>2024</v>
      </c>
      <c r="B465" s="75">
        <v>5</v>
      </c>
      <c r="C465" s="75">
        <v>28</v>
      </c>
      <c r="D465" s="81">
        <f>DATE(LS[[#This Row],[Year]],LS[[#This Row],[Month]],LS[[#This Row],[Day]])</f>
        <v>45440</v>
      </c>
      <c r="E465" t="str" cm="1">
        <f t="array" ref="E465">INDEX(INVESTORS_LIST[INVESTOR NAME],MATCH(LS[[#This Row],[Investor ID]],INVESTORS_LIST[INVESTOR CODE],0),)</f>
        <v>TANJINA ZAMAN ANISHA</v>
      </c>
      <c r="F465" s="83" t="s">
        <v>1147</v>
      </c>
      <c r="G465" s="75">
        <f>COUNTIF(LS[[#Headers],[Investor ID]]:LS[[#This Row],[Investor ID]],LS[[#This Row],[Investor ID]])</f>
        <v>1</v>
      </c>
      <c r="H465" s="75" t="str">
        <f>CONCATENATE(LS[[#This Row],[Frequency]],LS[[#This Row],[Investor ID]])</f>
        <v>1A00549</v>
      </c>
      <c r="I465" s="75" t="str">
        <f>IF(LS[[#This Row],[B/S]]="B","BUY",(IF(LS[[#This Row],[B/S]]="S","SELL"," ")))</f>
        <v>BUY</v>
      </c>
      <c r="J465" s="75" t="s">
        <v>1229</v>
      </c>
      <c r="K465" s="88">
        <v>25000</v>
      </c>
      <c r="L465" s="88"/>
      <c r="M465" s="89">
        <f>LS[[#This Row],[Amount]]/LS[[#This Row],[Unit]]</f>
        <v>11.052166224580018</v>
      </c>
      <c r="N465" s="90">
        <f>LS[[#This Row],[Unit Capital]]/10</f>
        <v>2262</v>
      </c>
      <c r="O465" s="90">
        <f>SUMIFS(LS[[#Headers],[Unit]]:LS[[#This Row],[Unit]],LS[[#Headers],[Investor ID]]:LS[[#This Row],[Investor ID]],LS[[#This Row],[Investor ID]])</f>
        <v>2262</v>
      </c>
      <c r="P465" s="96">
        <v>22620</v>
      </c>
      <c r="Q465" s="48">
        <f>LS[[#This Row],[Amount]]-LS[[#This Row],[Unit Capital]]</f>
        <v>2380</v>
      </c>
      <c r="R46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11.052166224580018</v>
      </c>
      <c r="S465" s="89">
        <f t="shared" si="7"/>
        <v>14.224</v>
      </c>
      <c r="T46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5" s="96" cm="1">
        <f t="array" ref="U465">IF(LS[[#This Row],[B/S]]="S",ABS(LS[[#This Row],[Unit]])*(INDEX(LS[NAV at Cost (Average)],MATCH(CONCATENATE((LS[[#This Row],[Frequency]]-1),LS[[#This Row],[Investor ID]]),LS[Unique Code],0),0)),0)</f>
        <v>0</v>
      </c>
      <c r="V465" s="96">
        <f>IF(LS[[#This Row],[BO TRANSFER]]="YES",LS[[#This Row],[Unit]],)</f>
        <v>0</v>
      </c>
      <c r="W465" s="96">
        <f>SUMIFS(LS[[#Headers],[BO UNIT TRANSFER]]:LS[[#This Row],[BO UNIT TRANSFER]],LS[[#Headers],[Investor ID]]:LS[[#This Row],[Investor ID]],LS[[#This Row],[Investor ID]])</f>
        <v>0</v>
      </c>
    </row>
    <row r="466" spans="1:23">
      <c r="A466" s="75">
        <v>2024</v>
      </c>
      <c r="B466" s="75">
        <v>5</v>
      </c>
      <c r="C466" s="75">
        <v>29</v>
      </c>
      <c r="D466" s="81">
        <f>DATE(LS[[#This Row],[Year]],LS[[#This Row],[Month]],LS[[#This Row],[Day]])</f>
        <v>45441</v>
      </c>
      <c r="E466" t="str" cm="1">
        <f t="array" ref="E466">INDEX(INVESTORS_LIST[INVESTOR NAME],MATCH(LS[[#This Row],[Investor ID]],INVESTORS_LIST[INVESTOR CODE],0),)</f>
        <v>MD. RAFIQUR RAHMAN</v>
      </c>
      <c r="F466" s="83" t="s">
        <v>622</v>
      </c>
      <c r="G466" s="75">
        <f>COUNTIF(LS[[#Headers],[Investor ID]]:LS[[#This Row],[Investor ID]],LS[[#This Row],[Investor ID]])</f>
        <v>1</v>
      </c>
      <c r="H466" s="75" t="str">
        <f>CONCATENATE(LS[[#This Row],[Frequency]],LS[[#This Row],[Investor ID]])</f>
        <v>1A00287</v>
      </c>
      <c r="I466" s="75" t="str">
        <f>IF(LS[[#This Row],[B/S]]="B","BUY",(IF(LS[[#This Row],[B/S]]="S","SELL"," ")))</f>
        <v>BUY</v>
      </c>
      <c r="J466" s="75" t="s">
        <v>1229</v>
      </c>
      <c r="K466" s="88">
        <v>244799.32</v>
      </c>
      <c r="L466" s="88"/>
      <c r="M466" s="89">
        <f>LS[[#This Row],[Amount]]/LS[[#This Row],[Unit]]</f>
        <v>11.053884222884495</v>
      </c>
      <c r="N466" s="90">
        <f>LS[[#This Row],[Unit Capital]]/10</f>
        <v>22146</v>
      </c>
      <c r="O466" s="90">
        <f>SUMIFS(LS[[#Headers],[Unit]]:LS[[#This Row],[Unit]],LS[[#Headers],[Investor ID]]:LS[[#This Row],[Investor ID]],LS[[#This Row],[Investor ID]])</f>
        <v>22146</v>
      </c>
      <c r="P466" s="96">
        <v>221460</v>
      </c>
      <c r="Q466" s="48">
        <f>LS[[#This Row],[Amount]]-LS[[#This Row],[Unit Capital]]</f>
        <v>23339.320000000007</v>
      </c>
      <c r="R46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11.053884222884495</v>
      </c>
      <c r="S466" s="89">
        <f t="shared" si="7"/>
        <v>14.224</v>
      </c>
      <c r="T46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6" s="96" cm="1">
        <f t="array" ref="U466">IF(LS[[#This Row],[B/S]]="S",ABS(LS[[#This Row],[Unit]])*(INDEX(LS[NAV at Cost (Average)],MATCH(CONCATENATE((LS[[#This Row],[Frequency]]-1),LS[[#This Row],[Investor ID]]),LS[Unique Code],0),0)),0)</f>
        <v>0</v>
      </c>
      <c r="V466" s="96">
        <f>IF(LS[[#This Row],[BO TRANSFER]]="YES",LS[[#This Row],[Unit]],)</f>
        <v>0</v>
      </c>
      <c r="W466" s="96">
        <f>SUMIFS(LS[[#Headers],[BO UNIT TRANSFER]]:LS[[#This Row],[BO UNIT TRANSFER]],LS[[#Headers],[Investor ID]]:LS[[#This Row],[Investor ID]],LS[[#This Row],[Investor ID]])</f>
        <v>0</v>
      </c>
    </row>
    <row r="467" spans="1:23">
      <c r="A467" s="75">
        <v>2024</v>
      </c>
      <c r="B467" s="75">
        <v>5</v>
      </c>
      <c r="C467" s="75">
        <v>29</v>
      </c>
      <c r="D467" s="81">
        <f>DATE(LS[[#This Row],[Year]],LS[[#This Row],[Month]],LS[[#This Row],[Day]])</f>
        <v>45441</v>
      </c>
      <c r="E467" t="str" cm="1">
        <f t="array" ref="E467">INDEX(INVESTORS_LIST[INVESTOR NAME],MATCH(LS[[#This Row],[Investor ID]],INVESTORS_LIST[INVESTOR CODE],0),)</f>
        <v>NANDA DULAL SAHA</v>
      </c>
      <c r="F467" s="83" t="s">
        <v>880</v>
      </c>
      <c r="G467" s="75">
        <f>COUNTIF(LS[[#Headers],[Investor ID]]:LS[[#This Row],[Investor ID]],LS[[#This Row],[Investor ID]])</f>
        <v>1</v>
      </c>
      <c r="H467" s="75" t="str">
        <f>CONCATENATE(LS[[#This Row],[Frequency]],LS[[#This Row],[Investor ID]])</f>
        <v>1A00417</v>
      </c>
      <c r="I467" s="75" t="str">
        <f>IF(LS[[#This Row],[B/S]]="B","BUY",(IF(LS[[#This Row],[B/S]]="S","SELL"," ")))</f>
        <v>BUY</v>
      </c>
      <c r="J467" s="75" t="s">
        <v>1229</v>
      </c>
      <c r="K467" s="88">
        <v>150000</v>
      </c>
      <c r="L467" s="88"/>
      <c r="M467" s="89">
        <f>LS[[#This Row],[Amount]]/LS[[#This Row],[Unit]]</f>
        <v>11.053795136330139</v>
      </c>
      <c r="N467" s="90">
        <f>LS[[#This Row],[Unit Capital]]/10</f>
        <v>13570</v>
      </c>
      <c r="O467" s="90">
        <f>SUMIFS(LS[[#Headers],[Unit]]:LS[[#This Row],[Unit]],LS[[#Headers],[Investor ID]]:LS[[#This Row],[Investor ID]],LS[[#This Row],[Investor ID]])</f>
        <v>13570</v>
      </c>
      <c r="P467" s="96">
        <v>135700</v>
      </c>
      <c r="Q467" s="48">
        <f>LS[[#This Row],[Amount]]-LS[[#This Row],[Unit Capital]]</f>
        <v>14300</v>
      </c>
      <c r="R46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11.053795136330139</v>
      </c>
      <c r="S467" s="89">
        <f t="shared" si="7"/>
        <v>14.224</v>
      </c>
      <c r="T46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7" s="96" cm="1">
        <f t="array" ref="U467">IF(LS[[#This Row],[B/S]]="S",ABS(LS[[#This Row],[Unit]])*(INDEX(LS[NAV at Cost (Average)],MATCH(CONCATENATE((LS[[#This Row],[Frequency]]-1),LS[[#This Row],[Investor ID]]),LS[Unique Code],0),0)),0)</f>
        <v>0</v>
      </c>
      <c r="V467" s="96">
        <f>IF(LS[[#This Row],[BO TRANSFER]]="YES",LS[[#This Row],[Unit]],)</f>
        <v>0</v>
      </c>
      <c r="W467" s="96">
        <f>SUMIFS(LS[[#Headers],[BO UNIT TRANSFER]]:LS[[#This Row],[BO UNIT TRANSFER]],LS[[#Headers],[Investor ID]]:LS[[#This Row],[Investor ID]],LS[[#This Row],[Investor ID]])</f>
        <v>0</v>
      </c>
    </row>
    <row r="468" spans="1:23">
      <c r="A468" s="75">
        <v>2024</v>
      </c>
      <c r="B468" s="75">
        <v>5</v>
      </c>
      <c r="C468" s="75">
        <v>30</v>
      </c>
      <c r="D468" s="81">
        <f>DATE(LS[[#This Row],[Year]],LS[[#This Row],[Month]],LS[[#This Row],[Day]])</f>
        <v>45442</v>
      </c>
      <c r="E468" t="str" cm="1">
        <f t="array" ref="E468">INDEX(INVESTORS_LIST[INVESTOR NAME],MATCH(LS[[#This Row],[Investor ID]],INVESTORS_LIST[INVESTOR CODE],0),)</f>
        <v>MOHSIN REZA</v>
      </c>
      <c r="F468" s="83" t="s">
        <v>1143</v>
      </c>
      <c r="G468" s="75">
        <f>COUNTIF(LS[[#Headers],[Investor ID]]:LS[[#This Row],[Investor ID]],LS[[#This Row],[Investor ID]])</f>
        <v>1</v>
      </c>
      <c r="H468" s="75" t="str">
        <f>CONCATENATE(LS[[#This Row],[Frequency]],LS[[#This Row],[Investor ID]])</f>
        <v>1A00547</v>
      </c>
      <c r="I468" s="75" t="str">
        <f>IF(LS[[#This Row],[B/S]]="B","BUY",(IF(LS[[#This Row],[B/S]]="S","SELL"," ")))</f>
        <v>BUY</v>
      </c>
      <c r="J468" s="75" t="s">
        <v>1229</v>
      </c>
      <c r="K468" s="88">
        <v>1200000</v>
      </c>
      <c r="L468" s="88"/>
      <c r="M468" s="89">
        <f>LS[[#This Row],[Amount]]/LS[[#This Row],[Unit]]</f>
        <v>11.053998784060134</v>
      </c>
      <c r="N468" s="90">
        <f>LS[[#This Row],[Unit Capital]]/10</f>
        <v>108558</v>
      </c>
      <c r="O468" s="90">
        <f>SUMIFS(LS[[#Headers],[Unit]]:LS[[#This Row],[Unit]],LS[[#Headers],[Investor ID]]:LS[[#This Row],[Investor ID]],LS[[#This Row],[Investor ID]])</f>
        <v>108558</v>
      </c>
      <c r="P468" s="96">
        <v>1085580</v>
      </c>
      <c r="Q468" s="48">
        <f>LS[[#This Row],[Amount]]-LS[[#This Row],[Unit Capital]]</f>
        <v>114420</v>
      </c>
      <c r="R46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11.053998784060134</v>
      </c>
      <c r="S468" s="89">
        <f t="shared" si="7"/>
        <v>14.224</v>
      </c>
      <c r="T46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8" s="96" cm="1">
        <f t="array" ref="U468">IF(LS[[#This Row],[B/S]]="S",ABS(LS[[#This Row],[Unit]])*(INDEX(LS[NAV at Cost (Average)],MATCH(CONCATENATE((LS[[#This Row],[Frequency]]-1),LS[[#This Row],[Investor ID]]),LS[Unique Code],0),0)),0)</f>
        <v>0</v>
      </c>
      <c r="V468" s="96">
        <f>IF(LS[[#This Row],[BO TRANSFER]]="YES",LS[[#This Row],[Unit]],)</f>
        <v>0</v>
      </c>
      <c r="W468" s="96">
        <f>SUMIFS(LS[[#Headers],[BO UNIT TRANSFER]]:LS[[#This Row],[BO UNIT TRANSFER]],LS[[#Headers],[Investor ID]]:LS[[#This Row],[Investor ID]],LS[[#This Row],[Investor ID]])</f>
        <v>0</v>
      </c>
    </row>
    <row r="469" spans="1:23">
      <c r="A469" s="75">
        <v>2024</v>
      </c>
      <c r="B469" s="75">
        <v>5</v>
      </c>
      <c r="C469" s="75">
        <v>30</v>
      </c>
      <c r="D469" s="81">
        <f>DATE(LS[[#This Row],[Year]],LS[[#This Row],[Month]],LS[[#This Row],[Day]])</f>
        <v>45442</v>
      </c>
      <c r="E469" t="str" cm="1">
        <f t="array" ref="E469">INDEX(INVESTORS_LIST[INVESTOR NAME],MATCH(LS[[#This Row],[Investor ID]],INVESTORS_LIST[INVESTOR CODE],0),)</f>
        <v>ANINDITA SAHA</v>
      </c>
      <c r="F469" s="83" t="s">
        <v>1141</v>
      </c>
      <c r="G469" s="75">
        <f>COUNTIF(LS[[#Headers],[Investor ID]]:LS[[#This Row],[Investor ID]],LS[[#This Row],[Investor ID]])</f>
        <v>1</v>
      </c>
      <c r="H469" s="75" t="str">
        <f>CONCATENATE(LS[[#This Row],[Frequency]],LS[[#This Row],[Investor ID]])</f>
        <v>1A00546</v>
      </c>
      <c r="I469" s="75" t="str">
        <f>IF(LS[[#This Row],[B/S]]="B","BUY",(IF(LS[[#This Row],[B/S]]="S","SELL"," ")))</f>
        <v>BUY</v>
      </c>
      <c r="J469" s="75" t="s">
        <v>1229</v>
      </c>
      <c r="K469" s="88">
        <v>1400000</v>
      </c>
      <c r="L469" s="88"/>
      <c r="M469" s="89">
        <f>LS[[#This Row],[Amount]]/LS[[#This Row],[Unit]]</f>
        <v>11.053998784060134</v>
      </c>
      <c r="N469" s="90">
        <f>LS[[#This Row],[Unit Capital]]/10</f>
        <v>126651</v>
      </c>
      <c r="O469" s="90">
        <f>SUMIFS(LS[[#Headers],[Unit]]:LS[[#This Row],[Unit]],LS[[#Headers],[Investor ID]]:LS[[#This Row],[Investor ID]],LS[[#This Row],[Investor ID]])</f>
        <v>126651</v>
      </c>
      <c r="P469" s="96">
        <v>1266510</v>
      </c>
      <c r="Q469" s="48">
        <f>LS[[#This Row],[Amount]]-LS[[#This Row],[Unit Capital]]</f>
        <v>133490</v>
      </c>
      <c r="R46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11.053998784060134</v>
      </c>
      <c r="S469" s="89">
        <f t="shared" si="7"/>
        <v>14.224</v>
      </c>
      <c r="T46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69" s="96" cm="1">
        <f t="array" ref="U469">IF(LS[[#This Row],[B/S]]="S",ABS(LS[[#This Row],[Unit]])*(INDEX(LS[NAV at Cost (Average)],MATCH(CONCATENATE((LS[[#This Row],[Frequency]]-1),LS[[#This Row],[Investor ID]]),LS[Unique Code],0),0)),0)</f>
        <v>0</v>
      </c>
      <c r="V469" s="96">
        <f>IF(LS[[#This Row],[BO TRANSFER]]="YES",LS[[#This Row],[Unit]],)</f>
        <v>0</v>
      </c>
      <c r="W469" s="96">
        <f>SUMIFS(LS[[#Headers],[BO UNIT TRANSFER]]:LS[[#This Row],[BO UNIT TRANSFER]],LS[[#Headers],[Investor ID]]:LS[[#This Row],[Investor ID]],LS[[#This Row],[Investor ID]])</f>
        <v>0</v>
      </c>
    </row>
    <row r="470" spans="1:23">
      <c r="A470" s="75">
        <v>2024</v>
      </c>
      <c r="B470" s="75">
        <v>5</v>
      </c>
      <c r="C470" s="75">
        <v>30</v>
      </c>
      <c r="D470" s="81">
        <f>DATE(LS[[#This Row],[Year]],LS[[#This Row],[Month]],LS[[#This Row],[Day]])</f>
        <v>45442</v>
      </c>
      <c r="E470" t="str" cm="1">
        <f t="array" ref="E470">INDEX(INVESTORS_LIST[INVESTOR NAME],MATCH(LS[[#This Row],[Investor ID]],INVESTORS_LIST[INVESTOR CODE],0),)</f>
        <v>RAJIV HASSAN</v>
      </c>
      <c r="F470" s="83" t="s">
        <v>1038</v>
      </c>
      <c r="G470" s="75">
        <f>COUNTIF(LS[[#Headers],[Investor ID]]:LS[[#This Row],[Investor ID]],LS[[#This Row],[Investor ID]])</f>
        <v>3</v>
      </c>
      <c r="H470" s="75" t="str">
        <f>CONCATENATE(LS[[#This Row],[Frequency]],LS[[#This Row],[Investor ID]])</f>
        <v>3A00496</v>
      </c>
      <c r="I470" s="75" t="str">
        <f>IF(LS[[#This Row],[B/S]]="B","BUY",(IF(LS[[#This Row],[B/S]]="S","SELL"," ")))</f>
        <v>BUY</v>
      </c>
      <c r="J470" s="75" t="s">
        <v>1229</v>
      </c>
      <c r="K470" s="88">
        <v>2000000</v>
      </c>
      <c r="L470" s="88"/>
      <c r="M470" s="89">
        <f>LS[[#This Row],[Amount]]/LS[[#This Row],[Unit]]</f>
        <v>11.033995740877645</v>
      </c>
      <c r="N470" s="90">
        <f>LS[[#This Row],[Unit Capital]]/10</f>
        <v>181258</v>
      </c>
      <c r="O470" s="90">
        <f>SUMIFS(LS[[#Headers],[Unit]]:LS[[#This Row],[Unit]],LS[[#Headers],[Investor ID]]:LS[[#This Row],[Investor ID]],LS[[#This Row],[Investor ID]])</f>
        <v>375965</v>
      </c>
      <c r="P470" s="96">
        <v>1812580</v>
      </c>
      <c r="Q470" s="48">
        <f>LS[[#This Row],[Amount]]-LS[[#This Row],[Unit Capital]]</f>
        <v>187420</v>
      </c>
      <c r="R47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10.639288231617304</v>
      </c>
      <c r="S470" s="89">
        <f t="shared" si="7"/>
        <v>14.224</v>
      </c>
      <c r="T47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0" s="96" cm="1">
        <f t="array" ref="U470">IF(LS[[#This Row],[B/S]]="S",ABS(LS[[#This Row],[Unit]])*(INDEX(LS[NAV at Cost (Average)],MATCH(CONCATENATE((LS[[#This Row],[Frequency]]-1),LS[[#This Row],[Investor ID]]),LS[Unique Code],0),0)),0)</f>
        <v>0</v>
      </c>
      <c r="V470" s="96">
        <f>IF(LS[[#This Row],[BO TRANSFER]]="YES",LS[[#This Row],[Unit]],)</f>
        <v>0</v>
      </c>
      <c r="W470" s="96">
        <f>SUMIFS(LS[[#Headers],[BO UNIT TRANSFER]]:LS[[#This Row],[BO UNIT TRANSFER]],LS[[#Headers],[Investor ID]]:LS[[#This Row],[Investor ID]],LS[[#This Row],[Investor ID]])</f>
        <v>0</v>
      </c>
    </row>
    <row r="471" spans="1:23">
      <c r="A471" s="75">
        <v>2024</v>
      </c>
      <c r="B471" s="75">
        <v>6</v>
      </c>
      <c r="C471" s="75">
        <v>2</v>
      </c>
      <c r="D471" s="81">
        <f>DATE(LS[[#This Row],[Year]],LS[[#This Row],[Month]],LS[[#This Row],[Day]])</f>
        <v>45445</v>
      </c>
      <c r="E471" t="str" cm="1">
        <f t="array" ref="E471">INDEX(INVESTORS_LIST[INVESTOR NAME],MATCH(LS[[#This Row],[Investor ID]],INVESTORS_LIST[INVESTOR CODE],0),)</f>
        <v>SHIREEN AFROZE</v>
      </c>
      <c r="F471" s="83" t="s">
        <v>1145</v>
      </c>
      <c r="G471" s="75">
        <f>COUNTIF(LS[[#Headers],[Investor ID]]:LS[[#This Row],[Investor ID]],LS[[#This Row],[Investor ID]])</f>
        <v>1</v>
      </c>
      <c r="H471" s="75" t="str">
        <f>CONCATENATE(LS[[#This Row],[Frequency]],LS[[#This Row],[Investor ID]])</f>
        <v>1A00548</v>
      </c>
      <c r="I471" s="75" t="str">
        <f>IF(LS[[#This Row],[B/S]]="B","BUY",(IF(LS[[#This Row],[B/S]]="S","SELL"," ")))</f>
        <v>BUY</v>
      </c>
      <c r="J471" s="75" t="s">
        <v>1229</v>
      </c>
      <c r="K471" s="88">
        <v>500000</v>
      </c>
      <c r="L471" s="88"/>
      <c r="M471" s="89">
        <f>LS[[#This Row],[Amount]]/LS[[#This Row],[Unit]]</f>
        <v>11.082051509375416</v>
      </c>
      <c r="N471" s="90">
        <f>LS[[#This Row],[Unit Capital]]/10</f>
        <v>45118</v>
      </c>
      <c r="O471" s="90">
        <f>SUMIFS(LS[[#Headers],[Unit]]:LS[[#This Row],[Unit]],LS[[#Headers],[Investor ID]]:LS[[#This Row],[Investor ID]],LS[[#This Row],[Investor ID]])</f>
        <v>45118</v>
      </c>
      <c r="P471" s="96">
        <v>451180</v>
      </c>
      <c r="Q471" s="48">
        <f>LS[[#This Row],[Amount]]-LS[[#This Row],[Unit Capital]]</f>
        <v>48820</v>
      </c>
      <c r="R47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471" s="89">
        <f t="shared" si="7"/>
        <v>14.224</v>
      </c>
      <c r="T47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1" s="96" cm="1">
        <f t="array" ref="U471">IF(LS[[#This Row],[B/S]]="S",ABS(LS[[#This Row],[Unit]])*(INDEX(LS[NAV at Cost (Average)],MATCH(CONCATENATE((LS[[#This Row],[Frequency]]-1),LS[[#This Row],[Investor ID]]),LS[Unique Code],0),0)),0)</f>
        <v>0</v>
      </c>
      <c r="V471" s="96">
        <f>IF(LS[[#This Row],[BO TRANSFER]]="YES",LS[[#This Row],[Unit]],)</f>
        <v>0</v>
      </c>
      <c r="W471" s="96">
        <f>SUMIFS(LS[[#Headers],[BO UNIT TRANSFER]]:LS[[#This Row],[BO UNIT TRANSFER]],LS[[#Headers],[Investor ID]]:LS[[#This Row],[Investor ID]],LS[[#This Row],[Investor ID]])</f>
        <v>0</v>
      </c>
    </row>
    <row r="472" spans="1:23">
      <c r="A472" s="75">
        <v>2024</v>
      </c>
      <c r="B472" s="75">
        <v>6</v>
      </c>
      <c r="C472" s="75">
        <v>2</v>
      </c>
      <c r="D472" s="81">
        <f>DATE(LS[[#This Row],[Year]],LS[[#This Row],[Month]],LS[[#This Row],[Day]])</f>
        <v>45445</v>
      </c>
      <c r="E472" t="str" cm="1">
        <f t="array" ref="E472">INDEX(INVESTORS_LIST[INVESTOR NAME],MATCH(LS[[#This Row],[Investor ID]],INVESTORS_LIST[INVESTOR CODE],0),)</f>
        <v>A. K. M. BAZLUR RASHID</v>
      </c>
      <c r="F472" s="83" t="s">
        <v>1149</v>
      </c>
      <c r="G472" s="75">
        <f>COUNTIF(LS[[#Headers],[Investor ID]]:LS[[#This Row],[Investor ID]],LS[[#This Row],[Investor ID]])</f>
        <v>1</v>
      </c>
      <c r="H472" s="75" t="str">
        <f>CONCATENATE(LS[[#This Row],[Frequency]],LS[[#This Row],[Investor ID]])</f>
        <v>1A00550</v>
      </c>
      <c r="I472" s="75" t="str">
        <f>IF(LS[[#This Row],[B/S]]="B","BUY",(IF(LS[[#This Row],[B/S]]="S","SELL"," ")))</f>
        <v>BUY</v>
      </c>
      <c r="J472" s="75" t="s">
        <v>1229</v>
      </c>
      <c r="K472" s="88">
        <v>2000000</v>
      </c>
      <c r="L472" s="99"/>
      <c r="M472" s="89">
        <f>LS[[#This Row],[Amount]]/LS[[#This Row],[Unit]]</f>
        <v>11.081990103782838</v>
      </c>
      <c r="N472" s="90">
        <f>LS[[#This Row],[Unit Capital]]/10</f>
        <v>180473</v>
      </c>
      <c r="O472" s="90">
        <f>SUMIFS(LS[[#Headers],[Unit]]:LS[[#This Row],[Unit]],LS[[#Headers],[Investor ID]]:LS[[#This Row],[Investor ID]],LS[[#This Row],[Investor ID]])</f>
        <v>180473</v>
      </c>
      <c r="P472" s="96">
        <v>1804730</v>
      </c>
      <c r="Q472" s="48">
        <f>LS[[#This Row],[Amount]]-LS[[#This Row],[Unit Capital]]</f>
        <v>195270</v>
      </c>
      <c r="R47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11.081990103782838</v>
      </c>
      <c r="S472" s="89">
        <f t="shared" si="7"/>
        <v>14.224</v>
      </c>
      <c r="T47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2" s="96" cm="1">
        <f t="array" ref="U472">IF(LS[[#This Row],[B/S]]="S",ABS(LS[[#This Row],[Unit]])*(INDEX(LS[NAV at Cost (Average)],MATCH(CONCATENATE((LS[[#This Row],[Frequency]]-1),LS[[#This Row],[Investor ID]]),LS[Unique Code],0),0)),0)</f>
        <v>0</v>
      </c>
      <c r="V472" s="96">
        <f>IF(LS[[#This Row],[BO TRANSFER]]="YES",LS[[#This Row],[Unit]],)</f>
        <v>0</v>
      </c>
      <c r="W472" s="96">
        <f>SUMIFS(LS[[#Headers],[BO UNIT TRANSFER]]:LS[[#This Row],[BO UNIT TRANSFER]],LS[[#Headers],[Investor ID]]:LS[[#This Row],[Investor ID]],LS[[#This Row],[Investor ID]])</f>
        <v>0</v>
      </c>
    </row>
    <row r="473" spans="1:23">
      <c r="A473" s="75">
        <v>2024</v>
      </c>
      <c r="B473" s="75">
        <v>6</v>
      </c>
      <c r="C473" s="75">
        <v>2</v>
      </c>
      <c r="D473" s="81">
        <f>DATE(LS[[#This Row],[Year]],LS[[#This Row],[Month]],LS[[#This Row],[Day]])</f>
        <v>45445</v>
      </c>
      <c r="E473" t="str" cm="1">
        <f t="array" ref="E473">INDEX(INVESTORS_LIST[INVESTOR NAME],MATCH(LS[[#This Row],[Investor ID]],INVESTORS_LIST[INVESTOR CODE],0),)</f>
        <v>SHAHRIAR AZAD SHASHI</v>
      </c>
      <c r="F473" s="83" t="s">
        <v>1040</v>
      </c>
      <c r="G473" s="75">
        <f>COUNTIF(LS[[#Headers],[Investor ID]]:LS[[#This Row],[Investor ID]],LS[[#This Row],[Investor ID]])</f>
        <v>4</v>
      </c>
      <c r="H473" s="75" t="str">
        <f>CONCATENATE(LS[[#This Row],[Frequency]],LS[[#This Row],[Investor ID]])</f>
        <v>4A00497</v>
      </c>
      <c r="I473" s="75" t="str">
        <f>IF(LS[[#This Row],[B/S]]="B","BUY",(IF(LS[[#This Row],[B/S]]="S","SELL"," ")))</f>
        <v>BUY</v>
      </c>
      <c r="J473" s="75" t="s">
        <v>1229</v>
      </c>
      <c r="K473" s="88">
        <v>293000</v>
      </c>
      <c r="L473" s="88"/>
      <c r="M473" s="89">
        <f>LS[[#This Row],[Amount]]/LS[[#This Row],[Unit]]</f>
        <v>11.082113544385189</v>
      </c>
      <c r="N473" s="90">
        <f>LS[[#This Row],[Unit Capital]]/10</f>
        <v>26439</v>
      </c>
      <c r="O473" s="90">
        <f>SUMIFS(LS[[#Headers],[Unit]]:LS[[#This Row],[Unit]],LS[[#Headers],[Investor ID]]:LS[[#This Row],[Investor ID]],LS[[#This Row],[Investor ID]])</f>
        <v>26439</v>
      </c>
      <c r="P473" s="96">
        <v>264390</v>
      </c>
      <c r="Q473" s="48">
        <f>LS[[#This Row],[Amount]]-LS[[#This Row],[Unit Capital]]</f>
        <v>28610</v>
      </c>
      <c r="R47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11.082113544385189</v>
      </c>
      <c r="S473" s="89">
        <f t="shared" si="7"/>
        <v>14.224</v>
      </c>
      <c r="T47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3" s="96" cm="1">
        <f t="array" ref="U473">IF(LS[[#This Row],[B/S]]="S",ABS(LS[[#This Row],[Unit]])*(INDEX(LS[NAV at Cost (Average)],MATCH(CONCATENATE((LS[[#This Row],[Frequency]]-1),LS[[#This Row],[Investor ID]]),LS[Unique Code],0),0)),0)</f>
        <v>0</v>
      </c>
      <c r="V473" s="96">
        <f>IF(LS[[#This Row],[BO TRANSFER]]="YES",LS[[#This Row],[Unit]],)</f>
        <v>0</v>
      </c>
      <c r="W473" s="96">
        <f>SUMIFS(LS[[#Headers],[BO UNIT TRANSFER]]:LS[[#This Row],[BO UNIT TRANSFER]],LS[[#Headers],[Investor ID]]:LS[[#This Row],[Investor ID]],LS[[#This Row],[Investor ID]])</f>
        <v>0</v>
      </c>
    </row>
    <row r="474" spans="1:23">
      <c r="A474" s="75">
        <v>2024</v>
      </c>
      <c r="B474" s="75">
        <v>6</v>
      </c>
      <c r="C474" s="75">
        <v>3</v>
      </c>
      <c r="D474" s="81">
        <f>DATE(LS[[#This Row],[Year]],LS[[#This Row],[Month]],LS[[#This Row],[Day]])</f>
        <v>45446</v>
      </c>
      <c r="E474" t="str" cm="1">
        <f t="array" ref="E474">INDEX(INVESTORS_LIST[INVESTOR NAME],MATCH(LS[[#This Row],[Investor ID]],INVESTORS_LIST[INVESTOR CODE],0),)</f>
        <v xml:space="preserve">H. S. M. SHAFEE BIN ALAM </v>
      </c>
      <c r="F474" s="83" t="s">
        <v>1087</v>
      </c>
      <c r="G474" s="75">
        <f>COUNTIF(LS[[#Headers],[Investor ID]]:LS[[#This Row],[Investor ID]],LS[[#This Row],[Investor ID]])</f>
        <v>3</v>
      </c>
      <c r="H474" s="75" t="str">
        <f>CONCATENATE(LS[[#This Row],[Frequency]],LS[[#This Row],[Investor ID]])</f>
        <v>3A00520</v>
      </c>
      <c r="I474" s="75" t="str">
        <f>IF(LS[[#This Row],[B/S]]="B","BUY",(IF(LS[[#This Row],[B/S]]="S","SELL"," ")))</f>
        <v>BUY</v>
      </c>
      <c r="J474" s="75" t="s">
        <v>1229</v>
      </c>
      <c r="K474" s="88">
        <v>498500</v>
      </c>
      <c r="L474" s="88"/>
      <c r="M474" s="89">
        <f>LS[[#This Row],[Amount]]/LS[[#This Row],[Unit]]</f>
        <v>11.081964297623546</v>
      </c>
      <c r="N474" s="90">
        <f>LS[[#This Row],[Unit Capital]]/10</f>
        <v>44983</v>
      </c>
      <c r="O474" s="90">
        <f>SUMIFS(LS[[#Headers],[Unit]]:LS[[#This Row],[Unit]],LS[[#Headers],[Investor ID]]:LS[[#This Row],[Investor ID]],LS[[#This Row],[Investor ID]])</f>
        <v>44983</v>
      </c>
      <c r="P474" s="96">
        <v>449830</v>
      </c>
      <c r="Q474" s="48">
        <f>LS[[#This Row],[Amount]]-LS[[#This Row],[Unit Capital]]</f>
        <v>48670</v>
      </c>
      <c r="R47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11.081964297623546</v>
      </c>
      <c r="S474" s="89">
        <f t="shared" si="7"/>
        <v>14.224</v>
      </c>
      <c r="T47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4" s="96" cm="1">
        <f t="array" ref="U474">IF(LS[[#This Row],[B/S]]="S",ABS(LS[[#This Row],[Unit]])*(INDEX(LS[NAV at Cost (Average)],MATCH(CONCATENATE((LS[[#This Row],[Frequency]]-1),LS[[#This Row],[Investor ID]]),LS[Unique Code],0),0)),0)</f>
        <v>0</v>
      </c>
      <c r="V474" s="96">
        <f>IF(LS[[#This Row],[BO TRANSFER]]="YES",LS[[#This Row],[Unit]],)</f>
        <v>0</v>
      </c>
      <c r="W474" s="96">
        <f>SUMIFS(LS[[#Headers],[BO UNIT TRANSFER]]:LS[[#This Row],[BO UNIT TRANSFER]],LS[[#Headers],[Investor ID]]:LS[[#This Row],[Investor ID]],LS[[#This Row],[Investor ID]])</f>
        <v>0</v>
      </c>
    </row>
    <row r="475" spans="1:23">
      <c r="A475" s="75">
        <v>2024</v>
      </c>
      <c r="B475" s="75">
        <v>6</v>
      </c>
      <c r="C475" s="75">
        <v>4</v>
      </c>
      <c r="D475" s="81">
        <f>DATE(LS[[#This Row],[Year]],LS[[#This Row],[Month]],LS[[#This Row],[Day]])</f>
        <v>45447</v>
      </c>
      <c r="E475" t="str" cm="1">
        <f t="array" ref="E475">INDEX(INVESTORS_LIST[INVESTOR NAME],MATCH(LS[[#This Row],[Investor ID]],INVESTORS_LIST[INVESTOR CODE],0),)</f>
        <v>NRB BANK LIMITED</v>
      </c>
      <c r="F475" s="83" t="s">
        <v>1151</v>
      </c>
      <c r="G475" s="75">
        <f>COUNTIF(LS[[#Headers],[Investor ID]]:LS[[#This Row],[Investor ID]],LS[[#This Row],[Investor ID]])</f>
        <v>1</v>
      </c>
      <c r="H475" s="75" t="str">
        <f>CONCATENATE(LS[[#This Row],[Frequency]],LS[[#This Row],[Investor ID]])</f>
        <v>1A00551</v>
      </c>
      <c r="I475" s="75" t="str">
        <f>IF(LS[[#This Row],[B/S]]="B","BUY",(IF(LS[[#This Row],[B/S]]="S","SELL"," ")))</f>
        <v>BUY</v>
      </c>
      <c r="J475" s="75" t="s">
        <v>1229</v>
      </c>
      <c r="K475" s="88">
        <v>40000000</v>
      </c>
      <c r="L475" s="88"/>
      <c r="M475" s="89">
        <f>LS[[#This Row],[Amount]]/LS[[#This Row],[Unit]]</f>
        <v>11.081999314578342</v>
      </c>
      <c r="N475" s="90">
        <f>LS[[#This Row],[Unit Capital]]/10</f>
        <v>3609457</v>
      </c>
      <c r="O475" s="90">
        <f>SUMIFS(LS[[#Headers],[Unit]]:LS[[#This Row],[Unit]],LS[[#Headers],[Investor ID]]:LS[[#This Row],[Investor ID]],LS[[#This Row],[Investor ID]])</f>
        <v>3609457</v>
      </c>
      <c r="P475" s="96">
        <v>36094570</v>
      </c>
      <c r="Q475" s="48">
        <f>LS[[#This Row],[Amount]]-LS[[#This Row],[Unit Capital]]</f>
        <v>3905430</v>
      </c>
      <c r="R47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11.081999314578342</v>
      </c>
      <c r="S475" s="89">
        <f t="shared" si="7"/>
        <v>14.224</v>
      </c>
      <c r="T47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5" s="96" cm="1">
        <f t="array" ref="U475">IF(LS[[#This Row],[B/S]]="S",ABS(LS[[#This Row],[Unit]])*(INDEX(LS[NAV at Cost (Average)],MATCH(CONCATENATE((LS[[#This Row],[Frequency]]-1),LS[[#This Row],[Investor ID]]),LS[Unique Code],0),0)),0)</f>
        <v>0</v>
      </c>
      <c r="V475" s="96">
        <f>IF(LS[[#This Row],[BO TRANSFER]]="YES",LS[[#This Row],[Unit]],)</f>
        <v>0</v>
      </c>
      <c r="W475" s="96">
        <f>SUMIFS(LS[[#Headers],[BO UNIT TRANSFER]]:LS[[#This Row],[BO UNIT TRANSFER]],LS[[#Headers],[Investor ID]]:LS[[#This Row],[Investor ID]],LS[[#This Row],[Investor ID]])</f>
        <v>0</v>
      </c>
    </row>
    <row r="476" spans="1:23">
      <c r="A476" s="75">
        <v>2024</v>
      </c>
      <c r="B476" s="75">
        <v>6</v>
      </c>
      <c r="C476" s="75">
        <v>5</v>
      </c>
      <c r="D476" s="81">
        <f>DATE(LS[[#This Row],[Year]],LS[[#This Row],[Month]],LS[[#This Row],[Day]])</f>
        <v>45448</v>
      </c>
      <c r="E476" t="str" cm="1">
        <f t="array" ref="E476">INDEX(INVESTORS_LIST[INVESTOR NAME],MATCH(LS[[#This Row],[Investor ID]],INVESTORS_LIST[INVESTOR CODE],0),)</f>
        <v>TRIPTI BARUA</v>
      </c>
      <c r="F476" s="83" t="s">
        <v>384</v>
      </c>
      <c r="G476" s="75">
        <f>COUNTIF(LS[[#Headers],[Investor ID]]:LS[[#This Row],[Investor ID]],LS[[#This Row],[Investor ID]])</f>
        <v>1</v>
      </c>
      <c r="H476" s="75" t="str">
        <f>CONCATENATE(LS[[#This Row],[Frequency]],LS[[#This Row],[Investor ID]])</f>
        <v>1A00168</v>
      </c>
      <c r="I476" s="75" t="str">
        <f>IF(LS[[#This Row],[B/S]]="B","BUY",(IF(LS[[#This Row],[B/S]]="S","SELL"," ")))</f>
        <v>BUY</v>
      </c>
      <c r="J476" s="75" t="s">
        <v>1229</v>
      </c>
      <c r="K476" s="88">
        <v>500000</v>
      </c>
      <c r="L476" s="88"/>
      <c r="M476" s="89">
        <f>LS[[#This Row],[Amount]]/LS[[#This Row],[Unit]]</f>
        <v>11.082051509375416</v>
      </c>
      <c r="N476" s="90">
        <f>LS[[#This Row],[Unit Capital]]/10</f>
        <v>45118</v>
      </c>
      <c r="O476" s="90">
        <f>SUMIFS(LS[[#Headers],[Unit]]:LS[[#This Row],[Unit]],LS[[#Headers],[Investor ID]]:LS[[#This Row],[Investor ID]],LS[[#This Row],[Investor ID]])</f>
        <v>45118</v>
      </c>
      <c r="P476" s="96">
        <v>451180</v>
      </c>
      <c r="Q476" s="48">
        <f>LS[[#This Row],[Amount]]-LS[[#This Row],[Unit Capital]]</f>
        <v>48820</v>
      </c>
      <c r="R47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476" s="89">
        <f t="shared" si="7"/>
        <v>14.224</v>
      </c>
      <c r="T47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6" s="96" cm="1">
        <f t="array" ref="U476">IF(LS[[#This Row],[B/S]]="S",ABS(LS[[#This Row],[Unit]])*(INDEX(LS[NAV at Cost (Average)],MATCH(CONCATENATE((LS[[#This Row],[Frequency]]-1),LS[[#This Row],[Investor ID]]),LS[Unique Code],0),0)),0)</f>
        <v>0</v>
      </c>
      <c r="V476" s="96">
        <f>IF(LS[[#This Row],[BO TRANSFER]]="YES",LS[[#This Row],[Unit]],)</f>
        <v>0</v>
      </c>
      <c r="W476" s="96">
        <f>SUMIFS(LS[[#Headers],[BO UNIT TRANSFER]]:LS[[#This Row],[BO UNIT TRANSFER]],LS[[#Headers],[Investor ID]]:LS[[#This Row],[Investor ID]],LS[[#This Row],[Investor ID]])</f>
        <v>0</v>
      </c>
    </row>
    <row r="477" spans="1:23">
      <c r="A477" s="75">
        <v>2024</v>
      </c>
      <c r="B477" s="75">
        <v>6</v>
      </c>
      <c r="C477" s="75">
        <v>5</v>
      </c>
      <c r="D477" s="81">
        <f>DATE(LS[[#This Row],[Year]],LS[[#This Row],[Month]],LS[[#This Row],[Day]])</f>
        <v>45448</v>
      </c>
      <c r="E477" t="str" cm="1">
        <f t="array" ref="E477">INDEX(INVESTORS_LIST[INVESTOR NAME],MATCH(LS[[#This Row],[Investor ID]],INVESTORS_LIST[INVESTOR CODE],0),)</f>
        <v>SHAH MUNTASIN MUJTABA</v>
      </c>
      <c r="F477" s="83" t="s">
        <v>1103</v>
      </c>
      <c r="G477" s="75">
        <f>COUNTIF(LS[[#Headers],[Investor ID]]:LS[[#This Row],[Investor ID]],LS[[#This Row],[Investor ID]])</f>
        <v>5</v>
      </c>
      <c r="H477" s="75" t="str">
        <f>CONCATENATE(LS[[#This Row],[Frequency]],LS[[#This Row],[Investor ID]])</f>
        <v>5A00528</v>
      </c>
      <c r="I477" s="75" t="str">
        <f>IF(LS[[#This Row],[B/S]]="B","BUY",(IF(LS[[#This Row],[B/S]]="S","SELL"," ")))</f>
        <v>BUY</v>
      </c>
      <c r="J477" s="75" t="s">
        <v>1229</v>
      </c>
      <c r="K477" s="88">
        <v>66492</v>
      </c>
      <c r="L477" s="88"/>
      <c r="M477" s="89">
        <f>LS[[#This Row],[Amount]]/LS[[#This Row],[Unit]]</f>
        <v>11.082000000000001</v>
      </c>
      <c r="N477" s="90">
        <f>LS[[#This Row],[Unit Capital]]/10</f>
        <v>6000</v>
      </c>
      <c r="O477" s="90">
        <f>SUMIFS(LS[[#Headers],[Unit]]:LS[[#This Row],[Unit]],LS[[#Headers],[Investor ID]]:LS[[#This Row],[Investor ID]],LS[[#This Row],[Investor ID]])</f>
        <v>466301</v>
      </c>
      <c r="P477" s="96">
        <v>60000</v>
      </c>
      <c r="Q477" s="48">
        <f>LS[[#This Row],[Amount]]-LS[[#This Row],[Unit Capital]]</f>
        <v>6492</v>
      </c>
      <c r="R47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10.816560547800671</v>
      </c>
      <c r="S477" s="89">
        <f t="shared" si="7"/>
        <v>14.224</v>
      </c>
      <c r="T47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7" s="96" cm="1">
        <f t="array" ref="U477">IF(LS[[#This Row],[B/S]]="S",ABS(LS[[#This Row],[Unit]])*(INDEX(LS[NAV at Cost (Average)],MATCH(CONCATENATE((LS[[#This Row],[Frequency]]-1),LS[[#This Row],[Investor ID]]),LS[Unique Code],0),0)),0)</f>
        <v>0</v>
      </c>
      <c r="V477" s="96">
        <f>IF(LS[[#This Row],[BO TRANSFER]]="YES",LS[[#This Row],[Unit]],)</f>
        <v>0</v>
      </c>
      <c r="W477" s="96">
        <f>SUMIFS(LS[[#Headers],[BO UNIT TRANSFER]]:LS[[#This Row],[BO UNIT TRANSFER]],LS[[#Headers],[Investor ID]]:LS[[#This Row],[Investor ID]],LS[[#This Row],[Investor ID]])</f>
        <v>0</v>
      </c>
    </row>
    <row r="478" spans="1:23">
      <c r="A478" s="75">
        <v>2024</v>
      </c>
      <c r="B478" s="75">
        <v>6</v>
      </c>
      <c r="C478" s="75">
        <v>5</v>
      </c>
      <c r="D478" s="81">
        <f>DATE(LS[[#This Row],[Year]],LS[[#This Row],[Month]],LS[[#This Row],[Day]])</f>
        <v>45448</v>
      </c>
      <c r="E478" t="str" cm="1">
        <f t="array" ref="E478">INDEX(INVESTORS_LIST[INVESTOR NAME],MATCH(LS[[#This Row],[Investor ID]],INVESTORS_LIST[INVESTOR CODE],0),)</f>
        <v>MST. GOLENUR</v>
      </c>
      <c r="F478" s="83" t="s">
        <v>1075</v>
      </c>
      <c r="G478" s="75">
        <f>COUNTIF(LS[[#Headers],[Investor ID]]:LS[[#This Row],[Investor ID]],LS[[#This Row],[Investor ID]])</f>
        <v>7</v>
      </c>
      <c r="H478" s="75" t="str">
        <f>CONCATENATE(LS[[#This Row],[Frequency]],LS[[#This Row],[Investor ID]])</f>
        <v>7A00515</v>
      </c>
      <c r="I478" s="75" t="str">
        <f>IF(LS[[#This Row],[B/S]]="B","BUY",(IF(LS[[#This Row],[B/S]]="S","SELL"," ")))</f>
        <v>BUY</v>
      </c>
      <c r="J478" s="75" t="s">
        <v>1229</v>
      </c>
      <c r="K478" s="88">
        <v>2000</v>
      </c>
      <c r="L478" s="88"/>
      <c r="M478" s="89">
        <f>LS[[#This Row],[Amount]]/LS[[#This Row],[Unit]]</f>
        <v>11.111111111111111</v>
      </c>
      <c r="N478" s="90">
        <f>LS[[#This Row],[Unit Capital]]/10</f>
        <v>180</v>
      </c>
      <c r="O478" s="90">
        <f>SUMIFS(LS[[#Headers],[Unit]]:LS[[#This Row],[Unit]],LS[[#Headers],[Investor ID]]:LS[[#This Row],[Investor ID]],LS[[#This Row],[Investor ID]])</f>
        <v>1293</v>
      </c>
      <c r="P478" s="96">
        <v>1800</v>
      </c>
      <c r="Q478" s="48">
        <f>LS[[#This Row],[Amount]]-LS[[#This Row],[Unit Capital]]</f>
        <v>200</v>
      </c>
      <c r="R47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10.827532869296208</v>
      </c>
      <c r="S478" s="89">
        <f t="shared" si="7"/>
        <v>14.224</v>
      </c>
      <c r="T47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78" s="96" cm="1">
        <f t="array" ref="U478">IF(LS[[#This Row],[B/S]]="S",ABS(LS[[#This Row],[Unit]])*(INDEX(LS[NAV at Cost (Average)],MATCH(CONCATENATE((LS[[#This Row],[Frequency]]-1),LS[[#This Row],[Investor ID]]),LS[Unique Code],0),0)),0)</f>
        <v>0</v>
      </c>
      <c r="V478" s="96">
        <f>IF(LS[[#This Row],[BO TRANSFER]]="YES",LS[[#This Row],[Unit]],)</f>
        <v>0</v>
      </c>
      <c r="W478" s="96">
        <f>SUMIFS(LS[[#Headers],[BO UNIT TRANSFER]]:LS[[#This Row],[BO UNIT TRANSFER]],LS[[#Headers],[Investor ID]]:LS[[#This Row],[Investor ID]],LS[[#This Row],[Investor ID]])</f>
        <v>0</v>
      </c>
    </row>
    <row r="479" spans="1:23">
      <c r="A479" s="75">
        <v>2024</v>
      </c>
      <c r="B479" s="75">
        <v>6</v>
      </c>
      <c r="C479" s="75">
        <v>6</v>
      </c>
      <c r="D479" s="81">
        <f>DATE(LS[[#This Row],[Year]],LS[[#This Row],[Month]],LS[[#This Row],[Day]])</f>
        <v>45449</v>
      </c>
      <c r="E479" t="str" cm="1">
        <f t="array" ref="E479">INDEX(INVESTORS_LIST[INVESTOR NAME],MATCH(LS[[#This Row],[Investor ID]],INVESTORS_LIST[INVESTOR CODE],0),)</f>
        <v>EKUSH WEALTH MANAGEMENT LIMITED</v>
      </c>
      <c r="F479" s="83" t="s">
        <v>47</v>
      </c>
      <c r="G479" s="75">
        <f>COUNTIF(LS[[#Headers],[Investor ID]]:LS[[#This Row],[Investor ID]],LS[[#This Row],[Investor ID]])</f>
        <v>18</v>
      </c>
      <c r="H479" s="75" t="str">
        <f>CONCATENATE(LS[[#This Row],[Frequency]],LS[[#This Row],[Investor ID]])</f>
        <v>18A00003</v>
      </c>
      <c r="I479" s="75" t="str">
        <f>IF(LS[[#This Row],[B/S]]="B","BUY",(IF(LS[[#This Row],[B/S]]="S","SELL"," ")))</f>
        <v>SELL</v>
      </c>
      <c r="J479" s="75" t="s">
        <v>1231</v>
      </c>
      <c r="K479" s="88">
        <v>-9004956.1500000004</v>
      </c>
      <c r="L479" s="88"/>
      <c r="M479" s="89">
        <f>LS[[#This Row],[Amount]]/LS[[#This Row],[Unit]]</f>
        <v>11.082000000000001</v>
      </c>
      <c r="N479" s="90">
        <f>LS[[#This Row],[Unit Capital]]/10</f>
        <v>-812575</v>
      </c>
      <c r="O479" s="90">
        <f>SUMIFS(LS[[#Headers],[Unit]]:LS[[#This Row],[Unit]],LS[[#Headers],[Investor ID]]:LS[[#This Row],[Investor ID]],LS[[#This Row],[Investor ID]])</f>
        <v>250000</v>
      </c>
      <c r="P479" s="96">
        <v>-8125750</v>
      </c>
      <c r="Q479" s="48">
        <f>LS[[#This Row],[Amount]]-LS[[#This Row],[Unit Capital]]</f>
        <v>-879206.15000000037</v>
      </c>
      <c r="R47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10.014194888953259</v>
      </c>
      <c r="S479" s="89">
        <f t="shared" si="7"/>
        <v>14.224</v>
      </c>
      <c r="T479" s="96">
        <f>IF(LS[[#This Row],[B/S]]="B",0,ABS(LS[[#This Row],[Unit]])*(LS[[#This Row],[NAV (Strike Rate)]]-INDEX(LS[NAV at Cost (Average)],MATCH(CONCATENATE(LS[[#This Row],[Frequency]]-1,LS[[#This Row],[Investor ID]]),LS[Unique Code],0),)))</f>
        <v>867671.73810880596</v>
      </c>
      <c r="U479" s="96" cm="1">
        <f t="array" ref="U479">IF(LS[[#This Row],[B/S]]="S",ABS(LS[[#This Row],[Unit]])*(INDEX(LS[NAV at Cost (Average)],MATCH(CONCATENATE((LS[[#This Row],[Frequency]]-1),LS[[#This Row],[Investor ID]]),LS[Unique Code],0),0)),0)</f>
        <v>8137284.411891195</v>
      </c>
      <c r="V479" s="96">
        <f>IF(LS[[#This Row],[BO TRANSFER]]="YES",LS[[#This Row],[Unit]],)</f>
        <v>0</v>
      </c>
      <c r="W479" s="96">
        <f>SUMIFS(LS[[#Headers],[BO UNIT TRANSFER]]:LS[[#This Row],[BO UNIT TRANSFER]],LS[[#Headers],[Investor ID]]:LS[[#This Row],[Investor ID]],LS[[#This Row],[Investor ID]])</f>
        <v>0</v>
      </c>
    </row>
    <row r="480" spans="1:23">
      <c r="A480" s="75">
        <v>2024</v>
      </c>
      <c r="B480" s="75">
        <v>6</v>
      </c>
      <c r="C480" s="75">
        <v>6</v>
      </c>
      <c r="D480" s="81">
        <f>DATE(LS[[#This Row],[Year]],LS[[#This Row],[Month]],LS[[#This Row],[Day]])</f>
        <v>45449</v>
      </c>
      <c r="E480" t="str" cm="1">
        <f t="array" ref="E480">INDEX(INVESTORS_LIST[INVESTOR NAME],MATCH(LS[[#This Row],[Investor ID]],INVESTORS_LIST[INVESTOR CODE],0),)</f>
        <v>SK FEROZ ALAM &amp; MD BULBUL ISLAM</v>
      </c>
      <c r="F480" s="83" t="s">
        <v>481</v>
      </c>
      <c r="G480" s="75">
        <f>COUNTIF(LS[[#Headers],[Investor ID]]:LS[[#This Row],[Investor ID]],LS[[#This Row],[Investor ID]])</f>
        <v>3</v>
      </c>
      <c r="H480" s="75" t="str">
        <f>CONCATENATE(LS[[#This Row],[Frequency]],LS[[#This Row],[Investor ID]])</f>
        <v>3A00216</v>
      </c>
      <c r="I480" s="75" t="str">
        <f>IF(LS[[#This Row],[B/S]]="B","BUY",(IF(LS[[#This Row],[B/S]]="S","SELL"," ")))</f>
        <v>SELL</v>
      </c>
      <c r="J480" s="75" t="s">
        <v>1231</v>
      </c>
      <c r="K480" s="88">
        <v>-321799.12</v>
      </c>
      <c r="L480" s="88"/>
      <c r="M480" s="89">
        <f>LS[[#This Row],[Amount]]/LS[[#This Row],[Unit]]</f>
        <v>11.082000137750533</v>
      </c>
      <c r="N480" s="90">
        <f>LS[[#This Row],[Unit Capital]]/10</f>
        <v>-29038</v>
      </c>
      <c r="O480" s="90">
        <f>SUMIFS(LS[[#Headers],[Unit]]:LS[[#This Row],[Unit]],LS[[#Headers],[Investor ID]]:LS[[#This Row],[Investor ID]],LS[[#This Row],[Investor ID]])</f>
        <v>0</v>
      </c>
      <c r="P480" s="96">
        <v>-290380</v>
      </c>
      <c r="Q480" s="48">
        <f>LS[[#This Row],[Amount]]-LS[[#This Row],[Unit Capital]]</f>
        <v>-31419.119999999995</v>
      </c>
      <c r="R48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80" s="89">
        <f t="shared" si="7"/>
        <v>14.224</v>
      </c>
      <c r="T480" s="96">
        <f>IF(LS[[#This Row],[B/S]]="B",0,ABS(LS[[#This Row],[Unit]])*(LS[[#This Row],[NAV (Strike Rate)]]-INDEX(LS[NAV at Cost (Average)],MATCH(CONCATENATE(LS[[#This Row],[Frequency]]-1,LS[[#This Row],[Investor ID]]),LS[Unique Code],0),)))</f>
        <v>21799.120000000006</v>
      </c>
      <c r="U480" s="96" cm="1">
        <f t="array" ref="U480">IF(LS[[#This Row],[B/S]]="S",ABS(LS[[#This Row],[Unit]])*(INDEX(LS[NAV at Cost (Average)],MATCH(CONCATENATE((LS[[#This Row],[Frequency]]-1),LS[[#This Row],[Investor ID]]),LS[Unique Code],0),0)),0)</f>
        <v>300000</v>
      </c>
      <c r="V480" s="96">
        <f>IF(LS[[#This Row],[BO TRANSFER]]="YES",LS[[#This Row],[Unit]],)</f>
        <v>0</v>
      </c>
      <c r="W480" s="96">
        <f>SUMIFS(LS[[#Headers],[BO UNIT TRANSFER]]:LS[[#This Row],[BO UNIT TRANSFER]],LS[[#Headers],[Investor ID]]:LS[[#This Row],[Investor ID]],LS[[#This Row],[Investor ID]])</f>
        <v>0</v>
      </c>
    </row>
    <row r="481" spans="1:23">
      <c r="A481" s="75">
        <v>2024</v>
      </c>
      <c r="B481" s="75">
        <v>6</v>
      </c>
      <c r="C481" s="75">
        <v>6</v>
      </c>
      <c r="D481" s="81">
        <f>DATE(LS[[#This Row],[Year]],LS[[#This Row],[Month]],LS[[#This Row],[Day]])</f>
        <v>45449</v>
      </c>
      <c r="E481" t="str" cm="1">
        <f t="array" ref="E481">INDEX(INVESTORS_LIST[INVESTOR NAME],MATCH(LS[[#This Row],[Investor ID]],INVESTORS_LIST[INVESTOR CODE],0),)</f>
        <v>SK FEROZ ALAM</v>
      </c>
      <c r="F481" s="83" t="s">
        <v>240</v>
      </c>
      <c r="G481" s="75">
        <f>COUNTIF(LS[[#Headers],[Investor ID]]:LS[[#This Row],[Investor ID]],LS[[#This Row],[Investor ID]])</f>
        <v>2</v>
      </c>
      <c r="H481" s="75" t="str">
        <f>CONCATENATE(LS[[#This Row],[Frequency]],LS[[#This Row],[Investor ID]])</f>
        <v>2A00096</v>
      </c>
      <c r="I481" s="75" t="str">
        <f>IF(LS[[#This Row],[B/S]]="B","BUY",(IF(LS[[#This Row],[B/S]]="S","SELL"," ")))</f>
        <v>SELL</v>
      </c>
      <c r="J481" s="75" t="s">
        <v>1231</v>
      </c>
      <c r="K481" s="88">
        <v>-288209.57400000002</v>
      </c>
      <c r="L481" s="88"/>
      <c r="M481" s="89">
        <f>LS[[#This Row],[Amount]]/LS[[#This Row],[Unit]]</f>
        <v>11.082000000000001</v>
      </c>
      <c r="N481" s="90">
        <f>LS[[#This Row],[Unit Capital]]/10</f>
        <v>-26007</v>
      </c>
      <c r="O481" s="90">
        <f>SUMIFS(LS[[#Headers],[Unit]]:LS[[#This Row],[Unit]],LS[[#Headers],[Investor ID]]:LS[[#This Row],[Investor ID]],LS[[#This Row],[Investor ID]])</f>
        <v>0</v>
      </c>
      <c r="P481" s="96">
        <v>-260070</v>
      </c>
      <c r="Q481" s="48">
        <f>LS[[#This Row],[Amount]]-LS[[#This Row],[Unit Capital]]</f>
        <v>-28139.574000000022</v>
      </c>
      <c r="R48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81" s="89">
        <f t="shared" si="7"/>
        <v>14.224</v>
      </c>
      <c r="T481" s="96">
        <f>IF(LS[[#This Row],[B/S]]="B",0,ABS(LS[[#This Row],[Unit]])*(LS[[#This Row],[NAV (Strike Rate)]]-INDEX(LS[NAV at Cost (Average)],MATCH(CONCATENATE(LS[[#This Row],[Frequency]]-1,LS[[#This Row],[Investor ID]]),LS[Unique Code],0),)))</f>
        <v>18209.574000000022</v>
      </c>
      <c r="U481" s="96" cm="1">
        <f t="array" ref="U481">IF(LS[[#This Row],[B/S]]="S",ABS(LS[[#This Row],[Unit]])*(INDEX(LS[NAV at Cost (Average)],MATCH(CONCATENATE((LS[[#This Row],[Frequency]]-1),LS[[#This Row],[Investor ID]]),LS[Unique Code],0),0)),0)</f>
        <v>270000</v>
      </c>
      <c r="V481" s="96">
        <f>IF(LS[[#This Row],[BO TRANSFER]]="YES",LS[[#This Row],[Unit]],)</f>
        <v>0</v>
      </c>
      <c r="W481" s="96">
        <f>SUMIFS(LS[[#Headers],[BO UNIT TRANSFER]]:LS[[#This Row],[BO UNIT TRANSFER]],LS[[#Headers],[Investor ID]]:LS[[#This Row],[Investor ID]],LS[[#This Row],[Investor ID]])</f>
        <v>0</v>
      </c>
    </row>
    <row r="482" spans="1:23">
      <c r="A482" s="75">
        <v>2024</v>
      </c>
      <c r="B482" s="75">
        <v>6</v>
      </c>
      <c r="C482" s="75">
        <v>6</v>
      </c>
      <c r="D482" s="81">
        <f>DATE(LS[[#This Row],[Year]],LS[[#This Row],[Month]],LS[[#This Row],[Day]])</f>
        <v>45449</v>
      </c>
      <c r="E482" t="str" cm="1">
        <f t="array" ref="E482">INDEX(INVESTORS_LIST[INVESTOR NAME],MATCH(LS[[#This Row],[Investor ID]],INVESTORS_LIST[INVESTOR CODE],0),)</f>
        <v>TANZILA NUR</v>
      </c>
      <c r="F482" s="83" t="s">
        <v>1153</v>
      </c>
      <c r="G482" s="75">
        <f>COUNTIF(LS[[#Headers],[Investor ID]]:LS[[#This Row],[Investor ID]],LS[[#This Row],[Investor ID]])</f>
        <v>1</v>
      </c>
      <c r="H482" s="75" t="str">
        <f>CONCATENATE(LS[[#This Row],[Frequency]],LS[[#This Row],[Investor ID]])</f>
        <v>1A00552</v>
      </c>
      <c r="I482" s="75" t="str">
        <f>IF(LS[[#This Row],[B/S]]="B","BUY",(IF(LS[[#This Row],[B/S]]="S","SELL"," ")))</f>
        <v>BUY</v>
      </c>
      <c r="J482" s="75" t="s">
        <v>1229</v>
      </c>
      <c r="K482" s="88">
        <v>2500000</v>
      </c>
      <c r="L482" s="88"/>
      <c r="M482" s="89">
        <f>LS[[#This Row],[Amount]]/LS[[#This Row],[Unit]]</f>
        <v>11.082002384846913</v>
      </c>
      <c r="N482" s="90">
        <f>LS[[#This Row],[Unit Capital]]/10</f>
        <v>225591</v>
      </c>
      <c r="O482" s="90">
        <f>SUMIFS(LS[[#Headers],[Unit]]:LS[[#This Row],[Unit]],LS[[#Headers],[Investor ID]]:LS[[#This Row],[Investor ID]],LS[[#This Row],[Investor ID]])</f>
        <v>225591</v>
      </c>
      <c r="P482" s="96">
        <v>2255910</v>
      </c>
      <c r="Q482" s="48">
        <f>LS[[#This Row],[Amount]]-LS[[#This Row],[Unit Capital]]</f>
        <v>244090</v>
      </c>
      <c r="R48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11.082002384846913</v>
      </c>
      <c r="S482" s="89">
        <f t="shared" si="7"/>
        <v>14.224</v>
      </c>
      <c r="T48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2" s="96" cm="1">
        <f t="array" ref="U482">IF(LS[[#This Row],[B/S]]="S",ABS(LS[[#This Row],[Unit]])*(INDEX(LS[NAV at Cost (Average)],MATCH(CONCATENATE((LS[[#This Row],[Frequency]]-1),LS[[#This Row],[Investor ID]]),LS[Unique Code],0),0)),0)</f>
        <v>0</v>
      </c>
      <c r="V482" s="96">
        <f>IF(LS[[#This Row],[BO TRANSFER]]="YES",LS[[#This Row],[Unit]],)</f>
        <v>0</v>
      </c>
      <c r="W482" s="96">
        <f>SUMIFS(LS[[#Headers],[BO UNIT TRANSFER]]:LS[[#This Row],[BO UNIT TRANSFER]],LS[[#Headers],[Investor ID]]:LS[[#This Row],[Investor ID]],LS[[#This Row],[Investor ID]])</f>
        <v>0</v>
      </c>
    </row>
    <row r="483" spans="1:23">
      <c r="A483" s="75">
        <v>2024</v>
      </c>
      <c r="B483" s="75">
        <v>6</v>
      </c>
      <c r="C483" s="75">
        <v>6</v>
      </c>
      <c r="D483" s="81">
        <f>DATE(LS[[#This Row],[Year]],LS[[#This Row],[Month]],LS[[#This Row],[Day]])</f>
        <v>45449</v>
      </c>
      <c r="E483" t="str" cm="1">
        <f t="array" ref="E483">INDEX(INVESTORS_LIST[INVESTOR NAME],MATCH(LS[[#This Row],[Investor ID]],INVESTORS_LIST[INVESTOR CODE],0),)</f>
        <v>ASMAR OSMAN</v>
      </c>
      <c r="F483" s="83" t="s">
        <v>728</v>
      </c>
      <c r="G483" s="75">
        <f>COUNTIF(LS[[#Headers],[Investor ID]]:LS[[#This Row],[Investor ID]],LS[[#This Row],[Investor ID]])</f>
        <v>2</v>
      </c>
      <c r="H483" s="75" t="str">
        <f>CONCATENATE(LS[[#This Row],[Frequency]],LS[[#This Row],[Investor ID]])</f>
        <v>2A00340</v>
      </c>
      <c r="I483" s="75" t="str">
        <f>IF(LS[[#This Row],[B/S]]="B","BUY",(IF(LS[[#This Row],[B/S]]="S","SELL"," ")))</f>
        <v>BUY</v>
      </c>
      <c r="J483" s="75" t="s">
        <v>1229</v>
      </c>
      <c r="K483" s="88">
        <v>200000</v>
      </c>
      <c r="L483" s="88"/>
      <c r="M483" s="89">
        <f>LS[[#This Row],[Amount]]/LS[[#This Row],[Unit]]</f>
        <v>11.082174322602095</v>
      </c>
      <c r="N483" s="90">
        <f>LS[[#This Row],[Unit Capital]]/10</f>
        <v>18047</v>
      </c>
      <c r="O483" s="90">
        <f>SUMIFS(LS[[#Headers],[Unit]]:LS[[#This Row],[Unit]],LS[[#Headers],[Investor ID]]:LS[[#This Row],[Investor ID]],LS[[#This Row],[Investor ID]])</f>
        <v>112933</v>
      </c>
      <c r="P483" s="96">
        <v>180470</v>
      </c>
      <c r="Q483" s="48">
        <f>LS[[#This Row],[Amount]]-LS[[#This Row],[Unit Capital]]</f>
        <v>19530</v>
      </c>
      <c r="R48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10.625769261420487</v>
      </c>
      <c r="S483" s="89">
        <f t="shared" si="7"/>
        <v>14.224</v>
      </c>
      <c r="T48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3" s="96" cm="1">
        <f t="array" ref="U483">IF(LS[[#This Row],[B/S]]="S",ABS(LS[[#This Row],[Unit]])*(INDEX(LS[NAV at Cost (Average)],MATCH(CONCATENATE((LS[[#This Row],[Frequency]]-1),LS[[#This Row],[Investor ID]]),LS[Unique Code],0),0)),0)</f>
        <v>0</v>
      </c>
      <c r="V483" s="96">
        <f>IF(LS[[#This Row],[BO TRANSFER]]="YES",LS[[#This Row],[Unit]],)</f>
        <v>0</v>
      </c>
      <c r="W483" s="96">
        <f>SUMIFS(LS[[#Headers],[BO UNIT TRANSFER]]:LS[[#This Row],[BO UNIT TRANSFER]],LS[[#Headers],[Investor ID]]:LS[[#This Row],[Investor ID]],LS[[#This Row],[Investor ID]])</f>
        <v>0</v>
      </c>
    </row>
    <row r="484" spans="1:23">
      <c r="A484" s="75">
        <v>2024</v>
      </c>
      <c r="B484" s="75">
        <v>6</v>
      </c>
      <c r="C484" s="75">
        <v>6</v>
      </c>
      <c r="D484" s="81">
        <f>DATE(LS[[#This Row],[Year]],LS[[#This Row],[Month]],LS[[#This Row],[Day]])</f>
        <v>45449</v>
      </c>
      <c r="E484" t="str" cm="1">
        <f t="array" ref="E484">INDEX(INVESTORS_LIST[INVESTOR NAME],MATCH(LS[[#This Row],[Investor ID]],INVESTORS_LIST[INVESTOR CODE],0),)</f>
        <v>TAMANNA AFRIN MITUL</v>
      </c>
      <c r="F484" s="83" t="s">
        <v>1157</v>
      </c>
      <c r="G484" s="75">
        <f>COUNTIF(LS[[#Headers],[Investor ID]]:LS[[#This Row],[Investor ID]],LS[[#This Row],[Investor ID]])</f>
        <v>1</v>
      </c>
      <c r="H484" s="75" t="str">
        <f>CONCATENATE(LS[[#This Row],[Frequency]],LS[[#This Row],[Investor ID]])</f>
        <v>1A00554</v>
      </c>
      <c r="I484" s="75" t="str">
        <f>IF(LS[[#This Row],[B/S]]="B","BUY",(IF(LS[[#This Row],[B/S]]="S","SELL"," ")))</f>
        <v>BUY</v>
      </c>
      <c r="J484" s="75" t="s">
        <v>1229</v>
      </c>
      <c r="K484" s="88">
        <v>220000</v>
      </c>
      <c r="L484" s="88"/>
      <c r="M484" s="89">
        <f>LS[[#This Row],[Amount]]/LS[[#This Row],[Unit]]</f>
        <v>11.082006850695144</v>
      </c>
      <c r="N484" s="90">
        <f>LS[[#This Row],[Unit Capital]]/10</f>
        <v>19852</v>
      </c>
      <c r="O484" s="90">
        <f>SUMIFS(LS[[#Headers],[Unit]]:LS[[#This Row],[Unit]],LS[[#Headers],[Investor ID]]:LS[[#This Row],[Investor ID]],LS[[#This Row],[Investor ID]])</f>
        <v>19852</v>
      </c>
      <c r="P484" s="96">
        <v>198520</v>
      </c>
      <c r="Q484" s="48">
        <f>LS[[#This Row],[Amount]]-LS[[#This Row],[Unit Capital]]</f>
        <v>21480</v>
      </c>
      <c r="R48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11.082006850695144</v>
      </c>
      <c r="S484" s="89">
        <f t="shared" si="7"/>
        <v>14.224</v>
      </c>
      <c r="T48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4" s="96" cm="1">
        <f t="array" ref="U484">IF(LS[[#This Row],[B/S]]="S",ABS(LS[[#This Row],[Unit]])*(INDEX(LS[NAV at Cost (Average)],MATCH(CONCATENATE((LS[[#This Row],[Frequency]]-1),LS[[#This Row],[Investor ID]]),LS[Unique Code],0),0)),0)</f>
        <v>0</v>
      </c>
      <c r="V484" s="96">
        <f>IF(LS[[#This Row],[BO TRANSFER]]="YES",LS[[#This Row],[Unit]],)</f>
        <v>0</v>
      </c>
      <c r="W484" s="96">
        <f>SUMIFS(LS[[#Headers],[BO UNIT TRANSFER]]:LS[[#This Row],[BO UNIT TRANSFER]],LS[[#Headers],[Investor ID]]:LS[[#This Row],[Investor ID]],LS[[#This Row],[Investor ID]])</f>
        <v>0</v>
      </c>
    </row>
    <row r="485" spans="1:23">
      <c r="A485" s="75">
        <v>2024</v>
      </c>
      <c r="B485" s="75">
        <v>6</v>
      </c>
      <c r="C485" s="75">
        <v>9</v>
      </c>
      <c r="D485" s="81">
        <f>DATE(LS[[#This Row],[Year]],LS[[#This Row],[Month]],LS[[#This Row],[Day]])</f>
        <v>45452</v>
      </c>
      <c r="E485" t="str" cm="1">
        <f t="array" ref="E485">INDEX(INVESTORS_LIST[INVESTOR NAME],MATCH(LS[[#This Row],[Investor ID]],INVESTORS_LIST[INVESTOR CODE],0),)</f>
        <v>SHAHRIAR AZAD SHASHI</v>
      </c>
      <c r="F485" s="83" t="s">
        <v>1040</v>
      </c>
      <c r="G485" s="75">
        <f>COUNTIF(LS[[#Headers],[Investor ID]]:LS[[#This Row],[Investor ID]],LS[[#This Row],[Investor ID]])</f>
        <v>5</v>
      </c>
      <c r="H485" s="75" t="str">
        <f>CONCATENATE(LS[[#This Row],[Frequency]],LS[[#This Row],[Investor ID]])</f>
        <v>5A00497</v>
      </c>
      <c r="I485" s="75" t="str">
        <f>IF(LS[[#This Row],[B/S]]="B","BUY",(IF(LS[[#This Row],[B/S]]="S","SELL"," ")))</f>
        <v>BUY</v>
      </c>
      <c r="J485" s="75" t="s">
        <v>1229</v>
      </c>
      <c r="K485" s="88">
        <v>200000</v>
      </c>
      <c r="L485" s="88"/>
      <c r="M485" s="89">
        <f>LS[[#This Row],[Amount]]/LS[[#This Row],[Unit]]</f>
        <v>11.104941699056081</v>
      </c>
      <c r="N485" s="90">
        <f>LS[[#This Row],[Unit Capital]]/10</f>
        <v>18010</v>
      </c>
      <c r="O485" s="90">
        <f>SUMIFS(LS[[#Headers],[Unit]]:LS[[#This Row],[Unit]],LS[[#Headers],[Investor ID]]:LS[[#This Row],[Investor ID]],LS[[#This Row],[Investor ID]])</f>
        <v>44449</v>
      </c>
      <c r="P485" s="96">
        <v>180100</v>
      </c>
      <c r="Q485" s="48">
        <f>LS[[#This Row],[Amount]]-LS[[#This Row],[Unit Capital]]</f>
        <v>19900</v>
      </c>
      <c r="R48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11.091363135278634</v>
      </c>
      <c r="S485" s="89">
        <f t="shared" si="7"/>
        <v>14.224</v>
      </c>
      <c r="T48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5" s="96" cm="1">
        <f t="array" ref="U485">IF(LS[[#This Row],[B/S]]="S",ABS(LS[[#This Row],[Unit]])*(INDEX(LS[NAV at Cost (Average)],MATCH(CONCATENATE((LS[[#This Row],[Frequency]]-1),LS[[#This Row],[Investor ID]]),LS[Unique Code],0),0)),0)</f>
        <v>0</v>
      </c>
      <c r="V485" s="96">
        <f>IF(LS[[#This Row],[BO TRANSFER]]="YES",LS[[#This Row],[Unit]],)</f>
        <v>0</v>
      </c>
      <c r="W485" s="96">
        <f>SUMIFS(LS[[#Headers],[BO UNIT TRANSFER]]:LS[[#This Row],[BO UNIT TRANSFER]],LS[[#Headers],[Investor ID]]:LS[[#This Row],[Investor ID]],LS[[#This Row],[Investor ID]])</f>
        <v>0</v>
      </c>
    </row>
    <row r="486" spans="1:23">
      <c r="A486" s="75">
        <v>2024</v>
      </c>
      <c r="B486" s="75">
        <v>6</v>
      </c>
      <c r="C486" s="75">
        <v>9</v>
      </c>
      <c r="D486" s="81">
        <f>DATE(LS[[#This Row],[Year]],LS[[#This Row],[Month]],LS[[#This Row],[Day]])</f>
        <v>45452</v>
      </c>
      <c r="E486" t="str" cm="1">
        <f t="array" ref="E486">INDEX(INVESTORS_LIST[INVESTOR NAME],MATCH(LS[[#This Row],[Investor ID]],INVESTORS_LIST[INVESTOR CODE],0),)</f>
        <v>SRIJON GHOSH</v>
      </c>
      <c r="F486" s="83" t="s">
        <v>894</v>
      </c>
      <c r="G486" s="75">
        <f>COUNTIF(LS[[#Headers],[Investor ID]]:LS[[#This Row],[Investor ID]],LS[[#This Row],[Investor ID]])</f>
        <v>3</v>
      </c>
      <c r="H486" s="75" t="str">
        <f>CONCATENATE(LS[[#This Row],[Frequency]],LS[[#This Row],[Investor ID]])</f>
        <v>3A00424</v>
      </c>
      <c r="I486" s="75" t="str">
        <f>IF(LS[[#This Row],[B/S]]="B","BUY",(IF(LS[[#This Row],[B/S]]="S","SELL"," ")))</f>
        <v>SELL</v>
      </c>
      <c r="J486" s="75" t="s">
        <v>1231</v>
      </c>
      <c r="K486" s="88">
        <v>-302133.73499999999</v>
      </c>
      <c r="L486" s="88"/>
      <c r="M486" s="89">
        <f>LS[[#This Row],[Amount]]/LS[[#This Row],[Unit]]</f>
        <v>11.104999999999999</v>
      </c>
      <c r="N486" s="90">
        <f>LS[[#This Row],[Unit Capital]]/10</f>
        <v>-27207</v>
      </c>
      <c r="O486" s="90">
        <f>SUMIFS(LS[[#Headers],[Unit]]:LS[[#This Row],[Unit]],LS[[#Headers],[Investor ID]]:LS[[#This Row],[Investor ID]],LS[[#This Row],[Investor ID]])</f>
        <v>0</v>
      </c>
      <c r="P486" s="96">
        <v>-272070</v>
      </c>
      <c r="Q486" s="48">
        <f>LS[[#This Row],[Amount]]-LS[[#This Row],[Unit Capital]]</f>
        <v>-30063.734999999986</v>
      </c>
      <c r="R48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86" s="89">
        <f t="shared" si="7"/>
        <v>14.224</v>
      </c>
      <c r="T486" s="96">
        <f>IF(LS[[#This Row],[B/S]]="B",0,ABS(LS[[#This Row],[Unit]])*(LS[[#This Row],[NAV (Strike Rate)]]-INDEX(LS[NAV at Cost (Average)],MATCH(CONCATENATE(LS[[#This Row],[Frequency]]-1,LS[[#This Row],[Investor ID]]),LS[Unique Code],0),)))</f>
        <v>1940.184999999964</v>
      </c>
      <c r="U486" s="96" cm="1">
        <f t="array" ref="U486">IF(LS[[#This Row],[B/S]]="S",ABS(LS[[#This Row],[Unit]])*(INDEX(LS[NAV at Cost (Average)],MATCH(CONCATENATE((LS[[#This Row],[Frequency]]-1),LS[[#This Row],[Investor ID]]),LS[Unique Code],0),0)),0)</f>
        <v>300193.55</v>
      </c>
      <c r="V486" s="96">
        <f>IF(LS[[#This Row],[BO TRANSFER]]="YES",LS[[#This Row],[Unit]],)</f>
        <v>0</v>
      </c>
      <c r="W486" s="96">
        <f>SUMIFS(LS[[#Headers],[BO UNIT TRANSFER]]:LS[[#This Row],[BO UNIT TRANSFER]],LS[[#Headers],[Investor ID]]:LS[[#This Row],[Investor ID]],LS[[#This Row],[Investor ID]])</f>
        <v>0</v>
      </c>
    </row>
    <row r="487" spans="1:23">
      <c r="A487" s="75">
        <v>2024</v>
      </c>
      <c r="B487" s="75">
        <v>6</v>
      </c>
      <c r="C487" s="75">
        <v>9</v>
      </c>
      <c r="D487" s="81">
        <f>DATE(LS[[#This Row],[Year]],LS[[#This Row],[Month]],LS[[#This Row],[Day]])</f>
        <v>45452</v>
      </c>
      <c r="E487" t="str" cm="1">
        <f t="array" ref="E487">INDEX(INVESTORS_LIST[INVESTOR NAME],MATCH(LS[[#This Row],[Investor ID]],INVESTORS_LIST[INVESTOR CODE],0),)</f>
        <v>MADHAB GHOSH</v>
      </c>
      <c r="F487" s="83" t="s">
        <v>982</v>
      </c>
      <c r="G487" s="75">
        <f>COUNTIF(LS[[#Headers],[Investor ID]]:LS[[#This Row],[Investor ID]],LS[[#This Row],[Investor ID]])</f>
        <v>7</v>
      </c>
      <c r="H487" s="75" t="str">
        <f>CONCATENATE(LS[[#This Row],[Frequency]],LS[[#This Row],[Investor ID]])</f>
        <v>7A00468</v>
      </c>
      <c r="I487" s="75" t="str">
        <f>IF(LS[[#This Row],[B/S]]="B","BUY",(IF(LS[[#This Row],[B/S]]="S","SELL"," ")))</f>
        <v>SELL</v>
      </c>
      <c r="J487" s="75" t="s">
        <v>1231</v>
      </c>
      <c r="K487" s="88">
        <v>-521646.27</v>
      </c>
      <c r="L487" s="88"/>
      <c r="M487" s="89">
        <f>LS[[#This Row],[Amount]]/LS[[#This Row],[Unit]]</f>
        <v>11.105</v>
      </c>
      <c r="N487" s="90">
        <f>LS[[#This Row],[Unit Capital]]/10</f>
        <v>-46974</v>
      </c>
      <c r="O487" s="90">
        <f>SUMIFS(LS[[#Headers],[Unit]]:LS[[#This Row],[Unit]],LS[[#Headers],[Investor ID]]:LS[[#This Row],[Investor ID]],LS[[#This Row],[Investor ID]])</f>
        <v>0</v>
      </c>
      <c r="P487" s="96">
        <v>-469740</v>
      </c>
      <c r="Q487" s="48">
        <f>LS[[#This Row],[Amount]]-LS[[#This Row],[Unit Capital]]</f>
        <v>-51906.270000000019</v>
      </c>
      <c r="R48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87" s="89">
        <f t="shared" si="7"/>
        <v>14.224</v>
      </c>
      <c r="T487" s="96">
        <f>IF(LS[[#This Row],[B/S]]="B",0,ABS(LS[[#This Row],[Unit]])*(LS[[#This Row],[NAV (Strike Rate)]]-INDEX(LS[NAV at Cost (Average)],MATCH(CONCATENATE(LS[[#This Row],[Frequency]]-1,LS[[#This Row],[Investor ID]]),LS[Unique Code],0),)))</f>
        <v>4761.5799999999263</v>
      </c>
      <c r="U487" s="96" cm="1">
        <f t="array" ref="U487">IF(LS[[#This Row],[B/S]]="S",ABS(LS[[#This Row],[Unit]])*(INDEX(LS[NAV at Cost (Average)],MATCH(CONCATENATE((LS[[#This Row],[Frequency]]-1),LS[[#This Row],[Investor ID]]),LS[Unique Code],0),0)),0)</f>
        <v>516884.69000000012</v>
      </c>
      <c r="V487" s="96">
        <f>IF(LS[[#This Row],[BO TRANSFER]]="YES",LS[[#This Row],[Unit]],)</f>
        <v>0</v>
      </c>
      <c r="W487" s="96">
        <f>SUMIFS(LS[[#Headers],[BO UNIT TRANSFER]]:LS[[#This Row],[BO UNIT TRANSFER]],LS[[#Headers],[Investor ID]]:LS[[#This Row],[Investor ID]],LS[[#This Row],[Investor ID]])</f>
        <v>0</v>
      </c>
    </row>
    <row r="488" spans="1:23">
      <c r="A488" s="75">
        <v>2024</v>
      </c>
      <c r="B488" s="75">
        <v>6</v>
      </c>
      <c r="C488" s="75">
        <v>9</v>
      </c>
      <c r="D488" s="81">
        <f>DATE(LS[[#This Row],[Year]],LS[[#This Row],[Month]],LS[[#This Row],[Day]])</f>
        <v>45452</v>
      </c>
      <c r="E488" t="str" cm="1">
        <f t="array" ref="E488">INDEX(INVESTORS_LIST[INVESTOR NAME],MATCH(LS[[#This Row],[Investor ID]],INVESTORS_LIST[INVESTOR CODE],0),)</f>
        <v>KH KHAIRUL ALAM NABIL</v>
      </c>
      <c r="F488" s="83" t="s">
        <v>1159</v>
      </c>
      <c r="G488" s="75">
        <f>COUNTIF(LS[[#Headers],[Investor ID]]:LS[[#This Row],[Investor ID]],LS[[#This Row],[Investor ID]])</f>
        <v>1</v>
      </c>
      <c r="H488" s="75" t="str">
        <f>CONCATENATE(LS[[#This Row],[Frequency]],LS[[#This Row],[Investor ID]])</f>
        <v>1A00555</v>
      </c>
      <c r="I488" s="75" t="str">
        <f>IF(LS[[#This Row],[B/S]]="B","BUY",(IF(LS[[#This Row],[B/S]]="S","SELL"," ")))</f>
        <v>BUY</v>
      </c>
      <c r="J488" s="75" t="s">
        <v>1229</v>
      </c>
      <c r="K488" s="88">
        <v>50000</v>
      </c>
      <c r="L488" s="88"/>
      <c r="M488" s="89">
        <f>LS[[#This Row],[Amount]]/LS[[#This Row],[Unit]]</f>
        <v>11.106175033318525</v>
      </c>
      <c r="N488" s="90">
        <f>LS[[#This Row],[Unit Capital]]/10</f>
        <v>4502</v>
      </c>
      <c r="O488" s="90">
        <f>SUMIFS(LS[[#Headers],[Unit]]:LS[[#This Row],[Unit]],LS[[#Headers],[Investor ID]]:LS[[#This Row],[Investor ID]],LS[[#This Row],[Investor ID]])</f>
        <v>4502</v>
      </c>
      <c r="P488" s="96">
        <v>45020</v>
      </c>
      <c r="Q488" s="48">
        <f>LS[[#This Row],[Amount]]-LS[[#This Row],[Unit Capital]]</f>
        <v>4980</v>
      </c>
      <c r="R48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11.106175033318525</v>
      </c>
      <c r="S488" s="89">
        <f t="shared" si="7"/>
        <v>14.224</v>
      </c>
      <c r="T48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8" s="96" cm="1">
        <f t="array" ref="U488">IF(LS[[#This Row],[B/S]]="S",ABS(LS[[#This Row],[Unit]])*(INDEX(LS[NAV at Cost (Average)],MATCH(CONCATENATE((LS[[#This Row],[Frequency]]-1),LS[[#This Row],[Investor ID]]),LS[Unique Code],0),0)),0)</f>
        <v>0</v>
      </c>
      <c r="V488" s="96">
        <f>IF(LS[[#This Row],[BO TRANSFER]]="YES",LS[[#This Row],[Unit]],)</f>
        <v>0</v>
      </c>
      <c r="W488" s="96">
        <f>SUMIFS(LS[[#Headers],[BO UNIT TRANSFER]]:LS[[#This Row],[BO UNIT TRANSFER]],LS[[#Headers],[Investor ID]]:LS[[#This Row],[Investor ID]],LS[[#This Row],[Investor ID]])</f>
        <v>0</v>
      </c>
    </row>
    <row r="489" spans="1:23">
      <c r="A489" s="75">
        <v>2024</v>
      </c>
      <c r="B489" s="75">
        <v>6</v>
      </c>
      <c r="C489" s="75">
        <v>9</v>
      </c>
      <c r="D489" s="81">
        <f>DATE(LS[[#This Row],[Year]],LS[[#This Row],[Month]],LS[[#This Row],[Day]])</f>
        <v>45452</v>
      </c>
      <c r="E489" t="str" cm="1">
        <f t="array" ref="E489">INDEX(INVESTORS_LIST[INVESTOR NAME],MATCH(LS[[#This Row],[Investor ID]],INVESTORS_LIST[INVESTOR CODE],0),)</f>
        <v>RITU SWARNA ROY</v>
      </c>
      <c r="F489" s="83" t="s">
        <v>1135</v>
      </c>
      <c r="G489" s="75">
        <f>COUNTIF(LS[[#Headers],[Investor ID]]:LS[[#This Row],[Investor ID]],LS[[#This Row],[Investor ID]])</f>
        <v>1</v>
      </c>
      <c r="H489" s="75" t="str">
        <f>CONCATENATE(LS[[#This Row],[Frequency]],LS[[#This Row],[Investor ID]])</f>
        <v>1A00543</v>
      </c>
      <c r="I489" s="75" t="str">
        <f>IF(LS[[#This Row],[B/S]]="B","BUY",(IF(LS[[#This Row],[B/S]]="S","SELL"," ")))</f>
        <v>BUY</v>
      </c>
      <c r="J489" s="75" t="s">
        <v>1229</v>
      </c>
      <c r="K489" s="88">
        <v>300000</v>
      </c>
      <c r="L489" s="88"/>
      <c r="M489" s="89">
        <f>LS[[#This Row],[Amount]]/LS[[#This Row],[Unit]]</f>
        <v>11.104941699056081</v>
      </c>
      <c r="N489" s="90">
        <f>LS[[#This Row],[Unit Capital]]/10</f>
        <v>27015</v>
      </c>
      <c r="O489" s="90">
        <f>SUMIFS(LS[[#Headers],[Unit]]:LS[[#This Row],[Unit]],LS[[#Headers],[Investor ID]]:LS[[#This Row],[Investor ID]],LS[[#This Row],[Investor ID]])</f>
        <v>27015</v>
      </c>
      <c r="P489" s="96">
        <v>270150</v>
      </c>
      <c r="Q489" s="48">
        <f>LS[[#This Row],[Amount]]-LS[[#This Row],[Unit Capital]]</f>
        <v>29850</v>
      </c>
      <c r="R48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489" s="89">
        <f t="shared" si="7"/>
        <v>14.224</v>
      </c>
      <c r="T48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89" s="96" cm="1">
        <f t="array" ref="U489">IF(LS[[#This Row],[B/S]]="S",ABS(LS[[#This Row],[Unit]])*(INDEX(LS[NAV at Cost (Average)],MATCH(CONCATENATE((LS[[#This Row],[Frequency]]-1),LS[[#This Row],[Investor ID]]),LS[Unique Code],0),0)),0)</f>
        <v>0</v>
      </c>
      <c r="V489" s="96">
        <f>IF(LS[[#This Row],[BO TRANSFER]]="YES",LS[[#This Row],[Unit]],)</f>
        <v>0</v>
      </c>
      <c r="W489" s="96">
        <f>SUMIFS(LS[[#Headers],[BO UNIT TRANSFER]]:LS[[#This Row],[BO UNIT TRANSFER]],LS[[#Headers],[Investor ID]]:LS[[#This Row],[Investor ID]],LS[[#This Row],[Investor ID]])</f>
        <v>0</v>
      </c>
    </row>
    <row r="490" spans="1:23">
      <c r="A490" s="75">
        <v>2024</v>
      </c>
      <c r="B490" s="75">
        <v>6</v>
      </c>
      <c r="C490" s="75">
        <v>9</v>
      </c>
      <c r="D490" s="81">
        <f>DATE(LS[[#This Row],[Year]],LS[[#This Row],[Month]],LS[[#This Row],[Day]])</f>
        <v>45452</v>
      </c>
      <c r="E490" t="str" cm="1">
        <f t="array" ref="E490">INDEX(INVESTORS_LIST[INVESTOR NAME],MATCH(LS[[#This Row],[Investor ID]],INVESTORS_LIST[INVESTOR CODE],0),)</f>
        <v>MD. ZAHID HOSSAIN</v>
      </c>
      <c r="F490" s="83" t="s">
        <v>302</v>
      </c>
      <c r="G490" s="75">
        <f>COUNTIF(LS[[#Headers],[Investor ID]]:LS[[#This Row],[Investor ID]],LS[[#This Row],[Investor ID]])</f>
        <v>1</v>
      </c>
      <c r="H490" s="75" t="str">
        <f>CONCATENATE(LS[[#This Row],[Frequency]],LS[[#This Row],[Investor ID]])</f>
        <v>1A00127</v>
      </c>
      <c r="I490" s="75" t="str">
        <f>IF(LS[[#This Row],[B/S]]="B","BUY",(IF(LS[[#This Row],[B/S]]="S","SELL"," ")))</f>
        <v>BUY</v>
      </c>
      <c r="J490" s="75" t="s">
        <v>1229</v>
      </c>
      <c r="K490" s="88">
        <v>2000000</v>
      </c>
      <c r="L490" s="88"/>
      <c r="M490" s="89">
        <f>LS[[#This Row],[Amount]]/LS[[#This Row],[Unit]]</f>
        <v>11.105003359263517</v>
      </c>
      <c r="N490" s="90">
        <f>LS[[#This Row],[Unit Capital]]/10</f>
        <v>180099</v>
      </c>
      <c r="O490" s="90">
        <f>SUMIFS(LS[[#Headers],[Unit]]:LS[[#This Row],[Unit]],LS[[#Headers],[Investor ID]]:LS[[#This Row],[Investor ID]],LS[[#This Row],[Investor ID]])</f>
        <v>180099</v>
      </c>
      <c r="P490" s="96">
        <v>1800990</v>
      </c>
      <c r="Q490" s="48">
        <f>LS[[#This Row],[Amount]]-LS[[#This Row],[Unit Capital]]</f>
        <v>199010</v>
      </c>
      <c r="R49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11.105003359263517</v>
      </c>
      <c r="S490" s="89">
        <f t="shared" si="7"/>
        <v>14.224</v>
      </c>
      <c r="T49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0" s="96" cm="1">
        <f t="array" ref="U490">IF(LS[[#This Row],[B/S]]="S",ABS(LS[[#This Row],[Unit]])*(INDEX(LS[NAV at Cost (Average)],MATCH(CONCATENATE((LS[[#This Row],[Frequency]]-1),LS[[#This Row],[Investor ID]]),LS[Unique Code],0),0)),0)</f>
        <v>0</v>
      </c>
      <c r="V490" s="96">
        <f>IF(LS[[#This Row],[BO TRANSFER]]="YES",LS[[#This Row],[Unit]],)</f>
        <v>0</v>
      </c>
      <c r="W490" s="96">
        <f>SUMIFS(LS[[#Headers],[BO UNIT TRANSFER]]:LS[[#This Row],[BO UNIT TRANSFER]],LS[[#Headers],[Investor ID]]:LS[[#This Row],[Investor ID]],LS[[#This Row],[Investor ID]])</f>
        <v>0</v>
      </c>
    </row>
    <row r="491" spans="1:23">
      <c r="A491" s="75">
        <v>2024</v>
      </c>
      <c r="B491" s="75">
        <v>6</v>
      </c>
      <c r="C491" s="75">
        <v>9</v>
      </c>
      <c r="D491" s="81">
        <f>DATE(LS[[#This Row],[Year]],LS[[#This Row],[Month]],LS[[#This Row],[Day]])</f>
        <v>45452</v>
      </c>
      <c r="E491" t="str" cm="1">
        <f t="array" ref="E491">INDEX(INVESTORS_LIST[INVESTOR NAME],MATCH(LS[[#This Row],[Investor ID]],INVESTORS_LIST[INVESTOR CODE],0),)</f>
        <v>MD. ZAHID HOSSAIN</v>
      </c>
      <c r="F491" s="83" t="s">
        <v>302</v>
      </c>
      <c r="G491" s="75">
        <f>COUNTIF(LS[[#Headers],[Investor ID]]:LS[[#This Row],[Investor ID]],LS[[#This Row],[Investor ID]])</f>
        <v>2</v>
      </c>
      <c r="H491" s="75" t="str">
        <f>CONCATENATE(LS[[#This Row],[Frequency]],LS[[#This Row],[Investor ID]])</f>
        <v>2A00127</v>
      </c>
      <c r="I491" s="75" t="str">
        <f>IF(LS[[#This Row],[B/S]]="B","BUY",(IF(LS[[#This Row],[B/S]]="S","SELL"," ")))</f>
        <v>BUY</v>
      </c>
      <c r="J491" s="75" t="s">
        <v>1229</v>
      </c>
      <c r="K491" s="88">
        <v>1000000</v>
      </c>
      <c r="L491" s="88"/>
      <c r="M491" s="89">
        <f>LS[[#This Row],[Amount]]/LS[[#This Row],[Unit]]</f>
        <v>11.104941699056081</v>
      </c>
      <c r="N491" s="90">
        <f>LS[[#This Row],[Unit Capital]]/10</f>
        <v>90050</v>
      </c>
      <c r="O491" s="90">
        <f>SUMIFS(LS[[#Headers],[Unit]]:LS[[#This Row],[Unit]],LS[[#Headers],[Investor ID]]:LS[[#This Row],[Investor ID]],LS[[#This Row],[Investor ID]])</f>
        <v>270149</v>
      </c>
      <c r="P491" s="96">
        <v>900500</v>
      </c>
      <c r="Q491" s="48">
        <f>LS[[#This Row],[Amount]]-LS[[#This Row],[Unit Capital]]</f>
        <v>99500</v>
      </c>
      <c r="R49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11.104982805784957</v>
      </c>
      <c r="S491" s="89">
        <f t="shared" si="7"/>
        <v>14.224</v>
      </c>
      <c r="T49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1" s="96" cm="1">
        <f t="array" ref="U491">IF(LS[[#This Row],[B/S]]="S",ABS(LS[[#This Row],[Unit]])*(INDEX(LS[NAV at Cost (Average)],MATCH(CONCATENATE((LS[[#This Row],[Frequency]]-1),LS[[#This Row],[Investor ID]]),LS[Unique Code],0),0)),0)</f>
        <v>0</v>
      </c>
      <c r="V491" s="96">
        <f>IF(LS[[#This Row],[BO TRANSFER]]="YES",LS[[#This Row],[Unit]],)</f>
        <v>0</v>
      </c>
      <c r="W491" s="96">
        <f>SUMIFS(LS[[#Headers],[BO UNIT TRANSFER]]:LS[[#This Row],[BO UNIT TRANSFER]],LS[[#Headers],[Investor ID]]:LS[[#This Row],[Investor ID]],LS[[#This Row],[Investor ID]])</f>
        <v>0</v>
      </c>
    </row>
    <row r="492" spans="1:23">
      <c r="A492" s="75">
        <v>2024</v>
      </c>
      <c r="B492" s="75">
        <v>6</v>
      </c>
      <c r="C492" s="75">
        <v>9</v>
      </c>
      <c r="D492" s="81">
        <f>DATE(LS[[#This Row],[Year]],LS[[#This Row],[Month]],LS[[#This Row],[Day]])</f>
        <v>45452</v>
      </c>
      <c r="E492" t="str" cm="1">
        <f t="array" ref="E492">INDEX(INVESTORS_LIST[INVESTOR NAME],MATCH(LS[[#This Row],[Investor ID]],INVESTORS_LIST[INVESTOR CODE],0),)</f>
        <v>TRIPTI BARUA</v>
      </c>
      <c r="F492" s="83" t="s">
        <v>384</v>
      </c>
      <c r="G492" s="75">
        <f>COUNTIF(LS[[#Headers],[Investor ID]]:LS[[#This Row],[Investor ID]],LS[[#This Row],[Investor ID]])</f>
        <v>2</v>
      </c>
      <c r="H492" s="75" t="str">
        <f>CONCATENATE(LS[[#This Row],[Frequency]],LS[[#This Row],[Investor ID]])</f>
        <v>2A00168</v>
      </c>
      <c r="I492" s="75" t="str">
        <f>IF(LS[[#This Row],[B/S]]="B","BUY",(IF(LS[[#This Row],[B/S]]="S","SELL"," ")))</f>
        <v>BUY</v>
      </c>
      <c r="J492" s="75" t="s">
        <v>1229</v>
      </c>
      <c r="K492" s="88">
        <v>4500000</v>
      </c>
      <c r="L492" s="88"/>
      <c r="M492" s="89">
        <f>LS[[#This Row],[Amount]]/LS[[#This Row],[Unit]]</f>
        <v>11.081996926592852</v>
      </c>
      <c r="N492" s="90">
        <f>LS[[#This Row],[Unit Capital]]/10</f>
        <v>406064</v>
      </c>
      <c r="O492" s="90">
        <f>SUMIFS(LS[[#Headers],[Unit]]:LS[[#This Row],[Unit]],LS[[#Headers],[Investor ID]]:LS[[#This Row],[Investor ID]],LS[[#This Row],[Investor ID]])</f>
        <v>451182</v>
      </c>
      <c r="P492" s="96">
        <v>4060640</v>
      </c>
      <c r="Q492" s="48">
        <f>LS[[#This Row],[Amount]]-LS[[#This Row],[Unit Capital]]</f>
        <v>439360</v>
      </c>
      <c r="R49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11.082002384846914</v>
      </c>
      <c r="S492" s="89">
        <f t="shared" si="7"/>
        <v>14.224</v>
      </c>
      <c r="T49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2" s="96" cm="1">
        <f t="array" ref="U492">IF(LS[[#This Row],[B/S]]="S",ABS(LS[[#This Row],[Unit]])*(INDEX(LS[NAV at Cost (Average)],MATCH(CONCATENATE((LS[[#This Row],[Frequency]]-1),LS[[#This Row],[Investor ID]]),LS[Unique Code],0),0)),0)</f>
        <v>0</v>
      </c>
      <c r="V492" s="96">
        <f>IF(LS[[#This Row],[BO TRANSFER]]="YES",LS[[#This Row],[Unit]],)</f>
        <v>0</v>
      </c>
      <c r="W492" s="96">
        <f>SUMIFS(LS[[#Headers],[BO UNIT TRANSFER]]:LS[[#This Row],[BO UNIT TRANSFER]],LS[[#Headers],[Investor ID]]:LS[[#This Row],[Investor ID]],LS[[#This Row],[Investor ID]])</f>
        <v>0</v>
      </c>
    </row>
    <row r="493" spans="1:23">
      <c r="A493" s="75">
        <v>2024</v>
      </c>
      <c r="B493" s="75">
        <v>6</v>
      </c>
      <c r="C493" s="75">
        <v>9</v>
      </c>
      <c r="D493" s="81">
        <f>DATE(LS[[#This Row],[Year]],LS[[#This Row],[Month]],LS[[#This Row],[Day]])</f>
        <v>45452</v>
      </c>
      <c r="E493" t="str" cm="1">
        <f t="array" ref="E493">INDEX(INVESTORS_LIST[INVESTOR NAME],MATCH(LS[[#This Row],[Investor ID]],INVESTORS_LIST[INVESTOR CODE],0),)</f>
        <v>MD MINHAZ UDDIN</v>
      </c>
      <c r="F493" s="83" t="s">
        <v>1126</v>
      </c>
      <c r="G493" s="75">
        <f>COUNTIF(LS[[#Headers],[Investor ID]]:LS[[#This Row],[Investor ID]],LS[[#This Row],[Investor ID]])</f>
        <v>2</v>
      </c>
      <c r="H493" s="75" t="str">
        <f>CONCATENATE(LS[[#This Row],[Frequency]],LS[[#This Row],[Investor ID]])</f>
        <v>2A00538</v>
      </c>
      <c r="I493" s="75" t="str">
        <f>IF(LS[[#This Row],[B/S]]="B","BUY",(IF(LS[[#This Row],[B/S]]="S","SELL"," ")))</f>
        <v>SELL</v>
      </c>
      <c r="J493" s="75" t="s">
        <v>1231</v>
      </c>
      <c r="K493" s="88">
        <v>-25041.78</v>
      </c>
      <c r="L493" s="88"/>
      <c r="M493" s="89">
        <f>LS[[#This Row],[Amount]]/LS[[#This Row],[Unit]]</f>
        <v>11.105002217294899</v>
      </c>
      <c r="N493" s="90">
        <f>LS[[#This Row],[Unit Capital]]/10</f>
        <v>-2255</v>
      </c>
      <c r="O493" s="90">
        <f>SUMIFS(LS[[#Headers],[Unit]]:LS[[#This Row],[Unit]],LS[[#Headers],[Investor ID]]:LS[[#This Row],[Investor ID]],LS[[#This Row],[Investor ID]])</f>
        <v>270150</v>
      </c>
      <c r="P493" s="96">
        <v>-22550</v>
      </c>
      <c r="Q493" s="48">
        <f>LS[[#This Row],[Amount]]-LS[[#This Row],[Unit Capital]]</f>
        <v>-2491.7799999999988</v>
      </c>
      <c r="R49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11.013013711202071</v>
      </c>
      <c r="S493" s="89">
        <f t="shared" si="7"/>
        <v>14.224</v>
      </c>
      <c r="T493" s="96">
        <f>IF(LS[[#This Row],[B/S]]="B",0,ABS(LS[[#This Row],[Unit]])*(LS[[#This Row],[NAV (Strike Rate)]]-INDEX(LS[NAV at Cost (Average)],MATCH(CONCATENATE(LS[[#This Row],[Frequency]]-1,LS[[#This Row],[Investor ID]]),LS[Unique Code],0),)))</f>
        <v>207.43408123932875</v>
      </c>
      <c r="U493" s="96" cm="1">
        <f t="array" ref="U493">IF(LS[[#This Row],[B/S]]="S",ABS(LS[[#This Row],[Unit]])*(INDEX(LS[NAV at Cost (Average)],MATCH(CONCATENATE((LS[[#This Row],[Frequency]]-1),LS[[#This Row],[Investor ID]]),LS[Unique Code],0),0)),0)</f>
        <v>24834.345918760668</v>
      </c>
      <c r="V493" s="96">
        <f>IF(LS[[#This Row],[BO TRANSFER]]="YES",LS[[#This Row],[Unit]],)</f>
        <v>0</v>
      </c>
      <c r="W493" s="96">
        <f>SUMIFS(LS[[#Headers],[BO UNIT TRANSFER]]:LS[[#This Row],[BO UNIT TRANSFER]],LS[[#Headers],[Investor ID]]:LS[[#This Row],[Investor ID]],LS[[#This Row],[Investor ID]])</f>
        <v>0</v>
      </c>
    </row>
    <row r="494" spans="1:23">
      <c r="A494" s="75">
        <v>2024</v>
      </c>
      <c r="B494" s="75">
        <v>6</v>
      </c>
      <c r="C494" s="75">
        <v>10</v>
      </c>
      <c r="D494" s="81">
        <f>DATE(LS[[#This Row],[Year]],LS[[#This Row],[Month]],LS[[#This Row],[Day]])</f>
        <v>45453</v>
      </c>
      <c r="E494" t="str" cm="1">
        <f t="array" ref="E494">INDEX(INVESTORS_LIST[INVESTOR NAME],MATCH(LS[[#This Row],[Investor ID]],INVESTORS_LIST[INVESTOR CODE],0),)</f>
        <v>KAZI AHSAN MARUF</v>
      </c>
      <c r="F494" s="83" t="s">
        <v>158</v>
      </c>
      <c r="G494" s="75">
        <f>COUNTIF(LS[[#Headers],[Investor ID]]:LS[[#This Row],[Investor ID]],LS[[#This Row],[Investor ID]])</f>
        <v>3</v>
      </c>
      <c r="H494" s="75" t="str">
        <f>CONCATENATE(LS[[#This Row],[Frequency]],LS[[#This Row],[Investor ID]])</f>
        <v>3A00055</v>
      </c>
      <c r="I494" s="75" t="str">
        <f>IF(LS[[#This Row],[B/S]]="B","BUY",(IF(LS[[#This Row],[B/S]]="S","SELL"," ")))</f>
        <v>BUY</v>
      </c>
      <c r="J494" s="75" t="s">
        <v>1229</v>
      </c>
      <c r="K494" s="88">
        <v>60000</v>
      </c>
      <c r="L494" s="88"/>
      <c r="M494" s="89">
        <f>LS[[#This Row],[Amount]]/LS[[#This Row],[Unit]]</f>
        <v>11.104941699056081</v>
      </c>
      <c r="N494" s="90">
        <f>LS[[#This Row],[Unit Capital]]/10</f>
        <v>5403</v>
      </c>
      <c r="O494" s="90">
        <f>SUMIFS(LS[[#Headers],[Unit]]:LS[[#This Row],[Unit]],LS[[#Headers],[Investor ID]]:LS[[#This Row],[Investor ID]],LS[[#This Row],[Investor ID]])</f>
        <v>125971</v>
      </c>
      <c r="P494" s="96">
        <v>54030</v>
      </c>
      <c r="Q494" s="48">
        <f>LS[[#This Row],[Amount]]-LS[[#This Row],[Unit Capital]]</f>
        <v>5970</v>
      </c>
      <c r="R49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10.796135618515374</v>
      </c>
      <c r="S494" s="89">
        <f t="shared" si="7"/>
        <v>14.224</v>
      </c>
      <c r="T49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4" s="96" cm="1">
        <f t="array" ref="U494">IF(LS[[#This Row],[B/S]]="S",ABS(LS[[#This Row],[Unit]])*(INDEX(LS[NAV at Cost (Average)],MATCH(CONCATENATE((LS[[#This Row],[Frequency]]-1),LS[[#This Row],[Investor ID]]),LS[Unique Code],0),0)),0)</f>
        <v>0</v>
      </c>
      <c r="V494" s="96">
        <f>IF(LS[[#This Row],[BO TRANSFER]]="YES",LS[[#This Row],[Unit]],)</f>
        <v>0</v>
      </c>
      <c r="W494" s="96">
        <f>SUMIFS(LS[[#Headers],[BO UNIT TRANSFER]]:LS[[#This Row],[BO UNIT TRANSFER]],LS[[#Headers],[Investor ID]]:LS[[#This Row],[Investor ID]],LS[[#This Row],[Investor ID]])</f>
        <v>0</v>
      </c>
    </row>
    <row r="495" spans="1:23">
      <c r="A495" s="75">
        <v>2024</v>
      </c>
      <c r="B495" s="75">
        <v>6</v>
      </c>
      <c r="C495" s="75">
        <v>10</v>
      </c>
      <c r="D495" s="81">
        <f>DATE(LS[[#This Row],[Year]],LS[[#This Row],[Month]],LS[[#This Row],[Day]])</f>
        <v>45453</v>
      </c>
      <c r="E495" t="str" cm="1">
        <f t="array" ref="E495">INDEX(INVESTORS_LIST[INVESTOR NAME],MATCH(LS[[#This Row],[Investor ID]],INVESTORS_LIST[INVESTOR CODE],0),)</f>
        <v>KAZI HABIBUR RAHMAN</v>
      </c>
      <c r="F495" s="83" t="s">
        <v>1114</v>
      </c>
      <c r="G495" s="75">
        <f>COUNTIF(LS[[#Headers],[Investor ID]]:LS[[#This Row],[Investor ID]],LS[[#This Row],[Investor ID]])</f>
        <v>12</v>
      </c>
      <c r="H495" s="75" t="str">
        <f>CONCATENATE(LS[[#This Row],[Frequency]],LS[[#This Row],[Investor ID]])</f>
        <v>12A00532</v>
      </c>
      <c r="I495" s="75" t="str">
        <f>IF(LS[[#This Row],[B/S]]="B","BUY",(IF(LS[[#This Row],[B/S]]="S","SELL"," ")))</f>
        <v>SELL</v>
      </c>
      <c r="J495" s="75" t="s">
        <v>1231</v>
      </c>
      <c r="K495" s="88">
        <v>-4876000</v>
      </c>
      <c r="L495" s="88"/>
      <c r="M495" s="89">
        <f>LS[[#This Row],[Amount]]/LS[[#This Row],[Unit]]</f>
        <v>11.105012514775177</v>
      </c>
      <c r="N495" s="90">
        <f>LS[[#This Row],[Unit Capital]]/10</f>
        <v>-439081</v>
      </c>
      <c r="O495" s="90">
        <f>SUMIFS(LS[[#Headers],[Unit]]:LS[[#This Row],[Unit]],LS[[#Headers],[Investor ID]]:LS[[#This Row],[Investor ID]],LS[[#This Row],[Investor ID]])</f>
        <v>237774</v>
      </c>
      <c r="P495" s="96">
        <v>-4390810</v>
      </c>
      <c r="Q495" s="48">
        <f>LS[[#This Row],[Amount]]-LS[[#This Row],[Unit Capital]]</f>
        <v>-485190</v>
      </c>
      <c r="R49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10.955626996974512</v>
      </c>
      <c r="S495" s="89">
        <f t="shared" si="7"/>
        <v>14.224</v>
      </c>
      <c r="T495" s="96">
        <f>IF(LS[[#This Row],[B/S]]="B",0,ABS(LS[[#This Row],[Unit]])*(LS[[#This Row],[NAV (Strike Rate)]]-INDEX(LS[NAV at Cost (Average)],MATCH(CONCATENATE(LS[[#This Row],[Frequency]]-1,LS[[#This Row],[Investor ID]]),LS[Unique Code],0),)))</f>
        <v>65592.342541433842</v>
      </c>
      <c r="U495" s="96" cm="1">
        <f t="array" ref="U495">IF(LS[[#This Row],[B/S]]="S",ABS(LS[[#This Row],[Unit]])*(INDEX(LS[NAV at Cost (Average)],MATCH(CONCATENATE((LS[[#This Row],[Frequency]]-1),LS[[#This Row],[Investor ID]]),LS[Unique Code],0),0)),0)</f>
        <v>4810407.6574585661</v>
      </c>
      <c r="V495" s="96">
        <f>IF(LS[[#This Row],[BO TRANSFER]]="YES",LS[[#This Row],[Unit]],)</f>
        <v>0</v>
      </c>
      <c r="W495" s="96">
        <f>SUMIFS(LS[[#Headers],[BO UNIT TRANSFER]]:LS[[#This Row],[BO UNIT TRANSFER]],LS[[#Headers],[Investor ID]]:LS[[#This Row],[Investor ID]],LS[[#This Row],[Investor ID]])</f>
        <v>0</v>
      </c>
    </row>
    <row r="496" spans="1:23">
      <c r="A496" s="75">
        <v>2024</v>
      </c>
      <c r="B496" s="75">
        <v>6</v>
      </c>
      <c r="C496" s="75">
        <v>10</v>
      </c>
      <c r="D496" s="81">
        <f>DATE(LS[[#This Row],[Year]],LS[[#This Row],[Month]],LS[[#This Row],[Day]])</f>
        <v>45453</v>
      </c>
      <c r="E496" t="str" cm="1">
        <f t="array" ref="E496">INDEX(INVESTORS_LIST[INVESTOR NAME],MATCH(LS[[#This Row],[Investor ID]],INVESTORS_LIST[INVESTOR CODE],0),)</f>
        <v>BETAONE INVESTMENTS LIMITED</v>
      </c>
      <c r="F496" s="83" t="s">
        <v>1131</v>
      </c>
      <c r="G496" s="75">
        <f>COUNTIF(LS[[#Headers],[Investor ID]]:LS[[#This Row],[Investor ID]],LS[[#This Row],[Investor ID]])</f>
        <v>1</v>
      </c>
      <c r="H496" s="75" t="str">
        <f>CONCATENATE(LS[[#This Row],[Frequency]],LS[[#This Row],[Investor ID]])</f>
        <v>1A00541</v>
      </c>
      <c r="I496" s="75" t="str">
        <f>IF(LS[[#This Row],[B/S]]="B","BUY",(IF(LS[[#This Row],[B/S]]="S","SELL"," ")))</f>
        <v>BUY</v>
      </c>
      <c r="J496" s="75" t="s">
        <v>1229</v>
      </c>
      <c r="K496" s="88">
        <v>3000000</v>
      </c>
      <c r="L496" s="88"/>
      <c r="M496" s="89">
        <f>LS[[#This Row],[Amount]]/LS[[#This Row],[Unit]]</f>
        <v>11.104982805784955</v>
      </c>
      <c r="N496" s="90">
        <f>LS[[#This Row],[Unit Capital]]/10</f>
        <v>270149</v>
      </c>
      <c r="O496" s="90">
        <f>SUMIFS(LS[[#Headers],[Unit]]:LS[[#This Row],[Unit]],LS[[#Headers],[Investor ID]]:LS[[#This Row],[Investor ID]],LS[[#This Row],[Investor ID]])</f>
        <v>270149</v>
      </c>
      <c r="P496" s="96">
        <v>2701490</v>
      </c>
      <c r="Q496" s="48">
        <f>LS[[#This Row],[Amount]]-LS[[#This Row],[Unit Capital]]</f>
        <v>298510</v>
      </c>
      <c r="R49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11.104982805784955</v>
      </c>
      <c r="S496" s="89">
        <f t="shared" si="7"/>
        <v>14.224</v>
      </c>
      <c r="T49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6" s="96" cm="1">
        <f t="array" ref="U496">IF(LS[[#This Row],[B/S]]="S",ABS(LS[[#This Row],[Unit]])*(INDEX(LS[NAV at Cost (Average)],MATCH(CONCATENATE((LS[[#This Row],[Frequency]]-1),LS[[#This Row],[Investor ID]]),LS[Unique Code],0),0)),0)</f>
        <v>0</v>
      </c>
      <c r="V496" s="96">
        <f>IF(LS[[#This Row],[BO TRANSFER]]="YES",LS[[#This Row],[Unit]],)</f>
        <v>0</v>
      </c>
      <c r="W496" s="96">
        <f>SUMIFS(LS[[#Headers],[BO UNIT TRANSFER]]:LS[[#This Row],[BO UNIT TRANSFER]],LS[[#Headers],[Investor ID]]:LS[[#This Row],[Investor ID]],LS[[#This Row],[Investor ID]])</f>
        <v>0</v>
      </c>
    </row>
    <row r="497" spans="1:23">
      <c r="A497" s="75">
        <v>2024</v>
      </c>
      <c r="B497" s="75">
        <v>6</v>
      </c>
      <c r="C497" s="75">
        <v>10</v>
      </c>
      <c r="D497" s="81">
        <f>DATE(LS[[#This Row],[Year]],LS[[#This Row],[Month]],LS[[#This Row],[Day]])</f>
        <v>45453</v>
      </c>
      <c r="E497" t="str" cm="1">
        <f t="array" ref="E497">INDEX(INVESTORS_LIST[INVESTOR NAME],MATCH(LS[[#This Row],[Investor ID]],INVESTORS_LIST[INVESTOR CODE],0),)</f>
        <v>A.T.M. MORSHED KAMAL</v>
      </c>
      <c r="F497" s="83" t="s">
        <v>652</v>
      </c>
      <c r="G497" s="75">
        <f>COUNTIF(LS[[#Headers],[Investor ID]]:LS[[#This Row],[Investor ID]],LS[[#This Row],[Investor ID]])</f>
        <v>3</v>
      </c>
      <c r="H497" s="75" t="str">
        <f>CONCATENATE(LS[[#This Row],[Frequency]],LS[[#This Row],[Investor ID]])</f>
        <v>3A00302</v>
      </c>
      <c r="I497" s="75" t="str">
        <f>IF(LS[[#This Row],[B/S]]="B","BUY",(IF(LS[[#This Row],[B/S]]="S","SELL"," ")))</f>
        <v>BUY</v>
      </c>
      <c r="J497" s="75" t="s">
        <v>1229</v>
      </c>
      <c r="K497" s="88">
        <v>400000</v>
      </c>
      <c r="L497" s="88"/>
      <c r="M497" s="89">
        <f>LS[[#This Row],[Amount]]/LS[[#This Row],[Unit]]</f>
        <v>11.104941699056081</v>
      </c>
      <c r="N497" s="90">
        <f>LS[[#This Row],[Unit Capital]]/10</f>
        <v>36020</v>
      </c>
      <c r="O497" s="90">
        <f>SUMIFS(LS[[#Headers],[Unit]]:LS[[#This Row],[Unit]],LS[[#Headers],[Investor ID]]:LS[[#This Row],[Investor ID]],LS[[#This Row],[Investor ID]])</f>
        <v>36020</v>
      </c>
      <c r="P497" s="96">
        <v>360200</v>
      </c>
      <c r="Q497" s="48">
        <f>LS[[#This Row],[Amount]]-LS[[#This Row],[Unit Capital]]</f>
        <v>39800</v>
      </c>
      <c r="R49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497" s="89">
        <f t="shared" si="7"/>
        <v>14.224</v>
      </c>
      <c r="T497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497" s="96" cm="1">
        <f t="array" ref="U497">IF(LS[[#This Row],[B/S]]="S",ABS(LS[[#This Row],[Unit]])*(INDEX(LS[NAV at Cost (Average)],MATCH(CONCATENATE((LS[[#This Row],[Frequency]]-1),LS[[#This Row],[Investor ID]]),LS[Unique Code],0),0)),0)</f>
        <v>0</v>
      </c>
      <c r="V497" s="96">
        <f>IF(LS[[#This Row],[BO TRANSFER]]="YES",LS[[#This Row],[Unit]],)</f>
        <v>0</v>
      </c>
      <c r="W497" s="96">
        <f>SUMIFS(LS[[#Headers],[BO UNIT TRANSFER]]:LS[[#This Row],[BO UNIT TRANSFER]],LS[[#Headers],[Investor ID]]:LS[[#This Row],[Investor ID]],LS[[#This Row],[Investor ID]])</f>
        <v>0</v>
      </c>
    </row>
    <row r="498" spans="1:23">
      <c r="A498" s="75">
        <v>2024</v>
      </c>
      <c r="B498" s="75">
        <v>6</v>
      </c>
      <c r="C498" s="75">
        <v>10</v>
      </c>
      <c r="D498" s="81">
        <f>DATE(LS[[#This Row],[Year]],LS[[#This Row],[Month]],LS[[#This Row],[Day]])</f>
        <v>45453</v>
      </c>
      <c r="E498" t="str" cm="1">
        <f t="array" ref="E498">INDEX(INVESTORS_LIST[INVESTOR NAME],MATCH(LS[[#This Row],[Investor ID]],INVESTORS_LIST[INVESTOR CODE],0),)</f>
        <v>BEAUTY BEGUM LOTA</v>
      </c>
      <c r="F498" s="83" t="s">
        <v>1081</v>
      </c>
      <c r="G498" s="75">
        <f>COUNTIF(LS[[#Headers],[Investor ID]]:LS[[#This Row],[Investor ID]],LS[[#This Row],[Investor ID]])</f>
        <v>8</v>
      </c>
      <c r="H498" s="75" t="str">
        <f>CONCATENATE(LS[[#This Row],[Frequency]],LS[[#This Row],[Investor ID]])</f>
        <v>8A00518</v>
      </c>
      <c r="I498" s="75" t="str">
        <f>IF(LS[[#This Row],[B/S]]="B","BUY",(IF(LS[[#This Row],[B/S]]="S","SELL"," ")))</f>
        <v>SELL</v>
      </c>
      <c r="J498" s="75" t="s">
        <v>1231</v>
      </c>
      <c r="K498" s="88">
        <v>-1374021.65</v>
      </c>
      <c r="L498" s="88"/>
      <c r="M498" s="89">
        <f>LS[[#This Row],[Amount]]/LS[[#This Row],[Unit]]</f>
        <v>11.104999999999999</v>
      </c>
      <c r="N498" s="90">
        <f>LS[[#This Row],[Unit Capital]]/10</f>
        <v>-123730</v>
      </c>
      <c r="O498" s="90">
        <f>SUMIFS(LS[[#Headers],[Unit]]:LS[[#This Row],[Unit]],LS[[#Headers],[Investor ID]]:LS[[#This Row],[Investor ID]],LS[[#This Row],[Investor ID]])</f>
        <v>0</v>
      </c>
      <c r="P498" s="96">
        <v>-1237300</v>
      </c>
      <c r="Q498" s="48">
        <f>LS[[#This Row],[Amount]]-LS[[#This Row],[Unit Capital]]</f>
        <v>-136721.64999999991</v>
      </c>
      <c r="R49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498" s="89">
        <f t="shared" si="7"/>
        <v>14.224</v>
      </c>
      <c r="T498" s="96">
        <f>IF(LS[[#This Row],[B/S]]="B",0,ABS(LS[[#This Row],[Unit]])*(LS[[#This Row],[NAV (Strike Rate)]]-INDEX(LS[NAV at Cost (Average)],MATCH(CONCATENATE(LS[[#This Row],[Frequency]]-1,LS[[#This Row],[Investor ID]]),LS[Unique Code],0),)))</f>
        <v>56120.687293326599</v>
      </c>
      <c r="U498" s="96" cm="1">
        <f t="array" ref="U498">IF(LS[[#This Row],[B/S]]="S",ABS(LS[[#This Row],[Unit]])*(INDEX(LS[NAV at Cost (Average)],MATCH(CONCATENATE((LS[[#This Row],[Frequency]]-1),LS[[#This Row],[Investor ID]]),LS[Unique Code],0),0)),0)</f>
        <v>1317900.9627066732</v>
      </c>
      <c r="V498" s="96">
        <f>IF(LS[[#This Row],[BO TRANSFER]]="YES",LS[[#This Row],[Unit]],)</f>
        <v>0</v>
      </c>
      <c r="W498" s="96">
        <f>SUMIFS(LS[[#Headers],[BO UNIT TRANSFER]]:LS[[#This Row],[BO UNIT TRANSFER]],LS[[#Headers],[Investor ID]]:LS[[#This Row],[Investor ID]],LS[[#This Row],[Investor ID]])</f>
        <v>0</v>
      </c>
    </row>
    <row r="499" spans="1:23">
      <c r="A499" s="75">
        <v>2024</v>
      </c>
      <c r="B499" s="75">
        <v>6</v>
      </c>
      <c r="C499" s="75">
        <v>10</v>
      </c>
      <c r="D499" s="81">
        <f>DATE(LS[[#This Row],[Year]],LS[[#This Row],[Month]],LS[[#This Row],[Day]])</f>
        <v>45453</v>
      </c>
      <c r="E499" t="str" cm="1">
        <f t="array" ref="E499">INDEX(INVESTORS_LIST[INVESTOR NAME],MATCH(LS[[#This Row],[Investor ID]],INVESTORS_LIST[INVESTOR CODE],0),)</f>
        <v>MAHMUD ALI ALAMGIR</v>
      </c>
      <c r="F499" s="83" t="s">
        <v>451</v>
      </c>
      <c r="G499" s="75">
        <f>COUNTIF(LS[[#Headers],[Investor ID]]:LS[[#This Row],[Investor ID]],LS[[#This Row],[Investor ID]])</f>
        <v>9</v>
      </c>
      <c r="H499" s="75" t="str">
        <f>CONCATENATE(LS[[#This Row],[Frequency]],LS[[#This Row],[Investor ID]])</f>
        <v>9A00201</v>
      </c>
      <c r="I499" s="75" t="str">
        <f>IF(LS[[#This Row],[B/S]]="B","BUY",(IF(LS[[#This Row],[B/S]]="S","SELL"," ")))</f>
        <v>SELL</v>
      </c>
      <c r="J499" s="75" t="s">
        <v>1231</v>
      </c>
      <c r="K499" s="88">
        <v>-1200000</v>
      </c>
      <c r="L499" s="88"/>
      <c r="M499" s="89">
        <f>LS[[#This Row],[Amount]]/LS[[#This Row],[Unit]]</f>
        <v>11.105044466448884</v>
      </c>
      <c r="N499" s="90">
        <f>LS[[#This Row],[Unit Capital]]/10</f>
        <v>-108059</v>
      </c>
      <c r="O499" s="90">
        <f>SUMIFS(LS[[#Headers],[Unit]]:LS[[#This Row],[Unit]],LS[[#Headers],[Investor ID]]:LS[[#This Row],[Investor ID]],LS[[#This Row],[Investor ID]])</f>
        <v>82882</v>
      </c>
      <c r="P499" s="96">
        <v>-1080590</v>
      </c>
      <c r="Q499" s="48">
        <f>LS[[#This Row],[Amount]]-LS[[#This Row],[Unit Capital]]</f>
        <v>-119410</v>
      </c>
      <c r="R49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11.007545658421302</v>
      </c>
      <c r="S499" s="89">
        <f t="shared" si="7"/>
        <v>14.224</v>
      </c>
      <c r="T499" s="96">
        <f>IF(LS[[#This Row],[B/S]]="B",0,ABS(LS[[#This Row],[Unit]])*(LS[[#This Row],[NAV (Strike Rate)]]-INDEX(LS[NAV at Cost (Average)],MATCH(CONCATENATE(LS[[#This Row],[Frequency]]-1,LS[[#This Row],[Investor ID]]),LS[Unique Code],0),)))</f>
        <v>10535.623696652536</v>
      </c>
      <c r="U499" s="96" cm="1">
        <f t="array" ref="U499">IF(LS[[#This Row],[B/S]]="S",ABS(LS[[#This Row],[Unit]])*(INDEX(LS[NAV at Cost (Average)],MATCH(CONCATENATE((LS[[#This Row],[Frequency]]-1),LS[[#This Row],[Investor ID]]),LS[Unique Code],0),0)),0)</f>
        <v>1189464.3763033475</v>
      </c>
      <c r="V499" s="96">
        <f>IF(LS[[#This Row],[BO TRANSFER]]="YES",LS[[#This Row],[Unit]],)</f>
        <v>0</v>
      </c>
      <c r="W499" s="96">
        <f>SUMIFS(LS[[#Headers],[BO UNIT TRANSFER]]:LS[[#This Row],[BO UNIT TRANSFER]],LS[[#Headers],[Investor ID]]:LS[[#This Row],[Investor ID]],LS[[#This Row],[Investor ID]])</f>
        <v>0</v>
      </c>
    </row>
    <row r="500" spans="1:23">
      <c r="A500" s="75">
        <v>2024</v>
      </c>
      <c r="B500" s="75">
        <v>6</v>
      </c>
      <c r="C500" s="75">
        <v>10</v>
      </c>
      <c r="D500" s="81">
        <f>DATE(LS[[#This Row],[Year]],LS[[#This Row],[Month]],LS[[#This Row],[Day]])</f>
        <v>45453</v>
      </c>
      <c r="E500" t="str" cm="1">
        <f t="array" ref="E500">INDEX(INVESTORS_LIST[INVESTOR NAME],MATCH(LS[[#This Row],[Investor ID]],INVESTORS_LIST[INVESTOR CODE],0),)</f>
        <v>FAHMIDA SAEED SAKI</v>
      </c>
      <c r="F500" s="83" t="s">
        <v>936</v>
      </c>
      <c r="G500" s="75">
        <f>COUNTIF(LS[[#Headers],[Investor ID]]:LS[[#This Row],[Investor ID]],LS[[#This Row],[Investor ID]])</f>
        <v>5</v>
      </c>
      <c r="H500" s="75" t="str">
        <f>CONCATENATE(LS[[#This Row],[Frequency]],LS[[#This Row],[Investor ID]])</f>
        <v>5A00445</v>
      </c>
      <c r="I500" s="75" t="str">
        <f>IF(LS[[#This Row],[B/S]]="B","BUY",(IF(LS[[#This Row],[B/S]]="S","SELL"," ")))</f>
        <v>BUY</v>
      </c>
      <c r="J500" s="75" t="s">
        <v>1229</v>
      </c>
      <c r="K500" s="88">
        <v>500000</v>
      </c>
      <c r="L500" s="88"/>
      <c r="M500" s="89">
        <f>LS[[#This Row],[Amount]]/LS[[#This Row],[Unit]]</f>
        <v>11.104941699056081</v>
      </c>
      <c r="N500" s="90">
        <f>LS[[#This Row],[Unit Capital]]/10</f>
        <v>45025</v>
      </c>
      <c r="O500" s="90">
        <f>SUMIFS(LS[[#Headers],[Unit]]:LS[[#This Row],[Unit]],LS[[#Headers],[Investor ID]]:LS[[#This Row],[Investor ID]],LS[[#This Row],[Investor ID]])</f>
        <v>45025</v>
      </c>
      <c r="P500" s="96">
        <v>450250</v>
      </c>
      <c r="Q500" s="48">
        <f>LS[[#This Row],[Amount]]-LS[[#This Row],[Unit Capital]]</f>
        <v>49750</v>
      </c>
      <c r="R50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500" s="89">
        <f t="shared" si="7"/>
        <v>14.224</v>
      </c>
      <c r="T50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0" s="96" cm="1">
        <f t="array" ref="U500">IF(LS[[#This Row],[B/S]]="S",ABS(LS[[#This Row],[Unit]])*(INDEX(LS[NAV at Cost (Average)],MATCH(CONCATENATE((LS[[#This Row],[Frequency]]-1),LS[[#This Row],[Investor ID]]),LS[Unique Code],0),0)),0)</f>
        <v>0</v>
      </c>
      <c r="V500" s="96">
        <f>IF(LS[[#This Row],[BO TRANSFER]]="YES",LS[[#This Row],[Unit]],)</f>
        <v>0</v>
      </c>
      <c r="W500" s="96">
        <f>SUMIFS(LS[[#Headers],[BO UNIT TRANSFER]]:LS[[#This Row],[BO UNIT TRANSFER]],LS[[#Headers],[Investor ID]]:LS[[#This Row],[Investor ID]],LS[[#This Row],[Investor ID]])</f>
        <v>0</v>
      </c>
    </row>
    <row r="501" spans="1:23">
      <c r="A501" s="75">
        <v>2024</v>
      </c>
      <c r="B501" s="75">
        <v>6</v>
      </c>
      <c r="C501" s="75">
        <v>11</v>
      </c>
      <c r="D501" s="81">
        <f>DATE(LS[[#This Row],[Year]],LS[[#This Row],[Month]],LS[[#This Row],[Day]])</f>
        <v>45454</v>
      </c>
      <c r="E501" t="str" cm="1">
        <f t="array" ref="E501">INDEX(INVESTORS_LIST[INVESTOR NAME],MATCH(LS[[#This Row],[Investor ID]],INVESTORS_LIST[INVESTOR CODE],0),)</f>
        <v>SHAH MUNTASIN MUJTABA</v>
      </c>
      <c r="F501" s="83" t="s">
        <v>1103</v>
      </c>
      <c r="G501" s="75">
        <f>COUNTIF(LS[[#Headers],[Investor ID]]:LS[[#This Row],[Investor ID]],LS[[#This Row],[Investor ID]])</f>
        <v>6</v>
      </c>
      <c r="H501" s="75" t="str">
        <f>CONCATENATE(LS[[#This Row],[Frequency]],LS[[#This Row],[Investor ID]])</f>
        <v>6A00528</v>
      </c>
      <c r="I501" s="75" t="str">
        <f>IF(LS[[#This Row],[B/S]]="B","BUY",(IF(LS[[#This Row],[B/S]]="S","SELL"," ")))</f>
        <v>BUY</v>
      </c>
      <c r="J501" s="75" t="s">
        <v>1229</v>
      </c>
      <c r="K501" s="88">
        <v>555500</v>
      </c>
      <c r="L501" s="88"/>
      <c r="M501" s="89">
        <f>LS[[#This Row],[Amount]]/LS[[#This Row],[Unit]]</f>
        <v>11.104891749795094</v>
      </c>
      <c r="N501" s="90">
        <f>LS[[#This Row],[Unit Capital]]/10</f>
        <v>50023</v>
      </c>
      <c r="O501" s="90">
        <f>SUMIFS(LS[[#Headers],[Unit]]:LS[[#This Row],[Unit]],LS[[#Headers],[Investor ID]]:LS[[#This Row],[Investor ID]],LS[[#This Row],[Investor ID]])</f>
        <v>516324</v>
      </c>
      <c r="P501" s="96">
        <v>500230</v>
      </c>
      <c r="Q501" s="48">
        <f>LS[[#This Row],[Amount]]-LS[[#This Row],[Unit Capital]]</f>
        <v>55270</v>
      </c>
      <c r="R50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10.844494929540367</v>
      </c>
      <c r="S501" s="89">
        <f t="shared" si="7"/>
        <v>14.224</v>
      </c>
      <c r="T50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1" s="96" cm="1">
        <f t="array" ref="U501">IF(LS[[#This Row],[B/S]]="S",ABS(LS[[#This Row],[Unit]])*(INDEX(LS[NAV at Cost (Average)],MATCH(CONCATENATE((LS[[#This Row],[Frequency]]-1),LS[[#This Row],[Investor ID]]),LS[Unique Code],0),0)),0)</f>
        <v>0</v>
      </c>
      <c r="V501" s="96">
        <f>IF(LS[[#This Row],[BO TRANSFER]]="YES",LS[[#This Row],[Unit]],)</f>
        <v>0</v>
      </c>
      <c r="W501" s="96">
        <f>SUMIFS(LS[[#Headers],[BO UNIT TRANSFER]]:LS[[#This Row],[BO UNIT TRANSFER]],LS[[#Headers],[Investor ID]]:LS[[#This Row],[Investor ID]],LS[[#This Row],[Investor ID]])</f>
        <v>0</v>
      </c>
    </row>
    <row r="502" spans="1:23">
      <c r="A502" s="75">
        <v>2024</v>
      </c>
      <c r="B502" s="75">
        <v>6</v>
      </c>
      <c r="C502" s="75">
        <v>11</v>
      </c>
      <c r="D502" s="81">
        <f>DATE(LS[[#This Row],[Year]],LS[[#This Row],[Month]],LS[[#This Row],[Day]])</f>
        <v>45454</v>
      </c>
      <c r="E502" t="str" cm="1">
        <f t="array" ref="E502">INDEX(INVESTORS_LIST[INVESTOR NAME],MATCH(LS[[#This Row],[Investor ID]],INVESTORS_LIST[INVESTOR CODE],0),)</f>
        <v>MD. MONIRUZZAMAN</v>
      </c>
      <c r="F502" s="83" t="s">
        <v>1057</v>
      </c>
      <c r="G502" s="75">
        <f>COUNTIF(LS[[#Headers],[Investor ID]]:LS[[#This Row],[Investor ID]],LS[[#This Row],[Investor ID]])</f>
        <v>2</v>
      </c>
      <c r="H502" s="75" t="str">
        <f>CONCATENATE(LS[[#This Row],[Frequency]],LS[[#This Row],[Investor ID]])</f>
        <v>2A00506</v>
      </c>
      <c r="I502" s="75" t="str">
        <f>IF(LS[[#This Row],[B/S]]="B","BUY",(IF(LS[[#This Row],[B/S]]="S","SELL"," ")))</f>
        <v>SELL</v>
      </c>
      <c r="J502" s="75" t="s">
        <v>1231</v>
      </c>
      <c r="K502" s="88">
        <v>-107118.83</v>
      </c>
      <c r="L502" s="88"/>
      <c r="M502" s="89">
        <f>LS[[#This Row],[Amount]]/LS[[#This Row],[Unit]]</f>
        <v>11.105</v>
      </c>
      <c r="N502" s="90">
        <f>LS[[#This Row],[Unit Capital]]/10</f>
        <v>-9646</v>
      </c>
      <c r="O502" s="90">
        <f>SUMIFS(LS[[#Headers],[Unit]]:LS[[#This Row],[Unit]],LS[[#Headers],[Investor ID]]:LS[[#This Row],[Investor ID]],LS[[#This Row],[Investor ID]])</f>
        <v>0</v>
      </c>
      <c r="P502" s="96">
        <v>-96460</v>
      </c>
      <c r="Q502" s="48">
        <f>LS[[#This Row],[Amount]]-LS[[#This Row],[Unit Capital]]</f>
        <v>-10658.830000000002</v>
      </c>
      <c r="R50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02" s="89">
        <f t="shared" si="7"/>
        <v>14.224</v>
      </c>
      <c r="T502" s="96">
        <f>IF(LS[[#This Row],[B/S]]="B",0,ABS(LS[[#This Row],[Unit]])*(LS[[#This Row],[NAV (Strike Rate)]]-INDEX(LS[NAV at Cost (Average)],MATCH(CONCATENATE(LS[[#This Row],[Frequency]]-1,LS[[#This Row],[Investor ID]]),LS[Unique Code],0),)))</f>
        <v>7118.8299999999981</v>
      </c>
      <c r="U502" s="96" cm="1">
        <f t="array" ref="U502">IF(LS[[#This Row],[B/S]]="S",ABS(LS[[#This Row],[Unit]])*(INDEX(LS[NAV at Cost (Average)],MATCH(CONCATENATE((LS[[#This Row],[Frequency]]-1),LS[[#This Row],[Investor ID]]),LS[Unique Code],0),0)),0)</f>
        <v>100000</v>
      </c>
      <c r="V502" s="96">
        <f>IF(LS[[#This Row],[BO TRANSFER]]="YES",LS[[#This Row],[Unit]],)</f>
        <v>0</v>
      </c>
      <c r="W502" s="96">
        <f>SUMIFS(LS[[#Headers],[BO UNIT TRANSFER]]:LS[[#This Row],[BO UNIT TRANSFER]],LS[[#Headers],[Investor ID]]:LS[[#This Row],[Investor ID]],LS[[#This Row],[Investor ID]])</f>
        <v>0</v>
      </c>
    </row>
    <row r="503" spans="1:23">
      <c r="A503" s="75">
        <v>2024</v>
      </c>
      <c r="B503" s="75">
        <v>6</v>
      </c>
      <c r="C503" s="75">
        <v>11</v>
      </c>
      <c r="D503" s="81">
        <f>DATE(LS[[#This Row],[Year]],LS[[#This Row],[Month]],LS[[#This Row],[Day]])</f>
        <v>45454</v>
      </c>
      <c r="E503" t="str" cm="1">
        <f t="array" ref="E503">INDEX(INVESTORS_LIST[INVESTOR NAME],MATCH(LS[[#This Row],[Investor ID]],INVESTORS_LIST[INVESTOR CODE],0),)</f>
        <v>FARIZA RAHMAN</v>
      </c>
      <c r="F503" s="83" t="s">
        <v>1155</v>
      </c>
      <c r="G503" s="75">
        <f>COUNTIF(LS[[#Headers],[Investor ID]]:LS[[#This Row],[Investor ID]],LS[[#This Row],[Investor ID]])</f>
        <v>1</v>
      </c>
      <c r="H503" s="75" t="str">
        <f>CONCATENATE(LS[[#This Row],[Frequency]],LS[[#This Row],[Investor ID]])</f>
        <v>1A00553</v>
      </c>
      <c r="I503" s="75" t="str">
        <f>IF(LS[[#This Row],[B/S]]="B","BUY",(IF(LS[[#This Row],[B/S]]="S","SELL"," ")))</f>
        <v>BUY</v>
      </c>
      <c r="J503" s="75" t="s">
        <v>1229</v>
      </c>
      <c r="K503" s="88">
        <v>500000</v>
      </c>
      <c r="L503" s="88"/>
      <c r="M503" s="89">
        <f>LS[[#This Row],[Amount]]/LS[[#This Row],[Unit]]</f>
        <v>11.104941699056081</v>
      </c>
      <c r="N503" s="90">
        <f>LS[[#This Row],[Unit Capital]]/10</f>
        <v>45025</v>
      </c>
      <c r="O503" s="90">
        <f>SUMIFS(LS[[#Headers],[Unit]]:LS[[#This Row],[Unit]],LS[[#Headers],[Investor ID]]:LS[[#This Row],[Investor ID]],LS[[#This Row],[Investor ID]])</f>
        <v>45025</v>
      </c>
      <c r="P503" s="96">
        <v>450250</v>
      </c>
      <c r="Q503" s="48">
        <f>LS[[#This Row],[Amount]]-LS[[#This Row],[Unit Capital]]</f>
        <v>49750</v>
      </c>
      <c r="R50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503" s="89">
        <f t="shared" si="7"/>
        <v>14.224</v>
      </c>
      <c r="T50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3" s="96" cm="1">
        <f t="array" ref="U503">IF(LS[[#This Row],[B/S]]="S",ABS(LS[[#This Row],[Unit]])*(INDEX(LS[NAV at Cost (Average)],MATCH(CONCATENATE((LS[[#This Row],[Frequency]]-1),LS[[#This Row],[Investor ID]]),LS[Unique Code],0),0)),0)</f>
        <v>0</v>
      </c>
      <c r="V503" s="96">
        <f>IF(LS[[#This Row],[BO TRANSFER]]="YES",LS[[#This Row],[Unit]],)</f>
        <v>0</v>
      </c>
      <c r="W503" s="96">
        <f>SUMIFS(LS[[#Headers],[BO UNIT TRANSFER]]:LS[[#This Row],[BO UNIT TRANSFER]],LS[[#Headers],[Investor ID]]:LS[[#This Row],[Investor ID]],LS[[#This Row],[Investor ID]])</f>
        <v>0</v>
      </c>
    </row>
    <row r="504" spans="1:23">
      <c r="A504" s="75">
        <v>2024</v>
      </c>
      <c r="B504" s="75">
        <v>6</v>
      </c>
      <c r="C504" s="75">
        <v>11</v>
      </c>
      <c r="D504" s="81">
        <f>DATE(LS[[#This Row],[Year]],LS[[#This Row],[Month]],LS[[#This Row],[Day]])</f>
        <v>45454</v>
      </c>
      <c r="E504" t="str" cm="1">
        <f t="array" ref="E504">INDEX(INVESTORS_LIST[INVESTOR NAME],MATCH(LS[[#This Row],[Investor ID]],INVESTORS_LIST[INVESTOR CODE],0),)</f>
        <v>TANVIR AHMED SIDDIQUI</v>
      </c>
      <c r="F504" s="83" t="s">
        <v>111</v>
      </c>
      <c r="G504" s="75">
        <f>COUNTIF(LS[[#Headers],[Investor ID]]:LS[[#This Row],[Investor ID]],LS[[#This Row],[Investor ID]])</f>
        <v>4</v>
      </c>
      <c r="H504" s="75" t="str">
        <f>CONCATENATE(LS[[#This Row],[Frequency]],LS[[#This Row],[Investor ID]])</f>
        <v>4A00032</v>
      </c>
      <c r="I504" s="75" t="str">
        <f>IF(LS[[#This Row],[B/S]]="B","BUY",(IF(LS[[#This Row],[B/S]]="S","SELL"," ")))</f>
        <v>BUY</v>
      </c>
      <c r="J504" s="75" t="s">
        <v>1229</v>
      </c>
      <c r="K504" s="88">
        <v>50000</v>
      </c>
      <c r="L504" s="88"/>
      <c r="M504" s="89">
        <f>LS[[#This Row],[Amount]]/LS[[#This Row],[Unit]]</f>
        <v>11.106175033318525</v>
      </c>
      <c r="N504" s="90">
        <f>LS[[#This Row],[Unit Capital]]/10</f>
        <v>4502</v>
      </c>
      <c r="O504" s="90">
        <f>SUMIFS(LS[[#Headers],[Unit]]:LS[[#This Row],[Unit]],LS[[#Headers],[Investor ID]]:LS[[#This Row],[Investor ID]],LS[[#This Row],[Investor ID]])</f>
        <v>23471</v>
      </c>
      <c r="P504" s="96">
        <v>45020</v>
      </c>
      <c r="Q504" s="48">
        <f>LS[[#This Row],[Amount]]-LS[[#This Row],[Unit Capital]]</f>
        <v>4980</v>
      </c>
      <c r="R50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10.651442205274595</v>
      </c>
      <c r="S504" s="89">
        <f t="shared" si="7"/>
        <v>14.224</v>
      </c>
      <c r="T50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4" s="96" cm="1">
        <f t="array" ref="U504">IF(LS[[#This Row],[B/S]]="S",ABS(LS[[#This Row],[Unit]])*(INDEX(LS[NAV at Cost (Average)],MATCH(CONCATENATE((LS[[#This Row],[Frequency]]-1),LS[[#This Row],[Investor ID]]),LS[Unique Code],0),0)),0)</f>
        <v>0</v>
      </c>
      <c r="V504" s="96">
        <f>IF(LS[[#This Row],[BO TRANSFER]]="YES",LS[[#This Row],[Unit]],)</f>
        <v>0</v>
      </c>
      <c r="W504" s="96">
        <f>SUMIFS(LS[[#Headers],[BO UNIT TRANSFER]]:LS[[#This Row],[BO UNIT TRANSFER]],LS[[#Headers],[Investor ID]]:LS[[#This Row],[Investor ID]],LS[[#This Row],[Investor ID]])</f>
        <v>0</v>
      </c>
    </row>
    <row r="505" spans="1:23">
      <c r="A505" s="75">
        <v>2024</v>
      </c>
      <c r="B505" s="75">
        <v>6</v>
      </c>
      <c r="C505" s="75">
        <v>11</v>
      </c>
      <c r="D505" s="81">
        <f>DATE(LS[[#This Row],[Year]],LS[[#This Row],[Month]],LS[[#This Row],[Day]])</f>
        <v>45454</v>
      </c>
      <c r="E505" t="str" cm="1">
        <f t="array" ref="E505">INDEX(INVESTORS_LIST[INVESTOR NAME],MATCH(LS[[#This Row],[Investor ID]],INVESTORS_LIST[INVESTOR CODE],0),)</f>
        <v>SHUVA SAHA</v>
      </c>
      <c r="F505" s="83" t="s">
        <v>154</v>
      </c>
      <c r="G505" s="75">
        <f>COUNTIF(LS[[#Headers],[Investor ID]]:LS[[#This Row],[Investor ID]],LS[[#This Row],[Investor ID]])</f>
        <v>5</v>
      </c>
      <c r="H505" s="75" t="str">
        <f>CONCATENATE(LS[[#This Row],[Frequency]],LS[[#This Row],[Investor ID]])</f>
        <v>5A00053</v>
      </c>
      <c r="I505" s="75" t="str">
        <f>IF(LS[[#This Row],[B/S]]="B","BUY",(IF(LS[[#This Row],[B/S]]="S","SELL"," ")))</f>
        <v>BUY</v>
      </c>
      <c r="J505" s="75" t="s">
        <v>1229</v>
      </c>
      <c r="K505" s="88">
        <v>80000</v>
      </c>
      <c r="L505" s="88"/>
      <c r="M505" s="89">
        <f>LS[[#This Row],[Amount]]/LS[[#This Row],[Unit]]</f>
        <v>11.104941699056081</v>
      </c>
      <c r="N505" s="90">
        <f>LS[[#This Row],[Unit Capital]]/10</f>
        <v>7204</v>
      </c>
      <c r="O505" s="90">
        <f>SUMIFS(LS[[#Headers],[Unit]]:LS[[#This Row],[Unit]],LS[[#Headers],[Investor ID]]:LS[[#This Row],[Investor ID]],LS[[#This Row],[Investor ID]])</f>
        <v>33712</v>
      </c>
      <c r="P505" s="96">
        <v>72040</v>
      </c>
      <c r="Q505" s="48">
        <f>LS[[#This Row],[Amount]]-LS[[#This Row],[Unit Capital]]</f>
        <v>7960</v>
      </c>
      <c r="R505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10.382059800664452</v>
      </c>
      <c r="S505" s="89">
        <f t="shared" si="7"/>
        <v>14.224</v>
      </c>
      <c r="T505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5" s="96" cm="1">
        <f t="array" ref="U505">IF(LS[[#This Row],[B/S]]="S",ABS(LS[[#This Row],[Unit]])*(INDEX(LS[NAV at Cost (Average)],MATCH(CONCATENATE((LS[[#This Row],[Frequency]]-1),LS[[#This Row],[Investor ID]]),LS[Unique Code],0),0)),0)</f>
        <v>0</v>
      </c>
      <c r="V505" s="96">
        <f>IF(LS[[#This Row],[BO TRANSFER]]="YES",LS[[#This Row],[Unit]],)</f>
        <v>0</v>
      </c>
      <c r="W505" s="96">
        <f>SUMIFS(LS[[#Headers],[BO UNIT TRANSFER]]:LS[[#This Row],[BO UNIT TRANSFER]],LS[[#Headers],[Investor ID]]:LS[[#This Row],[Investor ID]],LS[[#This Row],[Investor ID]])</f>
        <v>0</v>
      </c>
    </row>
    <row r="506" spans="1:23">
      <c r="A506" s="75">
        <v>2024</v>
      </c>
      <c r="B506" s="75">
        <v>6</v>
      </c>
      <c r="C506" s="75">
        <v>12</v>
      </c>
      <c r="D506" s="81">
        <f>DATE(LS[[#This Row],[Year]],LS[[#This Row],[Month]],LS[[#This Row],[Day]])</f>
        <v>45455</v>
      </c>
      <c r="E506" t="str" cm="1">
        <f t="array" ref="E506">INDEX(INVESTORS_LIST[INVESTOR NAME],MATCH(LS[[#This Row],[Investor ID]],INVESTORS_LIST[INVESTOR CODE],0),)</f>
        <v>FARIHA FARZANA</v>
      </c>
      <c r="F506" s="83" t="s">
        <v>1161</v>
      </c>
      <c r="G506" s="75">
        <f>COUNTIF(LS[[#Headers],[Investor ID]]:LS[[#This Row],[Investor ID]],LS[[#This Row],[Investor ID]])</f>
        <v>1</v>
      </c>
      <c r="H506" s="75" t="str">
        <f>CONCATENATE(LS[[#This Row],[Frequency]],LS[[#This Row],[Investor ID]])</f>
        <v>1A00556</v>
      </c>
      <c r="I506" s="75" t="str">
        <f>IF(LS[[#This Row],[B/S]]="B","BUY",(IF(LS[[#This Row],[B/S]]="S","SELL"," ")))</f>
        <v>BUY</v>
      </c>
      <c r="J506" s="75" t="s">
        <v>1229</v>
      </c>
      <c r="K506" s="88">
        <v>250000</v>
      </c>
      <c r="L506" s="88"/>
      <c r="M506" s="89">
        <f>LS[[#This Row],[Amount]]/LS[[#This Row],[Unit]]</f>
        <v>11.105188343994314</v>
      </c>
      <c r="N506" s="90">
        <f>LS[[#This Row],[Unit Capital]]/10</f>
        <v>22512</v>
      </c>
      <c r="O506" s="90">
        <f>SUMIFS(LS[[#Headers],[Unit]]:LS[[#This Row],[Unit]],LS[[#Headers],[Investor ID]]:LS[[#This Row],[Investor ID]],LS[[#This Row],[Investor ID]])</f>
        <v>22512</v>
      </c>
      <c r="P506" s="96">
        <v>225120</v>
      </c>
      <c r="Q506" s="48">
        <f>LS[[#This Row],[Amount]]-LS[[#This Row],[Unit Capital]]</f>
        <v>24880</v>
      </c>
      <c r="R506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11.105188343994314</v>
      </c>
      <c r="S506" s="89">
        <f t="shared" si="7"/>
        <v>14.224</v>
      </c>
      <c r="T506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6" s="96" cm="1">
        <f t="array" ref="U506">IF(LS[[#This Row],[B/S]]="S",ABS(LS[[#This Row],[Unit]])*(INDEX(LS[NAV at Cost (Average)],MATCH(CONCATENATE((LS[[#This Row],[Frequency]]-1),LS[[#This Row],[Investor ID]]),LS[Unique Code],0),0)),0)</f>
        <v>0</v>
      </c>
      <c r="V506" s="96">
        <f>IF(LS[[#This Row],[BO TRANSFER]]="YES",LS[[#This Row],[Unit]],)</f>
        <v>0</v>
      </c>
      <c r="W506" s="96">
        <f>SUMIFS(LS[[#Headers],[BO UNIT TRANSFER]]:LS[[#This Row],[BO UNIT TRANSFER]],LS[[#Headers],[Investor ID]]:LS[[#This Row],[Investor ID]],LS[[#This Row],[Investor ID]])</f>
        <v>0</v>
      </c>
    </row>
    <row r="507" spans="1:23">
      <c r="A507" s="75">
        <v>2024</v>
      </c>
      <c r="B507" s="75">
        <v>6</v>
      </c>
      <c r="C507" s="75">
        <v>12</v>
      </c>
      <c r="D507" s="81">
        <f>DATE(LS[[#This Row],[Year]],LS[[#This Row],[Month]],LS[[#This Row],[Day]])</f>
        <v>45455</v>
      </c>
      <c r="E507" t="str" cm="1">
        <f t="array" ref="E507">INDEX(INVESTORS_LIST[INVESTOR NAME],MATCH(LS[[#This Row],[Investor ID]],INVESTORS_LIST[INVESTOR CODE],0),)</f>
        <v>MD SHAFIQUR RAHMAN MONSI</v>
      </c>
      <c r="F507" s="83" t="s">
        <v>1034</v>
      </c>
      <c r="G507" s="75">
        <f>COUNTIF(LS[[#Headers],[Investor ID]]:LS[[#This Row],[Investor ID]],LS[[#This Row],[Investor ID]])</f>
        <v>8</v>
      </c>
      <c r="H507" s="75" t="str">
        <f>CONCATENATE(LS[[#This Row],[Frequency]],LS[[#This Row],[Investor ID]])</f>
        <v>8A00494</v>
      </c>
      <c r="I507" s="75" t="str">
        <f>IF(LS[[#This Row],[B/S]]="B","BUY",(IF(LS[[#This Row],[B/S]]="S","SELL"," ")))</f>
        <v>SELL</v>
      </c>
      <c r="J507" s="75" t="s">
        <v>1231</v>
      </c>
      <c r="K507" s="88">
        <v>-245442.71</v>
      </c>
      <c r="L507" s="88"/>
      <c r="M507" s="89">
        <f>LS[[#This Row],[Amount]]/LS[[#This Row],[Unit]]</f>
        <v>11.105</v>
      </c>
      <c r="N507" s="90">
        <f>LS[[#This Row],[Unit Capital]]/10</f>
        <v>-22102</v>
      </c>
      <c r="O507" s="90">
        <f>SUMIFS(LS[[#Headers],[Unit]]:LS[[#This Row],[Unit]],LS[[#Headers],[Investor ID]]:LS[[#This Row],[Investor ID]],LS[[#This Row],[Investor ID]])</f>
        <v>0</v>
      </c>
      <c r="P507" s="96">
        <v>-221020</v>
      </c>
      <c r="Q507" s="48">
        <f>LS[[#This Row],[Amount]]-LS[[#This Row],[Unit Capital]]</f>
        <v>-24422.709999999992</v>
      </c>
      <c r="R507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07" s="89">
        <f t="shared" si="7"/>
        <v>14.224</v>
      </c>
      <c r="T507" s="96">
        <f>IF(LS[[#This Row],[B/S]]="B",0,ABS(LS[[#This Row],[Unit]])*(LS[[#This Row],[NAV (Strike Rate)]]-INDEX(LS[NAV at Cost (Average)],MATCH(CONCATENATE(LS[[#This Row],[Frequency]]-1,LS[[#This Row],[Investor ID]]),LS[Unique Code],0),)))</f>
        <v>5442.710000000041</v>
      </c>
      <c r="U507" s="96" cm="1">
        <f t="array" ref="U507">IF(LS[[#This Row],[B/S]]="S",ABS(LS[[#This Row],[Unit]])*(INDEX(LS[NAV at Cost (Average)],MATCH(CONCATENATE((LS[[#This Row],[Frequency]]-1),LS[[#This Row],[Investor ID]]),LS[Unique Code],0),0)),0)</f>
        <v>239999.99999999997</v>
      </c>
      <c r="V507" s="96">
        <f>IF(LS[[#This Row],[BO TRANSFER]]="YES",LS[[#This Row],[Unit]],)</f>
        <v>0</v>
      </c>
      <c r="W507" s="96">
        <f>SUMIFS(LS[[#Headers],[BO UNIT TRANSFER]]:LS[[#This Row],[BO UNIT TRANSFER]],LS[[#Headers],[Investor ID]]:LS[[#This Row],[Investor ID]],LS[[#This Row],[Investor ID]])</f>
        <v>0</v>
      </c>
    </row>
    <row r="508" spans="1:23">
      <c r="A508" s="75">
        <v>2024</v>
      </c>
      <c r="B508" s="75">
        <v>6</v>
      </c>
      <c r="C508" s="75">
        <v>13</v>
      </c>
      <c r="D508" s="81">
        <f>DATE(LS[[#This Row],[Year]],LS[[#This Row],[Month]],LS[[#This Row],[Day]])</f>
        <v>45456</v>
      </c>
      <c r="E508" t="str" cm="1">
        <f t="array" ref="E508">INDEX(INVESTORS_LIST[INVESTOR NAME],MATCH(LS[[#This Row],[Investor ID]],INVESTORS_LIST[INVESTOR CODE],0),)</f>
        <v>MAHFUZUL ISLAM</v>
      </c>
      <c r="F508" s="83" t="s">
        <v>473</v>
      </c>
      <c r="G508" s="75">
        <f>COUNTIF(LS[[#Headers],[Investor ID]]:LS[[#This Row],[Investor ID]],LS[[#This Row],[Investor ID]])</f>
        <v>5</v>
      </c>
      <c r="H508" s="75" t="str">
        <f>CONCATENATE(LS[[#This Row],[Frequency]],LS[[#This Row],[Investor ID]])</f>
        <v>5A00212</v>
      </c>
      <c r="I508" s="75" t="str">
        <f>IF(LS[[#This Row],[B/S]]="B","BUY",(IF(LS[[#This Row],[B/S]]="S","SELL"," ")))</f>
        <v>BUY</v>
      </c>
      <c r="J508" s="75" t="s">
        <v>1229</v>
      </c>
      <c r="K508" s="88">
        <v>166575</v>
      </c>
      <c r="L508" s="88"/>
      <c r="M508" s="89">
        <f>LS[[#This Row],[Amount]]/LS[[#This Row],[Unit]]</f>
        <v>11.105</v>
      </c>
      <c r="N508" s="90">
        <f>LS[[#This Row],[Unit Capital]]/10</f>
        <v>15000</v>
      </c>
      <c r="O508" s="90">
        <f>SUMIFS(LS[[#Headers],[Unit]]:LS[[#This Row],[Unit]],LS[[#Headers],[Investor ID]]:LS[[#This Row],[Investor ID]],LS[[#This Row],[Investor ID]])</f>
        <v>15000</v>
      </c>
      <c r="P508" s="96">
        <v>150000</v>
      </c>
      <c r="Q508" s="48">
        <f>LS[[#This Row],[Amount]]-LS[[#This Row],[Unit Capital]]</f>
        <v>16575</v>
      </c>
      <c r="R508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11.105</v>
      </c>
      <c r="S508" s="89">
        <f t="shared" si="7"/>
        <v>14.224</v>
      </c>
      <c r="T508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8" s="96" cm="1">
        <f t="array" ref="U508">IF(LS[[#This Row],[B/S]]="S",ABS(LS[[#This Row],[Unit]])*(INDEX(LS[NAV at Cost (Average)],MATCH(CONCATENATE((LS[[#This Row],[Frequency]]-1),LS[[#This Row],[Investor ID]]),LS[Unique Code],0),0)),0)</f>
        <v>0</v>
      </c>
      <c r="V508" s="96">
        <f>IF(LS[[#This Row],[BO TRANSFER]]="YES",LS[[#This Row],[Unit]],)</f>
        <v>0</v>
      </c>
      <c r="W508" s="96">
        <f>SUMIFS(LS[[#Headers],[BO UNIT TRANSFER]]:LS[[#This Row],[BO UNIT TRANSFER]],LS[[#Headers],[Investor ID]]:LS[[#This Row],[Investor ID]],LS[[#This Row],[Investor ID]])</f>
        <v>0</v>
      </c>
    </row>
    <row r="509" spans="1:23">
      <c r="A509" s="75">
        <v>2024</v>
      </c>
      <c r="B509" s="75">
        <v>6</v>
      </c>
      <c r="C509" s="75">
        <v>13</v>
      </c>
      <c r="D509" s="81">
        <f>DATE(LS[[#This Row],[Year]],LS[[#This Row],[Month]],LS[[#This Row],[Day]])</f>
        <v>45456</v>
      </c>
      <c r="E509" t="str" cm="1">
        <f t="array" ref="E509">INDEX(INVESTORS_LIST[INVESTOR NAME],MATCH(LS[[#This Row],[Investor ID]],INVESTORS_LIST[INVESTOR CODE],0),)</f>
        <v>MAHMOOD KABIR</v>
      </c>
      <c r="F509" s="83" t="s">
        <v>1165</v>
      </c>
      <c r="G509" s="75">
        <f>COUNTIF(LS[[#Headers],[Investor ID]]:LS[[#This Row],[Investor ID]],LS[[#This Row],[Investor ID]])</f>
        <v>1</v>
      </c>
      <c r="H509" s="75" t="str">
        <f>CONCATENATE(LS[[#This Row],[Frequency]],LS[[#This Row],[Investor ID]])</f>
        <v>1A00558</v>
      </c>
      <c r="I509" s="75" t="str">
        <f>IF(LS[[#This Row],[B/S]]="B","BUY",(IF(LS[[#This Row],[B/S]]="S","SELL"," ")))</f>
        <v>BUY</v>
      </c>
      <c r="J509" s="75" t="s">
        <v>1229</v>
      </c>
      <c r="K509" s="88">
        <v>300000</v>
      </c>
      <c r="L509" s="88"/>
      <c r="M509" s="89">
        <f>LS[[#This Row],[Amount]]/LS[[#This Row],[Unit]]</f>
        <v>11.104941699056081</v>
      </c>
      <c r="N509" s="90">
        <f>LS[[#This Row],[Unit Capital]]/10</f>
        <v>27015</v>
      </c>
      <c r="O509" s="90">
        <f>SUMIFS(LS[[#Headers],[Unit]]:LS[[#This Row],[Unit]],LS[[#Headers],[Investor ID]]:LS[[#This Row],[Investor ID]],LS[[#This Row],[Investor ID]])</f>
        <v>27015</v>
      </c>
      <c r="P509" s="96">
        <v>270150</v>
      </c>
      <c r="Q509" s="48">
        <f>LS[[#This Row],[Amount]]-LS[[#This Row],[Unit Capital]]</f>
        <v>29850</v>
      </c>
      <c r="R509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509" s="89">
        <f t="shared" si="7"/>
        <v>14.224</v>
      </c>
      <c r="T509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09" s="96" cm="1">
        <f t="array" ref="U509">IF(LS[[#This Row],[B/S]]="S",ABS(LS[[#This Row],[Unit]])*(INDEX(LS[NAV at Cost (Average)],MATCH(CONCATENATE((LS[[#This Row],[Frequency]]-1),LS[[#This Row],[Investor ID]]),LS[Unique Code],0),0)),0)</f>
        <v>0</v>
      </c>
      <c r="V509" s="96">
        <f>IF(LS[[#This Row],[BO TRANSFER]]="YES",LS[[#This Row],[Unit]],)</f>
        <v>0</v>
      </c>
      <c r="W509" s="96">
        <f>SUMIFS(LS[[#Headers],[BO UNIT TRANSFER]]:LS[[#This Row],[BO UNIT TRANSFER]],LS[[#Headers],[Investor ID]]:LS[[#This Row],[Investor ID]],LS[[#This Row],[Investor ID]])</f>
        <v>0</v>
      </c>
    </row>
    <row r="510" spans="1:23">
      <c r="A510" s="75">
        <v>2024</v>
      </c>
      <c r="B510" s="75">
        <v>6</v>
      </c>
      <c r="C510" s="75">
        <v>13</v>
      </c>
      <c r="D510" s="81">
        <f>DATE(LS[[#This Row],[Year]],LS[[#This Row],[Month]],LS[[#This Row],[Day]])</f>
        <v>45456</v>
      </c>
      <c r="E510" t="str" cm="1">
        <f t="array" ref="E510">INDEX(INVESTORS_LIST[INVESTOR NAME],MATCH(LS[[#This Row],[Investor ID]],INVESTORS_LIST[INVESTOR CODE],0),)</f>
        <v>MAHMOOD KABIR</v>
      </c>
      <c r="F510" s="83" t="s">
        <v>1165</v>
      </c>
      <c r="G510" s="75">
        <f>COUNTIF(LS[[#Headers],[Investor ID]]:LS[[#This Row],[Investor ID]],LS[[#This Row],[Investor ID]])</f>
        <v>2</v>
      </c>
      <c r="H510" s="75" t="str">
        <f>CONCATENATE(LS[[#This Row],[Frequency]],LS[[#This Row],[Investor ID]])</f>
        <v>2A00558</v>
      </c>
      <c r="I510" s="75" t="str">
        <f>IF(LS[[#This Row],[B/S]]="B","BUY",(IF(LS[[#This Row],[B/S]]="S","SELL"," ")))</f>
        <v>BUY</v>
      </c>
      <c r="J510" s="75" t="s">
        <v>1229</v>
      </c>
      <c r="K510" s="88">
        <v>100000</v>
      </c>
      <c r="L510" s="88"/>
      <c r="M510" s="89">
        <f>LS[[#This Row],[Amount]]/LS[[#This Row],[Unit]]</f>
        <v>11.104941699056081</v>
      </c>
      <c r="N510" s="90">
        <f>LS[[#This Row],[Unit Capital]]/10</f>
        <v>9005</v>
      </c>
      <c r="O510" s="90">
        <f>SUMIFS(LS[[#Headers],[Unit]]:LS[[#This Row],[Unit]],LS[[#Headers],[Investor ID]]:LS[[#This Row],[Investor ID]],LS[[#This Row],[Investor ID]])</f>
        <v>36020</v>
      </c>
      <c r="P510" s="96">
        <v>90050</v>
      </c>
      <c r="Q510" s="48">
        <f>LS[[#This Row],[Amount]]-LS[[#This Row],[Unit Capital]]</f>
        <v>9950</v>
      </c>
      <c r="R510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510" s="89">
        <f t="shared" si="7"/>
        <v>14.224</v>
      </c>
      <c r="T510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0" s="96" cm="1">
        <f t="array" ref="U510">IF(LS[[#This Row],[B/S]]="S",ABS(LS[[#This Row],[Unit]])*(INDEX(LS[NAV at Cost (Average)],MATCH(CONCATENATE((LS[[#This Row],[Frequency]]-1),LS[[#This Row],[Investor ID]]),LS[Unique Code],0),0)),0)</f>
        <v>0</v>
      </c>
      <c r="V510" s="96">
        <f>IF(LS[[#This Row],[BO TRANSFER]]="YES",LS[[#This Row],[Unit]],)</f>
        <v>0</v>
      </c>
      <c r="W510" s="96">
        <f>SUMIFS(LS[[#Headers],[BO UNIT TRANSFER]]:LS[[#This Row],[BO UNIT TRANSFER]],LS[[#Headers],[Investor ID]]:LS[[#This Row],[Investor ID]],LS[[#This Row],[Investor ID]])</f>
        <v>0</v>
      </c>
    </row>
    <row r="511" spans="1:23">
      <c r="A511" s="75">
        <v>2024</v>
      </c>
      <c r="B511" s="75">
        <v>6</v>
      </c>
      <c r="C511" s="75">
        <v>13</v>
      </c>
      <c r="D511" s="81">
        <f>DATE(LS[[#This Row],[Year]],LS[[#This Row],[Month]],LS[[#This Row],[Day]])</f>
        <v>45456</v>
      </c>
      <c r="E511" t="str" cm="1">
        <f t="array" ref="E511">INDEX(INVESTORS_LIST[INVESTOR NAME],MATCH(LS[[#This Row],[Investor ID]],INVESTORS_LIST[INVESTOR CODE],0),)</f>
        <v>MAHMOOD KABIR</v>
      </c>
      <c r="F511" s="83" t="s">
        <v>1165</v>
      </c>
      <c r="G511" s="75">
        <f>COUNTIF(LS[[#Headers],[Investor ID]]:LS[[#This Row],[Investor ID]],LS[[#This Row],[Investor ID]])</f>
        <v>3</v>
      </c>
      <c r="H511" s="75" t="str">
        <f>CONCATENATE(LS[[#This Row],[Frequency]],LS[[#This Row],[Investor ID]])</f>
        <v>3A00558</v>
      </c>
      <c r="I511" s="75" t="str">
        <f>IF(LS[[#This Row],[B/S]]="B","BUY",(IF(LS[[#This Row],[B/S]]="S","SELL"," ")))</f>
        <v>BUY</v>
      </c>
      <c r="J511" s="75" t="s">
        <v>1229</v>
      </c>
      <c r="K511" s="88">
        <v>100000</v>
      </c>
      <c r="L511" s="88"/>
      <c r="M511" s="89">
        <f>LS[[#This Row],[Amount]]/LS[[#This Row],[Unit]]</f>
        <v>11.104941699056081</v>
      </c>
      <c r="N511" s="90">
        <f>LS[[#This Row],[Unit Capital]]/10</f>
        <v>9005</v>
      </c>
      <c r="O511" s="90">
        <f>SUMIFS(LS[[#Headers],[Unit]]:LS[[#This Row],[Unit]],LS[[#Headers],[Investor ID]]:LS[[#This Row],[Investor ID]],LS[[#This Row],[Investor ID]])</f>
        <v>45025</v>
      </c>
      <c r="P511" s="96">
        <v>90050</v>
      </c>
      <c r="Q511" s="48">
        <f>LS[[#This Row],[Amount]]-LS[[#This Row],[Unit Capital]]</f>
        <v>9950</v>
      </c>
      <c r="R511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511" s="89">
        <f t="shared" si="7"/>
        <v>14.224</v>
      </c>
      <c r="T511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1" s="96" cm="1">
        <f t="array" ref="U511">IF(LS[[#This Row],[B/S]]="S",ABS(LS[[#This Row],[Unit]])*(INDEX(LS[NAV at Cost (Average)],MATCH(CONCATENATE((LS[[#This Row],[Frequency]]-1),LS[[#This Row],[Investor ID]]),LS[Unique Code],0),0)),0)</f>
        <v>0</v>
      </c>
      <c r="V511" s="96">
        <f>IF(LS[[#This Row],[BO TRANSFER]]="YES",LS[[#This Row],[Unit]],)</f>
        <v>0</v>
      </c>
      <c r="W511" s="96">
        <f>SUMIFS(LS[[#Headers],[BO UNIT TRANSFER]]:LS[[#This Row],[BO UNIT TRANSFER]],LS[[#Headers],[Investor ID]]:LS[[#This Row],[Investor ID]],LS[[#This Row],[Investor ID]])</f>
        <v>0</v>
      </c>
    </row>
    <row r="512" spans="1:23">
      <c r="A512" s="75">
        <v>2024</v>
      </c>
      <c r="B512" s="75">
        <v>6</v>
      </c>
      <c r="C512" s="75">
        <v>20</v>
      </c>
      <c r="D512" s="81">
        <f>DATE(LS[[#This Row],[Year]],LS[[#This Row],[Month]],LS[[#This Row],[Day]])</f>
        <v>45463</v>
      </c>
      <c r="E512" t="str" cm="1">
        <f t="array" ref="E512">INDEX(INVESTORS_LIST[INVESTOR NAME],MATCH(LS[[#This Row],[Investor ID]],INVESTORS_LIST[INVESTOR CODE],0),)</f>
        <v>TANIZA MAZED</v>
      </c>
      <c r="F512" s="83" t="s">
        <v>84</v>
      </c>
      <c r="G512" s="75">
        <f>COUNTIF(LS[[#Headers],[Investor ID]]:LS[[#This Row],[Investor ID]],LS[[#This Row],[Investor ID]])</f>
        <v>3</v>
      </c>
      <c r="H512" s="75" t="str">
        <f>CONCATENATE(LS[[#This Row],[Frequency]],LS[[#This Row],[Investor ID]])</f>
        <v>3A00019</v>
      </c>
      <c r="I512" s="75" t="str">
        <f>IF(LS[[#This Row],[B/S]]="B","BUY",(IF(LS[[#This Row],[B/S]]="S","SELL"," ")))</f>
        <v>BUY</v>
      </c>
      <c r="J512" s="75" t="s">
        <v>1229</v>
      </c>
      <c r="K512" s="88">
        <v>800000</v>
      </c>
      <c r="L512" s="88"/>
      <c r="M512" s="89">
        <f>LS[[#This Row],[Amount]]/LS[[#This Row],[Unit]]</f>
        <v>11.136012472333968</v>
      </c>
      <c r="N512" s="90">
        <f>LS[[#This Row],[Unit Capital]]/10</f>
        <v>71839</v>
      </c>
      <c r="O512" s="90">
        <f>SUMIFS(LS[[#Headers],[Unit]]:LS[[#This Row],[Unit]],LS[[#Headers],[Investor ID]]:LS[[#This Row],[Investor ID]],LS[[#This Row],[Investor ID]])</f>
        <v>171839</v>
      </c>
      <c r="P512" s="96">
        <v>718390</v>
      </c>
      <c r="Q512" s="48">
        <f>LS[[#This Row],[Amount]]-LS[[#This Row],[Unit Capital]]</f>
        <v>81610</v>
      </c>
      <c r="R512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10.474921292605288</v>
      </c>
      <c r="S512" s="89">
        <f t="shared" si="7"/>
        <v>14.224</v>
      </c>
      <c r="T512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2" s="96" cm="1">
        <f t="array" ref="U512">IF(LS[[#This Row],[B/S]]="S",ABS(LS[[#This Row],[Unit]])*(INDEX(LS[NAV at Cost (Average)],MATCH(CONCATENATE((LS[[#This Row],[Frequency]]-1),LS[[#This Row],[Investor ID]]),LS[Unique Code],0),0)),0)</f>
        <v>0</v>
      </c>
      <c r="V512" s="96">
        <f>IF(LS[[#This Row],[BO TRANSFER]]="YES",LS[[#This Row],[Unit]],)</f>
        <v>0</v>
      </c>
      <c r="W512" s="96">
        <f>SUMIFS(LS[[#Headers],[BO UNIT TRANSFER]]:LS[[#This Row],[BO UNIT TRANSFER]],LS[[#Headers],[Investor ID]]:LS[[#This Row],[Investor ID]],LS[[#This Row],[Investor ID]])</f>
        <v>0</v>
      </c>
    </row>
    <row r="513" spans="1:23">
      <c r="A513" s="75">
        <v>2024</v>
      </c>
      <c r="B513" s="75">
        <v>6</v>
      </c>
      <c r="C513" s="75">
        <v>20</v>
      </c>
      <c r="D513" s="81">
        <f>DATE(LS[[#This Row],[Year]],LS[[#This Row],[Month]],LS[[#This Row],[Day]])</f>
        <v>45463</v>
      </c>
      <c r="E513" t="str" cm="1">
        <f t="array" ref="E513">INDEX(INVESTORS_LIST[INVESTOR NAME],MATCH(LS[[#This Row],[Investor ID]],INVESTORS_LIST[INVESTOR CODE],0),)</f>
        <v>MD. MOMINUL HOQUE</v>
      </c>
      <c r="F513" s="83" t="s">
        <v>115</v>
      </c>
      <c r="G513" s="75">
        <f>COUNTIF(LS[[#Headers],[Investor ID]]:LS[[#This Row],[Investor ID]],LS[[#This Row],[Investor ID]])</f>
        <v>1</v>
      </c>
      <c r="H513" s="75" t="str">
        <f>CONCATENATE(LS[[#This Row],[Frequency]],LS[[#This Row],[Investor ID]])</f>
        <v>1A00034</v>
      </c>
      <c r="I513" s="75" t="str">
        <f>IF(LS[[#This Row],[B/S]]="B","BUY",(IF(LS[[#This Row],[B/S]]="S","SELL"," ")))</f>
        <v>BUY</v>
      </c>
      <c r="J513" s="75" t="s">
        <v>1229</v>
      </c>
      <c r="K513" s="88">
        <v>365000</v>
      </c>
      <c r="L513" s="88"/>
      <c r="M513" s="89">
        <f>LS[[#This Row],[Amount]]/LS[[#This Row],[Unit]]</f>
        <v>11.135857461024498</v>
      </c>
      <c r="N513" s="90">
        <f>LS[[#This Row],[Unit Capital]]/10</f>
        <v>32777</v>
      </c>
      <c r="O513" s="90">
        <f>SUMIFS(LS[[#Headers],[Unit]]:LS[[#This Row],[Unit]],LS[[#Headers],[Investor ID]]:LS[[#This Row],[Investor ID]],LS[[#This Row],[Investor ID]])</f>
        <v>32777</v>
      </c>
      <c r="P513" s="96">
        <v>327770</v>
      </c>
      <c r="Q513" s="48">
        <f>LS[[#This Row],[Amount]]-LS[[#This Row],[Unit Capital]]</f>
        <v>37230</v>
      </c>
      <c r="R513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11.135857461024498</v>
      </c>
      <c r="S513" s="89">
        <f t="shared" si="7"/>
        <v>14.224</v>
      </c>
      <c r="T513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3" s="96" cm="1">
        <f t="array" ref="U513">IF(LS[[#This Row],[B/S]]="S",ABS(LS[[#This Row],[Unit]])*(INDEX(LS[NAV at Cost (Average)],MATCH(CONCATENATE((LS[[#This Row],[Frequency]]-1),LS[[#This Row],[Investor ID]]),LS[Unique Code],0),0)),0)</f>
        <v>0</v>
      </c>
      <c r="V513" s="96">
        <f>IF(LS[[#This Row],[BO TRANSFER]]="YES",LS[[#This Row],[Unit]],)</f>
        <v>0</v>
      </c>
      <c r="W513" s="96">
        <f>SUMIFS(LS[[#Headers],[BO UNIT TRANSFER]]:LS[[#This Row],[BO UNIT TRANSFER]],LS[[#Headers],[Investor ID]]:LS[[#This Row],[Investor ID]],LS[[#This Row],[Investor ID]])</f>
        <v>0</v>
      </c>
    </row>
    <row r="514" spans="1:23">
      <c r="A514" s="75">
        <v>2024</v>
      </c>
      <c r="B514" s="75">
        <v>6</v>
      </c>
      <c r="C514" s="75">
        <v>23</v>
      </c>
      <c r="D514" s="81">
        <f>DATE(LS[[#This Row],[Year]],LS[[#This Row],[Month]],LS[[#This Row],[Day]])</f>
        <v>45466</v>
      </c>
      <c r="E514" t="str" cm="1">
        <f t="array" ref="E514">INDEX(INVESTORS_LIST[INVESTOR NAME],MATCH(LS[[#This Row],[Investor ID]],INVESTORS_LIST[INVESTOR CODE],0),)</f>
        <v>AFRINA AKTER MISHU</v>
      </c>
      <c r="F514" s="124" t="s">
        <v>1180</v>
      </c>
      <c r="G514" s="75">
        <f>COUNTIF(LS[[#Headers],[Investor ID]]:LS[[#This Row],[Investor ID]],LS[[#This Row],[Investor ID]])</f>
        <v>1</v>
      </c>
      <c r="H514" s="75" t="str">
        <f>CONCATENATE(LS[[#This Row],[Frequency]],LS[[#This Row],[Investor ID]])</f>
        <v>1A00566</v>
      </c>
      <c r="I514" s="75" t="str">
        <f>IF(LS[[#This Row],[B/S]]="B","BUY",(IF(LS[[#This Row],[B/S]]="S","SELL"," ")))</f>
        <v>BUY</v>
      </c>
      <c r="J514" s="75" t="s">
        <v>1229</v>
      </c>
      <c r="K514" s="88">
        <v>1000000</v>
      </c>
      <c r="L514" s="88"/>
      <c r="M514" s="89">
        <f>LS[[#This Row],[Amount]]/LS[[#This Row],[Unit]]</f>
        <v>11.135981469726834</v>
      </c>
      <c r="N514" s="90">
        <f>LS[[#This Row],[Unit Capital]]/10</f>
        <v>89799</v>
      </c>
      <c r="O514" s="90">
        <f>SUMIFS(LS[[#Headers],[Unit]]:LS[[#This Row],[Unit]],LS[[#Headers],[Investor ID]]:LS[[#This Row],[Investor ID]],LS[[#This Row],[Investor ID]])</f>
        <v>89799</v>
      </c>
      <c r="P514" s="96">
        <v>897990</v>
      </c>
      <c r="Q514" s="48">
        <f>LS[[#This Row],[Amount]]-LS[[#This Row],[Unit Capital]]</f>
        <v>102010</v>
      </c>
      <c r="R514" s="9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11.135981469726834</v>
      </c>
      <c r="S514" s="89">
        <f t="shared" si="7"/>
        <v>14.224</v>
      </c>
      <c r="T514" s="9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4" s="96" cm="1">
        <f t="array" ref="U514">IF(LS[[#This Row],[B/S]]="S",ABS(LS[[#This Row],[Unit]])*(INDEX(LS[NAV at Cost (Average)],MATCH(CONCATENATE((LS[[#This Row],[Frequency]]-1),LS[[#This Row],[Investor ID]]),LS[Unique Code],0),0)),0)</f>
        <v>0</v>
      </c>
      <c r="V514" s="96">
        <f>IF(LS[[#This Row],[BO TRANSFER]]="YES",LS[[#This Row],[Unit]],)</f>
        <v>0</v>
      </c>
      <c r="W514" s="96">
        <f>SUMIFS(LS[[#Headers],[BO UNIT TRANSFER]]:LS[[#This Row],[BO UNIT TRANSFER]],LS[[#Headers],[Investor ID]]:LS[[#This Row],[Investor ID]],LS[[#This Row],[Investor ID]])</f>
        <v>0</v>
      </c>
    </row>
    <row r="515" spans="1:23">
      <c r="A515" s="75">
        <v>2024</v>
      </c>
      <c r="B515" s="75">
        <v>6</v>
      </c>
      <c r="C515" s="75">
        <v>23</v>
      </c>
      <c r="D515" s="98">
        <f>DATE(LS[[#This Row],[Year]],LS[[#This Row],[Month]],LS[[#This Row],[Day]])</f>
        <v>45466</v>
      </c>
      <c r="E515" t="str" cm="1">
        <f t="array" ref="E515">INDEX(INVESTORS_LIST[INVESTOR NAME],MATCH(LS[[#This Row],[Investor ID]],INVESTORS_LIST[INVESTOR CODE],0),)</f>
        <v>MUSTAFA KAMAL MASUD</v>
      </c>
      <c r="F515" s="100" t="s">
        <v>1026</v>
      </c>
      <c r="G515" s="101">
        <f>COUNTIF(LS[[#Headers],[Investor ID]]:LS[[#This Row],[Investor ID]],LS[[#This Row],[Investor ID]])</f>
        <v>6</v>
      </c>
      <c r="H515" s="101" t="str">
        <f>CONCATENATE(LS[[#This Row],[Frequency]],LS[[#This Row],[Investor ID]])</f>
        <v>6A00490</v>
      </c>
      <c r="I515" s="75" t="str">
        <f>IF(LS[[#This Row],[B/S]]="B","BUY",(IF(LS[[#This Row],[B/S]]="S","SELL"," ")))</f>
        <v>SELL</v>
      </c>
      <c r="J515" s="101" t="s">
        <v>1231</v>
      </c>
      <c r="K515" s="102">
        <v>-1500000</v>
      </c>
      <c r="L515" s="88"/>
      <c r="M515" s="103">
        <f>LS[[#This Row],[Amount]]/LS[[#This Row],[Unit]]</f>
        <v>11.152001784320285</v>
      </c>
      <c r="N515" s="104">
        <f>LS[[#This Row],[Unit Capital]]/10</f>
        <v>-134505</v>
      </c>
      <c r="O515" s="104">
        <f>SUMIFS(LS[[#Headers],[Unit]]:LS[[#This Row],[Unit]],LS[[#Headers],[Investor ID]]:LS[[#This Row],[Investor ID]],LS[[#This Row],[Investor ID]])</f>
        <v>99541</v>
      </c>
      <c r="P515" s="102">
        <v>-1345050</v>
      </c>
      <c r="Q515" s="102">
        <f>LS[[#This Row],[Amount]]-LS[[#This Row],[Unit Capital]]</f>
        <v>-154950</v>
      </c>
      <c r="R5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10.822057985617159</v>
      </c>
      <c r="S515" s="103">
        <f t="shared" ref="S515:S578" si="8">IFERROR(NAV_MKT,0)</f>
        <v>14.224</v>
      </c>
      <c r="T515" s="102">
        <f>IF(LS[[#This Row],[B/S]]="B",0,ABS(LS[[#This Row],[Unit]])*(LS[[#This Row],[NAV (Strike Rate)]]-INDEX(LS[NAV at Cost (Average)],MATCH(CONCATENATE(LS[[#This Row],[Frequency]]-1,LS[[#This Row],[Investor ID]]),LS[Unique Code],0),)))</f>
        <v>44379.090644564079</v>
      </c>
      <c r="U515" s="96" cm="1">
        <f t="array" ref="U515">IF(LS[[#This Row],[B/S]]="S",ABS(LS[[#This Row],[Unit]])*(INDEX(LS[NAV at Cost (Average)],MATCH(CONCATENATE((LS[[#This Row],[Frequency]]-1),LS[[#This Row],[Investor ID]]),LS[Unique Code],0),0)),0)</f>
        <v>1455620.909355436</v>
      </c>
      <c r="V515" s="96">
        <f>IF(LS[[#This Row],[BO TRANSFER]]="YES",LS[[#This Row],[Unit]],)</f>
        <v>0</v>
      </c>
      <c r="W515" s="96">
        <f>SUMIFS(LS[[#Headers],[BO UNIT TRANSFER]]:LS[[#This Row],[BO UNIT TRANSFER]],LS[[#Headers],[Investor ID]]:LS[[#This Row],[Investor ID]],LS[[#This Row],[Investor ID]])</f>
        <v>0</v>
      </c>
    </row>
    <row r="516" spans="1:23">
      <c r="A516" s="75">
        <v>2024</v>
      </c>
      <c r="B516" s="75">
        <v>6</v>
      </c>
      <c r="C516" s="75">
        <v>24</v>
      </c>
      <c r="D516" s="98">
        <f>DATE(LS[[#This Row],[Year]],LS[[#This Row],[Month]],LS[[#This Row],[Day]])</f>
        <v>45467</v>
      </c>
      <c r="E516" s="99" t="str">
        <f>INDEX(INVESTORS_LIST[INVESTOR NAME],MATCH(LS[[#This Row],[Investor ID]],INVESTORS_LIST[INVESTOR CODE],0),)</f>
        <v>SADMAN PRODHAN</v>
      </c>
      <c r="F516" s="100" t="s">
        <v>1169</v>
      </c>
      <c r="G516" s="101">
        <f>COUNTIF(LS[[#Headers],[Investor ID]]:LS[[#This Row],[Investor ID]],LS[[#This Row],[Investor ID]])</f>
        <v>1</v>
      </c>
      <c r="H516" s="101" t="str">
        <f>CONCATENATE(LS[[#This Row],[Frequency]],LS[[#This Row],[Investor ID]])</f>
        <v>1A00560</v>
      </c>
      <c r="I516" s="75" t="str">
        <f>IF(LS[[#This Row],[B/S]]="B","BUY",(IF(LS[[#This Row],[B/S]]="S","SELL"," ")))</f>
        <v>BUY</v>
      </c>
      <c r="J516" s="101" t="s">
        <v>1229</v>
      </c>
      <c r="K516" s="102">
        <v>250000</v>
      </c>
      <c r="L516" s="99"/>
      <c r="M516" s="103">
        <f>LS[[#This Row],[Amount]]/LS[[#This Row],[Unit]]</f>
        <v>11.151753055580338</v>
      </c>
      <c r="N516" s="104">
        <f>LS[[#This Row],[Unit Capital]]/10</f>
        <v>22418</v>
      </c>
      <c r="O516" s="104">
        <f>SUMIFS(LS[[#Headers],[Unit]]:LS[[#This Row],[Unit]],LS[[#Headers],[Investor ID]]:LS[[#This Row],[Investor ID]],LS[[#This Row],[Investor ID]])</f>
        <v>22418</v>
      </c>
      <c r="P516" s="102">
        <v>224180</v>
      </c>
      <c r="Q516" s="102">
        <f>LS[[#This Row],[Amount]]-LS[[#This Row],[Unit Capital]]</f>
        <v>25820</v>
      </c>
      <c r="R5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11.151753055580338</v>
      </c>
      <c r="S516" s="103">
        <f t="shared" si="8"/>
        <v>14.224</v>
      </c>
      <c r="T51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6" s="96" cm="1">
        <f t="array" ref="U516">IF(LS[[#This Row],[B/S]]="S",ABS(LS[[#This Row],[Unit]])*(INDEX(LS[NAV at Cost (Average)],MATCH(CONCATENATE((LS[[#This Row],[Frequency]]-1),LS[[#This Row],[Investor ID]]),LS[Unique Code],0),0)),0)</f>
        <v>0</v>
      </c>
      <c r="V516" s="96">
        <f>IF(LS[[#This Row],[BO TRANSFER]]="YES",LS[[#This Row],[Unit]],)</f>
        <v>0</v>
      </c>
      <c r="W516" s="96">
        <f>SUMIFS(LS[[#Headers],[BO UNIT TRANSFER]]:LS[[#This Row],[BO UNIT TRANSFER]],LS[[#Headers],[Investor ID]]:LS[[#This Row],[Investor ID]],LS[[#This Row],[Investor ID]])</f>
        <v>0</v>
      </c>
    </row>
    <row r="517" spans="1:23">
      <c r="A517" s="75">
        <v>2024</v>
      </c>
      <c r="B517" s="75">
        <v>6</v>
      </c>
      <c r="C517" s="75">
        <v>25</v>
      </c>
      <c r="D517" s="98">
        <f>DATE(LS[[#This Row],[Year]],LS[[#This Row],[Month]],LS[[#This Row],[Day]])</f>
        <v>45468</v>
      </c>
      <c r="E517" s="99" t="str">
        <f>INDEX(INVESTORS_LIST[INVESTOR NAME],MATCH(LS[[#This Row],[Investor ID]],INVESTORS_LIST[INVESTOR CODE],0),)</f>
        <v>FARZANA JITU</v>
      </c>
      <c r="F517" s="100" t="s">
        <v>968</v>
      </c>
      <c r="G517" s="101">
        <f>COUNTIF(LS[[#Headers],[Investor ID]]:LS[[#This Row],[Investor ID]],LS[[#This Row],[Investor ID]])</f>
        <v>3</v>
      </c>
      <c r="H517" s="101" t="str">
        <f>CONCATENATE(LS[[#This Row],[Frequency]],LS[[#This Row],[Investor ID]])</f>
        <v>3A00461</v>
      </c>
      <c r="I517" s="75" t="str">
        <f>IF(LS[[#This Row],[B/S]]="B","BUY",(IF(LS[[#This Row],[B/S]]="S","SELL"," ")))</f>
        <v>BUY</v>
      </c>
      <c r="J517" s="101" t="s">
        <v>1229</v>
      </c>
      <c r="K517" s="102">
        <v>60000</v>
      </c>
      <c r="L517" s="88"/>
      <c r="M517" s="103">
        <f>LS[[#This Row],[Amount]]/LS[[#This Row],[Unit]]</f>
        <v>11.152416356877323</v>
      </c>
      <c r="N517" s="104">
        <f>LS[[#This Row],[Unit Capital]]/10</f>
        <v>5380</v>
      </c>
      <c r="O517" s="104">
        <f>SUMIFS(LS[[#Headers],[Unit]]:LS[[#This Row],[Unit]],LS[[#Headers],[Investor ID]]:LS[[#This Row],[Investor ID]],LS[[#This Row],[Investor ID]])</f>
        <v>5380</v>
      </c>
      <c r="P517" s="102">
        <v>53800</v>
      </c>
      <c r="Q517" s="102">
        <f>LS[[#This Row],[Amount]]-LS[[#This Row],[Unit Capital]]</f>
        <v>6200</v>
      </c>
      <c r="R5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11.152416356877323</v>
      </c>
      <c r="S517" s="103">
        <f t="shared" si="8"/>
        <v>14.224</v>
      </c>
      <c r="T51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7" s="96" cm="1">
        <f t="array" ref="U517">IF(LS[[#This Row],[B/S]]="S",ABS(LS[[#This Row],[Unit]])*(INDEX(LS[NAV at Cost (Average)],MATCH(CONCATENATE((LS[[#This Row],[Frequency]]-1),LS[[#This Row],[Investor ID]]),LS[Unique Code],0),0)),0)</f>
        <v>0</v>
      </c>
      <c r="V517" s="96">
        <f>IF(LS[[#This Row],[BO TRANSFER]]="YES",LS[[#This Row],[Unit]],)</f>
        <v>0</v>
      </c>
      <c r="W517" s="96">
        <f>SUMIFS(LS[[#Headers],[BO UNIT TRANSFER]]:LS[[#This Row],[BO UNIT TRANSFER]],LS[[#Headers],[Investor ID]]:LS[[#This Row],[Investor ID]],LS[[#This Row],[Investor ID]])</f>
        <v>0</v>
      </c>
    </row>
    <row r="518" spans="1:23">
      <c r="A518" s="75">
        <v>2024</v>
      </c>
      <c r="B518" s="75">
        <v>6</v>
      </c>
      <c r="C518" s="75">
        <v>25</v>
      </c>
      <c r="D518" s="98">
        <f>DATE(LS[[#This Row],[Year]],LS[[#This Row],[Month]],LS[[#This Row],[Day]])</f>
        <v>45468</v>
      </c>
      <c r="E518" s="99" t="str">
        <f>INDEX(INVESTORS_LIST[INVESTOR NAME],MATCH(LS[[#This Row],[Investor ID]],INVESTORS_LIST[INVESTOR CODE],0),)</f>
        <v>IKRAMUL BASHAR</v>
      </c>
      <c r="F518" s="100" t="s">
        <v>1177</v>
      </c>
      <c r="G518" s="101">
        <f>COUNTIF(LS[[#Headers],[Investor ID]]:LS[[#This Row],[Investor ID]],LS[[#This Row],[Investor ID]])</f>
        <v>1</v>
      </c>
      <c r="H518" s="101" t="str">
        <f>CONCATENATE(LS[[#This Row],[Frequency]],LS[[#This Row],[Investor ID]])</f>
        <v>1A00564</v>
      </c>
      <c r="I518" s="75" t="str">
        <f>IF(LS[[#This Row],[B/S]]="B","BUY",(IF(LS[[#This Row],[B/S]]="S","SELL"," ")))</f>
        <v>BUY</v>
      </c>
      <c r="J518" s="101" t="s">
        <v>1229</v>
      </c>
      <c r="K518" s="102">
        <v>120000</v>
      </c>
      <c r="L518" s="99"/>
      <c r="M518" s="103">
        <f>LS[[#This Row],[Amount]]/LS[[#This Row],[Unit]]</f>
        <v>11.152416356877323</v>
      </c>
      <c r="N518" s="104">
        <f>LS[[#This Row],[Unit Capital]]/10</f>
        <v>10760</v>
      </c>
      <c r="O518" s="104">
        <f>SUMIFS(LS[[#Headers],[Unit]]:LS[[#This Row],[Unit]],LS[[#Headers],[Investor ID]]:LS[[#This Row],[Investor ID]],LS[[#This Row],[Investor ID]])</f>
        <v>10760</v>
      </c>
      <c r="P518" s="102">
        <v>107600</v>
      </c>
      <c r="Q518" s="102">
        <f>LS[[#This Row],[Amount]]-LS[[#This Row],[Unit Capital]]</f>
        <v>12400</v>
      </c>
      <c r="R5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11.152416356877323</v>
      </c>
      <c r="S518" s="103">
        <f t="shared" si="8"/>
        <v>14.224</v>
      </c>
      <c r="T5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8" s="96" cm="1">
        <f t="array" ref="U518">IF(LS[[#This Row],[B/S]]="S",ABS(LS[[#This Row],[Unit]])*(INDEX(LS[NAV at Cost (Average)],MATCH(CONCATENATE((LS[[#This Row],[Frequency]]-1),LS[[#This Row],[Investor ID]]),LS[Unique Code],0),0)),0)</f>
        <v>0</v>
      </c>
      <c r="V518" s="96">
        <f>IF(LS[[#This Row],[BO TRANSFER]]="YES",LS[[#This Row],[Unit]],)</f>
        <v>0</v>
      </c>
      <c r="W518" s="96">
        <f>SUMIFS(LS[[#Headers],[BO UNIT TRANSFER]]:LS[[#This Row],[BO UNIT TRANSFER]],LS[[#Headers],[Investor ID]]:LS[[#This Row],[Investor ID]],LS[[#This Row],[Investor ID]])</f>
        <v>0</v>
      </c>
    </row>
    <row r="519" spans="1:23">
      <c r="A519" s="75">
        <v>2024</v>
      </c>
      <c r="B519" s="75">
        <v>6</v>
      </c>
      <c r="C519" s="75">
        <v>25</v>
      </c>
      <c r="D519" s="98">
        <f>DATE(LS[[#This Row],[Year]],LS[[#This Row],[Month]],LS[[#This Row],[Day]])</f>
        <v>45468</v>
      </c>
      <c r="E519" s="99" t="str">
        <f>INDEX(INVESTORS_LIST[INVESTOR NAME],MATCH(LS[[#This Row],[Investor ID]],INVESTORS_LIST[INVESTOR CODE],0),)</f>
        <v>MUHAMMAD SHOHIDUZZAMAN</v>
      </c>
      <c r="F519" s="100" t="s">
        <v>986</v>
      </c>
      <c r="G519" s="101">
        <f>COUNTIF(LS[[#Headers],[Investor ID]]:LS[[#This Row],[Investor ID]],LS[[#This Row],[Investor ID]])</f>
        <v>4</v>
      </c>
      <c r="H519" s="101" t="str">
        <f>CONCATENATE(LS[[#This Row],[Frequency]],LS[[#This Row],[Investor ID]])</f>
        <v>4A00470</v>
      </c>
      <c r="I519" s="75" t="str">
        <f>IF(LS[[#This Row],[B/S]]="B","BUY",(IF(LS[[#This Row],[B/S]]="S","SELL"," ")))</f>
        <v>BUY</v>
      </c>
      <c r="J519" s="101" t="s">
        <v>1229</v>
      </c>
      <c r="K519" s="102">
        <v>500000</v>
      </c>
      <c r="L519" s="99"/>
      <c r="M519" s="103">
        <f>LS[[#This Row],[Amount]]/LS[[#This Row],[Unit]]</f>
        <v>11.152001784320285</v>
      </c>
      <c r="N519" s="104">
        <f>LS[[#This Row],[Unit Capital]]/10</f>
        <v>44835</v>
      </c>
      <c r="O519" s="104">
        <f>SUMIFS(LS[[#Headers],[Unit]]:LS[[#This Row],[Unit]],LS[[#Headers],[Investor ID]]:LS[[#This Row],[Investor ID]],LS[[#This Row],[Investor ID]])</f>
        <v>44835</v>
      </c>
      <c r="P519" s="102">
        <v>448350</v>
      </c>
      <c r="Q519" s="102">
        <f>LS[[#This Row],[Amount]]-LS[[#This Row],[Unit Capital]]</f>
        <v>51650</v>
      </c>
      <c r="R5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19" s="103">
        <f t="shared" si="8"/>
        <v>14.224</v>
      </c>
      <c r="T51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19" s="96" cm="1">
        <f t="array" ref="U519">IF(LS[[#This Row],[B/S]]="S",ABS(LS[[#This Row],[Unit]])*(INDEX(LS[NAV at Cost (Average)],MATCH(CONCATENATE((LS[[#This Row],[Frequency]]-1),LS[[#This Row],[Investor ID]]),LS[Unique Code],0),0)),0)</f>
        <v>0</v>
      </c>
      <c r="V519" s="96">
        <f>IF(LS[[#This Row],[BO TRANSFER]]="YES",LS[[#This Row],[Unit]],)</f>
        <v>0</v>
      </c>
      <c r="W519" s="96">
        <f>SUMIFS(LS[[#Headers],[BO UNIT TRANSFER]]:LS[[#This Row],[BO UNIT TRANSFER]],LS[[#Headers],[Investor ID]]:LS[[#This Row],[Investor ID]],LS[[#This Row],[Investor ID]])</f>
        <v>0</v>
      </c>
    </row>
    <row r="520" spans="1:23">
      <c r="A520" s="75">
        <v>2024</v>
      </c>
      <c r="B520" s="75">
        <v>6</v>
      </c>
      <c r="C520" s="75">
        <v>25</v>
      </c>
      <c r="D520" s="98">
        <f>DATE(LS[[#This Row],[Year]],LS[[#This Row],[Month]],LS[[#This Row],[Day]])</f>
        <v>45468</v>
      </c>
      <c r="E520" s="99" t="str">
        <f>INDEX(INVESTORS_LIST[INVESTOR NAME],MATCH(LS[[#This Row],[Investor ID]],INVESTORS_LIST[INVESTOR CODE],0),)</f>
        <v>SULTANA MASHQURA JAHAN</v>
      </c>
      <c r="F520" s="100" t="s">
        <v>1171</v>
      </c>
      <c r="G520" s="101">
        <f>COUNTIF(LS[[#Headers],[Investor ID]]:LS[[#This Row],[Investor ID]],LS[[#This Row],[Investor ID]])</f>
        <v>1</v>
      </c>
      <c r="H520" s="101" t="str">
        <f>CONCATENATE(LS[[#This Row],[Frequency]],LS[[#This Row],[Investor ID]])</f>
        <v>1A00561</v>
      </c>
      <c r="I520" s="75" t="str">
        <f>IF(LS[[#This Row],[B/S]]="B","BUY",(IF(LS[[#This Row],[B/S]]="S","SELL"," ")))</f>
        <v>BUY</v>
      </c>
      <c r="J520" s="101" t="s">
        <v>1229</v>
      </c>
      <c r="K520" s="102">
        <v>200000</v>
      </c>
      <c r="L520" s="99"/>
      <c r="M520" s="103">
        <f>LS[[#This Row],[Amount]]/LS[[#This Row],[Unit]]</f>
        <v>11.152001784320285</v>
      </c>
      <c r="N520" s="104">
        <f>LS[[#This Row],[Unit Capital]]/10</f>
        <v>17934</v>
      </c>
      <c r="O520" s="104">
        <f>SUMIFS(LS[[#Headers],[Unit]]:LS[[#This Row],[Unit]],LS[[#Headers],[Investor ID]]:LS[[#This Row],[Investor ID]],LS[[#This Row],[Investor ID]])</f>
        <v>17934</v>
      </c>
      <c r="P520" s="102">
        <v>179340</v>
      </c>
      <c r="Q520" s="102">
        <f>LS[[#This Row],[Amount]]-LS[[#This Row],[Unit Capital]]</f>
        <v>20660</v>
      </c>
      <c r="R5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20" s="103">
        <f t="shared" si="8"/>
        <v>14.224</v>
      </c>
      <c r="T5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0" s="96" cm="1">
        <f t="array" ref="U520">IF(LS[[#This Row],[B/S]]="S",ABS(LS[[#This Row],[Unit]])*(INDEX(LS[NAV at Cost (Average)],MATCH(CONCATENATE((LS[[#This Row],[Frequency]]-1),LS[[#This Row],[Investor ID]]),LS[Unique Code],0),0)),0)</f>
        <v>0</v>
      </c>
      <c r="V520" s="96">
        <f>IF(LS[[#This Row],[BO TRANSFER]]="YES",LS[[#This Row],[Unit]],)</f>
        <v>0</v>
      </c>
      <c r="W520" s="96">
        <f>SUMIFS(LS[[#Headers],[BO UNIT TRANSFER]]:LS[[#This Row],[BO UNIT TRANSFER]],LS[[#Headers],[Investor ID]]:LS[[#This Row],[Investor ID]],LS[[#This Row],[Investor ID]])</f>
        <v>0</v>
      </c>
    </row>
    <row r="521" spans="1:23">
      <c r="A521" s="75">
        <v>2024</v>
      </c>
      <c r="B521" s="75">
        <v>6</v>
      </c>
      <c r="C521" s="75">
        <v>25</v>
      </c>
      <c r="D521" s="98">
        <f>DATE(LS[[#This Row],[Year]],LS[[#This Row],[Month]],LS[[#This Row],[Day]])</f>
        <v>45468</v>
      </c>
      <c r="E521" s="99" t="str">
        <f>INDEX(INVESTORS_LIST[INVESTOR NAME],MATCH(LS[[#This Row],[Investor ID]],INVESTORS_LIST[INVESTOR CODE],0),)</f>
        <v>FAZLE KARIM MURAD</v>
      </c>
      <c r="F521" s="100" t="s">
        <v>1024</v>
      </c>
      <c r="G521" s="101">
        <f>COUNTIF(LS[[#Headers],[Investor ID]]:LS[[#This Row],[Investor ID]],LS[[#This Row],[Investor ID]])</f>
        <v>2</v>
      </c>
      <c r="H521" s="101" t="str">
        <f>CONCATENATE(LS[[#This Row],[Frequency]],LS[[#This Row],[Investor ID]])</f>
        <v>2A00489</v>
      </c>
      <c r="I521" s="75" t="str">
        <f>IF(LS[[#This Row],[B/S]]="B","BUY",(IF(LS[[#This Row],[B/S]]="S","SELL"," ")))</f>
        <v>BUY</v>
      </c>
      <c r="J521" s="101" t="s">
        <v>1229</v>
      </c>
      <c r="K521" s="102">
        <v>400000</v>
      </c>
      <c r="L521" s="99"/>
      <c r="M521" s="103">
        <f>LS[[#This Row],[Amount]]/LS[[#This Row],[Unit]]</f>
        <v>11.152001784320285</v>
      </c>
      <c r="N521" s="104">
        <f>LS[[#This Row],[Unit Capital]]/10</f>
        <v>35868</v>
      </c>
      <c r="O521" s="104">
        <f>SUMIFS(LS[[#Headers],[Unit]]:LS[[#This Row],[Unit]],LS[[#Headers],[Investor ID]]:LS[[#This Row],[Investor ID]],LS[[#This Row],[Investor ID]])</f>
        <v>75111</v>
      </c>
      <c r="P521" s="102">
        <v>358680</v>
      </c>
      <c r="Q521" s="102">
        <f>LS[[#This Row],[Amount]]-LS[[#This Row],[Unit Capital]]</f>
        <v>41320</v>
      </c>
      <c r="R5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10.650903329738654</v>
      </c>
      <c r="S521" s="103">
        <f t="shared" si="8"/>
        <v>14.224</v>
      </c>
      <c r="T5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1" s="96" cm="1">
        <f t="array" ref="U521">IF(LS[[#This Row],[B/S]]="S",ABS(LS[[#This Row],[Unit]])*(INDEX(LS[NAV at Cost (Average)],MATCH(CONCATENATE((LS[[#This Row],[Frequency]]-1),LS[[#This Row],[Investor ID]]),LS[Unique Code],0),0)),0)</f>
        <v>0</v>
      </c>
      <c r="V521" s="96">
        <f>IF(LS[[#This Row],[BO TRANSFER]]="YES",LS[[#This Row],[Unit]],)</f>
        <v>0</v>
      </c>
      <c r="W521" s="96">
        <f>SUMIFS(LS[[#Headers],[BO UNIT TRANSFER]]:LS[[#This Row],[BO UNIT TRANSFER]],LS[[#Headers],[Investor ID]]:LS[[#This Row],[Investor ID]],LS[[#This Row],[Investor ID]])</f>
        <v>0</v>
      </c>
    </row>
    <row r="522" spans="1:23">
      <c r="A522" s="75">
        <v>2024</v>
      </c>
      <c r="B522" s="75">
        <v>6</v>
      </c>
      <c r="C522" s="75">
        <v>25</v>
      </c>
      <c r="D522" s="98">
        <f>DATE(LS[[#This Row],[Year]],LS[[#This Row],[Month]],LS[[#This Row],[Day]])</f>
        <v>45468</v>
      </c>
      <c r="E522" s="99" t="str">
        <f>INDEX(INVESTORS_LIST[INVESTOR NAME],MATCH(LS[[#This Row],[Investor ID]],INVESTORS_LIST[INVESTOR CODE],0),)</f>
        <v>MD MIZANUR RAHMAN</v>
      </c>
      <c r="F522" s="100" t="s">
        <v>336</v>
      </c>
      <c r="G522" s="101">
        <f>COUNTIF(LS[[#Headers],[Investor ID]]:LS[[#This Row],[Investor ID]],LS[[#This Row],[Investor ID]])</f>
        <v>1</v>
      </c>
      <c r="H522" s="101" t="str">
        <f>CONCATENATE(LS[[#This Row],[Frequency]],LS[[#This Row],[Investor ID]])</f>
        <v>1A00144</v>
      </c>
      <c r="I522" s="75" t="str">
        <f>IF(LS[[#This Row],[B/S]]="B","BUY",(IF(LS[[#This Row],[B/S]]="S","SELL"," ")))</f>
        <v>BUY</v>
      </c>
      <c r="J522" s="101" t="s">
        <v>1229</v>
      </c>
      <c r="K522" s="102">
        <v>100000</v>
      </c>
      <c r="L522" s="99"/>
      <c r="M522" s="103">
        <f>LS[[#This Row],[Amount]]/LS[[#This Row],[Unit]]</f>
        <v>11.152001784320285</v>
      </c>
      <c r="N522" s="104">
        <f>LS[[#This Row],[Unit Capital]]/10</f>
        <v>8967</v>
      </c>
      <c r="O522" s="104">
        <f>SUMIFS(LS[[#Headers],[Unit]]:LS[[#This Row],[Unit]],LS[[#Headers],[Investor ID]]:LS[[#This Row],[Investor ID]],LS[[#This Row],[Investor ID]])</f>
        <v>8967</v>
      </c>
      <c r="P522" s="102">
        <v>89670</v>
      </c>
      <c r="Q522" s="102">
        <f>LS[[#This Row],[Amount]]-LS[[#This Row],[Unit Capital]]</f>
        <v>10330</v>
      </c>
      <c r="R5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22" s="103">
        <f t="shared" si="8"/>
        <v>14.224</v>
      </c>
      <c r="T5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2" s="96" cm="1">
        <f t="array" ref="U522">IF(LS[[#This Row],[B/S]]="S",ABS(LS[[#This Row],[Unit]])*(INDEX(LS[NAV at Cost (Average)],MATCH(CONCATENATE((LS[[#This Row],[Frequency]]-1),LS[[#This Row],[Investor ID]]),LS[Unique Code],0),0)),0)</f>
        <v>0</v>
      </c>
      <c r="V522" s="96">
        <f>IF(LS[[#This Row],[BO TRANSFER]]="YES",LS[[#This Row],[Unit]],)</f>
        <v>0</v>
      </c>
      <c r="W522" s="96">
        <f>SUMIFS(LS[[#Headers],[BO UNIT TRANSFER]]:LS[[#This Row],[BO UNIT TRANSFER]],LS[[#Headers],[Investor ID]]:LS[[#This Row],[Investor ID]],LS[[#This Row],[Investor ID]])</f>
        <v>0</v>
      </c>
    </row>
    <row r="523" spans="1:23">
      <c r="A523" s="75">
        <v>2024</v>
      </c>
      <c r="B523" s="75">
        <v>6</v>
      </c>
      <c r="C523" s="75">
        <v>25</v>
      </c>
      <c r="D523" s="98">
        <f>DATE(LS[[#This Row],[Year]],LS[[#This Row],[Month]],LS[[#This Row],[Day]])</f>
        <v>45468</v>
      </c>
      <c r="E523" s="99" t="str">
        <f>INDEX(INVESTORS_LIST[INVESTOR NAME],MATCH(LS[[#This Row],[Investor ID]],INVESTORS_LIST[INVESTOR CODE],0),)</f>
        <v>JAKARIA MD. JONY</v>
      </c>
      <c r="F523" s="100" t="s">
        <v>1167</v>
      </c>
      <c r="G523" s="101">
        <f>COUNTIF(LS[[#Headers],[Investor ID]]:LS[[#This Row],[Investor ID]],LS[[#This Row],[Investor ID]])</f>
        <v>1</v>
      </c>
      <c r="H523" s="101" t="str">
        <f>CONCATENATE(LS[[#This Row],[Frequency]],LS[[#This Row],[Investor ID]])</f>
        <v>1A00559</v>
      </c>
      <c r="I523" s="75" t="str">
        <f>IF(LS[[#This Row],[B/S]]="B","BUY",(IF(LS[[#This Row],[B/S]]="S","SELL"," ")))</f>
        <v>BUY</v>
      </c>
      <c r="J523" s="101" t="s">
        <v>1229</v>
      </c>
      <c r="K523" s="102">
        <v>1950000</v>
      </c>
      <c r="L523" s="99"/>
      <c r="M523" s="103">
        <f>LS[[#This Row],[Amount]]/LS[[#This Row],[Unit]]</f>
        <v>11.151969895400242</v>
      </c>
      <c r="N523" s="104">
        <f>LS[[#This Row],[Unit Capital]]/10</f>
        <v>174857</v>
      </c>
      <c r="O523" s="104">
        <f>SUMIFS(LS[[#Headers],[Unit]]:LS[[#This Row],[Unit]],LS[[#Headers],[Investor ID]]:LS[[#This Row],[Investor ID]],LS[[#This Row],[Investor ID]])</f>
        <v>174857</v>
      </c>
      <c r="P523" s="102">
        <v>1748570</v>
      </c>
      <c r="Q523" s="102">
        <f>LS[[#This Row],[Amount]]-LS[[#This Row],[Unit Capital]]</f>
        <v>201430</v>
      </c>
      <c r="R5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11.151969895400242</v>
      </c>
      <c r="S523" s="103">
        <f t="shared" si="8"/>
        <v>14.224</v>
      </c>
      <c r="T52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3" s="96" cm="1">
        <f t="array" ref="U523">IF(LS[[#This Row],[B/S]]="S",ABS(LS[[#This Row],[Unit]])*(INDEX(LS[NAV at Cost (Average)],MATCH(CONCATENATE((LS[[#This Row],[Frequency]]-1),LS[[#This Row],[Investor ID]]),LS[Unique Code],0),0)),0)</f>
        <v>0</v>
      </c>
      <c r="V523" s="96">
        <f>IF(LS[[#This Row],[BO TRANSFER]]="YES",LS[[#This Row],[Unit]],)</f>
        <v>0</v>
      </c>
      <c r="W523" s="96">
        <f>SUMIFS(LS[[#Headers],[BO UNIT TRANSFER]]:LS[[#This Row],[BO UNIT TRANSFER]],LS[[#Headers],[Investor ID]]:LS[[#This Row],[Investor ID]],LS[[#This Row],[Investor ID]])</f>
        <v>0</v>
      </c>
    </row>
    <row r="524" spans="1:23">
      <c r="A524" s="75">
        <v>2024</v>
      </c>
      <c r="B524" s="75">
        <v>6</v>
      </c>
      <c r="C524" s="75">
        <v>25</v>
      </c>
      <c r="D524" s="98">
        <f>DATE(LS[[#This Row],[Year]],LS[[#This Row],[Month]],LS[[#This Row],[Day]])</f>
        <v>45468</v>
      </c>
      <c r="E524" s="99" t="str">
        <f>INDEX(INVESTORS_LIST[INVESTOR NAME],MATCH(LS[[#This Row],[Investor ID]],INVESTORS_LIST[INVESTOR CODE],0),)</f>
        <v>MD. AKRAM UDDIN</v>
      </c>
      <c r="F524" s="100" t="s">
        <v>1163</v>
      </c>
      <c r="G524" s="101">
        <f>COUNTIF(LS[[#Headers],[Investor ID]]:LS[[#This Row],[Investor ID]],LS[[#This Row],[Investor ID]])</f>
        <v>1</v>
      </c>
      <c r="H524" s="101" t="str">
        <f>CONCATENATE(LS[[#This Row],[Frequency]],LS[[#This Row],[Investor ID]])</f>
        <v>1A00557</v>
      </c>
      <c r="I524" s="75" t="str">
        <f>IF(LS[[#This Row],[B/S]]="B","BUY",(IF(LS[[#This Row],[B/S]]="S","SELL"," ")))</f>
        <v>BUY</v>
      </c>
      <c r="J524" s="101" t="s">
        <v>1229</v>
      </c>
      <c r="K524" s="102">
        <v>300000</v>
      </c>
      <c r="L524" s="99"/>
      <c r="M524" s="103">
        <f>LS[[#This Row],[Amount]]/LS[[#This Row],[Unit]]</f>
        <v>11.152001784320285</v>
      </c>
      <c r="N524" s="104">
        <f>LS[[#This Row],[Unit Capital]]/10</f>
        <v>26901</v>
      </c>
      <c r="O524" s="104">
        <f>SUMIFS(LS[[#Headers],[Unit]]:LS[[#This Row],[Unit]],LS[[#Headers],[Investor ID]]:LS[[#This Row],[Investor ID]],LS[[#This Row],[Investor ID]])</f>
        <v>26901</v>
      </c>
      <c r="P524" s="102">
        <v>269010</v>
      </c>
      <c r="Q524" s="102">
        <f>LS[[#This Row],[Amount]]-LS[[#This Row],[Unit Capital]]</f>
        <v>30990</v>
      </c>
      <c r="R5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24" s="103">
        <f t="shared" si="8"/>
        <v>14.224</v>
      </c>
      <c r="T52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4" s="96" cm="1">
        <f t="array" ref="U524">IF(LS[[#This Row],[B/S]]="S",ABS(LS[[#This Row],[Unit]])*(INDEX(LS[NAV at Cost (Average)],MATCH(CONCATENATE((LS[[#This Row],[Frequency]]-1),LS[[#This Row],[Investor ID]]),LS[Unique Code],0),0)),0)</f>
        <v>0</v>
      </c>
      <c r="V524" s="96">
        <f>IF(LS[[#This Row],[BO TRANSFER]]="YES",LS[[#This Row],[Unit]],)</f>
        <v>0</v>
      </c>
      <c r="W524" s="96">
        <f>SUMIFS(LS[[#Headers],[BO UNIT TRANSFER]]:LS[[#This Row],[BO UNIT TRANSFER]],LS[[#Headers],[Investor ID]]:LS[[#This Row],[Investor ID]],LS[[#This Row],[Investor ID]])</f>
        <v>0</v>
      </c>
    </row>
    <row r="525" spans="1:23">
      <c r="A525" s="75">
        <v>2024</v>
      </c>
      <c r="B525" s="75">
        <v>6</v>
      </c>
      <c r="C525" s="75">
        <v>26</v>
      </c>
      <c r="D525" s="98">
        <f>DATE(LS[[#This Row],[Year]],LS[[#This Row],[Month]],LS[[#This Row],[Day]])</f>
        <v>45469</v>
      </c>
      <c r="E525" s="99" t="str">
        <f>INDEX(INVESTORS_LIST[INVESTOR NAME],MATCH(LS[[#This Row],[Investor ID]],INVESTORS_LIST[INVESTOR CODE],0),)</f>
        <v>SAIFUL ISLAM</v>
      </c>
      <c r="F525" s="121" t="s">
        <v>1048</v>
      </c>
      <c r="G525" s="101">
        <f>COUNTIF(LS[[#Headers],[Investor ID]]:LS[[#This Row],[Investor ID]],LS[[#This Row],[Investor ID]])</f>
        <v>4</v>
      </c>
      <c r="H525" s="101" t="str">
        <f>CONCATENATE(LS[[#This Row],[Frequency]],LS[[#This Row],[Investor ID]])</f>
        <v>4A00501</v>
      </c>
      <c r="I525" s="75" t="str">
        <f>IF(LS[[#This Row],[B/S]]="B","BUY",(IF(LS[[#This Row],[B/S]]="S","SELL"," ")))</f>
        <v>BUY</v>
      </c>
      <c r="J525" s="101" t="s">
        <v>1229</v>
      </c>
      <c r="K525" s="102">
        <v>50000</v>
      </c>
      <c r="L525" s="99"/>
      <c r="M525" s="103">
        <f>LS[[#This Row],[Amount]]/LS[[#This Row],[Unit]]</f>
        <v>11.150758251561106</v>
      </c>
      <c r="N525" s="104">
        <f>LS[[#This Row],[Unit Capital]]/10</f>
        <v>4484</v>
      </c>
      <c r="O525" s="104">
        <f>SUMIFS(LS[[#Headers],[Unit]]:LS[[#This Row],[Unit]],LS[[#Headers],[Investor ID]]:LS[[#This Row],[Investor ID]],LS[[#This Row],[Investor ID]])</f>
        <v>4484</v>
      </c>
      <c r="P525" s="102">
        <v>44840</v>
      </c>
      <c r="Q525" s="102">
        <f>LS[[#This Row],[Amount]]-LS[[#This Row],[Unit Capital]]</f>
        <v>5160</v>
      </c>
      <c r="R5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11.150758251561106</v>
      </c>
      <c r="S525" s="103">
        <f t="shared" si="8"/>
        <v>14.224</v>
      </c>
      <c r="T5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5" s="96" cm="1">
        <f t="array" ref="U525">IF(LS[[#This Row],[B/S]]="S",ABS(LS[[#This Row],[Unit]])*(INDEX(LS[NAV at Cost (Average)],MATCH(CONCATENATE((LS[[#This Row],[Frequency]]-1),LS[[#This Row],[Investor ID]]),LS[Unique Code],0),0)),0)</f>
        <v>0</v>
      </c>
      <c r="V525" s="96">
        <f>IF(LS[[#This Row],[BO TRANSFER]]="YES",LS[[#This Row],[Unit]],)</f>
        <v>0</v>
      </c>
      <c r="W525" s="96">
        <f>SUMIFS(LS[[#Headers],[BO UNIT TRANSFER]]:LS[[#This Row],[BO UNIT TRANSFER]],LS[[#Headers],[Investor ID]]:LS[[#This Row],[Investor ID]],LS[[#This Row],[Investor ID]])</f>
        <v>0</v>
      </c>
    </row>
    <row r="526" spans="1:23">
      <c r="A526" s="75">
        <v>2024</v>
      </c>
      <c r="B526" s="75">
        <v>6</v>
      </c>
      <c r="C526" s="75">
        <v>26</v>
      </c>
      <c r="D526" s="98">
        <f>DATE(LS[[#This Row],[Year]],LS[[#This Row],[Month]],LS[[#This Row],[Day]])</f>
        <v>45469</v>
      </c>
      <c r="E526" s="99" t="str">
        <f>INDEX(INVESTORS_LIST[INVESTOR NAME],MATCH(LS[[#This Row],[Investor ID]],INVESTORS_LIST[INVESTOR CODE],0),)</f>
        <v>KHAN MUHAMMAD KAWSER AHMED</v>
      </c>
      <c r="F526" s="100" t="s">
        <v>944</v>
      </c>
      <c r="G526" s="101">
        <f>COUNTIF(LS[[#Headers],[Investor ID]]:LS[[#This Row],[Investor ID]],LS[[#This Row],[Investor ID]])</f>
        <v>7</v>
      </c>
      <c r="H526" s="101" t="str">
        <f>CONCATENATE(LS[[#This Row],[Frequency]],LS[[#This Row],[Investor ID]])</f>
        <v>7A00449</v>
      </c>
      <c r="I526" s="75" t="str">
        <f>IF(LS[[#This Row],[B/S]]="B","BUY",(IF(LS[[#This Row],[B/S]]="S","SELL"," ")))</f>
        <v>SELL</v>
      </c>
      <c r="J526" s="101" t="s">
        <v>1231</v>
      </c>
      <c r="K526" s="102">
        <v>-49400000</v>
      </c>
      <c r="L526" s="99"/>
      <c r="M526" s="103">
        <f>LS[[#This Row],[Amount]]/LS[[#This Row],[Unit]]</f>
        <v>11.151999266767335</v>
      </c>
      <c r="N526" s="104">
        <f>LS[[#This Row],[Unit Capital]]/10</f>
        <v>-4429699</v>
      </c>
      <c r="O526" s="104">
        <f>SUMIFS(LS[[#Headers],[Unit]]:LS[[#This Row],[Unit]],LS[[#Headers],[Investor ID]]:LS[[#This Row],[Investor ID]],LS[[#This Row],[Investor ID]])</f>
        <v>213231</v>
      </c>
      <c r="P526" s="102">
        <v>-44296990</v>
      </c>
      <c r="Q526" s="102">
        <f>LS[[#This Row],[Amount]]-LS[[#This Row],[Unit Capital]]</f>
        <v>-5103010</v>
      </c>
      <c r="R5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10.769061777799793</v>
      </c>
      <c r="S526" s="103">
        <f t="shared" si="8"/>
        <v>14.224</v>
      </c>
      <c r="T526" s="102">
        <f>IF(LS[[#This Row],[B/S]]="B",0,ABS(LS[[#This Row],[Unit]])*(LS[[#This Row],[NAV (Strike Rate)]]-INDEX(LS[NAV at Cost (Average)],MATCH(CONCATENATE(LS[[#This Row],[Frequency]]-1,LS[[#This Row],[Investor ID]]),LS[Unique Code],0),)))</f>
        <v>1696297.8119420323</v>
      </c>
      <c r="U526" s="96" cm="1">
        <f t="array" ref="U526">IF(LS[[#This Row],[B/S]]="S",ABS(LS[[#This Row],[Unit]])*(INDEX(LS[NAV at Cost (Average)],MATCH(CONCATENATE((LS[[#This Row],[Frequency]]-1),LS[[#This Row],[Investor ID]]),LS[Unique Code],0),0)),0)</f>
        <v>47703702.188057967</v>
      </c>
      <c r="V526" s="96">
        <f>IF(LS[[#This Row],[BO TRANSFER]]="YES",LS[[#This Row],[Unit]],)</f>
        <v>0</v>
      </c>
      <c r="W526" s="96">
        <f>SUMIFS(LS[[#Headers],[BO UNIT TRANSFER]]:LS[[#This Row],[BO UNIT TRANSFER]],LS[[#Headers],[Investor ID]]:LS[[#This Row],[Investor ID]],LS[[#This Row],[Investor ID]])</f>
        <v>0</v>
      </c>
    </row>
    <row r="527" spans="1:23">
      <c r="A527" s="75">
        <v>2024</v>
      </c>
      <c r="B527" s="75">
        <v>6</v>
      </c>
      <c r="C527" s="75">
        <v>26</v>
      </c>
      <c r="D527" s="98">
        <f>DATE(LS[[#This Row],[Year]],LS[[#This Row],[Month]],LS[[#This Row],[Day]])</f>
        <v>45469</v>
      </c>
      <c r="E527" s="99" t="str">
        <f>INDEX(INVESTORS_LIST[INVESTOR NAME],MATCH(LS[[#This Row],[Investor ID]],INVESTORS_LIST[INVESTOR CODE],0),)</f>
        <v>SAIFUL ISLAM</v>
      </c>
      <c r="F527" s="121" t="s">
        <v>1048</v>
      </c>
      <c r="G527" s="101">
        <f>COUNTIF(LS[[#Headers],[Investor ID]]:LS[[#This Row],[Investor ID]],LS[[#This Row],[Investor ID]])</f>
        <v>5</v>
      </c>
      <c r="H527" s="101" t="str">
        <f>CONCATENATE(LS[[#This Row],[Frequency]],LS[[#This Row],[Investor ID]])</f>
        <v>5A00501</v>
      </c>
      <c r="I527" s="75" t="str">
        <f>IF(LS[[#This Row],[B/S]]="B","BUY",(IF(LS[[#This Row],[B/S]]="S","SELL"," ")))</f>
        <v>BUY</v>
      </c>
      <c r="J527" s="101" t="s">
        <v>1229</v>
      </c>
      <c r="K527" s="102">
        <v>300000</v>
      </c>
      <c r="L527" s="99"/>
      <c r="M527" s="103">
        <f>LS[[#This Row],[Amount]]/LS[[#This Row],[Unit]]</f>
        <v>11.152001784320285</v>
      </c>
      <c r="N527" s="104">
        <f>LS[[#This Row],[Unit Capital]]/10</f>
        <v>26901</v>
      </c>
      <c r="O527" s="104">
        <f>SUMIFS(LS[[#Headers],[Unit]]:LS[[#This Row],[Unit]],LS[[#Headers],[Investor ID]]:LS[[#This Row],[Investor ID]],LS[[#This Row],[Investor ID]])</f>
        <v>31385</v>
      </c>
      <c r="P527" s="102">
        <v>269010</v>
      </c>
      <c r="Q527" s="102">
        <f>LS[[#This Row],[Amount]]-LS[[#This Row],[Unit Capital]]</f>
        <v>30990</v>
      </c>
      <c r="R5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11.151824119802452</v>
      </c>
      <c r="S527" s="103">
        <f t="shared" si="8"/>
        <v>14.224</v>
      </c>
      <c r="T52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7" s="96" cm="1">
        <f t="array" ref="U527">IF(LS[[#This Row],[B/S]]="S",ABS(LS[[#This Row],[Unit]])*(INDEX(LS[NAV at Cost (Average)],MATCH(CONCATENATE((LS[[#This Row],[Frequency]]-1),LS[[#This Row],[Investor ID]]),LS[Unique Code],0),0)),0)</f>
        <v>0</v>
      </c>
      <c r="V527" s="96">
        <f>IF(LS[[#This Row],[BO TRANSFER]]="YES",LS[[#This Row],[Unit]],)</f>
        <v>0</v>
      </c>
      <c r="W527" s="96">
        <f>SUMIFS(LS[[#Headers],[BO UNIT TRANSFER]]:LS[[#This Row],[BO UNIT TRANSFER]],LS[[#Headers],[Investor ID]]:LS[[#This Row],[Investor ID]],LS[[#This Row],[Investor ID]])</f>
        <v>0</v>
      </c>
    </row>
    <row r="528" spans="1:23">
      <c r="A528" s="75">
        <v>2024</v>
      </c>
      <c r="B528" s="75">
        <v>6</v>
      </c>
      <c r="C528" s="75">
        <v>26</v>
      </c>
      <c r="D528" s="98">
        <f>DATE(LS[[#This Row],[Year]],LS[[#This Row],[Month]],LS[[#This Row],[Day]])</f>
        <v>45469</v>
      </c>
      <c r="E528" s="99" t="str">
        <f>INDEX(INVESTORS_LIST[INVESTOR NAME],MATCH(LS[[#This Row],[Investor ID]],INVESTORS_LIST[INVESTOR CODE],0),)</f>
        <v>KH KHAIRUL ALAM NABIL</v>
      </c>
      <c r="F528" s="100" t="s">
        <v>1159</v>
      </c>
      <c r="G528" s="101">
        <f>COUNTIF(LS[[#Headers],[Investor ID]]:LS[[#This Row],[Investor ID]],LS[[#This Row],[Investor ID]])</f>
        <v>2</v>
      </c>
      <c r="H528" s="101" t="str">
        <f>CONCATENATE(LS[[#This Row],[Frequency]],LS[[#This Row],[Investor ID]])</f>
        <v>2A00555</v>
      </c>
      <c r="I528" s="75" t="str">
        <f>IF(LS[[#This Row],[B/S]]="B","BUY",(IF(LS[[#This Row],[B/S]]="S","SELL"," ")))</f>
        <v>BUY</v>
      </c>
      <c r="J528" s="101" t="s">
        <v>1229</v>
      </c>
      <c r="K528" s="102">
        <v>50000</v>
      </c>
      <c r="L528" s="99"/>
      <c r="M528" s="103">
        <f>LS[[#This Row],[Amount]]/LS[[#This Row],[Unit]]</f>
        <v>11.150758251561106</v>
      </c>
      <c r="N528" s="104">
        <f>LS[[#This Row],[Unit Capital]]/10</f>
        <v>4484</v>
      </c>
      <c r="O528" s="104">
        <f>SUMIFS(LS[[#Headers],[Unit]]:LS[[#This Row],[Unit]],LS[[#Headers],[Investor ID]]:LS[[#This Row],[Investor ID]],LS[[#This Row],[Investor ID]])</f>
        <v>8986</v>
      </c>
      <c r="P528" s="102">
        <v>44840</v>
      </c>
      <c r="Q528" s="102">
        <f>LS[[#This Row],[Amount]]-LS[[#This Row],[Unit Capital]]</f>
        <v>5160</v>
      </c>
      <c r="R5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11.128421989761851</v>
      </c>
      <c r="S528" s="103">
        <f t="shared" si="8"/>
        <v>14.224</v>
      </c>
      <c r="T5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8" s="96" cm="1">
        <f t="array" ref="U528">IF(LS[[#This Row],[B/S]]="S",ABS(LS[[#This Row],[Unit]])*(INDEX(LS[NAV at Cost (Average)],MATCH(CONCATENATE((LS[[#This Row],[Frequency]]-1),LS[[#This Row],[Investor ID]]),LS[Unique Code],0),0)),0)</f>
        <v>0</v>
      </c>
      <c r="V528" s="96">
        <f>IF(LS[[#This Row],[BO TRANSFER]]="YES",LS[[#This Row],[Unit]],)</f>
        <v>0</v>
      </c>
      <c r="W528" s="96">
        <f>SUMIFS(LS[[#Headers],[BO UNIT TRANSFER]]:LS[[#This Row],[BO UNIT TRANSFER]],LS[[#Headers],[Investor ID]]:LS[[#This Row],[Investor ID]],LS[[#This Row],[Investor ID]])</f>
        <v>0</v>
      </c>
    </row>
    <row r="529" spans="1:23">
      <c r="A529" s="75">
        <v>2024</v>
      </c>
      <c r="B529" s="75">
        <v>6</v>
      </c>
      <c r="C529" s="75">
        <v>26</v>
      </c>
      <c r="D529" s="98">
        <f>DATE(LS[[#This Row],[Year]],LS[[#This Row],[Month]],LS[[#This Row],[Day]])</f>
        <v>45469</v>
      </c>
      <c r="E529" s="99" t="str">
        <f>INDEX(INVESTORS_LIST[INVESTOR NAME],MATCH(LS[[#This Row],[Investor ID]],INVESTORS_LIST[INVESTOR CODE],0),)</f>
        <v>MD. SHOWKAT AKBAR</v>
      </c>
      <c r="F529" s="100" t="s">
        <v>1175</v>
      </c>
      <c r="G529" s="101">
        <f>COUNTIF(LS[[#Headers],[Investor ID]]:LS[[#This Row],[Investor ID]],LS[[#This Row],[Investor ID]])</f>
        <v>1</v>
      </c>
      <c r="H529" s="101" t="str">
        <f>CONCATENATE(LS[[#This Row],[Frequency]],LS[[#This Row],[Investor ID]])</f>
        <v>1A00563</v>
      </c>
      <c r="I529" s="75" t="str">
        <f>IF(LS[[#This Row],[B/S]]="B","BUY",(IF(LS[[#This Row],[B/S]]="S","SELL"," ")))</f>
        <v>BUY</v>
      </c>
      <c r="J529" s="101" t="s">
        <v>1229</v>
      </c>
      <c r="K529" s="102">
        <v>350000</v>
      </c>
      <c r="L529" s="99"/>
      <c r="M529" s="103">
        <f>LS[[#This Row],[Amount]]/LS[[#This Row],[Unit]]</f>
        <v>11.151824119802454</v>
      </c>
      <c r="N529" s="104">
        <f>LS[[#This Row],[Unit Capital]]/10</f>
        <v>31385</v>
      </c>
      <c r="O529" s="104">
        <f>SUMIFS(LS[[#Headers],[Unit]]:LS[[#This Row],[Unit]],LS[[#Headers],[Investor ID]]:LS[[#This Row],[Investor ID]],LS[[#This Row],[Investor ID]])</f>
        <v>31385</v>
      </c>
      <c r="P529" s="102">
        <v>313850</v>
      </c>
      <c r="Q529" s="102">
        <f>LS[[#This Row],[Amount]]-LS[[#This Row],[Unit Capital]]</f>
        <v>36150</v>
      </c>
      <c r="R5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11.151824119802454</v>
      </c>
      <c r="S529" s="103">
        <f t="shared" si="8"/>
        <v>14.224</v>
      </c>
      <c r="T5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29" s="96" cm="1">
        <f t="array" ref="U529">IF(LS[[#This Row],[B/S]]="S",ABS(LS[[#This Row],[Unit]])*(INDEX(LS[NAV at Cost (Average)],MATCH(CONCATENATE((LS[[#This Row],[Frequency]]-1),LS[[#This Row],[Investor ID]]),LS[Unique Code],0),0)),0)</f>
        <v>0</v>
      </c>
      <c r="V529" s="96">
        <f>IF(LS[[#This Row],[BO TRANSFER]]="YES",LS[[#This Row],[Unit]],)</f>
        <v>0</v>
      </c>
      <c r="W529" s="96">
        <f>SUMIFS(LS[[#Headers],[BO UNIT TRANSFER]]:LS[[#This Row],[BO UNIT TRANSFER]],LS[[#Headers],[Investor ID]]:LS[[#This Row],[Investor ID]],LS[[#This Row],[Investor ID]])</f>
        <v>0</v>
      </c>
    </row>
    <row r="530" spans="1:23">
      <c r="A530" s="75">
        <v>2024</v>
      </c>
      <c r="B530" s="75">
        <v>6</v>
      </c>
      <c r="C530" s="75">
        <v>26</v>
      </c>
      <c r="D530" s="98">
        <f>DATE(LS[[#This Row],[Year]],LS[[#This Row],[Month]],LS[[#This Row],[Day]])</f>
        <v>45469</v>
      </c>
      <c r="E530" s="99" t="str">
        <f>INDEX(INVESTORS_LIST[INVESTOR NAME],MATCH(LS[[#This Row],[Investor ID]],INVESTORS_LIST[INVESTOR CODE],0),)</f>
        <v>KAZI HABIBUR RAHMAN</v>
      </c>
      <c r="F530" s="100" t="s">
        <v>1114</v>
      </c>
      <c r="G530" s="101">
        <f>COUNTIF(LS[[#Headers],[Investor ID]]:LS[[#This Row],[Investor ID]],LS[[#This Row],[Investor ID]])</f>
        <v>13</v>
      </c>
      <c r="H530" s="101" t="str">
        <f>CONCATENATE(LS[[#This Row],[Frequency]],LS[[#This Row],[Investor ID]])</f>
        <v>13A00532</v>
      </c>
      <c r="I530" s="75" t="str">
        <f>IF(LS[[#This Row],[B/S]]="B","BUY",(IF(LS[[#This Row],[B/S]]="S","SELL"," ")))</f>
        <v>BUY</v>
      </c>
      <c r="J530" s="101" t="s">
        <v>1229</v>
      </c>
      <c r="K530" s="102">
        <v>4200000</v>
      </c>
      <c r="L530" s="99"/>
      <c r="M530" s="103">
        <f>LS[[#This Row],[Amount]]/LS[[#This Row],[Unit]]</f>
        <v>11.152001784320285</v>
      </c>
      <c r="N530" s="104">
        <f>LS[[#This Row],[Unit Capital]]/10</f>
        <v>376614</v>
      </c>
      <c r="O530" s="104">
        <f>SUMIFS(LS[[#Headers],[Unit]]:LS[[#This Row],[Unit]],LS[[#Headers],[Investor ID]]:LS[[#This Row],[Investor ID]],LS[[#This Row],[Investor ID]])</f>
        <v>614388</v>
      </c>
      <c r="P530" s="102">
        <v>3766140</v>
      </c>
      <c r="Q530" s="102">
        <f>LS[[#This Row],[Amount]]-LS[[#This Row],[Unit Capital]]</f>
        <v>433860</v>
      </c>
      <c r="R5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11.076002873719242</v>
      </c>
      <c r="S530" s="103">
        <f t="shared" si="8"/>
        <v>14.224</v>
      </c>
      <c r="T53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0" s="96" cm="1">
        <f t="array" ref="U530">IF(LS[[#This Row],[B/S]]="S",ABS(LS[[#This Row],[Unit]])*(INDEX(LS[NAV at Cost (Average)],MATCH(CONCATENATE((LS[[#This Row],[Frequency]]-1),LS[[#This Row],[Investor ID]]),LS[Unique Code],0),0)),0)</f>
        <v>0</v>
      </c>
      <c r="V530" s="96">
        <f>IF(LS[[#This Row],[BO TRANSFER]]="YES",LS[[#This Row],[Unit]],)</f>
        <v>0</v>
      </c>
      <c r="W530" s="96">
        <f>SUMIFS(LS[[#Headers],[BO UNIT TRANSFER]]:LS[[#This Row],[BO UNIT TRANSFER]],LS[[#Headers],[Investor ID]]:LS[[#This Row],[Investor ID]],LS[[#This Row],[Investor ID]])</f>
        <v>0</v>
      </c>
    </row>
    <row r="531" spans="1:23">
      <c r="A531" s="75">
        <v>2024</v>
      </c>
      <c r="B531" s="75">
        <v>6</v>
      </c>
      <c r="C531" s="75">
        <v>26</v>
      </c>
      <c r="D531" s="98">
        <f>DATE(LS[[#This Row],[Year]],LS[[#This Row],[Month]],LS[[#This Row],[Day]])</f>
        <v>45469</v>
      </c>
      <c r="E531" s="99" t="str">
        <f>INDEX(INVESTORS_LIST[INVESTOR NAME],MATCH(LS[[#This Row],[Investor ID]],INVESTORS_LIST[INVESTOR CODE],0),)</f>
        <v>MONIR AHMED</v>
      </c>
      <c r="F531" s="100" t="s">
        <v>125</v>
      </c>
      <c r="G531" s="101">
        <f>COUNTIF(LS[[#Headers],[Investor ID]]:LS[[#This Row],[Investor ID]],LS[[#This Row],[Investor ID]])</f>
        <v>3</v>
      </c>
      <c r="H531" s="101" t="str">
        <f>CONCATENATE(LS[[#This Row],[Frequency]],LS[[#This Row],[Investor ID]])</f>
        <v>3A00039</v>
      </c>
      <c r="I531" s="75" t="str">
        <f>IF(LS[[#This Row],[B/S]]="B","BUY",(IF(LS[[#This Row],[B/S]]="S","SELL"," ")))</f>
        <v>BUY</v>
      </c>
      <c r="J531" s="101" t="s">
        <v>1229</v>
      </c>
      <c r="K531" s="102">
        <v>70000</v>
      </c>
      <c r="L531" s="99"/>
      <c r="M531" s="103">
        <f>LS[[#This Row],[Amount]]/LS[[#This Row],[Unit]]</f>
        <v>11.151824119802454</v>
      </c>
      <c r="N531" s="104">
        <f>LS[[#This Row],[Unit Capital]]/10</f>
        <v>6277</v>
      </c>
      <c r="O531" s="104">
        <f>SUMIFS(LS[[#Headers],[Unit]]:LS[[#This Row],[Unit]],LS[[#Headers],[Investor ID]]:LS[[#This Row],[Investor ID]],LS[[#This Row],[Investor ID]])</f>
        <v>6277</v>
      </c>
      <c r="P531" s="102">
        <v>62770</v>
      </c>
      <c r="Q531" s="102">
        <f>LS[[#This Row],[Amount]]-LS[[#This Row],[Unit Capital]]</f>
        <v>7230</v>
      </c>
      <c r="R5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11.151824119802454</v>
      </c>
      <c r="S531" s="103">
        <f t="shared" si="8"/>
        <v>14.224</v>
      </c>
      <c r="T5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1" s="96" cm="1">
        <f t="array" ref="U531">IF(LS[[#This Row],[B/S]]="S",ABS(LS[[#This Row],[Unit]])*(INDEX(LS[NAV at Cost (Average)],MATCH(CONCATENATE((LS[[#This Row],[Frequency]]-1),LS[[#This Row],[Investor ID]]),LS[Unique Code],0),0)),0)</f>
        <v>0</v>
      </c>
      <c r="V531" s="96">
        <f>IF(LS[[#This Row],[BO TRANSFER]]="YES",LS[[#This Row],[Unit]],)</f>
        <v>0</v>
      </c>
      <c r="W531" s="96">
        <f>SUMIFS(LS[[#Headers],[BO UNIT TRANSFER]]:LS[[#This Row],[BO UNIT TRANSFER]],LS[[#Headers],[Investor ID]]:LS[[#This Row],[Investor ID]],LS[[#This Row],[Investor ID]])</f>
        <v>0</v>
      </c>
    </row>
    <row r="532" spans="1:23">
      <c r="A532" s="75">
        <v>2024</v>
      </c>
      <c r="B532" s="75">
        <v>6</v>
      </c>
      <c r="C532" s="75">
        <v>26</v>
      </c>
      <c r="D532" s="98">
        <f>DATE(LS[[#This Row],[Year]],LS[[#This Row],[Month]],LS[[#This Row],[Day]])</f>
        <v>45469</v>
      </c>
      <c r="E532" s="99" t="str">
        <f>INDEX(INVESTORS_LIST[INVESTOR NAME],MATCH(LS[[#This Row],[Investor ID]],INVESTORS_LIST[INVESTOR CODE],0),)</f>
        <v>SILVIA ANWAR</v>
      </c>
      <c r="F532" s="100" t="s">
        <v>1192</v>
      </c>
      <c r="G532" s="101">
        <f>COUNTIF(LS[[#Headers],[Investor ID]]:LS[[#This Row],[Investor ID]],LS[[#This Row],[Investor ID]])</f>
        <v>1</v>
      </c>
      <c r="H532" s="101" t="str">
        <f>CONCATENATE(LS[[#This Row],[Frequency]],LS[[#This Row],[Investor ID]])</f>
        <v>1A00572</v>
      </c>
      <c r="I532" s="75" t="str">
        <f>IF(LS[[#This Row],[B/S]]="B","BUY",(IF(LS[[#This Row],[B/S]]="S","SELL"," ")))</f>
        <v>BUY</v>
      </c>
      <c r="J532" s="101" t="s">
        <v>1229</v>
      </c>
      <c r="K532" s="102">
        <v>200000</v>
      </c>
      <c r="L532" s="99"/>
      <c r="M532" s="103">
        <f>LS[[#This Row],[Amount]]/LS[[#This Row],[Unit]]</f>
        <v>11.152001784320285</v>
      </c>
      <c r="N532" s="104">
        <f>LS[[#This Row],[Unit Capital]]/10</f>
        <v>17934</v>
      </c>
      <c r="O532" s="104">
        <f>SUMIFS(LS[[#Headers],[Unit]]:LS[[#This Row],[Unit]],LS[[#Headers],[Investor ID]]:LS[[#This Row],[Investor ID]],LS[[#This Row],[Investor ID]])</f>
        <v>17934</v>
      </c>
      <c r="P532" s="102">
        <v>179340</v>
      </c>
      <c r="Q532" s="102">
        <f>LS[[#This Row],[Amount]]-LS[[#This Row],[Unit Capital]]</f>
        <v>20660</v>
      </c>
      <c r="R5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32" s="103">
        <f t="shared" si="8"/>
        <v>14.224</v>
      </c>
      <c r="T5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2" s="96" cm="1">
        <f t="array" ref="U532">IF(LS[[#This Row],[B/S]]="S",ABS(LS[[#This Row],[Unit]])*(INDEX(LS[NAV at Cost (Average)],MATCH(CONCATENATE((LS[[#This Row],[Frequency]]-1),LS[[#This Row],[Investor ID]]),LS[Unique Code],0),0)),0)</f>
        <v>0</v>
      </c>
      <c r="V532" s="96">
        <f>IF(LS[[#This Row],[BO TRANSFER]]="YES",LS[[#This Row],[Unit]],)</f>
        <v>0</v>
      </c>
      <c r="W532" s="96">
        <f>SUMIFS(LS[[#Headers],[BO UNIT TRANSFER]]:LS[[#This Row],[BO UNIT TRANSFER]],LS[[#Headers],[Investor ID]]:LS[[#This Row],[Investor ID]],LS[[#This Row],[Investor ID]])</f>
        <v>0</v>
      </c>
    </row>
    <row r="533" spans="1:23">
      <c r="A533" s="75">
        <v>2024</v>
      </c>
      <c r="B533" s="75">
        <v>6</v>
      </c>
      <c r="C533" s="75">
        <v>26</v>
      </c>
      <c r="D533" s="98">
        <f>DATE(LS[[#This Row],[Year]],LS[[#This Row],[Month]],LS[[#This Row],[Day]])</f>
        <v>45469</v>
      </c>
      <c r="E533" s="99" t="str">
        <f>INDEX(INVESTORS_LIST[INVESTOR NAME],MATCH(LS[[#This Row],[Investor ID]],INVESTORS_LIST[INVESTOR CODE],0),)</f>
        <v>NAVID CHOWDHURY</v>
      </c>
      <c r="F533" s="100" t="s">
        <v>1194</v>
      </c>
      <c r="G533" s="101">
        <f>COUNTIF(LS[[#Headers],[Investor ID]]:LS[[#This Row],[Investor ID]],LS[[#This Row],[Investor ID]])</f>
        <v>1</v>
      </c>
      <c r="H533" s="101" t="str">
        <f>CONCATENATE(LS[[#This Row],[Frequency]],LS[[#This Row],[Investor ID]])</f>
        <v>1A00573</v>
      </c>
      <c r="I533" s="75" t="str">
        <f>IF(LS[[#This Row],[B/S]]="B","BUY",(IF(LS[[#This Row],[B/S]]="S","SELL"," ")))</f>
        <v>BUY</v>
      </c>
      <c r="J533" s="101" t="s">
        <v>1229</v>
      </c>
      <c r="K533" s="102">
        <v>200000</v>
      </c>
      <c r="L533" s="99"/>
      <c r="M533" s="103">
        <f>LS[[#This Row],[Amount]]/LS[[#This Row],[Unit]]</f>
        <v>11.152001784320285</v>
      </c>
      <c r="N533" s="104">
        <f>LS[[#This Row],[Unit Capital]]/10</f>
        <v>17934</v>
      </c>
      <c r="O533" s="104">
        <f>SUMIFS(LS[[#Headers],[Unit]]:LS[[#This Row],[Unit]],LS[[#Headers],[Investor ID]]:LS[[#This Row],[Investor ID]],LS[[#This Row],[Investor ID]])</f>
        <v>17934</v>
      </c>
      <c r="P533" s="102">
        <v>179340</v>
      </c>
      <c r="Q533" s="102">
        <f>LS[[#This Row],[Amount]]-LS[[#This Row],[Unit Capital]]</f>
        <v>20660</v>
      </c>
      <c r="R5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33" s="103">
        <f t="shared" si="8"/>
        <v>14.224</v>
      </c>
      <c r="T5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3" s="96" cm="1">
        <f t="array" ref="U533">IF(LS[[#This Row],[B/S]]="S",ABS(LS[[#This Row],[Unit]])*(INDEX(LS[NAV at Cost (Average)],MATCH(CONCATENATE((LS[[#This Row],[Frequency]]-1),LS[[#This Row],[Investor ID]]),LS[Unique Code],0),0)),0)</f>
        <v>0</v>
      </c>
      <c r="V533" s="96">
        <f>IF(LS[[#This Row],[BO TRANSFER]]="YES",LS[[#This Row],[Unit]],)</f>
        <v>0</v>
      </c>
      <c r="W533" s="96">
        <f>SUMIFS(LS[[#Headers],[BO UNIT TRANSFER]]:LS[[#This Row],[BO UNIT TRANSFER]],LS[[#Headers],[Investor ID]]:LS[[#This Row],[Investor ID]],LS[[#This Row],[Investor ID]])</f>
        <v>0</v>
      </c>
    </row>
    <row r="534" spans="1:23">
      <c r="A534" s="75">
        <v>2024</v>
      </c>
      <c r="B534" s="75">
        <v>6</v>
      </c>
      <c r="C534" s="75">
        <v>26</v>
      </c>
      <c r="D534" s="98">
        <f>DATE(LS[[#This Row],[Year]],LS[[#This Row],[Month]],LS[[#This Row],[Day]])</f>
        <v>45469</v>
      </c>
      <c r="E534" s="99" t="str">
        <f>INDEX(INVESTORS_LIST[INVESTOR NAME],MATCH(LS[[#This Row],[Investor ID]],INVESTORS_LIST[INVESTOR CODE],0),)</f>
        <v>MD. SADEKUR RAHMAN</v>
      </c>
      <c r="F534" s="100" t="s">
        <v>1184</v>
      </c>
      <c r="G534" s="101">
        <f>COUNTIF(LS[[#Headers],[Investor ID]]:LS[[#This Row],[Investor ID]],LS[[#This Row],[Investor ID]])</f>
        <v>1</v>
      </c>
      <c r="H534" s="101" t="str">
        <f>CONCATENATE(LS[[#This Row],[Frequency]],LS[[#This Row],[Investor ID]])</f>
        <v>1A00568</v>
      </c>
      <c r="I534" s="75" t="str">
        <f>IF(LS[[#This Row],[B/S]]="B","BUY",(IF(LS[[#This Row],[B/S]]="S","SELL"," ")))</f>
        <v>BUY</v>
      </c>
      <c r="J534" s="101" t="s">
        <v>1229</v>
      </c>
      <c r="K534" s="102">
        <v>250000</v>
      </c>
      <c r="L534" s="99"/>
      <c r="M534" s="103">
        <f>LS[[#This Row],[Amount]]/LS[[#This Row],[Unit]]</f>
        <v>11.151753055580338</v>
      </c>
      <c r="N534" s="104">
        <f>LS[[#This Row],[Unit Capital]]/10</f>
        <v>22418</v>
      </c>
      <c r="O534" s="104">
        <f>SUMIFS(LS[[#Headers],[Unit]]:LS[[#This Row],[Unit]],LS[[#Headers],[Investor ID]]:LS[[#This Row],[Investor ID]],LS[[#This Row],[Investor ID]])</f>
        <v>22418</v>
      </c>
      <c r="P534" s="102">
        <v>224180</v>
      </c>
      <c r="Q534" s="102">
        <f>LS[[#This Row],[Amount]]-LS[[#This Row],[Unit Capital]]</f>
        <v>25820</v>
      </c>
      <c r="R5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11.151753055580338</v>
      </c>
      <c r="S534" s="103">
        <f t="shared" si="8"/>
        <v>14.224</v>
      </c>
      <c r="T5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4" s="96" cm="1">
        <f t="array" ref="U534">IF(LS[[#This Row],[B/S]]="S",ABS(LS[[#This Row],[Unit]])*(INDEX(LS[NAV at Cost (Average)],MATCH(CONCATENATE((LS[[#This Row],[Frequency]]-1),LS[[#This Row],[Investor ID]]),LS[Unique Code],0),0)),0)</f>
        <v>0</v>
      </c>
      <c r="V534" s="96">
        <f>IF(LS[[#This Row],[BO TRANSFER]]="YES",LS[[#This Row],[Unit]],)</f>
        <v>0</v>
      </c>
      <c r="W534" s="96">
        <f>SUMIFS(LS[[#Headers],[BO UNIT TRANSFER]]:LS[[#This Row],[BO UNIT TRANSFER]],LS[[#Headers],[Investor ID]]:LS[[#This Row],[Investor ID]],LS[[#This Row],[Investor ID]])</f>
        <v>0</v>
      </c>
    </row>
    <row r="535" spans="1:23">
      <c r="A535" s="75">
        <v>2024</v>
      </c>
      <c r="B535" s="75">
        <v>6</v>
      </c>
      <c r="C535" s="75">
        <v>26</v>
      </c>
      <c r="D535" s="98">
        <f>DATE(LS[[#This Row],[Year]],LS[[#This Row],[Month]],LS[[#This Row],[Day]])</f>
        <v>45469</v>
      </c>
      <c r="E535" s="99" t="str">
        <f>INDEX(INVESTORS_LIST[INVESTOR NAME],MATCH(LS[[#This Row],[Investor ID]],INVESTORS_LIST[INVESTOR CODE],0),)</f>
        <v>HASIB MUSTABSIR</v>
      </c>
      <c r="F535" s="100" t="s">
        <v>437</v>
      </c>
      <c r="G535" s="101">
        <f>COUNTIF(LS[[#Headers],[Investor ID]]:LS[[#This Row],[Investor ID]],LS[[#This Row],[Investor ID]])</f>
        <v>2</v>
      </c>
      <c r="H535" s="101" t="str">
        <f>CONCATENATE(LS[[#This Row],[Frequency]],LS[[#This Row],[Investor ID]])</f>
        <v>2A00194</v>
      </c>
      <c r="I535" s="75" t="str">
        <f>IF(LS[[#This Row],[B/S]]="B","BUY",(IF(LS[[#This Row],[B/S]]="S","SELL"," ")))</f>
        <v>BUY</v>
      </c>
      <c r="J535" s="101" t="s">
        <v>1229</v>
      </c>
      <c r="K535" s="102">
        <v>500000</v>
      </c>
      <c r="L535" s="99"/>
      <c r="M535" s="103">
        <f>LS[[#This Row],[Amount]]/LS[[#This Row],[Unit]]</f>
        <v>11.152001784320285</v>
      </c>
      <c r="N535" s="104">
        <f>LS[[#This Row],[Unit Capital]]/10</f>
        <v>44835</v>
      </c>
      <c r="O535" s="104">
        <f>SUMIFS(LS[[#Headers],[Unit]]:LS[[#This Row],[Unit]],LS[[#Headers],[Investor ID]]:LS[[#This Row],[Investor ID]],LS[[#This Row],[Investor ID]])</f>
        <v>244835</v>
      </c>
      <c r="P535" s="102">
        <v>448350</v>
      </c>
      <c r="Q535" s="102">
        <f>LS[[#This Row],[Amount]]-LS[[#This Row],[Unit Capital]]</f>
        <v>51650</v>
      </c>
      <c r="R5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10.210958400555477</v>
      </c>
      <c r="S535" s="103">
        <f t="shared" si="8"/>
        <v>14.224</v>
      </c>
      <c r="T5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5" s="96" cm="1">
        <f t="array" ref="U535">IF(LS[[#This Row],[B/S]]="S",ABS(LS[[#This Row],[Unit]])*(INDEX(LS[NAV at Cost (Average)],MATCH(CONCATENATE((LS[[#This Row],[Frequency]]-1),LS[[#This Row],[Investor ID]]),LS[Unique Code],0),0)),0)</f>
        <v>0</v>
      </c>
      <c r="V535" s="96">
        <f>IF(LS[[#This Row],[BO TRANSFER]]="YES",LS[[#This Row],[Unit]],)</f>
        <v>0</v>
      </c>
      <c r="W535" s="96">
        <f>SUMIFS(LS[[#Headers],[BO UNIT TRANSFER]]:LS[[#This Row],[BO UNIT TRANSFER]],LS[[#Headers],[Investor ID]]:LS[[#This Row],[Investor ID]],LS[[#This Row],[Investor ID]])</f>
        <v>0</v>
      </c>
    </row>
    <row r="536" spans="1:23">
      <c r="A536" s="75">
        <v>2024</v>
      </c>
      <c r="B536" s="75">
        <v>6</v>
      </c>
      <c r="C536" s="75">
        <v>26</v>
      </c>
      <c r="D536" s="98">
        <f>DATE(LS[[#This Row],[Year]],LS[[#This Row],[Month]],LS[[#This Row],[Day]])</f>
        <v>45469</v>
      </c>
      <c r="E536" s="99" t="str">
        <f>INDEX(INVESTORS_LIST[INVESTOR NAME],MATCH(LS[[#This Row],[Investor ID]],INVESTORS_LIST[INVESTOR CODE],0),)</f>
        <v>KHAN MUHAMMAD KAWSER AHMED</v>
      </c>
      <c r="F536" s="100" t="s">
        <v>944</v>
      </c>
      <c r="G536" s="101">
        <f>COUNTIF(LS[[#Headers],[Investor ID]]:LS[[#This Row],[Investor ID]],LS[[#This Row],[Investor ID]])</f>
        <v>8</v>
      </c>
      <c r="H536" s="101" t="str">
        <f>CONCATENATE(LS[[#This Row],[Frequency]],LS[[#This Row],[Investor ID]])</f>
        <v>8A00449</v>
      </c>
      <c r="I536" s="75" t="str">
        <f>IF(LS[[#This Row],[B/S]]="B","BUY",(IF(LS[[#This Row],[B/S]]="S","SELL"," ")))</f>
        <v>BUY</v>
      </c>
      <c r="J536" s="101" t="s">
        <v>1229</v>
      </c>
      <c r="K536" s="102">
        <v>49500000</v>
      </c>
      <c r="L536" s="99"/>
      <c r="M536" s="103">
        <f>LS[[#This Row],[Amount]]/LS[[#This Row],[Unit]]</f>
        <v>11.151999271853301</v>
      </c>
      <c r="N536" s="104">
        <f>LS[[#This Row],[Unit Capital]]/10</f>
        <v>4438666</v>
      </c>
      <c r="O536" s="104">
        <f>SUMIFS(LS[[#Headers],[Unit]]:LS[[#This Row],[Unit]],LS[[#Headers],[Investor ID]]:LS[[#This Row],[Investor ID]],LS[[#This Row],[Investor ID]])</f>
        <v>4651897</v>
      </c>
      <c r="P536" s="102">
        <v>44386660</v>
      </c>
      <c r="Q536" s="102">
        <f>LS[[#This Row],[Amount]]-LS[[#This Row],[Unit Capital]]</f>
        <v>5113340</v>
      </c>
      <c r="R5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11.134446401530822</v>
      </c>
      <c r="S536" s="103">
        <f t="shared" si="8"/>
        <v>14.224</v>
      </c>
      <c r="T53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6" s="96" cm="1">
        <f t="array" ref="U536">IF(LS[[#This Row],[B/S]]="S",ABS(LS[[#This Row],[Unit]])*(INDEX(LS[NAV at Cost (Average)],MATCH(CONCATENATE((LS[[#This Row],[Frequency]]-1),LS[[#This Row],[Investor ID]]),LS[Unique Code],0),0)),0)</f>
        <v>0</v>
      </c>
      <c r="V536" s="96">
        <f>IF(LS[[#This Row],[BO TRANSFER]]="YES",LS[[#This Row],[Unit]],)</f>
        <v>0</v>
      </c>
      <c r="W536" s="96">
        <f>SUMIFS(LS[[#Headers],[BO UNIT TRANSFER]]:LS[[#This Row],[BO UNIT TRANSFER]],LS[[#Headers],[Investor ID]]:LS[[#This Row],[Investor ID]],LS[[#This Row],[Investor ID]])</f>
        <v>0</v>
      </c>
    </row>
    <row r="537" spans="1:23">
      <c r="A537" s="75">
        <v>2024</v>
      </c>
      <c r="B537" s="75">
        <v>6</v>
      </c>
      <c r="C537" s="75">
        <v>26</v>
      </c>
      <c r="D537" s="98">
        <f>DATE(LS[[#This Row],[Year]],LS[[#This Row],[Month]],LS[[#This Row],[Day]])</f>
        <v>45469</v>
      </c>
      <c r="E537" s="99" t="str">
        <f>INDEX(INVESTORS_LIST[INVESTOR NAME],MATCH(LS[[#This Row],[Investor ID]],INVESTORS_LIST[INVESTOR CODE],0),)</f>
        <v>MD. NIAZ MURSHED</v>
      </c>
      <c r="F537" s="100" t="s">
        <v>445</v>
      </c>
      <c r="G537" s="101">
        <f>COUNTIF(LS[[#Headers],[Investor ID]]:LS[[#This Row],[Investor ID]],LS[[#This Row],[Investor ID]])</f>
        <v>1</v>
      </c>
      <c r="H537" s="101" t="str">
        <f>CONCATENATE(LS[[#This Row],[Frequency]],LS[[#This Row],[Investor ID]])</f>
        <v>1A00198</v>
      </c>
      <c r="I537" s="75" t="str">
        <f>IF(LS[[#This Row],[B/S]]="B","BUY",(IF(LS[[#This Row],[B/S]]="S","SELL"," ")))</f>
        <v>BUY</v>
      </c>
      <c r="J537" s="101" t="s">
        <v>1229</v>
      </c>
      <c r="K537" s="102">
        <v>300000</v>
      </c>
      <c r="L537" s="99"/>
      <c r="M537" s="103">
        <f>LS[[#This Row],[Amount]]/LS[[#This Row],[Unit]]</f>
        <v>11.152001784320285</v>
      </c>
      <c r="N537" s="104">
        <f>LS[[#This Row],[Unit Capital]]/10</f>
        <v>26901</v>
      </c>
      <c r="O537" s="104">
        <f>SUMIFS(LS[[#Headers],[Unit]]:LS[[#This Row],[Unit]],LS[[#Headers],[Investor ID]]:LS[[#This Row],[Investor ID]],LS[[#This Row],[Investor ID]])</f>
        <v>26901</v>
      </c>
      <c r="P537" s="102">
        <v>269010</v>
      </c>
      <c r="Q537" s="102">
        <f>LS[[#This Row],[Amount]]-LS[[#This Row],[Unit Capital]]</f>
        <v>30990</v>
      </c>
      <c r="R5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37" s="103">
        <f t="shared" si="8"/>
        <v>14.224</v>
      </c>
      <c r="T53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7" s="96" cm="1">
        <f t="array" ref="U537">IF(LS[[#This Row],[B/S]]="S",ABS(LS[[#This Row],[Unit]])*(INDEX(LS[NAV at Cost (Average)],MATCH(CONCATENATE((LS[[#This Row],[Frequency]]-1),LS[[#This Row],[Investor ID]]),LS[Unique Code],0),0)),0)</f>
        <v>0</v>
      </c>
      <c r="V537" s="96">
        <f>IF(LS[[#This Row],[BO TRANSFER]]="YES",LS[[#This Row],[Unit]],)</f>
        <v>0</v>
      </c>
      <c r="W537" s="96">
        <f>SUMIFS(LS[[#Headers],[BO UNIT TRANSFER]]:LS[[#This Row],[BO UNIT TRANSFER]],LS[[#Headers],[Investor ID]]:LS[[#This Row],[Investor ID]],LS[[#This Row],[Investor ID]])</f>
        <v>0</v>
      </c>
    </row>
    <row r="538" spans="1:23">
      <c r="A538" s="75">
        <v>2024</v>
      </c>
      <c r="B538" s="75">
        <v>6</v>
      </c>
      <c r="C538" s="75">
        <v>26</v>
      </c>
      <c r="D538" s="98">
        <f>DATE(LS[[#This Row],[Year]],LS[[#This Row],[Month]],LS[[#This Row],[Day]])</f>
        <v>45469</v>
      </c>
      <c r="E538" s="99" t="str">
        <f>INDEX(INVESTORS_LIST[INVESTOR NAME],MATCH(LS[[#This Row],[Investor ID]],INVESTORS_LIST[INVESTOR CODE],0),)</f>
        <v>NISHAT RAHMAN</v>
      </c>
      <c r="F538" s="100" t="s">
        <v>1200</v>
      </c>
      <c r="G538" s="101">
        <f>COUNTIF(LS[[#Headers],[Investor ID]]:LS[[#This Row],[Investor ID]],LS[[#This Row],[Investor ID]])</f>
        <v>1</v>
      </c>
      <c r="H538" s="101" t="str">
        <f>CONCATENATE(LS[[#This Row],[Frequency]],LS[[#This Row],[Investor ID]])</f>
        <v>1A00576</v>
      </c>
      <c r="I538" s="75" t="str">
        <f>IF(LS[[#This Row],[B/S]]="B","BUY",(IF(LS[[#This Row],[B/S]]="S","SELL"," ")))</f>
        <v>BUY</v>
      </c>
      <c r="J538" s="101" t="s">
        <v>1229</v>
      </c>
      <c r="K538" s="102">
        <v>500000</v>
      </c>
      <c r="L538" s="99"/>
      <c r="M538" s="103">
        <f>LS[[#This Row],[Amount]]/LS[[#This Row],[Unit]]</f>
        <v>11.152001784320285</v>
      </c>
      <c r="N538" s="104">
        <f>LS[[#This Row],[Unit Capital]]/10</f>
        <v>44835</v>
      </c>
      <c r="O538" s="104">
        <f>SUMIFS(LS[[#Headers],[Unit]]:LS[[#This Row],[Unit]],LS[[#Headers],[Investor ID]]:LS[[#This Row],[Investor ID]],LS[[#This Row],[Investor ID]])</f>
        <v>44835</v>
      </c>
      <c r="P538" s="102">
        <v>448350</v>
      </c>
      <c r="Q538" s="102">
        <f>LS[[#This Row],[Amount]]-LS[[#This Row],[Unit Capital]]</f>
        <v>51650</v>
      </c>
      <c r="R5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38" s="103">
        <f t="shared" si="8"/>
        <v>14.224</v>
      </c>
      <c r="T53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8" s="96" cm="1">
        <f t="array" ref="U538">IF(LS[[#This Row],[B/S]]="S",ABS(LS[[#This Row],[Unit]])*(INDEX(LS[NAV at Cost (Average)],MATCH(CONCATENATE((LS[[#This Row],[Frequency]]-1),LS[[#This Row],[Investor ID]]),LS[Unique Code],0),0)),0)</f>
        <v>0</v>
      </c>
      <c r="V538" s="96">
        <f>IF(LS[[#This Row],[BO TRANSFER]]="YES",LS[[#This Row],[Unit]],)</f>
        <v>0</v>
      </c>
      <c r="W538" s="96">
        <f>SUMIFS(LS[[#Headers],[BO UNIT TRANSFER]]:LS[[#This Row],[BO UNIT TRANSFER]],LS[[#Headers],[Investor ID]]:LS[[#This Row],[Investor ID]],LS[[#This Row],[Investor ID]])</f>
        <v>0</v>
      </c>
    </row>
    <row r="539" spans="1:23">
      <c r="A539" s="75">
        <v>2024</v>
      </c>
      <c r="B539" s="75">
        <v>6</v>
      </c>
      <c r="C539" s="75">
        <v>26</v>
      </c>
      <c r="D539" s="98">
        <f>DATE(LS[[#This Row],[Year]],LS[[#This Row],[Month]],LS[[#This Row],[Day]])</f>
        <v>45469</v>
      </c>
      <c r="E539" s="99" t="str">
        <f>INDEX(INVESTORS_LIST[INVESTOR NAME],MATCH(LS[[#This Row],[Investor ID]],INVESTORS_LIST[INVESTOR CODE],0),)</f>
        <v>SABBIR-AL-HARUN</v>
      </c>
      <c r="F539" s="100" t="s">
        <v>1202</v>
      </c>
      <c r="G539" s="101">
        <f>COUNTIF(LS[[#Headers],[Investor ID]]:LS[[#This Row],[Investor ID]],LS[[#This Row],[Investor ID]])</f>
        <v>1</v>
      </c>
      <c r="H539" s="101" t="str">
        <f>CONCATENATE(LS[[#This Row],[Frequency]],LS[[#This Row],[Investor ID]])</f>
        <v>1A00577</v>
      </c>
      <c r="I539" s="75" t="str">
        <f>IF(LS[[#This Row],[B/S]]="B","BUY",(IF(LS[[#This Row],[B/S]]="S","SELL"," ")))</f>
        <v>BUY</v>
      </c>
      <c r="J539" s="101" t="s">
        <v>1229</v>
      </c>
      <c r="K539" s="102">
        <v>500000</v>
      </c>
      <c r="L539" s="99"/>
      <c r="M539" s="103">
        <f>LS[[#This Row],[Amount]]/LS[[#This Row],[Unit]]</f>
        <v>11.152001784320285</v>
      </c>
      <c r="N539" s="104">
        <f>LS[[#This Row],[Unit Capital]]/10</f>
        <v>44835</v>
      </c>
      <c r="O539" s="104">
        <f>SUMIFS(LS[[#Headers],[Unit]]:LS[[#This Row],[Unit]],LS[[#Headers],[Investor ID]]:LS[[#This Row],[Investor ID]],LS[[#This Row],[Investor ID]])</f>
        <v>44835</v>
      </c>
      <c r="P539" s="102">
        <v>448350</v>
      </c>
      <c r="Q539" s="102">
        <f>LS[[#This Row],[Amount]]-LS[[#This Row],[Unit Capital]]</f>
        <v>51650</v>
      </c>
      <c r="R5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39" s="103">
        <f t="shared" si="8"/>
        <v>14.224</v>
      </c>
      <c r="T53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39" s="96" cm="1">
        <f t="array" ref="U539">IF(LS[[#This Row],[B/S]]="S",ABS(LS[[#This Row],[Unit]])*(INDEX(LS[NAV at Cost (Average)],MATCH(CONCATENATE((LS[[#This Row],[Frequency]]-1),LS[[#This Row],[Investor ID]]),LS[Unique Code],0),0)),0)</f>
        <v>0</v>
      </c>
      <c r="V539" s="96">
        <f>IF(LS[[#This Row],[BO TRANSFER]]="YES",LS[[#This Row],[Unit]],)</f>
        <v>0</v>
      </c>
      <c r="W539" s="96">
        <f>SUMIFS(LS[[#Headers],[BO UNIT TRANSFER]]:LS[[#This Row],[BO UNIT TRANSFER]],LS[[#Headers],[Investor ID]]:LS[[#This Row],[Investor ID]],LS[[#This Row],[Investor ID]])</f>
        <v>0</v>
      </c>
    </row>
    <row r="540" spans="1:23">
      <c r="A540" s="75">
        <v>2024</v>
      </c>
      <c r="B540" s="75">
        <v>6</v>
      </c>
      <c r="C540" s="75">
        <v>26</v>
      </c>
      <c r="D540" s="98">
        <f>DATE(LS[[#This Row],[Year]],LS[[#This Row],[Month]],LS[[#This Row],[Day]])</f>
        <v>45469</v>
      </c>
      <c r="E540" s="99" t="str">
        <f>INDEX(INVESTORS_LIST[INVESTOR NAME],MATCH(LS[[#This Row],[Investor ID]],INVESTORS_LIST[INVESTOR CODE],0),)</f>
        <v>MD. EHSANUL HOQUE</v>
      </c>
      <c r="F540" s="100" t="s">
        <v>1204</v>
      </c>
      <c r="G540" s="101">
        <f>COUNTIF(LS[[#Headers],[Investor ID]]:LS[[#This Row],[Investor ID]],LS[[#This Row],[Investor ID]])</f>
        <v>1</v>
      </c>
      <c r="H540" s="101" t="str">
        <f>CONCATENATE(LS[[#This Row],[Frequency]],LS[[#This Row],[Investor ID]])</f>
        <v>1A00578</v>
      </c>
      <c r="I540" s="75" t="str">
        <f>IF(LS[[#This Row],[B/S]]="B","BUY",(IF(LS[[#This Row],[B/S]]="S","SELL"," ")))</f>
        <v>BUY</v>
      </c>
      <c r="J540" s="101" t="s">
        <v>1229</v>
      </c>
      <c r="K540" s="102">
        <v>500000</v>
      </c>
      <c r="L540" s="99"/>
      <c r="M540" s="103">
        <f>LS[[#This Row],[Amount]]/LS[[#This Row],[Unit]]</f>
        <v>11.152001784320285</v>
      </c>
      <c r="N540" s="104">
        <f>LS[[#This Row],[Unit Capital]]/10</f>
        <v>44835</v>
      </c>
      <c r="O540" s="104">
        <f>SUMIFS(LS[[#Headers],[Unit]]:LS[[#This Row],[Unit]],LS[[#Headers],[Investor ID]]:LS[[#This Row],[Investor ID]],LS[[#This Row],[Investor ID]])</f>
        <v>44835</v>
      </c>
      <c r="P540" s="102">
        <v>448350</v>
      </c>
      <c r="Q540" s="102">
        <f>LS[[#This Row],[Amount]]-LS[[#This Row],[Unit Capital]]</f>
        <v>51650</v>
      </c>
      <c r="R5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40" s="103">
        <f t="shared" si="8"/>
        <v>14.224</v>
      </c>
      <c r="T54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0" s="96" cm="1">
        <f t="array" ref="U540">IF(LS[[#This Row],[B/S]]="S",ABS(LS[[#This Row],[Unit]])*(INDEX(LS[NAV at Cost (Average)],MATCH(CONCATENATE((LS[[#This Row],[Frequency]]-1),LS[[#This Row],[Investor ID]]),LS[Unique Code],0),0)),0)</f>
        <v>0</v>
      </c>
      <c r="V540" s="96">
        <f>IF(LS[[#This Row],[BO TRANSFER]]="YES",LS[[#This Row],[Unit]],)</f>
        <v>0</v>
      </c>
      <c r="W540" s="96">
        <f>SUMIFS(LS[[#Headers],[BO UNIT TRANSFER]]:LS[[#This Row],[BO UNIT TRANSFER]],LS[[#Headers],[Investor ID]]:LS[[#This Row],[Investor ID]],LS[[#This Row],[Investor ID]])</f>
        <v>0</v>
      </c>
    </row>
    <row r="541" spans="1:23">
      <c r="A541" s="75">
        <v>2024</v>
      </c>
      <c r="B541" s="75">
        <v>6</v>
      </c>
      <c r="C541" s="75">
        <v>26</v>
      </c>
      <c r="D541" s="98">
        <f>DATE(LS[[#This Row],[Year]],LS[[#This Row],[Month]],LS[[#This Row],[Day]])</f>
        <v>45469</v>
      </c>
      <c r="E541" s="99" t="str">
        <f>INDEX(INVESTORS_LIST[INVESTOR NAME],MATCH(LS[[#This Row],[Investor ID]],INVESTORS_LIST[INVESTOR CODE],0),)</f>
        <v>MOHAMMAD ABUL HOSSAIN</v>
      </c>
      <c r="F541" s="100" t="s">
        <v>1198</v>
      </c>
      <c r="G541" s="101">
        <f>COUNTIF(LS[[#Headers],[Investor ID]]:LS[[#This Row],[Investor ID]],LS[[#This Row],[Investor ID]])</f>
        <v>1</v>
      </c>
      <c r="H541" s="101" t="str">
        <f>CONCATENATE(LS[[#This Row],[Frequency]],LS[[#This Row],[Investor ID]])</f>
        <v>1A00575</v>
      </c>
      <c r="I541" s="75" t="str">
        <f>IF(LS[[#This Row],[B/S]]="B","BUY",(IF(LS[[#This Row],[B/S]]="S","SELL"," ")))</f>
        <v>BUY</v>
      </c>
      <c r="J541" s="101" t="s">
        <v>1229</v>
      </c>
      <c r="K541" s="102">
        <v>500000</v>
      </c>
      <c r="L541" s="99"/>
      <c r="M541" s="103">
        <f>LS[[#This Row],[Amount]]/LS[[#This Row],[Unit]]</f>
        <v>11.152001784320285</v>
      </c>
      <c r="N541" s="104">
        <f>LS[[#This Row],[Unit Capital]]/10</f>
        <v>44835</v>
      </c>
      <c r="O541" s="104">
        <f>SUMIFS(LS[[#Headers],[Unit]]:LS[[#This Row],[Unit]],LS[[#Headers],[Investor ID]]:LS[[#This Row],[Investor ID]],LS[[#This Row],[Investor ID]])</f>
        <v>44835</v>
      </c>
      <c r="P541" s="102">
        <v>448350</v>
      </c>
      <c r="Q541" s="102">
        <f>LS[[#This Row],[Amount]]-LS[[#This Row],[Unit Capital]]</f>
        <v>51650</v>
      </c>
      <c r="R5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41" s="103">
        <f t="shared" si="8"/>
        <v>14.224</v>
      </c>
      <c r="T5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1" s="96" cm="1">
        <f t="array" ref="U541">IF(LS[[#This Row],[B/S]]="S",ABS(LS[[#This Row],[Unit]])*(INDEX(LS[NAV at Cost (Average)],MATCH(CONCATENATE((LS[[#This Row],[Frequency]]-1),LS[[#This Row],[Investor ID]]),LS[Unique Code],0),0)),0)</f>
        <v>0</v>
      </c>
      <c r="V541" s="96">
        <f>IF(LS[[#This Row],[BO TRANSFER]]="YES",LS[[#This Row],[Unit]],)</f>
        <v>0</v>
      </c>
      <c r="W541" s="96">
        <f>SUMIFS(LS[[#Headers],[BO UNIT TRANSFER]]:LS[[#This Row],[BO UNIT TRANSFER]],LS[[#Headers],[Investor ID]]:LS[[#This Row],[Investor ID]],LS[[#This Row],[Investor ID]])</f>
        <v>0</v>
      </c>
    </row>
    <row r="542" spans="1:23">
      <c r="A542" s="75">
        <v>2024</v>
      </c>
      <c r="B542" s="75">
        <v>6</v>
      </c>
      <c r="C542" s="75">
        <v>26</v>
      </c>
      <c r="D542" s="98">
        <f>DATE(LS[[#This Row],[Year]],LS[[#This Row],[Month]],LS[[#This Row],[Day]])</f>
        <v>45469</v>
      </c>
      <c r="E542" s="99" t="str">
        <f>INDEX(INVESTORS_LIST[INVESTOR NAME],MATCH(LS[[#This Row],[Investor ID]],INVESTORS_LIST[INVESTOR CODE],0),)</f>
        <v>MD. NIZAM UDDIN</v>
      </c>
      <c r="F542" s="100" t="s">
        <v>815</v>
      </c>
      <c r="G542" s="101">
        <f>COUNTIF(LS[[#Headers],[Investor ID]]:LS[[#This Row],[Investor ID]],LS[[#This Row],[Investor ID]])</f>
        <v>3</v>
      </c>
      <c r="H542" s="101" t="str">
        <f>CONCATENATE(LS[[#This Row],[Frequency]],LS[[#This Row],[Investor ID]])</f>
        <v>3A00384</v>
      </c>
      <c r="I542" s="75" t="str">
        <f>IF(LS[[#This Row],[B/S]]="B","BUY",(IF(LS[[#This Row],[B/S]]="S","SELL"," ")))</f>
        <v>BUY</v>
      </c>
      <c r="J542" s="101" t="s">
        <v>1229</v>
      </c>
      <c r="K542" s="102">
        <v>100000</v>
      </c>
      <c r="L542" s="99"/>
      <c r="M542" s="103">
        <f>LS[[#This Row],[Amount]]/LS[[#This Row],[Unit]]</f>
        <v>11.152001784320285</v>
      </c>
      <c r="N542" s="104">
        <f>LS[[#This Row],[Unit Capital]]/10</f>
        <v>8967</v>
      </c>
      <c r="O542" s="104">
        <f>SUMIFS(LS[[#Headers],[Unit]]:LS[[#This Row],[Unit]],LS[[#Headers],[Investor ID]]:LS[[#This Row],[Investor ID]],LS[[#This Row],[Investor ID]])</f>
        <v>8967</v>
      </c>
      <c r="P542" s="102">
        <v>89670</v>
      </c>
      <c r="Q542" s="102">
        <f>LS[[#This Row],[Amount]]-LS[[#This Row],[Unit Capital]]</f>
        <v>10330</v>
      </c>
      <c r="R5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42" s="103">
        <f t="shared" si="8"/>
        <v>14.224</v>
      </c>
      <c r="T5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2" s="96" cm="1">
        <f t="array" ref="U542">IF(LS[[#This Row],[B/S]]="S",ABS(LS[[#This Row],[Unit]])*(INDEX(LS[NAV at Cost (Average)],MATCH(CONCATENATE((LS[[#This Row],[Frequency]]-1),LS[[#This Row],[Investor ID]]),LS[Unique Code],0),0)),0)</f>
        <v>0</v>
      </c>
      <c r="V542" s="96">
        <f>IF(LS[[#This Row],[BO TRANSFER]]="YES",LS[[#This Row],[Unit]],)</f>
        <v>0</v>
      </c>
      <c r="W542" s="96">
        <f>SUMIFS(LS[[#Headers],[BO UNIT TRANSFER]]:LS[[#This Row],[BO UNIT TRANSFER]],LS[[#Headers],[Investor ID]]:LS[[#This Row],[Investor ID]],LS[[#This Row],[Investor ID]])</f>
        <v>0</v>
      </c>
    </row>
    <row r="543" spans="1:23">
      <c r="A543" s="75">
        <v>2024</v>
      </c>
      <c r="B543" s="75">
        <v>6</v>
      </c>
      <c r="C543" s="75">
        <v>26</v>
      </c>
      <c r="D543" s="98">
        <f>DATE(LS[[#This Row],[Year]],LS[[#This Row],[Month]],LS[[#This Row],[Day]])</f>
        <v>45469</v>
      </c>
      <c r="E543" s="99" t="str">
        <f>INDEX(INVESTORS_LIST[INVESTOR NAME],MATCH(LS[[#This Row],[Investor ID]],INVESTORS_LIST[INVESTOR CODE],0),)</f>
        <v>AHAMMOD HOSSAIN</v>
      </c>
      <c r="F543" s="100" t="s">
        <v>1179</v>
      </c>
      <c r="G543" s="101">
        <f>COUNTIF(LS[[#Headers],[Investor ID]]:LS[[#This Row],[Investor ID]],LS[[#This Row],[Investor ID]])</f>
        <v>1</v>
      </c>
      <c r="H543" s="101" t="str">
        <f>CONCATENATE(LS[[#This Row],[Frequency]],LS[[#This Row],[Investor ID]])</f>
        <v>1A00565</v>
      </c>
      <c r="I543" s="75" t="str">
        <f>IF(LS[[#This Row],[B/S]]="B","BUY",(IF(LS[[#This Row],[B/S]]="S","SELL"," ")))</f>
        <v>BUY</v>
      </c>
      <c r="J543" s="101" t="s">
        <v>1229</v>
      </c>
      <c r="K543" s="102">
        <v>230000</v>
      </c>
      <c r="L543" s="99"/>
      <c r="M543" s="103">
        <f>LS[[#This Row],[Amount]]/LS[[#This Row],[Unit]]</f>
        <v>11.152055857253686</v>
      </c>
      <c r="N543" s="104">
        <f>LS[[#This Row],[Unit Capital]]/10</f>
        <v>20624</v>
      </c>
      <c r="O543" s="104">
        <f>SUMIFS(LS[[#Headers],[Unit]]:LS[[#This Row],[Unit]],LS[[#Headers],[Investor ID]]:LS[[#This Row],[Investor ID]],LS[[#This Row],[Investor ID]])</f>
        <v>20624</v>
      </c>
      <c r="P543" s="102">
        <v>206240</v>
      </c>
      <c r="Q543" s="102">
        <f>LS[[#This Row],[Amount]]-LS[[#This Row],[Unit Capital]]</f>
        <v>23760</v>
      </c>
      <c r="R5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11.152055857253686</v>
      </c>
      <c r="S543" s="103">
        <f t="shared" si="8"/>
        <v>14.224</v>
      </c>
      <c r="T54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3" s="96" cm="1">
        <f t="array" ref="U543">IF(LS[[#This Row],[B/S]]="S",ABS(LS[[#This Row],[Unit]])*(INDEX(LS[NAV at Cost (Average)],MATCH(CONCATENATE((LS[[#This Row],[Frequency]]-1),LS[[#This Row],[Investor ID]]),LS[Unique Code],0),0)),0)</f>
        <v>0</v>
      </c>
      <c r="V543" s="96">
        <f>IF(LS[[#This Row],[BO TRANSFER]]="YES",LS[[#This Row],[Unit]],)</f>
        <v>0</v>
      </c>
      <c r="W543" s="96">
        <f>SUMIFS(LS[[#Headers],[BO UNIT TRANSFER]]:LS[[#This Row],[BO UNIT TRANSFER]],LS[[#Headers],[Investor ID]]:LS[[#This Row],[Investor ID]],LS[[#This Row],[Investor ID]])</f>
        <v>0</v>
      </c>
    </row>
    <row r="544" spans="1:23">
      <c r="A544" s="75">
        <v>2024</v>
      </c>
      <c r="B544" s="75">
        <v>6</v>
      </c>
      <c r="C544" s="75">
        <v>26</v>
      </c>
      <c r="D544" s="98">
        <f>DATE(LS[[#This Row],[Year]],LS[[#This Row],[Month]],LS[[#This Row],[Day]])</f>
        <v>45469</v>
      </c>
      <c r="E544" s="99" t="str">
        <f>INDEX(INVESTORS_LIST[INVESTOR NAME],MATCH(LS[[#This Row],[Investor ID]],INVESTORS_LIST[INVESTOR CODE],0),)</f>
        <v>MD ASHIQUR RAHMAN</v>
      </c>
      <c r="F544" s="100" t="s">
        <v>1173</v>
      </c>
      <c r="G544" s="101">
        <f>COUNTIF(LS[[#Headers],[Investor ID]]:LS[[#This Row],[Investor ID]],LS[[#This Row],[Investor ID]])</f>
        <v>1</v>
      </c>
      <c r="H544" s="101" t="str">
        <f>CONCATENATE(LS[[#This Row],[Frequency]],LS[[#This Row],[Investor ID]])</f>
        <v>1A00562</v>
      </c>
      <c r="I544" s="75" t="str">
        <f>IF(LS[[#This Row],[B/S]]="B","BUY",(IF(LS[[#This Row],[B/S]]="S","SELL"," ")))</f>
        <v>BUY</v>
      </c>
      <c r="J544" s="101" t="s">
        <v>1229</v>
      </c>
      <c r="K544" s="102">
        <v>380000</v>
      </c>
      <c r="L544" s="99"/>
      <c r="M544" s="103">
        <f>LS[[#This Row],[Amount]]/LS[[#This Row],[Unit]]</f>
        <v>11.151870873074101</v>
      </c>
      <c r="N544" s="104">
        <f>LS[[#This Row],[Unit Capital]]/10</f>
        <v>34075</v>
      </c>
      <c r="O544" s="104">
        <f>SUMIFS(LS[[#Headers],[Unit]]:LS[[#This Row],[Unit]],LS[[#Headers],[Investor ID]]:LS[[#This Row],[Investor ID]],LS[[#This Row],[Investor ID]])</f>
        <v>34075</v>
      </c>
      <c r="P544" s="102">
        <v>340750</v>
      </c>
      <c r="Q544" s="102">
        <f>LS[[#This Row],[Amount]]-LS[[#This Row],[Unit Capital]]</f>
        <v>39250</v>
      </c>
      <c r="R5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11.151870873074101</v>
      </c>
      <c r="S544" s="103">
        <f t="shared" si="8"/>
        <v>14.224</v>
      </c>
      <c r="T54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4" s="96" cm="1">
        <f t="array" ref="U544">IF(LS[[#This Row],[B/S]]="S",ABS(LS[[#This Row],[Unit]])*(INDEX(LS[NAV at Cost (Average)],MATCH(CONCATENATE((LS[[#This Row],[Frequency]]-1),LS[[#This Row],[Investor ID]]),LS[Unique Code],0),0)),0)</f>
        <v>0</v>
      </c>
      <c r="V544" s="96">
        <f>IF(LS[[#This Row],[BO TRANSFER]]="YES",LS[[#This Row],[Unit]],)</f>
        <v>0</v>
      </c>
      <c r="W544" s="96">
        <f>SUMIFS(LS[[#Headers],[BO UNIT TRANSFER]]:LS[[#This Row],[BO UNIT TRANSFER]],LS[[#Headers],[Investor ID]]:LS[[#This Row],[Investor ID]],LS[[#This Row],[Investor ID]])</f>
        <v>0</v>
      </c>
    </row>
    <row r="545" spans="1:23">
      <c r="A545" s="75">
        <v>2024</v>
      </c>
      <c r="B545" s="75">
        <v>6</v>
      </c>
      <c r="C545" s="75">
        <v>26</v>
      </c>
      <c r="D545" s="98">
        <f>DATE(LS[[#This Row],[Year]],LS[[#This Row],[Month]],LS[[#This Row],[Day]])</f>
        <v>45469</v>
      </c>
      <c r="E545" s="99" t="str">
        <f>INDEX(INVESTORS_LIST[INVESTOR NAME],MATCH(LS[[#This Row],[Investor ID]],INVESTORS_LIST[INVESTOR CODE],0),)</f>
        <v>MD. ABUL MOSHAD CHOWDHURY</v>
      </c>
      <c r="F545" s="100" t="s">
        <v>1206</v>
      </c>
      <c r="G545" s="101">
        <f>COUNTIF(LS[[#Headers],[Investor ID]]:LS[[#This Row],[Investor ID]],LS[[#This Row],[Investor ID]])</f>
        <v>1</v>
      </c>
      <c r="H545" s="101" t="str">
        <f>CONCATENATE(LS[[#This Row],[Frequency]],LS[[#This Row],[Investor ID]])</f>
        <v>1A00579</v>
      </c>
      <c r="I545" s="75" t="str">
        <f>IF(LS[[#This Row],[B/S]]="B","BUY",(IF(LS[[#This Row],[B/S]]="S","SELL"," ")))</f>
        <v>BUY</v>
      </c>
      <c r="J545" s="101" t="s">
        <v>1229</v>
      </c>
      <c r="K545" s="102">
        <v>160000</v>
      </c>
      <c r="L545" s="99"/>
      <c r="M545" s="103">
        <f>LS[[#This Row],[Amount]]/LS[[#This Row],[Unit]]</f>
        <v>11.152157245417161</v>
      </c>
      <c r="N545" s="104">
        <f>LS[[#This Row],[Unit Capital]]/10</f>
        <v>14347</v>
      </c>
      <c r="O545" s="104">
        <f>SUMIFS(LS[[#Headers],[Unit]]:LS[[#This Row],[Unit]],LS[[#Headers],[Investor ID]]:LS[[#This Row],[Investor ID]],LS[[#This Row],[Investor ID]])</f>
        <v>14347</v>
      </c>
      <c r="P545" s="102">
        <v>143470</v>
      </c>
      <c r="Q545" s="102">
        <f>LS[[#This Row],[Amount]]-LS[[#This Row],[Unit Capital]]</f>
        <v>16530</v>
      </c>
      <c r="R5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11.152157245417161</v>
      </c>
      <c r="S545" s="103">
        <f t="shared" si="8"/>
        <v>14.224</v>
      </c>
      <c r="T54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5" s="96" cm="1">
        <f t="array" ref="U545">IF(LS[[#This Row],[B/S]]="S",ABS(LS[[#This Row],[Unit]])*(INDEX(LS[NAV at Cost (Average)],MATCH(CONCATENATE((LS[[#This Row],[Frequency]]-1),LS[[#This Row],[Investor ID]]),LS[Unique Code],0),0)),0)</f>
        <v>0</v>
      </c>
      <c r="V545" s="96">
        <f>IF(LS[[#This Row],[BO TRANSFER]]="YES",LS[[#This Row],[Unit]],)</f>
        <v>0</v>
      </c>
      <c r="W545" s="96">
        <f>SUMIFS(LS[[#Headers],[BO UNIT TRANSFER]]:LS[[#This Row],[BO UNIT TRANSFER]],LS[[#Headers],[Investor ID]]:LS[[#This Row],[Investor ID]],LS[[#This Row],[Investor ID]])</f>
        <v>0</v>
      </c>
    </row>
    <row r="546" spans="1:23">
      <c r="A546" s="75">
        <v>2024</v>
      </c>
      <c r="B546" s="75">
        <v>6</v>
      </c>
      <c r="C546" s="75">
        <v>27</v>
      </c>
      <c r="D546" s="115">
        <f>DATE(LS[[#This Row],[Year]],LS[[#This Row],[Month]],LS[[#This Row],[Day]])</f>
        <v>45470</v>
      </c>
      <c r="E546" s="99" t="str">
        <f>INDEX(INVESTORS_LIST[INVESTOR NAME],MATCH(LS[[#This Row],[Investor ID]],INVESTORS_LIST[INVESTOR CODE],0),)</f>
        <v>SHUVA SAHA</v>
      </c>
      <c r="F546" s="117" t="s">
        <v>154</v>
      </c>
      <c r="G546" s="114">
        <f>COUNTIF(LS[[#Headers],[Investor ID]]:LS[[#This Row],[Investor ID]],LS[[#This Row],[Investor ID]])</f>
        <v>6</v>
      </c>
      <c r="H546" s="114" t="str">
        <f>CONCATENATE(LS[[#This Row],[Frequency]],LS[[#This Row],[Investor ID]])</f>
        <v>6A00053</v>
      </c>
      <c r="I546" s="75" t="str">
        <f>IF(LS[[#This Row],[B/S]]="B","BUY",(IF(LS[[#This Row],[B/S]]="S","SELL"," ")))</f>
        <v>BUY</v>
      </c>
      <c r="J546" s="114" t="s">
        <v>1229</v>
      </c>
      <c r="K546" s="118">
        <v>100000</v>
      </c>
      <c r="L546" s="88"/>
      <c r="M546" s="119">
        <f>LS[[#This Row],[Amount]]/LS[[#This Row],[Unit]]</f>
        <v>11.152001784320285</v>
      </c>
      <c r="N546" s="120">
        <f>LS[[#This Row],[Unit Capital]]/10</f>
        <v>8967</v>
      </c>
      <c r="O546" s="120">
        <f>SUMIFS(LS[[#Headers],[Unit]]:LS[[#This Row],[Unit]],LS[[#Headers],[Investor ID]]:LS[[#This Row],[Investor ID]],LS[[#This Row],[Investor ID]])</f>
        <v>42679</v>
      </c>
      <c r="P546" s="102">
        <v>89670</v>
      </c>
      <c r="Q546" s="118">
        <f>LS[[#This Row],[Amount]]-LS[[#This Row],[Unit Capital]]</f>
        <v>10330</v>
      </c>
      <c r="R546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10.543827174957238</v>
      </c>
      <c r="S546" s="119">
        <f t="shared" si="8"/>
        <v>14.224</v>
      </c>
      <c r="T546" s="11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6" s="96" cm="1">
        <f t="array" ref="U546">IF(LS[[#This Row],[B/S]]="S",ABS(LS[[#This Row],[Unit]])*(INDEX(LS[NAV at Cost (Average)],MATCH(CONCATENATE((LS[[#This Row],[Frequency]]-1),LS[[#This Row],[Investor ID]]),LS[Unique Code],0),0)),0)</f>
        <v>0</v>
      </c>
      <c r="V546" s="96">
        <f>IF(LS[[#This Row],[BO TRANSFER]]="YES",LS[[#This Row],[Unit]],)</f>
        <v>0</v>
      </c>
      <c r="W546" s="96">
        <f>SUMIFS(LS[[#Headers],[BO UNIT TRANSFER]]:LS[[#This Row],[BO UNIT TRANSFER]],LS[[#Headers],[Investor ID]]:LS[[#This Row],[Investor ID]],LS[[#This Row],[Investor ID]])</f>
        <v>0</v>
      </c>
    </row>
    <row r="547" spans="1:23">
      <c r="A547" s="75">
        <v>2024</v>
      </c>
      <c r="B547" s="75">
        <v>6</v>
      </c>
      <c r="C547" s="75">
        <v>27</v>
      </c>
      <c r="D547" s="115">
        <f>DATE(LS[[#This Row],[Year]],LS[[#This Row],[Month]],LS[[#This Row],[Day]])</f>
        <v>45470</v>
      </c>
      <c r="E547" s="99" t="str">
        <f>INDEX(INVESTORS_LIST[INVESTOR NAME],MATCH(LS[[#This Row],[Investor ID]],INVESTORS_LIST[INVESTOR CODE],0),)</f>
        <v>MD. A. RAZZAK</v>
      </c>
      <c r="F547" s="117" t="s">
        <v>896</v>
      </c>
      <c r="G547" s="114">
        <f>COUNTIF(LS[[#Headers],[Investor ID]]:LS[[#This Row],[Investor ID]],LS[[#This Row],[Investor ID]])</f>
        <v>1</v>
      </c>
      <c r="H547" s="114" t="str">
        <f>CONCATENATE(LS[[#This Row],[Frequency]],LS[[#This Row],[Investor ID]])</f>
        <v>1A00425</v>
      </c>
      <c r="I547" s="75" t="str">
        <f>IF(LS[[#This Row],[B/S]]="B","BUY",(IF(LS[[#This Row],[B/S]]="S","SELL"," ")))</f>
        <v>BUY</v>
      </c>
      <c r="J547" s="114" t="s">
        <v>1229</v>
      </c>
      <c r="K547" s="118">
        <v>198000</v>
      </c>
      <c r="L547" s="116"/>
      <c r="M547" s="119">
        <f>LS[[#This Row],[Amount]]/LS[[#This Row],[Unit]]</f>
        <v>11.15178822866798</v>
      </c>
      <c r="N547" s="120">
        <f>LS[[#This Row],[Unit Capital]]/10</f>
        <v>17755</v>
      </c>
      <c r="O547" s="120">
        <f>SUMIFS(LS[[#Headers],[Unit]]:LS[[#This Row],[Unit]],LS[[#Headers],[Investor ID]]:LS[[#This Row],[Investor ID]],LS[[#This Row],[Investor ID]])</f>
        <v>17755</v>
      </c>
      <c r="P547" s="102">
        <v>177550</v>
      </c>
      <c r="Q547" s="118">
        <f>LS[[#This Row],[Amount]]-LS[[#This Row],[Unit Capital]]</f>
        <v>20450</v>
      </c>
      <c r="R547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11.15178822866798</v>
      </c>
      <c r="S547" s="119">
        <f t="shared" si="8"/>
        <v>14.224</v>
      </c>
      <c r="T547" s="11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7" s="96" cm="1">
        <f t="array" ref="U547">IF(LS[[#This Row],[B/S]]="S",ABS(LS[[#This Row],[Unit]])*(INDEX(LS[NAV at Cost (Average)],MATCH(CONCATENATE((LS[[#This Row],[Frequency]]-1),LS[[#This Row],[Investor ID]]),LS[Unique Code],0),0)),0)</f>
        <v>0</v>
      </c>
      <c r="V547" s="96">
        <f>IF(LS[[#This Row],[BO TRANSFER]]="YES",LS[[#This Row],[Unit]],)</f>
        <v>0</v>
      </c>
      <c r="W547" s="96">
        <f>SUMIFS(LS[[#Headers],[BO UNIT TRANSFER]]:LS[[#This Row],[BO UNIT TRANSFER]],LS[[#Headers],[Investor ID]]:LS[[#This Row],[Investor ID]],LS[[#This Row],[Investor ID]])</f>
        <v>0</v>
      </c>
    </row>
    <row r="548" spans="1:23">
      <c r="A548" s="75">
        <v>2024</v>
      </c>
      <c r="B548" s="75">
        <v>6</v>
      </c>
      <c r="C548" s="75">
        <v>27</v>
      </c>
      <c r="D548" s="115">
        <f>DATE(LS[[#This Row],[Year]],LS[[#This Row],[Month]],LS[[#This Row],[Day]])</f>
        <v>45470</v>
      </c>
      <c r="E548" s="99" t="str">
        <f>INDEX(INVESTORS_LIST[INVESTOR NAME],MATCH(LS[[#This Row],[Investor ID]],INVESTORS_LIST[INVESTOR CODE],0),)</f>
        <v>MST. GOLENUR</v>
      </c>
      <c r="F548" s="117" t="s">
        <v>1075</v>
      </c>
      <c r="G548" s="114">
        <f>COUNTIF(LS[[#Headers],[Investor ID]]:LS[[#This Row],[Investor ID]],LS[[#This Row],[Investor ID]])</f>
        <v>8</v>
      </c>
      <c r="H548" s="114" t="str">
        <f>CONCATENATE(LS[[#This Row],[Frequency]],LS[[#This Row],[Investor ID]])</f>
        <v>8A00515</v>
      </c>
      <c r="I548" s="75" t="str">
        <f>IF(LS[[#This Row],[B/S]]="B","BUY",(IF(LS[[#This Row],[B/S]]="S","SELL"," ")))</f>
        <v>BUY</v>
      </c>
      <c r="J548" s="114" t="s">
        <v>1229</v>
      </c>
      <c r="K548" s="118">
        <v>2000</v>
      </c>
      <c r="L548" s="116"/>
      <c r="M548" s="119">
        <f>LS[[#This Row],[Amount]]/LS[[#This Row],[Unit]]</f>
        <v>11.173184357541899</v>
      </c>
      <c r="N548" s="120">
        <f>LS[[#This Row],[Unit Capital]]/10</f>
        <v>179</v>
      </c>
      <c r="O548" s="120">
        <f>SUMIFS(LS[[#Headers],[Unit]]:LS[[#This Row],[Unit]],LS[[#Headers],[Investor ID]]:LS[[#This Row],[Investor ID]],LS[[#This Row],[Investor ID]])</f>
        <v>1472</v>
      </c>
      <c r="P548" s="102">
        <v>1790</v>
      </c>
      <c r="Q548" s="118">
        <f>LS[[#This Row],[Amount]]-LS[[#This Row],[Unit Capital]]</f>
        <v>210</v>
      </c>
      <c r="R548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10.869565217391301</v>
      </c>
      <c r="S548" s="119">
        <f t="shared" si="8"/>
        <v>14.224</v>
      </c>
      <c r="T548" s="11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8" s="96" cm="1">
        <f t="array" ref="U548">IF(LS[[#This Row],[B/S]]="S",ABS(LS[[#This Row],[Unit]])*(INDEX(LS[NAV at Cost (Average)],MATCH(CONCATENATE((LS[[#This Row],[Frequency]]-1),LS[[#This Row],[Investor ID]]),LS[Unique Code],0),0)),0)</f>
        <v>0</v>
      </c>
      <c r="V548" s="96">
        <f>IF(LS[[#This Row],[BO TRANSFER]]="YES",LS[[#This Row],[Unit]],)</f>
        <v>0</v>
      </c>
      <c r="W548" s="96">
        <f>SUMIFS(LS[[#Headers],[BO UNIT TRANSFER]]:LS[[#This Row],[BO UNIT TRANSFER]],LS[[#Headers],[Investor ID]]:LS[[#This Row],[Investor ID]],LS[[#This Row],[Investor ID]])</f>
        <v>0</v>
      </c>
    </row>
    <row r="549" spans="1:23">
      <c r="A549" s="75">
        <v>2024</v>
      </c>
      <c r="B549" s="75">
        <v>6</v>
      </c>
      <c r="C549" s="75">
        <v>27</v>
      </c>
      <c r="D549" s="115">
        <f>DATE(LS[[#This Row],[Year]],LS[[#This Row],[Month]],LS[[#This Row],[Day]])</f>
        <v>45470</v>
      </c>
      <c r="E549" s="99" t="str">
        <f>INDEX(INVESTORS_LIST[INVESTOR NAME],MATCH(LS[[#This Row],[Investor ID]],INVESTORS_LIST[INVESTOR CODE],0),)</f>
        <v>MOHAMMAD SHAHNAWAJ CHOWDHURY</v>
      </c>
      <c r="F549" s="117" t="s">
        <v>1188</v>
      </c>
      <c r="G549" s="114">
        <f>COUNTIF(LS[[#Headers],[Investor ID]]:LS[[#This Row],[Investor ID]],LS[[#This Row],[Investor ID]])</f>
        <v>1</v>
      </c>
      <c r="H549" s="114" t="str">
        <f>CONCATENATE(LS[[#This Row],[Frequency]],LS[[#This Row],[Investor ID]])</f>
        <v>1A00570</v>
      </c>
      <c r="I549" s="75" t="str">
        <f>IF(LS[[#This Row],[B/S]]="B","BUY",(IF(LS[[#This Row],[B/S]]="S","SELL"," ")))</f>
        <v>BUY</v>
      </c>
      <c r="J549" s="114" t="s">
        <v>1229</v>
      </c>
      <c r="K549" s="118">
        <v>500000</v>
      </c>
      <c r="L549" s="116"/>
      <c r="M549" s="119">
        <f>LS[[#This Row],[Amount]]/LS[[#This Row],[Unit]]</f>
        <v>11.152001784320285</v>
      </c>
      <c r="N549" s="120">
        <f>LS[[#This Row],[Unit Capital]]/10</f>
        <v>44835</v>
      </c>
      <c r="O549" s="120">
        <f>SUMIFS(LS[[#Headers],[Unit]]:LS[[#This Row],[Unit]],LS[[#Headers],[Investor ID]]:LS[[#This Row],[Investor ID]],LS[[#This Row],[Investor ID]])</f>
        <v>44835</v>
      </c>
      <c r="P549" s="102">
        <v>448350</v>
      </c>
      <c r="Q549" s="118">
        <f>LS[[#This Row],[Amount]]-LS[[#This Row],[Unit Capital]]</f>
        <v>51650</v>
      </c>
      <c r="R549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49" s="119">
        <f t="shared" si="8"/>
        <v>14.224</v>
      </c>
      <c r="T549" s="11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49" s="96" cm="1">
        <f t="array" ref="U549">IF(LS[[#This Row],[B/S]]="S",ABS(LS[[#This Row],[Unit]])*(INDEX(LS[NAV at Cost (Average)],MATCH(CONCATENATE((LS[[#This Row],[Frequency]]-1),LS[[#This Row],[Investor ID]]),LS[Unique Code],0),0)),0)</f>
        <v>0</v>
      </c>
      <c r="V549" s="96">
        <f>IF(LS[[#This Row],[BO TRANSFER]]="YES",LS[[#This Row],[Unit]],)</f>
        <v>0</v>
      </c>
      <c r="W549" s="96">
        <f>SUMIFS(LS[[#Headers],[BO UNIT TRANSFER]]:LS[[#This Row],[BO UNIT TRANSFER]],LS[[#Headers],[Investor ID]]:LS[[#This Row],[Investor ID]],LS[[#This Row],[Investor ID]])</f>
        <v>0</v>
      </c>
    </row>
    <row r="550" spans="1:23">
      <c r="A550" s="75">
        <v>2024</v>
      </c>
      <c r="B550" s="75">
        <v>6</v>
      </c>
      <c r="C550" s="75">
        <v>27</v>
      </c>
      <c r="D550" s="115">
        <f>DATE(LS[[#This Row],[Year]],LS[[#This Row],[Month]],LS[[#This Row],[Day]])</f>
        <v>45470</v>
      </c>
      <c r="E550" s="99" t="str">
        <f>INDEX(INVESTORS_LIST[INVESTOR NAME],MATCH(LS[[#This Row],[Investor ID]],INVESTORS_LIST[INVESTOR CODE],0),)</f>
        <v>ABUL FAZAL MOHAMMAD SAIFUL ISLAM</v>
      </c>
      <c r="F550" s="117" t="s">
        <v>1196</v>
      </c>
      <c r="G550" s="114">
        <f>COUNTIF(LS[[#Headers],[Investor ID]]:LS[[#This Row],[Investor ID]],LS[[#This Row],[Investor ID]])</f>
        <v>1</v>
      </c>
      <c r="H550" s="114" t="str">
        <f>CONCATENATE(LS[[#This Row],[Frequency]],LS[[#This Row],[Investor ID]])</f>
        <v>1A00574</v>
      </c>
      <c r="I550" s="75" t="str">
        <f>IF(LS[[#This Row],[B/S]]="B","BUY",(IF(LS[[#This Row],[B/S]]="S","SELL"," ")))</f>
        <v>BUY</v>
      </c>
      <c r="J550" s="114" t="s">
        <v>1229</v>
      </c>
      <c r="K550" s="118">
        <v>500000</v>
      </c>
      <c r="L550" s="116"/>
      <c r="M550" s="119">
        <f>LS[[#This Row],[Amount]]/LS[[#This Row],[Unit]]</f>
        <v>11.152001784320285</v>
      </c>
      <c r="N550" s="120">
        <f>LS[[#This Row],[Unit Capital]]/10</f>
        <v>44835</v>
      </c>
      <c r="O550" s="120">
        <f>SUMIFS(LS[[#Headers],[Unit]]:LS[[#This Row],[Unit]],LS[[#Headers],[Investor ID]]:LS[[#This Row],[Investor ID]],LS[[#This Row],[Investor ID]])</f>
        <v>44835</v>
      </c>
      <c r="P550" s="102">
        <v>448350</v>
      </c>
      <c r="Q550" s="118">
        <f>LS[[#This Row],[Amount]]-LS[[#This Row],[Unit Capital]]</f>
        <v>51650</v>
      </c>
      <c r="R550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50" s="119">
        <f t="shared" si="8"/>
        <v>14.224</v>
      </c>
      <c r="T550" s="11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0" s="96" cm="1">
        <f t="array" ref="U550">IF(LS[[#This Row],[B/S]]="S",ABS(LS[[#This Row],[Unit]])*(INDEX(LS[NAV at Cost (Average)],MATCH(CONCATENATE((LS[[#This Row],[Frequency]]-1),LS[[#This Row],[Investor ID]]),LS[Unique Code],0),0)),0)</f>
        <v>0</v>
      </c>
      <c r="V550" s="96">
        <f>IF(LS[[#This Row],[BO TRANSFER]]="YES",LS[[#This Row],[Unit]],)</f>
        <v>0</v>
      </c>
      <c r="W550" s="96">
        <f>SUMIFS(LS[[#Headers],[BO UNIT TRANSFER]]:LS[[#This Row],[BO UNIT TRANSFER]],LS[[#Headers],[Investor ID]]:LS[[#This Row],[Investor ID]],LS[[#This Row],[Investor ID]])</f>
        <v>0</v>
      </c>
    </row>
    <row r="551" spans="1:23">
      <c r="A551" s="75">
        <v>2024</v>
      </c>
      <c r="B551" s="75">
        <v>6</v>
      </c>
      <c r="C551" s="75">
        <v>27</v>
      </c>
      <c r="D551" s="115">
        <f>DATE(LS[[#This Row],[Year]],LS[[#This Row],[Month]],LS[[#This Row],[Day]])</f>
        <v>45470</v>
      </c>
      <c r="E551" s="99" t="str">
        <f>INDEX(INVESTORS_LIST[INVESTOR NAME],MATCH(LS[[#This Row],[Investor ID]],INVESTORS_LIST[INVESTOR CODE],0),)</f>
        <v>ANINDITA SAHA</v>
      </c>
      <c r="F551" s="117" t="s">
        <v>1141</v>
      </c>
      <c r="G551" s="114">
        <f>COUNTIF(LS[[#Headers],[Investor ID]]:LS[[#This Row],[Investor ID]],LS[[#This Row],[Investor ID]])</f>
        <v>2</v>
      </c>
      <c r="H551" s="114" t="str">
        <f>CONCATENATE(LS[[#This Row],[Frequency]],LS[[#This Row],[Investor ID]])</f>
        <v>2A00546</v>
      </c>
      <c r="I551" s="75" t="str">
        <f>IF(LS[[#This Row],[B/S]]="B","BUY",(IF(LS[[#This Row],[B/S]]="S","SELL"," ")))</f>
        <v>SELL</v>
      </c>
      <c r="J551" s="114" t="s">
        <v>1231</v>
      </c>
      <c r="K551" s="118">
        <v>-700000</v>
      </c>
      <c r="L551" s="116"/>
      <c r="M551" s="119">
        <f>LS[[#This Row],[Amount]]/LS[[#This Row],[Unit]]</f>
        <v>11.152001784320285</v>
      </c>
      <c r="N551" s="120">
        <f>LS[[#This Row],[Unit Capital]]/10</f>
        <v>-62769</v>
      </c>
      <c r="O551" s="120">
        <f>SUMIFS(LS[[#Headers],[Unit]]:LS[[#This Row],[Unit]],LS[[#Headers],[Investor ID]]:LS[[#This Row],[Investor ID]],LS[[#This Row],[Investor ID]])</f>
        <v>63882</v>
      </c>
      <c r="P551" s="102">
        <v>-627690</v>
      </c>
      <c r="Q551" s="118">
        <f>LS[[#This Row],[Amount]]-LS[[#This Row],[Unit Capital]]</f>
        <v>-72310</v>
      </c>
      <c r="R551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11.053998784060134</v>
      </c>
      <c r="S551" s="119">
        <f t="shared" si="8"/>
        <v>14.224</v>
      </c>
      <c r="T551" s="118">
        <f>IF(LS[[#This Row],[B/S]]="B",0,ABS(LS[[#This Row],[Unit]])*(LS[[#This Row],[NAV (Strike Rate)]]-INDEX(LS[NAV at Cost (Average)],MATCH(CONCATENATE(LS[[#This Row],[Frequency]]-1,LS[[#This Row],[Investor ID]]),LS[Unique Code],0),)))</f>
        <v>6151.5503233294367</v>
      </c>
      <c r="U551" s="96" cm="1">
        <f t="array" ref="U551">IF(LS[[#This Row],[B/S]]="S",ABS(LS[[#This Row],[Unit]])*(INDEX(LS[NAV at Cost (Average)],MATCH(CONCATENATE((LS[[#This Row],[Frequency]]-1),LS[[#This Row],[Investor ID]]),LS[Unique Code],0),0)),0)</f>
        <v>693848.4496766706</v>
      </c>
      <c r="V551" s="96">
        <f>IF(LS[[#This Row],[BO TRANSFER]]="YES",LS[[#This Row],[Unit]],)</f>
        <v>0</v>
      </c>
      <c r="W551" s="96">
        <f>SUMIFS(LS[[#Headers],[BO UNIT TRANSFER]]:LS[[#This Row],[BO UNIT TRANSFER]],LS[[#Headers],[Investor ID]]:LS[[#This Row],[Investor ID]],LS[[#This Row],[Investor ID]])</f>
        <v>0</v>
      </c>
    </row>
    <row r="552" spans="1:23">
      <c r="A552" s="75">
        <v>2024</v>
      </c>
      <c r="B552" s="75">
        <v>6</v>
      </c>
      <c r="C552" s="75">
        <v>27</v>
      </c>
      <c r="D552" s="115">
        <f>DATE(LS[[#This Row],[Year]],LS[[#This Row],[Month]],LS[[#This Row],[Day]])</f>
        <v>45470</v>
      </c>
      <c r="E552" s="99" t="str">
        <f>INDEX(INVESTORS_LIST[INVESTOR NAME],MATCH(LS[[#This Row],[Investor ID]],INVESTORS_LIST[INVESTOR CODE],0),)</f>
        <v>SALMAN ZAMAL</v>
      </c>
      <c r="F552" s="117" t="s">
        <v>980</v>
      </c>
      <c r="G552" s="114">
        <f>COUNTIF(LS[[#Headers],[Investor ID]]:LS[[#This Row],[Investor ID]],LS[[#This Row],[Investor ID]])</f>
        <v>2</v>
      </c>
      <c r="H552" s="114" t="str">
        <f>CONCATENATE(LS[[#This Row],[Frequency]],LS[[#This Row],[Investor ID]])</f>
        <v>2A00467</v>
      </c>
      <c r="I552" s="75" t="str">
        <f>IF(LS[[#This Row],[B/S]]="B","BUY",(IF(LS[[#This Row],[B/S]]="S","SELL"," ")))</f>
        <v>SELL</v>
      </c>
      <c r="J552" s="114" t="s">
        <v>1231</v>
      </c>
      <c r="K552" s="118">
        <v>-27880</v>
      </c>
      <c r="L552" s="116"/>
      <c r="M552" s="119">
        <f>LS[[#This Row],[Amount]]/LS[[#This Row],[Unit]]</f>
        <v>11.151999999999999</v>
      </c>
      <c r="N552" s="120">
        <f>LS[[#This Row],[Unit Capital]]/10</f>
        <v>-2500</v>
      </c>
      <c r="O552" s="120">
        <f>SUMIFS(LS[[#Headers],[Unit]]:LS[[#This Row],[Unit]],LS[[#Headers],[Investor ID]]:LS[[#This Row],[Investor ID]],LS[[#This Row],[Investor ID]])</f>
        <v>0</v>
      </c>
      <c r="P552" s="102">
        <v>-25000</v>
      </c>
      <c r="Q552" s="118">
        <f>LS[[#This Row],[Amount]]-LS[[#This Row],[Unit Capital]]</f>
        <v>-2880</v>
      </c>
      <c r="R552" s="11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52" s="119">
        <f t="shared" si="8"/>
        <v>14.224</v>
      </c>
      <c r="T552" s="118">
        <f>IF(LS[[#This Row],[B/S]]="B",0,ABS(LS[[#This Row],[Unit]])*(LS[[#This Row],[NAV (Strike Rate)]]-INDEX(LS[NAV at Cost (Average)],MATCH(CONCATENATE(LS[[#This Row],[Frequency]]-1,LS[[#This Row],[Investor ID]]),LS[Unique Code],0),)))</f>
        <v>2879.9999999999982</v>
      </c>
      <c r="U552" s="96" cm="1">
        <f t="array" ref="U552">IF(LS[[#This Row],[B/S]]="S",ABS(LS[[#This Row],[Unit]])*(INDEX(LS[NAV at Cost (Average)],MATCH(CONCATENATE((LS[[#This Row],[Frequency]]-1),LS[[#This Row],[Investor ID]]),LS[Unique Code],0),0)),0)</f>
        <v>25000</v>
      </c>
      <c r="V552" s="96">
        <f>IF(LS[[#This Row],[BO TRANSFER]]="YES",LS[[#This Row],[Unit]],)</f>
        <v>0</v>
      </c>
      <c r="W552" s="96">
        <f>SUMIFS(LS[[#Headers],[BO UNIT TRANSFER]]:LS[[#This Row],[BO UNIT TRANSFER]],LS[[#Headers],[Investor ID]]:LS[[#This Row],[Investor ID]],LS[[#This Row],[Investor ID]])</f>
        <v>0</v>
      </c>
    </row>
    <row r="553" spans="1:23">
      <c r="A553" s="75">
        <v>2024</v>
      </c>
      <c r="B553" s="75">
        <v>6</v>
      </c>
      <c r="C553" s="75">
        <v>27</v>
      </c>
      <c r="D553" s="98">
        <f>DATE(LS[[#This Row],[Year]],LS[[#This Row],[Month]],LS[[#This Row],[Day]])</f>
        <v>45470</v>
      </c>
      <c r="E553" s="99" t="str">
        <f>INDEX(INVESTORS_LIST[INVESTOR NAME],MATCH(LS[[#This Row],[Investor ID]],INVESTORS_LIST[INVESTOR CODE],0),)</f>
        <v>RUKAIYA FAHMIDA</v>
      </c>
      <c r="F553" s="100" t="s">
        <v>1190</v>
      </c>
      <c r="G553" s="101">
        <f>COUNTIF(LS[[#Headers],[Investor ID]]:LS[[#This Row],[Investor ID]],LS[[#This Row],[Investor ID]])</f>
        <v>1</v>
      </c>
      <c r="H553" s="101" t="str">
        <f>CONCATENATE(LS[[#This Row],[Frequency]],LS[[#This Row],[Investor ID]])</f>
        <v>1A00571</v>
      </c>
      <c r="I553" s="75" t="str">
        <f>IF(LS[[#This Row],[B/S]]="B","BUY",(IF(LS[[#This Row],[B/S]]="S","SELL"," ")))</f>
        <v>BUY</v>
      </c>
      <c r="J553" s="101" t="s">
        <v>1229</v>
      </c>
      <c r="K553" s="102">
        <v>35000</v>
      </c>
      <c r="L553" s="99"/>
      <c r="M553" s="103">
        <f>LS[[#This Row],[Amount]]/LS[[#This Row],[Unit]]</f>
        <v>11.153601019757808</v>
      </c>
      <c r="N553" s="104">
        <f>LS[[#This Row],[Unit Capital]]/10</f>
        <v>3138</v>
      </c>
      <c r="O553" s="104">
        <f>SUMIFS(LS[[#Headers],[Unit]]:LS[[#This Row],[Unit]],LS[[#Headers],[Investor ID]]:LS[[#This Row],[Investor ID]],LS[[#This Row],[Investor ID]])</f>
        <v>3138</v>
      </c>
      <c r="P553" s="102">
        <v>31380</v>
      </c>
      <c r="Q553" s="102">
        <f>LS[[#This Row],[Amount]]-LS[[#This Row],[Unit Capital]]</f>
        <v>3620</v>
      </c>
      <c r="R5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11.153601019757808</v>
      </c>
      <c r="S553" s="103">
        <f t="shared" si="8"/>
        <v>14.224</v>
      </c>
      <c r="T55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3" s="96" cm="1">
        <f t="array" ref="U553">IF(LS[[#This Row],[B/S]]="S",ABS(LS[[#This Row],[Unit]])*(INDEX(LS[NAV at Cost (Average)],MATCH(CONCATENATE((LS[[#This Row],[Frequency]]-1),LS[[#This Row],[Investor ID]]),LS[Unique Code],0),0)),0)</f>
        <v>0</v>
      </c>
      <c r="V553" s="96">
        <f>IF(LS[[#This Row],[BO TRANSFER]]="YES",LS[[#This Row],[Unit]],)</f>
        <v>0</v>
      </c>
      <c r="W553" s="96">
        <f>SUMIFS(LS[[#Headers],[BO UNIT TRANSFER]]:LS[[#This Row],[BO UNIT TRANSFER]],LS[[#Headers],[Investor ID]]:LS[[#This Row],[Investor ID]],LS[[#This Row],[Investor ID]])</f>
        <v>0</v>
      </c>
    </row>
    <row r="554" spans="1:23">
      <c r="A554" s="75">
        <v>2024</v>
      </c>
      <c r="B554" s="75">
        <v>6</v>
      </c>
      <c r="C554" s="75">
        <v>30</v>
      </c>
      <c r="D554" s="98">
        <f>DATE(LS[[#This Row],[Year]],LS[[#This Row],[Month]],LS[[#This Row],[Day]])</f>
        <v>45473</v>
      </c>
      <c r="E554" s="99" t="str">
        <f>INDEX(INVESTORS_LIST[INVESTOR NAME],MATCH(LS[[#This Row],[Investor ID]],INVESTORS_LIST[INVESTOR CODE],0),)</f>
        <v>HUMAIRA TABASSUM READDHE</v>
      </c>
      <c r="F554" s="100" t="s">
        <v>1052</v>
      </c>
      <c r="G554" s="101">
        <f>COUNTIF(LS[[#Headers],[Investor ID]]:LS[[#This Row],[Investor ID]],LS[[#This Row],[Investor ID]])</f>
        <v>3</v>
      </c>
      <c r="H554" s="101" t="str">
        <f>CONCATENATE(LS[[#This Row],[Frequency]],LS[[#This Row],[Investor ID]])</f>
        <v>3A00503</v>
      </c>
      <c r="I554" s="75" t="str">
        <f>IF(LS[[#This Row],[B/S]]="B","BUY",(IF(LS[[#This Row],[B/S]]="S","SELL"," ")))</f>
        <v>BUY</v>
      </c>
      <c r="J554" s="101" t="s">
        <v>1229</v>
      </c>
      <c r="K554" s="102">
        <v>30000</v>
      </c>
      <c r="L554" s="99"/>
      <c r="M554" s="103">
        <f>LS[[#This Row],[Amount]]/LS[[#This Row],[Unit]]</f>
        <v>11.173184357541899</v>
      </c>
      <c r="N554" s="104">
        <f>LS[[#This Row],[Unit Capital]]/10</f>
        <v>2685</v>
      </c>
      <c r="O554" s="104">
        <f>SUMIFS(LS[[#Headers],[Unit]]:LS[[#This Row],[Unit]],LS[[#Headers],[Investor ID]]:LS[[#This Row],[Investor ID]],LS[[#This Row],[Investor ID]])</f>
        <v>2685</v>
      </c>
      <c r="P554" s="102">
        <v>26850</v>
      </c>
      <c r="Q554" s="102">
        <f>LS[[#This Row],[Amount]]-LS[[#This Row],[Unit Capital]]</f>
        <v>3150</v>
      </c>
      <c r="R5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11.173184357541899</v>
      </c>
      <c r="S554" s="103">
        <f t="shared" si="8"/>
        <v>14.224</v>
      </c>
      <c r="T5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4" s="102" cm="1">
        <f t="array" ref="U554">IF(LS[[#This Row],[B/S]]="S",ABS(LS[[#This Row],[Unit]])*(INDEX(LS[NAV at Cost (Average)],MATCH(CONCATENATE((LS[[#This Row],[Frequency]]-1),LS[[#This Row],[Investor ID]]),LS[Unique Code],0),0)),0)</f>
        <v>0</v>
      </c>
      <c r="V554" s="102">
        <f>IF(LS[[#This Row],[BO TRANSFER]]="YES",LS[[#This Row],[Unit]],)</f>
        <v>0</v>
      </c>
      <c r="W554" s="102">
        <f>SUMIFS(LS[[#Headers],[BO UNIT TRANSFER]]:LS[[#This Row],[BO UNIT TRANSFER]],LS[[#Headers],[Investor ID]]:LS[[#This Row],[Investor ID]],LS[[#This Row],[Investor ID]])</f>
        <v>0</v>
      </c>
    </row>
    <row r="555" spans="1:23">
      <c r="A555" s="75">
        <v>2024</v>
      </c>
      <c r="B555" s="75">
        <v>6</v>
      </c>
      <c r="C555" s="75">
        <v>30</v>
      </c>
      <c r="D555" s="98">
        <f>DATE(LS[[#This Row],[Year]],LS[[#This Row],[Month]],LS[[#This Row],[Day]])</f>
        <v>45473</v>
      </c>
      <c r="E555" s="99" t="str">
        <f>INDEX(INVESTORS_LIST[INVESTOR NAME],MATCH(LS[[#This Row],[Investor ID]],INVESTORS_LIST[INVESTOR CODE],0),)</f>
        <v>ABU BAKAR BIN JAHID</v>
      </c>
      <c r="F555" s="100" t="s">
        <v>1264</v>
      </c>
      <c r="G555" s="101">
        <f>COUNTIF(LS[[#Headers],[Investor ID]]:LS[[#This Row],[Investor ID]],LS[[#This Row],[Investor ID]])</f>
        <v>1</v>
      </c>
      <c r="H555" s="101" t="str">
        <f>CONCATENATE(LS[[#This Row],[Frequency]],LS[[#This Row],[Investor ID]])</f>
        <v>1A00580</v>
      </c>
      <c r="I555" s="75" t="str">
        <f>IF(LS[[#This Row],[B/S]]="B","BUY",(IF(LS[[#This Row],[B/S]]="S","SELL"," ")))</f>
        <v>BUY</v>
      </c>
      <c r="J555" s="101" t="s">
        <v>1229</v>
      </c>
      <c r="K555" s="102">
        <v>300000</v>
      </c>
      <c r="L555" s="99"/>
      <c r="M555" s="103">
        <f>LS[[#This Row],[Amount]]/LS[[#This Row],[Unit]]</f>
        <v>11.173184357541899</v>
      </c>
      <c r="N555" s="104">
        <f>LS[[#This Row],[Unit Capital]]/10</f>
        <v>26850</v>
      </c>
      <c r="O555" s="104">
        <f>SUMIFS(LS[[#Headers],[Unit]]:LS[[#This Row],[Unit]],LS[[#Headers],[Investor ID]]:LS[[#This Row],[Investor ID]],LS[[#This Row],[Investor ID]])</f>
        <v>26850</v>
      </c>
      <c r="P555" s="102">
        <v>268500</v>
      </c>
      <c r="Q555" s="102">
        <f>LS[[#This Row],[Amount]]-LS[[#This Row],[Unit Capital]]</f>
        <v>31500</v>
      </c>
      <c r="R5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11.173184357541899</v>
      </c>
      <c r="S555" s="103">
        <f t="shared" si="8"/>
        <v>14.224</v>
      </c>
      <c r="T5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5" s="102" cm="1">
        <f t="array" ref="U555">IF(LS[[#This Row],[B/S]]="S",ABS(LS[[#This Row],[Unit]])*(INDEX(LS[NAV at Cost (Average)],MATCH(CONCATENATE((LS[[#This Row],[Frequency]]-1),LS[[#This Row],[Investor ID]]),LS[Unique Code],0),0)),0)</f>
        <v>0</v>
      </c>
      <c r="V555" s="102">
        <f>IF(LS[[#This Row],[BO TRANSFER]]="YES",LS[[#This Row],[Unit]],)</f>
        <v>0</v>
      </c>
      <c r="W555" s="102">
        <f>SUMIFS(LS[[#Headers],[BO UNIT TRANSFER]]:LS[[#This Row],[BO UNIT TRANSFER]],LS[[#Headers],[Investor ID]]:LS[[#This Row],[Investor ID]],LS[[#This Row],[Investor ID]])</f>
        <v>0</v>
      </c>
    </row>
    <row r="556" spans="1:23">
      <c r="A556" s="75">
        <v>2024</v>
      </c>
      <c r="B556" s="75">
        <v>6</v>
      </c>
      <c r="C556" s="75">
        <v>30</v>
      </c>
      <c r="D556" s="98">
        <f>DATE(LS[[#This Row],[Year]],LS[[#This Row],[Month]],LS[[#This Row],[Day]])</f>
        <v>45473</v>
      </c>
      <c r="E556" s="99" t="str">
        <f>INDEX(INVESTORS_LIST[INVESTOR NAME],MATCH(LS[[#This Row],[Investor ID]],INVESTORS_LIST[INVESTOR CODE],0),)</f>
        <v>MOHAMMAD JAHANGIR HOSSAIN</v>
      </c>
      <c r="F556" s="100" t="s">
        <v>1263</v>
      </c>
      <c r="G556" s="101">
        <f>COUNTIF(LS[[#Headers],[Investor ID]]:LS[[#This Row],[Investor ID]],LS[[#This Row],[Investor ID]])</f>
        <v>1</v>
      </c>
      <c r="H556" s="101" t="str">
        <f>CONCATENATE(LS[[#This Row],[Frequency]],LS[[#This Row],[Investor ID]])</f>
        <v>1A00581</v>
      </c>
      <c r="I556" s="75" t="str">
        <f>IF(LS[[#This Row],[B/S]]="B","BUY",(IF(LS[[#This Row],[B/S]]="S","SELL"," ")))</f>
        <v>BUY</v>
      </c>
      <c r="J556" s="101" t="s">
        <v>1229</v>
      </c>
      <c r="K556" s="102">
        <v>120000</v>
      </c>
      <c r="L556" s="99"/>
      <c r="M556" s="103">
        <f>LS[[#This Row],[Amount]]/LS[[#This Row],[Unit]]</f>
        <v>11.173184357541899</v>
      </c>
      <c r="N556" s="104">
        <f>LS[[#This Row],[Unit Capital]]/10</f>
        <v>10740</v>
      </c>
      <c r="O556" s="104">
        <f>SUMIFS(LS[[#Headers],[Unit]]:LS[[#This Row],[Unit]],LS[[#Headers],[Investor ID]]:LS[[#This Row],[Investor ID]],LS[[#This Row],[Investor ID]])</f>
        <v>10740</v>
      </c>
      <c r="P556" s="102">
        <v>107400</v>
      </c>
      <c r="Q556" s="102">
        <f>LS[[#This Row],[Amount]]-LS[[#This Row],[Unit Capital]]</f>
        <v>12600</v>
      </c>
      <c r="R5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11.173184357541899</v>
      </c>
      <c r="S556" s="103">
        <f t="shared" si="8"/>
        <v>14.224</v>
      </c>
      <c r="T5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6" s="102" cm="1">
        <f t="array" ref="U556">IF(LS[[#This Row],[B/S]]="S",ABS(LS[[#This Row],[Unit]])*(INDEX(LS[NAV at Cost (Average)],MATCH(CONCATENATE((LS[[#This Row],[Frequency]]-1),LS[[#This Row],[Investor ID]]),LS[Unique Code],0),0)),0)</f>
        <v>0</v>
      </c>
      <c r="V556" s="102">
        <f>IF(LS[[#This Row],[BO TRANSFER]]="YES",LS[[#This Row],[Unit]],)</f>
        <v>0</v>
      </c>
      <c r="W556" s="102">
        <f>SUMIFS(LS[[#Headers],[BO UNIT TRANSFER]]:LS[[#This Row],[BO UNIT TRANSFER]],LS[[#Headers],[Investor ID]]:LS[[#This Row],[Investor ID]],LS[[#This Row],[Investor ID]])</f>
        <v>0</v>
      </c>
    </row>
    <row r="557" spans="1:23">
      <c r="A557" s="75">
        <v>2024</v>
      </c>
      <c r="B557" s="75">
        <v>6</v>
      </c>
      <c r="C557" s="75">
        <v>30</v>
      </c>
      <c r="D557" s="98">
        <f>DATE(LS[[#This Row],[Year]],LS[[#This Row],[Month]],LS[[#This Row],[Day]])</f>
        <v>45473</v>
      </c>
      <c r="E557" s="99" t="str">
        <f>INDEX(INVESTORS_LIST[INVESTOR NAME],MATCH(LS[[#This Row],[Investor ID]],INVESTORS_LIST[INVESTOR CODE],0),)</f>
        <v>MUHAMMAD SHOHIDUZZAMAN</v>
      </c>
      <c r="F557" s="100" t="s">
        <v>986</v>
      </c>
      <c r="G557" s="101">
        <f>COUNTIF(LS[[#Headers],[Investor ID]]:LS[[#This Row],[Investor ID]],LS[[#This Row],[Investor ID]])</f>
        <v>5</v>
      </c>
      <c r="H557" s="101" t="str">
        <f>CONCATENATE(LS[[#This Row],[Frequency]],LS[[#This Row],[Investor ID]])</f>
        <v>5A00470</v>
      </c>
      <c r="I557" s="75" t="str">
        <f>IF(LS[[#This Row],[B/S]]="B","BUY",(IF(LS[[#This Row],[B/S]]="S","SELL"," ")))</f>
        <v>BUY</v>
      </c>
      <c r="J557" s="101" t="s">
        <v>1229</v>
      </c>
      <c r="K557" s="102">
        <v>10000000</v>
      </c>
      <c r="L557" s="99" t="s">
        <v>1230</v>
      </c>
      <c r="M557" s="103">
        <f>LS[[#This Row],[Amount]]/LS[[#This Row],[Unit]]</f>
        <v>11.172997100607253</v>
      </c>
      <c r="N557" s="104">
        <f>LS[[#This Row],[Unit Capital]]/10</f>
        <v>895015</v>
      </c>
      <c r="O557" s="104">
        <f>SUMIFS(LS[[#Headers],[Unit]]:LS[[#This Row],[Unit]],LS[[#Headers],[Investor ID]]:LS[[#This Row],[Investor ID]],LS[[#This Row],[Investor ID]])</f>
        <v>939850</v>
      </c>
      <c r="P557" s="102">
        <v>8950150</v>
      </c>
      <c r="Q557" s="102">
        <f>LS[[#This Row],[Amount]]-LS[[#This Row],[Unit Capital]]</f>
        <v>1049850</v>
      </c>
      <c r="R5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11.171995531201787</v>
      </c>
      <c r="S557" s="103">
        <f t="shared" si="8"/>
        <v>14.224</v>
      </c>
      <c r="T5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7" s="102" cm="1">
        <f t="array" ref="U557">IF(LS[[#This Row],[B/S]]="S",ABS(LS[[#This Row],[Unit]])*(INDEX(LS[NAV at Cost (Average)],MATCH(CONCATENATE((LS[[#This Row],[Frequency]]-1),LS[[#This Row],[Investor ID]]),LS[Unique Code],0),0)),0)</f>
        <v>0</v>
      </c>
      <c r="V557" s="102">
        <f>IF(LS[[#This Row],[BO TRANSFER]]="YES",LS[[#This Row],[Unit]],)</f>
        <v>895015</v>
      </c>
      <c r="W557" s="102">
        <f>SUMIFS(LS[[#Headers],[BO UNIT TRANSFER]]:LS[[#This Row],[BO UNIT TRANSFER]],LS[[#Headers],[Investor ID]]:LS[[#This Row],[Investor ID]],LS[[#This Row],[Investor ID]])</f>
        <v>895015</v>
      </c>
    </row>
    <row r="558" spans="1:23">
      <c r="A558" s="75">
        <v>2024</v>
      </c>
      <c r="B558" s="75">
        <v>6</v>
      </c>
      <c r="C558" s="75">
        <v>30</v>
      </c>
      <c r="D558" s="98">
        <f>DATE(LS[[#This Row],[Year]],LS[[#This Row],[Month]],LS[[#This Row],[Day]])</f>
        <v>45473</v>
      </c>
      <c r="E558" s="99" t="str">
        <f>INDEX(INVESTORS_LIST[INVESTOR NAME],MATCH(LS[[#This Row],[Investor ID]],INVESTORS_LIST[INVESTOR CODE],0),)</f>
        <v>MAKID HAIDER</v>
      </c>
      <c r="F558" s="100" t="s">
        <v>1186</v>
      </c>
      <c r="G558" s="101">
        <f>COUNTIF(LS[[#Headers],[Investor ID]]:LS[[#This Row],[Investor ID]],LS[[#This Row],[Investor ID]])</f>
        <v>1</v>
      </c>
      <c r="H558" s="101" t="str">
        <f>CONCATENATE(LS[[#This Row],[Frequency]],LS[[#This Row],[Investor ID]])</f>
        <v>1A00569</v>
      </c>
      <c r="I558" s="75" t="str">
        <f>IF(LS[[#This Row],[B/S]]="B","BUY",(IF(LS[[#This Row],[B/S]]="S","SELL"," ")))</f>
        <v>BUY</v>
      </c>
      <c r="J558" s="101" t="s">
        <v>1229</v>
      </c>
      <c r="K558" s="102">
        <v>300000</v>
      </c>
      <c r="L558" s="99"/>
      <c r="M558" s="103">
        <f>LS[[#This Row],[Amount]]/LS[[#This Row],[Unit]]</f>
        <v>11.152001784320285</v>
      </c>
      <c r="N558" s="104">
        <f>LS[[#This Row],[Unit Capital]]/10</f>
        <v>26901</v>
      </c>
      <c r="O558" s="104">
        <f>SUMIFS(LS[[#Headers],[Unit]]:LS[[#This Row],[Unit]],LS[[#Headers],[Investor ID]]:LS[[#This Row],[Investor ID]],LS[[#This Row],[Investor ID]])</f>
        <v>26901</v>
      </c>
      <c r="P558" s="102">
        <v>269010</v>
      </c>
      <c r="Q558" s="102">
        <f>LS[[#This Row],[Amount]]-LS[[#This Row],[Unit Capital]]</f>
        <v>30990</v>
      </c>
      <c r="R5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11.152001784320285</v>
      </c>
      <c r="S558" s="103">
        <f t="shared" si="8"/>
        <v>14.224</v>
      </c>
      <c r="T5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8" s="102" cm="1">
        <f t="array" ref="U558">IF(LS[[#This Row],[B/S]]="S",ABS(LS[[#This Row],[Unit]])*(INDEX(LS[NAV at Cost (Average)],MATCH(CONCATENATE((LS[[#This Row],[Frequency]]-1),LS[[#This Row],[Investor ID]]),LS[Unique Code],0),0)),0)</f>
        <v>0</v>
      </c>
      <c r="V558" s="102">
        <f>IF(LS[[#This Row],[BO TRANSFER]]="YES",LS[[#This Row],[Unit]],)</f>
        <v>0</v>
      </c>
      <c r="W558" s="102">
        <f>SUMIFS(LS[[#Headers],[BO UNIT TRANSFER]]:LS[[#This Row],[BO UNIT TRANSFER]],LS[[#Headers],[Investor ID]]:LS[[#This Row],[Investor ID]],LS[[#This Row],[Investor ID]])</f>
        <v>0</v>
      </c>
    </row>
    <row r="559" spans="1:23">
      <c r="A559" s="75">
        <v>2024</v>
      </c>
      <c r="B559" s="75">
        <v>6</v>
      </c>
      <c r="C559" s="75">
        <v>30</v>
      </c>
      <c r="D559" s="98">
        <f>DATE(LS[[#This Row],[Year]],LS[[#This Row],[Month]],LS[[#This Row],[Day]])</f>
        <v>45473</v>
      </c>
      <c r="E559" s="99" t="str">
        <f>INDEX(INVESTORS_LIST[INVESTOR NAME],MATCH(LS[[#This Row],[Investor ID]],INVESTORS_LIST[INVESTOR CODE],0),)</f>
        <v>RAISA ZAMAN</v>
      </c>
      <c r="F559" s="97" t="s">
        <v>1271</v>
      </c>
      <c r="G559" s="101">
        <f>COUNTIF(LS[[#Headers],[Investor ID]]:LS[[#This Row],[Investor ID]],LS[[#This Row],[Investor ID]])</f>
        <v>1</v>
      </c>
      <c r="H559" s="101" t="str">
        <f>CONCATENATE(LS[[#This Row],[Frequency]],LS[[#This Row],[Investor ID]])</f>
        <v>1A00582</v>
      </c>
      <c r="I559" s="75" t="str">
        <f>IF(LS[[#This Row],[B/S]]="B","BUY",(IF(LS[[#This Row],[B/S]]="S","SELL"," ")))</f>
        <v>BUY</v>
      </c>
      <c r="J559" s="101" t="s">
        <v>1229</v>
      </c>
      <c r="K559" s="102">
        <v>150000</v>
      </c>
      <c r="L559" s="99"/>
      <c r="M559" s="103">
        <f>LS[[#This Row],[Amount]]/LS[[#This Row],[Unit]]</f>
        <v>11.173184357541899</v>
      </c>
      <c r="N559" s="104">
        <f>LS[[#This Row],[Unit Capital]]/10</f>
        <v>13425</v>
      </c>
      <c r="O559" s="104">
        <f>SUMIFS(LS[[#Headers],[Unit]]:LS[[#This Row],[Unit]],LS[[#Headers],[Investor ID]]:LS[[#This Row],[Investor ID]],LS[[#This Row],[Investor ID]])</f>
        <v>13425</v>
      </c>
      <c r="P559" s="102">
        <v>134250</v>
      </c>
      <c r="Q559" s="102">
        <f>LS[[#This Row],[Amount]]-LS[[#This Row],[Unit Capital]]</f>
        <v>15750</v>
      </c>
      <c r="R5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11.173184357541899</v>
      </c>
      <c r="S559" s="103">
        <f t="shared" si="8"/>
        <v>14.224</v>
      </c>
      <c r="T55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59" s="102" cm="1">
        <f t="array" ref="U559">IF(LS[[#This Row],[B/S]]="S",ABS(LS[[#This Row],[Unit]])*(INDEX(LS[NAV at Cost (Average)],MATCH(CONCATENATE((LS[[#This Row],[Frequency]]-1),LS[[#This Row],[Investor ID]]),LS[Unique Code],0),0)),0)</f>
        <v>0</v>
      </c>
      <c r="V559" s="102">
        <f>IF(LS[[#This Row],[BO TRANSFER]]="YES",LS[[#This Row],[Unit]],)</f>
        <v>0</v>
      </c>
      <c r="W559" s="102">
        <f>SUMIFS(LS[[#Headers],[BO UNIT TRANSFER]]:LS[[#This Row],[BO UNIT TRANSFER]],LS[[#Headers],[Investor ID]]:LS[[#This Row],[Investor ID]],LS[[#This Row],[Investor ID]])</f>
        <v>0</v>
      </c>
    </row>
    <row r="560" spans="1:23">
      <c r="A560" s="75">
        <v>2024</v>
      </c>
      <c r="B560" s="75">
        <v>7</v>
      </c>
      <c r="C560" s="75">
        <v>1</v>
      </c>
      <c r="D560" s="145">
        <f>DATE(LS[[#This Row],[Year]],LS[[#This Row],[Month]],LS[[#This Row],[Day]])</f>
        <v>45474</v>
      </c>
      <c r="E560" s="99" t="str">
        <f>INDEX(INVESTORS_LIST[INVESTOR NAME],MATCH(LS[[#This Row],[Investor ID]],INVESTORS_LIST[INVESTOR CODE],0),)</f>
        <v>KAZI HABIBUR RAHMAN</v>
      </c>
      <c r="F560" s="146" t="s">
        <v>1114</v>
      </c>
      <c r="G560" s="147">
        <f>COUNTIF(LS[[#Headers],[Investor ID]]:LS[[#This Row],[Investor ID]],LS[[#This Row],[Investor ID]])</f>
        <v>14</v>
      </c>
      <c r="H560" s="147" t="str">
        <f>CONCATENATE(LS[[#This Row],[Frequency]],LS[[#This Row],[Investor ID]])</f>
        <v>14A00532</v>
      </c>
      <c r="I560" s="75" t="str">
        <f>IF(LS[[#This Row],[B/S]]="B","BUY",(IF(LS[[#This Row],[B/S]]="S","SELL"," ")))</f>
        <v>BUY</v>
      </c>
      <c r="J560" s="101" t="s">
        <v>1229</v>
      </c>
      <c r="K560" s="102">
        <v>196000</v>
      </c>
      <c r="L560" s="144"/>
      <c r="M560" s="148">
        <f>LS[[#This Row],[Amount]]/LS[[#This Row],[Unit]]</f>
        <v>11.173184357541899</v>
      </c>
      <c r="N560" s="143">
        <f>LS[[#This Row],[Unit Capital]]/10</f>
        <v>17542</v>
      </c>
      <c r="O560" s="143">
        <f>SUMIFS(LS[[#Headers],[Unit]]:LS[[#This Row],[Unit]],LS[[#Headers],[Investor ID]]:LS[[#This Row],[Investor ID]],LS[[#This Row],[Investor ID]])</f>
        <v>631930</v>
      </c>
      <c r="P560" s="102">
        <v>175420</v>
      </c>
      <c r="Q560" s="142">
        <f>LS[[#This Row],[Amount]]-LS[[#This Row],[Unit Capital]]</f>
        <v>20580</v>
      </c>
      <c r="R560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11.078700573763895</v>
      </c>
      <c r="S560" s="148">
        <f t="shared" si="8"/>
        <v>14.224</v>
      </c>
      <c r="T560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0" s="142" cm="1">
        <f t="array" ref="U560">IF(LS[[#This Row],[B/S]]="S",ABS(LS[[#This Row],[Unit]])*(INDEX(LS[NAV at Cost (Average)],MATCH(CONCATENATE((LS[[#This Row],[Frequency]]-1),LS[[#This Row],[Investor ID]]),LS[Unique Code],0),0)),0)</f>
        <v>0</v>
      </c>
      <c r="V560" s="142">
        <f>IF(LS[[#This Row],[BO TRANSFER]]="YES",LS[[#This Row],[Unit]],)</f>
        <v>0</v>
      </c>
      <c r="W560" s="142">
        <f>SUMIFS(LS[[#Headers],[BO UNIT TRANSFER]]:LS[[#This Row],[BO UNIT TRANSFER]],LS[[#Headers],[Investor ID]]:LS[[#This Row],[Investor ID]],LS[[#This Row],[Investor ID]])</f>
        <v>0</v>
      </c>
    </row>
    <row r="561" spans="1:23">
      <c r="A561" s="75">
        <v>2024</v>
      </c>
      <c r="B561" s="75">
        <v>7</v>
      </c>
      <c r="C561" s="75">
        <v>1</v>
      </c>
      <c r="D561" s="145">
        <f>DATE(LS[[#This Row],[Year]],LS[[#This Row],[Month]],LS[[#This Row],[Day]])</f>
        <v>45474</v>
      </c>
      <c r="E561" s="99" t="str">
        <f>INDEX(INVESTORS_LIST[INVESTOR NAME],MATCH(LS[[#This Row],[Investor ID]],INVESTORS_LIST[INVESTOR CODE],0),)</f>
        <v>KAZI HABIBUR RAHMAN</v>
      </c>
      <c r="F561" s="146" t="s">
        <v>1114</v>
      </c>
      <c r="G561" s="147">
        <f>COUNTIF(LS[[#Headers],[Investor ID]]:LS[[#This Row],[Investor ID]],LS[[#This Row],[Investor ID]])</f>
        <v>15</v>
      </c>
      <c r="H561" s="147" t="str">
        <f>CONCATENATE(LS[[#This Row],[Frequency]],LS[[#This Row],[Investor ID]])</f>
        <v>15A00532</v>
      </c>
      <c r="I561" s="75" t="str">
        <f>IF(LS[[#This Row],[B/S]]="B","BUY",(IF(LS[[#This Row],[B/S]]="S","SELL"," ")))</f>
        <v>BUY</v>
      </c>
      <c r="J561" s="101" t="s">
        <v>1229</v>
      </c>
      <c r="K561" s="102">
        <v>4000</v>
      </c>
      <c r="L561" s="144"/>
      <c r="M561" s="148">
        <f>LS[[#This Row],[Amount]]/LS[[#This Row],[Unit]]</f>
        <v>11.173184357541899</v>
      </c>
      <c r="N561" s="143">
        <f>LS[[#This Row],[Unit Capital]]/10</f>
        <v>358</v>
      </c>
      <c r="O561" s="143">
        <f>SUMIFS(LS[[#Headers],[Unit]]:LS[[#This Row],[Unit]],LS[[#Headers],[Investor ID]]:LS[[#This Row],[Investor ID]],LS[[#This Row],[Investor ID]])</f>
        <v>632288</v>
      </c>
      <c r="P561" s="102">
        <v>3580</v>
      </c>
      <c r="Q561" s="142">
        <f>LS[[#This Row],[Amount]]-LS[[#This Row],[Unit Capital]]</f>
        <v>420</v>
      </c>
      <c r="R561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11.078754070263264</v>
      </c>
      <c r="S561" s="148">
        <f t="shared" si="8"/>
        <v>14.224</v>
      </c>
      <c r="T561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1" s="142" cm="1">
        <f t="array" ref="U561">IF(LS[[#This Row],[B/S]]="S",ABS(LS[[#This Row],[Unit]])*(INDEX(LS[NAV at Cost (Average)],MATCH(CONCATENATE((LS[[#This Row],[Frequency]]-1),LS[[#This Row],[Investor ID]]),LS[Unique Code],0),0)),0)</f>
        <v>0</v>
      </c>
      <c r="V561" s="142">
        <f>IF(LS[[#This Row],[BO TRANSFER]]="YES",LS[[#This Row],[Unit]],)</f>
        <v>0</v>
      </c>
      <c r="W561" s="142">
        <f>SUMIFS(LS[[#Headers],[BO UNIT TRANSFER]]:LS[[#This Row],[BO UNIT TRANSFER]],LS[[#Headers],[Investor ID]]:LS[[#This Row],[Investor ID]],LS[[#This Row],[Investor ID]])</f>
        <v>0</v>
      </c>
    </row>
    <row r="562" spans="1:23">
      <c r="A562" s="75">
        <v>2024</v>
      </c>
      <c r="B562" s="75">
        <v>7</v>
      </c>
      <c r="C562" s="75">
        <v>2</v>
      </c>
      <c r="D562" s="145">
        <f>DATE(LS[[#This Row],[Year]],LS[[#This Row],[Month]],LS[[#This Row],[Day]])</f>
        <v>45475</v>
      </c>
      <c r="E562" s="99" t="str">
        <f>INDEX(INVESTORS_LIST[INVESTOR NAME],MATCH(LS[[#This Row],[Investor ID]],INVESTORS_LIST[INVESTOR CODE],0),)</f>
        <v>KH KHAIRUL ALAM NABIL</v>
      </c>
      <c r="F562" s="146" t="s">
        <v>1159</v>
      </c>
      <c r="G562" s="147">
        <f>COUNTIF(LS[[#Headers],[Investor ID]]:LS[[#This Row],[Investor ID]],LS[[#This Row],[Investor ID]])</f>
        <v>3</v>
      </c>
      <c r="H562" s="147" t="str">
        <f>CONCATENATE(LS[[#This Row],[Frequency]],LS[[#This Row],[Investor ID]])</f>
        <v>3A00555</v>
      </c>
      <c r="I562" s="75" t="str">
        <f>IF(LS[[#This Row],[B/S]]="B","BUY",(IF(LS[[#This Row],[B/S]]="S","SELL"," ")))</f>
        <v>BUY</v>
      </c>
      <c r="J562" s="101" t="s">
        <v>1229</v>
      </c>
      <c r="K562" s="102">
        <v>100000</v>
      </c>
      <c r="L562" s="144"/>
      <c r="M562" s="148">
        <f>LS[[#This Row],[Amount]]/LS[[#This Row],[Unit]]</f>
        <v>11.173184357541899</v>
      </c>
      <c r="N562" s="143">
        <f>LS[[#This Row],[Unit Capital]]/10</f>
        <v>8950</v>
      </c>
      <c r="O562" s="143">
        <f>SUMIFS(LS[[#Headers],[Unit]]:LS[[#This Row],[Unit]],LS[[#Headers],[Investor ID]]:LS[[#This Row],[Investor ID]],LS[[#This Row],[Investor ID]])</f>
        <v>17936</v>
      </c>
      <c r="P562" s="102">
        <v>89500</v>
      </c>
      <c r="Q562" s="142">
        <f>LS[[#This Row],[Amount]]-LS[[#This Row],[Unit Capital]]</f>
        <v>10500</v>
      </c>
      <c r="R562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11.150758251561104</v>
      </c>
      <c r="S562" s="148">
        <f t="shared" si="8"/>
        <v>14.224</v>
      </c>
      <c r="T562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2" s="142" cm="1">
        <f t="array" ref="U562">IF(LS[[#This Row],[B/S]]="S",ABS(LS[[#This Row],[Unit]])*(INDEX(LS[NAV at Cost (Average)],MATCH(CONCATENATE((LS[[#This Row],[Frequency]]-1),LS[[#This Row],[Investor ID]]),LS[Unique Code],0),0)),0)</f>
        <v>0</v>
      </c>
      <c r="V562" s="142">
        <f>IF(LS[[#This Row],[BO TRANSFER]]="YES",LS[[#This Row],[Unit]],)</f>
        <v>0</v>
      </c>
      <c r="W562" s="142">
        <f>SUMIFS(LS[[#Headers],[BO UNIT TRANSFER]]:LS[[#This Row],[BO UNIT TRANSFER]],LS[[#Headers],[Investor ID]]:LS[[#This Row],[Investor ID]],LS[[#This Row],[Investor ID]])</f>
        <v>0</v>
      </c>
    </row>
    <row r="563" spans="1:23">
      <c r="A563" s="75">
        <v>2024</v>
      </c>
      <c r="B563" s="75">
        <v>7</v>
      </c>
      <c r="C563" s="75">
        <v>2</v>
      </c>
      <c r="D563" s="145">
        <f>DATE(LS[[#This Row],[Year]],LS[[#This Row],[Month]],LS[[#This Row],[Day]])</f>
        <v>45475</v>
      </c>
      <c r="E563" s="99" t="str">
        <f>INDEX(INVESTORS_LIST[INVESTOR NAME],MATCH(LS[[#This Row],[Investor ID]],INVESTORS_LIST[INVESTOR CODE],0),)</f>
        <v>ARIFUR RAHMAN</v>
      </c>
      <c r="F563" s="146" t="s">
        <v>278</v>
      </c>
      <c r="G563" s="147">
        <f>COUNTIF(LS[[#Headers],[Investor ID]]:LS[[#This Row],[Investor ID]],LS[[#This Row],[Investor ID]])</f>
        <v>5</v>
      </c>
      <c r="H563" s="147" t="str">
        <f>CONCATENATE(LS[[#This Row],[Frequency]],LS[[#This Row],[Investor ID]])</f>
        <v>5A00115</v>
      </c>
      <c r="I563" s="75" t="str">
        <f>IF(LS[[#This Row],[B/S]]="B","BUY",(IF(LS[[#This Row],[B/S]]="S","SELL"," ")))</f>
        <v>BUY</v>
      </c>
      <c r="J563" s="101" t="s">
        <v>1229</v>
      </c>
      <c r="K563" s="102">
        <v>30000</v>
      </c>
      <c r="L563" s="144"/>
      <c r="M563" s="148">
        <f>LS[[#This Row],[Amount]]/LS[[#This Row],[Unit]]</f>
        <v>11.173184357541899</v>
      </c>
      <c r="N563" s="143">
        <f>LS[[#This Row],[Unit Capital]]/10</f>
        <v>2685</v>
      </c>
      <c r="O563" s="143">
        <f>SUMIFS(LS[[#Headers],[Unit]]:LS[[#This Row],[Unit]],LS[[#Headers],[Investor ID]]:LS[[#This Row],[Investor ID]],LS[[#This Row],[Investor ID]])</f>
        <v>23679</v>
      </c>
      <c r="P563" s="102">
        <v>26850</v>
      </c>
      <c r="Q563" s="142">
        <f>LS[[#This Row],[Amount]]-LS[[#This Row],[Unit Capital]]</f>
        <v>3150</v>
      </c>
      <c r="R563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10.600109801934202</v>
      </c>
      <c r="S563" s="148">
        <f t="shared" si="8"/>
        <v>14.224</v>
      </c>
      <c r="T563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3" s="142" cm="1">
        <f t="array" ref="U563">IF(LS[[#This Row],[B/S]]="S",ABS(LS[[#This Row],[Unit]])*(INDEX(LS[NAV at Cost (Average)],MATCH(CONCATENATE((LS[[#This Row],[Frequency]]-1),LS[[#This Row],[Investor ID]]),LS[Unique Code],0),0)),0)</f>
        <v>0</v>
      </c>
      <c r="V563" s="142">
        <f>IF(LS[[#This Row],[BO TRANSFER]]="YES",LS[[#This Row],[Unit]],)</f>
        <v>0</v>
      </c>
      <c r="W563" s="142">
        <f>SUMIFS(LS[[#Headers],[BO UNIT TRANSFER]]:LS[[#This Row],[BO UNIT TRANSFER]],LS[[#Headers],[Investor ID]]:LS[[#This Row],[Investor ID]],LS[[#This Row],[Investor ID]])</f>
        <v>0</v>
      </c>
    </row>
    <row r="564" spans="1:23">
      <c r="A564" s="75">
        <v>2024</v>
      </c>
      <c r="B564" s="75">
        <v>7</v>
      </c>
      <c r="C564" s="75">
        <v>2</v>
      </c>
      <c r="D564" s="145">
        <f>DATE(LS[[#This Row],[Year]],LS[[#This Row],[Month]],LS[[#This Row],[Day]])</f>
        <v>45475</v>
      </c>
      <c r="E564" s="99" t="str">
        <f>INDEX(INVESTORS_LIST[INVESTOR NAME],MATCH(LS[[#This Row],[Investor ID]],INVESTORS_LIST[INVESTOR CODE],0),)</f>
        <v>SHAHRIAR AZAD SHASHI</v>
      </c>
      <c r="F564" s="146" t="s">
        <v>1040</v>
      </c>
      <c r="G564" s="147">
        <f>COUNTIF(LS[[#Headers],[Investor ID]]:LS[[#This Row],[Investor ID]],LS[[#This Row],[Investor ID]])</f>
        <v>6</v>
      </c>
      <c r="H564" s="147" t="str">
        <f>CONCATENATE(LS[[#This Row],[Frequency]],LS[[#This Row],[Investor ID]])</f>
        <v>6A00497</v>
      </c>
      <c r="I564" s="75" t="str">
        <f>IF(LS[[#This Row],[B/S]]="B","BUY",(IF(LS[[#This Row],[B/S]]="S","SELL"," ")))</f>
        <v>SELL</v>
      </c>
      <c r="J564" s="101" t="s">
        <v>1231</v>
      </c>
      <c r="K564" s="102">
        <v>-201114</v>
      </c>
      <c r="L564" s="144"/>
      <c r="M564" s="148">
        <f>LS[[#This Row],[Amount]]/LS[[#This Row],[Unit]]</f>
        <v>11.173</v>
      </c>
      <c r="N564" s="143">
        <f>LS[[#This Row],[Unit Capital]]/10</f>
        <v>-18000</v>
      </c>
      <c r="O564" s="143">
        <f>SUMIFS(LS[[#Headers],[Unit]]:LS[[#This Row],[Unit]],LS[[#Headers],[Investor ID]]:LS[[#This Row],[Investor ID]],LS[[#This Row],[Investor ID]])</f>
        <v>26449</v>
      </c>
      <c r="P564" s="102">
        <v>-180000</v>
      </c>
      <c r="Q564" s="142">
        <f>LS[[#This Row],[Amount]]-LS[[#This Row],[Unit Capital]]</f>
        <v>-21114</v>
      </c>
      <c r="R564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11.091363135278634</v>
      </c>
      <c r="S564" s="148">
        <f t="shared" si="8"/>
        <v>14.224</v>
      </c>
      <c r="T564" s="142">
        <f>IF(LS[[#This Row],[B/S]]="B",0,ABS(LS[[#This Row],[Unit]])*(LS[[#This Row],[NAV (Strike Rate)]]-INDEX(LS[NAV at Cost (Average)],MATCH(CONCATENATE(LS[[#This Row],[Frequency]]-1,LS[[#This Row],[Investor ID]]),LS[Unique Code],0),)))</f>
        <v>1469.46356498459</v>
      </c>
      <c r="U564" s="142" cm="1">
        <f t="array" ref="U564">IF(LS[[#This Row],[B/S]]="S",ABS(LS[[#This Row],[Unit]])*(INDEX(LS[NAV at Cost (Average)],MATCH(CONCATENATE((LS[[#This Row],[Frequency]]-1),LS[[#This Row],[Investor ID]]),LS[Unique Code],0),0)),0)</f>
        <v>199644.53643501541</v>
      </c>
      <c r="V564" s="142">
        <f>IF(LS[[#This Row],[BO TRANSFER]]="YES",LS[[#This Row],[Unit]],)</f>
        <v>0</v>
      </c>
      <c r="W564" s="142">
        <f>SUMIFS(LS[[#Headers],[BO UNIT TRANSFER]]:LS[[#This Row],[BO UNIT TRANSFER]],LS[[#Headers],[Investor ID]]:LS[[#This Row],[Investor ID]],LS[[#This Row],[Investor ID]])</f>
        <v>0</v>
      </c>
    </row>
    <row r="565" spans="1:23">
      <c r="A565" s="75">
        <v>2024</v>
      </c>
      <c r="B565" s="75">
        <v>7</v>
      </c>
      <c r="C565" s="75">
        <v>3</v>
      </c>
      <c r="D565" s="145">
        <f>DATE(LS[[#This Row],[Year]],LS[[#This Row],[Month]],LS[[#This Row],[Day]])</f>
        <v>45476</v>
      </c>
      <c r="E565" t="str" cm="1">
        <f t="array" ref="E565">INDEX(INVESTORS_LIST[INVESTOR NAME],MATCH(LS[[#This Row],[Investor ID]],INVESTORS_LIST[INVESTOR CODE],0),)</f>
        <v>EKUSH WEALTH MANAGEMENT LIMITED</v>
      </c>
      <c r="F565" s="146" t="s">
        <v>47</v>
      </c>
      <c r="G565" s="147">
        <f>COUNTIF(LS[[#Headers],[Investor ID]]:LS[[#This Row],[Investor ID]],LS[[#This Row],[Investor ID]])</f>
        <v>19</v>
      </c>
      <c r="H565" s="147" t="str">
        <f>CONCATENATE(LS[[#This Row],[Frequency]],LS[[#This Row],[Investor ID]])</f>
        <v>19A00003</v>
      </c>
      <c r="I565" s="75" t="str">
        <f>IF(LS[[#This Row],[B/S]]="B","BUY",(IF(LS[[#This Row],[B/S]]="S","SELL"," ")))</f>
        <v>BUY</v>
      </c>
      <c r="J565" s="101" t="s">
        <v>1229</v>
      </c>
      <c r="K565" s="102">
        <v>1600000</v>
      </c>
      <c r="L565" s="144"/>
      <c r="M565" s="148">
        <f>LS[[#This Row],[Amount]]/LS[[#This Row],[Unit]]</f>
        <v>11.173028309660479</v>
      </c>
      <c r="N565" s="143">
        <f>LS[[#This Row],[Unit Capital]]/10</f>
        <v>143202</v>
      </c>
      <c r="O565" s="143">
        <f>SUMIFS(LS[[#Headers],[Unit]]:LS[[#This Row],[Unit]],LS[[#Headers],[Investor ID]]:LS[[#This Row],[Investor ID]],LS[[#This Row],[Investor ID]])</f>
        <v>393202</v>
      </c>
      <c r="P565" s="102">
        <v>1432020</v>
      </c>
      <c r="Q565" s="142">
        <f>LS[[#This Row],[Amount]]-LS[[#This Row],[Unit Capital]]</f>
        <v>167980</v>
      </c>
      <c r="R565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10.436235630129843</v>
      </c>
      <c r="S565" s="148">
        <f t="shared" si="8"/>
        <v>14.224</v>
      </c>
      <c r="T565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5" s="142" cm="1">
        <f t="array" ref="U565">IF(LS[[#This Row],[B/S]]="S",ABS(LS[[#This Row],[Unit]])*(INDEX(LS[NAV at Cost (Average)],MATCH(CONCATENATE((LS[[#This Row],[Frequency]]-1),LS[[#This Row],[Investor ID]]),LS[Unique Code],0),0)),0)</f>
        <v>0</v>
      </c>
      <c r="V565" s="142">
        <f>IF(LS[[#This Row],[BO TRANSFER]]="YES",LS[[#This Row],[Unit]],)</f>
        <v>0</v>
      </c>
      <c r="W565" s="142">
        <f>SUMIFS(LS[[#Headers],[BO UNIT TRANSFER]]:LS[[#This Row],[BO UNIT TRANSFER]],LS[[#Headers],[Investor ID]]:LS[[#This Row],[Investor ID]],LS[[#This Row],[Investor ID]])</f>
        <v>0</v>
      </c>
    </row>
    <row r="566" spans="1:23">
      <c r="A566" s="75">
        <v>2024</v>
      </c>
      <c r="B566" s="75">
        <v>7</v>
      </c>
      <c r="C566" s="75">
        <v>3</v>
      </c>
      <c r="D566" s="145">
        <f>DATE(LS[[#This Row],[Year]],LS[[#This Row],[Month]],LS[[#This Row],[Day]])</f>
        <v>45476</v>
      </c>
      <c r="E566" s="99" t="str">
        <f>INDEX(INVESTORS_LIST[INVESTOR NAME],MATCH(LS[[#This Row],[Investor ID]],INVESTORS_LIST[INVESTOR CODE],0),)</f>
        <v>FAIYEAD AHMEDUL HYE</v>
      </c>
      <c r="F566" s="146" t="s">
        <v>368</v>
      </c>
      <c r="G566" s="147">
        <f>COUNTIF(LS[[#Headers],[Investor ID]]:LS[[#This Row],[Investor ID]],LS[[#This Row],[Investor ID]])</f>
        <v>10</v>
      </c>
      <c r="H566" s="147" t="str">
        <f>CONCATENATE(LS[[#This Row],[Frequency]],LS[[#This Row],[Investor ID]])</f>
        <v>10A00160</v>
      </c>
      <c r="I566" s="75" t="str">
        <f>IF(LS[[#This Row],[B/S]]="B","BUY",(IF(LS[[#This Row],[B/S]]="S","SELL"," ")))</f>
        <v>BUY</v>
      </c>
      <c r="J566" s="101" t="s">
        <v>1229</v>
      </c>
      <c r="K566" s="102">
        <v>200000</v>
      </c>
      <c r="L566" s="144"/>
      <c r="M566" s="148">
        <f>LS[[#This Row],[Amount]]/LS[[#This Row],[Unit]]</f>
        <v>11.173184357541899</v>
      </c>
      <c r="N566" s="143">
        <f>LS[[#This Row],[Unit Capital]]/10</f>
        <v>17900</v>
      </c>
      <c r="O566" s="143">
        <f>SUMIFS(LS[[#Headers],[Unit]]:LS[[#This Row],[Unit]],LS[[#Headers],[Investor ID]]:LS[[#This Row],[Investor ID]],LS[[#This Row],[Investor ID]])</f>
        <v>57959</v>
      </c>
      <c r="P566" s="102">
        <v>179000</v>
      </c>
      <c r="Q566" s="142">
        <f>LS[[#This Row],[Amount]]-LS[[#This Row],[Unit Capital]]</f>
        <v>21000</v>
      </c>
      <c r="R566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10.697216998222885</v>
      </c>
      <c r="S566" s="148">
        <f t="shared" si="8"/>
        <v>14.224</v>
      </c>
      <c r="T566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6" s="142" cm="1">
        <f t="array" ref="U566">IF(LS[[#This Row],[B/S]]="S",ABS(LS[[#This Row],[Unit]])*(INDEX(LS[NAV at Cost (Average)],MATCH(CONCATENATE((LS[[#This Row],[Frequency]]-1),LS[[#This Row],[Investor ID]]),LS[Unique Code],0),0)),0)</f>
        <v>0</v>
      </c>
      <c r="V566" s="142">
        <f>IF(LS[[#This Row],[BO TRANSFER]]="YES",LS[[#This Row],[Unit]],)</f>
        <v>0</v>
      </c>
      <c r="W566" s="142">
        <f>SUMIFS(LS[[#Headers],[BO UNIT TRANSFER]]:LS[[#This Row],[BO UNIT TRANSFER]],LS[[#Headers],[Investor ID]]:LS[[#This Row],[Investor ID]],LS[[#This Row],[Investor ID]])</f>
        <v>0</v>
      </c>
    </row>
    <row r="567" spans="1:23">
      <c r="A567" s="75">
        <v>2024</v>
      </c>
      <c r="B567" s="75">
        <v>7</v>
      </c>
      <c r="C567" s="75">
        <v>4</v>
      </c>
      <c r="D567" s="145">
        <f>DATE(LS[[#This Row],[Year]],LS[[#This Row],[Month]],LS[[#This Row],[Day]])</f>
        <v>45477</v>
      </c>
      <c r="E567" s="99" t="str">
        <f>INDEX(INVESTORS_LIST[INVESTOR NAME],MATCH(LS[[#This Row],[Investor ID]],INVESTORS_LIST[INVESTOR CODE],0),)</f>
        <v xml:space="preserve">H. S. M. SHAFEE BIN ALAM </v>
      </c>
      <c r="F567" s="146" t="s">
        <v>1087</v>
      </c>
      <c r="G567" s="147">
        <f>COUNTIF(LS[[#Headers],[Investor ID]]:LS[[#This Row],[Investor ID]],LS[[#This Row],[Investor ID]])</f>
        <v>4</v>
      </c>
      <c r="H567" s="147" t="str">
        <f>CONCATENATE(LS[[#This Row],[Frequency]],LS[[#This Row],[Investor ID]])</f>
        <v>4A00520</v>
      </c>
      <c r="I567" s="75" t="str">
        <f>IF(LS[[#This Row],[B/S]]="B","BUY",(IF(LS[[#This Row],[B/S]]="S","SELL"," ")))</f>
        <v>BUY</v>
      </c>
      <c r="J567" s="101" t="s">
        <v>1229</v>
      </c>
      <c r="K567" s="102">
        <v>200000</v>
      </c>
      <c r="L567" s="144"/>
      <c r="M567" s="148">
        <f>LS[[#This Row],[Amount]]/LS[[#This Row],[Unit]]</f>
        <v>11.173184357541899</v>
      </c>
      <c r="N567" s="143">
        <f>LS[[#This Row],[Unit Capital]]/10</f>
        <v>17900</v>
      </c>
      <c r="O567" s="143">
        <f>SUMIFS(LS[[#Headers],[Unit]]:LS[[#This Row],[Unit]],LS[[#Headers],[Investor ID]]:LS[[#This Row],[Investor ID]],LS[[#This Row],[Investor ID]])</f>
        <v>62883</v>
      </c>
      <c r="P567" s="102">
        <v>179000</v>
      </c>
      <c r="Q567" s="142">
        <f>LS[[#This Row],[Amount]]-LS[[#This Row],[Unit Capital]]</f>
        <v>21000</v>
      </c>
      <c r="R567" s="14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11.107930601275385</v>
      </c>
      <c r="S567" s="148">
        <f t="shared" si="8"/>
        <v>14.224</v>
      </c>
      <c r="T567" s="14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67" s="142" cm="1">
        <f t="array" ref="U567">IF(LS[[#This Row],[B/S]]="S",ABS(LS[[#This Row],[Unit]])*(INDEX(LS[NAV at Cost (Average)],MATCH(CONCATENATE((LS[[#This Row],[Frequency]]-1),LS[[#This Row],[Investor ID]]),LS[Unique Code],0),0)),0)</f>
        <v>0</v>
      </c>
      <c r="V567" s="142">
        <f>IF(LS[[#This Row],[BO TRANSFER]]="YES",LS[[#This Row],[Unit]],)</f>
        <v>0</v>
      </c>
      <c r="W567" s="142">
        <f>SUMIFS(LS[[#Headers],[BO UNIT TRANSFER]]:LS[[#This Row],[BO UNIT TRANSFER]],LS[[#Headers],[Investor ID]]:LS[[#This Row],[Investor ID]],LS[[#This Row],[Investor ID]])</f>
        <v>0</v>
      </c>
    </row>
    <row r="568" spans="1:23">
      <c r="A568" s="75">
        <v>2024</v>
      </c>
      <c r="B568" s="75">
        <v>7</v>
      </c>
      <c r="C568" s="75">
        <v>7</v>
      </c>
      <c r="D568" s="98">
        <f>DATE(LS[[#This Row],[Year]],LS[[#This Row],[Month]],LS[[#This Row],[Day]])</f>
        <v>45480</v>
      </c>
      <c r="E568" s="99" t="str">
        <f>INDEX(INVESTORS_LIST[INVESTOR NAME],MATCH(LS[[#This Row],[Investor ID]],INVESTORS_LIST[INVESTOR CODE],0),)</f>
        <v>MAHFUZUL ISLAM</v>
      </c>
      <c r="F568" s="100" t="s">
        <v>473</v>
      </c>
      <c r="G568" s="101">
        <f>COUNTIF(LS[[#Headers],[Investor ID]]:LS[[#This Row],[Investor ID]],LS[[#This Row],[Investor ID]])</f>
        <v>6</v>
      </c>
      <c r="H568" s="101" t="str">
        <f>CONCATENATE(LS[[#This Row],[Frequency]],LS[[#This Row],[Investor ID]])</f>
        <v>6A00212</v>
      </c>
      <c r="I568" s="75" t="str">
        <f>IF(LS[[#This Row],[B/S]]="B","BUY",(IF(LS[[#This Row],[B/S]]="S","SELL"," ")))</f>
        <v>SELL</v>
      </c>
      <c r="J568" s="101" t="s">
        <v>1231</v>
      </c>
      <c r="K568" s="102">
        <v>-167985</v>
      </c>
      <c r="L568" s="99"/>
      <c r="M568" s="103">
        <f>LS[[#This Row],[Amount]]/LS[[#This Row],[Unit]]</f>
        <v>11.199</v>
      </c>
      <c r="N568" s="104">
        <f>LS[[#This Row],[Unit Capital]]/10</f>
        <v>-15000</v>
      </c>
      <c r="O568" s="104">
        <f>SUMIFS(LS[[#Headers],[Unit]]:LS[[#This Row],[Unit]],LS[[#Headers],[Investor ID]]:LS[[#This Row],[Investor ID]],LS[[#This Row],[Investor ID]])</f>
        <v>0</v>
      </c>
      <c r="P568" s="102">
        <v>-150000</v>
      </c>
      <c r="Q568" s="102">
        <f>LS[[#This Row],[Amount]]-LS[[#This Row],[Unit Capital]]</f>
        <v>-17985</v>
      </c>
      <c r="R5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68" s="103">
        <f t="shared" si="8"/>
        <v>14.224</v>
      </c>
      <c r="T568" s="102">
        <f>IF(LS[[#This Row],[B/S]]="B",0,ABS(LS[[#This Row],[Unit]])*(LS[[#This Row],[NAV (Strike Rate)]]-INDEX(LS[NAV at Cost (Average)],MATCH(CONCATENATE(LS[[#This Row],[Frequency]]-1,LS[[#This Row],[Investor ID]]),LS[Unique Code],0),)))</f>
        <v>1409.9999999999914</v>
      </c>
      <c r="U568" s="102" cm="1">
        <f t="array" ref="U568">IF(LS[[#This Row],[B/S]]="S",ABS(LS[[#This Row],[Unit]])*(INDEX(LS[NAV at Cost (Average)],MATCH(CONCATENATE((LS[[#This Row],[Frequency]]-1),LS[[#This Row],[Investor ID]]),LS[Unique Code],0),0)),0)</f>
        <v>166575</v>
      </c>
      <c r="V568" s="102">
        <f>IF(LS[[#This Row],[BO TRANSFER]]="YES",LS[[#This Row],[Unit]],)</f>
        <v>0</v>
      </c>
      <c r="W568" s="102">
        <f>SUMIFS(LS[[#Headers],[BO UNIT TRANSFER]]:LS[[#This Row],[BO UNIT TRANSFER]],LS[[#Headers],[Investor ID]]:LS[[#This Row],[Investor ID]],LS[[#This Row],[Investor ID]])</f>
        <v>0</v>
      </c>
    </row>
    <row r="569" spans="1:23">
      <c r="A569" s="75">
        <v>2024</v>
      </c>
      <c r="B569" s="75">
        <v>7</v>
      </c>
      <c r="C569" s="75">
        <v>7</v>
      </c>
      <c r="D569" s="98">
        <f>DATE(LS[[#This Row],[Year]],LS[[#This Row],[Month]],LS[[#This Row],[Day]])</f>
        <v>45480</v>
      </c>
      <c r="E569" s="99" t="str">
        <f>INDEX(INVESTORS_LIST[INVESTOR NAME],MATCH(LS[[#This Row],[Investor ID]],INVESTORS_LIST[INVESTOR CODE],0),)</f>
        <v>MOHAMMAD HASAN SHAHRIAR MASUD</v>
      </c>
      <c r="F569" s="100" t="s">
        <v>954</v>
      </c>
      <c r="G569" s="101">
        <f>COUNTIF(LS[[#Headers],[Investor ID]]:LS[[#This Row],[Investor ID]],LS[[#This Row],[Investor ID]])</f>
        <v>3</v>
      </c>
      <c r="H569" s="101" t="str">
        <f>CONCATENATE(LS[[#This Row],[Frequency]],LS[[#This Row],[Investor ID]])</f>
        <v>3A00454</v>
      </c>
      <c r="I569" s="75" t="str">
        <f>IF(LS[[#This Row],[B/S]]="B","BUY",(IF(LS[[#This Row],[B/S]]="S","SELL"," ")))</f>
        <v>SELL</v>
      </c>
      <c r="J569" s="101" t="s">
        <v>1231</v>
      </c>
      <c r="K569" s="102">
        <v>-5379383.6600000001</v>
      </c>
      <c r="L569" s="99"/>
      <c r="M569" s="103">
        <f>LS[[#This Row],[Amount]]/LS[[#This Row],[Unit]]</f>
        <v>11.199000010409186</v>
      </c>
      <c r="N569" s="104">
        <f>LS[[#This Row],[Unit Capital]]/10</f>
        <v>-480345</v>
      </c>
      <c r="O569" s="104">
        <f>SUMIFS(LS[[#Headers],[Unit]]:LS[[#This Row],[Unit]],LS[[#Headers],[Investor ID]]:LS[[#This Row],[Investor ID]],LS[[#This Row],[Investor ID]])</f>
        <v>0</v>
      </c>
      <c r="P569" s="102">
        <v>-4803450</v>
      </c>
      <c r="Q569" s="102">
        <f>LS[[#This Row],[Amount]]-LS[[#This Row],[Unit Capital]]</f>
        <v>-575933.66000000015</v>
      </c>
      <c r="R5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69" s="103">
        <f t="shared" si="8"/>
        <v>14.224</v>
      </c>
      <c r="T569" s="102">
        <f>IF(LS[[#This Row],[B/S]]="B",0,ABS(LS[[#This Row],[Unit]])*(LS[[#This Row],[NAV (Strike Rate)]]-INDEX(LS[NAV at Cost (Average)],MATCH(CONCATENATE(LS[[#This Row],[Frequency]]-1,LS[[#This Row],[Investor ID]]),LS[Unique Code],0),)))</f>
        <v>379383.66000000044</v>
      </c>
      <c r="U569" s="102" cm="1">
        <f t="array" ref="U569">IF(LS[[#This Row],[B/S]]="S",ABS(LS[[#This Row],[Unit]])*(INDEX(LS[NAV at Cost (Average)],MATCH(CONCATENATE((LS[[#This Row],[Frequency]]-1),LS[[#This Row],[Investor ID]]),LS[Unique Code],0),0)),0)</f>
        <v>5000000</v>
      </c>
      <c r="V569" s="102">
        <f>IF(LS[[#This Row],[BO TRANSFER]]="YES",LS[[#This Row],[Unit]],)</f>
        <v>0</v>
      </c>
      <c r="W569" s="102">
        <f>SUMIFS(LS[[#Headers],[BO UNIT TRANSFER]]:LS[[#This Row],[BO UNIT TRANSFER]],LS[[#Headers],[Investor ID]]:LS[[#This Row],[Investor ID]],LS[[#This Row],[Investor ID]])</f>
        <v>0</v>
      </c>
    </row>
    <row r="570" spans="1:23">
      <c r="A570" s="75">
        <v>2024</v>
      </c>
      <c r="B570" s="75">
        <v>7</v>
      </c>
      <c r="C570" s="75">
        <v>7</v>
      </c>
      <c r="D570" s="98">
        <f>DATE(LS[[#This Row],[Year]],LS[[#This Row],[Month]],LS[[#This Row],[Day]])</f>
        <v>45480</v>
      </c>
      <c r="E570" s="99" t="str">
        <f>INDEX(INVESTORS_LIST[INVESTOR NAME],MATCH(LS[[#This Row],[Investor ID]],INVESTORS_LIST[INVESTOR CODE],0),)</f>
        <v>MD MIZANUR RAHMAN</v>
      </c>
      <c r="F570" s="100" t="s">
        <v>336</v>
      </c>
      <c r="G570" s="101">
        <f>COUNTIF(LS[[#Headers],[Investor ID]]:LS[[#This Row],[Investor ID]],LS[[#This Row],[Investor ID]])</f>
        <v>2</v>
      </c>
      <c r="H570" s="101" t="str">
        <f>CONCATENATE(LS[[#This Row],[Frequency]],LS[[#This Row],[Investor ID]])</f>
        <v>2A00144</v>
      </c>
      <c r="I570" s="75" t="str">
        <f>IF(LS[[#This Row],[B/S]]="B","BUY",(IF(LS[[#This Row],[B/S]]="S","SELL"," ")))</f>
        <v>SELL</v>
      </c>
      <c r="J570" s="101" t="s">
        <v>1231</v>
      </c>
      <c r="K570" s="102">
        <v>-100421.43</v>
      </c>
      <c r="L570" s="99"/>
      <c r="M570" s="103">
        <f>LS[[#This Row],[Amount]]/LS[[#This Row],[Unit]]</f>
        <v>11.198999665439946</v>
      </c>
      <c r="N570" s="104">
        <f>LS[[#This Row],[Unit Capital]]/10</f>
        <v>-8967</v>
      </c>
      <c r="O570" s="104">
        <f>SUMIFS(LS[[#Headers],[Unit]]:LS[[#This Row],[Unit]],LS[[#Headers],[Investor ID]]:LS[[#This Row],[Investor ID]],LS[[#This Row],[Investor ID]])</f>
        <v>0</v>
      </c>
      <c r="P570" s="102">
        <v>-89670</v>
      </c>
      <c r="Q570" s="102">
        <f>LS[[#This Row],[Amount]]-LS[[#This Row],[Unit Capital]]</f>
        <v>-10751.429999999993</v>
      </c>
      <c r="R5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70" s="103">
        <f t="shared" si="8"/>
        <v>14.224</v>
      </c>
      <c r="T570" s="102">
        <f>IF(LS[[#This Row],[B/S]]="B",0,ABS(LS[[#This Row],[Unit]])*(LS[[#This Row],[NAV (Strike Rate)]]-INDEX(LS[NAV at Cost (Average)],MATCH(CONCATENATE(LS[[#This Row],[Frequency]]-1,LS[[#This Row],[Investor ID]]),LS[Unique Code],0),)))</f>
        <v>421.42999999999194</v>
      </c>
      <c r="U570" s="102" cm="1">
        <f t="array" ref="U570">IF(LS[[#This Row],[B/S]]="S",ABS(LS[[#This Row],[Unit]])*(INDEX(LS[NAV at Cost (Average)],MATCH(CONCATENATE((LS[[#This Row],[Frequency]]-1),LS[[#This Row],[Investor ID]]),LS[Unique Code],0),0)),0)</f>
        <v>100000</v>
      </c>
      <c r="V570" s="102">
        <f>IF(LS[[#This Row],[BO TRANSFER]]="YES",LS[[#This Row],[Unit]],)</f>
        <v>0</v>
      </c>
      <c r="W570" s="102">
        <f>SUMIFS(LS[[#Headers],[BO UNIT TRANSFER]]:LS[[#This Row],[BO UNIT TRANSFER]],LS[[#Headers],[Investor ID]]:LS[[#This Row],[Investor ID]],LS[[#This Row],[Investor ID]])</f>
        <v>0</v>
      </c>
    </row>
    <row r="571" spans="1:23">
      <c r="A571" s="75">
        <v>2024</v>
      </c>
      <c r="B571" s="75">
        <v>7</v>
      </c>
      <c r="C571" s="75">
        <v>7</v>
      </c>
      <c r="D571" s="98">
        <f>DATE(LS[[#This Row],[Year]],LS[[#This Row],[Month]],LS[[#This Row],[Day]])</f>
        <v>45480</v>
      </c>
      <c r="E571" s="99" t="str">
        <f>INDEX(INVESTORS_LIST[INVESTOR NAME],MATCH(LS[[#This Row],[Investor ID]],INVESTORS_LIST[INVESTOR CODE],0),)</f>
        <v>MD. NIZAM UDDIN</v>
      </c>
      <c r="F571" s="100" t="s">
        <v>815</v>
      </c>
      <c r="G571" s="101">
        <f>COUNTIF(LS[[#Headers],[Investor ID]]:LS[[#This Row],[Investor ID]],LS[[#This Row],[Investor ID]])</f>
        <v>4</v>
      </c>
      <c r="H571" s="101" t="str">
        <f>CONCATENATE(LS[[#This Row],[Frequency]],LS[[#This Row],[Investor ID]])</f>
        <v>4A00384</v>
      </c>
      <c r="I571" s="75" t="str">
        <f>IF(LS[[#This Row],[B/S]]="B","BUY",(IF(LS[[#This Row],[B/S]]="S","SELL"," ")))</f>
        <v>SELL</v>
      </c>
      <c r="J571" s="101" t="s">
        <v>1231</v>
      </c>
      <c r="K571" s="102">
        <v>-100421.43</v>
      </c>
      <c r="L571" s="99"/>
      <c r="M571" s="103">
        <f>LS[[#This Row],[Amount]]/LS[[#This Row],[Unit]]</f>
        <v>11.198999665439946</v>
      </c>
      <c r="N571" s="104">
        <f>LS[[#This Row],[Unit Capital]]/10</f>
        <v>-8967</v>
      </c>
      <c r="O571" s="104">
        <f>SUMIFS(LS[[#Headers],[Unit]]:LS[[#This Row],[Unit]],LS[[#Headers],[Investor ID]]:LS[[#This Row],[Investor ID]],LS[[#This Row],[Investor ID]])</f>
        <v>0</v>
      </c>
      <c r="P571" s="102">
        <v>-89670</v>
      </c>
      <c r="Q571" s="102">
        <f>LS[[#This Row],[Amount]]-LS[[#This Row],[Unit Capital]]</f>
        <v>-10751.429999999993</v>
      </c>
      <c r="R5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71" s="103">
        <f t="shared" si="8"/>
        <v>14.224</v>
      </c>
      <c r="T571" s="102">
        <f>IF(LS[[#This Row],[B/S]]="B",0,ABS(LS[[#This Row],[Unit]])*(LS[[#This Row],[NAV (Strike Rate)]]-INDEX(LS[NAV at Cost (Average)],MATCH(CONCATENATE(LS[[#This Row],[Frequency]]-1,LS[[#This Row],[Investor ID]]),LS[Unique Code],0),)))</f>
        <v>421.42999999999194</v>
      </c>
      <c r="U571" s="102" cm="1">
        <f t="array" ref="U571">IF(LS[[#This Row],[B/S]]="S",ABS(LS[[#This Row],[Unit]])*(INDEX(LS[NAV at Cost (Average)],MATCH(CONCATENATE((LS[[#This Row],[Frequency]]-1),LS[[#This Row],[Investor ID]]),LS[Unique Code],0),0)),0)</f>
        <v>100000</v>
      </c>
      <c r="V571" s="102">
        <f>IF(LS[[#This Row],[BO TRANSFER]]="YES",LS[[#This Row],[Unit]],)</f>
        <v>0</v>
      </c>
      <c r="W571" s="102">
        <f>SUMIFS(LS[[#Headers],[BO UNIT TRANSFER]]:LS[[#This Row],[BO UNIT TRANSFER]],LS[[#Headers],[Investor ID]]:LS[[#This Row],[Investor ID]],LS[[#This Row],[Investor ID]])</f>
        <v>0</v>
      </c>
    </row>
    <row r="572" spans="1:23">
      <c r="A572" s="75">
        <v>2024</v>
      </c>
      <c r="B572" s="75">
        <v>7</v>
      </c>
      <c r="C572" s="75">
        <v>7</v>
      </c>
      <c r="D572" s="98">
        <f>DATE(LS[[#This Row],[Year]],LS[[#This Row],[Month]],LS[[#This Row],[Day]])</f>
        <v>45480</v>
      </c>
      <c r="E572" s="99" t="str">
        <f>INDEX(INVESTORS_LIST[INVESTOR NAME],MATCH(LS[[#This Row],[Investor ID]],INVESTORS_LIST[INVESTOR CODE],0),)</f>
        <v>MD. AKRAM UDDIN</v>
      </c>
      <c r="F572" s="100" t="s">
        <v>1163</v>
      </c>
      <c r="G572" s="101">
        <f>COUNTIF(LS[[#Headers],[Investor ID]]:LS[[#This Row],[Investor ID]],LS[[#This Row],[Investor ID]])</f>
        <v>2</v>
      </c>
      <c r="H572" s="101" t="str">
        <f>CONCATENATE(LS[[#This Row],[Frequency]],LS[[#This Row],[Investor ID]])</f>
        <v>2A00557</v>
      </c>
      <c r="I572" s="75" t="str">
        <f>IF(LS[[#This Row],[B/S]]="B","BUY",(IF(LS[[#This Row],[B/S]]="S","SELL"," ")))</f>
        <v>SELL</v>
      </c>
      <c r="J572" s="101" t="s">
        <v>1231</v>
      </c>
      <c r="K572" s="102">
        <v>-301264.3</v>
      </c>
      <c r="L572" s="99"/>
      <c r="M572" s="103">
        <f>LS[[#This Row],[Amount]]/LS[[#This Row],[Unit]]</f>
        <v>11.199000037173338</v>
      </c>
      <c r="N572" s="104">
        <f>LS[[#This Row],[Unit Capital]]/10</f>
        <v>-26901</v>
      </c>
      <c r="O572" s="104">
        <f>SUMIFS(LS[[#Headers],[Unit]]:LS[[#This Row],[Unit]],LS[[#Headers],[Investor ID]]:LS[[#This Row],[Investor ID]],LS[[#This Row],[Investor ID]])</f>
        <v>0</v>
      </c>
      <c r="P572" s="102">
        <v>-269010</v>
      </c>
      <c r="Q572" s="102">
        <f>LS[[#This Row],[Amount]]-LS[[#This Row],[Unit Capital]]</f>
        <v>-32254.299999999988</v>
      </c>
      <c r="R5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72" s="103">
        <f t="shared" si="8"/>
        <v>14.224</v>
      </c>
      <c r="T572" s="102">
        <f>IF(LS[[#This Row],[B/S]]="B",0,ABS(LS[[#This Row],[Unit]])*(LS[[#This Row],[NAV (Strike Rate)]]-INDEX(LS[NAV at Cost (Average)],MATCH(CONCATENATE(LS[[#This Row],[Frequency]]-1,LS[[#This Row],[Investor ID]]),LS[Unique Code],0),)))</f>
        <v>1264.2999999999677</v>
      </c>
      <c r="U572" s="102" cm="1">
        <f t="array" ref="U572">IF(LS[[#This Row],[B/S]]="S",ABS(LS[[#This Row],[Unit]])*(INDEX(LS[NAV at Cost (Average)],MATCH(CONCATENATE((LS[[#This Row],[Frequency]]-1),LS[[#This Row],[Investor ID]]),LS[Unique Code],0),0)),0)</f>
        <v>300000</v>
      </c>
      <c r="V572" s="102">
        <f>IF(LS[[#This Row],[BO TRANSFER]]="YES",LS[[#This Row],[Unit]],)</f>
        <v>0</v>
      </c>
      <c r="W572" s="102">
        <f>SUMIFS(LS[[#Headers],[BO UNIT TRANSFER]]:LS[[#This Row],[BO UNIT TRANSFER]],LS[[#Headers],[Investor ID]]:LS[[#This Row],[Investor ID]],LS[[#This Row],[Investor ID]])</f>
        <v>0</v>
      </c>
    </row>
    <row r="573" spans="1:23">
      <c r="A573" s="75">
        <v>2024</v>
      </c>
      <c r="B573" s="75">
        <v>7</v>
      </c>
      <c r="C573" s="75">
        <v>8</v>
      </c>
      <c r="D573" s="98">
        <f>DATE(LS[[#This Row],[Year]],LS[[#This Row],[Month]],LS[[#This Row],[Day]])</f>
        <v>45481</v>
      </c>
      <c r="E573" s="99" t="str">
        <f>INDEX(INVESTORS_LIST[INVESTOR NAME],MATCH(LS[[#This Row],[Investor ID]],INVESTORS_LIST[INVESTOR CODE],0),)</f>
        <v>FARIHA FARZANA</v>
      </c>
      <c r="F573" s="100" t="s">
        <v>1161</v>
      </c>
      <c r="G573" s="101">
        <f>COUNTIF(LS[[#Headers],[Investor ID]]:LS[[#This Row],[Investor ID]],LS[[#This Row],[Investor ID]])</f>
        <v>2</v>
      </c>
      <c r="H573" s="101" t="str">
        <f>CONCATENATE(LS[[#This Row],[Frequency]],LS[[#This Row],[Investor ID]])</f>
        <v>2A00556</v>
      </c>
      <c r="I573" s="75" t="str">
        <f>IF(LS[[#This Row],[B/S]]="B","BUY",(IF(LS[[#This Row],[B/S]]="S","SELL"," ")))</f>
        <v>SELL</v>
      </c>
      <c r="J573" s="101" t="s">
        <v>1231</v>
      </c>
      <c r="K573" s="102">
        <v>-120277.26</v>
      </c>
      <c r="L573" s="99"/>
      <c r="M573" s="103">
        <f>LS[[#This Row],[Amount]]/LS[[#This Row],[Unit]]</f>
        <v>11.199</v>
      </c>
      <c r="N573" s="104">
        <f>LS[[#This Row],[Unit Capital]]/10</f>
        <v>-10740</v>
      </c>
      <c r="O573" s="104">
        <f>SUMIFS(LS[[#Headers],[Unit]]:LS[[#This Row],[Unit]],LS[[#Headers],[Investor ID]]:LS[[#This Row],[Investor ID]],LS[[#This Row],[Investor ID]])</f>
        <v>11772</v>
      </c>
      <c r="P573" s="102">
        <v>-107400</v>
      </c>
      <c r="Q573" s="102">
        <f>LS[[#This Row],[Amount]]-LS[[#This Row],[Unit Capital]]</f>
        <v>-12877.259999999995</v>
      </c>
      <c r="R5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11.105188343994314</v>
      </c>
      <c r="S573" s="103">
        <f t="shared" si="8"/>
        <v>14.224</v>
      </c>
      <c r="T573" s="102">
        <f>IF(LS[[#This Row],[B/S]]="B",0,ABS(LS[[#This Row],[Unit]])*(LS[[#This Row],[NAV (Strike Rate)]]-INDEX(LS[NAV at Cost (Average)],MATCH(CONCATENATE(LS[[#This Row],[Frequency]]-1,LS[[#This Row],[Investor ID]]),LS[Unique Code],0),)))</f>
        <v>1007.5371855010661</v>
      </c>
      <c r="U573" s="102" cm="1">
        <f t="array" ref="U573">IF(LS[[#This Row],[B/S]]="S",ABS(LS[[#This Row],[Unit]])*(INDEX(LS[NAV at Cost (Average)],MATCH(CONCATENATE((LS[[#This Row],[Frequency]]-1),LS[[#This Row],[Investor ID]]),LS[Unique Code],0),0)),0)</f>
        <v>119269.72281449893</v>
      </c>
      <c r="V573" s="102">
        <f>IF(LS[[#This Row],[BO TRANSFER]]="YES",LS[[#This Row],[Unit]],)</f>
        <v>0</v>
      </c>
      <c r="W573" s="102">
        <f>SUMIFS(LS[[#Headers],[BO UNIT TRANSFER]]:LS[[#This Row],[BO UNIT TRANSFER]],LS[[#Headers],[Investor ID]]:LS[[#This Row],[Investor ID]],LS[[#This Row],[Investor ID]])</f>
        <v>0</v>
      </c>
    </row>
    <row r="574" spans="1:23">
      <c r="A574" s="75">
        <v>2024</v>
      </c>
      <c r="B574" s="75">
        <v>7</v>
      </c>
      <c r="C574" s="75">
        <v>8</v>
      </c>
      <c r="D574" s="98">
        <f>DATE(LS[[#This Row],[Year]],LS[[#This Row],[Month]],LS[[#This Row],[Day]])</f>
        <v>45481</v>
      </c>
      <c r="E574" s="99" t="str">
        <f>INDEX(INVESTORS_LIST[INVESTOR NAME],MATCH(LS[[#This Row],[Investor ID]],INVESTORS_LIST[INVESTOR CODE],0),)</f>
        <v>SHUVA SAHA</v>
      </c>
      <c r="F574" s="100" t="s">
        <v>154</v>
      </c>
      <c r="G574" s="101">
        <f>COUNTIF(LS[[#Headers],[Investor ID]]:LS[[#This Row],[Investor ID]],LS[[#This Row],[Investor ID]])</f>
        <v>7</v>
      </c>
      <c r="H574" s="101" t="str">
        <f>CONCATENATE(LS[[#This Row],[Frequency]],LS[[#This Row],[Investor ID]])</f>
        <v>7A00053</v>
      </c>
      <c r="I574" s="75" t="str">
        <f>IF(LS[[#This Row],[B/S]]="B","BUY",(IF(LS[[#This Row],[B/S]]="S","SELL"," ")))</f>
        <v>BUY</v>
      </c>
      <c r="J574" s="101" t="s">
        <v>1229</v>
      </c>
      <c r="K574" s="102">
        <v>150000</v>
      </c>
      <c r="L574" s="88"/>
      <c r="M574" s="103">
        <f>LS[[#This Row],[Amount]]/LS[[#This Row],[Unit]]</f>
        <v>11.199044348215619</v>
      </c>
      <c r="N574" s="104">
        <f>LS[[#This Row],[Unit Capital]]/10</f>
        <v>13394</v>
      </c>
      <c r="O574" s="104">
        <f>SUMIFS(LS[[#Headers],[Unit]]:LS[[#This Row],[Unit]],LS[[#Headers],[Investor ID]]:LS[[#This Row],[Investor ID]],LS[[#This Row],[Investor ID]])</f>
        <v>56073</v>
      </c>
      <c r="P574" s="102">
        <v>133940</v>
      </c>
      <c r="Q574" s="102">
        <f>LS[[#This Row],[Amount]]-LS[[#This Row],[Unit Capital]]</f>
        <v>16060</v>
      </c>
      <c r="R5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10.700337060617409</v>
      </c>
      <c r="S574" s="103">
        <f t="shared" si="8"/>
        <v>14.224</v>
      </c>
      <c r="T5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4" s="102" cm="1">
        <f t="array" ref="U574">IF(LS[[#This Row],[B/S]]="S",ABS(LS[[#This Row],[Unit]])*(INDEX(LS[NAV at Cost (Average)],MATCH(CONCATENATE((LS[[#This Row],[Frequency]]-1),LS[[#This Row],[Investor ID]]),LS[Unique Code],0),0)),0)</f>
        <v>0</v>
      </c>
      <c r="V574" s="102">
        <f>IF(LS[[#This Row],[BO TRANSFER]]="YES",LS[[#This Row],[Unit]],)</f>
        <v>0</v>
      </c>
      <c r="W574" s="102">
        <f>SUMIFS(LS[[#Headers],[BO UNIT TRANSFER]]:LS[[#This Row],[BO UNIT TRANSFER]],LS[[#Headers],[Investor ID]]:LS[[#This Row],[Investor ID]],LS[[#This Row],[Investor ID]])</f>
        <v>0</v>
      </c>
    </row>
    <row r="575" spans="1:23">
      <c r="A575" s="75">
        <v>2024</v>
      </c>
      <c r="B575" s="75">
        <v>7</v>
      </c>
      <c r="C575" s="75">
        <v>9</v>
      </c>
      <c r="D575" s="98">
        <f>DATE(LS[[#This Row],[Year]],LS[[#This Row],[Month]],LS[[#This Row],[Day]])</f>
        <v>45482</v>
      </c>
      <c r="E575" s="99" t="str">
        <f>INDEX(INVESTORS_LIST[INVESTOR NAME],MATCH(LS[[#This Row],[Investor ID]],INVESTORS_LIST[INVESTOR CODE],0),)</f>
        <v>SWADESH RANJAN SAHA</v>
      </c>
      <c r="F575" s="100" t="s">
        <v>234</v>
      </c>
      <c r="G575" s="101">
        <f>COUNTIF(LS[[#Headers],[Investor ID]]:LS[[#This Row],[Investor ID]],LS[[#This Row],[Investor ID]])</f>
        <v>9</v>
      </c>
      <c r="H575" s="101" t="str">
        <f>CONCATENATE(LS[[#This Row],[Frequency]],LS[[#This Row],[Investor ID]])</f>
        <v>9A00093</v>
      </c>
      <c r="I575" s="75" t="str">
        <f>IF(LS[[#This Row],[B/S]]="B","BUY",(IF(LS[[#This Row],[B/S]]="S","SELL"," ")))</f>
        <v>BUY</v>
      </c>
      <c r="J575" s="101" t="s">
        <v>1229</v>
      </c>
      <c r="K575" s="102">
        <v>1500000</v>
      </c>
      <c r="L575" s="99"/>
      <c r="M575" s="103">
        <f>LS[[#This Row],[Amount]]/LS[[#This Row],[Unit]]</f>
        <v>11.198960736443658</v>
      </c>
      <c r="N575" s="104">
        <f>LS[[#This Row],[Unit Capital]]/10</f>
        <v>133941</v>
      </c>
      <c r="O575" s="104">
        <f>SUMIFS(LS[[#Headers],[Unit]]:LS[[#This Row],[Unit]],LS[[#Headers],[Investor ID]]:LS[[#This Row],[Investor ID]],LS[[#This Row],[Investor ID]])</f>
        <v>655019</v>
      </c>
      <c r="P575" s="102">
        <v>1339410</v>
      </c>
      <c r="Q575" s="102">
        <f>LS[[#This Row],[Amount]]-LS[[#This Row],[Unit Capital]]</f>
        <v>160590</v>
      </c>
      <c r="R5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575" s="103">
        <f t="shared" si="8"/>
        <v>14.224</v>
      </c>
      <c r="T57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5" s="102" cm="1">
        <f t="array" ref="U575">IF(LS[[#This Row],[B/S]]="S",ABS(LS[[#This Row],[Unit]])*(INDEX(LS[NAV at Cost (Average)],MATCH(CONCATENATE((LS[[#This Row],[Frequency]]-1),LS[[#This Row],[Investor ID]]),LS[Unique Code],0),0)),0)</f>
        <v>0</v>
      </c>
      <c r="V575" s="102">
        <f>IF(LS[[#This Row],[BO TRANSFER]]="YES",LS[[#This Row],[Unit]],)</f>
        <v>0</v>
      </c>
      <c r="W575" s="102">
        <f>SUMIFS(LS[[#Headers],[BO UNIT TRANSFER]]:LS[[#This Row],[BO UNIT TRANSFER]],LS[[#Headers],[Investor ID]]:LS[[#This Row],[Investor ID]],LS[[#This Row],[Investor ID]])</f>
        <v>0</v>
      </c>
    </row>
    <row r="576" spans="1:23">
      <c r="A576" s="75">
        <v>2024</v>
      </c>
      <c r="B576" s="75">
        <v>7</v>
      </c>
      <c r="C576" s="75">
        <v>10</v>
      </c>
      <c r="D576" s="98">
        <f>DATE(LS[[#This Row],[Year]],LS[[#This Row],[Month]],LS[[#This Row],[Day]])</f>
        <v>45483</v>
      </c>
      <c r="E576" s="99" t="str">
        <f>INDEX(INVESTORS_LIST[INVESTOR NAME],MATCH(LS[[#This Row],[Investor ID]],INVESTORS_LIST[INVESTOR CODE],0),)</f>
        <v>MADHAB GHOSH</v>
      </c>
      <c r="F576" s="100" t="s">
        <v>982</v>
      </c>
      <c r="G576" s="101">
        <f>COUNTIF(LS[[#Headers],[Investor ID]]:LS[[#This Row],[Investor ID]],LS[[#This Row],[Investor ID]])</f>
        <v>8</v>
      </c>
      <c r="H576" s="101" t="str">
        <f>CONCATENATE(LS[[#This Row],[Frequency]],LS[[#This Row],[Investor ID]])</f>
        <v>8A00468</v>
      </c>
      <c r="I576" s="75" t="str">
        <f>IF(LS[[#This Row],[B/S]]="B","BUY",(IF(LS[[#This Row],[B/S]]="S","SELL"," ")))</f>
        <v>BUY</v>
      </c>
      <c r="J576" s="101" t="s">
        <v>1229</v>
      </c>
      <c r="K576" s="102">
        <v>237600</v>
      </c>
      <c r="L576" s="99"/>
      <c r="M576" s="103">
        <f>LS[[#This Row],[Amount]]/LS[[#This Row],[Unit]]</f>
        <v>11.199095022624434</v>
      </c>
      <c r="N576" s="104">
        <f>LS[[#This Row],[Unit Capital]]/10</f>
        <v>21216</v>
      </c>
      <c r="O576" s="104">
        <f>SUMIFS(LS[[#Headers],[Unit]]:LS[[#This Row],[Unit]],LS[[#Headers],[Investor ID]]:LS[[#This Row],[Investor ID]],LS[[#This Row],[Investor ID]])</f>
        <v>21216</v>
      </c>
      <c r="P576" s="102">
        <v>212160</v>
      </c>
      <c r="Q576" s="102">
        <f>LS[[#This Row],[Amount]]-LS[[#This Row],[Unit Capital]]</f>
        <v>25440</v>
      </c>
      <c r="R5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11.199095022624434</v>
      </c>
      <c r="S576" s="103">
        <f t="shared" si="8"/>
        <v>14.224</v>
      </c>
      <c r="T57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6" s="102" cm="1">
        <f t="array" ref="U576">IF(LS[[#This Row],[B/S]]="S",ABS(LS[[#This Row],[Unit]])*(INDEX(LS[NAV at Cost (Average)],MATCH(CONCATENATE((LS[[#This Row],[Frequency]]-1),LS[[#This Row],[Investor ID]]),LS[Unique Code],0),0)),0)</f>
        <v>0</v>
      </c>
      <c r="V576" s="102">
        <f>IF(LS[[#This Row],[BO TRANSFER]]="YES",LS[[#This Row],[Unit]],)</f>
        <v>0</v>
      </c>
      <c r="W576" s="102">
        <f>SUMIFS(LS[[#Headers],[BO UNIT TRANSFER]]:LS[[#This Row],[BO UNIT TRANSFER]],LS[[#Headers],[Investor ID]]:LS[[#This Row],[Investor ID]],LS[[#This Row],[Investor ID]])</f>
        <v>0</v>
      </c>
    </row>
    <row r="577" spans="1:23">
      <c r="A577" s="75">
        <v>2024</v>
      </c>
      <c r="B577" s="75">
        <v>7</v>
      </c>
      <c r="C577" s="75">
        <v>10</v>
      </c>
      <c r="D577" s="98">
        <f>DATE(LS[[#This Row],[Year]],LS[[#This Row],[Month]],LS[[#This Row],[Day]])</f>
        <v>45483</v>
      </c>
      <c r="E577" s="99" t="str">
        <f>INDEX(INVESTORS_LIST[INVESTOR NAME],MATCH(LS[[#This Row],[Investor ID]],INVESTORS_LIST[INVESTOR CODE],0),)</f>
        <v>SRIJON GHOSH</v>
      </c>
      <c r="F577" s="100" t="s">
        <v>894</v>
      </c>
      <c r="G577" s="101">
        <f>COUNTIF(LS[[#Headers],[Investor ID]]:LS[[#This Row],[Investor ID]],LS[[#This Row],[Investor ID]])</f>
        <v>4</v>
      </c>
      <c r="H577" s="101" t="str">
        <f>CONCATENATE(LS[[#This Row],[Frequency]],LS[[#This Row],[Investor ID]])</f>
        <v>4A00424</v>
      </c>
      <c r="I577" s="75" t="str">
        <f>IF(LS[[#This Row],[B/S]]="B","BUY",(IF(LS[[#This Row],[B/S]]="S","SELL"," ")))</f>
        <v>BUY</v>
      </c>
      <c r="J577" s="101" t="s">
        <v>1229</v>
      </c>
      <c r="K577" s="102">
        <v>205000</v>
      </c>
      <c r="L577" s="99"/>
      <c r="M577" s="103">
        <f>LS[[#This Row],[Amount]]/LS[[#This Row],[Unit]]</f>
        <v>11.199125921879268</v>
      </c>
      <c r="N577" s="104">
        <f>LS[[#This Row],[Unit Capital]]/10</f>
        <v>18305</v>
      </c>
      <c r="O577" s="104">
        <f>SUMIFS(LS[[#Headers],[Unit]]:LS[[#This Row],[Unit]],LS[[#Headers],[Investor ID]]:LS[[#This Row],[Investor ID]],LS[[#This Row],[Investor ID]])</f>
        <v>18305</v>
      </c>
      <c r="P577" s="102">
        <v>183050</v>
      </c>
      <c r="Q577" s="102">
        <f>LS[[#This Row],[Amount]]-LS[[#This Row],[Unit Capital]]</f>
        <v>21950</v>
      </c>
      <c r="R5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11.199125921879268</v>
      </c>
      <c r="S577" s="103">
        <f t="shared" si="8"/>
        <v>14.224</v>
      </c>
      <c r="T5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7" s="102" cm="1">
        <f t="array" ref="U577">IF(LS[[#This Row],[B/S]]="S",ABS(LS[[#This Row],[Unit]])*(INDEX(LS[NAV at Cost (Average)],MATCH(CONCATENATE((LS[[#This Row],[Frequency]]-1),LS[[#This Row],[Investor ID]]),LS[Unique Code],0),0)),0)</f>
        <v>0</v>
      </c>
      <c r="V577" s="102">
        <f>IF(LS[[#This Row],[BO TRANSFER]]="YES",LS[[#This Row],[Unit]],)</f>
        <v>0</v>
      </c>
      <c r="W577" s="102">
        <f>SUMIFS(LS[[#Headers],[BO UNIT TRANSFER]]:LS[[#This Row],[BO UNIT TRANSFER]],LS[[#Headers],[Investor ID]]:LS[[#This Row],[Investor ID]],LS[[#This Row],[Investor ID]])</f>
        <v>0</v>
      </c>
    </row>
    <row r="578" spans="1:23">
      <c r="A578" s="75">
        <v>2024</v>
      </c>
      <c r="B578" s="75">
        <v>7</v>
      </c>
      <c r="C578" s="75">
        <v>10</v>
      </c>
      <c r="D578" s="98">
        <f>DATE(LS[[#This Row],[Year]],LS[[#This Row],[Month]],LS[[#This Row],[Day]])</f>
        <v>45483</v>
      </c>
      <c r="E578" s="99" t="str">
        <f>INDEX(INVESTORS_LIST[INVESTOR NAME],MATCH(LS[[#This Row],[Investor ID]],INVESTORS_LIST[INVESTOR CODE],0),)</f>
        <v>MD. NIAZ MURSHED</v>
      </c>
      <c r="F578" s="100" t="s">
        <v>445</v>
      </c>
      <c r="G578" s="101">
        <f>COUNTIF(LS[[#Headers],[Investor ID]]:LS[[#This Row],[Investor ID]],LS[[#This Row],[Investor ID]])</f>
        <v>2</v>
      </c>
      <c r="H578" s="101" t="str">
        <f>CONCATENATE(LS[[#This Row],[Frequency]],LS[[#This Row],[Investor ID]])</f>
        <v>2A00198</v>
      </c>
      <c r="I578" s="75" t="str">
        <f>IF(LS[[#This Row],[B/S]]="B","BUY",(IF(LS[[#This Row],[B/S]]="S","SELL"," ")))</f>
        <v>SELL</v>
      </c>
      <c r="J578" s="101" t="s">
        <v>1231</v>
      </c>
      <c r="K578" s="102">
        <v>-301264.3</v>
      </c>
      <c r="L578" s="99"/>
      <c r="M578" s="103">
        <f>LS[[#This Row],[Amount]]/LS[[#This Row],[Unit]]</f>
        <v>11.199000037173338</v>
      </c>
      <c r="N578" s="104">
        <f>LS[[#This Row],[Unit Capital]]/10</f>
        <v>-26901</v>
      </c>
      <c r="O578" s="104">
        <f>SUMIFS(LS[[#Headers],[Unit]]:LS[[#This Row],[Unit]],LS[[#Headers],[Investor ID]]:LS[[#This Row],[Investor ID]],LS[[#This Row],[Investor ID]])</f>
        <v>0</v>
      </c>
      <c r="P578" s="102">
        <v>-269010</v>
      </c>
      <c r="Q578" s="102">
        <f>LS[[#This Row],[Amount]]-LS[[#This Row],[Unit Capital]]</f>
        <v>-32254.299999999988</v>
      </c>
      <c r="R5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78" s="103">
        <f t="shared" si="8"/>
        <v>14.224</v>
      </c>
      <c r="T578" s="102">
        <f>IF(LS[[#This Row],[B/S]]="B",0,ABS(LS[[#This Row],[Unit]])*(LS[[#This Row],[NAV (Strike Rate)]]-INDEX(LS[NAV at Cost (Average)],MATCH(CONCATENATE(LS[[#This Row],[Frequency]]-1,LS[[#This Row],[Investor ID]]),LS[Unique Code],0),)))</f>
        <v>1264.2999999999677</v>
      </c>
      <c r="U578" s="102" cm="1">
        <f t="array" ref="U578">IF(LS[[#This Row],[B/S]]="S",ABS(LS[[#This Row],[Unit]])*(INDEX(LS[NAV at Cost (Average)],MATCH(CONCATENATE((LS[[#This Row],[Frequency]]-1),LS[[#This Row],[Investor ID]]),LS[Unique Code],0),0)),0)</f>
        <v>300000</v>
      </c>
      <c r="V578" s="102">
        <f>IF(LS[[#This Row],[BO TRANSFER]]="YES",LS[[#This Row],[Unit]],)</f>
        <v>0</v>
      </c>
      <c r="W578" s="102">
        <f>SUMIFS(LS[[#Headers],[BO UNIT TRANSFER]]:LS[[#This Row],[BO UNIT TRANSFER]],LS[[#Headers],[Investor ID]]:LS[[#This Row],[Investor ID]],LS[[#This Row],[Investor ID]])</f>
        <v>0</v>
      </c>
    </row>
    <row r="579" spans="1:23">
      <c r="A579" s="75">
        <v>2024</v>
      </c>
      <c r="B579" s="75">
        <v>7</v>
      </c>
      <c r="C579" s="75">
        <v>10</v>
      </c>
      <c r="D579" s="98">
        <f>DATE(LS[[#This Row],[Year]],LS[[#This Row],[Month]],LS[[#This Row],[Day]])</f>
        <v>45483</v>
      </c>
      <c r="E579" s="99" t="str">
        <f>INDEX(INVESTORS_LIST[INVESTOR NAME],MATCH(LS[[#This Row],[Investor ID]],INVESTORS_LIST[INVESTOR CODE],0),)</f>
        <v>BEAUTY BEGUM LOTA</v>
      </c>
      <c r="F579" s="100" t="s">
        <v>1081</v>
      </c>
      <c r="G579" s="101">
        <f>COUNTIF(LS[[#Headers],[Investor ID]]:LS[[#This Row],[Investor ID]],LS[[#This Row],[Investor ID]])</f>
        <v>9</v>
      </c>
      <c r="H579" s="101" t="str">
        <f>CONCATENATE(LS[[#This Row],[Frequency]],LS[[#This Row],[Investor ID]])</f>
        <v>9A00518</v>
      </c>
      <c r="I579" s="75" t="str">
        <f>IF(LS[[#This Row],[B/S]]="B","BUY",(IF(LS[[#This Row],[B/S]]="S","SELL"," ")))</f>
        <v>BUY</v>
      </c>
      <c r="J579" s="101" t="s">
        <v>1229</v>
      </c>
      <c r="K579" s="102">
        <v>500000</v>
      </c>
      <c r="L579" s="99"/>
      <c r="M579" s="103">
        <f>LS[[#This Row],[Amount]]/LS[[#This Row],[Unit]]</f>
        <v>11.198960736443658</v>
      </c>
      <c r="N579" s="104">
        <f>LS[[#This Row],[Unit Capital]]/10</f>
        <v>44647</v>
      </c>
      <c r="O579" s="104">
        <f>SUMIFS(LS[[#Headers],[Unit]]:LS[[#This Row],[Unit]],LS[[#Headers],[Investor ID]]:LS[[#This Row],[Investor ID]],LS[[#This Row],[Investor ID]])</f>
        <v>44647</v>
      </c>
      <c r="P579" s="102">
        <v>446470</v>
      </c>
      <c r="Q579" s="102">
        <f>LS[[#This Row],[Amount]]-LS[[#This Row],[Unit Capital]]</f>
        <v>53530</v>
      </c>
      <c r="R5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11.198960736443658</v>
      </c>
      <c r="S579" s="103">
        <f t="shared" ref="S579:S642" si="9">IFERROR(NAV_MKT,0)</f>
        <v>14.224</v>
      </c>
      <c r="T5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79" s="102" cm="1">
        <f t="array" ref="U579">IF(LS[[#This Row],[B/S]]="S",ABS(LS[[#This Row],[Unit]])*(INDEX(LS[NAV at Cost (Average)],MATCH(CONCATENATE((LS[[#This Row],[Frequency]]-1),LS[[#This Row],[Investor ID]]),LS[Unique Code],0),0)),0)</f>
        <v>0</v>
      </c>
      <c r="V579" s="102">
        <f>IF(LS[[#This Row],[BO TRANSFER]]="YES",LS[[#This Row],[Unit]],)</f>
        <v>0</v>
      </c>
      <c r="W579" s="102">
        <f>SUMIFS(LS[[#Headers],[BO UNIT TRANSFER]]:LS[[#This Row],[BO UNIT TRANSFER]],LS[[#Headers],[Investor ID]]:LS[[#This Row],[Investor ID]],LS[[#This Row],[Investor ID]])</f>
        <v>0</v>
      </c>
    </row>
    <row r="580" spans="1:23">
      <c r="A580" s="75">
        <v>2024</v>
      </c>
      <c r="B580" s="75">
        <v>7</v>
      </c>
      <c r="C580" s="75">
        <v>10</v>
      </c>
      <c r="D580" s="98">
        <f>DATE(LS[[#This Row],[Year]],LS[[#This Row],[Month]],LS[[#This Row],[Day]])</f>
        <v>45483</v>
      </c>
      <c r="E580" s="99" t="str">
        <f>INDEX(INVESTORS_LIST[INVESTOR NAME],MATCH(LS[[#This Row],[Investor ID]],INVESTORS_LIST[INVESTOR CODE],0),)</f>
        <v>BEAUTY BEGUM LOTA</v>
      </c>
      <c r="F580" s="100" t="s">
        <v>1081</v>
      </c>
      <c r="G580" s="101">
        <f>COUNTIF(LS[[#Headers],[Investor ID]]:LS[[#This Row],[Investor ID]],LS[[#This Row],[Investor ID]])</f>
        <v>10</v>
      </c>
      <c r="H580" s="101" t="str">
        <f>CONCATENATE(LS[[#This Row],[Frequency]],LS[[#This Row],[Investor ID]])</f>
        <v>10A00518</v>
      </c>
      <c r="I580" s="75" t="str">
        <f>IF(LS[[#This Row],[B/S]]="B","BUY",(IF(LS[[#This Row],[B/S]]="S","SELL"," ")))</f>
        <v>BUY</v>
      </c>
      <c r="J580" s="101" t="s">
        <v>1229</v>
      </c>
      <c r="K580" s="102">
        <v>472130</v>
      </c>
      <c r="L580" s="99"/>
      <c r="M580" s="103">
        <f>LS[[#This Row],[Amount]]/LS[[#This Row],[Unit]]</f>
        <v>11.199060676502681</v>
      </c>
      <c r="N580" s="104">
        <f>LS[[#This Row],[Unit Capital]]/10</f>
        <v>42158</v>
      </c>
      <c r="O580" s="104">
        <f>SUMIFS(LS[[#Headers],[Unit]]:LS[[#This Row],[Unit]],LS[[#Headers],[Investor ID]]:LS[[#This Row],[Investor ID]],LS[[#This Row],[Investor ID]])</f>
        <v>86805</v>
      </c>
      <c r="P580" s="102">
        <v>421580</v>
      </c>
      <c r="Q580" s="102">
        <f>LS[[#This Row],[Amount]]-LS[[#This Row],[Unit Capital]]</f>
        <v>50550</v>
      </c>
      <c r="R5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11.199009273659351</v>
      </c>
      <c r="S580" s="103">
        <f t="shared" si="9"/>
        <v>14.224</v>
      </c>
      <c r="T5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0" s="102" cm="1">
        <f t="array" ref="U580">IF(LS[[#This Row],[B/S]]="S",ABS(LS[[#This Row],[Unit]])*(INDEX(LS[NAV at Cost (Average)],MATCH(CONCATENATE((LS[[#This Row],[Frequency]]-1),LS[[#This Row],[Investor ID]]),LS[Unique Code],0),0)),0)</f>
        <v>0</v>
      </c>
      <c r="V580" s="102">
        <f>IF(LS[[#This Row],[BO TRANSFER]]="YES",LS[[#This Row],[Unit]],)</f>
        <v>0</v>
      </c>
      <c r="W580" s="102">
        <f>SUMIFS(LS[[#Headers],[BO UNIT TRANSFER]]:LS[[#This Row],[BO UNIT TRANSFER]],LS[[#Headers],[Investor ID]]:LS[[#This Row],[Investor ID]],LS[[#This Row],[Investor ID]])</f>
        <v>0</v>
      </c>
    </row>
    <row r="581" spans="1:23">
      <c r="A581" s="75">
        <v>2024</v>
      </c>
      <c r="B581" s="75">
        <v>7</v>
      </c>
      <c r="C581" s="75">
        <v>10</v>
      </c>
      <c r="D581" s="98">
        <f>DATE(LS[[#This Row],[Year]],LS[[#This Row],[Month]],LS[[#This Row],[Day]])</f>
        <v>45483</v>
      </c>
      <c r="E581" s="99" t="str">
        <f>INDEX(INVESTORS_LIST[INVESTOR NAME],MATCH(LS[[#This Row],[Investor ID]],INVESTORS_LIST[INVESTOR CODE],0),)</f>
        <v>SOURAV SAHA</v>
      </c>
      <c r="F581" s="100" t="s">
        <v>1272</v>
      </c>
      <c r="G581" s="101">
        <f>COUNTIF(LS[[#Headers],[Investor ID]]:LS[[#This Row],[Investor ID]],LS[[#This Row],[Investor ID]])</f>
        <v>1</v>
      </c>
      <c r="H581" s="101" t="str">
        <f>CONCATENATE(LS[[#This Row],[Frequency]],LS[[#This Row],[Investor ID]])</f>
        <v>1A00583</v>
      </c>
      <c r="I581" s="75" t="str">
        <f>IF(LS[[#This Row],[B/S]]="B","BUY",(IF(LS[[#This Row],[B/S]]="S","SELL"," ")))</f>
        <v>BUY</v>
      </c>
      <c r="J581" s="101" t="s">
        <v>1229</v>
      </c>
      <c r="K581" s="102">
        <v>319600</v>
      </c>
      <c r="L581" s="99"/>
      <c r="M581" s="103">
        <f>LS[[#This Row],[Amount]]/LS[[#This Row],[Unit]]</f>
        <v>11.199102950452028</v>
      </c>
      <c r="N581" s="104">
        <f>LS[[#This Row],[Unit Capital]]/10</f>
        <v>28538</v>
      </c>
      <c r="O581" s="104">
        <f>SUMIFS(LS[[#Headers],[Unit]]:LS[[#This Row],[Unit]],LS[[#Headers],[Investor ID]]:LS[[#This Row],[Investor ID]],LS[[#This Row],[Investor ID]])</f>
        <v>28538</v>
      </c>
      <c r="P581" s="102">
        <v>285380</v>
      </c>
      <c r="Q581" s="102">
        <f>LS[[#This Row],[Amount]]-LS[[#This Row],[Unit Capital]]</f>
        <v>34220</v>
      </c>
      <c r="R5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11.199102950452028</v>
      </c>
      <c r="S581" s="103">
        <f t="shared" si="9"/>
        <v>14.224</v>
      </c>
      <c r="T5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1" s="102" cm="1">
        <f t="array" ref="U581">IF(LS[[#This Row],[B/S]]="S",ABS(LS[[#This Row],[Unit]])*(INDEX(LS[NAV at Cost (Average)],MATCH(CONCATENATE((LS[[#This Row],[Frequency]]-1),LS[[#This Row],[Investor ID]]),LS[Unique Code],0),0)),0)</f>
        <v>0</v>
      </c>
      <c r="V581" s="102">
        <f>IF(LS[[#This Row],[BO TRANSFER]]="YES",LS[[#This Row],[Unit]],)</f>
        <v>0</v>
      </c>
      <c r="W581" s="102">
        <f>SUMIFS(LS[[#Headers],[BO UNIT TRANSFER]]:LS[[#This Row],[BO UNIT TRANSFER]],LS[[#Headers],[Investor ID]]:LS[[#This Row],[Investor ID]],LS[[#This Row],[Investor ID]])</f>
        <v>0</v>
      </c>
    </row>
    <row r="582" spans="1:23">
      <c r="A582" s="75">
        <v>2024</v>
      </c>
      <c r="B582" s="75">
        <v>7</v>
      </c>
      <c r="C582" s="75">
        <v>10</v>
      </c>
      <c r="D582" s="98">
        <f>DATE(LS[[#This Row],[Year]],LS[[#This Row],[Month]],LS[[#This Row],[Day]])</f>
        <v>45483</v>
      </c>
      <c r="E582" s="99" t="str">
        <f>INDEX(INVESTORS_LIST[INVESTOR NAME],MATCH(LS[[#This Row],[Investor ID]],INVESTORS_LIST[INVESTOR CODE],0),)</f>
        <v>FARZANA JITU</v>
      </c>
      <c r="F582" s="100" t="s">
        <v>968</v>
      </c>
      <c r="G582" s="101">
        <f>COUNTIF(LS[[#Headers],[Investor ID]]:LS[[#This Row],[Investor ID]],LS[[#This Row],[Investor ID]])</f>
        <v>4</v>
      </c>
      <c r="H582" s="101" t="str">
        <f>CONCATENATE(LS[[#This Row],[Frequency]],LS[[#This Row],[Investor ID]])</f>
        <v>4A00461</v>
      </c>
      <c r="I582" s="75" t="str">
        <f>IF(LS[[#This Row],[B/S]]="B","BUY",(IF(LS[[#This Row],[B/S]]="S","SELL"," ")))</f>
        <v>BUY</v>
      </c>
      <c r="J582" s="101" t="s">
        <v>1229</v>
      </c>
      <c r="K582" s="151">
        <v>20000</v>
      </c>
      <c r="L582" s="88"/>
      <c r="M582" s="103">
        <f>LS[[#This Row],[Amount]]/LS[[#This Row],[Unit]]</f>
        <v>11.198208286674133</v>
      </c>
      <c r="N582" s="104">
        <f>LS[[#This Row],[Unit Capital]]/10</f>
        <v>1786</v>
      </c>
      <c r="O582" s="104">
        <f>SUMIFS(LS[[#Headers],[Unit]]:LS[[#This Row],[Unit]],LS[[#Headers],[Investor ID]]:LS[[#This Row],[Investor ID]],LS[[#This Row],[Investor ID]])</f>
        <v>7166</v>
      </c>
      <c r="P582" s="102">
        <v>17860</v>
      </c>
      <c r="Q582" s="102">
        <f>LS[[#This Row],[Amount]]-LS[[#This Row],[Unit Capital]]</f>
        <v>2140</v>
      </c>
      <c r="R5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11.16382919341334</v>
      </c>
      <c r="S582" s="103">
        <f t="shared" si="9"/>
        <v>14.224</v>
      </c>
      <c r="T5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2" s="102" cm="1">
        <f t="array" ref="U582">IF(LS[[#This Row],[B/S]]="S",ABS(LS[[#This Row],[Unit]])*(INDEX(LS[NAV at Cost (Average)],MATCH(CONCATENATE((LS[[#This Row],[Frequency]]-1),LS[[#This Row],[Investor ID]]),LS[Unique Code],0),0)),0)</f>
        <v>0</v>
      </c>
      <c r="V582" s="102">
        <f>IF(LS[[#This Row],[BO TRANSFER]]="YES",LS[[#This Row],[Unit]],)</f>
        <v>0</v>
      </c>
      <c r="W582" s="102">
        <f>SUMIFS(LS[[#Headers],[BO UNIT TRANSFER]]:LS[[#This Row],[BO UNIT TRANSFER]],LS[[#Headers],[Investor ID]]:LS[[#This Row],[Investor ID]],LS[[#This Row],[Investor ID]])</f>
        <v>0</v>
      </c>
    </row>
    <row r="583" spans="1:23">
      <c r="A583" s="75">
        <v>2024</v>
      </c>
      <c r="B583" s="75">
        <v>7</v>
      </c>
      <c r="C583" s="75">
        <v>18</v>
      </c>
      <c r="D583" s="98">
        <f>DATE(LS[[#This Row],[Year]],LS[[#This Row],[Month]],LS[[#This Row],[Day]])</f>
        <v>45491</v>
      </c>
      <c r="E583" s="99" t="str">
        <f>INDEX(INVESTORS_LIST[INVESTOR NAME],MATCH(LS[[#This Row],[Investor ID]],INVESTORS_LIST[INVESTOR CODE],0),)</f>
        <v>TAMANNA AFRIN MITUL</v>
      </c>
      <c r="F583" s="100" t="s">
        <v>1157</v>
      </c>
      <c r="G583" s="101">
        <f>COUNTIF(LS[[#Headers],[Investor ID]]:LS[[#This Row],[Investor ID]],LS[[#This Row],[Investor ID]])</f>
        <v>2</v>
      </c>
      <c r="H583" s="101" t="str">
        <f>CONCATENATE(LS[[#This Row],[Frequency]],LS[[#This Row],[Investor ID]])</f>
        <v>2A00554</v>
      </c>
      <c r="I583" s="75" t="str">
        <f>IF(LS[[#This Row],[B/S]]="B","BUY",(IF(LS[[#This Row],[B/S]]="S","SELL"," ")))</f>
        <v>BUY</v>
      </c>
      <c r="J583" s="101" t="s">
        <v>1229</v>
      </c>
      <c r="K583" s="102">
        <v>40000</v>
      </c>
      <c r="L583" s="99"/>
      <c r="M583" s="103">
        <f>LS[[#This Row],[Amount]]/LS[[#This Row],[Unit]]</f>
        <v>11.220196353436185</v>
      </c>
      <c r="N583" s="104">
        <f>LS[[#This Row],[Unit Capital]]/10</f>
        <v>3565</v>
      </c>
      <c r="O583" s="104">
        <f>SUMIFS(LS[[#Headers],[Unit]]:LS[[#This Row],[Unit]],LS[[#Headers],[Investor ID]]:LS[[#This Row],[Investor ID]],LS[[#This Row],[Investor ID]])</f>
        <v>23417</v>
      </c>
      <c r="P583" s="102">
        <v>35650</v>
      </c>
      <c r="Q583" s="102">
        <f>LS[[#This Row],[Amount]]-LS[[#This Row],[Unit Capital]]</f>
        <v>4350</v>
      </c>
      <c r="R5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11.103044796515352</v>
      </c>
      <c r="S583" s="103">
        <f t="shared" si="9"/>
        <v>14.224</v>
      </c>
      <c r="T58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3" s="102" cm="1">
        <f t="array" ref="U583">IF(LS[[#This Row],[B/S]]="S",ABS(LS[[#This Row],[Unit]])*(INDEX(LS[NAV at Cost (Average)],MATCH(CONCATENATE((LS[[#This Row],[Frequency]]-1),LS[[#This Row],[Investor ID]]),LS[Unique Code],0),0)),0)</f>
        <v>0</v>
      </c>
      <c r="V583" s="102">
        <f>IF(LS[[#This Row],[BO TRANSFER]]="YES",LS[[#This Row],[Unit]],)</f>
        <v>0</v>
      </c>
      <c r="W583" s="102">
        <f>SUMIFS(LS[[#Headers],[BO UNIT TRANSFER]]:LS[[#This Row],[BO UNIT TRANSFER]],LS[[#Headers],[Investor ID]]:LS[[#This Row],[Investor ID]],LS[[#This Row],[Investor ID]])</f>
        <v>0</v>
      </c>
    </row>
    <row r="584" spans="1:23">
      <c r="A584" s="75">
        <v>2024</v>
      </c>
      <c r="B584" s="75">
        <v>7</v>
      </c>
      <c r="C584" s="75">
        <v>18</v>
      </c>
      <c r="D584" s="98">
        <f>DATE(LS[[#This Row],[Year]],LS[[#This Row],[Month]],LS[[#This Row],[Day]])</f>
        <v>45491</v>
      </c>
      <c r="E584" s="99" t="str">
        <f>INDEX(INVESTORS_LIST[INVESTOR NAME],MATCH(LS[[#This Row],[Investor ID]],INVESTORS_LIST[INVESTOR CODE],0),)</f>
        <v>A.K.M REZAUL KARIM</v>
      </c>
      <c r="F584" s="100" t="s">
        <v>998</v>
      </c>
      <c r="G584" s="101">
        <f>COUNTIF(LS[[#Headers],[Investor ID]]:LS[[#This Row],[Investor ID]],LS[[#This Row],[Investor ID]])</f>
        <v>3</v>
      </c>
      <c r="H584" s="101" t="str">
        <f>CONCATENATE(LS[[#This Row],[Frequency]],LS[[#This Row],[Investor ID]])</f>
        <v>3A00476</v>
      </c>
      <c r="I584" s="75" t="str">
        <f>IF(LS[[#This Row],[B/S]]="B","BUY",(IF(LS[[#This Row],[B/S]]="S","SELL"," ")))</f>
        <v>SELL</v>
      </c>
      <c r="J584" s="101" t="s">
        <v>1231</v>
      </c>
      <c r="K584" s="102">
        <v>-587928</v>
      </c>
      <c r="L584" s="99"/>
      <c r="M584" s="103">
        <f>LS[[#This Row],[Amount]]/LS[[#This Row],[Unit]]</f>
        <v>11.22</v>
      </c>
      <c r="N584" s="104">
        <f>LS[[#This Row],[Unit Capital]]/10</f>
        <v>-52400</v>
      </c>
      <c r="O584" s="104">
        <f>SUMIFS(LS[[#Headers],[Unit]]:LS[[#This Row],[Unit]],LS[[#Headers],[Investor ID]]:LS[[#This Row],[Investor ID]],LS[[#This Row],[Investor ID]])</f>
        <v>0</v>
      </c>
      <c r="P584" s="102">
        <v>-524000</v>
      </c>
      <c r="Q584" s="102">
        <f>LS[[#This Row],[Amount]]-LS[[#This Row],[Unit Capital]]</f>
        <v>-63928</v>
      </c>
      <c r="R5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84" s="103">
        <f t="shared" si="9"/>
        <v>14.224</v>
      </c>
      <c r="T584" s="102">
        <f>IF(LS[[#This Row],[B/S]]="B",0,ABS(LS[[#This Row],[Unit]])*(LS[[#This Row],[NAV (Strike Rate)]]-INDEX(LS[NAV at Cost (Average)],MATCH(CONCATENATE(LS[[#This Row],[Frequency]]-1,LS[[#This Row],[Investor ID]]),LS[Unique Code],0),)))</f>
        <v>57327.327635789246</v>
      </c>
      <c r="U584" s="102" cm="1">
        <f t="array" ref="U584">IF(LS[[#This Row],[B/S]]="S",ABS(LS[[#This Row],[Unit]])*(INDEX(LS[NAV at Cost (Average)],MATCH(CONCATENATE((LS[[#This Row],[Frequency]]-1),LS[[#This Row],[Investor ID]]),LS[Unique Code],0),0)),0)</f>
        <v>530600.67236421083</v>
      </c>
      <c r="V584" s="102">
        <f>IF(LS[[#This Row],[BO TRANSFER]]="YES",LS[[#This Row],[Unit]],)</f>
        <v>0</v>
      </c>
      <c r="W584" s="102">
        <f>SUMIFS(LS[[#Headers],[BO UNIT TRANSFER]]:LS[[#This Row],[BO UNIT TRANSFER]],LS[[#Headers],[Investor ID]]:LS[[#This Row],[Investor ID]],LS[[#This Row],[Investor ID]])</f>
        <v>0</v>
      </c>
    </row>
    <row r="585" spans="1:23">
      <c r="A585" s="75">
        <v>2024</v>
      </c>
      <c r="B585" s="75">
        <v>7</v>
      </c>
      <c r="C585" s="75">
        <v>24</v>
      </c>
      <c r="D585" s="98">
        <f>DATE(LS[[#This Row],[Year]],LS[[#This Row],[Month]],LS[[#This Row],[Day]])</f>
        <v>45497</v>
      </c>
      <c r="E585" s="99" t="str">
        <f>INDEX(INVESTORS_LIST[INVESTOR NAME],MATCH(LS[[#This Row],[Investor ID]],INVESTORS_LIST[INVESTOR CODE],0),)</f>
        <v>SYED FAZLE RABBY</v>
      </c>
      <c r="F585" s="100" t="s">
        <v>166</v>
      </c>
      <c r="G585" s="101">
        <f>COUNTIF(LS[[#Headers],[Investor ID]]:LS[[#This Row],[Investor ID]],LS[[#This Row],[Investor ID]])</f>
        <v>21</v>
      </c>
      <c r="H585" s="101" t="str">
        <f>CONCATENATE(LS[[#This Row],[Frequency]],LS[[#This Row],[Investor ID]])</f>
        <v>21A00059</v>
      </c>
      <c r="I585" s="75" t="str">
        <f>IF(LS[[#This Row],[B/S]]="B","BUY",(IF(LS[[#This Row],[B/S]]="S","SELL"," ")))</f>
        <v>SELL</v>
      </c>
      <c r="J585" s="101" t="s">
        <v>1231</v>
      </c>
      <c r="K585" s="102">
        <v>-393435</v>
      </c>
      <c r="L585" s="99"/>
      <c r="M585" s="103">
        <f>LS[[#This Row],[Amount]]/LS[[#This Row],[Unit]]</f>
        <v>11.241</v>
      </c>
      <c r="N585" s="104">
        <f>LS[[#This Row],[Unit Capital]]/10</f>
        <v>-35000</v>
      </c>
      <c r="O585" s="104">
        <f>SUMIFS(LS[[#Headers],[Unit]]:LS[[#This Row],[Unit]],LS[[#Headers],[Investor ID]]:LS[[#This Row],[Investor ID]],LS[[#This Row],[Investor ID]])</f>
        <v>459306</v>
      </c>
      <c r="P585" s="102">
        <v>-350000</v>
      </c>
      <c r="Q585" s="102">
        <f>LS[[#This Row],[Amount]]-LS[[#This Row],[Unit Capital]]</f>
        <v>-43435</v>
      </c>
      <c r="R5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10.785829020889894</v>
      </c>
      <c r="S585" s="103">
        <f t="shared" si="9"/>
        <v>14.224</v>
      </c>
      <c r="T585" s="102">
        <f>IF(LS[[#This Row],[B/S]]="B",0,ABS(LS[[#This Row],[Unit]])*(LS[[#This Row],[NAV (Strike Rate)]]-INDEX(LS[NAV at Cost (Average)],MATCH(CONCATENATE(LS[[#This Row],[Frequency]]-1,LS[[#This Row],[Investor ID]]),LS[Unique Code],0),)))</f>
        <v>15930.984268853701</v>
      </c>
      <c r="U585" s="102" cm="1">
        <f t="array" ref="U585">IF(LS[[#This Row],[B/S]]="S",ABS(LS[[#This Row],[Unit]])*(INDEX(LS[NAV at Cost (Average)],MATCH(CONCATENATE((LS[[#This Row],[Frequency]]-1),LS[[#This Row],[Investor ID]]),LS[Unique Code],0),0)),0)</f>
        <v>377504.01573114627</v>
      </c>
      <c r="V585" s="102">
        <f>IF(LS[[#This Row],[BO TRANSFER]]="YES",LS[[#This Row],[Unit]],)</f>
        <v>0</v>
      </c>
      <c r="W585" s="102">
        <f>SUMIFS(LS[[#Headers],[BO UNIT TRANSFER]]:LS[[#This Row],[BO UNIT TRANSFER]],LS[[#Headers],[Investor ID]]:LS[[#This Row],[Investor ID]],LS[[#This Row],[Investor ID]])</f>
        <v>0</v>
      </c>
    </row>
    <row r="586" spans="1:23">
      <c r="A586" s="75">
        <v>2024</v>
      </c>
      <c r="B586" s="75">
        <v>7</v>
      </c>
      <c r="C586" s="75">
        <v>25</v>
      </c>
      <c r="D586" s="98">
        <f>DATE(LS[[#This Row],[Year]],LS[[#This Row],[Month]],LS[[#This Row],[Day]])</f>
        <v>45498</v>
      </c>
      <c r="E586" s="99" t="str" cm="1">
        <f t="array" ref="E586">INDEX(INVESTORS_LIST[INVESTOR NAME],MATCH(LS[[#This Row],[Investor ID]],INVESTORS_LIST[INVESTOR CODE],0),)</f>
        <v>MD MINHAZ UDDIN</v>
      </c>
      <c r="F586" s="100" t="s">
        <v>1126</v>
      </c>
      <c r="G586" s="101">
        <f>COUNTIF(LS[[#Headers],[Investor ID]]:LS[[#This Row],[Investor ID]],LS[[#This Row],[Investor ID]])</f>
        <v>3</v>
      </c>
      <c r="H586" s="101" t="str">
        <f>CONCATENATE(LS[[#This Row],[Frequency]],LS[[#This Row],[Investor ID]])</f>
        <v>3A00538</v>
      </c>
      <c r="I586" s="75" t="str">
        <f>IF(LS[[#This Row],[B/S]]="B","BUY",(IF(LS[[#This Row],[B/S]]="S","SELL"," ")))</f>
        <v>SELL</v>
      </c>
      <c r="J586" s="101" t="s">
        <v>1231</v>
      </c>
      <c r="K586" s="102">
        <v>-3036756.15</v>
      </c>
      <c r="L586" s="99"/>
      <c r="M586" s="103">
        <f>LS[[#This Row],[Amount]]/LS[[#This Row],[Unit]]</f>
        <v>11.241</v>
      </c>
      <c r="N586" s="104">
        <f>LS[[#This Row],[Unit Capital]]/10</f>
        <v>-270150</v>
      </c>
      <c r="O586" s="104">
        <f>SUMIFS(LS[[#Headers],[Unit]]:LS[[#This Row],[Unit]],LS[[#Headers],[Investor ID]]:LS[[#This Row],[Investor ID]],LS[[#This Row],[Investor ID]])</f>
        <v>0</v>
      </c>
      <c r="P586" s="102">
        <v>-2701500</v>
      </c>
      <c r="Q586" s="102">
        <f>LS[[#This Row],[Amount]]-LS[[#This Row],[Unit Capital]]</f>
        <v>-335256.14999999991</v>
      </c>
      <c r="R5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86" s="103">
        <f t="shared" si="9"/>
        <v>14.224</v>
      </c>
      <c r="T586" s="102">
        <f>IF(LS[[#This Row],[B/S]]="B",0,ABS(LS[[#This Row],[Unit]])*(LS[[#This Row],[NAV (Strike Rate)]]-INDEX(LS[NAV at Cost (Average)],MATCH(CONCATENATE(LS[[#This Row],[Frequency]]-1,LS[[#This Row],[Investor ID]]),LS[Unique Code],0),)))</f>
        <v>61590.495918760556</v>
      </c>
      <c r="U586" s="102" cm="1">
        <f t="array" ref="U586">IF(LS[[#This Row],[B/S]]="S",ABS(LS[[#This Row],[Unit]])*(INDEX(LS[NAV at Cost (Average)],MATCH(CONCATENATE((LS[[#This Row],[Frequency]]-1),LS[[#This Row],[Investor ID]]),LS[Unique Code],0),0)),0)</f>
        <v>2975165.6540812394</v>
      </c>
      <c r="V586" s="102">
        <f>IF(LS[[#This Row],[BO TRANSFER]]="YES",LS[[#This Row],[Unit]],)</f>
        <v>0</v>
      </c>
      <c r="W586" s="102">
        <f>SUMIFS(LS[[#Headers],[BO UNIT TRANSFER]]:LS[[#This Row],[BO UNIT TRANSFER]],LS[[#Headers],[Investor ID]]:LS[[#This Row],[Investor ID]],LS[[#This Row],[Investor ID]])</f>
        <v>0</v>
      </c>
    </row>
    <row r="587" spans="1:23">
      <c r="A587" s="75">
        <v>2024</v>
      </c>
      <c r="B587" s="75">
        <v>7</v>
      </c>
      <c r="C587" s="75">
        <v>25</v>
      </c>
      <c r="D587" s="98">
        <f>DATE(LS[[#This Row],[Year]],LS[[#This Row],[Month]],LS[[#This Row],[Day]])</f>
        <v>45498</v>
      </c>
      <c r="E587" s="99" t="str" cm="1">
        <f t="array" ref="E587">INDEX(INVESTORS_LIST[INVESTOR NAME],MATCH(LS[[#This Row],[Investor ID]],INVESTORS_LIST[INVESTOR CODE],0),)</f>
        <v>ASHAK ELAHI</v>
      </c>
      <c r="F587" s="100" t="s">
        <v>1077</v>
      </c>
      <c r="G587" s="101">
        <f>COUNTIF(LS[[#Headers],[Investor ID]]:LS[[#This Row],[Investor ID]],LS[[#This Row],[Investor ID]])</f>
        <v>10</v>
      </c>
      <c r="H587" s="101" t="str">
        <f>CONCATENATE(LS[[#This Row],[Frequency]],LS[[#This Row],[Investor ID]])</f>
        <v>10A00516</v>
      </c>
      <c r="I587" s="75" t="str">
        <f>IF(LS[[#This Row],[B/S]]="B","BUY",(IF(LS[[#This Row],[B/S]]="S","SELL"," ")))</f>
        <v>BUY</v>
      </c>
      <c r="J587" s="101" t="s">
        <v>1229</v>
      </c>
      <c r="K587" s="102">
        <v>80000</v>
      </c>
      <c r="L587" s="99"/>
      <c r="M587" s="103">
        <f>LS[[#This Row],[Amount]]/LS[[#This Row],[Unit]]</f>
        <v>11.240691302515105</v>
      </c>
      <c r="N587" s="104">
        <f>LS[[#This Row],[Unit Capital]]/10</f>
        <v>7117</v>
      </c>
      <c r="O587" s="104">
        <f>SUMIFS(LS[[#Headers],[Unit]]:LS[[#This Row],[Unit]],LS[[#Headers],[Investor ID]]:LS[[#This Row],[Investor ID]],LS[[#This Row],[Investor ID]])</f>
        <v>43509</v>
      </c>
      <c r="P587" s="102">
        <v>71170</v>
      </c>
      <c r="Q587" s="102">
        <f>LS[[#This Row],[Amount]]-LS[[#This Row],[Unit Capital]]</f>
        <v>8830</v>
      </c>
      <c r="R5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10.966860892270514</v>
      </c>
      <c r="S587" s="103">
        <f t="shared" si="9"/>
        <v>14.224</v>
      </c>
      <c r="T58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7" s="102" cm="1">
        <f t="array" ref="U587">IF(LS[[#This Row],[B/S]]="S",ABS(LS[[#This Row],[Unit]])*(INDEX(LS[NAV at Cost (Average)],MATCH(CONCATENATE((LS[[#This Row],[Frequency]]-1),LS[[#This Row],[Investor ID]]),LS[Unique Code],0),0)),0)</f>
        <v>0</v>
      </c>
      <c r="V587" s="102">
        <f>IF(LS[[#This Row],[BO TRANSFER]]="YES",LS[[#This Row],[Unit]],)</f>
        <v>0</v>
      </c>
      <c r="W587" s="102">
        <f>SUMIFS(LS[[#Headers],[BO UNIT TRANSFER]]:LS[[#This Row],[BO UNIT TRANSFER]],LS[[#Headers],[Investor ID]]:LS[[#This Row],[Investor ID]],LS[[#This Row],[Investor ID]])</f>
        <v>0</v>
      </c>
    </row>
    <row r="588" spans="1:23">
      <c r="A588" s="75">
        <v>2024</v>
      </c>
      <c r="B588" s="75">
        <v>7</v>
      </c>
      <c r="C588" s="75">
        <v>25</v>
      </c>
      <c r="D588" s="98">
        <f>DATE(LS[[#This Row],[Year]],LS[[#This Row],[Month]],LS[[#This Row],[Day]])</f>
        <v>45498</v>
      </c>
      <c r="E588" s="99" t="str" cm="1">
        <f t="array" ref="E588">INDEX(INVESTORS_LIST[INVESTOR NAME],MATCH(LS[[#This Row],[Investor ID]],INVESTORS_LIST[INVESTOR CODE],0),)</f>
        <v>MD. RAQUIBUL ISLAM RUSSEAU</v>
      </c>
      <c r="F588" s="100" t="s">
        <v>1274</v>
      </c>
      <c r="G588" s="101">
        <f>COUNTIF(LS[[#Headers],[Investor ID]]:LS[[#This Row],[Investor ID]],LS[[#This Row],[Investor ID]])</f>
        <v>1</v>
      </c>
      <c r="H588" s="101" t="str">
        <f>CONCATENATE(LS[[#This Row],[Frequency]],LS[[#This Row],[Investor ID]])</f>
        <v>1A00584</v>
      </c>
      <c r="I588" s="75" t="str">
        <f>IF(LS[[#This Row],[B/S]]="B","BUY",(IF(LS[[#This Row],[B/S]]="S","SELL"," ")))</f>
        <v>BUY</v>
      </c>
      <c r="J588" s="101" t="s">
        <v>1229</v>
      </c>
      <c r="K588" s="102">
        <v>300000</v>
      </c>
      <c r="L588" s="99"/>
      <c r="M588" s="103">
        <f>LS[[#This Row],[Amount]]/LS[[#This Row],[Unit]]</f>
        <v>11.241007194244604</v>
      </c>
      <c r="N588" s="104">
        <f>LS[[#This Row],[Unit Capital]]/10</f>
        <v>26688</v>
      </c>
      <c r="O588" s="104">
        <f>SUMIFS(LS[[#Headers],[Unit]]:LS[[#This Row],[Unit]],LS[[#Headers],[Investor ID]]:LS[[#This Row],[Investor ID]],LS[[#This Row],[Investor ID]])</f>
        <v>26688</v>
      </c>
      <c r="P588" s="102">
        <v>266880</v>
      </c>
      <c r="Q588" s="102">
        <f>LS[[#This Row],[Amount]]-LS[[#This Row],[Unit Capital]]</f>
        <v>33120</v>
      </c>
      <c r="R5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11.241007194244604</v>
      </c>
      <c r="S588" s="103">
        <f t="shared" si="9"/>
        <v>14.224</v>
      </c>
      <c r="T5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88" s="102" cm="1">
        <f t="array" ref="U588">IF(LS[[#This Row],[B/S]]="S",ABS(LS[[#This Row],[Unit]])*(INDEX(LS[NAV at Cost (Average)],MATCH(CONCATENATE((LS[[#This Row],[Frequency]]-1),LS[[#This Row],[Investor ID]]),LS[Unique Code],0),0)),0)</f>
        <v>0</v>
      </c>
      <c r="V588" s="102">
        <f>IF(LS[[#This Row],[BO TRANSFER]]="YES",LS[[#This Row],[Unit]],)</f>
        <v>0</v>
      </c>
      <c r="W588" s="102">
        <f>SUMIFS(LS[[#Headers],[BO UNIT TRANSFER]]:LS[[#This Row],[BO UNIT TRANSFER]],LS[[#Headers],[Investor ID]]:LS[[#This Row],[Investor ID]],LS[[#This Row],[Investor ID]])</f>
        <v>0</v>
      </c>
    </row>
    <row r="589" spans="1:23">
      <c r="A589" s="75">
        <v>2024</v>
      </c>
      <c r="B589" s="75">
        <v>7</v>
      </c>
      <c r="C589" s="75">
        <v>28</v>
      </c>
      <c r="D589" s="98">
        <f>DATE(LS[[#This Row],[Year]],LS[[#This Row],[Month]],LS[[#This Row],[Day]])</f>
        <v>45501</v>
      </c>
      <c r="E589" s="99" t="str" cm="1">
        <f t="array" ref="E589">INDEX(INVESTORS_LIST[INVESTOR NAME],MATCH(LS[[#This Row],[Investor ID]],INVESTORS_LIST[INVESTOR CODE],0),)</f>
        <v>KH KHAIRUL ALAM NABIL</v>
      </c>
      <c r="F589" s="100" t="s">
        <v>1159</v>
      </c>
      <c r="G589" s="101">
        <f>COUNTIF(LS[[#Headers],[Investor ID]]:LS[[#This Row],[Investor ID]],LS[[#This Row],[Investor ID]])</f>
        <v>4</v>
      </c>
      <c r="H589" s="101" t="str">
        <f>CONCATENATE(LS[[#This Row],[Frequency]],LS[[#This Row],[Investor ID]])</f>
        <v>4A00555</v>
      </c>
      <c r="I589" s="75" t="str">
        <f>IF(LS[[#This Row],[B/S]]="B","BUY",(IF(LS[[#This Row],[B/S]]="S","SELL"," ")))</f>
        <v>SELL</v>
      </c>
      <c r="J589" s="101" t="s">
        <v>1231</v>
      </c>
      <c r="K589" s="102">
        <v>-200865.26</v>
      </c>
      <c r="L589" s="99"/>
      <c r="M589" s="103">
        <f>LS[[#This Row],[Amount]]/LS[[#This Row],[Unit]]</f>
        <v>11.198999776984836</v>
      </c>
      <c r="N589" s="104">
        <f>LS[[#This Row],[Unit Capital]]/10</f>
        <v>-17936</v>
      </c>
      <c r="O589" s="104">
        <f>SUMIFS(LS[[#Headers],[Unit]]:LS[[#This Row],[Unit]],LS[[#Headers],[Investor ID]]:LS[[#This Row],[Investor ID]],LS[[#This Row],[Investor ID]])</f>
        <v>0</v>
      </c>
      <c r="P589" s="102">
        <v>-179360</v>
      </c>
      <c r="Q589" s="102">
        <f>LS[[#This Row],[Amount]]-LS[[#This Row],[Unit Capital]]</f>
        <v>-21505.260000000009</v>
      </c>
      <c r="R5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89" s="103">
        <f t="shared" si="9"/>
        <v>14.224</v>
      </c>
      <c r="T589" s="102">
        <f>IF(LS[[#This Row],[B/S]]="B",0,ABS(LS[[#This Row],[Unit]])*(LS[[#This Row],[NAV (Strike Rate)]]-INDEX(LS[NAV at Cost (Average)],MATCH(CONCATENATE(LS[[#This Row],[Frequency]]-1,LS[[#This Row],[Investor ID]]),LS[Unique Code],0),)))</f>
        <v>865.2600000000582</v>
      </c>
      <c r="U589" s="102" cm="1">
        <f t="array" ref="U589">IF(LS[[#This Row],[B/S]]="S",ABS(LS[[#This Row],[Unit]])*(INDEX(LS[NAV at Cost (Average)],MATCH(CONCATENATE((LS[[#This Row],[Frequency]]-1),LS[[#This Row],[Investor ID]]),LS[Unique Code],0),0)),0)</f>
        <v>199999.99999999997</v>
      </c>
      <c r="V589" s="102">
        <f>IF(LS[[#This Row],[BO TRANSFER]]="YES",LS[[#This Row],[Unit]],)</f>
        <v>0</v>
      </c>
      <c r="W589" s="102">
        <f>SUMIFS(LS[[#Headers],[BO UNIT TRANSFER]]:LS[[#This Row],[BO UNIT TRANSFER]],LS[[#Headers],[Investor ID]]:LS[[#This Row],[Investor ID]],LS[[#This Row],[Investor ID]])</f>
        <v>0</v>
      </c>
    </row>
    <row r="590" spans="1:23">
      <c r="A590" s="75">
        <v>2024</v>
      </c>
      <c r="B590" s="75">
        <v>7</v>
      </c>
      <c r="C590" s="75">
        <v>28</v>
      </c>
      <c r="D590" s="98">
        <f>DATE(LS[[#This Row],[Year]],LS[[#This Row],[Month]],LS[[#This Row],[Day]])</f>
        <v>45501</v>
      </c>
      <c r="E590" t="str" cm="1">
        <f t="array" ref="E590">INDEX(INVESTORS_LIST[INVESTOR NAME],MATCH(LS[[#This Row],[Investor ID]],INVESTORS_LIST[INVESTOR CODE],0),)</f>
        <v>EKUSH WEALTH MANAGEMENT LIMITED</v>
      </c>
      <c r="F590" s="100" t="s">
        <v>47</v>
      </c>
      <c r="G590" s="101">
        <f>COUNTIF(LS[[#Headers],[Investor ID]]:LS[[#This Row],[Investor ID]],LS[[#This Row],[Investor ID]])</f>
        <v>20</v>
      </c>
      <c r="H590" s="101" t="str">
        <f>CONCATENATE(LS[[#This Row],[Frequency]],LS[[#This Row],[Investor ID]])</f>
        <v>20A00003</v>
      </c>
      <c r="I590" s="75" t="str">
        <f>IF(LS[[#This Row],[B/S]]="B","BUY",(IF(LS[[#This Row],[B/S]]="S","SELL"," ")))</f>
        <v>BUY</v>
      </c>
      <c r="J590" s="101" t="s">
        <v>1229</v>
      </c>
      <c r="K590" s="102">
        <v>3050000</v>
      </c>
      <c r="L590" s="99"/>
      <c r="M590" s="103">
        <f>LS[[#This Row],[Amount]]/LS[[#This Row],[Unit]]</f>
        <v>11.264006145346304</v>
      </c>
      <c r="N590" s="104">
        <f>LS[[#This Row],[Unit Capital]]/10</f>
        <v>270774</v>
      </c>
      <c r="O590" s="104">
        <f>SUMIFS(LS[[#Headers],[Unit]]:LS[[#This Row],[Unit]],LS[[#Headers],[Investor ID]]:LS[[#This Row],[Investor ID]],LS[[#This Row],[Investor ID]])</f>
        <v>663976</v>
      </c>
      <c r="P590" s="102">
        <v>2707740</v>
      </c>
      <c r="Q590" s="102">
        <f>LS[[#This Row],[Amount]]-LS[[#This Row],[Unit Capital]]</f>
        <v>342260</v>
      </c>
      <c r="R5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10.773806165039572</v>
      </c>
      <c r="S590" s="103">
        <f t="shared" si="9"/>
        <v>14.224</v>
      </c>
      <c r="T59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0" s="102" cm="1">
        <f t="array" ref="U590">IF(LS[[#This Row],[B/S]]="S",ABS(LS[[#This Row],[Unit]])*(INDEX(LS[NAV at Cost (Average)],MATCH(CONCATENATE((LS[[#This Row],[Frequency]]-1),LS[[#This Row],[Investor ID]]),LS[Unique Code],0),0)),0)</f>
        <v>0</v>
      </c>
      <c r="V590" s="102">
        <f>IF(LS[[#This Row],[BO TRANSFER]]="YES",LS[[#This Row],[Unit]],)</f>
        <v>0</v>
      </c>
      <c r="W590" s="102">
        <f>SUMIFS(LS[[#Headers],[BO UNIT TRANSFER]]:LS[[#This Row],[BO UNIT TRANSFER]],LS[[#Headers],[Investor ID]]:LS[[#This Row],[Investor ID]],LS[[#This Row],[Investor ID]])</f>
        <v>0</v>
      </c>
    </row>
    <row r="591" spans="1:23">
      <c r="A591" s="75">
        <v>2024</v>
      </c>
      <c r="B591" s="75">
        <v>7</v>
      </c>
      <c r="C591" s="75">
        <v>28</v>
      </c>
      <c r="D591" s="98">
        <f>DATE(LS[[#This Row],[Year]],LS[[#This Row],[Month]],LS[[#This Row],[Day]])</f>
        <v>45501</v>
      </c>
      <c r="E591" t="str" cm="1">
        <f t="array" ref="E591">INDEX(INVESTORS_LIST[INVESTOR NAME],MATCH(LS[[#This Row],[Investor ID]],INVESTORS_LIST[INVESTOR CODE],0),)</f>
        <v>EKUSH WEALTH MANAGEMENT LIMITED</v>
      </c>
      <c r="F591" s="100" t="s">
        <v>47</v>
      </c>
      <c r="G591" s="101">
        <f>COUNTIF(LS[[#Headers],[Investor ID]]:LS[[#This Row],[Investor ID]],LS[[#This Row],[Investor ID]])</f>
        <v>21</v>
      </c>
      <c r="H591" s="101" t="str">
        <f>CONCATENATE(LS[[#This Row],[Frequency]],LS[[#This Row],[Investor ID]])</f>
        <v>21A00003</v>
      </c>
      <c r="I591" s="75" t="str">
        <f>IF(LS[[#This Row],[B/S]]="B","BUY",(IF(LS[[#This Row],[B/S]]="S","SELL"," ")))</f>
        <v>BUY</v>
      </c>
      <c r="J591" s="101" t="s">
        <v>1229</v>
      </c>
      <c r="K591" s="102">
        <v>3050000</v>
      </c>
      <c r="L591" s="99"/>
      <c r="M591" s="103">
        <f>LS[[#This Row],[Amount]]/LS[[#This Row],[Unit]]</f>
        <v>11.264006145346304</v>
      </c>
      <c r="N591" s="104">
        <f>LS[[#This Row],[Unit Capital]]/10</f>
        <v>270774</v>
      </c>
      <c r="O591" s="104">
        <f>SUMIFS(LS[[#Headers],[Unit]]:LS[[#This Row],[Unit]],LS[[#Headers],[Investor ID]]:LS[[#This Row],[Investor ID]],LS[[#This Row],[Investor ID]])</f>
        <v>934750</v>
      </c>
      <c r="P591" s="102">
        <v>2707740</v>
      </c>
      <c r="Q591" s="102">
        <f>LS[[#This Row],[Amount]]-LS[[#This Row],[Unit Capital]]</f>
        <v>342260</v>
      </c>
      <c r="R5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10.915804998382791</v>
      </c>
      <c r="S591" s="103">
        <f t="shared" si="9"/>
        <v>14.224</v>
      </c>
      <c r="T59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1" s="102" cm="1">
        <f t="array" ref="U591">IF(LS[[#This Row],[B/S]]="S",ABS(LS[[#This Row],[Unit]])*(INDEX(LS[NAV at Cost (Average)],MATCH(CONCATENATE((LS[[#This Row],[Frequency]]-1),LS[[#This Row],[Investor ID]]),LS[Unique Code],0),0)),0)</f>
        <v>0</v>
      </c>
      <c r="V591" s="102">
        <f>IF(LS[[#This Row],[BO TRANSFER]]="YES",LS[[#This Row],[Unit]],)</f>
        <v>0</v>
      </c>
      <c r="W591" s="102">
        <f>SUMIFS(LS[[#Headers],[BO UNIT TRANSFER]]:LS[[#This Row],[BO UNIT TRANSFER]],LS[[#Headers],[Investor ID]]:LS[[#This Row],[Investor ID]],LS[[#This Row],[Investor ID]])</f>
        <v>0</v>
      </c>
    </row>
    <row r="592" spans="1:23">
      <c r="A592" s="75">
        <v>2024</v>
      </c>
      <c r="B592" s="75">
        <v>7</v>
      </c>
      <c r="C592" s="75">
        <v>28</v>
      </c>
      <c r="D592" s="98">
        <f>DATE(LS[[#This Row],[Year]],LS[[#This Row],[Month]],LS[[#This Row],[Day]])</f>
        <v>45501</v>
      </c>
      <c r="E592" t="str" cm="1">
        <f t="array" ref="E592">INDEX(INVESTORS_LIST[INVESTOR NAME],MATCH(LS[[#This Row],[Investor ID]],INVESTORS_LIST[INVESTOR CODE],0),)</f>
        <v>EKUSH WEALTH MANAGEMENT LIMITED</v>
      </c>
      <c r="F592" s="100" t="s">
        <v>47</v>
      </c>
      <c r="G592" s="101">
        <f>COUNTIF(LS[[#Headers],[Investor ID]]:LS[[#This Row],[Investor ID]],LS[[#This Row],[Investor ID]])</f>
        <v>22</v>
      </c>
      <c r="H592" s="101" t="str">
        <f>CONCATENATE(LS[[#This Row],[Frequency]],LS[[#This Row],[Investor ID]])</f>
        <v>22A00003</v>
      </c>
      <c r="I592" s="75" t="str">
        <f>IF(LS[[#This Row],[B/S]]="B","BUY",(IF(LS[[#This Row],[B/S]]="S","SELL"," ")))</f>
        <v>BUY</v>
      </c>
      <c r="J592" s="101" t="s">
        <v>1229</v>
      </c>
      <c r="K592" s="102">
        <v>3050000</v>
      </c>
      <c r="L592" s="99"/>
      <c r="M592" s="103">
        <f>LS[[#This Row],[Amount]]/LS[[#This Row],[Unit]]</f>
        <v>11.264006145346304</v>
      </c>
      <c r="N592" s="104">
        <f>LS[[#This Row],[Unit Capital]]/10</f>
        <v>270774</v>
      </c>
      <c r="O592" s="104">
        <f>SUMIFS(LS[[#Headers],[Unit]]:LS[[#This Row],[Unit]],LS[[#Headers],[Investor ID]]:LS[[#This Row],[Investor ID]],LS[[#This Row],[Investor ID]])</f>
        <v>1205524</v>
      </c>
      <c r="P592" s="102">
        <v>2707740</v>
      </c>
      <c r="Q592" s="102">
        <f>LS[[#This Row],[Amount]]-LS[[#This Row],[Unit Capital]]</f>
        <v>342260</v>
      </c>
      <c r="R5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10.994014820309106</v>
      </c>
      <c r="S592" s="103">
        <f t="shared" si="9"/>
        <v>14.224</v>
      </c>
      <c r="T5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2" s="102" cm="1">
        <f t="array" ref="U592">IF(LS[[#This Row],[B/S]]="S",ABS(LS[[#This Row],[Unit]])*(INDEX(LS[NAV at Cost (Average)],MATCH(CONCATENATE((LS[[#This Row],[Frequency]]-1),LS[[#This Row],[Investor ID]]),LS[Unique Code],0),0)),0)</f>
        <v>0</v>
      </c>
      <c r="V592" s="102">
        <f>IF(LS[[#This Row],[BO TRANSFER]]="YES",LS[[#This Row],[Unit]],)</f>
        <v>0</v>
      </c>
      <c r="W592" s="102">
        <f>SUMIFS(LS[[#Headers],[BO UNIT TRANSFER]]:LS[[#This Row],[BO UNIT TRANSFER]],LS[[#Headers],[Investor ID]]:LS[[#This Row],[Investor ID]],LS[[#This Row],[Investor ID]])</f>
        <v>0</v>
      </c>
    </row>
    <row r="593" spans="1:23">
      <c r="A593" s="75">
        <v>2024</v>
      </c>
      <c r="B593" s="75">
        <v>7</v>
      </c>
      <c r="C593" s="75">
        <v>29</v>
      </c>
      <c r="D593" s="98">
        <f>DATE(LS[[#This Row],[Year]],LS[[#This Row],[Month]],LS[[#This Row],[Day]])</f>
        <v>45502</v>
      </c>
      <c r="E593" s="99" t="str" cm="1">
        <f t="array" ref="E593">INDEX(INVESTORS_LIST[INVESTOR NAME],MATCH(LS[[#This Row],[Investor ID]],INVESTORS_LIST[INVESTOR CODE],0),)</f>
        <v>MST. GOLENUR</v>
      </c>
      <c r="F593" s="117" t="s">
        <v>1075</v>
      </c>
      <c r="G593" s="101">
        <f>COUNTIF(LS[[#Headers],[Investor ID]]:LS[[#This Row],[Investor ID]],LS[[#This Row],[Investor ID]])</f>
        <v>9</v>
      </c>
      <c r="H593" s="101" t="str">
        <f>CONCATENATE(LS[[#This Row],[Frequency]],LS[[#This Row],[Investor ID]])</f>
        <v>9A00515</v>
      </c>
      <c r="I593" s="75" t="str">
        <f>IF(LS[[#This Row],[B/S]]="B","BUY",(IF(LS[[#This Row],[B/S]]="S","SELL"," ")))</f>
        <v>BUY</v>
      </c>
      <c r="J593" s="101" t="s">
        <v>1229</v>
      </c>
      <c r="K593" s="102">
        <v>2000</v>
      </c>
      <c r="L593" s="99"/>
      <c r="M593" s="103">
        <f>LS[[#This Row],[Amount]]/LS[[#This Row],[Unit]]</f>
        <v>11.235955056179776</v>
      </c>
      <c r="N593" s="104">
        <f>LS[[#This Row],[Unit Capital]]/10</f>
        <v>178</v>
      </c>
      <c r="O593" s="104">
        <f>SUMIFS(LS[[#Headers],[Unit]]:LS[[#This Row],[Unit]],LS[[#Headers],[Investor ID]]:LS[[#This Row],[Investor ID]],LS[[#This Row],[Investor ID]])</f>
        <v>1650</v>
      </c>
      <c r="P593" s="102">
        <v>1780</v>
      </c>
      <c r="Q593" s="102">
        <f>LS[[#This Row],[Amount]]-LS[[#This Row],[Unit Capital]]</f>
        <v>220</v>
      </c>
      <c r="R5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10.909090909090907</v>
      </c>
      <c r="S593" s="103">
        <f t="shared" si="9"/>
        <v>14.224</v>
      </c>
      <c r="T59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3" s="102" cm="1">
        <f t="array" ref="U593">IF(LS[[#This Row],[B/S]]="S",ABS(LS[[#This Row],[Unit]])*(INDEX(LS[NAV at Cost (Average)],MATCH(CONCATENATE((LS[[#This Row],[Frequency]]-1),LS[[#This Row],[Investor ID]]),LS[Unique Code],0),0)),0)</f>
        <v>0</v>
      </c>
      <c r="V593" s="102">
        <f>IF(LS[[#This Row],[BO TRANSFER]]="YES",LS[[#This Row],[Unit]],)</f>
        <v>0</v>
      </c>
      <c r="W593" s="102">
        <f>SUMIFS(LS[[#Headers],[BO UNIT TRANSFER]]:LS[[#This Row],[BO UNIT TRANSFER]],LS[[#Headers],[Investor ID]]:LS[[#This Row],[Investor ID]],LS[[#This Row],[Investor ID]])</f>
        <v>0</v>
      </c>
    </row>
    <row r="594" spans="1:23">
      <c r="A594" s="75">
        <v>2024</v>
      </c>
      <c r="B594" s="75">
        <v>7</v>
      </c>
      <c r="C594" s="75">
        <v>29</v>
      </c>
      <c r="D594" s="98">
        <f>DATE(LS[[#This Row],[Year]],LS[[#This Row],[Month]],LS[[#This Row],[Day]])</f>
        <v>45502</v>
      </c>
      <c r="E594" s="99" t="str" cm="1">
        <f t="array" ref="E594">INDEX(INVESTORS_LIST[INVESTOR NAME],MATCH(LS[[#This Row],[Investor ID]],INVESTORS_LIST[INVESTOR CODE],0),)</f>
        <v>AHAMMOD HOSSAIN</v>
      </c>
      <c r="F594" s="100" t="s">
        <v>1179</v>
      </c>
      <c r="G594" s="101">
        <f>COUNTIF(LS[[#Headers],[Investor ID]]:LS[[#This Row],[Investor ID]],LS[[#This Row],[Investor ID]])</f>
        <v>2</v>
      </c>
      <c r="H594" s="101" t="str">
        <f>CONCATENATE(LS[[#This Row],[Frequency]],LS[[#This Row],[Investor ID]])</f>
        <v>2A00565</v>
      </c>
      <c r="I594" s="75" t="str">
        <f>IF(LS[[#This Row],[B/S]]="B","BUY",(IF(LS[[#This Row],[B/S]]="S","SELL"," ")))</f>
        <v>SELL</v>
      </c>
      <c r="J594" s="101" t="s">
        <v>1231</v>
      </c>
      <c r="K594" s="102">
        <v>-232308.74</v>
      </c>
      <c r="L594" s="99"/>
      <c r="M594" s="103">
        <f>LS[[#This Row],[Amount]]/LS[[#This Row],[Unit]]</f>
        <v>11.264000193948798</v>
      </c>
      <c r="N594" s="104">
        <f>LS[[#This Row],[Unit Capital]]/10</f>
        <v>-20624</v>
      </c>
      <c r="O594" s="104">
        <f>SUMIFS(LS[[#Headers],[Unit]]:LS[[#This Row],[Unit]],LS[[#Headers],[Investor ID]]:LS[[#This Row],[Investor ID]],LS[[#This Row],[Investor ID]])</f>
        <v>0</v>
      </c>
      <c r="P594" s="102">
        <v>-206240</v>
      </c>
      <c r="Q594" s="102">
        <f>LS[[#This Row],[Amount]]-LS[[#This Row],[Unit Capital]]</f>
        <v>-26068.739999999991</v>
      </c>
      <c r="R5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594" s="103">
        <f t="shared" si="9"/>
        <v>14.224</v>
      </c>
      <c r="T594" s="102">
        <f>IF(LS[[#This Row],[B/S]]="B",0,ABS(LS[[#This Row],[Unit]])*(LS[[#This Row],[NAV (Strike Rate)]]-INDEX(LS[NAV at Cost (Average)],MATCH(CONCATENATE(LS[[#This Row],[Frequency]]-1,LS[[#This Row],[Investor ID]]),LS[Unique Code],0),)))</f>
        <v>2308.7399999999911</v>
      </c>
      <c r="U594" s="102" cm="1">
        <f t="array" ref="U594">IF(LS[[#This Row],[B/S]]="S",ABS(LS[[#This Row],[Unit]])*(INDEX(LS[NAV at Cost (Average)],MATCH(CONCATENATE((LS[[#This Row],[Frequency]]-1),LS[[#This Row],[Investor ID]]),LS[Unique Code],0),0)),0)</f>
        <v>230000</v>
      </c>
      <c r="V594" s="102">
        <f>IF(LS[[#This Row],[BO TRANSFER]]="YES",LS[[#This Row],[Unit]],)</f>
        <v>0</v>
      </c>
      <c r="W594" s="102">
        <f>SUMIFS(LS[[#Headers],[BO UNIT TRANSFER]]:LS[[#This Row],[BO UNIT TRANSFER]],LS[[#Headers],[Investor ID]]:LS[[#This Row],[Investor ID]],LS[[#This Row],[Investor ID]])</f>
        <v>0</v>
      </c>
    </row>
    <row r="595" spans="1:23">
      <c r="A595" s="75">
        <v>2024</v>
      </c>
      <c r="B595" s="75">
        <v>7</v>
      </c>
      <c r="C595" s="75">
        <v>29</v>
      </c>
      <c r="D595" s="98">
        <f>DATE(LS[[#This Row],[Year]],LS[[#This Row],[Month]],LS[[#This Row],[Day]])</f>
        <v>45502</v>
      </c>
      <c r="E595" s="99" t="str" cm="1">
        <f t="array" ref="E595">INDEX(INVESTORS_LIST[INVESTOR NAME],MATCH(LS[[#This Row],[Investor ID]],INVESTORS_LIST[INVESTOR CODE],0),)</f>
        <v>MUSTAFA KAMAL MASUD</v>
      </c>
      <c r="F595" s="100" t="s">
        <v>1026</v>
      </c>
      <c r="G595" s="101">
        <f>COUNTIF(LS[[#Headers],[Investor ID]]:LS[[#This Row],[Investor ID]],LS[[#This Row],[Investor ID]])</f>
        <v>7</v>
      </c>
      <c r="H595" s="101" t="str">
        <f>CONCATENATE(LS[[#This Row],[Frequency]],LS[[#This Row],[Investor ID]])</f>
        <v>7A00490</v>
      </c>
      <c r="I595" s="75" t="str">
        <f>IF(LS[[#This Row],[B/S]]="B","BUY",(IF(LS[[#This Row],[B/S]]="S","SELL"," ")))</f>
        <v>BUY</v>
      </c>
      <c r="J595" s="101" t="s">
        <v>1229</v>
      </c>
      <c r="K595" s="102">
        <v>1500000</v>
      </c>
      <c r="L595" s="88"/>
      <c r="M595" s="103">
        <f>LS[[#This Row],[Amount]]/LS[[#This Row],[Unit]]</f>
        <v>11.26396731947615</v>
      </c>
      <c r="N595" s="104">
        <f>LS[[#This Row],[Unit Capital]]/10</f>
        <v>133168</v>
      </c>
      <c r="O595" s="104">
        <f>SUMIFS(LS[[#Headers],[Unit]]:LS[[#This Row],[Unit]],LS[[#Headers],[Investor ID]]:LS[[#This Row],[Investor ID]],LS[[#This Row],[Investor ID]])</f>
        <v>232709</v>
      </c>
      <c r="P595" s="102">
        <v>1331680</v>
      </c>
      <c r="Q595" s="102">
        <f>LS[[#This Row],[Amount]]-LS[[#This Row],[Unit Capital]]</f>
        <v>168320</v>
      </c>
      <c r="R5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11.074941123662246</v>
      </c>
      <c r="S595" s="103">
        <f t="shared" si="9"/>
        <v>14.224</v>
      </c>
      <c r="T5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5" s="102" cm="1">
        <f t="array" ref="U595">IF(LS[[#This Row],[B/S]]="S",ABS(LS[[#This Row],[Unit]])*(INDEX(LS[NAV at Cost (Average)],MATCH(CONCATENATE((LS[[#This Row],[Frequency]]-1),LS[[#This Row],[Investor ID]]),LS[Unique Code],0),0)),0)</f>
        <v>0</v>
      </c>
      <c r="V595" s="102">
        <f>IF(LS[[#This Row],[BO TRANSFER]]="YES",LS[[#This Row],[Unit]],)</f>
        <v>0</v>
      </c>
      <c r="W595" s="102">
        <f>SUMIFS(LS[[#Headers],[BO UNIT TRANSFER]]:LS[[#This Row],[BO UNIT TRANSFER]],LS[[#Headers],[Investor ID]]:LS[[#This Row],[Investor ID]],LS[[#This Row],[Investor ID]])</f>
        <v>0</v>
      </c>
    </row>
    <row r="596" spans="1:23">
      <c r="A596" s="75">
        <v>2024</v>
      </c>
      <c r="B596" s="75">
        <v>7</v>
      </c>
      <c r="C596" s="75">
        <v>30</v>
      </c>
      <c r="D596" s="98">
        <f>DATE(LS[[#This Row],[Year]],LS[[#This Row],[Month]],LS[[#This Row],[Day]])</f>
        <v>45503</v>
      </c>
      <c r="E596" s="99" t="str" cm="1">
        <f t="array" ref="E596">INDEX(INVESTORS_LIST[INVESTOR NAME],MATCH(LS[[#This Row],[Investor ID]],INVESTORS_LIST[INVESTOR CODE],0),)</f>
        <v>BILKISS ARA</v>
      </c>
      <c r="F596" s="100" t="s">
        <v>194</v>
      </c>
      <c r="G596" s="101">
        <f>COUNTIF(LS[[#Headers],[Investor ID]]:LS[[#This Row],[Investor ID]],LS[[#This Row],[Investor ID]])</f>
        <v>5</v>
      </c>
      <c r="H596" s="101" t="str">
        <f>CONCATENATE(LS[[#This Row],[Frequency]],LS[[#This Row],[Investor ID]])</f>
        <v>5A00073</v>
      </c>
      <c r="I596" s="75" t="str">
        <f>IF(LS[[#This Row],[B/S]]="B","BUY",(IF(LS[[#This Row],[B/S]]="S","SELL"," ")))</f>
        <v>BUY</v>
      </c>
      <c r="J596" s="101" t="s">
        <v>1229</v>
      </c>
      <c r="K596" s="102">
        <v>1000000</v>
      </c>
      <c r="L596" s="99"/>
      <c r="M596" s="103">
        <f>LS[[#This Row],[Amount]]/LS[[#This Row],[Unit]]</f>
        <v>11.264051904751177</v>
      </c>
      <c r="N596" s="104">
        <f>LS[[#This Row],[Unit Capital]]/10</f>
        <v>88778</v>
      </c>
      <c r="O596" s="104">
        <f>SUMIFS(LS[[#Headers],[Unit]]:LS[[#This Row],[Unit]],LS[[#Headers],[Investor ID]]:LS[[#This Row],[Investor ID]],LS[[#This Row],[Investor ID]])</f>
        <v>88778</v>
      </c>
      <c r="P596" s="102">
        <v>887780</v>
      </c>
      <c r="Q596" s="102">
        <f>LS[[#This Row],[Amount]]-LS[[#This Row],[Unit Capital]]</f>
        <v>112220</v>
      </c>
      <c r="R5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11.264051904751177</v>
      </c>
      <c r="S596" s="103">
        <f t="shared" si="9"/>
        <v>14.224</v>
      </c>
      <c r="T59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6" s="102" cm="1">
        <f t="array" ref="U596">IF(LS[[#This Row],[B/S]]="S",ABS(LS[[#This Row],[Unit]])*(INDEX(LS[NAV at Cost (Average)],MATCH(CONCATENATE((LS[[#This Row],[Frequency]]-1),LS[[#This Row],[Investor ID]]),LS[Unique Code],0),0)),0)</f>
        <v>0</v>
      </c>
      <c r="V596" s="102">
        <f>IF(LS[[#This Row],[BO TRANSFER]]="YES",LS[[#This Row],[Unit]],)</f>
        <v>0</v>
      </c>
      <c r="W596" s="102">
        <f>SUMIFS(LS[[#Headers],[BO UNIT TRANSFER]]:LS[[#This Row],[BO UNIT TRANSFER]],LS[[#Headers],[Investor ID]]:LS[[#This Row],[Investor ID]],LS[[#This Row],[Investor ID]])</f>
        <v>0</v>
      </c>
    </row>
    <row r="597" spans="1:23">
      <c r="A597" s="75">
        <v>2024</v>
      </c>
      <c r="B597" s="75">
        <v>7</v>
      </c>
      <c r="C597" s="75">
        <v>31</v>
      </c>
      <c r="D597" s="98">
        <f>DATE(LS[[#This Row],[Year]],LS[[#This Row],[Month]],LS[[#This Row],[Day]])</f>
        <v>45504</v>
      </c>
      <c r="E597" s="99" t="str" cm="1">
        <f t="array" ref="E597">INDEX(INVESTORS_LIST[INVESTOR NAME],MATCH(LS[[#This Row],[Investor ID]],INVESTORS_LIST[INVESTOR CODE],0),)</f>
        <v>ASHIK CHOWDHURY OVI</v>
      </c>
      <c r="F597" s="100" t="s">
        <v>1101</v>
      </c>
      <c r="G597" s="101">
        <f>COUNTIF(LS[[#Headers],[Investor ID]]:LS[[#This Row],[Investor ID]],LS[[#This Row],[Investor ID]])</f>
        <v>2</v>
      </c>
      <c r="H597" s="101" t="str">
        <f>CONCATENATE(LS[[#This Row],[Frequency]],LS[[#This Row],[Investor ID]])</f>
        <v>2A00527</v>
      </c>
      <c r="I597" s="75" t="str">
        <f>IF(LS[[#This Row],[B/S]]="B","BUY",(IF(LS[[#This Row],[B/S]]="S","SELL"," ")))</f>
        <v>SELL</v>
      </c>
      <c r="J597" s="101" t="s">
        <v>1231</v>
      </c>
      <c r="K597" s="102">
        <v>-10000</v>
      </c>
      <c r="L597" s="99"/>
      <c r="M597" s="103">
        <f>LS[[#This Row],[Amount]]/LS[[#This Row],[Unit]]</f>
        <v>11.261261261261261</v>
      </c>
      <c r="N597" s="104">
        <f>LS[[#This Row],[Unit Capital]]/10</f>
        <v>-888</v>
      </c>
      <c r="O597" s="104">
        <f>SUMIFS(LS[[#Headers],[Unit]]:LS[[#This Row],[Unit]],LS[[#Headers],[Investor ID]]:LS[[#This Row],[Investor ID]],LS[[#This Row],[Investor ID]])</f>
        <v>500</v>
      </c>
      <c r="P597" s="102">
        <v>-8880</v>
      </c>
      <c r="Q597" s="102">
        <f>LS[[#This Row],[Amount]]-LS[[#This Row],[Unit Capital]]</f>
        <v>-1120</v>
      </c>
      <c r="R5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10.806916426512968</v>
      </c>
      <c r="S597" s="103">
        <f t="shared" si="9"/>
        <v>14.224</v>
      </c>
      <c r="T597" s="102">
        <f>IF(LS[[#This Row],[B/S]]="B",0,ABS(LS[[#This Row],[Unit]])*(LS[[#This Row],[NAV (Strike Rate)]]-INDEX(LS[NAV at Cost (Average)],MATCH(CONCATENATE(LS[[#This Row],[Frequency]]-1,LS[[#This Row],[Investor ID]]),LS[Unique Code],0),)))</f>
        <v>403.45821325648382</v>
      </c>
      <c r="U597" s="102" cm="1">
        <f t="array" ref="U597">IF(LS[[#This Row],[B/S]]="S",ABS(LS[[#This Row],[Unit]])*(INDEX(LS[NAV at Cost (Average)],MATCH(CONCATENATE((LS[[#This Row],[Frequency]]-1),LS[[#This Row],[Investor ID]]),LS[Unique Code],0),0)),0)</f>
        <v>9596.5417867435153</v>
      </c>
      <c r="V597" s="102">
        <f>IF(LS[[#This Row],[BO TRANSFER]]="YES",LS[[#This Row],[Unit]],)</f>
        <v>0</v>
      </c>
      <c r="W597" s="102">
        <f>SUMIFS(LS[[#Headers],[BO UNIT TRANSFER]]:LS[[#This Row],[BO UNIT TRANSFER]],LS[[#Headers],[Investor ID]]:LS[[#This Row],[Investor ID]],LS[[#This Row],[Investor ID]])</f>
        <v>0</v>
      </c>
    </row>
    <row r="598" spans="1:23">
      <c r="A598" s="75">
        <v>2024</v>
      </c>
      <c r="B598" s="75">
        <v>7</v>
      </c>
      <c r="C598" s="75">
        <v>31</v>
      </c>
      <c r="D598" s="98">
        <f>DATE(LS[[#This Row],[Year]],LS[[#This Row],[Month]],LS[[#This Row],[Day]])</f>
        <v>45504</v>
      </c>
      <c r="E598" s="99" t="str" cm="1">
        <f t="array" ref="E598">INDEX(INVESTORS_LIST[INVESTOR NAME],MATCH(LS[[#This Row],[Investor ID]],INVESTORS_LIST[INVESTOR CODE],0),)</f>
        <v>SHUVA SAHA</v>
      </c>
      <c r="F598" s="100" t="s">
        <v>154</v>
      </c>
      <c r="G598" s="101">
        <f>COUNTIF(LS[[#Headers],[Investor ID]]:LS[[#This Row],[Investor ID]],LS[[#This Row],[Investor ID]])</f>
        <v>8</v>
      </c>
      <c r="H598" s="101" t="str">
        <f>CONCATENATE(LS[[#This Row],[Frequency]],LS[[#This Row],[Investor ID]])</f>
        <v>8A00053</v>
      </c>
      <c r="I598" s="75" t="str">
        <f>IF(LS[[#This Row],[B/S]]="B","BUY",(IF(LS[[#This Row],[B/S]]="S","SELL"," ")))</f>
        <v>BUY</v>
      </c>
      <c r="J598" s="101" t="s">
        <v>1229</v>
      </c>
      <c r="K598" s="102">
        <v>100000</v>
      </c>
      <c r="L598" s="88"/>
      <c r="M598" s="103">
        <f>LS[[#This Row],[Amount]]/LS[[#This Row],[Unit]]</f>
        <v>11.263798152737102</v>
      </c>
      <c r="N598" s="104">
        <f>LS[[#This Row],[Unit Capital]]/10</f>
        <v>8878</v>
      </c>
      <c r="O598" s="104">
        <f>SUMIFS(LS[[#Headers],[Unit]]:LS[[#This Row],[Unit]],LS[[#Headers],[Investor ID]]:LS[[#This Row],[Investor ID]],LS[[#This Row],[Investor ID]])</f>
        <v>64951</v>
      </c>
      <c r="P598" s="102">
        <v>88780</v>
      </c>
      <c r="Q598" s="102">
        <f>LS[[#This Row],[Amount]]-LS[[#This Row],[Unit Capital]]</f>
        <v>11220</v>
      </c>
      <c r="R5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10.777355237024834</v>
      </c>
      <c r="S598" s="103">
        <f t="shared" si="9"/>
        <v>14.224</v>
      </c>
      <c r="T59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598" s="102" cm="1">
        <f t="array" ref="U598">IF(LS[[#This Row],[B/S]]="S",ABS(LS[[#This Row],[Unit]])*(INDEX(LS[NAV at Cost (Average)],MATCH(CONCATENATE((LS[[#This Row],[Frequency]]-1),LS[[#This Row],[Investor ID]]),LS[Unique Code],0),0)),0)</f>
        <v>0</v>
      </c>
      <c r="V598" s="102">
        <f>IF(LS[[#This Row],[BO TRANSFER]]="YES",LS[[#This Row],[Unit]],)</f>
        <v>0</v>
      </c>
      <c r="W598" s="102">
        <f>SUMIFS(LS[[#Headers],[BO UNIT TRANSFER]]:LS[[#This Row],[BO UNIT TRANSFER]],LS[[#Headers],[Investor ID]]:LS[[#This Row],[Investor ID]],LS[[#This Row],[Investor ID]])</f>
        <v>0</v>
      </c>
    </row>
    <row r="599" spans="1:23">
      <c r="A599" s="75">
        <v>2024</v>
      </c>
      <c r="B599" s="75">
        <v>8</v>
      </c>
      <c r="C599" s="75">
        <v>5</v>
      </c>
      <c r="D599" s="98">
        <f>DATE(LS[[#This Row],[Year]],LS[[#This Row],[Month]],LS[[#This Row],[Day]])</f>
        <v>45509</v>
      </c>
      <c r="E599" s="99" t="str" cm="1">
        <f t="array" ref="E599">INDEX(INVESTORS_LIST[INVESTOR NAME],MATCH(LS[[#This Row],[Investor ID]],INVESTORS_LIST[INVESTOR CODE],0),)</f>
        <v xml:space="preserve">H. S. M. SHAFEE BIN ALAM </v>
      </c>
      <c r="F599" s="100" t="s">
        <v>1087</v>
      </c>
      <c r="G599" s="101">
        <f>COUNTIF(LS[[#Headers],[Investor ID]]:LS[[#This Row],[Investor ID]],LS[[#This Row],[Investor ID]])</f>
        <v>5</v>
      </c>
      <c r="H599" s="101" t="str">
        <f>CONCATENATE(LS[[#This Row],[Frequency]],LS[[#This Row],[Investor ID]])</f>
        <v>5A00520</v>
      </c>
      <c r="I599" s="75" t="str">
        <f>IF(LS[[#This Row],[B/S]]="B","BUY",(IF(LS[[#This Row],[B/S]]="S","SELL"," ")))</f>
        <v>SELL</v>
      </c>
      <c r="J599" s="101" t="s">
        <v>1231</v>
      </c>
      <c r="K599" s="102">
        <v>-11323.3</v>
      </c>
      <c r="L599" s="99"/>
      <c r="M599" s="103">
        <f>LS[[#This Row],[Amount]]/LS[[#This Row],[Unit]]</f>
        <v>11.289431704885343</v>
      </c>
      <c r="N599" s="104">
        <f>LS[[#This Row],[Unit Capital]]/10</f>
        <v>-1003</v>
      </c>
      <c r="O599" s="104">
        <f>SUMIFS(LS[[#Headers],[Unit]]:LS[[#This Row],[Unit]],LS[[#Headers],[Investor ID]]:LS[[#This Row],[Investor ID]],LS[[#This Row],[Investor ID]])</f>
        <v>61880</v>
      </c>
      <c r="P599" s="102">
        <v>-10030</v>
      </c>
      <c r="Q599" s="102">
        <f>LS[[#This Row],[Amount]]-LS[[#This Row],[Unit Capital]]</f>
        <v>-1293.2999999999993</v>
      </c>
      <c r="R5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11.107930601275385</v>
      </c>
      <c r="S599" s="103">
        <f t="shared" si="9"/>
        <v>14.224</v>
      </c>
      <c r="T599" s="102">
        <f>IF(LS[[#This Row],[B/S]]="B",0,ABS(LS[[#This Row],[Unit]])*(LS[[#This Row],[NAV (Strike Rate)]]-INDEX(LS[NAV at Cost (Average)],MATCH(CONCATENATE(LS[[#This Row],[Frequency]]-1,LS[[#This Row],[Investor ID]]),LS[Unique Code],0),)))</f>
        <v>182.04560692078863</v>
      </c>
      <c r="U599" s="102" cm="1">
        <f t="array" ref="U599">IF(LS[[#This Row],[B/S]]="S",ABS(LS[[#This Row],[Unit]])*(INDEX(LS[NAV at Cost (Average)],MATCH(CONCATENATE((LS[[#This Row],[Frequency]]-1),LS[[#This Row],[Investor ID]]),LS[Unique Code],0),0)),0)</f>
        <v>11141.254393079211</v>
      </c>
      <c r="V599" s="102">
        <f>IF(LS[[#This Row],[BO TRANSFER]]="YES",LS[[#This Row],[Unit]],)</f>
        <v>0</v>
      </c>
      <c r="W599" s="102">
        <f>SUMIFS(LS[[#Headers],[BO UNIT TRANSFER]]:LS[[#This Row],[BO UNIT TRANSFER]],LS[[#Headers],[Investor ID]]:LS[[#This Row],[Investor ID]],LS[[#This Row],[Investor ID]])</f>
        <v>0</v>
      </c>
    </row>
    <row r="600" spans="1:23">
      <c r="A600" s="75">
        <v>2024</v>
      </c>
      <c r="B600" s="75">
        <v>8</v>
      </c>
      <c r="C600" s="75">
        <v>5</v>
      </c>
      <c r="D600" s="98">
        <f>DATE(LS[[#This Row],[Year]],LS[[#This Row],[Month]],LS[[#This Row],[Day]])</f>
        <v>45509</v>
      </c>
      <c r="E600" s="99" t="str" cm="1">
        <f t="array" ref="E600">INDEX(INVESTORS_LIST[INVESTOR NAME],MATCH(LS[[#This Row],[Investor ID]],INVESTORS_LIST[INVESTOR CODE],0),)</f>
        <v>FARIHA FARZANA</v>
      </c>
      <c r="F600" s="100" t="s">
        <v>1161</v>
      </c>
      <c r="G600" s="101">
        <f>COUNTIF(LS[[#Headers],[Investor ID]]:LS[[#This Row],[Investor ID]],LS[[#This Row],[Investor ID]])</f>
        <v>3</v>
      </c>
      <c r="H600" s="101" t="str">
        <f>CONCATENATE(LS[[#This Row],[Frequency]],LS[[#This Row],[Investor ID]])</f>
        <v>3A00556</v>
      </c>
      <c r="I600" s="75" t="str">
        <f>IF(LS[[#This Row],[B/S]]="B","BUY",(IF(LS[[#This Row],[B/S]]="S","SELL"," ")))</f>
        <v>SELL</v>
      </c>
      <c r="J600" s="101" t="s">
        <v>1231</v>
      </c>
      <c r="K600" s="102">
        <v>-132882.34</v>
      </c>
      <c r="L600" s="99"/>
      <c r="M600" s="103">
        <f>LS[[#This Row],[Amount]]/LS[[#This Row],[Unit]]</f>
        <v>11.288000339789331</v>
      </c>
      <c r="N600" s="104">
        <f>LS[[#This Row],[Unit Capital]]/10</f>
        <v>-11772</v>
      </c>
      <c r="O600" s="104">
        <f>SUMIFS(LS[[#Headers],[Unit]]:LS[[#This Row],[Unit]],LS[[#Headers],[Investor ID]]:LS[[#This Row],[Investor ID]],LS[[#This Row],[Investor ID]])</f>
        <v>0</v>
      </c>
      <c r="P600" s="102">
        <v>-117720</v>
      </c>
      <c r="Q600" s="102">
        <f>LS[[#This Row],[Amount]]-LS[[#This Row],[Unit Capital]]</f>
        <v>-15162.339999999997</v>
      </c>
      <c r="R6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0" s="103">
        <f t="shared" si="9"/>
        <v>14.224</v>
      </c>
      <c r="T600" s="102">
        <f>IF(LS[[#This Row],[B/S]]="B",0,ABS(LS[[#This Row],[Unit]])*(LS[[#This Row],[NAV (Strike Rate)]]-INDEX(LS[NAV at Cost (Average)],MATCH(CONCATENATE(LS[[#This Row],[Frequency]]-1,LS[[#This Row],[Investor ID]]),LS[Unique Code],0),)))</f>
        <v>2152.0628144989423</v>
      </c>
      <c r="U600" s="102" cm="1">
        <f t="array" ref="U600">IF(LS[[#This Row],[B/S]]="S",ABS(LS[[#This Row],[Unit]])*(INDEX(LS[NAV at Cost (Average)],MATCH(CONCATENATE((LS[[#This Row],[Frequency]]-1),LS[[#This Row],[Investor ID]]),LS[Unique Code],0),0)),0)</f>
        <v>130730.27718550107</v>
      </c>
      <c r="V600" s="102">
        <f>IF(LS[[#This Row],[BO TRANSFER]]="YES",LS[[#This Row],[Unit]],)</f>
        <v>0</v>
      </c>
      <c r="W600" s="102">
        <f>SUMIFS(LS[[#Headers],[BO UNIT TRANSFER]]:LS[[#This Row],[BO UNIT TRANSFER]],LS[[#Headers],[Investor ID]]:LS[[#This Row],[Investor ID]],LS[[#This Row],[Investor ID]])</f>
        <v>0</v>
      </c>
    </row>
    <row r="601" spans="1:23">
      <c r="A601" s="75">
        <v>2024</v>
      </c>
      <c r="B601" s="75">
        <v>8</v>
      </c>
      <c r="C601" s="75">
        <v>5</v>
      </c>
      <c r="D601" s="98">
        <f>DATE(LS[[#This Row],[Year]],LS[[#This Row],[Month]],LS[[#This Row],[Day]])</f>
        <v>45509</v>
      </c>
      <c r="E601" s="99" t="str" cm="1">
        <f t="array" ref="E601">INDEX(INVESTORS_LIST[INVESTOR NAME],MATCH(LS[[#This Row],[Investor ID]],INVESTORS_LIST[INVESTOR CODE],0),)</f>
        <v>SUMAIYA CHOWDHURY RUPTY</v>
      </c>
      <c r="F601" s="100" t="s">
        <v>636</v>
      </c>
      <c r="G601" s="101">
        <f>COUNTIF(LS[[#Headers],[Investor ID]]:LS[[#This Row],[Investor ID]],LS[[#This Row],[Investor ID]])</f>
        <v>5</v>
      </c>
      <c r="H601" s="101" t="str">
        <f>CONCATENATE(LS[[#This Row],[Frequency]],LS[[#This Row],[Investor ID]])</f>
        <v>5A00294</v>
      </c>
      <c r="I601" s="75" t="str">
        <f>IF(LS[[#This Row],[B/S]]="B","BUY",(IF(LS[[#This Row],[B/S]]="S","SELL"," ")))</f>
        <v>SELL</v>
      </c>
      <c r="J601" s="101" t="s">
        <v>1231</v>
      </c>
      <c r="K601" s="102">
        <v>-869830.7</v>
      </c>
      <c r="L601" s="99"/>
      <c r="M601" s="103">
        <f>LS[[#This Row],[Amount]]/LS[[#This Row],[Unit]]</f>
        <v>11.287999948091048</v>
      </c>
      <c r="N601" s="104">
        <f>LS[[#This Row],[Unit Capital]]/10</f>
        <v>-77058</v>
      </c>
      <c r="O601" s="104">
        <f>SUMIFS(LS[[#Headers],[Unit]]:LS[[#This Row],[Unit]],LS[[#Headers],[Investor ID]]:LS[[#This Row],[Investor ID]],LS[[#This Row],[Investor ID]])</f>
        <v>0</v>
      </c>
      <c r="P601" s="102">
        <v>-770580</v>
      </c>
      <c r="Q601" s="102">
        <f>LS[[#This Row],[Amount]]-LS[[#This Row],[Unit Capital]]</f>
        <v>-99250.699999999953</v>
      </c>
      <c r="R6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1" s="103">
        <f t="shared" si="9"/>
        <v>14.224</v>
      </c>
      <c r="T601" s="102">
        <f>IF(LS[[#This Row],[B/S]]="B",0,ABS(LS[[#This Row],[Unit]])*(LS[[#This Row],[NAV (Strike Rate)]]-INDEX(LS[NAV at Cost (Average)],MATCH(CONCATENATE(LS[[#This Row],[Frequency]]-1,LS[[#This Row],[Investor ID]]),LS[Unique Code],0),)))</f>
        <v>59830.700000000041</v>
      </c>
      <c r="U601" s="102" cm="1">
        <f t="array" ref="U601">IF(LS[[#This Row],[B/S]]="S",ABS(LS[[#This Row],[Unit]])*(INDEX(LS[NAV at Cost (Average)],MATCH(CONCATENATE((LS[[#This Row],[Frequency]]-1),LS[[#This Row],[Investor ID]]),LS[Unique Code],0),0)),0)</f>
        <v>810000</v>
      </c>
      <c r="V601" s="102">
        <f>IF(LS[[#This Row],[BO TRANSFER]]="YES",LS[[#This Row],[Unit]],)</f>
        <v>0</v>
      </c>
      <c r="W601" s="102">
        <f>SUMIFS(LS[[#Headers],[BO UNIT TRANSFER]]:LS[[#This Row],[BO UNIT TRANSFER]],LS[[#Headers],[Investor ID]]:LS[[#This Row],[Investor ID]],LS[[#This Row],[Investor ID]])</f>
        <v>0</v>
      </c>
    </row>
    <row r="602" spans="1:23">
      <c r="A602" s="75">
        <v>2024</v>
      </c>
      <c r="B602" s="75">
        <v>8</v>
      </c>
      <c r="C602" s="75">
        <v>7</v>
      </c>
      <c r="D602" s="98">
        <f>DATE(LS[[#This Row],[Year]],LS[[#This Row],[Month]],LS[[#This Row],[Day]])</f>
        <v>45511</v>
      </c>
      <c r="E602" s="99" t="str" cm="1">
        <f t="array" ref="E602">INDEX(INVESTORS_LIST[INVESTOR NAME],MATCH(LS[[#This Row],[Investor ID]],INVESTORS_LIST[INVESTOR CODE],0),)</f>
        <v>MD. ZAHID HOSSAIN</v>
      </c>
      <c r="F602" s="100" t="s">
        <v>302</v>
      </c>
      <c r="G602" s="101">
        <f>COUNTIF(LS[[#Headers],[Investor ID]]:LS[[#This Row],[Investor ID]],LS[[#This Row],[Investor ID]])</f>
        <v>3</v>
      </c>
      <c r="H602" s="101" t="str">
        <f>CONCATENATE(LS[[#This Row],[Frequency]],LS[[#This Row],[Investor ID]])</f>
        <v>3A00127</v>
      </c>
      <c r="I602" s="75" t="str">
        <f>IF(LS[[#This Row],[B/S]]="B","BUY",(IF(LS[[#This Row],[B/S]]="S","SELL"," ")))</f>
        <v>SELL</v>
      </c>
      <c r="J602" s="101" t="s">
        <v>1231</v>
      </c>
      <c r="K602" s="102">
        <v>-3049441.91</v>
      </c>
      <c r="L602" s="99"/>
      <c r="M602" s="103">
        <f>LS[[#This Row],[Amount]]/LS[[#This Row],[Unit]]</f>
        <v>11.287999992596678</v>
      </c>
      <c r="N602" s="104">
        <f>LS[[#This Row],[Unit Capital]]/10</f>
        <v>-270149</v>
      </c>
      <c r="O602" s="104">
        <f>SUMIFS(LS[[#Headers],[Unit]]:LS[[#This Row],[Unit]],LS[[#Headers],[Investor ID]]:LS[[#This Row],[Investor ID]],LS[[#This Row],[Investor ID]])</f>
        <v>0</v>
      </c>
      <c r="P602" s="102">
        <v>-2701490</v>
      </c>
      <c r="Q602" s="102">
        <f>LS[[#This Row],[Amount]]-LS[[#This Row],[Unit Capital]]</f>
        <v>-347951.91000000015</v>
      </c>
      <c r="R6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2" s="103">
        <f t="shared" si="9"/>
        <v>14.224</v>
      </c>
      <c r="T602" s="102">
        <f>IF(LS[[#This Row],[B/S]]="B",0,ABS(LS[[#This Row],[Unit]])*(LS[[#This Row],[NAV (Strike Rate)]]-INDEX(LS[NAV at Cost (Average)],MATCH(CONCATENATE(LS[[#This Row],[Frequency]]-1,LS[[#This Row],[Investor ID]]),LS[Unique Code],0),)))</f>
        <v>49441.909999999669</v>
      </c>
      <c r="U602" s="102" cm="1">
        <f t="array" ref="U602">IF(LS[[#This Row],[B/S]]="S",ABS(LS[[#This Row],[Unit]])*(INDEX(LS[NAV at Cost (Average)],MATCH(CONCATENATE((LS[[#This Row],[Frequency]]-1),LS[[#This Row],[Investor ID]]),LS[Unique Code],0),0)),0)</f>
        <v>3000000.0000000005</v>
      </c>
      <c r="V602" s="102">
        <f>IF(LS[[#This Row],[BO TRANSFER]]="YES",LS[[#This Row],[Unit]],)</f>
        <v>0</v>
      </c>
      <c r="W602" s="102">
        <f>SUMIFS(LS[[#Headers],[BO UNIT TRANSFER]]:LS[[#This Row],[BO UNIT TRANSFER]],LS[[#Headers],[Investor ID]]:LS[[#This Row],[Investor ID]],LS[[#This Row],[Investor ID]])</f>
        <v>0</v>
      </c>
    </row>
    <row r="603" spans="1:23">
      <c r="A603" s="75">
        <v>2024</v>
      </c>
      <c r="B603" s="75">
        <v>8</v>
      </c>
      <c r="C603" s="75">
        <v>7</v>
      </c>
      <c r="D603" s="98">
        <f>DATE(LS[[#This Row],[Year]],LS[[#This Row],[Month]],LS[[#This Row],[Day]])</f>
        <v>45511</v>
      </c>
      <c r="E603" s="99" t="str" cm="1">
        <f t="array" ref="E603">INDEX(INVESTORS_LIST[INVESTOR NAME],MATCH(LS[[#This Row],[Investor ID]],INVESTORS_LIST[INVESTOR CODE],0),)</f>
        <v>KAZI HABIBUR RAHMAN</v>
      </c>
      <c r="F603" s="100" t="s">
        <v>1114</v>
      </c>
      <c r="G603" s="101">
        <f>COUNTIF(LS[[#Headers],[Investor ID]]:LS[[#This Row],[Investor ID]],LS[[#This Row],[Investor ID]])</f>
        <v>16</v>
      </c>
      <c r="H603" s="101" t="str">
        <f>CONCATENATE(LS[[#This Row],[Frequency]],LS[[#This Row],[Investor ID]])</f>
        <v>16A00532</v>
      </c>
      <c r="I603" s="75" t="str">
        <f>IF(LS[[#This Row],[B/S]]="B","BUY",(IF(LS[[#This Row],[B/S]]="S","SELL"," ")))</f>
        <v>BUY</v>
      </c>
      <c r="J603" s="101" t="s">
        <v>1229</v>
      </c>
      <c r="K603" s="102">
        <v>60000</v>
      </c>
      <c r="L603" s="99"/>
      <c r="M603" s="103">
        <f>LS[[#This Row],[Amount]]/LS[[#This Row],[Unit]]</f>
        <v>11.288805268109126</v>
      </c>
      <c r="N603" s="104">
        <f>LS[[#This Row],[Unit Capital]]/10</f>
        <v>5315</v>
      </c>
      <c r="O603" s="104">
        <f>SUMIFS(LS[[#Headers],[Unit]]:LS[[#This Row],[Unit]],LS[[#Headers],[Investor ID]]:LS[[#This Row],[Investor ID]],LS[[#This Row],[Investor ID]])</f>
        <v>637603</v>
      </c>
      <c r="P603" s="102">
        <v>53150</v>
      </c>
      <c r="Q603" s="102">
        <f>LS[[#This Row],[Amount]]-LS[[#This Row],[Unit Capital]]</f>
        <v>6850</v>
      </c>
      <c r="R6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11.080505037740755</v>
      </c>
      <c r="S603" s="103">
        <f t="shared" si="9"/>
        <v>14.224</v>
      </c>
      <c r="T60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03" s="102" cm="1">
        <f t="array" ref="U603">IF(LS[[#This Row],[B/S]]="S",ABS(LS[[#This Row],[Unit]])*(INDEX(LS[NAV at Cost (Average)],MATCH(CONCATENATE((LS[[#This Row],[Frequency]]-1),LS[[#This Row],[Investor ID]]),LS[Unique Code],0),0)),0)</f>
        <v>0</v>
      </c>
      <c r="V603" s="102">
        <f>IF(LS[[#This Row],[BO TRANSFER]]="YES",LS[[#This Row],[Unit]],)</f>
        <v>0</v>
      </c>
      <c r="W603" s="102">
        <f>SUMIFS(LS[[#Headers],[BO UNIT TRANSFER]]:LS[[#This Row],[BO UNIT TRANSFER]],LS[[#Headers],[Investor ID]]:LS[[#This Row],[Investor ID]],LS[[#This Row],[Investor ID]])</f>
        <v>0</v>
      </c>
    </row>
    <row r="604" spans="1:23">
      <c r="A604" s="75">
        <v>2024</v>
      </c>
      <c r="B604" s="75">
        <v>8</v>
      </c>
      <c r="C604" s="75">
        <v>8</v>
      </c>
      <c r="D604" s="98">
        <f>DATE(LS[[#This Row],[Year]],LS[[#This Row],[Month]],LS[[#This Row],[Day]])</f>
        <v>45512</v>
      </c>
      <c r="E604" s="99" t="str" cm="1">
        <f t="array" ref="E604">INDEX(INVESTORS_LIST[INVESTOR NAME],MATCH(LS[[#This Row],[Investor ID]],INVESTORS_LIST[INVESTOR CODE],0),)</f>
        <v>SRIJON GHOSH</v>
      </c>
      <c r="F604" s="100" t="s">
        <v>894</v>
      </c>
      <c r="G604" s="101">
        <f>COUNTIF(LS[[#Headers],[Investor ID]]:LS[[#This Row],[Investor ID]],LS[[#This Row],[Investor ID]])</f>
        <v>5</v>
      </c>
      <c r="H604" s="101" t="str">
        <f>CONCATENATE(LS[[#This Row],[Frequency]],LS[[#This Row],[Investor ID]])</f>
        <v>5A00424</v>
      </c>
      <c r="I604" s="75" t="str">
        <f>IF(LS[[#This Row],[B/S]]="B","BUY",(IF(LS[[#This Row],[B/S]]="S","SELL"," ")))</f>
        <v>SELL</v>
      </c>
      <c r="J604" s="101" t="s">
        <v>1231</v>
      </c>
      <c r="K604" s="102">
        <v>-206626.84</v>
      </c>
      <c r="L604" s="99"/>
      <c r="M604" s="103">
        <f>LS[[#This Row],[Amount]]/LS[[#This Row],[Unit]]</f>
        <v>11.288</v>
      </c>
      <c r="N604" s="104">
        <f>LS[[#This Row],[Unit Capital]]/10</f>
        <v>-18305</v>
      </c>
      <c r="O604" s="104">
        <f>SUMIFS(LS[[#Headers],[Unit]]:LS[[#This Row],[Unit]],LS[[#Headers],[Investor ID]]:LS[[#This Row],[Investor ID]],LS[[#This Row],[Investor ID]])</f>
        <v>0</v>
      </c>
      <c r="P604" s="102">
        <v>-183050</v>
      </c>
      <c r="Q604" s="102">
        <f>LS[[#This Row],[Amount]]-LS[[#This Row],[Unit Capital]]</f>
        <v>-23576.839999999997</v>
      </c>
      <c r="R6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4" s="103">
        <f t="shared" si="9"/>
        <v>14.224</v>
      </c>
      <c r="T604" s="102">
        <f>IF(LS[[#This Row],[B/S]]="B",0,ABS(LS[[#This Row],[Unit]])*(LS[[#This Row],[NAV (Strike Rate)]]-INDEX(LS[NAV at Cost (Average)],MATCH(CONCATENATE(LS[[#This Row],[Frequency]]-1,LS[[#This Row],[Investor ID]]),LS[Unique Code],0),)))</f>
        <v>1626.8399999999951</v>
      </c>
      <c r="U604" s="102" cm="1">
        <f t="array" ref="U604">IF(LS[[#This Row],[B/S]]="S",ABS(LS[[#This Row],[Unit]])*(INDEX(LS[NAV at Cost (Average)],MATCH(CONCATENATE((LS[[#This Row],[Frequency]]-1),LS[[#This Row],[Investor ID]]),LS[Unique Code],0),0)),0)</f>
        <v>205000</v>
      </c>
      <c r="V604" s="102">
        <f>IF(LS[[#This Row],[BO TRANSFER]]="YES",LS[[#This Row],[Unit]],)</f>
        <v>0</v>
      </c>
      <c r="W604" s="102">
        <f>SUMIFS(LS[[#Headers],[BO UNIT TRANSFER]]:LS[[#This Row],[BO UNIT TRANSFER]],LS[[#Headers],[Investor ID]]:LS[[#This Row],[Investor ID]],LS[[#This Row],[Investor ID]])</f>
        <v>0</v>
      </c>
    </row>
    <row r="605" spans="1:23">
      <c r="A605" s="75">
        <v>2024</v>
      </c>
      <c r="B605" s="75">
        <v>8</v>
      </c>
      <c r="C605" s="75">
        <v>8</v>
      </c>
      <c r="D605" s="98">
        <f>DATE(LS[[#This Row],[Year]],LS[[#This Row],[Month]],LS[[#This Row],[Day]])</f>
        <v>45512</v>
      </c>
      <c r="E605" s="99" t="str" cm="1">
        <f t="array" ref="E605">INDEX(INVESTORS_LIST[INVESTOR NAME],MATCH(LS[[#This Row],[Investor ID]],INVESTORS_LIST[INVESTOR CODE],0),)</f>
        <v>MADHAB GHOSH</v>
      </c>
      <c r="F605" s="100" t="s">
        <v>982</v>
      </c>
      <c r="G605" s="101">
        <f>COUNTIF(LS[[#Headers],[Investor ID]]:LS[[#This Row],[Investor ID]],LS[[#This Row],[Investor ID]])</f>
        <v>9</v>
      </c>
      <c r="H605" s="101" t="str">
        <f>CONCATENATE(LS[[#This Row],[Frequency]],LS[[#This Row],[Investor ID]])</f>
        <v>9A00468</v>
      </c>
      <c r="I605" s="75" t="str">
        <f>IF(LS[[#This Row],[B/S]]="B","BUY",(IF(LS[[#This Row],[B/S]]="S","SELL"," ")))</f>
        <v>SELL</v>
      </c>
      <c r="J605" s="101" t="s">
        <v>1231</v>
      </c>
      <c r="K605" s="102">
        <v>-239486.21</v>
      </c>
      <c r="L605" s="99"/>
      <c r="M605" s="103">
        <f>LS[[#This Row],[Amount]]/LS[[#This Row],[Unit]]</f>
        <v>11.288000094268476</v>
      </c>
      <c r="N605" s="104">
        <f>LS[[#This Row],[Unit Capital]]/10</f>
        <v>-21216</v>
      </c>
      <c r="O605" s="104">
        <f>SUMIFS(LS[[#Headers],[Unit]]:LS[[#This Row],[Unit]],LS[[#Headers],[Investor ID]]:LS[[#This Row],[Investor ID]],LS[[#This Row],[Investor ID]])</f>
        <v>0</v>
      </c>
      <c r="P605" s="102">
        <v>-212160</v>
      </c>
      <c r="Q605" s="102">
        <f>LS[[#This Row],[Amount]]-LS[[#This Row],[Unit Capital]]</f>
        <v>-27326.209999999992</v>
      </c>
      <c r="R6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5" s="103">
        <f t="shared" si="9"/>
        <v>14.224</v>
      </c>
      <c r="T605" s="102">
        <f>IF(LS[[#This Row],[B/S]]="B",0,ABS(LS[[#This Row],[Unit]])*(LS[[#This Row],[NAV (Strike Rate)]]-INDEX(LS[NAV at Cost (Average)],MATCH(CONCATENATE(LS[[#This Row],[Frequency]]-1,LS[[#This Row],[Investor ID]]),LS[Unique Code],0),)))</f>
        <v>1886.2100000000007</v>
      </c>
      <c r="U605" s="102" cm="1">
        <f t="array" ref="U605">IF(LS[[#This Row],[B/S]]="S",ABS(LS[[#This Row],[Unit]])*(INDEX(LS[NAV at Cost (Average)],MATCH(CONCATENATE((LS[[#This Row],[Frequency]]-1),LS[[#This Row],[Investor ID]]),LS[Unique Code],0),0)),0)</f>
        <v>237599.99999999997</v>
      </c>
      <c r="V605" s="102">
        <f>IF(LS[[#This Row],[BO TRANSFER]]="YES",LS[[#This Row],[Unit]],)</f>
        <v>0</v>
      </c>
      <c r="W605" s="102">
        <f>SUMIFS(LS[[#Headers],[BO UNIT TRANSFER]]:LS[[#This Row],[BO UNIT TRANSFER]],LS[[#Headers],[Investor ID]]:LS[[#This Row],[Investor ID]],LS[[#This Row],[Investor ID]])</f>
        <v>0</v>
      </c>
    </row>
    <row r="606" spans="1:23">
      <c r="A606" s="75">
        <v>2024</v>
      </c>
      <c r="B606" s="75">
        <v>8</v>
      </c>
      <c r="C606" s="75">
        <v>11</v>
      </c>
      <c r="D606" s="98">
        <f>DATE(LS[[#This Row],[Year]],LS[[#This Row],[Month]],LS[[#This Row],[Day]])</f>
        <v>45515</v>
      </c>
      <c r="E606" s="99" t="str" cm="1">
        <f t="array" ref="E606">INDEX(INVESTORS_LIST[INVESTOR NAME],MATCH(LS[[#This Row],[Investor ID]],INVESTORS_LIST[INVESTOR CODE],0),)</f>
        <v>N M AL HOSSAIN</v>
      </c>
      <c r="F606" s="100" t="s">
        <v>280</v>
      </c>
      <c r="G606" s="101">
        <f>COUNTIF(LS[[#Headers],[Investor ID]]:LS[[#This Row],[Investor ID]],LS[[#This Row],[Investor ID]])</f>
        <v>3</v>
      </c>
      <c r="H606" s="101" t="str">
        <f>CONCATENATE(LS[[#This Row],[Frequency]],LS[[#This Row],[Investor ID]])</f>
        <v>3A00116</v>
      </c>
      <c r="I606" s="75" t="str">
        <f>IF(LS[[#This Row],[B/S]]="B","BUY",(IF(LS[[#This Row],[B/S]]="S","SELL"," ")))</f>
        <v>SELL</v>
      </c>
      <c r="J606" s="101" t="s">
        <v>1231</v>
      </c>
      <c r="K606" s="102">
        <v>-1000000</v>
      </c>
      <c r="L606" s="99"/>
      <c r="M606" s="103">
        <f>LS[[#This Row],[Amount]]/LS[[#This Row],[Unit]]</f>
        <v>11.31196126784462</v>
      </c>
      <c r="N606" s="104">
        <f>LS[[#This Row],[Unit Capital]]/10</f>
        <v>-88402</v>
      </c>
      <c r="O606" s="104">
        <f>SUMIFS(LS[[#Headers],[Unit]]:LS[[#This Row],[Unit]],LS[[#Headers],[Investor ID]]:LS[[#This Row],[Investor ID]],LS[[#This Row],[Investor ID]])</f>
        <v>1317863</v>
      </c>
      <c r="P606" s="102">
        <v>-884020</v>
      </c>
      <c r="Q606" s="102">
        <f>LS[[#This Row],[Amount]]-LS[[#This Row],[Unit Capital]]</f>
        <v>-115980</v>
      </c>
      <c r="R6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606" s="103">
        <f t="shared" si="9"/>
        <v>14.224</v>
      </c>
      <c r="T606" s="102">
        <f>IF(LS[[#This Row],[B/S]]="B",0,ABS(LS[[#This Row],[Unit]])*(LS[[#This Row],[NAV (Strike Rate)]]-INDEX(LS[NAV at Cost (Average)],MATCH(CONCATENATE(LS[[#This Row],[Frequency]]-1,LS[[#This Row],[Investor ID]]),LS[Unique Code],0),)))</f>
        <v>57055.391409158423</v>
      </c>
      <c r="U606" s="102" cm="1">
        <f t="array" ref="U606">IF(LS[[#This Row],[B/S]]="S",ABS(LS[[#This Row],[Unit]])*(INDEX(LS[NAV at Cost (Average)],MATCH(CONCATENATE((LS[[#This Row],[Frequency]]-1),LS[[#This Row],[Investor ID]]),LS[Unique Code],0),0)),0)</f>
        <v>942944.60859084164</v>
      </c>
      <c r="V606" s="102">
        <f>IF(LS[[#This Row],[BO TRANSFER]]="YES",LS[[#This Row],[Unit]],)</f>
        <v>0</v>
      </c>
      <c r="W606" s="102">
        <f>SUMIFS(LS[[#Headers],[BO UNIT TRANSFER]]:LS[[#This Row],[BO UNIT TRANSFER]],LS[[#Headers],[Investor ID]]:LS[[#This Row],[Investor ID]],LS[[#This Row],[Investor ID]])</f>
        <v>0</v>
      </c>
    </row>
    <row r="607" spans="1:23">
      <c r="A607" s="75">
        <v>2024</v>
      </c>
      <c r="B607" s="75">
        <v>8</v>
      </c>
      <c r="C607" s="75">
        <v>12</v>
      </c>
      <c r="D607" s="98">
        <f>DATE(LS[[#This Row],[Year]],LS[[#This Row],[Month]],LS[[#This Row],[Day]])</f>
        <v>45516</v>
      </c>
      <c r="E607" s="99" t="str" cm="1">
        <f t="array" ref="E607">INDEX(INVESTORS_LIST[INVESTOR NAME],MATCH(LS[[#This Row],[Investor ID]],INVESTORS_LIST[INVESTOR CODE],0),)</f>
        <v>HUMAIRA TABASSUM READDHE</v>
      </c>
      <c r="F607" s="100" t="s">
        <v>1052</v>
      </c>
      <c r="G607" s="101">
        <f>COUNTIF(LS[[#Headers],[Investor ID]]:LS[[#This Row],[Investor ID]],LS[[#This Row],[Investor ID]])</f>
        <v>4</v>
      </c>
      <c r="H607" s="101" t="str">
        <f>CONCATENATE(LS[[#This Row],[Frequency]],LS[[#This Row],[Investor ID]])</f>
        <v>4A00503</v>
      </c>
      <c r="I607" s="75" t="str">
        <f>IF(LS[[#This Row],[B/S]]="B","BUY",(IF(LS[[#This Row],[B/S]]="S","SELL"," ")))</f>
        <v>SELL</v>
      </c>
      <c r="J607" s="101" t="s">
        <v>1231</v>
      </c>
      <c r="K607" s="102">
        <v>-30372.720000000001</v>
      </c>
      <c r="L607" s="99"/>
      <c r="M607" s="103">
        <f>LS[[#This Row],[Amount]]/LS[[#This Row],[Unit]]</f>
        <v>11.312000000000001</v>
      </c>
      <c r="N607" s="104">
        <f>LS[[#This Row],[Unit Capital]]/10</f>
        <v>-2685</v>
      </c>
      <c r="O607" s="104">
        <f>SUMIFS(LS[[#Headers],[Unit]]:LS[[#This Row],[Unit]],LS[[#Headers],[Investor ID]]:LS[[#This Row],[Investor ID]],LS[[#This Row],[Investor ID]])</f>
        <v>0</v>
      </c>
      <c r="P607" s="102">
        <v>-26850</v>
      </c>
      <c r="Q607" s="102">
        <f>LS[[#This Row],[Amount]]-LS[[#This Row],[Unit Capital]]</f>
        <v>-3522.7200000000012</v>
      </c>
      <c r="R6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07" s="103">
        <f t="shared" si="9"/>
        <v>14.224</v>
      </c>
      <c r="T607" s="102">
        <f>IF(LS[[#This Row],[B/S]]="B",0,ABS(LS[[#This Row],[Unit]])*(LS[[#This Row],[NAV (Strike Rate)]]-INDEX(LS[NAV at Cost (Average)],MATCH(CONCATENATE(LS[[#This Row],[Frequency]]-1,LS[[#This Row],[Investor ID]]),LS[Unique Code],0),)))</f>
        <v>372.72000000000378</v>
      </c>
      <c r="U607" s="102" cm="1">
        <f t="array" ref="U607">IF(LS[[#This Row],[B/S]]="S",ABS(LS[[#This Row],[Unit]])*(INDEX(LS[NAV at Cost (Average)],MATCH(CONCATENATE((LS[[#This Row],[Frequency]]-1),LS[[#This Row],[Investor ID]]),LS[Unique Code],0),0)),0)</f>
        <v>30000</v>
      </c>
      <c r="V607" s="102">
        <f>IF(LS[[#This Row],[BO TRANSFER]]="YES",LS[[#This Row],[Unit]],)</f>
        <v>0</v>
      </c>
      <c r="W607" s="102">
        <f>SUMIFS(LS[[#Headers],[BO UNIT TRANSFER]]:LS[[#This Row],[BO UNIT TRANSFER]],LS[[#Headers],[Investor ID]]:LS[[#This Row],[Investor ID]],LS[[#This Row],[Investor ID]])</f>
        <v>0</v>
      </c>
    </row>
    <row r="608" spans="1:23">
      <c r="A608" s="75">
        <v>2024</v>
      </c>
      <c r="B608" s="75">
        <v>8</v>
      </c>
      <c r="C608" s="75">
        <v>12</v>
      </c>
      <c r="D608" s="98">
        <f>DATE(LS[[#This Row],[Year]],LS[[#This Row],[Month]],LS[[#This Row],[Day]])</f>
        <v>45516</v>
      </c>
      <c r="E608" s="99" t="str" cm="1">
        <f t="array" ref="E608">INDEX(INVESTORS_LIST[INVESTOR NAME],MATCH(LS[[#This Row],[Investor ID]],INVESTORS_LIST[INVESTOR CODE],0),)</f>
        <v>JNANDIP PAUL</v>
      </c>
      <c r="F608" s="100" t="s">
        <v>230</v>
      </c>
      <c r="G608" s="101">
        <f>COUNTIF(LS[[#Headers],[Investor ID]]:LS[[#This Row],[Investor ID]],LS[[#This Row],[Investor ID]])</f>
        <v>6</v>
      </c>
      <c r="H608" s="101" t="str">
        <f>CONCATENATE(LS[[#This Row],[Frequency]],LS[[#This Row],[Investor ID]])</f>
        <v>6A00091</v>
      </c>
      <c r="I608" s="75" t="str">
        <f>IF(LS[[#This Row],[B/S]]="B","BUY",(IF(LS[[#This Row],[B/S]]="S","SELL"," ")))</f>
        <v>BUY</v>
      </c>
      <c r="J608" s="155" t="s">
        <v>1229</v>
      </c>
      <c r="K608" s="102">
        <v>48393</v>
      </c>
      <c r="L608" s="99"/>
      <c r="M608" s="103">
        <f>LS[[#This Row],[Amount]]/LS[[#This Row],[Unit]]</f>
        <v>11.312061711079943</v>
      </c>
      <c r="N608" s="104">
        <f>LS[[#This Row],[Unit Capital]]/10</f>
        <v>4278</v>
      </c>
      <c r="O608" s="104">
        <f>SUMIFS(LS[[#Headers],[Unit]]:LS[[#This Row],[Unit]],LS[[#Headers],[Investor ID]]:LS[[#This Row],[Investor ID]],LS[[#This Row],[Investor ID]])</f>
        <v>10100</v>
      </c>
      <c r="P608" s="102">
        <v>42780</v>
      </c>
      <c r="Q608" s="102">
        <f>LS[[#This Row],[Amount]]-LS[[#This Row],[Unit Capital]]</f>
        <v>5613</v>
      </c>
      <c r="R6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10.594998354731615</v>
      </c>
      <c r="S608" s="103">
        <f t="shared" si="9"/>
        <v>14.224</v>
      </c>
      <c r="T6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08" s="102" cm="1">
        <f t="array" ref="U608">IF(LS[[#This Row],[B/S]]="S",ABS(LS[[#This Row],[Unit]])*(INDEX(LS[NAV at Cost (Average)],MATCH(CONCATENATE((LS[[#This Row],[Frequency]]-1),LS[[#This Row],[Investor ID]]),LS[Unique Code],0),0)),0)</f>
        <v>0</v>
      </c>
      <c r="V608" s="102">
        <f>IF(LS[[#This Row],[BO TRANSFER]]="YES",LS[[#This Row],[Unit]],)</f>
        <v>0</v>
      </c>
      <c r="W608" s="102">
        <f>SUMIFS(LS[[#Headers],[BO UNIT TRANSFER]]:LS[[#This Row],[BO UNIT TRANSFER]],LS[[#Headers],[Investor ID]]:LS[[#This Row],[Investor ID]],LS[[#This Row],[Investor ID]])</f>
        <v>0</v>
      </c>
    </row>
    <row r="609" spans="1:23">
      <c r="A609" s="75">
        <v>2024</v>
      </c>
      <c r="B609" s="75">
        <v>8</v>
      </c>
      <c r="C609" s="75">
        <v>13</v>
      </c>
      <c r="D609" s="98">
        <f>DATE(LS[[#This Row],[Year]],LS[[#This Row],[Month]],LS[[#This Row],[Day]])</f>
        <v>45517</v>
      </c>
      <c r="E609" s="99" t="str" cm="1">
        <f t="array" ref="E609">INDEX(INVESTORS_LIST[INVESTOR NAME],MATCH(LS[[#This Row],[Investor ID]],INVESTORS_LIST[INVESTOR CODE],0),)</f>
        <v>FARZANA JITU</v>
      </c>
      <c r="F609" s="100" t="s">
        <v>968</v>
      </c>
      <c r="G609" s="101">
        <f>COUNTIF(LS[[#Headers],[Investor ID]]:LS[[#This Row],[Investor ID]],LS[[#This Row],[Investor ID]])</f>
        <v>5</v>
      </c>
      <c r="H609" s="101" t="str">
        <f>CONCATENATE(LS[[#This Row],[Frequency]],LS[[#This Row],[Investor ID]])</f>
        <v>5A00461</v>
      </c>
      <c r="I609" s="75" t="str">
        <f>IF(LS[[#This Row],[B/S]]="B","BUY",(IF(LS[[#This Row],[B/S]]="S","SELL"," ")))</f>
        <v>BUY</v>
      </c>
      <c r="J609" s="101" t="s">
        <v>1229</v>
      </c>
      <c r="K609" s="102">
        <v>100000</v>
      </c>
      <c r="L609" s="88"/>
      <c r="M609" s="103">
        <f>LS[[#This Row],[Amount]]/LS[[#This Row],[Unit]]</f>
        <v>11.312217194570136</v>
      </c>
      <c r="N609" s="104">
        <f>LS[[#This Row],[Unit Capital]]/10</f>
        <v>8840</v>
      </c>
      <c r="O609" s="104">
        <f>SUMIFS(LS[[#Headers],[Unit]]:LS[[#This Row],[Unit]],LS[[#Headers],[Investor ID]]:LS[[#This Row],[Investor ID]],LS[[#This Row],[Investor ID]])</f>
        <v>16006</v>
      </c>
      <c r="P609" s="102">
        <v>88400</v>
      </c>
      <c r="Q609" s="102">
        <f>LS[[#This Row],[Amount]]-LS[[#This Row],[Unit Capital]]</f>
        <v>11600</v>
      </c>
      <c r="R6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11.245782831438211</v>
      </c>
      <c r="S609" s="103">
        <f t="shared" si="9"/>
        <v>14.224</v>
      </c>
      <c r="T60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09" s="102" cm="1">
        <f t="array" ref="U609">IF(LS[[#This Row],[B/S]]="S",ABS(LS[[#This Row],[Unit]])*(INDEX(LS[NAV at Cost (Average)],MATCH(CONCATENATE((LS[[#This Row],[Frequency]]-1),LS[[#This Row],[Investor ID]]),LS[Unique Code],0),0)),0)</f>
        <v>0</v>
      </c>
      <c r="V609" s="102">
        <f>IF(LS[[#This Row],[BO TRANSFER]]="YES",LS[[#This Row],[Unit]],)</f>
        <v>0</v>
      </c>
      <c r="W609" s="102">
        <f>SUMIFS(LS[[#Headers],[BO UNIT TRANSFER]]:LS[[#This Row],[BO UNIT TRANSFER]],LS[[#Headers],[Investor ID]]:LS[[#This Row],[Investor ID]],LS[[#This Row],[Investor ID]])</f>
        <v>0</v>
      </c>
    </row>
    <row r="610" spans="1:23">
      <c r="A610" s="75">
        <v>2024</v>
      </c>
      <c r="B610" s="75">
        <v>8</v>
      </c>
      <c r="C610" s="75">
        <v>13</v>
      </c>
      <c r="D610" s="98">
        <f>DATE(LS[[#This Row],[Year]],LS[[#This Row],[Month]],LS[[#This Row],[Day]])</f>
        <v>45517</v>
      </c>
      <c r="E610" s="99" t="str" cm="1">
        <f t="array" ref="E610">INDEX(INVESTORS_LIST[INVESTOR NAME],MATCH(LS[[#This Row],[Investor ID]],INVESTORS_LIST[INVESTOR CODE],0),)</f>
        <v>TAMANNA AFRIN MITUL</v>
      </c>
      <c r="F610" s="100" t="s">
        <v>1157</v>
      </c>
      <c r="G610" s="101">
        <f>COUNTIF(LS[[#Headers],[Investor ID]]:LS[[#This Row],[Investor ID]],LS[[#This Row],[Investor ID]])</f>
        <v>3</v>
      </c>
      <c r="H610" s="101" t="str">
        <f>CONCATENATE(LS[[#This Row],[Frequency]],LS[[#This Row],[Investor ID]])</f>
        <v>3A00554</v>
      </c>
      <c r="I610" s="75" t="str">
        <f>IF(LS[[#This Row],[B/S]]="B","BUY",(IF(LS[[#This Row],[B/S]]="S","SELL"," ")))</f>
        <v>SELL</v>
      </c>
      <c r="J610" s="101" t="s">
        <v>1231</v>
      </c>
      <c r="K610" s="102">
        <v>-220000</v>
      </c>
      <c r="L610" s="99"/>
      <c r="M610" s="103">
        <f>LS[[#This Row],[Amount]]/LS[[#This Row],[Unit]]</f>
        <v>11.312217194570136</v>
      </c>
      <c r="N610" s="104">
        <f>LS[[#This Row],[Unit Capital]]/10</f>
        <v>-19448</v>
      </c>
      <c r="O610" s="104">
        <f>SUMIFS(LS[[#Headers],[Unit]]:LS[[#This Row],[Unit]],LS[[#Headers],[Investor ID]]:LS[[#This Row],[Investor ID]],LS[[#This Row],[Investor ID]])</f>
        <v>3969</v>
      </c>
      <c r="P610" s="102">
        <v>-194480</v>
      </c>
      <c r="Q610" s="102">
        <f>LS[[#This Row],[Amount]]-LS[[#This Row],[Unit Capital]]</f>
        <v>-25520</v>
      </c>
      <c r="R6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11.103044796515352</v>
      </c>
      <c r="S610" s="103">
        <f t="shared" si="9"/>
        <v>14.224</v>
      </c>
      <c r="T610" s="102">
        <f>IF(LS[[#This Row],[B/S]]="B",0,ABS(LS[[#This Row],[Unit]])*(LS[[#This Row],[NAV (Strike Rate)]]-INDEX(LS[NAV at Cost (Average)],MATCH(CONCATENATE(LS[[#This Row],[Frequency]]-1,LS[[#This Row],[Investor ID]]),LS[Unique Code],0),)))</f>
        <v>4067.9847973694468</v>
      </c>
      <c r="U610" s="102" cm="1">
        <f t="array" ref="U610">IF(LS[[#This Row],[B/S]]="S",ABS(LS[[#This Row],[Unit]])*(INDEX(LS[NAV at Cost (Average)],MATCH(CONCATENATE((LS[[#This Row],[Frequency]]-1),LS[[#This Row],[Investor ID]]),LS[Unique Code],0),0)),0)</f>
        <v>215932.01520263057</v>
      </c>
      <c r="V610" s="102">
        <f>IF(LS[[#This Row],[BO TRANSFER]]="YES",LS[[#This Row],[Unit]],)</f>
        <v>0</v>
      </c>
      <c r="W610" s="102">
        <f>SUMIFS(LS[[#Headers],[BO UNIT TRANSFER]]:LS[[#This Row],[BO UNIT TRANSFER]],LS[[#Headers],[Investor ID]]:LS[[#This Row],[Investor ID]],LS[[#This Row],[Investor ID]])</f>
        <v>0</v>
      </c>
    </row>
    <row r="611" spans="1:23">
      <c r="A611" s="75">
        <v>2024</v>
      </c>
      <c r="B611" s="75">
        <v>8</v>
      </c>
      <c r="C611" s="75">
        <v>13</v>
      </c>
      <c r="D611" s="98">
        <f>DATE(LS[[#This Row],[Year]],LS[[#This Row],[Month]],LS[[#This Row],[Day]])</f>
        <v>45517</v>
      </c>
      <c r="E611" s="99" t="str" cm="1">
        <f t="array" ref="E611">INDEX(INVESTORS_LIST[INVESTOR NAME],MATCH(LS[[#This Row],[Investor ID]],INVESTORS_LIST[INVESTOR CODE],0),)</f>
        <v>SADMAN PRODHAN</v>
      </c>
      <c r="F611" s="100" t="s">
        <v>1169</v>
      </c>
      <c r="G611" s="101">
        <f>COUNTIF(LS[[#Headers],[Investor ID]]:LS[[#This Row],[Investor ID]],LS[[#This Row],[Investor ID]])</f>
        <v>2</v>
      </c>
      <c r="H611" s="101" t="str">
        <f>CONCATENATE(LS[[#This Row],[Frequency]],LS[[#This Row],[Investor ID]])</f>
        <v>2A00560</v>
      </c>
      <c r="I611" s="75" t="str">
        <f>IF(LS[[#This Row],[B/S]]="B","BUY",(IF(LS[[#This Row],[B/S]]="S","SELL"," ")))</f>
        <v>SELL</v>
      </c>
      <c r="J611" s="101" t="s">
        <v>1231</v>
      </c>
      <c r="K611" s="102">
        <v>-253592.42</v>
      </c>
      <c r="L611" s="99"/>
      <c r="M611" s="103">
        <f>LS[[#This Row],[Amount]]/LS[[#This Row],[Unit]]</f>
        <v>11.312000178428049</v>
      </c>
      <c r="N611" s="104">
        <f>LS[[#This Row],[Unit Capital]]/10</f>
        <v>-22418</v>
      </c>
      <c r="O611" s="104">
        <f>SUMIFS(LS[[#Headers],[Unit]]:LS[[#This Row],[Unit]],LS[[#Headers],[Investor ID]]:LS[[#This Row],[Investor ID]],LS[[#This Row],[Investor ID]])</f>
        <v>0</v>
      </c>
      <c r="P611" s="102">
        <v>-224180</v>
      </c>
      <c r="Q611" s="102">
        <f>LS[[#This Row],[Amount]]-LS[[#This Row],[Unit Capital]]</f>
        <v>-29412.420000000013</v>
      </c>
      <c r="R6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11" s="103">
        <f t="shared" si="9"/>
        <v>14.224</v>
      </c>
      <c r="T611" s="102">
        <f>IF(LS[[#This Row],[B/S]]="B",0,ABS(LS[[#This Row],[Unit]])*(LS[[#This Row],[NAV (Strike Rate)]]-INDEX(LS[NAV at Cost (Average)],MATCH(CONCATENATE(LS[[#This Row],[Frequency]]-1,LS[[#This Row],[Investor ID]]),LS[Unique Code],0),)))</f>
        <v>3592.4199999999782</v>
      </c>
      <c r="U611" s="102" cm="1">
        <f t="array" ref="U611">IF(LS[[#This Row],[B/S]]="S",ABS(LS[[#This Row],[Unit]])*(INDEX(LS[NAV at Cost (Average)],MATCH(CONCATENATE((LS[[#This Row],[Frequency]]-1),LS[[#This Row],[Investor ID]]),LS[Unique Code],0),0)),0)</f>
        <v>250000.00000000003</v>
      </c>
      <c r="V611" s="102">
        <f>IF(LS[[#This Row],[BO TRANSFER]]="YES",LS[[#This Row],[Unit]],)</f>
        <v>0</v>
      </c>
      <c r="W611" s="102">
        <f>SUMIFS(LS[[#Headers],[BO UNIT TRANSFER]]:LS[[#This Row],[BO UNIT TRANSFER]],LS[[#Headers],[Investor ID]]:LS[[#This Row],[Investor ID]],LS[[#This Row],[Investor ID]])</f>
        <v>0</v>
      </c>
    </row>
    <row r="612" spans="1:23">
      <c r="A612" s="75">
        <v>2024</v>
      </c>
      <c r="B612" s="75">
        <v>8</v>
      </c>
      <c r="C612" s="75">
        <v>13</v>
      </c>
      <c r="D612" s="98">
        <f>DATE(LS[[#This Row],[Year]],LS[[#This Row],[Month]],LS[[#This Row],[Day]])</f>
        <v>45517</v>
      </c>
      <c r="E612" s="99" t="str" cm="1">
        <f t="array" ref="E612">INDEX(INVESTORS_LIST[INVESTOR NAME],MATCH(LS[[#This Row],[Investor ID]],INVESTORS_LIST[INVESTOR CODE],0),)</f>
        <v>SULTANA RAZIA</v>
      </c>
      <c r="F612" s="100" t="s">
        <v>511</v>
      </c>
      <c r="G612" s="101">
        <f>COUNTIF(LS[[#Headers],[Investor ID]]:LS[[#This Row],[Investor ID]],LS[[#This Row],[Investor ID]])</f>
        <v>4</v>
      </c>
      <c r="H612" s="101" t="str">
        <f>CONCATENATE(LS[[#This Row],[Frequency]],LS[[#This Row],[Investor ID]])</f>
        <v>4A00231</v>
      </c>
      <c r="I612" s="75" t="str">
        <f>IF(LS[[#This Row],[B/S]]="B","BUY",(IF(LS[[#This Row],[B/S]]="S","SELL"," ")))</f>
        <v>SELL</v>
      </c>
      <c r="J612" s="101" t="s">
        <v>1231</v>
      </c>
      <c r="K612" s="102">
        <v>-1900000</v>
      </c>
      <c r="L612" s="99"/>
      <c r="M612" s="103">
        <f>LS[[#This Row],[Amount]]/LS[[#This Row],[Unit]]</f>
        <v>11.312015146192911</v>
      </c>
      <c r="N612" s="104">
        <f>LS[[#This Row],[Unit Capital]]/10</f>
        <v>-167963</v>
      </c>
      <c r="O612" s="104">
        <f>SUMIFS(LS[[#Headers],[Unit]]:LS[[#This Row],[Unit]],LS[[#Headers],[Investor ID]]:LS[[#This Row],[Investor ID]],LS[[#This Row],[Investor ID]])</f>
        <v>41891</v>
      </c>
      <c r="P612" s="102">
        <v>-1679630</v>
      </c>
      <c r="Q612" s="102">
        <f>LS[[#This Row],[Amount]]-LS[[#This Row],[Unit Capital]]</f>
        <v>-220370</v>
      </c>
      <c r="R6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10.245218104015173</v>
      </c>
      <c r="S612" s="103">
        <f t="shared" si="9"/>
        <v>14.224</v>
      </c>
      <c r="T612" s="102">
        <f>IF(LS[[#This Row],[B/S]]="B",0,ABS(LS[[#This Row],[Unit]])*(LS[[#This Row],[NAV (Strike Rate)]]-INDEX(LS[NAV at Cost (Average)],MATCH(CONCATENATE(LS[[#This Row],[Frequency]]-1,LS[[#This Row],[Investor ID]]),LS[Unique Code],0),)))</f>
        <v>179182.43159529939</v>
      </c>
      <c r="U612" s="102" cm="1">
        <f t="array" ref="U612">IF(LS[[#This Row],[B/S]]="S",ABS(LS[[#This Row],[Unit]])*(INDEX(LS[NAV at Cost (Average)],MATCH(CONCATENATE((LS[[#This Row],[Frequency]]-1),LS[[#This Row],[Investor ID]]),LS[Unique Code],0),0)),0)</f>
        <v>1720817.5684047004</v>
      </c>
      <c r="V612" s="102">
        <f>IF(LS[[#This Row],[BO TRANSFER]]="YES",LS[[#This Row],[Unit]],)</f>
        <v>0</v>
      </c>
      <c r="W612" s="102">
        <f>SUMIFS(LS[[#Headers],[BO UNIT TRANSFER]]:LS[[#This Row],[BO UNIT TRANSFER]],LS[[#Headers],[Investor ID]]:LS[[#This Row],[Investor ID]],LS[[#This Row],[Investor ID]])</f>
        <v>0</v>
      </c>
    </row>
    <row r="613" spans="1:23">
      <c r="A613" s="75">
        <v>2024</v>
      </c>
      <c r="B613" s="75">
        <v>8</v>
      </c>
      <c r="C613" s="75">
        <v>13</v>
      </c>
      <c r="D613" s="98">
        <f>DATE(LS[[#This Row],[Year]],LS[[#This Row],[Month]],LS[[#This Row],[Day]])</f>
        <v>45517</v>
      </c>
      <c r="E613" s="99" t="str" cm="1">
        <f t="array" ref="E613">INDEX(INVESTORS_LIST[INVESTOR NAME],MATCH(LS[[#This Row],[Investor ID]],INVESTORS_LIST[INVESTOR CODE],0),)</f>
        <v>SILVIA ANWAR</v>
      </c>
      <c r="F613" s="100" t="s">
        <v>1192</v>
      </c>
      <c r="G613" s="101">
        <f>COUNTIF(LS[[#Headers],[Investor ID]]:LS[[#This Row],[Investor ID]],LS[[#This Row],[Investor ID]])</f>
        <v>2</v>
      </c>
      <c r="H613" s="101" t="str">
        <f>CONCATENATE(LS[[#This Row],[Frequency]],LS[[#This Row],[Investor ID]])</f>
        <v>2A00572</v>
      </c>
      <c r="I613" s="75" t="str">
        <f>IF(LS[[#This Row],[B/S]]="B","BUY",(IF(LS[[#This Row],[B/S]]="S","SELL"," ")))</f>
        <v>BUY</v>
      </c>
      <c r="J613" s="101" t="s">
        <v>1229</v>
      </c>
      <c r="K613" s="102">
        <v>150000</v>
      </c>
      <c r="L613" s="99"/>
      <c r="M613" s="103">
        <f>LS[[#This Row],[Amount]]/LS[[#This Row],[Unit]]</f>
        <v>11.312217194570136</v>
      </c>
      <c r="N613" s="104">
        <f>LS[[#This Row],[Unit Capital]]/10</f>
        <v>13260</v>
      </c>
      <c r="O613" s="104">
        <f>SUMIFS(LS[[#Headers],[Unit]]:LS[[#This Row],[Unit]],LS[[#Headers],[Investor ID]]:LS[[#This Row],[Investor ID]],LS[[#This Row],[Investor ID]])</f>
        <v>31194</v>
      </c>
      <c r="P613" s="102">
        <v>132600</v>
      </c>
      <c r="Q613" s="102">
        <f>LS[[#This Row],[Amount]]-LS[[#This Row],[Unit Capital]]</f>
        <v>17400</v>
      </c>
      <c r="R6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11.220106430723858</v>
      </c>
      <c r="S613" s="103">
        <f t="shared" si="9"/>
        <v>14.224</v>
      </c>
      <c r="T61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13" s="102" cm="1">
        <f t="array" ref="U613">IF(LS[[#This Row],[B/S]]="S",ABS(LS[[#This Row],[Unit]])*(INDEX(LS[NAV at Cost (Average)],MATCH(CONCATENATE((LS[[#This Row],[Frequency]]-1),LS[[#This Row],[Investor ID]]),LS[Unique Code],0),0)),0)</f>
        <v>0</v>
      </c>
      <c r="V613" s="102">
        <f>IF(LS[[#This Row],[BO TRANSFER]]="YES",LS[[#This Row],[Unit]],)</f>
        <v>0</v>
      </c>
      <c r="W613" s="102">
        <f>SUMIFS(LS[[#Headers],[BO UNIT TRANSFER]]:LS[[#This Row],[BO UNIT TRANSFER]],LS[[#Headers],[Investor ID]]:LS[[#This Row],[Investor ID]],LS[[#This Row],[Investor ID]])</f>
        <v>0</v>
      </c>
    </row>
    <row r="614" spans="1:23">
      <c r="A614" s="75">
        <v>2024</v>
      </c>
      <c r="B614" s="75">
        <v>8</v>
      </c>
      <c r="C614" s="75">
        <v>13</v>
      </c>
      <c r="D614" s="98">
        <f>DATE(LS[[#This Row],[Year]],LS[[#This Row],[Month]],LS[[#This Row],[Day]])</f>
        <v>45517</v>
      </c>
      <c r="E614" s="99" t="str" cm="1">
        <f t="array" ref="E614">INDEX(INVESTORS_LIST[INVESTOR NAME],MATCH(LS[[#This Row],[Investor ID]],INVESTORS_LIST[INVESTOR CODE],0),)</f>
        <v>ASHAK ELAHI</v>
      </c>
      <c r="F614" s="100" t="s">
        <v>1077</v>
      </c>
      <c r="G614" s="101">
        <f>COUNTIF(LS[[#Headers],[Investor ID]]:LS[[#This Row],[Investor ID]],LS[[#This Row],[Investor ID]])</f>
        <v>11</v>
      </c>
      <c r="H614" s="101" t="str">
        <f>CONCATENATE(LS[[#This Row],[Frequency]],LS[[#This Row],[Investor ID]])</f>
        <v>11A00516</v>
      </c>
      <c r="I614" s="75" t="str">
        <f>IF(LS[[#This Row],[B/S]]="B","BUY",(IF(LS[[#This Row],[B/S]]="S","SELL"," ")))</f>
        <v>SELL</v>
      </c>
      <c r="J614" s="101" t="s">
        <v>1231</v>
      </c>
      <c r="K614" s="102">
        <v>-492173.81</v>
      </c>
      <c r="L614" s="99"/>
      <c r="M614" s="103">
        <f>LS[[#This Row],[Amount]]/LS[[#This Row],[Unit]]</f>
        <v>11.312000045967501</v>
      </c>
      <c r="N614" s="104">
        <f>LS[[#This Row],[Unit Capital]]/10</f>
        <v>-43509</v>
      </c>
      <c r="O614" s="104">
        <f>SUMIFS(LS[[#Headers],[Unit]]:LS[[#This Row],[Unit]],LS[[#Headers],[Investor ID]]:LS[[#This Row],[Investor ID]],LS[[#This Row],[Investor ID]])</f>
        <v>0</v>
      </c>
      <c r="P614" s="102">
        <v>-435090</v>
      </c>
      <c r="Q614" s="102">
        <f>LS[[#This Row],[Amount]]-LS[[#This Row],[Unit Capital]]</f>
        <v>-57083.81</v>
      </c>
      <c r="R6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14" s="103">
        <f t="shared" si="9"/>
        <v>14.224</v>
      </c>
      <c r="T614" s="102">
        <f>IF(LS[[#This Row],[B/S]]="B",0,ABS(LS[[#This Row],[Unit]])*(LS[[#This Row],[NAV (Strike Rate)]]-INDEX(LS[NAV at Cost (Average)],MATCH(CONCATENATE(LS[[#This Row],[Frequency]]-1,LS[[#This Row],[Investor ID]]),LS[Unique Code],0),)))</f>
        <v>15016.659438202218</v>
      </c>
      <c r="U614" s="102" cm="1">
        <f t="array" ref="U614">IF(LS[[#This Row],[B/S]]="S",ABS(LS[[#This Row],[Unit]])*(INDEX(LS[NAV at Cost (Average)],MATCH(CONCATENATE((LS[[#This Row],[Frequency]]-1),LS[[#This Row],[Investor ID]]),LS[Unique Code],0),0)),0)</f>
        <v>477157.15056179778</v>
      </c>
      <c r="V614" s="102">
        <f>IF(LS[[#This Row],[BO TRANSFER]]="YES",LS[[#This Row],[Unit]],)</f>
        <v>0</v>
      </c>
      <c r="W614" s="102">
        <f>SUMIFS(LS[[#Headers],[BO UNIT TRANSFER]]:LS[[#This Row],[BO UNIT TRANSFER]],LS[[#Headers],[Investor ID]]:LS[[#This Row],[Investor ID]],LS[[#This Row],[Investor ID]])</f>
        <v>0</v>
      </c>
    </row>
    <row r="615" spans="1:23">
      <c r="A615" s="75">
        <v>2024</v>
      </c>
      <c r="B615" s="75">
        <v>8</v>
      </c>
      <c r="C615" s="75">
        <v>13</v>
      </c>
      <c r="D615" s="98">
        <f>DATE(LS[[#This Row],[Year]],LS[[#This Row],[Month]],LS[[#This Row],[Day]])</f>
        <v>45517</v>
      </c>
      <c r="E615" t="str" cm="1">
        <f t="array" ref="E615">INDEX(INVESTORS_LIST[INVESTOR NAME],MATCH(LS[[#This Row],[Investor ID]],INVESTORS_LIST[INVESTOR CODE],0),)</f>
        <v>EKUSH WEALTH MANAGEMENT LIMITED</v>
      </c>
      <c r="F615" s="100" t="s">
        <v>47</v>
      </c>
      <c r="G615" s="101">
        <f>COUNTIF(LS[[#Headers],[Investor ID]]:LS[[#This Row],[Investor ID]],LS[[#This Row],[Investor ID]])</f>
        <v>23</v>
      </c>
      <c r="H615" s="101" t="str">
        <f>CONCATENATE(LS[[#This Row],[Frequency]],LS[[#This Row],[Investor ID]])</f>
        <v>23A00003</v>
      </c>
      <c r="I615" s="75" t="str">
        <f>IF(LS[[#This Row],[B/S]]="B","BUY",(IF(LS[[#This Row],[B/S]]="S","SELL"," ")))</f>
        <v>BUY</v>
      </c>
      <c r="J615" s="101" t="s">
        <v>1229</v>
      </c>
      <c r="K615" s="102">
        <v>500000</v>
      </c>
      <c r="L615" s="99"/>
      <c r="M615" s="103">
        <f>LS[[#This Row],[Amount]]/LS[[#This Row],[Unit]]</f>
        <v>11.31196126784462</v>
      </c>
      <c r="N615" s="104">
        <f>LS[[#This Row],[Unit Capital]]/10</f>
        <v>44201</v>
      </c>
      <c r="O615" s="104">
        <f>SUMIFS(LS[[#Headers],[Unit]]:LS[[#This Row],[Unit]],LS[[#Headers],[Investor ID]]:LS[[#This Row],[Investor ID]],LS[[#This Row],[Investor ID]])</f>
        <v>1249725</v>
      </c>
      <c r="P615" s="102">
        <v>442010</v>
      </c>
      <c r="Q615" s="102">
        <f>LS[[#This Row],[Amount]]-LS[[#This Row],[Unit Capital]]</f>
        <v>57990</v>
      </c>
      <c r="R6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11.005260135020356</v>
      </c>
      <c r="S615" s="103">
        <f t="shared" si="9"/>
        <v>14.224</v>
      </c>
      <c r="T61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15" s="102" cm="1">
        <f t="array" ref="U615">IF(LS[[#This Row],[B/S]]="S",ABS(LS[[#This Row],[Unit]])*(INDEX(LS[NAV at Cost (Average)],MATCH(CONCATENATE((LS[[#This Row],[Frequency]]-1),LS[[#This Row],[Investor ID]]),LS[Unique Code],0),0)),0)</f>
        <v>0</v>
      </c>
      <c r="V615" s="102">
        <f>IF(LS[[#This Row],[BO TRANSFER]]="YES",LS[[#This Row],[Unit]],)</f>
        <v>0</v>
      </c>
      <c r="W615" s="102">
        <f>SUMIFS(LS[[#Headers],[BO UNIT TRANSFER]]:LS[[#This Row],[BO UNIT TRANSFER]],LS[[#Headers],[Investor ID]]:LS[[#This Row],[Investor ID]],LS[[#This Row],[Investor ID]])</f>
        <v>0</v>
      </c>
    </row>
    <row r="616" spans="1:23">
      <c r="A616" s="75">
        <v>2024</v>
      </c>
      <c r="B616" s="75">
        <v>8</v>
      </c>
      <c r="C616" s="75">
        <v>13</v>
      </c>
      <c r="D616" s="98">
        <f>DATE(LS[[#This Row],[Year]],LS[[#This Row],[Month]],LS[[#This Row],[Day]])</f>
        <v>45517</v>
      </c>
      <c r="E616" s="99" t="str" cm="1">
        <f t="array" ref="E616">INDEX(INVESTORS_LIST[INVESTOR NAME],MATCH(LS[[#This Row],[Investor ID]],INVESTORS_LIST[INVESTOR CODE],0),)</f>
        <v>NISHAT RAHMAN</v>
      </c>
      <c r="F616" s="100" t="s">
        <v>1200</v>
      </c>
      <c r="G616" s="101">
        <f>COUNTIF(LS[[#Headers],[Investor ID]]:LS[[#This Row],[Investor ID]],LS[[#This Row],[Investor ID]])</f>
        <v>2</v>
      </c>
      <c r="H616" s="101" t="str">
        <f>CONCATENATE(LS[[#This Row],[Frequency]],LS[[#This Row],[Investor ID]])</f>
        <v>2A00576</v>
      </c>
      <c r="I616" s="75" t="str">
        <f>IF(LS[[#This Row],[B/S]]="B","BUY",(IF(LS[[#This Row],[B/S]]="S","SELL"," ")))</f>
        <v>SELL</v>
      </c>
      <c r="J616" s="101" t="s">
        <v>1231</v>
      </c>
      <c r="K616" s="102">
        <v>-506097.48</v>
      </c>
      <c r="L616" s="99"/>
      <c r="M616" s="103">
        <f>LS[[#This Row],[Amount]]/LS[[#This Row],[Unit]]</f>
        <v>11.288</v>
      </c>
      <c r="N616" s="104">
        <f>LS[[#This Row],[Unit Capital]]/10</f>
        <v>-44835</v>
      </c>
      <c r="O616" s="104">
        <f>SUMIFS(LS[[#Headers],[Unit]]:LS[[#This Row],[Unit]],LS[[#Headers],[Investor ID]]:LS[[#This Row],[Investor ID]],LS[[#This Row],[Investor ID]])</f>
        <v>0</v>
      </c>
      <c r="P616" s="102">
        <v>-448350</v>
      </c>
      <c r="Q616" s="102">
        <f>LS[[#This Row],[Amount]]-LS[[#This Row],[Unit Capital]]</f>
        <v>-57747.479999999981</v>
      </c>
      <c r="R6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16" s="103">
        <f t="shared" si="9"/>
        <v>14.224</v>
      </c>
      <c r="T616" s="102">
        <f>IF(LS[[#This Row],[B/S]]="B",0,ABS(LS[[#This Row],[Unit]])*(LS[[#This Row],[NAV (Strike Rate)]]-INDEX(LS[NAV at Cost (Average)],MATCH(CONCATENATE(LS[[#This Row],[Frequency]]-1,LS[[#This Row],[Investor ID]]),LS[Unique Code],0),)))</f>
        <v>6097.4800000000141</v>
      </c>
      <c r="U616" s="102" cm="1">
        <f t="array" ref="U616">IF(LS[[#This Row],[B/S]]="S",ABS(LS[[#This Row],[Unit]])*(INDEX(LS[NAV at Cost (Average)],MATCH(CONCATENATE((LS[[#This Row],[Frequency]]-1),LS[[#This Row],[Investor ID]]),LS[Unique Code],0),0)),0)</f>
        <v>500000</v>
      </c>
      <c r="V616" s="102">
        <f>IF(LS[[#This Row],[BO TRANSFER]]="YES",LS[[#This Row],[Unit]],)</f>
        <v>0</v>
      </c>
      <c r="W616" s="102">
        <f>SUMIFS(LS[[#Headers],[BO UNIT TRANSFER]]:LS[[#This Row],[BO UNIT TRANSFER]],LS[[#Headers],[Investor ID]]:LS[[#This Row],[Investor ID]],LS[[#This Row],[Investor ID]])</f>
        <v>0</v>
      </c>
    </row>
    <row r="617" spans="1:23">
      <c r="A617" s="75">
        <v>2024</v>
      </c>
      <c r="B617" s="75">
        <v>8</v>
      </c>
      <c r="C617" s="75">
        <v>14</v>
      </c>
      <c r="D617" s="98">
        <f>DATE(LS[[#This Row],[Year]],LS[[#This Row],[Month]],LS[[#This Row],[Day]])</f>
        <v>45518</v>
      </c>
      <c r="E617" s="99" t="str" cm="1">
        <f t="array" ref="E617">INDEX(INVESTORS_LIST[INVESTOR NAME],MATCH(LS[[#This Row],[Investor ID]],INVESTORS_LIST[INVESTOR CODE],0),)</f>
        <v>SHIREEN AFROZE</v>
      </c>
      <c r="F617" s="100" t="s">
        <v>1145</v>
      </c>
      <c r="G617" s="101">
        <f>COUNTIF(LS[[#Headers],[Investor ID]]:LS[[#This Row],[Investor ID]],LS[[#This Row],[Investor ID]])</f>
        <v>2</v>
      </c>
      <c r="H617" s="101" t="str">
        <f>CONCATENATE(LS[[#This Row],[Frequency]],LS[[#This Row],[Investor ID]])</f>
        <v>2A00548</v>
      </c>
      <c r="I617" s="75" t="str">
        <f>IF(LS[[#This Row],[B/S]]="B","BUY",(IF(LS[[#This Row],[B/S]]="S","SELL"," ")))</f>
        <v>SELL</v>
      </c>
      <c r="J617" s="101" t="s">
        <v>1231</v>
      </c>
      <c r="K617" s="102">
        <v>-10374.82</v>
      </c>
      <c r="L617" s="99"/>
      <c r="M617" s="103">
        <f>LS[[#This Row],[Amount]]/LS[[#This Row],[Unit]]</f>
        <v>11.313871319520175</v>
      </c>
      <c r="N617" s="104">
        <f>LS[[#This Row],[Unit Capital]]/10</f>
        <v>-917</v>
      </c>
      <c r="O617" s="104">
        <f>SUMIFS(LS[[#Headers],[Unit]]:LS[[#This Row],[Unit]],LS[[#Headers],[Investor ID]]:LS[[#This Row],[Investor ID]],LS[[#This Row],[Investor ID]])</f>
        <v>44201</v>
      </c>
      <c r="P617" s="102">
        <v>-9170</v>
      </c>
      <c r="Q617" s="102">
        <f>LS[[#This Row],[Amount]]-LS[[#This Row],[Unit Capital]]</f>
        <v>-1204.8199999999997</v>
      </c>
      <c r="R6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617" s="103">
        <f t="shared" si="9"/>
        <v>14.224</v>
      </c>
      <c r="T617" s="102">
        <f>IF(LS[[#This Row],[B/S]]="B",0,ABS(LS[[#This Row],[Unit]])*(LS[[#This Row],[NAV (Strike Rate)]]-INDEX(LS[NAV at Cost (Average)],MATCH(CONCATENATE(LS[[#This Row],[Frequency]]-1,LS[[#This Row],[Investor ID]]),LS[Unique Code],0),)))</f>
        <v>212.57876590274324</v>
      </c>
      <c r="U617" s="102" cm="1">
        <f t="array" ref="U617">IF(LS[[#This Row],[B/S]]="S",ABS(LS[[#This Row],[Unit]])*(INDEX(LS[NAV at Cost (Average)],MATCH(CONCATENATE((LS[[#This Row],[Frequency]]-1),LS[[#This Row],[Investor ID]]),LS[Unique Code],0),0)),0)</f>
        <v>10162.241234097257</v>
      </c>
      <c r="V617" s="102">
        <f>IF(LS[[#This Row],[BO TRANSFER]]="YES",LS[[#This Row],[Unit]],)</f>
        <v>0</v>
      </c>
      <c r="W617" s="102">
        <f>SUMIFS(LS[[#Headers],[BO UNIT TRANSFER]]:LS[[#This Row],[BO UNIT TRANSFER]],LS[[#Headers],[Investor ID]]:LS[[#This Row],[Investor ID]],LS[[#This Row],[Investor ID]])</f>
        <v>0</v>
      </c>
    </row>
    <row r="618" spans="1:23">
      <c r="A618" s="75">
        <v>2024</v>
      </c>
      <c r="B618" s="75">
        <v>8</v>
      </c>
      <c r="C618" s="75">
        <v>14</v>
      </c>
      <c r="D618" s="98">
        <f>DATE(LS[[#This Row],[Year]],LS[[#This Row],[Month]],LS[[#This Row],[Day]])</f>
        <v>45518</v>
      </c>
      <c r="E618" s="99" t="str" cm="1">
        <f t="array" ref="E618">INDEX(INVESTORS_LIST[INVESTOR NAME],MATCH(LS[[#This Row],[Investor ID]],INVESTORS_LIST[INVESTOR CODE],0),)</f>
        <v>SYED FAZLE RABBY</v>
      </c>
      <c r="F618" s="100" t="s">
        <v>166</v>
      </c>
      <c r="G618" s="101">
        <f>COUNTIF(LS[[#Headers],[Investor ID]]:LS[[#This Row],[Investor ID]],LS[[#This Row],[Investor ID]])</f>
        <v>22</v>
      </c>
      <c r="H618" s="101" t="str">
        <f>CONCATENATE(LS[[#This Row],[Frequency]],LS[[#This Row],[Investor ID]])</f>
        <v>22A00059</v>
      </c>
      <c r="I618" s="75" t="str">
        <f>IF(LS[[#This Row],[B/S]]="B","BUY",(IF(LS[[#This Row],[B/S]]="S","SELL"," ")))</f>
        <v>BUY</v>
      </c>
      <c r="J618" s="101" t="s">
        <v>1229</v>
      </c>
      <c r="K618" s="102">
        <v>250000</v>
      </c>
      <c r="L618" s="99"/>
      <c r="M618" s="103">
        <f>LS[[#This Row],[Amount]]/LS[[#This Row],[Unit]]</f>
        <v>11.312217194570136</v>
      </c>
      <c r="N618" s="104">
        <f>LS[[#This Row],[Unit Capital]]/10</f>
        <v>22100</v>
      </c>
      <c r="O618" s="104">
        <f>SUMIFS(LS[[#Headers],[Unit]]:LS[[#This Row],[Unit]],LS[[#Headers],[Investor ID]]:LS[[#This Row],[Investor ID]],LS[[#This Row],[Investor ID]])</f>
        <v>481406</v>
      </c>
      <c r="P618" s="102">
        <v>221000</v>
      </c>
      <c r="Q618" s="102">
        <f>LS[[#This Row],[Amount]]-LS[[#This Row],[Unit Capital]]</f>
        <v>29000</v>
      </c>
      <c r="R6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10.809994026391141</v>
      </c>
      <c r="S618" s="103">
        <f t="shared" si="9"/>
        <v>14.224</v>
      </c>
      <c r="T6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18" s="102" cm="1">
        <f t="array" ref="U618">IF(LS[[#This Row],[B/S]]="S",ABS(LS[[#This Row],[Unit]])*(INDEX(LS[NAV at Cost (Average)],MATCH(CONCATENATE((LS[[#This Row],[Frequency]]-1),LS[[#This Row],[Investor ID]]),LS[Unique Code],0),0)),0)</f>
        <v>0</v>
      </c>
      <c r="V618" s="102">
        <f>IF(LS[[#This Row],[BO TRANSFER]]="YES",LS[[#This Row],[Unit]],)</f>
        <v>0</v>
      </c>
      <c r="W618" s="102">
        <f>SUMIFS(LS[[#Headers],[BO UNIT TRANSFER]]:LS[[#This Row],[BO UNIT TRANSFER]],LS[[#Headers],[Investor ID]]:LS[[#This Row],[Investor ID]],LS[[#This Row],[Investor ID]])</f>
        <v>0</v>
      </c>
    </row>
    <row r="619" spans="1:23">
      <c r="A619" s="75">
        <v>2024</v>
      </c>
      <c r="B619" s="75">
        <v>8</v>
      </c>
      <c r="C619" s="75">
        <v>14</v>
      </c>
      <c r="D619" s="98">
        <f>DATE(LS[[#This Row],[Year]],LS[[#This Row],[Month]],LS[[#This Row],[Day]])</f>
        <v>45518</v>
      </c>
      <c r="E619" s="99" t="str" cm="1">
        <f t="array" ref="E619">INDEX(INVESTORS_LIST[INVESTOR NAME],MATCH(LS[[#This Row],[Investor ID]],INVESTORS_LIST[INVESTOR CODE],0),)</f>
        <v>FARZANA JITU</v>
      </c>
      <c r="F619" s="100" t="s">
        <v>968</v>
      </c>
      <c r="G619" s="101">
        <f>COUNTIF(LS[[#Headers],[Investor ID]]:LS[[#This Row],[Investor ID]],LS[[#This Row],[Investor ID]])</f>
        <v>6</v>
      </c>
      <c r="H619" s="101" t="str">
        <f>CONCATENATE(LS[[#This Row],[Frequency]],LS[[#This Row],[Investor ID]])</f>
        <v>6A00461</v>
      </c>
      <c r="I619" s="75" t="str">
        <f>IF(LS[[#This Row],[B/S]]="B","BUY",(IF(LS[[#This Row],[B/S]]="S","SELL"," ")))</f>
        <v>BUY</v>
      </c>
      <c r="J619" s="101" t="s">
        <v>1229</v>
      </c>
      <c r="K619" s="102">
        <v>10000</v>
      </c>
      <c r="L619" s="88"/>
      <c r="M619" s="103">
        <f>LS[[#This Row],[Amount]]/LS[[#This Row],[Unit]]</f>
        <v>11.312217194570136</v>
      </c>
      <c r="N619" s="104">
        <f>LS[[#This Row],[Unit Capital]]/10</f>
        <v>884</v>
      </c>
      <c r="O619" s="104">
        <f>SUMIFS(LS[[#Headers],[Unit]]:LS[[#This Row],[Unit]],LS[[#Headers],[Investor ID]]:LS[[#This Row],[Investor ID]],LS[[#This Row],[Investor ID]])</f>
        <v>16890</v>
      </c>
      <c r="P619" s="102">
        <v>8840</v>
      </c>
      <c r="Q619" s="102">
        <f>LS[[#This Row],[Amount]]-LS[[#This Row],[Unit Capital]]</f>
        <v>1160</v>
      </c>
      <c r="R6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11.249259917110717</v>
      </c>
      <c r="S619" s="103">
        <f t="shared" si="9"/>
        <v>14.224</v>
      </c>
      <c r="T61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19" s="102" cm="1">
        <f t="array" ref="U619">IF(LS[[#This Row],[B/S]]="S",ABS(LS[[#This Row],[Unit]])*(INDEX(LS[NAV at Cost (Average)],MATCH(CONCATENATE((LS[[#This Row],[Frequency]]-1),LS[[#This Row],[Investor ID]]),LS[Unique Code],0),0)),0)</f>
        <v>0</v>
      </c>
      <c r="V619" s="102">
        <f>IF(LS[[#This Row],[BO TRANSFER]]="YES",LS[[#This Row],[Unit]],)</f>
        <v>0</v>
      </c>
      <c r="W619" s="102">
        <f>SUMIFS(LS[[#Headers],[BO UNIT TRANSFER]]:LS[[#This Row],[BO UNIT TRANSFER]],LS[[#Headers],[Investor ID]]:LS[[#This Row],[Investor ID]],LS[[#This Row],[Investor ID]])</f>
        <v>0</v>
      </c>
    </row>
    <row r="620" spans="1:23">
      <c r="A620" s="75">
        <v>2024</v>
      </c>
      <c r="B620" s="75">
        <v>8</v>
      </c>
      <c r="C620" s="75">
        <v>15</v>
      </c>
      <c r="D620" s="98">
        <f>DATE(LS[[#This Row],[Year]],LS[[#This Row],[Month]],LS[[#This Row],[Day]])</f>
        <v>45519</v>
      </c>
      <c r="E620" s="99" t="str" cm="1">
        <f t="array" ref="E620">INDEX(INVESTORS_LIST[INVESTOR NAME],MATCH(LS[[#This Row],[Investor ID]],INVESTORS_LIST[INVESTOR CODE],0),)</f>
        <v>SOURAV SAHA</v>
      </c>
      <c r="F620" s="100" t="s">
        <v>1272</v>
      </c>
      <c r="G620" s="101">
        <f>COUNTIF(LS[[#Headers],[Investor ID]]:LS[[#This Row],[Investor ID]],LS[[#This Row],[Investor ID]])</f>
        <v>2</v>
      </c>
      <c r="H620" s="101" t="str">
        <f>CONCATENATE(LS[[#This Row],[Frequency]],LS[[#This Row],[Investor ID]])</f>
        <v>2A00583</v>
      </c>
      <c r="I620" s="75" t="str">
        <f>IF(LS[[#This Row],[B/S]]="B","BUY",(IF(LS[[#This Row],[B/S]]="S","SELL"," ")))</f>
        <v>BUY</v>
      </c>
      <c r="J620" s="101" t="s">
        <v>1229</v>
      </c>
      <c r="K620" s="102">
        <v>303000</v>
      </c>
      <c r="L620" s="99"/>
      <c r="M620" s="103">
        <f>LS[[#This Row],[Amount]]/LS[[#This Row],[Unit]]</f>
        <v>11.311879339953707</v>
      </c>
      <c r="N620" s="104">
        <f>LS[[#This Row],[Unit Capital]]/10</f>
        <v>26786</v>
      </c>
      <c r="O620" s="104">
        <f>SUMIFS(LS[[#Headers],[Unit]]:LS[[#This Row],[Unit]],LS[[#Headers],[Investor ID]]:LS[[#This Row],[Investor ID]],LS[[#This Row],[Investor ID]])</f>
        <v>55324</v>
      </c>
      <c r="P620" s="102">
        <v>267860</v>
      </c>
      <c r="Q620" s="102">
        <f>LS[[#This Row],[Amount]]-LS[[#This Row],[Unit Capital]]</f>
        <v>35140</v>
      </c>
      <c r="R6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11.253705444291807</v>
      </c>
      <c r="S620" s="103">
        <f t="shared" si="9"/>
        <v>14.224</v>
      </c>
      <c r="T6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0" s="102" cm="1">
        <f t="array" ref="U620">IF(LS[[#This Row],[B/S]]="S",ABS(LS[[#This Row],[Unit]])*(INDEX(LS[NAV at Cost (Average)],MATCH(CONCATENATE((LS[[#This Row],[Frequency]]-1),LS[[#This Row],[Investor ID]]),LS[Unique Code],0),0)),0)</f>
        <v>0</v>
      </c>
      <c r="V620" s="102">
        <f>IF(LS[[#This Row],[BO TRANSFER]]="YES",LS[[#This Row],[Unit]],)</f>
        <v>0</v>
      </c>
      <c r="W620" s="102">
        <f>SUMIFS(LS[[#Headers],[BO UNIT TRANSFER]]:LS[[#This Row],[BO UNIT TRANSFER]],LS[[#Headers],[Investor ID]]:LS[[#This Row],[Investor ID]],LS[[#This Row],[Investor ID]])</f>
        <v>0</v>
      </c>
    </row>
    <row r="621" spans="1:23">
      <c r="A621" s="75">
        <v>2024</v>
      </c>
      <c r="B621" s="75">
        <v>8</v>
      </c>
      <c r="C621" s="75">
        <v>15</v>
      </c>
      <c r="D621" s="98">
        <f>DATE(LS[[#This Row],[Year]],LS[[#This Row],[Month]],LS[[#This Row],[Day]])</f>
        <v>45519</v>
      </c>
      <c r="E621" s="99" t="str" cm="1">
        <f t="array" ref="E621">INDEX(INVESTORS_LIST[INVESTOR NAME],MATCH(LS[[#This Row],[Investor ID]],INVESTORS_LIST[INVESTOR CODE],0),)</f>
        <v>LANKABANGLA INVESTMENTS LIMITED</v>
      </c>
      <c r="F621" s="100" t="s">
        <v>1275</v>
      </c>
      <c r="G621" s="101">
        <f>COUNTIF(LS[[#Headers],[Investor ID]]:LS[[#This Row],[Investor ID]],LS[[#This Row],[Investor ID]])</f>
        <v>1</v>
      </c>
      <c r="H621" s="101" t="str">
        <f>CONCATENATE(LS[[#This Row],[Frequency]],LS[[#This Row],[Investor ID]])</f>
        <v>1A00586</v>
      </c>
      <c r="I621" s="75" t="str">
        <f>IF(LS[[#This Row],[B/S]]="B","BUY",(IF(LS[[#This Row],[B/S]]="S","SELL"," ")))</f>
        <v>BUY</v>
      </c>
      <c r="J621" s="101" t="s">
        <v>1229</v>
      </c>
      <c r="K621" s="102">
        <v>5033840</v>
      </c>
      <c r="L621" s="99"/>
      <c r="M621" s="103">
        <f>LS[[#This Row],[Amount]]/LS[[#This Row],[Unit]]</f>
        <v>11.311999999999999</v>
      </c>
      <c r="N621" s="104">
        <f>LS[[#This Row],[Unit Capital]]/10</f>
        <v>445000</v>
      </c>
      <c r="O621" s="104">
        <f>SUMIFS(LS[[#Headers],[Unit]]:LS[[#This Row],[Unit]],LS[[#Headers],[Investor ID]]:LS[[#This Row],[Investor ID]],LS[[#This Row],[Investor ID]])</f>
        <v>445000</v>
      </c>
      <c r="P621" s="102">
        <v>4450000</v>
      </c>
      <c r="Q621" s="102">
        <f>LS[[#This Row],[Amount]]-LS[[#This Row],[Unit Capital]]</f>
        <v>583840</v>
      </c>
      <c r="R6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11.311999999999999</v>
      </c>
      <c r="S621" s="103">
        <f t="shared" si="9"/>
        <v>14.224</v>
      </c>
      <c r="T6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1" s="102" cm="1">
        <f t="array" ref="U621">IF(LS[[#This Row],[B/S]]="S",ABS(LS[[#This Row],[Unit]])*(INDEX(LS[NAV at Cost (Average)],MATCH(CONCATENATE((LS[[#This Row],[Frequency]]-1),LS[[#This Row],[Investor ID]]),LS[Unique Code],0),0)),0)</f>
        <v>0</v>
      </c>
      <c r="V621" s="102">
        <f>IF(LS[[#This Row],[BO TRANSFER]]="YES",LS[[#This Row],[Unit]],)</f>
        <v>0</v>
      </c>
      <c r="W621" s="102">
        <f>SUMIFS(LS[[#Headers],[BO UNIT TRANSFER]]:LS[[#This Row],[BO UNIT TRANSFER]],LS[[#Headers],[Investor ID]]:LS[[#This Row],[Investor ID]],LS[[#This Row],[Investor ID]])</f>
        <v>0</v>
      </c>
    </row>
    <row r="622" spans="1:23">
      <c r="A622" s="75">
        <v>2024</v>
      </c>
      <c r="B622" s="75">
        <v>8</v>
      </c>
      <c r="C622" s="75">
        <v>15</v>
      </c>
      <c r="D622" s="98">
        <f>DATE(LS[[#This Row],[Year]],LS[[#This Row],[Month]],LS[[#This Row],[Day]])</f>
        <v>45519</v>
      </c>
      <c r="E622" s="99" t="str" cm="1">
        <f t="array" ref="E622">INDEX(INVESTORS_LIST[INVESTOR NAME],MATCH(LS[[#This Row],[Investor ID]],INVESTORS_LIST[INVESTOR CODE],0),)</f>
        <v>SOURAV SAHA</v>
      </c>
      <c r="F622" s="100" t="s">
        <v>1272</v>
      </c>
      <c r="G622" s="101">
        <f>COUNTIF(LS[[#Headers],[Investor ID]]:LS[[#This Row],[Investor ID]],LS[[#This Row],[Investor ID]])</f>
        <v>3</v>
      </c>
      <c r="H622" s="101" t="str">
        <f>CONCATENATE(LS[[#This Row],[Frequency]],LS[[#This Row],[Investor ID]])</f>
        <v>3A00583</v>
      </c>
      <c r="I622" s="75" t="str">
        <f>IF(LS[[#This Row],[B/S]]="B","BUY",(IF(LS[[#This Row],[B/S]]="S","SELL"," ")))</f>
        <v>BUY</v>
      </c>
      <c r="J622" s="101" t="s">
        <v>1229</v>
      </c>
      <c r="K622" s="102">
        <v>100000</v>
      </c>
      <c r="L622" s="99"/>
      <c r="M622" s="103">
        <f>LS[[#This Row],[Amount]]/LS[[#This Row],[Unit]]</f>
        <v>11.312217194570136</v>
      </c>
      <c r="N622" s="104">
        <f>LS[[#This Row],[Unit Capital]]/10</f>
        <v>8840</v>
      </c>
      <c r="O622" s="104">
        <f>SUMIFS(LS[[#Headers],[Unit]]:LS[[#This Row],[Unit]],LS[[#Headers],[Investor ID]]:LS[[#This Row],[Investor ID]],LS[[#This Row],[Investor ID]])</f>
        <v>64164</v>
      </c>
      <c r="P622" s="102">
        <v>88400</v>
      </c>
      <c r="Q622" s="102">
        <f>LS[[#This Row],[Amount]]-LS[[#This Row],[Unit Capital]]</f>
        <v>11600</v>
      </c>
      <c r="R6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11.261766722772894</v>
      </c>
      <c r="S622" s="103">
        <f t="shared" si="9"/>
        <v>14.224</v>
      </c>
      <c r="T6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2" s="102" cm="1">
        <f t="array" ref="U622">IF(LS[[#This Row],[B/S]]="S",ABS(LS[[#This Row],[Unit]])*(INDEX(LS[NAV at Cost (Average)],MATCH(CONCATENATE((LS[[#This Row],[Frequency]]-1),LS[[#This Row],[Investor ID]]),LS[Unique Code],0),0)),0)</f>
        <v>0</v>
      </c>
      <c r="V622" s="102">
        <f>IF(LS[[#This Row],[BO TRANSFER]]="YES",LS[[#This Row],[Unit]],)</f>
        <v>0</v>
      </c>
      <c r="W622" s="102">
        <f>SUMIFS(LS[[#Headers],[BO UNIT TRANSFER]]:LS[[#This Row],[BO UNIT TRANSFER]],LS[[#Headers],[Investor ID]]:LS[[#This Row],[Investor ID]],LS[[#This Row],[Investor ID]])</f>
        <v>0</v>
      </c>
    </row>
    <row r="623" spans="1:23">
      <c r="A623" s="75">
        <v>2024</v>
      </c>
      <c r="B623" s="75">
        <v>8</v>
      </c>
      <c r="C623" s="75">
        <v>15</v>
      </c>
      <c r="D623" s="98">
        <f>DATE(LS[[#This Row],[Year]],LS[[#This Row],[Month]],LS[[#This Row],[Day]])</f>
        <v>45519</v>
      </c>
      <c r="E623" s="99" t="str" cm="1">
        <f t="array" ref="E623">INDEX(INVESTORS_LIST[INVESTOR NAME],MATCH(LS[[#This Row],[Investor ID]],INVESTORS_LIST[INVESTOR CODE],0),)</f>
        <v>SOURAV SAHA</v>
      </c>
      <c r="F623" s="100" t="s">
        <v>1272</v>
      </c>
      <c r="G623" s="101">
        <f>COUNTIF(LS[[#Headers],[Investor ID]]:LS[[#This Row],[Investor ID]],LS[[#This Row],[Investor ID]])</f>
        <v>4</v>
      </c>
      <c r="H623" s="101" t="str">
        <f>CONCATENATE(LS[[#This Row],[Frequency]],LS[[#This Row],[Investor ID]])</f>
        <v>4A00583</v>
      </c>
      <c r="I623" s="75" t="str">
        <f>IF(LS[[#This Row],[B/S]]="B","BUY",(IF(LS[[#This Row],[B/S]]="S","SELL"," ")))</f>
        <v>BUY</v>
      </c>
      <c r="J623" s="101" t="s">
        <v>1229</v>
      </c>
      <c r="K623" s="102">
        <v>100000</v>
      </c>
      <c r="L623" s="99"/>
      <c r="M623" s="103">
        <f>LS[[#This Row],[Amount]]/LS[[#This Row],[Unit]]</f>
        <v>11.312217194570136</v>
      </c>
      <c r="N623" s="104">
        <f>LS[[#This Row],[Unit Capital]]/10</f>
        <v>8840</v>
      </c>
      <c r="O623" s="104">
        <f>SUMIFS(LS[[#Headers],[Unit]]:LS[[#This Row],[Unit]],LS[[#Headers],[Investor ID]]:LS[[#This Row],[Investor ID]],LS[[#This Row],[Investor ID]])</f>
        <v>73004</v>
      </c>
      <c r="P623" s="102">
        <v>88400</v>
      </c>
      <c r="Q623" s="102">
        <f>LS[[#This Row],[Amount]]-LS[[#This Row],[Unit Capital]]</f>
        <v>11600</v>
      </c>
      <c r="R6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11.267875732836558</v>
      </c>
      <c r="S623" s="103">
        <f t="shared" si="9"/>
        <v>14.224</v>
      </c>
      <c r="T62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3" s="102" cm="1">
        <f t="array" ref="U623">IF(LS[[#This Row],[B/S]]="S",ABS(LS[[#This Row],[Unit]])*(INDEX(LS[NAV at Cost (Average)],MATCH(CONCATENATE((LS[[#This Row],[Frequency]]-1),LS[[#This Row],[Investor ID]]),LS[Unique Code],0),0)),0)</f>
        <v>0</v>
      </c>
      <c r="V623" s="102">
        <f>IF(LS[[#This Row],[BO TRANSFER]]="YES",LS[[#This Row],[Unit]],)</f>
        <v>0</v>
      </c>
      <c r="W623" s="102">
        <f>SUMIFS(LS[[#Headers],[BO UNIT TRANSFER]]:LS[[#This Row],[BO UNIT TRANSFER]],LS[[#Headers],[Investor ID]]:LS[[#This Row],[Investor ID]],LS[[#This Row],[Investor ID]])</f>
        <v>0</v>
      </c>
    </row>
    <row r="624" spans="1:23">
      <c r="A624" s="75">
        <v>2024</v>
      </c>
      <c r="B624" s="75">
        <v>8</v>
      </c>
      <c r="C624" s="75">
        <v>15</v>
      </c>
      <c r="D624" s="98">
        <f>DATE(LS[[#This Row],[Year]],LS[[#This Row],[Month]],LS[[#This Row],[Day]])</f>
        <v>45519</v>
      </c>
      <c r="E624" s="99" t="str" cm="1">
        <f t="array" ref="E624">INDEX(INVESTORS_LIST[INVESTOR NAME],MATCH(LS[[#This Row],[Investor ID]],INVESTORS_LIST[INVESTOR CODE],0),)</f>
        <v>SOURAV SAHA</v>
      </c>
      <c r="F624" s="100" t="s">
        <v>1272</v>
      </c>
      <c r="G624" s="101">
        <f>COUNTIF(LS[[#Headers],[Investor ID]]:LS[[#This Row],[Investor ID]],LS[[#This Row],[Investor ID]])</f>
        <v>5</v>
      </c>
      <c r="H624" s="101" t="str">
        <f>CONCATENATE(LS[[#This Row],[Frequency]],LS[[#This Row],[Investor ID]])</f>
        <v>5A00583</v>
      </c>
      <c r="I624" s="75" t="str">
        <f>IF(LS[[#This Row],[B/S]]="B","BUY",(IF(LS[[#This Row],[B/S]]="S","SELL"," ")))</f>
        <v>BUY</v>
      </c>
      <c r="J624" s="101" t="s">
        <v>1229</v>
      </c>
      <c r="K624" s="102">
        <v>33000</v>
      </c>
      <c r="L624" s="99"/>
      <c r="M624" s="103">
        <f>LS[[#This Row],[Amount]]/LS[[#This Row],[Unit]]</f>
        <v>11.312992800822762</v>
      </c>
      <c r="N624" s="104">
        <f>LS[[#This Row],[Unit Capital]]/10</f>
        <v>2917</v>
      </c>
      <c r="O624" s="104">
        <f>SUMIFS(LS[[#Headers],[Unit]]:LS[[#This Row],[Unit]],LS[[#Headers],[Investor ID]]:LS[[#This Row],[Investor ID]],LS[[#This Row],[Investor ID]])</f>
        <v>75921</v>
      </c>
      <c r="P624" s="102">
        <v>29170</v>
      </c>
      <c r="Q624" s="102">
        <f>LS[[#This Row],[Amount]]-LS[[#This Row],[Unit Capital]]</f>
        <v>3830</v>
      </c>
      <c r="R6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11.269609199035839</v>
      </c>
      <c r="S624" s="103">
        <f t="shared" si="9"/>
        <v>14.224</v>
      </c>
      <c r="T62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4" s="102" cm="1">
        <f t="array" ref="U624">IF(LS[[#This Row],[B/S]]="S",ABS(LS[[#This Row],[Unit]])*(INDEX(LS[NAV at Cost (Average)],MATCH(CONCATENATE((LS[[#This Row],[Frequency]]-1),LS[[#This Row],[Investor ID]]),LS[Unique Code],0),0)),0)</f>
        <v>0</v>
      </c>
      <c r="V624" s="102">
        <f>IF(LS[[#This Row],[BO TRANSFER]]="YES",LS[[#This Row],[Unit]],)</f>
        <v>0</v>
      </c>
      <c r="W624" s="102">
        <f>SUMIFS(LS[[#Headers],[BO UNIT TRANSFER]]:LS[[#This Row],[BO UNIT TRANSFER]],LS[[#Headers],[Investor ID]]:LS[[#This Row],[Investor ID]],LS[[#This Row],[Investor ID]])</f>
        <v>0</v>
      </c>
    </row>
    <row r="625" spans="1:23">
      <c r="A625" s="75">
        <v>2024</v>
      </c>
      <c r="B625" s="75">
        <v>8</v>
      </c>
      <c r="C625" s="75">
        <v>18</v>
      </c>
      <c r="D625" s="98">
        <f>DATE(LS[[#This Row],[Year]],LS[[#This Row],[Month]],LS[[#This Row],[Day]])</f>
        <v>45522</v>
      </c>
      <c r="E625" s="99" t="str" cm="1">
        <f t="array" ref="E625">INDEX(INVESTORS_LIST[INVESTOR NAME],MATCH(LS[[#This Row],[Investor ID]],INVESTORS_LIST[INVESTOR CODE],0),)</f>
        <v>RAISA ZAMAN</v>
      </c>
      <c r="F625" s="100" t="s">
        <v>1271</v>
      </c>
      <c r="G625" s="101">
        <f>COUNTIF(LS[[#Headers],[Investor ID]]:LS[[#This Row],[Investor ID]],LS[[#This Row],[Investor ID]])</f>
        <v>2</v>
      </c>
      <c r="H625" s="101" t="str">
        <f>CONCATENATE(LS[[#This Row],[Frequency]],LS[[#This Row],[Investor ID]])</f>
        <v>2A00582</v>
      </c>
      <c r="I625" s="75" t="str">
        <f>IF(LS[[#This Row],[B/S]]="B","BUY",(IF(LS[[#This Row],[B/S]]="S","SELL"," ")))</f>
        <v>SELL</v>
      </c>
      <c r="J625" s="101" t="s">
        <v>1231</v>
      </c>
      <c r="K625" s="102">
        <v>-152185.79999999999</v>
      </c>
      <c r="L625" s="99"/>
      <c r="M625" s="103">
        <f>LS[[#This Row],[Amount]]/LS[[#This Row],[Unit]]</f>
        <v>11.335999999999999</v>
      </c>
      <c r="N625" s="104">
        <f>LS[[#This Row],[Unit Capital]]/10</f>
        <v>-13425</v>
      </c>
      <c r="O625" s="104">
        <f>SUMIFS(LS[[#Headers],[Unit]]:LS[[#This Row],[Unit]],LS[[#Headers],[Investor ID]]:LS[[#This Row],[Investor ID]],LS[[#This Row],[Investor ID]])</f>
        <v>0</v>
      </c>
      <c r="P625" s="102">
        <v>-134250</v>
      </c>
      <c r="Q625" s="102">
        <f>LS[[#This Row],[Amount]]-LS[[#This Row],[Unit Capital]]</f>
        <v>-17935.799999999988</v>
      </c>
      <c r="R6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25" s="103">
        <f t="shared" si="9"/>
        <v>14.224</v>
      </c>
      <c r="T625" s="102">
        <f>IF(LS[[#This Row],[B/S]]="B",0,ABS(LS[[#This Row],[Unit]])*(LS[[#This Row],[NAV (Strike Rate)]]-INDEX(LS[NAV at Cost (Average)],MATCH(CONCATENATE(LS[[#This Row],[Frequency]]-1,LS[[#This Row],[Investor ID]]),LS[Unique Code],0),)))</f>
        <v>2185.7999999999834</v>
      </c>
      <c r="U625" s="102" cm="1">
        <f t="array" ref="U625">IF(LS[[#This Row],[B/S]]="S",ABS(LS[[#This Row],[Unit]])*(INDEX(LS[NAV at Cost (Average)],MATCH(CONCATENATE((LS[[#This Row],[Frequency]]-1),LS[[#This Row],[Investor ID]]),LS[Unique Code],0),0)),0)</f>
        <v>150000</v>
      </c>
      <c r="V625" s="102">
        <f>IF(LS[[#This Row],[BO TRANSFER]]="YES",LS[[#This Row],[Unit]],)</f>
        <v>0</v>
      </c>
      <c r="W625" s="102">
        <f>SUMIFS(LS[[#Headers],[BO UNIT TRANSFER]]:LS[[#This Row],[BO UNIT TRANSFER]],LS[[#Headers],[Investor ID]]:LS[[#This Row],[Investor ID]],LS[[#This Row],[Investor ID]])</f>
        <v>0</v>
      </c>
    </row>
    <row r="626" spans="1:23">
      <c r="A626" s="75">
        <v>2024</v>
      </c>
      <c r="B626" s="75">
        <v>8</v>
      </c>
      <c r="C626" s="75">
        <v>19</v>
      </c>
      <c r="D626" s="98">
        <f>DATE(LS[[#This Row],[Year]],LS[[#This Row],[Month]],LS[[#This Row],[Day]])</f>
        <v>45523</v>
      </c>
      <c r="E626" s="99" t="str" cm="1">
        <f t="array" ref="E626">INDEX(INVESTORS_LIST[INVESTOR NAME],MATCH(LS[[#This Row],[Investor ID]],INVESTORS_LIST[INVESTOR CODE],0),)</f>
        <v>FARZANA JITU</v>
      </c>
      <c r="F626" s="100" t="s">
        <v>968</v>
      </c>
      <c r="G626" s="101">
        <f>COUNTIF(LS[[#Headers],[Investor ID]]:LS[[#This Row],[Investor ID]],LS[[#This Row],[Investor ID]])</f>
        <v>7</v>
      </c>
      <c r="H626" s="101" t="str">
        <f>CONCATENATE(LS[[#This Row],[Frequency]],LS[[#This Row],[Investor ID]])</f>
        <v>7A00461</v>
      </c>
      <c r="I626" s="75" t="str">
        <f>IF(LS[[#This Row],[B/S]]="B","BUY",(IF(LS[[#This Row],[B/S]]="S","SELL"," ")))</f>
        <v>SELL</v>
      </c>
      <c r="J626" s="101" t="s">
        <v>1231</v>
      </c>
      <c r="K626" s="102">
        <v>-90000</v>
      </c>
      <c r="L626" s="88"/>
      <c r="M626" s="103">
        <f>LS[[#This Row],[Amount]]/LS[[#This Row],[Unit]]</f>
        <v>11.336440357727673</v>
      </c>
      <c r="N626" s="104">
        <f>LS[[#This Row],[Unit Capital]]/10</f>
        <v>-7939</v>
      </c>
      <c r="O626" s="104">
        <f>SUMIFS(LS[[#Headers],[Unit]]:LS[[#This Row],[Unit]],LS[[#Headers],[Investor ID]]:LS[[#This Row],[Investor ID]],LS[[#This Row],[Investor ID]])</f>
        <v>8951</v>
      </c>
      <c r="P626" s="102">
        <v>-79390</v>
      </c>
      <c r="Q626" s="102">
        <f>LS[[#This Row],[Amount]]-LS[[#This Row],[Unit Capital]]</f>
        <v>-10610</v>
      </c>
      <c r="R6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11.249259917110717</v>
      </c>
      <c r="S626" s="103">
        <f t="shared" si="9"/>
        <v>14.224</v>
      </c>
      <c r="T626" s="102">
        <f>IF(LS[[#This Row],[B/S]]="B",0,ABS(LS[[#This Row],[Unit]])*(LS[[#This Row],[NAV (Strike Rate)]]-INDEX(LS[NAV at Cost (Average)],MATCH(CONCATENATE(LS[[#This Row],[Frequency]]-1,LS[[#This Row],[Investor ID]]),LS[Unique Code],0),)))</f>
        <v>692.12551805801593</v>
      </c>
      <c r="U626" s="102" cm="1">
        <f t="array" ref="U626">IF(LS[[#This Row],[B/S]]="S",ABS(LS[[#This Row],[Unit]])*(INDEX(LS[NAV at Cost (Average)],MATCH(CONCATENATE((LS[[#This Row],[Frequency]]-1),LS[[#This Row],[Investor ID]]),LS[Unique Code],0),0)),0)</f>
        <v>89307.874481941981</v>
      </c>
      <c r="V626" s="102">
        <f>IF(LS[[#This Row],[BO TRANSFER]]="YES",LS[[#This Row],[Unit]],)</f>
        <v>0</v>
      </c>
      <c r="W626" s="102">
        <f>SUMIFS(LS[[#Headers],[BO UNIT TRANSFER]]:LS[[#This Row],[BO UNIT TRANSFER]],LS[[#Headers],[Investor ID]]:LS[[#This Row],[Investor ID]],LS[[#This Row],[Investor ID]])</f>
        <v>0</v>
      </c>
    </row>
    <row r="627" spans="1:23">
      <c r="A627" s="75">
        <v>2024</v>
      </c>
      <c r="B627" s="75">
        <v>8</v>
      </c>
      <c r="C627" s="75">
        <v>19</v>
      </c>
      <c r="D627" s="98">
        <f>DATE(LS[[#This Row],[Year]],LS[[#This Row],[Month]],LS[[#This Row],[Day]])</f>
        <v>45523</v>
      </c>
      <c r="E627" s="99" t="str" cm="1">
        <f t="array" ref="E627">INDEX(INVESTORS_LIST[INVESTOR NAME],MATCH(LS[[#This Row],[Investor ID]],INVESTORS_LIST[INVESTOR CODE],0),)</f>
        <v>BETAONE INVESTMENTS LIMITED</v>
      </c>
      <c r="F627" s="100" t="s">
        <v>1124</v>
      </c>
      <c r="G627" s="101">
        <f>COUNTIF(LS[[#Headers],[Investor ID]]:LS[[#This Row],[Investor ID]],LS[[#This Row],[Investor ID]])</f>
        <v>2</v>
      </c>
      <c r="H627" s="101" t="str">
        <f>CONCATENATE(LS[[#This Row],[Frequency]],LS[[#This Row],[Investor ID]])</f>
        <v>2A00537</v>
      </c>
      <c r="I627" s="75" t="str">
        <f>IF(LS[[#This Row],[B/S]]="B","BUY",(IF(LS[[#This Row],[B/S]]="S","SELL"," ")))</f>
        <v>SELL</v>
      </c>
      <c r="J627" s="101" t="s">
        <v>1231</v>
      </c>
      <c r="K627" s="102">
        <v>-11653.41</v>
      </c>
      <c r="L627" s="99"/>
      <c r="M627" s="103">
        <f>LS[[#This Row],[Amount]]/LS[[#This Row],[Unit]]</f>
        <v>11.336001945525291</v>
      </c>
      <c r="N627" s="104">
        <f>LS[[#This Row],[Unit Capital]]/10</f>
        <v>-1028</v>
      </c>
      <c r="O627" s="104">
        <f>SUMIFS(LS[[#Headers],[Unit]]:LS[[#This Row],[Unit]],LS[[#Headers],[Investor ID]]:LS[[#This Row],[Investor ID]],LS[[#This Row],[Investor ID]])</f>
        <v>270859</v>
      </c>
      <c r="P627" s="102">
        <v>-10280</v>
      </c>
      <c r="Q627" s="102">
        <f>LS[[#This Row],[Amount]]-LS[[#This Row],[Unit Capital]]</f>
        <v>-1373.4099999999999</v>
      </c>
      <c r="R6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11.033995740877645</v>
      </c>
      <c r="S627" s="103">
        <f t="shared" si="9"/>
        <v>14.224</v>
      </c>
      <c r="T627" s="102">
        <f>IF(LS[[#This Row],[B/S]]="B",0,ABS(LS[[#This Row],[Unit]])*(LS[[#This Row],[NAV (Strike Rate)]]-INDEX(LS[NAV at Cost (Average)],MATCH(CONCATENATE(LS[[#This Row],[Frequency]]-1,LS[[#This Row],[Investor ID]]),LS[Unique Code],0),)))</f>
        <v>310.46237837778096</v>
      </c>
      <c r="U627" s="102" cm="1">
        <f t="array" ref="U627">IF(LS[[#This Row],[B/S]]="S",ABS(LS[[#This Row],[Unit]])*(INDEX(LS[NAV at Cost (Average)],MATCH(CONCATENATE((LS[[#This Row],[Frequency]]-1),LS[[#This Row],[Investor ID]]),LS[Unique Code],0),0)),0)</f>
        <v>11342.947621622219</v>
      </c>
      <c r="V627" s="102">
        <f>IF(LS[[#This Row],[BO TRANSFER]]="YES",LS[[#This Row],[Unit]],)</f>
        <v>0</v>
      </c>
      <c r="W627" s="102">
        <f>SUMIFS(LS[[#Headers],[BO UNIT TRANSFER]]:LS[[#This Row],[BO UNIT TRANSFER]],LS[[#Headers],[Investor ID]]:LS[[#This Row],[Investor ID]],LS[[#This Row],[Investor ID]])</f>
        <v>0</v>
      </c>
    </row>
    <row r="628" spans="1:23">
      <c r="A628" s="75">
        <v>2024</v>
      </c>
      <c r="B628" s="75">
        <v>8</v>
      </c>
      <c r="C628" s="75">
        <v>19</v>
      </c>
      <c r="D628" s="98">
        <f>DATE(LS[[#This Row],[Year]],LS[[#This Row],[Month]],LS[[#This Row],[Day]])</f>
        <v>45523</v>
      </c>
      <c r="E628" s="99" t="str" cm="1">
        <f t="array" ref="E628">INDEX(INVESTORS_LIST[INVESTOR NAME],MATCH(LS[[#This Row],[Investor ID]],INVESTORS_LIST[INVESTOR CODE],0),)</f>
        <v>BETAONE INVESTMENTS LIMITED</v>
      </c>
      <c r="F628" s="100" t="s">
        <v>1124</v>
      </c>
      <c r="G628" s="101">
        <f>COUNTIF(LS[[#Headers],[Investor ID]]:LS[[#This Row],[Investor ID]],LS[[#This Row],[Investor ID]])</f>
        <v>3</v>
      </c>
      <c r="H628" s="101" t="str">
        <f>CONCATENATE(LS[[#This Row],[Frequency]],LS[[#This Row],[Investor ID]])</f>
        <v>3A00537</v>
      </c>
      <c r="I628" s="75" t="str">
        <f>IF(LS[[#This Row],[B/S]]="B","BUY",(IF(LS[[#This Row],[B/S]]="S","SELL"," ")))</f>
        <v>BUY</v>
      </c>
      <c r="J628" s="101" t="s">
        <v>1229</v>
      </c>
      <c r="K628" s="102">
        <v>3500000</v>
      </c>
      <c r="L628" s="99"/>
      <c r="M628" s="103">
        <f>LS[[#This Row],[Amount]]/LS[[#This Row],[Unit]]</f>
        <v>11.335995672888508</v>
      </c>
      <c r="N628" s="104">
        <f>LS[[#This Row],[Unit Capital]]/10</f>
        <v>308751</v>
      </c>
      <c r="O628" s="104">
        <f>SUMIFS(LS[[#Headers],[Unit]]:LS[[#This Row],[Unit]],LS[[#Headers],[Investor ID]]:LS[[#This Row],[Investor ID]],LS[[#This Row],[Investor ID]])</f>
        <v>579610</v>
      </c>
      <c r="P628" s="102">
        <v>3087510</v>
      </c>
      <c r="Q628" s="102">
        <f>LS[[#This Row],[Amount]]-LS[[#This Row],[Unit Capital]]</f>
        <v>412490</v>
      </c>
      <c r="R6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11.194867328683731</v>
      </c>
      <c r="S628" s="103">
        <f t="shared" si="9"/>
        <v>14.224</v>
      </c>
      <c r="T6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8" s="102" cm="1">
        <f t="array" ref="U628">IF(LS[[#This Row],[B/S]]="S",ABS(LS[[#This Row],[Unit]])*(INDEX(LS[NAV at Cost (Average)],MATCH(CONCATENATE((LS[[#This Row],[Frequency]]-1),LS[[#This Row],[Investor ID]]),LS[Unique Code],0),0)),0)</f>
        <v>0</v>
      </c>
      <c r="V628" s="102">
        <f>IF(LS[[#This Row],[BO TRANSFER]]="YES",LS[[#This Row],[Unit]],)</f>
        <v>0</v>
      </c>
      <c r="W628" s="102">
        <f>SUMIFS(LS[[#Headers],[BO UNIT TRANSFER]]:LS[[#This Row],[BO UNIT TRANSFER]],LS[[#Headers],[Investor ID]]:LS[[#This Row],[Investor ID]],LS[[#This Row],[Investor ID]])</f>
        <v>0</v>
      </c>
    </row>
    <row r="629" spans="1:23">
      <c r="A629" s="75">
        <v>2024</v>
      </c>
      <c r="B629" s="75">
        <v>8</v>
      </c>
      <c r="C629" s="75">
        <v>19</v>
      </c>
      <c r="D629" s="98">
        <f>DATE(LS[[#This Row],[Year]],LS[[#This Row],[Month]],LS[[#This Row],[Day]])</f>
        <v>45523</v>
      </c>
      <c r="E629" s="99" t="str" cm="1">
        <f t="array" ref="E629">INDEX(INVESTORS_LIST[INVESTOR NAME],MATCH(LS[[#This Row],[Investor ID]],INVESTORS_LIST[INVESTOR CODE],0),)</f>
        <v>CHAONIKA SAHA</v>
      </c>
      <c r="F629" s="100" t="s">
        <v>238</v>
      </c>
      <c r="G629" s="101">
        <f>COUNTIF(LS[[#Headers],[Investor ID]]:LS[[#This Row],[Investor ID]],LS[[#This Row],[Investor ID]])</f>
        <v>5</v>
      </c>
      <c r="H629" s="101" t="str">
        <f>CONCATENATE(LS[[#This Row],[Frequency]],LS[[#This Row],[Investor ID]])</f>
        <v>5A00095</v>
      </c>
      <c r="I629" s="75" t="str">
        <f>IF(LS[[#This Row],[B/S]]="B","BUY",(IF(LS[[#This Row],[B/S]]="S","SELL"," ")))</f>
        <v>BUY</v>
      </c>
      <c r="J629" s="101" t="s">
        <v>1229</v>
      </c>
      <c r="K629" s="102">
        <v>15000</v>
      </c>
      <c r="L629" s="99"/>
      <c r="M629" s="103">
        <f>LS[[#This Row],[Amount]]/LS[[#This Row],[Unit]]</f>
        <v>11.337868480725623</v>
      </c>
      <c r="N629" s="104">
        <f>LS[[#This Row],[Unit Capital]]/10</f>
        <v>1323</v>
      </c>
      <c r="O629" s="104">
        <f>SUMIFS(LS[[#Headers],[Unit]]:LS[[#This Row],[Unit]],LS[[#Headers],[Investor ID]]:LS[[#This Row],[Investor ID]],LS[[#This Row],[Investor ID]])</f>
        <v>17247</v>
      </c>
      <c r="P629" s="102">
        <v>13230</v>
      </c>
      <c r="Q629" s="102">
        <f>LS[[#This Row],[Amount]]-LS[[#This Row],[Unit Capital]]</f>
        <v>1770</v>
      </c>
      <c r="R6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10.378616570997856</v>
      </c>
      <c r="S629" s="103">
        <f t="shared" si="9"/>
        <v>14.224</v>
      </c>
      <c r="T6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29" s="102" cm="1">
        <f t="array" ref="U629">IF(LS[[#This Row],[B/S]]="S",ABS(LS[[#This Row],[Unit]])*(INDEX(LS[NAV at Cost (Average)],MATCH(CONCATENATE((LS[[#This Row],[Frequency]]-1),LS[[#This Row],[Investor ID]]),LS[Unique Code],0),0)),0)</f>
        <v>0</v>
      </c>
      <c r="V629" s="102">
        <f>IF(LS[[#This Row],[BO TRANSFER]]="YES",LS[[#This Row],[Unit]],)</f>
        <v>0</v>
      </c>
      <c r="W629" s="102">
        <f>SUMIFS(LS[[#Headers],[BO UNIT TRANSFER]]:LS[[#This Row],[BO UNIT TRANSFER]],LS[[#Headers],[Investor ID]]:LS[[#This Row],[Investor ID]],LS[[#This Row],[Investor ID]])</f>
        <v>0</v>
      </c>
    </row>
    <row r="630" spans="1:23">
      <c r="A630" s="75">
        <v>2024</v>
      </c>
      <c r="B630" s="75">
        <v>8</v>
      </c>
      <c r="C630" s="75">
        <v>20</v>
      </c>
      <c r="D630" s="98">
        <f>DATE(LS[[#This Row],[Year]],LS[[#This Row],[Month]],LS[[#This Row],[Day]])</f>
        <v>45524</v>
      </c>
      <c r="E630" s="99" t="str" cm="1">
        <f t="array" ref="E630">INDEX(INVESTORS_LIST[INVESTOR NAME],MATCH(LS[[#This Row],[Investor ID]],INVESTORS_LIST[INVESTOR CODE],0),)</f>
        <v>MD. MOMINUL HOQUE</v>
      </c>
      <c r="F630" s="100" t="s">
        <v>115</v>
      </c>
      <c r="G630" s="101">
        <f>COUNTIF(LS[[#Headers],[Investor ID]]:LS[[#This Row],[Investor ID]],LS[[#This Row],[Investor ID]])</f>
        <v>2</v>
      </c>
      <c r="H630" s="101" t="str">
        <f>CONCATENATE(LS[[#This Row],[Frequency]],LS[[#This Row],[Investor ID]])</f>
        <v>2A00034</v>
      </c>
      <c r="I630" s="75" t="str">
        <f>IF(LS[[#This Row],[B/S]]="B","BUY",(IF(LS[[#This Row],[B/S]]="S","SELL"," ")))</f>
        <v>SELL</v>
      </c>
      <c r="J630" s="101" t="s">
        <v>1231</v>
      </c>
      <c r="K630" s="102">
        <v>-371560.07</v>
      </c>
      <c r="L630" s="99"/>
      <c r="M630" s="103">
        <f>LS[[#This Row],[Amount]]/LS[[#This Row],[Unit]]</f>
        <v>11.335999938981603</v>
      </c>
      <c r="N630" s="104">
        <f>LS[[#This Row],[Unit Capital]]/10</f>
        <v>-32777</v>
      </c>
      <c r="O630" s="104">
        <f>SUMIFS(LS[[#Headers],[Unit]]:LS[[#This Row],[Unit]],LS[[#Headers],[Investor ID]]:LS[[#This Row],[Investor ID]],LS[[#This Row],[Investor ID]])</f>
        <v>0</v>
      </c>
      <c r="P630" s="102">
        <v>-327770</v>
      </c>
      <c r="Q630" s="102">
        <f>LS[[#This Row],[Amount]]-LS[[#This Row],[Unit Capital]]</f>
        <v>-43790.070000000007</v>
      </c>
      <c r="R6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30" s="103">
        <f t="shared" si="9"/>
        <v>14.224</v>
      </c>
      <c r="T630" s="102">
        <f>IF(LS[[#This Row],[B/S]]="B",0,ABS(LS[[#This Row],[Unit]])*(LS[[#This Row],[NAV (Strike Rate)]]-INDEX(LS[NAV at Cost (Average)],MATCH(CONCATENATE(LS[[#This Row],[Frequency]]-1,LS[[#This Row],[Investor ID]]),LS[Unique Code],0),)))</f>
        <v>6560.0700000000179</v>
      </c>
      <c r="U630" s="102" cm="1">
        <f t="array" ref="U630">IF(LS[[#This Row],[B/S]]="S",ABS(LS[[#This Row],[Unit]])*(INDEX(LS[NAV at Cost (Average)],MATCH(CONCATENATE((LS[[#This Row],[Frequency]]-1),LS[[#This Row],[Investor ID]]),LS[Unique Code],0),0)),0)</f>
        <v>365000</v>
      </c>
      <c r="V630" s="102">
        <f>IF(LS[[#This Row],[BO TRANSFER]]="YES",LS[[#This Row],[Unit]],)</f>
        <v>0</v>
      </c>
      <c r="W630" s="102">
        <f>SUMIFS(LS[[#Headers],[BO UNIT TRANSFER]]:LS[[#This Row],[BO UNIT TRANSFER]],LS[[#Headers],[Investor ID]]:LS[[#This Row],[Investor ID]],LS[[#This Row],[Investor ID]])</f>
        <v>0</v>
      </c>
    </row>
    <row r="631" spans="1:23">
      <c r="A631" s="75">
        <v>2024</v>
      </c>
      <c r="B631" s="75">
        <v>8</v>
      </c>
      <c r="C631" s="75">
        <v>31</v>
      </c>
      <c r="D631" s="98">
        <f>DATE(LS[[#This Row],[Year]],LS[[#This Row],[Month]],LS[[#This Row],[Day]])</f>
        <v>45535</v>
      </c>
      <c r="E631" s="99" t="str" cm="1">
        <f t="array" ref="E631">INDEX(INVESTORS_LIST[INVESTOR NAME],MATCH(LS[[#This Row],[Investor ID]],INVESTORS_LIST[INVESTOR CODE],0),)</f>
        <v>MAHBUB-UL-ANAM KHAN</v>
      </c>
      <c r="F631" s="100" t="s">
        <v>626</v>
      </c>
      <c r="G631" s="101">
        <f>COUNTIF(LS[[#Headers],[Investor ID]]:LS[[#This Row],[Investor ID]],LS[[#This Row],[Investor ID]])</f>
        <v>1</v>
      </c>
      <c r="H631" s="101" t="str">
        <f>CONCATENATE(LS[[#This Row],[Frequency]],LS[[#This Row],[Investor ID]])</f>
        <v>1A00289</v>
      </c>
      <c r="I631" s="75" t="str">
        <f>IF(LS[[#This Row],[B/S]]="B","BUY",(IF(LS[[#This Row],[B/S]]="S","SELL"," ")))</f>
        <v>BUY</v>
      </c>
      <c r="J631" s="101" t="s">
        <v>1229</v>
      </c>
      <c r="K631" s="102">
        <v>75000</v>
      </c>
      <c r="L631" s="99"/>
      <c r="M631" s="103">
        <f>LS[[#This Row],[Amount]]/LS[[#This Row],[Unit]]</f>
        <v>11.384335154826958</v>
      </c>
      <c r="N631" s="104">
        <f>LS[[#This Row],[Unit Capital]]/10</f>
        <v>6588</v>
      </c>
      <c r="O631" s="104">
        <f>SUMIFS(LS[[#Headers],[Unit]]:LS[[#This Row],[Unit]],LS[[#Headers],[Investor ID]]:LS[[#This Row],[Investor ID]],LS[[#This Row],[Investor ID]])</f>
        <v>6588</v>
      </c>
      <c r="P631" s="102">
        <v>65880</v>
      </c>
      <c r="Q631" s="102">
        <f>LS[[#This Row],[Amount]]-LS[[#This Row],[Unit Capital]]</f>
        <v>9120</v>
      </c>
      <c r="R6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11.384335154826958</v>
      </c>
      <c r="S631" s="103">
        <f t="shared" si="9"/>
        <v>14.224</v>
      </c>
      <c r="T6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1" s="102" cm="1">
        <f t="array" ref="U631">IF(LS[[#This Row],[B/S]]="S",ABS(LS[[#This Row],[Unit]])*(INDEX(LS[NAV at Cost (Average)],MATCH(CONCATENATE((LS[[#This Row],[Frequency]]-1),LS[[#This Row],[Investor ID]]),LS[Unique Code],0),0)),0)</f>
        <v>0</v>
      </c>
      <c r="V631" s="102">
        <f>IF(LS[[#This Row],[BO TRANSFER]]="YES",LS[[#This Row],[Unit]],)</f>
        <v>0</v>
      </c>
      <c r="W631" s="102">
        <f>SUMIFS(LS[[#Headers],[BO UNIT TRANSFER]]:LS[[#This Row],[BO UNIT TRANSFER]],LS[[#Headers],[Investor ID]]:LS[[#This Row],[Investor ID]],LS[[#This Row],[Investor ID]])</f>
        <v>0</v>
      </c>
    </row>
    <row r="632" spans="1:23">
      <c r="A632" s="75">
        <v>2024</v>
      </c>
      <c r="B632" s="75">
        <v>9</v>
      </c>
      <c r="C632" s="75">
        <v>1</v>
      </c>
      <c r="D632" s="98">
        <f>DATE(LS[[#This Row],[Year]],LS[[#This Row],[Month]],LS[[#This Row],[Day]])</f>
        <v>45536</v>
      </c>
      <c r="E632" s="99" t="str" cm="1">
        <f t="array" ref="E632">INDEX(INVESTORS_LIST[INVESTOR NAME],MATCH(LS[[#This Row],[Investor ID]],INVESTORS_LIST[INVESTOR CODE],0),)</f>
        <v>KAZI HABIBUR RAHMAN</v>
      </c>
      <c r="F632" s="100" t="s">
        <v>1114</v>
      </c>
      <c r="G632" s="101">
        <f>COUNTIF(LS[[#Headers],[Investor ID]]:LS[[#This Row],[Investor ID]],LS[[#This Row],[Investor ID]])</f>
        <v>17</v>
      </c>
      <c r="H632" s="101" t="str">
        <f>CONCATENATE(LS[[#This Row],[Frequency]],LS[[#This Row],[Investor ID]])</f>
        <v>17A00532</v>
      </c>
      <c r="I632" s="75" t="str">
        <f>IF(LS[[#This Row],[B/S]]="B","BUY",(IF(LS[[#This Row],[B/S]]="S","SELL"," ")))</f>
        <v>SELL</v>
      </c>
      <c r="J632" s="101" t="s">
        <v>1231</v>
      </c>
      <c r="K632" s="102">
        <v>-1000000</v>
      </c>
      <c r="L632" s="99"/>
      <c r="M632" s="103">
        <f>LS[[#This Row],[Amount]]/LS[[#This Row],[Unit]]</f>
        <v>11.383946358844756</v>
      </c>
      <c r="N632" s="104">
        <f>LS[[#This Row],[Unit Capital]]/10</f>
        <v>-87843</v>
      </c>
      <c r="O632" s="104">
        <f>SUMIFS(LS[[#Headers],[Unit]]:LS[[#This Row],[Unit]],LS[[#Headers],[Investor ID]]:LS[[#This Row],[Investor ID]],LS[[#This Row],[Investor ID]])</f>
        <v>549760</v>
      </c>
      <c r="P632" s="102">
        <v>-878430</v>
      </c>
      <c r="Q632" s="102">
        <f>LS[[#This Row],[Amount]]-LS[[#This Row],[Unit Capital]]</f>
        <v>-121570</v>
      </c>
      <c r="R6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11.080505037740755</v>
      </c>
      <c r="S632" s="103">
        <f t="shared" si="9"/>
        <v>14.224</v>
      </c>
      <c r="T632" s="102">
        <f>IF(LS[[#This Row],[B/S]]="B",0,ABS(LS[[#This Row],[Unit]])*(LS[[#This Row],[NAV (Strike Rate)]]-INDEX(LS[NAV at Cost (Average)],MATCH(CONCATENATE(LS[[#This Row],[Frequency]]-1,LS[[#This Row],[Investor ID]]),LS[Unique Code],0),)))</f>
        <v>26655.195969738801</v>
      </c>
      <c r="U632" s="102" cm="1">
        <f t="array" ref="U632">IF(LS[[#This Row],[B/S]]="S",ABS(LS[[#This Row],[Unit]])*(INDEX(LS[NAV at Cost (Average)],MATCH(CONCATENATE((LS[[#This Row],[Frequency]]-1),LS[[#This Row],[Investor ID]]),LS[Unique Code],0),0)),0)</f>
        <v>973344.80403026112</v>
      </c>
      <c r="V632" s="102">
        <f>IF(LS[[#This Row],[BO TRANSFER]]="YES",LS[[#This Row],[Unit]],)</f>
        <v>0</v>
      </c>
      <c r="W632" s="102">
        <f>SUMIFS(LS[[#Headers],[BO UNIT TRANSFER]]:LS[[#This Row],[BO UNIT TRANSFER]],LS[[#Headers],[Investor ID]]:LS[[#This Row],[Investor ID]],LS[[#This Row],[Investor ID]])</f>
        <v>0</v>
      </c>
    </row>
    <row r="633" spans="1:23">
      <c r="A633" s="75">
        <v>2024</v>
      </c>
      <c r="B633" s="75">
        <v>9</v>
      </c>
      <c r="C633" s="75">
        <v>1</v>
      </c>
      <c r="D633" s="98">
        <f>DATE(LS[[#This Row],[Year]],LS[[#This Row],[Month]],LS[[#This Row],[Day]])</f>
        <v>45536</v>
      </c>
      <c r="E633" s="99" t="str" cm="1">
        <f t="array" ref="E633">INDEX(INVESTORS_LIST[INVESTOR NAME],MATCH(LS[[#This Row],[Investor ID]],INVESTORS_LIST[INVESTOR CODE],0),)</f>
        <v>MST. GOLENUR</v>
      </c>
      <c r="F633" s="100" t="s">
        <v>1075</v>
      </c>
      <c r="G633" s="101">
        <f>COUNTIF(LS[[#Headers],[Investor ID]]:LS[[#This Row],[Investor ID]],LS[[#This Row],[Investor ID]])</f>
        <v>10</v>
      </c>
      <c r="H633" s="101" t="str">
        <f>CONCATENATE(LS[[#This Row],[Frequency]],LS[[#This Row],[Investor ID]])</f>
        <v>10A00515</v>
      </c>
      <c r="I633" s="75" t="str">
        <f>IF(LS[[#This Row],[B/S]]="B","BUY",(IF(LS[[#This Row],[B/S]]="S","SELL"," ")))</f>
        <v>BUY</v>
      </c>
      <c r="J633" s="101" t="s">
        <v>1229</v>
      </c>
      <c r="K633" s="102">
        <v>2000</v>
      </c>
      <c r="L633" s="99"/>
      <c r="M633" s="103">
        <f>LS[[#This Row],[Amount]]/LS[[#This Row],[Unit]]</f>
        <v>11.363636363636363</v>
      </c>
      <c r="N633" s="104">
        <f>LS[[#This Row],[Unit Capital]]/10</f>
        <v>176</v>
      </c>
      <c r="O633" s="104">
        <f>SUMIFS(LS[[#Headers],[Unit]]:LS[[#This Row],[Unit]],LS[[#Headers],[Investor ID]]:LS[[#This Row],[Investor ID]],LS[[#This Row],[Investor ID]])</f>
        <v>1826</v>
      </c>
      <c r="P633" s="102">
        <v>1760</v>
      </c>
      <c r="Q633" s="102">
        <f>LS[[#This Row],[Amount]]-LS[[#This Row],[Unit Capital]]</f>
        <v>240</v>
      </c>
      <c r="R6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10.952902519167578</v>
      </c>
      <c r="S633" s="103">
        <f t="shared" si="9"/>
        <v>14.224</v>
      </c>
      <c r="T6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3" s="102" cm="1">
        <f t="array" ref="U633">IF(LS[[#This Row],[B/S]]="S",ABS(LS[[#This Row],[Unit]])*(INDEX(LS[NAV at Cost (Average)],MATCH(CONCATENATE((LS[[#This Row],[Frequency]]-1),LS[[#This Row],[Investor ID]]),LS[Unique Code],0),0)),0)</f>
        <v>0</v>
      </c>
      <c r="V633" s="102">
        <f>IF(LS[[#This Row],[BO TRANSFER]]="YES",LS[[#This Row],[Unit]],)</f>
        <v>0</v>
      </c>
      <c r="W633" s="102">
        <f>SUMIFS(LS[[#Headers],[BO UNIT TRANSFER]]:LS[[#This Row],[BO UNIT TRANSFER]],LS[[#Headers],[Investor ID]]:LS[[#This Row],[Investor ID]],LS[[#This Row],[Investor ID]])</f>
        <v>0</v>
      </c>
    </row>
    <row r="634" spans="1:23">
      <c r="A634" s="75">
        <v>2024</v>
      </c>
      <c r="B634" s="75">
        <v>9</v>
      </c>
      <c r="C634" s="75">
        <v>3</v>
      </c>
      <c r="D634" s="98">
        <f>DATE(LS[[#This Row],[Year]],LS[[#This Row],[Month]],LS[[#This Row],[Day]])</f>
        <v>45538</v>
      </c>
      <c r="E634" s="99" t="str" cm="1">
        <f t="array" ref="E634">INDEX(INVESTORS_LIST[INVESTOR NAME],MATCH(LS[[#This Row],[Investor ID]],INVESTORS_LIST[INVESTOR CODE],0),)</f>
        <v>KHAN MUHAMMAD KAWSER AHMED</v>
      </c>
      <c r="F634" s="100" t="s">
        <v>944</v>
      </c>
      <c r="G634" s="101">
        <f>COUNTIF(LS[[#Headers],[Investor ID]]:LS[[#This Row],[Investor ID]],LS[[#This Row],[Investor ID]])</f>
        <v>9</v>
      </c>
      <c r="H634" s="101" t="str">
        <f>CONCATENATE(LS[[#This Row],[Frequency]],LS[[#This Row],[Investor ID]])</f>
        <v>9A00449</v>
      </c>
      <c r="I634" s="75" t="str">
        <f>IF(LS[[#This Row],[B/S]]="B","BUY",(IF(LS[[#This Row],[B/S]]="S","SELL"," ")))</f>
        <v>BUY</v>
      </c>
      <c r="J634" s="101" t="s">
        <v>1229</v>
      </c>
      <c r="K634" s="102">
        <v>10000000</v>
      </c>
      <c r="L634" s="99"/>
      <c r="M634" s="103">
        <f>LS[[#This Row],[Amount]]/LS[[#This Row],[Unit]]</f>
        <v>11.383998196774685</v>
      </c>
      <c r="N634" s="104">
        <f>LS[[#This Row],[Unit Capital]]/10</f>
        <v>878426</v>
      </c>
      <c r="O634" s="104">
        <f>SUMIFS(LS[[#Headers],[Unit]]:LS[[#This Row],[Unit]],LS[[#Headers],[Investor ID]]:LS[[#This Row],[Investor ID]],LS[[#This Row],[Investor ID]])</f>
        <v>5530323</v>
      </c>
      <c r="P634" s="102">
        <v>8784260</v>
      </c>
      <c r="Q634" s="102">
        <f>LS[[#This Row],[Amount]]-LS[[#This Row],[Unit Capital]]</f>
        <v>1215740</v>
      </c>
      <c r="R6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11.174084734642449</v>
      </c>
      <c r="S634" s="103">
        <f t="shared" si="9"/>
        <v>14.224</v>
      </c>
      <c r="T6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4" s="102" cm="1">
        <f t="array" ref="U634">IF(LS[[#This Row],[B/S]]="S",ABS(LS[[#This Row],[Unit]])*(INDEX(LS[NAV at Cost (Average)],MATCH(CONCATENATE((LS[[#This Row],[Frequency]]-1),LS[[#This Row],[Investor ID]]),LS[Unique Code],0),0)),0)</f>
        <v>0</v>
      </c>
      <c r="V634" s="102">
        <f>IF(LS[[#This Row],[BO TRANSFER]]="YES",LS[[#This Row],[Unit]],)</f>
        <v>0</v>
      </c>
      <c r="W634" s="102">
        <f>SUMIFS(LS[[#Headers],[BO UNIT TRANSFER]]:LS[[#This Row],[BO UNIT TRANSFER]],LS[[#Headers],[Investor ID]]:LS[[#This Row],[Investor ID]],LS[[#This Row],[Investor ID]])</f>
        <v>0</v>
      </c>
    </row>
    <row r="635" spans="1:23">
      <c r="A635" s="75">
        <v>2024</v>
      </c>
      <c r="B635" s="75">
        <v>9</v>
      </c>
      <c r="C635" s="75">
        <v>3</v>
      </c>
      <c r="D635" s="98">
        <f>DATE(LS[[#This Row],[Year]],LS[[#This Row],[Month]],LS[[#This Row],[Day]])</f>
        <v>45538</v>
      </c>
      <c r="E635" s="99" t="str" cm="1">
        <f t="array" ref="E635">INDEX(INVESTORS_LIST[INVESTOR NAME],MATCH(LS[[#This Row],[Investor ID]],INVESTORS_LIST[INVESTOR CODE],0),)</f>
        <v>MONIA ALAM</v>
      </c>
      <c r="F635" s="100" t="s">
        <v>1280</v>
      </c>
      <c r="G635" s="101">
        <f>COUNTIF(LS[[#Headers],[Investor ID]]:LS[[#This Row],[Investor ID]],LS[[#This Row],[Investor ID]])</f>
        <v>1</v>
      </c>
      <c r="H635" s="101" t="str">
        <f>CONCATENATE(LS[[#This Row],[Frequency]],LS[[#This Row],[Investor ID]])</f>
        <v>1A00587</v>
      </c>
      <c r="I635" s="75" t="str">
        <f>IF(LS[[#This Row],[B/S]]="B","BUY",(IF(LS[[#This Row],[B/S]]="S","SELL"," ")))</f>
        <v>BUY</v>
      </c>
      <c r="J635" s="101" t="s">
        <v>1229</v>
      </c>
      <c r="K635" s="102">
        <v>250000</v>
      </c>
      <c r="L635" s="99"/>
      <c r="M635" s="103">
        <f>LS[[#This Row],[Amount]]/LS[[#This Row],[Unit]]</f>
        <v>11.383816766085333</v>
      </c>
      <c r="N635" s="104">
        <f>LS[[#This Row],[Unit Capital]]/10</f>
        <v>21961</v>
      </c>
      <c r="O635" s="104">
        <f>SUMIFS(LS[[#Headers],[Unit]]:LS[[#This Row],[Unit]],LS[[#Headers],[Investor ID]]:LS[[#This Row],[Investor ID]],LS[[#This Row],[Investor ID]])</f>
        <v>21961</v>
      </c>
      <c r="P635" s="102">
        <v>219610</v>
      </c>
      <c r="Q635" s="102">
        <f>LS[[#This Row],[Amount]]-LS[[#This Row],[Unit Capital]]</f>
        <v>30390</v>
      </c>
      <c r="R6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11.383816766085333</v>
      </c>
      <c r="S635" s="103">
        <f t="shared" si="9"/>
        <v>14.224</v>
      </c>
      <c r="T6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5" s="102" cm="1">
        <f t="array" ref="U635">IF(LS[[#This Row],[B/S]]="S",ABS(LS[[#This Row],[Unit]])*(INDEX(LS[NAV at Cost (Average)],MATCH(CONCATENATE((LS[[#This Row],[Frequency]]-1),LS[[#This Row],[Investor ID]]),LS[Unique Code],0),0)),0)</f>
        <v>0</v>
      </c>
      <c r="V635" s="102">
        <f>IF(LS[[#This Row],[BO TRANSFER]]="YES",LS[[#This Row],[Unit]],)</f>
        <v>0</v>
      </c>
      <c r="W635" s="102">
        <f>SUMIFS(LS[[#Headers],[BO UNIT TRANSFER]]:LS[[#This Row],[BO UNIT TRANSFER]],LS[[#Headers],[Investor ID]]:LS[[#This Row],[Investor ID]],LS[[#This Row],[Investor ID]])</f>
        <v>0</v>
      </c>
    </row>
    <row r="636" spans="1:23">
      <c r="A636" s="75">
        <v>2024</v>
      </c>
      <c r="B636" s="75">
        <v>9</v>
      </c>
      <c r="C636" s="75">
        <v>3</v>
      </c>
      <c r="D636" s="98">
        <f>DATE(LS[[#This Row],[Year]],LS[[#This Row],[Month]],LS[[#This Row],[Day]])</f>
        <v>45538</v>
      </c>
      <c r="E636" s="99" t="str" cm="1">
        <f t="array" ref="E636">INDEX(INVESTORS_LIST[INVESTOR NAME],MATCH(LS[[#This Row],[Investor ID]],INVESTORS_LIST[INVESTOR CODE],0),)</f>
        <v>ARIFUR RAHMAN</v>
      </c>
      <c r="F636" s="100" t="s">
        <v>278</v>
      </c>
      <c r="G636" s="101">
        <f>COUNTIF(LS[[#Headers],[Investor ID]]:LS[[#This Row],[Investor ID]],LS[[#This Row],[Investor ID]])</f>
        <v>6</v>
      </c>
      <c r="H636" s="101" t="str">
        <f>CONCATENATE(LS[[#This Row],[Frequency]],LS[[#This Row],[Investor ID]])</f>
        <v>6A00115</v>
      </c>
      <c r="I636" s="75" t="str">
        <f>IF(LS[[#This Row],[B/S]]="B","BUY",(IF(LS[[#This Row],[B/S]]="S","SELL"," ")))</f>
        <v>BUY</v>
      </c>
      <c r="J636" s="101" t="s">
        <v>1229</v>
      </c>
      <c r="K636" s="102">
        <v>130000</v>
      </c>
      <c r="L636" s="99"/>
      <c r="M636" s="103">
        <f>LS[[#This Row],[Amount]]/LS[[#This Row],[Unit]]</f>
        <v>11.38353765323993</v>
      </c>
      <c r="N636" s="104">
        <f>LS[[#This Row],[Unit Capital]]/10</f>
        <v>11420</v>
      </c>
      <c r="O636" s="104">
        <f>SUMIFS(LS[[#Headers],[Unit]]:LS[[#This Row],[Unit]],LS[[#Headers],[Investor ID]]:LS[[#This Row],[Investor ID]],LS[[#This Row],[Investor ID]])</f>
        <v>35099</v>
      </c>
      <c r="P636" s="102">
        <v>114200</v>
      </c>
      <c r="Q636" s="102">
        <f>LS[[#This Row],[Amount]]-LS[[#This Row],[Unit Capital]]</f>
        <v>15800</v>
      </c>
      <c r="R6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10.85501011424827</v>
      </c>
      <c r="S636" s="103">
        <f t="shared" si="9"/>
        <v>14.224</v>
      </c>
      <c r="T63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36" s="102" cm="1">
        <f t="array" ref="U636">IF(LS[[#This Row],[B/S]]="S",ABS(LS[[#This Row],[Unit]])*(INDEX(LS[NAV at Cost (Average)],MATCH(CONCATENATE((LS[[#This Row],[Frequency]]-1),LS[[#This Row],[Investor ID]]),LS[Unique Code],0),0)),0)</f>
        <v>0</v>
      </c>
      <c r="V636" s="102">
        <f>IF(LS[[#This Row],[BO TRANSFER]]="YES",LS[[#This Row],[Unit]],)</f>
        <v>0</v>
      </c>
      <c r="W636" s="102">
        <f>SUMIFS(LS[[#Headers],[BO UNIT TRANSFER]]:LS[[#This Row],[BO UNIT TRANSFER]],LS[[#Headers],[Investor ID]]:LS[[#This Row],[Investor ID]],LS[[#This Row],[Investor ID]])</f>
        <v>0</v>
      </c>
    </row>
    <row r="637" spans="1:23">
      <c r="A637" s="75">
        <v>2024</v>
      </c>
      <c r="B637" s="75">
        <v>9</v>
      </c>
      <c r="C637" s="75">
        <v>4</v>
      </c>
      <c r="D637" s="98">
        <f>DATE(LS[[#This Row],[Year]],LS[[#This Row],[Month]],LS[[#This Row],[Day]])</f>
        <v>45539</v>
      </c>
      <c r="E637" s="99" t="str" cm="1">
        <f t="array" ref="E637">INDEX(INVESTORS_LIST[INVESTOR NAME],MATCH(LS[[#This Row],[Investor ID]],INVESTORS_LIST[INVESTOR CODE],0),)</f>
        <v>SWADESH RANJAN SAHA</v>
      </c>
      <c r="F637" s="100" t="s">
        <v>234</v>
      </c>
      <c r="G637" s="101">
        <f>COUNTIF(LS[[#Headers],[Investor ID]]:LS[[#This Row],[Investor ID]],LS[[#This Row],[Investor ID]])</f>
        <v>10</v>
      </c>
      <c r="H637" s="101" t="str">
        <f>CONCATENATE(LS[[#This Row],[Frequency]],LS[[#This Row],[Investor ID]])</f>
        <v>10A00093</v>
      </c>
      <c r="I637" s="75" t="str">
        <f>IF(LS[[#This Row],[B/S]]="B","BUY",(IF(LS[[#This Row],[B/S]]="S","SELL"," ")))</f>
        <v>SELL</v>
      </c>
      <c r="J637" s="101" t="s">
        <v>1231</v>
      </c>
      <c r="K637" s="102">
        <v>-500000</v>
      </c>
      <c r="L637" s="99"/>
      <c r="M637" s="103">
        <f>LS[[#This Row],[Amount]]/LS[[#This Row],[Unit]]</f>
        <v>11.384075954554769</v>
      </c>
      <c r="N637" s="104">
        <f>LS[[#This Row],[Unit Capital]]/10</f>
        <v>-43921</v>
      </c>
      <c r="O637" s="104">
        <f>SUMIFS(LS[[#Headers],[Unit]]:LS[[#This Row],[Unit]],LS[[#Headers],[Investor ID]]:LS[[#This Row],[Investor ID]],LS[[#This Row],[Investor ID]])</f>
        <v>611098</v>
      </c>
      <c r="P637" s="102">
        <v>-439210</v>
      </c>
      <c r="Q637" s="102">
        <f>LS[[#This Row],[Amount]]-LS[[#This Row],[Unit Capital]]</f>
        <v>-60790</v>
      </c>
      <c r="R6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637" s="103">
        <f t="shared" si="9"/>
        <v>14.224</v>
      </c>
      <c r="T637" s="102">
        <f>IF(LS[[#This Row],[B/S]]="B",0,ABS(LS[[#This Row],[Unit]])*(LS[[#This Row],[NAV (Strike Rate)]]-INDEX(LS[NAV at Cost (Average)],MATCH(CONCATENATE(LS[[#This Row],[Frequency]]-1,LS[[#This Row],[Investor ID]]),LS[Unique Code],0),)))</f>
        <v>30641.104091181845</v>
      </c>
      <c r="U637" s="102" cm="1">
        <f t="array" ref="U637">IF(LS[[#This Row],[B/S]]="S",ABS(LS[[#This Row],[Unit]])*(INDEX(LS[NAV at Cost (Average)],MATCH(CONCATENATE((LS[[#This Row],[Frequency]]-1),LS[[#This Row],[Investor ID]]),LS[Unique Code],0),0)),0)</f>
        <v>469358.89590881817</v>
      </c>
      <c r="V637" s="102">
        <f>IF(LS[[#This Row],[BO TRANSFER]]="YES",LS[[#This Row],[Unit]],)</f>
        <v>0</v>
      </c>
      <c r="W637" s="102">
        <f>SUMIFS(LS[[#Headers],[BO UNIT TRANSFER]]:LS[[#This Row],[BO UNIT TRANSFER]],LS[[#Headers],[Investor ID]]:LS[[#This Row],[Investor ID]],LS[[#This Row],[Investor ID]])</f>
        <v>0</v>
      </c>
    </row>
    <row r="638" spans="1:23">
      <c r="A638" s="75">
        <v>2024</v>
      </c>
      <c r="B638" s="75">
        <v>9</v>
      </c>
      <c r="C638" s="75">
        <v>5</v>
      </c>
      <c r="D638" s="98">
        <f>DATE(LS[[#This Row],[Year]],LS[[#This Row],[Month]],LS[[#This Row],[Day]])</f>
        <v>45540</v>
      </c>
      <c r="E638" s="99" t="str" cm="1">
        <f t="array" ref="E638">INDEX(INVESTORS_LIST[INVESTOR NAME],MATCH(LS[[#This Row],[Investor ID]],INVESTORS_LIST[INVESTOR CODE],0),)</f>
        <v>CWT OPPORTUNITIES FUND</v>
      </c>
      <c r="F638" s="100" t="s">
        <v>1095</v>
      </c>
      <c r="G638" s="101">
        <f>COUNTIF(LS[[#Headers],[Investor ID]]:LS[[#This Row],[Investor ID]],LS[[#This Row],[Investor ID]])</f>
        <v>3</v>
      </c>
      <c r="H638" s="101" t="str">
        <f>CONCATENATE(LS[[#This Row],[Frequency]],LS[[#This Row],[Investor ID]])</f>
        <v>3A00524</v>
      </c>
      <c r="I638" s="75" t="str">
        <f>IF(LS[[#This Row],[B/S]]="B","BUY",(IF(LS[[#This Row],[B/S]]="S","SELL"," ")))</f>
        <v>SELL</v>
      </c>
      <c r="J638" s="101" t="s">
        <v>1231</v>
      </c>
      <c r="K638" s="102">
        <v>-4861707.96</v>
      </c>
      <c r="L638" s="99"/>
      <c r="M638" s="103">
        <f>LS[[#This Row],[Amount]]/LS[[#This Row],[Unit]]</f>
        <v>11.384</v>
      </c>
      <c r="N638" s="104">
        <f>LS[[#This Row],[Unit Capital]]/10</f>
        <v>-427065</v>
      </c>
      <c r="O638" s="104">
        <f>SUMIFS(LS[[#Headers],[Unit]]:LS[[#This Row],[Unit]],LS[[#Headers],[Investor ID]]:LS[[#This Row],[Investor ID]],LS[[#This Row],[Investor ID]])</f>
        <v>0</v>
      </c>
      <c r="P638" s="102">
        <v>-4270650</v>
      </c>
      <c r="Q638" s="102">
        <f>LS[[#This Row],[Amount]]-LS[[#This Row],[Unit Capital]]</f>
        <v>-591057.96</v>
      </c>
      <c r="R6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38" s="103">
        <f t="shared" si="9"/>
        <v>14.224</v>
      </c>
      <c r="T638" s="102">
        <f>IF(LS[[#This Row],[B/S]]="B",0,ABS(LS[[#This Row],[Unit]])*(LS[[#This Row],[NAV (Strike Rate)]]-INDEX(LS[NAV at Cost (Average)],MATCH(CONCATENATE(LS[[#This Row],[Frequency]]-1,LS[[#This Row],[Investor ID]]),LS[Unique Code],0),)))</f>
        <v>309196.82030430762</v>
      </c>
      <c r="U638" s="102" cm="1">
        <f t="array" ref="U638">IF(LS[[#This Row],[B/S]]="S",ABS(LS[[#This Row],[Unit]])*(INDEX(LS[NAV at Cost (Average)],MATCH(CONCATENATE((LS[[#This Row],[Frequency]]-1),LS[[#This Row],[Investor ID]]),LS[Unique Code],0),0)),0)</f>
        <v>4552511.1396956928</v>
      </c>
      <c r="V638" s="102">
        <f>IF(LS[[#This Row],[BO TRANSFER]]="YES",LS[[#This Row],[Unit]],)</f>
        <v>0</v>
      </c>
      <c r="W638" s="102">
        <f>SUMIFS(LS[[#Headers],[BO UNIT TRANSFER]]:LS[[#This Row],[BO UNIT TRANSFER]],LS[[#Headers],[Investor ID]]:LS[[#This Row],[Investor ID]],LS[[#This Row],[Investor ID]])</f>
        <v>0</v>
      </c>
    </row>
    <row r="639" spans="1:23">
      <c r="A639" s="75">
        <v>2024</v>
      </c>
      <c r="B639" s="75">
        <v>9</v>
      </c>
      <c r="C639" s="75">
        <v>5</v>
      </c>
      <c r="D639" s="98">
        <f>DATE(LS[[#This Row],[Year]],LS[[#This Row],[Month]],LS[[#This Row],[Day]])</f>
        <v>45540</v>
      </c>
      <c r="E639" s="99" t="str" cm="1">
        <f t="array" ref="E639">INDEX(INVESTORS_LIST[INVESTOR NAME],MATCH(LS[[#This Row],[Investor ID]],INVESTORS_LIST[INVESTOR CODE],0),)</f>
        <v xml:space="preserve">CWT-SADHARAN BIMA GROWTH FUND </v>
      </c>
      <c r="F639" s="100" t="s">
        <v>1093</v>
      </c>
      <c r="G639" s="101">
        <f>COUNTIF(LS[[#Headers],[Investor ID]]:LS[[#This Row],[Investor ID]],LS[[#This Row],[Investor ID]])</f>
        <v>4</v>
      </c>
      <c r="H639" s="101" t="str">
        <f>CONCATENATE(LS[[#This Row],[Frequency]],LS[[#This Row],[Investor ID]])</f>
        <v>4A00523</v>
      </c>
      <c r="I639" s="75" t="str">
        <f>IF(LS[[#This Row],[B/S]]="B","BUY",(IF(LS[[#This Row],[B/S]]="S","SELL"," ")))</f>
        <v>SELL</v>
      </c>
      <c r="J639" s="101" t="s">
        <v>1231</v>
      </c>
      <c r="K639" s="102">
        <v>-5395663.0999999996</v>
      </c>
      <c r="L639" s="99"/>
      <c r="M639" s="103">
        <f>LS[[#This Row],[Amount]]/LS[[#This Row],[Unit]]</f>
        <v>11.38400000843937</v>
      </c>
      <c r="N639" s="104">
        <f>LS[[#This Row],[Unit Capital]]/10</f>
        <v>-473969</v>
      </c>
      <c r="O639" s="104">
        <f>SUMIFS(LS[[#Headers],[Unit]]:LS[[#This Row],[Unit]],LS[[#Headers],[Investor ID]]:LS[[#This Row],[Investor ID]],LS[[#This Row],[Investor ID]])</f>
        <v>0</v>
      </c>
      <c r="P639" s="102">
        <v>-4739690</v>
      </c>
      <c r="Q639" s="102">
        <f>LS[[#This Row],[Amount]]-LS[[#This Row],[Unit Capital]]</f>
        <v>-655973.09999999963</v>
      </c>
      <c r="R6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39" s="103">
        <f t="shared" si="9"/>
        <v>14.224</v>
      </c>
      <c r="T639" s="102">
        <f>IF(LS[[#This Row],[B/S]]="B",0,ABS(LS[[#This Row],[Unit]])*(LS[[#This Row],[NAV (Strike Rate)]]-INDEX(LS[NAV at Cost (Average)],MATCH(CONCATENATE(LS[[#This Row],[Frequency]]-1,LS[[#This Row],[Investor ID]]),LS[Unique Code],0),)))</f>
        <v>343153.26948068448</v>
      </c>
      <c r="U639" s="102" cm="1">
        <f t="array" ref="U639">IF(LS[[#This Row],[B/S]]="S",ABS(LS[[#This Row],[Unit]])*(INDEX(LS[NAV at Cost (Average)],MATCH(CONCATENATE((LS[[#This Row],[Frequency]]-1),LS[[#This Row],[Investor ID]]),LS[Unique Code],0),0)),0)</f>
        <v>5052509.8305193158</v>
      </c>
      <c r="V639" s="102">
        <f>IF(LS[[#This Row],[BO TRANSFER]]="YES",LS[[#This Row],[Unit]],)</f>
        <v>0</v>
      </c>
      <c r="W639" s="102">
        <f>SUMIFS(LS[[#Headers],[BO UNIT TRANSFER]]:LS[[#This Row],[BO UNIT TRANSFER]],LS[[#Headers],[Investor ID]]:LS[[#This Row],[Investor ID]],LS[[#This Row],[Investor ID]])</f>
        <v>0</v>
      </c>
    </row>
    <row r="640" spans="1:23">
      <c r="A640" s="75">
        <v>2024</v>
      </c>
      <c r="B640" s="75">
        <v>9</v>
      </c>
      <c r="C640" s="75">
        <v>5</v>
      </c>
      <c r="D640" s="98">
        <f>DATE(LS[[#This Row],[Year]],LS[[#This Row],[Month]],LS[[#This Row],[Day]])</f>
        <v>45540</v>
      </c>
      <c r="E640" s="99" t="str" cm="1">
        <f t="array" ref="E640">INDEX(INVESTORS_LIST[INVESTOR NAME],MATCH(LS[[#This Row],[Investor ID]],INVESTORS_LIST[INVESTOR CODE],0),)</f>
        <v>SAIFUL ISLAM</v>
      </c>
      <c r="F640" s="100" t="s">
        <v>1048</v>
      </c>
      <c r="G640" s="101">
        <f>COUNTIF(LS[[#Headers],[Investor ID]]:LS[[#This Row],[Investor ID]],LS[[#This Row],[Investor ID]])</f>
        <v>6</v>
      </c>
      <c r="H640" s="101" t="str">
        <f>CONCATENATE(LS[[#This Row],[Frequency]],LS[[#This Row],[Investor ID]])</f>
        <v>6A00501</v>
      </c>
      <c r="I640" s="75" t="str">
        <f>IF(LS[[#This Row],[B/S]]="B","BUY",(IF(LS[[#This Row],[B/S]]="S","SELL"," ")))</f>
        <v>SELL</v>
      </c>
      <c r="J640" s="101" t="s">
        <v>1231</v>
      </c>
      <c r="K640" s="102">
        <v>-357286.84</v>
      </c>
      <c r="L640" s="99"/>
      <c r="M640" s="103">
        <f>LS[[#This Row],[Amount]]/LS[[#This Row],[Unit]]</f>
        <v>11.384</v>
      </c>
      <c r="N640" s="104">
        <f>LS[[#This Row],[Unit Capital]]/10</f>
        <v>-31385</v>
      </c>
      <c r="O640" s="104">
        <f>SUMIFS(LS[[#Headers],[Unit]]:LS[[#This Row],[Unit]],LS[[#Headers],[Investor ID]]:LS[[#This Row],[Investor ID]],LS[[#This Row],[Investor ID]])</f>
        <v>0</v>
      </c>
      <c r="P640" s="102">
        <v>-313850</v>
      </c>
      <c r="Q640" s="102">
        <f>LS[[#This Row],[Amount]]-LS[[#This Row],[Unit Capital]]</f>
        <v>-43436.840000000026</v>
      </c>
      <c r="R6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40" s="103">
        <f t="shared" si="9"/>
        <v>14.224</v>
      </c>
      <c r="T640" s="102">
        <f>IF(LS[[#This Row],[B/S]]="B",0,ABS(LS[[#This Row],[Unit]])*(LS[[#This Row],[NAV (Strike Rate)]]-INDEX(LS[NAV at Cost (Average)],MATCH(CONCATENATE(LS[[#This Row],[Frequency]]-1,LS[[#This Row],[Investor ID]]),LS[Unique Code],0),)))</f>
        <v>7286.8400000000574</v>
      </c>
      <c r="U640" s="102" cm="1">
        <f t="array" ref="U640">IF(LS[[#This Row],[B/S]]="S",ABS(LS[[#This Row],[Unit]])*(INDEX(LS[NAV at Cost (Average)],MATCH(CONCATENATE((LS[[#This Row],[Frequency]]-1),LS[[#This Row],[Investor ID]]),LS[Unique Code],0),0)),0)</f>
        <v>349999.99999999994</v>
      </c>
      <c r="V640" s="102">
        <f>IF(LS[[#This Row],[BO TRANSFER]]="YES",LS[[#This Row],[Unit]],)</f>
        <v>0</v>
      </c>
      <c r="W640" s="102">
        <f>SUMIFS(LS[[#Headers],[BO UNIT TRANSFER]]:LS[[#This Row],[BO UNIT TRANSFER]],LS[[#Headers],[Investor ID]]:LS[[#This Row],[Investor ID]],LS[[#This Row],[Investor ID]])</f>
        <v>0</v>
      </c>
    </row>
    <row r="641" spans="1:23">
      <c r="A641" s="75">
        <v>2024</v>
      </c>
      <c r="B641" s="75">
        <v>9</v>
      </c>
      <c r="C641" s="75">
        <v>5</v>
      </c>
      <c r="D641" s="98">
        <f>DATE(LS[[#This Row],[Year]],LS[[#This Row],[Month]],LS[[#This Row],[Day]])</f>
        <v>45540</v>
      </c>
      <c r="E641" s="99" t="str" cm="1">
        <f t="array" ref="E641">INDEX(INVESTORS_LIST[INVESTOR NAME],MATCH(LS[[#This Row],[Investor ID]],INVESTORS_LIST[INVESTOR CODE],0),)</f>
        <v>JAKARIA MD. JONY</v>
      </c>
      <c r="F641" s="100" t="s">
        <v>1167</v>
      </c>
      <c r="G641" s="101">
        <f>COUNTIF(LS[[#Headers],[Investor ID]]:LS[[#This Row],[Investor ID]],LS[[#This Row],[Investor ID]])</f>
        <v>2</v>
      </c>
      <c r="H641" s="101" t="str">
        <f>CONCATENATE(LS[[#This Row],[Frequency]],LS[[#This Row],[Investor ID]])</f>
        <v>2A00559</v>
      </c>
      <c r="I641" s="75" t="str">
        <f>IF(LS[[#This Row],[B/S]]="B","BUY",(IF(LS[[#This Row],[B/S]]="S","SELL"," ")))</f>
        <v>BUY</v>
      </c>
      <c r="J641" s="101" t="s">
        <v>1229</v>
      </c>
      <c r="K641" s="102">
        <v>2000000</v>
      </c>
      <c r="L641" s="99"/>
      <c r="M641" s="103">
        <f>LS[[#This Row],[Amount]]/LS[[#This Row],[Unit]]</f>
        <v>11.384011156330933</v>
      </c>
      <c r="N641" s="104">
        <f>LS[[#This Row],[Unit Capital]]/10</f>
        <v>175685</v>
      </c>
      <c r="O641" s="104">
        <f>SUMIFS(LS[[#Headers],[Unit]]:LS[[#This Row],[Unit]],LS[[#Headers],[Investor ID]]:LS[[#This Row],[Investor ID]],LS[[#This Row],[Investor ID]])</f>
        <v>350542</v>
      </c>
      <c r="P641" s="102">
        <v>1756850</v>
      </c>
      <c r="Q641" s="102">
        <f>LS[[#This Row],[Amount]]-LS[[#This Row],[Unit Capital]]</f>
        <v>243150</v>
      </c>
      <c r="R6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11.268264573146727</v>
      </c>
      <c r="S641" s="103">
        <f t="shared" si="9"/>
        <v>14.224</v>
      </c>
      <c r="T6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1" s="102" cm="1">
        <f t="array" ref="U641">IF(LS[[#This Row],[B/S]]="S",ABS(LS[[#This Row],[Unit]])*(INDEX(LS[NAV at Cost (Average)],MATCH(CONCATENATE((LS[[#This Row],[Frequency]]-1),LS[[#This Row],[Investor ID]]),LS[Unique Code],0),0)),0)</f>
        <v>0</v>
      </c>
      <c r="V641" s="102">
        <f>IF(LS[[#This Row],[BO TRANSFER]]="YES",LS[[#This Row],[Unit]],)</f>
        <v>0</v>
      </c>
      <c r="W641" s="102">
        <f>SUMIFS(LS[[#Headers],[BO UNIT TRANSFER]]:LS[[#This Row],[BO UNIT TRANSFER]],LS[[#Headers],[Investor ID]]:LS[[#This Row],[Investor ID]],LS[[#This Row],[Investor ID]])</f>
        <v>0</v>
      </c>
    </row>
    <row r="642" spans="1:23">
      <c r="A642" s="75">
        <v>2024</v>
      </c>
      <c r="B642" s="75">
        <v>9</v>
      </c>
      <c r="C642" s="75">
        <v>9</v>
      </c>
      <c r="D642" s="98">
        <f>DATE(LS[[#This Row],[Year]],LS[[#This Row],[Month]],LS[[#This Row],[Day]])</f>
        <v>45544</v>
      </c>
      <c r="E642" s="99" t="str" cm="1">
        <f t="array" ref="E642">INDEX(INVESTORS_LIST[INVESTOR NAME],MATCH(LS[[#This Row],[Investor ID]],INVESTORS_LIST[INVESTOR CODE],0),)</f>
        <v>BRAC BANK LIMITED</v>
      </c>
      <c r="F642" s="100" t="s">
        <v>756</v>
      </c>
      <c r="G642" s="101">
        <f>COUNTIF(LS[[#Headers],[Investor ID]]:LS[[#This Row],[Investor ID]],LS[[#This Row],[Investor ID]])</f>
        <v>1</v>
      </c>
      <c r="H642" s="101" t="str">
        <f>CONCATENATE(LS[[#This Row],[Frequency]],LS[[#This Row],[Investor ID]])</f>
        <v>1A00354</v>
      </c>
      <c r="I642" s="75" t="str">
        <f>IF(LS[[#This Row],[B/S]]="B","BUY",(IF(LS[[#This Row],[B/S]]="S","SELL"," ")))</f>
        <v>BUY</v>
      </c>
      <c r="J642" s="101" t="s">
        <v>1229</v>
      </c>
      <c r="K642" s="102">
        <v>24999310</v>
      </c>
      <c r="L642" s="99"/>
      <c r="M642" s="103">
        <f>LS[[#This Row],[Amount]]/LS[[#This Row],[Unit]]</f>
        <v>11.41</v>
      </c>
      <c r="N642" s="104">
        <f>LS[[#This Row],[Unit Capital]]/10</f>
        <v>2191000</v>
      </c>
      <c r="O642" s="104">
        <f>SUMIFS(LS[[#Headers],[Unit]]:LS[[#This Row],[Unit]],LS[[#Headers],[Investor ID]]:LS[[#This Row],[Investor ID]],LS[[#This Row],[Investor ID]])</f>
        <v>2191000</v>
      </c>
      <c r="P642" s="102">
        <v>21910000</v>
      </c>
      <c r="Q642" s="102">
        <f>LS[[#This Row],[Amount]]-LS[[#This Row],[Unit Capital]]</f>
        <v>3089310</v>
      </c>
      <c r="R6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11.41</v>
      </c>
      <c r="S642" s="103">
        <f t="shared" si="9"/>
        <v>14.224</v>
      </c>
      <c r="T6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2" s="102" cm="1">
        <f t="array" ref="U642">IF(LS[[#This Row],[B/S]]="S",ABS(LS[[#This Row],[Unit]])*(INDEX(LS[NAV at Cost (Average)],MATCH(CONCATENATE((LS[[#This Row],[Frequency]]-1),LS[[#This Row],[Investor ID]]),LS[Unique Code],0),0)),0)</f>
        <v>0</v>
      </c>
      <c r="V642" s="102">
        <f>IF(LS[[#This Row],[BO TRANSFER]]="YES",LS[[#This Row],[Unit]],)</f>
        <v>0</v>
      </c>
      <c r="W642" s="102">
        <f>SUMIFS(LS[[#Headers],[BO UNIT TRANSFER]]:LS[[#This Row],[BO UNIT TRANSFER]],LS[[#Headers],[Investor ID]]:LS[[#This Row],[Investor ID]],LS[[#This Row],[Investor ID]])</f>
        <v>0</v>
      </c>
    </row>
    <row r="643" spans="1:23">
      <c r="A643" s="75">
        <v>2024</v>
      </c>
      <c r="B643" s="75">
        <v>9</v>
      </c>
      <c r="C643" s="75">
        <v>9</v>
      </c>
      <c r="D643" s="98">
        <f>DATE(LS[[#This Row],[Year]],LS[[#This Row],[Month]],LS[[#This Row],[Day]])</f>
        <v>45544</v>
      </c>
      <c r="E643" s="99" t="str" cm="1">
        <f t="array" ref="E643">INDEX(INVESTORS_LIST[INVESTOR NAME],MATCH(LS[[#This Row],[Investor ID]],INVESTORS_LIST[INVESTOR CODE],0),)</f>
        <v>SHAHRIAR AZAD SHASHI</v>
      </c>
      <c r="F643" s="100" t="s">
        <v>1040</v>
      </c>
      <c r="G643" s="101">
        <f>COUNTIF(LS[[#Headers],[Investor ID]]:LS[[#This Row],[Investor ID]],LS[[#This Row],[Investor ID]])</f>
        <v>7</v>
      </c>
      <c r="H643" s="101" t="str">
        <f>CONCATENATE(LS[[#This Row],[Frequency]],LS[[#This Row],[Investor ID]])</f>
        <v>7A00497</v>
      </c>
      <c r="I643" s="75" t="str">
        <f>IF(LS[[#This Row],[B/S]]="B","BUY",(IF(LS[[#This Row],[B/S]]="S","SELL"," ")))</f>
        <v>SELL</v>
      </c>
      <c r="J643" s="101" t="s">
        <v>1231</v>
      </c>
      <c r="K643" s="102">
        <v>-301783.09000000003</v>
      </c>
      <c r="L643" s="99"/>
      <c r="M643" s="103">
        <f>LS[[#This Row],[Amount]]/LS[[#This Row],[Unit]]</f>
        <v>11.41</v>
      </c>
      <c r="N643" s="104">
        <f>LS[[#This Row],[Unit Capital]]/10</f>
        <v>-26449</v>
      </c>
      <c r="O643" s="104">
        <f>SUMIFS(LS[[#Headers],[Unit]]:LS[[#This Row],[Unit]],LS[[#Headers],[Investor ID]]:LS[[#This Row],[Investor ID]],LS[[#This Row],[Investor ID]])</f>
        <v>0</v>
      </c>
      <c r="P643" s="102">
        <v>-264490</v>
      </c>
      <c r="Q643" s="102">
        <f>LS[[#This Row],[Amount]]-LS[[#This Row],[Unit Capital]]</f>
        <v>-37293.090000000026</v>
      </c>
      <c r="R6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43" s="103">
        <f t="shared" ref="S643:S706" si="10">IFERROR(NAV_MKT,0)</f>
        <v>14.224</v>
      </c>
      <c r="T643" s="102">
        <f>IF(LS[[#This Row],[B/S]]="B",0,ABS(LS[[#This Row],[Unit]])*(LS[[#This Row],[NAV (Strike Rate)]]-INDEX(LS[NAV at Cost (Average)],MATCH(CONCATENATE(LS[[#This Row],[Frequency]]-1,LS[[#This Row],[Investor ID]]),LS[Unique Code],0),)))</f>
        <v>8427.6264350154142</v>
      </c>
      <c r="U643" s="102" cm="1">
        <f t="array" ref="U643">IF(LS[[#This Row],[B/S]]="S",ABS(LS[[#This Row],[Unit]])*(INDEX(LS[NAV at Cost (Average)],MATCH(CONCATENATE((LS[[#This Row],[Frequency]]-1),LS[[#This Row],[Investor ID]]),LS[Unique Code],0),0)),0)</f>
        <v>293355.46356498462</v>
      </c>
      <c r="V643" s="102">
        <f>IF(LS[[#This Row],[BO TRANSFER]]="YES",LS[[#This Row],[Unit]],)</f>
        <v>0</v>
      </c>
      <c r="W643" s="102">
        <f>SUMIFS(LS[[#Headers],[BO UNIT TRANSFER]]:LS[[#This Row],[BO UNIT TRANSFER]],LS[[#Headers],[Investor ID]]:LS[[#This Row],[Investor ID]],LS[[#This Row],[Investor ID]])</f>
        <v>0</v>
      </c>
    </row>
    <row r="644" spans="1:23">
      <c r="A644" s="75">
        <v>2024</v>
      </c>
      <c r="B644" s="75">
        <v>9</v>
      </c>
      <c r="C644" s="75">
        <v>9</v>
      </c>
      <c r="D644" s="98">
        <f>DATE(LS[[#This Row],[Year]],LS[[#This Row],[Month]],LS[[#This Row],[Day]])</f>
        <v>45544</v>
      </c>
      <c r="E644" s="99" t="str" cm="1">
        <f t="array" ref="E644">INDEX(INVESTORS_LIST[INVESTOR NAME],MATCH(LS[[#This Row],[Investor ID]],INVESTORS_LIST[INVESTOR CODE],0),)</f>
        <v>TRIPTI BARUA</v>
      </c>
      <c r="F644" s="100" t="s">
        <v>384</v>
      </c>
      <c r="G644" s="101">
        <f>COUNTIF(LS[[#Headers],[Investor ID]]:LS[[#This Row],[Investor ID]],LS[[#This Row],[Investor ID]])</f>
        <v>3</v>
      </c>
      <c r="H644" s="101" t="str">
        <f>CONCATENATE(LS[[#This Row],[Frequency]],LS[[#This Row],[Investor ID]])</f>
        <v>3A00168</v>
      </c>
      <c r="I644" s="75" t="str">
        <f>IF(LS[[#This Row],[B/S]]="B","BUY",(IF(LS[[#This Row],[B/S]]="S","SELL"," ")))</f>
        <v>SELL</v>
      </c>
      <c r="J644" s="101" t="s">
        <v>1231</v>
      </c>
      <c r="K644" s="102">
        <v>-147986.62</v>
      </c>
      <c r="L644" s="99"/>
      <c r="M644" s="103">
        <f>LS[[#This Row],[Amount]]/LS[[#This Row],[Unit]]</f>
        <v>11.409916730917502</v>
      </c>
      <c r="N644" s="104">
        <f>LS[[#This Row],[Unit Capital]]/10</f>
        <v>-12970</v>
      </c>
      <c r="O644" s="104">
        <f>SUMIFS(LS[[#Headers],[Unit]]:LS[[#This Row],[Unit]],LS[[#Headers],[Investor ID]]:LS[[#This Row],[Investor ID]],LS[[#This Row],[Investor ID]])</f>
        <v>438212</v>
      </c>
      <c r="P644" s="102">
        <v>-129700</v>
      </c>
      <c r="Q644" s="102">
        <f>LS[[#This Row],[Amount]]-LS[[#This Row],[Unit Capital]]</f>
        <v>-18286.619999999995</v>
      </c>
      <c r="R6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11.082002384846914</v>
      </c>
      <c r="S644" s="103">
        <f t="shared" si="10"/>
        <v>14.224</v>
      </c>
      <c r="T644" s="102">
        <f>IF(LS[[#This Row],[B/S]]="B",0,ABS(LS[[#This Row],[Unit]])*(LS[[#This Row],[NAV (Strike Rate)]]-INDEX(LS[NAV at Cost (Average)],MATCH(CONCATENATE(LS[[#This Row],[Frequency]]-1,LS[[#This Row],[Investor ID]]),LS[Unique Code],0),)))</f>
        <v>4253.0490685355153</v>
      </c>
      <c r="U644" s="102" cm="1">
        <f t="array" ref="U644">IF(LS[[#This Row],[B/S]]="S",ABS(LS[[#This Row],[Unit]])*(INDEX(LS[NAV at Cost (Average)],MATCH(CONCATENATE((LS[[#This Row],[Frequency]]-1),LS[[#This Row],[Investor ID]]),LS[Unique Code],0),0)),0)</f>
        <v>143733.57093146449</v>
      </c>
      <c r="V644" s="102">
        <f>IF(LS[[#This Row],[BO TRANSFER]]="YES",LS[[#This Row],[Unit]],)</f>
        <v>0</v>
      </c>
      <c r="W644" s="102">
        <f>SUMIFS(LS[[#Headers],[BO UNIT TRANSFER]]:LS[[#This Row],[BO UNIT TRANSFER]],LS[[#Headers],[Investor ID]]:LS[[#This Row],[Investor ID]],LS[[#This Row],[Investor ID]])</f>
        <v>0</v>
      </c>
    </row>
    <row r="645" spans="1:23">
      <c r="A645" s="75">
        <v>2024</v>
      </c>
      <c r="B645" s="75">
        <v>9</v>
      </c>
      <c r="C645" s="75">
        <v>9</v>
      </c>
      <c r="D645" s="98">
        <f>DATE(LS[[#This Row],[Year]],LS[[#This Row],[Month]],LS[[#This Row],[Day]])</f>
        <v>45544</v>
      </c>
      <c r="E645" s="99" t="str" cm="1">
        <f t="array" ref="E645">INDEX(INVESTORS_LIST[INVESTOR NAME],MATCH(LS[[#This Row],[Investor ID]],INVESTORS_LIST[INVESTOR CODE],0),)</f>
        <v xml:space="preserve">CWT EMERGING BANGLADESH FIRST GROWTH FUND </v>
      </c>
      <c r="F645" s="100" t="s">
        <v>1091</v>
      </c>
      <c r="G645" s="101">
        <f>COUNTIF(LS[[#Headers],[Investor ID]]:LS[[#This Row],[Investor ID]],LS[[#This Row],[Investor ID]])</f>
        <v>4</v>
      </c>
      <c r="H645" s="101" t="str">
        <f>CONCATENATE(LS[[#This Row],[Frequency]],LS[[#This Row],[Investor ID]])</f>
        <v>4A00522</v>
      </c>
      <c r="I645" s="75" t="str">
        <f>IF(LS[[#This Row],[B/S]]="B","BUY",(IF(LS[[#This Row],[B/S]]="S","SELL"," ")))</f>
        <v>SELL</v>
      </c>
      <c r="J645" s="101" t="s">
        <v>1231</v>
      </c>
      <c r="K645" s="102">
        <v>-4327741.4400000004</v>
      </c>
      <c r="L645" s="99"/>
      <c r="M645" s="103">
        <f>LS[[#This Row],[Amount]]/LS[[#This Row],[Unit]]</f>
        <v>11.384</v>
      </c>
      <c r="N645" s="104">
        <f>LS[[#This Row],[Unit Capital]]/10</f>
        <v>-380160</v>
      </c>
      <c r="O645" s="104">
        <f>SUMIFS(LS[[#Headers],[Unit]]:LS[[#This Row],[Unit]],LS[[#Headers],[Investor ID]]:LS[[#This Row],[Investor ID]],LS[[#This Row],[Investor ID]])</f>
        <v>0</v>
      </c>
      <c r="P645" s="102">
        <v>-3801600</v>
      </c>
      <c r="Q645" s="102">
        <f>LS[[#This Row],[Amount]]-LS[[#This Row],[Unit Capital]]</f>
        <v>-526141.44000000041</v>
      </c>
      <c r="R6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45" s="103">
        <f t="shared" si="10"/>
        <v>14.224</v>
      </c>
      <c r="T645" s="102">
        <f>IF(LS[[#This Row],[B/S]]="B",0,ABS(LS[[#This Row],[Unit]])*(LS[[#This Row],[NAV (Strike Rate)]]-INDEX(LS[NAV at Cost (Average)],MATCH(CONCATENATE(LS[[#This Row],[Frequency]]-1,LS[[#This Row],[Investor ID]]),LS[Unique Code],0),)))</f>
        <v>275233.29270916508</v>
      </c>
      <c r="U645" s="102" cm="1">
        <f t="array" ref="U645">IF(LS[[#This Row],[B/S]]="S",ABS(LS[[#This Row],[Unit]])*(INDEX(LS[NAV at Cost (Average)],MATCH(CONCATENATE((LS[[#This Row],[Frequency]]-1),LS[[#This Row],[Investor ID]]),LS[Unique Code],0),0)),0)</f>
        <v>4052508.1472908352</v>
      </c>
      <c r="V645" s="102">
        <f>IF(LS[[#This Row],[BO TRANSFER]]="YES",LS[[#This Row],[Unit]],)</f>
        <v>0</v>
      </c>
      <c r="W645" s="102">
        <f>SUMIFS(LS[[#Headers],[BO UNIT TRANSFER]]:LS[[#This Row],[BO UNIT TRANSFER]],LS[[#Headers],[Investor ID]]:LS[[#This Row],[Investor ID]],LS[[#This Row],[Investor ID]])</f>
        <v>0</v>
      </c>
    </row>
    <row r="646" spans="1:23">
      <c r="A646" s="75">
        <v>2024</v>
      </c>
      <c r="B646" s="75">
        <v>9</v>
      </c>
      <c r="C646" s="75">
        <v>10</v>
      </c>
      <c r="D646" s="98">
        <f>DATE(LS[[#This Row],[Year]],LS[[#This Row],[Month]],LS[[#This Row],[Day]])</f>
        <v>45545</v>
      </c>
      <c r="E646" s="99" t="str" cm="1">
        <f t="array" ref="E646">INDEX(INVESTORS_LIST[INVESTOR NAME],MATCH(LS[[#This Row],[Investor ID]],INVESTORS_LIST[INVESTOR CODE],0),)</f>
        <v>MOHAMMAD ABUL HOSSAIN</v>
      </c>
      <c r="F646" s="100" t="s">
        <v>1198</v>
      </c>
      <c r="G646" s="101">
        <f>COUNTIF(LS[[#Headers],[Investor ID]]:LS[[#This Row],[Investor ID]],LS[[#This Row],[Investor ID]])</f>
        <v>2</v>
      </c>
      <c r="H646" s="101" t="str">
        <f>CONCATENATE(LS[[#This Row],[Frequency]],LS[[#This Row],[Investor ID]])</f>
        <v>2A00575</v>
      </c>
      <c r="I646" s="75" t="str">
        <f>IF(LS[[#This Row],[B/S]]="B","BUY",(IF(LS[[#This Row],[B/S]]="S","SELL"," ")))</f>
        <v>SELL</v>
      </c>
      <c r="J646" s="101" t="s">
        <v>1231</v>
      </c>
      <c r="K646" s="102">
        <v>-511567.35</v>
      </c>
      <c r="L646" s="99"/>
      <c r="M646" s="103">
        <f>LS[[#This Row],[Amount]]/LS[[#This Row],[Unit]]</f>
        <v>11.41</v>
      </c>
      <c r="N646" s="104">
        <f>LS[[#This Row],[Unit Capital]]/10</f>
        <v>-44835</v>
      </c>
      <c r="O646" s="104">
        <f>SUMIFS(LS[[#Headers],[Unit]]:LS[[#This Row],[Unit]],LS[[#Headers],[Investor ID]]:LS[[#This Row],[Investor ID]],LS[[#This Row],[Investor ID]])</f>
        <v>0</v>
      </c>
      <c r="P646" s="102">
        <v>-448350</v>
      </c>
      <c r="Q646" s="102">
        <f>LS[[#This Row],[Amount]]-LS[[#This Row],[Unit Capital]]</f>
        <v>-63217.349999999977</v>
      </c>
      <c r="R6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46" s="103">
        <f t="shared" si="10"/>
        <v>14.224</v>
      </c>
      <c r="T646" s="102">
        <f>IF(LS[[#This Row],[B/S]]="B",0,ABS(LS[[#This Row],[Unit]])*(LS[[#This Row],[NAV (Strike Rate)]]-INDEX(LS[NAV at Cost (Average)],MATCH(CONCATENATE(LS[[#This Row],[Frequency]]-1,LS[[#This Row],[Investor ID]]),LS[Unique Code],0),)))</f>
        <v>11567.350000000009</v>
      </c>
      <c r="U646" s="102" cm="1">
        <f t="array" ref="U646">IF(LS[[#This Row],[B/S]]="S",ABS(LS[[#This Row],[Unit]])*(INDEX(LS[NAV at Cost (Average)],MATCH(CONCATENATE((LS[[#This Row],[Frequency]]-1),LS[[#This Row],[Investor ID]]),LS[Unique Code],0),0)),0)</f>
        <v>500000</v>
      </c>
      <c r="V646" s="102">
        <f>IF(LS[[#This Row],[BO TRANSFER]]="YES",LS[[#This Row],[Unit]],)</f>
        <v>0</v>
      </c>
      <c r="W646" s="102">
        <f>SUMIFS(LS[[#Headers],[BO UNIT TRANSFER]]:LS[[#This Row],[BO UNIT TRANSFER]],LS[[#Headers],[Investor ID]]:LS[[#This Row],[Investor ID]],LS[[#This Row],[Investor ID]])</f>
        <v>0</v>
      </c>
    </row>
    <row r="647" spans="1:23">
      <c r="A647" s="75">
        <v>2024</v>
      </c>
      <c r="B647" s="75">
        <v>9</v>
      </c>
      <c r="C647" s="75">
        <v>12</v>
      </c>
      <c r="D647" s="160">
        <f>DATE(LS[[#This Row],[Year]],LS[[#This Row],[Month]],LS[[#This Row],[Day]])</f>
        <v>45547</v>
      </c>
      <c r="E647" s="158" t="str" cm="1">
        <f t="array" ref="E647">INDEX(INVESTORS_LIST[INVESTOR NAME],MATCH(LS[[#This Row],[Investor ID]],INVESTORS_LIST[INVESTOR CODE],0),)</f>
        <v xml:space="preserve">Mr. JAKARIA MD. JONY &amp; Ms. JOBAIDA KHANOM </v>
      </c>
      <c r="F647" s="161" t="s">
        <v>1281</v>
      </c>
      <c r="G647" s="159">
        <f>COUNTIF(LS[[#Headers],[Investor ID]]:LS[[#This Row],[Investor ID]],LS[[#This Row],[Investor ID]])</f>
        <v>1</v>
      </c>
      <c r="H647" s="159" t="str">
        <f>CONCATENATE(LS[[#This Row],[Frequency]],LS[[#This Row],[Investor ID]])</f>
        <v>1A00588</v>
      </c>
      <c r="I647" s="75" t="str">
        <f>IF(LS[[#This Row],[B/S]]="B","BUY",(IF(LS[[#This Row],[B/S]]="S","SELL"," ")))</f>
        <v>BUY</v>
      </c>
      <c r="J647" s="159" t="s">
        <v>1229</v>
      </c>
      <c r="K647" s="156">
        <v>2050000</v>
      </c>
      <c r="L647" s="158"/>
      <c r="M647" s="162">
        <f>LS[[#This Row],[Amount]]/LS[[#This Row],[Unit]]</f>
        <v>11.40999738404938</v>
      </c>
      <c r="N647" s="157">
        <f>LS[[#This Row],[Unit Capital]]/10</f>
        <v>179667</v>
      </c>
      <c r="O647" s="157">
        <f>SUMIFS(LS[[#Headers],[Unit]]:LS[[#This Row],[Unit]],LS[[#Headers],[Investor ID]]:LS[[#This Row],[Investor ID]],LS[[#This Row],[Investor ID]])</f>
        <v>179667</v>
      </c>
      <c r="P647" s="156">
        <v>1796670</v>
      </c>
      <c r="Q647" s="156">
        <f>LS[[#This Row],[Amount]]-LS[[#This Row],[Unit Capital]]</f>
        <v>253330</v>
      </c>
      <c r="R647" s="15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11.40999738404938</v>
      </c>
      <c r="S647" s="162">
        <f t="shared" si="10"/>
        <v>14.224</v>
      </c>
      <c r="T647" s="15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7" s="156" cm="1">
        <f t="array" ref="U647">IF(LS[[#This Row],[B/S]]="S",ABS(LS[[#This Row],[Unit]])*(INDEX(LS[NAV at Cost (Average)],MATCH(CONCATENATE((LS[[#This Row],[Frequency]]-1),LS[[#This Row],[Investor ID]]),LS[Unique Code],0),0)),0)</f>
        <v>0</v>
      </c>
      <c r="V647" s="156">
        <f>IF(LS[[#This Row],[BO TRANSFER]]="YES",LS[[#This Row],[Unit]],)</f>
        <v>0</v>
      </c>
      <c r="W647" s="156">
        <f>SUMIFS(LS[[#Headers],[BO UNIT TRANSFER]]:LS[[#This Row],[BO UNIT TRANSFER]],LS[[#Headers],[Investor ID]]:LS[[#This Row],[Investor ID]],LS[[#This Row],[Investor ID]])</f>
        <v>0</v>
      </c>
    </row>
    <row r="648" spans="1:23">
      <c r="A648" s="75">
        <v>2024</v>
      </c>
      <c r="B648" s="75">
        <v>9</v>
      </c>
      <c r="C648" s="75">
        <v>12</v>
      </c>
      <c r="D648" s="98">
        <f>DATE(LS[[#This Row],[Year]],LS[[#This Row],[Month]],LS[[#This Row],[Day]])</f>
        <v>45547</v>
      </c>
      <c r="E648" s="99" t="str" cm="1">
        <f t="array" ref="E648">INDEX(INVESTORS_LIST[INVESTOR NAME],MATCH(LS[[#This Row],[Investor ID]],INVESTORS_LIST[INVESTOR CODE],0),)</f>
        <v>SK FEROZ ALAM &amp; MD BULBUL ISLAM</v>
      </c>
      <c r="F648" s="100" t="s">
        <v>481</v>
      </c>
      <c r="G648" s="101">
        <f>COUNTIF(LS[[#Headers],[Investor ID]]:LS[[#This Row],[Investor ID]],LS[[#This Row],[Investor ID]])</f>
        <v>4</v>
      </c>
      <c r="H648" s="101" t="str">
        <f>CONCATENATE(LS[[#This Row],[Frequency]],LS[[#This Row],[Investor ID]])</f>
        <v>4A00216</v>
      </c>
      <c r="I648" s="75" t="str">
        <f>IF(LS[[#This Row],[B/S]]="B","BUY",(IF(LS[[#This Row],[B/S]]="S","SELL"," ")))</f>
        <v>BUY</v>
      </c>
      <c r="J648" s="101" t="s">
        <v>1229</v>
      </c>
      <c r="K648" s="102">
        <v>570500</v>
      </c>
      <c r="L648" s="99"/>
      <c r="M648" s="103">
        <f>LS[[#This Row],[Amount]]/LS[[#This Row],[Unit]]</f>
        <v>11.41</v>
      </c>
      <c r="N648" s="104">
        <f>LS[[#This Row],[Unit Capital]]/10</f>
        <v>50000</v>
      </c>
      <c r="O648" s="104">
        <f>SUMIFS(LS[[#Headers],[Unit]]:LS[[#This Row],[Unit]],LS[[#Headers],[Investor ID]]:LS[[#This Row],[Investor ID]],LS[[#This Row],[Investor ID]])</f>
        <v>50000</v>
      </c>
      <c r="P648" s="102">
        <v>500000</v>
      </c>
      <c r="Q648" s="102">
        <f>LS[[#This Row],[Amount]]-LS[[#This Row],[Unit Capital]]</f>
        <v>70500</v>
      </c>
      <c r="R6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11.41</v>
      </c>
      <c r="S648" s="103">
        <f t="shared" si="10"/>
        <v>14.224</v>
      </c>
      <c r="T6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8" s="102" cm="1">
        <f t="array" ref="U648">IF(LS[[#This Row],[B/S]]="S",ABS(LS[[#This Row],[Unit]])*(INDEX(LS[NAV at Cost (Average)],MATCH(CONCATENATE((LS[[#This Row],[Frequency]]-1),LS[[#This Row],[Investor ID]]),LS[Unique Code],0),0)),0)</f>
        <v>0</v>
      </c>
      <c r="V648" s="102">
        <f>IF(LS[[#This Row],[BO TRANSFER]]="YES",LS[[#This Row],[Unit]],)</f>
        <v>0</v>
      </c>
      <c r="W648" s="102">
        <f>SUMIFS(LS[[#Headers],[BO UNIT TRANSFER]]:LS[[#This Row],[BO UNIT TRANSFER]],LS[[#Headers],[Investor ID]]:LS[[#This Row],[Investor ID]],LS[[#This Row],[Investor ID]])</f>
        <v>0</v>
      </c>
    </row>
    <row r="649" spans="1:23">
      <c r="A649" s="75">
        <v>2024</v>
      </c>
      <c r="B649" s="75">
        <v>9</v>
      </c>
      <c r="C649" s="75">
        <v>14</v>
      </c>
      <c r="D649" s="98">
        <f>DATE(LS[[#This Row],[Year]],LS[[#This Row],[Month]],LS[[#This Row],[Day]])</f>
        <v>45549</v>
      </c>
      <c r="E649" s="99" t="str" cm="1">
        <f t="array" ref="E649">INDEX(INVESTORS_LIST[INVESTOR NAME],MATCH(LS[[#This Row],[Investor ID]],INVESTORS_LIST[INVESTOR CODE],0),)</f>
        <v>MD. WALID - AL - ZUBAYER</v>
      </c>
      <c r="F649" s="100" t="s">
        <v>565</v>
      </c>
      <c r="G649" s="101">
        <f>COUNTIF(LS[[#Headers],[Investor ID]]:LS[[#This Row],[Investor ID]],LS[[#This Row],[Investor ID]])</f>
        <v>1</v>
      </c>
      <c r="H649" s="101" t="str">
        <f>CONCATENATE(LS[[#This Row],[Frequency]],LS[[#This Row],[Investor ID]])</f>
        <v>1A00258</v>
      </c>
      <c r="I649" s="75" t="str">
        <f>IF(LS[[#This Row],[B/S]]="B","BUY",(IF(LS[[#This Row],[B/S]]="S","SELL"," ")))</f>
        <v>BUY</v>
      </c>
      <c r="J649" s="101" t="s">
        <v>1229</v>
      </c>
      <c r="K649" s="102">
        <v>497466</v>
      </c>
      <c r="L649" s="99"/>
      <c r="M649" s="103">
        <f>LS[[#This Row],[Amount]]/LS[[#This Row],[Unit]]</f>
        <v>11.436</v>
      </c>
      <c r="N649" s="104">
        <f>LS[[#This Row],[Unit Capital]]/10</f>
        <v>43500</v>
      </c>
      <c r="O649" s="104">
        <f>SUMIFS(LS[[#Headers],[Unit]]:LS[[#This Row],[Unit]],LS[[#Headers],[Investor ID]]:LS[[#This Row],[Investor ID]],LS[[#This Row],[Investor ID]])</f>
        <v>43500</v>
      </c>
      <c r="P649" s="102">
        <v>435000</v>
      </c>
      <c r="Q649" s="102">
        <f>LS[[#This Row],[Amount]]-LS[[#This Row],[Unit Capital]]</f>
        <v>62466</v>
      </c>
      <c r="R6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11.436</v>
      </c>
      <c r="S649" s="103">
        <f t="shared" si="10"/>
        <v>14.224</v>
      </c>
      <c r="T6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49" s="102" cm="1">
        <f t="array" ref="U649">IF(LS[[#This Row],[B/S]]="S",ABS(LS[[#This Row],[Unit]])*(INDEX(LS[NAV at Cost (Average)],MATCH(CONCATENATE((LS[[#This Row],[Frequency]]-1),LS[[#This Row],[Investor ID]]),LS[Unique Code],0),0)),0)</f>
        <v>0</v>
      </c>
      <c r="V649" s="102">
        <f>IF(LS[[#This Row],[BO TRANSFER]]="YES",LS[[#This Row],[Unit]],)</f>
        <v>0</v>
      </c>
      <c r="W649" s="102">
        <f>SUMIFS(LS[[#Headers],[BO UNIT TRANSFER]]:LS[[#This Row],[BO UNIT TRANSFER]],LS[[#Headers],[Investor ID]]:LS[[#This Row],[Investor ID]],LS[[#This Row],[Investor ID]])</f>
        <v>0</v>
      </c>
    </row>
    <row r="650" spans="1:23">
      <c r="A650" s="75">
        <v>2024</v>
      </c>
      <c r="B650" s="75">
        <v>9</v>
      </c>
      <c r="C650" s="75">
        <v>15</v>
      </c>
      <c r="D650" s="98">
        <f>DATE(LS[[#This Row],[Year]],LS[[#This Row],[Month]],LS[[#This Row],[Day]])</f>
        <v>45550</v>
      </c>
      <c r="E650" s="99" t="str" cm="1">
        <f t="array" ref="E650">INDEX(INVESTORS_LIST[INVESTOR NAME],MATCH(LS[[#This Row],[Investor ID]],INVESTORS_LIST[INVESTOR CODE],0),)</f>
        <v>ARIFUR RAHMAN</v>
      </c>
      <c r="F650" s="100" t="s">
        <v>278</v>
      </c>
      <c r="G650" s="101">
        <f>COUNTIF(LS[[#Headers],[Investor ID]]:LS[[#This Row],[Investor ID]],LS[[#This Row],[Investor ID]])</f>
        <v>7</v>
      </c>
      <c r="H650" s="101" t="str">
        <f>CONCATENATE(LS[[#This Row],[Frequency]],LS[[#This Row],[Investor ID]])</f>
        <v>7A00115</v>
      </c>
      <c r="I650" s="75" t="str">
        <f>IF(LS[[#This Row],[B/S]]="B","BUY",(IF(LS[[#This Row],[B/S]]="S","SELL"," ")))</f>
        <v>BUY</v>
      </c>
      <c r="J650" s="101" t="s">
        <v>1229</v>
      </c>
      <c r="K650" s="102">
        <v>100000</v>
      </c>
      <c r="L650" s="99"/>
      <c r="M650" s="103">
        <f>LS[[#This Row],[Amount]]/LS[[#This Row],[Unit]]</f>
        <v>11.436413540713632</v>
      </c>
      <c r="N650" s="104">
        <f>LS[[#This Row],[Unit Capital]]/10</f>
        <v>8744</v>
      </c>
      <c r="O650" s="104">
        <f>SUMIFS(LS[[#Headers],[Unit]]:LS[[#This Row],[Unit]],LS[[#Headers],[Investor ID]]:LS[[#This Row],[Investor ID]],LS[[#This Row],[Investor ID]])</f>
        <v>43843</v>
      </c>
      <c r="P650" s="102">
        <v>87440</v>
      </c>
      <c r="Q650" s="102">
        <f>LS[[#This Row],[Amount]]-LS[[#This Row],[Unit Capital]]</f>
        <v>12560</v>
      </c>
      <c r="R6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10.970964578153868</v>
      </c>
      <c r="S650" s="103">
        <f t="shared" si="10"/>
        <v>14.224</v>
      </c>
      <c r="T6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0" s="102" cm="1">
        <f t="array" ref="U650">IF(LS[[#This Row],[B/S]]="S",ABS(LS[[#This Row],[Unit]])*(INDEX(LS[NAV at Cost (Average)],MATCH(CONCATENATE((LS[[#This Row],[Frequency]]-1),LS[[#This Row],[Investor ID]]),LS[Unique Code],0),0)),0)</f>
        <v>0</v>
      </c>
      <c r="V650" s="102">
        <f>IF(LS[[#This Row],[BO TRANSFER]]="YES",LS[[#This Row],[Unit]],)</f>
        <v>0</v>
      </c>
      <c r="W650" s="102">
        <f>SUMIFS(LS[[#Headers],[BO UNIT TRANSFER]]:LS[[#This Row],[BO UNIT TRANSFER]],LS[[#Headers],[Investor ID]]:LS[[#This Row],[Investor ID]],LS[[#This Row],[Investor ID]])</f>
        <v>0</v>
      </c>
    </row>
    <row r="651" spans="1:23">
      <c r="A651" s="75">
        <v>2024</v>
      </c>
      <c r="B651" s="75">
        <v>9</v>
      </c>
      <c r="C651" s="75">
        <v>15</v>
      </c>
      <c r="D651" s="98">
        <f>DATE(LS[[#This Row],[Year]],LS[[#This Row],[Month]],LS[[#This Row],[Day]])</f>
        <v>45550</v>
      </c>
      <c r="E651" s="99" t="str" cm="1">
        <f t="array" ref="E651">INDEX(INVESTORS_LIST[INVESTOR NAME],MATCH(LS[[#This Row],[Investor ID]],INVESTORS_LIST[INVESTOR CODE],0),)</f>
        <v>MD. WALID - AL - ZUBAYER</v>
      </c>
      <c r="F651" s="100" t="s">
        <v>565</v>
      </c>
      <c r="G651" s="101">
        <f>COUNTIF(LS[[#Headers],[Investor ID]]:LS[[#This Row],[Investor ID]],LS[[#This Row],[Investor ID]])</f>
        <v>2</v>
      </c>
      <c r="H651" s="101" t="str">
        <f>CONCATENATE(LS[[#This Row],[Frequency]],LS[[#This Row],[Investor ID]])</f>
        <v>2A00258</v>
      </c>
      <c r="I651" s="75" t="str">
        <f>IF(LS[[#This Row],[B/S]]="B","BUY",(IF(LS[[#This Row],[B/S]]="S","SELL"," ")))</f>
        <v>BUY</v>
      </c>
      <c r="J651" s="101" t="s">
        <v>1229</v>
      </c>
      <c r="K651" s="102">
        <v>497466</v>
      </c>
      <c r="L651" s="99"/>
      <c r="M651" s="103">
        <f>LS[[#This Row],[Amount]]/LS[[#This Row],[Unit]]</f>
        <v>11.436</v>
      </c>
      <c r="N651" s="104">
        <f>LS[[#This Row],[Unit Capital]]/10</f>
        <v>43500</v>
      </c>
      <c r="O651" s="104">
        <f>SUMIFS(LS[[#Headers],[Unit]]:LS[[#This Row],[Unit]],LS[[#Headers],[Investor ID]]:LS[[#This Row],[Investor ID]],LS[[#This Row],[Investor ID]])</f>
        <v>87000</v>
      </c>
      <c r="P651" s="102">
        <v>435000</v>
      </c>
      <c r="Q651" s="102">
        <f>LS[[#This Row],[Amount]]-LS[[#This Row],[Unit Capital]]</f>
        <v>62466</v>
      </c>
      <c r="R6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11.436</v>
      </c>
      <c r="S651" s="103">
        <f t="shared" si="10"/>
        <v>14.224</v>
      </c>
      <c r="T6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1" s="102" cm="1">
        <f t="array" ref="U651">IF(LS[[#This Row],[B/S]]="S",ABS(LS[[#This Row],[Unit]])*(INDEX(LS[NAV at Cost (Average)],MATCH(CONCATENATE((LS[[#This Row],[Frequency]]-1),LS[[#This Row],[Investor ID]]),LS[Unique Code],0),0)),0)</f>
        <v>0</v>
      </c>
      <c r="V651" s="102">
        <f>IF(LS[[#This Row],[BO TRANSFER]]="YES",LS[[#This Row],[Unit]],)</f>
        <v>0</v>
      </c>
      <c r="W651" s="102">
        <f>SUMIFS(LS[[#Headers],[BO UNIT TRANSFER]]:LS[[#This Row],[BO UNIT TRANSFER]],LS[[#Headers],[Investor ID]]:LS[[#This Row],[Investor ID]],LS[[#This Row],[Investor ID]])</f>
        <v>0</v>
      </c>
    </row>
    <row r="652" spans="1:23">
      <c r="A652" s="75">
        <v>2024</v>
      </c>
      <c r="B652" s="75">
        <v>9</v>
      </c>
      <c r="C652" s="75">
        <v>17</v>
      </c>
      <c r="D652" s="98">
        <f>DATE(LS[[#This Row],[Year]],LS[[#This Row],[Month]],LS[[#This Row],[Day]])</f>
        <v>45552</v>
      </c>
      <c r="E652" t="str" cm="1">
        <f t="array" ref="E652">INDEX(INVESTORS_LIST[INVESTOR NAME],MATCH(LS[[#This Row],[Investor ID]],INVESTORS_LIST[INVESTOR CODE],0),)</f>
        <v>EKUSH WEALTH MANAGEMENT LIMITED</v>
      </c>
      <c r="F652" s="100" t="s">
        <v>47</v>
      </c>
      <c r="G652" s="101">
        <f>COUNTIF(LS[[#Headers],[Investor ID]]:LS[[#This Row],[Investor ID]],LS[[#This Row],[Investor ID]])</f>
        <v>24</v>
      </c>
      <c r="H652" s="101" t="str">
        <f>CONCATENATE(LS[[#This Row],[Frequency]],LS[[#This Row],[Investor ID]])</f>
        <v>24A00003</v>
      </c>
      <c r="I652" s="75" t="str">
        <f>IF(LS[[#This Row],[B/S]]="B","BUY",(IF(LS[[#This Row],[B/S]]="S","SELL"," ")))</f>
        <v>SELL</v>
      </c>
      <c r="J652" s="101" t="s">
        <v>1231</v>
      </c>
      <c r="K652" s="102">
        <v>-4000000</v>
      </c>
      <c r="L652" s="99"/>
      <c r="M652" s="103">
        <f>LS[[#This Row],[Amount]]/LS[[#This Row],[Unit]]</f>
        <v>11.435988483959596</v>
      </c>
      <c r="N652" s="104">
        <f>LS[[#This Row],[Unit Capital]]/10</f>
        <v>-349773</v>
      </c>
      <c r="O652" s="104">
        <f>SUMIFS(LS[[#Headers],[Unit]]:LS[[#This Row],[Unit]],LS[[#Headers],[Investor ID]]:LS[[#This Row],[Investor ID]],LS[[#This Row],[Investor ID]])</f>
        <v>899952</v>
      </c>
      <c r="P652" s="102">
        <v>-3497730</v>
      </c>
      <c r="Q652" s="102">
        <f>LS[[#This Row],[Amount]]-LS[[#This Row],[Unit Capital]]</f>
        <v>-502270</v>
      </c>
      <c r="R6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11.005260135020356</v>
      </c>
      <c r="S652" s="103">
        <f t="shared" si="10"/>
        <v>14.224</v>
      </c>
      <c r="T652" s="102">
        <f>IF(LS[[#This Row],[B/S]]="B",0,ABS(LS[[#This Row],[Unit]])*(LS[[#This Row],[NAV (Strike Rate)]]-INDEX(LS[NAV at Cost (Average)],MATCH(CONCATENATE(LS[[#This Row],[Frequency]]-1,LS[[#This Row],[Investor ID]]),LS[Unique Code],0),)))</f>
        <v>150657.14679352494</v>
      </c>
      <c r="U652" s="102" cm="1">
        <f t="array" ref="U652">IF(LS[[#This Row],[B/S]]="S",ABS(LS[[#This Row],[Unit]])*(INDEX(LS[NAV at Cost (Average)],MATCH(CONCATENATE((LS[[#This Row],[Frequency]]-1),LS[[#This Row],[Investor ID]]),LS[Unique Code],0),0)),0)</f>
        <v>3849342.8532064748</v>
      </c>
      <c r="V652" s="102">
        <f>IF(LS[[#This Row],[BO TRANSFER]]="YES",LS[[#This Row],[Unit]],)</f>
        <v>0</v>
      </c>
      <c r="W652" s="102">
        <f>SUMIFS(LS[[#Headers],[BO UNIT TRANSFER]]:LS[[#This Row],[BO UNIT TRANSFER]],LS[[#Headers],[Investor ID]]:LS[[#This Row],[Investor ID]],LS[[#This Row],[Investor ID]])</f>
        <v>0</v>
      </c>
    </row>
    <row r="653" spans="1:23">
      <c r="A653" s="75">
        <v>2024</v>
      </c>
      <c r="B653" s="75">
        <v>9</v>
      </c>
      <c r="C653" s="75">
        <v>17</v>
      </c>
      <c r="D653" s="98">
        <f>DATE(LS[[#This Row],[Year]],LS[[#This Row],[Month]],LS[[#This Row],[Day]])</f>
        <v>45552</v>
      </c>
      <c r="E653" s="99" t="str" cm="1">
        <f t="array" ref="E653">INDEX(INVESTORS_LIST[INVESTOR NAME],MATCH(LS[[#This Row],[Investor ID]],INVESTORS_LIST[INVESTOR CODE],0),)</f>
        <v>MD. WALID - AL - ZUBAYER</v>
      </c>
      <c r="F653" s="100" t="s">
        <v>565</v>
      </c>
      <c r="G653" s="101">
        <f>COUNTIF(LS[[#Headers],[Investor ID]]:LS[[#This Row],[Investor ID]],LS[[#This Row],[Investor ID]])</f>
        <v>3</v>
      </c>
      <c r="H653" s="101" t="str">
        <f>CONCATENATE(LS[[#This Row],[Frequency]],LS[[#This Row],[Investor ID]])</f>
        <v>3A00258</v>
      </c>
      <c r="I653" s="75" t="str">
        <f>IF(LS[[#This Row],[B/S]]="B","BUY",(IF(LS[[#This Row],[B/S]]="S","SELL"," ")))</f>
        <v>BUY</v>
      </c>
      <c r="J653" s="101" t="s">
        <v>1229</v>
      </c>
      <c r="K653" s="102">
        <v>148668</v>
      </c>
      <c r="L653" s="99"/>
      <c r="M653" s="103">
        <f>LS[[#This Row],[Amount]]/LS[[#This Row],[Unit]]</f>
        <v>11.436</v>
      </c>
      <c r="N653" s="104">
        <f>LS[[#This Row],[Unit Capital]]/10</f>
        <v>13000</v>
      </c>
      <c r="O653" s="104">
        <f>SUMIFS(LS[[#Headers],[Unit]]:LS[[#This Row],[Unit]],LS[[#Headers],[Investor ID]]:LS[[#This Row],[Investor ID]],LS[[#This Row],[Investor ID]])</f>
        <v>100000</v>
      </c>
      <c r="P653" s="102">
        <v>130000</v>
      </c>
      <c r="Q653" s="102">
        <f>LS[[#This Row],[Amount]]-LS[[#This Row],[Unit Capital]]</f>
        <v>18668</v>
      </c>
      <c r="R6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11.436</v>
      </c>
      <c r="S653" s="103">
        <f t="shared" si="10"/>
        <v>14.224</v>
      </c>
      <c r="T65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3" s="102" cm="1">
        <f t="array" ref="U653">IF(LS[[#This Row],[B/S]]="S",ABS(LS[[#This Row],[Unit]])*(INDEX(LS[NAV at Cost (Average)],MATCH(CONCATENATE((LS[[#This Row],[Frequency]]-1),LS[[#This Row],[Investor ID]]),LS[Unique Code],0),0)),0)</f>
        <v>0</v>
      </c>
      <c r="V653" s="102">
        <f>IF(LS[[#This Row],[BO TRANSFER]]="YES",LS[[#This Row],[Unit]],)</f>
        <v>0</v>
      </c>
      <c r="W653" s="102">
        <f>SUMIFS(LS[[#Headers],[BO UNIT TRANSFER]]:LS[[#This Row],[BO UNIT TRANSFER]],LS[[#Headers],[Investor ID]]:LS[[#This Row],[Investor ID]],LS[[#This Row],[Investor ID]])</f>
        <v>0</v>
      </c>
    </row>
    <row r="654" spans="1:23">
      <c r="A654" s="75">
        <v>2024</v>
      </c>
      <c r="B654" s="75">
        <v>9</v>
      </c>
      <c r="C654" s="75">
        <v>17</v>
      </c>
      <c r="D654" s="98">
        <f>DATE(LS[[#This Row],[Year]],LS[[#This Row],[Month]],LS[[#This Row],[Day]])</f>
        <v>45552</v>
      </c>
      <c r="E654" s="99" t="str" cm="1">
        <f t="array" ref="E654">INDEX(INVESTORS_LIST[INVESTOR NAME],MATCH(LS[[#This Row],[Investor ID]],INVESTORS_LIST[INVESTOR CODE],0),)</f>
        <v>CHAONIKA SAHA</v>
      </c>
      <c r="F654" s="100" t="s">
        <v>238</v>
      </c>
      <c r="G654" s="101">
        <f>COUNTIF(LS[[#Headers],[Investor ID]]:LS[[#This Row],[Investor ID]],LS[[#This Row],[Investor ID]])</f>
        <v>6</v>
      </c>
      <c r="H654" s="101" t="str">
        <f>CONCATENATE(LS[[#This Row],[Frequency]],LS[[#This Row],[Investor ID]])</f>
        <v>6A00095</v>
      </c>
      <c r="I654" s="75" t="str">
        <f>IF(LS[[#This Row],[B/S]]="B","BUY",(IF(LS[[#This Row],[B/S]]="S","SELL"," ")))</f>
        <v>BUY</v>
      </c>
      <c r="J654" s="101" t="s">
        <v>1229</v>
      </c>
      <c r="K654" s="102">
        <v>15000</v>
      </c>
      <c r="L654" s="99"/>
      <c r="M654" s="103">
        <f>LS[[#This Row],[Amount]]/LS[[#This Row],[Unit]]</f>
        <v>11.432926829268293</v>
      </c>
      <c r="N654" s="104">
        <f>LS[[#This Row],[Unit Capital]]/10</f>
        <v>1312</v>
      </c>
      <c r="O654" s="104">
        <f>SUMIFS(LS[[#Headers],[Unit]]:LS[[#This Row],[Unit]],LS[[#Headers],[Investor ID]]:LS[[#This Row],[Investor ID]],LS[[#This Row],[Investor ID]])</f>
        <v>18559</v>
      </c>
      <c r="P654" s="102">
        <v>13120</v>
      </c>
      <c r="Q654" s="102">
        <f>LS[[#This Row],[Amount]]-LS[[#This Row],[Unit Capital]]</f>
        <v>1880</v>
      </c>
      <c r="R6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10.453149415377984</v>
      </c>
      <c r="S654" s="103">
        <f t="shared" si="10"/>
        <v>14.224</v>
      </c>
      <c r="T6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4" s="102" cm="1">
        <f t="array" ref="U654">IF(LS[[#This Row],[B/S]]="S",ABS(LS[[#This Row],[Unit]])*(INDEX(LS[NAV at Cost (Average)],MATCH(CONCATENATE((LS[[#This Row],[Frequency]]-1),LS[[#This Row],[Investor ID]]),LS[Unique Code],0),0)),0)</f>
        <v>0</v>
      </c>
      <c r="V654" s="102">
        <f>IF(LS[[#This Row],[BO TRANSFER]]="YES",LS[[#This Row],[Unit]],)</f>
        <v>0</v>
      </c>
      <c r="W654" s="102">
        <f>SUMIFS(LS[[#Headers],[BO UNIT TRANSFER]]:LS[[#This Row],[BO UNIT TRANSFER]],LS[[#Headers],[Investor ID]]:LS[[#This Row],[Investor ID]],LS[[#This Row],[Investor ID]])</f>
        <v>0</v>
      </c>
    </row>
    <row r="655" spans="1:23">
      <c r="A655" s="75">
        <v>2024</v>
      </c>
      <c r="B655" s="75">
        <v>9</v>
      </c>
      <c r="C655" s="75">
        <v>18</v>
      </c>
      <c r="D655" s="98">
        <f>DATE(LS[[#This Row],[Year]],LS[[#This Row],[Month]],LS[[#This Row],[Day]])</f>
        <v>45553</v>
      </c>
      <c r="E655" s="99" t="str" cm="1">
        <f t="array" ref="E655">INDEX(INVESTORS_LIST[INVESTOR NAME],MATCH(LS[[#This Row],[Investor ID]],INVESTORS_LIST[INVESTOR CODE],0),)</f>
        <v>MAYA RANI SAHA</v>
      </c>
      <c r="F655" s="100" t="s">
        <v>224</v>
      </c>
      <c r="G655" s="101">
        <f>COUNTIF(LS[[#Headers],[Investor ID]]:LS[[#This Row],[Investor ID]],LS[[#This Row],[Investor ID]])</f>
        <v>11</v>
      </c>
      <c r="H655" s="101" t="str">
        <f>CONCATENATE(LS[[#This Row],[Frequency]],LS[[#This Row],[Investor ID]])</f>
        <v>11A00088</v>
      </c>
      <c r="I655" s="75" t="str">
        <f>IF(LS[[#This Row],[B/S]]="B","BUY",(IF(LS[[#This Row],[B/S]]="S","SELL"," ")))</f>
        <v>BUY</v>
      </c>
      <c r="J655" s="101" t="s">
        <v>1229</v>
      </c>
      <c r="K655" s="102">
        <v>250000</v>
      </c>
      <c r="L655" s="99"/>
      <c r="M655" s="103">
        <f>LS[[#This Row],[Amount]]/LS[[#This Row],[Unit]]</f>
        <v>11.435890398426421</v>
      </c>
      <c r="N655" s="104">
        <f>LS[[#This Row],[Unit Capital]]/10</f>
        <v>21861</v>
      </c>
      <c r="O655" s="104">
        <f>SUMIFS(LS[[#Headers],[Unit]]:LS[[#This Row],[Unit]],LS[[#Headers],[Investor ID]]:LS[[#This Row],[Investor ID]],LS[[#This Row],[Investor ID]])</f>
        <v>583244</v>
      </c>
      <c r="P655" s="102">
        <v>218610</v>
      </c>
      <c r="Q655" s="102">
        <f>LS[[#This Row],[Amount]]-LS[[#This Row],[Unit Capital]]</f>
        <v>31390</v>
      </c>
      <c r="R6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10.373017124908273</v>
      </c>
      <c r="S655" s="103">
        <f t="shared" si="10"/>
        <v>14.224</v>
      </c>
      <c r="T6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5" s="102" cm="1">
        <f t="array" ref="U655">IF(LS[[#This Row],[B/S]]="S",ABS(LS[[#This Row],[Unit]])*(INDEX(LS[NAV at Cost (Average)],MATCH(CONCATENATE((LS[[#This Row],[Frequency]]-1),LS[[#This Row],[Investor ID]]),LS[Unique Code],0),0)),0)</f>
        <v>0</v>
      </c>
      <c r="V655" s="102">
        <f>IF(LS[[#This Row],[BO TRANSFER]]="YES",LS[[#This Row],[Unit]],)</f>
        <v>0</v>
      </c>
      <c r="W655" s="102">
        <f>SUMIFS(LS[[#Headers],[BO UNIT TRANSFER]]:LS[[#This Row],[BO UNIT TRANSFER]],LS[[#Headers],[Investor ID]]:LS[[#This Row],[Investor ID]],LS[[#This Row],[Investor ID]])</f>
        <v>0</v>
      </c>
    </row>
    <row r="656" spans="1:23">
      <c r="A656" s="75">
        <v>2024</v>
      </c>
      <c r="B656" s="75">
        <v>9</v>
      </c>
      <c r="C656" s="75">
        <v>19</v>
      </c>
      <c r="D656" s="98">
        <f>DATE(LS[[#This Row],[Year]],LS[[#This Row],[Month]],LS[[#This Row],[Day]])</f>
        <v>45554</v>
      </c>
      <c r="E656" s="99" t="str" cm="1">
        <f t="array" ref="E656">INDEX(INVESTORS_LIST[INVESTOR NAME],MATCH(LS[[#This Row],[Investor ID]],INVESTORS_LIST[INVESTOR CODE],0),)</f>
        <v>MUHAMMAD SHOHIDUZZAMAN</v>
      </c>
      <c r="F656" s="100" t="s">
        <v>986</v>
      </c>
      <c r="G656" s="101">
        <f>COUNTIF(LS[[#Headers],[Investor ID]]:LS[[#This Row],[Investor ID]],LS[[#This Row],[Investor ID]])</f>
        <v>6</v>
      </c>
      <c r="H656" s="101" t="str">
        <f>CONCATENATE(LS[[#This Row],[Frequency]],LS[[#This Row],[Investor ID]])</f>
        <v>6A00470</v>
      </c>
      <c r="I656" s="75" t="str">
        <f>IF(LS[[#This Row],[B/S]]="B","BUY",(IF(LS[[#This Row],[B/S]]="S","SELL"," ")))</f>
        <v>BUY</v>
      </c>
      <c r="J656" s="101" t="s">
        <v>1229</v>
      </c>
      <c r="K656" s="102">
        <v>2000000</v>
      </c>
      <c r="L656" s="99" t="s">
        <v>1230</v>
      </c>
      <c r="M656" s="103">
        <f>LS[[#This Row],[Amount]]/LS[[#This Row],[Unit]]</f>
        <v>11.436021179511224</v>
      </c>
      <c r="N656" s="104">
        <f>LS[[#This Row],[Unit Capital]]/10</f>
        <v>174886</v>
      </c>
      <c r="O656" s="104">
        <f>SUMIFS(LS[[#Headers],[Unit]]:LS[[#This Row],[Unit]],LS[[#Headers],[Investor ID]]:LS[[#This Row],[Investor ID]],LS[[#This Row],[Investor ID]])</f>
        <v>1114736</v>
      </c>
      <c r="P656" s="102">
        <v>1748860</v>
      </c>
      <c r="Q656" s="102">
        <f>LS[[#This Row],[Amount]]-LS[[#This Row],[Unit Capital]]</f>
        <v>251140</v>
      </c>
      <c r="R6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11.213417347246343</v>
      </c>
      <c r="S656" s="103">
        <f t="shared" si="10"/>
        <v>14.224</v>
      </c>
      <c r="T6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6" s="102" cm="1">
        <f t="array" ref="U656">IF(LS[[#This Row],[B/S]]="S",ABS(LS[[#This Row],[Unit]])*(INDEX(LS[NAV at Cost (Average)],MATCH(CONCATENATE((LS[[#This Row],[Frequency]]-1),LS[[#This Row],[Investor ID]]),LS[Unique Code],0),0)),0)</f>
        <v>0</v>
      </c>
      <c r="V656" s="102">
        <f>IF(LS[[#This Row],[BO TRANSFER]]="YES",LS[[#This Row],[Unit]],)</f>
        <v>174886</v>
      </c>
      <c r="W656" s="102">
        <f>SUMIFS(LS[[#Headers],[BO UNIT TRANSFER]]:LS[[#This Row],[BO UNIT TRANSFER]],LS[[#Headers],[Investor ID]]:LS[[#This Row],[Investor ID]],LS[[#This Row],[Investor ID]])</f>
        <v>1069901</v>
      </c>
    </row>
    <row r="657" spans="1:23">
      <c r="A657" s="75">
        <v>2024</v>
      </c>
      <c r="B657" s="75">
        <v>9</v>
      </c>
      <c r="C657" s="75">
        <v>19</v>
      </c>
      <c r="D657" s="98">
        <f>DATE(LS[[#This Row],[Year]],LS[[#This Row],[Month]],LS[[#This Row],[Day]])</f>
        <v>45554</v>
      </c>
      <c r="E657" s="99" t="str" cm="1">
        <f t="array" ref="E657">INDEX(INVESTORS_LIST[INVESTOR NAME],MATCH(LS[[#This Row],[Investor ID]],INVESTORS_LIST[INVESTOR CODE],0),)</f>
        <v>MD. WALID - AL - ZUBAYER</v>
      </c>
      <c r="F657" s="100" t="s">
        <v>565</v>
      </c>
      <c r="G657" s="101">
        <f>COUNTIF(LS[[#Headers],[Investor ID]]:LS[[#This Row],[Investor ID]],LS[[#This Row],[Investor ID]])</f>
        <v>4</v>
      </c>
      <c r="H657" s="101" t="str">
        <f>CONCATENATE(LS[[#This Row],[Frequency]],LS[[#This Row],[Investor ID]])</f>
        <v>4A00258</v>
      </c>
      <c r="I657" s="75" t="str">
        <f>IF(LS[[#This Row],[B/S]]="B","BUY",(IF(LS[[#This Row],[B/S]]="S","SELL"," ")))</f>
        <v>BUY</v>
      </c>
      <c r="J657" s="101" t="s">
        <v>1229</v>
      </c>
      <c r="K657" s="102">
        <v>228720</v>
      </c>
      <c r="L657" s="99"/>
      <c r="M657" s="103">
        <f>LS[[#This Row],[Amount]]/LS[[#This Row],[Unit]]</f>
        <v>11.436</v>
      </c>
      <c r="N657" s="104">
        <f>LS[[#This Row],[Unit Capital]]/10</f>
        <v>20000</v>
      </c>
      <c r="O657" s="104">
        <f>SUMIFS(LS[[#Headers],[Unit]]:LS[[#This Row],[Unit]],LS[[#Headers],[Investor ID]]:LS[[#This Row],[Investor ID]],LS[[#This Row],[Investor ID]])</f>
        <v>120000</v>
      </c>
      <c r="P657" s="102">
        <v>200000</v>
      </c>
      <c r="Q657" s="102">
        <f>LS[[#This Row],[Amount]]-LS[[#This Row],[Unit Capital]]</f>
        <v>28720</v>
      </c>
      <c r="R6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11.436000000000002</v>
      </c>
      <c r="S657" s="103">
        <f t="shared" si="10"/>
        <v>14.224</v>
      </c>
      <c r="T6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7" s="102" cm="1">
        <f t="array" ref="U657">IF(LS[[#This Row],[B/S]]="S",ABS(LS[[#This Row],[Unit]])*(INDEX(LS[NAV at Cost (Average)],MATCH(CONCATENATE((LS[[#This Row],[Frequency]]-1),LS[[#This Row],[Investor ID]]),LS[Unique Code],0),0)),0)</f>
        <v>0</v>
      </c>
      <c r="V657" s="102">
        <f>IF(LS[[#This Row],[BO TRANSFER]]="YES",LS[[#This Row],[Unit]],)</f>
        <v>0</v>
      </c>
      <c r="W657" s="102">
        <f>SUMIFS(LS[[#Headers],[BO UNIT TRANSFER]]:LS[[#This Row],[BO UNIT TRANSFER]],LS[[#Headers],[Investor ID]]:LS[[#This Row],[Investor ID]],LS[[#This Row],[Investor ID]])</f>
        <v>0</v>
      </c>
    </row>
    <row r="658" spans="1:23">
      <c r="A658" s="75">
        <v>2024</v>
      </c>
      <c r="B658" s="75">
        <v>9</v>
      </c>
      <c r="C658" s="75">
        <v>22</v>
      </c>
      <c r="D658" s="98">
        <f>DATE(LS[[#This Row],[Year]],LS[[#This Row],[Month]],LS[[#This Row],[Day]])</f>
        <v>45557</v>
      </c>
      <c r="E658" s="99" t="str" cm="1">
        <f t="array" ref="E658">INDEX(INVESTORS_LIST[INVESTOR NAME],MATCH(LS[[#This Row],[Investor ID]],INVESTORS_LIST[INVESTOR CODE],0),)</f>
        <v>MAYA RANI SAHA</v>
      </c>
      <c r="F658" s="100" t="s">
        <v>224</v>
      </c>
      <c r="G658" s="101">
        <f>COUNTIF(LS[[#Headers],[Investor ID]]:LS[[#This Row],[Investor ID]],LS[[#This Row],[Investor ID]])</f>
        <v>12</v>
      </c>
      <c r="H658" s="101" t="str">
        <f>CONCATENATE(LS[[#This Row],[Frequency]],LS[[#This Row],[Investor ID]])</f>
        <v>12A00088</v>
      </c>
      <c r="I658" s="75" t="str">
        <f>IF(LS[[#This Row],[B/S]]="B","BUY",(IF(LS[[#This Row],[B/S]]="S","SELL"," ")))</f>
        <v>BUY</v>
      </c>
      <c r="J658" s="101" t="s">
        <v>1229</v>
      </c>
      <c r="K658" s="102">
        <v>100000</v>
      </c>
      <c r="L658" s="99"/>
      <c r="M658" s="103">
        <f>LS[[#This Row],[Amount]]/LS[[#This Row],[Unit]]</f>
        <v>11.461318051575931</v>
      </c>
      <c r="N658" s="104">
        <f>LS[[#This Row],[Unit Capital]]/10</f>
        <v>8725</v>
      </c>
      <c r="O658" s="104">
        <f>SUMIFS(LS[[#Headers],[Unit]]:LS[[#This Row],[Unit]],LS[[#Headers],[Investor ID]]:LS[[#This Row],[Investor ID]],LS[[#This Row],[Investor ID]])</f>
        <v>591969</v>
      </c>
      <c r="P658" s="102">
        <v>87250</v>
      </c>
      <c r="Q658" s="102">
        <f>LS[[#This Row],[Amount]]-LS[[#This Row],[Unit Capital]]</f>
        <v>12750</v>
      </c>
      <c r="R6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10.389057535107414</v>
      </c>
      <c r="S658" s="103">
        <f t="shared" si="10"/>
        <v>14.224</v>
      </c>
      <c r="T6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8" s="102" cm="1">
        <f t="array" ref="U658">IF(LS[[#This Row],[B/S]]="S",ABS(LS[[#This Row],[Unit]])*(INDEX(LS[NAV at Cost (Average)],MATCH(CONCATENATE((LS[[#This Row],[Frequency]]-1),LS[[#This Row],[Investor ID]]),LS[Unique Code],0),0)),0)</f>
        <v>0</v>
      </c>
      <c r="V658" s="102">
        <f>IF(LS[[#This Row],[BO TRANSFER]]="YES",LS[[#This Row],[Unit]],)</f>
        <v>0</v>
      </c>
      <c r="W658" s="102">
        <f>SUMIFS(LS[[#Headers],[BO UNIT TRANSFER]]:LS[[#This Row],[BO UNIT TRANSFER]],LS[[#Headers],[Investor ID]]:LS[[#This Row],[Investor ID]],LS[[#This Row],[Investor ID]])</f>
        <v>0</v>
      </c>
    </row>
    <row r="659" spans="1:23">
      <c r="A659" s="75">
        <v>2024</v>
      </c>
      <c r="B659" s="75">
        <v>9</v>
      </c>
      <c r="C659" s="75">
        <v>23</v>
      </c>
      <c r="D659" s="98">
        <f>DATE(LS[[#This Row],[Year]],LS[[#This Row],[Month]],LS[[#This Row],[Day]])</f>
        <v>45558</v>
      </c>
      <c r="E659" s="99" t="str" cm="1">
        <f t="array" ref="E659">INDEX(INVESTORS_LIST[INVESTOR NAME],MATCH(LS[[#This Row],[Investor ID]],INVESTORS_LIST[INVESTOR CODE],0),)</f>
        <v>KHAN MUHAMMAD KAWSER AHMED</v>
      </c>
      <c r="F659" s="100" t="s">
        <v>944</v>
      </c>
      <c r="G659" s="101">
        <f>COUNTIF(LS[[#Headers],[Investor ID]]:LS[[#This Row],[Investor ID]],LS[[#This Row],[Investor ID]])</f>
        <v>10</v>
      </c>
      <c r="H659" s="101" t="str">
        <f>CONCATENATE(LS[[#This Row],[Frequency]],LS[[#This Row],[Investor ID]])</f>
        <v>10A00449</v>
      </c>
      <c r="I659" s="75" t="str">
        <f>IF(LS[[#This Row],[B/S]]="B","BUY",(IF(LS[[#This Row],[B/S]]="S","SELL"," ")))</f>
        <v>BUY</v>
      </c>
      <c r="J659" s="101" t="s">
        <v>1229</v>
      </c>
      <c r="K659" s="102">
        <v>10000000</v>
      </c>
      <c r="L659" s="99"/>
      <c r="M659" s="103">
        <f>LS[[#This Row],[Amount]]/LS[[#This Row],[Unit]]</f>
        <v>11.461002791900279</v>
      </c>
      <c r="N659" s="104">
        <f>LS[[#This Row],[Unit Capital]]/10</f>
        <v>872524</v>
      </c>
      <c r="O659" s="104">
        <f>SUMIFS(LS[[#Headers],[Unit]]:LS[[#This Row],[Unit]],LS[[#Headers],[Investor ID]]:LS[[#This Row],[Investor ID]],LS[[#This Row],[Investor ID]])</f>
        <v>6402847</v>
      </c>
      <c r="P659" s="102">
        <v>8725240</v>
      </c>
      <c r="Q659" s="102">
        <f>LS[[#This Row],[Amount]]-LS[[#This Row],[Unit Capital]]</f>
        <v>1274760</v>
      </c>
      <c r="R6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11.213183418554594</v>
      </c>
      <c r="S659" s="103">
        <f t="shared" si="10"/>
        <v>14.224</v>
      </c>
      <c r="T65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59" s="102" cm="1">
        <f t="array" ref="U659">IF(LS[[#This Row],[B/S]]="S",ABS(LS[[#This Row],[Unit]])*(INDEX(LS[NAV at Cost (Average)],MATCH(CONCATENATE((LS[[#This Row],[Frequency]]-1),LS[[#This Row],[Investor ID]]),LS[Unique Code],0),0)),0)</f>
        <v>0</v>
      </c>
      <c r="V659" s="102">
        <f>IF(LS[[#This Row],[BO TRANSFER]]="YES",LS[[#This Row],[Unit]],)</f>
        <v>0</v>
      </c>
      <c r="W659" s="102">
        <f>SUMIFS(LS[[#Headers],[BO UNIT TRANSFER]]:LS[[#This Row],[BO UNIT TRANSFER]],LS[[#Headers],[Investor ID]]:LS[[#This Row],[Investor ID]],LS[[#This Row],[Investor ID]])</f>
        <v>0</v>
      </c>
    </row>
    <row r="660" spans="1:23">
      <c r="A660" s="75">
        <v>2024</v>
      </c>
      <c r="B660" s="75">
        <v>9</v>
      </c>
      <c r="C660" s="75">
        <v>23</v>
      </c>
      <c r="D660" s="98">
        <f>DATE(LS[[#This Row],[Year]],LS[[#This Row],[Month]],LS[[#This Row],[Day]])</f>
        <v>45558</v>
      </c>
      <c r="E660" s="99" t="str" cm="1">
        <f t="array" ref="E660">INDEX(INVESTORS_LIST[INVESTOR NAME],MATCH(LS[[#This Row],[Investor ID]],INVESTORS_LIST[INVESTOR CODE],0),)</f>
        <v>MD. MONIRUZZAMAN</v>
      </c>
      <c r="F660" s="100" t="s">
        <v>274</v>
      </c>
      <c r="G660" s="101">
        <f>COUNTIF(LS[[#Headers],[Investor ID]]:LS[[#This Row],[Investor ID]],LS[[#This Row],[Investor ID]])</f>
        <v>1</v>
      </c>
      <c r="H660" s="101" t="str">
        <f>CONCATENATE(LS[[#This Row],[Frequency]],LS[[#This Row],[Investor ID]])</f>
        <v>1A00113</v>
      </c>
      <c r="I660" s="75" t="str">
        <f>IF(LS[[#This Row],[B/S]]="B","BUY",(IF(LS[[#This Row],[B/S]]="S","SELL"," ")))</f>
        <v>BUY</v>
      </c>
      <c r="J660" s="101" t="s">
        <v>1229</v>
      </c>
      <c r="K660" s="102">
        <v>300000</v>
      </c>
      <c r="L660" s="99"/>
      <c r="M660" s="103">
        <f>LS[[#This Row],[Amount]]/LS[[#This Row],[Unit]]</f>
        <v>11.460880195599023</v>
      </c>
      <c r="N660" s="104">
        <f>LS[[#This Row],[Unit Capital]]/10</f>
        <v>26176</v>
      </c>
      <c r="O660" s="104">
        <f>SUMIFS(LS[[#Headers],[Unit]]:LS[[#This Row],[Unit]],LS[[#Headers],[Investor ID]]:LS[[#This Row],[Investor ID]],LS[[#This Row],[Investor ID]])</f>
        <v>26176</v>
      </c>
      <c r="P660" s="102">
        <v>261760</v>
      </c>
      <c r="Q660" s="102">
        <f>LS[[#This Row],[Amount]]-LS[[#This Row],[Unit Capital]]</f>
        <v>38240</v>
      </c>
      <c r="R6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11.460880195599023</v>
      </c>
      <c r="S660" s="103">
        <f t="shared" si="10"/>
        <v>14.224</v>
      </c>
      <c r="T6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0" s="102" cm="1">
        <f t="array" ref="U660">IF(LS[[#This Row],[B/S]]="S",ABS(LS[[#This Row],[Unit]])*(INDEX(LS[NAV at Cost (Average)],MATCH(CONCATENATE((LS[[#This Row],[Frequency]]-1),LS[[#This Row],[Investor ID]]),LS[Unique Code],0),0)),0)</f>
        <v>0</v>
      </c>
      <c r="V660" s="102">
        <f>IF(LS[[#This Row],[BO TRANSFER]]="YES",LS[[#This Row],[Unit]],)</f>
        <v>0</v>
      </c>
      <c r="W660" s="102">
        <f>SUMIFS(LS[[#Headers],[BO UNIT TRANSFER]]:LS[[#This Row],[BO UNIT TRANSFER]],LS[[#Headers],[Investor ID]]:LS[[#This Row],[Investor ID]],LS[[#This Row],[Investor ID]])</f>
        <v>0</v>
      </c>
    </row>
    <row r="661" spans="1:23">
      <c r="A661" s="75">
        <v>2024</v>
      </c>
      <c r="B661" s="75">
        <v>9</v>
      </c>
      <c r="C661" s="75">
        <v>24</v>
      </c>
      <c r="D661" s="98">
        <f>DATE(LS[[#This Row],[Year]],LS[[#This Row],[Month]],LS[[#This Row],[Day]])</f>
        <v>45559</v>
      </c>
      <c r="E661" s="99" t="str" cm="1">
        <f t="array" ref="E661">INDEX(INVESTORS_LIST[INVESTOR NAME],MATCH(LS[[#This Row],[Investor ID]],INVESTORS_LIST[INVESTOR CODE],0),)</f>
        <v>SHAH MUNTASIN MUJTABA</v>
      </c>
      <c r="F661" s="100" t="s">
        <v>1103</v>
      </c>
      <c r="G661" s="101">
        <f>COUNTIF(LS[[#Headers],[Investor ID]]:LS[[#This Row],[Investor ID]],LS[[#This Row],[Investor ID]])</f>
        <v>7</v>
      </c>
      <c r="H661" s="101" t="str">
        <f>CONCATENATE(LS[[#This Row],[Frequency]],LS[[#This Row],[Investor ID]])</f>
        <v>7A00528</v>
      </c>
      <c r="I661" s="75" t="str">
        <f>IF(LS[[#This Row],[B/S]]="B","BUY",(IF(LS[[#This Row],[B/S]]="S","SELL"," ")))</f>
        <v>SELL</v>
      </c>
      <c r="J661" s="101" t="s">
        <v>1231</v>
      </c>
      <c r="K661" s="102">
        <v>-5499996.3700000001</v>
      </c>
      <c r="L661" s="99"/>
      <c r="M661" s="103">
        <f>LS[[#This Row],[Amount]]/LS[[#This Row],[Unit]]</f>
        <v>11.461000004167639</v>
      </c>
      <c r="N661" s="104">
        <f>LS[[#This Row],[Unit Capital]]/10</f>
        <v>-479888</v>
      </c>
      <c r="O661" s="104">
        <f>SUMIFS(LS[[#Headers],[Unit]]:LS[[#This Row],[Unit]],LS[[#Headers],[Investor ID]]:LS[[#This Row],[Investor ID]],LS[[#This Row],[Investor ID]])</f>
        <v>36436</v>
      </c>
      <c r="P661" s="102">
        <v>-4798880</v>
      </c>
      <c r="Q661" s="102">
        <f>LS[[#This Row],[Amount]]-LS[[#This Row],[Unit Capital]]</f>
        <v>-701116.37000000011</v>
      </c>
      <c r="R6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10.844494929540367</v>
      </c>
      <c r="S661" s="103">
        <f t="shared" si="10"/>
        <v>14.224</v>
      </c>
      <c r="T661" s="102">
        <f>IF(LS[[#This Row],[B/S]]="B",0,ABS(LS[[#This Row],[Unit]])*(LS[[#This Row],[NAV (Strike Rate)]]-INDEX(LS[NAV at Cost (Average)],MATCH(CONCATENATE(LS[[#This Row],[Frequency]]-1,LS[[#This Row],[Investor ID]]),LS[Unique Code],0),)))</f>
        <v>295853.38725273206</v>
      </c>
      <c r="U661" s="102" cm="1">
        <f t="array" ref="U661">IF(LS[[#This Row],[B/S]]="S",ABS(LS[[#This Row],[Unit]])*(INDEX(LS[NAV at Cost (Average)],MATCH(CONCATENATE((LS[[#This Row],[Frequency]]-1),LS[[#This Row],[Investor ID]]),LS[Unique Code],0),0)),0)</f>
        <v>5204142.9827472679</v>
      </c>
      <c r="V661" s="102">
        <f>IF(LS[[#This Row],[BO TRANSFER]]="YES",LS[[#This Row],[Unit]],)</f>
        <v>0</v>
      </c>
      <c r="W661" s="102">
        <f>SUMIFS(LS[[#Headers],[BO UNIT TRANSFER]]:LS[[#This Row],[BO UNIT TRANSFER]],LS[[#Headers],[Investor ID]]:LS[[#This Row],[Investor ID]],LS[[#This Row],[Investor ID]])</f>
        <v>0</v>
      </c>
    </row>
    <row r="662" spans="1:23">
      <c r="A662" s="75">
        <v>2024</v>
      </c>
      <c r="B662" s="75">
        <v>9</v>
      </c>
      <c r="C662" s="75">
        <v>24</v>
      </c>
      <c r="D662" s="98">
        <f>DATE(LS[[#This Row],[Year]],LS[[#This Row],[Month]],LS[[#This Row],[Day]])</f>
        <v>45559</v>
      </c>
      <c r="E662" s="99" t="str" cm="1">
        <f t="array" ref="E662">INDEX(INVESTORS_LIST[INVESTOR NAME],MATCH(LS[[#This Row],[Investor ID]],INVESTORS_LIST[INVESTOR CODE],0),)</f>
        <v>MD AYNUL HOQUE</v>
      </c>
      <c r="F662" s="100" t="s">
        <v>1139</v>
      </c>
      <c r="G662" s="101">
        <f>COUNTIF(LS[[#Headers],[Investor ID]]:LS[[#This Row],[Investor ID]],LS[[#This Row],[Investor ID]])</f>
        <v>2</v>
      </c>
      <c r="H662" s="101" t="str">
        <f>CONCATENATE(LS[[#This Row],[Frequency]],LS[[#This Row],[Investor ID]])</f>
        <v>2A00545</v>
      </c>
      <c r="I662" s="75" t="str">
        <f>IF(LS[[#This Row],[B/S]]="B","BUY",(IF(LS[[#This Row],[B/S]]="S","SELL"," ")))</f>
        <v>BUY</v>
      </c>
      <c r="J662" s="101" t="s">
        <v>1229</v>
      </c>
      <c r="K662" s="102">
        <v>2000000</v>
      </c>
      <c r="L662" s="99"/>
      <c r="M662" s="103">
        <f>LS[[#This Row],[Amount]]/LS[[#This Row],[Unit]]</f>
        <v>11.460989656456835</v>
      </c>
      <c r="N662" s="104">
        <f>LS[[#This Row],[Unit Capital]]/10</f>
        <v>174505</v>
      </c>
      <c r="O662" s="104">
        <f>SUMIFS(LS[[#Headers],[Unit]]:LS[[#This Row],[Unit]],LS[[#Headers],[Investor ID]]:LS[[#This Row],[Investor ID]],LS[[#This Row],[Investor ID]])</f>
        <v>627650</v>
      </c>
      <c r="P662" s="102">
        <v>1745050</v>
      </c>
      <c r="Q662" s="102">
        <f>LS[[#This Row],[Amount]]-LS[[#This Row],[Unit Capital]]</f>
        <v>254950</v>
      </c>
      <c r="R6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11.152712499004222</v>
      </c>
      <c r="S662" s="103">
        <f t="shared" si="10"/>
        <v>14.224</v>
      </c>
      <c r="T6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2" s="102" cm="1">
        <f t="array" ref="U662">IF(LS[[#This Row],[B/S]]="S",ABS(LS[[#This Row],[Unit]])*(INDEX(LS[NAV at Cost (Average)],MATCH(CONCATENATE((LS[[#This Row],[Frequency]]-1),LS[[#This Row],[Investor ID]]),LS[Unique Code],0),0)),0)</f>
        <v>0</v>
      </c>
      <c r="V662" s="102">
        <f>IF(LS[[#This Row],[BO TRANSFER]]="YES",LS[[#This Row],[Unit]],)</f>
        <v>0</v>
      </c>
      <c r="W662" s="102">
        <f>SUMIFS(LS[[#Headers],[BO UNIT TRANSFER]]:LS[[#This Row],[BO UNIT TRANSFER]],LS[[#Headers],[Investor ID]]:LS[[#This Row],[Investor ID]],LS[[#This Row],[Investor ID]])</f>
        <v>0</v>
      </c>
    </row>
    <row r="663" spans="1:23">
      <c r="A663" s="75">
        <v>2024</v>
      </c>
      <c r="B663" s="75">
        <v>9</v>
      </c>
      <c r="C663" s="75">
        <v>25</v>
      </c>
      <c r="D663" s="98">
        <f>DATE(LS[[#This Row],[Year]],LS[[#This Row],[Month]],LS[[#This Row],[Day]])</f>
        <v>45560</v>
      </c>
      <c r="E663" s="99" t="str" cm="1">
        <f t="array" ref="E663">INDEX(INVESTORS_LIST[INVESTOR NAME],MATCH(LS[[#This Row],[Investor ID]],INVESTORS_LIST[INVESTOR CODE],0),)</f>
        <v>NAUSHEEN AHMED</v>
      </c>
      <c r="F663" s="100" t="s">
        <v>585</v>
      </c>
      <c r="G663" s="101">
        <f>COUNTIF(LS[[#Headers],[Investor ID]]:LS[[#This Row],[Investor ID]],LS[[#This Row],[Investor ID]])</f>
        <v>3</v>
      </c>
      <c r="H663" s="101" t="str">
        <f>CONCATENATE(LS[[#This Row],[Frequency]],LS[[#This Row],[Investor ID]])</f>
        <v>3A00268</v>
      </c>
      <c r="I663" s="75" t="str">
        <f>IF(LS[[#This Row],[B/S]]="B","BUY",(IF(LS[[#This Row],[B/S]]="S","SELL"," ")))</f>
        <v>BUY</v>
      </c>
      <c r="J663" s="101" t="s">
        <v>1229</v>
      </c>
      <c r="K663" s="102">
        <v>389674</v>
      </c>
      <c r="L663" s="99"/>
      <c r="M663" s="103">
        <f>LS[[#This Row],[Amount]]/LS[[#This Row],[Unit]]</f>
        <v>11.461</v>
      </c>
      <c r="N663" s="104">
        <f>LS[[#This Row],[Unit Capital]]/10</f>
        <v>34000</v>
      </c>
      <c r="O663" s="104">
        <f>SUMIFS(LS[[#Headers],[Unit]]:LS[[#This Row],[Unit]],LS[[#Headers],[Investor ID]]:LS[[#This Row],[Investor ID]],LS[[#This Row],[Investor ID]])</f>
        <v>38700</v>
      </c>
      <c r="P663" s="102">
        <v>340000</v>
      </c>
      <c r="Q663" s="102">
        <f>LS[[#This Row],[Amount]]-LS[[#This Row],[Unit Capital]]</f>
        <v>49674</v>
      </c>
      <c r="R6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11.321214470284236</v>
      </c>
      <c r="S663" s="103">
        <f t="shared" si="10"/>
        <v>14.224</v>
      </c>
      <c r="T6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3" s="102" cm="1">
        <f t="array" ref="U663">IF(LS[[#This Row],[B/S]]="S",ABS(LS[[#This Row],[Unit]])*(INDEX(LS[NAV at Cost (Average)],MATCH(CONCATENATE((LS[[#This Row],[Frequency]]-1),LS[[#This Row],[Investor ID]]),LS[Unique Code],0),0)),0)</f>
        <v>0</v>
      </c>
      <c r="V663" s="102">
        <f>IF(LS[[#This Row],[BO TRANSFER]]="YES",LS[[#This Row],[Unit]],)</f>
        <v>0</v>
      </c>
      <c r="W663" s="102">
        <f>SUMIFS(LS[[#Headers],[BO UNIT TRANSFER]]:LS[[#This Row],[BO UNIT TRANSFER]],LS[[#Headers],[Investor ID]]:LS[[#This Row],[Investor ID]],LS[[#This Row],[Investor ID]])</f>
        <v>0</v>
      </c>
    </row>
    <row r="664" spans="1:23">
      <c r="A664" s="75">
        <v>2024</v>
      </c>
      <c r="B664" s="75">
        <v>9</v>
      </c>
      <c r="C664" s="75">
        <v>25</v>
      </c>
      <c r="D664" s="98">
        <f>DATE(LS[[#This Row],[Year]],LS[[#This Row],[Month]],LS[[#This Row],[Day]])</f>
        <v>45560</v>
      </c>
      <c r="E664" s="99" t="str" cm="1">
        <f t="array" ref="E664">INDEX(INVESTORS_LIST[INVESTOR NAME],MATCH(LS[[#This Row],[Investor ID]],INVESTORS_LIST[INVESTOR CODE],0),)</f>
        <v>MD. A. RAZZAK</v>
      </c>
      <c r="F664" s="100" t="s">
        <v>896</v>
      </c>
      <c r="G664" s="101">
        <f>COUNTIF(LS[[#Headers],[Investor ID]]:LS[[#This Row],[Investor ID]],LS[[#This Row],[Investor ID]])</f>
        <v>2</v>
      </c>
      <c r="H664" s="101" t="str">
        <f>CONCATENATE(LS[[#This Row],[Frequency]],LS[[#This Row],[Investor ID]])</f>
        <v>2A00425</v>
      </c>
      <c r="I664" s="75" t="str">
        <f>IF(LS[[#This Row],[B/S]]="B","BUY",(IF(LS[[#This Row],[B/S]]="S","SELL"," ")))</f>
        <v>SELL</v>
      </c>
      <c r="J664" s="101" t="s">
        <v>1231</v>
      </c>
      <c r="K664" s="102">
        <v>-203490.06</v>
      </c>
      <c r="L664" s="99"/>
      <c r="M664" s="103">
        <f>LS[[#This Row],[Amount]]/LS[[#This Row],[Unit]]</f>
        <v>11.461000281610813</v>
      </c>
      <c r="N664" s="104">
        <f>LS[[#This Row],[Unit Capital]]/10</f>
        <v>-17755</v>
      </c>
      <c r="O664" s="104">
        <f>SUMIFS(LS[[#Headers],[Unit]]:LS[[#This Row],[Unit]],LS[[#Headers],[Investor ID]]:LS[[#This Row],[Investor ID]],LS[[#This Row],[Investor ID]])</f>
        <v>0</v>
      </c>
      <c r="P664" s="102">
        <v>-177550</v>
      </c>
      <c r="Q664" s="102">
        <f>LS[[#This Row],[Amount]]-LS[[#This Row],[Unit Capital]]</f>
        <v>-25940.059999999998</v>
      </c>
      <c r="R6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64" s="103">
        <f t="shared" si="10"/>
        <v>14.224</v>
      </c>
      <c r="T664" s="102">
        <f>IF(LS[[#This Row],[B/S]]="B",0,ABS(LS[[#This Row],[Unit]])*(LS[[#This Row],[NAV (Strike Rate)]]-INDEX(LS[NAV at Cost (Average)],MATCH(CONCATENATE(LS[[#This Row],[Frequency]]-1,LS[[#This Row],[Investor ID]]),LS[Unique Code],0),)))</f>
        <v>5490.0599999999968</v>
      </c>
      <c r="U664" s="102" cm="1">
        <f t="array" ref="U664">IF(LS[[#This Row],[B/S]]="S",ABS(LS[[#This Row],[Unit]])*(INDEX(LS[NAV at Cost (Average)],MATCH(CONCATENATE((LS[[#This Row],[Frequency]]-1),LS[[#This Row],[Investor ID]]),LS[Unique Code],0),0)),0)</f>
        <v>198000</v>
      </c>
      <c r="V664" s="102">
        <f>IF(LS[[#This Row],[BO TRANSFER]]="YES",LS[[#This Row],[Unit]],)</f>
        <v>0</v>
      </c>
      <c r="W664" s="102">
        <f>SUMIFS(LS[[#Headers],[BO UNIT TRANSFER]]:LS[[#This Row],[BO UNIT TRANSFER]],LS[[#Headers],[Investor ID]]:LS[[#This Row],[Investor ID]],LS[[#This Row],[Investor ID]])</f>
        <v>0</v>
      </c>
    </row>
    <row r="665" spans="1:23">
      <c r="A665" s="75">
        <v>2024</v>
      </c>
      <c r="B665" s="75">
        <v>9</v>
      </c>
      <c r="C665" s="75">
        <v>25</v>
      </c>
      <c r="D665" s="98">
        <f>DATE(LS[[#This Row],[Year]],LS[[#This Row],[Month]],LS[[#This Row],[Day]])</f>
        <v>45560</v>
      </c>
      <c r="E665" s="99" t="str" cm="1">
        <f t="array" ref="E665">INDEX(INVESTORS_LIST[INVESTOR NAME],MATCH(LS[[#This Row],[Investor ID]],INVESTORS_LIST[INVESTOR CODE],0),)</f>
        <v>MD. MONIRUZZAMAN</v>
      </c>
      <c r="F665" s="100" t="s">
        <v>274</v>
      </c>
      <c r="G665" s="101">
        <f>COUNTIF(LS[[#Headers],[Investor ID]]:LS[[#This Row],[Investor ID]],LS[[#This Row],[Investor ID]])</f>
        <v>2</v>
      </c>
      <c r="H665" s="101" t="str">
        <f>CONCATENATE(LS[[#This Row],[Frequency]],LS[[#This Row],[Investor ID]])</f>
        <v>2A00113</v>
      </c>
      <c r="I665" s="75" t="str">
        <f>IF(LS[[#This Row],[B/S]]="B","BUY",(IF(LS[[#This Row],[B/S]]="S","SELL"," ")))</f>
        <v>BUY</v>
      </c>
      <c r="J665" s="101" t="s">
        <v>1229</v>
      </c>
      <c r="K665" s="102">
        <v>200000</v>
      </c>
      <c r="L665" s="99"/>
      <c r="M665" s="103">
        <f>LS[[#This Row],[Amount]]/LS[[#This Row],[Unit]]</f>
        <v>11.461318051575931</v>
      </c>
      <c r="N665" s="104">
        <f>LS[[#This Row],[Unit Capital]]/10</f>
        <v>17450</v>
      </c>
      <c r="O665" s="104">
        <f>SUMIFS(LS[[#Headers],[Unit]]:LS[[#This Row],[Unit]],LS[[#Headers],[Investor ID]]:LS[[#This Row],[Investor ID]],LS[[#This Row],[Investor ID]])</f>
        <v>43626</v>
      </c>
      <c r="P665" s="102">
        <v>174500</v>
      </c>
      <c r="Q665" s="102">
        <f>LS[[#This Row],[Amount]]-LS[[#This Row],[Unit Capital]]</f>
        <v>25500</v>
      </c>
      <c r="R6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11.461055333975153</v>
      </c>
      <c r="S665" s="103">
        <f t="shared" si="10"/>
        <v>14.224</v>
      </c>
      <c r="T66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5" s="102" cm="1">
        <f t="array" ref="U665">IF(LS[[#This Row],[B/S]]="S",ABS(LS[[#This Row],[Unit]])*(INDEX(LS[NAV at Cost (Average)],MATCH(CONCATENATE((LS[[#This Row],[Frequency]]-1),LS[[#This Row],[Investor ID]]),LS[Unique Code],0),0)),0)</f>
        <v>0</v>
      </c>
      <c r="V665" s="102">
        <f>IF(LS[[#This Row],[BO TRANSFER]]="YES",LS[[#This Row],[Unit]],)</f>
        <v>0</v>
      </c>
      <c r="W665" s="102">
        <f>SUMIFS(LS[[#Headers],[BO UNIT TRANSFER]]:LS[[#This Row],[BO UNIT TRANSFER]],LS[[#Headers],[Investor ID]]:LS[[#This Row],[Investor ID]],LS[[#This Row],[Investor ID]])</f>
        <v>0</v>
      </c>
    </row>
    <row r="666" spans="1:23">
      <c r="A666" s="75">
        <v>2024</v>
      </c>
      <c r="B666" s="75">
        <v>9</v>
      </c>
      <c r="C666" s="75">
        <v>25</v>
      </c>
      <c r="D666" s="98">
        <f>DATE(LS[[#This Row],[Year]],LS[[#This Row],[Month]],LS[[#This Row],[Day]])</f>
        <v>45560</v>
      </c>
      <c r="E666" s="99" t="str" cm="1">
        <f t="array" ref="E666">INDEX(INVESTORS_LIST[INVESTOR NAME],MATCH(LS[[#This Row],[Investor ID]],INVESTORS_LIST[INVESTOR CODE],0),)</f>
        <v>FARZANA JITU</v>
      </c>
      <c r="F666" s="100" t="s">
        <v>968</v>
      </c>
      <c r="G666" s="101">
        <f>COUNTIF(LS[[#Headers],[Investor ID]]:LS[[#This Row],[Investor ID]],LS[[#This Row],[Investor ID]])</f>
        <v>8</v>
      </c>
      <c r="H666" s="101" t="str">
        <f>CONCATENATE(LS[[#This Row],[Frequency]],LS[[#This Row],[Investor ID]])</f>
        <v>8A00461</v>
      </c>
      <c r="I666" s="75" t="str">
        <f>IF(LS[[#This Row],[B/S]]="B","BUY",(IF(LS[[#This Row],[B/S]]="S","SELL"," ")))</f>
        <v>SELL</v>
      </c>
      <c r="J666" s="101" t="s">
        <v>1231</v>
      </c>
      <c r="K666" s="102">
        <v>-50000</v>
      </c>
      <c r="L666" s="88"/>
      <c r="M666" s="103">
        <f>LS[[#This Row],[Amount]]/LS[[#This Row],[Unit]]</f>
        <v>11.460004584001833</v>
      </c>
      <c r="N666" s="104">
        <f>LS[[#This Row],[Unit Capital]]/10</f>
        <v>-4363</v>
      </c>
      <c r="O666" s="104">
        <f>SUMIFS(LS[[#Headers],[Unit]]:LS[[#This Row],[Unit]],LS[[#Headers],[Investor ID]]:LS[[#This Row],[Investor ID]],LS[[#This Row],[Investor ID]])</f>
        <v>4588</v>
      </c>
      <c r="P666" s="102">
        <v>-43630</v>
      </c>
      <c r="Q666" s="102">
        <f>LS[[#This Row],[Amount]]-LS[[#This Row],[Unit Capital]]</f>
        <v>-6370</v>
      </c>
      <c r="R6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11.249259917110717</v>
      </c>
      <c r="S666" s="103">
        <f t="shared" si="10"/>
        <v>14.224</v>
      </c>
      <c r="T666" s="102">
        <f>IF(LS[[#This Row],[B/S]]="B",0,ABS(LS[[#This Row],[Unit]])*(LS[[#This Row],[NAV (Strike Rate)]]-INDEX(LS[NAV at Cost (Average)],MATCH(CONCATENATE(LS[[#This Row],[Frequency]]-1,LS[[#This Row],[Investor ID]]),LS[Unique Code],0),)))</f>
        <v>919.47898164594176</v>
      </c>
      <c r="U666" s="102" cm="1">
        <f t="array" ref="U666">IF(LS[[#This Row],[B/S]]="S",ABS(LS[[#This Row],[Unit]])*(INDEX(LS[NAV at Cost (Average)],MATCH(CONCATENATE((LS[[#This Row],[Frequency]]-1),LS[[#This Row],[Investor ID]]),LS[Unique Code],0),0)),0)</f>
        <v>49080.521018354055</v>
      </c>
      <c r="V666" s="102">
        <f>IF(LS[[#This Row],[BO TRANSFER]]="YES",LS[[#This Row],[Unit]],)</f>
        <v>0</v>
      </c>
      <c r="W666" s="102">
        <f>SUMIFS(LS[[#Headers],[BO UNIT TRANSFER]]:LS[[#This Row],[BO UNIT TRANSFER]],LS[[#Headers],[Investor ID]]:LS[[#This Row],[Investor ID]],LS[[#This Row],[Investor ID]])</f>
        <v>0</v>
      </c>
    </row>
    <row r="667" spans="1:23">
      <c r="A667" s="75">
        <v>2024</v>
      </c>
      <c r="B667" s="75">
        <v>9</v>
      </c>
      <c r="C667" s="75">
        <v>25</v>
      </c>
      <c r="D667" s="98">
        <f>DATE(LS[[#This Row],[Year]],LS[[#This Row],[Month]],LS[[#This Row],[Day]])</f>
        <v>45560</v>
      </c>
      <c r="E667" s="99" t="str" cm="1">
        <f t="array" ref="E667">INDEX(INVESTORS_LIST[INVESTOR NAME],MATCH(LS[[#This Row],[Investor ID]],INVESTORS_LIST[INVESTOR CODE],0),)</f>
        <v>SHUVA SAHA</v>
      </c>
      <c r="F667" s="100" t="s">
        <v>154</v>
      </c>
      <c r="G667" s="101">
        <f>COUNTIF(LS[[#Headers],[Investor ID]]:LS[[#This Row],[Investor ID]],LS[[#This Row],[Investor ID]])</f>
        <v>9</v>
      </c>
      <c r="H667" s="101" t="str">
        <f>CONCATENATE(LS[[#This Row],[Frequency]],LS[[#This Row],[Investor ID]])</f>
        <v>9A00053</v>
      </c>
      <c r="I667" s="75" t="str">
        <f>IF(LS[[#This Row],[B/S]]="B","BUY",(IF(LS[[#This Row],[B/S]]="S","SELL"," ")))</f>
        <v>BUY</v>
      </c>
      <c r="J667" s="101" t="s">
        <v>1229</v>
      </c>
      <c r="K667" s="102">
        <v>100000</v>
      </c>
      <c r="L667" s="88"/>
      <c r="M667" s="103">
        <f>LS[[#This Row],[Amount]]/LS[[#This Row],[Unit]]</f>
        <v>11.461318051575931</v>
      </c>
      <c r="N667" s="104">
        <f>LS[[#This Row],[Unit Capital]]/10</f>
        <v>8725</v>
      </c>
      <c r="O667" s="104">
        <f>SUMIFS(LS[[#Headers],[Unit]]:LS[[#This Row],[Unit]],LS[[#Headers],[Investor ID]]:LS[[#This Row],[Investor ID]],LS[[#This Row],[Investor ID]])</f>
        <v>73676</v>
      </c>
      <c r="P667" s="102">
        <v>87250</v>
      </c>
      <c r="Q667" s="102">
        <f>LS[[#This Row],[Amount]]-LS[[#This Row],[Unit Capital]]</f>
        <v>12750</v>
      </c>
      <c r="R6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10.858352787882078</v>
      </c>
      <c r="S667" s="103">
        <f t="shared" si="10"/>
        <v>14.224</v>
      </c>
      <c r="T6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7" s="102" cm="1">
        <f t="array" ref="U667">IF(LS[[#This Row],[B/S]]="S",ABS(LS[[#This Row],[Unit]])*(INDEX(LS[NAV at Cost (Average)],MATCH(CONCATENATE((LS[[#This Row],[Frequency]]-1),LS[[#This Row],[Investor ID]]),LS[Unique Code],0),0)),0)</f>
        <v>0</v>
      </c>
      <c r="V667" s="102">
        <f>IF(LS[[#This Row],[BO TRANSFER]]="YES",LS[[#This Row],[Unit]],)</f>
        <v>0</v>
      </c>
      <c r="W667" s="102">
        <f>SUMIFS(LS[[#Headers],[BO UNIT TRANSFER]]:LS[[#This Row],[BO UNIT TRANSFER]],LS[[#Headers],[Investor ID]]:LS[[#This Row],[Investor ID]],LS[[#This Row],[Investor ID]])</f>
        <v>0</v>
      </c>
    </row>
    <row r="668" spans="1:23">
      <c r="A668" s="75">
        <v>2024</v>
      </c>
      <c r="B668" s="75">
        <v>9</v>
      </c>
      <c r="C668" s="75">
        <v>29</v>
      </c>
      <c r="D668" s="98">
        <f>DATE(LS[[#This Row],[Year]],LS[[#This Row],[Month]],LS[[#This Row],[Day]])</f>
        <v>45564</v>
      </c>
      <c r="E668" s="99" t="str" cm="1">
        <f t="array" ref="E668">INDEX(INVESTORS_LIST[INVESTOR NAME],MATCH(LS[[#This Row],[Investor ID]],INVESTORS_LIST[INVESTOR CODE],0),)</f>
        <v>MST. GOLENUR</v>
      </c>
      <c r="F668" s="100" t="s">
        <v>1075</v>
      </c>
      <c r="G668" s="101">
        <f>COUNTIF(LS[[#Headers],[Investor ID]]:LS[[#This Row],[Investor ID]],LS[[#This Row],[Investor ID]])</f>
        <v>11</v>
      </c>
      <c r="H668" s="101" t="str">
        <f>CONCATENATE(LS[[#This Row],[Frequency]],LS[[#This Row],[Investor ID]])</f>
        <v>11A00515</v>
      </c>
      <c r="I668" s="75" t="str">
        <f>IF(LS[[#This Row],[B/S]]="B","BUY",(IF(LS[[#This Row],[B/S]]="S","SELL"," ")))</f>
        <v>BUY</v>
      </c>
      <c r="J668" s="101" t="s">
        <v>1229</v>
      </c>
      <c r="K668" s="102">
        <v>2000</v>
      </c>
      <c r="L668" s="99"/>
      <c r="M668" s="103">
        <f>LS[[#This Row],[Amount]]/LS[[#This Row],[Unit]]</f>
        <v>11.494252873563218</v>
      </c>
      <c r="N668" s="104">
        <f>LS[[#This Row],[Unit Capital]]/10</f>
        <v>174</v>
      </c>
      <c r="O668" s="104">
        <f>SUMIFS(LS[[#Headers],[Unit]]:LS[[#This Row],[Unit]],LS[[#Headers],[Investor ID]]:LS[[#This Row],[Investor ID]],LS[[#This Row],[Investor ID]])</f>
        <v>2000</v>
      </c>
      <c r="P668" s="102">
        <v>1740</v>
      </c>
      <c r="Q668" s="102">
        <f>LS[[#This Row],[Amount]]-LS[[#This Row],[Unit Capital]]</f>
        <v>260</v>
      </c>
      <c r="R6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</v>
      </c>
      <c r="S668" s="103">
        <f t="shared" si="10"/>
        <v>14.224</v>
      </c>
      <c r="T66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68" s="102" cm="1">
        <f t="array" ref="U668">IF(LS[[#This Row],[B/S]]="S",ABS(LS[[#This Row],[Unit]])*(INDEX(LS[NAV at Cost (Average)],MATCH(CONCATENATE((LS[[#This Row],[Frequency]]-1),LS[[#This Row],[Investor ID]]),LS[Unique Code],0),0)),0)</f>
        <v>0</v>
      </c>
      <c r="V668" s="102">
        <f>IF(LS[[#This Row],[BO TRANSFER]]="YES",LS[[#This Row],[Unit]],)</f>
        <v>0</v>
      </c>
      <c r="W668" s="102">
        <f>SUMIFS(LS[[#Headers],[BO UNIT TRANSFER]]:LS[[#This Row],[BO UNIT TRANSFER]],LS[[#Headers],[Investor ID]]:LS[[#This Row],[Investor ID]],LS[[#This Row],[Investor ID]])</f>
        <v>0</v>
      </c>
    </row>
    <row r="669" spans="1:23">
      <c r="A669" s="75">
        <v>2024</v>
      </c>
      <c r="B669" s="75">
        <v>9</v>
      </c>
      <c r="C669" s="75">
        <v>29</v>
      </c>
      <c r="D669" s="98">
        <f>DATE(LS[[#This Row],[Year]],LS[[#This Row],[Month]],LS[[#This Row],[Day]])</f>
        <v>45564</v>
      </c>
      <c r="E669" s="99" t="str" cm="1">
        <f t="array" ref="E669">INDEX(INVESTORS_LIST[INVESTOR NAME],MATCH(LS[[#This Row],[Investor ID]],INVESTORS_LIST[INVESTOR CODE],0),)</f>
        <v>REKHA PARVIN</v>
      </c>
      <c r="F669" s="100" t="s">
        <v>946</v>
      </c>
      <c r="G669" s="101">
        <f>COUNTIF(LS[[#Headers],[Investor ID]]:LS[[#This Row],[Investor ID]],LS[[#This Row],[Investor ID]])</f>
        <v>2</v>
      </c>
      <c r="H669" s="101" t="str">
        <f>CONCATENATE(LS[[#This Row],[Frequency]],LS[[#This Row],[Investor ID]])</f>
        <v>2A00450</v>
      </c>
      <c r="I669" s="75" t="str">
        <f>IF(LS[[#This Row],[B/S]]="B","BUY",(IF(LS[[#This Row],[B/S]]="S","SELL"," ")))</f>
        <v>SELL</v>
      </c>
      <c r="J669" s="101" t="s">
        <v>1231</v>
      </c>
      <c r="K669" s="102">
        <v>-574250</v>
      </c>
      <c r="L669" s="99"/>
      <c r="M669" s="103">
        <f>LS[[#This Row],[Amount]]/LS[[#This Row],[Unit]]</f>
        <v>11.484999999999999</v>
      </c>
      <c r="N669" s="104">
        <f>LS[[#This Row],[Unit Capital]]/10</f>
        <v>-50000</v>
      </c>
      <c r="O669" s="104">
        <f>SUMIFS(LS[[#Headers],[Unit]]:LS[[#This Row],[Unit]],LS[[#Headers],[Investor ID]]:LS[[#This Row],[Investor ID]],LS[[#This Row],[Investor ID]])</f>
        <v>0</v>
      </c>
      <c r="P669" s="102">
        <v>-500000</v>
      </c>
      <c r="Q669" s="102">
        <f>LS[[#This Row],[Amount]]-LS[[#This Row],[Unit Capital]]</f>
        <v>-74250</v>
      </c>
      <c r="R6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69" s="103">
        <f t="shared" si="10"/>
        <v>14.224</v>
      </c>
      <c r="T669" s="102">
        <f>IF(LS[[#This Row],[B/S]]="B",0,ABS(LS[[#This Row],[Unit]])*(LS[[#This Row],[NAV (Strike Rate)]]-INDEX(LS[NAV at Cost (Average)],MATCH(CONCATENATE(LS[[#This Row],[Frequency]]-1,LS[[#This Row],[Investor ID]]),LS[Unique Code],0),)))</f>
        <v>74249.999999999971</v>
      </c>
      <c r="U669" s="102" cm="1">
        <f t="array" ref="U669">IF(LS[[#This Row],[B/S]]="S",ABS(LS[[#This Row],[Unit]])*(INDEX(LS[NAV at Cost (Average)],MATCH(CONCATENATE((LS[[#This Row],[Frequency]]-1),LS[[#This Row],[Investor ID]]),LS[Unique Code],0),0)),0)</f>
        <v>500000</v>
      </c>
      <c r="V669" s="102">
        <f>IF(LS[[#This Row],[BO TRANSFER]]="YES",LS[[#This Row],[Unit]],)</f>
        <v>0</v>
      </c>
      <c r="W669" s="102">
        <f>SUMIFS(LS[[#Headers],[BO UNIT TRANSFER]]:LS[[#This Row],[BO UNIT TRANSFER]],LS[[#Headers],[Investor ID]]:LS[[#This Row],[Investor ID]],LS[[#This Row],[Investor ID]])</f>
        <v>0</v>
      </c>
    </row>
    <row r="670" spans="1:23">
      <c r="A670" s="75">
        <v>2024</v>
      </c>
      <c r="B670" s="75">
        <v>9</v>
      </c>
      <c r="C670" s="75">
        <v>30</v>
      </c>
      <c r="D670" s="98">
        <f>DATE(LS[[#This Row],[Year]],LS[[#This Row],[Month]],LS[[#This Row],[Day]])</f>
        <v>45565</v>
      </c>
      <c r="E670" s="99" t="str" cm="1">
        <f t="array" ref="E670">INDEX(INVESTORS_LIST[INVESTOR NAME],MATCH(LS[[#This Row],[Investor ID]],INVESTORS_LIST[INVESTOR CODE],0),)</f>
        <v>AMARSTOCK LIMITED</v>
      </c>
      <c r="F670" s="100" t="s">
        <v>960</v>
      </c>
      <c r="G670" s="101">
        <f>COUNTIF(LS[[#Headers],[Investor ID]]:LS[[#This Row],[Investor ID]],LS[[#This Row],[Investor ID]])</f>
        <v>8</v>
      </c>
      <c r="H670" s="101" t="str">
        <f>CONCATENATE(LS[[#This Row],[Frequency]],LS[[#This Row],[Investor ID]])</f>
        <v>8A00457</v>
      </c>
      <c r="I670" s="75" t="str">
        <f>IF(LS[[#This Row],[B/S]]="B","BUY",(IF(LS[[#This Row],[B/S]]="S","SELL"," ")))</f>
        <v>SELL</v>
      </c>
      <c r="J670" s="101" t="s">
        <v>1231</v>
      </c>
      <c r="K670" s="102">
        <v>-200000</v>
      </c>
      <c r="L670" s="99"/>
      <c r="M670" s="103">
        <f>LS[[#This Row],[Amount]]/LS[[#This Row],[Unit]]</f>
        <v>11.485012059262662</v>
      </c>
      <c r="N670" s="104">
        <f>LS[[#This Row],[Unit Capital]]/10</f>
        <v>-17414</v>
      </c>
      <c r="O670" s="104">
        <f>SUMIFS(LS[[#Headers],[Unit]]:LS[[#This Row],[Unit]],LS[[#Headers],[Investor ID]]:LS[[#This Row],[Investor ID]],LS[[#This Row],[Investor ID]])</f>
        <v>658</v>
      </c>
      <c r="P670" s="102">
        <v>-174140</v>
      </c>
      <c r="Q670" s="102">
        <f>LS[[#This Row],[Amount]]-LS[[#This Row],[Unit Capital]]</f>
        <v>-25860</v>
      </c>
      <c r="R6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10.340990650507216</v>
      </c>
      <c r="S670" s="103">
        <f t="shared" si="10"/>
        <v>14.224</v>
      </c>
      <c r="T670" s="102">
        <f>IF(LS[[#This Row],[B/S]]="B",0,ABS(LS[[#This Row],[Unit]])*(LS[[#This Row],[NAV (Strike Rate)]]-INDEX(LS[NAV at Cost (Average)],MATCH(CONCATENATE(LS[[#This Row],[Frequency]]-1,LS[[#This Row],[Investor ID]]),LS[Unique Code],0),)))</f>
        <v>19921.988812067335</v>
      </c>
      <c r="U670" s="102" cm="1">
        <f t="array" ref="U670">IF(LS[[#This Row],[B/S]]="S",ABS(LS[[#This Row],[Unit]])*(INDEX(LS[NAV at Cost (Average)],MATCH(CONCATENATE((LS[[#This Row],[Frequency]]-1),LS[[#This Row],[Investor ID]]),LS[Unique Code],0),0)),0)</f>
        <v>180078.01118793266</v>
      </c>
      <c r="V670" s="102">
        <f>IF(LS[[#This Row],[BO TRANSFER]]="YES",LS[[#This Row],[Unit]],)</f>
        <v>0</v>
      </c>
      <c r="W670" s="102">
        <f>SUMIFS(LS[[#Headers],[BO UNIT TRANSFER]]:LS[[#This Row],[BO UNIT TRANSFER]],LS[[#Headers],[Investor ID]]:LS[[#This Row],[Investor ID]],LS[[#This Row],[Investor ID]])</f>
        <v>0</v>
      </c>
    </row>
    <row r="671" spans="1:23">
      <c r="A671" s="75">
        <v>2024</v>
      </c>
      <c r="B671" s="75">
        <v>10</v>
      </c>
      <c r="C671" s="75">
        <v>1</v>
      </c>
      <c r="D671" s="98">
        <f>DATE(LS[[#This Row],[Year]],LS[[#This Row],[Month]],LS[[#This Row],[Day]])</f>
        <v>45566</v>
      </c>
      <c r="E671" s="99" t="str" cm="1">
        <f t="array" ref="E671">INDEX(INVESTORS_LIST[INVESTOR NAME],MATCH(LS[[#This Row],[Investor ID]],INVESTORS_LIST[INVESTOR CODE],0),)</f>
        <v>MOHAMMAD MAHFUZUL HAQUE</v>
      </c>
      <c r="F671" s="100" t="s">
        <v>1284</v>
      </c>
      <c r="G671" s="101">
        <f>COUNTIF(LS[[#Headers],[Investor ID]]:LS[[#This Row],[Investor ID]],LS[[#This Row],[Investor ID]])</f>
        <v>1</v>
      </c>
      <c r="H671" s="101" t="str">
        <f>CONCATENATE(LS[[#This Row],[Frequency]],LS[[#This Row],[Investor ID]])</f>
        <v>1A00589</v>
      </c>
      <c r="I671" s="75" t="str">
        <f>IF(LS[[#This Row],[B/S]]="B","BUY",(IF(LS[[#This Row],[B/S]]="S","SELL"," ")))</f>
        <v>BUY</v>
      </c>
      <c r="J671" s="101" t="s">
        <v>1229</v>
      </c>
      <c r="K671" s="102">
        <v>2000000</v>
      </c>
      <c r="L671" s="99"/>
      <c r="M671" s="103">
        <f>LS[[#This Row],[Amount]]/LS[[#This Row],[Unit]]</f>
        <v>11.485012059262662</v>
      </c>
      <c r="N671" s="104">
        <f>LS[[#This Row],[Unit Capital]]/10</f>
        <v>174140</v>
      </c>
      <c r="O671" s="104">
        <f>SUMIFS(LS[[#Headers],[Unit]]:LS[[#This Row],[Unit]],LS[[#Headers],[Investor ID]]:LS[[#This Row],[Investor ID]],LS[[#This Row],[Investor ID]])</f>
        <v>174140</v>
      </c>
      <c r="P671" s="102">
        <v>1741400</v>
      </c>
      <c r="Q671" s="102">
        <f>LS[[#This Row],[Amount]]-LS[[#This Row],[Unit Capital]]</f>
        <v>258600</v>
      </c>
      <c r="R6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11.485012059262662</v>
      </c>
      <c r="S671" s="103">
        <f t="shared" si="10"/>
        <v>14.224</v>
      </c>
      <c r="T6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1" s="102" cm="1">
        <f t="array" ref="U671">IF(LS[[#This Row],[B/S]]="S",ABS(LS[[#This Row],[Unit]])*(INDEX(LS[NAV at Cost (Average)],MATCH(CONCATENATE((LS[[#This Row],[Frequency]]-1),LS[[#This Row],[Investor ID]]),LS[Unique Code],0),0)),0)</f>
        <v>0</v>
      </c>
      <c r="V671" s="102">
        <f>IF(LS[[#This Row],[BO TRANSFER]]="YES",LS[[#This Row],[Unit]],)</f>
        <v>0</v>
      </c>
      <c r="W671" s="102">
        <f>SUMIFS(LS[[#Headers],[BO UNIT TRANSFER]]:LS[[#This Row],[BO UNIT TRANSFER]],LS[[#Headers],[Investor ID]]:LS[[#This Row],[Investor ID]],LS[[#This Row],[Investor ID]])</f>
        <v>0</v>
      </c>
    </row>
    <row r="672" spans="1:23">
      <c r="A672" s="75">
        <v>2024</v>
      </c>
      <c r="B672" s="75">
        <v>10</v>
      </c>
      <c r="C672" s="75">
        <v>1</v>
      </c>
      <c r="D672" s="98">
        <f>DATE(LS[[#This Row],[Year]],LS[[#This Row],[Month]],LS[[#This Row],[Day]])</f>
        <v>45566</v>
      </c>
      <c r="E672" s="99" t="str" cm="1">
        <f t="array" ref="E672">INDEX(INVESTORS_LIST[INVESTOR NAME],MATCH(LS[[#This Row],[Investor ID]],INVESTORS_LIST[INVESTOR CODE],0),)</f>
        <v>BILKISS ARA</v>
      </c>
      <c r="F672" s="100" t="s">
        <v>194</v>
      </c>
      <c r="G672" s="101">
        <f>COUNTIF(LS[[#Headers],[Investor ID]]:LS[[#This Row],[Investor ID]],LS[[#This Row],[Investor ID]])</f>
        <v>6</v>
      </c>
      <c r="H672" s="101" t="str">
        <f>CONCATENATE(LS[[#This Row],[Frequency]],LS[[#This Row],[Investor ID]])</f>
        <v>6A00073</v>
      </c>
      <c r="I672" s="75" t="str">
        <f>IF(LS[[#This Row],[B/S]]="B","BUY",(IF(LS[[#This Row],[B/S]]="S","SELL"," ")))</f>
        <v>BUY</v>
      </c>
      <c r="J672" s="101" t="s">
        <v>1229</v>
      </c>
      <c r="K672" s="102">
        <v>100000</v>
      </c>
      <c r="L672" s="99"/>
      <c r="M672" s="103">
        <f>LS[[#This Row],[Amount]]/LS[[#This Row],[Unit]]</f>
        <v>11.485012059262662</v>
      </c>
      <c r="N672" s="104">
        <f>LS[[#This Row],[Unit Capital]]/10</f>
        <v>8707</v>
      </c>
      <c r="O672" s="104">
        <f>SUMIFS(LS[[#Headers],[Unit]]:LS[[#This Row],[Unit]],LS[[#Headers],[Investor ID]]:LS[[#This Row],[Investor ID]],LS[[#This Row],[Investor ID]])</f>
        <v>97485</v>
      </c>
      <c r="P672" s="102">
        <v>87070</v>
      </c>
      <c r="Q672" s="102">
        <f>LS[[#This Row],[Amount]]-LS[[#This Row],[Unit Capital]]</f>
        <v>12930</v>
      </c>
      <c r="R6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11.283787249320408</v>
      </c>
      <c r="S672" s="103">
        <f t="shared" si="10"/>
        <v>14.224</v>
      </c>
      <c r="T67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2" s="102" cm="1">
        <f t="array" ref="U672">IF(LS[[#This Row],[B/S]]="S",ABS(LS[[#This Row],[Unit]])*(INDEX(LS[NAV at Cost (Average)],MATCH(CONCATENATE((LS[[#This Row],[Frequency]]-1),LS[[#This Row],[Investor ID]]),LS[Unique Code],0),0)),0)</f>
        <v>0</v>
      </c>
      <c r="V672" s="102">
        <f>IF(LS[[#This Row],[BO TRANSFER]]="YES",LS[[#This Row],[Unit]],)</f>
        <v>0</v>
      </c>
      <c r="W672" s="102">
        <f>SUMIFS(LS[[#Headers],[BO UNIT TRANSFER]]:LS[[#This Row],[BO UNIT TRANSFER]],LS[[#Headers],[Investor ID]]:LS[[#This Row],[Investor ID]],LS[[#This Row],[Investor ID]])</f>
        <v>0</v>
      </c>
    </row>
    <row r="673" spans="1:23">
      <c r="A673" s="75">
        <v>2024</v>
      </c>
      <c r="B673" s="75">
        <v>10</v>
      </c>
      <c r="C673" s="75">
        <v>2</v>
      </c>
      <c r="D673" s="98">
        <f>DATE(LS[[#This Row],[Year]],LS[[#This Row],[Month]],LS[[#This Row],[Day]])</f>
        <v>45567</v>
      </c>
      <c r="E673" s="99" t="str" cm="1">
        <f t="array" ref="E673">INDEX(INVESTORS_LIST[INVESTOR NAME],MATCH(LS[[#This Row],[Investor ID]],INVESTORS_LIST[INVESTOR CODE],0),)</f>
        <v>MD. MONIRUZZAMAN</v>
      </c>
      <c r="F673" s="100" t="s">
        <v>274</v>
      </c>
      <c r="G673" s="101">
        <f>COUNTIF(LS[[#Headers],[Investor ID]]:LS[[#This Row],[Investor ID]],LS[[#This Row],[Investor ID]])</f>
        <v>3</v>
      </c>
      <c r="H673" s="101" t="str">
        <f>CONCATENATE(LS[[#This Row],[Frequency]],LS[[#This Row],[Investor ID]])</f>
        <v>3A00113</v>
      </c>
      <c r="I673" s="75" t="str">
        <f>IF(LS[[#This Row],[B/S]]="B","BUY",(IF(LS[[#This Row],[B/S]]="S","SELL"," ")))</f>
        <v>BUY</v>
      </c>
      <c r="J673" s="101" t="s">
        <v>1229</v>
      </c>
      <c r="K673" s="102">
        <v>200000</v>
      </c>
      <c r="L673" s="99"/>
      <c r="M673" s="103">
        <f>LS[[#This Row],[Amount]]/LS[[#This Row],[Unit]]</f>
        <v>11.485012059262662</v>
      </c>
      <c r="N673" s="104">
        <f>LS[[#This Row],[Unit Capital]]/10</f>
        <v>17414</v>
      </c>
      <c r="O673" s="104">
        <f>SUMIFS(LS[[#Headers],[Unit]]:LS[[#This Row],[Unit]],LS[[#Headers],[Investor ID]]:LS[[#This Row],[Investor ID]],LS[[#This Row],[Investor ID]])</f>
        <v>61040</v>
      </c>
      <c r="P673" s="102">
        <v>174140</v>
      </c>
      <c r="Q673" s="102">
        <f>LS[[#This Row],[Amount]]-LS[[#This Row],[Unit Capital]]</f>
        <v>25860</v>
      </c>
      <c r="R6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11.467889908256883</v>
      </c>
      <c r="S673" s="103">
        <f t="shared" si="10"/>
        <v>14.224</v>
      </c>
      <c r="T67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3" s="102" cm="1">
        <f t="array" ref="U673">IF(LS[[#This Row],[B/S]]="S",ABS(LS[[#This Row],[Unit]])*(INDEX(LS[NAV at Cost (Average)],MATCH(CONCATENATE((LS[[#This Row],[Frequency]]-1),LS[[#This Row],[Investor ID]]),LS[Unique Code],0),0)),0)</f>
        <v>0</v>
      </c>
      <c r="V673" s="102">
        <f>IF(LS[[#This Row],[BO TRANSFER]]="YES",LS[[#This Row],[Unit]],)</f>
        <v>0</v>
      </c>
      <c r="W673" s="102">
        <f>SUMIFS(LS[[#Headers],[BO UNIT TRANSFER]]:LS[[#This Row],[BO UNIT TRANSFER]],LS[[#Headers],[Investor ID]]:LS[[#This Row],[Investor ID]],LS[[#This Row],[Investor ID]])</f>
        <v>0</v>
      </c>
    </row>
    <row r="674" spans="1:23">
      <c r="A674" s="75">
        <v>2024</v>
      </c>
      <c r="B674" s="75">
        <v>10</v>
      </c>
      <c r="C674" s="75">
        <v>3</v>
      </c>
      <c r="D674" s="98">
        <f>DATE(LS[[#This Row],[Year]],LS[[#This Row],[Month]],LS[[#This Row],[Day]])</f>
        <v>45568</v>
      </c>
      <c r="E674" s="99" t="str" cm="1">
        <f t="array" ref="E674">INDEX(INVESTORS_LIST[INVESTOR NAME],MATCH(LS[[#This Row],[Investor ID]],INVESTORS_LIST[INVESTOR CODE],0),)</f>
        <v>SYED FAZLE RABBY</v>
      </c>
      <c r="F674" s="100" t="s">
        <v>166</v>
      </c>
      <c r="G674" s="101">
        <f>COUNTIF(LS[[#Headers],[Investor ID]]:LS[[#This Row],[Investor ID]],LS[[#This Row],[Investor ID]])</f>
        <v>23</v>
      </c>
      <c r="H674" s="101" t="str">
        <f>CONCATENATE(LS[[#This Row],[Frequency]],LS[[#This Row],[Investor ID]])</f>
        <v>23A00059</v>
      </c>
      <c r="I674" s="75" t="str">
        <f>IF(LS[[#This Row],[B/S]]="B","BUY",(IF(LS[[#This Row],[B/S]]="S","SELL"," ")))</f>
        <v>BUY</v>
      </c>
      <c r="J674" s="101" t="s">
        <v>1229</v>
      </c>
      <c r="K674" s="102">
        <v>57000</v>
      </c>
      <c r="L674" s="99"/>
      <c r="M674" s="103">
        <f>LS[[#This Row],[Amount]]/LS[[#This Row],[Unit]]</f>
        <v>11.484988917993149</v>
      </c>
      <c r="N674" s="104">
        <f>LS[[#This Row],[Unit Capital]]/10</f>
        <v>4963</v>
      </c>
      <c r="O674" s="104">
        <f>SUMIFS(LS[[#Headers],[Unit]]:LS[[#This Row],[Unit]],LS[[#Headers],[Investor ID]]:LS[[#This Row],[Investor ID]],LS[[#This Row],[Investor ID]])</f>
        <v>486369</v>
      </c>
      <c r="P674" s="102">
        <v>49630</v>
      </c>
      <c r="Q674" s="102">
        <f>LS[[#This Row],[Amount]]-LS[[#This Row],[Unit Capital]]</f>
        <v>7370</v>
      </c>
      <c r="R6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10.816881800174054</v>
      </c>
      <c r="S674" s="103">
        <f t="shared" si="10"/>
        <v>14.224</v>
      </c>
      <c r="T6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4" s="102" cm="1">
        <f t="array" ref="U674">IF(LS[[#This Row],[B/S]]="S",ABS(LS[[#This Row],[Unit]])*(INDEX(LS[NAV at Cost (Average)],MATCH(CONCATENATE((LS[[#This Row],[Frequency]]-1),LS[[#This Row],[Investor ID]]),LS[Unique Code],0),0)),0)</f>
        <v>0</v>
      </c>
      <c r="V674" s="102">
        <f>IF(LS[[#This Row],[BO TRANSFER]]="YES",LS[[#This Row],[Unit]],)</f>
        <v>0</v>
      </c>
      <c r="W674" s="102">
        <f>SUMIFS(LS[[#Headers],[BO UNIT TRANSFER]]:LS[[#This Row],[BO UNIT TRANSFER]],LS[[#Headers],[Investor ID]]:LS[[#This Row],[Investor ID]],LS[[#This Row],[Investor ID]])</f>
        <v>0</v>
      </c>
    </row>
    <row r="675" spans="1:23">
      <c r="A675" s="75">
        <v>2024</v>
      </c>
      <c r="B675" s="75">
        <v>10</v>
      </c>
      <c r="C675" s="75">
        <v>3</v>
      </c>
      <c r="D675" s="98">
        <f>DATE(LS[[#This Row],[Year]],LS[[#This Row],[Month]],LS[[#This Row],[Day]])</f>
        <v>45568</v>
      </c>
      <c r="E675" s="99" t="str" cm="1">
        <f t="array" ref="E675">INDEX(INVESTORS_LIST[INVESTOR NAME],MATCH(LS[[#This Row],[Investor ID]],INVESTORS_LIST[INVESTOR CODE],0),)</f>
        <v>SK FEROZ ALAM</v>
      </c>
      <c r="F675" s="100" t="s">
        <v>240</v>
      </c>
      <c r="G675" s="101">
        <f>COUNTIF(LS[[#Headers],[Investor ID]]:LS[[#This Row],[Investor ID]],LS[[#This Row],[Investor ID]])</f>
        <v>3</v>
      </c>
      <c r="H675" s="101" t="str">
        <f>CONCATENATE(LS[[#This Row],[Frequency]],LS[[#This Row],[Investor ID]])</f>
        <v>3A00096</v>
      </c>
      <c r="I675" s="75" t="str">
        <f>IF(LS[[#This Row],[B/S]]="B","BUY",(IF(LS[[#This Row],[B/S]]="S","SELL"," ")))</f>
        <v>BUY</v>
      </c>
      <c r="J675" s="101" t="s">
        <v>1229</v>
      </c>
      <c r="K675" s="102">
        <v>298610</v>
      </c>
      <c r="L675" s="99"/>
      <c r="M675" s="103">
        <f>LS[[#This Row],[Amount]]/LS[[#This Row],[Unit]]</f>
        <v>11.484999999999999</v>
      </c>
      <c r="N675" s="104">
        <f>LS[[#This Row],[Unit Capital]]/10</f>
        <v>26000</v>
      </c>
      <c r="O675" s="104">
        <f>SUMIFS(LS[[#Headers],[Unit]]:LS[[#This Row],[Unit]],LS[[#Headers],[Investor ID]]:LS[[#This Row],[Investor ID]],LS[[#This Row],[Investor ID]])</f>
        <v>26000</v>
      </c>
      <c r="P675" s="102">
        <v>260000</v>
      </c>
      <c r="Q675" s="102">
        <f>LS[[#This Row],[Amount]]-LS[[#This Row],[Unit Capital]]</f>
        <v>38610</v>
      </c>
      <c r="R6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11.484999999999999</v>
      </c>
      <c r="S675" s="103">
        <f t="shared" si="10"/>
        <v>14.224</v>
      </c>
      <c r="T67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5" s="102" cm="1">
        <f t="array" ref="U675">IF(LS[[#This Row],[B/S]]="S",ABS(LS[[#This Row],[Unit]])*(INDEX(LS[NAV at Cost (Average)],MATCH(CONCATENATE((LS[[#This Row],[Frequency]]-1),LS[[#This Row],[Investor ID]]),LS[Unique Code],0),0)),0)</f>
        <v>0</v>
      </c>
      <c r="V675" s="102">
        <f>IF(LS[[#This Row],[BO TRANSFER]]="YES",LS[[#This Row],[Unit]],)</f>
        <v>0</v>
      </c>
      <c r="W675" s="102">
        <f>SUMIFS(LS[[#Headers],[BO UNIT TRANSFER]]:LS[[#This Row],[BO UNIT TRANSFER]],LS[[#Headers],[Investor ID]]:LS[[#This Row],[Investor ID]],LS[[#This Row],[Investor ID]])</f>
        <v>0</v>
      </c>
    </row>
    <row r="676" spans="1:23">
      <c r="A676" s="75">
        <v>2024</v>
      </c>
      <c r="B676" s="75">
        <v>10</v>
      </c>
      <c r="C676" s="75">
        <v>3</v>
      </c>
      <c r="D676" s="98">
        <f>DATE(LS[[#This Row],[Year]],LS[[#This Row],[Month]],LS[[#This Row],[Day]])</f>
        <v>45568</v>
      </c>
      <c r="E676" s="99" t="str" cm="1">
        <f t="array" ref="E676">INDEX(INVESTORS_LIST[INVESTOR NAME],MATCH(LS[[#This Row],[Investor ID]],INVESTORS_LIST[INVESTOR CODE],0),)</f>
        <v>ASHIT BARAN SAHA</v>
      </c>
      <c r="F676" s="100" t="s">
        <v>196</v>
      </c>
      <c r="G676" s="101">
        <f>COUNTIF(LS[[#Headers],[Investor ID]]:LS[[#This Row],[Investor ID]],LS[[#This Row],[Investor ID]])</f>
        <v>1</v>
      </c>
      <c r="H676" s="101" t="str">
        <f>CONCATENATE(LS[[#This Row],[Frequency]],LS[[#This Row],[Investor ID]])</f>
        <v>1A00074</v>
      </c>
      <c r="I676" s="75" t="str">
        <f>IF(LS[[#This Row],[B/S]]="B","BUY",(IF(LS[[#This Row],[B/S]]="S","SELL"," ")))</f>
        <v>BUY</v>
      </c>
      <c r="J676" s="101" t="s">
        <v>1229</v>
      </c>
      <c r="K676" s="102">
        <v>4000000</v>
      </c>
      <c r="L676" s="99"/>
      <c r="M676" s="103">
        <f>LS[[#This Row],[Amount]]/LS[[#This Row],[Unit]]</f>
        <v>11.485012059262662</v>
      </c>
      <c r="N676" s="104">
        <f>LS[[#This Row],[Unit Capital]]/10</f>
        <v>348280</v>
      </c>
      <c r="O676" s="104">
        <f>SUMIFS(LS[[#Headers],[Unit]]:LS[[#This Row],[Unit]],LS[[#Headers],[Investor ID]]:LS[[#This Row],[Investor ID]],LS[[#This Row],[Investor ID]])</f>
        <v>348280</v>
      </c>
      <c r="P676" s="102">
        <v>3482800</v>
      </c>
      <c r="Q676" s="102">
        <f>LS[[#This Row],[Amount]]-LS[[#This Row],[Unit Capital]]</f>
        <v>517200</v>
      </c>
      <c r="R6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11.485012059262662</v>
      </c>
      <c r="S676" s="103">
        <f t="shared" si="10"/>
        <v>14.224</v>
      </c>
      <c r="T67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6" s="102" cm="1">
        <f t="array" ref="U676">IF(LS[[#This Row],[B/S]]="S",ABS(LS[[#This Row],[Unit]])*(INDEX(LS[NAV at Cost (Average)],MATCH(CONCATENATE((LS[[#This Row],[Frequency]]-1),LS[[#This Row],[Investor ID]]),LS[Unique Code],0),0)),0)</f>
        <v>0</v>
      </c>
      <c r="V676" s="102">
        <f>IF(LS[[#This Row],[BO TRANSFER]]="YES",LS[[#This Row],[Unit]],)</f>
        <v>0</v>
      </c>
      <c r="W676" s="102">
        <f>SUMIFS(LS[[#Headers],[BO UNIT TRANSFER]]:LS[[#This Row],[BO UNIT TRANSFER]],LS[[#Headers],[Investor ID]]:LS[[#This Row],[Investor ID]],LS[[#This Row],[Investor ID]])</f>
        <v>0</v>
      </c>
    </row>
    <row r="677" spans="1:23">
      <c r="A677" s="75">
        <v>2024</v>
      </c>
      <c r="B677" s="75">
        <v>10</v>
      </c>
      <c r="C677" s="75">
        <v>3</v>
      </c>
      <c r="D677" s="98">
        <f>DATE(LS[[#This Row],[Year]],LS[[#This Row],[Month]],LS[[#This Row],[Day]])</f>
        <v>45568</v>
      </c>
      <c r="E677" s="99" t="str" cm="1">
        <f t="array" ref="E677">INDEX(INVESTORS_LIST[INVESTOR NAME],MATCH(LS[[#This Row],[Investor ID]],INVESTORS_LIST[INVESTOR CODE],0),)</f>
        <v>NAUSHEEN AHMED</v>
      </c>
      <c r="F677" s="100" t="s">
        <v>585</v>
      </c>
      <c r="G677" s="101">
        <f>COUNTIF(LS[[#Headers],[Investor ID]]:LS[[#This Row],[Investor ID]],LS[[#This Row],[Investor ID]])</f>
        <v>4</v>
      </c>
      <c r="H677" s="101" t="str">
        <f>CONCATENATE(LS[[#This Row],[Frequency]],LS[[#This Row],[Investor ID]])</f>
        <v>4A00268</v>
      </c>
      <c r="I677" s="75" t="str">
        <f>IF(LS[[#This Row],[B/S]]="B","BUY",(IF(LS[[#This Row],[B/S]]="S","SELL"," ")))</f>
        <v>BUY</v>
      </c>
      <c r="J677" s="101" t="s">
        <v>1229</v>
      </c>
      <c r="K677" s="102">
        <v>114850</v>
      </c>
      <c r="L677" s="99"/>
      <c r="M677" s="103">
        <f>LS[[#This Row],[Amount]]/LS[[#This Row],[Unit]]</f>
        <v>11.484999999999999</v>
      </c>
      <c r="N677" s="104">
        <f>LS[[#This Row],[Unit Capital]]/10</f>
        <v>10000</v>
      </c>
      <c r="O677" s="104">
        <f>SUMIFS(LS[[#Headers],[Unit]]:LS[[#This Row],[Unit]],LS[[#Headers],[Investor ID]]:LS[[#This Row],[Investor ID]],LS[[#This Row],[Investor ID]])</f>
        <v>48700</v>
      </c>
      <c r="P677" s="102">
        <v>100000</v>
      </c>
      <c r="Q677" s="102">
        <f>LS[[#This Row],[Amount]]-LS[[#This Row],[Unit Capital]]</f>
        <v>14850</v>
      </c>
      <c r="R6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11.354845995893221</v>
      </c>
      <c r="S677" s="103">
        <f t="shared" si="10"/>
        <v>14.224</v>
      </c>
      <c r="T6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7" s="102" cm="1">
        <f t="array" ref="U677">IF(LS[[#This Row],[B/S]]="S",ABS(LS[[#This Row],[Unit]])*(INDEX(LS[NAV at Cost (Average)],MATCH(CONCATENATE((LS[[#This Row],[Frequency]]-1),LS[[#This Row],[Investor ID]]),LS[Unique Code],0),0)),0)</f>
        <v>0</v>
      </c>
      <c r="V677" s="102">
        <f>IF(LS[[#This Row],[BO TRANSFER]]="YES",LS[[#This Row],[Unit]],)</f>
        <v>0</v>
      </c>
      <c r="W677" s="102">
        <f>SUMIFS(LS[[#Headers],[BO UNIT TRANSFER]]:LS[[#This Row],[BO UNIT TRANSFER]],LS[[#Headers],[Investor ID]]:LS[[#This Row],[Investor ID]],LS[[#This Row],[Investor ID]])</f>
        <v>0</v>
      </c>
    </row>
    <row r="678" spans="1:23">
      <c r="A678" s="75">
        <v>2024</v>
      </c>
      <c r="B678" s="75">
        <v>10</v>
      </c>
      <c r="C678" s="75">
        <v>3</v>
      </c>
      <c r="D678" s="98">
        <f>DATE(LS[[#This Row],[Year]],LS[[#This Row],[Month]],LS[[#This Row],[Day]])</f>
        <v>45568</v>
      </c>
      <c r="E678" s="99" t="str" cm="1">
        <f t="array" ref="E678">INDEX(INVESTORS_LIST[INVESTOR NAME],MATCH(LS[[#This Row],[Investor ID]],INVESTORS_LIST[INVESTOR CODE],0),)</f>
        <v>TANZILA NUR</v>
      </c>
      <c r="F678" s="100" t="s">
        <v>1153</v>
      </c>
      <c r="G678" s="101">
        <f>COUNTIF(LS[[#Headers],[Investor ID]]:LS[[#This Row],[Investor ID]],LS[[#This Row],[Investor ID]])</f>
        <v>2</v>
      </c>
      <c r="H678" s="101" t="str">
        <f>CONCATENATE(LS[[#This Row],[Frequency]],LS[[#This Row],[Investor ID]])</f>
        <v>2A00552</v>
      </c>
      <c r="I678" s="75" t="str">
        <f>IF(LS[[#This Row],[B/S]]="B","BUY",(IF(LS[[#This Row],[B/S]]="S","SELL"," ")))</f>
        <v>BUY</v>
      </c>
      <c r="J678" s="101" t="s">
        <v>1229</v>
      </c>
      <c r="K678" s="102">
        <v>500000</v>
      </c>
      <c r="L678" s="99"/>
      <c r="M678" s="103">
        <f>LS[[#This Row],[Amount]]/LS[[#This Row],[Unit]]</f>
        <v>11.485012059262662</v>
      </c>
      <c r="N678" s="104">
        <f>LS[[#This Row],[Unit Capital]]/10</f>
        <v>43535</v>
      </c>
      <c r="O678" s="104">
        <f>SUMIFS(LS[[#Headers],[Unit]]:LS[[#This Row],[Unit]],LS[[#Headers],[Investor ID]]:LS[[#This Row],[Investor ID]],LS[[#This Row],[Investor ID]])</f>
        <v>269126</v>
      </c>
      <c r="P678" s="102">
        <v>435350</v>
      </c>
      <c r="Q678" s="102">
        <f>LS[[#This Row],[Amount]]-LS[[#This Row],[Unit Capital]]</f>
        <v>64650</v>
      </c>
      <c r="R6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11.1471949941663</v>
      </c>
      <c r="S678" s="103">
        <f t="shared" si="10"/>
        <v>14.224</v>
      </c>
      <c r="T6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8" s="102" cm="1">
        <f t="array" ref="U678">IF(LS[[#This Row],[B/S]]="S",ABS(LS[[#This Row],[Unit]])*(INDEX(LS[NAV at Cost (Average)],MATCH(CONCATENATE((LS[[#This Row],[Frequency]]-1),LS[[#This Row],[Investor ID]]),LS[Unique Code],0),0)),0)</f>
        <v>0</v>
      </c>
      <c r="V678" s="102">
        <f>IF(LS[[#This Row],[BO TRANSFER]]="YES",LS[[#This Row],[Unit]],)</f>
        <v>0</v>
      </c>
      <c r="W678" s="102">
        <f>SUMIFS(LS[[#Headers],[BO UNIT TRANSFER]]:LS[[#This Row],[BO UNIT TRANSFER]],LS[[#Headers],[Investor ID]]:LS[[#This Row],[Investor ID]],LS[[#This Row],[Investor ID]])</f>
        <v>0</v>
      </c>
    </row>
    <row r="679" spans="1:23">
      <c r="A679" s="75">
        <v>2024</v>
      </c>
      <c r="B679" s="75">
        <v>10</v>
      </c>
      <c r="C679" s="75">
        <v>3</v>
      </c>
      <c r="D679" s="98">
        <f>DATE(LS[[#This Row],[Year]],LS[[#This Row],[Month]],LS[[#This Row],[Day]])</f>
        <v>45568</v>
      </c>
      <c r="E679" s="99" t="str" cm="1">
        <f t="array" ref="E679">INDEX(INVESTORS_LIST[INVESTOR NAME],MATCH(LS[[#This Row],[Investor ID]],INVESTORS_LIST[INVESTOR CODE],0),)</f>
        <v>KAZI MINUDDIN MAMUN</v>
      </c>
      <c r="F679" s="100" t="s">
        <v>1137</v>
      </c>
      <c r="G679" s="101">
        <f>COUNTIF(LS[[#Headers],[Investor ID]]:LS[[#This Row],[Investor ID]],LS[[#This Row],[Investor ID]])</f>
        <v>2</v>
      </c>
      <c r="H679" s="101" t="str">
        <f>CONCATENATE(LS[[#This Row],[Frequency]],LS[[#This Row],[Investor ID]])</f>
        <v>2A00544</v>
      </c>
      <c r="I679" s="75" t="str">
        <f>IF(LS[[#This Row],[B/S]]="B","BUY",(IF(LS[[#This Row],[B/S]]="S","SELL"," ")))</f>
        <v>BUY</v>
      </c>
      <c r="J679" s="101" t="s">
        <v>1229</v>
      </c>
      <c r="K679" s="102">
        <v>500000</v>
      </c>
      <c r="L679" s="99"/>
      <c r="M679" s="103">
        <f>LS[[#This Row],[Amount]]/LS[[#This Row],[Unit]]</f>
        <v>11.485012059262662</v>
      </c>
      <c r="N679" s="104">
        <f>LS[[#This Row],[Unit Capital]]/10</f>
        <v>43535</v>
      </c>
      <c r="O679" s="104">
        <f>SUMIFS(LS[[#Headers],[Unit]]:LS[[#This Row],[Unit]],LS[[#Headers],[Investor ID]]:LS[[#This Row],[Investor ID]],LS[[#This Row],[Investor ID]])</f>
        <v>270107</v>
      </c>
      <c r="P679" s="102">
        <v>435350</v>
      </c>
      <c r="Q679" s="102">
        <f>LS[[#This Row],[Amount]]-LS[[#This Row],[Unit Capital]]</f>
        <v>64650</v>
      </c>
      <c r="R6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11.106709563247158</v>
      </c>
      <c r="S679" s="103">
        <f t="shared" si="10"/>
        <v>14.224</v>
      </c>
      <c r="T6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79" s="102" cm="1">
        <f t="array" ref="U679">IF(LS[[#This Row],[B/S]]="S",ABS(LS[[#This Row],[Unit]])*(INDEX(LS[NAV at Cost (Average)],MATCH(CONCATENATE((LS[[#This Row],[Frequency]]-1),LS[[#This Row],[Investor ID]]),LS[Unique Code],0),0)),0)</f>
        <v>0</v>
      </c>
      <c r="V679" s="102">
        <f>IF(LS[[#This Row],[BO TRANSFER]]="YES",LS[[#This Row],[Unit]],)</f>
        <v>0</v>
      </c>
      <c r="W679" s="102">
        <f>SUMIFS(LS[[#Headers],[BO UNIT TRANSFER]]:LS[[#This Row],[BO UNIT TRANSFER]],LS[[#Headers],[Investor ID]]:LS[[#This Row],[Investor ID]],LS[[#This Row],[Investor ID]])</f>
        <v>0</v>
      </c>
    </row>
    <row r="680" spans="1:23">
      <c r="A680" s="75">
        <v>2024</v>
      </c>
      <c r="B680" s="75">
        <v>10</v>
      </c>
      <c r="C680" s="75">
        <v>3</v>
      </c>
      <c r="D680" s="98">
        <f>DATE(LS[[#This Row],[Year]],LS[[#This Row],[Month]],LS[[#This Row],[Day]])</f>
        <v>45568</v>
      </c>
      <c r="E680" s="99" t="str" cm="1">
        <f t="array" ref="E680">INDEX(INVESTORS_LIST[INVESTOR NAME],MATCH(LS[[#This Row],[Investor ID]],INVESTORS_LIST[INVESTOR CODE],0),)</f>
        <v>FARZANA JITU</v>
      </c>
      <c r="F680" s="100" t="s">
        <v>968</v>
      </c>
      <c r="G680" s="101">
        <f>COUNTIF(LS[[#Headers],[Investor ID]]:LS[[#This Row],[Investor ID]],LS[[#This Row],[Investor ID]])</f>
        <v>9</v>
      </c>
      <c r="H680" s="101" t="str">
        <f>CONCATENATE(LS[[#This Row],[Frequency]],LS[[#This Row],[Investor ID]])</f>
        <v>9A00461</v>
      </c>
      <c r="I680" s="75" t="str">
        <f>IF(LS[[#This Row],[B/S]]="B","BUY",(IF(LS[[#This Row],[B/S]]="S","SELL"," ")))</f>
        <v>BUY</v>
      </c>
      <c r="J680" s="101" t="s">
        <v>1229</v>
      </c>
      <c r="K680" s="102">
        <v>300000</v>
      </c>
      <c r="L680" s="88"/>
      <c r="M680" s="103">
        <f>LS[[#This Row],[Amount]]/LS[[#This Row],[Unit]]</f>
        <v>11.485012059262662</v>
      </c>
      <c r="N680" s="104">
        <f>LS[[#This Row],[Unit Capital]]/10</f>
        <v>26121</v>
      </c>
      <c r="O680" s="104">
        <f>SUMIFS(LS[[#Headers],[Unit]]:LS[[#This Row],[Unit]],LS[[#Headers],[Investor ID]]:LS[[#This Row],[Investor ID]],LS[[#This Row],[Investor ID]])</f>
        <v>30709</v>
      </c>
      <c r="P680" s="102">
        <v>261210</v>
      </c>
      <c r="Q680" s="102">
        <f>LS[[#This Row],[Amount]]-LS[[#This Row],[Unit Capital]]</f>
        <v>38790</v>
      </c>
      <c r="R6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11.44979011038145</v>
      </c>
      <c r="S680" s="103">
        <f t="shared" si="10"/>
        <v>14.224</v>
      </c>
      <c r="T6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0" s="102" cm="1">
        <f t="array" ref="U680">IF(LS[[#This Row],[B/S]]="S",ABS(LS[[#This Row],[Unit]])*(INDEX(LS[NAV at Cost (Average)],MATCH(CONCATENATE((LS[[#This Row],[Frequency]]-1),LS[[#This Row],[Investor ID]]),LS[Unique Code],0),0)),0)</f>
        <v>0</v>
      </c>
      <c r="V680" s="102">
        <f>IF(LS[[#This Row],[BO TRANSFER]]="YES",LS[[#This Row],[Unit]],)</f>
        <v>0</v>
      </c>
      <c r="W680" s="102">
        <f>SUMIFS(LS[[#Headers],[BO UNIT TRANSFER]]:LS[[#This Row],[BO UNIT TRANSFER]],LS[[#Headers],[Investor ID]]:LS[[#This Row],[Investor ID]],LS[[#This Row],[Investor ID]])</f>
        <v>0</v>
      </c>
    </row>
    <row r="681" spans="1:23">
      <c r="A681" s="75">
        <v>2024</v>
      </c>
      <c r="B681" s="75">
        <v>10</v>
      </c>
      <c r="C681" s="75">
        <v>3</v>
      </c>
      <c r="D681" s="98">
        <f>DATE(LS[[#This Row],[Year]],LS[[#This Row],[Month]],LS[[#This Row],[Day]])</f>
        <v>45568</v>
      </c>
      <c r="E681" s="99" t="str" cm="1">
        <f t="array" ref="E681">INDEX(INVESTORS_LIST[INVESTOR NAME],MATCH(LS[[#This Row],[Investor ID]],INVESTORS_LIST[INVESTOR CODE],0),)</f>
        <v>FARZANA JITU</v>
      </c>
      <c r="F681" s="100" t="s">
        <v>968</v>
      </c>
      <c r="G681" s="101">
        <f>COUNTIF(LS[[#Headers],[Investor ID]]:LS[[#This Row],[Investor ID]],LS[[#This Row],[Investor ID]])</f>
        <v>10</v>
      </c>
      <c r="H681" s="101" t="str">
        <f>CONCATENATE(LS[[#This Row],[Frequency]],LS[[#This Row],[Investor ID]])</f>
        <v>10A00461</v>
      </c>
      <c r="I681" s="75" t="str">
        <f>IF(LS[[#This Row],[B/S]]="B","BUY",(IF(LS[[#This Row],[B/S]]="S","SELL"," ")))</f>
        <v>BUY</v>
      </c>
      <c r="J681" s="101" t="s">
        <v>1229</v>
      </c>
      <c r="K681" s="102">
        <v>300000</v>
      </c>
      <c r="L681" s="88"/>
      <c r="M681" s="103">
        <f>LS[[#This Row],[Amount]]/LS[[#This Row],[Unit]]</f>
        <v>11.485012059262662</v>
      </c>
      <c r="N681" s="104">
        <f>LS[[#This Row],[Unit Capital]]/10</f>
        <v>26121</v>
      </c>
      <c r="O681" s="104">
        <f>SUMIFS(LS[[#Headers],[Unit]]:LS[[#This Row],[Unit]],LS[[#Headers],[Investor ID]]:LS[[#This Row],[Investor ID]],LS[[#This Row],[Investor ID]])</f>
        <v>56830</v>
      </c>
      <c r="P681" s="102">
        <v>261210</v>
      </c>
      <c r="Q681" s="102">
        <f>LS[[#This Row],[Amount]]-LS[[#This Row],[Unit Capital]]</f>
        <v>38790</v>
      </c>
      <c r="R6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11.465979315497165</v>
      </c>
      <c r="S681" s="103">
        <f t="shared" si="10"/>
        <v>14.224</v>
      </c>
      <c r="T6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1" s="102" cm="1">
        <f t="array" ref="U681">IF(LS[[#This Row],[B/S]]="S",ABS(LS[[#This Row],[Unit]])*(INDEX(LS[NAV at Cost (Average)],MATCH(CONCATENATE((LS[[#This Row],[Frequency]]-1),LS[[#This Row],[Investor ID]]),LS[Unique Code],0),0)),0)</f>
        <v>0</v>
      </c>
      <c r="V681" s="102">
        <f>IF(LS[[#This Row],[BO TRANSFER]]="YES",LS[[#This Row],[Unit]],)</f>
        <v>0</v>
      </c>
      <c r="W681" s="102">
        <f>SUMIFS(LS[[#Headers],[BO UNIT TRANSFER]]:LS[[#This Row],[BO UNIT TRANSFER]],LS[[#Headers],[Investor ID]]:LS[[#This Row],[Investor ID]],LS[[#This Row],[Investor ID]])</f>
        <v>0</v>
      </c>
    </row>
    <row r="682" spans="1:23">
      <c r="A682" s="75">
        <v>2024</v>
      </c>
      <c r="B682" s="75">
        <v>10</v>
      </c>
      <c r="C682" s="75">
        <v>3</v>
      </c>
      <c r="D682" s="98">
        <f>DATE(LS[[#This Row],[Year]],LS[[#This Row],[Month]],LS[[#This Row],[Day]])</f>
        <v>45568</v>
      </c>
      <c r="E682" s="99" t="str" cm="1">
        <f t="array" ref="E682">INDEX(INVESTORS_LIST[INVESTOR NAME],MATCH(LS[[#This Row],[Investor ID]],INVESTORS_LIST[INVESTOR CODE],0),)</f>
        <v>FARZANA JITU</v>
      </c>
      <c r="F682" s="100" t="s">
        <v>968</v>
      </c>
      <c r="G682" s="101">
        <f>COUNTIF(LS[[#Headers],[Investor ID]]:LS[[#This Row],[Investor ID]],LS[[#This Row],[Investor ID]])</f>
        <v>11</v>
      </c>
      <c r="H682" s="101" t="str">
        <f>CONCATENATE(LS[[#This Row],[Frequency]],LS[[#This Row],[Investor ID]])</f>
        <v>11A00461</v>
      </c>
      <c r="I682" s="75" t="str">
        <f>IF(LS[[#This Row],[B/S]]="B","BUY",(IF(LS[[#This Row],[B/S]]="S","SELL"," ")))</f>
        <v>BUY</v>
      </c>
      <c r="J682" s="101" t="s">
        <v>1229</v>
      </c>
      <c r="K682" s="102">
        <v>250000</v>
      </c>
      <c r="L682" s="88"/>
      <c r="M682" s="103">
        <f>LS[[#This Row],[Amount]]/LS[[#This Row],[Unit]]</f>
        <v>11.484748254318266</v>
      </c>
      <c r="N682" s="104">
        <f>LS[[#This Row],[Unit Capital]]/10</f>
        <v>21768</v>
      </c>
      <c r="O682" s="104">
        <f>SUMIFS(LS[[#Headers],[Unit]]:LS[[#This Row],[Unit]],LS[[#Headers],[Investor ID]]:LS[[#This Row],[Investor ID]],LS[[#This Row],[Investor ID]])</f>
        <v>78598</v>
      </c>
      <c r="P682" s="102">
        <v>217680</v>
      </c>
      <c r="Q682" s="102">
        <f>LS[[#This Row],[Amount]]-LS[[#This Row],[Unit Capital]]</f>
        <v>32320</v>
      </c>
      <c r="R6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11.471177440898037</v>
      </c>
      <c r="S682" s="103">
        <f t="shared" si="10"/>
        <v>14.224</v>
      </c>
      <c r="T6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2" s="102" cm="1">
        <f t="array" ref="U682">IF(LS[[#This Row],[B/S]]="S",ABS(LS[[#This Row],[Unit]])*(INDEX(LS[NAV at Cost (Average)],MATCH(CONCATENATE((LS[[#This Row],[Frequency]]-1),LS[[#This Row],[Investor ID]]),LS[Unique Code],0),0)),0)</f>
        <v>0</v>
      </c>
      <c r="V682" s="102">
        <f>IF(LS[[#This Row],[BO TRANSFER]]="YES",LS[[#This Row],[Unit]],)</f>
        <v>0</v>
      </c>
      <c r="W682" s="102">
        <f>SUMIFS(LS[[#Headers],[BO UNIT TRANSFER]]:LS[[#This Row],[BO UNIT TRANSFER]],LS[[#Headers],[Investor ID]]:LS[[#This Row],[Investor ID]],LS[[#This Row],[Investor ID]])</f>
        <v>0</v>
      </c>
    </row>
    <row r="683" spans="1:23">
      <c r="A683" s="75">
        <v>2024</v>
      </c>
      <c r="B683" s="75">
        <v>10</v>
      </c>
      <c r="C683" s="75">
        <v>3</v>
      </c>
      <c r="D683" s="98">
        <f>DATE(LS[[#This Row],[Year]],LS[[#This Row],[Month]],LS[[#This Row],[Day]])</f>
        <v>45568</v>
      </c>
      <c r="E683" s="99" t="str" cm="1">
        <f t="array" ref="E683">INDEX(INVESTORS_LIST[INVESTOR NAME],MATCH(LS[[#This Row],[Investor ID]],INVESTORS_LIST[INVESTOR CODE],0),)</f>
        <v>SYED FAZLE RABBY</v>
      </c>
      <c r="F683" s="100" t="s">
        <v>166</v>
      </c>
      <c r="G683" s="101">
        <f>COUNTIF(LS[[#Headers],[Investor ID]]:LS[[#This Row],[Investor ID]],LS[[#This Row],[Investor ID]])</f>
        <v>24</v>
      </c>
      <c r="H683" s="101" t="str">
        <f>CONCATENATE(LS[[#This Row],[Frequency]],LS[[#This Row],[Investor ID]])</f>
        <v>24A00059</v>
      </c>
      <c r="I683" s="75" t="str">
        <f>IF(LS[[#This Row],[B/S]]="B","BUY",(IF(LS[[#This Row],[B/S]]="S","SELL"," ")))</f>
        <v>BUY</v>
      </c>
      <c r="J683" s="101" t="s">
        <v>1229</v>
      </c>
      <c r="K683" s="102">
        <v>80000</v>
      </c>
      <c r="L683" s="99"/>
      <c r="M683" s="103">
        <f>LS[[#This Row],[Amount]]/LS[[#This Row],[Unit]]</f>
        <v>11.484352569623887</v>
      </c>
      <c r="N683" s="104">
        <f>LS[[#This Row],[Unit Capital]]/10</f>
        <v>6966</v>
      </c>
      <c r="O683" s="104">
        <f>SUMIFS(LS[[#Headers],[Unit]]:LS[[#This Row],[Unit]],LS[[#Headers],[Investor ID]]:LS[[#This Row],[Investor ID]],LS[[#This Row],[Investor ID]])</f>
        <v>493335</v>
      </c>
      <c r="P683" s="102">
        <v>69660</v>
      </c>
      <c r="Q683" s="102">
        <f>LS[[#This Row],[Amount]]-LS[[#This Row],[Unit Capital]]</f>
        <v>10340</v>
      </c>
      <c r="R6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10.826306635995529</v>
      </c>
      <c r="S683" s="103">
        <f t="shared" si="10"/>
        <v>14.224</v>
      </c>
      <c r="T68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3" s="102" cm="1">
        <f t="array" ref="U683">IF(LS[[#This Row],[B/S]]="S",ABS(LS[[#This Row],[Unit]])*(INDEX(LS[NAV at Cost (Average)],MATCH(CONCATENATE((LS[[#This Row],[Frequency]]-1),LS[[#This Row],[Investor ID]]),LS[Unique Code],0),0)),0)</f>
        <v>0</v>
      </c>
      <c r="V683" s="102">
        <f>IF(LS[[#This Row],[BO TRANSFER]]="YES",LS[[#This Row],[Unit]],)</f>
        <v>0</v>
      </c>
      <c r="W683" s="102">
        <f>SUMIFS(LS[[#Headers],[BO UNIT TRANSFER]]:LS[[#This Row],[BO UNIT TRANSFER]],LS[[#Headers],[Investor ID]]:LS[[#This Row],[Investor ID]],LS[[#This Row],[Investor ID]])</f>
        <v>0</v>
      </c>
    </row>
    <row r="684" spans="1:23">
      <c r="A684" s="75">
        <v>2024</v>
      </c>
      <c r="B684" s="75">
        <v>10</v>
      </c>
      <c r="C684" s="75">
        <v>7</v>
      </c>
      <c r="D684" s="98">
        <f>DATE(LS[[#This Row],[Year]],LS[[#This Row],[Month]],LS[[#This Row],[Day]])</f>
        <v>45572</v>
      </c>
      <c r="E684" s="99" t="str" cm="1">
        <f t="array" ref="E684">INDEX(INVESTORS_LIST[INVESTOR NAME],MATCH(LS[[#This Row],[Investor ID]],INVESTORS_LIST[INVESTOR CODE],0),)</f>
        <v>BEAUTY BEGUM LOTA</v>
      </c>
      <c r="F684" s="100" t="s">
        <v>1081</v>
      </c>
      <c r="G684" s="101">
        <f>COUNTIF(LS[[#Headers],[Investor ID]]:LS[[#This Row],[Investor ID]],LS[[#This Row],[Investor ID]])</f>
        <v>11</v>
      </c>
      <c r="H684" s="101" t="str">
        <f>CONCATENATE(LS[[#This Row],[Frequency]],LS[[#This Row],[Investor ID]])</f>
        <v>11A00518</v>
      </c>
      <c r="I684" s="75" t="str">
        <f>IF(LS[[#This Row],[B/S]]="B","BUY",(IF(LS[[#This Row],[B/S]]="S","SELL"," ")))</f>
        <v>SELL</v>
      </c>
      <c r="J684" s="101" t="s">
        <v>1231</v>
      </c>
      <c r="K684" s="102">
        <v>-250011.3</v>
      </c>
      <c r="L684" s="99"/>
      <c r="M684" s="103">
        <f>LS[[#This Row],[Amount]]/LS[[#This Row],[Unit]]</f>
        <v>11.507999999999999</v>
      </c>
      <c r="N684" s="104">
        <f>LS[[#This Row],[Unit Capital]]/10</f>
        <v>-21725</v>
      </c>
      <c r="O684" s="104">
        <f>SUMIFS(LS[[#Headers],[Unit]]:LS[[#This Row],[Unit]],LS[[#Headers],[Investor ID]]:LS[[#This Row],[Investor ID]],LS[[#This Row],[Investor ID]])</f>
        <v>65080</v>
      </c>
      <c r="P684" s="102">
        <v>-217250</v>
      </c>
      <c r="Q684" s="102">
        <f>LS[[#This Row],[Amount]]-LS[[#This Row],[Unit Capital]]</f>
        <v>-32761.299999999988</v>
      </c>
      <c r="R6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11.199009273659351</v>
      </c>
      <c r="S684" s="103">
        <f t="shared" si="10"/>
        <v>14.224</v>
      </c>
      <c r="T684" s="102">
        <f>IF(LS[[#This Row],[B/S]]="B",0,ABS(LS[[#This Row],[Unit]])*(LS[[#This Row],[NAV (Strike Rate)]]-INDEX(LS[NAV at Cost (Average)],MATCH(CONCATENATE(LS[[#This Row],[Frequency]]-1,LS[[#This Row],[Investor ID]]),LS[Unique Code],0),)))</f>
        <v>6712.8235297505717</v>
      </c>
      <c r="U684" s="102" cm="1">
        <f t="array" ref="U684">IF(LS[[#This Row],[B/S]]="S",ABS(LS[[#This Row],[Unit]])*(INDEX(LS[NAV at Cost (Average)],MATCH(CONCATENATE((LS[[#This Row],[Frequency]]-1),LS[[#This Row],[Investor ID]]),LS[Unique Code],0),0)),0)</f>
        <v>243298.47647024941</v>
      </c>
      <c r="V684" s="102">
        <f>IF(LS[[#This Row],[BO TRANSFER]]="YES",LS[[#This Row],[Unit]],)</f>
        <v>0</v>
      </c>
      <c r="W684" s="102">
        <f>SUMIFS(LS[[#Headers],[BO UNIT TRANSFER]]:LS[[#This Row],[BO UNIT TRANSFER]],LS[[#Headers],[Investor ID]]:LS[[#This Row],[Investor ID]],LS[[#This Row],[Investor ID]])</f>
        <v>0</v>
      </c>
    </row>
    <row r="685" spans="1:23">
      <c r="A685" s="75">
        <v>2024</v>
      </c>
      <c r="B685" s="75">
        <v>10</v>
      </c>
      <c r="C685" s="75">
        <v>8</v>
      </c>
      <c r="D685" s="98">
        <f>DATE(LS[[#This Row],[Year]],LS[[#This Row],[Month]],LS[[#This Row],[Day]])</f>
        <v>45573</v>
      </c>
      <c r="E685" s="99" t="str" cm="1">
        <f t="array" ref="E685">INDEX(INVESTORS_LIST[INVESTOR NAME],MATCH(LS[[#This Row],[Investor ID]],INVESTORS_LIST[INVESTOR CODE],0),)</f>
        <v>SHAH MUNTASIN MUJTABA</v>
      </c>
      <c r="F685" s="100" t="s">
        <v>1103</v>
      </c>
      <c r="G685" s="101">
        <f>COUNTIF(LS[[#Headers],[Investor ID]]:LS[[#This Row],[Investor ID]],LS[[#This Row],[Investor ID]])</f>
        <v>8</v>
      </c>
      <c r="H685" s="101" t="str">
        <f>CONCATENATE(LS[[#This Row],[Frequency]],LS[[#This Row],[Investor ID]])</f>
        <v>8A00528</v>
      </c>
      <c r="I685" s="75" t="str">
        <f>IF(LS[[#This Row],[B/S]]="B","BUY",(IF(LS[[#This Row],[B/S]]="S","SELL"," ")))</f>
        <v>BUY</v>
      </c>
      <c r="J685" s="101" t="s">
        <v>1229</v>
      </c>
      <c r="K685" s="102">
        <v>500598</v>
      </c>
      <c r="L685" s="99"/>
      <c r="M685" s="103">
        <f>LS[[#This Row],[Amount]]/LS[[#This Row],[Unit]]</f>
        <v>11.507999999999999</v>
      </c>
      <c r="N685" s="104">
        <f>LS[[#This Row],[Unit Capital]]/10</f>
        <v>43500</v>
      </c>
      <c r="O685" s="104">
        <f>SUMIFS(LS[[#Headers],[Unit]]:LS[[#This Row],[Unit]],LS[[#Headers],[Investor ID]]:LS[[#This Row],[Investor ID]],LS[[#This Row],[Investor ID]])</f>
        <v>79936</v>
      </c>
      <c r="P685" s="102">
        <v>435000</v>
      </c>
      <c r="Q685" s="102">
        <f>LS[[#This Row],[Amount]]-LS[[#This Row],[Unit Capital]]</f>
        <v>65598</v>
      </c>
      <c r="R6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11.205564667393073</v>
      </c>
      <c r="S685" s="103">
        <f t="shared" si="10"/>
        <v>14.224</v>
      </c>
      <c r="T68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5" s="102" cm="1">
        <f t="array" ref="U685">IF(LS[[#This Row],[B/S]]="S",ABS(LS[[#This Row],[Unit]])*(INDEX(LS[NAV at Cost (Average)],MATCH(CONCATENATE((LS[[#This Row],[Frequency]]-1),LS[[#This Row],[Investor ID]]),LS[Unique Code],0),0)),0)</f>
        <v>0</v>
      </c>
      <c r="V685" s="102">
        <f>IF(LS[[#This Row],[BO TRANSFER]]="YES",LS[[#This Row],[Unit]],)</f>
        <v>0</v>
      </c>
      <c r="W685" s="102">
        <f>SUMIFS(LS[[#Headers],[BO UNIT TRANSFER]]:LS[[#This Row],[BO UNIT TRANSFER]],LS[[#Headers],[Investor ID]]:LS[[#This Row],[Investor ID]],LS[[#This Row],[Investor ID]])</f>
        <v>0</v>
      </c>
    </row>
    <row r="686" spans="1:23">
      <c r="A686" s="75">
        <v>2024</v>
      </c>
      <c r="B686" s="75">
        <v>10</v>
      </c>
      <c r="C686" s="75">
        <v>8</v>
      </c>
      <c r="D686" s="98">
        <f>DATE(LS[[#This Row],[Year]],LS[[#This Row],[Month]],LS[[#This Row],[Day]])</f>
        <v>45573</v>
      </c>
      <c r="E686" s="99" t="str" cm="1">
        <f t="array" ref="E686">INDEX(INVESTORS_LIST[INVESTOR NAME],MATCH(LS[[#This Row],[Investor ID]],INVESTORS_LIST[INVESTOR CODE],0),)</f>
        <v>SULTANA RAZIA</v>
      </c>
      <c r="F686" s="100" t="s">
        <v>511</v>
      </c>
      <c r="G686" s="101">
        <f>COUNTIF(LS[[#Headers],[Investor ID]]:LS[[#This Row],[Investor ID]],LS[[#This Row],[Investor ID]])</f>
        <v>5</v>
      </c>
      <c r="H686" s="101" t="str">
        <f>CONCATENATE(LS[[#This Row],[Frequency]],LS[[#This Row],[Investor ID]])</f>
        <v>5A00231</v>
      </c>
      <c r="I686" s="75" t="str">
        <f>IF(LS[[#This Row],[B/S]]="B","BUY",(IF(LS[[#This Row],[B/S]]="S","SELL"," ")))</f>
        <v>BUY</v>
      </c>
      <c r="J686" s="101" t="s">
        <v>1229</v>
      </c>
      <c r="K686" s="102">
        <v>1000000</v>
      </c>
      <c r="L686" s="99"/>
      <c r="M686" s="103">
        <f>LS[[#This Row],[Amount]]/LS[[#This Row],[Unit]]</f>
        <v>11.508009574663966</v>
      </c>
      <c r="N686" s="104">
        <f>LS[[#This Row],[Unit Capital]]/10</f>
        <v>86896</v>
      </c>
      <c r="O686" s="104">
        <f>SUMIFS(LS[[#Headers],[Unit]]:LS[[#This Row],[Unit]],LS[[#Headers],[Investor ID]]:LS[[#This Row],[Investor ID]],LS[[#This Row],[Investor ID]])</f>
        <v>128787</v>
      </c>
      <c r="P686" s="102">
        <v>868960</v>
      </c>
      <c r="Q686" s="102">
        <f>LS[[#This Row],[Amount]]-LS[[#This Row],[Unit Capital]]</f>
        <v>131040</v>
      </c>
      <c r="R6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11.097256956022733</v>
      </c>
      <c r="S686" s="103">
        <f t="shared" si="10"/>
        <v>14.224</v>
      </c>
      <c r="T68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6" s="102" cm="1">
        <f t="array" ref="U686">IF(LS[[#This Row],[B/S]]="S",ABS(LS[[#This Row],[Unit]])*(INDEX(LS[NAV at Cost (Average)],MATCH(CONCATENATE((LS[[#This Row],[Frequency]]-1),LS[[#This Row],[Investor ID]]),LS[Unique Code],0),0)),0)</f>
        <v>0</v>
      </c>
      <c r="V686" s="102">
        <f>IF(LS[[#This Row],[BO TRANSFER]]="YES",LS[[#This Row],[Unit]],)</f>
        <v>0</v>
      </c>
      <c r="W686" s="102">
        <f>SUMIFS(LS[[#Headers],[BO UNIT TRANSFER]]:LS[[#This Row],[BO UNIT TRANSFER]],LS[[#Headers],[Investor ID]]:LS[[#This Row],[Investor ID]],LS[[#This Row],[Investor ID]])</f>
        <v>0</v>
      </c>
    </row>
    <row r="687" spans="1:23">
      <c r="A687" s="75">
        <v>2024</v>
      </c>
      <c r="B687" s="75">
        <v>10</v>
      </c>
      <c r="C687" s="75">
        <v>14</v>
      </c>
      <c r="D687" s="98">
        <f>DATE(LS[[#This Row],[Year]],LS[[#This Row],[Month]],LS[[#This Row],[Day]])</f>
        <v>45579</v>
      </c>
      <c r="E687" s="99" t="str" cm="1">
        <f t="array" ref="E687">INDEX(INVESTORS_LIST[INVESTOR NAME],MATCH(LS[[#This Row],[Investor ID]],INVESTORS_LIST[INVESTOR CODE],0),)</f>
        <v>ASMA UL HUSNA</v>
      </c>
      <c r="F687" s="100" t="s">
        <v>324</v>
      </c>
      <c r="G687" s="101">
        <f>COUNTIF(LS[[#Headers],[Investor ID]]:LS[[#This Row],[Investor ID]],LS[[#This Row],[Investor ID]])</f>
        <v>3</v>
      </c>
      <c r="H687" s="101" t="str">
        <f>CONCATENATE(LS[[#This Row],[Frequency]],LS[[#This Row],[Investor ID]])</f>
        <v>3A00138</v>
      </c>
      <c r="I687" s="75" t="str">
        <f>IF(LS[[#This Row],[B/S]]="B","BUY",(IF(LS[[#This Row],[B/S]]="S","SELL"," ")))</f>
        <v>SELL</v>
      </c>
      <c r="J687" s="101" t="s">
        <v>1231</v>
      </c>
      <c r="K687" s="102">
        <v>-200000</v>
      </c>
      <c r="L687" s="99"/>
      <c r="M687" s="103">
        <f>LS[[#This Row],[Amount]]/LS[[#This Row],[Unit]]</f>
        <v>11.53203021391916</v>
      </c>
      <c r="N687" s="104">
        <f>LS[[#This Row],[Unit Capital]]/10</f>
        <v>-17343</v>
      </c>
      <c r="O687" s="104">
        <f>SUMIFS(LS[[#Headers],[Unit]]:LS[[#This Row],[Unit]],LS[[#Headers],[Investor ID]]:LS[[#This Row],[Investor ID]],LS[[#This Row],[Investor ID]])</f>
        <v>169365</v>
      </c>
      <c r="P687" s="102">
        <v>-173430</v>
      </c>
      <c r="Q687" s="102">
        <f>LS[[#This Row],[Amount]]-LS[[#This Row],[Unit Capital]]</f>
        <v>-26570</v>
      </c>
      <c r="R6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10.176318100991924</v>
      </c>
      <c r="S687" s="103">
        <f t="shared" si="10"/>
        <v>14.224</v>
      </c>
      <c r="T687" s="102">
        <f>IF(LS[[#This Row],[B/S]]="B",0,ABS(LS[[#This Row],[Unit]])*(LS[[#This Row],[NAV (Strike Rate)]]-INDEX(LS[NAV at Cost (Average)],MATCH(CONCATENATE(LS[[#This Row],[Frequency]]-1,LS[[#This Row],[Investor ID]]),LS[Unique Code],0),)))</f>
        <v>23512.115174497056</v>
      </c>
      <c r="U687" s="102" cm="1">
        <f t="array" ref="U687">IF(LS[[#This Row],[B/S]]="S",ABS(LS[[#This Row],[Unit]])*(INDEX(LS[NAV at Cost (Average)],MATCH(CONCATENATE((LS[[#This Row],[Frequency]]-1),LS[[#This Row],[Investor ID]]),LS[Unique Code],0),0)),0)</f>
        <v>176487.88482550293</v>
      </c>
      <c r="V687" s="102">
        <f>IF(LS[[#This Row],[BO TRANSFER]]="YES",LS[[#This Row],[Unit]],)</f>
        <v>0</v>
      </c>
      <c r="W687" s="102">
        <f>SUMIFS(LS[[#Headers],[BO UNIT TRANSFER]]:LS[[#This Row],[BO UNIT TRANSFER]],LS[[#Headers],[Investor ID]]:LS[[#This Row],[Investor ID]],LS[[#This Row],[Investor ID]])</f>
        <v>0</v>
      </c>
    </row>
    <row r="688" spans="1:23">
      <c r="A688" s="75">
        <v>2024</v>
      </c>
      <c r="B688" s="75">
        <v>10</v>
      </c>
      <c r="C688" s="75">
        <v>15</v>
      </c>
      <c r="D688" s="98">
        <f>DATE(LS[[#This Row],[Year]],LS[[#This Row],[Month]],LS[[#This Row],[Day]])</f>
        <v>45580</v>
      </c>
      <c r="E688" s="99" t="str" cm="1">
        <f t="array" ref="E688">INDEX(INVESTORS_LIST[INVESTOR NAME],MATCH(LS[[#This Row],[Investor ID]],INVESTORS_LIST[INVESTOR CODE],0),)</f>
        <v>KAZI HABIBUR RAHMAN</v>
      </c>
      <c r="F688" s="100" t="s">
        <v>1114</v>
      </c>
      <c r="G688" s="101">
        <f>COUNTIF(LS[[#Headers],[Investor ID]]:LS[[#This Row],[Investor ID]],LS[[#This Row],[Investor ID]])</f>
        <v>18</v>
      </c>
      <c r="H688" s="101" t="str">
        <f>CONCATENATE(LS[[#This Row],[Frequency]],LS[[#This Row],[Investor ID]])</f>
        <v>18A00532</v>
      </c>
      <c r="I688" s="75" t="str">
        <f>IF(LS[[#This Row],[B/S]]="B","BUY",(IF(LS[[#This Row],[B/S]]="S","SELL"," ")))</f>
        <v>BUY</v>
      </c>
      <c r="J688" s="101" t="s">
        <v>1229</v>
      </c>
      <c r="K688" s="102">
        <v>343500</v>
      </c>
      <c r="L688" s="99"/>
      <c r="M688" s="103">
        <f>LS[[#This Row],[Amount]]/LS[[#This Row],[Unit]]</f>
        <v>11.531876321885386</v>
      </c>
      <c r="N688" s="104">
        <f>LS[[#This Row],[Unit Capital]]/10</f>
        <v>29787</v>
      </c>
      <c r="O688" s="104">
        <f>SUMIFS(LS[[#Headers],[Unit]]:LS[[#This Row],[Unit]],LS[[#Headers],[Investor ID]]:LS[[#This Row],[Investor ID]],LS[[#This Row],[Investor ID]])</f>
        <v>579547</v>
      </c>
      <c r="P688" s="102">
        <v>297870</v>
      </c>
      <c r="Q688" s="102">
        <f>LS[[#This Row],[Amount]]-LS[[#This Row],[Unit Capital]]</f>
        <v>45630</v>
      </c>
      <c r="R6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11.103704185421298</v>
      </c>
      <c r="S688" s="103">
        <f t="shared" si="10"/>
        <v>14.224</v>
      </c>
      <c r="T6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8" s="102" cm="1">
        <f t="array" ref="U688">IF(LS[[#This Row],[B/S]]="S",ABS(LS[[#This Row],[Unit]])*(INDEX(LS[NAV at Cost (Average)],MATCH(CONCATENATE((LS[[#This Row],[Frequency]]-1),LS[[#This Row],[Investor ID]]),LS[Unique Code],0),0)),0)</f>
        <v>0</v>
      </c>
      <c r="V688" s="102">
        <f>IF(LS[[#This Row],[BO TRANSFER]]="YES",LS[[#This Row],[Unit]],)</f>
        <v>0</v>
      </c>
      <c r="W688" s="102">
        <f>SUMIFS(LS[[#Headers],[BO UNIT TRANSFER]]:LS[[#This Row],[BO UNIT TRANSFER]],LS[[#Headers],[Investor ID]]:LS[[#This Row],[Investor ID]],LS[[#This Row],[Investor ID]])</f>
        <v>0</v>
      </c>
    </row>
    <row r="689" spans="1:23">
      <c r="A689" s="75">
        <v>2024</v>
      </c>
      <c r="B689" s="75">
        <v>10</v>
      </c>
      <c r="C689" s="75">
        <v>16</v>
      </c>
      <c r="D689" s="98">
        <f>DATE(LS[[#This Row],[Year]],LS[[#This Row],[Month]],LS[[#This Row],[Day]])</f>
        <v>45581</v>
      </c>
      <c r="E689" s="99" t="str" cm="1">
        <f t="array" ref="E689">INDEX(INVESTORS_LIST[INVESTOR NAME],MATCH(LS[[#This Row],[Investor ID]],INVESTORS_LIST[INVESTOR CODE],0),)</f>
        <v>PUJA BHATTACHARJEE</v>
      </c>
      <c r="F689" s="100" t="s">
        <v>1286</v>
      </c>
      <c r="G689" s="101">
        <f>COUNTIF(LS[[#Headers],[Investor ID]]:LS[[#This Row],[Investor ID]],LS[[#This Row],[Investor ID]])</f>
        <v>1</v>
      </c>
      <c r="H689" s="101" t="str">
        <f>CONCATENATE(LS[[#This Row],[Frequency]],LS[[#This Row],[Investor ID]])</f>
        <v>1A00590</v>
      </c>
      <c r="I689" s="75" t="str">
        <f>IF(LS[[#This Row],[B/S]]="B","BUY",(IF(LS[[#This Row],[B/S]]="S","SELL"," ")))</f>
        <v>BUY</v>
      </c>
      <c r="J689" s="101" t="s">
        <v>1229</v>
      </c>
      <c r="K689" s="102">
        <v>300000</v>
      </c>
      <c r="L689" s="99"/>
      <c r="M689" s="103">
        <f>LS[[#This Row],[Amount]]/LS[[#This Row],[Unit]]</f>
        <v>11.531808571977706</v>
      </c>
      <c r="N689" s="104">
        <f>LS[[#This Row],[Unit Capital]]/10</f>
        <v>26015</v>
      </c>
      <c r="O689" s="104">
        <f>SUMIFS(LS[[#Headers],[Unit]]:LS[[#This Row],[Unit]],LS[[#Headers],[Investor ID]]:LS[[#This Row],[Investor ID]],LS[[#This Row],[Investor ID]])</f>
        <v>26015</v>
      </c>
      <c r="P689" s="102">
        <v>260150</v>
      </c>
      <c r="Q689" s="102">
        <f>LS[[#This Row],[Amount]]-LS[[#This Row],[Unit Capital]]</f>
        <v>39850</v>
      </c>
      <c r="R6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11.531808571977706</v>
      </c>
      <c r="S689" s="103">
        <f t="shared" si="10"/>
        <v>14.224</v>
      </c>
      <c r="T68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89" s="102" cm="1">
        <f t="array" ref="U689">IF(LS[[#This Row],[B/S]]="S",ABS(LS[[#This Row],[Unit]])*(INDEX(LS[NAV at Cost (Average)],MATCH(CONCATENATE((LS[[#This Row],[Frequency]]-1),LS[[#This Row],[Investor ID]]),LS[Unique Code],0),0)),0)</f>
        <v>0</v>
      </c>
      <c r="V689" s="102">
        <f>IF(LS[[#This Row],[BO TRANSFER]]="YES",LS[[#This Row],[Unit]],)</f>
        <v>0</v>
      </c>
      <c r="W689" s="102">
        <f>SUMIFS(LS[[#Headers],[BO UNIT TRANSFER]]:LS[[#This Row],[BO UNIT TRANSFER]],LS[[#Headers],[Investor ID]]:LS[[#This Row],[Investor ID]],LS[[#This Row],[Investor ID]])</f>
        <v>0</v>
      </c>
    </row>
    <row r="690" spans="1:23">
      <c r="A690" s="75">
        <v>2024</v>
      </c>
      <c r="B690" s="75">
        <v>10</v>
      </c>
      <c r="C690" s="75">
        <v>16</v>
      </c>
      <c r="D690" s="98">
        <f>DATE(LS[[#This Row],[Year]],LS[[#This Row],[Month]],LS[[#This Row],[Day]])</f>
        <v>45581</v>
      </c>
      <c r="E690" s="99" t="str" cm="1">
        <f t="array" ref="E690">INDEX(INVESTORS_LIST[INVESTOR NAME],MATCH(LS[[#This Row],[Investor ID]],INVESTORS_LIST[INVESTOR CODE],0),)</f>
        <v>BEAUTY BEGUM LOTA</v>
      </c>
      <c r="F690" s="100" t="s">
        <v>1081</v>
      </c>
      <c r="G690" s="101">
        <f>COUNTIF(LS[[#Headers],[Investor ID]]:LS[[#This Row],[Investor ID]],LS[[#This Row],[Investor ID]])</f>
        <v>12</v>
      </c>
      <c r="H690" s="101" t="str">
        <f>CONCATENATE(LS[[#This Row],[Frequency]],LS[[#This Row],[Investor ID]])</f>
        <v>12A00518</v>
      </c>
      <c r="I690" s="75" t="str">
        <f>IF(LS[[#This Row],[B/S]]="B","BUY",(IF(LS[[#This Row],[B/S]]="S","SELL"," ")))</f>
        <v>SELL</v>
      </c>
      <c r="J690" s="101" t="s">
        <v>1231</v>
      </c>
      <c r="K690" s="102">
        <v>-750502.56</v>
      </c>
      <c r="L690" s="99"/>
      <c r="M690" s="103">
        <f>LS[[#This Row],[Amount]]/LS[[#This Row],[Unit]]</f>
        <v>11.532</v>
      </c>
      <c r="N690" s="104">
        <f>LS[[#This Row],[Unit Capital]]/10</f>
        <v>-65080</v>
      </c>
      <c r="O690" s="104">
        <f>SUMIFS(LS[[#Headers],[Unit]]:LS[[#This Row],[Unit]],LS[[#Headers],[Investor ID]]:LS[[#This Row],[Investor ID]],LS[[#This Row],[Investor ID]])</f>
        <v>0</v>
      </c>
      <c r="P690" s="102">
        <v>-650800</v>
      </c>
      <c r="Q690" s="102">
        <f>LS[[#This Row],[Amount]]-LS[[#This Row],[Unit Capital]]</f>
        <v>-99702.560000000056</v>
      </c>
      <c r="R6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90" s="103">
        <f t="shared" si="10"/>
        <v>14.224</v>
      </c>
      <c r="T690" s="102">
        <f>IF(LS[[#This Row],[B/S]]="B",0,ABS(LS[[#This Row],[Unit]])*(LS[[#This Row],[NAV (Strike Rate)]]-INDEX(LS[NAV at Cost (Average)],MATCH(CONCATENATE(LS[[#This Row],[Frequency]]-1,LS[[#This Row],[Investor ID]]),LS[Unique Code],0),)))</f>
        <v>21671.036470249412</v>
      </c>
      <c r="U690" s="102" cm="1">
        <f t="array" ref="U690">IF(LS[[#This Row],[B/S]]="S",ABS(LS[[#This Row],[Unit]])*(INDEX(LS[NAV at Cost (Average)],MATCH(CONCATENATE((LS[[#This Row],[Frequency]]-1),LS[[#This Row],[Investor ID]]),LS[Unique Code],0),0)),0)</f>
        <v>728831.52352975064</v>
      </c>
      <c r="V690" s="102">
        <f>IF(LS[[#This Row],[BO TRANSFER]]="YES",LS[[#This Row],[Unit]],)</f>
        <v>0</v>
      </c>
      <c r="W690" s="102">
        <f>SUMIFS(LS[[#Headers],[BO UNIT TRANSFER]]:LS[[#This Row],[BO UNIT TRANSFER]],LS[[#Headers],[Investor ID]]:LS[[#This Row],[Investor ID]],LS[[#This Row],[Investor ID]])</f>
        <v>0</v>
      </c>
    </row>
    <row r="691" spans="1:23">
      <c r="A691" s="75">
        <v>2024</v>
      </c>
      <c r="B691" s="75">
        <v>10</v>
      </c>
      <c r="C691" s="75">
        <v>16</v>
      </c>
      <c r="D691" s="98">
        <f>DATE(LS[[#This Row],[Year]],LS[[#This Row],[Month]],LS[[#This Row],[Day]])</f>
        <v>45581</v>
      </c>
      <c r="E691" s="99" t="str" cm="1">
        <f t="array" ref="E691">INDEX(INVESTORS_LIST[INVESTOR NAME],MATCH(LS[[#This Row],[Investor ID]],INVESTORS_LIST[INVESTOR CODE],0),)</f>
        <v>KAZI HABIBUR RAHMAN</v>
      </c>
      <c r="F691" s="100" t="s">
        <v>1114</v>
      </c>
      <c r="G691" s="101">
        <f>COUNTIF(LS[[#Headers],[Investor ID]]:LS[[#This Row],[Investor ID]],LS[[#This Row],[Investor ID]])</f>
        <v>19</v>
      </c>
      <c r="H691" s="101" t="str">
        <f>CONCATENATE(LS[[#This Row],[Frequency]],LS[[#This Row],[Investor ID]])</f>
        <v>19A00532</v>
      </c>
      <c r="I691" s="75" t="str">
        <f>IF(LS[[#This Row],[B/S]]="B","BUY",(IF(LS[[#This Row],[B/S]]="S","SELL"," ")))</f>
        <v>BUY</v>
      </c>
      <c r="J691" s="101" t="s">
        <v>1229</v>
      </c>
      <c r="K691" s="102">
        <v>1082586</v>
      </c>
      <c r="L691" s="99"/>
      <c r="M691" s="103">
        <f>LS[[#This Row],[Amount]]/LS[[#This Row],[Unit]]</f>
        <v>11.531962035429338</v>
      </c>
      <c r="N691" s="104">
        <f>LS[[#This Row],[Unit Capital]]/10</f>
        <v>93877</v>
      </c>
      <c r="O691" s="104">
        <f>SUMIFS(LS[[#Headers],[Unit]]:LS[[#This Row],[Unit]],LS[[#Headers],[Investor ID]]:LS[[#This Row],[Investor ID]],LS[[#This Row],[Investor ID]])</f>
        <v>673424</v>
      </c>
      <c r="P691" s="102">
        <v>938770</v>
      </c>
      <c r="Q691" s="102">
        <f>LS[[#This Row],[Amount]]-LS[[#This Row],[Unit Capital]]</f>
        <v>143816</v>
      </c>
      <c r="R6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11.163404407250642</v>
      </c>
      <c r="S691" s="103">
        <f t="shared" si="10"/>
        <v>14.224</v>
      </c>
      <c r="T69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1" s="102" cm="1">
        <f t="array" ref="U691">IF(LS[[#This Row],[B/S]]="S",ABS(LS[[#This Row],[Unit]])*(INDEX(LS[NAV at Cost (Average)],MATCH(CONCATENATE((LS[[#This Row],[Frequency]]-1),LS[[#This Row],[Investor ID]]),LS[Unique Code],0),0)),0)</f>
        <v>0</v>
      </c>
      <c r="V691" s="102">
        <f>IF(LS[[#This Row],[BO TRANSFER]]="YES",LS[[#This Row],[Unit]],)</f>
        <v>0</v>
      </c>
      <c r="W691" s="102">
        <f>SUMIFS(LS[[#Headers],[BO UNIT TRANSFER]]:LS[[#This Row],[BO UNIT TRANSFER]],LS[[#Headers],[Investor ID]]:LS[[#This Row],[Investor ID]],LS[[#This Row],[Investor ID]])</f>
        <v>0</v>
      </c>
    </row>
    <row r="692" spans="1:23">
      <c r="A692" s="75">
        <v>2024</v>
      </c>
      <c r="B692" s="75">
        <v>10</v>
      </c>
      <c r="C692" s="75">
        <v>16</v>
      </c>
      <c r="D692" s="98">
        <f>DATE(LS[[#This Row],[Year]],LS[[#This Row],[Month]],LS[[#This Row],[Day]])</f>
        <v>45581</v>
      </c>
      <c r="E692" s="99" t="str" cm="1">
        <f t="array" ref="E692">INDEX(INVESTORS_LIST[INVESTOR NAME],MATCH(LS[[#This Row],[Investor ID]],INVESTORS_LIST[INVESTOR CODE],0),)</f>
        <v>MD. MONIRUZZAMAN</v>
      </c>
      <c r="F692" s="100" t="s">
        <v>274</v>
      </c>
      <c r="G692" s="101">
        <f>COUNTIF(LS[[#Headers],[Investor ID]]:LS[[#This Row],[Investor ID]],LS[[#This Row],[Investor ID]])</f>
        <v>4</v>
      </c>
      <c r="H692" s="101" t="str">
        <f>CONCATENATE(LS[[#This Row],[Frequency]],LS[[#This Row],[Investor ID]])</f>
        <v>4A00113</v>
      </c>
      <c r="I692" s="75" t="str">
        <f>IF(LS[[#This Row],[B/S]]="B","BUY",(IF(LS[[#This Row],[B/S]]="S","SELL"," ")))</f>
        <v>BUY</v>
      </c>
      <c r="J692" s="101" t="s">
        <v>1229</v>
      </c>
      <c r="K692" s="102">
        <v>150000</v>
      </c>
      <c r="L692" s="99"/>
      <c r="M692" s="103">
        <f>LS[[#This Row],[Amount]]/LS[[#This Row],[Unit]]</f>
        <v>11.532251864380719</v>
      </c>
      <c r="N692" s="104">
        <f>LS[[#This Row],[Unit Capital]]/10</f>
        <v>13007</v>
      </c>
      <c r="O692" s="104">
        <f>SUMIFS(LS[[#Headers],[Unit]]:LS[[#This Row],[Unit]],LS[[#Headers],[Investor ID]]:LS[[#This Row],[Investor ID]],LS[[#This Row],[Investor ID]])</f>
        <v>74047</v>
      </c>
      <c r="P692" s="102">
        <v>130070</v>
      </c>
      <c r="Q692" s="102">
        <f>LS[[#This Row],[Amount]]-LS[[#This Row],[Unit Capital]]</f>
        <v>19930</v>
      </c>
      <c r="R6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11.479195646008618</v>
      </c>
      <c r="S692" s="103">
        <f t="shared" si="10"/>
        <v>14.224</v>
      </c>
      <c r="T6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2" s="102" cm="1">
        <f t="array" ref="U692">IF(LS[[#This Row],[B/S]]="S",ABS(LS[[#This Row],[Unit]])*(INDEX(LS[NAV at Cost (Average)],MATCH(CONCATENATE((LS[[#This Row],[Frequency]]-1),LS[[#This Row],[Investor ID]]),LS[Unique Code],0),0)),0)</f>
        <v>0</v>
      </c>
      <c r="V692" s="102">
        <f>IF(LS[[#This Row],[BO TRANSFER]]="YES",LS[[#This Row],[Unit]],)</f>
        <v>0</v>
      </c>
      <c r="W692" s="102">
        <f>SUMIFS(LS[[#Headers],[BO UNIT TRANSFER]]:LS[[#This Row],[BO UNIT TRANSFER]],LS[[#Headers],[Investor ID]]:LS[[#This Row],[Investor ID]],LS[[#This Row],[Investor ID]])</f>
        <v>0</v>
      </c>
    </row>
    <row r="693" spans="1:23">
      <c r="A693" s="75">
        <v>2024</v>
      </c>
      <c r="B693" s="75">
        <v>10</v>
      </c>
      <c r="C693" s="75">
        <v>16</v>
      </c>
      <c r="D693" s="98">
        <f>DATE(LS[[#This Row],[Year]],LS[[#This Row],[Month]],LS[[#This Row],[Day]])</f>
        <v>45581</v>
      </c>
      <c r="E693" s="99" t="str" cm="1">
        <f t="array" ref="E693">INDEX(INVESTORS_LIST[INVESTOR NAME],MATCH(LS[[#This Row],[Investor ID]],INVESTORS_LIST[INVESTOR CODE],0),)</f>
        <v>A. K. M. MAHMUDUL ALAM</v>
      </c>
      <c r="F693" s="100" t="s">
        <v>1085</v>
      </c>
      <c r="G693" s="101">
        <f>COUNTIF(LS[[#Headers],[Investor ID]]:LS[[#This Row],[Investor ID]],LS[[#This Row],[Investor ID]])</f>
        <v>2</v>
      </c>
      <c r="H693" s="101" t="str">
        <f>CONCATENATE(LS[[#This Row],[Frequency]],LS[[#This Row],[Investor ID]])</f>
        <v>2SB00002</v>
      </c>
      <c r="I693" s="75" t="str">
        <f>IF(LS[[#This Row],[B/S]]="B","BUY",(IF(LS[[#This Row],[B/S]]="S","SELL"," ")))</f>
        <v>BUY</v>
      </c>
      <c r="J693" s="101" t="s">
        <v>1229</v>
      </c>
      <c r="K693" s="102">
        <v>5000000</v>
      </c>
      <c r="L693" s="88"/>
      <c r="M693" s="103">
        <f>LS[[#This Row],[Amount]]/LS[[#This Row],[Unit]]</f>
        <v>11.532003616436334</v>
      </c>
      <c r="N693" s="104">
        <f>LS[[#This Row],[Unit Capital]]/10</f>
        <v>433576</v>
      </c>
      <c r="O693" s="104">
        <f>SUMIFS(LS[[#Headers],[Unit]]:LS[[#This Row],[Unit]],LS[[#Headers],[Investor ID]]:LS[[#This Row],[Investor ID]],LS[[#This Row],[Investor ID]])</f>
        <v>715002</v>
      </c>
      <c r="P693" s="102">
        <v>4335760</v>
      </c>
      <c r="Q693" s="102">
        <f>LS[[#This Row],[Amount]]-LS[[#This Row],[Unit Capital]]</f>
        <v>664240</v>
      </c>
      <c r="R6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11.18877989152478</v>
      </c>
      <c r="S693" s="103">
        <f t="shared" si="10"/>
        <v>14.224</v>
      </c>
      <c r="T69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3" s="102" cm="1">
        <f t="array" ref="U693">IF(LS[[#This Row],[B/S]]="S",ABS(LS[[#This Row],[Unit]])*(INDEX(LS[NAV at Cost (Average)],MATCH(CONCATENATE((LS[[#This Row],[Frequency]]-1),LS[[#This Row],[Investor ID]]),LS[Unique Code],0),0)),0)</f>
        <v>0</v>
      </c>
      <c r="V693" s="102">
        <f>IF(LS[[#This Row],[BO TRANSFER]]="YES",LS[[#This Row],[Unit]],)</f>
        <v>0</v>
      </c>
      <c r="W693" s="102">
        <f>SUMIFS(LS[[#Headers],[BO UNIT TRANSFER]]:LS[[#This Row],[BO UNIT TRANSFER]],LS[[#Headers],[Investor ID]]:LS[[#This Row],[Investor ID]],LS[[#This Row],[Investor ID]])</f>
        <v>0</v>
      </c>
    </row>
    <row r="694" spans="1:23">
      <c r="A694" s="75">
        <v>2024</v>
      </c>
      <c r="B694" s="75">
        <v>10</v>
      </c>
      <c r="C694" s="75">
        <v>17</v>
      </c>
      <c r="D694" s="98">
        <f>DATE(LS[[#This Row],[Year]],LS[[#This Row],[Month]],LS[[#This Row],[Day]])</f>
        <v>45582</v>
      </c>
      <c r="E694" s="99" t="str" cm="1">
        <f t="array" ref="E694">INDEX(INVESTORS_LIST[INVESTOR NAME],MATCH(LS[[#This Row],[Investor ID]],INVESTORS_LIST[INVESTOR CODE],0),)</f>
        <v>KAZI HABIBUR RAHMAN</v>
      </c>
      <c r="F694" s="100" t="s">
        <v>1114</v>
      </c>
      <c r="G694" s="101">
        <f>COUNTIF(LS[[#Headers],[Investor ID]]:LS[[#This Row],[Investor ID]],LS[[#This Row],[Investor ID]])</f>
        <v>20</v>
      </c>
      <c r="H694" s="101" t="str">
        <f>CONCATENATE(LS[[#This Row],[Frequency]],LS[[#This Row],[Investor ID]])</f>
        <v>20A00532</v>
      </c>
      <c r="I694" s="75" t="str">
        <f>IF(LS[[#This Row],[B/S]]="B","BUY",(IF(LS[[#This Row],[B/S]]="S","SELL"," ")))</f>
        <v>BUY</v>
      </c>
      <c r="J694" s="101" t="s">
        <v>1229</v>
      </c>
      <c r="K694" s="102">
        <v>200000</v>
      </c>
      <c r="L694" s="99"/>
      <c r="M694" s="103">
        <f>LS[[#This Row],[Amount]]/LS[[#This Row],[Unit]]</f>
        <v>11.53203021391916</v>
      </c>
      <c r="N694" s="104">
        <f>LS[[#This Row],[Unit Capital]]/10</f>
        <v>17343</v>
      </c>
      <c r="O694" s="104">
        <f>SUMIFS(LS[[#Headers],[Unit]]:LS[[#This Row],[Unit]],LS[[#Headers],[Investor ID]]:LS[[#This Row],[Investor ID]],LS[[#This Row],[Investor ID]])</f>
        <v>690767</v>
      </c>
      <c r="P694" s="102">
        <v>173430</v>
      </c>
      <c r="Q694" s="102">
        <f>LS[[#This Row],[Amount]]-LS[[#This Row],[Unit Capital]]</f>
        <v>26570</v>
      </c>
      <c r="R6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11.172659448914549</v>
      </c>
      <c r="S694" s="103">
        <f t="shared" si="10"/>
        <v>14.224</v>
      </c>
      <c r="T6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4" s="102" cm="1">
        <f t="array" ref="U694">IF(LS[[#This Row],[B/S]]="S",ABS(LS[[#This Row],[Unit]])*(INDEX(LS[NAV at Cost (Average)],MATCH(CONCATENATE((LS[[#This Row],[Frequency]]-1),LS[[#This Row],[Investor ID]]),LS[Unique Code],0),0)),0)</f>
        <v>0</v>
      </c>
      <c r="V694" s="102">
        <f>IF(LS[[#This Row],[BO TRANSFER]]="YES",LS[[#This Row],[Unit]],)</f>
        <v>0</v>
      </c>
      <c r="W694" s="102">
        <f>SUMIFS(LS[[#Headers],[BO UNIT TRANSFER]]:LS[[#This Row],[BO UNIT TRANSFER]],LS[[#Headers],[Investor ID]]:LS[[#This Row],[Investor ID]],LS[[#This Row],[Investor ID]])</f>
        <v>0</v>
      </c>
    </row>
    <row r="695" spans="1:23">
      <c r="A695" s="75">
        <v>2024</v>
      </c>
      <c r="B695" s="75">
        <v>10</v>
      </c>
      <c r="C695" s="75">
        <v>20</v>
      </c>
      <c r="D695" s="98">
        <f>DATE(LS[[#This Row],[Year]],LS[[#This Row],[Month]],LS[[#This Row],[Day]])</f>
        <v>45585</v>
      </c>
      <c r="E695" s="99" t="str" cm="1">
        <f t="array" ref="E695">INDEX(INVESTORS_LIST[INVESTOR NAME],MATCH(LS[[#This Row],[Investor ID]],INVESTORS_LIST[INVESTOR CODE],0),)</f>
        <v>FARZANA JITU</v>
      </c>
      <c r="F695" s="100" t="s">
        <v>968</v>
      </c>
      <c r="G695" s="101">
        <f>COUNTIF(LS[[#Headers],[Investor ID]]:LS[[#This Row],[Investor ID]],LS[[#This Row],[Investor ID]])</f>
        <v>12</v>
      </c>
      <c r="H695" s="101" t="str">
        <f>CONCATENATE(LS[[#This Row],[Frequency]],LS[[#This Row],[Investor ID]])</f>
        <v>12A00461</v>
      </c>
      <c r="I695" s="75" t="str">
        <f>IF(LS[[#This Row],[B/S]]="B","BUY",(IF(LS[[#This Row],[B/S]]="S","SELL"," ")))</f>
        <v>SELL</v>
      </c>
      <c r="J695" s="101" t="s">
        <v>1231</v>
      </c>
      <c r="K695" s="102">
        <v>-183000</v>
      </c>
      <c r="L695" s="88"/>
      <c r="M695" s="103">
        <f>LS[[#This Row],[Amount]]/LS[[#This Row],[Unit]]</f>
        <v>11.555948471836322</v>
      </c>
      <c r="N695" s="104">
        <f>LS[[#This Row],[Unit Capital]]/10</f>
        <v>-15836</v>
      </c>
      <c r="O695" s="104">
        <f>SUMIFS(LS[[#Headers],[Unit]]:LS[[#This Row],[Unit]],LS[[#Headers],[Investor ID]]:LS[[#This Row],[Investor ID]],LS[[#This Row],[Investor ID]])</f>
        <v>62762</v>
      </c>
      <c r="P695" s="102">
        <v>-158360</v>
      </c>
      <c r="Q695" s="102">
        <f>LS[[#This Row],[Amount]]-LS[[#This Row],[Unit Capital]]</f>
        <v>-24640</v>
      </c>
      <c r="R6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11.471177440898037</v>
      </c>
      <c r="S695" s="103">
        <f t="shared" si="10"/>
        <v>14.224</v>
      </c>
      <c r="T695" s="102">
        <f>IF(LS[[#This Row],[B/S]]="B",0,ABS(LS[[#This Row],[Unit]])*(LS[[#This Row],[NAV (Strike Rate)]]-INDEX(LS[NAV at Cost (Average)],MATCH(CONCATENATE(LS[[#This Row],[Frequency]]-1,LS[[#This Row],[Investor ID]]),LS[Unique Code],0),)))</f>
        <v>1342.4340459386774</v>
      </c>
      <c r="U695" s="102" cm="1">
        <f t="array" ref="U695">IF(LS[[#This Row],[B/S]]="S",ABS(LS[[#This Row],[Unit]])*(INDEX(LS[NAV at Cost (Average)],MATCH(CONCATENATE((LS[[#This Row],[Frequency]]-1),LS[[#This Row],[Investor ID]]),LS[Unique Code],0),0)),0)</f>
        <v>181657.56595406131</v>
      </c>
      <c r="V695" s="102">
        <f>IF(LS[[#This Row],[BO TRANSFER]]="YES",LS[[#This Row],[Unit]],)</f>
        <v>0</v>
      </c>
      <c r="W695" s="102">
        <f>SUMIFS(LS[[#Headers],[BO UNIT TRANSFER]]:LS[[#This Row],[BO UNIT TRANSFER]],LS[[#Headers],[Investor ID]]:LS[[#This Row],[Investor ID]],LS[[#This Row],[Investor ID]])</f>
        <v>0</v>
      </c>
    </row>
    <row r="696" spans="1:23">
      <c r="A696" s="75">
        <v>2024</v>
      </c>
      <c r="B696" s="75">
        <v>10</v>
      </c>
      <c r="C696" s="75">
        <v>20</v>
      </c>
      <c r="D696" s="98">
        <f>DATE(LS[[#This Row],[Year]],LS[[#This Row],[Month]],LS[[#This Row],[Day]])</f>
        <v>45585</v>
      </c>
      <c r="E696" s="99" t="str" cm="1">
        <f t="array" ref="E696">INDEX(INVESTORS_LIST[INVESTOR NAME],MATCH(LS[[#This Row],[Investor ID]],INVESTORS_LIST[INVESTOR CODE],0),)</f>
        <v>BABITA RANI BARMAN</v>
      </c>
      <c r="F696" s="100" t="s">
        <v>188</v>
      </c>
      <c r="G696" s="101">
        <f>COUNTIF(LS[[#Headers],[Investor ID]]:LS[[#This Row],[Investor ID]],LS[[#This Row],[Investor ID]])</f>
        <v>4</v>
      </c>
      <c r="H696" s="101" t="str">
        <f>CONCATENATE(LS[[#This Row],[Frequency]],LS[[#This Row],[Investor ID]])</f>
        <v>4A00070</v>
      </c>
      <c r="I696" s="75" t="str">
        <f>IF(LS[[#This Row],[B/S]]="B","BUY",(IF(LS[[#This Row],[B/S]]="S","SELL"," ")))</f>
        <v>BUY</v>
      </c>
      <c r="J696" s="101" t="s">
        <v>1229</v>
      </c>
      <c r="K696" s="102">
        <v>25000</v>
      </c>
      <c r="L696" s="99"/>
      <c r="M696" s="103">
        <f>LS[[#This Row],[Amount]]/LS[[#This Row],[Unit]]</f>
        <v>11.55802126675913</v>
      </c>
      <c r="N696" s="104">
        <f>LS[[#This Row],[Unit Capital]]/10</f>
        <v>2163</v>
      </c>
      <c r="O696" s="104">
        <f>SUMIFS(LS[[#Headers],[Unit]]:LS[[#This Row],[Unit]],LS[[#Headers],[Investor ID]]:LS[[#This Row],[Investor ID]],LS[[#This Row],[Investor ID]])</f>
        <v>52009</v>
      </c>
      <c r="P696" s="102">
        <v>21630</v>
      </c>
      <c r="Q696" s="102">
        <f>LS[[#This Row],[Amount]]-LS[[#This Row],[Unit Capital]]</f>
        <v>3370</v>
      </c>
      <c r="R6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11.055778807514084</v>
      </c>
      <c r="S696" s="103">
        <f t="shared" si="10"/>
        <v>14.224</v>
      </c>
      <c r="T69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6" s="102" cm="1">
        <f t="array" ref="U696">IF(LS[[#This Row],[B/S]]="S",ABS(LS[[#This Row],[Unit]])*(INDEX(LS[NAV at Cost (Average)],MATCH(CONCATENATE((LS[[#This Row],[Frequency]]-1),LS[[#This Row],[Investor ID]]),LS[Unique Code],0),0)),0)</f>
        <v>0</v>
      </c>
      <c r="V696" s="102">
        <f>IF(LS[[#This Row],[BO TRANSFER]]="YES",LS[[#This Row],[Unit]],)</f>
        <v>0</v>
      </c>
      <c r="W696" s="102">
        <f>SUMIFS(LS[[#Headers],[BO UNIT TRANSFER]]:LS[[#This Row],[BO UNIT TRANSFER]],LS[[#Headers],[Investor ID]]:LS[[#This Row],[Investor ID]],LS[[#This Row],[Investor ID]])</f>
        <v>0</v>
      </c>
    </row>
    <row r="697" spans="1:23">
      <c r="A697" s="75">
        <v>2024</v>
      </c>
      <c r="B697" s="75">
        <v>10</v>
      </c>
      <c r="C697" s="75">
        <v>21</v>
      </c>
      <c r="D697" s="98">
        <f>DATE(LS[[#This Row],[Year]],LS[[#This Row],[Month]],LS[[#This Row],[Day]])</f>
        <v>45586</v>
      </c>
      <c r="E697" s="99" t="str" cm="1">
        <f t="array" ref="E697">INDEX(INVESTORS_LIST[INVESTOR NAME],MATCH(LS[[#This Row],[Investor ID]],INVESTORS_LIST[INVESTOR CODE],0),)</f>
        <v>SWADESH RANJAN SAHA</v>
      </c>
      <c r="F697" s="100" t="s">
        <v>234</v>
      </c>
      <c r="G697" s="101">
        <f>COUNTIF(LS[[#Headers],[Investor ID]]:LS[[#This Row],[Investor ID]],LS[[#This Row],[Investor ID]])</f>
        <v>11</v>
      </c>
      <c r="H697" s="101" t="str">
        <f>CONCATENATE(LS[[#This Row],[Frequency]],LS[[#This Row],[Investor ID]])</f>
        <v>11A00093</v>
      </c>
      <c r="I697" s="75" t="str">
        <f>IF(LS[[#This Row],[B/S]]="B","BUY",(IF(LS[[#This Row],[B/S]]="S","SELL"," ")))</f>
        <v>SELL</v>
      </c>
      <c r="J697" s="101" t="s">
        <v>1231</v>
      </c>
      <c r="K697" s="102">
        <v>-2000000</v>
      </c>
      <c r="L697" s="99"/>
      <c r="M697" s="103">
        <f>LS[[#This Row],[Amount]]/LS[[#This Row],[Unit]]</f>
        <v>11.556017796267406</v>
      </c>
      <c r="N697" s="104">
        <f>LS[[#This Row],[Unit Capital]]/10</f>
        <v>-173070</v>
      </c>
      <c r="O697" s="104">
        <f>SUMIFS(LS[[#Headers],[Unit]]:LS[[#This Row],[Unit]],LS[[#Headers],[Investor ID]]:LS[[#This Row],[Investor ID]],LS[[#This Row],[Investor ID]])</f>
        <v>438028</v>
      </c>
      <c r="P697" s="102">
        <v>-1730700</v>
      </c>
      <c r="Q697" s="102">
        <f>LS[[#This Row],[Amount]]-LS[[#This Row],[Unit Capital]]</f>
        <v>-269300</v>
      </c>
      <c r="R6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697" s="103">
        <f t="shared" si="10"/>
        <v>14.224</v>
      </c>
      <c r="T697" s="102">
        <f>IF(LS[[#This Row],[B/S]]="B",0,ABS(LS[[#This Row],[Unit]])*(LS[[#This Row],[NAV (Strike Rate)]]-INDEX(LS[NAV at Cost (Average)],MATCH(CONCATENATE(LS[[#This Row],[Frequency]]-1,LS[[#This Row],[Investor ID]]),LS[Unique Code],0),)))</f>
        <v>150498.75651876879</v>
      </c>
      <c r="U697" s="102" cm="1">
        <f t="array" ref="U697">IF(LS[[#This Row],[B/S]]="S",ABS(LS[[#This Row],[Unit]])*(INDEX(LS[NAV at Cost (Average)],MATCH(CONCATENATE((LS[[#This Row],[Frequency]]-1),LS[[#This Row],[Investor ID]]),LS[Unique Code],0),0)),0)</f>
        <v>1849501.2434812312</v>
      </c>
      <c r="V697" s="102">
        <f>IF(LS[[#This Row],[BO TRANSFER]]="YES",LS[[#This Row],[Unit]],)</f>
        <v>0</v>
      </c>
      <c r="W697" s="102">
        <f>SUMIFS(LS[[#Headers],[BO UNIT TRANSFER]]:LS[[#This Row],[BO UNIT TRANSFER]],LS[[#Headers],[Investor ID]]:LS[[#This Row],[Investor ID]],LS[[#This Row],[Investor ID]])</f>
        <v>0</v>
      </c>
    </row>
    <row r="698" spans="1:23">
      <c r="A698" s="75">
        <v>2024</v>
      </c>
      <c r="B698" s="75">
        <v>10</v>
      </c>
      <c r="C698" s="75">
        <v>23</v>
      </c>
      <c r="D698" s="98">
        <f>DATE(LS[[#This Row],[Year]],LS[[#This Row],[Month]],LS[[#This Row],[Day]])</f>
        <v>45588</v>
      </c>
      <c r="E698" s="99" t="str" cm="1">
        <f t="array" ref="E698">INDEX(INVESTORS_LIST[INVESTOR NAME],MATCH(LS[[#This Row],[Investor ID]],INVESTORS_LIST[INVESTOR CODE],0),)</f>
        <v>TAMANNA AFRIN MITUL</v>
      </c>
      <c r="F698" s="100" t="s">
        <v>1157</v>
      </c>
      <c r="G698" s="101">
        <f>COUNTIF(LS[[#Headers],[Investor ID]]:LS[[#This Row],[Investor ID]],LS[[#This Row],[Investor ID]])</f>
        <v>4</v>
      </c>
      <c r="H698" s="101" t="str">
        <f>CONCATENATE(LS[[#This Row],[Frequency]],LS[[#This Row],[Investor ID]])</f>
        <v>4A00554</v>
      </c>
      <c r="I698" s="75" t="str">
        <f>IF(LS[[#This Row],[B/S]]="B","BUY",(IF(LS[[#This Row],[B/S]]="S","SELL"," ")))</f>
        <v>SELL</v>
      </c>
      <c r="J698" s="101" t="s">
        <v>1231</v>
      </c>
      <c r="K698" s="102">
        <v>-45865.760000000002</v>
      </c>
      <c r="L698" s="99"/>
      <c r="M698" s="103">
        <f>LS[[#This Row],[Amount]]/LS[[#This Row],[Unit]]</f>
        <v>11.555998992189469</v>
      </c>
      <c r="N698" s="104">
        <f>LS[[#This Row],[Unit Capital]]/10</f>
        <v>-3969</v>
      </c>
      <c r="O698" s="104">
        <f>SUMIFS(LS[[#Headers],[Unit]]:LS[[#This Row],[Unit]],LS[[#Headers],[Investor ID]]:LS[[#This Row],[Investor ID]],LS[[#This Row],[Investor ID]])</f>
        <v>0</v>
      </c>
      <c r="P698" s="102">
        <v>-39690</v>
      </c>
      <c r="Q698" s="102">
        <f>LS[[#This Row],[Amount]]-LS[[#This Row],[Unit Capital]]</f>
        <v>-6175.760000000002</v>
      </c>
      <c r="R6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698" s="103">
        <f t="shared" si="10"/>
        <v>14.224</v>
      </c>
      <c r="T698" s="102">
        <f>IF(LS[[#This Row],[B/S]]="B",0,ABS(LS[[#This Row],[Unit]])*(LS[[#This Row],[NAV (Strike Rate)]]-INDEX(LS[NAV at Cost (Average)],MATCH(CONCATENATE(LS[[#This Row],[Frequency]]-1,LS[[#This Row],[Investor ID]]),LS[Unique Code],0),)))</f>
        <v>1797.7752026305702</v>
      </c>
      <c r="U698" s="102" cm="1">
        <f t="array" ref="U698">IF(LS[[#This Row],[B/S]]="S",ABS(LS[[#This Row],[Unit]])*(INDEX(LS[NAV at Cost (Average)],MATCH(CONCATENATE((LS[[#This Row],[Frequency]]-1),LS[[#This Row],[Investor ID]]),LS[Unique Code],0),0)),0)</f>
        <v>44067.984797369434</v>
      </c>
      <c r="V698" s="102">
        <f>IF(LS[[#This Row],[BO TRANSFER]]="YES",LS[[#This Row],[Unit]],)</f>
        <v>0</v>
      </c>
      <c r="W698" s="102">
        <f>SUMIFS(LS[[#Headers],[BO UNIT TRANSFER]]:LS[[#This Row],[BO UNIT TRANSFER]],LS[[#Headers],[Investor ID]]:LS[[#This Row],[Investor ID]],LS[[#This Row],[Investor ID]])</f>
        <v>0</v>
      </c>
    </row>
    <row r="699" spans="1:23">
      <c r="A699" s="75">
        <v>2024</v>
      </c>
      <c r="B699" s="75">
        <v>10</v>
      </c>
      <c r="C699" s="75">
        <v>23</v>
      </c>
      <c r="D699" s="98">
        <f>DATE(LS[[#This Row],[Year]],LS[[#This Row],[Month]],LS[[#This Row],[Day]])</f>
        <v>45588</v>
      </c>
      <c r="E699" s="99" t="str" cm="1">
        <f t="array" ref="E699">INDEX(INVESTORS_LIST[INVESTOR NAME],MATCH(LS[[#This Row],[Investor ID]],INVESTORS_LIST[INVESTOR CODE],0),)</f>
        <v>MOHSIN REZA</v>
      </c>
      <c r="F699" s="100" t="s">
        <v>1143</v>
      </c>
      <c r="G699" s="101">
        <f>COUNTIF(LS[[#Headers],[Investor ID]]:LS[[#This Row],[Investor ID]],LS[[#This Row],[Investor ID]])</f>
        <v>2</v>
      </c>
      <c r="H699" s="101" t="str">
        <f>CONCATENATE(LS[[#This Row],[Frequency]],LS[[#This Row],[Investor ID]])</f>
        <v>2A00547</v>
      </c>
      <c r="I699" s="75" t="str">
        <f>IF(LS[[#This Row],[B/S]]="B","BUY",(IF(LS[[#This Row],[B/S]]="S","SELL"," ")))</f>
        <v>BUY</v>
      </c>
      <c r="J699" s="101" t="s">
        <v>1229</v>
      </c>
      <c r="K699" s="102">
        <v>1500000</v>
      </c>
      <c r="L699" s="99"/>
      <c r="M699" s="103">
        <f>LS[[#This Row],[Amount]]/LS[[#This Row],[Unit]]</f>
        <v>11.55597328258977</v>
      </c>
      <c r="N699" s="104">
        <f>LS[[#This Row],[Unit Capital]]/10</f>
        <v>129803</v>
      </c>
      <c r="O699" s="104">
        <f>SUMIFS(LS[[#Headers],[Unit]]:LS[[#This Row],[Unit]],LS[[#Headers],[Investor ID]]:LS[[#This Row],[Investor ID]],LS[[#This Row],[Investor ID]])</f>
        <v>238361</v>
      </c>
      <c r="P699" s="102">
        <v>1298030</v>
      </c>
      <c r="Q699" s="102">
        <f>LS[[#This Row],[Amount]]-LS[[#This Row],[Unit Capital]]</f>
        <v>201970</v>
      </c>
      <c r="R6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11.327356404780984</v>
      </c>
      <c r="S699" s="103">
        <f t="shared" si="10"/>
        <v>14.224</v>
      </c>
      <c r="T69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699" s="102" cm="1">
        <f t="array" ref="U699">IF(LS[[#This Row],[B/S]]="S",ABS(LS[[#This Row],[Unit]])*(INDEX(LS[NAV at Cost (Average)],MATCH(CONCATENATE((LS[[#This Row],[Frequency]]-1),LS[[#This Row],[Investor ID]]),LS[Unique Code],0),0)),0)</f>
        <v>0</v>
      </c>
      <c r="V699" s="102">
        <f>IF(LS[[#This Row],[BO TRANSFER]]="YES",LS[[#This Row],[Unit]],)</f>
        <v>0</v>
      </c>
      <c r="W699" s="102">
        <f>SUMIFS(LS[[#Headers],[BO UNIT TRANSFER]]:LS[[#This Row],[BO UNIT TRANSFER]],LS[[#Headers],[Investor ID]]:LS[[#This Row],[Investor ID]],LS[[#This Row],[Investor ID]])</f>
        <v>0</v>
      </c>
    </row>
    <row r="700" spans="1:23">
      <c r="A700" s="75">
        <v>2024</v>
      </c>
      <c r="B700" s="75">
        <v>10</v>
      </c>
      <c r="C700" s="75">
        <v>23</v>
      </c>
      <c r="D700" s="98">
        <f>DATE(LS[[#This Row],[Year]],LS[[#This Row],[Month]],LS[[#This Row],[Day]])</f>
        <v>45588</v>
      </c>
      <c r="E700" s="99" t="str" cm="1">
        <f t="array" ref="E700">INDEX(INVESTORS_LIST[INVESTOR NAME],MATCH(LS[[#This Row],[Investor ID]],INVESTORS_LIST[INVESTOR CODE],0),)</f>
        <v>MD. RAJIB RAYHAN</v>
      </c>
      <c r="F700" s="100" t="s">
        <v>1289</v>
      </c>
      <c r="G700" s="101">
        <f>COUNTIF(LS[[#Headers],[Investor ID]]:LS[[#This Row],[Investor ID]],LS[[#This Row],[Investor ID]])</f>
        <v>1</v>
      </c>
      <c r="H700" s="101" t="str">
        <f>CONCATENATE(LS[[#This Row],[Frequency]],LS[[#This Row],[Investor ID]])</f>
        <v>1A00592</v>
      </c>
      <c r="I700" s="75" t="str">
        <f>IF(LS[[#This Row],[B/S]]="B","BUY",(IF(LS[[#This Row],[B/S]]="S","SELL"," ")))</f>
        <v>BUY</v>
      </c>
      <c r="J700" s="101" t="s">
        <v>1229</v>
      </c>
      <c r="K700" s="102">
        <v>500000</v>
      </c>
      <c r="L700" s="99"/>
      <c r="M700" s="103">
        <f>LS[[#This Row],[Amount]]/LS[[#This Row],[Unit]]</f>
        <v>11.555884256263289</v>
      </c>
      <c r="N700" s="104">
        <f>LS[[#This Row],[Unit Capital]]/10</f>
        <v>43268</v>
      </c>
      <c r="O700" s="104">
        <f>SUMIFS(LS[[#Headers],[Unit]]:LS[[#This Row],[Unit]],LS[[#Headers],[Investor ID]]:LS[[#This Row],[Investor ID]],LS[[#This Row],[Investor ID]])</f>
        <v>43268</v>
      </c>
      <c r="P700" s="102">
        <v>432680</v>
      </c>
      <c r="Q700" s="102">
        <f>LS[[#This Row],[Amount]]-LS[[#This Row],[Unit Capital]]</f>
        <v>67320</v>
      </c>
      <c r="R7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11.555884256263289</v>
      </c>
      <c r="S700" s="103">
        <f t="shared" si="10"/>
        <v>14.224</v>
      </c>
      <c r="T7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00" s="102" cm="1">
        <f t="array" ref="U700">IF(LS[[#This Row],[B/S]]="S",ABS(LS[[#This Row],[Unit]])*(INDEX(LS[NAV at Cost (Average)],MATCH(CONCATENATE((LS[[#This Row],[Frequency]]-1),LS[[#This Row],[Investor ID]]),LS[Unique Code],0),0)),0)</f>
        <v>0</v>
      </c>
      <c r="V700" s="102">
        <f>IF(LS[[#This Row],[BO TRANSFER]]="YES",LS[[#This Row],[Unit]],)</f>
        <v>0</v>
      </c>
      <c r="W700" s="102">
        <f>SUMIFS(LS[[#Headers],[BO UNIT TRANSFER]]:LS[[#This Row],[BO UNIT TRANSFER]],LS[[#Headers],[Investor ID]]:LS[[#This Row],[Investor ID]],LS[[#This Row],[Investor ID]])</f>
        <v>0</v>
      </c>
    </row>
    <row r="701" spans="1:23">
      <c r="A701" s="75">
        <v>2024</v>
      </c>
      <c r="B701" s="75">
        <v>10</v>
      </c>
      <c r="C701" s="75">
        <v>27</v>
      </c>
      <c r="D701" s="98">
        <f>DATE(LS[[#This Row],[Year]],LS[[#This Row],[Month]],LS[[#This Row],[Day]])</f>
        <v>45592</v>
      </c>
      <c r="E701" s="99" t="str" cm="1">
        <f t="array" ref="E701">INDEX(INVESTORS_LIST[INVESTOR NAME],MATCH(LS[[#This Row],[Investor ID]],INVESTORS_LIST[INVESTOR CODE],0),)</f>
        <v>KHAN MUHAMMAD KAWSER AHMED</v>
      </c>
      <c r="F701" s="100" t="s">
        <v>944</v>
      </c>
      <c r="G701" s="101">
        <f>COUNTIF(LS[[#Headers],[Investor ID]]:LS[[#This Row],[Investor ID]],LS[[#This Row],[Investor ID]])</f>
        <v>11</v>
      </c>
      <c r="H701" s="101" t="str">
        <f>CONCATENATE(LS[[#This Row],[Frequency]],LS[[#This Row],[Investor ID]])</f>
        <v>11A00449</v>
      </c>
      <c r="I701" s="75" t="str">
        <f>IF(LS[[#This Row],[B/S]]="B","BUY",(IF(LS[[#This Row],[B/S]]="S","SELL"," ")))</f>
        <v>BUY</v>
      </c>
      <c r="J701" s="101" t="s">
        <v>1229</v>
      </c>
      <c r="K701" s="102">
        <v>10000000</v>
      </c>
      <c r="L701" s="99"/>
      <c r="M701" s="103">
        <f>LS[[#This Row],[Amount]]/LS[[#This Row],[Unit]]</f>
        <v>11.581003910905022</v>
      </c>
      <c r="N701" s="104">
        <f>LS[[#This Row],[Unit Capital]]/10</f>
        <v>863483</v>
      </c>
      <c r="O701" s="104">
        <f>SUMIFS(LS[[#Headers],[Unit]]:LS[[#This Row],[Unit]],LS[[#Headers],[Investor ID]]:LS[[#This Row],[Investor ID]],LS[[#This Row],[Investor ID]])</f>
        <v>7266330</v>
      </c>
      <c r="P701" s="102">
        <v>8634830</v>
      </c>
      <c r="Q701" s="102">
        <f>LS[[#This Row],[Amount]]-LS[[#This Row],[Unit Capital]]</f>
        <v>1365170</v>
      </c>
      <c r="R7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11.256892793465481</v>
      </c>
      <c r="S701" s="103">
        <f t="shared" si="10"/>
        <v>14.224</v>
      </c>
      <c r="T70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01" s="102" cm="1">
        <f t="array" ref="U701">IF(LS[[#This Row],[B/S]]="S",ABS(LS[[#This Row],[Unit]])*(INDEX(LS[NAV at Cost (Average)],MATCH(CONCATENATE((LS[[#This Row],[Frequency]]-1),LS[[#This Row],[Investor ID]]),LS[Unique Code],0),0)),0)</f>
        <v>0</v>
      </c>
      <c r="V701" s="102">
        <f>IF(LS[[#This Row],[BO TRANSFER]]="YES",LS[[#This Row],[Unit]],)</f>
        <v>0</v>
      </c>
      <c r="W701" s="102">
        <f>SUMIFS(LS[[#Headers],[BO UNIT TRANSFER]]:LS[[#This Row],[BO UNIT TRANSFER]],LS[[#Headers],[Investor ID]]:LS[[#This Row],[Investor ID]],LS[[#This Row],[Investor ID]])</f>
        <v>0</v>
      </c>
    </row>
    <row r="702" spans="1:23">
      <c r="A702" s="75">
        <v>2024</v>
      </c>
      <c r="B702" s="75">
        <v>10</v>
      </c>
      <c r="C702" s="75">
        <v>27</v>
      </c>
      <c r="D702" s="98">
        <f>DATE(LS[[#This Row],[Year]],LS[[#This Row],[Month]],LS[[#This Row],[Day]])</f>
        <v>45592</v>
      </c>
      <c r="E702" s="99" t="str" cm="1">
        <f t="array" ref="E702">INDEX(INVESTORS_LIST[INVESTOR NAME],MATCH(LS[[#This Row],[Investor ID]],INVESTORS_LIST[INVESTOR CODE],0),)</f>
        <v>SHAPNA RANI BARMAN</v>
      </c>
      <c r="F702" s="100" t="s">
        <v>1292</v>
      </c>
      <c r="G702" s="101">
        <f>COUNTIF(LS[[#Headers],[Investor ID]]:LS[[#This Row],[Investor ID]],LS[[#This Row],[Investor ID]])</f>
        <v>1</v>
      </c>
      <c r="H702" s="101" t="str">
        <f>CONCATENATE(LS[[#This Row],[Frequency]],LS[[#This Row],[Investor ID]])</f>
        <v>1A00593</v>
      </c>
      <c r="I702" s="75" t="str">
        <f>IF(LS[[#This Row],[B/S]]="B","BUY",(IF(LS[[#This Row],[B/S]]="S","SELL"," ")))</f>
        <v>BUY</v>
      </c>
      <c r="J702" s="101" t="s">
        <v>1229</v>
      </c>
      <c r="K702" s="102">
        <v>45000</v>
      </c>
      <c r="L702" s="99"/>
      <c r="M702" s="103">
        <f>LS[[#This Row],[Amount]]/LS[[#This Row],[Unit]]</f>
        <v>11.580030880082347</v>
      </c>
      <c r="N702" s="104">
        <f>LS[[#This Row],[Unit Capital]]/10</f>
        <v>3886</v>
      </c>
      <c r="O702" s="104">
        <f>SUMIFS(LS[[#Headers],[Unit]]:LS[[#This Row],[Unit]],LS[[#Headers],[Investor ID]]:LS[[#This Row],[Investor ID]],LS[[#This Row],[Investor ID]])</f>
        <v>3886</v>
      </c>
      <c r="P702" s="102">
        <v>38860</v>
      </c>
      <c r="Q702" s="102">
        <f>LS[[#This Row],[Amount]]-LS[[#This Row],[Unit Capital]]</f>
        <v>6140</v>
      </c>
      <c r="R7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11.580030880082347</v>
      </c>
      <c r="S702" s="103">
        <f t="shared" si="10"/>
        <v>14.224</v>
      </c>
      <c r="T70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02" s="102" cm="1">
        <f t="array" ref="U702">IF(LS[[#This Row],[B/S]]="S",ABS(LS[[#This Row],[Unit]])*(INDEX(LS[NAV at Cost (Average)],MATCH(CONCATENATE((LS[[#This Row],[Frequency]]-1),LS[[#This Row],[Investor ID]]),LS[Unique Code],0),0)),0)</f>
        <v>0</v>
      </c>
      <c r="V702" s="102">
        <f>IF(LS[[#This Row],[BO TRANSFER]]="YES",LS[[#This Row],[Unit]],)</f>
        <v>0</v>
      </c>
      <c r="W702" s="102">
        <f>SUMIFS(LS[[#Headers],[BO UNIT TRANSFER]]:LS[[#This Row],[BO UNIT TRANSFER]],LS[[#Headers],[Investor ID]]:LS[[#This Row],[Investor ID]],LS[[#This Row],[Investor ID]])</f>
        <v>0</v>
      </c>
    </row>
    <row r="703" spans="1:23">
      <c r="A703" s="75">
        <v>2024</v>
      </c>
      <c r="B703" s="75">
        <v>10</v>
      </c>
      <c r="C703" s="75">
        <v>28</v>
      </c>
      <c r="D703" s="98">
        <f>DATE(LS[[#This Row],[Year]],LS[[#This Row],[Month]],LS[[#This Row],[Day]])</f>
        <v>45593</v>
      </c>
      <c r="E703" s="99" t="str" cm="1">
        <f t="array" ref="E703">INDEX(INVESTORS_LIST[INVESTOR NAME],MATCH(LS[[#This Row],[Investor ID]],INVESTORS_LIST[INVESTOR CODE],0),)</f>
        <v>BILKISS ARA</v>
      </c>
      <c r="F703" s="100" t="s">
        <v>194</v>
      </c>
      <c r="G703" s="101">
        <f>COUNTIF(LS[[#Headers],[Investor ID]]:LS[[#This Row],[Investor ID]],LS[[#This Row],[Investor ID]])</f>
        <v>7</v>
      </c>
      <c r="H703" s="101" t="str">
        <f>CONCATENATE(LS[[#This Row],[Frequency]],LS[[#This Row],[Investor ID]])</f>
        <v>7A00073</v>
      </c>
      <c r="I703" s="75" t="str">
        <f>IF(LS[[#This Row],[B/S]]="B","BUY",(IF(LS[[#This Row],[B/S]]="S","SELL"," ")))</f>
        <v>SELL</v>
      </c>
      <c r="J703" s="101" t="s">
        <v>1231</v>
      </c>
      <c r="K703" s="102">
        <v>-1128973.79</v>
      </c>
      <c r="L703" s="99"/>
      <c r="M703" s="103">
        <f>LS[[#This Row],[Amount]]/LS[[#This Row],[Unit]]</f>
        <v>11.581000051289942</v>
      </c>
      <c r="N703" s="104">
        <f>LS[[#This Row],[Unit Capital]]/10</f>
        <v>-97485</v>
      </c>
      <c r="O703" s="104">
        <f>SUMIFS(LS[[#Headers],[Unit]]:LS[[#This Row],[Unit]],LS[[#Headers],[Investor ID]]:LS[[#This Row],[Investor ID]],LS[[#This Row],[Investor ID]])</f>
        <v>0</v>
      </c>
      <c r="P703" s="102">
        <v>-974850</v>
      </c>
      <c r="Q703" s="102">
        <f>LS[[#This Row],[Amount]]-LS[[#This Row],[Unit Capital]]</f>
        <v>-154123.79000000004</v>
      </c>
      <c r="R7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03" s="103">
        <f t="shared" si="10"/>
        <v>14.224</v>
      </c>
      <c r="T703" s="102">
        <f>IF(LS[[#This Row],[B/S]]="B",0,ABS(LS[[#This Row],[Unit]])*(LS[[#This Row],[NAV (Strike Rate)]]-INDEX(LS[NAV at Cost (Average)],MATCH(CONCATENATE(LS[[#This Row],[Frequency]]-1,LS[[#This Row],[Investor ID]]),LS[Unique Code],0),)))</f>
        <v>28973.790000000059</v>
      </c>
      <c r="U703" s="102" cm="1">
        <f t="array" ref="U703">IF(LS[[#This Row],[B/S]]="S",ABS(LS[[#This Row],[Unit]])*(INDEX(LS[NAV at Cost (Average)],MATCH(CONCATENATE((LS[[#This Row],[Frequency]]-1),LS[[#This Row],[Investor ID]]),LS[Unique Code],0),0)),0)</f>
        <v>1100000</v>
      </c>
      <c r="V703" s="102">
        <f>IF(LS[[#This Row],[BO TRANSFER]]="YES",LS[[#This Row],[Unit]],)</f>
        <v>0</v>
      </c>
      <c r="W703" s="102">
        <f>SUMIFS(LS[[#Headers],[BO UNIT TRANSFER]]:LS[[#This Row],[BO UNIT TRANSFER]],LS[[#Headers],[Investor ID]]:LS[[#This Row],[Investor ID]],LS[[#This Row],[Investor ID]])</f>
        <v>0</v>
      </c>
    </row>
    <row r="704" spans="1:23">
      <c r="A704" s="75">
        <v>2024</v>
      </c>
      <c r="B704" s="75">
        <v>10</v>
      </c>
      <c r="C704" s="75">
        <v>28</v>
      </c>
      <c r="D704" s="98">
        <f>DATE(LS[[#This Row],[Year]],LS[[#This Row],[Month]],LS[[#This Row],[Day]])</f>
        <v>45593</v>
      </c>
      <c r="E704" s="99" t="str" cm="1">
        <f t="array" ref="E704">INDEX(INVESTORS_LIST[INVESTOR NAME],MATCH(LS[[#This Row],[Investor ID]],INVESTORS_LIST[INVESTOR CODE],0),)</f>
        <v>MD ASHIQUR RAHMAN</v>
      </c>
      <c r="F704" s="100" t="s">
        <v>1173</v>
      </c>
      <c r="G704" s="101">
        <f>COUNTIF(LS[[#Headers],[Investor ID]]:LS[[#This Row],[Investor ID]],LS[[#This Row],[Investor ID]])</f>
        <v>2</v>
      </c>
      <c r="H704" s="101" t="str">
        <f>CONCATENATE(LS[[#This Row],[Frequency]],LS[[#This Row],[Investor ID]])</f>
        <v>2A00562</v>
      </c>
      <c r="I704" s="75" t="str">
        <f>IF(LS[[#This Row],[B/S]]="B","BUY",(IF(LS[[#This Row],[B/S]]="S","SELL"," ")))</f>
        <v>SELL</v>
      </c>
      <c r="J704" s="101" t="s">
        <v>1231</v>
      </c>
      <c r="K704" s="102">
        <v>-394000</v>
      </c>
      <c r="L704" s="99"/>
      <c r="M704" s="103">
        <f>LS[[#This Row],[Amount]]/LS[[#This Row],[Unit]]</f>
        <v>11.581082272713912</v>
      </c>
      <c r="N704" s="104">
        <f>LS[[#This Row],[Unit Capital]]/10</f>
        <v>-34021</v>
      </c>
      <c r="O704" s="104">
        <f>SUMIFS(LS[[#Headers],[Unit]]:LS[[#This Row],[Unit]],LS[[#Headers],[Investor ID]]:LS[[#This Row],[Investor ID]],LS[[#This Row],[Investor ID]])</f>
        <v>54</v>
      </c>
      <c r="P704" s="102">
        <v>-340210</v>
      </c>
      <c r="Q704" s="102">
        <f>LS[[#This Row],[Amount]]-LS[[#This Row],[Unit Capital]]</f>
        <v>-53790</v>
      </c>
      <c r="R7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11.151870873074101</v>
      </c>
      <c r="S704" s="103">
        <f t="shared" si="10"/>
        <v>14.224</v>
      </c>
      <c r="T704" s="102">
        <f>IF(LS[[#This Row],[B/S]]="B",0,ABS(LS[[#This Row],[Unit]])*(LS[[#This Row],[NAV (Strike Rate)]]-INDEX(LS[NAV at Cost (Average)],MATCH(CONCATENATE(LS[[#This Row],[Frequency]]-1,LS[[#This Row],[Investor ID]]),LS[Unique Code],0),)))</f>
        <v>14602.201027146026</v>
      </c>
      <c r="U704" s="102" cm="1">
        <f t="array" ref="U704">IF(LS[[#This Row],[B/S]]="S",ABS(LS[[#This Row],[Unit]])*(INDEX(LS[NAV at Cost (Average)],MATCH(CONCATENATE((LS[[#This Row],[Frequency]]-1),LS[[#This Row],[Investor ID]]),LS[Unique Code],0),0)),0)</f>
        <v>379397.79897285398</v>
      </c>
      <c r="V704" s="102">
        <f>IF(LS[[#This Row],[BO TRANSFER]]="YES",LS[[#This Row],[Unit]],)</f>
        <v>0</v>
      </c>
      <c r="W704" s="102">
        <f>SUMIFS(LS[[#Headers],[BO UNIT TRANSFER]]:LS[[#This Row],[BO UNIT TRANSFER]],LS[[#Headers],[Investor ID]]:LS[[#This Row],[Investor ID]],LS[[#This Row],[Investor ID]])</f>
        <v>0</v>
      </c>
    </row>
    <row r="705" spans="1:23">
      <c r="A705" s="75">
        <v>2024</v>
      </c>
      <c r="B705" s="75">
        <v>10</v>
      </c>
      <c r="C705" s="75">
        <v>28</v>
      </c>
      <c r="D705" s="98">
        <f>DATE(LS[[#This Row],[Year]],LS[[#This Row],[Month]],LS[[#This Row],[Day]])</f>
        <v>45593</v>
      </c>
      <c r="E705" s="99" t="str" cm="1">
        <f t="array" ref="E705">INDEX(INVESTORS_LIST[INVESTOR NAME],MATCH(LS[[#This Row],[Investor ID]],INVESTORS_LIST[INVESTOR CODE],0),)</f>
        <v>MORSHEDA MIM</v>
      </c>
      <c r="F705" s="100" t="s">
        <v>54</v>
      </c>
      <c r="G705" s="101">
        <f>COUNTIF(LS[[#Headers],[Investor ID]]:LS[[#This Row],[Investor ID]],LS[[#This Row],[Investor ID]])</f>
        <v>3</v>
      </c>
      <c r="H705" s="101" t="str">
        <f>CONCATENATE(LS[[#This Row],[Frequency]],LS[[#This Row],[Investor ID]])</f>
        <v>3A00005</v>
      </c>
      <c r="I705" s="75" t="str">
        <f>IF(LS[[#This Row],[B/S]]="B","BUY",(IF(LS[[#This Row],[B/S]]="S","SELL"," ")))</f>
        <v>SELL</v>
      </c>
      <c r="J705" s="101" t="s">
        <v>1231</v>
      </c>
      <c r="K705" s="102">
        <v>-549726.91</v>
      </c>
      <c r="L705" s="99"/>
      <c r="M705" s="103">
        <f>LS[[#This Row],[Amount]]/LS[[#This Row],[Unit]]</f>
        <v>11.581000042133649</v>
      </c>
      <c r="N705" s="104">
        <f>LS[[#This Row],[Unit Capital]]/10</f>
        <v>-47468</v>
      </c>
      <c r="O705" s="104">
        <f>SUMIFS(LS[[#Headers],[Unit]]:LS[[#This Row],[Unit]],LS[[#Headers],[Investor ID]]:LS[[#This Row],[Investor ID]],LS[[#This Row],[Investor ID]])</f>
        <v>0</v>
      </c>
      <c r="P705" s="102">
        <v>-474680</v>
      </c>
      <c r="Q705" s="102">
        <f>LS[[#This Row],[Amount]]-LS[[#This Row],[Unit Capital]]</f>
        <v>-75046.910000000033</v>
      </c>
      <c r="R7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05" s="103">
        <f t="shared" si="10"/>
        <v>14.224</v>
      </c>
      <c r="T705" s="102">
        <f>IF(LS[[#This Row],[B/S]]="B",0,ABS(LS[[#This Row],[Unit]])*(LS[[#This Row],[NAV (Strike Rate)]]-INDEX(LS[NAV at Cost (Average)],MATCH(CONCATENATE(LS[[#This Row],[Frequency]]-1,LS[[#This Row],[Investor ID]]),LS[Unique Code],0),)))</f>
        <v>48274.358262748166</v>
      </c>
      <c r="U705" s="102" cm="1">
        <f t="array" ref="U705">IF(LS[[#This Row],[B/S]]="S",ABS(LS[[#This Row],[Unit]])*(INDEX(LS[NAV at Cost (Average)],MATCH(CONCATENATE((LS[[#This Row],[Frequency]]-1),LS[[#This Row],[Investor ID]]),LS[Unique Code],0),0)),0)</f>
        <v>501452.55173725187</v>
      </c>
      <c r="V705" s="102">
        <f>IF(LS[[#This Row],[BO TRANSFER]]="YES",LS[[#This Row],[Unit]],)</f>
        <v>0</v>
      </c>
      <c r="W705" s="102">
        <f>SUMIFS(LS[[#Headers],[BO UNIT TRANSFER]]:LS[[#This Row],[BO UNIT TRANSFER]],LS[[#Headers],[Investor ID]]:LS[[#This Row],[Investor ID]],LS[[#This Row],[Investor ID]])</f>
        <v>0</v>
      </c>
    </row>
    <row r="706" spans="1:23">
      <c r="A706" s="75">
        <v>2024</v>
      </c>
      <c r="B706" s="75">
        <v>10</v>
      </c>
      <c r="C706" s="75">
        <v>28</v>
      </c>
      <c r="D706" s="98">
        <f>DATE(LS[[#This Row],[Year]],LS[[#This Row],[Month]],LS[[#This Row],[Day]])</f>
        <v>45593</v>
      </c>
      <c r="E706" s="99" t="str" cm="1">
        <f t="array" ref="E706">INDEX(INVESTORS_LIST[INVESTOR NAME],MATCH(LS[[#This Row],[Investor ID]],INVESTORS_LIST[INVESTOR CODE],0),)</f>
        <v>KAZI AHSAN MARUF</v>
      </c>
      <c r="F706" s="100" t="s">
        <v>158</v>
      </c>
      <c r="G706" s="101">
        <f>COUNTIF(LS[[#Headers],[Investor ID]]:LS[[#This Row],[Investor ID]],LS[[#This Row],[Investor ID]])</f>
        <v>4</v>
      </c>
      <c r="H706" s="101" t="str">
        <f>CONCATENATE(LS[[#This Row],[Frequency]],LS[[#This Row],[Investor ID]])</f>
        <v>4A00055</v>
      </c>
      <c r="I706" s="75" t="str">
        <f>IF(LS[[#This Row],[B/S]]="B","BUY",(IF(LS[[#This Row],[B/S]]="S","SELL"," ")))</f>
        <v>SELL</v>
      </c>
      <c r="J706" s="101" t="s">
        <v>1231</v>
      </c>
      <c r="K706" s="102">
        <v>-1458870.15</v>
      </c>
      <c r="L706" s="99"/>
      <c r="M706" s="103">
        <f>LS[[#This Row],[Amount]]/LS[[#This Row],[Unit]]</f>
        <v>11.580999992061665</v>
      </c>
      <c r="N706" s="104">
        <f>LS[[#This Row],[Unit Capital]]/10</f>
        <v>-125971</v>
      </c>
      <c r="O706" s="104">
        <f>SUMIFS(LS[[#Headers],[Unit]]:LS[[#This Row],[Unit]],LS[[#Headers],[Investor ID]]:LS[[#This Row],[Investor ID]],LS[[#This Row],[Investor ID]])</f>
        <v>0</v>
      </c>
      <c r="P706" s="102">
        <v>-1259710</v>
      </c>
      <c r="Q706" s="102">
        <f>LS[[#This Row],[Amount]]-LS[[#This Row],[Unit Capital]]</f>
        <v>-199160.14999999991</v>
      </c>
      <c r="R7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06" s="103">
        <f t="shared" si="10"/>
        <v>14.224</v>
      </c>
      <c r="T706" s="102">
        <f>IF(LS[[#This Row],[B/S]]="B",0,ABS(LS[[#This Row],[Unit]])*(LS[[#This Row],[NAV (Strike Rate)]]-INDEX(LS[NAV at Cost (Average)],MATCH(CONCATENATE(LS[[#This Row],[Frequency]]-1,LS[[#This Row],[Investor ID]]),LS[Unique Code],0),)))</f>
        <v>98870.149999999878</v>
      </c>
      <c r="U706" s="102" cm="1">
        <f t="array" ref="U706">IF(LS[[#This Row],[B/S]]="S",ABS(LS[[#This Row],[Unit]])*(INDEX(LS[NAV at Cost (Average)],MATCH(CONCATENATE((LS[[#This Row],[Frequency]]-1),LS[[#This Row],[Investor ID]]),LS[Unique Code],0),0)),0)</f>
        <v>1360000.0000000002</v>
      </c>
      <c r="V706" s="102">
        <f>IF(LS[[#This Row],[BO TRANSFER]]="YES",LS[[#This Row],[Unit]],)</f>
        <v>0</v>
      </c>
      <c r="W706" s="102">
        <f>SUMIFS(LS[[#Headers],[BO UNIT TRANSFER]]:LS[[#This Row],[BO UNIT TRANSFER]],LS[[#Headers],[Investor ID]]:LS[[#This Row],[Investor ID]],LS[[#This Row],[Investor ID]])</f>
        <v>0</v>
      </c>
    </row>
    <row r="707" spans="1:23">
      <c r="A707" s="75">
        <v>2024</v>
      </c>
      <c r="B707" s="75">
        <v>10</v>
      </c>
      <c r="C707" s="75">
        <v>29</v>
      </c>
      <c r="D707" s="98">
        <f>DATE(LS[[#This Row],[Year]],LS[[#This Row],[Month]],LS[[#This Row],[Day]])</f>
        <v>45594</v>
      </c>
      <c r="E707" s="99" t="str" cm="1">
        <f t="array" ref="E707">INDEX(INVESTORS_LIST[INVESTOR NAME],MATCH(LS[[#This Row],[Investor ID]],INVESTORS_LIST[INVESTOR CODE],0),)</f>
        <v>ANJANA SAHA</v>
      </c>
      <c r="F707" s="100" t="s">
        <v>73</v>
      </c>
      <c r="G707" s="101">
        <f>COUNTIF(LS[[#Headers],[Investor ID]]:LS[[#This Row],[Investor ID]],LS[[#This Row],[Investor ID]])</f>
        <v>3</v>
      </c>
      <c r="H707" s="101" t="str">
        <f>CONCATENATE(LS[[#This Row],[Frequency]],LS[[#This Row],[Investor ID]])</f>
        <v>3A00014</v>
      </c>
      <c r="I707" s="75" t="str">
        <f>IF(LS[[#This Row],[B/S]]="B","BUY",(IF(LS[[#This Row],[B/S]]="S","SELL"," ")))</f>
        <v>SELL</v>
      </c>
      <c r="J707" s="101" t="s">
        <v>1231</v>
      </c>
      <c r="K707" s="102">
        <v>-2421417.34</v>
      </c>
      <c r="L707" s="99"/>
      <c r="M707" s="103">
        <f>LS[[#This Row],[Amount]]/LS[[#This Row],[Unit]]</f>
        <v>11.581018915751967</v>
      </c>
      <c r="N707" s="104">
        <f>LS[[#This Row],[Unit Capital]]/10</f>
        <v>-209085</v>
      </c>
      <c r="O707" s="104">
        <f>SUMIFS(LS[[#Headers],[Unit]]:LS[[#This Row],[Unit]],LS[[#Headers],[Investor ID]]:LS[[#This Row],[Investor ID]],LS[[#This Row],[Investor ID]])</f>
        <v>172697</v>
      </c>
      <c r="P707" s="102">
        <v>-2090850</v>
      </c>
      <c r="Q707" s="102">
        <f>LS[[#This Row],[Amount]]-LS[[#This Row],[Unit Capital]]</f>
        <v>-330567.33999999985</v>
      </c>
      <c r="R7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10.477183314037855</v>
      </c>
      <c r="S707" s="103">
        <f t="shared" ref="S707:S770" si="11">IFERROR(NAV_MKT,0)</f>
        <v>14.224</v>
      </c>
      <c r="T707" s="102">
        <f>IF(LS[[#This Row],[B/S]]="B",0,ABS(LS[[#This Row],[Unit]])*(LS[[#This Row],[NAV (Strike Rate)]]-INDEX(LS[NAV at Cost (Average)],MATCH(CONCATENATE(LS[[#This Row],[Frequency]]-1,LS[[#This Row],[Investor ID]]),LS[Unique Code],0),)))</f>
        <v>230795.46678439502</v>
      </c>
      <c r="U707" s="102" cm="1">
        <f t="array" ref="U707">IF(LS[[#This Row],[B/S]]="S",ABS(LS[[#This Row],[Unit]])*(INDEX(LS[NAV at Cost (Average)],MATCH(CONCATENATE((LS[[#This Row],[Frequency]]-1),LS[[#This Row],[Investor ID]]),LS[Unique Code],0),0)),0)</f>
        <v>2190621.873215605</v>
      </c>
      <c r="V707" s="102">
        <f>IF(LS[[#This Row],[BO TRANSFER]]="YES",LS[[#This Row],[Unit]],)</f>
        <v>0</v>
      </c>
      <c r="W707" s="102">
        <f>SUMIFS(LS[[#Headers],[BO UNIT TRANSFER]]:LS[[#This Row],[BO UNIT TRANSFER]],LS[[#Headers],[Investor ID]]:LS[[#This Row],[Investor ID]],LS[[#This Row],[Investor ID]])</f>
        <v>0</v>
      </c>
    </row>
    <row r="708" spans="1:23">
      <c r="A708" s="75">
        <v>2024</v>
      </c>
      <c r="B708" s="75">
        <v>10</v>
      </c>
      <c r="C708" s="75">
        <v>29</v>
      </c>
      <c r="D708" s="98">
        <f>DATE(LS[[#This Row],[Year]],LS[[#This Row],[Month]],LS[[#This Row],[Day]])</f>
        <v>45594</v>
      </c>
      <c r="E708" s="99" t="str" cm="1">
        <f t="array" ref="E708">INDEX(INVESTORS_LIST[INVESTOR NAME],MATCH(LS[[#This Row],[Investor ID]],INVESTORS_LIST[INVESTOR CODE],0),)</f>
        <v>MST. GOLENUR</v>
      </c>
      <c r="F708" s="100" t="s">
        <v>1075</v>
      </c>
      <c r="G708" s="101">
        <f>COUNTIF(LS[[#Headers],[Investor ID]]:LS[[#This Row],[Investor ID]],LS[[#This Row],[Investor ID]])</f>
        <v>12</v>
      </c>
      <c r="H708" s="101" t="str">
        <f>CONCATENATE(LS[[#This Row],[Frequency]],LS[[#This Row],[Investor ID]])</f>
        <v>12A00515</v>
      </c>
      <c r="I708" s="75" t="str">
        <f>IF(LS[[#This Row],[B/S]]="B","BUY",(IF(LS[[#This Row],[B/S]]="S","SELL"," ")))</f>
        <v>BUY</v>
      </c>
      <c r="J708" s="101" t="s">
        <v>1229</v>
      </c>
      <c r="K708" s="102">
        <v>2000</v>
      </c>
      <c r="L708" s="99"/>
      <c r="M708" s="103">
        <f>LS[[#This Row],[Amount]]/LS[[#This Row],[Unit]]</f>
        <v>11.560693641618498</v>
      </c>
      <c r="N708" s="104">
        <f>LS[[#This Row],[Unit Capital]]/10</f>
        <v>173</v>
      </c>
      <c r="O708" s="104">
        <f>SUMIFS(LS[[#Headers],[Unit]]:LS[[#This Row],[Unit]],LS[[#Headers],[Investor ID]]:LS[[#This Row],[Investor ID]],LS[[#This Row],[Investor ID]])</f>
        <v>2173</v>
      </c>
      <c r="P708" s="102">
        <v>1730</v>
      </c>
      <c r="Q708" s="102">
        <f>LS[[#This Row],[Amount]]-LS[[#This Row],[Unit Capital]]</f>
        <v>270</v>
      </c>
      <c r="R7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11.044638748274275</v>
      </c>
      <c r="S708" s="103">
        <f t="shared" si="11"/>
        <v>14.224</v>
      </c>
      <c r="T7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08" s="102" cm="1">
        <f t="array" ref="U708">IF(LS[[#This Row],[B/S]]="S",ABS(LS[[#This Row],[Unit]])*(INDEX(LS[NAV at Cost (Average)],MATCH(CONCATENATE((LS[[#This Row],[Frequency]]-1),LS[[#This Row],[Investor ID]]),LS[Unique Code],0),0)),0)</f>
        <v>0</v>
      </c>
      <c r="V708" s="102">
        <f>IF(LS[[#This Row],[BO TRANSFER]]="YES",LS[[#This Row],[Unit]],)</f>
        <v>0</v>
      </c>
      <c r="W708" s="102">
        <f>SUMIFS(LS[[#Headers],[BO UNIT TRANSFER]]:LS[[#This Row],[BO UNIT TRANSFER]],LS[[#Headers],[Investor ID]]:LS[[#This Row],[Investor ID]],LS[[#This Row],[Investor ID]])</f>
        <v>0</v>
      </c>
    </row>
    <row r="709" spans="1:23">
      <c r="A709" s="75">
        <v>2024</v>
      </c>
      <c r="B709" s="75">
        <v>10</v>
      </c>
      <c r="C709" s="75">
        <v>30</v>
      </c>
      <c r="D709" s="98">
        <f>DATE(LS[[#This Row],[Year]],LS[[#This Row],[Month]],LS[[#This Row],[Day]])</f>
        <v>45595</v>
      </c>
      <c r="E709" s="99" t="str" cm="1">
        <f t="array" ref="E709">INDEX(INVESTORS_LIST[INVESTOR NAME],MATCH(LS[[#This Row],[Investor ID]],INVESTORS_LIST[INVESTOR CODE],0),)</f>
        <v>A.T.M. MORSHED KAMAL</v>
      </c>
      <c r="F709" s="100" t="s">
        <v>652</v>
      </c>
      <c r="G709" s="101">
        <f>COUNTIF(LS[[#Headers],[Investor ID]]:LS[[#This Row],[Investor ID]],LS[[#This Row],[Investor ID]])</f>
        <v>4</v>
      </c>
      <c r="H709" s="101" t="str">
        <f>CONCATENATE(LS[[#This Row],[Frequency]],LS[[#This Row],[Investor ID]])</f>
        <v>4A00302</v>
      </c>
      <c r="I709" s="75" t="str">
        <f>IF(LS[[#This Row],[B/S]]="B","BUY",(IF(LS[[#This Row],[B/S]]="S","SELL"," ")))</f>
        <v>SELL</v>
      </c>
      <c r="J709" s="101" t="s">
        <v>1231</v>
      </c>
      <c r="K709" s="102">
        <v>-400000</v>
      </c>
      <c r="L709" s="99"/>
      <c r="M709" s="103">
        <f>LS[[#This Row],[Amount]]/LS[[#This Row],[Unit]]</f>
        <v>11.581111207620371</v>
      </c>
      <c r="N709" s="104">
        <f>LS[[#This Row],[Unit Capital]]/10</f>
        <v>-34539</v>
      </c>
      <c r="O709" s="104">
        <f>SUMIFS(LS[[#Headers],[Unit]]:LS[[#This Row],[Unit]],LS[[#Headers],[Investor ID]]:LS[[#This Row],[Investor ID]],LS[[#This Row],[Investor ID]])</f>
        <v>1481</v>
      </c>
      <c r="P709" s="102">
        <v>-345390</v>
      </c>
      <c r="Q709" s="102">
        <f>LS[[#This Row],[Amount]]-LS[[#This Row],[Unit Capital]]</f>
        <v>-54610</v>
      </c>
      <c r="R7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709" s="103">
        <f t="shared" si="11"/>
        <v>14.224</v>
      </c>
      <c r="T709" s="102">
        <f>IF(LS[[#This Row],[B/S]]="B",0,ABS(LS[[#This Row],[Unit]])*(LS[[#This Row],[NAV (Strike Rate)]]-INDEX(LS[NAV at Cost (Average)],MATCH(CONCATENATE(LS[[#This Row],[Frequency]]-1,LS[[#This Row],[Investor ID]]),LS[Unique Code],0),)))</f>
        <v>16446.418656302008</v>
      </c>
      <c r="U709" s="102" cm="1">
        <f t="array" ref="U709">IF(LS[[#This Row],[B/S]]="S",ABS(LS[[#This Row],[Unit]])*(INDEX(LS[NAV at Cost (Average)],MATCH(CONCATENATE((LS[[#This Row],[Frequency]]-1),LS[[#This Row],[Investor ID]]),LS[Unique Code],0),0)),0)</f>
        <v>383553.58134369797</v>
      </c>
      <c r="V709" s="102">
        <f>IF(LS[[#This Row],[BO TRANSFER]]="YES",LS[[#This Row],[Unit]],)</f>
        <v>0</v>
      </c>
      <c r="W709" s="102">
        <f>SUMIFS(LS[[#Headers],[BO UNIT TRANSFER]]:LS[[#This Row],[BO UNIT TRANSFER]],LS[[#Headers],[Investor ID]]:LS[[#This Row],[Investor ID]],LS[[#This Row],[Investor ID]])</f>
        <v>0</v>
      </c>
    </row>
    <row r="710" spans="1:23">
      <c r="A710" s="75">
        <v>2024</v>
      </c>
      <c r="B710" s="75">
        <v>10</v>
      </c>
      <c r="C710" s="75">
        <v>30</v>
      </c>
      <c r="D710" s="98">
        <f>DATE(LS[[#This Row],[Year]],LS[[#This Row],[Month]],LS[[#This Row],[Day]])</f>
        <v>45595</v>
      </c>
      <c r="E710" s="99" t="str" cm="1">
        <f t="array" ref="E710">INDEX(INVESTORS_LIST[INVESTOR NAME],MATCH(LS[[#This Row],[Investor ID]],INVESTORS_LIST[INVESTOR CODE],0),)</f>
        <v>SOURAV SAHA</v>
      </c>
      <c r="F710" s="100" t="s">
        <v>984</v>
      </c>
      <c r="G710" s="101">
        <f>COUNTIF(LS[[#Headers],[Investor ID]]:LS[[#This Row],[Investor ID]],LS[[#This Row],[Investor ID]])</f>
        <v>2</v>
      </c>
      <c r="H710" s="101" t="str">
        <f>CONCATENATE(LS[[#This Row],[Frequency]],LS[[#This Row],[Investor ID]])</f>
        <v>2A00469</v>
      </c>
      <c r="I710" s="75" t="str">
        <f>IF(LS[[#This Row],[B/S]]="B","BUY",(IF(LS[[#This Row],[B/S]]="S","SELL"," ")))</f>
        <v>SELL</v>
      </c>
      <c r="J710" s="101" t="s">
        <v>1231</v>
      </c>
      <c r="K710" s="102">
        <v>-300000</v>
      </c>
      <c r="L710" s="99"/>
      <c r="M710" s="103">
        <f>LS[[#This Row],[Amount]]/LS[[#This Row],[Unit]]</f>
        <v>11.581222977146387</v>
      </c>
      <c r="N710" s="104">
        <f>LS[[#This Row],[Unit Capital]]/10</f>
        <v>-25904</v>
      </c>
      <c r="O710" s="104">
        <f>SUMIFS(LS[[#Headers],[Unit]]:LS[[#This Row],[Unit]],LS[[#Headers],[Investor ID]]:LS[[#This Row],[Investor ID]],LS[[#This Row],[Investor ID]])</f>
        <v>12796</v>
      </c>
      <c r="P710" s="102">
        <v>-259040</v>
      </c>
      <c r="Q710" s="102">
        <f>LS[[#This Row],[Amount]]-LS[[#This Row],[Unit Capital]]</f>
        <v>-40960</v>
      </c>
      <c r="R7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10.000025839793281</v>
      </c>
      <c r="S710" s="103">
        <f t="shared" si="11"/>
        <v>14.224</v>
      </c>
      <c r="T710" s="102">
        <f>IF(LS[[#This Row],[B/S]]="B",0,ABS(LS[[#This Row],[Unit]])*(LS[[#This Row],[NAV (Strike Rate)]]-INDEX(LS[NAV at Cost (Average)],MATCH(CONCATENATE(LS[[#This Row],[Frequency]]-1,LS[[#This Row],[Investor ID]]),LS[Unique Code],0),)))</f>
        <v>40959.330645994865</v>
      </c>
      <c r="U710" s="102" cm="1">
        <f t="array" ref="U710">IF(LS[[#This Row],[B/S]]="S",ABS(LS[[#This Row],[Unit]])*(INDEX(LS[NAV at Cost (Average)],MATCH(CONCATENATE((LS[[#This Row],[Frequency]]-1),LS[[#This Row],[Investor ID]]),LS[Unique Code],0),0)),0)</f>
        <v>259040.66935400516</v>
      </c>
      <c r="V710" s="102">
        <f>IF(LS[[#This Row],[BO TRANSFER]]="YES",LS[[#This Row],[Unit]],)</f>
        <v>0</v>
      </c>
      <c r="W710" s="102">
        <f>SUMIFS(LS[[#Headers],[BO UNIT TRANSFER]]:LS[[#This Row],[BO UNIT TRANSFER]],LS[[#Headers],[Investor ID]]:LS[[#This Row],[Investor ID]],LS[[#This Row],[Investor ID]])</f>
        <v>0</v>
      </c>
    </row>
    <row r="711" spans="1:23">
      <c r="A711" s="75">
        <v>2024</v>
      </c>
      <c r="B711" s="75">
        <v>10</v>
      </c>
      <c r="C711" s="75">
        <v>28</v>
      </c>
      <c r="D711" s="98">
        <f>DATE(LS[[#This Row],[Year]],LS[[#This Row],[Month]],LS[[#This Row],[Day]])</f>
        <v>45593</v>
      </c>
      <c r="E711" s="99" t="str" cm="1">
        <f t="array" ref="E711">INDEX(INVESTORS_LIST[INVESTOR NAME],MATCH(LS[[#This Row],[Investor ID]],INVESTORS_LIST[INVESTOR CODE],0),)</f>
        <v>TAMANNA AFRIN MITUL</v>
      </c>
      <c r="F711" s="100" t="s">
        <v>1157</v>
      </c>
      <c r="G711" s="101">
        <f>COUNTIF(LS[[#Headers],[Investor ID]]:LS[[#This Row],[Investor ID]],LS[[#This Row],[Investor ID]])</f>
        <v>5</v>
      </c>
      <c r="H711" s="101" t="str">
        <f>CONCATENATE(LS[[#This Row],[Frequency]],LS[[#This Row],[Investor ID]])</f>
        <v>5A00554</v>
      </c>
      <c r="I711" s="75" t="str">
        <f>IF(LS[[#This Row],[B/S]]="B","BUY",(IF(LS[[#This Row],[B/S]]="S","SELL"," ")))</f>
        <v>BUY</v>
      </c>
      <c r="J711" s="101" t="s">
        <v>1229</v>
      </c>
      <c r="K711" s="102">
        <v>111600</v>
      </c>
      <c r="L711" s="99"/>
      <c r="M711" s="103">
        <f>LS[[#This Row],[Amount]]/LS[[#This Row],[Unit]]</f>
        <v>11.581569115815691</v>
      </c>
      <c r="N711" s="104">
        <f>LS[[#This Row],[Unit Capital]]/10</f>
        <v>9636</v>
      </c>
      <c r="O711" s="104">
        <f>SUMIFS(LS[[#Headers],[Unit]]:LS[[#This Row],[Unit]],LS[[#Headers],[Investor ID]]:LS[[#This Row],[Investor ID]],LS[[#This Row],[Investor ID]])</f>
        <v>9636</v>
      </c>
      <c r="P711" s="102">
        <v>96360</v>
      </c>
      <c r="Q711" s="102">
        <f>LS[[#This Row],[Amount]]-LS[[#This Row],[Unit Capital]]</f>
        <v>15240</v>
      </c>
      <c r="R7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11.581569115815691</v>
      </c>
      <c r="S711" s="103">
        <f t="shared" si="11"/>
        <v>14.224</v>
      </c>
      <c r="T7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1" s="102" cm="1">
        <f t="array" ref="U711">IF(LS[[#This Row],[B/S]]="S",ABS(LS[[#This Row],[Unit]])*(INDEX(LS[NAV at Cost (Average)],MATCH(CONCATENATE((LS[[#This Row],[Frequency]]-1),LS[[#This Row],[Investor ID]]),LS[Unique Code],0),0)),0)</f>
        <v>0</v>
      </c>
      <c r="V711" s="102">
        <f>IF(LS[[#This Row],[BO TRANSFER]]="YES",LS[[#This Row],[Unit]],)</f>
        <v>0</v>
      </c>
      <c r="W711" s="102">
        <f>SUMIFS(LS[[#Headers],[BO UNIT TRANSFER]]:LS[[#This Row],[BO UNIT TRANSFER]],LS[[#Headers],[Investor ID]]:LS[[#This Row],[Investor ID]],LS[[#This Row],[Investor ID]])</f>
        <v>0</v>
      </c>
    </row>
    <row r="712" spans="1:23">
      <c r="A712" s="75">
        <v>2024</v>
      </c>
      <c r="B712" s="75">
        <v>10</v>
      </c>
      <c r="C712" s="75">
        <v>30</v>
      </c>
      <c r="D712" s="98">
        <f>DATE(LS[[#This Row],[Year]],LS[[#This Row],[Month]],LS[[#This Row],[Day]])</f>
        <v>45595</v>
      </c>
      <c r="E712" s="99" t="str" cm="1">
        <f t="array" ref="E712">INDEX(INVESTORS_LIST[INVESTOR NAME],MATCH(LS[[#This Row],[Investor ID]],INVESTORS_LIST[INVESTOR CODE],0),)</f>
        <v>SYED FAZLE RABBY</v>
      </c>
      <c r="F712" s="100" t="s">
        <v>166</v>
      </c>
      <c r="G712" s="101">
        <f>COUNTIF(LS[[#Headers],[Investor ID]]:LS[[#This Row],[Investor ID]],LS[[#This Row],[Investor ID]])</f>
        <v>25</v>
      </c>
      <c r="H712" s="101" t="str">
        <f>CONCATENATE(LS[[#This Row],[Frequency]],LS[[#This Row],[Investor ID]])</f>
        <v>25A00059</v>
      </c>
      <c r="I712" s="75" t="str">
        <f>IF(LS[[#This Row],[B/S]]="B","BUY",(IF(LS[[#This Row],[B/S]]="S","SELL"," ")))</f>
        <v>BUY</v>
      </c>
      <c r="J712" s="101" t="s">
        <v>1229</v>
      </c>
      <c r="K712" s="102">
        <v>25000</v>
      </c>
      <c r="L712" s="99"/>
      <c r="M712" s="103">
        <f>LS[[#This Row],[Amount]]/LS[[#This Row],[Unit]]</f>
        <v>11.579434923575729</v>
      </c>
      <c r="N712" s="104">
        <f>LS[[#This Row],[Unit Capital]]/10</f>
        <v>2159</v>
      </c>
      <c r="O712" s="104">
        <f>SUMIFS(LS[[#Headers],[Unit]]:LS[[#This Row],[Unit]],LS[[#Headers],[Investor ID]]:LS[[#This Row],[Investor ID]],LS[[#This Row],[Investor ID]])</f>
        <v>495494</v>
      </c>
      <c r="P712" s="102">
        <v>21590</v>
      </c>
      <c r="Q712" s="102">
        <f>LS[[#This Row],[Amount]]-LS[[#This Row],[Unit Capital]]</f>
        <v>3410</v>
      </c>
      <c r="R7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10.829588217554308</v>
      </c>
      <c r="S712" s="103">
        <f t="shared" si="11"/>
        <v>14.224</v>
      </c>
      <c r="T7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2" s="102" cm="1">
        <f t="array" ref="U712">IF(LS[[#This Row],[B/S]]="S",ABS(LS[[#This Row],[Unit]])*(INDEX(LS[NAV at Cost (Average)],MATCH(CONCATENATE((LS[[#This Row],[Frequency]]-1),LS[[#This Row],[Investor ID]]),LS[Unique Code],0),0)),0)</f>
        <v>0</v>
      </c>
      <c r="V712" s="102">
        <f>IF(LS[[#This Row],[BO TRANSFER]]="YES",LS[[#This Row],[Unit]],)</f>
        <v>0</v>
      </c>
      <c r="W712" s="102">
        <f>SUMIFS(LS[[#Headers],[BO UNIT TRANSFER]]:LS[[#This Row],[BO UNIT TRANSFER]],LS[[#Headers],[Investor ID]]:LS[[#This Row],[Investor ID]],LS[[#This Row],[Investor ID]])</f>
        <v>0</v>
      </c>
    </row>
    <row r="713" spans="1:23">
      <c r="A713" s="75">
        <v>2024</v>
      </c>
      <c r="B713" s="75">
        <v>10</v>
      </c>
      <c r="C713" s="75">
        <v>30</v>
      </c>
      <c r="D713" s="98">
        <f>DATE(LS[[#This Row],[Year]],LS[[#This Row],[Month]],LS[[#This Row],[Day]])</f>
        <v>45595</v>
      </c>
      <c r="E713" s="99" t="str" cm="1">
        <f t="array" ref="E713">INDEX(INVESTORS_LIST[INVESTOR NAME],MATCH(LS[[#This Row],[Investor ID]],INVESTORS_LIST[INVESTOR CODE],0),)</f>
        <v>SOURAV SAHA</v>
      </c>
      <c r="F713" s="100" t="s">
        <v>1272</v>
      </c>
      <c r="G713" s="101">
        <f>COUNTIF(LS[[#Headers],[Investor ID]]:LS[[#This Row],[Investor ID]],LS[[#This Row],[Investor ID]])</f>
        <v>6</v>
      </c>
      <c r="H713" s="101" t="str">
        <f>CONCATENATE(LS[[#This Row],[Frequency]],LS[[#This Row],[Investor ID]])</f>
        <v>6A00583</v>
      </c>
      <c r="I713" s="75" t="str">
        <f>IF(LS[[#This Row],[B/S]]="B","BUY",(IF(LS[[#This Row],[B/S]]="S","SELL"," ")))</f>
        <v>SELL</v>
      </c>
      <c r="J713" s="101" t="s">
        <v>1231</v>
      </c>
      <c r="K713" s="102">
        <v>-300000</v>
      </c>
      <c r="L713" s="99"/>
      <c r="M713" s="103">
        <f>LS[[#This Row],[Amount]]/LS[[#This Row],[Unit]]</f>
        <v>11.581222977146387</v>
      </c>
      <c r="N713" s="104">
        <f>LS[[#This Row],[Unit Capital]]/10</f>
        <v>-25904</v>
      </c>
      <c r="O713" s="104">
        <f>SUMIFS(LS[[#Headers],[Unit]]:LS[[#This Row],[Unit]],LS[[#Headers],[Investor ID]]:LS[[#This Row],[Investor ID]],LS[[#This Row],[Investor ID]])</f>
        <v>50017</v>
      </c>
      <c r="P713" s="102">
        <v>-259040</v>
      </c>
      <c r="Q713" s="102">
        <f>LS[[#This Row],[Amount]]-LS[[#This Row],[Unit Capital]]</f>
        <v>-40960</v>
      </c>
      <c r="R7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11.269609199035839</v>
      </c>
      <c r="S713" s="103">
        <f t="shared" si="11"/>
        <v>14.224</v>
      </c>
      <c r="T713" s="102">
        <f>IF(LS[[#This Row],[B/S]]="B",0,ABS(LS[[#This Row],[Unit]])*(LS[[#This Row],[NAV (Strike Rate)]]-INDEX(LS[NAV at Cost (Average)],MATCH(CONCATENATE(LS[[#This Row],[Frequency]]-1,LS[[#This Row],[Investor ID]]),LS[Unique Code],0),)))</f>
        <v>8072.0433081756328</v>
      </c>
      <c r="U713" s="102" cm="1">
        <f t="array" ref="U713">IF(LS[[#This Row],[B/S]]="S",ABS(LS[[#This Row],[Unit]])*(INDEX(LS[NAV at Cost (Average)],MATCH(CONCATENATE((LS[[#This Row],[Frequency]]-1),LS[[#This Row],[Investor ID]]),LS[Unique Code],0),0)),0)</f>
        <v>291927.95669182437</v>
      </c>
      <c r="V713" s="102">
        <f>IF(LS[[#This Row],[BO TRANSFER]]="YES",LS[[#This Row],[Unit]],)</f>
        <v>0</v>
      </c>
      <c r="W713" s="102">
        <f>SUMIFS(LS[[#Headers],[BO UNIT TRANSFER]]:LS[[#This Row],[BO UNIT TRANSFER]],LS[[#Headers],[Investor ID]]:LS[[#This Row],[Investor ID]],LS[[#This Row],[Investor ID]])</f>
        <v>0</v>
      </c>
    </row>
    <row r="714" spans="1:23">
      <c r="A714" s="75">
        <v>2024</v>
      </c>
      <c r="B714" s="75">
        <v>10</v>
      </c>
      <c r="C714" s="75">
        <v>30</v>
      </c>
      <c r="D714" s="98">
        <f>DATE(LS[[#This Row],[Year]],LS[[#This Row],[Month]],LS[[#This Row],[Day]])</f>
        <v>45595</v>
      </c>
      <c r="E714" s="99" t="str" cm="1">
        <f t="array" ref="E714">INDEX(INVESTORS_LIST[INVESTOR NAME],MATCH(LS[[#This Row],[Investor ID]],INVESTORS_LIST[INVESTOR CODE],0),)</f>
        <v>SHUVA SAHA</v>
      </c>
      <c r="F714" s="100" t="s">
        <v>154</v>
      </c>
      <c r="G714" s="101">
        <f>COUNTIF(LS[[#Headers],[Investor ID]]:LS[[#This Row],[Investor ID]],LS[[#This Row],[Investor ID]])</f>
        <v>10</v>
      </c>
      <c r="H714" s="101" t="str">
        <f>CONCATENATE(LS[[#This Row],[Frequency]],LS[[#This Row],[Investor ID]])</f>
        <v>10A00053</v>
      </c>
      <c r="I714" s="75" t="str">
        <f>IF(LS[[#This Row],[B/S]]="B","BUY",(IF(LS[[#This Row],[B/S]]="S","SELL"," ")))</f>
        <v>SELL</v>
      </c>
      <c r="J714" s="101" t="s">
        <v>1231</v>
      </c>
      <c r="K714" s="102">
        <v>-1000000</v>
      </c>
      <c r="L714" s="88"/>
      <c r="M714" s="103">
        <f>LS[[#This Row],[Amount]]/LS[[#This Row],[Unit]]</f>
        <v>11.581044146940288</v>
      </c>
      <c r="N714" s="104">
        <f>LS[[#This Row],[Unit Capital]]/10</f>
        <v>-86348</v>
      </c>
      <c r="O714" s="104">
        <f>SUMIFS(LS[[#Headers],[Unit]]:LS[[#This Row],[Unit]],LS[[#Headers],[Investor ID]]:LS[[#This Row],[Investor ID]],LS[[#This Row],[Investor ID]])</f>
        <v>-12672</v>
      </c>
      <c r="P714" s="102">
        <v>-863480</v>
      </c>
      <c r="Q714" s="102">
        <f>LS[[#This Row],[Amount]]-LS[[#This Row],[Unit Capital]]</f>
        <v>-136520</v>
      </c>
      <c r="R7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10.858352787882078</v>
      </c>
      <c r="S714" s="103">
        <f t="shared" si="11"/>
        <v>14.224</v>
      </c>
      <c r="T714" s="102">
        <f>IF(LS[[#This Row],[B/S]]="B",0,ABS(LS[[#This Row],[Unit]])*(LS[[#This Row],[NAV (Strike Rate)]]-INDEX(LS[NAV at Cost (Average)],MATCH(CONCATENATE(LS[[#This Row],[Frequency]]-1,LS[[#This Row],[Investor ID]]),LS[Unique Code],0),)))</f>
        <v>62402.953471958317</v>
      </c>
      <c r="U714" s="102" cm="1">
        <f t="array" ref="U714">IF(LS[[#This Row],[B/S]]="S",ABS(LS[[#This Row],[Unit]])*(INDEX(LS[NAV at Cost (Average)],MATCH(CONCATENATE((LS[[#This Row],[Frequency]]-1),LS[[#This Row],[Investor ID]]),LS[Unique Code],0),0)),0)</f>
        <v>937597.04652804171</v>
      </c>
      <c r="V714" s="102">
        <f>IF(LS[[#This Row],[BO TRANSFER]]="YES",LS[[#This Row],[Unit]],)</f>
        <v>0</v>
      </c>
      <c r="W714" s="102">
        <f>SUMIFS(LS[[#Headers],[BO UNIT TRANSFER]]:LS[[#This Row],[BO UNIT TRANSFER]],LS[[#Headers],[Investor ID]]:LS[[#This Row],[Investor ID]],LS[[#This Row],[Investor ID]])</f>
        <v>0</v>
      </c>
    </row>
    <row r="715" spans="1:23">
      <c r="A715" s="75">
        <v>2024</v>
      </c>
      <c r="B715" s="75">
        <v>10</v>
      </c>
      <c r="C715" s="75">
        <v>31</v>
      </c>
      <c r="D715" s="98">
        <f>DATE(LS[[#This Row],[Year]],LS[[#This Row],[Month]],LS[[#This Row],[Day]])</f>
        <v>45596</v>
      </c>
      <c r="E715" s="99" t="str" cm="1">
        <f t="array" ref="E715">INDEX(INVESTORS_LIST[INVESTOR NAME],MATCH(LS[[#This Row],[Investor ID]],INVESTORS_LIST[INVESTOR CODE],0),)</f>
        <v>KAZI HABIBUR RAHMAN</v>
      </c>
      <c r="F715" s="100" t="s">
        <v>1114</v>
      </c>
      <c r="G715" s="101">
        <f>COUNTIF(LS[[#Headers],[Investor ID]]:LS[[#This Row],[Investor ID]],LS[[#This Row],[Investor ID]])</f>
        <v>21</v>
      </c>
      <c r="H715" s="101" t="str">
        <f>CONCATENATE(LS[[#This Row],[Frequency]],LS[[#This Row],[Investor ID]])</f>
        <v>21A00532</v>
      </c>
      <c r="I715" s="75" t="str">
        <f>IF(LS[[#This Row],[B/S]]="B","BUY",(IF(LS[[#This Row],[B/S]]="S","SELL"," ")))</f>
        <v>BUY</v>
      </c>
      <c r="J715" s="101" t="s">
        <v>1229</v>
      </c>
      <c r="K715" s="102">
        <v>170000</v>
      </c>
      <c r="L715" s="99"/>
      <c r="M715" s="103">
        <f>LS[[#This Row],[Amount]]/LS[[#This Row],[Unit]]</f>
        <v>11.581170379453642</v>
      </c>
      <c r="N715" s="104">
        <f>LS[[#This Row],[Unit Capital]]/10</f>
        <v>14679</v>
      </c>
      <c r="O715" s="104">
        <f>SUMIFS(LS[[#Headers],[Unit]]:LS[[#This Row],[Unit]],LS[[#Headers],[Investor ID]]:LS[[#This Row],[Investor ID]],LS[[#This Row],[Investor ID]])</f>
        <v>705446</v>
      </c>
      <c r="P715" s="102">
        <v>146790</v>
      </c>
      <c r="Q715" s="102">
        <f>LS[[#This Row],[Amount]]-LS[[#This Row],[Unit Capital]]</f>
        <v>23210</v>
      </c>
      <c r="R7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11.181159790470648</v>
      </c>
      <c r="S715" s="103">
        <f t="shared" si="11"/>
        <v>14.224</v>
      </c>
      <c r="T71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5" s="102" cm="1">
        <f t="array" ref="U715">IF(LS[[#This Row],[B/S]]="S",ABS(LS[[#This Row],[Unit]])*(INDEX(LS[NAV at Cost (Average)],MATCH(CONCATENATE((LS[[#This Row],[Frequency]]-1),LS[[#This Row],[Investor ID]]),LS[Unique Code],0),0)),0)</f>
        <v>0</v>
      </c>
      <c r="V715" s="102">
        <f>IF(LS[[#This Row],[BO TRANSFER]]="YES",LS[[#This Row],[Unit]],)</f>
        <v>0</v>
      </c>
      <c r="W715" s="102">
        <f>SUMIFS(LS[[#Headers],[BO UNIT TRANSFER]]:LS[[#This Row],[BO UNIT TRANSFER]],LS[[#Headers],[Investor ID]]:LS[[#This Row],[Investor ID]],LS[[#This Row],[Investor ID]])</f>
        <v>0</v>
      </c>
    </row>
    <row r="716" spans="1:23">
      <c r="A716" s="75">
        <v>2024</v>
      </c>
      <c r="B716" s="75">
        <v>10</v>
      </c>
      <c r="C716" s="75">
        <v>31</v>
      </c>
      <c r="D716" s="98">
        <f>DATE(LS[[#This Row],[Year]],LS[[#This Row],[Month]],LS[[#This Row],[Day]])</f>
        <v>45596</v>
      </c>
      <c r="E716" t="str" cm="1">
        <f t="array" ref="E716">INDEX(INVESTORS_LIST[INVESTOR NAME],MATCH(LS[[#This Row],[Investor ID]],INVESTORS_LIST[INVESTOR CODE],0),)</f>
        <v>EKUSH WEALTH MANAGEMENT LIMITED</v>
      </c>
      <c r="F716" s="100" t="s">
        <v>47</v>
      </c>
      <c r="G716" s="101">
        <f>COUNTIF(LS[[#Headers],[Investor ID]]:LS[[#This Row],[Investor ID]],LS[[#This Row],[Investor ID]])</f>
        <v>25</v>
      </c>
      <c r="H716" s="101" t="str">
        <f>CONCATENATE(LS[[#This Row],[Frequency]],LS[[#This Row],[Investor ID]])</f>
        <v>25A00003</v>
      </c>
      <c r="I716" s="75" t="str">
        <f>IF(LS[[#This Row],[B/S]]="B","BUY",(IF(LS[[#This Row],[B/S]]="S","SELL"," ")))</f>
        <v>SELL</v>
      </c>
      <c r="J716" s="101" t="s">
        <v>1231</v>
      </c>
      <c r="K716" s="102">
        <v>-2000000</v>
      </c>
      <c r="L716" s="99"/>
      <c r="M716" s="103">
        <f>LS[[#This Row],[Amount]]/LS[[#This Row],[Unit]]</f>
        <v>11.580977087036834</v>
      </c>
      <c r="N716" s="104">
        <f>LS[[#This Row],[Unit Capital]]/10</f>
        <v>-172697</v>
      </c>
      <c r="O716" s="104">
        <f>SUMIFS(LS[[#Headers],[Unit]]:LS[[#This Row],[Unit]],LS[[#Headers],[Investor ID]]:LS[[#This Row],[Investor ID]],LS[[#This Row],[Investor ID]])</f>
        <v>727255</v>
      </c>
      <c r="P716" s="102">
        <v>-1726970</v>
      </c>
      <c r="Q716" s="102">
        <f>LS[[#This Row],[Amount]]-LS[[#This Row],[Unit Capital]]</f>
        <v>-273030</v>
      </c>
      <c r="R7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11.005260135020356</v>
      </c>
      <c r="S716" s="103">
        <f t="shared" si="11"/>
        <v>14.224</v>
      </c>
      <c r="T716" s="102">
        <f>IF(LS[[#This Row],[B/S]]="B",0,ABS(LS[[#This Row],[Unit]])*(LS[[#This Row],[NAV (Strike Rate)]]-INDEX(LS[NAV at Cost (Average)],MATCH(CONCATENATE(LS[[#This Row],[Frequency]]-1,LS[[#This Row],[Investor ID]]),LS[Unique Code],0),)))</f>
        <v>99424.590462389693</v>
      </c>
      <c r="U716" s="102" cm="1">
        <f t="array" ref="U716">IF(LS[[#This Row],[B/S]]="S",ABS(LS[[#This Row],[Unit]])*(INDEX(LS[NAV at Cost (Average)],MATCH(CONCATENATE((LS[[#This Row],[Frequency]]-1),LS[[#This Row],[Investor ID]]),LS[Unique Code],0),0)),0)</f>
        <v>1900575.4095376104</v>
      </c>
      <c r="V716" s="102">
        <f>IF(LS[[#This Row],[BO TRANSFER]]="YES",LS[[#This Row],[Unit]],)</f>
        <v>0</v>
      </c>
      <c r="W716" s="102">
        <f>SUMIFS(LS[[#Headers],[BO UNIT TRANSFER]]:LS[[#This Row],[BO UNIT TRANSFER]],LS[[#Headers],[Investor ID]]:LS[[#This Row],[Investor ID]],LS[[#This Row],[Investor ID]])</f>
        <v>0</v>
      </c>
    </row>
    <row r="717" spans="1:23">
      <c r="A717" s="75">
        <v>2024</v>
      </c>
      <c r="B717" s="75">
        <v>11</v>
      </c>
      <c r="C717" s="75">
        <v>4</v>
      </c>
      <c r="D717" s="98">
        <f>DATE(LS[[#This Row],[Year]],LS[[#This Row],[Month]],LS[[#This Row],[Day]])</f>
        <v>45600</v>
      </c>
      <c r="E717" s="99" t="str" cm="1">
        <f t="array" ref="E717">INDEX(INVESTORS_LIST[INVESTOR NAME],MATCH(LS[[#This Row],[Investor ID]],INVESTORS_LIST[INVESTOR CODE],0),)</f>
        <v>FARZANA JITU</v>
      </c>
      <c r="F717" s="100" t="s">
        <v>968</v>
      </c>
      <c r="G717" s="101">
        <f>COUNTIF(LS[[#Headers],[Investor ID]]:LS[[#This Row],[Investor ID]],LS[[#This Row],[Investor ID]])</f>
        <v>13</v>
      </c>
      <c r="H717" s="101" t="str">
        <f>CONCATENATE(LS[[#This Row],[Frequency]],LS[[#This Row],[Investor ID]])</f>
        <v>13A00461</v>
      </c>
      <c r="I717" s="75" t="str">
        <f>IF(LS[[#This Row],[B/S]]="B","BUY",(IF(LS[[#This Row],[B/S]]="S","SELL"," ")))</f>
        <v>SELL</v>
      </c>
      <c r="J717" s="101" t="s">
        <v>1231</v>
      </c>
      <c r="K717" s="102">
        <v>-100000</v>
      </c>
      <c r="L717" s="88"/>
      <c r="M717" s="103">
        <f>LS[[#This Row],[Amount]]/LS[[#This Row],[Unit]]</f>
        <v>11.606313834726091</v>
      </c>
      <c r="N717" s="104">
        <f>LS[[#This Row],[Unit Capital]]/10</f>
        <v>-8616</v>
      </c>
      <c r="O717" s="104">
        <f>SUMIFS(LS[[#Headers],[Unit]]:LS[[#This Row],[Unit]],LS[[#Headers],[Investor ID]]:LS[[#This Row],[Investor ID]],LS[[#This Row],[Investor ID]])</f>
        <v>54146</v>
      </c>
      <c r="P717" s="102">
        <v>-86160</v>
      </c>
      <c r="Q717" s="102">
        <f>LS[[#This Row],[Amount]]-LS[[#This Row],[Unit Capital]]</f>
        <v>-13840</v>
      </c>
      <c r="R7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11.471177440898037</v>
      </c>
      <c r="S717" s="103">
        <f t="shared" si="11"/>
        <v>14.224</v>
      </c>
      <c r="T717" s="102">
        <f>IF(LS[[#This Row],[B/S]]="B",0,ABS(LS[[#This Row],[Unit]])*(LS[[#This Row],[NAV (Strike Rate)]]-INDEX(LS[NAV at Cost (Average)],MATCH(CONCATENATE(LS[[#This Row],[Frequency]]-1,LS[[#This Row],[Investor ID]]),LS[Unique Code],0),)))</f>
        <v>1164.3351692225121</v>
      </c>
      <c r="U717" s="102" cm="1">
        <f t="array" ref="U717">IF(LS[[#This Row],[B/S]]="S",ABS(LS[[#This Row],[Unit]])*(INDEX(LS[NAV at Cost (Average)],MATCH(CONCATENATE((LS[[#This Row],[Frequency]]-1),LS[[#This Row],[Investor ID]]),LS[Unique Code],0),0)),0)</f>
        <v>98835.664830777489</v>
      </c>
      <c r="V717" s="102">
        <f>IF(LS[[#This Row],[BO TRANSFER]]="YES",LS[[#This Row],[Unit]],)</f>
        <v>0</v>
      </c>
      <c r="W717" s="102">
        <f>SUMIFS(LS[[#Headers],[BO UNIT TRANSFER]]:LS[[#This Row],[BO UNIT TRANSFER]],LS[[#Headers],[Investor ID]]:LS[[#This Row],[Investor ID]],LS[[#This Row],[Investor ID]])</f>
        <v>0</v>
      </c>
    </row>
    <row r="718" spans="1:23">
      <c r="A718" s="75">
        <v>2024</v>
      </c>
      <c r="B718" s="75">
        <v>11</v>
      </c>
      <c r="C718" s="75">
        <v>6</v>
      </c>
      <c r="D718" s="98">
        <f>DATE(LS[[#This Row],[Year]],LS[[#This Row],[Month]],LS[[#This Row],[Day]])</f>
        <v>45602</v>
      </c>
      <c r="E718" s="99" t="str" cm="1">
        <f t="array" ref="E718">INDEX(INVESTORS_LIST[INVESTOR NAME],MATCH(LS[[#This Row],[Investor ID]],INVESTORS_LIST[INVESTOR CODE],0),)</f>
        <v>DEBASHISH RAY</v>
      </c>
      <c r="F718" s="100" t="s">
        <v>1294</v>
      </c>
      <c r="G718" s="101">
        <f>COUNTIF(LS[[#Headers],[Investor ID]]:LS[[#This Row],[Investor ID]],LS[[#This Row],[Investor ID]])</f>
        <v>1</v>
      </c>
      <c r="H718" s="101" t="str">
        <f>CONCATENATE(LS[[#This Row],[Frequency]],LS[[#This Row],[Investor ID]])</f>
        <v>1A00594</v>
      </c>
      <c r="I718" s="75" t="str">
        <f>IF(LS[[#This Row],[B/S]]="B","BUY",(IF(LS[[#This Row],[B/S]]="S","SELL"," ")))</f>
        <v>BUY</v>
      </c>
      <c r="J718" s="101" t="s">
        <v>1229</v>
      </c>
      <c r="K718" s="102">
        <v>100000</v>
      </c>
      <c r="L718" s="99"/>
      <c r="M718" s="103">
        <f>LS[[#This Row],[Amount]]/LS[[#This Row],[Unit]]</f>
        <v>11.606313834726091</v>
      </c>
      <c r="N718" s="104">
        <f>LS[[#This Row],[Unit Capital]]/10</f>
        <v>8616</v>
      </c>
      <c r="O718" s="104">
        <f>SUMIFS(LS[[#Headers],[Unit]]:LS[[#This Row],[Unit]],LS[[#Headers],[Investor ID]]:LS[[#This Row],[Investor ID]],LS[[#This Row],[Investor ID]])</f>
        <v>8616</v>
      </c>
      <c r="P718" s="102">
        <v>86160</v>
      </c>
      <c r="Q718" s="102">
        <f>LS[[#This Row],[Amount]]-LS[[#This Row],[Unit Capital]]</f>
        <v>13840</v>
      </c>
      <c r="R7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11.606313834726091</v>
      </c>
      <c r="S718" s="103">
        <f t="shared" si="11"/>
        <v>14.224</v>
      </c>
      <c r="T7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8" s="102" cm="1">
        <f t="array" ref="U718">IF(LS[[#This Row],[B/S]]="S",ABS(LS[[#This Row],[Unit]])*(INDEX(LS[NAV at Cost (Average)],MATCH(CONCATENATE((LS[[#This Row],[Frequency]]-1),LS[[#This Row],[Investor ID]]),LS[Unique Code],0),0)),0)</f>
        <v>0</v>
      </c>
      <c r="V718" s="102">
        <f>IF(LS[[#This Row],[BO TRANSFER]]="YES",LS[[#This Row],[Unit]],)</f>
        <v>0</v>
      </c>
      <c r="W718" s="102">
        <f>SUMIFS(LS[[#Headers],[BO UNIT TRANSFER]]:LS[[#This Row],[BO UNIT TRANSFER]],LS[[#Headers],[Investor ID]]:LS[[#This Row],[Investor ID]],LS[[#This Row],[Investor ID]])</f>
        <v>0</v>
      </c>
    </row>
    <row r="719" spans="1:23">
      <c r="A719" s="75">
        <v>2024</v>
      </c>
      <c r="B719" s="75">
        <v>11</v>
      </c>
      <c r="C719" s="75">
        <v>7</v>
      </c>
      <c r="D719" s="98">
        <f>DATE(LS[[#This Row],[Year]],LS[[#This Row],[Month]],LS[[#This Row],[Day]])</f>
        <v>45603</v>
      </c>
      <c r="E719" s="99" t="str" cm="1">
        <f t="array" ref="E719">INDEX(INVESTORS_LIST[INVESTOR NAME],MATCH(LS[[#This Row],[Investor ID]],INVESTORS_LIST[INVESTOR CODE],0),)</f>
        <v>DEBASHISH RAY</v>
      </c>
      <c r="F719" s="100" t="s">
        <v>1294</v>
      </c>
      <c r="G719" s="101">
        <f>COUNTIF(LS[[#Headers],[Investor ID]]:LS[[#This Row],[Investor ID]],LS[[#This Row],[Investor ID]])</f>
        <v>2</v>
      </c>
      <c r="H719" s="101" t="str">
        <f>CONCATENATE(LS[[#This Row],[Frequency]],LS[[#This Row],[Investor ID]])</f>
        <v>2A00594</v>
      </c>
      <c r="I719" s="75" t="str">
        <f>IF(LS[[#This Row],[B/S]]="B","BUY",(IF(LS[[#This Row],[B/S]]="S","SELL"," ")))</f>
        <v>BUY</v>
      </c>
      <c r="J719" s="101" t="s">
        <v>1229</v>
      </c>
      <c r="K719" s="102">
        <v>100000</v>
      </c>
      <c r="L719" s="99"/>
      <c r="M719" s="103">
        <f>LS[[#This Row],[Amount]]/LS[[#This Row],[Unit]]</f>
        <v>11.606313834726091</v>
      </c>
      <c r="N719" s="104">
        <f>LS[[#This Row],[Unit Capital]]/10</f>
        <v>8616</v>
      </c>
      <c r="O719" s="104">
        <f>SUMIFS(LS[[#Headers],[Unit]]:LS[[#This Row],[Unit]],LS[[#Headers],[Investor ID]]:LS[[#This Row],[Investor ID]],LS[[#This Row],[Investor ID]])</f>
        <v>17232</v>
      </c>
      <c r="P719" s="102">
        <v>86160</v>
      </c>
      <c r="Q719" s="102">
        <f>LS[[#This Row],[Amount]]-LS[[#This Row],[Unit Capital]]</f>
        <v>13840</v>
      </c>
      <c r="R7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11.606313834726091</v>
      </c>
      <c r="S719" s="103">
        <f t="shared" si="11"/>
        <v>14.224</v>
      </c>
      <c r="T71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19" s="102" cm="1">
        <f t="array" ref="U719">IF(LS[[#This Row],[B/S]]="S",ABS(LS[[#This Row],[Unit]])*(INDEX(LS[NAV at Cost (Average)],MATCH(CONCATENATE((LS[[#This Row],[Frequency]]-1),LS[[#This Row],[Investor ID]]),LS[Unique Code],0),0)),0)</f>
        <v>0</v>
      </c>
      <c r="V719" s="102">
        <f>IF(LS[[#This Row],[BO TRANSFER]]="YES",LS[[#This Row],[Unit]],)</f>
        <v>0</v>
      </c>
      <c r="W719" s="102">
        <f>SUMIFS(LS[[#Headers],[BO UNIT TRANSFER]]:LS[[#This Row],[BO UNIT TRANSFER]],LS[[#Headers],[Investor ID]]:LS[[#This Row],[Investor ID]],LS[[#This Row],[Investor ID]])</f>
        <v>0</v>
      </c>
    </row>
    <row r="720" spans="1:23">
      <c r="A720" s="75">
        <v>2024</v>
      </c>
      <c r="B720" s="75">
        <v>11</v>
      </c>
      <c r="C720" s="75">
        <v>7</v>
      </c>
      <c r="D720" s="98">
        <f>DATE(LS[[#This Row],[Year]],LS[[#This Row],[Month]],LS[[#This Row],[Day]])</f>
        <v>45603</v>
      </c>
      <c r="E720" t="str" cm="1">
        <f t="array" ref="E720">INDEX(INVESTORS_LIST[INVESTOR NAME],MATCH(LS[[#This Row],[Investor ID]],INVESTORS_LIST[INVESTOR CODE],0),)</f>
        <v>EKUSH WEALTH MANAGEMENT LIMITED</v>
      </c>
      <c r="F720" s="100" t="s">
        <v>47</v>
      </c>
      <c r="G720" s="101">
        <f>COUNTIF(LS[[#Headers],[Investor ID]]:LS[[#This Row],[Investor ID]],LS[[#This Row],[Investor ID]])</f>
        <v>26</v>
      </c>
      <c r="H720" s="101" t="str">
        <f>CONCATENATE(LS[[#This Row],[Frequency]],LS[[#This Row],[Investor ID]])</f>
        <v>26A00003</v>
      </c>
      <c r="I720" s="75" t="str">
        <f>IF(LS[[#This Row],[B/S]]="B","BUY",(IF(LS[[#This Row],[B/S]]="S","SELL"," ")))</f>
        <v>SELL</v>
      </c>
      <c r="J720" s="101" t="s">
        <v>1231</v>
      </c>
      <c r="K720" s="102">
        <v>-1000000</v>
      </c>
      <c r="L720" s="99"/>
      <c r="M720" s="103">
        <f>LS[[#This Row],[Amount]]/LS[[#This Row],[Unit]]</f>
        <v>11.60604442793807</v>
      </c>
      <c r="N720" s="104">
        <f>LS[[#This Row],[Unit Capital]]/10</f>
        <v>-86162</v>
      </c>
      <c r="O720" s="104">
        <f>SUMIFS(LS[[#Headers],[Unit]]:LS[[#This Row],[Unit]],LS[[#Headers],[Investor ID]]:LS[[#This Row],[Investor ID]],LS[[#This Row],[Investor ID]])</f>
        <v>641093</v>
      </c>
      <c r="P720" s="102">
        <v>-861620</v>
      </c>
      <c r="Q720" s="102">
        <f>LS[[#This Row],[Amount]]-LS[[#This Row],[Unit Capital]]</f>
        <v>-138380</v>
      </c>
      <c r="R7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11.005260135020356</v>
      </c>
      <c r="S720" s="103">
        <f t="shared" si="11"/>
        <v>14.224</v>
      </c>
      <c r="T720" s="102">
        <f>IF(LS[[#This Row],[B/S]]="B",0,ABS(LS[[#This Row],[Unit]])*(LS[[#This Row],[NAV (Strike Rate)]]-INDEX(LS[NAV at Cost (Average)],MATCH(CONCATENATE(LS[[#This Row],[Frequency]]-1,LS[[#This Row],[Investor ID]]),LS[Unique Code],0),)))</f>
        <v>51764.776246376081</v>
      </c>
      <c r="U720" s="102" cm="1">
        <f t="array" ref="U720">IF(LS[[#This Row],[B/S]]="S",ABS(LS[[#This Row],[Unit]])*(INDEX(LS[NAV at Cost (Average)],MATCH(CONCATENATE((LS[[#This Row],[Frequency]]-1),LS[[#This Row],[Investor ID]]),LS[Unique Code],0),0)),0)</f>
        <v>948235.2237536239</v>
      </c>
      <c r="V720" s="102">
        <f>IF(LS[[#This Row],[BO TRANSFER]]="YES",LS[[#This Row],[Unit]],)</f>
        <v>0</v>
      </c>
      <c r="W720" s="102">
        <f>SUMIFS(LS[[#Headers],[BO UNIT TRANSFER]]:LS[[#This Row],[BO UNIT TRANSFER]],LS[[#Headers],[Investor ID]]:LS[[#This Row],[Investor ID]],LS[[#This Row],[Investor ID]])</f>
        <v>0</v>
      </c>
    </row>
    <row r="721" spans="1:23">
      <c r="A721" s="75">
        <v>2024</v>
      </c>
      <c r="B721" s="75">
        <v>11</v>
      </c>
      <c r="C721" s="75">
        <v>7</v>
      </c>
      <c r="D721" s="98">
        <f>DATE(LS[[#This Row],[Year]],LS[[#This Row],[Month]],LS[[#This Row],[Day]])</f>
        <v>45603</v>
      </c>
      <c r="E721" s="99" t="str" cm="1">
        <f t="array" ref="E721">INDEX(INVESTORS_LIST[INVESTOR NAME],MATCH(LS[[#This Row],[Investor ID]],INVESTORS_LIST[INVESTOR CODE],0),)</f>
        <v>IKRAMUL BASHAR</v>
      </c>
      <c r="F721" s="100" t="s">
        <v>1177</v>
      </c>
      <c r="G721" s="101">
        <f>COUNTIF(LS[[#Headers],[Investor ID]]:LS[[#This Row],[Investor ID]],LS[[#This Row],[Investor ID]])</f>
        <v>2</v>
      </c>
      <c r="H721" s="101" t="str">
        <f>CONCATENATE(LS[[#This Row],[Frequency]],LS[[#This Row],[Investor ID]])</f>
        <v>2A00564</v>
      </c>
      <c r="I721" s="75" t="str">
        <f>IF(LS[[#This Row],[B/S]]="B","BUY",(IF(LS[[#This Row],[B/S]]="S","SELL"," ")))</f>
        <v>SELL</v>
      </c>
      <c r="J721" s="101" t="s">
        <v>1231</v>
      </c>
      <c r="K721" s="102">
        <v>-124880.56</v>
      </c>
      <c r="L721" s="99"/>
      <c r="M721" s="103">
        <f>LS[[#This Row],[Amount]]/LS[[#This Row],[Unit]]</f>
        <v>11.606</v>
      </c>
      <c r="N721" s="104">
        <f>LS[[#This Row],[Unit Capital]]/10</f>
        <v>-10760</v>
      </c>
      <c r="O721" s="104">
        <f>SUMIFS(LS[[#Headers],[Unit]]:LS[[#This Row],[Unit]],LS[[#Headers],[Investor ID]]:LS[[#This Row],[Investor ID]],LS[[#This Row],[Investor ID]])</f>
        <v>0</v>
      </c>
      <c r="P721" s="102">
        <v>-107600</v>
      </c>
      <c r="Q721" s="102">
        <f>LS[[#This Row],[Amount]]-LS[[#This Row],[Unit Capital]]</f>
        <v>-17280.559999999998</v>
      </c>
      <c r="R7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21" s="103">
        <f t="shared" si="11"/>
        <v>14.224</v>
      </c>
      <c r="T721" s="102">
        <f>IF(LS[[#This Row],[B/S]]="B",0,ABS(LS[[#This Row],[Unit]])*(LS[[#This Row],[NAV (Strike Rate)]]-INDEX(LS[NAV at Cost (Average)],MATCH(CONCATENATE(LS[[#This Row],[Frequency]]-1,LS[[#This Row],[Investor ID]]),LS[Unique Code],0),)))</f>
        <v>4880.560000000004</v>
      </c>
      <c r="U721" s="102" cm="1">
        <f t="array" ref="U721">IF(LS[[#This Row],[B/S]]="S",ABS(LS[[#This Row],[Unit]])*(INDEX(LS[NAV at Cost (Average)],MATCH(CONCATENATE((LS[[#This Row],[Frequency]]-1),LS[[#This Row],[Investor ID]]),LS[Unique Code],0),0)),0)</f>
        <v>120000</v>
      </c>
      <c r="V721" s="102">
        <f>IF(LS[[#This Row],[BO TRANSFER]]="YES",LS[[#This Row],[Unit]],)</f>
        <v>0</v>
      </c>
      <c r="W721" s="102">
        <f>SUMIFS(LS[[#Headers],[BO UNIT TRANSFER]]:LS[[#This Row],[BO UNIT TRANSFER]],LS[[#Headers],[Investor ID]]:LS[[#This Row],[Investor ID]],LS[[#This Row],[Investor ID]])</f>
        <v>0</v>
      </c>
    </row>
    <row r="722" spans="1:23">
      <c r="A722" s="75">
        <v>2024</v>
      </c>
      <c r="B722" s="75">
        <v>11</v>
      </c>
      <c r="C722" s="75">
        <v>12</v>
      </c>
      <c r="D722" s="98">
        <f>DATE(LS[[#This Row],[Year]],LS[[#This Row],[Month]],LS[[#This Row],[Day]])</f>
        <v>45608</v>
      </c>
      <c r="E722" s="99" t="str" cm="1">
        <f t="array" ref="E722">INDEX(INVESTORS_LIST[INVESTOR NAME],MATCH(LS[[#This Row],[Investor ID]],INVESTORS_LIST[INVESTOR CODE],0),)</f>
        <v>AKIB TANVIR ANJUM</v>
      </c>
      <c r="F722" s="100" t="s">
        <v>1116</v>
      </c>
      <c r="G722" s="101">
        <f>COUNTIF(LS[[#Headers],[Investor ID]]:LS[[#This Row],[Investor ID]],LS[[#This Row],[Investor ID]])</f>
        <v>3</v>
      </c>
      <c r="H722" s="101" t="str">
        <f>CONCATENATE(LS[[#This Row],[Frequency]],LS[[#This Row],[Investor ID]])</f>
        <v>3A00533</v>
      </c>
      <c r="I722" s="75" t="str">
        <f>IF(LS[[#This Row],[B/S]]="B","BUY",(IF(LS[[#This Row],[B/S]]="S","SELL"," ")))</f>
        <v>SELL</v>
      </c>
      <c r="J722" s="101" t="s">
        <v>1231</v>
      </c>
      <c r="K722" s="102">
        <v>-10700.52</v>
      </c>
      <c r="L722" s="99"/>
      <c r="M722" s="103">
        <f>LS[[#This Row],[Amount]]/LS[[#This Row],[Unit]]</f>
        <v>11.631</v>
      </c>
      <c r="N722" s="104">
        <f>LS[[#This Row],[Unit Capital]]/10</f>
        <v>-920</v>
      </c>
      <c r="O722" s="104">
        <f>SUMIFS(LS[[#Headers],[Unit]]:LS[[#This Row],[Unit]],LS[[#Headers],[Investor ID]]:LS[[#This Row],[Investor ID]],LS[[#This Row],[Investor ID]])</f>
        <v>0</v>
      </c>
      <c r="P722" s="102">
        <v>-9200</v>
      </c>
      <c r="Q722" s="102">
        <f>LS[[#This Row],[Amount]]-LS[[#This Row],[Unit Capital]]</f>
        <v>-1500.5200000000004</v>
      </c>
      <c r="R7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22" s="103">
        <f t="shared" si="11"/>
        <v>14.224</v>
      </c>
      <c r="T722" s="102">
        <f>IF(LS[[#This Row],[B/S]]="B",0,ABS(LS[[#This Row],[Unit]])*(LS[[#This Row],[NAV (Strike Rate)]]-INDEX(LS[NAV at Cost (Average)],MATCH(CONCATENATE(LS[[#This Row],[Frequency]]-1,LS[[#This Row],[Investor ID]]),LS[Unique Code],0),)))</f>
        <v>700.52</v>
      </c>
      <c r="U722" s="102" cm="1">
        <f t="array" ref="U722">IF(LS[[#This Row],[B/S]]="S",ABS(LS[[#This Row],[Unit]])*(INDEX(LS[NAV at Cost (Average)],MATCH(CONCATENATE((LS[[#This Row],[Frequency]]-1),LS[[#This Row],[Investor ID]]),LS[Unique Code],0),0)),0)</f>
        <v>10000</v>
      </c>
      <c r="V722" s="102">
        <f>IF(LS[[#This Row],[BO TRANSFER]]="YES",LS[[#This Row],[Unit]],)</f>
        <v>0</v>
      </c>
      <c r="W722" s="102">
        <f>SUMIFS(LS[[#Headers],[BO UNIT TRANSFER]]:LS[[#This Row],[BO UNIT TRANSFER]],LS[[#Headers],[Investor ID]]:LS[[#This Row],[Investor ID]],LS[[#This Row],[Investor ID]])</f>
        <v>0</v>
      </c>
    </row>
    <row r="723" spans="1:23">
      <c r="A723" s="75">
        <v>2024</v>
      </c>
      <c r="B723" s="75">
        <v>11</v>
      </c>
      <c r="C723" s="75">
        <v>12</v>
      </c>
      <c r="D723" s="98">
        <f>DATE(LS[[#This Row],[Year]],LS[[#This Row],[Month]],LS[[#This Row],[Day]])</f>
        <v>45608</v>
      </c>
      <c r="E723" s="99" t="str" cm="1">
        <f t="array" ref="E723">INDEX(INVESTORS_LIST[INVESTOR NAME],MATCH(LS[[#This Row],[Investor ID]],INVESTORS_LIST[INVESTOR CODE],0),)</f>
        <v>SWADESH RANJAN SAHA</v>
      </c>
      <c r="F723" s="100" t="s">
        <v>234</v>
      </c>
      <c r="G723" s="101">
        <f>COUNTIF(LS[[#Headers],[Investor ID]]:LS[[#This Row],[Investor ID]],LS[[#This Row],[Investor ID]])</f>
        <v>12</v>
      </c>
      <c r="H723" s="101" t="str">
        <f>CONCATENATE(LS[[#This Row],[Frequency]],LS[[#This Row],[Investor ID]])</f>
        <v>12A00093</v>
      </c>
      <c r="I723" s="75" t="str">
        <f>IF(LS[[#This Row],[B/S]]="B","BUY",(IF(LS[[#This Row],[B/S]]="S","SELL"," ")))</f>
        <v>SELL</v>
      </c>
      <c r="J723" s="101" t="s">
        <v>1231</v>
      </c>
      <c r="K723" s="102">
        <v>-2800000</v>
      </c>
      <c r="L723" s="99"/>
      <c r="M723" s="103">
        <f>LS[[#This Row],[Amount]]/LS[[#This Row],[Unit]]</f>
        <v>11.630998271965971</v>
      </c>
      <c r="N723" s="104">
        <f>LS[[#This Row],[Unit Capital]]/10</f>
        <v>-240736</v>
      </c>
      <c r="O723" s="104">
        <f>SUMIFS(LS[[#Headers],[Unit]]:LS[[#This Row],[Unit]],LS[[#Headers],[Investor ID]]:LS[[#This Row],[Investor ID]],LS[[#This Row],[Investor ID]])</f>
        <v>197292</v>
      </c>
      <c r="P723" s="102">
        <v>-2407360</v>
      </c>
      <c r="Q723" s="102">
        <f>LS[[#This Row],[Amount]]-LS[[#This Row],[Unit Capital]]</f>
        <v>-392640</v>
      </c>
      <c r="R7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723" s="103">
        <f t="shared" si="11"/>
        <v>14.224</v>
      </c>
      <c r="T723" s="102">
        <f>IF(LS[[#This Row],[B/S]]="B",0,ABS(LS[[#This Row],[Unit]])*(LS[[#This Row],[NAV (Strike Rate)]]-INDEX(LS[NAV at Cost (Average)],MATCH(CONCATENATE(LS[[#This Row],[Frequency]]-1,LS[[#This Row],[Investor ID]]),LS[Unique Code],0),)))</f>
        <v>227390.47003699275</v>
      </c>
      <c r="U723" s="102" cm="1">
        <f t="array" ref="U723">IF(LS[[#This Row],[B/S]]="S",ABS(LS[[#This Row],[Unit]])*(INDEX(LS[NAV at Cost (Average)],MATCH(CONCATENATE((LS[[#This Row],[Frequency]]-1),LS[[#This Row],[Investor ID]]),LS[Unique Code],0),0)),0)</f>
        <v>2572609.5299630072</v>
      </c>
      <c r="V723" s="102">
        <f>IF(LS[[#This Row],[BO TRANSFER]]="YES",LS[[#This Row],[Unit]],)</f>
        <v>0</v>
      </c>
      <c r="W723" s="102">
        <f>SUMIFS(LS[[#Headers],[BO UNIT TRANSFER]]:LS[[#This Row],[BO UNIT TRANSFER]],LS[[#Headers],[Investor ID]]:LS[[#This Row],[Investor ID]],LS[[#This Row],[Investor ID]])</f>
        <v>0</v>
      </c>
    </row>
    <row r="724" spans="1:23">
      <c r="A724" s="75">
        <v>2024</v>
      </c>
      <c r="B724" s="75">
        <v>11</v>
      </c>
      <c r="C724" s="75">
        <v>20</v>
      </c>
      <c r="D724" s="98">
        <f>DATE(LS[[#This Row],[Year]],LS[[#This Row],[Month]],LS[[#This Row],[Day]])</f>
        <v>45616</v>
      </c>
      <c r="E724" s="99" t="str" cm="1">
        <f t="array" ref="E724">INDEX(INVESTORS_LIST[INVESTOR NAME],MATCH(LS[[#This Row],[Investor ID]],INVESTORS_LIST[INVESTOR CODE],0),)</f>
        <v>FARZANA JITU</v>
      </c>
      <c r="F724" s="100" t="s">
        <v>968</v>
      </c>
      <c r="G724" s="101">
        <f>COUNTIF(LS[[#Headers],[Investor ID]]:LS[[#This Row],[Investor ID]],LS[[#This Row],[Investor ID]])</f>
        <v>14</v>
      </c>
      <c r="H724" s="101" t="str">
        <f>CONCATENATE(LS[[#This Row],[Frequency]],LS[[#This Row],[Investor ID]])</f>
        <v>14A00461</v>
      </c>
      <c r="I724" s="75" t="str">
        <f>IF(LS[[#This Row],[B/S]]="B","BUY",(IF(LS[[#This Row],[B/S]]="S","SELL"," ")))</f>
        <v>SELL</v>
      </c>
      <c r="J724" s="101" t="s">
        <v>1231</v>
      </c>
      <c r="K724" s="102">
        <v>-300000</v>
      </c>
      <c r="L724" s="88"/>
      <c r="M724" s="103">
        <f>LS[[#This Row],[Amount]]/LS[[#This Row],[Unit]]</f>
        <v>11.655011655011656</v>
      </c>
      <c r="N724" s="104">
        <f>LS[[#This Row],[Unit Capital]]/10</f>
        <v>-25740</v>
      </c>
      <c r="O724" s="104">
        <f>SUMIFS(LS[[#Headers],[Unit]]:LS[[#This Row],[Unit]],LS[[#Headers],[Investor ID]]:LS[[#This Row],[Investor ID]],LS[[#This Row],[Investor ID]])</f>
        <v>28406</v>
      </c>
      <c r="P724" s="102">
        <v>-257400</v>
      </c>
      <c r="Q724" s="102">
        <f>LS[[#This Row],[Amount]]-LS[[#This Row],[Unit Capital]]</f>
        <v>-42600</v>
      </c>
      <c r="R7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11.471177440898037</v>
      </c>
      <c r="S724" s="103">
        <f t="shared" si="11"/>
        <v>14.224</v>
      </c>
      <c r="T724" s="102">
        <f>IF(LS[[#This Row],[B/S]]="B",0,ABS(LS[[#This Row],[Unit]])*(LS[[#This Row],[NAV (Strike Rate)]]-INDEX(LS[NAV at Cost (Average)],MATCH(CONCATENATE(LS[[#This Row],[Frequency]]-1,LS[[#This Row],[Investor ID]]),LS[Unique Code],0),)))</f>
        <v>4731.8926712845387</v>
      </c>
      <c r="U724" s="102" cm="1">
        <f t="array" ref="U724">IF(LS[[#This Row],[B/S]]="S",ABS(LS[[#This Row],[Unit]])*(INDEX(LS[NAV at Cost (Average)],MATCH(CONCATENATE((LS[[#This Row],[Frequency]]-1),LS[[#This Row],[Investor ID]]),LS[Unique Code],0),0)),0)</f>
        <v>295268.1073287155</v>
      </c>
      <c r="V724" s="102">
        <f>IF(LS[[#This Row],[BO TRANSFER]]="YES",LS[[#This Row],[Unit]],)</f>
        <v>0</v>
      </c>
      <c r="W724" s="102">
        <f>SUMIFS(LS[[#Headers],[BO UNIT TRANSFER]]:LS[[#This Row],[BO UNIT TRANSFER]],LS[[#Headers],[Investor ID]]:LS[[#This Row],[Investor ID]],LS[[#This Row],[Investor ID]])</f>
        <v>0</v>
      </c>
    </row>
    <row r="725" spans="1:23">
      <c r="A725" s="75">
        <v>2024</v>
      </c>
      <c r="B725" s="75">
        <v>11</v>
      </c>
      <c r="C725" s="75">
        <v>24</v>
      </c>
      <c r="D725" s="98">
        <f>DATE(LS[[#This Row],[Year]],LS[[#This Row],[Month]],LS[[#This Row],[Day]])</f>
        <v>45620</v>
      </c>
      <c r="E725" s="99" t="str" cm="1">
        <f t="array" ref="E725">INDEX(INVESTORS_LIST[INVESTOR NAME],MATCH(LS[[#This Row],[Investor ID]],INVESTORS_LIST[INVESTOR CODE],0),)</f>
        <v>MD. RAJIB RAYHAN</v>
      </c>
      <c r="F725" s="100" t="s">
        <v>1289</v>
      </c>
      <c r="G725" s="101">
        <f>COUNTIF(LS[[#Headers],[Investor ID]]:LS[[#This Row],[Investor ID]],LS[[#This Row],[Investor ID]])</f>
        <v>2</v>
      </c>
      <c r="H725" s="101" t="str">
        <f>CONCATENATE(LS[[#This Row],[Frequency]],LS[[#This Row],[Investor ID]])</f>
        <v>2A00592</v>
      </c>
      <c r="I725" s="75" t="str">
        <f>IF(LS[[#This Row],[B/S]]="B","BUY",(IF(LS[[#This Row],[B/S]]="S","SELL"," ")))</f>
        <v>BUY</v>
      </c>
      <c r="J725" s="101" t="s">
        <v>1229</v>
      </c>
      <c r="K725" s="102">
        <v>500000</v>
      </c>
      <c r="L725" s="99"/>
      <c r="M725" s="103">
        <f>LS[[#This Row],[Amount]]/LS[[#This Row],[Unit]]</f>
        <v>11.655011655011656</v>
      </c>
      <c r="N725" s="104">
        <f>LS[[#This Row],[Unit Capital]]/10</f>
        <v>42900</v>
      </c>
      <c r="O725" s="104">
        <f>SUMIFS(LS[[#Headers],[Unit]]:LS[[#This Row],[Unit]],LS[[#Headers],[Investor ID]]:LS[[#This Row],[Investor ID]],LS[[#This Row],[Investor ID]])</f>
        <v>86168</v>
      </c>
      <c r="P725" s="102">
        <v>429000</v>
      </c>
      <c r="Q725" s="102">
        <f>LS[[#This Row],[Amount]]-LS[[#This Row],[Unit Capital]]</f>
        <v>71000</v>
      </c>
      <c r="R7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11.605236282610715</v>
      </c>
      <c r="S725" s="103">
        <f t="shared" si="11"/>
        <v>14.224</v>
      </c>
      <c r="T7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25" s="102" cm="1">
        <f t="array" ref="U725">IF(LS[[#This Row],[B/S]]="S",ABS(LS[[#This Row],[Unit]])*(INDEX(LS[NAV at Cost (Average)],MATCH(CONCATENATE((LS[[#This Row],[Frequency]]-1),LS[[#This Row],[Investor ID]]),LS[Unique Code],0),0)),0)</f>
        <v>0</v>
      </c>
      <c r="V725" s="102">
        <f>IF(LS[[#This Row],[BO TRANSFER]]="YES",LS[[#This Row],[Unit]],)</f>
        <v>0</v>
      </c>
      <c r="W725" s="102">
        <f>SUMIFS(LS[[#Headers],[BO UNIT TRANSFER]]:LS[[#This Row],[BO UNIT TRANSFER]],LS[[#Headers],[Investor ID]]:LS[[#This Row],[Investor ID]],LS[[#This Row],[Investor ID]])</f>
        <v>0</v>
      </c>
    </row>
    <row r="726" spans="1:23">
      <c r="A726" s="75">
        <v>2024</v>
      </c>
      <c r="B726" s="75">
        <v>11</v>
      </c>
      <c r="C726" s="75">
        <v>24</v>
      </c>
      <c r="D726" s="98">
        <f>DATE(LS[[#This Row],[Year]],LS[[#This Row],[Month]],LS[[#This Row],[Day]])</f>
        <v>45620</v>
      </c>
      <c r="E726" s="99" t="str" cm="1">
        <f t="array" ref="E726">INDEX(INVESTORS_LIST[INVESTOR NAME],MATCH(LS[[#This Row],[Investor ID]],INVESTORS_LIST[INVESTOR CODE],0),)</f>
        <v>MD SHAFIQUR RAHMAN MONSI</v>
      </c>
      <c r="F726" s="100" t="s">
        <v>1034</v>
      </c>
      <c r="G726" s="101">
        <f>COUNTIF(LS[[#Headers],[Investor ID]]:LS[[#This Row],[Investor ID]],LS[[#This Row],[Investor ID]])</f>
        <v>9</v>
      </c>
      <c r="H726" s="101" t="str">
        <f>CONCATENATE(LS[[#This Row],[Frequency]],LS[[#This Row],[Investor ID]])</f>
        <v>9A00494</v>
      </c>
      <c r="I726" s="75" t="str">
        <f>IF(LS[[#This Row],[B/S]]="B","BUY",(IF(LS[[#This Row],[B/S]]="S","SELL"," ")))</f>
        <v>BUY</v>
      </c>
      <c r="J726" s="101" t="s">
        <v>1229</v>
      </c>
      <c r="K726" s="102">
        <v>300000</v>
      </c>
      <c r="L726" s="99"/>
      <c r="M726" s="103">
        <f>LS[[#This Row],[Amount]]/LS[[#This Row],[Unit]]</f>
        <v>11.678150181011327</v>
      </c>
      <c r="N726" s="104">
        <f>LS[[#This Row],[Unit Capital]]/10</f>
        <v>25689</v>
      </c>
      <c r="O726" s="104">
        <f>SUMIFS(LS[[#Headers],[Unit]]:LS[[#This Row],[Unit]],LS[[#Headers],[Investor ID]]:LS[[#This Row],[Investor ID]],LS[[#This Row],[Investor ID]])</f>
        <v>25689</v>
      </c>
      <c r="P726" s="102">
        <v>256890</v>
      </c>
      <c r="Q726" s="102">
        <f>LS[[#This Row],[Amount]]-LS[[#This Row],[Unit Capital]]</f>
        <v>43110</v>
      </c>
      <c r="R7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11.678150181011327</v>
      </c>
      <c r="S726" s="103">
        <f t="shared" si="11"/>
        <v>14.224</v>
      </c>
      <c r="T7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26" s="102" cm="1">
        <f t="array" ref="U726">IF(LS[[#This Row],[B/S]]="S",ABS(LS[[#This Row],[Unit]])*(INDEX(LS[NAV at Cost (Average)],MATCH(CONCATENATE((LS[[#This Row],[Frequency]]-1),LS[[#This Row],[Investor ID]]),LS[Unique Code],0),0)),0)</f>
        <v>0</v>
      </c>
      <c r="V726" s="102">
        <f>IF(LS[[#This Row],[BO TRANSFER]]="YES",LS[[#This Row],[Unit]],)</f>
        <v>0</v>
      </c>
      <c r="W726" s="102">
        <f>SUMIFS(LS[[#Headers],[BO UNIT TRANSFER]]:LS[[#This Row],[BO UNIT TRANSFER]],LS[[#Headers],[Investor ID]]:LS[[#This Row],[Investor ID]],LS[[#This Row],[Investor ID]])</f>
        <v>0</v>
      </c>
    </row>
    <row r="727" spans="1:23">
      <c r="A727" s="75">
        <v>2024</v>
      </c>
      <c r="B727" s="75">
        <v>11</v>
      </c>
      <c r="C727" s="75">
        <v>24</v>
      </c>
      <c r="D727" s="98">
        <f>DATE(LS[[#This Row],[Year]],LS[[#This Row],[Month]],LS[[#This Row],[Day]])</f>
        <v>45620</v>
      </c>
      <c r="E727" s="99" t="str" cm="1">
        <f t="array" ref="E727">INDEX(INVESTORS_LIST[INVESTOR NAME],MATCH(LS[[#This Row],[Investor ID]],INVESTORS_LIST[INVESTOR CODE],0),)</f>
        <v>TAMANNA AFRIN MITUL</v>
      </c>
      <c r="F727" s="100" t="s">
        <v>1157</v>
      </c>
      <c r="G727" s="101">
        <f>COUNTIF(LS[[#Headers],[Investor ID]]:LS[[#This Row],[Investor ID]],LS[[#This Row],[Investor ID]])</f>
        <v>6</v>
      </c>
      <c r="H727" s="101" t="str">
        <f>CONCATENATE(LS[[#This Row],[Frequency]],LS[[#This Row],[Investor ID]])</f>
        <v>6A00554</v>
      </c>
      <c r="I727" s="75" t="str">
        <f>IF(LS[[#This Row],[B/S]]="B","BUY",(IF(LS[[#This Row],[B/S]]="S","SELL"," ")))</f>
        <v>SELL</v>
      </c>
      <c r="J727" s="101" t="s">
        <v>1231</v>
      </c>
      <c r="K727" s="102">
        <v>-100000</v>
      </c>
      <c r="L727" s="99"/>
      <c r="M727" s="103">
        <f>LS[[#This Row],[Amount]]/LS[[#This Row],[Unit]]</f>
        <v>11.678150181011327</v>
      </c>
      <c r="N727" s="104">
        <f>LS[[#This Row],[Unit Capital]]/10</f>
        <v>-8563</v>
      </c>
      <c r="O727" s="104">
        <f>SUMIFS(LS[[#Headers],[Unit]]:LS[[#This Row],[Unit]],LS[[#Headers],[Investor ID]]:LS[[#This Row],[Investor ID]],LS[[#This Row],[Investor ID]])</f>
        <v>1073</v>
      </c>
      <c r="P727" s="102">
        <v>-85630</v>
      </c>
      <c r="Q727" s="102">
        <f>LS[[#This Row],[Amount]]-LS[[#This Row],[Unit Capital]]</f>
        <v>-14370</v>
      </c>
      <c r="R7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11.581569115815691</v>
      </c>
      <c r="S727" s="103">
        <f t="shared" si="11"/>
        <v>14.224</v>
      </c>
      <c r="T727" s="102">
        <f>IF(LS[[#This Row],[B/S]]="B",0,ABS(LS[[#This Row],[Unit]])*(LS[[#This Row],[NAV (Strike Rate)]]-INDEX(LS[NAV at Cost (Average)],MATCH(CONCATENATE(LS[[#This Row],[Frequency]]-1,LS[[#This Row],[Investor ID]]),LS[Unique Code],0),)))</f>
        <v>827.02366127023129</v>
      </c>
      <c r="U727" s="102" cm="1">
        <f t="array" ref="U727">IF(LS[[#This Row],[B/S]]="S",ABS(LS[[#This Row],[Unit]])*(INDEX(LS[NAV at Cost (Average)],MATCH(CONCATENATE((LS[[#This Row],[Frequency]]-1),LS[[#This Row],[Investor ID]]),LS[Unique Code],0),0)),0)</f>
        <v>99172.976338729757</v>
      </c>
      <c r="V727" s="102">
        <f>IF(LS[[#This Row],[BO TRANSFER]]="YES",LS[[#This Row],[Unit]],)</f>
        <v>0</v>
      </c>
      <c r="W727" s="102">
        <f>SUMIFS(LS[[#Headers],[BO UNIT TRANSFER]]:LS[[#This Row],[BO UNIT TRANSFER]],LS[[#Headers],[Investor ID]]:LS[[#This Row],[Investor ID]],LS[[#This Row],[Investor ID]])</f>
        <v>0</v>
      </c>
    </row>
    <row r="728" spans="1:23">
      <c r="A728" s="75">
        <v>2024</v>
      </c>
      <c r="B728" s="75">
        <v>11</v>
      </c>
      <c r="C728" s="75">
        <v>27</v>
      </c>
      <c r="D728" s="98">
        <f>DATE(LS[[#This Row],[Year]],LS[[#This Row],[Month]],LS[[#This Row],[Day]])</f>
        <v>45623</v>
      </c>
      <c r="E728" s="99" t="str" cm="1">
        <f t="array" ref="E728">INDEX(INVESTORS_LIST[INVESTOR NAME],MATCH(LS[[#This Row],[Investor ID]],INVESTORS_LIST[INVESTOR CODE],0),)</f>
        <v>SYED FAZLE RABBY</v>
      </c>
      <c r="F728" s="100" t="s">
        <v>166</v>
      </c>
      <c r="G728" s="101">
        <f>COUNTIF(LS[[#Headers],[Investor ID]]:LS[[#This Row],[Investor ID]],LS[[#This Row],[Investor ID]])</f>
        <v>26</v>
      </c>
      <c r="H728" s="101" t="str">
        <f>CONCATENATE(LS[[#This Row],[Frequency]],LS[[#This Row],[Investor ID]])</f>
        <v>26A00059</v>
      </c>
      <c r="I728" s="75" t="str">
        <f>IF(LS[[#This Row],[B/S]]="B","BUY",(IF(LS[[#This Row],[B/S]]="S","SELL"," ")))</f>
        <v>BUY</v>
      </c>
      <c r="J728" s="101" t="s">
        <v>1229</v>
      </c>
      <c r="K728" s="102">
        <v>100000</v>
      </c>
      <c r="L728" s="99"/>
      <c r="M728" s="103">
        <f>LS[[#This Row],[Amount]]/LS[[#This Row],[Unit]]</f>
        <v>11.678150181011327</v>
      </c>
      <c r="N728" s="104">
        <f>LS[[#This Row],[Unit Capital]]/10</f>
        <v>8563</v>
      </c>
      <c r="O728" s="104">
        <f>SUMIFS(LS[[#Headers],[Unit]]:LS[[#This Row],[Unit]],LS[[#Headers],[Investor ID]]:LS[[#This Row],[Investor ID]],LS[[#This Row],[Investor ID]])</f>
        <v>504057</v>
      </c>
      <c r="P728" s="102">
        <v>85630</v>
      </c>
      <c r="Q728" s="102">
        <f>LS[[#This Row],[Amount]]-LS[[#This Row],[Unit Capital]]</f>
        <v>14370</v>
      </c>
      <c r="R7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10.844003722334685</v>
      </c>
      <c r="S728" s="103">
        <f t="shared" si="11"/>
        <v>14.224</v>
      </c>
      <c r="T7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28" s="102" cm="1">
        <f t="array" ref="U728">IF(LS[[#This Row],[B/S]]="S",ABS(LS[[#This Row],[Unit]])*(INDEX(LS[NAV at Cost (Average)],MATCH(CONCATENATE((LS[[#This Row],[Frequency]]-1),LS[[#This Row],[Investor ID]]),LS[Unique Code],0),0)),0)</f>
        <v>0</v>
      </c>
      <c r="V728" s="102">
        <f>IF(LS[[#This Row],[BO TRANSFER]]="YES",LS[[#This Row],[Unit]],)</f>
        <v>0</v>
      </c>
      <c r="W728" s="102">
        <f>SUMIFS(LS[[#Headers],[BO UNIT TRANSFER]]:LS[[#This Row],[BO UNIT TRANSFER]],LS[[#Headers],[Investor ID]]:LS[[#This Row],[Investor ID]],LS[[#This Row],[Investor ID]])</f>
        <v>0</v>
      </c>
    </row>
    <row r="729" spans="1:23">
      <c r="A729" s="75">
        <v>2024</v>
      </c>
      <c r="B729" s="75">
        <v>11</v>
      </c>
      <c r="C729" s="75">
        <v>28</v>
      </c>
      <c r="D729" s="98">
        <f>DATE(LS[[#This Row],[Year]],LS[[#This Row],[Month]],LS[[#This Row],[Day]])</f>
        <v>45624</v>
      </c>
      <c r="E729" s="99" t="str" cm="1">
        <f t="array" ref="E729">INDEX(INVESTORS_LIST[INVESTOR NAME],MATCH(LS[[#This Row],[Investor ID]],INVESTORS_LIST[INVESTOR CODE],0),)</f>
        <v>TANIA AKTER</v>
      </c>
      <c r="F729" s="100" t="s">
        <v>1069</v>
      </c>
      <c r="G729" s="101">
        <f>COUNTIF(LS[[#Headers],[Investor ID]]:LS[[#This Row],[Investor ID]],LS[[#This Row],[Investor ID]])</f>
        <v>2</v>
      </c>
      <c r="H729" s="101" t="str">
        <f>CONCATENATE(LS[[#This Row],[Frequency]],LS[[#This Row],[Investor ID]])</f>
        <v>2A00512</v>
      </c>
      <c r="I729" s="75" t="str">
        <f>IF(LS[[#This Row],[B/S]]="B","BUY",(IF(LS[[#This Row],[B/S]]="S","SELL"," ")))</f>
        <v>BUY</v>
      </c>
      <c r="J729" s="101" t="s">
        <v>1229</v>
      </c>
      <c r="K729" s="102">
        <v>1977361</v>
      </c>
      <c r="L729" s="99"/>
      <c r="M729" s="103">
        <f>LS[[#This Row],[Amount]]/LS[[#This Row],[Unit]]</f>
        <v>11.677972407927996</v>
      </c>
      <c r="N729" s="104">
        <f>LS[[#This Row],[Unit Capital]]/10</f>
        <v>169324</v>
      </c>
      <c r="O729" s="104">
        <f>SUMIFS(LS[[#Headers],[Unit]]:LS[[#This Row],[Unit]],LS[[#Headers],[Investor ID]]:LS[[#This Row],[Investor ID]],LS[[#This Row],[Investor ID]])</f>
        <v>178850</v>
      </c>
      <c r="P729" s="102">
        <v>1693240</v>
      </c>
      <c r="Q729" s="102">
        <f>LS[[#This Row],[Amount]]-LS[[#This Row],[Unit Capital]]</f>
        <v>284121</v>
      </c>
      <c r="R7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11.615102040816327</v>
      </c>
      <c r="S729" s="103">
        <f t="shared" si="11"/>
        <v>14.224</v>
      </c>
      <c r="T7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29" s="102" cm="1">
        <f t="array" ref="U729">IF(LS[[#This Row],[B/S]]="S",ABS(LS[[#This Row],[Unit]])*(INDEX(LS[NAV at Cost (Average)],MATCH(CONCATENATE((LS[[#This Row],[Frequency]]-1),LS[[#This Row],[Investor ID]]),LS[Unique Code],0),0)),0)</f>
        <v>0</v>
      </c>
      <c r="V729" s="102">
        <f>IF(LS[[#This Row],[BO TRANSFER]]="YES",LS[[#This Row],[Unit]],)</f>
        <v>0</v>
      </c>
      <c r="W729" s="102">
        <f>SUMIFS(LS[[#Headers],[BO UNIT TRANSFER]]:LS[[#This Row],[BO UNIT TRANSFER]],LS[[#Headers],[Investor ID]]:LS[[#This Row],[Investor ID]],LS[[#This Row],[Investor ID]])</f>
        <v>0</v>
      </c>
    </row>
    <row r="730" spans="1:23">
      <c r="A730" s="75">
        <v>2024</v>
      </c>
      <c r="B730" s="75">
        <v>11</v>
      </c>
      <c r="C730" s="75">
        <v>28</v>
      </c>
      <c r="D730" s="98">
        <f>DATE(LS[[#This Row],[Year]],LS[[#This Row],[Month]],LS[[#This Row],[Day]])</f>
        <v>45624</v>
      </c>
      <c r="E730" s="99" t="str" cm="1">
        <f t="array" ref="E730">INDEX(INVESTORS_LIST[INVESTOR NAME],MATCH(LS[[#This Row],[Investor ID]],INVESTORS_LIST[INVESTOR CODE],0),)</f>
        <v>MD SHAFIQUR RAHMAN MONSI</v>
      </c>
      <c r="F730" s="100" t="s">
        <v>1034</v>
      </c>
      <c r="G730" s="101">
        <f>COUNTIF(LS[[#Headers],[Investor ID]]:LS[[#This Row],[Investor ID]],LS[[#This Row],[Investor ID]])</f>
        <v>10</v>
      </c>
      <c r="H730" s="101" t="str">
        <f>CONCATENATE(LS[[#This Row],[Frequency]],LS[[#This Row],[Investor ID]])</f>
        <v>10A00494</v>
      </c>
      <c r="I730" s="75" t="str">
        <f>IF(LS[[#This Row],[B/S]]="B","BUY",(IF(LS[[#This Row],[B/S]]="S","SELL"," ")))</f>
        <v>BUY</v>
      </c>
      <c r="J730" s="101" t="s">
        <v>1229</v>
      </c>
      <c r="K730" s="102">
        <v>100000</v>
      </c>
      <c r="L730" s="99"/>
      <c r="M730" s="103">
        <f>LS[[#This Row],[Amount]]/LS[[#This Row],[Unit]]</f>
        <v>11.678150181011327</v>
      </c>
      <c r="N730" s="104">
        <f>LS[[#This Row],[Unit Capital]]/10</f>
        <v>8563</v>
      </c>
      <c r="O730" s="104">
        <f>SUMIFS(LS[[#Headers],[Unit]]:LS[[#This Row],[Unit]],LS[[#Headers],[Investor ID]]:LS[[#This Row],[Investor ID]],LS[[#This Row],[Investor ID]])</f>
        <v>34252</v>
      </c>
      <c r="P730" s="102">
        <v>85630</v>
      </c>
      <c r="Q730" s="102">
        <f>LS[[#This Row],[Amount]]-LS[[#This Row],[Unit Capital]]</f>
        <v>14370</v>
      </c>
      <c r="R7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11.678150181011327</v>
      </c>
      <c r="S730" s="103">
        <f t="shared" si="11"/>
        <v>14.224</v>
      </c>
      <c r="T73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0" s="102" cm="1">
        <f t="array" ref="U730">IF(LS[[#This Row],[B/S]]="S",ABS(LS[[#This Row],[Unit]])*(INDEX(LS[NAV at Cost (Average)],MATCH(CONCATENATE((LS[[#This Row],[Frequency]]-1),LS[[#This Row],[Investor ID]]),LS[Unique Code],0),0)),0)</f>
        <v>0</v>
      </c>
      <c r="V730" s="102">
        <f>IF(LS[[#This Row],[BO TRANSFER]]="YES",LS[[#This Row],[Unit]],)</f>
        <v>0</v>
      </c>
      <c r="W730" s="102">
        <f>SUMIFS(LS[[#Headers],[BO UNIT TRANSFER]]:LS[[#This Row],[BO UNIT TRANSFER]],LS[[#Headers],[Investor ID]]:LS[[#This Row],[Investor ID]],LS[[#This Row],[Investor ID]])</f>
        <v>0</v>
      </c>
    </row>
    <row r="731" spans="1:23">
      <c r="A731" s="75">
        <v>2024</v>
      </c>
      <c r="B731" s="75">
        <v>12</v>
      </c>
      <c r="C731" s="75">
        <v>3</v>
      </c>
      <c r="D731" s="98">
        <f>DATE(LS[[#This Row],[Year]],LS[[#This Row],[Month]],LS[[#This Row],[Day]])</f>
        <v>45629</v>
      </c>
      <c r="E731" s="99" t="str" cm="1">
        <f t="array" ref="E731">INDEX(INVESTORS_LIST[INVESTOR NAME],MATCH(LS[[#This Row],[Investor ID]],INVESTORS_LIST[INVESTOR CODE],0),)</f>
        <v>MD SHAFIQUR RAHMAN MONSI</v>
      </c>
      <c r="F731" s="100" t="s">
        <v>1034</v>
      </c>
      <c r="G731" s="101">
        <f>COUNTIF(LS[[#Headers],[Investor ID]]:LS[[#This Row],[Investor ID]],LS[[#This Row],[Investor ID]])</f>
        <v>11</v>
      </c>
      <c r="H731" s="101" t="str">
        <f>CONCATENATE(LS[[#This Row],[Frequency]],LS[[#This Row],[Investor ID]])</f>
        <v>11A00494</v>
      </c>
      <c r="I731" s="75" t="str">
        <f>IF(LS[[#This Row],[B/S]]="B","BUY",(IF(LS[[#This Row],[B/S]]="S","SELL"," ")))</f>
        <v>BUY</v>
      </c>
      <c r="J731" s="101" t="s">
        <v>1229</v>
      </c>
      <c r="K731" s="102">
        <v>300000</v>
      </c>
      <c r="L731" s="99"/>
      <c r="M731" s="103">
        <f>LS[[#This Row],[Amount]]/LS[[#This Row],[Unit]]</f>
        <v>11.703206678629945</v>
      </c>
      <c r="N731" s="104">
        <f>LS[[#This Row],[Unit Capital]]/10</f>
        <v>25634</v>
      </c>
      <c r="O731" s="104">
        <f>SUMIFS(LS[[#Headers],[Unit]]:LS[[#This Row],[Unit]],LS[[#Headers],[Investor ID]]:LS[[#This Row],[Investor ID]],LS[[#This Row],[Investor ID]])</f>
        <v>59886</v>
      </c>
      <c r="P731" s="102">
        <v>256340</v>
      </c>
      <c r="Q731" s="102">
        <f>LS[[#This Row],[Amount]]-LS[[#This Row],[Unit Capital]]</f>
        <v>43660</v>
      </c>
      <c r="R7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11.688875530173998</v>
      </c>
      <c r="S731" s="103">
        <f t="shared" si="11"/>
        <v>14.224</v>
      </c>
      <c r="T7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1" s="102" cm="1">
        <f t="array" ref="U731">IF(LS[[#This Row],[B/S]]="S",ABS(LS[[#This Row],[Unit]])*(INDEX(LS[NAV at Cost (Average)],MATCH(CONCATENATE((LS[[#This Row],[Frequency]]-1),LS[[#This Row],[Investor ID]]),LS[Unique Code],0),0)),0)</f>
        <v>0</v>
      </c>
      <c r="V731" s="102">
        <f>IF(LS[[#This Row],[BO TRANSFER]]="YES",LS[[#This Row],[Unit]],)</f>
        <v>0</v>
      </c>
      <c r="W731" s="102">
        <f>SUMIFS(LS[[#Headers],[BO UNIT TRANSFER]]:LS[[#This Row],[BO UNIT TRANSFER]],LS[[#Headers],[Investor ID]]:LS[[#This Row],[Investor ID]],LS[[#This Row],[Investor ID]])</f>
        <v>0</v>
      </c>
    </row>
    <row r="732" spans="1:23">
      <c r="A732" s="75">
        <v>2024</v>
      </c>
      <c r="B732" s="75">
        <v>12</v>
      </c>
      <c r="C732" s="75">
        <v>3</v>
      </c>
      <c r="D732" s="98">
        <f>DATE(LS[[#This Row],[Year]],LS[[#This Row],[Month]],LS[[#This Row],[Day]])</f>
        <v>45629</v>
      </c>
      <c r="E732" s="99" t="str" cm="1">
        <f t="array" ref="E732">INDEX(INVESTORS_LIST[INVESTOR NAME],MATCH(LS[[#This Row],[Investor ID]],INVESTORS_LIST[INVESTOR CODE],0),)</f>
        <v>MD SHAFIQUR RAHMAN MONSI</v>
      </c>
      <c r="F732" s="100" t="s">
        <v>1034</v>
      </c>
      <c r="G732" s="101">
        <f>COUNTIF(LS[[#Headers],[Investor ID]]:LS[[#This Row],[Investor ID]],LS[[#This Row],[Investor ID]])</f>
        <v>12</v>
      </c>
      <c r="H732" s="101" t="str">
        <f>CONCATENATE(LS[[#This Row],[Frequency]],LS[[#This Row],[Investor ID]])</f>
        <v>12A00494</v>
      </c>
      <c r="I732" s="75" t="str">
        <f>IF(LS[[#This Row],[B/S]]="B","BUY",(IF(LS[[#This Row],[B/S]]="S","SELL"," ")))</f>
        <v>BUY</v>
      </c>
      <c r="J732" s="101" t="s">
        <v>1229</v>
      </c>
      <c r="K732" s="102">
        <v>100000</v>
      </c>
      <c r="L732" s="99"/>
      <c r="M732" s="103">
        <f>LS[[#This Row],[Amount]]/LS[[#This Row],[Unit]]</f>
        <v>11.702750146284377</v>
      </c>
      <c r="N732" s="104">
        <f>LS[[#This Row],[Unit Capital]]/10</f>
        <v>8545</v>
      </c>
      <c r="O732" s="104">
        <f>SUMIFS(LS[[#Headers],[Unit]]:LS[[#This Row],[Unit]],LS[[#Headers],[Investor ID]]:LS[[#This Row],[Investor ID]],LS[[#This Row],[Investor ID]])</f>
        <v>68431</v>
      </c>
      <c r="P732" s="102">
        <v>85450</v>
      </c>
      <c r="Q732" s="102">
        <f>LS[[#This Row],[Amount]]-LS[[#This Row],[Unit Capital]]</f>
        <v>14550</v>
      </c>
      <c r="R7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11.690608057751605</v>
      </c>
      <c r="S732" s="103">
        <f t="shared" si="11"/>
        <v>14.224</v>
      </c>
      <c r="T7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2" s="102" cm="1">
        <f t="array" ref="U732">IF(LS[[#This Row],[B/S]]="S",ABS(LS[[#This Row],[Unit]])*(INDEX(LS[NAV at Cost (Average)],MATCH(CONCATENATE((LS[[#This Row],[Frequency]]-1),LS[[#This Row],[Investor ID]]),LS[Unique Code],0),0)),0)</f>
        <v>0</v>
      </c>
      <c r="V732" s="102">
        <f>IF(LS[[#This Row],[BO TRANSFER]]="YES",LS[[#This Row],[Unit]],)</f>
        <v>0</v>
      </c>
      <c r="W732" s="102">
        <f>SUMIFS(LS[[#Headers],[BO UNIT TRANSFER]]:LS[[#This Row],[BO UNIT TRANSFER]],LS[[#Headers],[Investor ID]]:LS[[#This Row],[Investor ID]],LS[[#This Row],[Investor ID]])</f>
        <v>0</v>
      </c>
    </row>
    <row r="733" spans="1:23">
      <c r="A733" s="75">
        <v>2024</v>
      </c>
      <c r="B733" s="75">
        <v>12</v>
      </c>
      <c r="C733" s="75">
        <v>3</v>
      </c>
      <c r="D733" s="98">
        <f>DATE(LS[[#This Row],[Year]],LS[[#This Row],[Month]],LS[[#This Row],[Day]])</f>
        <v>45629</v>
      </c>
      <c r="E733" s="99" t="str" cm="1">
        <f t="array" ref="E733">INDEX(INVESTORS_LIST[INVESTOR NAME],MATCH(LS[[#This Row],[Investor ID]],INVESTORS_LIST[INVESTOR CODE],0),)</f>
        <v>SHAKERA JEASMIN</v>
      </c>
      <c r="F733" s="97" t="s">
        <v>1296</v>
      </c>
      <c r="G733" s="101">
        <f>COUNTIF(LS[[#Headers],[Investor ID]]:LS[[#This Row],[Investor ID]],LS[[#This Row],[Investor ID]])</f>
        <v>1</v>
      </c>
      <c r="H733" s="101" t="str">
        <f>CONCATENATE(LS[[#This Row],[Frequency]],LS[[#This Row],[Investor ID]])</f>
        <v>1A00595</v>
      </c>
      <c r="I733" s="75" t="str">
        <f>IF(LS[[#This Row],[B/S]]="B","BUY",(IF(LS[[#This Row],[B/S]]="S","SELL"," ")))</f>
        <v>BUY</v>
      </c>
      <c r="J733" s="101" t="s">
        <v>1229</v>
      </c>
      <c r="K733" s="102">
        <v>117030</v>
      </c>
      <c r="L733" s="99"/>
      <c r="M733" s="103">
        <f>LS[[#This Row],[Amount]]/LS[[#This Row],[Unit]]</f>
        <v>11.702999999999999</v>
      </c>
      <c r="N733" s="104">
        <f>LS[[#This Row],[Unit Capital]]/10</f>
        <v>10000</v>
      </c>
      <c r="O733" s="104">
        <f>SUMIFS(LS[[#Headers],[Unit]]:LS[[#This Row],[Unit]],LS[[#Headers],[Investor ID]]:LS[[#This Row],[Investor ID]],LS[[#This Row],[Investor ID]])</f>
        <v>10000</v>
      </c>
      <c r="P733" s="102">
        <v>100000</v>
      </c>
      <c r="Q733" s="102">
        <f>LS[[#This Row],[Amount]]-LS[[#This Row],[Unit Capital]]</f>
        <v>17030</v>
      </c>
      <c r="R7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11.702999999999999</v>
      </c>
      <c r="S733" s="103">
        <f t="shared" si="11"/>
        <v>14.224</v>
      </c>
      <c r="T7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3" s="102" cm="1">
        <f t="array" ref="U733">IF(LS[[#This Row],[B/S]]="S",ABS(LS[[#This Row],[Unit]])*(INDEX(LS[NAV at Cost (Average)],MATCH(CONCATENATE((LS[[#This Row],[Frequency]]-1),LS[[#This Row],[Investor ID]]),LS[Unique Code],0),0)),0)</f>
        <v>0</v>
      </c>
      <c r="V733" s="102">
        <f>IF(LS[[#This Row],[BO TRANSFER]]="YES",LS[[#This Row],[Unit]],)</f>
        <v>0</v>
      </c>
      <c r="W733" s="102">
        <f>SUMIFS(LS[[#Headers],[BO UNIT TRANSFER]]:LS[[#This Row],[BO UNIT TRANSFER]],LS[[#Headers],[Investor ID]]:LS[[#This Row],[Investor ID]],LS[[#This Row],[Investor ID]])</f>
        <v>0</v>
      </c>
    </row>
    <row r="734" spans="1:23">
      <c r="A734" s="75">
        <v>2024</v>
      </c>
      <c r="B734" s="75">
        <v>12</v>
      </c>
      <c r="C734" s="75">
        <v>3</v>
      </c>
      <c r="D734" s="98">
        <f>DATE(LS[[#This Row],[Year]],LS[[#This Row],[Month]],LS[[#This Row],[Day]])</f>
        <v>45629</v>
      </c>
      <c r="E734" s="99" t="str" cm="1">
        <f t="array" ref="E734">INDEX(INVESTORS_LIST[INVESTOR NAME],MATCH(LS[[#This Row],[Investor ID]],INVESTORS_LIST[INVESTOR CODE],0),)</f>
        <v>FARZANA JITU</v>
      </c>
      <c r="F734" s="100" t="s">
        <v>968</v>
      </c>
      <c r="G734" s="101">
        <f>COUNTIF(LS[[#Headers],[Investor ID]]:LS[[#This Row],[Investor ID]],LS[[#This Row],[Investor ID]])</f>
        <v>15</v>
      </c>
      <c r="H734" s="101" t="str">
        <f>CONCATENATE(LS[[#This Row],[Frequency]],LS[[#This Row],[Investor ID]])</f>
        <v>15A00461</v>
      </c>
      <c r="I734" s="75" t="str">
        <f>IF(LS[[#This Row],[B/S]]="B","BUY",(IF(LS[[#This Row],[B/S]]="S","SELL"," ")))</f>
        <v>BUY</v>
      </c>
      <c r="J734" s="101" t="s">
        <v>1229</v>
      </c>
      <c r="K734" s="102">
        <v>140000</v>
      </c>
      <c r="L734" s="88"/>
      <c r="M734" s="103">
        <f>LS[[#This Row],[Amount]]/LS[[#This Row],[Unit]]</f>
        <v>11.702750146284377</v>
      </c>
      <c r="N734" s="104">
        <f>LS[[#This Row],[Unit Capital]]/10</f>
        <v>11963</v>
      </c>
      <c r="O734" s="104">
        <f>SUMIFS(LS[[#Headers],[Unit]]:LS[[#This Row],[Unit]],LS[[#Headers],[Investor ID]]:LS[[#This Row],[Investor ID]],LS[[#This Row],[Investor ID]])</f>
        <v>40369</v>
      </c>
      <c r="P734" s="102">
        <v>119630</v>
      </c>
      <c r="Q734" s="102">
        <f>LS[[#This Row],[Amount]]-LS[[#This Row],[Unit Capital]]</f>
        <v>20370</v>
      </c>
      <c r="R7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11.539801986329849</v>
      </c>
      <c r="S734" s="103">
        <f t="shared" si="11"/>
        <v>14.224</v>
      </c>
      <c r="T7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4" s="102" cm="1">
        <f t="array" ref="U734">IF(LS[[#This Row],[B/S]]="S",ABS(LS[[#This Row],[Unit]])*(INDEX(LS[NAV at Cost (Average)],MATCH(CONCATENATE((LS[[#This Row],[Frequency]]-1),LS[[#This Row],[Investor ID]]),LS[Unique Code],0),0)),0)</f>
        <v>0</v>
      </c>
      <c r="V734" s="102">
        <f>IF(LS[[#This Row],[BO TRANSFER]]="YES",LS[[#This Row],[Unit]],)</f>
        <v>0</v>
      </c>
      <c r="W734" s="102">
        <f>SUMIFS(LS[[#Headers],[BO UNIT TRANSFER]]:LS[[#This Row],[BO UNIT TRANSFER]],LS[[#Headers],[Investor ID]]:LS[[#This Row],[Investor ID]],LS[[#This Row],[Investor ID]])</f>
        <v>0</v>
      </c>
    </row>
    <row r="735" spans="1:23">
      <c r="A735" s="75">
        <v>2024</v>
      </c>
      <c r="B735" s="75">
        <v>12</v>
      </c>
      <c r="C735" s="75">
        <v>3</v>
      </c>
      <c r="D735" s="98">
        <f>DATE(LS[[#This Row],[Year]],LS[[#This Row],[Month]],LS[[#This Row],[Day]])</f>
        <v>45629</v>
      </c>
      <c r="E735" s="99" t="str" cm="1">
        <f t="array" ref="E735">INDEX(INVESTORS_LIST[INVESTOR NAME],MATCH(LS[[#This Row],[Investor ID]],INVESTORS_LIST[INVESTOR CODE],0),)</f>
        <v>SRIJON GHOSH</v>
      </c>
      <c r="F735" s="150" t="s">
        <v>894</v>
      </c>
      <c r="G735" s="101">
        <f>COUNTIF(LS[[#Headers],[Investor ID]]:LS[[#This Row],[Investor ID]],LS[[#This Row],[Investor ID]])</f>
        <v>6</v>
      </c>
      <c r="H735" s="101" t="str">
        <f>CONCATENATE(LS[[#This Row],[Frequency]],LS[[#This Row],[Investor ID]])</f>
        <v>6A00424</v>
      </c>
      <c r="I735" s="75" t="str">
        <f>IF(LS[[#This Row],[B/S]]="B","BUY",(IF(LS[[#This Row],[B/S]]="S","SELL"," ")))</f>
        <v>BUY</v>
      </c>
      <c r="J735" s="101" t="s">
        <v>1229</v>
      </c>
      <c r="K735" s="151">
        <v>451</v>
      </c>
      <c r="L735" s="99"/>
      <c r="M735" s="103">
        <f>LS[[#This Row],[Amount]]/LS[[#This Row],[Unit]]</f>
        <v>11.564102564102564</v>
      </c>
      <c r="N735" s="104">
        <f>LS[[#This Row],[Unit Capital]]/10</f>
        <v>39</v>
      </c>
      <c r="O735" s="104">
        <f>SUMIFS(LS[[#Headers],[Unit]]:LS[[#This Row],[Unit]],LS[[#Headers],[Investor ID]]:LS[[#This Row],[Investor ID]],LS[[#This Row],[Investor ID]])</f>
        <v>39</v>
      </c>
      <c r="P735" s="102">
        <v>390</v>
      </c>
      <c r="Q735" s="102">
        <f>LS[[#This Row],[Amount]]-LS[[#This Row],[Unit Capital]]</f>
        <v>61</v>
      </c>
      <c r="R7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11.564102564102564</v>
      </c>
      <c r="S735" s="103">
        <f t="shared" si="11"/>
        <v>14.224</v>
      </c>
      <c r="T7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5" s="102" cm="1">
        <f t="array" ref="U735">IF(LS[[#This Row],[B/S]]="S",ABS(LS[[#This Row],[Unit]])*(INDEX(LS[NAV at Cost (Average)],MATCH(CONCATENATE((LS[[#This Row],[Frequency]]-1),LS[[#This Row],[Investor ID]]),LS[Unique Code],0),0)),0)</f>
        <v>0</v>
      </c>
      <c r="V735" s="102">
        <f>IF(LS[[#This Row],[BO TRANSFER]]="YES",LS[[#This Row],[Unit]],)</f>
        <v>0</v>
      </c>
      <c r="W735" s="102">
        <f>SUMIFS(LS[[#Headers],[BO UNIT TRANSFER]]:LS[[#This Row],[BO UNIT TRANSFER]],LS[[#Headers],[Investor ID]]:LS[[#This Row],[Investor ID]],LS[[#This Row],[Investor ID]])</f>
        <v>0</v>
      </c>
    </row>
    <row r="736" spans="1:23">
      <c r="A736" s="75">
        <v>2024</v>
      </c>
      <c r="B736" s="75">
        <v>12</v>
      </c>
      <c r="C736" s="75">
        <v>4</v>
      </c>
      <c r="D736" s="98">
        <f>DATE(LS[[#This Row],[Year]],LS[[#This Row],[Month]],LS[[#This Row],[Day]])</f>
        <v>45630</v>
      </c>
      <c r="E736" s="99" t="str" cm="1">
        <f t="array" ref="E736">INDEX(INVESTORS_LIST[INVESTOR NAME],MATCH(LS[[#This Row],[Investor ID]],INVESTORS_LIST[INVESTOR CODE],0),)</f>
        <v>SYED FAZLE RABBY</v>
      </c>
      <c r="F736" s="100" t="s">
        <v>166</v>
      </c>
      <c r="G736" s="101">
        <f>COUNTIF(LS[[#Headers],[Investor ID]]:LS[[#This Row],[Investor ID]],LS[[#This Row],[Investor ID]])</f>
        <v>27</v>
      </c>
      <c r="H736" s="101" t="str">
        <f>CONCATENATE(LS[[#This Row],[Frequency]],LS[[#This Row],[Investor ID]])</f>
        <v>27A00059</v>
      </c>
      <c r="I736" s="75" t="str">
        <f>IF(LS[[#This Row],[B/S]]="B","BUY",(IF(LS[[#This Row],[B/S]]="S","SELL"," ")))</f>
        <v>BUY</v>
      </c>
      <c r="J736" s="101" t="s">
        <v>1229</v>
      </c>
      <c r="K736" s="102">
        <v>26100</v>
      </c>
      <c r="L736" s="99"/>
      <c r="M736" s="103">
        <f>LS[[#This Row],[Amount]]/LS[[#This Row],[Unit]]</f>
        <v>11.704035874439462</v>
      </c>
      <c r="N736" s="104">
        <f>LS[[#This Row],[Unit Capital]]/10</f>
        <v>2230</v>
      </c>
      <c r="O736" s="104">
        <f>SUMIFS(LS[[#Headers],[Unit]]:LS[[#This Row],[Unit]],LS[[#Headers],[Investor ID]]:LS[[#This Row],[Investor ID]],LS[[#This Row],[Investor ID]])</f>
        <v>506287</v>
      </c>
      <c r="P736" s="102">
        <v>22300</v>
      </c>
      <c r="Q736" s="102">
        <f>LS[[#This Row],[Amount]]-LS[[#This Row],[Unit Capital]]</f>
        <v>3800</v>
      </c>
      <c r="R7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10.847791834016782</v>
      </c>
      <c r="S736" s="103">
        <f t="shared" si="11"/>
        <v>14.224</v>
      </c>
      <c r="T73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6" s="102" cm="1">
        <f t="array" ref="U736">IF(LS[[#This Row],[B/S]]="S",ABS(LS[[#This Row],[Unit]])*(INDEX(LS[NAV at Cost (Average)],MATCH(CONCATENATE((LS[[#This Row],[Frequency]]-1),LS[[#This Row],[Investor ID]]),LS[Unique Code],0),0)),0)</f>
        <v>0</v>
      </c>
      <c r="V736" s="102">
        <f>IF(LS[[#This Row],[BO TRANSFER]]="YES",LS[[#This Row],[Unit]],)</f>
        <v>0</v>
      </c>
      <c r="W736" s="102">
        <f>SUMIFS(LS[[#Headers],[BO UNIT TRANSFER]]:LS[[#This Row],[BO UNIT TRANSFER]],LS[[#Headers],[Investor ID]]:LS[[#This Row],[Investor ID]],LS[[#This Row],[Investor ID]])</f>
        <v>0</v>
      </c>
    </row>
    <row r="737" spans="1:23">
      <c r="A737" s="75">
        <v>2024</v>
      </c>
      <c r="B737" s="75">
        <v>12</v>
      </c>
      <c r="C737" s="75">
        <v>5</v>
      </c>
      <c r="D737" s="98">
        <f>DATE(LS[[#This Row],[Year]],LS[[#This Row],[Month]],LS[[#This Row],[Day]])</f>
        <v>45631</v>
      </c>
      <c r="E737" s="99" t="str" cm="1">
        <f t="array" ref="E737">INDEX(INVESTORS_LIST[INVESTOR NAME],MATCH(LS[[#This Row],[Investor ID]],INVESTORS_LIST[INVESTOR CODE],0),)</f>
        <v>SYED FAZLE RABBY</v>
      </c>
      <c r="F737" s="100" t="s">
        <v>166</v>
      </c>
      <c r="G737" s="101">
        <f>COUNTIF(LS[[#Headers],[Investor ID]]:LS[[#This Row],[Investor ID]],LS[[#This Row],[Investor ID]])</f>
        <v>28</v>
      </c>
      <c r="H737" s="101" t="str">
        <f>CONCATENATE(LS[[#This Row],[Frequency]],LS[[#This Row],[Investor ID]])</f>
        <v>28A00059</v>
      </c>
      <c r="I737" s="75" t="str">
        <f>IF(LS[[#This Row],[B/S]]="B","BUY",(IF(LS[[#This Row],[B/S]]="S","SELL"," ")))</f>
        <v>BUY</v>
      </c>
      <c r="J737" s="101" t="s">
        <v>1229</v>
      </c>
      <c r="K737" s="102">
        <v>6450</v>
      </c>
      <c r="L737" s="99"/>
      <c r="M737" s="103">
        <f>LS[[#This Row],[Amount]]/LS[[#This Row],[Unit]]</f>
        <v>11.705989110707804</v>
      </c>
      <c r="N737" s="104">
        <f>LS[[#This Row],[Unit Capital]]/10</f>
        <v>551</v>
      </c>
      <c r="O737" s="104">
        <f>SUMIFS(LS[[#Headers],[Unit]]:LS[[#This Row],[Unit]],LS[[#Headers],[Investor ID]]:LS[[#This Row],[Investor ID]],LS[[#This Row],[Investor ID]])</f>
        <v>506838</v>
      </c>
      <c r="P737" s="102">
        <v>5510</v>
      </c>
      <c r="Q737" s="102">
        <f>LS[[#This Row],[Amount]]-LS[[#This Row],[Unit Capital]]</f>
        <v>940</v>
      </c>
      <c r="R7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10.848724808062643</v>
      </c>
      <c r="S737" s="103">
        <f t="shared" si="11"/>
        <v>14.224</v>
      </c>
      <c r="T73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37" s="102" cm="1">
        <f t="array" ref="U737">IF(LS[[#This Row],[B/S]]="S",ABS(LS[[#This Row],[Unit]])*(INDEX(LS[NAV at Cost (Average)],MATCH(CONCATENATE((LS[[#This Row],[Frequency]]-1),LS[[#This Row],[Investor ID]]),LS[Unique Code],0),0)),0)</f>
        <v>0</v>
      </c>
      <c r="V737" s="102">
        <f>IF(LS[[#This Row],[BO TRANSFER]]="YES",LS[[#This Row],[Unit]],)</f>
        <v>0</v>
      </c>
      <c r="W737" s="102">
        <f>SUMIFS(LS[[#Headers],[BO UNIT TRANSFER]]:LS[[#This Row],[BO UNIT TRANSFER]],LS[[#Headers],[Investor ID]]:LS[[#This Row],[Investor ID]],LS[[#This Row],[Investor ID]])</f>
        <v>0</v>
      </c>
    </row>
    <row r="738" spans="1:23">
      <c r="A738" s="75">
        <v>2024</v>
      </c>
      <c r="B738" s="75">
        <v>12</v>
      </c>
      <c r="C738" s="75">
        <v>9</v>
      </c>
      <c r="D738" s="98">
        <f>DATE(LS[[#This Row],[Year]],LS[[#This Row],[Month]],LS[[#This Row],[Day]])</f>
        <v>45635</v>
      </c>
      <c r="E738" s="99" t="str" cm="1">
        <f t="array" ref="E738">INDEX(INVESTORS_LIST[INVESTOR NAME],MATCH(LS[[#This Row],[Investor ID]],INVESTORS_LIST[INVESTOR CODE],0),)</f>
        <v>TRIPTI BARUA</v>
      </c>
      <c r="F738" s="100" t="s">
        <v>384</v>
      </c>
      <c r="G738" s="101">
        <f>COUNTIF(LS[[#Headers],[Investor ID]]:LS[[#This Row],[Investor ID]],LS[[#This Row],[Investor ID]])</f>
        <v>4</v>
      </c>
      <c r="H738" s="101" t="str">
        <f>CONCATENATE(LS[[#This Row],[Frequency]],LS[[#This Row],[Investor ID]])</f>
        <v>4A00168</v>
      </c>
      <c r="I738" s="75" t="str">
        <f>IF(LS[[#This Row],[B/S]]="B","BUY",(IF(LS[[#This Row],[B/S]]="S","SELL"," ")))</f>
        <v>SELL</v>
      </c>
      <c r="J738" s="101" t="s">
        <v>1231</v>
      </c>
      <c r="K738" s="102">
        <v>-139350.34</v>
      </c>
      <c r="L738" s="99"/>
      <c r="M738" s="103">
        <f>LS[[#This Row],[Amount]]/LS[[#This Row],[Unit]]</f>
        <v>11.727852213432081</v>
      </c>
      <c r="N738" s="104">
        <f>LS[[#This Row],[Unit Capital]]/10</f>
        <v>-11882</v>
      </c>
      <c r="O738" s="104">
        <f>SUMIFS(LS[[#Headers],[Unit]]:LS[[#This Row],[Unit]],LS[[#Headers],[Investor ID]]:LS[[#This Row],[Investor ID]],LS[[#This Row],[Investor ID]])</f>
        <v>426330</v>
      </c>
      <c r="P738" s="102">
        <v>-118820</v>
      </c>
      <c r="Q738" s="102">
        <f>LS[[#This Row],[Amount]]-LS[[#This Row],[Unit Capital]]</f>
        <v>-20530.339999999997</v>
      </c>
      <c r="R7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11.082002384846914</v>
      </c>
      <c r="S738" s="103">
        <f t="shared" si="11"/>
        <v>14.224</v>
      </c>
      <c r="T738" s="102">
        <f>IF(LS[[#This Row],[B/S]]="B",0,ABS(LS[[#This Row],[Unit]])*(LS[[#This Row],[NAV (Strike Rate)]]-INDEX(LS[NAV at Cost (Average)],MATCH(CONCATENATE(LS[[#This Row],[Frequency]]-1,LS[[#This Row],[Investor ID]]),LS[Unique Code],0),)))</f>
        <v>7673.9876632489522</v>
      </c>
      <c r="U738" s="102" cm="1">
        <f t="array" ref="U738">IF(LS[[#This Row],[B/S]]="S",ABS(LS[[#This Row],[Unit]])*(INDEX(LS[NAV at Cost (Average)],MATCH(CONCATENATE((LS[[#This Row],[Frequency]]-1),LS[[#This Row],[Investor ID]]),LS[Unique Code],0),0)),0)</f>
        <v>131676.35233675104</v>
      </c>
      <c r="V738" s="102">
        <f>IF(LS[[#This Row],[BO TRANSFER]]="YES",LS[[#This Row],[Unit]],)</f>
        <v>0</v>
      </c>
      <c r="W738" s="102">
        <f>SUMIFS(LS[[#Headers],[BO UNIT TRANSFER]]:LS[[#This Row],[BO UNIT TRANSFER]],LS[[#Headers],[Investor ID]]:LS[[#This Row],[Investor ID]],LS[[#This Row],[Investor ID]])</f>
        <v>0</v>
      </c>
    </row>
    <row r="739" spans="1:23">
      <c r="A739" s="75">
        <v>2024</v>
      </c>
      <c r="B739" s="75">
        <v>12</v>
      </c>
      <c r="C739" s="75">
        <v>9</v>
      </c>
      <c r="D739" s="98">
        <f>DATE(LS[[#This Row],[Year]],LS[[#This Row],[Month]],LS[[#This Row],[Day]])</f>
        <v>45635</v>
      </c>
      <c r="E739" s="99" t="str" cm="1">
        <f t="array" ref="E739">INDEX(INVESTORS_LIST[INVESTOR NAME],MATCH(LS[[#This Row],[Investor ID]],INVESTORS_LIST[INVESTOR CODE],0),)</f>
        <v>SHIREEN AFROZE</v>
      </c>
      <c r="F739" s="100" t="s">
        <v>1145</v>
      </c>
      <c r="G739" s="101">
        <f>COUNTIF(LS[[#Headers],[Investor ID]]:LS[[#This Row],[Investor ID]],LS[[#This Row],[Investor ID]])</f>
        <v>3</v>
      </c>
      <c r="H739" s="101" t="str">
        <f>CONCATENATE(LS[[#This Row],[Frequency]],LS[[#This Row],[Investor ID]])</f>
        <v>3A00548</v>
      </c>
      <c r="I739" s="75" t="str">
        <f>IF(LS[[#This Row],[B/S]]="B","BUY",(IF(LS[[#This Row],[B/S]]="S","SELL"," ")))</f>
        <v>SELL</v>
      </c>
      <c r="J739" s="101" t="s">
        <v>1231</v>
      </c>
      <c r="K739" s="102">
        <v>-20000</v>
      </c>
      <c r="L739" s="99"/>
      <c r="M739" s="103">
        <f>LS[[#This Row],[Amount]]/LS[[#This Row],[Unit]]</f>
        <v>11.730205278592376</v>
      </c>
      <c r="N739" s="104">
        <f>LS[[#This Row],[Unit Capital]]/10</f>
        <v>-1705</v>
      </c>
      <c r="O739" s="104">
        <f>SUMIFS(LS[[#Headers],[Unit]]:LS[[#This Row],[Unit]],LS[[#Headers],[Investor ID]]:LS[[#This Row],[Investor ID]],LS[[#This Row],[Investor ID]])</f>
        <v>42496</v>
      </c>
      <c r="P739" s="102">
        <v>-17050</v>
      </c>
      <c r="Q739" s="102">
        <f>LS[[#This Row],[Amount]]-LS[[#This Row],[Unit Capital]]</f>
        <v>-2950</v>
      </c>
      <c r="R7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739" s="103">
        <f t="shared" si="11"/>
        <v>14.224</v>
      </c>
      <c r="T739" s="102">
        <f>IF(LS[[#This Row],[B/S]]="B",0,ABS(LS[[#This Row],[Unit]])*(LS[[#This Row],[NAV (Strike Rate)]]-INDEX(LS[NAV at Cost (Average)],MATCH(CONCATENATE(LS[[#This Row],[Frequency]]-1,LS[[#This Row],[Investor ID]]),LS[Unique Code],0),)))</f>
        <v>1105.1021765149155</v>
      </c>
      <c r="U739" s="102" cm="1">
        <f t="array" ref="U739">IF(LS[[#This Row],[B/S]]="S",ABS(LS[[#This Row],[Unit]])*(INDEX(LS[NAV at Cost (Average)],MATCH(CONCATENATE((LS[[#This Row],[Frequency]]-1),LS[[#This Row],[Investor ID]]),LS[Unique Code],0),0)),0)</f>
        <v>18894.897823485084</v>
      </c>
      <c r="V739" s="102">
        <f>IF(LS[[#This Row],[BO TRANSFER]]="YES",LS[[#This Row],[Unit]],)</f>
        <v>0</v>
      </c>
      <c r="W739" s="102">
        <f>SUMIFS(LS[[#Headers],[BO UNIT TRANSFER]]:LS[[#This Row],[BO UNIT TRANSFER]],LS[[#Headers],[Investor ID]]:LS[[#This Row],[Investor ID]],LS[[#This Row],[Investor ID]])</f>
        <v>0</v>
      </c>
    </row>
    <row r="740" spans="1:23">
      <c r="A740" s="75">
        <v>2024</v>
      </c>
      <c r="B740" s="75">
        <v>12</v>
      </c>
      <c r="C740" s="75">
        <v>10</v>
      </c>
      <c r="D740" s="98">
        <f>DATE(LS[[#This Row],[Year]],LS[[#This Row],[Month]],LS[[#This Row],[Day]])</f>
        <v>45636</v>
      </c>
      <c r="E740" s="99" t="str" cm="1">
        <f t="array" ref="E740">INDEX(INVESTORS_LIST[INVESTOR NAME],MATCH(LS[[#This Row],[Investor ID]],INVESTORS_LIST[INVESTOR CODE],0),)</f>
        <v>SHANTA SAHA</v>
      </c>
      <c r="F740" s="100" t="s">
        <v>1298</v>
      </c>
      <c r="G740" s="101">
        <f>COUNTIF(LS[[#Headers],[Investor ID]]:LS[[#This Row],[Investor ID]],LS[[#This Row],[Investor ID]])</f>
        <v>1</v>
      </c>
      <c r="H740" s="101" t="str">
        <f>CONCATENATE(LS[[#This Row],[Frequency]],LS[[#This Row],[Investor ID]])</f>
        <v>1A00596</v>
      </c>
      <c r="I740" s="75" t="str">
        <f>IF(LS[[#This Row],[B/S]]="B","BUY",(IF(LS[[#This Row],[B/S]]="S","SELL"," ")))</f>
        <v>BUY</v>
      </c>
      <c r="J740" s="101" t="s">
        <v>1229</v>
      </c>
      <c r="K740" s="102">
        <v>300000</v>
      </c>
      <c r="L740" s="99"/>
      <c r="M740" s="103">
        <f>LS[[#This Row],[Amount]]/LS[[#This Row],[Unit]]</f>
        <v>11.727912431587178</v>
      </c>
      <c r="N740" s="104">
        <f>LS[[#This Row],[Unit Capital]]/10</f>
        <v>25580</v>
      </c>
      <c r="O740" s="104">
        <f>SUMIFS(LS[[#Headers],[Unit]]:LS[[#This Row],[Unit]],LS[[#Headers],[Investor ID]]:LS[[#This Row],[Investor ID]],LS[[#This Row],[Investor ID]])</f>
        <v>25580</v>
      </c>
      <c r="P740" s="102">
        <v>255800</v>
      </c>
      <c r="Q740" s="102">
        <f>LS[[#This Row],[Amount]]-LS[[#This Row],[Unit Capital]]</f>
        <v>44200</v>
      </c>
      <c r="R7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11.727912431587178</v>
      </c>
      <c r="S740" s="103">
        <f t="shared" si="11"/>
        <v>14.224</v>
      </c>
      <c r="T74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40" s="102" cm="1">
        <f t="array" ref="U740">IF(LS[[#This Row],[B/S]]="S",ABS(LS[[#This Row],[Unit]])*(INDEX(LS[NAV at Cost (Average)],MATCH(CONCATENATE((LS[[#This Row],[Frequency]]-1),LS[[#This Row],[Investor ID]]),LS[Unique Code],0),0)),0)</f>
        <v>0</v>
      </c>
      <c r="V740" s="102">
        <f>IF(LS[[#This Row],[BO TRANSFER]]="YES",LS[[#This Row],[Unit]],)</f>
        <v>0</v>
      </c>
      <c r="W740" s="102">
        <f>SUMIFS(LS[[#Headers],[BO UNIT TRANSFER]]:LS[[#This Row],[BO UNIT TRANSFER]],LS[[#Headers],[Investor ID]]:LS[[#This Row],[Investor ID]],LS[[#This Row],[Investor ID]])</f>
        <v>0</v>
      </c>
    </row>
    <row r="741" spans="1:23">
      <c r="A741" s="75">
        <v>2024</v>
      </c>
      <c r="B741" s="75">
        <v>12</v>
      </c>
      <c r="C741" s="75">
        <v>10</v>
      </c>
      <c r="D741" s="98">
        <f>DATE(LS[[#This Row],[Year]],LS[[#This Row],[Month]],LS[[#This Row],[Day]])</f>
        <v>45636</v>
      </c>
      <c r="E741" s="99" t="str" cm="1">
        <f t="array" ref="E741">INDEX(INVESTORS_LIST[INVESTOR NAME],MATCH(LS[[#This Row],[Investor ID]],INVESTORS_LIST[INVESTOR CODE],0),)</f>
        <v>MD. MUSTAFA KAMAL</v>
      </c>
      <c r="F741" s="100" t="s">
        <v>1300</v>
      </c>
      <c r="G741" s="101">
        <f>COUNTIF(LS[[#Headers],[Investor ID]]:LS[[#This Row],[Investor ID]],LS[[#This Row],[Investor ID]])</f>
        <v>1</v>
      </c>
      <c r="H741" s="101" t="str">
        <f>CONCATENATE(LS[[#This Row],[Frequency]],LS[[#This Row],[Investor ID]])</f>
        <v>1A00597</v>
      </c>
      <c r="I741" s="75" t="str">
        <f>IF(LS[[#This Row],[B/S]]="B","BUY",(IF(LS[[#This Row],[B/S]]="S","SELL"," ")))</f>
        <v>BUY</v>
      </c>
      <c r="J741" s="101" t="s">
        <v>1229</v>
      </c>
      <c r="K741" s="102">
        <v>350000</v>
      </c>
      <c r="L741" s="99"/>
      <c r="M741" s="103">
        <f>LS[[#This Row],[Amount]]/LS[[#This Row],[Unit]]</f>
        <v>11.728043427269377</v>
      </c>
      <c r="N741" s="104">
        <f>LS[[#This Row],[Unit Capital]]/10</f>
        <v>29843</v>
      </c>
      <c r="O741" s="104">
        <f>SUMIFS(LS[[#Headers],[Unit]]:LS[[#This Row],[Unit]],LS[[#Headers],[Investor ID]]:LS[[#This Row],[Investor ID]],LS[[#This Row],[Investor ID]])</f>
        <v>29843</v>
      </c>
      <c r="P741" s="102">
        <v>298430</v>
      </c>
      <c r="Q741" s="102">
        <f>LS[[#This Row],[Amount]]-LS[[#This Row],[Unit Capital]]</f>
        <v>51570</v>
      </c>
      <c r="R7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11.728043427269377</v>
      </c>
      <c r="S741" s="103">
        <f t="shared" si="11"/>
        <v>14.224</v>
      </c>
      <c r="T7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41" s="102" cm="1">
        <f t="array" ref="U741">IF(LS[[#This Row],[B/S]]="S",ABS(LS[[#This Row],[Unit]])*(INDEX(LS[NAV at Cost (Average)],MATCH(CONCATENATE((LS[[#This Row],[Frequency]]-1),LS[[#This Row],[Investor ID]]),LS[Unique Code],0),0)),0)</f>
        <v>0</v>
      </c>
      <c r="V741" s="102">
        <f>IF(LS[[#This Row],[BO TRANSFER]]="YES",LS[[#This Row],[Unit]],)</f>
        <v>0</v>
      </c>
      <c r="W741" s="102">
        <f>SUMIFS(LS[[#Headers],[BO UNIT TRANSFER]]:LS[[#This Row],[BO UNIT TRANSFER]],LS[[#Headers],[Investor ID]]:LS[[#This Row],[Investor ID]],LS[[#This Row],[Investor ID]])</f>
        <v>0</v>
      </c>
    </row>
    <row r="742" spans="1:23">
      <c r="A742" s="75">
        <v>2024</v>
      </c>
      <c r="B742" s="75">
        <v>12</v>
      </c>
      <c r="C742" s="75">
        <v>10</v>
      </c>
      <c r="D742" s="98">
        <f>DATE(LS[[#This Row],[Year]],LS[[#This Row],[Month]],LS[[#This Row],[Day]])</f>
        <v>45636</v>
      </c>
      <c r="E742" s="99" t="str" cm="1">
        <f t="array" ref="E742">INDEX(INVESTORS_LIST[INVESTOR NAME],MATCH(LS[[#This Row],[Investor ID]],INVESTORS_LIST[INVESTOR CODE],0),)</f>
        <v>SYED FAZLE RABBY</v>
      </c>
      <c r="F742" s="100" t="s">
        <v>166</v>
      </c>
      <c r="G742" s="101">
        <f>COUNTIF(LS[[#Headers],[Investor ID]]:LS[[#This Row],[Investor ID]],LS[[#This Row],[Investor ID]])</f>
        <v>29</v>
      </c>
      <c r="H742" s="101" t="str">
        <f>CONCATENATE(LS[[#This Row],[Frequency]],LS[[#This Row],[Investor ID]])</f>
        <v>29A00059</v>
      </c>
      <c r="I742" s="75" t="str">
        <f>IF(LS[[#This Row],[B/S]]="B","BUY",(IF(LS[[#This Row],[B/S]]="S","SELL"," ")))</f>
        <v>BUY</v>
      </c>
      <c r="J742" s="101" t="s">
        <v>1229</v>
      </c>
      <c r="K742" s="102">
        <v>25500</v>
      </c>
      <c r="L742" s="99"/>
      <c r="M742" s="103">
        <f>LS[[#This Row],[Amount]]/LS[[#This Row],[Unit]]</f>
        <v>11.72953081876725</v>
      </c>
      <c r="N742" s="104">
        <f>LS[[#This Row],[Unit Capital]]/10</f>
        <v>2174</v>
      </c>
      <c r="O742" s="104">
        <f>SUMIFS(LS[[#Headers],[Unit]]:LS[[#This Row],[Unit]],LS[[#Headers],[Investor ID]]:LS[[#This Row],[Investor ID]],LS[[#This Row],[Investor ID]])</f>
        <v>509012</v>
      </c>
      <c r="P742" s="102">
        <v>21740</v>
      </c>
      <c r="Q742" s="102">
        <f>LS[[#This Row],[Amount]]-LS[[#This Row],[Unit Capital]]</f>
        <v>3760</v>
      </c>
      <c r="R7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10.852486747402525</v>
      </c>
      <c r="S742" s="103">
        <f t="shared" si="11"/>
        <v>14.224</v>
      </c>
      <c r="T7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42" s="102" cm="1">
        <f t="array" ref="U742">IF(LS[[#This Row],[B/S]]="S",ABS(LS[[#This Row],[Unit]])*(INDEX(LS[NAV at Cost (Average)],MATCH(CONCATENATE((LS[[#This Row],[Frequency]]-1),LS[[#This Row],[Investor ID]]),LS[Unique Code],0),0)),0)</f>
        <v>0</v>
      </c>
      <c r="V742" s="102">
        <f>IF(LS[[#This Row],[BO TRANSFER]]="YES",LS[[#This Row],[Unit]],)</f>
        <v>0</v>
      </c>
      <c r="W742" s="102">
        <f>SUMIFS(LS[[#Headers],[BO UNIT TRANSFER]]:LS[[#This Row],[BO UNIT TRANSFER]],LS[[#Headers],[Investor ID]]:LS[[#This Row],[Investor ID]],LS[[#This Row],[Investor ID]])</f>
        <v>0</v>
      </c>
    </row>
    <row r="743" spans="1:23">
      <c r="A743" s="75">
        <v>2024</v>
      </c>
      <c r="B743" s="75">
        <v>12</v>
      </c>
      <c r="C743" s="75">
        <v>17</v>
      </c>
      <c r="D743" s="98">
        <f>DATE(LS[[#This Row],[Year]],LS[[#This Row],[Month]],LS[[#This Row],[Day]])</f>
        <v>45643</v>
      </c>
      <c r="E743" s="99" t="str" cm="1">
        <f t="array" ref="E743">INDEX(INVESTORS_LIST[INVESTOR NAME],MATCH(LS[[#This Row],[Investor ID]],INVESTORS_LIST[INVESTOR CODE],0),)</f>
        <v>MOHAMMAD JAHANGIR HOSSAIN</v>
      </c>
      <c r="F743" s="100" t="s">
        <v>1263</v>
      </c>
      <c r="G743" s="101">
        <f>COUNTIF(LS[[#Headers],[Investor ID]]:LS[[#This Row],[Investor ID]],LS[[#This Row],[Investor ID]])</f>
        <v>2</v>
      </c>
      <c r="H743" s="101" t="str">
        <f>CONCATENATE(LS[[#This Row],[Frequency]],LS[[#This Row],[Investor ID]])</f>
        <v>2A00581</v>
      </c>
      <c r="I743" s="75" t="str">
        <f>IF(LS[[#This Row],[B/S]]="B","BUY",(IF(LS[[#This Row],[B/S]]="S","SELL"," ")))</f>
        <v>SELL</v>
      </c>
      <c r="J743" s="101" t="s">
        <v>1231</v>
      </c>
      <c r="K743" s="102">
        <v>-126227.22</v>
      </c>
      <c r="L743" s="99"/>
      <c r="M743" s="103">
        <f>LS[[#This Row],[Amount]]/LS[[#This Row],[Unit]]</f>
        <v>11.753</v>
      </c>
      <c r="N743" s="104">
        <f>LS[[#This Row],[Unit Capital]]/10</f>
        <v>-10740</v>
      </c>
      <c r="O743" s="104">
        <f>SUMIFS(LS[[#Headers],[Unit]]:LS[[#This Row],[Unit]],LS[[#Headers],[Investor ID]]:LS[[#This Row],[Investor ID]],LS[[#This Row],[Investor ID]])</f>
        <v>0</v>
      </c>
      <c r="P743" s="102">
        <v>-107400</v>
      </c>
      <c r="Q743" s="102">
        <f>LS[[#This Row],[Amount]]-LS[[#This Row],[Unit Capital]]</f>
        <v>-18827.22</v>
      </c>
      <c r="R7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43" s="103">
        <f t="shared" si="11"/>
        <v>14.224</v>
      </c>
      <c r="T743" s="102">
        <f>IF(LS[[#This Row],[B/S]]="B",0,ABS(LS[[#This Row],[Unit]])*(LS[[#This Row],[NAV (Strike Rate)]]-INDEX(LS[NAV at Cost (Average)],MATCH(CONCATENATE(LS[[#This Row],[Frequency]]-1,LS[[#This Row],[Investor ID]]),LS[Unique Code],0),)))</f>
        <v>6227.2200000000039</v>
      </c>
      <c r="U743" s="102" cm="1">
        <f t="array" ref="U743">IF(LS[[#This Row],[B/S]]="S",ABS(LS[[#This Row],[Unit]])*(INDEX(LS[NAV at Cost (Average)],MATCH(CONCATENATE((LS[[#This Row],[Frequency]]-1),LS[[#This Row],[Investor ID]]),LS[Unique Code],0),0)),0)</f>
        <v>120000</v>
      </c>
      <c r="V743" s="102">
        <f>IF(LS[[#This Row],[BO TRANSFER]]="YES",LS[[#This Row],[Unit]],)</f>
        <v>0</v>
      </c>
      <c r="W743" s="102">
        <f>SUMIFS(LS[[#Headers],[BO UNIT TRANSFER]]:LS[[#This Row],[BO UNIT TRANSFER]],LS[[#Headers],[Investor ID]]:LS[[#This Row],[Investor ID]],LS[[#This Row],[Investor ID]])</f>
        <v>0</v>
      </c>
    </row>
    <row r="744" spans="1:23">
      <c r="A744" s="75">
        <v>2024</v>
      </c>
      <c r="B744" s="75">
        <v>12</v>
      </c>
      <c r="C744" s="75">
        <v>17</v>
      </c>
      <c r="D744" s="98">
        <f>DATE(LS[[#This Row],[Year]],LS[[#This Row],[Month]],LS[[#This Row],[Day]])</f>
        <v>45643</v>
      </c>
      <c r="E744" s="99" t="str" cm="1">
        <f t="array" ref="E744">INDEX(INVESTORS_LIST[INVESTOR NAME],MATCH(LS[[#This Row],[Investor ID]],INVESTORS_LIST[INVESTOR CODE],0),)</f>
        <v>SK FEROZ ALAM &amp; MD BULBUL ISLAM</v>
      </c>
      <c r="F744" s="100" t="s">
        <v>481</v>
      </c>
      <c r="G744" s="101">
        <f>COUNTIF(LS[[#Headers],[Investor ID]]:LS[[#This Row],[Investor ID]],LS[[#This Row],[Investor ID]])</f>
        <v>5</v>
      </c>
      <c r="H744" s="101" t="str">
        <f>CONCATENATE(LS[[#This Row],[Frequency]],LS[[#This Row],[Investor ID]])</f>
        <v>5A00216</v>
      </c>
      <c r="I744" s="75" t="str">
        <f>IF(LS[[#This Row],[B/S]]="B","BUY",(IF(LS[[#This Row],[B/S]]="S","SELL"," ")))</f>
        <v>SELL</v>
      </c>
      <c r="J744" s="101" t="s">
        <v>1231</v>
      </c>
      <c r="K744" s="102">
        <v>-58765</v>
      </c>
      <c r="L744" s="99"/>
      <c r="M744" s="103">
        <f>LS[[#This Row],[Amount]]/LS[[#This Row],[Unit]]</f>
        <v>11.753</v>
      </c>
      <c r="N744" s="104">
        <f>LS[[#This Row],[Unit Capital]]/10</f>
        <v>-5000</v>
      </c>
      <c r="O744" s="104">
        <f>SUMIFS(LS[[#Headers],[Unit]]:LS[[#This Row],[Unit]],LS[[#Headers],[Investor ID]]:LS[[#This Row],[Investor ID]],LS[[#This Row],[Investor ID]])</f>
        <v>45000</v>
      </c>
      <c r="P744" s="102">
        <v>-50000</v>
      </c>
      <c r="Q744" s="102">
        <f>LS[[#This Row],[Amount]]-LS[[#This Row],[Unit Capital]]</f>
        <v>-8765</v>
      </c>
      <c r="R7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11.41</v>
      </c>
      <c r="S744" s="103">
        <f t="shared" si="11"/>
        <v>14.224</v>
      </c>
      <c r="T744" s="102">
        <f>IF(LS[[#This Row],[B/S]]="B",0,ABS(LS[[#This Row],[Unit]])*(LS[[#This Row],[NAV (Strike Rate)]]-INDEX(LS[NAV at Cost (Average)],MATCH(CONCATENATE(LS[[#This Row],[Frequency]]-1,LS[[#This Row],[Investor ID]]),LS[Unique Code],0),)))</f>
        <v>1714.9999999999998</v>
      </c>
      <c r="U744" s="102" cm="1">
        <f t="array" ref="U744">IF(LS[[#This Row],[B/S]]="S",ABS(LS[[#This Row],[Unit]])*(INDEX(LS[NAV at Cost (Average)],MATCH(CONCATENATE((LS[[#This Row],[Frequency]]-1),LS[[#This Row],[Investor ID]]),LS[Unique Code],0),0)),0)</f>
        <v>57050</v>
      </c>
      <c r="V744" s="102">
        <f>IF(LS[[#This Row],[BO TRANSFER]]="YES",LS[[#This Row],[Unit]],)</f>
        <v>0</v>
      </c>
      <c r="W744" s="102">
        <f>SUMIFS(LS[[#Headers],[BO UNIT TRANSFER]]:LS[[#This Row],[BO UNIT TRANSFER]],LS[[#Headers],[Investor ID]]:LS[[#This Row],[Investor ID]],LS[[#This Row],[Investor ID]])</f>
        <v>0</v>
      </c>
    </row>
    <row r="745" spans="1:23">
      <c r="A745" s="75">
        <v>2024</v>
      </c>
      <c r="B745" s="75">
        <v>12</v>
      </c>
      <c r="C745" s="75">
        <v>17</v>
      </c>
      <c r="D745" s="98">
        <f>DATE(LS[[#This Row],[Year]],LS[[#This Row],[Month]],LS[[#This Row],[Day]])</f>
        <v>45643</v>
      </c>
      <c r="E745" s="99" t="str" cm="1">
        <f t="array" ref="E745">INDEX(INVESTORS_LIST[INVESTOR NAME],MATCH(LS[[#This Row],[Investor ID]],INVESTORS_LIST[INVESTOR CODE],0),)</f>
        <v>SILVIA ANWAR</v>
      </c>
      <c r="F745" s="100" t="s">
        <v>1192</v>
      </c>
      <c r="G745" s="101">
        <f>COUNTIF(LS[[#Headers],[Investor ID]]:LS[[#This Row],[Investor ID]],LS[[#This Row],[Investor ID]])</f>
        <v>3</v>
      </c>
      <c r="H745" s="101" t="str">
        <f>CONCATENATE(LS[[#This Row],[Frequency]],LS[[#This Row],[Investor ID]])</f>
        <v>3A00572</v>
      </c>
      <c r="I745" s="75" t="str">
        <f>IF(LS[[#This Row],[B/S]]="B","BUY",(IF(LS[[#This Row],[B/S]]="S","SELL"," ")))</f>
        <v>SELL</v>
      </c>
      <c r="J745" s="101" t="s">
        <v>1231</v>
      </c>
      <c r="K745" s="102">
        <v>-158665.5</v>
      </c>
      <c r="L745" s="99"/>
      <c r="M745" s="103">
        <f>LS[[#This Row],[Amount]]/LS[[#This Row],[Unit]]</f>
        <v>11.753</v>
      </c>
      <c r="N745" s="104">
        <f>LS[[#This Row],[Unit Capital]]/10</f>
        <v>-13500</v>
      </c>
      <c r="O745" s="104">
        <f>SUMIFS(LS[[#Headers],[Unit]]:LS[[#This Row],[Unit]],LS[[#Headers],[Investor ID]]:LS[[#This Row],[Investor ID]],LS[[#This Row],[Investor ID]])</f>
        <v>17694</v>
      </c>
      <c r="P745" s="102">
        <v>-135000</v>
      </c>
      <c r="Q745" s="102">
        <f>LS[[#This Row],[Amount]]-LS[[#This Row],[Unit Capital]]</f>
        <v>-23665.5</v>
      </c>
      <c r="R7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11.220106430723858</v>
      </c>
      <c r="S745" s="103">
        <f t="shared" si="11"/>
        <v>14.224</v>
      </c>
      <c r="T745" s="102">
        <f>IF(LS[[#This Row],[B/S]]="B",0,ABS(LS[[#This Row],[Unit]])*(LS[[#This Row],[NAV (Strike Rate)]]-INDEX(LS[NAV at Cost (Average)],MATCH(CONCATENATE(LS[[#This Row],[Frequency]]-1,LS[[#This Row],[Investor ID]]),LS[Unique Code],0),)))</f>
        <v>7194.0631852279212</v>
      </c>
      <c r="U745" s="102" cm="1">
        <f t="array" ref="U745">IF(LS[[#This Row],[B/S]]="S",ABS(LS[[#This Row],[Unit]])*(INDEX(LS[NAV at Cost (Average)],MATCH(CONCATENATE((LS[[#This Row],[Frequency]]-1),LS[[#This Row],[Investor ID]]),LS[Unique Code],0),0)),0)</f>
        <v>151471.43681477208</v>
      </c>
      <c r="V745" s="102">
        <f>IF(LS[[#This Row],[BO TRANSFER]]="YES",LS[[#This Row],[Unit]],)</f>
        <v>0</v>
      </c>
      <c r="W745" s="102">
        <f>SUMIFS(LS[[#Headers],[BO UNIT TRANSFER]]:LS[[#This Row],[BO UNIT TRANSFER]],LS[[#Headers],[Investor ID]]:LS[[#This Row],[Investor ID]],LS[[#This Row],[Investor ID]])</f>
        <v>0</v>
      </c>
    </row>
    <row r="746" spans="1:23">
      <c r="A746" s="75">
        <v>2024</v>
      </c>
      <c r="B746" s="75">
        <v>12</v>
      </c>
      <c r="C746" s="75">
        <v>17</v>
      </c>
      <c r="D746" s="98">
        <f>DATE(LS[[#This Row],[Year]],LS[[#This Row],[Month]],LS[[#This Row],[Day]])</f>
        <v>45643</v>
      </c>
      <c r="E746" s="99" t="str" cm="1">
        <f t="array" ref="E746">INDEX(INVESTORS_LIST[INVESTOR NAME],MATCH(LS[[#This Row],[Investor ID]],INVESTORS_LIST[INVESTOR CODE],0),)</f>
        <v>FARZANA JITU</v>
      </c>
      <c r="F746" s="100" t="s">
        <v>968</v>
      </c>
      <c r="G746" s="101">
        <f>COUNTIF(LS[[#Headers],[Investor ID]]:LS[[#This Row],[Investor ID]],LS[[#This Row],[Investor ID]])</f>
        <v>16</v>
      </c>
      <c r="H746" s="101" t="str">
        <f>CONCATENATE(LS[[#This Row],[Frequency]],LS[[#This Row],[Investor ID]])</f>
        <v>16A00461</v>
      </c>
      <c r="I746" s="75" t="str">
        <f>IF(LS[[#This Row],[B/S]]="B","BUY",(IF(LS[[#This Row],[B/S]]="S","SELL"," ")))</f>
        <v>SELL</v>
      </c>
      <c r="J746" s="101" t="s">
        <v>1231</v>
      </c>
      <c r="K746" s="102">
        <v>-100000</v>
      </c>
      <c r="L746" s="88"/>
      <c r="M746" s="103">
        <f>LS[[#This Row],[Amount]]/LS[[#This Row],[Unit]]</f>
        <v>11.753643629525152</v>
      </c>
      <c r="N746" s="104">
        <f>LS[[#This Row],[Unit Capital]]/10</f>
        <v>-8508</v>
      </c>
      <c r="O746" s="104">
        <f>SUMIFS(LS[[#Headers],[Unit]]:LS[[#This Row],[Unit]],LS[[#Headers],[Investor ID]]:LS[[#This Row],[Investor ID]],LS[[#This Row],[Investor ID]])</f>
        <v>31861</v>
      </c>
      <c r="P746" s="102">
        <v>-85080</v>
      </c>
      <c r="Q746" s="102">
        <f>LS[[#This Row],[Amount]]-LS[[#This Row],[Unit Capital]]</f>
        <v>-14920</v>
      </c>
      <c r="R7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11.539801986329849</v>
      </c>
      <c r="S746" s="103">
        <f t="shared" si="11"/>
        <v>14.224</v>
      </c>
      <c r="T746" s="102">
        <f>IF(LS[[#This Row],[B/S]]="B",0,ABS(LS[[#This Row],[Unit]])*(LS[[#This Row],[NAV (Strike Rate)]]-INDEX(LS[NAV at Cost (Average)],MATCH(CONCATENATE(LS[[#This Row],[Frequency]]-1,LS[[#This Row],[Investor ID]]),LS[Unique Code],0),)))</f>
        <v>1819.3647003056433</v>
      </c>
      <c r="U746" s="102" cm="1">
        <f t="array" ref="U746">IF(LS[[#This Row],[B/S]]="S",ABS(LS[[#This Row],[Unit]])*(INDEX(LS[NAV at Cost (Average)],MATCH(CONCATENATE((LS[[#This Row],[Frequency]]-1),LS[[#This Row],[Investor ID]]),LS[Unique Code],0),0)),0)</f>
        <v>98180.635299694346</v>
      </c>
      <c r="V746" s="102">
        <f>IF(LS[[#This Row],[BO TRANSFER]]="YES",LS[[#This Row],[Unit]],)</f>
        <v>0</v>
      </c>
      <c r="W746" s="102">
        <f>SUMIFS(LS[[#Headers],[BO UNIT TRANSFER]]:LS[[#This Row],[BO UNIT TRANSFER]],LS[[#Headers],[Investor ID]]:LS[[#This Row],[Investor ID]],LS[[#This Row],[Investor ID]])</f>
        <v>0</v>
      </c>
    </row>
    <row r="747" spans="1:23">
      <c r="A747" s="75">
        <v>2024</v>
      </c>
      <c r="B747" s="75">
        <v>12</v>
      </c>
      <c r="C747" s="75">
        <v>18</v>
      </c>
      <c r="D747" s="98">
        <f>DATE(LS[[#This Row],[Year]],LS[[#This Row],[Month]],LS[[#This Row],[Day]])</f>
        <v>45644</v>
      </c>
      <c r="E747" s="99" t="str" cm="1">
        <f t="array" ref="E747">INDEX(INVESTORS_LIST[INVESTOR NAME],MATCH(LS[[#This Row],[Investor ID]],INVESTORS_LIST[INVESTOR CODE],0),)</f>
        <v>SYED FAZLE RABBY</v>
      </c>
      <c r="F747" s="100" t="s">
        <v>166</v>
      </c>
      <c r="G747" s="101">
        <f>COUNTIF(LS[[#Headers],[Investor ID]]:LS[[#This Row],[Investor ID]],LS[[#This Row],[Investor ID]])</f>
        <v>30</v>
      </c>
      <c r="H747" s="101" t="str">
        <f>CONCATENATE(LS[[#This Row],[Frequency]],LS[[#This Row],[Investor ID]])</f>
        <v>30A00059</v>
      </c>
      <c r="I747" s="75" t="str">
        <f>IF(LS[[#This Row],[B/S]]="B","BUY",(IF(LS[[#This Row],[B/S]]="S","SELL"," ")))</f>
        <v>BUY</v>
      </c>
      <c r="J747" s="101" t="s">
        <v>1229</v>
      </c>
      <c r="K747" s="102">
        <v>13500</v>
      </c>
      <c r="L747" s="99"/>
      <c r="M747" s="103">
        <f>LS[[#This Row],[Amount]]/LS[[#This Row],[Unit]]</f>
        <v>11.74934725848564</v>
      </c>
      <c r="N747" s="104">
        <f>LS[[#This Row],[Unit Capital]]/10</f>
        <v>1149</v>
      </c>
      <c r="O747" s="104">
        <f>SUMIFS(LS[[#Headers],[Unit]]:LS[[#This Row],[Unit]],LS[[#Headers],[Investor ID]]:LS[[#This Row],[Investor ID]],LS[[#This Row],[Investor ID]])</f>
        <v>510161</v>
      </c>
      <c r="P747" s="102">
        <v>11490</v>
      </c>
      <c r="Q747" s="102">
        <f>LS[[#This Row],[Amount]]-LS[[#This Row],[Unit Capital]]</f>
        <v>2010</v>
      </c>
      <c r="R7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10.854506683711326</v>
      </c>
      <c r="S747" s="103">
        <f t="shared" si="11"/>
        <v>14.224</v>
      </c>
      <c r="T74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47" s="102" cm="1">
        <f t="array" ref="U747">IF(LS[[#This Row],[B/S]]="S",ABS(LS[[#This Row],[Unit]])*(INDEX(LS[NAV at Cost (Average)],MATCH(CONCATENATE((LS[[#This Row],[Frequency]]-1),LS[[#This Row],[Investor ID]]),LS[Unique Code],0),0)),0)</f>
        <v>0</v>
      </c>
      <c r="V747" s="102">
        <f>IF(LS[[#This Row],[BO TRANSFER]]="YES",LS[[#This Row],[Unit]],)</f>
        <v>0</v>
      </c>
      <c r="W747" s="102">
        <f>SUMIFS(LS[[#Headers],[BO UNIT TRANSFER]]:LS[[#This Row],[BO UNIT TRANSFER]],LS[[#Headers],[Investor ID]]:LS[[#This Row],[Investor ID]],LS[[#This Row],[Investor ID]])</f>
        <v>0</v>
      </c>
    </row>
    <row r="748" spans="1:23">
      <c r="A748" s="75">
        <v>2024</v>
      </c>
      <c r="B748" s="75">
        <v>12</v>
      </c>
      <c r="C748" s="75">
        <v>18</v>
      </c>
      <c r="D748" s="98">
        <f>DATE(LS[[#This Row],[Year]],LS[[#This Row],[Month]],LS[[#This Row],[Day]])</f>
        <v>45644</v>
      </c>
      <c r="E748" s="99" t="str" cm="1">
        <f t="array" ref="E748">INDEX(INVESTORS_LIST[INVESTOR NAME],MATCH(LS[[#This Row],[Investor ID]],INVESTORS_LIST[INVESTOR CODE],0),)</f>
        <v>FARZANA JITU</v>
      </c>
      <c r="F748" s="100" t="s">
        <v>968</v>
      </c>
      <c r="G748" s="101">
        <f>COUNTIF(LS[[#Headers],[Investor ID]]:LS[[#This Row],[Investor ID]],LS[[#This Row],[Investor ID]])</f>
        <v>17</v>
      </c>
      <c r="H748" s="101" t="str">
        <f>CONCATENATE(LS[[#This Row],[Frequency]],LS[[#This Row],[Investor ID]])</f>
        <v>17A00461</v>
      </c>
      <c r="I748" s="75" t="str">
        <f>IF(LS[[#This Row],[B/S]]="B","BUY",(IF(LS[[#This Row],[B/S]]="S","SELL"," ")))</f>
        <v>BUY</v>
      </c>
      <c r="J748" s="101" t="s">
        <v>1229</v>
      </c>
      <c r="K748" s="102">
        <v>90000</v>
      </c>
      <c r="L748" s="88"/>
      <c r="M748" s="103">
        <f>LS[[#This Row],[Amount]]/LS[[#This Row],[Unit]]</f>
        <v>11.752415774353617</v>
      </c>
      <c r="N748" s="104">
        <f>LS[[#This Row],[Unit Capital]]/10</f>
        <v>7658</v>
      </c>
      <c r="O748" s="104">
        <f>SUMIFS(LS[[#Headers],[Unit]]:LS[[#This Row],[Unit]],LS[[#Headers],[Investor ID]]:LS[[#This Row],[Investor ID]],LS[[#This Row],[Investor ID]])</f>
        <v>39519</v>
      </c>
      <c r="P748" s="102">
        <v>76580</v>
      </c>
      <c r="Q748" s="102">
        <f>LS[[#This Row],[Amount]]-LS[[#This Row],[Unit Capital]]</f>
        <v>13420</v>
      </c>
      <c r="R7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11.581002330181819</v>
      </c>
      <c r="S748" s="103">
        <f t="shared" si="11"/>
        <v>14.224</v>
      </c>
      <c r="T7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48" s="102" cm="1">
        <f t="array" ref="U748">IF(LS[[#This Row],[B/S]]="S",ABS(LS[[#This Row],[Unit]])*(INDEX(LS[NAV at Cost (Average)],MATCH(CONCATENATE((LS[[#This Row],[Frequency]]-1),LS[[#This Row],[Investor ID]]),LS[Unique Code],0),0)),0)</f>
        <v>0</v>
      </c>
      <c r="V748" s="102">
        <f>IF(LS[[#This Row],[BO TRANSFER]]="YES",LS[[#This Row],[Unit]],)</f>
        <v>0</v>
      </c>
      <c r="W748" s="102">
        <f>SUMIFS(LS[[#Headers],[BO UNIT TRANSFER]]:LS[[#This Row],[BO UNIT TRANSFER]],LS[[#Headers],[Investor ID]]:LS[[#This Row],[Investor ID]],LS[[#This Row],[Investor ID]])</f>
        <v>0</v>
      </c>
    </row>
    <row r="749" spans="1:23">
      <c r="A749" s="75">
        <v>2024</v>
      </c>
      <c r="B749" s="75">
        <v>12</v>
      </c>
      <c r="C749" s="75">
        <v>19</v>
      </c>
      <c r="D749" s="98">
        <f>DATE(LS[[#This Row],[Year]],LS[[#This Row],[Month]],LS[[#This Row],[Day]])</f>
        <v>45645</v>
      </c>
      <c r="E749" t="str" cm="1">
        <f t="array" ref="E749">INDEX(INVESTORS_LIST[INVESTOR NAME],MATCH(LS[[#This Row],[Investor ID]],INVESTORS_LIST[INVESTOR CODE],0),)</f>
        <v>EKUSH WEALTH MANAGEMENT LIMITED</v>
      </c>
      <c r="F749" s="100" t="s">
        <v>47</v>
      </c>
      <c r="G749" s="101">
        <f>COUNTIF(LS[[#Headers],[Investor ID]]:LS[[#This Row],[Investor ID]],LS[[#This Row],[Investor ID]])</f>
        <v>27</v>
      </c>
      <c r="H749" s="101" t="str">
        <f>CONCATENATE(LS[[#This Row],[Frequency]],LS[[#This Row],[Investor ID]])</f>
        <v>27A00003</v>
      </c>
      <c r="I749" s="75" t="str">
        <f>IF(LS[[#This Row],[B/S]]="B","BUY",(IF(LS[[#This Row],[B/S]]="S","SELL"," ")))</f>
        <v>SELL</v>
      </c>
      <c r="J749" s="101" t="s">
        <v>1231</v>
      </c>
      <c r="K749" s="102">
        <v>-4596516.03</v>
      </c>
      <c r="L749" s="99"/>
      <c r="M749" s="103">
        <f>LS[[#This Row],[Amount]]/LS[[#This Row],[Unit]]</f>
        <v>11.753000002556938</v>
      </c>
      <c r="N749" s="104">
        <f>LS[[#This Row],[Unit Capital]]/10</f>
        <v>-391093</v>
      </c>
      <c r="O749" s="104">
        <f>SUMIFS(LS[[#Headers],[Unit]]:LS[[#This Row],[Unit]],LS[[#Headers],[Investor ID]]:LS[[#This Row],[Investor ID]],LS[[#This Row],[Investor ID]])</f>
        <v>250000</v>
      </c>
      <c r="P749" s="102">
        <v>-3910930</v>
      </c>
      <c r="Q749" s="102">
        <f>LS[[#This Row],[Amount]]-LS[[#This Row],[Unit Capital]]</f>
        <v>-685586.03000000026</v>
      </c>
      <c r="R7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11.005260135020356</v>
      </c>
      <c r="S749" s="103">
        <f t="shared" si="11"/>
        <v>14.224</v>
      </c>
      <c r="T749" s="102">
        <f>IF(LS[[#This Row],[B/S]]="B",0,ABS(LS[[#This Row],[Unit]])*(LS[[#This Row],[NAV (Strike Rate)]]-INDEX(LS[NAV at Cost (Average)],MATCH(CONCATENATE(LS[[#This Row],[Frequency]]-1,LS[[#This Row],[Investor ID]]),LS[Unique Code],0),)))</f>
        <v>292435.82801448455</v>
      </c>
      <c r="U749" s="102" cm="1">
        <f t="array" ref="U749">IF(LS[[#This Row],[B/S]]="S",ABS(LS[[#This Row],[Unit]])*(INDEX(LS[NAV at Cost (Average)],MATCH(CONCATENATE((LS[[#This Row],[Frequency]]-1),LS[[#This Row],[Investor ID]]),LS[Unique Code],0),0)),0)</f>
        <v>4304080.2019855157</v>
      </c>
      <c r="V749" s="102">
        <f>IF(LS[[#This Row],[BO TRANSFER]]="YES",LS[[#This Row],[Unit]],)</f>
        <v>0</v>
      </c>
      <c r="W749" s="102">
        <f>SUMIFS(LS[[#Headers],[BO UNIT TRANSFER]]:LS[[#This Row],[BO UNIT TRANSFER]],LS[[#Headers],[Investor ID]]:LS[[#This Row],[Investor ID]],LS[[#This Row],[Investor ID]])</f>
        <v>0</v>
      </c>
    </row>
    <row r="750" spans="1:23">
      <c r="A750" s="75">
        <v>2024</v>
      </c>
      <c r="B750" s="75">
        <v>12</v>
      </c>
      <c r="C750" s="75">
        <v>22</v>
      </c>
      <c r="D750" s="98">
        <f>DATE(LS[[#This Row],[Year]],LS[[#This Row],[Month]],LS[[#This Row],[Day]])</f>
        <v>45648</v>
      </c>
      <c r="E750" s="99" t="str" cm="1">
        <f t="array" ref="E750">INDEX(INVESTORS_LIST[INVESTOR NAME],MATCH(LS[[#This Row],[Investor ID]],INVESTORS_LIST[INVESTOR CODE],0),)</f>
        <v>MUHAMMAD SHOHIDUZZAMAN</v>
      </c>
      <c r="F750" s="97" t="s">
        <v>986</v>
      </c>
      <c r="G750" s="101">
        <f>COUNTIF(LS[[#Headers],[Investor ID]]:LS[[#This Row],[Investor ID]],LS[[#This Row],[Investor ID]])</f>
        <v>7</v>
      </c>
      <c r="H750" s="101" t="str">
        <f>CONCATENATE(LS[[#This Row],[Frequency]],LS[[#This Row],[Investor ID]])</f>
        <v>7A00470</v>
      </c>
      <c r="I750" s="75" t="str">
        <f>IF(LS[[#This Row],[B/S]]="B","BUY",(IF(LS[[#This Row],[B/S]]="S","SELL"," ")))</f>
        <v>SELL</v>
      </c>
      <c r="J750" s="101" t="s">
        <v>1231</v>
      </c>
      <c r="K750" s="102">
        <v>-6000000</v>
      </c>
      <c r="L750" s="99" t="s">
        <v>1230</v>
      </c>
      <c r="M750" s="103">
        <f>LS[[#This Row],[Amount]]/LS[[#This Row],[Unit]]</f>
        <v>11.778008103269576</v>
      </c>
      <c r="N750" s="104">
        <f>LS[[#This Row],[Unit Capital]]/10</f>
        <v>-509424</v>
      </c>
      <c r="O750" s="104">
        <f>SUMIFS(LS[[#Headers],[Unit]]:LS[[#This Row],[Unit]],LS[[#Headers],[Investor ID]]:LS[[#This Row],[Investor ID]],LS[[#This Row],[Investor ID]])</f>
        <v>605312</v>
      </c>
      <c r="P750" s="102">
        <v>-5094240</v>
      </c>
      <c r="Q750" s="102">
        <f>LS[[#This Row],[Amount]]-LS[[#This Row],[Unit Capital]]</f>
        <v>-905760</v>
      </c>
      <c r="R7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11.213417347246343</v>
      </c>
      <c r="S750" s="103">
        <f t="shared" si="11"/>
        <v>14.224</v>
      </c>
      <c r="T750" s="102">
        <f>IF(LS[[#This Row],[B/S]]="B",0,ABS(LS[[#This Row],[Unit]])*(LS[[#This Row],[NAV (Strike Rate)]]-INDEX(LS[NAV at Cost (Average)],MATCH(CONCATENATE(LS[[#This Row],[Frequency]]-1,LS[[#This Row],[Investor ID]]),LS[Unique Code],0),)))</f>
        <v>287616.08129637915</v>
      </c>
      <c r="U750" s="102" cm="1">
        <f t="array" ref="U750">IF(LS[[#This Row],[B/S]]="S",ABS(LS[[#This Row],[Unit]])*(INDEX(LS[NAV at Cost (Average)],MATCH(CONCATENATE((LS[[#This Row],[Frequency]]-1),LS[[#This Row],[Investor ID]]),LS[Unique Code],0),0)),0)</f>
        <v>5712383.9187036213</v>
      </c>
      <c r="V750" s="102">
        <f>IF(LS[[#This Row],[BO TRANSFER]]="YES",LS[[#This Row],[Unit]],)</f>
        <v>-509424</v>
      </c>
      <c r="W750" s="102">
        <f>SUMIFS(LS[[#Headers],[BO UNIT TRANSFER]]:LS[[#This Row],[BO UNIT TRANSFER]],LS[[#Headers],[Investor ID]]:LS[[#This Row],[Investor ID]],LS[[#This Row],[Investor ID]])</f>
        <v>560477</v>
      </c>
    </row>
    <row r="751" spans="1:23">
      <c r="A751" s="75">
        <v>2024</v>
      </c>
      <c r="B751" s="75">
        <v>12</v>
      </c>
      <c r="C751" s="75">
        <v>22</v>
      </c>
      <c r="D751" s="98">
        <f>DATE(LS[[#This Row],[Year]],LS[[#This Row],[Month]],LS[[#This Row],[Day]])</f>
        <v>45648</v>
      </c>
      <c r="E751" s="99" t="str" cm="1">
        <f t="array" ref="E751">INDEX(INVESTORS_LIST[INVESTOR NAME],MATCH(LS[[#This Row],[Investor ID]],INVESTORS_LIST[INVESTOR CODE],0),)</f>
        <v>N M AL HOSSAIN</v>
      </c>
      <c r="F751" s="100" t="s">
        <v>280</v>
      </c>
      <c r="G751" s="101">
        <f>COUNTIF(LS[[#Headers],[Investor ID]]:LS[[#This Row],[Investor ID]],LS[[#This Row],[Investor ID]])</f>
        <v>4</v>
      </c>
      <c r="H751" s="101" t="str">
        <f>CONCATENATE(LS[[#This Row],[Frequency]],LS[[#This Row],[Investor ID]])</f>
        <v>4A00116</v>
      </c>
      <c r="I751" s="75" t="str">
        <f>IF(LS[[#This Row],[B/S]]="B","BUY",(IF(LS[[#This Row],[B/S]]="S","SELL"," ")))</f>
        <v>SELL</v>
      </c>
      <c r="J751" s="101" t="s">
        <v>1231</v>
      </c>
      <c r="K751" s="102">
        <v>-599885</v>
      </c>
      <c r="L751" s="99"/>
      <c r="M751" s="103">
        <f>LS[[#This Row],[Amount]]/LS[[#This Row],[Unit]]</f>
        <v>11.777923939292796</v>
      </c>
      <c r="N751" s="104">
        <f>LS[[#This Row],[Unit Capital]]/10</f>
        <v>-50933</v>
      </c>
      <c r="O751" s="104">
        <f>SUMIFS(LS[[#Headers],[Unit]]:LS[[#This Row],[Unit]],LS[[#Headers],[Investor ID]]:LS[[#This Row],[Investor ID]],LS[[#This Row],[Investor ID]])</f>
        <v>1266930</v>
      </c>
      <c r="P751" s="102">
        <v>-509330</v>
      </c>
      <c r="Q751" s="102">
        <f>LS[[#This Row],[Amount]]-LS[[#This Row],[Unit Capital]]</f>
        <v>-90555</v>
      </c>
      <c r="R7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751" s="103">
        <f t="shared" si="11"/>
        <v>14.224</v>
      </c>
      <c r="T751" s="102">
        <f>IF(LS[[#This Row],[B/S]]="B",0,ABS(LS[[#This Row],[Unit]])*(LS[[#This Row],[NAV (Strike Rate)]]-INDEX(LS[NAV at Cost (Average)],MATCH(CONCATENATE(LS[[#This Row],[Frequency]]-1,LS[[#This Row],[Investor ID]]),LS[Unique Code],0),)))</f>
        <v>56605.461648409095</v>
      </c>
      <c r="U751" s="102" cm="1">
        <f t="array" ref="U751">IF(LS[[#This Row],[B/S]]="S",ABS(LS[[#This Row],[Unit]])*(INDEX(LS[NAV at Cost (Average)],MATCH(CONCATENATE((LS[[#This Row],[Frequency]]-1),LS[[#This Row],[Investor ID]]),LS[Unique Code],0),0)),0)</f>
        <v>543279.53835159086</v>
      </c>
      <c r="V751" s="102">
        <f>IF(LS[[#This Row],[BO TRANSFER]]="YES",LS[[#This Row],[Unit]],)</f>
        <v>0</v>
      </c>
      <c r="W751" s="102">
        <f>SUMIFS(LS[[#Headers],[BO UNIT TRANSFER]]:LS[[#This Row],[BO UNIT TRANSFER]],LS[[#Headers],[Investor ID]]:LS[[#This Row],[Investor ID]],LS[[#This Row],[Investor ID]])</f>
        <v>0</v>
      </c>
    </row>
    <row r="752" spans="1:23">
      <c r="A752" s="75">
        <v>2024</v>
      </c>
      <c r="B752" s="75">
        <v>12</v>
      </c>
      <c r="C752" s="75">
        <v>22</v>
      </c>
      <c r="D752" s="98">
        <f>DATE(LS[[#This Row],[Year]],LS[[#This Row],[Month]],LS[[#This Row],[Day]])</f>
        <v>45648</v>
      </c>
      <c r="E752" s="99" t="str" cm="1">
        <f t="array" ref="E752">INDEX(INVESTORS_LIST[INVESTOR NAME],MATCH(LS[[#This Row],[Investor ID]],INVESTORS_LIST[INVESTOR CODE],0),)</f>
        <v>MD. MONIRUZZAMAN</v>
      </c>
      <c r="F752" s="100" t="s">
        <v>274</v>
      </c>
      <c r="G752" s="101">
        <f>COUNTIF(LS[[#Headers],[Investor ID]]:LS[[#This Row],[Investor ID]],LS[[#This Row],[Investor ID]])</f>
        <v>5</v>
      </c>
      <c r="H752" s="101" t="str">
        <f>CONCATENATE(LS[[#This Row],[Frequency]],LS[[#This Row],[Investor ID]])</f>
        <v>5A00113</v>
      </c>
      <c r="I752" s="75" t="str">
        <f>IF(LS[[#This Row],[B/S]]="B","BUY",(IF(LS[[#This Row],[B/S]]="S","SELL"," ")))</f>
        <v>BUY</v>
      </c>
      <c r="J752" s="101" t="s">
        <v>1229</v>
      </c>
      <c r="K752" s="102">
        <v>150000</v>
      </c>
      <c r="L752" s="99"/>
      <c r="M752" s="103">
        <f>LS[[#This Row],[Amount]]/LS[[#This Row],[Unit]]</f>
        <v>11.777638190954773</v>
      </c>
      <c r="N752" s="104">
        <f>LS[[#This Row],[Unit Capital]]/10</f>
        <v>12736</v>
      </c>
      <c r="O752" s="104">
        <f>SUMIFS(LS[[#Headers],[Unit]]:LS[[#This Row],[Unit]],LS[[#Headers],[Investor ID]]:LS[[#This Row],[Investor ID]],LS[[#This Row],[Investor ID]])</f>
        <v>86783</v>
      </c>
      <c r="P752" s="102">
        <v>127360</v>
      </c>
      <c r="Q752" s="102">
        <f>LS[[#This Row],[Amount]]-LS[[#This Row],[Unit Capital]]</f>
        <v>22640</v>
      </c>
      <c r="R7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11.522994134795987</v>
      </c>
      <c r="S752" s="103">
        <f t="shared" si="11"/>
        <v>14.224</v>
      </c>
      <c r="T75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52" s="102" cm="1">
        <f t="array" ref="U752">IF(LS[[#This Row],[B/S]]="S",ABS(LS[[#This Row],[Unit]])*(INDEX(LS[NAV at Cost (Average)],MATCH(CONCATENATE((LS[[#This Row],[Frequency]]-1),LS[[#This Row],[Investor ID]]),LS[Unique Code],0),0)),0)</f>
        <v>0</v>
      </c>
      <c r="V752" s="102">
        <f>IF(LS[[#This Row],[BO TRANSFER]]="YES",LS[[#This Row],[Unit]],)</f>
        <v>0</v>
      </c>
      <c r="W752" s="102">
        <f>SUMIFS(LS[[#Headers],[BO UNIT TRANSFER]]:LS[[#This Row],[BO UNIT TRANSFER]],LS[[#Headers],[Investor ID]]:LS[[#This Row],[Investor ID]],LS[[#This Row],[Investor ID]])</f>
        <v>0</v>
      </c>
    </row>
    <row r="753" spans="1:23">
      <c r="A753" s="75">
        <v>2024</v>
      </c>
      <c r="B753" s="75">
        <v>12</v>
      </c>
      <c r="C753" s="75">
        <v>24</v>
      </c>
      <c r="D753" s="98">
        <f>DATE(LS[[#This Row],[Year]],LS[[#This Row],[Month]],LS[[#This Row],[Day]])</f>
        <v>45650</v>
      </c>
      <c r="E753" s="99" t="str" cm="1">
        <f t="array" ref="E753">INDEX(INVESTORS_LIST[INVESTOR NAME],MATCH(LS[[#This Row],[Investor ID]],INVESTORS_LIST[INVESTOR CODE],0),)</f>
        <v>TANIA AKTER</v>
      </c>
      <c r="F753" s="100" t="s">
        <v>1069</v>
      </c>
      <c r="G753" s="101">
        <f>COUNTIF(LS[[#Headers],[Investor ID]]:LS[[#This Row],[Investor ID]],LS[[#This Row],[Investor ID]])</f>
        <v>3</v>
      </c>
      <c r="H753" s="101" t="str">
        <f>CONCATENATE(LS[[#This Row],[Frequency]],LS[[#This Row],[Investor ID]])</f>
        <v>3A00512</v>
      </c>
      <c r="I753" s="75" t="str">
        <f>IF(LS[[#This Row],[B/S]]="B","BUY",(IF(LS[[#This Row],[B/S]]="S","SELL"," ")))</f>
        <v>SELL</v>
      </c>
      <c r="J753" s="101" t="s">
        <v>1231</v>
      </c>
      <c r="K753" s="102">
        <v>-2000000</v>
      </c>
      <c r="L753" s="99"/>
      <c r="M753" s="103">
        <f>LS[[#This Row],[Amount]]/LS[[#This Row],[Unit]]</f>
        <v>11.778008103269576</v>
      </c>
      <c r="N753" s="104">
        <f>LS[[#This Row],[Unit Capital]]/10</f>
        <v>-169808</v>
      </c>
      <c r="O753" s="104">
        <f>SUMIFS(LS[[#Headers],[Unit]]:LS[[#This Row],[Unit]],LS[[#Headers],[Investor ID]]:LS[[#This Row],[Investor ID]],LS[[#This Row],[Investor ID]])</f>
        <v>9042</v>
      </c>
      <c r="P753" s="102">
        <v>-1698080</v>
      </c>
      <c r="Q753" s="102">
        <f>LS[[#This Row],[Amount]]-LS[[#This Row],[Unit Capital]]</f>
        <v>-301920</v>
      </c>
      <c r="R7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11.615102040816327</v>
      </c>
      <c r="S753" s="103">
        <f t="shared" si="11"/>
        <v>14.224</v>
      </c>
      <c r="T753" s="102">
        <f>IF(LS[[#This Row],[B/S]]="B",0,ABS(LS[[#This Row],[Unit]])*(LS[[#This Row],[NAV (Strike Rate)]]-INDEX(LS[NAV at Cost (Average)],MATCH(CONCATENATE(LS[[#This Row],[Frequency]]-1,LS[[#This Row],[Investor ID]]),LS[Unique Code],0),)))</f>
        <v>27662.752653061347</v>
      </c>
      <c r="U753" s="102" cm="1">
        <f t="array" ref="U753">IF(LS[[#This Row],[B/S]]="S",ABS(LS[[#This Row],[Unit]])*(INDEX(LS[NAV at Cost (Average)],MATCH(CONCATENATE((LS[[#This Row],[Frequency]]-1),LS[[#This Row],[Investor ID]]),LS[Unique Code],0),0)),0)</f>
        <v>1972337.2473469388</v>
      </c>
      <c r="V753" s="102">
        <f>IF(LS[[#This Row],[BO TRANSFER]]="YES",LS[[#This Row],[Unit]],)</f>
        <v>0</v>
      </c>
      <c r="W753" s="102">
        <f>SUMIFS(LS[[#Headers],[BO UNIT TRANSFER]]:LS[[#This Row],[BO UNIT TRANSFER]],LS[[#Headers],[Investor ID]]:LS[[#This Row],[Investor ID]],LS[[#This Row],[Investor ID]])</f>
        <v>0</v>
      </c>
    </row>
    <row r="754" spans="1:23">
      <c r="A754" s="75">
        <v>2024</v>
      </c>
      <c r="B754" s="75">
        <v>12</v>
      </c>
      <c r="C754" s="75">
        <v>24</v>
      </c>
      <c r="D754" s="98">
        <f>DATE(LS[[#This Row],[Year]],LS[[#This Row],[Month]],LS[[#This Row],[Day]])</f>
        <v>45650</v>
      </c>
      <c r="E754" s="99" t="str" cm="1">
        <f t="array" ref="E754">INDEX(INVESTORS_LIST[INVESTOR NAME],MATCH(LS[[#This Row],[Investor ID]],INVESTORS_LIST[INVESTOR CODE],0),)</f>
        <v>N M AL HOSSAIN</v>
      </c>
      <c r="F754" s="100" t="s">
        <v>280</v>
      </c>
      <c r="G754" s="101">
        <f>COUNTIF(LS[[#Headers],[Investor ID]]:LS[[#This Row],[Investor ID]],LS[[#This Row],[Investor ID]])</f>
        <v>5</v>
      </c>
      <c r="H754" s="101" t="str">
        <f>CONCATENATE(LS[[#This Row],[Frequency]],LS[[#This Row],[Investor ID]])</f>
        <v>5A00116</v>
      </c>
      <c r="I754" s="75" t="str">
        <f>IF(LS[[#This Row],[B/S]]="B","BUY",(IF(LS[[#This Row],[B/S]]="S","SELL"," ")))</f>
        <v>SELL</v>
      </c>
      <c r="J754" s="101" t="s">
        <v>1231</v>
      </c>
      <c r="K754" s="102">
        <v>-100000</v>
      </c>
      <c r="L754" s="99"/>
      <c r="M754" s="103">
        <f>LS[[#This Row],[Amount]]/LS[[#This Row],[Unit]]</f>
        <v>11.778563015312132</v>
      </c>
      <c r="N754" s="104">
        <f>LS[[#This Row],[Unit Capital]]/10</f>
        <v>-8490</v>
      </c>
      <c r="O754" s="104">
        <f>SUMIFS(LS[[#Headers],[Unit]]:LS[[#This Row],[Unit]],LS[[#Headers],[Investor ID]]:LS[[#This Row],[Investor ID]],LS[[#This Row],[Investor ID]])</f>
        <v>1258440</v>
      </c>
      <c r="P754" s="102">
        <v>-84900</v>
      </c>
      <c r="Q754" s="102">
        <f>LS[[#This Row],[Amount]]-LS[[#This Row],[Unit Capital]]</f>
        <v>-15100</v>
      </c>
      <c r="R7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754" s="103">
        <f t="shared" si="11"/>
        <v>14.224</v>
      </c>
      <c r="T754" s="102">
        <f>IF(LS[[#This Row],[B/S]]="B",0,ABS(LS[[#This Row],[Unit]])*(LS[[#This Row],[NAV (Strike Rate)]]-INDEX(LS[NAV at Cost (Average)],MATCH(CONCATENATE(LS[[#This Row],[Frequency]]-1,LS[[#This Row],[Investor ID]]),LS[Unique Code],0),)))</f>
        <v>9440.9659630297356</v>
      </c>
      <c r="U754" s="102" cm="1">
        <f t="array" ref="U754">IF(LS[[#This Row],[B/S]]="S",ABS(LS[[#This Row],[Unit]])*(INDEX(LS[NAV at Cost (Average)],MATCH(CONCATENATE((LS[[#This Row],[Frequency]]-1),LS[[#This Row],[Investor ID]]),LS[Unique Code],0),0)),0)</f>
        <v>90559.034036970261</v>
      </c>
      <c r="V754" s="102">
        <f>IF(LS[[#This Row],[BO TRANSFER]]="YES",LS[[#This Row],[Unit]],)</f>
        <v>0</v>
      </c>
      <c r="W754" s="102">
        <f>SUMIFS(LS[[#Headers],[BO UNIT TRANSFER]]:LS[[#This Row],[BO UNIT TRANSFER]],LS[[#Headers],[Investor ID]]:LS[[#This Row],[Investor ID]],LS[[#This Row],[Investor ID]])</f>
        <v>0</v>
      </c>
    </row>
    <row r="755" spans="1:23">
      <c r="A755" s="75">
        <v>2024</v>
      </c>
      <c r="B755" s="75">
        <v>12</v>
      </c>
      <c r="C755" s="75">
        <v>24</v>
      </c>
      <c r="D755" s="98">
        <f>DATE(LS[[#This Row],[Year]],LS[[#This Row],[Month]],LS[[#This Row],[Day]])</f>
        <v>45650</v>
      </c>
      <c r="E755" s="99" t="str" cm="1">
        <f t="array" ref="E755">INDEX(INVESTORS_LIST[INVESTOR NAME],MATCH(LS[[#This Row],[Investor ID]],INVESTORS_LIST[INVESTOR CODE],0),)</f>
        <v>KAZI HABIBUR RAHMAN</v>
      </c>
      <c r="F755" s="100" t="s">
        <v>1114</v>
      </c>
      <c r="G755" s="101">
        <f>COUNTIF(LS[[#Headers],[Investor ID]]:LS[[#This Row],[Investor ID]],LS[[#This Row],[Investor ID]])</f>
        <v>22</v>
      </c>
      <c r="H755" s="101" t="str">
        <f>CONCATENATE(LS[[#This Row],[Frequency]],LS[[#This Row],[Investor ID]])</f>
        <v>22A00532</v>
      </c>
      <c r="I755" s="75" t="str">
        <f>IF(LS[[#This Row],[B/S]]="B","BUY",(IF(LS[[#This Row],[B/S]]="S","SELL"," ")))</f>
        <v>BUY</v>
      </c>
      <c r="J755" s="101" t="s">
        <v>1229</v>
      </c>
      <c r="K755" s="102">
        <v>760000</v>
      </c>
      <c r="L755" s="99"/>
      <c r="M755" s="103">
        <f>LS[[#This Row],[Amount]]/LS[[#This Row],[Unit]]</f>
        <v>11.778015404404357</v>
      </c>
      <c r="N755" s="104">
        <f>LS[[#This Row],[Unit Capital]]/10</f>
        <v>64527</v>
      </c>
      <c r="O755" s="104">
        <f>SUMIFS(LS[[#Headers],[Unit]]:LS[[#This Row],[Unit]],LS[[#Headers],[Investor ID]]:LS[[#This Row],[Investor ID]],LS[[#This Row],[Investor ID]])</f>
        <v>769973</v>
      </c>
      <c r="P755" s="102">
        <v>645270</v>
      </c>
      <c r="Q755" s="102">
        <f>LS[[#This Row],[Amount]]-LS[[#This Row],[Unit Capital]]</f>
        <v>114730</v>
      </c>
      <c r="R7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11.231178819969475</v>
      </c>
      <c r="S755" s="103">
        <f t="shared" si="11"/>
        <v>14.224</v>
      </c>
      <c r="T7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55" s="102" cm="1">
        <f t="array" ref="U755">IF(LS[[#This Row],[B/S]]="S",ABS(LS[[#This Row],[Unit]])*(INDEX(LS[NAV at Cost (Average)],MATCH(CONCATENATE((LS[[#This Row],[Frequency]]-1),LS[[#This Row],[Investor ID]]),LS[Unique Code],0),0)),0)</f>
        <v>0</v>
      </c>
      <c r="V755" s="102">
        <f>IF(LS[[#This Row],[BO TRANSFER]]="YES",LS[[#This Row],[Unit]],)</f>
        <v>0</v>
      </c>
      <c r="W755" s="102">
        <f>SUMIFS(LS[[#Headers],[BO UNIT TRANSFER]]:LS[[#This Row],[BO UNIT TRANSFER]],LS[[#Headers],[Investor ID]]:LS[[#This Row],[Investor ID]],LS[[#This Row],[Investor ID]])</f>
        <v>0</v>
      </c>
    </row>
    <row r="756" spans="1:23">
      <c r="A756" s="75">
        <v>2024</v>
      </c>
      <c r="B756" s="75">
        <v>12</v>
      </c>
      <c r="C756" s="75">
        <v>26</v>
      </c>
      <c r="D756" s="98">
        <f>DATE(LS[[#This Row],[Year]],LS[[#This Row],[Month]],LS[[#This Row],[Day]])</f>
        <v>45652</v>
      </c>
      <c r="E756" s="99" t="str" cm="1">
        <f t="array" ref="E756">INDEX(INVESTORS_LIST[INVESTOR NAME],MATCH(LS[[#This Row],[Investor ID]],INVESTORS_LIST[INVESTOR CODE],0),)</f>
        <v>FARZANA JITU</v>
      </c>
      <c r="F756" s="100" t="s">
        <v>968</v>
      </c>
      <c r="G756" s="101">
        <f>COUNTIF(LS[[#Headers],[Investor ID]]:LS[[#This Row],[Investor ID]],LS[[#This Row],[Investor ID]])</f>
        <v>18</v>
      </c>
      <c r="H756" s="101" t="str">
        <f>CONCATENATE(LS[[#This Row],[Frequency]],LS[[#This Row],[Investor ID]])</f>
        <v>18A00461</v>
      </c>
      <c r="I756" s="75" t="str">
        <f>IF(LS[[#This Row],[B/S]]="B","BUY",(IF(LS[[#This Row],[B/S]]="S","SELL"," ")))</f>
        <v>BUY</v>
      </c>
      <c r="J756" s="101" t="s">
        <v>1229</v>
      </c>
      <c r="K756" s="102">
        <v>45000</v>
      </c>
      <c r="L756" s="88"/>
      <c r="M756" s="103">
        <f>LS[[#This Row],[Amount]]/LS[[#This Row],[Unit]]</f>
        <v>11.777021722062287</v>
      </c>
      <c r="N756" s="104">
        <f>LS[[#This Row],[Unit Capital]]/10</f>
        <v>3821</v>
      </c>
      <c r="O756" s="104">
        <f>SUMIFS(LS[[#Headers],[Unit]]:LS[[#This Row],[Unit]],LS[[#Headers],[Investor ID]]:LS[[#This Row],[Investor ID]],LS[[#This Row],[Investor ID]])</f>
        <v>43340</v>
      </c>
      <c r="P756" s="102">
        <v>38210</v>
      </c>
      <c r="Q756" s="102">
        <f>LS[[#This Row],[Amount]]-LS[[#This Row],[Unit Capital]]</f>
        <v>6790</v>
      </c>
      <c r="R7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11.598284058293846</v>
      </c>
      <c r="S756" s="103">
        <f t="shared" si="11"/>
        <v>14.224</v>
      </c>
      <c r="T7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56" s="102" cm="1">
        <f t="array" ref="U756">IF(LS[[#This Row],[B/S]]="S",ABS(LS[[#This Row],[Unit]])*(INDEX(LS[NAV at Cost (Average)],MATCH(CONCATENATE((LS[[#This Row],[Frequency]]-1),LS[[#This Row],[Investor ID]]),LS[Unique Code],0),0)),0)</f>
        <v>0</v>
      </c>
      <c r="V756" s="102">
        <f>IF(LS[[#This Row],[BO TRANSFER]]="YES",LS[[#This Row],[Unit]],)</f>
        <v>0</v>
      </c>
      <c r="W756" s="102">
        <f>SUMIFS(LS[[#Headers],[BO UNIT TRANSFER]]:LS[[#This Row],[BO UNIT TRANSFER]],LS[[#Headers],[Investor ID]]:LS[[#This Row],[Investor ID]],LS[[#This Row],[Investor ID]])</f>
        <v>0</v>
      </c>
    </row>
    <row r="757" spans="1:23">
      <c r="A757" s="75">
        <v>2024</v>
      </c>
      <c r="B757" s="75">
        <v>12</v>
      </c>
      <c r="C757" s="75">
        <v>26</v>
      </c>
      <c r="D757" s="98">
        <f>DATE(LS[[#This Row],[Year]],LS[[#This Row],[Month]],LS[[#This Row],[Day]])</f>
        <v>45652</v>
      </c>
      <c r="E757" s="99" t="str" cm="1">
        <f t="array" ref="E757">INDEX(INVESTORS_LIST[INVESTOR NAME],MATCH(LS[[#This Row],[Investor ID]],INVESTORS_LIST[INVESTOR CODE],0),)</f>
        <v>ASHAK ELAHI</v>
      </c>
      <c r="F757" s="100" t="s">
        <v>1077</v>
      </c>
      <c r="G757" s="101">
        <f>COUNTIF(LS[[#Headers],[Investor ID]]:LS[[#This Row],[Investor ID]],LS[[#This Row],[Investor ID]])</f>
        <v>12</v>
      </c>
      <c r="H757" s="101" t="str">
        <f>CONCATENATE(LS[[#This Row],[Frequency]],LS[[#This Row],[Investor ID]])</f>
        <v>12A00516</v>
      </c>
      <c r="I757" s="75" t="str">
        <f>IF(LS[[#This Row],[B/S]]="B","BUY",(IF(LS[[#This Row],[B/S]]="S","SELL"," ")))</f>
        <v>BUY</v>
      </c>
      <c r="J757" s="101" t="s">
        <v>1229</v>
      </c>
      <c r="K757" s="102">
        <v>20022.599999999999</v>
      </c>
      <c r="L757" s="99"/>
      <c r="M757" s="103">
        <f>LS[[#This Row],[Amount]]/LS[[#This Row],[Unit]]</f>
        <v>11.777999999999999</v>
      </c>
      <c r="N757" s="104">
        <f>LS[[#This Row],[Unit Capital]]/10</f>
        <v>1700</v>
      </c>
      <c r="O757" s="104">
        <f>SUMIFS(LS[[#Headers],[Unit]]:LS[[#This Row],[Unit]],LS[[#Headers],[Investor ID]]:LS[[#This Row],[Investor ID]],LS[[#This Row],[Investor ID]])</f>
        <v>1700</v>
      </c>
      <c r="P757" s="102">
        <v>17000</v>
      </c>
      <c r="Q757" s="102">
        <f>LS[[#This Row],[Amount]]-LS[[#This Row],[Unit Capital]]</f>
        <v>3022.5999999999985</v>
      </c>
      <c r="R7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11.777999999999999</v>
      </c>
      <c r="S757" s="103">
        <f t="shared" si="11"/>
        <v>14.224</v>
      </c>
      <c r="T7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57" s="102" cm="1">
        <f t="array" ref="U757">IF(LS[[#This Row],[B/S]]="S",ABS(LS[[#This Row],[Unit]])*(INDEX(LS[NAV at Cost (Average)],MATCH(CONCATENATE((LS[[#This Row],[Frequency]]-1),LS[[#This Row],[Investor ID]]),LS[Unique Code],0),0)),0)</f>
        <v>0</v>
      </c>
      <c r="V757" s="102">
        <f>IF(LS[[#This Row],[BO TRANSFER]]="YES",LS[[#This Row],[Unit]],)</f>
        <v>0</v>
      </c>
      <c r="W757" s="102">
        <f>SUMIFS(LS[[#Headers],[BO UNIT TRANSFER]]:LS[[#This Row],[BO UNIT TRANSFER]],LS[[#Headers],[Investor ID]]:LS[[#This Row],[Investor ID]],LS[[#This Row],[Investor ID]])</f>
        <v>0</v>
      </c>
    </row>
    <row r="758" spans="1:23">
      <c r="A758" s="75">
        <v>2024</v>
      </c>
      <c r="B758" s="75">
        <v>12</v>
      </c>
      <c r="C758" s="75">
        <v>26</v>
      </c>
      <c r="D758" s="98">
        <f>DATE(LS[[#This Row],[Year]],LS[[#This Row],[Month]],LS[[#This Row],[Day]])</f>
        <v>45652</v>
      </c>
      <c r="E758" s="99" t="str" cm="1">
        <f t="array" ref="E758">INDEX(INVESTORS_LIST[INVESTOR NAME],MATCH(LS[[#This Row],[Investor ID]],INVESTORS_LIST[INVESTOR CODE],0),)</f>
        <v>MONOARA ALAM</v>
      </c>
      <c r="F758" s="100" t="s">
        <v>1302</v>
      </c>
      <c r="G758" s="101">
        <f>COUNTIF(LS[[#Headers],[Investor ID]]:LS[[#This Row],[Investor ID]],LS[[#This Row],[Investor ID]])</f>
        <v>1</v>
      </c>
      <c r="H758" s="101" t="str">
        <f>CONCATENATE(LS[[#This Row],[Frequency]],LS[[#This Row],[Investor ID]])</f>
        <v>1A00598</v>
      </c>
      <c r="I758" s="75" t="str">
        <f>IF(LS[[#This Row],[B/S]]="B","BUY",(IF(LS[[#This Row],[B/S]]="S","SELL"," ")))</f>
        <v>BUY</v>
      </c>
      <c r="J758" s="101" t="s">
        <v>1229</v>
      </c>
      <c r="K758" s="102">
        <v>500000</v>
      </c>
      <c r="L758" s="99"/>
      <c r="M758" s="103">
        <f>LS[[#This Row],[Amount]]/LS[[#This Row],[Unit]]</f>
        <v>11.778008103269576</v>
      </c>
      <c r="N758" s="104">
        <f>LS[[#This Row],[Unit Capital]]/10</f>
        <v>42452</v>
      </c>
      <c r="O758" s="104">
        <f>SUMIFS(LS[[#Headers],[Unit]]:LS[[#This Row],[Unit]],LS[[#Headers],[Investor ID]]:LS[[#This Row],[Investor ID]],LS[[#This Row],[Investor ID]])</f>
        <v>42452</v>
      </c>
      <c r="P758" s="102">
        <v>424520</v>
      </c>
      <c r="Q758" s="102">
        <f>LS[[#This Row],[Amount]]-LS[[#This Row],[Unit Capital]]</f>
        <v>75480</v>
      </c>
      <c r="R7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758" s="103">
        <f t="shared" si="11"/>
        <v>14.224</v>
      </c>
      <c r="T7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58" s="102" cm="1">
        <f t="array" ref="U758">IF(LS[[#This Row],[B/S]]="S",ABS(LS[[#This Row],[Unit]])*(INDEX(LS[NAV at Cost (Average)],MATCH(CONCATENATE((LS[[#This Row],[Frequency]]-1),LS[[#This Row],[Investor ID]]),LS[Unique Code],0),0)),0)</f>
        <v>0</v>
      </c>
      <c r="V758" s="102">
        <f>IF(LS[[#This Row],[BO TRANSFER]]="YES",LS[[#This Row],[Unit]],)</f>
        <v>0</v>
      </c>
      <c r="W758" s="102">
        <f>SUMIFS(LS[[#Headers],[BO UNIT TRANSFER]]:LS[[#This Row],[BO UNIT TRANSFER]],LS[[#Headers],[Investor ID]]:LS[[#This Row],[Investor ID]],LS[[#This Row],[Investor ID]])</f>
        <v>0</v>
      </c>
    </row>
    <row r="759" spans="1:23">
      <c r="A759" s="101">
        <v>2024</v>
      </c>
      <c r="B759" s="101">
        <v>12</v>
      </c>
      <c r="C759" s="101">
        <v>29</v>
      </c>
      <c r="D759" s="98">
        <f>DATE(LS[[#This Row],[Year]],LS[[#This Row],[Month]],LS[[#This Row],[Day]])</f>
        <v>45655</v>
      </c>
      <c r="E759" s="99" t="str" cm="1">
        <f t="array" ref="E759">INDEX(INVESTORS_LIST[INVESTOR NAME],MATCH(LS[[#This Row],[Investor ID]],INVESTORS_LIST[INVESTOR CODE],0),)</f>
        <v>CHAONIKA SAHA</v>
      </c>
      <c r="F759" s="100" t="s">
        <v>238</v>
      </c>
      <c r="G759" s="101">
        <f>COUNTIF(LS[[#Headers],[Investor ID]]:LS[[#This Row],[Investor ID]],LS[[#This Row],[Investor ID]])</f>
        <v>7</v>
      </c>
      <c r="H759" s="101" t="str">
        <f>CONCATENATE(LS[[#This Row],[Frequency]],LS[[#This Row],[Investor ID]])</f>
        <v>7A00095</v>
      </c>
      <c r="I759" s="75" t="str">
        <f>IF(LS[[#This Row],[B/S]]="B","BUY",(IF(LS[[#This Row],[B/S]]="S","SELL"," ")))</f>
        <v>SELL</v>
      </c>
      <c r="J759" s="101" t="s">
        <v>1231</v>
      </c>
      <c r="K759" s="102">
        <v>-110000</v>
      </c>
      <c r="L759" s="99"/>
      <c r="M759" s="103">
        <f>LS[[#This Row],[Amount]]/LS[[#This Row],[Unit]]</f>
        <v>11.803841613907071</v>
      </c>
      <c r="N759" s="104">
        <f>LS[[#This Row],[Unit Capital]]/10</f>
        <v>-9319</v>
      </c>
      <c r="O759" s="104">
        <f>SUMIFS(LS[[#Headers],[Unit]]:LS[[#This Row],[Unit]],LS[[#Headers],[Investor ID]]:LS[[#This Row],[Investor ID]],LS[[#This Row],[Investor ID]])</f>
        <v>9240</v>
      </c>
      <c r="P759" s="102">
        <v>-93190</v>
      </c>
      <c r="Q759" s="102">
        <f>LS[[#This Row],[Amount]]-LS[[#This Row],[Unit Capital]]</f>
        <v>-16810</v>
      </c>
      <c r="R7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10.453149415377984</v>
      </c>
      <c r="S759" s="103">
        <f t="shared" si="11"/>
        <v>14.224</v>
      </c>
      <c r="T759" s="102">
        <f>IF(LS[[#This Row],[B/S]]="B",0,ABS(LS[[#This Row],[Unit]])*(LS[[#This Row],[NAV (Strike Rate)]]-INDEX(LS[NAV at Cost (Average)],MATCH(CONCATENATE(LS[[#This Row],[Frequency]]-1,LS[[#This Row],[Investor ID]]),LS[Unique Code],0),)))</f>
        <v>12587.100598092562</v>
      </c>
      <c r="U759" s="102" cm="1">
        <f t="array" ref="U759">IF(LS[[#This Row],[B/S]]="S",ABS(LS[[#This Row],[Unit]])*(INDEX(LS[NAV at Cost (Average)],MATCH(CONCATENATE((LS[[#This Row],[Frequency]]-1),LS[[#This Row],[Investor ID]]),LS[Unique Code],0),0)),0)</f>
        <v>97412.899401907431</v>
      </c>
      <c r="V759" s="102">
        <f>IF(LS[[#This Row],[BO TRANSFER]]="YES",LS[[#This Row],[Unit]],)</f>
        <v>0</v>
      </c>
      <c r="W759" s="102">
        <f>SUMIFS(LS[[#Headers],[BO UNIT TRANSFER]]:LS[[#This Row],[BO UNIT TRANSFER]],LS[[#Headers],[Investor ID]]:LS[[#This Row],[Investor ID]],LS[[#This Row],[Investor ID]])</f>
        <v>0</v>
      </c>
    </row>
    <row r="760" spans="1:23">
      <c r="A760" s="101">
        <v>2024</v>
      </c>
      <c r="B760" s="101">
        <v>12</v>
      </c>
      <c r="C760" s="101">
        <v>29</v>
      </c>
      <c r="D760" s="98">
        <f>DATE(LS[[#This Row],[Year]],LS[[#This Row],[Month]],LS[[#This Row],[Day]])</f>
        <v>45655</v>
      </c>
      <c r="E760" s="99" t="str" cm="1">
        <f t="array" ref="E760">INDEX(INVESTORS_LIST[INVESTOR NAME],MATCH(LS[[#This Row],[Investor ID]],INVESTORS_LIST[INVESTOR CODE],0),)</f>
        <v>RASIDA BEGUM</v>
      </c>
      <c r="F760" s="100" t="s">
        <v>800</v>
      </c>
      <c r="G760" s="101">
        <f>COUNTIF(LS[[#Headers],[Investor ID]]:LS[[#This Row],[Investor ID]],LS[[#This Row],[Investor ID]])</f>
        <v>2</v>
      </c>
      <c r="H760" s="101" t="str">
        <f>CONCATENATE(LS[[#This Row],[Frequency]],LS[[#This Row],[Investor ID]])</f>
        <v>2A00376</v>
      </c>
      <c r="I760" s="75" t="str">
        <f>IF(LS[[#This Row],[B/S]]="B","BUY",(IF(LS[[#This Row],[B/S]]="S","SELL"," ")))</f>
        <v>SELL</v>
      </c>
      <c r="J760" s="101" t="s">
        <v>1231</v>
      </c>
      <c r="K760" s="102">
        <v>-341088.38</v>
      </c>
      <c r="L760" s="99"/>
      <c r="M760" s="103">
        <f>LS[[#This Row],[Amount]]/LS[[#This Row],[Unit]]</f>
        <v>11.803999861572537</v>
      </c>
      <c r="N760" s="104">
        <f>LS[[#This Row],[Unit Capital]]/10</f>
        <v>-28896</v>
      </c>
      <c r="O760" s="104">
        <f>SUMIFS(LS[[#Headers],[Unit]]:LS[[#This Row],[Unit]],LS[[#Headers],[Investor ID]]:LS[[#This Row],[Investor ID]],LS[[#This Row],[Investor ID]])</f>
        <v>0</v>
      </c>
      <c r="P760" s="102">
        <v>-288960</v>
      </c>
      <c r="Q760" s="102">
        <f>LS[[#This Row],[Amount]]-LS[[#This Row],[Unit Capital]]</f>
        <v>-52128.380000000005</v>
      </c>
      <c r="R7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60" s="103">
        <f t="shared" si="11"/>
        <v>14.224</v>
      </c>
      <c r="T760" s="102">
        <f>IF(LS[[#This Row],[B/S]]="B",0,ABS(LS[[#This Row],[Unit]])*(LS[[#This Row],[NAV (Strike Rate)]]-INDEX(LS[NAV at Cost (Average)],MATCH(CONCATENATE(LS[[#This Row],[Frequency]]-1,LS[[#This Row],[Investor ID]]),LS[Unique Code],0),)))</f>
        <v>41088.380000000026</v>
      </c>
      <c r="U760" s="102" cm="1">
        <f t="array" ref="U760">IF(LS[[#This Row],[B/S]]="S",ABS(LS[[#This Row],[Unit]])*(INDEX(LS[NAV at Cost (Average)],MATCH(CONCATENATE((LS[[#This Row],[Frequency]]-1),LS[[#This Row],[Investor ID]]),LS[Unique Code],0),0)),0)</f>
        <v>300000</v>
      </c>
      <c r="V760" s="102">
        <f>IF(LS[[#This Row],[BO TRANSFER]]="YES",LS[[#This Row],[Unit]],)</f>
        <v>0</v>
      </c>
      <c r="W760" s="102">
        <f>SUMIFS(LS[[#Headers],[BO UNIT TRANSFER]]:LS[[#This Row],[BO UNIT TRANSFER]],LS[[#Headers],[Investor ID]]:LS[[#This Row],[Investor ID]],LS[[#This Row],[Investor ID]])</f>
        <v>0</v>
      </c>
    </row>
    <row r="761" spans="1:23">
      <c r="A761" s="101">
        <v>2024</v>
      </c>
      <c r="B761" s="101">
        <v>12</v>
      </c>
      <c r="C761" s="101">
        <v>30</v>
      </c>
      <c r="D761" s="98">
        <f>DATE(LS[[#This Row],[Year]],LS[[#This Row],[Month]],LS[[#This Row],[Day]])</f>
        <v>45656</v>
      </c>
      <c r="E761" s="99" t="str" cm="1">
        <f t="array" ref="E761">INDEX(INVESTORS_LIST[INVESTOR NAME],MATCH(LS[[#This Row],[Investor ID]],INVESTORS_LIST[INVESTOR CODE],0),)</f>
        <v>FAHMIDA SAEED SAKI</v>
      </c>
      <c r="F761" s="100" t="s">
        <v>936</v>
      </c>
      <c r="G761" s="101">
        <f>COUNTIF(LS[[#Headers],[Investor ID]]:LS[[#This Row],[Investor ID]],LS[[#This Row],[Investor ID]])</f>
        <v>6</v>
      </c>
      <c r="H761" s="101" t="str">
        <f>CONCATENATE(LS[[#This Row],[Frequency]],LS[[#This Row],[Investor ID]])</f>
        <v>6A00445</v>
      </c>
      <c r="I761" s="75" t="str">
        <f>IF(LS[[#This Row],[B/S]]="B","BUY",(IF(LS[[#This Row],[B/S]]="S","SELL"," ")))</f>
        <v>SELL</v>
      </c>
      <c r="J761" s="101" t="s">
        <v>1231</v>
      </c>
      <c r="K761" s="102">
        <v>-500000</v>
      </c>
      <c r="L761" s="99"/>
      <c r="M761" s="103">
        <f>LS[[#This Row],[Amount]]/LS[[#This Row],[Unit]]</f>
        <v>11.803866946811775</v>
      </c>
      <c r="N761" s="104">
        <f>LS[[#This Row],[Unit Capital]]/10</f>
        <v>-42359</v>
      </c>
      <c r="O761" s="104">
        <f>SUMIFS(LS[[#Headers],[Unit]]:LS[[#This Row],[Unit]],LS[[#Headers],[Investor ID]]:LS[[#This Row],[Investor ID]],LS[[#This Row],[Investor ID]])</f>
        <v>2666</v>
      </c>
      <c r="P761" s="102">
        <v>-423590</v>
      </c>
      <c r="Q761" s="102">
        <f>LS[[#This Row],[Amount]]-LS[[#This Row],[Unit Capital]]</f>
        <v>-76410</v>
      </c>
      <c r="R7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11.104941699056081</v>
      </c>
      <c r="S761" s="103">
        <f t="shared" si="11"/>
        <v>14.224</v>
      </c>
      <c r="T761" s="102">
        <f>IF(LS[[#This Row],[B/S]]="B",0,ABS(LS[[#This Row],[Unit]])*(LS[[#This Row],[NAV (Strike Rate)]]-INDEX(LS[NAV at Cost (Average)],MATCH(CONCATENATE(LS[[#This Row],[Frequency]]-1,LS[[#This Row],[Investor ID]]),LS[Unique Code],0),)))</f>
        <v>29605.77456968345</v>
      </c>
      <c r="U761" s="102" cm="1">
        <f t="array" ref="U761">IF(LS[[#This Row],[B/S]]="S",ABS(LS[[#This Row],[Unit]])*(INDEX(LS[NAV at Cost (Average)],MATCH(CONCATENATE((LS[[#This Row],[Frequency]]-1),LS[[#This Row],[Investor ID]]),LS[Unique Code],0),0)),0)</f>
        <v>470394.22543031652</v>
      </c>
      <c r="V761" s="102">
        <f>IF(LS[[#This Row],[BO TRANSFER]]="YES",LS[[#This Row],[Unit]],)</f>
        <v>0</v>
      </c>
      <c r="W761" s="102">
        <f>SUMIFS(LS[[#Headers],[BO UNIT TRANSFER]]:LS[[#This Row],[BO UNIT TRANSFER]],LS[[#Headers],[Investor ID]]:LS[[#This Row],[Investor ID]],LS[[#This Row],[Investor ID]])</f>
        <v>0</v>
      </c>
    </row>
    <row r="762" spans="1:23">
      <c r="A762" s="101">
        <v>2024</v>
      </c>
      <c r="B762" s="101">
        <v>12</v>
      </c>
      <c r="C762" s="101">
        <v>30</v>
      </c>
      <c r="D762" s="98">
        <f>DATE(LS[[#This Row],[Year]],LS[[#This Row],[Month]],LS[[#This Row],[Day]])</f>
        <v>45656</v>
      </c>
      <c r="E762" s="99" t="str" cm="1">
        <f t="array" ref="E762">INDEX(INVESTORS_LIST[INVESTOR NAME],MATCH(LS[[#This Row],[Investor ID]],INVESTORS_LIST[INVESTOR CODE],0),)</f>
        <v>KHAN MUHAMMAD KAWSER AHMED</v>
      </c>
      <c r="F762" s="100" t="s">
        <v>944</v>
      </c>
      <c r="G762" s="101">
        <f>COUNTIF(LS[[#Headers],[Investor ID]]:LS[[#This Row],[Investor ID]],LS[[#This Row],[Investor ID]])</f>
        <v>12</v>
      </c>
      <c r="H762" s="101" t="str">
        <f>CONCATENATE(LS[[#This Row],[Frequency]],LS[[#This Row],[Investor ID]])</f>
        <v>12A00449</v>
      </c>
      <c r="I762" s="75" t="str">
        <f>IF(LS[[#This Row],[B/S]]="B","BUY",(IF(LS[[#This Row],[B/S]]="S","SELL"," ")))</f>
        <v>BUY</v>
      </c>
      <c r="J762" s="101" t="s">
        <v>1229</v>
      </c>
      <c r="K762" s="102">
        <v>15000000</v>
      </c>
      <c r="L762" s="99"/>
      <c r="M762" s="103">
        <f>LS[[#This Row],[Amount]]/LS[[#This Row],[Unit]]</f>
        <v>11.8039969907677</v>
      </c>
      <c r="N762" s="104">
        <f>LS[[#This Row],[Unit Capital]]/10</f>
        <v>1270756</v>
      </c>
      <c r="O762" s="104">
        <f>SUMIFS(LS[[#Headers],[Unit]]:LS[[#This Row],[Unit]],LS[[#Headers],[Investor ID]]:LS[[#This Row],[Investor ID]],LS[[#This Row],[Investor ID]])</f>
        <v>8537086</v>
      </c>
      <c r="P762" s="102">
        <v>12707560</v>
      </c>
      <c r="Q762" s="102">
        <f>LS[[#This Row],[Amount]]-LS[[#This Row],[Unit Capital]]</f>
        <v>2292440</v>
      </c>
      <c r="R7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11.338329942083519</v>
      </c>
      <c r="S762" s="103">
        <f t="shared" si="11"/>
        <v>14.224</v>
      </c>
      <c r="T7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62" s="102" cm="1">
        <f t="array" ref="U762">IF(LS[[#This Row],[B/S]]="S",ABS(LS[[#This Row],[Unit]])*(INDEX(LS[NAV at Cost (Average)],MATCH(CONCATENATE((LS[[#This Row],[Frequency]]-1),LS[[#This Row],[Investor ID]]),LS[Unique Code],0),0)),0)</f>
        <v>0</v>
      </c>
      <c r="V762" s="102">
        <f>IF(LS[[#This Row],[BO TRANSFER]]="YES",LS[[#This Row],[Unit]],)</f>
        <v>0</v>
      </c>
      <c r="W762" s="102">
        <f>SUMIFS(LS[[#Headers],[BO UNIT TRANSFER]]:LS[[#This Row],[BO UNIT TRANSFER]],LS[[#Headers],[Investor ID]]:LS[[#This Row],[Investor ID]],LS[[#This Row],[Investor ID]])</f>
        <v>0</v>
      </c>
    </row>
    <row r="763" spans="1:23">
      <c r="A763" s="101">
        <v>2024</v>
      </c>
      <c r="B763" s="101">
        <v>12</v>
      </c>
      <c r="C763" s="101">
        <v>30</v>
      </c>
      <c r="D763" s="98">
        <f>DATE(LS[[#This Row],[Year]],LS[[#This Row],[Month]],LS[[#This Row],[Day]])</f>
        <v>45656</v>
      </c>
      <c r="E763" s="99" t="str" cm="1">
        <f t="array" ref="E763">INDEX(INVESTORS_LIST[INVESTOR NAME],MATCH(LS[[#This Row],[Investor ID]],INVESTORS_LIST[INVESTOR CODE],0),)</f>
        <v>MD. MUSTAFA KAMAL</v>
      </c>
      <c r="F763" s="100" t="s">
        <v>1300</v>
      </c>
      <c r="G763" s="101">
        <f>COUNTIF(LS[[#Headers],[Investor ID]]:LS[[#This Row],[Investor ID]],LS[[#This Row],[Investor ID]])</f>
        <v>2</v>
      </c>
      <c r="H763" s="101" t="str">
        <f>CONCATENATE(LS[[#This Row],[Frequency]],LS[[#This Row],[Investor ID]])</f>
        <v>2A00597</v>
      </c>
      <c r="I763" s="75" t="str">
        <f>IF(LS[[#This Row],[B/S]]="B","BUY",(IF(LS[[#This Row],[B/S]]="S","SELL"," ")))</f>
        <v>BUY</v>
      </c>
      <c r="J763" s="101" t="s">
        <v>1229</v>
      </c>
      <c r="K763" s="102">
        <v>100000</v>
      </c>
      <c r="L763" s="99"/>
      <c r="M763" s="103">
        <f>LS[[#This Row],[Amount]]/LS[[#This Row],[Unit]]</f>
        <v>11.803588290840416</v>
      </c>
      <c r="N763" s="104">
        <f>LS[[#This Row],[Unit Capital]]/10</f>
        <v>8472</v>
      </c>
      <c r="O763" s="104">
        <f>SUMIFS(LS[[#Headers],[Unit]]:LS[[#This Row],[Unit]],LS[[#Headers],[Investor ID]]:LS[[#This Row],[Investor ID]],LS[[#This Row],[Investor ID]])</f>
        <v>38315</v>
      </c>
      <c r="P763" s="102">
        <v>84720</v>
      </c>
      <c r="Q763" s="102">
        <f>LS[[#This Row],[Amount]]-LS[[#This Row],[Unit Capital]]</f>
        <v>15280</v>
      </c>
      <c r="R7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11.744747487929009</v>
      </c>
      <c r="S763" s="103">
        <f t="shared" si="11"/>
        <v>14.224</v>
      </c>
      <c r="T7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63" s="102" cm="1">
        <f t="array" ref="U763">IF(LS[[#This Row],[B/S]]="S",ABS(LS[[#This Row],[Unit]])*(INDEX(LS[NAV at Cost (Average)],MATCH(CONCATENATE((LS[[#This Row],[Frequency]]-1),LS[[#This Row],[Investor ID]]),LS[Unique Code],0),0)),0)</f>
        <v>0</v>
      </c>
      <c r="V763" s="102">
        <f>IF(LS[[#This Row],[BO TRANSFER]]="YES",LS[[#This Row],[Unit]],)</f>
        <v>0</v>
      </c>
      <c r="W763" s="102">
        <f>SUMIFS(LS[[#Headers],[BO UNIT TRANSFER]]:LS[[#This Row],[BO UNIT TRANSFER]],LS[[#Headers],[Investor ID]]:LS[[#This Row],[Investor ID]],LS[[#This Row],[Investor ID]])</f>
        <v>0</v>
      </c>
    </row>
    <row r="764" spans="1:23">
      <c r="A764" s="101">
        <v>2024</v>
      </c>
      <c r="B764" s="101">
        <v>12</v>
      </c>
      <c r="C764" s="101">
        <v>29</v>
      </c>
      <c r="D764" s="98">
        <f>DATE(LS[[#This Row],[Year]],LS[[#This Row],[Month]],LS[[#This Row],[Day]])</f>
        <v>45655</v>
      </c>
      <c r="E764" s="99" t="str" cm="1">
        <f t="array" ref="E764">INDEX(INVESTORS_LIST[INVESTOR NAME],MATCH(LS[[#This Row],[Investor ID]],INVESTORS_LIST[INVESTOR CODE],0),)</f>
        <v>SHAPNA RANI BARMAN</v>
      </c>
      <c r="F764" s="171" t="s">
        <v>1292</v>
      </c>
      <c r="G764" s="101">
        <f>COUNTIF(LS[[#Headers],[Investor ID]]:LS[[#This Row],[Investor ID]],LS[[#This Row],[Investor ID]])</f>
        <v>2</v>
      </c>
      <c r="H764" s="101" t="str">
        <f>CONCATENATE(LS[[#This Row],[Frequency]],LS[[#This Row],[Investor ID]])</f>
        <v>2A00593</v>
      </c>
      <c r="I764" s="75" t="str">
        <f>IF(LS[[#This Row],[B/S]]="B","BUY",(IF(LS[[#This Row],[B/S]]="S","SELL"," ")))</f>
        <v>SELL</v>
      </c>
      <c r="J764" s="101" t="s">
        <v>1231</v>
      </c>
      <c r="K764" s="152">
        <v>-1000</v>
      </c>
      <c r="L764" s="99"/>
      <c r="M764" s="103">
        <f>LS[[#This Row],[Amount]]/LS[[#This Row],[Unit]]</f>
        <v>11.764705882352942</v>
      </c>
      <c r="N764" s="104">
        <f>LS[[#This Row],[Unit Capital]]/10</f>
        <v>-85</v>
      </c>
      <c r="O764" s="104">
        <f>SUMIFS(LS[[#Headers],[Unit]]:LS[[#This Row],[Unit]],LS[[#Headers],[Investor ID]]:LS[[#This Row],[Investor ID]],LS[[#This Row],[Investor ID]])</f>
        <v>3801</v>
      </c>
      <c r="P764" s="102">
        <v>-850</v>
      </c>
      <c r="Q764" s="102">
        <f>LS[[#This Row],[Amount]]-LS[[#This Row],[Unit Capital]]</f>
        <v>-150</v>
      </c>
      <c r="R7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11.580030880082347</v>
      </c>
      <c r="S764" s="103">
        <f t="shared" si="11"/>
        <v>14.224</v>
      </c>
      <c r="T764" s="102">
        <f>IF(LS[[#This Row],[B/S]]="B",0,ABS(LS[[#This Row],[Unit]])*(LS[[#This Row],[NAV (Strike Rate)]]-INDEX(LS[NAV at Cost (Average)],MATCH(CONCATENATE(LS[[#This Row],[Frequency]]-1,LS[[#This Row],[Investor ID]]),LS[Unique Code],0),)))</f>
        <v>15.697375193000553</v>
      </c>
      <c r="U764" s="102" cm="1">
        <f t="array" ref="U764">IF(LS[[#This Row],[B/S]]="S",ABS(LS[[#This Row],[Unit]])*(INDEX(LS[NAV at Cost (Average)],MATCH(CONCATENATE((LS[[#This Row],[Frequency]]-1),LS[[#This Row],[Investor ID]]),LS[Unique Code],0),0)),0)</f>
        <v>984.30262480699957</v>
      </c>
      <c r="V764" s="102">
        <f>IF(LS[[#This Row],[BO TRANSFER]]="YES",LS[[#This Row],[Unit]],)</f>
        <v>0</v>
      </c>
      <c r="W764" s="102">
        <f>SUMIFS(LS[[#Headers],[BO UNIT TRANSFER]]:LS[[#This Row],[BO UNIT TRANSFER]],LS[[#Headers],[Investor ID]]:LS[[#This Row],[Investor ID]],LS[[#This Row],[Investor ID]])</f>
        <v>0</v>
      </c>
    </row>
    <row r="765" spans="1:23">
      <c r="A765" s="101">
        <v>2025</v>
      </c>
      <c r="B765" s="101">
        <v>1</v>
      </c>
      <c r="C765" s="101">
        <v>5</v>
      </c>
      <c r="D765" s="98">
        <f>DATE(LS[[#This Row],[Year]],LS[[#This Row],[Month]],LS[[#This Row],[Day]])</f>
        <v>45662</v>
      </c>
      <c r="E765" s="99" t="str" cm="1">
        <f t="array" ref="E765">INDEX(INVESTORS_LIST[INVESTOR NAME],MATCH(LS[[#This Row],[Investor ID]],INVESTORS_LIST[INVESTOR CODE],0),)</f>
        <v>AHMED BIN MONSUR</v>
      </c>
      <c r="F765" s="100" t="s">
        <v>692</v>
      </c>
      <c r="G765" s="101">
        <f>COUNTIF(LS[[#Headers],[Investor ID]]:LS[[#This Row],[Investor ID]],LS[[#This Row],[Investor ID]])</f>
        <v>2</v>
      </c>
      <c r="H765" s="101" t="str">
        <f>CONCATENATE(LS[[#This Row],[Frequency]],LS[[#This Row],[Investor ID]])</f>
        <v>2A00322</v>
      </c>
      <c r="I765" s="75" t="str">
        <f>IF(LS[[#This Row],[B/S]]="B","BUY",(IF(LS[[#This Row],[B/S]]="S","SELL"," ")))</f>
        <v>SELL</v>
      </c>
      <c r="J765" s="101" t="s">
        <v>1231</v>
      </c>
      <c r="K765" s="102">
        <v>-173620.36</v>
      </c>
      <c r="L765" s="99"/>
      <c r="M765" s="103">
        <f>LS[[#This Row],[Amount]]/LS[[#This Row],[Unit]]</f>
        <v>11.826999999999998</v>
      </c>
      <c r="N765" s="104">
        <f>LS[[#This Row],[Unit Capital]]/10</f>
        <v>-14680</v>
      </c>
      <c r="O765" s="104">
        <f>SUMIFS(LS[[#Headers],[Unit]]:LS[[#This Row],[Unit]],LS[[#Headers],[Investor ID]]:LS[[#This Row],[Investor ID]],LS[[#This Row],[Investor ID]])</f>
        <v>0</v>
      </c>
      <c r="P765" s="102">
        <v>-146800</v>
      </c>
      <c r="Q765" s="102">
        <f>LS[[#This Row],[Amount]]-LS[[#This Row],[Unit Capital]]</f>
        <v>-26820.359999999986</v>
      </c>
      <c r="R7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65" s="103">
        <f t="shared" si="11"/>
        <v>14.224</v>
      </c>
      <c r="T765" s="102">
        <f>IF(LS[[#This Row],[B/S]]="B",0,ABS(LS[[#This Row],[Unit]])*(LS[[#This Row],[NAV (Strike Rate)]]-INDEX(LS[NAV at Cost (Average)],MATCH(CONCATENATE(LS[[#This Row],[Frequency]]-1,LS[[#This Row],[Investor ID]]),LS[Unique Code],0),)))</f>
        <v>23620.359999999979</v>
      </c>
      <c r="U765" s="102" cm="1">
        <f t="array" ref="U765">IF(LS[[#This Row],[B/S]]="S",ABS(LS[[#This Row],[Unit]])*(INDEX(LS[NAV at Cost (Average)],MATCH(CONCATENATE((LS[[#This Row],[Frequency]]-1),LS[[#This Row],[Investor ID]]),LS[Unique Code],0),0)),0)</f>
        <v>150000</v>
      </c>
      <c r="V765" s="102">
        <f>IF(LS[[#This Row],[BO TRANSFER]]="YES",LS[[#This Row],[Unit]],)</f>
        <v>0</v>
      </c>
      <c r="W765" s="102">
        <f>SUMIFS(LS[[#Headers],[BO UNIT TRANSFER]]:LS[[#This Row],[BO UNIT TRANSFER]],LS[[#Headers],[Investor ID]]:LS[[#This Row],[Investor ID]],LS[[#This Row],[Investor ID]])</f>
        <v>0</v>
      </c>
    </row>
    <row r="766" spans="1:23">
      <c r="A766" s="101">
        <v>2025</v>
      </c>
      <c r="B766" s="101">
        <v>1</v>
      </c>
      <c r="C766" s="101">
        <v>5</v>
      </c>
      <c r="D766" s="98">
        <f>DATE(LS[[#This Row],[Year]],LS[[#This Row],[Month]],LS[[#This Row],[Day]])</f>
        <v>45662</v>
      </c>
      <c r="E766" s="99" t="str" cm="1">
        <f t="array" ref="E766">INDEX(INVESTORS_LIST[INVESTOR NAME],MATCH(LS[[#This Row],[Investor ID]],INVESTORS_LIST[INVESTOR CODE],0),)</f>
        <v>SYED FAZLE RABBY</v>
      </c>
      <c r="F766" s="100" t="s">
        <v>166</v>
      </c>
      <c r="G766" s="101">
        <f>COUNTIF(LS[[#Headers],[Investor ID]]:LS[[#This Row],[Investor ID]],LS[[#This Row],[Investor ID]])</f>
        <v>31</v>
      </c>
      <c r="H766" s="101" t="str">
        <f>CONCATENATE(LS[[#This Row],[Frequency]],LS[[#This Row],[Investor ID]])</f>
        <v>31A00059</v>
      </c>
      <c r="I766" s="75" t="str">
        <f>IF(LS[[#This Row],[B/S]]="B","BUY",(IF(LS[[#This Row],[B/S]]="S","SELL"," ")))</f>
        <v>BUY</v>
      </c>
      <c r="J766" s="101" t="s">
        <v>1229</v>
      </c>
      <c r="K766" s="102">
        <v>13400</v>
      </c>
      <c r="L766" s="99"/>
      <c r="M766" s="103">
        <f>LS[[#This Row],[Amount]]/LS[[#This Row],[Unit]]</f>
        <v>11.827007943512799</v>
      </c>
      <c r="N766" s="104">
        <f>LS[[#This Row],[Unit Capital]]/10</f>
        <v>1133</v>
      </c>
      <c r="O766" s="104">
        <f>SUMIFS(LS[[#Headers],[Unit]]:LS[[#This Row],[Unit]],LS[[#Headers],[Investor ID]]:LS[[#This Row],[Investor ID]],LS[[#This Row],[Investor ID]])</f>
        <v>511294</v>
      </c>
      <c r="P766" s="102">
        <v>11330</v>
      </c>
      <c r="Q766" s="102">
        <f>LS[[#This Row],[Amount]]-LS[[#This Row],[Unit Capital]]</f>
        <v>2070</v>
      </c>
      <c r="R7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10.856661694189359</v>
      </c>
      <c r="S766" s="103">
        <f t="shared" si="11"/>
        <v>14.224</v>
      </c>
      <c r="T76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66" s="102" cm="1">
        <f t="array" ref="U766">IF(LS[[#This Row],[B/S]]="S",ABS(LS[[#This Row],[Unit]])*(INDEX(LS[NAV at Cost (Average)],MATCH(CONCATENATE((LS[[#This Row],[Frequency]]-1),LS[[#This Row],[Investor ID]]),LS[Unique Code],0),0)),0)</f>
        <v>0</v>
      </c>
      <c r="V766" s="102">
        <f>IF(LS[[#This Row],[BO TRANSFER]]="YES",LS[[#This Row],[Unit]],)</f>
        <v>0</v>
      </c>
      <c r="W766" s="102">
        <f>SUMIFS(LS[[#Headers],[BO UNIT TRANSFER]]:LS[[#This Row],[BO UNIT TRANSFER]],LS[[#Headers],[Investor ID]]:LS[[#This Row],[Investor ID]],LS[[#This Row],[Investor ID]])</f>
        <v>0</v>
      </c>
    </row>
    <row r="767" spans="1:23">
      <c r="A767" s="101">
        <v>2025</v>
      </c>
      <c r="B767" s="101">
        <v>1</v>
      </c>
      <c r="C767" s="101">
        <v>7</v>
      </c>
      <c r="D767" s="98">
        <f>DATE(LS[[#This Row],[Year]],LS[[#This Row],[Month]],LS[[#This Row],[Day]])</f>
        <v>45664</v>
      </c>
      <c r="E767" s="99" t="str" cm="1">
        <f t="array" ref="E767">INDEX(INVESTORS_LIST[INVESTOR NAME],MATCH(LS[[#This Row],[Investor ID]],INVESTORS_LIST[INVESTOR CODE],0),)</f>
        <v>MD. WALID - AL - ZUBAYER</v>
      </c>
      <c r="F767" s="100" t="s">
        <v>565</v>
      </c>
      <c r="G767" s="101">
        <f>COUNTIF(LS[[#Headers],[Investor ID]]:LS[[#This Row],[Investor ID]],LS[[#This Row],[Investor ID]])</f>
        <v>5</v>
      </c>
      <c r="H767" s="101" t="str">
        <f>CONCATENATE(LS[[#This Row],[Frequency]],LS[[#This Row],[Investor ID]])</f>
        <v>5A00258</v>
      </c>
      <c r="I767" s="75" t="str">
        <f>IF(LS[[#This Row],[B/S]]="B","BUY",(IF(LS[[#This Row],[B/S]]="S","SELL"," ")))</f>
        <v>BUY</v>
      </c>
      <c r="J767" s="101" t="s">
        <v>1229</v>
      </c>
      <c r="K767" s="102">
        <v>295675</v>
      </c>
      <c r="L767" s="99"/>
      <c r="M767" s="103">
        <f>LS[[#This Row],[Amount]]/LS[[#This Row],[Unit]]</f>
        <v>11.827</v>
      </c>
      <c r="N767" s="104">
        <f>LS[[#This Row],[Unit Capital]]/10</f>
        <v>25000</v>
      </c>
      <c r="O767" s="104">
        <f>SUMIFS(LS[[#Headers],[Unit]]:LS[[#This Row],[Unit]],LS[[#Headers],[Investor ID]]:LS[[#This Row],[Investor ID]],LS[[#This Row],[Investor ID]])</f>
        <v>145000</v>
      </c>
      <c r="P767" s="102">
        <v>250000</v>
      </c>
      <c r="Q767" s="102">
        <f>LS[[#This Row],[Amount]]-LS[[#This Row],[Unit Capital]]</f>
        <v>45675</v>
      </c>
      <c r="R7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11.50341379310345</v>
      </c>
      <c r="S767" s="103">
        <f t="shared" si="11"/>
        <v>14.224</v>
      </c>
      <c r="T7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67" s="102" cm="1">
        <f t="array" ref="U767">IF(LS[[#This Row],[B/S]]="S",ABS(LS[[#This Row],[Unit]])*(INDEX(LS[NAV at Cost (Average)],MATCH(CONCATENATE((LS[[#This Row],[Frequency]]-1),LS[[#This Row],[Investor ID]]),LS[Unique Code],0),0)),0)</f>
        <v>0</v>
      </c>
      <c r="V767" s="102">
        <f>IF(LS[[#This Row],[BO TRANSFER]]="YES",LS[[#This Row],[Unit]],)</f>
        <v>0</v>
      </c>
      <c r="W767" s="102">
        <f>SUMIFS(LS[[#Headers],[BO UNIT TRANSFER]]:LS[[#This Row],[BO UNIT TRANSFER]],LS[[#Headers],[Investor ID]]:LS[[#This Row],[Investor ID]],LS[[#This Row],[Investor ID]])</f>
        <v>0</v>
      </c>
    </row>
    <row r="768" spans="1:23">
      <c r="A768" s="101">
        <v>2025</v>
      </c>
      <c r="B768" s="101">
        <v>1</v>
      </c>
      <c r="C768" s="101">
        <v>7</v>
      </c>
      <c r="D768" s="98">
        <f>DATE(LS[[#This Row],[Year]],LS[[#This Row],[Month]],LS[[#This Row],[Day]])</f>
        <v>45664</v>
      </c>
      <c r="E768" s="99" t="str" cm="1">
        <f t="array" ref="E768">INDEX(INVESTORS_LIST[INVESTOR NAME],MATCH(LS[[#This Row],[Investor ID]],INVESTORS_LIST[INVESTOR CODE],0),)</f>
        <v>SOURAV SAHA</v>
      </c>
      <c r="F768" s="100" t="s">
        <v>1272</v>
      </c>
      <c r="G768" s="101">
        <f>COUNTIF(LS[[#Headers],[Investor ID]]:LS[[#This Row],[Investor ID]],LS[[#This Row],[Investor ID]])</f>
        <v>7</v>
      </c>
      <c r="H768" s="101" t="str">
        <f>CONCATENATE(LS[[#This Row],[Frequency]],LS[[#This Row],[Investor ID]])</f>
        <v>7A00583</v>
      </c>
      <c r="I768" s="75" t="str">
        <f>IF(LS[[#This Row],[B/S]]="B","BUY",(IF(LS[[#This Row],[B/S]]="S","SELL"," ")))</f>
        <v>SELL</v>
      </c>
      <c r="J768" s="101" t="s">
        <v>1231</v>
      </c>
      <c r="K768" s="102">
        <v>-591551.06000000006</v>
      </c>
      <c r="L768" s="99"/>
      <c r="M768" s="103">
        <f>LS[[#This Row],[Amount]]/LS[[#This Row],[Unit]]</f>
        <v>11.827000019993203</v>
      </c>
      <c r="N768" s="104">
        <f>LS[[#This Row],[Unit Capital]]/10</f>
        <v>-50017</v>
      </c>
      <c r="O768" s="104">
        <f>SUMIFS(LS[[#Headers],[Unit]]:LS[[#This Row],[Unit]],LS[[#Headers],[Investor ID]]:LS[[#This Row],[Investor ID]],LS[[#This Row],[Investor ID]])</f>
        <v>0</v>
      </c>
      <c r="P768" s="102">
        <v>-500170</v>
      </c>
      <c r="Q768" s="102">
        <f>LS[[#This Row],[Amount]]-LS[[#This Row],[Unit Capital]]</f>
        <v>-91381.060000000056</v>
      </c>
      <c r="R7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68" s="103">
        <f t="shared" si="11"/>
        <v>14.224</v>
      </c>
      <c r="T768" s="102">
        <f>IF(LS[[#This Row],[B/S]]="B",0,ABS(LS[[#This Row],[Unit]])*(LS[[#This Row],[NAV (Strike Rate)]]-INDEX(LS[NAV at Cost (Average)],MATCH(CONCATENATE(LS[[#This Row],[Frequency]]-1,LS[[#This Row],[Investor ID]]),LS[Unique Code],0),)))</f>
        <v>27879.016691824483</v>
      </c>
      <c r="U768" s="102" cm="1">
        <f t="array" ref="U768">IF(LS[[#This Row],[B/S]]="S",ABS(LS[[#This Row],[Unit]])*(INDEX(LS[NAV at Cost (Average)],MATCH(CONCATENATE((LS[[#This Row],[Frequency]]-1),LS[[#This Row],[Investor ID]]),LS[Unique Code],0),0)),0)</f>
        <v>563672.04330817563</v>
      </c>
      <c r="V768" s="102">
        <f>IF(LS[[#This Row],[BO TRANSFER]]="YES",LS[[#This Row],[Unit]],)</f>
        <v>0</v>
      </c>
      <c r="W768" s="102">
        <f>SUMIFS(LS[[#Headers],[BO UNIT TRANSFER]]:LS[[#This Row],[BO UNIT TRANSFER]],LS[[#Headers],[Investor ID]]:LS[[#This Row],[Investor ID]],LS[[#This Row],[Investor ID]])</f>
        <v>0</v>
      </c>
    </row>
    <row r="769" spans="1:23">
      <c r="A769" s="101">
        <v>2025</v>
      </c>
      <c r="B769" s="101">
        <v>1</v>
      </c>
      <c r="C769" s="101">
        <v>7</v>
      </c>
      <c r="D769" s="98">
        <f>DATE(LS[[#This Row],[Year]],LS[[#This Row],[Month]],LS[[#This Row],[Day]])</f>
        <v>45664</v>
      </c>
      <c r="E769" s="99" t="str" cm="1">
        <f t="array" ref="E769">INDEX(INVESTORS_LIST[INVESTOR NAME],MATCH(LS[[#This Row],[Investor ID]],INVESTORS_LIST[INVESTOR CODE],0),)</f>
        <v>HASIB MUSTABSIR</v>
      </c>
      <c r="F769" s="100" t="s">
        <v>437</v>
      </c>
      <c r="G769" s="101">
        <f>COUNTIF(LS[[#Headers],[Investor ID]]:LS[[#This Row],[Investor ID]],LS[[#This Row],[Investor ID]])</f>
        <v>3</v>
      </c>
      <c r="H769" s="101" t="str">
        <f>CONCATENATE(LS[[#This Row],[Frequency]],LS[[#This Row],[Investor ID]])</f>
        <v>3A00194</v>
      </c>
      <c r="I769" s="75" t="str">
        <f>IF(LS[[#This Row],[B/S]]="B","BUY",(IF(LS[[#This Row],[B/S]]="S","SELL"," ")))</f>
        <v>SELL</v>
      </c>
      <c r="J769" s="101" t="s">
        <v>1231</v>
      </c>
      <c r="K769" s="102">
        <v>-1000000</v>
      </c>
      <c r="L769" s="99"/>
      <c r="M769" s="103">
        <f>LS[[#This Row],[Amount]]/LS[[#This Row],[Unit]]</f>
        <v>11.82704134733655</v>
      </c>
      <c r="N769" s="104">
        <f>LS[[#This Row],[Unit Capital]]/10</f>
        <v>-84552</v>
      </c>
      <c r="O769" s="104">
        <f>SUMIFS(LS[[#Headers],[Unit]]:LS[[#This Row],[Unit]],LS[[#Headers],[Investor ID]]:LS[[#This Row],[Investor ID]],LS[[#This Row],[Investor ID]])</f>
        <v>160283</v>
      </c>
      <c r="P769" s="102">
        <v>-845520</v>
      </c>
      <c r="Q769" s="102">
        <f>LS[[#This Row],[Amount]]-LS[[#This Row],[Unit Capital]]</f>
        <v>-154480</v>
      </c>
      <c r="R7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10.210958400555477</v>
      </c>
      <c r="S769" s="103">
        <f t="shared" si="11"/>
        <v>14.224</v>
      </c>
      <c r="T769" s="102">
        <f>IF(LS[[#This Row],[B/S]]="B",0,ABS(LS[[#This Row],[Unit]])*(LS[[#This Row],[NAV (Strike Rate)]]-INDEX(LS[NAV at Cost (Average)],MATCH(CONCATENATE(LS[[#This Row],[Frequency]]-1,LS[[#This Row],[Investor ID]]),LS[Unique Code],0),)))</f>
        <v>136643.04531623333</v>
      </c>
      <c r="U769" s="102" cm="1">
        <f t="array" ref="U769">IF(LS[[#This Row],[B/S]]="S",ABS(LS[[#This Row],[Unit]])*(INDEX(LS[NAV at Cost (Average)],MATCH(CONCATENATE((LS[[#This Row],[Frequency]]-1),LS[[#This Row],[Investor ID]]),LS[Unique Code],0),0)),0)</f>
        <v>863356.9546837667</v>
      </c>
      <c r="V769" s="102">
        <f>IF(LS[[#This Row],[BO TRANSFER]]="YES",LS[[#This Row],[Unit]],)</f>
        <v>0</v>
      </c>
      <c r="W769" s="102">
        <f>SUMIFS(LS[[#Headers],[BO UNIT TRANSFER]]:LS[[#This Row],[BO UNIT TRANSFER]],LS[[#Headers],[Investor ID]]:LS[[#This Row],[Investor ID]],LS[[#This Row],[Investor ID]])</f>
        <v>0</v>
      </c>
    </row>
    <row r="770" spans="1:23">
      <c r="A770" s="101">
        <v>2025</v>
      </c>
      <c r="B770" s="101">
        <v>1</v>
      </c>
      <c r="C770" s="101">
        <v>8</v>
      </c>
      <c r="D770" s="98">
        <f>DATE(LS[[#This Row],[Year]],LS[[#This Row],[Month]],LS[[#This Row],[Day]])</f>
        <v>45665</v>
      </c>
      <c r="E770" s="99" t="str" cm="1">
        <f t="array" ref="E770">INDEX(INVESTORS_LIST[INVESTOR NAME],MATCH(LS[[#This Row],[Investor ID]],INVESTORS_LIST[INVESTOR CODE],0),)</f>
        <v>CHAONIKA SAHA</v>
      </c>
      <c r="F770" s="100" t="s">
        <v>1303</v>
      </c>
      <c r="G770" s="101">
        <f>COUNTIF(LS[[#Headers],[Investor ID]]:LS[[#This Row],[Investor ID]],LS[[#This Row],[Investor ID]])</f>
        <v>1</v>
      </c>
      <c r="H770" s="101" t="str">
        <f>CONCATENATE(LS[[#This Row],[Frequency]],LS[[#This Row],[Investor ID]])</f>
        <v>1P00001</v>
      </c>
      <c r="I770" s="75" t="str">
        <f>IF(LS[[#This Row],[B/S]]="B","BUY",(IF(LS[[#This Row],[B/S]]="S","SELL"," ")))</f>
        <v>BUY</v>
      </c>
      <c r="J770" s="101" t="s">
        <v>1229</v>
      </c>
      <c r="K770" s="102">
        <v>1200000</v>
      </c>
      <c r="L770" s="99"/>
      <c r="M770" s="103">
        <f>LS[[#This Row],[Amount]]/LS[[#This Row],[Unit]]</f>
        <v>11.82697140829662</v>
      </c>
      <c r="N770" s="104">
        <f>LS[[#This Row],[Unit Capital]]/10</f>
        <v>101463</v>
      </c>
      <c r="O770" s="104">
        <f>SUMIFS(LS[[#Headers],[Unit]]:LS[[#This Row],[Unit]],LS[[#Headers],[Investor ID]]:LS[[#This Row],[Investor ID]],LS[[#This Row],[Investor ID]])</f>
        <v>101463</v>
      </c>
      <c r="P770" s="102">
        <v>1014630</v>
      </c>
      <c r="Q770" s="102">
        <f>LS[[#This Row],[Amount]]-LS[[#This Row],[Unit Capital]]</f>
        <v>185370</v>
      </c>
      <c r="R7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11.82697140829662</v>
      </c>
      <c r="S770" s="103">
        <f t="shared" si="11"/>
        <v>14.224</v>
      </c>
      <c r="T77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0" s="102" cm="1">
        <f t="array" ref="U770">IF(LS[[#This Row],[B/S]]="S",ABS(LS[[#This Row],[Unit]])*(INDEX(LS[NAV at Cost (Average)],MATCH(CONCATENATE((LS[[#This Row],[Frequency]]-1),LS[[#This Row],[Investor ID]]),LS[Unique Code],0),0)),0)</f>
        <v>0</v>
      </c>
      <c r="V770" s="102">
        <f>IF(LS[[#This Row],[BO TRANSFER]]="YES",LS[[#This Row],[Unit]],)</f>
        <v>0</v>
      </c>
      <c r="W770" s="102">
        <f>SUMIFS(LS[[#Headers],[BO UNIT TRANSFER]]:LS[[#This Row],[BO UNIT TRANSFER]],LS[[#Headers],[Investor ID]]:LS[[#This Row],[Investor ID]],LS[[#This Row],[Investor ID]])</f>
        <v>0</v>
      </c>
    </row>
    <row r="771" spans="1:23">
      <c r="A771" s="101">
        <v>2025</v>
      </c>
      <c r="B771" s="101">
        <v>1</v>
      </c>
      <c r="C771" s="101">
        <v>9</v>
      </c>
      <c r="D771" s="98">
        <f>DATE(LS[[#This Row],[Year]],LS[[#This Row],[Month]],LS[[#This Row],[Day]])</f>
        <v>45666</v>
      </c>
      <c r="E771" s="99" t="str" cm="1">
        <f t="array" ref="E771">INDEX(INVESTORS_LIST[INVESTOR NAME],MATCH(LS[[#This Row],[Investor ID]],INVESTORS_LIST[INVESTOR CODE],0),)</f>
        <v>MD. WALID - AL - ZUBAYER</v>
      </c>
      <c r="F771" s="100" t="s">
        <v>565</v>
      </c>
      <c r="G771" s="101">
        <f>COUNTIF(LS[[#Headers],[Investor ID]]:LS[[#This Row],[Investor ID]],LS[[#This Row],[Investor ID]])</f>
        <v>6</v>
      </c>
      <c r="H771" s="101" t="str">
        <f>CONCATENATE(LS[[#This Row],[Frequency]],LS[[#This Row],[Investor ID]])</f>
        <v>6A00258</v>
      </c>
      <c r="I771" s="75" t="str">
        <f>IF(LS[[#This Row],[B/S]]="B","BUY",(IF(LS[[#This Row],[B/S]]="S","SELL"," ")))</f>
        <v>BUY</v>
      </c>
      <c r="J771" s="101" t="s">
        <v>1229</v>
      </c>
      <c r="K771" s="102">
        <v>1407413</v>
      </c>
      <c r="L771" s="99"/>
      <c r="M771" s="103">
        <f>LS[[#This Row],[Amount]]/LS[[#This Row],[Unit]]</f>
        <v>11.827</v>
      </c>
      <c r="N771" s="104">
        <f>LS[[#This Row],[Unit Capital]]/10</f>
        <v>119000</v>
      </c>
      <c r="O771" s="104">
        <f>SUMIFS(LS[[#Headers],[Unit]]:LS[[#This Row],[Unit]],LS[[#Headers],[Investor ID]]:LS[[#This Row],[Investor ID]],LS[[#This Row],[Investor ID]])</f>
        <v>264000</v>
      </c>
      <c r="P771" s="102">
        <v>1190000</v>
      </c>
      <c r="Q771" s="102">
        <f>LS[[#This Row],[Amount]]-LS[[#This Row],[Unit Capital]]</f>
        <v>217413</v>
      </c>
      <c r="R7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11.649272727272727</v>
      </c>
      <c r="S771" s="103">
        <f t="shared" ref="S771:S834" si="12">IFERROR(NAV_MKT,0)</f>
        <v>14.224</v>
      </c>
      <c r="T7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1" s="102" cm="1">
        <f t="array" ref="U771">IF(LS[[#This Row],[B/S]]="S",ABS(LS[[#This Row],[Unit]])*(INDEX(LS[NAV at Cost (Average)],MATCH(CONCATENATE((LS[[#This Row],[Frequency]]-1),LS[[#This Row],[Investor ID]]),LS[Unique Code],0),0)),0)</f>
        <v>0</v>
      </c>
      <c r="V771" s="102">
        <f>IF(LS[[#This Row],[BO TRANSFER]]="YES",LS[[#This Row],[Unit]],)</f>
        <v>0</v>
      </c>
      <c r="W771" s="102">
        <f>SUMIFS(LS[[#Headers],[BO UNIT TRANSFER]]:LS[[#This Row],[BO UNIT TRANSFER]],LS[[#Headers],[Investor ID]]:LS[[#This Row],[Investor ID]],LS[[#This Row],[Investor ID]])</f>
        <v>0</v>
      </c>
    </row>
    <row r="772" spans="1:23">
      <c r="A772" s="101">
        <v>2025</v>
      </c>
      <c r="B772" s="101">
        <v>1</v>
      </c>
      <c r="C772" s="101">
        <v>12</v>
      </c>
      <c r="D772" s="98">
        <f>DATE(LS[[#This Row],[Year]],LS[[#This Row],[Month]],LS[[#This Row],[Day]])</f>
        <v>45669</v>
      </c>
      <c r="E772" s="99" t="str" cm="1">
        <f t="array" ref="E772">INDEX(INVESTORS_LIST[INVESTOR NAME],MATCH(LS[[#This Row],[Investor ID]],INVESTORS_LIST[INVESTOR CODE],0),)</f>
        <v>SWADESH RANJAN SAHA</v>
      </c>
      <c r="F772" s="100" t="s">
        <v>234</v>
      </c>
      <c r="G772" s="101">
        <f>COUNTIF(LS[[#Headers],[Investor ID]]:LS[[#This Row],[Investor ID]],LS[[#This Row],[Investor ID]])</f>
        <v>13</v>
      </c>
      <c r="H772" s="101" t="str">
        <f>CONCATENATE(LS[[#This Row],[Frequency]],LS[[#This Row],[Investor ID]])</f>
        <v>13A00093</v>
      </c>
      <c r="I772" s="75" t="str">
        <f>IF(LS[[#This Row],[B/S]]="B","BUY",(IF(LS[[#This Row],[B/S]]="S","SELL"," ")))</f>
        <v>SELL</v>
      </c>
      <c r="J772" s="101" t="s">
        <v>1231</v>
      </c>
      <c r="K772" s="102">
        <v>-1200000</v>
      </c>
      <c r="L772" s="99"/>
      <c r="M772" s="103">
        <f>LS[[#This Row],[Amount]]/LS[[#This Row],[Unit]]</f>
        <v>11.853022520742789</v>
      </c>
      <c r="N772" s="104">
        <f>LS[[#This Row],[Unit Capital]]/10</f>
        <v>-101240</v>
      </c>
      <c r="O772" s="104">
        <f>SUMIFS(LS[[#Headers],[Unit]]:LS[[#This Row],[Unit]],LS[[#Headers],[Investor ID]]:LS[[#This Row],[Investor ID]],LS[[#This Row],[Investor ID]])</f>
        <v>96052</v>
      </c>
      <c r="P772" s="102">
        <v>-1012400</v>
      </c>
      <c r="Q772" s="102">
        <f>LS[[#This Row],[Amount]]-LS[[#This Row],[Unit Capital]]</f>
        <v>-187600</v>
      </c>
      <c r="R7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772" s="103">
        <f t="shared" si="12"/>
        <v>14.224</v>
      </c>
      <c r="T772" s="102">
        <f>IF(LS[[#This Row],[B/S]]="B",0,ABS(LS[[#This Row],[Unit]])*(LS[[#This Row],[NAV (Strike Rate)]]-INDEX(LS[NAV at Cost (Average)],MATCH(CONCATENATE(LS[[#This Row],[Frequency]]-1,LS[[#This Row],[Investor ID]]),LS[Unique Code],0),)))</f>
        <v>118105.35684959921</v>
      </c>
      <c r="U772" s="102" cm="1">
        <f t="array" ref="U772">IF(LS[[#This Row],[B/S]]="S",ABS(LS[[#This Row],[Unit]])*(INDEX(LS[NAV at Cost (Average)],MATCH(CONCATENATE((LS[[#This Row],[Frequency]]-1),LS[[#This Row],[Investor ID]]),LS[Unique Code],0),0)),0)</f>
        <v>1081894.6431504006</v>
      </c>
      <c r="V772" s="102">
        <f>IF(LS[[#This Row],[BO TRANSFER]]="YES",LS[[#This Row],[Unit]],)</f>
        <v>0</v>
      </c>
      <c r="W772" s="102">
        <f>SUMIFS(LS[[#Headers],[BO UNIT TRANSFER]]:LS[[#This Row],[BO UNIT TRANSFER]],LS[[#Headers],[Investor ID]]:LS[[#This Row],[Investor ID]],LS[[#This Row],[Investor ID]])</f>
        <v>0</v>
      </c>
    </row>
    <row r="773" spans="1:23">
      <c r="A773" s="101">
        <v>2025</v>
      </c>
      <c r="B773" s="101">
        <v>1</v>
      </c>
      <c r="C773" s="101">
        <v>12</v>
      </c>
      <c r="D773" s="98">
        <f>DATE(LS[[#This Row],[Year]],LS[[#This Row],[Month]],LS[[#This Row],[Day]])</f>
        <v>45669</v>
      </c>
      <c r="E773" s="99" t="str" cm="1">
        <f t="array" ref="E773">INDEX(INVESTORS_LIST[INVESTOR NAME],MATCH(LS[[#This Row],[Investor ID]],INVESTORS_LIST[INVESTOR CODE],0),)</f>
        <v>MAYA RANI SAHA</v>
      </c>
      <c r="F773" s="100" t="s">
        <v>224</v>
      </c>
      <c r="G773" s="101">
        <f>COUNTIF(LS[[#Headers],[Investor ID]]:LS[[#This Row],[Investor ID]],LS[[#This Row],[Investor ID]])</f>
        <v>13</v>
      </c>
      <c r="H773" s="101" t="str">
        <f>CONCATENATE(LS[[#This Row],[Frequency]],LS[[#This Row],[Investor ID]])</f>
        <v>13A00088</v>
      </c>
      <c r="I773" s="75" t="str">
        <f>IF(LS[[#This Row],[B/S]]="B","BUY",(IF(LS[[#This Row],[B/S]]="S","SELL"," ")))</f>
        <v>SELL</v>
      </c>
      <c r="J773" s="101" t="s">
        <v>1231</v>
      </c>
      <c r="K773" s="102">
        <v>-1000000</v>
      </c>
      <c r="L773" s="99"/>
      <c r="M773" s="103">
        <f>LS[[#This Row],[Amount]]/LS[[#This Row],[Unit]]</f>
        <v>11.852975689546861</v>
      </c>
      <c r="N773" s="104">
        <f>LS[[#This Row],[Unit Capital]]/10</f>
        <v>-84367</v>
      </c>
      <c r="O773" s="104">
        <f>SUMIFS(LS[[#Headers],[Unit]]:LS[[#This Row],[Unit]],LS[[#Headers],[Investor ID]]:LS[[#This Row],[Investor ID]],LS[[#This Row],[Investor ID]])</f>
        <v>507602</v>
      </c>
      <c r="P773" s="102">
        <v>-843670</v>
      </c>
      <c r="Q773" s="102">
        <f>LS[[#This Row],[Amount]]-LS[[#This Row],[Unit Capital]]</f>
        <v>-156330</v>
      </c>
      <c r="R7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10.389057535107414</v>
      </c>
      <c r="S773" s="103">
        <f t="shared" si="12"/>
        <v>14.224</v>
      </c>
      <c r="T773" s="102">
        <f>IF(LS[[#This Row],[B/S]]="B",0,ABS(LS[[#This Row],[Unit]])*(LS[[#This Row],[NAV (Strike Rate)]]-INDEX(LS[NAV at Cost (Average)],MATCH(CONCATENATE(LS[[#This Row],[Frequency]]-1,LS[[#This Row],[Investor ID]]),LS[Unique Code],0),)))</f>
        <v>123506.38293559286</v>
      </c>
      <c r="U773" s="102" cm="1">
        <f t="array" ref="U773">IF(LS[[#This Row],[B/S]]="S",ABS(LS[[#This Row],[Unit]])*(INDEX(LS[NAV at Cost (Average)],MATCH(CONCATENATE((LS[[#This Row],[Frequency]]-1),LS[[#This Row],[Investor ID]]),LS[Unique Code],0),0)),0)</f>
        <v>876493.61706440721</v>
      </c>
      <c r="V773" s="102">
        <f>IF(LS[[#This Row],[BO TRANSFER]]="YES",LS[[#This Row],[Unit]],)</f>
        <v>0</v>
      </c>
      <c r="W773" s="102">
        <f>SUMIFS(LS[[#Headers],[BO UNIT TRANSFER]]:LS[[#This Row],[BO UNIT TRANSFER]],LS[[#Headers],[Investor ID]]:LS[[#This Row],[Investor ID]],LS[[#This Row],[Investor ID]])</f>
        <v>0</v>
      </c>
    </row>
    <row r="774" spans="1:23">
      <c r="A774" s="101">
        <v>2025</v>
      </c>
      <c r="B774" s="101">
        <v>1</v>
      </c>
      <c r="C774" s="101">
        <v>12</v>
      </c>
      <c r="D774" s="98">
        <f>DATE(LS[[#This Row],[Year]],LS[[#This Row],[Month]],LS[[#This Row],[Day]])</f>
        <v>45669</v>
      </c>
      <c r="E774" s="99" t="str" cm="1">
        <f t="array" ref="E774">INDEX(INVESTORS_LIST[INVESTOR NAME],MATCH(LS[[#This Row],[Investor ID]],INVESTORS_LIST[INVESTOR CODE],0),)</f>
        <v>KHAN MUHAMMAD KAWSER AHMED</v>
      </c>
      <c r="F774" s="100" t="s">
        <v>944</v>
      </c>
      <c r="G774" s="101">
        <f>COUNTIF(LS[[#Headers],[Investor ID]]:LS[[#This Row],[Investor ID]],LS[[#This Row],[Investor ID]])</f>
        <v>13</v>
      </c>
      <c r="H774" s="101" t="str">
        <f>CONCATENATE(LS[[#This Row],[Frequency]],LS[[#This Row],[Investor ID]])</f>
        <v>13A00449</v>
      </c>
      <c r="I774" s="75" t="str">
        <f>IF(LS[[#This Row],[B/S]]="B","BUY",(IF(LS[[#This Row],[B/S]]="S","SELL"," ")))</f>
        <v>BUY</v>
      </c>
      <c r="J774" s="101" t="s">
        <v>1229</v>
      </c>
      <c r="K774" s="102">
        <v>10000000</v>
      </c>
      <c r="L774" s="99"/>
      <c r="M774" s="103">
        <f>LS[[#This Row],[Amount]]/LS[[#This Row],[Unit]]</f>
        <v>11.853003788220011</v>
      </c>
      <c r="N774" s="104">
        <f>LS[[#This Row],[Unit Capital]]/10</f>
        <v>843668</v>
      </c>
      <c r="O774" s="104">
        <f>SUMIFS(LS[[#Headers],[Unit]]:LS[[#This Row],[Unit]],LS[[#Headers],[Investor ID]]:LS[[#This Row],[Investor ID]],LS[[#This Row],[Investor ID]])</f>
        <v>9380754</v>
      </c>
      <c r="P774" s="102">
        <v>8436680</v>
      </c>
      <c r="Q774" s="102">
        <f>LS[[#This Row],[Amount]]-LS[[#This Row],[Unit Capital]]</f>
        <v>1563320</v>
      </c>
      <c r="R7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11.384617676995049</v>
      </c>
      <c r="S774" s="103">
        <f t="shared" si="12"/>
        <v>14.224</v>
      </c>
      <c r="T7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4" s="102" cm="1">
        <f t="array" ref="U774">IF(LS[[#This Row],[B/S]]="S",ABS(LS[[#This Row],[Unit]])*(INDEX(LS[NAV at Cost (Average)],MATCH(CONCATENATE((LS[[#This Row],[Frequency]]-1),LS[[#This Row],[Investor ID]]),LS[Unique Code],0),0)),0)</f>
        <v>0</v>
      </c>
      <c r="V774" s="102">
        <f>IF(LS[[#This Row],[BO TRANSFER]]="YES",LS[[#This Row],[Unit]],)</f>
        <v>0</v>
      </c>
      <c r="W774" s="102">
        <f>SUMIFS(LS[[#Headers],[BO UNIT TRANSFER]]:LS[[#This Row],[BO UNIT TRANSFER]],LS[[#Headers],[Investor ID]]:LS[[#This Row],[Investor ID]],LS[[#This Row],[Investor ID]])</f>
        <v>0</v>
      </c>
    </row>
    <row r="775" spans="1:23">
      <c r="A775" s="101">
        <v>2025</v>
      </c>
      <c r="B775" s="101">
        <v>1</v>
      </c>
      <c r="C775" s="101">
        <v>13</v>
      </c>
      <c r="D775" s="98">
        <f>DATE(LS[[#This Row],[Year]],LS[[#This Row],[Month]],LS[[#This Row],[Day]])</f>
        <v>45670</v>
      </c>
      <c r="E775" s="99" t="str" cm="1">
        <f t="array" ref="E775">INDEX(INVESTORS_LIST[INVESTOR NAME],MATCH(LS[[#This Row],[Investor ID]],INVESTORS_LIST[INVESTOR CODE],0),)</f>
        <v>KAZI HABIBUR RAHMAN</v>
      </c>
      <c r="F775" s="100" t="s">
        <v>1114</v>
      </c>
      <c r="G775" s="101">
        <f>COUNTIF(LS[[#Headers],[Investor ID]]:LS[[#This Row],[Investor ID]],LS[[#This Row],[Investor ID]])</f>
        <v>23</v>
      </c>
      <c r="H775" s="101" t="str">
        <f>CONCATENATE(LS[[#This Row],[Frequency]],LS[[#This Row],[Investor ID]])</f>
        <v>23A00532</v>
      </c>
      <c r="I775" s="75" t="str">
        <f>IF(LS[[#This Row],[B/S]]="B","BUY",(IF(LS[[#This Row],[B/S]]="S","SELL"," ")))</f>
        <v>SELL</v>
      </c>
      <c r="J775" s="101" t="s">
        <v>1231</v>
      </c>
      <c r="K775" s="102">
        <v>-500000</v>
      </c>
      <c r="L775" s="99"/>
      <c r="M775" s="103">
        <f>LS[[#This Row],[Amount]]/LS[[#This Row],[Unit]]</f>
        <v>11.853116184244838</v>
      </c>
      <c r="N775" s="104">
        <f>LS[[#This Row],[Unit Capital]]/10</f>
        <v>-42183</v>
      </c>
      <c r="O775" s="104">
        <f>SUMIFS(LS[[#Headers],[Unit]]:LS[[#This Row],[Unit]],LS[[#Headers],[Investor ID]]:LS[[#This Row],[Investor ID]],LS[[#This Row],[Investor ID]])</f>
        <v>727790</v>
      </c>
      <c r="P775" s="102">
        <v>-421830</v>
      </c>
      <c r="Q775" s="102">
        <f>LS[[#This Row],[Amount]]-LS[[#This Row],[Unit Capital]]</f>
        <v>-78170</v>
      </c>
      <c r="R7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11.231178819969475</v>
      </c>
      <c r="S775" s="103">
        <f t="shared" si="12"/>
        <v>14.224</v>
      </c>
      <c r="T775" s="102">
        <f>IF(LS[[#This Row],[B/S]]="B",0,ABS(LS[[#This Row],[Unit]])*(LS[[#This Row],[NAV (Strike Rate)]]-INDEX(LS[NAV at Cost (Average)],MATCH(CONCATENATE(LS[[#This Row],[Frequency]]-1,LS[[#This Row],[Investor ID]]),LS[Unique Code],0),)))</f>
        <v>26235.183837227625</v>
      </c>
      <c r="U775" s="102" cm="1">
        <f t="array" ref="U775">IF(LS[[#This Row],[B/S]]="S",ABS(LS[[#This Row],[Unit]])*(INDEX(LS[NAV at Cost (Average)],MATCH(CONCATENATE((LS[[#This Row],[Frequency]]-1),LS[[#This Row],[Investor ID]]),LS[Unique Code],0),0)),0)</f>
        <v>473764.81616277236</v>
      </c>
      <c r="V775" s="102">
        <f>IF(LS[[#This Row],[BO TRANSFER]]="YES",LS[[#This Row],[Unit]],)</f>
        <v>0</v>
      </c>
      <c r="W775" s="102">
        <f>SUMIFS(LS[[#Headers],[BO UNIT TRANSFER]]:LS[[#This Row],[BO UNIT TRANSFER]],LS[[#Headers],[Investor ID]]:LS[[#This Row],[Investor ID]],LS[[#This Row],[Investor ID]])</f>
        <v>0</v>
      </c>
    </row>
    <row r="776" spans="1:23">
      <c r="A776" s="101">
        <v>2025</v>
      </c>
      <c r="B776" s="101">
        <v>1</v>
      </c>
      <c r="C776" s="101">
        <v>16</v>
      </c>
      <c r="D776" s="98">
        <f>DATE(LS[[#This Row],[Year]],LS[[#This Row],[Month]],LS[[#This Row],[Day]])</f>
        <v>45673</v>
      </c>
      <c r="E776" s="99" t="str" cm="1">
        <f t="array" ref="E776">INDEX(INVESTORS_LIST[INVESTOR NAME],MATCH(LS[[#This Row],[Investor ID]],INVESTORS_LIST[INVESTOR CODE],0),)</f>
        <v>NANDINI SAHA</v>
      </c>
      <c r="F776" s="100" t="s">
        <v>242</v>
      </c>
      <c r="G776" s="101">
        <f>COUNTIF(LS[[#Headers],[Investor ID]]:LS[[#This Row],[Investor ID]],LS[[#This Row],[Investor ID]])</f>
        <v>6</v>
      </c>
      <c r="H776" s="101" t="str">
        <f>CONCATENATE(LS[[#This Row],[Frequency]],LS[[#This Row],[Investor ID]])</f>
        <v>6A00097</v>
      </c>
      <c r="I776" s="75" t="str">
        <f>IF(LS[[#This Row],[B/S]]="B","BUY",(IF(LS[[#This Row],[B/S]]="S","SELL"," ")))</f>
        <v>SELL</v>
      </c>
      <c r="J776" s="101" t="s">
        <v>1231</v>
      </c>
      <c r="K776" s="102">
        <v>-100000</v>
      </c>
      <c r="L776" s="99"/>
      <c r="M776" s="103">
        <f>LS[[#This Row],[Amount]]/LS[[#This Row],[Unit]]</f>
        <v>11.852554225435581</v>
      </c>
      <c r="N776" s="104">
        <f>LS[[#This Row],[Unit Capital]]/10</f>
        <v>-8437</v>
      </c>
      <c r="O776" s="104">
        <f>SUMIFS(LS[[#Headers],[Unit]]:LS[[#This Row],[Unit]],LS[[#Headers],[Investor ID]]:LS[[#This Row],[Investor ID]],LS[[#This Row],[Investor ID]])</f>
        <v>145721</v>
      </c>
      <c r="P776" s="102">
        <v>-84370</v>
      </c>
      <c r="Q776" s="102">
        <f>LS[[#This Row],[Amount]]-LS[[#This Row],[Unit Capital]]</f>
        <v>-15630</v>
      </c>
      <c r="R7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10.735738657740757</v>
      </c>
      <c r="S776" s="103">
        <f t="shared" si="12"/>
        <v>14.224</v>
      </c>
      <c r="T776" s="102">
        <f>IF(LS[[#This Row],[B/S]]="B",0,ABS(LS[[#This Row],[Unit]])*(LS[[#This Row],[NAV (Strike Rate)]]-INDEX(LS[NAV at Cost (Average)],MATCH(CONCATENATE(LS[[#This Row],[Frequency]]-1,LS[[#This Row],[Investor ID]]),LS[Unique Code],0),)))</f>
        <v>9422.5729446412261</v>
      </c>
      <c r="U776" s="102" cm="1">
        <f t="array" ref="U776">IF(LS[[#This Row],[B/S]]="S",ABS(LS[[#This Row],[Unit]])*(INDEX(LS[NAV at Cost (Average)],MATCH(CONCATENATE((LS[[#This Row],[Frequency]]-1),LS[[#This Row],[Investor ID]]),LS[Unique Code],0),0)),0)</f>
        <v>90577.42705535877</v>
      </c>
      <c r="V776" s="102">
        <f>IF(LS[[#This Row],[BO TRANSFER]]="YES",LS[[#This Row],[Unit]],)</f>
        <v>0</v>
      </c>
      <c r="W776" s="102">
        <f>SUMIFS(LS[[#Headers],[BO UNIT TRANSFER]]:LS[[#This Row],[BO UNIT TRANSFER]],LS[[#Headers],[Investor ID]]:LS[[#This Row],[Investor ID]],LS[[#This Row],[Investor ID]])</f>
        <v>0</v>
      </c>
    </row>
    <row r="777" spans="1:23">
      <c r="A777" s="101">
        <v>2025</v>
      </c>
      <c r="B777" s="101">
        <v>1</v>
      </c>
      <c r="C777" s="101">
        <v>16</v>
      </c>
      <c r="D777" s="98">
        <f>DATE(LS[[#This Row],[Year]],LS[[#This Row],[Month]],LS[[#This Row],[Day]])</f>
        <v>45673</v>
      </c>
      <c r="E777" s="99" t="str" cm="1">
        <f t="array" ref="E777">INDEX(INVESTORS_LIST[INVESTOR NAME],MATCH(LS[[#This Row],[Investor ID]],INVESTORS_LIST[INVESTOR CODE],0),)</f>
        <v>KHAN MUHAMMAD KAWSER AHMED</v>
      </c>
      <c r="F777" s="100" t="s">
        <v>944</v>
      </c>
      <c r="G777" s="101">
        <f>COUNTIF(LS[[#Headers],[Investor ID]]:LS[[#This Row],[Investor ID]],LS[[#This Row],[Investor ID]])</f>
        <v>14</v>
      </c>
      <c r="H777" s="101" t="str">
        <f>CONCATENATE(LS[[#This Row],[Frequency]],LS[[#This Row],[Investor ID]])</f>
        <v>14A00449</v>
      </c>
      <c r="I777" s="75" t="str">
        <f>IF(LS[[#This Row],[B/S]]="B","BUY",(IF(LS[[#This Row],[B/S]]="S","SELL"," ")))</f>
        <v>BUY</v>
      </c>
      <c r="J777" s="101" t="s">
        <v>1229</v>
      </c>
      <c r="K777" s="102">
        <v>10000000</v>
      </c>
      <c r="L777" s="99"/>
      <c r="M777" s="103">
        <f>LS[[#This Row],[Amount]]/LS[[#This Row],[Unit]]</f>
        <v>11.853003788220011</v>
      </c>
      <c r="N777" s="104">
        <f>LS[[#This Row],[Unit Capital]]/10</f>
        <v>843668</v>
      </c>
      <c r="O777" s="104">
        <f>SUMIFS(LS[[#Headers],[Unit]]:LS[[#This Row],[Unit]],LS[[#Headers],[Investor ID]]:LS[[#This Row],[Investor ID]],LS[[#This Row],[Investor ID]])</f>
        <v>10224422</v>
      </c>
      <c r="P777" s="102">
        <v>8436680</v>
      </c>
      <c r="Q777" s="102">
        <f>LS[[#This Row],[Amount]]-LS[[#This Row],[Unit Capital]]</f>
        <v>1563320</v>
      </c>
      <c r="R7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11.423266548655954</v>
      </c>
      <c r="S777" s="103">
        <f t="shared" si="12"/>
        <v>14.224</v>
      </c>
      <c r="T7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7" s="102" cm="1">
        <f t="array" ref="U777">IF(LS[[#This Row],[B/S]]="S",ABS(LS[[#This Row],[Unit]])*(INDEX(LS[NAV at Cost (Average)],MATCH(CONCATENATE((LS[[#This Row],[Frequency]]-1),LS[[#This Row],[Investor ID]]),LS[Unique Code],0),0)),0)</f>
        <v>0</v>
      </c>
      <c r="V777" s="102">
        <f>IF(LS[[#This Row],[BO TRANSFER]]="YES",LS[[#This Row],[Unit]],)</f>
        <v>0</v>
      </c>
      <c r="W777" s="102">
        <f>SUMIFS(LS[[#Headers],[BO UNIT TRANSFER]]:LS[[#This Row],[BO UNIT TRANSFER]],LS[[#Headers],[Investor ID]]:LS[[#This Row],[Investor ID]],LS[[#This Row],[Investor ID]])</f>
        <v>0</v>
      </c>
    </row>
    <row r="778" spans="1:23">
      <c r="A778" s="101">
        <v>2025</v>
      </c>
      <c r="B778" s="101">
        <v>1</v>
      </c>
      <c r="C778" s="101">
        <v>16</v>
      </c>
      <c r="D778" s="98">
        <f>DATE(LS[[#This Row],[Year]],LS[[#This Row],[Month]],LS[[#This Row],[Day]])</f>
        <v>45673</v>
      </c>
      <c r="E778" s="99" t="str" cm="1">
        <f t="array" ref="E778">INDEX(INVESTORS_LIST[INVESTOR NAME],MATCH(LS[[#This Row],[Investor ID]],INVESTORS_LIST[INVESTOR CODE],0),)</f>
        <v>MD. WALID - AL - ZUBAYER</v>
      </c>
      <c r="F778" s="100" t="s">
        <v>565</v>
      </c>
      <c r="G778" s="101">
        <f>COUNTIF(LS[[#Headers],[Investor ID]]:LS[[#This Row],[Investor ID]],LS[[#This Row],[Investor ID]])</f>
        <v>7</v>
      </c>
      <c r="H778" s="101" t="str">
        <f>CONCATENATE(LS[[#This Row],[Frequency]],LS[[#This Row],[Investor ID]])</f>
        <v>7A00258</v>
      </c>
      <c r="I778" s="75" t="str">
        <f>IF(LS[[#This Row],[B/S]]="B","BUY",(IF(LS[[#This Row],[B/S]]="S","SELL"," ")))</f>
        <v>BUY</v>
      </c>
      <c r="J778" s="101" t="s">
        <v>1229</v>
      </c>
      <c r="K778" s="102">
        <v>651915</v>
      </c>
      <c r="L778" s="99"/>
      <c r="M778" s="103">
        <f>LS[[#This Row],[Amount]]/LS[[#This Row],[Unit]]</f>
        <v>11.853</v>
      </c>
      <c r="N778" s="104">
        <f>LS[[#This Row],[Unit Capital]]/10</f>
        <v>55000</v>
      </c>
      <c r="O778" s="104">
        <f>SUMIFS(LS[[#Headers],[Unit]]:LS[[#This Row],[Unit]],LS[[#Headers],[Investor ID]]:LS[[#This Row],[Investor ID]],LS[[#This Row],[Investor ID]])</f>
        <v>319000</v>
      </c>
      <c r="P778" s="102">
        <v>550000</v>
      </c>
      <c r="Q778" s="102">
        <f>LS[[#This Row],[Amount]]-LS[[#This Row],[Unit Capital]]</f>
        <v>101915</v>
      </c>
      <c r="R7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11.684398119122257</v>
      </c>
      <c r="S778" s="103">
        <f t="shared" si="12"/>
        <v>14.224</v>
      </c>
      <c r="T7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8" s="102" cm="1">
        <f t="array" ref="U778">IF(LS[[#This Row],[B/S]]="S",ABS(LS[[#This Row],[Unit]])*(INDEX(LS[NAV at Cost (Average)],MATCH(CONCATENATE((LS[[#This Row],[Frequency]]-1),LS[[#This Row],[Investor ID]]),LS[Unique Code],0),0)),0)</f>
        <v>0</v>
      </c>
      <c r="V778" s="102">
        <f>IF(LS[[#This Row],[BO TRANSFER]]="YES",LS[[#This Row],[Unit]],)</f>
        <v>0</v>
      </c>
      <c r="W778" s="102">
        <f>SUMIFS(LS[[#Headers],[BO UNIT TRANSFER]]:LS[[#This Row],[BO UNIT TRANSFER]],LS[[#Headers],[Investor ID]]:LS[[#This Row],[Investor ID]],LS[[#This Row],[Investor ID]])</f>
        <v>0</v>
      </c>
    </row>
    <row r="779" spans="1:23">
      <c r="A779" s="101">
        <v>2025</v>
      </c>
      <c r="B779" s="101">
        <v>1</v>
      </c>
      <c r="C779" s="101">
        <v>20</v>
      </c>
      <c r="D779" s="98">
        <f>DATE(LS[[#This Row],[Year]],LS[[#This Row],[Month]],LS[[#This Row],[Day]])</f>
        <v>45677</v>
      </c>
      <c r="E779" s="99" t="str" cm="1">
        <f t="array" ref="E779">INDEX(INVESTORS_LIST[INVESTOR NAME],MATCH(LS[[#This Row],[Investor ID]],INVESTORS_LIST[INVESTOR CODE],0),)</f>
        <v>KHAN MUHAMMAD KAWSER AHMED</v>
      </c>
      <c r="F779" s="100" t="s">
        <v>944</v>
      </c>
      <c r="G779" s="101">
        <f>COUNTIF(LS[[#Headers],[Investor ID]]:LS[[#This Row],[Investor ID]],LS[[#This Row],[Investor ID]])</f>
        <v>15</v>
      </c>
      <c r="H779" s="101" t="str">
        <f>CONCATENATE(LS[[#This Row],[Frequency]],LS[[#This Row],[Investor ID]])</f>
        <v>15A00449</v>
      </c>
      <c r="I779" s="75" t="str">
        <f>IF(LS[[#This Row],[B/S]]="B","BUY",(IF(LS[[#This Row],[B/S]]="S","SELL"," ")))</f>
        <v>BUY</v>
      </c>
      <c r="J779" s="101" t="s">
        <v>1229</v>
      </c>
      <c r="K779" s="102">
        <v>10000000</v>
      </c>
      <c r="L779" s="99"/>
      <c r="M779" s="103">
        <f>LS[[#This Row],[Amount]]/LS[[#This Row],[Unit]]</f>
        <v>11.877993996861834</v>
      </c>
      <c r="N779" s="104">
        <f>LS[[#This Row],[Unit Capital]]/10</f>
        <v>841893</v>
      </c>
      <c r="O779" s="104">
        <f>SUMIFS(LS[[#Headers],[Unit]]:LS[[#This Row],[Unit]],LS[[#Headers],[Investor ID]]:LS[[#This Row],[Investor ID]],LS[[#This Row],[Investor ID]])</f>
        <v>11066315</v>
      </c>
      <c r="P779" s="102">
        <v>8418930</v>
      </c>
      <c r="Q779" s="102">
        <f>LS[[#This Row],[Amount]]-LS[[#This Row],[Unit Capital]]</f>
        <v>1581070</v>
      </c>
      <c r="R7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11.457860887923578</v>
      </c>
      <c r="S779" s="103">
        <f t="shared" si="12"/>
        <v>14.224</v>
      </c>
      <c r="T7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79" s="102" cm="1">
        <f t="array" ref="U779">IF(LS[[#This Row],[B/S]]="S",ABS(LS[[#This Row],[Unit]])*(INDEX(LS[NAV at Cost (Average)],MATCH(CONCATENATE((LS[[#This Row],[Frequency]]-1),LS[[#This Row],[Investor ID]]),LS[Unique Code],0),0)),0)</f>
        <v>0</v>
      </c>
      <c r="V779" s="102">
        <f>IF(LS[[#This Row],[BO TRANSFER]]="YES",LS[[#This Row],[Unit]],)</f>
        <v>0</v>
      </c>
      <c r="W779" s="102">
        <f>SUMIFS(LS[[#Headers],[BO UNIT TRANSFER]]:LS[[#This Row],[BO UNIT TRANSFER]],LS[[#Headers],[Investor ID]]:LS[[#This Row],[Investor ID]],LS[[#This Row],[Investor ID]])</f>
        <v>0</v>
      </c>
    </row>
    <row r="780" spans="1:23">
      <c r="A780" s="101">
        <v>2025</v>
      </c>
      <c r="B780" s="101">
        <v>1</v>
      </c>
      <c r="C780" s="101">
        <v>20</v>
      </c>
      <c r="D780" s="98">
        <f>DATE(LS[[#This Row],[Year]],LS[[#This Row],[Month]],LS[[#This Row],[Day]])</f>
        <v>45677</v>
      </c>
      <c r="E780" s="99" t="str" cm="1">
        <f t="array" ref="E780">INDEX(INVESTORS_LIST[INVESTOR NAME],MATCH(LS[[#This Row],[Investor ID]],INVESTORS_LIST[INVESTOR CODE],0),)</f>
        <v>CHAONIKA SAHA</v>
      </c>
      <c r="F780" s="100" t="s">
        <v>1303</v>
      </c>
      <c r="G780" s="101">
        <f>COUNTIF(LS[[#Headers],[Investor ID]]:LS[[#This Row],[Investor ID]],LS[[#This Row],[Investor ID]])</f>
        <v>2</v>
      </c>
      <c r="H780" s="101" t="str">
        <f>CONCATENATE(LS[[#This Row],[Frequency]],LS[[#This Row],[Investor ID]])</f>
        <v>2P00001</v>
      </c>
      <c r="I780" s="75" t="str">
        <f>IF(LS[[#This Row],[B/S]]="B","BUY",(IF(LS[[#This Row],[B/S]]="S","SELL"," ")))</f>
        <v>SELL</v>
      </c>
      <c r="J780" s="101" t="s">
        <v>1231</v>
      </c>
      <c r="K780" s="102">
        <v>-100000</v>
      </c>
      <c r="L780" s="99"/>
      <c r="M780" s="103">
        <f>LS[[#This Row],[Amount]]/LS[[#This Row],[Unit]]</f>
        <v>11.87789523696401</v>
      </c>
      <c r="N780" s="104">
        <f>LS[[#This Row],[Unit Capital]]/10</f>
        <v>-8419</v>
      </c>
      <c r="O780" s="104">
        <f>SUMIFS(LS[[#Headers],[Unit]]:LS[[#This Row],[Unit]],LS[[#Headers],[Investor ID]]:LS[[#This Row],[Investor ID]],LS[[#This Row],[Investor ID]])</f>
        <v>93044</v>
      </c>
      <c r="P780" s="102">
        <v>-84190</v>
      </c>
      <c r="Q780" s="102">
        <f>LS[[#This Row],[Amount]]-LS[[#This Row],[Unit Capital]]</f>
        <v>-15810</v>
      </c>
      <c r="R7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11.82697140829662</v>
      </c>
      <c r="S780" s="103">
        <f t="shared" si="12"/>
        <v>14.224</v>
      </c>
      <c r="T780" s="102">
        <f>IF(LS[[#This Row],[B/S]]="B",0,ABS(LS[[#This Row],[Unit]])*(LS[[#This Row],[NAV (Strike Rate)]]-INDEX(LS[NAV at Cost (Average)],MATCH(CONCATENATE(LS[[#This Row],[Frequency]]-1,LS[[#This Row],[Investor ID]]),LS[Unique Code],0),)))</f>
        <v>428.72771355075531</v>
      </c>
      <c r="U780" s="102" cm="1">
        <f t="array" ref="U780">IF(LS[[#This Row],[B/S]]="S",ABS(LS[[#This Row],[Unit]])*(INDEX(LS[NAV at Cost (Average)],MATCH(CONCATENATE((LS[[#This Row],[Frequency]]-1),LS[[#This Row],[Investor ID]]),LS[Unique Code],0),0)),0)</f>
        <v>99571.272286449239</v>
      </c>
      <c r="V780" s="102">
        <f>IF(LS[[#This Row],[BO TRANSFER]]="YES",LS[[#This Row],[Unit]],)</f>
        <v>0</v>
      </c>
      <c r="W780" s="102">
        <f>SUMIFS(LS[[#Headers],[BO UNIT TRANSFER]]:LS[[#This Row],[BO UNIT TRANSFER]],LS[[#Headers],[Investor ID]]:LS[[#This Row],[Investor ID]],LS[[#This Row],[Investor ID]])</f>
        <v>0</v>
      </c>
    </row>
    <row r="781" spans="1:23">
      <c r="A781" s="101">
        <v>2025</v>
      </c>
      <c r="B781" s="101">
        <v>1</v>
      </c>
      <c r="C781" s="101">
        <v>20</v>
      </c>
      <c r="D781" s="98">
        <f>DATE(LS[[#This Row],[Year]],LS[[#This Row],[Month]],LS[[#This Row],[Day]])</f>
        <v>45677</v>
      </c>
      <c r="E781" s="99" t="str" cm="1">
        <f t="array" ref="E781">INDEX(INVESTORS_LIST[INVESTOR NAME],MATCH(LS[[#This Row],[Investor ID]],INVESTORS_LIST[INVESTOR CODE],0),)</f>
        <v>CHAONIKA SAHA</v>
      </c>
      <c r="F781" s="100" t="s">
        <v>1303</v>
      </c>
      <c r="G781" s="101">
        <f>COUNTIF(LS[[#Headers],[Investor ID]]:LS[[#This Row],[Investor ID]],LS[[#This Row],[Investor ID]])</f>
        <v>3</v>
      </c>
      <c r="H781" s="101" t="str">
        <f>CONCATENATE(LS[[#This Row],[Frequency]],LS[[#This Row],[Investor ID]])</f>
        <v>3P00001</v>
      </c>
      <c r="I781" s="75" t="str">
        <f>IF(LS[[#This Row],[B/S]]="B","BUY",(IF(LS[[#This Row],[B/S]]="S","SELL"," ")))</f>
        <v>SELL</v>
      </c>
      <c r="J781" s="101" t="s">
        <v>1231</v>
      </c>
      <c r="K781" s="102">
        <v>-502154.33</v>
      </c>
      <c r="L781" s="99"/>
      <c r="M781" s="103">
        <f>LS[[#This Row],[Amount]]/LS[[#This Row],[Unit]]</f>
        <v>11.878000047308166</v>
      </c>
      <c r="N781" s="104">
        <f>LS[[#This Row],[Unit Capital]]/10</f>
        <v>-42276</v>
      </c>
      <c r="O781" s="104">
        <f>SUMIFS(LS[[#Headers],[Unit]]:LS[[#This Row],[Unit]],LS[[#Headers],[Investor ID]]:LS[[#This Row],[Investor ID]],LS[[#This Row],[Investor ID]])</f>
        <v>50768</v>
      </c>
      <c r="P781" s="102">
        <v>-422760</v>
      </c>
      <c r="Q781" s="102">
        <f>LS[[#This Row],[Amount]]-LS[[#This Row],[Unit Capital]]</f>
        <v>-79394.330000000016</v>
      </c>
      <c r="R7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11.82697140829662</v>
      </c>
      <c r="S781" s="103">
        <f t="shared" si="12"/>
        <v>14.224</v>
      </c>
      <c r="T781" s="102">
        <f>IF(LS[[#This Row],[B/S]]="B",0,ABS(LS[[#This Row],[Unit]])*(LS[[#This Row],[NAV (Strike Rate)]]-INDEX(LS[NAV at Cost (Average)],MATCH(CONCATENATE(LS[[#This Row],[Frequency]]-1,LS[[#This Row],[Investor ID]]),LS[Unique Code],0),)))</f>
        <v>2157.2867428521363</v>
      </c>
      <c r="U781" s="102" cm="1">
        <f t="array" ref="U781">IF(LS[[#This Row],[B/S]]="S",ABS(LS[[#This Row],[Unit]])*(INDEX(LS[NAV at Cost (Average)],MATCH(CONCATENATE((LS[[#This Row],[Frequency]]-1),LS[[#This Row],[Investor ID]]),LS[Unique Code],0),0)),0)</f>
        <v>499997.04325714789</v>
      </c>
      <c r="V781" s="102">
        <f>IF(LS[[#This Row],[BO TRANSFER]]="YES",LS[[#This Row],[Unit]],)</f>
        <v>0</v>
      </c>
      <c r="W781" s="102">
        <f>SUMIFS(LS[[#Headers],[BO UNIT TRANSFER]]:LS[[#This Row],[BO UNIT TRANSFER]],LS[[#Headers],[Investor ID]]:LS[[#This Row],[Investor ID]],LS[[#This Row],[Investor ID]])</f>
        <v>0</v>
      </c>
    </row>
    <row r="782" spans="1:23">
      <c r="A782" s="101">
        <v>2025</v>
      </c>
      <c r="B782" s="101">
        <v>1</v>
      </c>
      <c r="C782" s="101">
        <v>20</v>
      </c>
      <c r="D782" s="98">
        <f>DATE(LS[[#This Row],[Year]],LS[[#This Row],[Month]],LS[[#This Row],[Day]])</f>
        <v>45677</v>
      </c>
      <c r="E782" s="99" t="str" cm="1">
        <f t="array" ref="E782">INDEX(INVESTORS_LIST[INVESTOR NAME],MATCH(LS[[#This Row],[Investor ID]],INVESTORS_LIST[INVESTOR CODE],0),)</f>
        <v>CHAONIKA SAHA</v>
      </c>
      <c r="F782" s="100" t="s">
        <v>1303</v>
      </c>
      <c r="G782" s="101">
        <f>COUNTIF(LS[[#Headers],[Investor ID]]:LS[[#This Row],[Investor ID]],LS[[#This Row],[Investor ID]])</f>
        <v>4</v>
      </c>
      <c r="H782" s="101" t="str">
        <f>CONCATENATE(LS[[#This Row],[Frequency]],LS[[#This Row],[Investor ID]])</f>
        <v>4P00001</v>
      </c>
      <c r="I782" s="75" t="str">
        <f>IF(LS[[#This Row],[B/S]]="B","BUY",(IF(LS[[#This Row],[B/S]]="S","SELL"," ")))</f>
        <v>SELL</v>
      </c>
      <c r="J782" s="101" t="s">
        <v>1231</v>
      </c>
      <c r="K782" s="102">
        <v>-603023.18000000005</v>
      </c>
      <c r="L782" s="99"/>
      <c r="M782" s="103">
        <f>LS[[#This Row],[Amount]]/LS[[#This Row],[Unit]]</f>
        <v>11.878017254963758</v>
      </c>
      <c r="N782" s="104">
        <f>LS[[#This Row],[Unit Capital]]/10</f>
        <v>-50768</v>
      </c>
      <c r="O782" s="104">
        <f>SUMIFS(LS[[#Headers],[Unit]]:LS[[#This Row],[Unit]],LS[[#Headers],[Investor ID]]:LS[[#This Row],[Investor ID]],LS[[#This Row],[Investor ID]])</f>
        <v>0</v>
      </c>
      <c r="P782" s="102">
        <v>-507680</v>
      </c>
      <c r="Q782" s="102">
        <f>LS[[#This Row],[Amount]]-LS[[#This Row],[Unit Capital]]</f>
        <v>-95343.180000000051</v>
      </c>
      <c r="R7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82" s="103">
        <f t="shared" si="12"/>
        <v>14.224</v>
      </c>
      <c r="T782" s="102">
        <f>IF(LS[[#This Row],[B/S]]="B",0,ABS(LS[[#This Row],[Unit]])*(LS[[#This Row],[NAV (Strike Rate)]]-INDEX(LS[NAV at Cost (Average)],MATCH(CONCATENATE(LS[[#This Row],[Frequency]]-1,LS[[#This Row],[Investor ID]]),LS[Unique Code],0),)))</f>
        <v>2591.4955435972824</v>
      </c>
      <c r="U782" s="102" cm="1">
        <f t="array" ref="U782">IF(LS[[#This Row],[B/S]]="S",ABS(LS[[#This Row],[Unit]])*(INDEX(LS[NAV at Cost (Average)],MATCH(CONCATENATE((LS[[#This Row],[Frequency]]-1),LS[[#This Row],[Investor ID]]),LS[Unique Code],0),0)),0)</f>
        <v>600431.68445640279</v>
      </c>
      <c r="V782" s="102">
        <f>IF(LS[[#This Row],[BO TRANSFER]]="YES",LS[[#This Row],[Unit]],)</f>
        <v>0</v>
      </c>
      <c r="W782" s="102">
        <f>SUMIFS(LS[[#Headers],[BO UNIT TRANSFER]]:LS[[#This Row],[BO UNIT TRANSFER]],LS[[#Headers],[Investor ID]]:LS[[#This Row],[Investor ID]],LS[[#This Row],[Investor ID]])</f>
        <v>0</v>
      </c>
    </row>
    <row r="783" spans="1:23">
      <c r="A783" s="101">
        <v>2025</v>
      </c>
      <c r="B783" s="101">
        <v>1</v>
      </c>
      <c r="C783" s="101">
        <v>21</v>
      </c>
      <c r="D783" s="98">
        <f>DATE(LS[[#This Row],[Year]],LS[[#This Row],[Month]],LS[[#This Row],[Day]])</f>
        <v>45678</v>
      </c>
      <c r="E783" s="99" t="str" cm="1">
        <f t="array" ref="E783">INDEX(INVESTORS_LIST[INVESTOR NAME],MATCH(LS[[#This Row],[Investor ID]],INVESTORS_LIST[INVESTOR CODE],0),)</f>
        <v>MD SHAFIQUR RAHMAN MONSI</v>
      </c>
      <c r="F783" s="100" t="s">
        <v>1034</v>
      </c>
      <c r="G783" s="101">
        <f>COUNTIF(LS[[#Headers],[Investor ID]]:LS[[#This Row],[Investor ID]],LS[[#This Row],[Investor ID]])</f>
        <v>13</v>
      </c>
      <c r="H783" s="101" t="str">
        <f>CONCATENATE(LS[[#This Row],[Frequency]],LS[[#This Row],[Investor ID]])</f>
        <v>13A00494</v>
      </c>
      <c r="I783" s="75" t="str">
        <f>IF(LS[[#This Row],[B/S]]="B","BUY",(IF(LS[[#This Row],[B/S]]="S","SELL"," ")))</f>
        <v>SELL</v>
      </c>
      <c r="J783" s="101" t="s">
        <v>1231</v>
      </c>
      <c r="K783" s="102">
        <v>-400003.53</v>
      </c>
      <c r="L783" s="99"/>
      <c r="M783" s="103">
        <f>LS[[#This Row],[Amount]]/LS[[#This Row],[Unit]]</f>
        <v>11.878000059389477</v>
      </c>
      <c r="N783" s="104">
        <f>LS[[#This Row],[Unit Capital]]/10</f>
        <v>-33676</v>
      </c>
      <c r="O783" s="104">
        <f>SUMIFS(LS[[#Headers],[Unit]]:LS[[#This Row],[Unit]],LS[[#Headers],[Investor ID]]:LS[[#This Row],[Investor ID]],LS[[#This Row],[Investor ID]])</f>
        <v>34755</v>
      </c>
      <c r="P783" s="102">
        <v>-336760</v>
      </c>
      <c r="Q783" s="102">
        <f>LS[[#This Row],[Amount]]-LS[[#This Row],[Unit Capital]]</f>
        <v>-63243.530000000028</v>
      </c>
      <c r="R7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11.690608057751605</v>
      </c>
      <c r="S783" s="103">
        <f t="shared" si="12"/>
        <v>14.224</v>
      </c>
      <c r="T783" s="102">
        <f>IF(LS[[#This Row],[B/S]]="B",0,ABS(LS[[#This Row],[Unit]])*(LS[[#This Row],[NAV (Strike Rate)]]-INDEX(LS[NAV at Cost (Average)],MATCH(CONCATENATE(LS[[#This Row],[Frequency]]-1,LS[[#This Row],[Investor ID]]),LS[Unique Code],0),)))</f>
        <v>6310.6130471569495</v>
      </c>
      <c r="U783" s="102" cm="1">
        <f t="array" ref="U783">IF(LS[[#This Row],[B/S]]="S",ABS(LS[[#This Row],[Unit]])*(INDEX(LS[NAV at Cost (Average)],MATCH(CONCATENATE((LS[[#This Row],[Frequency]]-1),LS[[#This Row],[Investor ID]]),LS[Unique Code],0),0)),0)</f>
        <v>393692.91695284308</v>
      </c>
      <c r="V783" s="102">
        <f>IF(LS[[#This Row],[BO TRANSFER]]="YES",LS[[#This Row],[Unit]],)</f>
        <v>0</v>
      </c>
      <c r="W783" s="102">
        <f>SUMIFS(LS[[#Headers],[BO UNIT TRANSFER]]:LS[[#This Row],[BO UNIT TRANSFER]],LS[[#Headers],[Investor ID]]:LS[[#This Row],[Investor ID]],LS[[#This Row],[Investor ID]])</f>
        <v>0</v>
      </c>
    </row>
    <row r="784" spans="1:23">
      <c r="A784" s="101">
        <v>2025</v>
      </c>
      <c r="B784" s="101">
        <v>1</v>
      </c>
      <c r="C784" s="101">
        <v>22</v>
      </c>
      <c r="D784" s="98">
        <f>DATE(LS[[#This Row],[Year]],LS[[#This Row],[Month]],LS[[#This Row],[Day]])</f>
        <v>45679</v>
      </c>
      <c r="E784" s="99" t="str" cm="1">
        <f t="array" ref="E784">INDEX(INVESTORS_LIST[INVESTOR NAME],MATCH(LS[[#This Row],[Investor ID]],INVESTORS_LIST[INVESTOR CODE],0),)</f>
        <v>ASHAK ELAHI</v>
      </c>
      <c r="F784" s="100" t="s">
        <v>1077</v>
      </c>
      <c r="G784" s="101">
        <f>COUNTIF(LS[[#Headers],[Investor ID]]:LS[[#This Row],[Investor ID]],LS[[#This Row],[Investor ID]])</f>
        <v>13</v>
      </c>
      <c r="H784" s="101" t="str">
        <f>CONCATENATE(LS[[#This Row],[Frequency]],LS[[#This Row],[Investor ID]])</f>
        <v>13A00516</v>
      </c>
      <c r="I784" s="75" t="str">
        <f>IF(LS[[#This Row],[B/S]]="B","BUY",(IF(LS[[#This Row],[B/S]]="S","SELL"," ")))</f>
        <v>BUY</v>
      </c>
      <c r="J784" s="101" t="s">
        <v>1229</v>
      </c>
      <c r="K784" s="102">
        <v>35634</v>
      </c>
      <c r="L784" s="99"/>
      <c r="M784" s="103">
        <f>LS[[#This Row],[Amount]]/LS[[#This Row],[Unit]]</f>
        <v>11.878</v>
      </c>
      <c r="N784" s="104">
        <f>LS[[#This Row],[Unit Capital]]/10</f>
        <v>3000</v>
      </c>
      <c r="O784" s="104">
        <f>SUMIFS(LS[[#Headers],[Unit]]:LS[[#This Row],[Unit]],LS[[#Headers],[Investor ID]]:LS[[#This Row],[Investor ID]],LS[[#This Row],[Investor ID]])</f>
        <v>4700</v>
      </c>
      <c r="P784" s="102">
        <v>30000</v>
      </c>
      <c r="Q784" s="102">
        <f>LS[[#This Row],[Amount]]-LS[[#This Row],[Unit Capital]]</f>
        <v>5634</v>
      </c>
      <c r="R7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11.841829787234044</v>
      </c>
      <c r="S784" s="103">
        <f t="shared" si="12"/>
        <v>14.224</v>
      </c>
      <c r="T7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84" s="102" cm="1">
        <f t="array" ref="U784">IF(LS[[#This Row],[B/S]]="S",ABS(LS[[#This Row],[Unit]])*(INDEX(LS[NAV at Cost (Average)],MATCH(CONCATENATE((LS[[#This Row],[Frequency]]-1),LS[[#This Row],[Investor ID]]),LS[Unique Code],0),0)),0)</f>
        <v>0</v>
      </c>
      <c r="V784" s="102">
        <f>IF(LS[[#This Row],[BO TRANSFER]]="YES",LS[[#This Row],[Unit]],)</f>
        <v>0</v>
      </c>
      <c r="W784" s="102">
        <f>SUMIFS(LS[[#Headers],[BO UNIT TRANSFER]]:LS[[#This Row],[BO UNIT TRANSFER]],LS[[#Headers],[Investor ID]]:LS[[#This Row],[Investor ID]],LS[[#This Row],[Investor ID]])</f>
        <v>0</v>
      </c>
    </row>
    <row r="785" spans="1:23">
      <c r="A785" s="101">
        <v>2025</v>
      </c>
      <c r="B785" s="101">
        <v>1</v>
      </c>
      <c r="C785" s="101">
        <v>23</v>
      </c>
      <c r="D785" s="98">
        <f>DATE(LS[[#This Row],[Year]],LS[[#This Row],[Month]],LS[[#This Row],[Day]])</f>
        <v>45680</v>
      </c>
      <c r="E785" s="99" t="str" cm="1">
        <f t="array" ref="E785">INDEX(INVESTORS_LIST[INVESTOR NAME],MATCH(LS[[#This Row],[Investor ID]],INVESTORS_LIST[INVESTOR CODE],0),)</f>
        <v>ABUL FAZAL MOHAMMAD SAIFUL ISLAM</v>
      </c>
      <c r="F785" s="100" t="s">
        <v>1196</v>
      </c>
      <c r="G785" s="101">
        <f>COUNTIF(LS[[#Headers],[Investor ID]]:LS[[#This Row],[Investor ID]],LS[[#This Row],[Investor ID]])</f>
        <v>2</v>
      </c>
      <c r="H785" s="101" t="str">
        <f>CONCATENATE(LS[[#This Row],[Frequency]],LS[[#This Row],[Investor ID]])</f>
        <v>2A00574</v>
      </c>
      <c r="I785" s="75" t="str">
        <f>IF(LS[[#This Row],[B/S]]="B","BUY",(IF(LS[[#This Row],[B/S]]="S","SELL"," ")))</f>
        <v>SELL</v>
      </c>
      <c r="J785" s="101" t="s">
        <v>1231</v>
      </c>
      <c r="K785" s="102">
        <v>-532550.13</v>
      </c>
      <c r="L785" s="99"/>
      <c r="M785" s="103">
        <f>LS[[#This Row],[Amount]]/LS[[#This Row],[Unit]]</f>
        <v>11.878</v>
      </c>
      <c r="N785" s="104">
        <f>LS[[#This Row],[Unit Capital]]/10</f>
        <v>-44835</v>
      </c>
      <c r="O785" s="104">
        <f>SUMIFS(LS[[#Headers],[Unit]]:LS[[#This Row],[Unit]],LS[[#Headers],[Investor ID]]:LS[[#This Row],[Investor ID]],LS[[#This Row],[Investor ID]])</f>
        <v>0</v>
      </c>
      <c r="P785" s="102">
        <v>-448350</v>
      </c>
      <c r="Q785" s="102">
        <f>LS[[#This Row],[Amount]]-LS[[#This Row],[Unit Capital]]</f>
        <v>-84200.13</v>
      </c>
      <c r="R7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785" s="103">
        <f t="shared" si="12"/>
        <v>14.224</v>
      </c>
      <c r="T785" s="102">
        <f>IF(LS[[#This Row],[B/S]]="B",0,ABS(LS[[#This Row],[Unit]])*(LS[[#This Row],[NAV (Strike Rate)]]-INDEX(LS[NAV at Cost (Average)],MATCH(CONCATENATE(LS[[#This Row],[Frequency]]-1,LS[[#This Row],[Investor ID]]),LS[Unique Code],0),)))</f>
        <v>32550.130000000008</v>
      </c>
      <c r="U785" s="102" cm="1">
        <f t="array" ref="U785">IF(LS[[#This Row],[B/S]]="S",ABS(LS[[#This Row],[Unit]])*(INDEX(LS[NAV at Cost (Average)],MATCH(CONCATENATE((LS[[#This Row],[Frequency]]-1),LS[[#This Row],[Investor ID]]),LS[Unique Code],0),0)),0)</f>
        <v>500000</v>
      </c>
      <c r="V785" s="102">
        <f>IF(LS[[#This Row],[BO TRANSFER]]="YES",LS[[#This Row],[Unit]],)</f>
        <v>0</v>
      </c>
      <c r="W785" s="102">
        <f>SUMIFS(LS[[#Headers],[BO UNIT TRANSFER]]:LS[[#This Row],[BO UNIT TRANSFER]],LS[[#Headers],[Investor ID]]:LS[[#This Row],[Investor ID]],LS[[#This Row],[Investor ID]])</f>
        <v>0</v>
      </c>
    </row>
    <row r="786" spans="1:23">
      <c r="A786" s="101">
        <v>2025</v>
      </c>
      <c r="B786" s="101">
        <v>1</v>
      </c>
      <c r="C786" s="101">
        <v>23</v>
      </c>
      <c r="D786" s="98">
        <f>DATE(LS[[#This Row],[Year]],LS[[#This Row],[Month]],LS[[#This Row],[Day]])</f>
        <v>45680</v>
      </c>
      <c r="E786" s="99" t="str" cm="1">
        <f t="array" ref="E786">INDEX(INVESTORS_LIST[INVESTOR NAME],MATCH(LS[[#This Row],[Investor ID]],INVESTORS_LIST[INVESTOR CODE],0),)</f>
        <v>SHUVA SAHA</v>
      </c>
      <c r="F786" s="100" t="s">
        <v>154</v>
      </c>
      <c r="G786" s="101">
        <f>COUNTIF(LS[[#Headers],[Investor ID]]:LS[[#This Row],[Investor ID]],LS[[#This Row],[Investor ID]])</f>
        <v>11</v>
      </c>
      <c r="H786" s="101" t="str">
        <f>CONCATENATE(LS[[#This Row],[Frequency]],LS[[#This Row],[Investor ID]])</f>
        <v>11A00053</v>
      </c>
      <c r="I786" s="75" t="str">
        <f>IF(LS[[#This Row],[B/S]]="B","BUY",(IF(LS[[#This Row],[B/S]]="S","SELL"," ")))</f>
        <v>BUY</v>
      </c>
      <c r="J786" s="101" t="s">
        <v>1229</v>
      </c>
      <c r="K786" s="102">
        <v>680000</v>
      </c>
      <c r="L786" s="88"/>
      <c r="M786" s="103">
        <f>LS[[#This Row],[Amount]]/LS[[#This Row],[Unit]]</f>
        <v>11.877936732519345</v>
      </c>
      <c r="N786" s="104">
        <f>LS[[#This Row],[Unit Capital]]/10</f>
        <v>57249</v>
      </c>
      <c r="O786" s="104">
        <f>SUMIFS(LS[[#Headers],[Unit]]:LS[[#This Row],[Unit]],LS[[#Headers],[Investor ID]]:LS[[#This Row],[Investor ID]],LS[[#This Row],[Investor ID]])</f>
        <v>44577</v>
      </c>
      <c r="P786" s="102">
        <v>572490</v>
      </c>
      <c r="Q786" s="102">
        <f>LS[[#This Row],[Amount]]-LS[[#This Row],[Unit Capital]]</f>
        <v>107510</v>
      </c>
      <c r="R7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12.167776061017079</v>
      </c>
      <c r="S786" s="103">
        <f t="shared" si="12"/>
        <v>14.224</v>
      </c>
      <c r="T78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86" s="102" cm="1">
        <f t="array" ref="U786">IF(LS[[#This Row],[B/S]]="S",ABS(LS[[#This Row],[Unit]])*(INDEX(LS[NAV at Cost (Average)],MATCH(CONCATENATE((LS[[#This Row],[Frequency]]-1),LS[[#This Row],[Investor ID]]),LS[Unique Code],0),0)),0)</f>
        <v>0</v>
      </c>
      <c r="V786" s="102">
        <f>IF(LS[[#This Row],[BO TRANSFER]]="YES",LS[[#This Row],[Unit]],)</f>
        <v>0</v>
      </c>
      <c r="W786" s="102">
        <f>SUMIFS(LS[[#Headers],[BO UNIT TRANSFER]]:LS[[#This Row],[BO UNIT TRANSFER]],LS[[#Headers],[Investor ID]]:LS[[#This Row],[Investor ID]],LS[[#This Row],[Investor ID]])</f>
        <v>0</v>
      </c>
    </row>
    <row r="787" spans="1:23">
      <c r="A787" s="101">
        <v>2025</v>
      </c>
      <c r="B787" s="101">
        <v>1</v>
      </c>
      <c r="C787" s="101">
        <v>23</v>
      </c>
      <c r="D787" s="98">
        <f>DATE(LS[[#This Row],[Year]],LS[[#This Row],[Month]],LS[[#This Row],[Day]])</f>
        <v>45680</v>
      </c>
      <c r="E787" s="99" t="str" cm="1">
        <f t="array" ref="E787">INDEX(INVESTORS_LIST[INVESTOR NAME],MATCH(LS[[#This Row],[Investor ID]],INVESTORS_LIST[INVESTOR CODE],0),)</f>
        <v>SYED FAZLE RABBY</v>
      </c>
      <c r="F787" s="100" t="s">
        <v>166</v>
      </c>
      <c r="G787" s="101">
        <f>COUNTIF(LS[[#Headers],[Investor ID]]:LS[[#This Row],[Investor ID]],LS[[#This Row],[Investor ID]])</f>
        <v>32</v>
      </c>
      <c r="H787" s="101" t="str">
        <f>CONCATENATE(LS[[#This Row],[Frequency]],LS[[#This Row],[Investor ID]])</f>
        <v>32A00059</v>
      </c>
      <c r="I787" s="75" t="str">
        <f>IF(LS[[#This Row],[B/S]]="B","BUY",(IF(LS[[#This Row],[B/S]]="S","SELL"," ")))</f>
        <v>BUY</v>
      </c>
      <c r="J787" s="101" t="s">
        <v>1229</v>
      </c>
      <c r="K787" s="102">
        <v>12000</v>
      </c>
      <c r="L787" s="99"/>
      <c r="M787" s="103">
        <f>LS[[#This Row],[Amount]]/LS[[#This Row],[Unit]]</f>
        <v>11.881188118811881</v>
      </c>
      <c r="N787" s="104">
        <f>LS[[#This Row],[Unit Capital]]/10</f>
        <v>1010</v>
      </c>
      <c r="O787" s="104">
        <f>SUMIFS(LS[[#Headers],[Unit]]:LS[[#This Row],[Unit]],LS[[#Headers],[Investor ID]]:LS[[#This Row],[Investor ID]],LS[[#This Row],[Investor ID]])</f>
        <v>512304</v>
      </c>
      <c r="P787" s="102">
        <v>10100</v>
      </c>
      <c r="Q787" s="102">
        <f>LS[[#This Row],[Amount]]-LS[[#This Row],[Unit Capital]]</f>
        <v>1900</v>
      </c>
      <c r="R7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10.85868153336467</v>
      </c>
      <c r="S787" s="103">
        <f t="shared" si="12"/>
        <v>14.224</v>
      </c>
      <c r="T78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87" s="102" cm="1">
        <f t="array" ref="U787">IF(LS[[#This Row],[B/S]]="S",ABS(LS[[#This Row],[Unit]])*(INDEX(LS[NAV at Cost (Average)],MATCH(CONCATENATE((LS[[#This Row],[Frequency]]-1),LS[[#This Row],[Investor ID]]),LS[Unique Code],0),0)),0)</f>
        <v>0</v>
      </c>
      <c r="V787" s="102">
        <f>IF(LS[[#This Row],[BO TRANSFER]]="YES",LS[[#This Row],[Unit]],)</f>
        <v>0</v>
      </c>
      <c r="W787" s="102">
        <f>SUMIFS(LS[[#Headers],[BO UNIT TRANSFER]]:LS[[#This Row],[BO UNIT TRANSFER]],LS[[#Headers],[Investor ID]]:LS[[#This Row],[Investor ID]],LS[[#This Row],[Investor ID]])</f>
        <v>0</v>
      </c>
    </row>
    <row r="788" spans="1:23">
      <c r="A788" s="101">
        <v>2025</v>
      </c>
      <c r="B788" s="101">
        <v>1</v>
      </c>
      <c r="C788" s="101">
        <v>23</v>
      </c>
      <c r="D788" s="98">
        <f>DATE(LS[[#This Row],[Year]],LS[[#This Row],[Month]],LS[[#This Row],[Day]])</f>
        <v>45680</v>
      </c>
      <c r="E788" s="99" t="str" cm="1">
        <f t="array" ref="E788">INDEX(INVESTORS_LIST[INVESTOR NAME],MATCH(LS[[#This Row],[Investor ID]],INVESTORS_LIST[INVESTOR CODE],0),)</f>
        <v>PUJA BHATTACHARJEE</v>
      </c>
      <c r="F788" s="100" t="s">
        <v>1286</v>
      </c>
      <c r="G788" s="101">
        <f>COUNTIF(LS[[#Headers],[Investor ID]]:LS[[#This Row],[Investor ID]],LS[[#This Row],[Investor ID]])</f>
        <v>2</v>
      </c>
      <c r="H788" s="101" t="str">
        <f>CONCATENATE(LS[[#This Row],[Frequency]],LS[[#This Row],[Investor ID]])</f>
        <v>2A00590</v>
      </c>
      <c r="I788" s="75" t="str">
        <f>IF(LS[[#This Row],[B/S]]="B","BUY",(IF(LS[[#This Row],[B/S]]="S","SELL"," ")))</f>
        <v>BUY</v>
      </c>
      <c r="J788" s="101" t="s">
        <v>1229</v>
      </c>
      <c r="K788" s="102">
        <v>300000</v>
      </c>
      <c r="L788" s="99"/>
      <c r="M788" s="103">
        <f>LS[[#This Row],[Amount]]/LS[[#This Row],[Unit]]</f>
        <v>11.87789523696401</v>
      </c>
      <c r="N788" s="104">
        <f>LS[[#This Row],[Unit Capital]]/10</f>
        <v>25257</v>
      </c>
      <c r="O788" s="104">
        <f>SUMIFS(LS[[#Headers],[Unit]]:LS[[#This Row],[Unit]],LS[[#Headers],[Investor ID]]:LS[[#This Row],[Investor ID]],LS[[#This Row],[Investor ID]])</f>
        <v>51272</v>
      </c>
      <c r="P788" s="102">
        <v>252570</v>
      </c>
      <c r="Q788" s="102">
        <f>LS[[#This Row],[Amount]]-LS[[#This Row],[Unit Capital]]</f>
        <v>47430</v>
      </c>
      <c r="R7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11.702293649555314</v>
      </c>
      <c r="S788" s="103">
        <f t="shared" si="12"/>
        <v>14.224</v>
      </c>
      <c r="T7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88" s="102" cm="1">
        <f t="array" ref="U788">IF(LS[[#This Row],[B/S]]="S",ABS(LS[[#This Row],[Unit]])*(INDEX(LS[NAV at Cost (Average)],MATCH(CONCATENATE((LS[[#This Row],[Frequency]]-1),LS[[#This Row],[Investor ID]]),LS[Unique Code],0),0)),0)</f>
        <v>0</v>
      </c>
      <c r="V788" s="102">
        <f>IF(LS[[#This Row],[BO TRANSFER]]="YES",LS[[#This Row],[Unit]],)</f>
        <v>0</v>
      </c>
      <c r="W788" s="102">
        <f>SUMIFS(LS[[#Headers],[BO UNIT TRANSFER]]:LS[[#This Row],[BO UNIT TRANSFER]],LS[[#Headers],[Investor ID]]:LS[[#This Row],[Investor ID]],LS[[#This Row],[Investor ID]])</f>
        <v>0</v>
      </c>
    </row>
    <row r="789" spans="1:23">
      <c r="A789" s="101">
        <v>2025</v>
      </c>
      <c r="B789" s="101">
        <v>1</v>
      </c>
      <c r="C789" s="101">
        <v>26</v>
      </c>
      <c r="D789" s="98">
        <f>DATE(LS[[#This Row],[Year]],LS[[#This Row],[Month]],LS[[#This Row],[Day]])</f>
        <v>45683</v>
      </c>
      <c r="E789" s="99" t="str" cm="1">
        <f t="array" ref="E789">INDEX(INVESTORS_LIST[INVESTOR NAME],MATCH(LS[[#This Row],[Investor ID]],INVESTORS_LIST[INVESTOR CODE],0),)</f>
        <v>BETAONE INVESTMENTS LIMITED</v>
      </c>
      <c r="F789" s="100" t="s">
        <v>1124</v>
      </c>
      <c r="G789" s="101">
        <f>COUNTIF(LS[[#Headers],[Investor ID]]:LS[[#This Row],[Investor ID]],LS[[#This Row],[Investor ID]])</f>
        <v>4</v>
      </c>
      <c r="H789" s="101" t="str">
        <f>CONCATENATE(LS[[#This Row],[Frequency]],LS[[#This Row],[Investor ID]])</f>
        <v>4A00537</v>
      </c>
      <c r="I789" s="75" t="str">
        <f>IF(LS[[#This Row],[B/S]]="B","BUY",(IF(LS[[#This Row],[B/S]]="S","SELL"," ")))</f>
        <v>SELL</v>
      </c>
      <c r="J789" s="101" t="s">
        <v>1231</v>
      </c>
      <c r="K789" s="102">
        <v>-237.56</v>
      </c>
      <c r="L789" s="99"/>
      <c r="M789" s="103">
        <f>LS[[#This Row],[Amount]]/LS[[#This Row],[Unit]]</f>
        <v>11.878</v>
      </c>
      <c r="N789" s="104">
        <f>LS[[#This Row],[Unit Capital]]/10</f>
        <v>-20</v>
      </c>
      <c r="O789" s="104">
        <f>SUMIFS(LS[[#Headers],[Unit]]:LS[[#This Row],[Unit]],LS[[#Headers],[Investor ID]]:LS[[#This Row],[Investor ID]],LS[[#This Row],[Investor ID]])</f>
        <v>579590</v>
      </c>
      <c r="P789" s="102">
        <v>-200</v>
      </c>
      <c r="Q789" s="102">
        <f>LS[[#This Row],[Amount]]-LS[[#This Row],[Unit Capital]]</f>
        <v>-37.56</v>
      </c>
      <c r="R7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11.194867328683731</v>
      </c>
      <c r="S789" s="103">
        <f t="shared" si="12"/>
        <v>14.224</v>
      </c>
      <c r="T789" s="102">
        <f>IF(LS[[#This Row],[B/S]]="B",0,ABS(LS[[#This Row],[Unit]])*(LS[[#This Row],[NAV (Strike Rate)]]-INDEX(LS[NAV at Cost (Average)],MATCH(CONCATENATE(LS[[#This Row],[Frequency]]-1,LS[[#This Row],[Investor ID]]),LS[Unique Code],0),)))</f>
        <v>13.662653426325377</v>
      </c>
      <c r="U789" s="102" cm="1">
        <f t="array" ref="U789">IF(LS[[#This Row],[B/S]]="S",ABS(LS[[#This Row],[Unit]])*(INDEX(LS[NAV at Cost (Average)],MATCH(CONCATENATE((LS[[#This Row],[Frequency]]-1),LS[[#This Row],[Investor ID]]),LS[Unique Code],0),0)),0)</f>
        <v>223.89734657367461</v>
      </c>
      <c r="V789" s="102">
        <f>IF(LS[[#This Row],[BO TRANSFER]]="YES",LS[[#This Row],[Unit]],)</f>
        <v>0</v>
      </c>
      <c r="W789" s="102">
        <f>SUMIFS(LS[[#Headers],[BO UNIT TRANSFER]]:LS[[#This Row],[BO UNIT TRANSFER]],LS[[#Headers],[Investor ID]]:LS[[#This Row],[Investor ID]],LS[[#This Row],[Investor ID]])</f>
        <v>0</v>
      </c>
    </row>
    <row r="790" spans="1:23">
      <c r="A790" s="101">
        <v>2025</v>
      </c>
      <c r="B790" s="101">
        <v>1</v>
      </c>
      <c r="C790" s="101">
        <v>26</v>
      </c>
      <c r="D790" s="98">
        <f>DATE(LS[[#This Row],[Year]],LS[[#This Row],[Month]],LS[[#This Row],[Day]])</f>
        <v>45683</v>
      </c>
      <c r="E790" s="99" t="str" cm="1">
        <f t="array" ref="E790">INDEX(INVESTORS_LIST[INVESTOR NAME],MATCH(LS[[#This Row],[Investor ID]],INVESTORS_LIST[INVESTOR CODE],0),)</f>
        <v>HASIB MUSTABSIR</v>
      </c>
      <c r="F790" s="100" t="s">
        <v>437</v>
      </c>
      <c r="G790" s="101">
        <f>COUNTIF(LS[[#Headers],[Investor ID]]:LS[[#This Row],[Investor ID]],LS[[#This Row],[Investor ID]])</f>
        <v>4</v>
      </c>
      <c r="H790" s="101" t="str">
        <f>CONCATENATE(LS[[#This Row],[Frequency]],LS[[#This Row],[Investor ID]])</f>
        <v>4A00194</v>
      </c>
      <c r="I790" s="75" t="str">
        <f>IF(LS[[#This Row],[B/S]]="B","BUY",(IF(LS[[#This Row],[B/S]]="S","SELL"," ")))</f>
        <v>SELL</v>
      </c>
      <c r="J790" s="101" t="s">
        <v>1231</v>
      </c>
      <c r="K790" s="102">
        <v>-1000000</v>
      </c>
      <c r="L790" s="99"/>
      <c r="M790" s="103">
        <f>LS[[#This Row],[Amount]]/LS[[#This Row],[Unit]]</f>
        <v>11.903061467409417</v>
      </c>
      <c r="N790" s="104">
        <f>LS[[#This Row],[Unit Capital]]/10</f>
        <v>-84012</v>
      </c>
      <c r="O790" s="104">
        <f>SUMIFS(LS[[#Headers],[Unit]]:LS[[#This Row],[Unit]],LS[[#Headers],[Investor ID]]:LS[[#This Row],[Investor ID]],LS[[#This Row],[Investor ID]])</f>
        <v>76271</v>
      </c>
      <c r="P790" s="102">
        <v>-840120</v>
      </c>
      <c r="Q790" s="102">
        <f>LS[[#This Row],[Amount]]-LS[[#This Row],[Unit Capital]]</f>
        <v>-159880</v>
      </c>
      <c r="R7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10.210958400555477</v>
      </c>
      <c r="S790" s="103">
        <f t="shared" si="12"/>
        <v>14.224</v>
      </c>
      <c r="T790" s="102">
        <f>IF(LS[[#This Row],[B/S]]="B",0,ABS(LS[[#This Row],[Unit]])*(LS[[#This Row],[NAV (Strike Rate)]]-INDEX(LS[NAV at Cost (Average)],MATCH(CONCATENATE(LS[[#This Row],[Frequency]]-1,LS[[#This Row],[Investor ID]]),LS[Unique Code],0),)))</f>
        <v>142156.96285253324</v>
      </c>
      <c r="U790" s="102" cm="1">
        <f t="array" ref="U790">IF(LS[[#This Row],[B/S]]="S",ABS(LS[[#This Row],[Unit]])*(INDEX(LS[NAV at Cost (Average)],MATCH(CONCATENATE((LS[[#This Row],[Frequency]]-1),LS[[#This Row],[Investor ID]]),LS[Unique Code],0),0)),0)</f>
        <v>857843.03714746668</v>
      </c>
      <c r="V790" s="102">
        <f>IF(LS[[#This Row],[BO TRANSFER]]="YES",LS[[#This Row],[Unit]],)</f>
        <v>0</v>
      </c>
      <c r="W790" s="102">
        <f>SUMIFS(LS[[#Headers],[BO UNIT TRANSFER]]:LS[[#This Row],[BO UNIT TRANSFER]],LS[[#Headers],[Investor ID]]:LS[[#This Row],[Investor ID]],LS[[#This Row],[Investor ID]])</f>
        <v>0</v>
      </c>
    </row>
    <row r="791" spans="1:23">
      <c r="A791" s="101">
        <v>2025</v>
      </c>
      <c r="B791" s="101">
        <v>1</v>
      </c>
      <c r="C791" s="101">
        <v>26</v>
      </c>
      <c r="D791" s="98">
        <f>DATE(LS[[#This Row],[Year]],LS[[#This Row],[Month]],LS[[#This Row],[Day]])</f>
        <v>45683</v>
      </c>
      <c r="E791" s="99" t="str" cm="1">
        <f t="array" ref="E791">INDEX(INVESTORS_LIST[INVESTOR NAME],MATCH(LS[[#This Row],[Investor ID]],INVESTORS_LIST[INVESTOR CODE],0),)</f>
        <v>MD AYNUL HOQUE</v>
      </c>
      <c r="F791" s="100" t="s">
        <v>1139</v>
      </c>
      <c r="G791" s="101">
        <f>COUNTIF(LS[[#Headers],[Investor ID]]:LS[[#This Row],[Investor ID]],LS[[#This Row],[Investor ID]])</f>
        <v>3</v>
      </c>
      <c r="H791" s="101" t="str">
        <f>CONCATENATE(LS[[#This Row],[Frequency]],LS[[#This Row],[Investor ID]])</f>
        <v>3A00545</v>
      </c>
      <c r="I791" s="75" t="str">
        <f>IF(LS[[#This Row],[B/S]]="B","BUY",(IF(LS[[#This Row],[B/S]]="S","SELL"," ")))</f>
        <v>SELL</v>
      </c>
      <c r="J791" s="101" t="s">
        <v>1231</v>
      </c>
      <c r="K791" s="102">
        <v>-400000</v>
      </c>
      <c r="L791" s="99"/>
      <c r="M791" s="103">
        <f>LS[[#This Row],[Amount]]/LS[[#This Row],[Unit]]</f>
        <v>11.902990626394882</v>
      </c>
      <c r="N791" s="104">
        <f>LS[[#This Row],[Unit Capital]]/10</f>
        <v>-33605</v>
      </c>
      <c r="O791" s="104">
        <f>SUMIFS(LS[[#Headers],[Unit]]:LS[[#This Row],[Unit]],LS[[#Headers],[Investor ID]]:LS[[#This Row],[Investor ID]],LS[[#This Row],[Investor ID]])</f>
        <v>594045</v>
      </c>
      <c r="P791" s="102">
        <v>-336050</v>
      </c>
      <c r="Q791" s="102">
        <f>LS[[#This Row],[Amount]]-LS[[#This Row],[Unit Capital]]</f>
        <v>-63950</v>
      </c>
      <c r="R7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11.152712499004222</v>
      </c>
      <c r="S791" s="103">
        <f t="shared" si="12"/>
        <v>14.224</v>
      </c>
      <c r="T791" s="102">
        <f>IF(LS[[#This Row],[B/S]]="B",0,ABS(LS[[#This Row],[Unit]])*(LS[[#This Row],[NAV (Strike Rate)]]-INDEX(LS[NAV at Cost (Average)],MATCH(CONCATENATE(LS[[#This Row],[Frequency]]-1,LS[[#This Row],[Investor ID]]),LS[Unique Code],0),)))</f>
        <v>25213.096470963115</v>
      </c>
      <c r="U791" s="102" cm="1">
        <f t="array" ref="U791">IF(LS[[#This Row],[B/S]]="S",ABS(LS[[#This Row],[Unit]])*(INDEX(LS[NAV at Cost (Average)],MATCH(CONCATENATE((LS[[#This Row],[Frequency]]-1),LS[[#This Row],[Investor ID]]),LS[Unique Code],0),0)),0)</f>
        <v>374786.90352903691</v>
      </c>
      <c r="V791" s="102">
        <f>IF(LS[[#This Row],[BO TRANSFER]]="YES",LS[[#This Row],[Unit]],)</f>
        <v>0</v>
      </c>
      <c r="W791" s="102">
        <f>SUMIFS(LS[[#Headers],[BO UNIT TRANSFER]]:LS[[#This Row],[BO UNIT TRANSFER]],LS[[#Headers],[Investor ID]]:LS[[#This Row],[Investor ID]],LS[[#This Row],[Investor ID]])</f>
        <v>0</v>
      </c>
    </row>
    <row r="792" spans="1:23">
      <c r="A792" s="101">
        <v>2025</v>
      </c>
      <c r="B792" s="101">
        <v>1</v>
      </c>
      <c r="C792" s="101">
        <v>26</v>
      </c>
      <c r="D792" s="98">
        <f>DATE(LS[[#This Row],[Year]],LS[[#This Row],[Month]],LS[[#This Row],[Day]])</f>
        <v>45683</v>
      </c>
      <c r="E792" s="99" t="str" cm="1">
        <f t="array" ref="E792">INDEX(INVESTORS_LIST[INVESTOR NAME],MATCH(LS[[#This Row],[Investor ID]],INVESTORS_LIST[INVESTOR CODE],0),)</f>
        <v>TAMANNA AFRIN MITUL</v>
      </c>
      <c r="F792" s="100" t="s">
        <v>1157</v>
      </c>
      <c r="G792" s="101">
        <f>COUNTIF(LS[[#Headers],[Investor ID]]:LS[[#This Row],[Investor ID]],LS[[#This Row],[Investor ID]])</f>
        <v>7</v>
      </c>
      <c r="H792" s="101" t="str">
        <f>CONCATENATE(LS[[#This Row],[Frequency]],LS[[#This Row],[Investor ID]])</f>
        <v>7A00554</v>
      </c>
      <c r="I792" s="75" t="str">
        <f>IF(LS[[#This Row],[B/S]]="B","BUY",(IF(LS[[#This Row],[B/S]]="S","SELL"," ")))</f>
        <v>BUY</v>
      </c>
      <c r="J792" s="101" t="s">
        <v>1229</v>
      </c>
      <c r="K792" s="102">
        <v>50000</v>
      </c>
      <c r="L792" s="99"/>
      <c r="M792" s="103">
        <f>LS[[#This Row],[Amount]]/LS[[#This Row],[Unit]]</f>
        <v>11.901928112354202</v>
      </c>
      <c r="N792" s="104">
        <f>LS[[#This Row],[Unit Capital]]/10</f>
        <v>4201</v>
      </c>
      <c r="O792" s="104">
        <f>SUMIFS(LS[[#Headers],[Unit]]:LS[[#This Row],[Unit]],LS[[#Headers],[Investor ID]]:LS[[#This Row],[Investor ID]],LS[[#This Row],[Investor ID]])</f>
        <v>5274</v>
      </c>
      <c r="P792" s="102">
        <v>42010</v>
      </c>
      <c r="Q792" s="102">
        <f>LS[[#This Row],[Amount]]-LS[[#This Row],[Unit Capital]]</f>
        <v>7990</v>
      </c>
      <c r="R7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11.836750789015973</v>
      </c>
      <c r="S792" s="103">
        <f t="shared" si="12"/>
        <v>14.224</v>
      </c>
      <c r="T7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92" s="102" cm="1">
        <f t="array" ref="U792">IF(LS[[#This Row],[B/S]]="S",ABS(LS[[#This Row],[Unit]])*(INDEX(LS[NAV at Cost (Average)],MATCH(CONCATENATE((LS[[#This Row],[Frequency]]-1),LS[[#This Row],[Investor ID]]),LS[Unique Code],0),0)),0)</f>
        <v>0</v>
      </c>
      <c r="V792" s="102">
        <f>IF(LS[[#This Row],[BO TRANSFER]]="YES",LS[[#This Row],[Unit]],)</f>
        <v>0</v>
      </c>
      <c r="W792" s="102">
        <f>SUMIFS(LS[[#Headers],[BO UNIT TRANSFER]]:LS[[#This Row],[BO UNIT TRANSFER]],LS[[#Headers],[Investor ID]]:LS[[#This Row],[Investor ID]],LS[[#This Row],[Investor ID]])</f>
        <v>0</v>
      </c>
    </row>
    <row r="793" spans="1:23">
      <c r="A793" s="101">
        <v>2025</v>
      </c>
      <c r="B793" s="101">
        <v>1</v>
      </c>
      <c r="C793" s="101">
        <v>26</v>
      </c>
      <c r="D793" s="98">
        <f>DATE(LS[[#This Row],[Year]],LS[[#This Row],[Month]],LS[[#This Row],[Day]])</f>
        <v>45683</v>
      </c>
      <c r="E793" s="99" t="str" cm="1">
        <f t="array" ref="E793">INDEX(INVESTORS_LIST[INVESTOR NAME],MATCH(LS[[#This Row],[Investor ID]],INVESTORS_LIST[INVESTOR CODE],0),)</f>
        <v>FARZANA JITU</v>
      </c>
      <c r="F793" s="100" t="s">
        <v>968</v>
      </c>
      <c r="G793" s="101">
        <f>COUNTIF(LS[[#Headers],[Investor ID]]:LS[[#This Row],[Investor ID]],LS[[#This Row],[Investor ID]])</f>
        <v>19</v>
      </c>
      <c r="H793" s="101" t="str">
        <f>CONCATENATE(LS[[#This Row],[Frequency]],LS[[#This Row],[Investor ID]])</f>
        <v>19A00461</v>
      </c>
      <c r="I793" s="75" t="str">
        <f>IF(LS[[#This Row],[B/S]]="B","BUY",(IF(LS[[#This Row],[B/S]]="S","SELL"," ")))</f>
        <v>BUY</v>
      </c>
      <c r="J793" s="101" t="s">
        <v>1229</v>
      </c>
      <c r="K793" s="102">
        <v>25000</v>
      </c>
      <c r="L793" s="88"/>
      <c r="M793" s="103">
        <f>LS[[#This Row],[Amount]]/LS[[#This Row],[Unit]]</f>
        <v>11.904761904761905</v>
      </c>
      <c r="N793" s="104">
        <f>LS[[#This Row],[Unit Capital]]/10</f>
        <v>2100</v>
      </c>
      <c r="O793" s="104">
        <f>SUMIFS(LS[[#Headers],[Unit]]:LS[[#This Row],[Unit]],LS[[#Headers],[Investor ID]]:LS[[#This Row],[Investor ID]],LS[[#This Row],[Investor ID]])</f>
        <v>45440</v>
      </c>
      <c r="P793" s="102">
        <v>21000</v>
      </c>
      <c r="Q793" s="102">
        <f>LS[[#This Row],[Amount]]-LS[[#This Row],[Unit Capital]]</f>
        <v>4000</v>
      </c>
      <c r="R7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11.612447867219526</v>
      </c>
      <c r="S793" s="103">
        <f t="shared" si="12"/>
        <v>14.224</v>
      </c>
      <c r="T79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93" s="102" cm="1">
        <f t="array" ref="U793">IF(LS[[#This Row],[B/S]]="S",ABS(LS[[#This Row],[Unit]])*(INDEX(LS[NAV at Cost (Average)],MATCH(CONCATENATE((LS[[#This Row],[Frequency]]-1),LS[[#This Row],[Investor ID]]),LS[Unique Code],0),0)),0)</f>
        <v>0</v>
      </c>
      <c r="V793" s="102">
        <f>IF(LS[[#This Row],[BO TRANSFER]]="YES",LS[[#This Row],[Unit]],)</f>
        <v>0</v>
      </c>
      <c r="W793" s="102">
        <f>SUMIFS(LS[[#Headers],[BO UNIT TRANSFER]]:LS[[#This Row],[BO UNIT TRANSFER]],LS[[#Headers],[Investor ID]]:LS[[#This Row],[Investor ID]],LS[[#This Row],[Investor ID]])</f>
        <v>0</v>
      </c>
    </row>
    <row r="794" spans="1:23">
      <c r="A794" s="101">
        <v>2025</v>
      </c>
      <c r="B794" s="101">
        <v>1</v>
      </c>
      <c r="C794" s="101">
        <v>27</v>
      </c>
      <c r="D794" s="98">
        <f>DATE(LS[[#This Row],[Year]],LS[[#This Row],[Month]],LS[[#This Row],[Day]])</f>
        <v>45684</v>
      </c>
      <c r="E794" s="99" t="str" cm="1">
        <f t="array" ref="E794">INDEX(INVESTORS_LIST[INVESTOR NAME],MATCH(LS[[#This Row],[Investor ID]],INVESTORS_LIST[INVESTOR CODE],0),)</f>
        <v>A. K. M. MAHMUDUL ALAM</v>
      </c>
      <c r="F794" s="100" t="s">
        <v>1085</v>
      </c>
      <c r="G794" s="101">
        <f>COUNTIF(LS[[#Headers],[Investor ID]]:LS[[#This Row],[Investor ID]],LS[[#This Row],[Investor ID]])</f>
        <v>3</v>
      </c>
      <c r="H794" s="101" t="str">
        <f>CONCATENATE(LS[[#This Row],[Frequency]],LS[[#This Row],[Investor ID]])</f>
        <v>3SB00002</v>
      </c>
      <c r="I794" s="75" t="str">
        <f>IF(LS[[#This Row],[B/S]]="B","BUY",(IF(LS[[#This Row],[B/S]]="S","SELL"," ")))</f>
        <v>SELL</v>
      </c>
      <c r="J794" s="101" t="s">
        <v>1231</v>
      </c>
      <c r="K794" s="102">
        <v>-1800000</v>
      </c>
      <c r="L794" s="88"/>
      <c r="M794" s="103">
        <f>LS[[#This Row],[Amount]]/LS[[#This Row],[Unit]]</f>
        <v>11.903029982409967</v>
      </c>
      <c r="N794" s="104">
        <f>LS[[#This Row],[Unit Capital]]/10</f>
        <v>-151222</v>
      </c>
      <c r="O794" s="104">
        <f>SUMIFS(LS[[#Headers],[Unit]]:LS[[#This Row],[Unit]],LS[[#Headers],[Investor ID]]:LS[[#This Row],[Investor ID]],LS[[#This Row],[Investor ID]])</f>
        <v>563780</v>
      </c>
      <c r="P794" s="102">
        <v>-1512220</v>
      </c>
      <c r="Q794" s="102">
        <f>LS[[#This Row],[Amount]]-LS[[#This Row],[Unit Capital]]</f>
        <v>-287780</v>
      </c>
      <c r="R7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11.18877989152478</v>
      </c>
      <c r="S794" s="103">
        <f t="shared" si="12"/>
        <v>14.224</v>
      </c>
      <c r="T794" s="102">
        <f>IF(LS[[#This Row],[B/S]]="B",0,ABS(LS[[#This Row],[Unit]])*(LS[[#This Row],[NAV (Strike Rate)]]-INDEX(LS[NAV at Cost (Average)],MATCH(CONCATENATE(LS[[#This Row],[Frequency]]-1,LS[[#This Row],[Investor ID]]),LS[Unique Code],0),)))</f>
        <v>108010.32724383978</v>
      </c>
      <c r="U794" s="102" cm="1">
        <f t="array" ref="U794">IF(LS[[#This Row],[B/S]]="S",ABS(LS[[#This Row],[Unit]])*(INDEX(LS[NAV at Cost (Average)],MATCH(CONCATENATE((LS[[#This Row],[Frequency]]-1),LS[[#This Row],[Investor ID]]),LS[Unique Code],0),0)),0)</f>
        <v>1691989.6727561601</v>
      </c>
      <c r="V794" s="102">
        <f>IF(LS[[#This Row],[BO TRANSFER]]="YES",LS[[#This Row],[Unit]],)</f>
        <v>0</v>
      </c>
      <c r="W794" s="102">
        <f>SUMIFS(LS[[#Headers],[BO UNIT TRANSFER]]:LS[[#This Row],[BO UNIT TRANSFER]],LS[[#Headers],[Investor ID]]:LS[[#This Row],[Investor ID]],LS[[#This Row],[Investor ID]])</f>
        <v>0</v>
      </c>
    </row>
    <row r="795" spans="1:23">
      <c r="A795" s="101">
        <v>2025</v>
      </c>
      <c r="B795" s="101">
        <v>1</v>
      </c>
      <c r="C795" s="101">
        <v>27</v>
      </c>
      <c r="D795" s="98">
        <f>DATE(LS[[#This Row],[Year]],LS[[#This Row],[Month]],LS[[#This Row],[Day]])</f>
        <v>45684</v>
      </c>
      <c r="E795" s="99" t="str" cm="1">
        <f t="array" ref="E795">INDEX(INVESTORS_LIST[INVESTOR NAME],MATCH(LS[[#This Row],[Investor ID]],INVESTORS_LIST[INVESTOR CODE],0),)</f>
        <v>SWADESH RANJAN SAHA</v>
      </c>
      <c r="F795" s="100" t="s">
        <v>234</v>
      </c>
      <c r="G795" s="101">
        <f>COUNTIF(LS[[#Headers],[Investor ID]]:LS[[#This Row],[Investor ID]],LS[[#This Row],[Investor ID]])</f>
        <v>14</v>
      </c>
      <c r="H795" s="101" t="str">
        <f>CONCATENATE(LS[[#This Row],[Frequency]],LS[[#This Row],[Investor ID]])</f>
        <v>14A00093</v>
      </c>
      <c r="I795" s="75" t="str">
        <f>IF(LS[[#This Row],[B/S]]="B","BUY",(IF(LS[[#This Row],[B/S]]="S","SELL"," ")))</f>
        <v>SELL</v>
      </c>
      <c r="J795" s="101" t="s">
        <v>1231</v>
      </c>
      <c r="K795" s="102">
        <v>-50000</v>
      </c>
      <c r="L795" s="99"/>
      <c r="M795" s="103">
        <f>LS[[#This Row],[Amount]]/LS[[#This Row],[Unit]]</f>
        <v>11.901928112354202</v>
      </c>
      <c r="N795" s="104">
        <f>LS[[#This Row],[Unit Capital]]/10</f>
        <v>-4201</v>
      </c>
      <c r="O795" s="104">
        <f>SUMIFS(LS[[#Headers],[Unit]]:LS[[#This Row],[Unit]],LS[[#Headers],[Investor ID]]:LS[[#This Row],[Investor ID]],LS[[#This Row],[Investor ID]])</f>
        <v>91851</v>
      </c>
      <c r="P795" s="102">
        <v>-42010</v>
      </c>
      <c r="Q795" s="102">
        <f>LS[[#This Row],[Amount]]-LS[[#This Row],[Unit Capital]]</f>
        <v>-7990</v>
      </c>
      <c r="R7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795" s="103">
        <f t="shared" si="12"/>
        <v>14.224</v>
      </c>
      <c r="T795" s="102">
        <f>IF(LS[[#This Row],[B/S]]="B",0,ABS(LS[[#This Row],[Unit]])*(LS[[#This Row],[NAV (Strike Rate)]]-INDEX(LS[NAV at Cost (Average)],MATCH(CONCATENATE(LS[[#This Row],[Frequency]]-1,LS[[#This Row],[Investor ID]]),LS[Unique Code],0),)))</f>
        <v>5106.288069193668</v>
      </c>
      <c r="U795" s="102" cm="1">
        <f t="array" ref="U795">IF(LS[[#This Row],[B/S]]="S",ABS(LS[[#This Row],[Unit]])*(INDEX(LS[NAV at Cost (Average)],MATCH(CONCATENATE((LS[[#This Row],[Frequency]]-1),LS[[#This Row],[Investor ID]]),LS[Unique Code],0),0)),0)</f>
        <v>44893.711930806334</v>
      </c>
      <c r="V795" s="102">
        <f>IF(LS[[#This Row],[BO TRANSFER]]="YES",LS[[#This Row],[Unit]],)</f>
        <v>0</v>
      </c>
      <c r="W795" s="102">
        <f>SUMIFS(LS[[#Headers],[BO UNIT TRANSFER]]:LS[[#This Row],[BO UNIT TRANSFER]],LS[[#Headers],[Investor ID]]:LS[[#This Row],[Investor ID]],LS[[#This Row],[Investor ID]])</f>
        <v>0</v>
      </c>
    </row>
    <row r="796" spans="1:23">
      <c r="A796" s="101">
        <v>2025</v>
      </c>
      <c r="B796" s="101">
        <v>1</v>
      </c>
      <c r="C796" s="101">
        <v>28</v>
      </c>
      <c r="D796" s="98">
        <f>DATE(LS[[#This Row],[Year]],LS[[#This Row],[Month]],LS[[#This Row],[Day]])</f>
        <v>45685</v>
      </c>
      <c r="E796" s="99" t="str" cm="1">
        <f t="array" ref="E796">INDEX(INVESTORS_LIST[INVESTOR NAME],MATCH(LS[[#This Row],[Investor ID]],INVESTORS_LIST[INVESTOR CODE],0),)</f>
        <v>KAZI HABIBUR RAHMAN</v>
      </c>
      <c r="F796" s="100" t="s">
        <v>1114</v>
      </c>
      <c r="G796" s="101">
        <f>COUNTIF(LS[[#Headers],[Investor ID]]:LS[[#This Row],[Investor ID]],LS[[#This Row],[Investor ID]])</f>
        <v>24</v>
      </c>
      <c r="H796" s="101" t="str">
        <f>CONCATENATE(LS[[#This Row],[Frequency]],LS[[#This Row],[Investor ID]])</f>
        <v>24A00532</v>
      </c>
      <c r="I796" s="75" t="str">
        <f>IF(LS[[#This Row],[B/S]]="B","BUY",(IF(LS[[#This Row],[B/S]]="S","SELL"," ")))</f>
        <v>SELL</v>
      </c>
      <c r="J796" s="101" t="s">
        <v>1231</v>
      </c>
      <c r="K796" s="102">
        <v>-500000</v>
      </c>
      <c r="L796" s="99"/>
      <c r="M796" s="103">
        <f>LS[[#This Row],[Amount]]/LS[[#This Row],[Unit]]</f>
        <v>11.903061467409417</v>
      </c>
      <c r="N796" s="104">
        <f>LS[[#This Row],[Unit Capital]]/10</f>
        <v>-42006</v>
      </c>
      <c r="O796" s="104">
        <f>SUMIFS(LS[[#Headers],[Unit]]:LS[[#This Row],[Unit]],LS[[#Headers],[Investor ID]]:LS[[#This Row],[Investor ID]],LS[[#This Row],[Investor ID]])</f>
        <v>685784</v>
      </c>
      <c r="P796" s="102">
        <v>-420060</v>
      </c>
      <c r="Q796" s="102">
        <f>LS[[#This Row],[Amount]]-LS[[#This Row],[Unit Capital]]</f>
        <v>-79940</v>
      </c>
      <c r="R7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11.231178819969475</v>
      </c>
      <c r="S796" s="103">
        <f t="shared" si="12"/>
        <v>14.224</v>
      </c>
      <c r="T796" s="102">
        <f>IF(LS[[#This Row],[B/S]]="B",0,ABS(LS[[#This Row],[Unit]])*(LS[[#This Row],[NAV (Strike Rate)]]-INDEX(LS[NAV at Cost (Average)],MATCH(CONCATENATE(LS[[#This Row],[Frequency]]-1,LS[[#This Row],[Investor ID]]),LS[Unique Code],0),)))</f>
        <v>28223.102488362194</v>
      </c>
      <c r="U796" s="102" cm="1">
        <f t="array" ref="U796">IF(LS[[#This Row],[B/S]]="S",ABS(LS[[#This Row],[Unit]])*(INDEX(LS[NAV at Cost (Average)],MATCH(CONCATENATE((LS[[#This Row],[Frequency]]-1),LS[[#This Row],[Investor ID]]),LS[Unique Code],0),0)),0)</f>
        <v>471776.89751163777</v>
      </c>
      <c r="V796" s="102">
        <f>IF(LS[[#This Row],[BO TRANSFER]]="YES",LS[[#This Row],[Unit]],)</f>
        <v>0</v>
      </c>
      <c r="W796" s="102">
        <f>SUMIFS(LS[[#Headers],[BO UNIT TRANSFER]]:LS[[#This Row],[BO UNIT TRANSFER]],LS[[#Headers],[Investor ID]]:LS[[#This Row],[Investor ID]],LS[[#This Row],[Investor ID]])</f>
        <v>0</v>
      </c>
    </row>
    <row r="797" spans="1:23">
      <c r="A797" s="101">
        <v>2025</v>
      </c>
      <c r="B797" s="101">
        <v>1</v>
      </c>
      <c r="C797" s="101">
        <v>29</v>
      </c>
      <c r="D797" s="98">
        <f>DATE(LS[[#This Row],[Year]],LS[[#This Row],[Month]],LS[[#This Row],[Day]])</f>
        <v>45686</v>
      </c>
      <c r="E797" s="99" t="str" cm="1">
        <f t="array" ref="E797">INDEX(INVESTORS_LIST[INVESTOR NAME],MATCH(LS[[#This Row],[Investor ID]],INVESTORS_LIST[INVESTOR CODE],0),)</f>
        <v>MD. WALID - AL - ZUBAYER</v>
      </c>
      <c r="F797" s="100" t="s">
        <v>565</v>
      </c>
      <c r="G797" s="101">
        <f>COUNTIF(LS[[#Headers],[Investor ID]]:LS[[#This Row],[Investor ID]],LS[[#This Row],[Investor ID]])</f>
        <v>8</v>
      </c>
      <c r="H797" s="101" t="str">
        <f>CONCATENATE(LS[[#This Row],[Frequency]],LS[[#This Row],[Investor ID]])</f>
        <v>8A00258</v>
      </c>
      <c r="I797" s="75" t="str">
        <f>IF(LS[[#This Row],[B/S]]="B","BUY",(IF(LS[[#This Row],[B/S]]="S","SELL"," ")))</f>
        <v>SELL</v>
      </c>
      <c r="J797" s="101" t="s">
        <v>1231</v>
      </c>
      <c r="K797" s="102">
        <v>-595150</v>
      </c>
      <c r="L797" s="99"/>
      <c r="M797" s="103">
        <f>LS[[#This Row],[Amount]]/LS[[#This Row],[Unit]]</f>
        <v>11.903</v>
      </c>
      <c r="N797" s="104">
        <f>LS[[#This Row],[Unit Capital]]/10</f>
        <v>-50000</v>
      </c>
      <c r="O797" s="104">
        <f>SUMIFS(LS[[#Headers],[Unit]]:LS[[#This Row],[Unit]],LS[[#Headers],[Investor ID]]:LS[[#This Row],[Investor ID]],LS[[#This Row],[Investor ID]])</f>
        <v>269000</v>
      </c>
      <c r="P797" s="102">
        <v>-500000</v>
      </c>
      <c r="Q797" s="102">
        <f>LS[[#This Row],[Amount]]-LS[[#This Row],[Unit Capital]]</f>
        <v>-95150</v>
      </c>
      <c r="R7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11.684398119122257</v>
      </c>
      <c r="S797" s="103">
        <f t="shared" si="12"/>
        <v>14.224</v>
      </c>
      <c r="T797" s="102">
        <f>IF(LS[[#This Row],[B/S]]="B",0,ABS(LS[[#This Row],[Unit]])*(LS[[#This Row],[NAV (Strike Rate)]]-INDEX(LS[NAV at Cost (Average)],MATCH(CONCATENATE(LS[[#This Row],[Frequency]]-1,LS[[#This Row],[Investor ID]]),LS[Unique Code],0),)))</f>
        <v>10930.094043887184</v>
      </c>
      <c r="U797" s="102" cm="1">
        <f t="array" ref="U797">IF(LS[[#This Row],[B/S]]="S",ABS(LS[[#This Row],[Unit]])*(INDEX(LS[NAV at Cost (Average)],MATCH(CONCATENATE((LS[[#This Row],[Frequency]]-1),LS[[#This Row],[Investor ID]]),LS[Unique Code],0),0)),0)</f>
        <v>584219.9059561129</v>
      </c>
      <c r="V797" s="102">
        <f>IF(LS[[#This Row],[BO TRANSFER]]="YES",LS[[#This Row],[Unit]],)</f>
        <v>0</v>
      </c>
      <c r="W797" s="102">
        <f>SUMIFS(LS[[#Headers],[BO UNIT TRANSFER]]:LS[[#This Row],[BO UNIT TRANSFER]],LS[[#Headers],[Investor ID]]:LS[[#This Row],[Investor ID]],LS[[#This Row],[Investor ID]])</f>
        <v>0</v>
      </c>
    </row>
    <row r="798" spans="1:23">
      <c r="A798" s="101">
        <v>2025</v>
      </c>
      <c r="B798" s="101">
        <v>1</v>
      </c>
      <c r="C798" s="101">
        <v>29</v>
      </c>
      <c r="D798" s="98">
        <f>DATE(LS[[#This Row],[Year]],LS[[#This Row],[Month]],LS[[#This Row],[Day]])</f>
        <v>45686</v>
      </c>
      <c r="E798" s="99" t="str" cm="1">
        <f t="array" ref="E798">INDEX(INVESTORS_LIST[INVESTOR NAME],MATCH(LS[[#This Row],[Investor ID]],INVESTORS_LIST[INVESTOR CODE],0),)</f>
        <v>MD. WALID - AL - ZUBAYER</v>
      </c>
      <c r="F798" s="100" t="s">
        <v>565</v>
      </c>
      <c r="G798" s="101">
        <f>COUNTIF(LS[[#Headers],[Investor ID]]:LS[[#This Row],[Investor ID]],LS[[#This Row],[Investor ID]])</f>
        <v>9</v>
      </c>
      <c r="H798" s="101" t="str">
        <f>CONCATENATE(LS[[#This Row],[Frequency]],LS[[#This Row],[Investor ID]])</f>
        <v>9A00258</v>
      </c>
      <c r="I798" s="75" t="str">
        <f>IF(LS[[#This Row],[B/S]]="B","BUY",(IF(LS[[#This Row],[B/S]]="S","SELL"," ")))</f>
        <v>SELL</v>
      </c>
      <c r="J798" s="101" t="s">
        <v>1231</v>
      </c>
      <c r="K798" s="102">
        <v>-1785450</v>
      </c>
      <c r="L798" s="99"/>
      <c r="M798" s="103">
        <f>LS[[#This Row],[Amount]]/LS[[#This Row],[Unit]]</f>
        <v>11.903</v>
      </c>
      <c r="N798" s="104">
        <f>LS[[#This Row],[Unit Capital]]/10</f>
        <v>-150000</v>
      </c>
      <c r="O798" s="104">
        <f>SUMIFS(LS[[#Headers],[Unit]]:LS[[#This Row],[Unit]],LS[[#Headers],[Investor ID]]:LS[[#This Row],[Investor ID]],LS[[#This Row],[Investor ID]])</f>
        <v>119000</v>
      </c>
      <c r="P798" s="102">
        <v>-1500000</v>
      </c>
      <c r="Q798" s="102">
        <f>LS[[#This Row],[Amount]]-LS[[#This Row],[Unit Capital]]</f>
        <v>-285450</v>
      </c>
      <c r="R7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11.684398119122257</v>
      </c>
      <c r="S798" s="103">
        <f t="shared" si="12"/>
        <v>14.224</v>
      </c>
      <c r="T798" s="102">
        <f>IF(LS[[#This Row],[B/S]]="B",0,ABS(LS[[#This Row],[Unit]])*(LS[[#This Row],[NAV (Strike Rate)]]-INDEX(LS[NAV at Cost (Average)],MATCH(CONCATENATE(LS[[#This Row],[Frequency]]-1,LS[[#This Row],[Investor ID]]),LS[Unique Code],0),)))</f>
        <v>32790.282131661552</v>
      </c>
      <c r="U798" s="102" cm="1">
        <f t="array" ref="U798">IF(LS[[#This Row],[B/S]]="S",ABS(LS[[#This Row],[Unit]])*(INDEX(LS[NAV at Cost (Average)],MATCH(CONCATENATE((LS[[#This Row],[Frequency]]-1),LS[[#This Row],[Investor ID]]),LS[Unique Code],0),0)),0)</f>
        <v>1752659.7178683386</v>
      </c>
      <c r="V798" s="102">
        <f>IF(LS[[#This Row],[BO TRANSFER]]="YES",LS[[#This Row],[Unit]],)</f>
        <v>0</v>
      </c>
      <c r="W798" s="102">
        <f>SUMIFS(LS[[#Headers],[BO UNIT TRANSFER]]:LS[[#This Row],[BO UNIT TRANSFER]],LS[[#Headers],[Investor ID]]:LS[[#This Row],[Investor ID]],LS[[#This Row],[Investor ID]])</f>
        <v>0</v>
      </c>
    </row>
    <row r="799" spans="1:23">
      <c r="A799" s="101">
        <v>2025</v>
      </c>
      <c r="B799" s="101">
        <v>1</v>
      </c>
      <c r="C799" s="101">
        <v>29</v>
      </c>
      <c r="D799" s="98">
        <f>DATE(LS[[#This Row],[Year]],LS[[#This Row],[Month]],LS[[#This Row],[Day]])</f>
        <v>45686</v>
      </c>
      <c r="E799" s="99" t="str" cm="1">
        <f t="array" ref="E799">INDEX(INVESTORS_LIST[INVESTOR NAME],MATCH(LS[[#This Row],[Investor ID]],INVESTORS_LIST[INVESTOR CODE],0),)</f>
        <v>SOURAV SAHA</v>
      </c>
      <c r="F799" s="100" t="s">
        <v>1272</v>
      </c>
      <c r="G799" s="101">
        <f>COUNTIF(LS[[#Headers],[Investor ID]]:LS[[#This Row],[Investor ID]],LS[[#This Row],[Investor ID]])</f>
        <v>8</v>
      </c>
      <c r="H799" s="101" t="str">
        <f>CONCATENATE(LS[[#This Row],[Frequency]],LS[[#This Row],[Investor ID]])</f>
        <v>8A00583</v>
      </c>
      <c r="I799" s="75" t="str">
        <f>IF(LS[[#This Row],[B/S]]="B","BUY",(IF(LS[[#This Row],[B/S]]="S","SELL"," ")))</f>
        <v>BUY</v>
      </c>
      <c r="J799" s="101" t="s">
        <v>1229</v>
      </c>
      <c r="K799" s="102">
        <v>100000</v>
      </c>
      <c r="L799" s="99"/>
      <c r="M799" s="103">
        <f>LS[[#This Row],[Amount]]/LS[[#This Row],[Unit]]</f>
        <v>11.903344839900011</v>
      </c>
      <c r="N799" s="104">
        <f>LS[[#This Row],[Unit Capital]]/10</f>
        <v>8401</v>
      </c>
      <c r="O799" s="104">
        <f>SUMIFS(LS[[#Headers],[Unit]]:LS[[#This Row],[Unit]],LS[[#Headers],[Investor ID]]:LS[[#This Row],[Investor ID]],LS[[#This Row],[Investor ID]])</f>
        <v>8401</v>
      </c>
      <c r="P799" s="102">
        <v>84010</v>
      </c>
      <c r="Q799" s="102">
        <f>LS[[#This Row],[Amount]]-LS[[#This Row],[Unit Capital]]</f>
        <v>15990</v>
      </c>
      <c r="R7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11.903344839900011</v>
      </c>
      <c r="S799" s="103">
        <f t="shared" si="12"/>
        <v>14.224</v>
      </c>
      <c r="T79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799" s="102" cm="1">
        <f t="array" ref="U799">IF(LS[[#This Row],[B/S]]="S",ABS(LS[[#This Row],[Unit]])*(INDEX(LS[NAV at Cost (Average)],MATCH(CONCATENATE((LS[[#This Row],[Frequency]]-1),LS[[#This Row],[Investor ID]]),LS[Unique Code],0),0)),0)</f>
        <v>0</v>
      </c>
      <c r="V799" s="102">
        <f>IF(LS[[#This Row],[BO TRANSFER]]="YES",LS[[#This Row],[Unit]],)</f>
        <v>0</v>
      </c>
      <c r="W799" s="102">
        <f>SUMIFS(LS[[#Headers],[BO UNIT TRANSFER]]:LS[[#This Row],[BO UNIT TRANSFER]],LS[[#Headers],[Investor ID]]:LS[[#This Row],[Investor ID]],LS[[#This Row],[Investor ID]])</f>
        <v>0</v>
      </c>
    </row>
    <row r="800" spans="1:23">
      <c r="A800" s="101">
        <v>2025</v>
      </c>
      <c r="B800" s="101">
        <v>1</v>
      </c>
      <c r="C800" s="101">
        <v>27</v>
      </c>
      <c r="D800" s="98">
        <f>DATE(LS[[#This Row],[Year]],LS[[#This Row],[Month]],LS[[#This Row],[Day]])</f>
        <v>45684</v>
      </c>
      <c r="E800" s="99" t="str" cm="1">
        <f t="array" ref="E800">INDEX(INVESTORS_LIST[INVESTOR NAME],MATCH(LS[[#This Row],[Investor ID]],INVESTORS_LIST[INVESTOR CODE],0),)</f>
        <v>SHAPNA RANI BARMAN</v>
      </c>
      <c r="F800" s="171" t="s">
        <v>1292</v>
      </c>
      <c r="G800" s="101">
        <f>COUNTIF(LS[[#Headers],[Investor ID]]:LS[[#This Row],[Investor ID]],LS[[#This Row],[Investor ID]])</f>
        <v>3</v>
      </c>
      <c r="H800" s="101" t="str">
        <f>CONCATENATE(LS[[#This Row],[Frequency]],LS[[#This Row],[Investor ID]])</f>
        <v>3A00593</v>
      </c>
      <c r="I800" s="75" t="str">
        <f>IF(LS[[#This Row],[B/S]]="B","BUY",(IF(LS[[#This Row],[B/S]]="S","SELL"," ")))</f>
        <v>SELL</v>
      </c>
      <c r="J800" s="101" t="s">
        <v>1231</v>
      </c>
      <c r="K800" s="152">
        <v>-1000</v>
      </c>
      <c r="L800" s="99"/>
      <c r="M800" s="103">
        <f>LS[[#This Row],[Amount]]/LS[[#This Row],[Unit]]</f>
        <v>11.904761904761905</v>
      </c>
      <c r="N800" s="104">
        <f>LS[[#This Row],[Unit Capital]]/10</f>
        <v>-84</v>
      </c>
      <c r="O800" s="104">
        <f>SUMIFS(LS[[#Headers],[Unit]]:LS[[#This Row],[Unit]],LS[[#Headers],[Investor ID]]:LS[[#This Row],[Investor ID]],LS[[#This Row],[Investor ID]])</f>
        <v>3717</v>
      </c>
      <c r="P800" s="102">
        <v>-840</v>
      </c>
      <c r="Q800" s="102">
        <f>LS[[#This Row],[Amount]]-LS[[#This Row],[Unit Capital]]</f>
        <v>-160</v>
      </c>
      <c r="R8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11.580030880082347</v>
      </c>
      <c r="S800" s="103">
        <f t="shared" si="12"/>
        <v>14.224</v>
      </c>
      <c r="T800" s="102">
        <f>IF(LS[[#This Row],[B/S]]="B",0,ABS(LS[[#This Row],[Unit]])*(LS[[#This Row],[NAV (Strike Rate)]]-INDEX(LS[NAV at Cost (Average)],MATCH(CONCATENATE(LS[[#This Row],[Frequency]]-1,LS[[#This Row],[Investor ID]]),LS[Unique Code],0),)))</f>
        <v>27.277406073082858</v>
      </c>
      <c r="U800" s="102" cm="1">
        <f t="array" ref="U800">IF(LS[[#This Row],[B/S]]="S",ABS(LS[[#This Row],[Unit]])*(INDEX(LS[NAV at Cost (Average)],MATCH(CONCATENATE((LS[[#This Row],[Frequency]]-1),LS[[#This Row],[Investor ID]]),LS[Unique Code],0),0)),0)</f>
        <v>972.72259392691717</v>
      </c>
      <c r="V800" s="102">
        <f>IF(LS[[#This Row],[BO TRANSFER]]="YES",LS[[#This Row],[Unit]],)</f>
        <v>0</v>
      </c>
      <c r="W800" s="102">
        <f>SUMIFS(LS[[#Headers],[BO UNIT TRANSFER]]:LS[[#This Row],[BO UNIT TRANSFER]],LS[[#Headers],[Investor ID]]:LS[[#This Row],[Investor ID]],LS[[#This Row],[Investor ID]])</f>
        <v>0</v>
      </c>
    </row>
    <row r="801" spans="1:23">
      <c r="A801" s="101">
        <v>2025</v>
      </c>
      <c r="B801" s="101">
        <v>1</v>
      </c>
      <c r="C801" s="101">
        <v>29</v>
      </c>
      <c r="D801" s="98">
        <f>DATE(LS[[#This Row],[Year]],LS[[#This Row],[Month]],LS[[#This Row],[Day]])</f>
        <v>45686</v>
      </c>
      <c r="E801" s="99" t="str" cm="1">
        <f t="array" ref="E801">INDEX(INVESTORS_LIST[INVESTOR NAME],MATCH(LS[[#This Row],[Investor ID]],INVESTORS_LIST[INVESTOR CODE],0),)</f>
        <v>BABITA RANI BARMAN</v>
      </c>
      <c r="F801" s="100" t="s">
        <v>188</v>
      </c>
      <c r="G801" s="101">
        <f>COUNTIF(LS[[#Headers],[Investor ID]]:LS[[#This Row],[Investor ID]],LS[[#This Row],[Investor ID]])</f>
        <v>5</v>
      </c>
      <c r="H801" s="101" t="str">
        <f>CONCATENATE(LS[[#This Row],[Frequency]],LS[[#This Row],[Investor ID]])</f>
        <v>5A00070</v>
      </c>
      <c r="I801" s="75" t="str">
        <f>IF(LS[[#This Row],[B/S]]="B","BUY",(IF(LS[[#This Row],[B/S]]="S","SELL"," ")))</f>
        <v>SELL</v>
      </c>
      <c r="J801" s="101" t="s">
        <v>1231</v>
      </c>
      <c r="K801" s="102">
        <v>-100000</v>
      </c>
      <c r="L801" s="99"/>
      <c r="M801" s="103">
        <f>LS[[#This Row],[Amount]]/LS[[#This Row],[Unit]]</f>
        <v>11.903344839900011</v>
      </c>
      <c r="N801" s="104">
        <f>LS[[#This Row],[Unit Capital]]/10</f>
        <v>-8401</v>
      </c>
      <c r="O801" s="104">
        <f>SUMIFS(LS[[#Headers],[Unit]]:LS[[#This Row],[Unit]],LS[[#Headers],[Investor ID]]:LS[[#This Row],[Investor ID]],LS[[#This Row],[Investor ID]])</f>
        <v>43608</v>
      </c>
      <c r="P801" s="102">
        <v>-84010</v>
      </c>
      <c r="Q801" s="102">
        <f>LS[[#This Row],[Amount]]-LS[[#This Row],[Unit Capital]]</f>
        <v>-15990</v>
      </c>
      <c r="R8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11.055778807514084</v>
      </c>
      <c r="S801" s="103">
        <f t="shared" si="12"/>
        <v>14.224</v>
      </c>
      <c r="T801" s="102">
        <f>IF(LS[[#This Row],[B/S]]="B",0,ABS(LS[[#This Row],[Unit]])*(LS[[#This Row],[NAV (Strike Rate)]]-INDEX(LS[NAV at Cost (Average)],MATCH(CONCATENATE(LS[[#This Row],[Frequency]]-1,LS[[#This Row],[Investor ID]]),LS[Unique Code],0),)))</f>
        <v>7120.4022380741753</v>
      </c>
      <c r="U801" s="102" cm="1">
        <f t="array" ref="U801">IF(LS[[#This Row],[B/S]]="S",ABS(LS[[#This Row],[Unit]])*(INDEX(LS[NAV at Cost (Average)],MATCH(CONCATENATE((LS[[#This Row],[Frequency]]-1),LS[[#This Row],[Investor ID]]),LS[Unique Code],0),0)),0)</f>
        <v>92879.597761925819</v>
      </c>
      <c r="V801" s="102">
        <f>IF(LS[[#This Row],[BO TRANSFER]]="YES",LS[[#This Row],[Unit]],)</f>
        <v>0</v>
      </c>
      <c r="W801" s="102">
        <f>SUMIFS(LS[[#Headers],[BO UNIT TRANSFER]]:LS[[#This Row],[BO UNIT TRANSFER]],LS[[#Headers],[Investor ID]]:LS[[#This Row],[Investor ID]],LS[[#This Row],[Investor ID]])</f>
        <v>0</v>
      </c>
    </row>
    <row r="802" spans="1:23">
      <c r="A802" s="101">
        <v>2025</v>
      </c>
      <c r="B802" s="101">
        <v>1</v>
      </c>
      <c r="C802" s="101">
        <v>30</v>
      </c>
      <c r="D802" s="98">
        <f>DATE(LS[[#This Row],[Year]],LS[[#This Row],[Month]],LS[[#This Row],[Day]])</f>
        <v>45687</v>
      </c>
      <c r="E802" s="99" t="str" cm="1">
        <f t="array" ref="E802">INDEX(INVESTORS_LIST[INVESTOR NAME],MATCH(LS[[#This Row],[Investor ID]],INVESTORS_LIST[INVESTOR CODE],0),)</f>
        <v>RAJIV HASSAN</v>
      </c>
      <c r="F802" s="100" t="s">
        <v>1038</v>
      </c>
      <c r="G802" s="101">
        <f>COUNTIF(LS[[#Headers],[Investor ID]]:LS[[#This Row],[Investor ID]],LS[[#This Row],[Investor ID]])</f>
        <v>4</v>
      </c>
      <c r="H802" s="101" t="str">
        <f>CONCATENATE(LS[[#This Row],[Frequency]],LS[[#This Row],[Investor ID]])</f>
        <v>4A00496</v>
      </c>
      <c r="I802" s="75" t="str">
        <f>IF(LS[[#This Row],[B/S]]="B","BUY",(IF(LS[[#This Row],[B/S]]="S","SELL"," ")))</f>
        <v>BUY</v>
      </c>
      <c r="J802" s="101" t="s">
        <v>1229</v>
      </c>
      <c r="K802" s="102">
        <v>3000000</v>
      </c>
      <c r="L802" s="99"/>
      <c r="M802" s="103">
        <f>LS[[#This Row],[Amount]]/LS[[#This Row],[Unit]]</f>
        <v>11.898387768457374</v>
      </c>
      <c r="N802" s="104">
        <f>LS[[#This Row],[Unit Capital]]/10</f>
        <v>252135</v>
      </c>
      <c r="O802" s="104">
        <f>SUMIFS(LS[[#Headers],[Unit]]:LS[[#This Row],[Unit]],LS[[#Headers],[Investor ID]]:LS[[#This Row],[Investor ID]],LS[[#This Row],[Investor ID]])</f>
        <v>628100</v>
      </c>
      <c r="P802" s="102">
        <v>2521350</v>
      </c>
      <c r="Q802" s="102">
        <f>LS[[#This Row],[Amount]]-LS[[#This Row],[Unit Capital]]</f>
        <v>478650</v>
      </c>
      <c r="R8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11.144722177997131</v>
      </c>
      <c r="S802" s="103">
        <f t="shared" si="12"/>
        <v>14.224</v>
      </c>
      <c r="T80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2" s="102" cm="1">
        <f t="array" ref="U802">IF(LS[[#This Row],[B/S]]="S",ABS(LS[[#This Row],[Unit]])*(INDEX(LS[NAV at Cost (Average)],MATCH(CONCATENATE((LS[[#This Row],[Frequency]]-1),LS[[#This Row],[Investor ID]]),LS[Unique Code],0),0)),0)</f>
        <v>0</v>
      </c>
      <c r="V802" s="102">
        <f>IF(LS[[#This Row],[BO TRANSFER]]="YES",LS[[#This Row],[Unit]],)</f>
        <v>0</v>
      </c>
      <c r="W802" s="102">
        <f>SUMIFS(LS[[#Headers],[BO UNIT TRANSFER]]:LS[[#This Row],[BO UNIT TRANSFER]],LS[[#Headers],[Investor ID]]:LS[[#This Row],[Investor ID]],LS[[#This Row],[Investor ID]])</f>
        <v>0</v>
      </c>
    </row>
    <row r="803" spans="1:23">
      <c r="A803" s="101">
        <v>2025</v>
      </c>
      <c r="B803" s="101">
        <v>1</v>
      </c>
      <c r="C803" s="101">
        <v>30</v>
      </c>
      <c r="D803" s="98">
        <f>DATE(LS[[#This Row],[Year]],LS[[#This Row],[Month]],LS[[#This Row],[Day]])</f>
        <v>45687</v>
      </c>
      <c r="E803" s="99" t="str" cm="1">
        <f t="array" ref="E803">INDEX(INVESTORS_LIST[INVESTOR NAME],MATCH(LS[[#This Row],[Investor ID]],INVESTORS_LIST[INVESTOR CODE],0),)</f>
        <v>FARZANA JITU</v>
      </c>
      <c r="F803" s="100" t="s">
        <v>968</v>
      </c>
      <c r="G803" s="101">
        <f>COUNTIF(LS[[#Headers],[Investor ID]]:LS[[#This Row],[Investor ID]],LS[[#This Row],[Investor ID]])</f>
        <v>20</v>
      </c>
      <c r="H803" s="101" t="str">
        <f>CONCATENATE(LS[[#This Row],[Frequency]],LS[[#This Row],[Investor ID]])</f>
        <v>20A00461</v>
      </c>
      <c r="I803" s="75" t="str">
        <f>IF(LS[[#This Row],[B/S]]="B","BUY",(IF(LS[[#This Row],[B/S]]="S","SELL"," ")))</f>
        <v>SELL</v>
      </c>
      <c r="J803" s="101" t="s">
        <v>1231</v>
      </c>
      <c r="K803" s="102">
        <v>-200000</v>
      </c>
      <c r="L803" s="88"/>
      <c r="M803" s="103">
        <f>LS[[#This Row],[Amount]]/LS[[#This Row],[Unit]]</f>
        <v>11.903344839900011</v>
      </c>
      <c r="N803" s="104">
        <f>LS[[#This Row],[Unit Capital]]/10</f>
        <v>-16802</v>
      </c>
      <c r="O803" s="104">
        <f>SUMIFS(LS[[#Headers],[Unit]]:LS[[#This Row],[Unit]],LS[[#Headers],[Investor ID]]:LS[[#This Row],[Investor ID]],LS[[#This Row],[Investor ID]])</f>
        <v>28638</v>
      </c>
      <c r="P803" s="102">
        <v>-168020</v>
      </c>
      <c r="Q803" s="102">
        <f>LS[[#This Row],[Amount]]-LS[[#This Row],[Unit Capital]]</f>
        <v>-31980</v>
      </c>
      <c r="R8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11.612447867219526</v>
      </c>
      <c r="S803" s="103">
        <f t="shared" si="12"/>
        <v>14.224</v>
      </c>
      <c r="T803" s="102">
        <f>IF(LS[[#This Row],[B/S]]="B",0,ABS(LS[[#This Row],[Unit]])*(LS[[#This Row],[NAV (Strike Rate)]]-INDEX(LS[NAV at Cost (Average)],MATCH(CONCATENATE(LS[[#This Row],[Frequency]]-1,LS[[#This Row],[Investor ID]]),LS[Unique Code],0),)))</f>
        <v>4887.6509349775179</v>
      </c>
      <c r="U803" s="102" cm="1">
        <f t="array" ref="U803">IF(LS[[#This Row],[B/S]]="S",ABS(LS[[#This Row],[Unit]])*(INDEX(LS[NAV at Cost (Average)],MATCH(CONCATENATE((LS[[#This Row],[Frequency]]-1),LS[[#This Row],[Investor ID]]),LS[Unique Code],0),0)),0)</f>
        <v>195112.34906502248</v>
      </c>
      <c r="V803" s="102">
        <f>IF(LS[[#This Row],[BO TRANSFER]]="YES",LS[[#This Row],[Unit]],)</f>
        <v>0</v>
      </c>
      <c r="W803" s="102">
        <f>SUMIFS(LS[[#Headers],[BO UNIT TRANSFER]]:LS[[#This Row],[BO UNIT TRANSFER]],LS[[#Headers],[Investor ID]]:LS[[#This Row],[Investor ID]],LS[[#This Row],[Investor ID]])</f>
        <v>0</v>
      </c>
    </row>
    <row r="804" spans="1:23">
      <c r="A804" s="101">
        <v>2025</v>
      </c>
      <c r="B804" s="101">
        <v>2</v>
      </c>
      <c r="C804" s="101">
        <v>2</v>
      </c>
      <c r="D804" s="98">
        <f>DATE(LS[[#This Row],[Year]],LS[[#This Row],[Month]],LS[[#This Row],[Day]])</f>
        <v>45690</v>
      </c>
      <c r="E804" s="99" t="str" cm="1">
        <f t="array" ref="E804">INDEX(INVESTORS_LIST[INVESTOR NAME],MATCH(LS[[#This Row],[Investor ID]],INVESTORS_LIST[INVESTOR CODE],0),)</f>
        <v>TANIZA MAZED</v>
      </c>
      <c r="F804" s="100" t="s">
        <v>84</v>
      </c>
      <c r="G804" s="101">
        <f>COUNTIF(LS[[#Headers],[Investor ID]]:LS[[#This Row],[Investor ID]],LS[[#This Row],[Investor ID]])</f>
        <v>4</v>
      </c>
      <c r="H804" s="101" t="str">
        <f>CONCATENATE(LS[[#This Row],[Frequency]],LS[[#This Row],[Investor ID]])</f>
        <v>4A00019</v>
      </c>
      <c r="I804" s="75" t="str">
        <f>IF(LS[[#This Row],[B/S]]="B","BUY",(IF(LS[[#This Row],[B/S]]="S","SELL"," ")))</f>
        <v>BUY</v>
      </c>
      <c r="J804" s="101" t="s">
        <v>1229</v>
      </c>
      <c r="K804" s="102">
        <v>1000000</v>
      </c>
      <c r="L804" s="99"/>
      <c r="M804" s="103">
        <f>LS[[#This Row],[Amount]]/LS[[#This Row],[Unit]]</f>
        <v>11.929046034188646</v>
      </c>
      <c r="N804" s="104">
        <f>LS[[#This Row],[Unit Capital]]/10</f>
        <v>83829</v>
      </c>
      <c r="O804" s="104">
        <f>SUMIFS(LS[[#Headers],[Unit]]:LS[[#This Row],[Unit]],LS[[#Headers],[Investor ID]]:LS[[#This Row],[Investor ID]],LS[[#This Row],[Investor ID]])</f>
        <v>255668</v>
      </c>
      <c r="P804" s="102">
        <v>838290</v>
      </c>
      <c r="Q804" s="102">
        <f>LS[[#This Row],[Amount]]-LS[[#This Row],[Unit Capital]]</f>
        <v>161710</v>
      </c>
      <c r="R8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10.951702989814915</v>
      </c>
      <c r="S804" s="103">
        <f t="shared" si="12"/>
        <v>14.224</v>
      </c>
      <c r="T80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4" s="102" cm="1">
        <f t="array" ref="U804">IF(LS[[#This Row],[B/S]]="S",ABS(LS[[#This Row],[Unit]])*(INDEX(LS[NAV at Cost (Average)],MATCH(CONCATENATE((LS[[#This Row],[Frequency]]-1),LS[[#This Row],[Investor ID]]),LS[Unique Code],0),0)),0)</f>
        <v>0</v>
      </c>
      <c r="V804" s="102">
        <f>IF(LS[[#This Row],[BO TRANSFER]]="YES",LS[[#This Row],[Unit]],)</f>
        <v>0</v>
      </c>
      <c r="W804" s="102">
        <f>SUMIFS(LS[[#Headers],[BO UNIT TRANSFER]]:LS[[#This Row],[BO UNIT TRANSFER]],LS[[#Headers],[Investor ID]]:LS[[#This Row],[Investor ID]],LS[[#This Row],[Investor ID]])</f>
        <v>0</v>
      </c>
    </row>
    <row r="805" spans="1:23">
      <c r="A805" s="101">
        <v>2025</v>
      </c>
      <c r="B805" s="101">
        <v>2</v>
      </c>
      <c r="C805" s="101">
        <v>3</v>
      </c>
      <c r="D805" s="98">
        <f>DATE(LS[[#This Row],[Year]],LS[[#This Row],[Month]],LS[[#This Row],[Day]])</f>
        <v>45691</v>
      </c>
      <c r="E805" s="99" t="str" cm="1">
        <f t="array" ref="E805">INDEX(INVESTORS_LIST[INVESTOR NAME],MATCH(LS[[#This Row],[Investor ID]],INVESTORS_LIST[INVESTOR CODE],0),)</f>
        <v>SHAH MUNTASIN MUJTABA</v>
      </c>
      <c r="F805" s="100" t="s">
        <v>1103</v>
      </c>
      <c r="G805" s="101">
        <f>COUNTIF(LS[[#Headers],[Investor ID]]:LS[[#This Row],[Investor ID]],LS[[#This Row],[Investor ID]])</f>
        <v>9</v>
      </c>
      <c r="H805" s="101" t="str">
        <f>CONCATENATE(LS[[#This Row],[Frequency]],LS[[#This Row],[Investor ID]])</f>
        <v>9A00528</v>
      </c>
      <c r="I805" s="75" t="str">
        <f>IF(LS[[#This Row],[B/S]]="B","BUY",(IF(LS[[#This Row],[B/S]]="S","SELL"," ")))</f>
        <v>BUY</v>
      </c>
      <c r="J805" s="101" t="s">
        <v>1229</v>
      </c>
      <c r="K805" s="102">
        <v>1103432.5</v>
      </c>
      <c r="L805" s="99"/>
      <c r="M805" s="103">
        <f>LS[[#This Row],[Amount]]/LS[[#This Row],[Unit]]</f>
        <v>11.929</v>
      </c>
      <c r="N805" s="104">
        <f>LS[[#This Row],[Unit Capital]]/10</f>
        <v>92500</v>
      </c>
      <c r="O805" s="104">
        <f>SUMIFS(LS[[#Headers],[Unit]]:LS[[#This Row],[Unit]],LS[[#Headers],[Investor ID]]:LS[[#This Row],[Investor ID]],LS[[#This Row],[Investor ID]])</f>
        <v>172436</v>
      </c>
      <c r="P805" s="102">
        <v>925000</v>
      </c>
      <c r="Q805" s="102">
        <f>LS[[#This Row],[Amount]]-LS[[#This Row],[Unit Capital]]</f>
        <v>178432.5</v>
      </c>
      <c r="R8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11.593637739525001</v>
      </c>
      <c r="S805" s="103">
        <f t="shared" si="12"/>
        <v>14.224</v>
      </c>
      <c r="T80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5" s="102" cm="1">
        <f t="array" ref="U805">IF(LS[[#This Row],[B/S]]="S",ABS(LS[[#This Row],[Unit]])*(INDEX(LS[NAV at Cost (Average)],MATCH(CONCATENATE((LS[[#This Row],[Frequency]]-1),LS[[#This Row],[Investor ID]]),LS[Unique Code],0),0)),0)</f>
        <v>0</v>
      </c>
      <c r="V805" s="102">
        <f>IF(LS[[#This Row],[BO TRANSFER]]="YES",LS[[#This Row],[Unit]],)</f>
        <v>0</v>
      </c>
      <c r="W805" s="102">
        <f>SUMIFS(LS[[#Headers],[BO UNIT TRANSFER]]:LS[[#This Row],[BO UNIT TRANSFER]],LS[[#Headers],[Investor ID]]:LS[[#This Row],[Investor ID]],LS[[#This Row],[Investor ID]])</f>
        <v>0</v>
      </c>
    </row>
    <row r="806" spans="1:23">
      <c r="A806" s="101">
        <v>2025</v>
      </c>
      <c r="B806" s="101">
        <v>2</v>
      </c>
      <c r="C806" s="101">
        <v>3</v>
      </c>
      <c r="D806" s="98">
        <f>DATE(LS[[#This Row],[Year]],LS[[#This Row],[Month]],LS[[#This Row],[Day]])</f>
        <v>45691</v>
      </c>
      <c r="E806" s="99" t="str" cm="1">
        <f t="array" ref="E806">INDEX(INVESTORS_LIST[INVESTOR NAME],MATCH(LS[[#This Row],[Investor ID]],INVESTORS_LIST[INVESTOR CODE],0),)</f>
        <v>MAHMUD ALI ALAMGIR</v>
      </c>
      <c r="F806" s="100" t="s">
        <v>451</v>
      </c>
      <c r="G806" s="101">
        <f>COUNTIF(LS[[#Headers],[Investor ID]]:LS[[#This Row],[Investor ID]],LS[[#This Row],[Investor ID]])</f>
        <v>10</v>
      </c>
      <c r="H806" s="101" t="str">
        <f>CONCATENATE(LS[[#This Row],[Frequency]],LS[[#This Row],[Investor ID]])</f>
        <v>10A00201</v>
      </c>
      <c r="I806" s="75" t="str">
        <f>IF(LS[[#This Row],[B/S]]="B","BUY",(IF(LS[[#This Row],[B/S]]="S","SELL"," ")))</f>
        <v>BUY</v>
      </c>
      <c r="J806" s="101" t="s">
        <v>1229</v>
      </c>
      <c r="K806" s="102">
        <v>3200000</v>
      </c>
      <c r="L806" s="99"/>
      <c r="M806" s="103">
        <f>LS[[#This Row],[Amount]]/LS[[#This Row],[Unit]]</f>
        <v>11.928992671125128</v>
      </c>
      <c r="N806" s="104">
        <f>LS[[#This Row],[Unit Capital]]/10</f>
        <v>268254</v>
      </c>
      <c r="O806" s="104">
        <f>SUMIFS(LS[[#Headers],[Unit]]:LS[[#This Row],[Unit]],LS[[#Headers],[Investor ID]]:LS[[#This Row],[Investor ID]],LS[[#This Row],[Investor ID]])</f>
        <v>351136</v>
      </c>
      <c r="P806" s="102">
        <v>2682540</v>
      </c>
      <c r="Q806" s="102">
        <f>LS[[#This Row],[Amount]]-LS[[#This Row],[Unit Capital]]</f>
        <v>517460</v>
      </c>
      <c r="R8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11.711494689411722</v>
      </c>
      <c r="S806" s="103">
        <f t="shared" si="12"/>
        <v>14.224</v>
      </c>
      <c r="T80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6" s="102" cm="1">
        <f t="array" ref="U806">IF(LS[[#This Row],[B/S]]="S",ABS(LS[[#This Row],[Unit]])*(INDEX(LS[NAV at Cost (Average)],MATCH(CONCATENATE((LS[[#This Row],[Frequency]]-1),LS[[#This Row],[Investor ID]]),LS[Unique Code],0),0)),0)</f>
        <v>0</v>
      </c>
      <c r="V806" s="102">
        <f>IF(LS[[#This Row],[BO TRANSFER]]="YES",LS[[#This Row],[Unit]],)</f>
        <v>0</v>
      </c>
      <c r="W806" s="102">
        <f>SUMIFS(LS[[#Headers],[BO UNIT TRANSFER]]:LS[[#This Row],[BO UNIT TRANSFER]],LS[[#Headers],[Investor ID]]:LS[[#This Row],[Investor ID]],LS[[#This Row],[Investor ID]])</f>
        <v>0</v>
      </c>
    </row>
    <row r="807" spans="1:23">
      <c r="A807" s="101">
        <v>2025</v>
      </c>
      <c r="B807" s="101">
        <v>2</v>
      </c>
      <c r="C807" s="101">
        <v>4</v>
      </c>
      <c r="D807" s="98">
        <f>DATE(LS[[#This Row],[Year]],LS[[#This Row],[Month]],LS[[#This Row],[Day]])</f>
        <v>45692</v>
      </c>
      <c r="E807" s="99" t="str" cm="1">
        <f t="array" ref="E807">INDEX(INVESTORS_LIST[INVESTOR NAME],MATCH(LS[[#This Row],[Investor ID]],INVESTORS_LIST[INVESTOR CODE],0),)</f>
        <v>TANIZA MAZED</v>
      </c>
      <c r="F807" s="100" t="s">
        <v>84</v>
      </c>
      <c r="G807" s="101">
        <f>COUNTIF(LS[[#Headers],[Investor ID]]:LS[[#This Row],[Investor ID]],LS[[#This Row],[Investor ID]])</f>
        <v>5</v>
      </c>
      <c r="H807" s="101" t="str">
        <f>CONCATENATE(LS[[#This Row],[Frequency]],LS[[#This Row],[Investor ID]])</f>
        <v>5A00019</v>
      </c>
      <c r="I807" s="75" t="str">
        <f>IF(LS[[#This Row],[B/S]]="B","BUY",(IF(LS[[#This Row],[B/S]]="S","SELL"," ")))</f>
        <v>BUY</v>
      </c>
      <c r="J807" s="101" t="s">
        <v>1229</v>
      </c>
      <c r="K807" s="102">
        <v>1000000</v>
      </c>
      <c r="L807" s="99"/>
      <c r="M807" s="103">
        <f>LS[[#This Row],[Amount]]/LS[[#This Row],[Unit]]</f>
        <v>11.929046034188646</v>
      </c>
      <c r="N807" s="104">
        <f>LS[[#This Row],[Unit Capital]]/10</f>
        <v>83829</v>
      </c>
      <c r="O807" s="104">
        <f>SUMIFS(LS[[#Headers],[Unit]]:LS[[#This Row],[Unit]],LS[[#Headers],[Investor ID]]:LS[[#This Row],[Investor ID]],LS[[#This Row],[Investor ID]])</f>
        <v>339497</v>
      </c>
      <c r="P807" s="102">
        <v>838290</v>
      </c>
      <c r="Q807" s="102">
        <f>LS[[#This Row],[Amount]]-LS[[#This Row],[Unit Capital]]</f>
        <v>161710</v>
      </c>
      <c r="R8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11.193029688038481</v>
      </c>
      <c r="S807" s="103">
        <f t="shared" si="12"/>
        <v>14.224</v>
      </c>
      <c r="T80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7" s="102" cm="1">
        <f t="array" ref="U807">IF(LS[[#This Row],[B/S]]="S",ABS(LS[[#This Row],[Unit]])*(INDEX(LS[NAV at Cost (Average)],MATCH(CONCATENATE((LS[[#This Row],[Frequency]]-1),LS[[#This Row],[Investor ID]]),LS[Unique Code],0),0)),0)</f>
        <v>0</v>
      </c>
      <c r="V807" s="102">
        <f>IF(LS[[#This Row],[BO TRANSFER]]="YES",LS[[#This Row],[Unit]],)</f>
        <v>0</v>
      </c>
      <c r="W807" s="102">
        <f>SUMIFS(LS[[#Headers],[BO UNIT TRANSFER]]:LS[[#This Row],[BO UNIT TRANSFER]],LS[[#Headers],[Investor ID]]:LS[[#This Row],[Investor ID]],LS[[#This Row],[Investor ID]])</f>
        <v>0</v>
      </c>
    </row>
    <row r="808" spans="1:23">
      <c r="A808" s="101">
        <v>2025</v>
      </c>
      <c r="B808" s="101">
        <v>2</v>
      </c>
      <c r="C808" s="101">
        <v>6</v>
      </c>
      <c r="D808" s="98">
        <f>DATE(LS[[#This Row],[Year]],LS[[#This Row],[Month]],LS[[#This Row],[Day]])</f>
        <v>45694</v>
      </c>
      <c r="E808" s="99" t="str" cm="1">
        <f t="array" ref="E808">INDEX(INVESTORS_LIST[INVESTOR NAME],MATCH(LS[[#This Row],[Investor ID]],INVESTORS_LIST[INVESTOR CODE],0),)</f>
        <v>MIR ARIFUL ISLAM</v>
      </c>
      <c r="F808" s="100" t="s">
        <v>853</v>
      </c>
      <c r="G808" s="101">
        <f>COUNTIF(LS[[#Headers],[Investor ID]]:LS[[#This Row],[Investor ID]],LS[[#This Row],[Investor ID]])</f>
        <v>1</v>
      </c>
      <c r="H808" s="101" t="str">
        <f>CONCATENATE(LS[[#This Row],[Frequency]],LS[[#This Row],[Investor ID]])</f>
        <v>1A00403</v>
      </c>
      <c r="I808" s="75" t="str">
        <f>IF(LS[[#This Row],[B/S]]="B","BUY",(IF(LS[[#This Row],[B/S]]="S","SELL"," ")))</f>
        <v>BUY</v>
      </c>
      <c r="J808" s="101" t="s">
        <v>1229</v>
      </c>
      <c r="K808" s="102">
        <v>596450</v>
      </c>
      <c r="L808" s="99"/>
      <c r="M808" s="103">
        <f>LS[[#This Row],[Amount]]/LS[[#This Row],[Unit]]</f>
        <v>11.929</v>
      </c>
      <c r="N808" s="104">
        <f>LS[[#This Row],[Unit Capital]]/10</f>
        <v>50000</v>
      </c>
      <c r="O808" s="104">
        <f>SUMIFS(LS[[#Headers],[Unit]]:LS[[#This Row],[Unit]],LS[[#Headers],[Investor ID]]:LS[[#This Row],[Investor ID]],LS[[#This Row],[Investor ID]])</f>
        <v>50000</v>
      </c>
      <c r="P808" s="102">
        <v>500000</v>
      </c>
      <c r="Q808" s="102">
        <f>LS[[#This Row],[Amount]]-LS[[#This Row],[Unit Capital]]</f>
        <v>96450</v>
      </c>
      <c r="R8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11.929</v>
      </c>
      <c r="S808" s="103">
        <f t="shared" si="12"/>
        <v>14.224</v>
      </c>
      <c r="T8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8" s="102" cm="1">
        <f t="array" ref="U808">IF(LS[[#This Row],[B/S]]="S",ABS(LS[[#This Row],[Unit]])*(INDEX(LS[NAV at Cost (Average)],MATCH(CONCATENATE((LS[[#This Row],[Frequency]]-1),LS[[#This Row],[Investor ID]]),LS[Unique Code],0),0)),0)</f>
        <v>0</v>
      </c>
      <c r="V808" s="102">
        <f>IF(LS[[#This Row],[BO TRANSFER]]="YES",LS[[#This Row],[Unit]],)</f>
        <v>0</v>
      </c>
      <c r="W808" s="102">
        <f>SUMIFS(LS[[#Headers],[BO UNIT TRANSFER]]:LS[[#This Row],[BO UNIT TRANSFER]],LS[[#Headers],[Investor ID]]:LS[[#This Row],[Investor ID]],LS[[#This Row],[Investor ID]])</f>
        <v>0</v>
      </c>
    </row>
    <row r="809" spans="1:23">
      <c r="A809" s="101">
        <v>2025</v>
      </c>
      <c r="B809" s="101">
        <v>2</v>
      </c>
      <c r="C809" s="101">
        <v>6</v>
      </c>
      <c r="D809" s="98">
        <f>DATE(LS[[#This Row],[Year]],LS[[#This Row],[Month]],LS[[#This Row],[Day]])</f>
        <v>45694</v>
      </c>
      <c r="E809" s="99" t="str" cm="1">
        <f t="array" ref="E809">INDEX(INVESTORS_LIST[INVESTOR NAME],MATCH(LS[[#This Row],[Investor ID]],INVESTORS_LIST[INVESTOR CODE],0),)</f>
        <v>MD. RAJIB RAYHAN</v>
      </c>
      <c r="F809" s="100" t="s">
        <v>1289</v>
      </c>
      <c r="G809" s="101">
        <f>COUNTIF(LS[[#Headers],[Investor ID]]:LS[[#This Row],[Investor ID]],LS[[#This Row],[Investor ID]])</f>
        <v>3</v>
      </c>
      <c r="H809" s="101" t="str">
        <f>CONCATENATE(LS[[#This Row],[Frequency]],LS[[#This Row],[Investor ID]])</f>
        <v>3A00592</v>
      </c>
      <c r="I809" s="75" t="str">
        <f>IF(LS[[#This Row],[B/S]]="B","BUY",(IF(LS[[#This Row],[B/S]]="S","SELL"," ")))</f>
        <v>BUY</v>
      </c>
      <c r="J809" s="101" t="s">
        <v>1229</v>
      </c>
      <c r="K809" s="102">
        <v>500000</v>
      </c>
      <c r="L809" s="99"/>
      <c r="M809" s="103">
        <f>LS[[#This Row],[Amount]]/LS[[#This Row],[Unit]]</f>
        <v>11.92890373374687</v>
      </c>
      <c r="N809" s="104">
        <f>LS[[#This Row],[Unit Capital]]/10</f>
        <v>41915</v>
      </c>
      <c r="O809" s="104">
        <f>SUMIFS(LS[[#Headers],[Unit]]:LS[[#This Row],[Unit]],LS[[#Headers],[Investor ID]]:LS[[#This Row],[Investor ID]],LS[[#This Row],[Investor ID]])</f>
        <v>128083</v>
      </c>
      <c r="P809" s="102">
        <v>419150</v>
      </c>
      <c r="Q809" s="102">
        <f>LS[[#This Row],[Amount]]-LS[[#This Row],[Unit Capital]]</f>
        <v>80850</v>
      </c>
      <c r="R8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11.711156047250613</v>
      </c>
      <c r="S809" s="103">
        <f t="shared" si="12"/>
        <v>14.224</v>
      </c>
      <c r="T80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09" s="102" cm="1">
        <f t="array" ref="U809">IF(LS[[#This Row],[B/S]]="S",ABS(LS[[#This Row],[Unit]])*(INDEX(LS[NAV at Cost (Average)],MATCH(CONCATENATE((LS[[#This Row],[Frequency]]-1),LS[[#This Row],[Investor ID]]),LS[Unique Code],0),0)),0)</f>
        <v>0</v>
      </c>
      <c r="V809" s="102">
        <f>IF(LS[[#This Row],[BO TRANSFER]]="YES",LS[[#This Row],[Unit]],)</f>
        <v>0</v>
      </c>
      <c r="W809" s="102">
        <f>SUMIFS(LS[[#Headers],[BO UNIT TRANSFER]]:LS[[#This Row],[BO UNIT TRANSFER]],LS[[#Headers],[Investor ID]]:LS[[#This Row],[Investor ID]],LS[[#This Row],[Investor ID]])</f>
        <v>0</v>
      </c>
    </row>
    <row r="810" spans="1:23">
      <c r="A810" s="101">
        <v>2025</v>
      </c>
      <c r="B810" s="101">
        <v>2</v>
      </c>
      <c r="C810" s="101">
        <v>6</v>
      </c>
      <c r="D810" s="98">
        <f>DATE(LS[[#This Row],[Year]],LS[[#This Row],[Month]],LS[[#This Row],[Day]])</f>
        <v>45694</v>
      </c>
      <c r="E810" s="99" t="str" cm="1">
        <f t="array" ref="E810">INDEX(INVESTORS_LIST[INVESTOR NAME],MATCH(LS[[#This Row],[Investor ID]],INVESTORS_LIST[INVESTOR CODE],0),)</f>
        <v>SK FEROZ ALAM &amp; MD BULBUL ISLAM</v>
      </c>
      <c r="F810" s="100" t="s">
        <v>481</v>
      </c>
      <c r="G810" s="101">
        <f>COUNTIF(LS[[#Headers],[Investor ID]]:LS[[#This Row],[Investor ID]],LS[[#This Row],[Investor ID]])</f>
        <v>6</v>
      </c>
      <c r="H810" s="101" t="str">
        <f>CONCATENATE(LS[[#This Row],[Frequency]],LS[[#This Row],[Investor ID]])</f>
        <v>6A00216</v>
      </c>
      <c r="I810" s="75" t="str">
        <f>IF(LS[[#This Row],[B/S]]="B","BUY",(IF(LS[[#This Row],[B/S]]="S","SELL"," ")))</f>
        <v>BUY</v>
      </c>
      <c r="J810" s="101" t="s">
        <v>1229</v>
      </c>
      <c r="K810" s="102">
        <v>59645</v>
      </c>
      <c r="L810" s="99"/>
      <c r="M810" s="103">
        <f>LS[[#This Row],[Amount]]/LS[[#This Row],[Unit]]</f>
        <v>11.929</v>
      </c>
      <c r="N810" s="104">
        <f>LS[[#This Row],[Unit Capital]]/10</f>
        <v>5000</v>
      </c>
      <c r="O810" s="104">
        <f>SUMIFS(LS[[#Headers],[Unit]]:LS[[#This Row],[Unit]],LS[[#Headers],[Investor ID]]:LS[[#This Row],[Investor ID]],LS[[#This Row],[Investor ID]])</f>
        <v>50000</v>
      </c>
      <c r="P810" s="102">
        <v>50000</v>
      </c>
      <c r="Q810" s="102">
        <f>LS[[#This Row],[Amount]]-LS[[#This Row],[Unit Capital]]</f>
        <v>9645</v>
      </c>
      <c r="R8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11.4619</v>
      </c>
      <c r="S810" s="103">
        <f t="shared" si="12"/>
        <v>14.224</v>
      </c>
      <c r="T81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0" s="102" cm="1">
        <f t="array" ref="U810">IF(LS[[#This Row],[B/S]]="S",ABS(LS[[#This Row],[Unit]])*(INDEX(LS[NAV at Cost (Average)],MATCH(CONCATENATE((LS[[#This Row],[Frequency]]-1),LS[[#This Row],[Investor ID]]),LS[Unique Code],0),0)),0)</f>
        <v>0</v>
      </c>
      <c r="V810" s="102">
        <f>IF(LS[[#This Row],[BO TRANSFER]]="YES",LS[[#This Row],[Unit]],)</f>
        <v>0</v>
      </c>
      <c r="W810" s="102">
        <f>SUMIFS(LS[[#Headers],[BO UNIT TRANSFER]]:LS[[#This Row],[BO UNIT TRANSFER]],LS[[#Headers],[Investor ID]]:LS[[#This Row],[Investor ID]],LS[[#This Row],[Investor ID]])</f>
        <v>0</v>
      </c>
    </row>
    <row r="811" spans="1:23">
      <c r="A811" s="101">
        <v>2025</v>
      </c>
      <c r="B811" s="101">
        <v>2</v>
      </c>
      <c r="C811" s="101">
        <v>6</v>
      </c>
      <c r="D811" s="98">
        <f>DATE(LS[[#This Row],[Year]],LS[[#This Row],[Month]],LS[[#This Row],[Day]])</f>
        <v>45694</v>
      </c>
      <c r="E811" s="99" t="str" cm="1">
        <f t="array" ref="E811">INDEX(INVESTORS_LIST[INVESTOR NAME],MATCH(LS[[#This Row],[Investor ID]],INVESTORS_LIST[INVESTOR CODE],0),)</f>
        <v>UMME SAIKA NILA</v>
      </c>
      <c r="F811" s="97" t="s">
        <v>972</v>
      </c>
      <c r="G811" s="101">
        <f>COUNTIF(LS[[#Headers],[Investor ID]]:LS[[#This Row],[Investor ID]],LS[[#This Row],[Investor ID]])</f>
        <v>2</v>
      </c>
      <c r="H811" s="101" t="str">
        <f>CONCATENATE(LS[[#This Row],[Frequency]],LS[[#This Row],[Investor ID]])</f>
        <v>2A00463</v>
      </c>
      <c r="I811" s="75" t="str">
        <f>IF(LS[[#This Row],[B/S]]="B","BUY",(IF(LS[[#This Row],[B/S]]="S","SELL"," ")))</f>
        <v>BUY</v>
      </c>
      <c r="J811" s="101" t="s">
        <v>1229</v>
      </c>
      <c r="K811" s="102">
        <v>800000</v>
      </c>
      <c r="L811" s="99"/>
      <c r="M811" s="103">
        <f>LS[[#This Row],[Amount]]/LS[[#This Row],[Unit]]</f>
        <v>11.929081609829563</v>
      </c>
      <c r="N811" s="104">
        <f>LS[[#This Row],[Unit Capital]]/10</f>
        <v>67063</v>
      </c>
      <c r="O811" s="104">
        <f>SUMIFS(LS[[#Headers],[Unit]]:LS[[#This Row],[Unit]],LS[[#Headers],[Investor ID]]:LS[[#This Row],[Investor ID]],LS[[#This Row],[Investor ID]])</f>
        <v>117063</v>
      </c>
      <c r="P811" s="102">
        <v>670630</v>
      </c>
      <c r="Q811" s="102">
        <f>LS[[#This Row],[Amount]]-LS[[#This Row],[Unit Capital]]</f>
        <v>129370</v>
      </c>
      <c r="R8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11.105131424959209</v>
      </c>
      <c r="S811" s="103">
        <f t="shared" si="12"/>
        <v>14.224</v>
      </c>
      <c r="T8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1" s="102" cm="1">
        <f t="array" ref="U811">IF(LS[[#This Row],[B/S]]="S",ABS(LS[[#This Row],[Unit]])*(INDEX(LS[NAV at Cost (Average)],MATCH(CONCATENATE((LS[[#This Row],[Frequency]]-1),LS[[#This Row],[Investor ID]]),LS[Unique Code],0),0)),0)</f>
        <v>0</v>
      </c>
      <c r="V811" s="102">
        <f>IF(LS[[#This Row],[BO TRANSFER]]="YES",LS[[#This Row],[Unit]],)</f>
        <v>0</v>
      </c>
      <c r="W811" s="102">
        <f>SUMIFS(LS[[#Headers],[BO UNIT TRANSFER]]:LS[[#This Row],[BO UNIT TRANSFER]],LS[[#Headers],[Investor ID]]:LS[[#This Row],[Investor ID]],LS[[#This Row],[Investor ID]])</f>
        <v>0</v>
      </c>
    </row>
    <row r="812" spans="1:23">
      <c r="A812" s="101">
        <v>2025</v>
      </c>
      <c r="B812" s="101">
        <v>2</v>
      </c>
      <c r="C812" s="101">
        <v>9</v>
      </c>
      <c r="D812" s="98">
        <f>DATE(LS[[#This Row],[Year]],LS[[#This Row],[Month]],LS[[#This Row],[Day]])</f>
        <v>45697</v>
      </c>
      <c r="E812" s="99" t="str" cm="1">
        <f t="array" ref="E812">INDEX(INVESTORS_LIST[INVESTOR NAME],MATCH(LS[[#This Row],[Investor ID]],INVESTORS_LIST[INVESTOR CODE],0),)</f>
        <v>AFRINA AKTER MISHU</v>
      </c>
      <c r="F812" s="100" t="s">
        <v>1180</v>
      </c>
      <c r="G812" s="101">
        <f>COUNTIF(LS[[#Headers],[Investor ID]]:LS[[#This Row],[Investor ID]],LS[[#This Row],[Investor ID]])</f>
        <v>2</v>
      </c>
      <c r="H812" s="101" t="str">
        <f>CONCATENATE(LS[[#This Row],[Frequency]],LS[[#This Row],[Investor ID]])</f>
        <v>2A00566</v>
      </c>
      <c r="I812" s="75" t="str">
        <f>IF(LS[[#This Row],[B/S]]="B","BUY",(IF(LS[[#This Row],[B/S]]="S","SELL"," ")))</f>
        <v>BUY</v>
      </c>
      <c r="J812" s="101" t="s">
        <v>1229</v>
      </c>
      <c r="K812" s="102">
        <v>500000</v>
      </c>
      <c r="L812" s="99"/>
      <c r="M812" s="103">
        <f>LS[[#This Row],[Amount]]/LS[[#This Row],[Unit]]</f>
        <v>11.92890373374687</v>
      </c>
      <c r="N812" s="104">
        <f>LS[[#This Row],[Unit Capital]]/10</f>
        <v>41915</v>
      </c>
      <c r="O812" s="104">
        <f>SUMIFS(LS[[#Headers],[Unit]]:LS[[#This Row],[Unit]],LS[[#Headers],[Investor ID]]:LS[[#This Row],[Investor ID]],LS[[#This Row],[Investor ID]])</f>
        <v>131714</v>
      </c>
      <c r="P812" s="102">
        <v>419150</v>
      </c>
      <c r="Q812" s="102">
        <f>LS[[#This Row],[Amount]]-LS[[#This Row],[Unit Capital]]</f>
        <v>80850</v>
      </c>
      <c r="R8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11.388311037551059</v>
      </c>
      <c r="S812" s="103">
        <f t="shared" si="12"/>
        <v>14.224</v>
      </c>
      <c r="T8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2" s="102" cm="1">
        <f t="array" ref="U812">IF(LS[[#This Row],[B/S]]="S",ABS(LS[[#This Row],[Unit]])*(INDEX(LS[NAV at Cost (Average)],MATCH(CONCATENATE((LS[[#This Row],[Frequency]]-1),LS[[#This Row],[Investor ID]]),LS[Unique Code],0),0)),0)</f>
        <v>0</v>
      </c>
      <c r="V812" s="102">
        <f>IF(LS[[#This Row],[BO TRANSFER]]="YES",LS[[#This Row],[Unit]],)</f>
        <v>0</v>
      </c>
      <c r="W812" s="102">
        <f>SUMIFS(LS[[#Headers],[BO UNIT TRANSFER]]:LS[[#This Row],[BO UNIT TRANSFER]],LS[[#Headers],[Investor ID]]:LS[[#This Row],[Investor ID]],LS[[#This Row],[Investor ID]])</f>
        <v>0</v>
      </c>
    </row>
    <row r="813" spans="1:23">
      <c r="A813" s="101">
        <v>2025</v>
      </c>
      <c r="B813" s="101">
        <v>2</v>
      </c>
      <c r="C813" s="101">
        <v>9</v>
      </c>
      <c r="D813" s="98">
        <f>DATE(LS[[#This Row],[Year]],LS[[#This Row],[Month]],LS[[#This Row],[Day]])</f>
        <v>45697</v>
      </c>
      <c r="E813" s="99" t="str" cm="1">
        <f t="array" ref="E813">INDEX(INVESTORS_LIST[INVESTOR NAME],MATCH(LS[[#This Row],[Investor ID]],INVESTORS_LIST[INVESTOR CODE],0),)</f>
        <v>EDGE HIGH QUALITY INCOME FUND</v>
      </c>
      <c r="F813" s="97" t="s">
        <v>976</v>
      </c>
      <c r="G813" s="101">
        <f>COUNTIF(LS[[#Headers],[Investor ID]]:LS[[#This Row],[Investor ID]],LS[[#This Row],[Investor ID]])</f>
        <v>4</v>
      </c>
      <c r="H813" s="101" t="str">
        <f>CONCATENATE(LS[[#This Row],[Frequency]],LS[[#This Row],[Investor ID]])</f>
        <v>4A00465</v>
      </c>
      <c r="I813" s="75" t="str">
        <f>IF(LS[[#This Row],[B/S]]="B","BUY",(IF(LS[[#This Row],[B/S]]="S","SELL"," ")))</f>
        <v>BUY</v>
      </c>
      <c r="J813" s="101" t="s">
        <v>1229</v>
      </c>
      <c r="K813" s="102">
        <v>28048948.800000001</v>
      </c>
      <c r="L813" s="99" t="s">
        <v>1230</v>
      </c>
      <c r="M813" s="103">
        <f>LS[[#This Row],[Amount]]/LS[[#This Row],[Unit]]</f>
        <v>12.016</v>
      </c>
      <c r="N813" s="104">
        <f>LS[[#This Row],[Unit Capital]]/10</f>
        <v>2334300</v>
      </c>
      <c r="O813" s="104">
        <f>SUMIFS(LS[[#Headers],[Unit]]:LS[[#This Row],[Unit]],LS[[#Headers],[Investor ID]]:LS[[#This Row],[Investor ID]],LS[[#This Row],[Investor ID]])</f>
        <v>3000000</v>
      </c>
      <c r="P813" s="102">
        <v>23343000</v>
      </c>
      <c r="Q813" s="102">
        <f>LS[[#This Row],[Amount]]-LS[[#This Row],[Unit Capital]]</f>
        <v>4705948.8000000007</v>
      </c>
      <c r="R8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11.587596446153846</v>
      </c>
      <c r="S813" s="103">
        <f t="shared" si="12"/>
        <v>14.224</v>
      </c>
      <c r="T81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3" s="102" cm="1">
        <f t="array" ref="U813">IF(LS[[#This Row],[B/S]]="S",ABS(LS[[#This Row],[Unit]])*(INDEX(LS[NAV at Cost (Average)],MATCH(CONCATENATE((LS[[#This Row],[Frequency]]-1),LS[[#This Row],[Investor ID]]),LS[Unique Code],0),0)),0)</f>
        <v>0</v>
      </c>
      <c r="V813" s="102">
        <f>IF(LS[[#This Row],[BO TRANSFER]]="YES",LS[[#This Row],[Unit]],)</f>
        <v>2334300</v>
      </c>
      <c r="W813" s="102">
        <f>SUMIFS(LS[[#Headers],[BO UNIT TRANSFER]]:LS[[#This Row],[BO UNIT TRANSFER]],LS[[#Headers],[Investor ID]]:LS[[#This Row],[Investor ID]],LS[[#This Row],[Investor ID]])</f>
        <v>3000000</v>
      </c>
    </row>
    <row r="814" spans="1:23">
      <c r="A814" s="101">
        <v>2025</v>
      </c>
      <c r="B814" s="101">
        <v>2</v>
      </c>
      <c r="C814" s="101">
        <v>9</v>
      </c>
      <c r="D814" s="98">
        <f>DATE(LS[[#This Row],[Year]],LS[[#This Row],[Month]],LS[[#This Row],[Day]])</f>
        <v>45697</v>
      </c>
      <c r="E814" s="99" t="str" cm="1">
        <f t="array" ref="E814">INDEX(INVESTORS_LIST[INVESTOR NAME],MATCH(LS[[#This Row],[Investor ID]],INVESTORS_LIST[INVESTOR CODE],0),)</f>
        <v>ASHIT BARAN SAHA</v>
      </c>
      <c r="F814" s="97" t="s">
        <v>196</v>
      </c>
      <c r="G814" s="101">
        <f>COUNTIF(LS[[#Headers],[Investor ID]]:LS[[#This Row],[Investor ID]],LS[[#This Row],[Investor ID]])</f>
        <v>2</v>
      </c>
      <c r="H814" s="101" t="str">
        <f>CONCATENATE(LS[[#This Row],[Frequency]],LS[[#This Row],[Investor ID]])</f>
        <v>2A00074</v>
      </c>
      <c r="I814" s="75" t="str">
        <f>IF(LS[[#This Row],[B/S]]="B","BUY",(IF(LS[[#This Row],[B/S]]="S","SELL"," ")))</f>
        <v>BUY</v>
      </c>
      <c r="J814" s="101" t="s">
        <v>1229</v>
      </c>
      <c r="K814" s="102">
        <v>2000000</v>
      </c>
      <c r="L814" s="99"/>
      <c r="M814" s="103">
        <f>LS[[#This Row],[Amount]]/LS[[#This Row],[Unit]]</f>
        <v>11.928974883543383</v>
      </c>
      <c r="N814" s="104">
        <f>LS[[#This Row],[Unit Capital]]/10</f>
        <v>167659</v>
      </c>
      <c r="O814" s="104">
        <f>SUMIFS(LS[[#Headers],[Unit]]:LS[[#This Row],[Unit]],LS[[#Headers],[Investor ID]]:LS[[#This Row],[Investor ID]],LS[[#This Row],[Investor ID]])</f>
        <v>515939</v>
      </c>
      <c r="P814" s="102">
        <v>1676590</v>
      </c>
      <c r="Q814" s="102">
        <f>LS[[#This Row],[Amount]]-LS[[#This Row],[Unit Capital]]</f>
        <v>323410</v>
      </c>
      <c r="R8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11.629281756176601</v>
      </c>
      <c r="S814" s="103">
        <f t="shared" si="12"/>
        <v>14.224</v>
      </c>
      <c r="T81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4" s="102" cm="1">
        <f t="array" ref="U814">IF(LS[[#This Row],[B/S]]="S",ABS(LS[[#This Row],[Unit]])*(INDEX(LS[NAV at Cost (Average)],MATCH(CONCATENATE((LS[[#This Row],[Frequency]]-1),LS[[#This Row],[Investor ID]]),LS[Unique Code],0),0)),0)</f>
        <v>0</v>
      </c>
      <c r="V814" s="102">
        <f>IF(LS[[#This Row],[BO TRANSFER]]="YES",LS[[#This Row],[Unit]],)</f>
        <v>0</v>
      </c>
      <c r="W814" s="102">
        <f>SUMIFS(LS[[#Headers],[BO UNIT TRANSFER]]:LS[[#This Row],[BO UNIT TRANSFER]],LS[[#Headers],[Investor ID]]:LS[[#This Row],[Investor ID]],LS[[#This Row],[Investor ID]])</f>
        <v>0</v>
      </c>
    </row>
    <row r="815" spans="1:23">
      <c r="A815" s="101">
        <v>2025</v>
      </c>
      <c r="B815" s="101">
        <v>2</v>
      </c>
      <c r="C815" s="101">
        <v>9</v>
      </c>
      <c r="D815" s="98">
        <f>DATE(LS[[#This Row],[Year]],LS[[#This Row],[Month]],LS[[#This Row],[Day]])</f>
        <v>45697</v>
      </c>
      <c r="E815" s="99" t="str" cm="1">
        <f t="array" ref="E815">INDEX(INVESTORS_LIST[INVESTOR NAME],MATCH(LS[[#This Row],[Investor ID]],INVESTORS_LIST[INVESTOR CODE],0),)</f>
        <v>KHAN MUHAMMAD KAWSER AHMED</v>
      </c>
      <c r="F815" s="100" t="s">
        <v>944</v>
      </c>
      <c r="G815" s="101">
        <f>COUNTIF(LS[[#Headers],[Investor ID]]:LS[[#This Row],[Investor ID]],LS[[#This Row],[Investor ID]])</f>
        <v>16</v>
      </c>
      <c r="H815" s="101" t="str">
        <f>CONCATENATE(LS[[#This Row],[Frequency]],LS[[#This Row],[Investor ID]])</f>
        <v>16A00449</v>
      </c>
      <c r="I815" s="75" t="str">
        <f>IF(LS[[#This Row],[B/S]]="B","BUY",(IF(LS[[#This Row],[B/S]]="S","SELL"," ")))</f>
        <v>BUY</v>
      </c>
      <c r="J815" s="101" t="s">
        <v>1229</v>
      </c>
      <c r="K815" s="102">
        <v>10000000</v>
      </c>
      <c r="L815" s="99"/>
      <c r="M815" s="103">
        <f>LS[[#This Row],[Amount]]/LS[[#This Row],[Unit]]</f>
        <v>12.015995693467143</v>
      </c>
      <c r="N815" s="104">
        <f>LS[[#This Row],[Unit Capital]]/10</f>
        <v>832224</v>
      </c>
      <c r="O815" s="104">
        <f>SUMIFS(LS[[#Headers],[Unit]]:LS[[#This Row],[Unit]],LS[[#Headers],[Investor ID]]:LS[[#This Row],[Investor ID]],LS[[#This Row],[Investor ID]])</f>
        <v>11898539</v>
      </c>
      <c r="P815" s="102">
        <v>8322240</v>
      </c>
      <c r="Q815" s="102">
        <f>LS[[#This Row],[Amount]]-LS[[#This Row],[Unit Capital]]</f>
        <v>1677760</v>
      </c>
      <c r="R8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11.496898721090213</v>
      </c>
      <c r="S815" s="103">
        <f t="shared" si="12"/>
        <v>14.224</v>
      </c>
      <c r="T81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15" s="102" cm="1">
        <f t="array" ref="U815">IF(LS[[#This Row],[B/S]]="S",ABS(LS[[#This Row],[Unit]])*(INDEX(LS[NAV at Cost (Average)],MATCH(CONCATENATE((LS[[#This Row],[Frequency]]-1),LS[[#This Row],[Investor ID]]),LS[Unique Code],0),0)),0)</f>
        <v>0</v>
      </c>
      <c r="V815" s="102">
        <f>IF(LS[[#This Row],[BO TRANSFER]]="YES",LS[[#This Row],[Unit]],)</f>
        <v>0</v>
      </c>
      <c r="W815" s="102">
        <f>SUMIFS(LS[[#Headers],[BO UNIT TRANSFER]]:LS[[#This Row],[BO UNIT TRANSFER]],LS[[#Headers],[Investor ID]]:LS[[#This Row],[Investor ID]],LS[[#This Row],[Investor ID]])</f>
        <v>0</v>
      </c>
    </row>
    <row r="816" spans="1:23">
      <c r="A816" s="101">
        <v>2025</v>
      </c>
      <c r="B816" s="101">
        <v>2</v>
      </c>
      <c r="C816" s="101">
        <v>10</v>
      </c>
      <c r="D816" s="98">
        <f>DATE(LS[[#This Row],[Year]],LS[[#This Row],[Month]],LS[[#This Row],[Day]])</f>
        <v>45698</v>
      </c>
      <c r="E816" s="99" t="str" cm="1">
        <f t="array" ref="E816">INDEX(INVESTORS_LIST[INVESTOR NAME],MATCH(LS[[#This Row],[Investor ID]],INVESTORS_LIST[INVESTOR CODE],0),)</f>
        <v>KHAN MUHAMMAD KAWSER AHMED</v>
      </c>
      <c r="F816" s="100" t="s">
        <v>944</v>
      </c>
      <c r="G816" s="101">
        <f>COUNTIF(LS[[#Headers],[Investor ID]]:LS[[#This Row],[Investor ID]],LS[[#This Row],[Investor ID]])</f>
        <v>17</v>
      </c>
      <c r="H816" s="101" t="str">
        <f>CONCATENATE(LS[[#This Row],[Frequency]],LS[[#This Row],[Investor ID]])</f>
        <v>17A00449</v>
      </c>
      <c r="I816" s="75" t="str">
        <f>IF(LS[[#This Row],[B/S]]="B","BUY",(IF(LS[[#This Row],[B/S]]="S","SELL"," ")))</f>
        <v>SELL</v>
      </c>
      <c r="J816" s="101" t="s">
        <v>1231</v>
      </c>
      <c r="K816" s="102">
        <v>-30000000</v>
      </c>
      <c r="L816" s="99"/>
      <c r="M816" s="103">
        <f>LS[[#This Row],[Amount]]/LS[[#This Row],[Unit]]</f>
        <v>12.016000506274155</v>
      </c>
      <c r="N816" s="104">
        <f>LS[[#This Row],[Unit Capital]]/10</f>
        <v>-2496671</v>
      </c>
      <c r="O816" s="104">
        <f>SUMIFS(LS[[#Headers],[Unit]]:LS[[#This Row],[Unit]],LS[[#Headers],[Investor ID]]:LS[[#This Row],[Investor ID]],LS[[#This Row],[Investor ID]])</f>
        <v>9401868</v>
      </c>
      <c r="P816" s="102">
        <v>-24966710</v>
      </c>
      <c r="Q816" s="102">
        <f>LS[[#This Row],[Amount]]-LS[[#This Row],[Unit Capital]]</f>
        <v>-5033290</v>
      </c>
      <c r="R8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11.496898721090213</v>
      </c>
      <c r="S816" s="103">
        <f t="shared" si="12"/>
        <v>14.224</v>
      </c>
      <c r="T816" s="102">
        <f>IF(LS[[#This Row],[B/S]]="B",0,ABS(LS[[#This Row],[Unit]])*(LS[[#This Row],[NAV (Strike Rate)]]-INDEX(LS[NAV at Cost (Average)],MATCH(CONCATENATE(LS[[#This Row],[Frequency]]-1,LS[[#This Row],[Investor ID]]),LS[Unique Code],0),)))</f>
        <v>1296026.3731169775</v>
      </c>
      <c r="U816" s="102" cm="1">
        <f t="array" ref="U816">IF(LS[[#This Row],[B/S]]="S",ABS(LS[[#This Row],[Unit]])*(INDEX(LS[NAV at Cost (Average)],MATCH(CONCATENATE((LS[[#This Row],[Frequency]]-1),LS[[#This Row],[Investor ID]]),LS[Unique Code],0),0)),0)</f>
        <v>28703973.626883022</v>
      </c>
      <c r="V816" s="102">
        <f>IF(LS[[#This Row],[BO TRANSFER]]="YES",LS[[#This Row],[Unit]],)</f>
        <v>0</v>
      </c>
      <c r="W816" s="102">
        <f>SUMIFS(LS[[#Headers],[BO UNIT TRANSFER]]:LS[[#This Row],[BO UNIT TRANSFER]],LS[[#Headers],[Investor ID]]:LS[[#This Row],[Investor ID]],LS[[#This Row],[Investor ID]])</f>
        <v>0</v>
      </c>
    </row>
    <row r="817" spans="1:23">
      <c r="A817" s="101">
        <v>2025</v>
      </c>
      <c r="B817" s="101">
        <v>2</v>
      </c>
      <c r="C817" s="101">
        <v>10</v>
      </c>
      <c r="D817" s="98">
        <f>DATE(LS[[#This Row],[Year]],LS[[#This Row],[Month]],LS[[#This Row],[Day]])</f>
        <v>45698</v>
      </c>
      <c r="E817" s="99" t="str" cm="1">
        <f t="array" ref="E817">INDEX(INVESTORS_LIST[INVESTOR NAME],MATCH(LS[[#This Row],[Investor ID]],INVESTORS_LIST[INVESTOR CODE],0),)</f>
        <v>KAZI HABIBUR RAHMAN</v>
      </c>
      <c r="F817" s="100" t="s">
        <v>1114</v>
      </c>
      <c r="G817" s="101">
        <f>COUNTIF(LS[[#Headers],[Investor ID]]:LS[[#This Row],[Investor ID]],LS[[#This Row],[Investor ID]])</f>
        <v>25</v>
      </c>
      <c r="H817" s="101" t="str">
        <f>CONCATENATE(LS[[#This Row],[Frequency]],LS[[#This Row],[Investor ID]])</f>
        <v>25A00532</v>
      </c>
      <c r="I817" s="75" t="str">
        <f>IF(LS[[#This Row],[B/S]]="B","BUY",(IF(LS[[#This Row],[B/S]]="S","SELL"," ")))</f>
        <v>SELL</v>
      </c>
      <c r="J817" s="101" t="s">
        <v>1231</v>
      </c>
      <c r="K817" s="102">
        <v>-1000000</v>
      </c>
      <c r="L817" s="99"/>
      <c r="M817" s="103">
        <f>LS[[#This Row],[Amount]]/LS[[#This Row],[Unit]]</f>
        <v>12.016053447405733</v>
      </c>
      <c r="N817" s="104">
        <f>LS[[#This Row],[Unit Capital]]/10</f>
        <v>-83222</v>
      </c>
      <c r="O817" s="104">
        <f>SUMIFS(LS[[#Headers],[Unit]]:LS[[#This Row],[Unit]],LS[[#Headers],[Investor ID]]:LS[[#This Row],[Investor ID]],LS[[#This Row],[Investor ID]])</f>
        <v>602562</v>
      </c>
      <c r="P817" s="102">
        <v>-832220</v>
      </c>
      <c r="Q817" s="102">
        <f>LS[[#This Row],[Amount]]-LS[[#This Row],[Unit Capital]]</f>
        <v>-167780</v>
      </c>
      <c r="R8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11.231178819969475</v>
      </c>
      <c r="S817" s="103">
        <f t="shared" si="12"/>
        <v>14.224</v>
      </c>
      <c r="T817" s="102">
        <f>IF(LS[[#This Row],[B/S]]="B",0,ABS(LS[[#This Row],[Unit]])*(LS[[#This Row],[NAV (Strike Rate)]]-INDEX(LS[NAV at Cost (Average)],MATCH(CONCATENATE(LS[[#This Row],[Frequency]]-1,LS[[#This Row],[Investor ID]]),LS[Unique Code],0),)))</f>
        <v>65318.836244500257</v>
      </c>
      <c r="U817" s="102" cm="1">
        <f t="array" ref="U817">IF(LS[[#This Row],[B/S]]="S",ABS(LS[[#This Row],[Unit]])*(INDEX(LS[NAV at Cost (Average)],MATCH(CONCATENATE((LS[[#This Row],[Frequency]]-1),LS[[#This Row],[Investor ID]]),LS[Unique Code],0),0)),0)</f>
        <v>934681.16375549964</v>
      </c>
      <c r="V817" s="102">
        <f>IF(LS[[#This Row],[BO TRANSFER]]="YES",LS[[#This Row],[Unit]],)</f>
        <v>0</v>
      </c>
      <c r="W817" s="102">
        <f>SUMIFS(LS[[#Headers],[BO UNIT TRANSFER]]:LS[[#This Row],[BO UNIT TRANSFER]],LS[[#Headers],[Investor ID]]:LS[[#This Row],[Investor ID]],LS[[#This Row],[Investor ID]])</f>
        <v>0</v>
      </c>
    </row>
    <row r="818" spans="1:23">
      <c r="A818" s="101">
        <v>2025</v>
      </c>
      <c r="B818" s="101">
        <v>2</v>
      </c>
      <c r="C818" s="101">
        <v>10</v>
      </c>
      <c r="D818" s="98">
        <f>DATE(LS[[#This Row],[Year]],LS[[#This Row],[Month]],LS[[#This Row],[Day]])</f>
        <v>45698</v>
      </c>
      <c r="E818" s="99" t="str" cm="1">
        <f t="array" ref="E818">INDEX(INVESTORS_LIST[INVESTOR NAME],MATCH(LS[[#This Row],[Investor ID]],INVESTORS_LIST[INVESTOR CODE],0),)</f>
        <v>KAZI HABIBUR RAHMAN</v>
      </c>
      <c r="F818" s="100" t="s">
        <v>1111</v>
      </c>
      <c r="G818" s="101">
        <f>COUNTIF(LS[[#Headers],[Investor ID]]:LS[[#This Row],[Investor ID]],LS[[#This Row],[Investor ID]])</f>
        <v>2</v>
      </c>
      <c r="H818" s="101" t="str">
        <f>CONCATENATE(LS[[#This Row],[Frequency]],LS[[#This Row],[Investor ID]])</f>
        <v>2A00530</v>
      </c>
      <c r="I818" s="75" t="str">
        <f>IF(LS[[#This Row],[B/S]]="B","BUY",(IF(LS[[#This Row],[B/S]]="S","SELL"," ")))</f>
        <v>SELL</v>
      </c>
      <c r="J818" s="101" t="s">
        <v>1231</v>
      </c>
      <c r="K818" s="102">
        <v>-390279.67999999999</v>
      </c>
      <c r="L818" s="99"/>
      <c r="M818" s="103">
        <f>LS[[#This Row],[Amount]]/LS[[#This Row],[Unit]]</f>
        <v>12.016</v>
      </c>
      <c r="N818" s="104">
        <f>LS[[#This Row],[Unit Capital]]/10</f>
        <v>-32480</v>
      </c>
      <c r="O818" s="104">
        <f>SUMIFS(LS[[#Headers],[Unit]]:LS[[#This Row],[Unit]],LS[[#Headers],[Investor ID]]:LS[[#This Row],[Investor ID]],LS[[#This Row],[Investor ID]])</f>
        <v>0</v>
      </c>
      <c r="P818" s="102">
        <v>-324800</v>
      </c>
      <c r="Q818" s="102">
        <f>LS[[#This Row],[Amount]]-LS[[#This Row],[Unit Capital]]</f>
        <v>-65479.679999999993</v>
      </c>
      <c r="R8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18" s="103">
        <f t="shared" si="12"/>
        <v>14.224</v>
      </c>
      <c r="T818" s="102">
        <f>IF(LS[[#This Row],[B/S]]="B",0,ABS(LS[[#This Row],[Unit]])*(LS[[#This Row],[NAV (Strike Rate)]]-INDEX(LS[NAV at Cost (Average)],MATCH(CONCATENATE(LS[[#This Row],[Frequency]]-1,LS[[#This Row],[Investor ID]]),LS[Unique Code],0),)))</f>
        <v>37969.679999999978</v>
      </c>
      <c r="U818" s="102" cm="1">
        <f t="array" ref="U818">IF(LS[[#This Row],[B/S]]="S",ABS(LS[[#This Row],[Unit]])*(INDEX(LS[NAV at Cost (Average)],MATCH(CONCATENATE((LS[[#This Row],[Frequency]]-1),LS[[#This Row],[Investor ID]]),LS[Unique Code],0),0)),0)</f>
        <v>352310</v>
      </c>
      <c r="V818" s="102">
        <f>IF(LS[[#This Row],[BO TRANSFER]]="YES",LS[[#This Row],[Unit]],)</f>
        <v>0</v>
      </c>
      <c r="W818" s="102">
        <f>SUMIFS(LS[[#Headers],[BO UNIT TRANSFER]]:LS[[#This Row],[BO UNIT TRANSFER]],LS[[#Headers],[Investor ID]]:LS[[#This Row],[Investor ID]],LS[[#This Row],[Investor ID]])</f>
        <v>0</v>
      </c>
    </row>
    <row r="819" spans="1:23">
      <c r="A819" s="101">
        <v>2025</v>
      </c>
      <c r="B819" s="101">
        <v>2</v>
      </c>
      <c r="C819" s="101">
        <v>10</v>
      </c>
      <c r="D819" s="98">
        <f>DATE(LS[[#This Row],[Year]],LS[[#This Row],[Month]],LS[[#This Row],[Day]])</f>
        <v>45698</v>
      </c>
      <c r="E819" s="99" t="str" cm="1">
        <f t="array" ref="E819">INDEX(INVESTORS_LIST[INVESTOR NAME],MATCH(LS[[#This Row],[Investor ID]],INVESTORS_LIST[INVESTOR CODE],0),)</f>
        <v>MONOARA ALAM</v>
      </c>
      <c r="F819" s="100" t="s">
        <v>1302</v>
      </c>
      <c r="G819" s="101">
        <f>COUNTIF(LS[[#Headers],[Investor ID]]:LS[[#This Row],[Investor ID]],LS[[#This Row],[Investor ID]])</f>
        <v>2</v>
      </c>
      <c r="H819" s="101" t="str">
        <f>CONCATENATE(LS[[#This Row],[Frequency]],LS[[#This Row],[Investor ID]])</f>
        <v>2A00598</v>
      </c>
      <c r="I819" s="75" t="str">
        <f>IF(LS[[#This Row],[B/S]]="B","BUY",(IF(LS[[#This Row],[B/S]]="S","SELL"," ")))</f>
        <v>SELL</v>
      </c>
      <c r="J819" s="101" t="s">
        <v>1231</v>
      </c>
      <c r="K819" s="102">
        <v>-10103.23</v>
      </c>
      <c r="L819" s="99"/>
      <c r="M819" s="103">
        <f>LS[[#This Row],[Amount]]/LS[[#This Row],[Unit]]</f>
        <v>12.013353151010701</v>
      </c>
      <c r="N819" s="104">
        <f>LS[[#This Row],[Unit Capital]]/10</f>
        <v>-841</v>
      </c>
      <c r="O819" s="104">
        <f>SUMIFS(LS[[#Headers],[Unit]]:LS[[#This Row],[Unit]],LS[[#Headers],[Investor ID]]:LS[[#This Row],[Investor ID]],LS[[#This Row],[Investor ID]])</f>
        <v>41611</v>
      </c>
      <c r="P819" s="102">
        <v>-8410</v>
      </c>
      <c r="Q819" s="102">
        <f>LS[[#This Row],[Amount]]-LS[[#This Row],[Unit Capital]]</f>
        <v>-1693.2299999999996</v>
      </c>
      <c r="R8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819" s="103">
        <f t="shared" si="12"/>
        <v>14.224</v>
      </c>
      <c r="T819" s="102">
        <f>IF(LS[[#This Row],[B/S]]="B",0,ABS(LS[[#This Row],[Unit]])*(LS[[#This Row],[NAV (Strike Rate)]]-INDEX(LS[NAV at Cost (Average)],MATCH(CONCATENATE(LS[[#This Row],[Frequency]]-1,LS[[#This Row],[Investor ID]]),LS[Unique Code],0),)))</f>
        <v>197.92518515028647</v>
      </c>
      <c r="U819" s="102" cm="1">
        <f t="array" ref="U819">IF(LS[[#This Row],[B/S]]="S",ABS(LS[[#This Row],[Unit]])*(INDEX(LS[NAV at Cost (Average)],MATCH(CONCATENATE((LS[[#This Row],[Frequency]]-1),LS[[#This Row],[Investor ID]]),LS[Unique Code],0),0)),0)</f>
        <v>9905.3048148497128</v>
      </c>
      <c r="V819" s="102">
        <f>IF(LS[[#This Row],[BO TRANSFER]]="YES",LS[[#This Row],[Unit]],)</f>
        <v>0</v>
      </c>
      <c r="W819" s="102">
        <f>SUMIFS(LS[[#Headers],[BO UNIT TRANSFER]]:LS[[#This Row],[BO UNIT TRANSFER]],LS[[#Headers],[Investor ID]]:LS[[#This Row],[Investor ID]],LS[[#This Row],[Investor ID]])</f>
        <v>0</v>
      </c>
    </row>
    <row r="820" spans="1:23">
      <c r="A820" s="101">
        <v>2025</v>
      </c>
      <c r="B820" s="101">
        <v>2</v>
      </c>
      <c r="C820" s="101">
        <v>10</v>
      </c>
      <c r="D820" s="98">
        <f>DATE(LS[[#This Row],[Year]],LS[[#This Row],[Month]],LS[[#This Row],[Day]])</f>
        <v>45698</v>
      </c>
      <c r="E820" s="99" t="str" cm="1">
        <f t="array" ref="E820">INDEX(INVESTORS_LIST[INVESTOR NAME],MATCH(LS[[#This Row],[Investor ID]],INVESTORS_LIST[INVESTOR CODE],0),)</f>
        <v>KHAN MUHAMMAD KAWSER AHMED</v>
      </c>
      <c r="F820" s="100" t="s">
        <v>944</v>
      </c>
      <c r="G820" s="101">
        <f>COUNTIF(LS[[#Headers],[Investor ID]]:LS[[#This Row],[Investor ID]],LS[[#This Row],[Investor ID]])</f>
        <v>18</v>
      </c>
      <c r="H820" s="101" t="str">
        <f>CONCATENATE(LS[[#This Row],[Frequency]],LS[[#This Row],[Investor ID]])</f>
        <v>18A00449</v>
      </c>
      <c r="I820" s="75" t="str">
        <f>IF(LS[[#This Row],[B/S]]="B","BUY",(IF(LS[[#This Row],[B/S]]="S","SELL"," ")))</f>
        <v>BUY</v>
      </c>
      <c r="J820" s="101" t="s">
        <v>1229</v>
      </c>
      <c r="K820" s="102">
        <v>30000000</v>
      </c>
      <c r="L820" s="99"/>
      <c r="M820" s="103">
        <f>LS[[#This Row],[Amount]]/LS[[#This Row],[Unit]]</f>
        <v>12.016000506274155</v>
      </c>
      <c r="N820" s="104">
        <f>LS[[#This Row],[Unit Capital]]/10</f>
        <v>2496671</v>
      </c>
      <c r="O820" s="104">
        <f>SUMIFS(LS[[#Headers],[Unit]]:LS[[#This Row],[Unit]],LS[[#Headers],[Investor ID]]:LS[[#This Row],[Investor ID]],LS[[#This Row],[Investor ID]])</f>
        <v>11898539</v>
      </c>
      <c r="P820" s="102">
        <v>24966710</v>
      </c>
      <c r="Q820" s="102">
        <f>LS[[#This Row],[Amount]]-LS[[#This Row],[Unit Capital]]</f>
        <v>5033290</v>
      </c>
      <c r="R8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11.605821873177792</v>
      </c>
      <c r="S820" s="103">
        <f t="shared" si="12"/>
        <v>14.224</v>
      </c>
      <c r="T8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0" s="102" cm="1">
        <f t="array" ref="U820">IF(LS[[#This Row],[B/S]]="S",ABS(LS[[#This Row],[Unit]])*(INDEX(LS[NAV at Cost (Average)],MATCH(CONCATENATE((LS[[#This Row],[Frequency]]-1),LS[[#This Row],[Investor ID]]),LS[Unique Code],0),0)),0)</f>
        <v>0</v>
      </c>
      <c r="V820" s="102">
        <f>IF(LS[[#This Row],[BO TRANSFER]]="YES",LS[[#This Row],[Unit]],)</f>
        <v>0</v>
      </c>
      <c r="W820" s="102">
        <f>SUMIFS(LS[[#Headers],[BO UNIT TRANSFER]]:LS[[#This Row],[BO UNIT TRANSFER]],LS[[#Headers],[Investor ID]]:LS[[#This Row],[Investor ID]],LS[[#This Row],[Investor ID]])</f>
        <v>0</v>
      </c>
    </row>
    <row r="821" spans="1:23">
      <c r="A821" s="101">
        <v>2025</v>
      </c>
      <c r="B821" s="101">
        <v>2</v>
      </c>
      <c r="C821" s="101">
        <v>11</v>
      </c>
      <c r="D821" s="98">
        <f>DATE(LS[[#This Row],[Year]],LS[[#This Row],[Month]],LS[[#This Row],[Day]])</f>
        <v>45699</v>
      </c>
      <c r="E821" s="99" t="str" cm="1">
        <f t="array" ref="E821">INDEX(INVESTORS_LIST[INVESTOR NAME],MATCH(LS[[#This Row],[Investor ID]],INVESTORS_LIST[INVESTOR CODE],0),)</f>
        <v>BABITA RANI BARMAN</v>
      </c>
      <c r="F821" s="100" t="s">
        <v>188</v>
      </c>
      <c r="G821" s="101">
        <f>COUNTIF(LS[[#Headers],[Investor ID]]:LS[[#This Row],[Investor ID]],LS[[#This Row],[Investor ID]])</f>
        <v>6</v>
      </c>
      <c r="H821" s="101" t="str">
        <f>CONCATENATE(LS[[#This Row],[Frequency]],LS[[#This Row],[Investor ID]])</f>
        <v>6A00070</v>
      </c>
      <c r="I821" s="75" t="str">
        <f>IF(LS[[#This Row],[B/S]]="B","BUY",(IF(LS[[#This Row],[B/S]]="S","SELL"," ")))</f>
        <v>SELL</v>
      </c>
      <c r="J821" s="101" t="s">
        <v>1231</v>
      </c>
      <c r="K821" s="102">
        <v>-100000</v>
      </c>
      <c r="L821" s="99"/>
      <c r="M821" s="103">
        <f>LS[[#This Row],[Amount]]/LS[[#This Row],[Unit]]</f>
        <v>12.01634222542658</v>
      </c>
      <c r="N821" s="104">
        <f>LS[[#This Row],[Unit Capital]]/10</f>
        <v>-8322</v>
      </c>
      <c r="O821" s="104">
        <f>SUMIFS(LS[[#Headers],[Unit]]:LS[[#This Row],[Unit]],LS[[#Headers],[Investor ID]]:LS[[#This Row],[Investor ID]],LS[[#This Row],[Investor ID]])</f>
        <v>35286</v>
      </c>
      <c r="P821" s="102">
        <v>-83220</v>
      </c>
      <c r="Q821" s="102">
        <f>LS[[#This Row],[Amount]]-LS[[#This Row],[Unit Capital]]</f>
        <v>-16780</v>
      </c>
      <c r="R8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11.055778807514084</v>
      </c>
      <c r="S821" s="103">
        <f t="shared" si="12"/>
        <v>14.224</v>
      </c>
      <c r="T821" s="102">
        <f>IF(LS[[#This Row],[B/S]]="B",0,ABS(LS[[#This Row],[Unit]])*(LS[[#This Row],[NAV (Strike Rate)]]-INDEX(LS[NAV at Cost (Average)],MATCH(CONCATENATE(LS[[#This Row],[Frequency]]-1,LS[[#This Row],[Investor ID]]),LS[Unique Code],0),)))</f>
        <v>7993.8087638677935</v>
      </c>
      <c r="U821" s="102" cm="1">
        <f t="array" ref="U821">IF(LS[[#This Row],[B/S]]="S",ABS(LS[[#This Row],[Unit]])*(INDEX(LS[NAV at Cost (Average)],MATCH(CONCATENATE((LS[[#This Row],[Frequency]]-1),LS[[#This Row],[Investor ID]]),LS[Unique Code],0),0)),0)</f>
        <v>92006.191236132203</v>
      </c>
      <c r="V821" s="102">
        <f>IF(LS[[#This Row],[BO TRANSFER]]="YES",LS[[#This Row],[Unit]],)</f>
        <v>0</v>
      </c>
      <c r="W821" s="102">
        <f>SUMIFS(LS[[#Headers],[BO UNIT TRANSFER]]:LS[[#This Row],[BO UNIT TRANSFER]],LS[[#Headers],[Investor ID]]:LS[[#This Row],[Investor ID]],LS[[#This Row],[Investor ID]])</f>
        <v>0</v>
      </c>
    </row>
    <row r="822" spans="1:23">
      <c r="A822" s="101">
        <v>2025</v>
      </c>
      <c r="B822" s="101">
        <v>2</v>
      </c>
      <c r="C822" s="101">
        <v>12</v>
      </c>
      <c r="D822" s="98">
        <f>DATE(LS[[#This Row],[Year]],LS[[#This Row],[Month]],LS[[#This Row],[Day]])</f>
        <v>45700</v>
      </c>
      <c r="E822" s="99" t="str" cm="1">
        <f t="array" ref="E822">INDEX(INVESTORS_LIST[INVESTOR NAME],MATCH(LS[[#This Row],[Investor ID]],INVESTORS_LIST[INVESTOR CODE],0),)</f>
        <v>MONIR AHMED</v>
      </c>
      <c r="F822" s="100" t="s">
        <v>125</v>
      </c>
      <c r="G822" s="101">
        <f>COUNTIF(LS[[#Headers],[Investor ID]]:LS[[#This Row],[Investor ID]],LS[[#This Row],[Investor ID]])</f>
        <v>4</v>
      </c>
      <c r="H822" s="101" t="str">
        <f>CONCATENATE(LS[[#This Row],[Frequency]],LS[[#This Row],[Investor ID]])</f>
        <v>4A00039</v>
      </c>
      <c r="I822" s="75" t="str">
        <f>IF(LS[[#This Row],[B/S]]="B","BUY",(IF(LS[[#This Row],[B/S]]="S","SELL"," ")))</f>
        <v>BUY</v>
      </c>
      <c r="J822" s="101" t="s">
        <v>1229</v>
      </c>
      <c r="K822" s="102">
        <v>100000</v>
      </c>
      <c r="L822" s="99"/>
      <c r="M822" s="103">
        <f>LS[[#This Row],[Amount]]/LS[[#This Row],[Unit]]</f>
        <v>12.01634222542658</v>
      </c>
      <c r="N822" s="104">
        <f>LS[[#This Row],[Unit Capital]]/10</f>
        <v>8322</v>
      </c>
      <c r="O822" s="104">
        <f>SUMIFS(LS[[#Headers],[Unit]]:LS[[#This Row],[Unit]],LS[[#Headers],[Investor ID]]:LS[[#This Row],[Investor ID]],LS[[#This Row],[Investor ID]])</f>
        <v>14599</v>
      </c>
      <c r="P822" s="102">
        <v>83220</v>
      </c>
      <c r="Q822" s="102">
        <f>LS[[#This Row],[Amount]]-LS[[#This Row],[Unit Capital]]</f>
        <v>16780</v>
      </c>
      <c r="R8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11.644633194054387</v>
      </c>
      <c r="S822" s="103">
        <f t="shared" si="12"/>
        <v>14.224</v>
      </c>
      <c r="T8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2" s="102" cm="1">
        <f t="array" ref="U822">IF(LS[[#This Row],[B/S]]="S",ABS(LS[[#This Row],[Unit]])*(INDEX(LS[NAV at Cost (Average)],MATCH(CONCATENATE((LS[[#This Row],[Frequency]]-1),LS[[#This Row],[Investor ID]]),LS[Unique Code],0),0)),0)</f>
        <v>0</v>
      </c>
      <c r="V822" s="102">
        <f>IF(LS[[#This Row],[BO TRANSFER]]="YES",LS[[#This Row],[Unit]],)</f>
        <v>0</v>
      </c>
      <c r="W822" s="102">
        <f>SUMIFS(LS[[#Headers],[BO UNIT TRANSFER]]:LS[[#This Row],[BO UNIT TRANSFER]],LS[[#Headers],[Investor ID]]:LS[[#This Row],[Investor ID]],LS[[#This Row],[Investor ID]])</f>
        <v>0</v>
      </c>
    </row>
    <row r="823" spans="1:23">
      <c r="A823" s="101">
        <v>2025</v>
      </c>
      <c r="B823" s="101">
        <v>2</v>
      </c>
      <c r="C823" s="101">
        <v>12</v>
      </c>
      <c r="D823" s="98">
        <f>DATE(LS[[#This Row],[Year]],LS[[#This Row],[Month]],LS[[#This Row],[Day]])</f>
        <v>45700</v>
      </c>
      <c r="E823" s="99" t="str" cm="1">
        <f t="array" ref="E823">INDEX(INVESTORS_LIST[INVESTOR NAME],MATCH(LS[[#This Row],[Investor ID]],INVESTORS_LIST[INVESTOR CODE],0),)</f>
        <v>MONIR AHMED</v>
      </c>
      <c r="F823" s="100" t="s">
        <v>125</v>
      </c>
      <c r="G823" s="101">
        <f>COUNTIF(LS[[#Headers],[Investor ID]]:LS[[#This Row],[Investor ID]],LS[[#This Row],[Investor ID]])</f>
        <v>5</v>
      </c>
      <c r="H823" s="101" t="str">
        <f>CONCATENATE(LS[[#This Row],[Frequency]],LS[[#This Row],[Investor ID]])</f>
        <v>5A00039</v>
      </c>
      <c r="I823" s="75" t="str">
        <f>IF(LS[[#This Row],[B/S]]="B","BUY",(IF(LS[[#This Row],[B/S]]="S","SELL"," ")))</f>
        <v>BUY</v>
      </c>
      <c r="J823" s="101" t="s">
        <v>1229</v>
      </c>
      <c r="K823" s="102">
        <v>900000</v>
      </c>
      <c r="L823" s="99"/>
      <c r="M823" s="103">
        <f>LS[[#This Row],[Amount]]/LS[[#This Row],[Unit]]</f>
        <v>12.016021361815755</v>
      </c>
      <c r="N823" s="104">
        <f>LS[[#This Row],[Unit Capital]]/10</f>
        <v>74900</v>
      </c>
      <c r="O823" s="104">
        <f>SUMIFS(LS[[#Headers],[Unit]]:LS[[#This Row],[Unit]],LS[[#Headers],[Investor ID]]:LS[[#This Row],[Investor ID]],LS[[#This Row],[Investor ID]])</f>
        <v>89499</v>
      </c>
      <c r="P823" s="102">
        <v>749000</v>
      </c>
      <c r="Q823" s="102">
        <f>LS[[#This Row],[Amount]]-LS[[#This Row],[Unit Capital]]</f>
        <v>151000</v>
      </c>
      <c r="R8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11.955440842914445</v>
      </c>
      <c r="S823" s="103">
        <f t="shared" si="12"/>
        <v>14.224</v>
      </c>
      <c r="T82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3" s="102" cm="1">
        <f t="array" ref="U823">IF(LS[[#This Row],[B/S]]="S",ABS(LS[[#This Row],[Unit]])*(INDEX(LS[NAV at Cost (Average)],MATCH(CONCATENATE((LS[[#This Row],[Frequency]]-1),LS[[#This Row],[Investor ID]]),LS[Unique Code],0),0)),0)</f>
        <v>0</v>
      </c>
      <c r="V823" s="102">
        <f>IF(LS[[#This Row],[BO TRANSFER]]="YES",LS[[#This Row],[Unit]],)</f>
        <v>0</v>
      </c>
      <c r="W823" s="102">
        <f>SUMIFS(LS[[#Headers],[BO UNIT TRANSFER]]:LS[[#This Row],[BO UNIT TRANSFER]],LS[[#Headers],[Investor ID]]:LS[[#This Row],[Investor ID]],LS[[#This Row],[Investor ID]])</f>
        <v>0</v>
      </c>
    </row>
    <row r="824" spans="1:23">
      <c r="A824" s="101">
        <v>2025</v>
      </c>
      <c r="B824" s="101">
        <v>2</v>
      </c>
      <c r="C824" s="101">
        <v>12</v>
      </c>
      <c r="D824" s="98">
        <f>DATE(LS[[#This Row],[Year]],LS[[#This Row],[Month]],LS[[#This Row],[Day]])</f>
        <v>45700</v>
      </c>
      <c r="E824" s="99" t="str" cm="1">
        <f t="array" ref="E824">INDEX(INVESTORS_LIST[INVESTOR NAME],MATCH(LS[[#This Row],[Investor ID]],INVESTORS_LIST[INVESTOR CODE],0),)</f>
        <v>SULTANA RAZIA</v>
      </c>
      <c r="F824" s="97" t="s">
        <v>511</v>
      </c>
      <c r="G824" s="101">
        <f>COUNTIF(LS[[#Headers],[Investor ID]]:LS[[#This Row],[Investor ID]],LS[[#This Row],[Investor ID]])</f>
        <v>6</v>
      </c>
      <c r="H824" s="101" t="str">
        <f>CONCATENATE(LS[[#This Row],[Frequency]],LS[[#This Row],[Investor ID]])</f>
        <v>6A00231</v>
      </c>
      <c r="I824" s="75" t="str">
        <f>IF(LS[[#This Row],[B/S]]="B","BUY",(IF(LS[[#This Row],[B/S]]="S","SELL"," ")))</f>
        <v>BUY</v>
      </c>
      <c r="J824" s="101" t="s">
        <v>1229</v>
      </c>
      <c r="K824" s="102">
        <v>1100000</v>
      </c>
      <c r="L824" s="99"/>
      <c r="M824" s="103">
        <f>LS[[#This Row],[Amount]]/LS[[#This Row],[Unit]]</f>
        <v>12.015948440657601</v>
      </c>
      <c r="N824" s="104">
        <f>LS[[#This Row],[Unit Capital]]/10</f>
        <v>91545</v>
      </c>
      <c r="O824" s="104">
        <f>SUMIFS(LS[[#Headers],[Unit]]:LS[[#This Row],[Unit]],LS[[#Headers],[Investor ID]]:LS[[#This Row],[Investor ID]],LS[[#This Row],[Investor ID]])</f>
        <v>220332</v>
      </c>
      <c r="P824" s="102">
        <v>915450</v>
      </c>
      <c r="Q824" s="102">
        <f>LS[[#This Row],[Amount]]-LS[[#This Row],[Unit Capital]]</f>
        <v>184550</v>
      </c>
      <c r="R8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11.478960984311401</v>
      </c>
      <c r="S824" s="103">
        <f t="shared" si="12"/>
        <v>14.224</v>
      </c>
      <c r="T82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4" s="102" cm="1">
        <f t="array" ref="U824">IF(LS[[#This Row],[B/S]]="S",ABS(LS[[#This Row],[Unit]])*(INDEX(LS[NAV at Cost (Average)],MATCH(CONCATENATE((LS[[#This Row],[Frequency]]-1),LS[[#This Row],[Investor ID]]),LS[Unique Code],0),0)),0)</f>
        <v>0</v>
      </c>
      <c r="V824" s="102">
        <f>IF(LS[[#This Row],[BO TRANSFER]]="YES",LS[[#This Row],[Unit]],)</f>
        <v>0</v>
      </c>
      <c r="W824" s="102">
        <f>SUMIFS(LS[[#Headers],[BO UNIT TRANSFER]]:LS[[#This Row],[BO UNIT TRANSFER]],LS[[#Headers],[Investor ID]]:LS[[#This Row],[Investor ID]],LS[[#This Row],[Investor ID]])</f>
        <v>0</v>
      </c>
    </row>
    <row r="825" spans="1:23">
      <c r="A825" s="101">
        <v>2025</v>
      </c>
      <c r="B825" s="101">
        <v>2</v>
      </c>
      <c r="C825" s="101">
        <v>12</v>
      </c>
      <c r="D825" s="98">
        <f>DATE(LS[[#This Row],[Year]],LS[[#This Row],[Month]],LS[[#This Row],[Day]])</f>
        <v>45700</v>
      </c>
      <c r="E825" s="99" t="str" cm="1">
        <f t="array" ref="E825">INDEX(INVESTORS_LIST[INVESTOR NAME],MATCH(LS[[#This Row],[Investor ID]],INVESTORS_LIST[INVESTOR CODE],0),)</f>
        <v>SOURAV SAHA</v>
      </c>
      <c r="F825" s="97" t="s">
        <v>1272</v>
      </c>
      <c r="G825" s="101">
        <f>COUNTIF(LS[[#Headers],[Investor ID]]:LS[[#This Row],[Investor ID]],LS[[#This Row],[Investor ID]])</f>
        <v>9</v>
      </c>
      <c r="H825" s="101" t="str">
        <f>CONCATENATE(LS[[#This Row],[Frequency]],LS[[#This Row],[Investor ID]])</f>
        <v>9A00583</v>
      </c>
      <c r="I825" s="75" t="str">
        <f>IF(LS[[#This Row],[B/S]]="B","BUY",(IF(LS[[#This Row],[B/S]]="S","SELL"," ")))</f>
        <v>BUY</v>
      </c>
      <c r="J825" s="101" t="s">
        <v>1229</v>
      </c>
      <c r="K825" s="102">
        <v>100000</v>
      </c>
      <c r="L825" s="99"/>
      <c r="M825" s="103">
        <f>LS[[#This Row],[Amount]]/LS[[#This Row],[Unit]]</f>
        <v>12.01634222542658</v>
      </c>
      <c r="N825" s="104">
        <f>LS[[#This Row],[Unit Capital]]/10</f>
        <v>8322</v>
      </c>
      <c r="O825" s="104">
        <f>SUMIFS(LS[[#Headers],[Unit]]:LS[[#This Row],[Unit]],LS[[#Headers],[Investor ID]]:LS[[#This Row],[Investor ID]],LS[[#This Row],[Investor ID]])</f>
        <v>16723</v>
      </c>
      <c r="P825" s="102">
        <v>83220</v>
      </c>
      <c r="Q825" s="102">
        <f>LS[[#This Row],[Amount]]-LS[[#This Row],[Unit Capital]]</f>
        <v>16780</v>
      </c>
      <c r="R8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11.959576630987264</v>
      </c>
      <c r="S825" s="103">
        <f t="shared" si="12"/>
        <v>14.224</v>
      </c>
      <c r="T8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5" s="102" cm="1">
        <f t="array" ref="U825">IF(LS[[#This Row],[B/S]]="S",ABS(LS[[#This Row],[Unit]])*(INDEX(LS[NAV at Cost (Average)],MATCH(CONCATENATE((LS[[#This Row],[Frequency]]-1),LS[[#This Row],[Investor ID]]),LS[Unique Code],0),0)),0)</f>
        <v>0</v>
      </c>
      <c r="V825" s="102">
        <f>IF(LS[[#This Row],[BO TRANSFER]]="YES",LS[[#This Row],[Unit]],)</f>
        <v>0</v>
      </c>
      <c r="W825" s="102">
        <f>SUMIFS(LS[[#Headers],[BO UNIT TRANSFER]]:LS[[#This Row],[BO UNIT TRANSFER]],LS[[#Headers],[Investor ID]]:LS[[#This Row],[Investor ID]],LS[[#This Row],[Investor ID]])</f>
        <v>0</v>
      </c>
    </row>
    <row r="826" spans="1:23">
      <c r="A826" s="101">
        <v>2025</v>
      </c>
      <c r="B826" s="101">
        <v>2</v>
      </c>
      <c r="C826" s="101">
        <v>12</v>
      </c>
      <c r="D826" s="98">
        <f>DATE(LS[[#This Row],[Year]],LS[[#This Row],[Month]],LS[[#This Row],[Day]])</f>
        <v>45700</v>
      </c>
      <c r="E826" s="99" t="str" cm="1">
        <f t="array" ref="E826">INDEX(INVESTORS_LIST[INVESTOR NAME],MATCH(LS[[#This Row],[Investor ID]],INVESTORS_LIST[INVESTOR CODE],0),)</f>
        <v>SOURAV SAHA</v>
      </c>
      <c r="F826" s="97" t="s">
        <v>1272</v>
      </c>
      <c r="G826" s="101">
        <f>COUNTIF(LS[[#Headers],[Investor ID]]:LS[[#This Row],[Investor ID]],LS[[#This Row],[Investor ID]])</f>
        <v>10</v>
      </c>
      <c r="H826" s="101" t="str">
        <f>CONCATENATE(LS[[#This Row],[Frequency]],LS[[#This Row],[Investor ID]])</f>
        <v>10A00583</v>
      </c>
      <c r="I826" s="75" t="str">
        <f>IF(LS[[#This Row],[B/S]]="B","BUY",(IF(LS[[#This Row],[B/S]]="S","SELL"," ")))</f>
        <v>BUY</v>
      </c>
      <c r="J826" s="101" t="s">
        <v>1229</v>
      </c>
      <c r="K826" s="102">
        <v>100000</v>
      </c>
      <c r="L826" s="99"/>
      <c r="M826" s="103">
        <f>LS[[#This Row],[Amount]]/LS[[#This Row],[Unit]]</f>
        <v>12.01634222542658</v>
      </c>
      <c r="N826" s="104">
        <f>LS[[#This Row],[Unit Capital]]/10</f>
        <v>8322</v>
      </c>
      <c r="O826" s="104">
        <f>SUMIFS(LS[[#Headers],[Unit]]:LS[[#This Row],[Unit]],LS[[#Headers],[Investor ID]]:LS[[#This Row],[Investor ID]],LS[[#This Row],[Investor ID]])</f>
        <v>25045</v>
      </c>
      <c r="P826" s="102">
        <v>83220</v>
      </c>
      <c r="Q826" s="102">
        <f>LS[[#This Row],[Amount]]-LS[[#This Row],[Unit Capital]]</f>
        <v>16780</v>
      </c>
      <c r="R8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11.978438810141746</v>
      </c>
      <c r="S826" s="103">
        <f t="shared" si="12"/>
        <v>14.224</v>
      </c>
      <c r="T8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6" s="102" cm="1">
        <f t="array" ref="U826">IF(LS[[#This Row],[B/S]]="S",ABS(LS[[#This Row],[Unit]])*(INDEX(LS[NAV at Cost (Average)],MATCH(CONCATENATE((LS[[#This Row],[Frequency]]-1),LS[[#This Row],[Investor ID]]),LS[Unique Code],0),0)),0)</f>
        <v>0</v>
      </c>
      <c r="V826" s="102">
        <f>IF(LS[[#This Row],[BO TRANSFER]]="YES",LS[[#This Row],[Unit]],)</f>
        <v>0</v>
      </c>
      <c r="W826" s="102">
        <f>SUMIFS(LS[[#Headers],[BO UNIT TRANSFER]]:LS[[#This Row],[BO UNIT TRANSFER]],LS[[#Headers],[Investor ID]]:LS[[#This Row],[Investor ID]],LS[[#This Row],[Investor ID]])</f>
        <v>0</v>
      </c>
    </row>
    <row r="827" spans="1:23">
      <c r="A827" s="101">
        <v>2025</v>
      </c>
      <c r="B827" s="101">
        <v>2</v>
      </c>
      <c r="C827" s="101">
        <v>12</v>
      </c>
      <c r="D827" s="98">
        <f>DATE(LS[[#This Row],[Year]],LS[[#This Row],[Month]],LS[[#This Row],[Day]])</f>
        <v>45700</v>
      </c>
      <c r="E827" s="99" t="str" cm="1">
        <f t="array" ref="E827">INDEX(INVESTORS_LIST[INVESTOR NAME],MATCH(LS[[#This Row],[Investor ID]],INVESTORS_LIST[INVESTOR CODE],0),)</f>
        <v>SOURAV SAHA</v>
      </c>
      <c r="F827" s="97" t="s">
        <v>1272</v>
      </c>
      <c r="G827" s="101">
        <f>COUNTIF(LS[[#Headers],[Investor ID]]:LS[[#This Row],[Investor ID]],LS[[#This Row],[Investor ID]])</f>
        <v>11</v>
      </c>
      <c r="H827" s="101" t="str">
        <f>CONCATENATE(LS[[#This Row],[Frequency]],LS[[#This Row],[Investor ID]])</f>
        <v>11A00583</v>
      </c>
      <c r="I827" s="75" t="str">
        <f>IF(LS[[#This Row],[B/S]]="B","BUY",(IF(LS[[#This Row],[B/S]]="S","SELL"," ")))</f>
        <v>BUY</v>
      </c>
      <c r="J827" s="101" t="s">
        <v>1229</v>
      </c>
      <c r="K827" s="102">
        <v>100000</v>
      </c>
      <c r="L827" s="99"/>
      <c r="M827" s="103">
        <f>LS[[#This Row],[Amount]]/LS[[#This Row],[Unit]]</f>
        <v>12.01634222542658</v>
      </c>
      <c r="N827" s="104">
        <f>LS[[#This Row],[Unit Capital]]/10</f>
        <v>8322</v>
      </c>
      <c r="O827" s="104">
        <f>SUMIFS(LS[[#Headers],[Unit]]:LS[[#This Row],[Unit]],LS[[#Headers],[Investor ID]]:LS[[#This Row],[Investor ID]],LS[[#This Row],[Investor ID]])</f>
        <v>33367</v>
      </c>
      <c r="P827" s="102">
        <v>83220</v>
      </c>
      <c r="Q827" s="102">
        <f>LS[[#This Row],[Amount]]-LS[[#This Row],[Unit Capital]]</f>
        <v>16780</v>
      </c>
      <c r="R8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11.987892228848864</v>
      </c>
      <c r="S827" s="103">
        <f t="shared" si="12"/>
        <v>14.224</v>
      </c>
      <c r="T82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7" s="102" cm="1">
        <f t="array" ref="U827">IF(LS[[#This Row],[B/S]]="S",ABS(LS[[#This Row],[Unit]])*(INDEX(LS[NAV at Cost (Average)],MATCH(CONCATENATE((LS[[#This Row],[Frequency]]-1),LS[[#This Row],[Investor ID]]),LS[Unique Code],0),0)),0)</f>
        <v>0</v>
      </c>
      <c r="V827" s="102">
        <f>IF(LS[[#This Row],[BO TRANSFER]]="YES",LS[[#This Row],[Unit]],)</f>
        <v>0</v>
      </c>
      <c r="W827" s="102">
        <f>SUMIFS(LS[[#Headers],[BO UNIT TRANSFER]]:LS[[#This Row],[BO UNIT TRANSFER]],LS[[#Headers],[Investor ID]]:LS[[#This Row],[Investor ID]],LS[[#This Row],[Investor ID]])</f>
        <v>0</v>
      </c>
    </row>
    <row r="828" spans="1:23">
      <c r="A828" s="101">
        <v>2025</v>
      </c>
      <c r="B828" s="101">
        <v>2</v>
      </c>
      <c r="C828" s="101">
        <v>12</v>
      </c>
      <c r="D828" s="98">
        <f>DATE(LS[[#This Row],[Year]],LS[[#This Row],[Month]],LS[[#This Row],[Day]])</f>
        <v>45700</v>
      </c>
      <c r="E828" s="99" t="str" cm="1">
        <f t="array" ref="E828">INDEX(INVESTORS_LIST[INVESTOR NAME],MATCH(LS[[#This Row],[Investor ID]],INVESTORS_LIST[INVESTOR CODE],0),)</f>
        <v>SOURAV SAHA</v>
      </c>
      <c r="F828" s="97" t="s">
        <v>1272</v>
      </c>
      <c r="G828" s="101">
        <f>COUNTIF(LS[[#Headers],[Investor ID]]:LS[[#This Row],[Investor ID]],LS[[#This Row],[Investor ID]])</f>
        <v>12</v>
      </c>
      <c r="H828" s="101" t="str">
        <f>CONCATENATE(LS[[#This Row],[Frequency]],LS[[#This Row],[Investor ID]])</f>
        <v>12A00583</v>
      </c>
      <c r="I828" s="75" t="str">
        <f>IF(LS[[#This Row],[B/S]]="B","BUY",(IF(LS[[#This Row],[B/S]]="S","SELL"," ")))</f>
        <v>BUY</v>
      </c>
      <c r="J828" s="101" t="s">
        <v>1229</v>
      </c>
      <c r="K828" s="102">
        <v>100000</v>
      </c>
      <c r="L828" s="99"/>
      <c r="M828" s="103">
        <f>LS[[#This Row],[Amount]]/LS[[#This Row],[Unit]]</f>
        <v>12.01634222542658</v>
      </c>
      <c r="N828" s="104">
        <f>LS[[#This Row],[Unit Capital]]/10</f>
        <v>8322</v>
      </c>
      <c r="O828" s="104">
        <f>SUMIFS(LS[[#Headers],[Unit]]:LS[[#This Row],[Unit]],LS[[#Headers],[Investor ID]]:LS[[#This Row],[Investor ID]],LS[[#This Row],[Investor ID]])</f>
        <v>41689</v>
      </c>
      <c r="P828" s="102">
        <v>83220</v>
      </c>
      <c r="Q828" s="102">
        <f>LS[[#This Row],[Amount]]-LS[[#This Row],[Unit Capital]]</f>
        <v>16780</v>
      </c>
      <c r="R8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11.993571445705104</v>
      </c>
      <c r="S828" s="103">
        <f t="shared" si="12"/>
        <v>14.224</v>
      </c>
      <c r="T8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8" s="102" cm="1">
        <f t="array" ref="U828">IF(LS[[#This Row],[B/S]]="S",ABS(LS[[#This Row],[Unit]])*(INDEX(LS[NAV at Cost (Average)],MATCH(CONCATENATE((LS[[#This Row],[Frequency]]-1),LS[[#This Row],[Investor ID]]),LS[Unique Code],0),0)),0)</f>
        <v>0</v>
      </c>
      <c r="V828" s="102">
        <f>IF(LS[[#This Row],[BO TRANSFER]]="YES",LS[[#This Row],[Unit]],)</f>
        <v>0</v>
      </c>
      <c r="W828" s="102">
        <f>SUMIFS(LS[[#Headers],[BO UNIT TRANSFER]]:LS[[#This Row],[BO UNIT TRANSFER]],LS[[#Headers],[Investor ID]]:LS[[#This Row],[Investor ID]],LS[[#This Row],[Investor ID]])</f>
        <v>0</v>
      </c>
    </row>
    <row r="829" spans="1:23">
      <c r="A829" s="101">
        <v>2025</v>
      </c>
      <c r="B829" s="101">
        <v>2</v>
      </c>
      <c r="C829" s="101">
        <v>12</v>
      </c>
      <c r="D829" s="98">
        <f>DATE(LS[[#This Row],[Year]],LS[[#This Row],[Month]],LS[[#This Row],[Day]])</f>
        <v>45700</v>
      </c>
      <c r="E829" s="99" t="str" cm="1">
        <f t="array" ref="E829">INDEX(INVESTORS_LIST[INVESTOR NAME],MATCH(LS[[#This Row],[Investor ID]],INVESTORS_LIST[INVESTOR CODE],0),)</f>
        <v>SOURAV SAHA</v>
      </c>
      <c r="F829" s="97" t="s">
        <v>1272</v>
      </c>
      <c r="G829" s="101">
        <f>COUNTIF(LS[[#Headers],[Investor ID]]:LS[[#This Row],[Investor ID]],LS[[#This Row],[Investor ID]])</f>
        <v>13</v>
      </c>
      <c r="H829" s="101" t="str">
        <f>CONCATENATE(LS[[#This Row],[Frequency]],LS[[#This Row],[Investor ID]])</f>
        <v>13A00583</v>
      </c>
      <c r="I829" s="75" t="str">
        <f>IF(LS[[#This Row],[B/S]]="B","BUY",(IF(LS[[#This Row],[B/S]]="S","SELL"," ")))</f>
        <v>BUY</v>
      </c>
      <c r="J829" s="101" t="s">
        <v>1229</v>
      </c>
      <c r="K829" s="102">
        <v>99000</v>
      </c>
      <c r="L829" s="99"/>
      <c r="M829" s="103">
        <f>LS[[#This Row],[Amount]]/LS[[#This Row],[Unit]]</f>
        <v>12.016021361815755</v>
      </c>
      <c r="N829" s="104">
        <f>LS[[#This Row],[Unit Capital]]/10</f>
        <v>8239</v>
      </c>
      <c r="O829" s="104">
        <f>SUMIFS(LS[[#Headers],[Unit]]:LS[[#This Row],[Unit]],LS[[#Headers],[Investor ID]]:LS[[#This Row],[Investor ID]],LS[[#This Row],[Investor ID]])</f>
        <v>49928</v>
      </c>
      <c r="P829" s="102">
        <v>82390</v>
      </c>
      <c r="Q829" s="102">
        <f>LS[[#This Row],[Amount]]-LS[[#This Row],[Unit Capital]]</f>
        <v>16610</v>
      </c>
      <c r="R8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11.997276077551675</v>
      </c>
      <c r="S829" s="103">
        <f t="shared" si="12"/>
        <v>14.224</v>
      </c>
      <c r="T8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29" s="102" cm="1">
        <f t="array" ref="U829">IF(LS[[#This Row],[B/S]]="S",ABS(LS[[#This Row],[Unit]])*(INDEX(LS[NAV at Cost (Average)],MATCH(CONCATENATE((LS[[#This Row],[Frequency]]-1),LS[[#This Row],[Investor ID]]),LS[Unique Code],0),0)),0)</f>
        <v>0</v>
      </c>
      <c r="V829" s="102">
        <f>IF(LS[[#This Row],[BO TRANSFER]]="YES",LS[[#This Row],[Unit]],)</f>
        <v>0</v>
      </c>
      <c r="W829" s="102">
        <f>SUMIFS(LS[[#Headers],[BO UNIT TRANSFER]]:LS[[#This Row],[BO UNIT TRANSFER]],LS[[#Headers],[Investor ID]]:LS[[#This Row],[Investor ID]],LS[[#This Row],[Investor ID]])</f>
        <v>0</v>
      </c>
    </row>
    <row r="830" spans="1:23">
      <c r="A830" s="101">
        <v>2025</v>
      </c>
      <c r="B830" s="101">
        <v>2</v>
      </c>
      <c r="C830" s="101">
        <v>12</v>
      </c>
      <c r="D830" s="98">
        <f>DATE(LS[[#This Row],[Year]],LS[[#This Row],[Month]],LS[[#This Row],[Day]])</f>
        <v>45700</v>
      </c>
      <c r="E830" s="99" t="str" cm="1">
        <f t="array" ref="E830">INDEX(INVESTORS_LIST[INVESTOR NAME],MATCH(LS[[#This Row],[Investor ID]],INVESTORS_LIST[INVESTOR CODE],0),)</f>
        <v>MD MIZANUR RAHMAN</v>
      </c>
      <c r="F830" s="100" t="s">
        <v>1304</v>
      </c>
      <c r="G830" s="101">
        <f>COUNTIF(LS[[#Headers],[Investor ID]]:LS[[#This Row],[Investor ID]],LS[[#This Row],[Investor ID]])</f>
        <v>1</v>
      </c>
      <c r="H830" s="101" t="str">
        <f>CONCATENATE(LS[[#This Row],[Frequency]],LS[[#This Row],[Investor ID]])</f>
        <v>1A00599</v>
      </c>
      <c r="I830" s="75" t="str">
        <f>IF(LS[[#This Row],[B/S]]="B","BUY",(IF(LS[[#This Row],[B/S]]="S","SELL"," ")))</f>
        <v>BUY</v>
      </c>
      <c r="J830" s="101" t="s">
        <v>1229</v>
      </c>
      <c r="K830" s="102">
        <v>10000</v>
      </c>
      <c r="L830" s="99"/>
      <c r="M830" s="103">
        <f>LS[[#This Row],[Amount]]/LS[[#This Row],[Unit]]</f>
        <v>12.01923076923077</v>
      </c>
      <c r="N830" s="104">
        <f>LS[[#This Row],[Unit Capital]]/10</f>
        <v>832</v>
      </c>
      <c r="O830" s="104">
        <f>SUMIFS(LS[[#Headers],[Unit]]:LS[[#This Row],[Unit]],LS[[#Headers],[Investor ID]]:LS[[#This Row],[Investor ID]],LS[[#This Row],[Investor ID]])</f>
        <v>832</v>
      </c>
      <c r="P830" s="102">
        <v>8320</v>
      </c>
      <c r="Q830" s="102">
        <f>LS[[#This Row],[Amount]]-LS[[#This Row],[Unit Capital]]</f>
        <v>1680</v>
      </c>
      <c r="R8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12.01923076923077</v>
      </c>
      <c r="S830" s="103">
        <f t="shared" si="12"/>
        <v>14.224</v>
      </c>
      <c r="T83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0" s="102" cm="1">
        <f t="array" ref="U830">IF(LS[[#This Row],[B/S]]="S",ABS(LS[[#This Row],[Unit]])*(INDEX(LS[NAV at Cost (Average)],MATCH(CONCATENATE((LS[[#This Row],[Frequency]]-1),LS[[#This Row],[Investor ID]]),LS[Unique Code],0),0)),0)</f>
        <v>0</v>
      </c>
      <c r="V830" s="102">
        <f>IF(LS[[#This Row],[BO TRANSFER]]="YES",LS[[#This Row],[Unit]],)</f>
        <v>0</v>
      </c>
      <c r="W830" s="102">
        <f>SUMIFS(LS[[#Headers],[BO UNIT TRANSFER]]:LS[[#This Row],[BO UNIT TRANSFER]],LS[[#Headers],[Investor ID]]:LS[[#This Row],[Investor ID]],LS[[#This Row],[Investor ID]])</f>
        <v>0</v>
      </c>
    </row>
    <row r="831" spans="1:23">
      <c r="A831" s="101">
        <v>2025</v>
      </c>
      <c r="B831" s="101">
        <v>2</v>
      </c>
      <c r="C831" s="101">
        <v>13</v>
      </c>
      <c r="D831" s="98">
        <f>DATE(LS[[#This Row],[Year]],LS[[#This Row],[Month]],LS[[#This Row],[Day]])</f>
        <v>45701</v>
      </c>
      <c r="E831" s="99" t="str" cm="1">
        <f t="array" ref="E831">INDEX(INVESTORS_LIST[INVESTOR NAME],MATCH(LS[[#This Row],[Investor ID]],INVESTORS_LIST[INVESTOR CODE],0),)</f>
        <v>MD ABDULLAH-AL- MAMUN</v>
      </c>
      <c r="F831" s="100" t="s">
        <v>533</v>
      </c>
      <c r="G831" s="101">
        <f>COUNTIF(LS[[#Headers],[Investor ID]]:LS[[#This Row],[Investor ID]],LS[[#This Row],[Investor ID]])</f>
        <v>1</v>
      </c>
      <c r="H831" s="101" t="str">
        <f>CONCATENATE(LS[[#This Row],[Frequency]],LS[[#This Row],[Investor ID]])</f>
        <v>1A00242</v>
      </c>
      <c r="I831" s="75" t="str">
        <f>IF(LS[[#This Row],[B/S]]="B","BUY",(IF(LS[[#This Row],[B/S]]="S","SELL"," ")))</f>
        <v>BUY</v>
      </c>
      <c r="J831" s="101" t="s">
        <v>1229</v>
      </c>
      <c r="K831" s="102">
        <v>100000</v>
      </c>
      <c r="L831" s="99"/>
      <c r="M831" s="103">
        <f>LS[[#This Row],[Amount]]/LS[[#This Row],[Unit]]</f>
        <v>12.01634222542658</v>
      </c>
      <c r="N831" s="104">
        <f>LS[[#This Row],[Unit Capital]]/10</f>
        <v>8322</v>
      </c>
      <c r="O831" s="104">
        <f>SUMIFS(LS[[#Headers],[Unit]]:LS[[#This Row],[Unit]],LS[[#Headers],[Investor ID]]:LS[[#This Row],[Investor ID]],LS[[#This Row],[Investor ID]])</f>
        <v>8322</v>
      </c>
      <c r="P831" s="102">
        <v>83220</v>
      </c>
      <c r="Q831" s="102">
        <f>LS[[#This Row],[Amount]]-LS[[#This Row],[Unit Capital]]</f>
        <v>16780</v>
      </c>
      <c r="R8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12.01634222542658</v>
      </c>
      <c r="S831" s="103">
        <f t="shared" si="12"/>
        <v>14.224</v>
      </c>
      <c r="T8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1" s="102" cm="1">
        <f t="array" ref="U831">IF(LS[[#This Row],[B/S]]="S",ABS(LS[[#This Row],[Unit]])*(INDEX(LS[NAV at Cost (Average)],MATCH(CONCATENATE((LS[[#This Row],[Frequency]]-1),LS[[#This Row],[Investor ID]]),LS[Unique Code],0),0)),0)</f>
        <v>0</v>
      </c>
      <c r="V831" s="102">
        <f>IF(LS[[#This Row],[BO TRANSFER]]="YES",LS[[#This Row],[Unit]],)</f>
        <v>0</v>
      </c>
      <c r="W831" s="102">
        <f>SUMIFS(LS[[#Headers],[BO UNIT TRANSFER]]:LS[[#This Row],[BO UNIT TRANSFER]],LS[[#Headers],[Investor ID]]:LS[[#This Row],[Investor ID]],LS[[#This Row],[Investor ID]])</f>
        <v>0</v>
      </c>
    </row>
    <row r="832" spans="1:23">
      <c r="A832" s="101">
        <v>2025</v>
      </c>
      <c r="B832" s="101">
        <v>2</v>
      </c>
      <c r="C832" s="101">
        <v>13</v>
      </c>
      <c r="D832" s="98">
        <f>DATE(LS[[#This Row],[Year]],LS[[#This Row],[Month]],LS[[#This Row],[Day]])</f>
        <v>45701</v>
      </c>
      <c r="E832" s="99" t="str" cm="1">
        <f t="array" ref="E832">INDEX(INVESTORS_LIST[INVESTOR NAME],MATCH(LS[[#This Row],[Investor ID]],INVESTORS_LIST[INVESTOR CODE],0),)</f>
        <v>MUHAMMAD SHOHIDUZZAMAN</v>
      </c>
      <c r="F832" s="97" t="s">
        <v>986</v>
      </c>
      <c r="G832" s="101">
        <f>COUNTIF(LS[[#Headers],[Investor ID]]:LS[[#This Row],[Investor ID]],LS[[#This Row],[Investor ID]])</f>
        <v>8</v>
      </c>
      <c r="H832" s="101" t="str">
        <f>CONCATENATE(LS[[#This Row],[Frequency]],LS[[#This Row],[Investor ID]])</f>
        <v>8A00470</v>
      </c>
      <c r="I832" s="75" t="str">
        <f>IF(LS[[#This Row],[B/S]]="B","BUY",(IF(LS[[#This Row],[B/S]]="S","SELL"," ")))</f>
        <v>BUY</v>
      </c>
      <c r="J832" s="101" t="s">
        <v>1229</v>
      </c>
      <c r="K832" s="102">
        <v>300000</v>
      </c>
      <c r="L832" s="99" t="s">
        <v>1230</v>
      </c>
      <c r="M832" s="103">
        <f>LS[[#This Row],[Amount]]/LS[[#This Row],[Unit]]</f>
        <v>12.015860936436095</v>
      </c>
      <c r="N832" s="104">
        <f>LS[[#This Row],[Unit Capital]]/10</f>
        <v>24967</v>
      </c>
      <c r="O832" s="104">
        <f>SUMIFS(LS[[#Headers],[Unit]]:LS[[#This Row],[Unit]],LS[[#Headers],[Investor ID]]:LS[[#This Row],[Investor ID]],LS[[#This Row],[Investor ID]])</f>
        <v>630279</v>
      </c>
      <c r="P832" s="102">
        <v>249670</v>
      </c>
      <c r="Q832" s="102">
        <f>LS[[#This Row],[Amount]]-LS[[#This Row],[Unit Capital]]</f>
        <v>50330</v>
      </c>
      <c r="R8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11.245204237006751</v>
      </c>
      <c r="S832" s="103">
        <f t="shared" si="12"/>
        <v>14.224</v>
      </c>
      <c r="T8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2" s="102" cm="1">
        <f t="array" ref="U832">IF(LS[[#This Row],[B/S]]="S",ABS(LS[[#This Row],[Unit]])*(INDEX(LS[NAV at Cost (Average)],MATCH(CONCATENATE((LS[[#This Row],[Frequency]]-1),LS[[#This Row],[Investor ID]]),LS[Unique Code],0),0)),0)</f>
        <v>0</v>
      </c>
      <c r="V832" s="102">
        <f>IF(LS[[#This Row],[BO TRANSFER]]="YES",LS[[#This Row],[Unit]],)</f>
        <v>24967</v>
      </c>
      <c r="W832" s="102">
        <f>SUMIFS(LS[[#Headers],[BO UNIT TRANSFER]]:LS[[#This Row],[BO UNIT TRANSFER]],LS[[#Headers],[Investor ID]]:LS[[#This Row],[Investor ID]],LS[[#This Row],[Investor ID]])</f>
        <v>585444</v>
      </c>
    </row>
    <row r="833" spans="1:23">
      <c r="A833" s="101">
        <v>2025</v>
      </c>
      <c r="B833" s="101">
        <v>2</v>
      </c>
      <c r="C833" s="101">
        <v>13</v>
      </c>
      <c r="D833" s="98">
        <f>DATE(LS[[#This Row],[Year]],LS[[#This Row],[Month]],LS[[#This Row],[Day]])</f>
        <v>45701</v>
      </c>
      <c r="E833" s="99" t="str" cm="1">
        <f t="array" ref="E833">INDEX(INVESTORS_LIST[INVESTOR NAME],MATCH(LS[[#This Row],[Investor ID]],INVESTORS_LIST[INVESTOR CODE],0),)</f>
        <v>AMIT KUMAR CHAKRABARTY</v>
      </c>
      <c r="F833" s="100" t="s">
        <v>1306</v>
      </c>
      <c r="G833" s="101">
        <f>COUNTIF(LS[[#Headers],[Investor ID]]:LS[[#This Row],[Investor ID]],LS[[#This Row],[Investor ID]])</f>
        <v>1</v>
      </c>
      <c r="H833" s="101" t="str">
        <f>CONCATENATE(LS[[#This Row],[Frequency]],LS[[#This Row],[Investor ID]])</f>
        <v>1A00600</v>
      </c>
      <c r="I833" s="75" t="str">
        <f>IF(LS[[#This Row],[B/S]]="B","BUY",(IF(LS[[#This Row],[B/S]]="S","SELL"," ")))</f>
        <v>BUY</v>
      </c>
      <c r="J833" s="101" t="s">
        <v>1229</v>
      </c>
      <c r="K833" s="102">
        <v>200000</v>
      </c>
      <c r="L833" s="99"/>
      <c r="M833" s="103">
        <f>LS[[#This Row],[Amount]]/LS[[#This Row],[Unit]]</f>
        <v>12.01634222542658</v>
      </c>
      <c r="N833" s="104">
        <f>LS[[#This Row],[Unit Capital]]/10</f>
        <v>16644</v>
      </c>
      <c r="O833" s="104">
        <f>SUMIFS(LS[[#Headers],[Unit]]:LS[[#This Row],[Unit]],LS[[#Headers],[Investor ID]]:LS[[#This Row],[Investor ID]],LS[[#This Row],[Investor ID]])</f>
        <v>16644</v>
      </c>
      <c r="P833" s="102">
        <v>166440</v>
      </c>
      <c r="Q833" s="102">
        <f>LS[[#This Row],[Amount]]-LS[[#This Row],[Unit Capital]]</f>
        <v>33560</v>
      </c>
      <c r="R8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12.01634222542658</v>
      </c>
      <c r="S833" s="103">
        <f t="shared" si="12"/>
        <v>14.224</v>
      </c>
      <c r="T8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3" s="102" cm="1">
        <f t="array" ref="U833">IF(LS[[#This Row],[B/S]]="S",ABS(LS[[#This Row],[Unit]])*(INDEX(LS[NAV at Cost (Average)],MATCH(CONCATENATE((LS[[#This Row],[Frequency]]-1),LS[[#This Row],[Investor ID]]),LS[Unique Code],0),0)),0)</f>
        <v>0</v>
      </c>
      <c r="V833" s="102">
        <f>IF(LS[[#This Row],[BO TRANSFER]]="YES",LS[[#This Row],[Unit]],)</f>
        <v>0</v>
      </c>
      <c r="W833" s="102">
        <f>SUMIFS(LS[[#Headers],[BO UNIT TRANSFER]]:LS[[#This Row],[BO UNIT TRANSFER]],LS[[#Headers],[Investor ID]]:LS[[#This Row],[Investor ID]],LS[[#This Row],[Investor ID]])</f>
        <v>0</v>
      </c>
    </row>
    <row r="834" spans="1:23">
      <c r="A834" s="101">
        <v>2025</v>
      </c>
      <c r="B834" s="101">
        <v>2</v>
      </c>
      <c r="C834" s="101">
        <v>13</v>
      </c>
      <c r="D834" s="98">
        <f>DATE(LS[[#This Row],[Year]],LS[[#This Row],[Month]],LS[[#This Row],[Day]])</f>
        <v>45701</v>
      </c>
      <c r="E834" s="99" t="str" cm="1">
        <f t="array" ref="E834">INDEX(INVESTORS_LIST[INVESTOR NAME],MATCH(LS[[#This Row],[Investor ID]],INVESTORS_LIST[INVESTOR CODE],0),)</f>
        <v>PUJA BHATTACHARJEE</v>
      </c>
      <c r="F834" s="100" t="s">
        <v>1286</v>
      </c>
      <c r="G834" s="101">
        <f>COUNTIF(LS[[#Headers],[Investor ID]]:LS[[#This Row],[Investor ID]],LS[[#This Row],[Investor ID]])</f>
        <v>3</v>
      </c>
      <c r="H834" s="101" t="str">
        <f>CONCATENATE(LS[[#This Row],[Frequency]],LS[[#This Row],[Investor ID]])</f>
        <v>3A00590</v>
      </c>
      <c r="I834" s="75" t="str">
        <f>IF(LS[[#This Row],[B/S]]="B","BUY",(IF(LS[[#This Row],[B/S]]="S","SELL"," ")))</f>
        <v>BUY</v>
      </c>
      <c r="J834" s="101" t="s">
        <v>1229</v>
      </c>
      <c r="K834" s="102">
        <v>300000</v>
      </c>
      <c r="L834" s="99"/>
      <c r="M834" s="103">
        <f>LS[[#This Row],[Amount]]/LS[[#This Row],[Unit]]</f>
        <v>12.015860936436095</v>
      </c>
      <c r="N834" s="104">
        <f>LS[[#This Row],[Unit Capital]]/10</f>
        <v>24967</v>
      </c>
      <c r="O834" s="104">
        <f>SUMIFS(LS[[#Headers],[Unit]]:LS[[#This Row],[Unit]],LS[[#Headers],[Investor ID]]:LS[[#This Row],[Investor ID]],LS[[#This Row],[Investor ID]])</f>
        <v>76239</v>
      </c>
      <c r="P834" s="102">
        <v>249670</v>
      </c>
      <c r="Q834" s="102">
        <f>LS[[#This Row],[Amount]]-LS[[#This Row],[Unit Capital]]</f>
        <v>50330</v>
      </c>
      <c r="R8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11.804981702278361</v>
      </c>
      <c r="S834" s="103">
        <f t="shared" si="12"/>
        <v>14.224</v>
      </c>
      <c r="T8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4" s="102" cm="1">
        <f t="array" ref="U834">IF(LS[[#This Row],[B/S]]="S",ABS(LS[[#This Row],[Unit]])*(INDEX(LS[NAV at Cost (Average)],MATCH(CONCATENATE((LS[[#This Row],[Frequency]]-1),LS[[#This Row],[Investor ID]]),LS[Unique Code],0),0)),0)</f>
        <v>0</v>
      </c>
      <c r="V834" s="102">
        <f>IF(LS[[#This Row],[BO TRANSFER]]="YES",LS[[#This Row],[Unit]],)</f>
        <v>0</v>
      </c>
      <c r="W834" s="102">
        <f>SUMIFS(LS[[#Headers],[BO UNIT TRANSFER]]:LS[[#This Row],[BO UNIT TRANSFER]],LS[[#Headers],[Investor ID]]:LS[[#This Row],[Investor ID]],LS[[#This Row],[Investor ID]])</f>
        <v>0</v>
      </c>
    </row>
    <row r="835" spans="1:23">
      <c r="A835" s="101">
        <v>2025</v>
      </c>
      <c r="B835" s="101">
        <v>2</v>
      </c>
      <c r="C835" s="101">
        <v>13</v>
      </c>
      <c r="D835" s="98">
        <f>DATE(LS[[#This Row],[Year]],LS[[#This Row],[Month]],LS[[#This Row],[Day]])</f>
        <v>45701</v>
      </c>
      <c r="E835" s="99" t="str" cm="1">
        <f t="array" ref="E835">INDEX(INVESTORS_LIST[INVESTOR NAME],MATCH(LS[[#This Row],[Investor ID]],INVESTORS_LIST[INVESTOR CODE],0),)</f>
        <v>MD MINHAZ UDDIN</v>
      </c>
      <c r="F835" s="97" t="s">
        <v>1126</v>
      </c>
      <c r="G835" s="101">
        <f>COUNTIF(LS[[#Headers],[Investor ID]]:LS[[#This Row],[Investor ID]],LS[[#This Row],[Investor ID]])</f>
        <v>4</v>
      </c>
      <c r="H835" s="101" t="str">
        <f>CONCATENATE(LS[[#This Row],[Frequency]],LS[[#This Row],[Investor ID]])</f>
        <v>4A00538</v>
      </c>
      <c r="I835" s="75" t="str">
        <f>IF(LS[[#This Row],[B/S]]="B","BUY",(IF(LS[[#This Row],[B/S]]="S","SELL"," ")))</f>
        <v>BUY</v>
      </c>
      <c r="J835" s="101" t="s">
        <v>1229</v>
      </c>
      <c r="K835" s="102">
        <v>1500000</v>
      </c>
      <c r="L835" s="99"/>
      <c r="M835" s="103">
        <f>LS[[#This Row],[Amount]]/LS[[#This Row],[Unit]]</f>
        <v>12.015957191149846</v>
      </c>
      <c r="N835" s="104">
        <f>LS[[#This Row],[Unit Capital]]/10</f>
        <v>124834</v>
      </c>
      <c r="O835" s="104">
        <f>SUMIFS(LS[[#Headers],[Unit]]:LS[[#This Row],[Unit]],LS[[#Headers],[Investor ID]]:LS[[#This Row],[Investor ID]],LS[[#This Row],[Investor ID]])</f>
        <v>124834</v>
      </c>
      <c r="P835" s="102">
        <v>1248340</v>
      </c>
      <c r="Q835" s="102">
        <f>LS[[#This Row],[Amount]]-LS[[#This Row],[Unit Capital]]</f>
        <v>251660</v>
      </c>
      <c r="R8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12.015957191149846</v>
      </c>
      <c r="S835" s="103">
        <f t="shared" ref="S835:S898" si="13">IFERROR(NAV_MKT,0)</f>
        <v>14.224</v>
      </c>
      <c r="T8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5" s="102" cm="1">
        <f t="array" ref="U835">IF(LS[[#This Row],[B/S]]="S",ABS(LS[[#This Row],[Unit]])*(INDEX(LS[NAV at Cost (Average)],MATCH(CONCATENATE((LS[[#This Row],[Frequency]]-1),LS[[#This Row],[Investor ID]]),LS[Unique Code],0),0)),0)</f>
        <v>0</v>
      </c>
      <c r="V835" s="102">
        <f>IF(LS[[#This Row],[BO TRANSFER]]="YES",LS[[#This Row],[Unit]],)</f>
        <v>0</v>
      </c>
      <c r="W835" s="102">
        <f>SUMIFS(LS[[#Headers],[BO UNIT TRANSFER]]:LS[[#This Row],[BO UNIT TRANSFER]],LS[[#Headers],[Investor ID]]:LS[[#This Row],[Investor ID]],LS[[#This Row],[Investor ID]])</f>
        <v>0</v>
      </c>
    </row>
    <row r="836" spans="1:23">
      <c r="A836" s="101">
        <v>2025</v>
      </c>
      <c r="B836" s="101">
        <v>2</v>
      </c>
      <c r="C836" s="101">
        <v>13</v>
      </c>
      <c r="D836" s="98">
        <f>DATE(LS[[#This Row],[Year]],LS[[#This Row],[Month]],LS[[#This Row],[Day]])</f>
        <v>45701</v>
      </c>
      <c r="E836" s="99" t="str" cm="1">
        <f t="array" ref="E836">INDEX(INVESTORS_LIST[INVESTOR NAME],MATCH(LS[[#This Row],[Investor ID]],INVESTORS_LIST[INVESTOR CODE],0),)</f>
        <v>IFTEKHAR ALAM</v>
      </c>
      <c r="F836" s="100" t="s">
        <v>216</v>
      </c>
      <c r="G836" s="101">
        <f>COUNTIF(LS[[#Headers],[Investor ID]]:LS[[#This Row],[Investor ID]],LS[[#This Row],[Investor ID]])</f>
        <v>3</v>
      </c>
      <c r="H836" s="101" t="str">
        <f>CONCATENATE(LS[[#This Row],[Frequency]],LS[[#This Row],[Investor ID]])</f>
        <v>3A00084</v>
      </c>
      <c r="I836" s="75" t="str">
        <f>IF(LS[[#This Row],[B/S]]="B","BUY",(IF(LS[[#This Row],[B/S]]="S","SELL"," ")))</f>
        <v>BUY</v>
      </c>
      <c r="J836" s="101" t="s">
        <v>1229</v>
      </c>
      <c r="K836" s="102">
        <v>200000</v>
      </c>
      <c r="L836" s="99"/>
      <c r="M836" s="103">
        <f>LS[[#This Row],[Amount]]/LS[[#This Row],[Unit]]</f>
        <v>12.01634222542658</v>
      </c>
      <c r="N836" s="104">
        <f>LS[[#This Row],[Unit Capital]]/10</f>
        <v>16644</v>
      </c>
      <c r="O836" s="104">
        <f>SUMIFS(LS[[#Headers],[Unit]]:LS[[#This Row],[Unit]],LS[[#Headers],[Investor ID]]:LS[[#This Row],[Investor ID]],LS[[#This Row],[Investor ID]])</f>
        <v>110532</v>
      </c>
      <c r="P836" s="102">
        <v>166440</v>
      </c>
      <c r="Q836" s="102">
        <f>LS[[#This Row],[Amount]]-LS[[#This Row],[Unit Capital]]</f>
        <v>33560</v>
      </c>
      <c r="R8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10.856584518510477</v>
      </c>
      <c r="S836" s="103">
        <f t="shared" si="13"/>
        <v>14.224</v>
      </c>
      <c r="T83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6" s="102" cm="1">
        <f t="array" ref="U836">IF(LS[[#This Row],[B/S]]="S",ABS(LS[[#This Row],[Unit]])*(INDEX(LS[NAV at Cost (Average)],MATCH(CONCATENATE((LS[[#This Row],[Frequency]]-1),LS[[#This Row],[Investor ID]]),LS[Unique Code],0),0)),0)</f>
        <v>0</v>
      </c>
      <c r="V836" s="102">
        <f>IF(LS[[#This Row],[BO TRANSFER]]="YES",LS[[#This Row],[Unit]],)</f>
        <v>0</v>
      </c>
      <c r="W836" s="102">
        <f>SUMIFS(LS[[#Headers],[BO UNIT TRANSFER]]:LS[[#This Row],[BO UNIT TRANSFER]],LS[[#Headers],[Investor ID]]:LS[[#This Row],[Investor ID]],LS[[#This Row],[Investor ID]])</f>
        <v>0</v>
      </c>
    </row>
    <row r="837" spans="1:23">
      <c r="A837" s="101">
        <v>2025</v>
      </c>
      <c r="B837" s="101">
        <v>2</v>
      </c>
      <c r="C837" s="101">
        <v>13</v>
      </c>
      <c r="D837" s="98">
        <f>DATE(LS[[#This Row],[Year]],LS[[#This Row],[Month]],LS[[#This Row],[Day]])</f>
        <v>45701</v>
      </c>
      <c r="E837" s="99" t="str" cm="1">
        <f t="array" ref="E837">INDEX(INVESTORS_LIST[INVESTOR NAME],MATCH(LS[[#This Row],[Investor ID]],INVESTORS_LIST[INVESTOR CODE],0),)</f>
        <v>LANKABANGLA INVESTMENTS LIMITED</v>
      </c>
      <c r="F837" s="127" t="s">
        <v>1307</v>
      </c>
      <c r="G837" s="101">
        <f>COUNTIF(LS[[#Headers],[Investor ID]]:LS[[#This Row],[Investor ID]],LS[[#This Row],[Investor ID]])</f>
        <v>1</v>
      </c>
      <c r="H837" s="101" t="str">
        <f>CONCATENATE(LS[[#This Row],[Frequency]],LS[[#This Row],[Investor ID]])</f>
        <v>1A00601</v>
      </c>
      <c r="I837" s="75" t="str">
        <f>IF(LS[[#This Row],[B/S]]="B","BUY",(IF(LS[[#This Row],[B/S]]="S","SELL"," ")))</f>
        <v>BUY</v>
      </c>
      <c r="J837" s="101" t="s">
        <v>1229</v>
      </c>
      <c r="K837" s="102">
        <v>10000000</v>
      </c>
      <c r="L837" s="99"/>
      <c r="M837" s="103">
        <f>LS[[#This Row],[Amount]]/LS[[#This Row],[Unit]]</f>
        <v>12.015995693467143</v>
      </c>
      <c r="N837" s="104">
        <f>LS[[#This Row],[Unit Capital]]/10</f>
        <v>832224</v>
      </c>
      <c r="O837" s="104">
        <f>SUMIFS(LS[[#Headers],[Unit]]:LS[[#This Row],[Unit]],LS[[#Headers],[Investor ID]]:LS[[#This Row],[Investor ID]],LS[[#This Row],[Investor ID]])</f>
        <v>832224</v>
      </c>
      <c r="P837" s="102">
        <v>8322240</v>
      </c>
      <c r="Q837" s="102">
        <f>LS[[#This Row],[Amount]]-LS[[#This Row],[Unit Capital]]</f>
        <v>1677760</v>
      </c>
      <c r="R8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12.015995693467143</v>
      </c>
      <c r="S837" s="103">
        <f t="shared" si="13"/>
        <v>14.224</v>
      </c>
      <c r="T83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7" s="102" cm="1">
        <f t="array" ref="U837">IF(LS[[#This Row],[B/S]]="S",ABS(LS[[#This Row],[Unit]])*(INDEX(LS[NAV at Cost (Average)],MATCH(CONCATENATE((LS[[#This Row],[Frequency]]-1),LS[[#This Row],[Investor ID]]),LS[Unique Code],0),0)),0)</f>
        <v>0</v>
      </c>
      <c r="V837" s="102">
        <f>IF(LS[[#This Row],[BO TRANSFER]]="YES",LS[[#This Row],[Unit]],)</f>
        <v>0</v>
      </c>
      <c r="W837" s="102">
        <f>SUMIFS(LS[[#Headers],[BO UNIT TRANSFER]]:LS[[#This Row],[BO UNIT TRANSFER]],LS[[#Headers],[Investor ID]]:LS[[#This Row],[Investor ID]],LS[[#This Row],[Investor ID]])</f>
        <v>0</v>
      </c>
    </row>
    <row r="838" spans="1:23">
      <c r="A838" s="101">
        <v>2025</v>
      </c>
      <c r="B838" s="101">
        <v>2</v>
      </c>
      <c r="C838" s="101">
        <v>13</v>
      </c>
      <c r="D838" s="98">
        <f>DATE(LS[[#This Row],[Year]],LS[[#This Row],[Month]],LS[[#This Row],[Day]])</f>
        <v>45701</v>
      </c>
      <c r="E838" s="99" t="str" cm="1">
        <f t="array" ref="E838">INDEX(INVESTORS_LIST[INVESTOR NAME],MATCH(LS[[#This Row],[Investor ID]],INVESTORS_LIST[INVESTOR CODE],0),)</f>
        <v>MD ASHIQUR RAHMAN</v>
      </c>
      <c r="F838" s="100" t="s">
        <v>1173</v>
      </c>
      <c r="G838" s="101">
        <f>COUNTIF(LS[[#Headers],[Investor ID]]:LS[[#This Row],[Investor ID]],LS[[#This Row],[Investor ID]])</f>
        <v>3</v>
      </c>
      <c r="H838" s="101" t="str">
        <f>CONCATENATE(LS[[#This Row],[Frequency]],LS[[#This Row],[Investor ID]])</f>
        <v>3A00562</v>
      </c>
      <c r="I838" s="75" t="str">
        <f>IF(LS[[#This Row],[B/S]]="B","BUY",(IF(LS[[#This Row],[B/S]]="S","SELL"," ")))</f>
        <v>BUY</v>
      </c>
      <c r="J838" s="101" t="s">
        <v>1229</v>
      </c>
      <c r="K838" s="102">
        <v>420000</v>
      </c>
      <c r="L838" s="99"/>
      <c r="M838" s="103">
        <f>LS[[#This Row],[Amount]]/LS[[#This Row],[Unit]]</f>
        <v>12.016135953995365</v>
      </c>
      <c r="N838" s="104">
        <f>LS[[#This Row],[Unit Capital]]/10</f>
        <v>34953</v>
      </c>
      <c r="O838" s="104">
        <f>SUMIFS(LS[[#Headers],[Unit]]:LS[[#This Row],[Unit]],LS[[#Headers],[Investor ID]]:LS[[#This Row],[Investor ID]],LS[[#This Row],[Investor ID]])</f>
        <v>35007</v>
      </c>
      <c r="P838" s="102">
        <v>349530</v>
      </c>
      <c r="Q838" s="102">
        <f>LS[[#This Row],[Amount]]-LS[[#This Row],[Unit Capital]]</f>
        <v>70470</v>
      </c>
      <c r="R8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12.014802783076128</v>
      </c>
      <c r="S838" s="103">
        <f t="shared" si="13"/>
        <v>14.224</v>
      </c>
      <c r="T83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38" s="102" cm="1">
        <f t="array" ref="U838">IF(LS[[#This Row],[B/S]]="S",ABS(LS[[#This Row],[Unit]])*(INDEX(LS[NAV at Cost (Average)],MATCH(CONCATENATE((LS[[#This Row],[Frequency]]-1),LS[[#This Row],[Investor ID]]),LS[Unique Code],0),0)),0)</f>
        <v>0</v>
      </c>
      <c r="V838" s="102">
        <f>IF(LS[[#This Row],[BO TRANSFER]]="YES",LS[[#This Row],[Unit]],)</f>
        <v>0</v>
      </c>
      <c r="W838" s="102">
        <f>SUMIFS(LS[[#Headers],[BO UNIT TRANSFER]]:LS[[#This Row],[BO UNIT TRANSFER]],LS[[#Headers],[Investor ID]]:LS[[#This Row],[Investor ID]],LS[[#This Row],[Investor ID]])</f>
        <v>0</v>
      </c>
    </row>
    <row r="839" spans="1:23">
      <c r="A839" s="101">
        <v>2025</v>
      </c>
      <c r="B839" s="101">
        <v>2</v>
      </c>
      <c r="C839" s="101">
        <v>16</v>
      </c>
      <c r="D839" s="98">
        <f>DATE(LS[[#This Row],[Year]],LS[[#This Row],[Month]],LS[[#This Row],[Day]])</f>
        <v>45704</v>
      </c>
      <c r="E839" s="99" t="str" cm="1">
        <f t="array" ref="E839">INDEX(INVESTORS_LIST[INVESTOR NAME],MATCH(LS[[#This Row],[Investor ID]],INVESTORS_LIST[INVESTOR CODE],0),)</f>
        <v>KHAN MUHAMMAD KAWSER AHMED</v>
      </c>
      <c r="F839" s="100" t="s">
        <v>944</v>
      </c>
      <c r="G839" s="101">
        <f>COUNTIF(LS[[#Headers],[Investor ID]]:LS[[#This Row],[Investor ID]],LS[[#This Row],[Investor ID]])</f>
        <v>19</v>
      </c>
      <c r="H839" s="101" t="str">
        <f>CONCATENATE(LS[[#This Row],[Frequency]],LS[[#This Row],[Investor ID]])</f>
        <v>19A00449</v>
      </c>
      <c r="I839" s="75" t="str">
        <f>IF(LS[[#This Row],[B/S]]="B","BUY",(IF(LS[[#This Row],[B/S]]="S","SELL"," ")))</f>
        <v>SELL</v>
      </c>
      <c r="J839" s="101" t="s">
        <v>1231</v>
      </c>
      <c r="K839" s="102">
        <v>-35000000</v>
      </c>
      <c r="L839" s="99"/>
      <c r="M839" s="103">
        <f>LS[[#This Row],[Amount]]/LS[[#This Row],[Unit]]</f>
        <v>12.366001128485932</v>
      </c>
      <c r="N839" s="104">
        <f>LS[[#This Row],[Unit Capital]]/10</f>
        <v>-2830341</v>
      </c>
      <c r="O839" s="104">
        <f>SUMIFS(LS[[#Headers],[Unit]]:LS[[#This Row],[Unit]],LS[[#Headers],[Investor ID]]:LS[[#This Row],[Investor ID]],LS[[#This Row],[Investor ID]])</f>
        <v>9068198</v>
      </c>
      <c r="P839" s="102">
        <v>-28303410</v>
      </c>
      <c r="Q839" s="102">
        <f>LS[[#This Row],[Amount]]-LS[[#This Row],[Unit Capital]]</f>
        <v>-6696590</v>
      </c>
      <c r="R8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11.605821873177792</v>
      </c>
      <c r="S839" s="103">
        <f t="shared" si="13"/>
        <v>14.224</v>
      </c>
      <c r="T839" s="102">
        <f>IF(LS[[#This Row],[B/S]]="B",0,ABS(LS[[#This Row],[Unit]])*(LS[[#This Row],[NAV (Strike Rate)]]-INDEX(LS[NAV at Cost (Average)],MATCH(CONCATENATE(LS[[#This Row],[Frequency]]-1,LS[[#This Row],[Investor ID]]),LS[Unique Code],0),)))</f>
        <v>2151566.513648096</v>
      </c>
      <c r="U839" s="102" cm="1">
        <f t="array" ref="U839">IF(LS[[#This Row],[B/S]]="S",ABS(LS[[#This Row],[Unit]])*(INDEX(LS[NAV at Cost (Average)],MATCH(CONCATENATE((LS[[#This Row],[Frequency]]-1),LS[[#This Row],[Investor ID]]),LS[Unique Code],0),0)),0)</f>
        <v>32848433.486351904</v>
      </c>
      <c r="V839" s="102">
        <f>IF(LS[[#This Row],[BO TRANSFER]]="YES",LS[[#This Row],[Unit]],)</f>
        <v>0</v>
      </c>
      <c r="W839" s="102">
        <f>SUMIFS(LS[[#Headers],[BO UNIT TRANSFER]]:LS[[#This Row],[BO UNIT TRANSFER]],LS[[#Headers],[Investor ID]]:LS[[#This Row],[Investor ID]],LS[[#This Row],[Investor ID]])</f>
        <v>0</v>
      </c>
    </row>
    <row r="840" spans="1:23">
      <c r="A840" s="101">
        <v>2025</v>
      </c>
      <c r="B840" s="101">
        <v>2</v>
      </c>
      <c r="C840" s="101">
        <v>16</v>
      </c>
      <c r="D840" s="98">
        <f>DATE(LS[[#This Row],[Year]],LS[[#This Row],[Month]],LS[[#This Row],[Day]])</f>
        <v>45704</v>
      </c>
      <c r="E840" s="99" t="str" cm="1">
        <f t="array" ref="E840">INDEX(INVESTORS_LIST[INVESTOR NAME],MATCH(LS[[#This Row],[Investor ID]],INVESTORS_LIST[INVESTOR CODE],0),)</f>
        <v>KHAN MUHAMMAD KAWSER AHMED</v>
      </c>
      <c r="F840" s="100" t="s">
        <v>944</v>
      </c>
      <c r="G840" s="101">
        <f>COUNTIF(LS[[#Headers],[Investor ID]]:LS[[#This Row],[Investor ID]],LS[[#This Row],[Investor ID]])</f>
        <v>20</v>
      </c>
      <c r="H840" s="101" t="str">
        <f>CONCATENATE(LS[[#This Row],[Frequency]],LS[[#This Row],[Investor ID]])</f>
        <v>20A00449</v>
      </c>
      <c r="I840" s="75" t="str">
        <f>IF(LS[[#This Row],[B/S]]="B","BUY",(IF(LS[[#This Row],[B/S]]="S","SELL"," ")))</f>
        <v>BUY</v>
      </c>
      <c r="J840" s="101" t="s">
        <v>1229</v>
      </c>
      <c r="K840" s="102">
        <v>35000000</v>
      </c>
      <c r="L840" s="99"/>
      <c r="M840" s="103">
        <f>LS[[#This Row],[Amount]]/LS[[#This Row],[Unit]]</f>
        <v>12.366001128485932</v>
      </c>
      <c r="N840" s="104">
        <f>LS[[#This Row],[Unit Capital]]/10</f>
        <v>2830341</v>
      </c>
      <c r="O840" s="104">
        <f>SUMIFS(LS[[#Headers],[Unit]]:LS[[#This Row],[Unit]],LS[[#Headers],[Investor ID]]:LS[[#This Row],[Investor ID]],LS[[#This Row],[Investor ID]])</f>
        <v>11898539</v>
      </c>
      <c r="P840" s="102">
        <v>28303410</v>
      </c>
      <c r="Q840" s="102">
        <f>LS[[#This Row],[Amount]]-LS[[#This Row],[Unit Capital]]</f>
        <v>6696590</v>
      </c>
      <c r="R8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11.786647982471386</v>
      </c>
      <c r="S840" s="103">
        <f t="shared" si="13"/>
        <v>14.224</v>
      </c>
      <c r="T84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0" s="102" cm="1">
        <f t="array" ref="U840">IF(LS[[#This Row],[B/S]]="S",ABS(LS[[#This Row],[Unit]])*(INDEX(LS[NAV at Cost (Average)],MATCH(CONCATENATE((LS[[#This Row],[Frequency]]-1),LS[[#This Row],[Investor ID]]),LS[Unique Code],0),0)),0)</f>
        <v>0</v>
      </c>
      <c r="V840" s="102">
        <f>IF(LS[[#This Row],[BO TRANSFER]]="YES",LS[[#This Row],[Unit]],)</f>
        <v>0</v>
      </c>
      <c r="W840" s="102">
        <f>SUMIFS(LS[[#Headers],[BO UNIT TRANSFER]]:LS[[#This Row],[BO UNIT TRANSFER]],LS[[#Headers],[Investor ID]]:LS[[#This Row],[Investor ID]],LS[[#This Row],[Investor ID]])</f>
        <v>0</v>
      </c>
    </row>
    <row r="841" spans="1:23">
      <c r="A841" s="101">
        <v>2025</v>
      </c>
      <c r="B841" s="101">
        <v>2</v>
      </c>
      <c r="C841" s="101">
        <v>16</v>
      </c>
      <c r="D841" s="98">
        <f>DATE(LS[[#This Row],[Year]],LS[[#This Row],[Month]],LS[[#This Row],[Day]])</f>
        <v>45704</v>
      </c>
      <c r="E841" s="99" t="str" cm="1">
        <f t="array" ref="E841">INDEX(INVESTORS_LIST[INVESTOR NAME],MATCH(LS[[#This Row],[Investor ID]],INVESTORS_LIST[INVESTOR CODE],0),)</f>
        <v xml:space="preserve">Mr. JAKARIA MD. JONY &amp; Ms. JOBAIDA KHANOM </v>
      </c>
      <c r="F841" s="97" t="s">
        <v>1281</v>
      </c>
      <c r="G841" s="101">
        <f>COUNTIF(LS[[#Headers],[Investor ID]]:LS[[#This Row],[Investor ID]],LS[[#This Row],[Investor ID]])</f>
        <v>2</v>
      </c>
      <c r="H841" s="101" t="str">
        <f>CONCATENATE(LS[[#This Row],[Frequency]],LS[[#This Row],[Investor ID]])</f>
        <v>2A00588</v>
      </c>
      <c r="I841" s="75" t="str">
        <f>IF(LS[[#This Row],[B/S]]="B","BUY",(IF(LS[[#This Row],[B/S]]="S","SELL"," ")))</f>
        <v>BUY</v>
      </c>
      <c r="J841" s="101" t="s">
        <v>1229</v>
      </c>
      <c r="K841" s="102">
        <v>6000000</v>
      </c>
      <c r="L841" s="99"/>
      <c r="M841" s="103">
        <f>LS[[#This Row],[Amount]]/LS[[#This Row],[Unit]]</f>
        <v>12.366009138480754</v>
      </c>
      <c r="N841" s="104">
        <f>LS[[#This Row],[Unit Capital]]/10</f>
        <v>485201</v>
      </c>
      <c r="O841" s="104">
        <f>SUMIFS(LS[[#Headers],[Unit]]:LS[[#This Row],[Unit]],LS[[#Headers],[Investor ID]]:LS[[#This Row],[Investor ID]],LS[[#This Row],[Investor ID]])</f>
        <v>664868</v>
      </c>
      <c r="P841" s="102">
        <v>4852010</v>
      </c>
      <c r="Q841" s="102">
        <f>LS[[#This Row],[Amount]]-LS[[#This Row],[Unit Capital]]</f>
        <v>1147990</v>
      </c>
      <c r="R8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12.107666484174304</v>
      </c>
      <c r="S841" s="103">
        <f t="shared" si="13"/>
        <v>14.224</v>
      </c>
      <c r="T8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1" s="102" cm="1">
        <f t="array" ref="U841">IF(LS[[#This Row],[B/S]]="S",ABS(LS[[#This Row],[Unit]])*(INDEX(LS[NAV at Cost (Average)],MATCH(CONCATENATE((LS[[#This Row],[Frequency]]-1),LS[[#This Row],[Investor ID]]),LS[Unique Code],0),0)),0)</f>
        <v>0</v>
      </c>
      <c r="V841" s="102">
        <f>IF(LS[[#This Row],[BO TRANSFER]]="YES",LS[[#This Row],[Unit]],)</f>
        <v>0</v>
      </c>
      <c r="W841" s="102">
        <f>SUMIFS(LS[[#Headers],[BO UNIT TRANSFER]]:LS[[#This Row],[BO UNIT TRANSFER]],LS[[#Headers],[Investor ID]]:LS[[#This Row],[Investor ID]],LS[[#This Row],[Investor ID]])</f>
        <v>0</v>
      </c>
    </row>
    <row r="842" spans="1:23">
      <c r="A842" s="101">
        <v>2025</v>
      </c>
      <c r="B842" s="101">
        <v>2</v>
      </c>
      <c r="C842" s="101">
        <v>16</v>
      </c>
      <c r="D842" s="98">
        <f>DATE(LS[[#This Row],[Year]],LS[[#This Row],[Month]],LS[[#This Row],[Day]])</f>
        <v>45704</v>
      </c>
      <c r="E842" s="99" t="str" cm="1">
        <f t="array" ref="E842">INDEX(INVESTORS_LIST[INVESTOR NAME],MATCH(LS[[#This Row],[Investor ID]],INVESTORS_LIST[INVESTOR CODE],0),)</f>
        <v>LANKABANGLA INVESTMENTS LIMITED</v>
      </c>
      <c r="F842" s="100" t="s">
        <v>1275</v>
      </c>
      <c r="G842" s="101">
        <f>COUNTIF(LS[[#Headers],[Investor ID]]:LS[[#This Row],[Investor ID]],LS[[#This Row],[Investor ID]])</f>
        <v>2</v>
      </c>
      <c r="H842" s="101" t="str">
        <f>CONCATENATE(LS[[#This Row],[Frequency]],LS[[#This Row],[Investor ID]])</f>
        <v>2A00586</v>
      </c>
      <c r="I842" s="75" t="str">
        <f>IF(LS[[#This Row],[B/S]]="B","BUY",(IF(LS[[#This Row],[B/S]]="S","SELL"," ")))</f>
        <v>BUY</v>
      </c>
      <c r="J842" s="101" t="s">
        <v>1229</v>
      </c>
      <c r="K842" s="102">
        <v>17950000</v>
      </c>
      <c r="L842" s="99"/>
      <c r="M842" s="103">
        <f>LS[[#This Row],[Amount]]/LS[[#This Row],[Unit]]</f>
        <v>12.365997708673628</v>
      </c>
      <c r="N842" s="104">
        <f>LS[[#This Row],[Unit Capital]]/10</f>
        <v>1451561</v>
      </c>
      <c r="O842" s="104">
        <f>SUMIFS(LS[[#Headers],[Unit]]:LS[[#This Row],[Unit]],LS[[#Headers],[Investor ID]]:LS[[#This Row],[Investor ID]],LS[[#This Row],[Investor ID]])</f>
        <v>1896561</v>
      </c>
      <c r="P842" s="102">
        <v>14515610</v>
      </c>
      <c r="Q842" s="102">
        <f>LS[[#This Row],[Amount]]-LS[[#This Row],[Unit Capital]]</f>
        <v>3434390</v>
      </c>
      <c r="R8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12.118692728575564</v>
      </c>
      <c r="S842" s="103">
        <f t="shared" si="13"/>
        <v>14.224</v>
      </c>
      <c r="T8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2" s="102" cm="1">
        <f t="array" ref="U842">IF(LS[[#This Row],[B/S]]="S",ABS(LS[[#This Row],[Unit]])*(INDEX(LS[NAV at Cost (Average)],MATCH(CONCATENATE((LS[[#This Row],[Frequency]]-1),LS[[#This Row],[Investor ID]]),LS[Unique Code],0),0)),0)</f>
        <v>0</v>
      </c>
      <c r="V842" s="102">
        <f>IF(LS[[#This Row],[BO TRANSFER]]="YES",LS[[#This Row],[Unit]],)</f>
        <v>0</v>
      </c>
      <c r="W842" s="102">
        <f>SUMIFS(LS[[#Headers],[BO UNIT TRANSFER]]:LS[[#This Row],[BO UNIT TRANSFER]],LS[[#Headers],[Investor ID]]:LS[[#This Row],[Investor ID]],LS[[#This Row],[Investor ID]])</f>
        <v>0</v>
      </c>
    </row>
    <row r="843" spans="1:23">
      <c r="A843" s="101">
        <v>2025</v>
      </c>
      <c r="B843" s="101">
        <v>2</v>
      </c>
      <c r="C843" s="101">
        <v>17</v>
      </c>
      <c r="D843" s="98">
        <f>DATE(LS[[#This Row],[Year]],LS[[#This Row],[Month]],LS[[#This Row],[Day]])</f>
        <v>45705</v>
      </c>
      <c r="E843" s="99" t="str" cm="1">
        <f t="array" ref="E843">INDEX(INVESTORS_LIST[INVESTOR NAME],MATCH(LS[[#This Row],[Investor ID]],INVESTORS_LIST[INVESTOR CODE],0),)</f>
        <v>RABIA AFROZA</v>
      </c>
      <c r="F843" s="97" t="s">
        <v>942</v>
      </c>
      <c r="G843" s="101">
        <f>COUNTIF(LS[[#Headers],[Investor ID]]:LS[[#This Row],[Investor ID]],LS[[#This Row],[Investor ID]])</f>
        <v>3</v>
      </c>
      <c r="H843" s="101" t="str">
        <f>CONCATENATE(LS[[#This Row],[Frequency]],LS[[#This Row],[Investor ID]])</f>
        <v>3A00448</v>
      </c>
      <c r="I843" s="75" t="str">
        <f>IF(LS[[#This Row],[B/S]]="B","BUY",(IF(LS[[#This Row],[B/S]]="S","SELL"," ")))</f>
        <v>BUY</v>
      </c>
      <c r="J843" s="101" t="s">
        <v>1229</v>
      </c>
      <c r="K843" s="102">
        <v>500000</v>
      </c>
      <c r="L843" s="99"/>
      <c r="M843" s="103">
        <f>LS[[#This Row],[Amount]]/LS[[#This Row],[Unit]]</f>
        <v>12.366136571612296</v>
      </c>
      <c r="N843" s="104">
        <f>LS[[#This Row],[Unit Capital]]/10</f>
        <v>40433</v>
      </c>
      <c r="O843" s="104">
        <f>SUMIFS(LS[[#Headers],[Unit]]:LS[[#This Row],[Unit]],LS[[#Headers],[Investor ID]]:LS[[#This Row],[Investor ID]],LS[[#This Row],[Investor ID]])</f>
        <v>236622</v>
      </c>
      <c r="P843" s="102">
        <v>404330</v>
      </c>
      <c r="Q843" s="102">
        <f>LS[[#This Row],[Amount]]-LS[[#This Row],[Unit Capital]]</f>
        <v>95670</v>
      </c>
      <c r="R8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10.565374310081058</v>
      </c>
      <c r="S843" s="103">
        <f t="shared" si="13"/>
        <v>14.224</v>
      </c>
      <c r="T84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3" s="102" cm="1">
        <f t="array" ref="U843">IF(LS[[#This Row],[B/S]]="S",ABS(LS[[#This Row],[Unit]])*(INDEX(LS[NAV at Cost (Average)],MATCH(CONCATENATE((LS[[#This Row],[Frequency]]-1),LS[[#This Row],[Investor ID]]),LS[Unique Code],0),0)),0)</f>
        <v>0</v>
      </c>
      <c r="V843" s="102">
        <f>IF(LS[[#This Row],[BO TRANSFER]]="YES",LS[[#This Row],[Unit]],)</f>
        <v>0</v>
      </c>
      <c r="W843" s="102">
        <f>SUMIFS(LS[[#Headers],[BO UNIT TRANSFER]]:LS[[#This Row],[BO UNIT TRANSFER]],LS[[#Headers],[Investor ID]]:LS[[#This Row],[Investor ID]],LS[[#This Row],[Investor ID]])</f>
        <v>0</v>
      </c>
    </row>
    <row r="844" spans="1:23">
      <c r="A844" s="101">
        <v>2025</v>
      </c>
      <c r="B844" s="101">
        <v>2</v>
      </c>
      <c r="C844" s="101">
        <v>18</v>
      </c>
      <c r="D844" s="98">
        <f>DATE(LS[[#This Row],[Year]],LS[[#This Row],[Month]],LS[[#This Row],[Day]])</f>
        <v>45706</v>
      </c>
      <c r="E844" s="99" t="str" cm="1">
        <f t="array" ref="E844">INDEX(INVESTORS_LIST[INVESTOR NAME],MATCH(LS[[#This Row],[Investor ID]],INVESTORS_LIST[INVESTOR CODE],0),)</f>
        <v>KHAN MUHAMMAD KAWSER AHMED</v>
      </c>
      <c r="F844" s="100" t="s">
        <v>944</v>
      </c>
      <c r="G844" s="101">
        <f>COUNTIF(LS[[#Headers],[Investor ID]]:LS[[#This Row],[Investor ID]],LS[[#This Row],[Investor ID]])</f>
        <v>21</v>
      </c>
      <c r="H844" s="101" t="str">
        <f>CONCATENATE(LS[[#This Row],[Frequency]],LS[[#This Row],[Investor ID]])</f>
        <v>21A00449</v>
      </c>
      <c r="I844" s="75" t="str">
        <f>IF(LS[[#This Row],[B/S]]="B","BUY",(IF(LS[[#This Row],[B/S]]="S","SELL"," ")))</f>
        <v>BUY</v>
      </c>
      <c r="J844" s="101" t="s">
        <v>1229</v>
      </c>
      <c r="K844" s="102">
        <v>3000000</v>
      </c>
      <c r="L844" s="99"/>
      <c r="M844" s="103">
        <f>LS[[#This Row],[Amount]]/LS[[#This Row],[Unit]]</f>
        <v>12.365983652169612</v>
      </c>
      <c r="N844" s="104">
        <f>LS[[#This Row],[Unit Capital]]/10</f>
        <v>242601</v>
      </c>
      <c r="O844" s="104">
        <f>SUMIFS(LS[[#Headers],[Unit]]:LS[[#This Row],[Unit]],LS[[#Headers],[Investor ID]]:LS[[#This Row],[Investor ID]],LS[[#This Row],[Investor ID]])</f>
        <v>12141140</v>
      </c>
      <c r="P844" s="102">
        <v>2426010</v>
      </c>
      <c r="Q844" s="102">
        <f>LS[[#This Row],[Amount]]-LS[[#This Row],[Unit Capital]]</f>
        <v>573990</v>
      </c>
      <c r="R8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11.798224112291525</v>
      </c>
      <c r="S844" s="103">
        <f t="shared" si="13"/>
        <v>14.224</v>
      </c>
      <c r="T84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4" s="102" cm="1">
        <f t="array" ref="U844">IF(LS[[#This Row],[B/S]]="S",ABS(LS[[#This Row],[Unit]])*(INDEX(LS[NAV at Cost (Average)],MATCH(CONCATENATE((LS[[#This Row],[Frequency]]-1),LS[[#This Row],[Investor ID]]),LS[Unique Code],0),0)),0)</f>
        <v>0</v>
      </c>
      <c r="V844" s="102">
        <f>IF(LS[[#This Row],[BO TRANSFER]]="YES",LS[[#This Row],[Unit]],)</f>
        <v>0</v>
      </c>
      <c r="W844" s="102">
        <f>SUMIFS(LS[[#Headers],[BO UNIT TRANSFER]]:LS[[#This Row],[BO UNIT TRANSFER]],LS[[#Headers],[Investor ID]]:LS[[#This Row],[Investor ID]],LS[[#This Row],[Investor ID]])</f>
        <v>0</v>
      </c>
    </row>
    <row r="845" spans="1:23">
      <c r="A845" s="101">
        <v>2025</v>
      </c>
      <c r="B845" s="101">
        <v>2</v>
      </c>
      <c r="C845" s="101">
        <v>18</v>
      </c>
      <c r="D845" s="98">
        <f>DATE(LS[[#This Row],[Year]],LS[[#This Row],[Month]],LS[[#This Row],[Day]])</f>
        <v>45706</v>
      </c>
      <c r="E845" s="99" t="str" cm="1">
        <f t="array" ref="E845">INDEX(INVESTORS_LIST[INVESTOR NAME],MATCH(LS[[#This Row],[Investor ID]],INVESTORS_LIST[INVESTOR CODE],0),)</f>
        <v>KAZI HABIBUR RAHMAN</v>
      </c>
      <c r="F845" s="100" t="s">
        <v>1114</v>
      </c>
      <c r="G845" s="101">
        <f>COUNTIF(LS[[#Headers],[Investor ID]]:LS[[#This Row],[Investor ID]],LS[[#This Row],[Investor ID]])</f>
        <v>26</v>
      </c>
      <c r="H845" s="101" t="str">
        <f>CONCATENATE(LS[[#This Row],[Frequency]],LS[[#This Row],[Investor ID]])</f>
        <v>26A00532</v>
      </c>
      <c r="I845" s="75" t="str">
        <f>IF(LS[[#This Row],[B/S]]="B","BUY",(IF(LS[[#This Row],[B/S]]="S","SELL"," ")))</f>
        <v>SELL</v>
      </c>
      <c r="J845" s="101" t="s">
        <v>1231</v>
      </c>
      <c r="K845" s="102">
        <v>-3500000</v>
      </c>
      <c r="L845" s="99"/>
      <c r="M845" s="103">
        <f>LS[[#This Row],[Amount]]/LS[[#This Row],[Unit]]</f>
        <v>12.366005497572729</v>
      </c>
      <c r="N845" s="104">
        <f>LS[[#This Row],[Unit Capital]]/10</f>
        <v>-283034</v>
      </c>
      <c r="O845" s="104">
        <f>SUMIFS(LS[[#Headers],[Unit]]:LS[[#This Row],[Unit]],LS[[#Headers],[Investor ID]]:LS[[#This Row],[Investor ID]],LS[[#This Row],[Investor ID]])</f>
        <v>319528</v>
      </c>
      <c r="P845" s="102">
        <v>-2830340</v>
      </c>
      <c r="Q845" s="102">
        <f>LS[[#This Row],[Amount]]-LS[[#This Row],[Unit Capital]]</f>
        <v>-669660</v>
      </c>
      <c r="R8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11.231178819969475</v>
      </c>
      <c r="S845" s="103">
        <f t="shared" si="13"/>
        <v>14.224</v>
      </c>
      <c r="T845" s="102">
        <f>IF(LS[[#This Row],[B/S]]="B",0,ABS(LS[[#This Row],[Unit]])*(LS[[#This Row],[NAV (Strike Rate)]]-INDEX(LS[NAV at Cost (Average)],MATCH(CONCATENATE(LS[[#This Row],[Frequency]]-1,LS[[#This Row],[Investor ID]]),LS[Unique Code],0),)))</f>
        <v>321194.53386875935</v>
      </c>
      <c r="U845" s="102" cm="1">
        <f t="array" ref="U845">IF(LS[[#This Row],[B/S]]="S",ABS(LS[[#This Row],[Unit]])*(INDEX(LS[NAV at Cost (Average)],MATCH(CONCATENATE((LS[[#This Row],[Frequency]]-1),LS[[#This Row],[Investor ID]]),LS[Unique Code],0),0)),0)</f>
        <v>3178805.4661312406</v>
      </c>
      <c r="V845" s="102">
        <f>IF(LS[[#This Row],[BO TRANSFER]]="YES",LS[[#This Row],[Unit]],)</f>
        <v>0</v>
      </c>
      <c r="W845" s="102">
        <f>SUMIFS(LS[[#Headers],[BO UNIT TRANSFER]]:LS[[#This Row],[BO UNIT TRANSFER]],LS[[#Headers],[Investor ID]]:LS[[#This Row],[Investor ID]],LS[[#This Row],[Investor ID]])</f>
        <v>0</v>
      </c>
    </row>
    <row r="846" spans="1:23">
      <c r="A846" s="101">
        <v>2025</v>
      </c>
      <c r="B846" s="101">
        <v>2</v>
      </c>
      <c r="C846" s="101">
        <v>19</v>
      </c>
      <c r="D846" s="98">
        <f>DATE(LS[[#This Row],[Year]],LS[[#This Row],[Month]],LS[[#This Row],[Day]])</f>
        <v>45707</v>
      </c>
      <c r="E846" s="99" t="str" cm="1">
        <f t="array" ref="E846">INDEX(INVESTORS_LIST[INVESTOR NAME],MATCH(LS[[#This Row],[Investor ID]],INVESTORS_LIST[INVESTOR CODE],0),)</f>
        <v>MD. MUSTAFA KAMAL</v>
      </c>
      <c r="F846" s="100" t="s">
        <v>1300</v>
      </c>
      <c r="G846" s="101">
        <f>COUNTIF(LS[[#Headers],[Investor ID]]:LS[[#This Row],[Investor ID]],LS[[#This Row],[Investor ID]])</f>
        <v>3</v>
      </c>
      <c r="H846" s="101" t="str">
        <f>CONCATENATE(LS[[#This Row],[Frequency]],LS[[#This Row],[Investor ID]])</f>
        <v>3A00597</v>
      </c>
      <c r="I846" s="75" t="str">
        <f>IF(LS[[#This Row],[B/S]]="B","BUY",(IF(LS[[#This Row],[B/S]]="S","SELL"," ")))</f>
        <v>BUY</v>
      </c>
      <c r="J846" s="101" t="s">
        <v>1229</v>
      </c>
      <c r="K846" s="102">
        <v>300000</v>
      </c>
      <c r="L846" s="99"/>
      <c r="M846" s="103">
        <f>LS[[#This Row],[Amount]]/LS[[#This Row],[Unit]]</f>
        <v>12.366034624896949</v>
      </c>
      <c r="N846" s="104">
        <f>LS[[#This Row],[Unit Capital]]/10</f>
        <v>24260</v>
      </c>
      <c r="O846" s="104">
        <f>SUMIFS(LS[[#Headers],[Unit]]:LS[[#This Row],[Unit]],LS[[#Headers],[Investor ID]]:LS[[#This Row],[Investor ID]],LS[[#This Row],[Investor ID]])</f>
        <v>62575</v>
      </c>
      <c r="P846" s="102">
        <v>242600</v>
      </c>
      <c r="Q846" s="102">
        <f>LS[[#This Row],[Amount]]-LS[[#This Row],[Unit Capital]]</f>
        <v>57400</v>
      </c>
      <c r="R8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11.985617259288855</v>
      </c>
      <c r="S846" s="103">
        <f t="shared" si="13"/>
        <v>14.224</v>
      </c>
      <c r="T8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6" s="102" cm="1">
        <f t="array" ref="U846">IF(LS[[#This Row],[B/S]]="S",ABS(LS[[#This Row],[Unit]])*(INDEX(LS[NAV at Cost (Average)],MATCH(CONCATENATE((LS[[#This Row],[Frequency]]-1),LS[[#This Row],[Investor ID]]),LS[Unique Code],0),0)),0)</f>
        <v>0</v>
      </c>
      <c r="V846" s="102">
        <f>IF(LS[[#This Row],[BO TRANSFER]]="YES",LS[[#This Row],[Unit]],)</f>
        <v>0</v>
      </c>
      <c r="W846" s="102">
        <f>SUMIFS(LS[[#Headers],[BO UNIT TRANSFER]]:LS[[#This Row],[BO UNIT TRANSFER]],LS[[#Headers],[Investor ID]]:LS[[#This Row],[Investor ID]],LS[[#This Row],[Investor ID]])</f>
        <v>0</v>
      </c>
    </row>
    <row r="847" spans="1:23">
      <c r="A847" s="101">
        <v>2025</v>
      </c>
      <c r="B847" s="101">
        <v>2</v>
      </c>
      <c r="C847" s="101">
        <v>19</v>
      </c>
      <c r="D847" s="98">
        <f>DATE(LS[[#This Row],[Year]],LS[[#This Row],[Month]],LS[[#This Row],[Day]])</f>
        <v>45707</v>
      </c>
      <c r="E847" s="99" t="str" cm="1">
        <f t="array" ref="E847">INDEX(INVESTORS_LIST[INVESTOR NAME],MATCH(LS[[#This Row],[Investor ID]],INVESTORS_LIST[INVESTOR CODE],0),)</f>
        <v>MD. ARIFUL ISLAM</v>
      </c>
      <c r="F847" s="100" t="s">
        <v>222</v>
      </c>
      <c r="G847" s="101">
        <f>COUNTIF(LS[[#Headers],[Investor ID]]:LS[[#This Row],[Investor ID]],LS[[#This Row],[Investor ID]])</f>
        <v>1</v>
      </c>
      <c r="H847" s="101" t="str">
        <f>CONCATENATE(LS[[#This Row],[Frequency]],LS[[#This Row],[Investor ID]])</f>
        <v>1A00087</v>
      </c>
      <c r="I847" s="75" t="str">
        <f>IF(LS[[#This Row],[B/S]]="B","BUY",(IF(LS[[#This Row],[B/S]]="S","SELL"," ")))</f>
        <v>BUY</v>
      </c>
      <c r="J847" s="101" t="s">
        <v>1229</v>
      </c>
      <c r="K847" s="102">
        <v>250000</v>
      </c>
      <c r="L847" s="99"/>
      <c r="M847" s="103">
        <f>LS[[#This Row],[Amount]]/LS[[#This Row],[Unit]]</f>
        <v>12.36583073650888</v>
      </c>
      <c r="N847" s="104">
        <f>LS[[#This Row],[Unit Capital]]/10</f>
        <v>20217</v>
      </c>
      <c r="O847" s="104">
        <f>SUMIFS(LS[[#Headers],[Unit]]:LS[[#This Row],[Unit]],LS[[#Headers],[Investor ID]]:LS[[#This Row],[Investor ID]],LS[[#This Row],[Investor ID]])</f>
        <v>20217</v>
      </c>
      <c r="P847" s="102">
        <v>202170</v>
      </c>
      <c r="Q847" s="102">
        <f>LS[[#This Row],[Amount]]-LS[[#This Row],[Unit Capital]]</f>
        <v>47830</v>
      </c>
      <c r="R8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12.36583073650888</v>
      </c>
      <c r="S847" s="103">
        <f t="shared" si="13"/>
        <v>14.224</v>
      </c>
      <c r="T84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7" s="102" cm="1">
        <f t="array" ref="U847">IF(LS[[#This Row],[B/S]]="S",ABS(LS[[#This Row],[Unit]])*(INDEX(LS[NAV at Cost (Average)],MATCH(CONCATENATE((LS[[#This Row],[Frequency]]-1),LS[[#This Row],[Investor ID]]),LS[Unique Code],0),0)),0)</f>
        <v>0</v>
      </c>
      <c r="V847" s="102">
        <f>IF(LS[[#This Row],[BO TRANSFER]]="YES",LS[[#This Row],[Unit]],)</f>
        <v>0</v>
      </c>
      <c r="W847" s="102">
        <f>SUMIFS(LS[[#Headers],[BO UNIT TRANSFER]]:LS[[#This Row],[BO UNIT TRANSFER]],LS[[#Headers],[Investor ID]]:LS[[#This Row],[Investor ID]],LS[[#This Row],[Investor ID]])</f>
        <v>0</v>
      </c>
    </row>
    <row r="848" spans="1:23">
      <c r="A848" s="101">
        <v>2025</v>
      </c>
      <c r="B848" s="101">
        <v>2</v>
      </c>
      <c r="C848" s="101">
        <v>19</v>
      </c>
      <c r="D848" s="98">
        <f>DATE(LS[[#This Row],[Year]],LS[[#This Row],[Month]],LS[[#This Row],[Day]])</f>
        <v>45707</v>
      </c>
      <c r="E848" s="99" t="str" cm="1">
        <f t="array" ref="E848">INDEX(INVESTORS_LIST[INVESTOR NAME],MATCH(LS[[#This Row],[Investor ID]],INVESTORS_LIST[INVESTOR CODE],0),)</f>
        <v>ROBIUL KHAN</v>
      </c>
      <c r="F848" s="100" t="s">
        <v>1308</v>
      </c>
      <c r="G848" s="101">
        <f>COUNTIF(LS[[#Headers],[Investor ID]]:LS[[#This Row],[Investor ID]],LS[[#This Row],[Investor ID]])</f>
        <v>1</v>
      </c>
      <c r="H848" s="101" t="str">
        <f>CONCATENATE(LS[[#This Row],[Frequency]],LS[[#This Row],[Investor ID]])</f>
        <v>1A00603</v>
      </c>
      <c r="I848" s="75" t="str">
        <f>IF(LS[[#This Row],[B/S]]="B","BUY",(IF(LS[[#This Row],[B/S]]="S","SELL"," ")))</f>
        <v>BUY</v>
      </c>
      <c r="J848" s="101" t="s">
        <v>1229</v>
      </c>
      <c r="K848" s="102">
        <v>200000</v>
      </c>
      <c r="L848" s="99"/>
      <c r="M848" s="103">
        <f>LS[[#This Row],[Amount]]/LS[[#This Row],[Unit]]</f>
        <v>12.366289494837075</v>
      </c>
      <c r="N848" s="104">
        <f>LS[[#This Row],[Unit Capital]]/10</f>
        <v>16173</v>
      </c>
      <c r="O848" s="104">
        <f>SUMIFS(LS[[#Headers],[Unit]]:LS[[#This Row],[Unit]],LS[[#Headers],[Investor ID]]:LS[[#This Row],[Investor ID]],LS[[#This Row],[Investor ID]])</f>
        <v>16173</v>
      </c>
      <c r="P848" s="102">
        <v>161730</v>
      </c>
      <c r="Q848" s="102">
        <f>LS[[#This Row],[Amount]]-LS[[#This Row],[Unit Capital]]</f>
        <v>38270</v>
      </c>
      <c r="R8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12.366289494837075</v>
      </c>
      <c r="S848" s="103">
        <f t="shared" si="13"/>
        <v>14.224</v>
      </c>
      <c r="T8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8" s="102" cm="1">
        <f t="array" ref="U848">IF(LS[[#This Row],[B/S]]="S",ABS(LS[[#This Row],[Unit]])*(INDEX(LS[NAV at Cost (Average)],MATCH(CONCATENATE((LS[[#This Row],[Frequency]]-1),LS[[#This Row],[Investor ID]]),LS[Unique Code],0),0)),0)</f>
        <v>0</v>
      </c>
      <c r="V848" s="102">
        <f>IF(LS[[#This Row],[BO TRANSFER]]="YES",LS[[#This Row],[Unit]],)</f>
        <v>0</v>
      </c>
      <c r="W848" s="102">
        <f>SUMIFS(LS[[#Headers],[BO UNIT TRANSFER]]:LS[[#This Row],[BO UNIT TRANSFER]],LS[[#Headers],[Investor ID]]:LS[[#This Row],[Investor ID]],LS[[#This Row],[Investor ID]])</f>
        <v>0</v>
      </c>
    </row>
    <row r="849" spans="1:23">
      <c r="A849" s="101">
        <v>2025</v>
      </c>
      <c r="B849" s="101">
        <v>2</v>
      </c>
      <c r="C849" s="101">
        <v>19</v>
      </c>
      <c r="D849" s="98">
        <f>DATE(LS[[#This Row],[Year]],LS[[#This Row],[Month]],LS[[#This Row],[Day]])</f>
        <v>45707</v>
      </c>
      <c r="E849" s="99" t="str" cm="1">
        <f t="array" ref="E849">INDEX(INVESTORS_LIST[INVESTOR NAME],MATCH(LS[[#This Row],[Investor ID]],INVESTORS_LIST[INVESTOR CODE],0),)</f>
        <v>LANKABANGLA INVESTMENTS LIMITED</v>
      </c>
      <c r="F849" s="100" t="s">
        <v>1307</v>
      </c>
      <c r="G849" s="101">
        <f>COUNTIF(LS[[#Headers],[Investor ID]]:LS[[#This Row],[Investor ID]],LS[[#This Row],[Investor ID]])</f>
        <v>2</v>
      </c>
      <c r="H849" s="101" t="str">
        <f>CONCATENATE(LS[[#This Row],[Frequency]],LS[[#This Row],[Investor ID]])</f>
        <v>2A00601</v>
      </c>
      <c r="I849" s="75" t="str">
        <f>IF(LS[[#This Row],[B/S]]="B","BUY",(IF(LS[[#This Row],[B/S]]="S","SELL"," ")))</f>
        <v>BUY</v>
      </c>
      <c r="J849" s="101" t="s">
        <v>1229</v>
      </c>
      <c r="K849" s="102">
        <v>10000000</v>
      </c>
      <c r="L849" s="99"/>
      <c r="M849" s="103">
        <f>LS[[#This Row],[Amount]]/LS[[#This Row],[Unit]]</f>
        <v>12.365998943943691</v>
      </c>
      <c r="N849" s="104">
        <f>LS[[#This Row],[Unit Capital]]/10</f>
        <v>808669</v>
      </c>
      <c r="O849" s="104">
        <f>SUMIFS(LS[[#Headers],[Unit]]:LS[[#This Row],[Unit]],LS[[#Headers],[Investor ID]]:LS[[#This Row],[Investor ID]],LS[[#This Row],[Investor ID]])</f>
        <v>1640893</v>
      </c>
      <c r="P849" s="102">
        <v>8086690</v>
      </c>
      <c r="Q849" s="102">
        <f>LS[[#This Row],[Amount]]-LS[[#This Row],[Unit Capital]]</f>
        <v>1913310</v>
      </c>
      <c r="R8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12.188485172403077</v>
      </c>
      <c r="S849" s="103">
        <f t="shared" si="13"/>
        <v>14.224</v>
      </c>
      <c r="T8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49" s="102" cm="1">
        <f t="array" ref="U849">IF(LS[[#This Row],[B/S]]="S",ABS(LS[[#This Row],[Unit]])*(INDEX(LS[NAV at Cost (Average)],MATCH(CONCATENATE((LS[[#This Row],[Frequency]]-1),LS[[#This Row],[Investor ID]]),LS[Unique Code],0),0)),0)</f>
        <v>0</v>
      </c>
      <c r="V849" s="102">
        <f>IF(LS[[#This Row],[BO TRANSFER]]="YES",LS[[#This Row],[Unit]],)</f>
        <v>0</v>
      </c>
      <c r="W849" s="102">
        <f>SUMIFS(LS[[#Headers],[BO UNIT TRANSFER]]:LS[[#This Row],[BO UNIT TRANSFER]],LS[[#Headers],[Investor ID]]:LS[[#This Row],[Investor ID]],LS[[#This Row],[Investor ID]])</f>
        <v>0</v>
      </c>
    </row>
    <row r="850" spans="1:23">
      <c r="A850" s="101">
        <v>2025</v>
      </c>
      <c r="B850" s="101">
        <v>2</v>
      </c>
      <c r="C850" s="101">
        <v>23</v>
      </c>
      <c r="D850" s="98">
        <f>DATE(LS[[#This Row],[Year]],LS[[#This Row],[Month]],LS[[#This Row],[Day]])</f>
        <v>45711</v>
      </c>
      <c r="E850" s="99" t="str" cm="1">
        <f t="array" ref="E850">INDEX(INVESTORS_LIST[INVESTOR NAME],MATCH(LS[[#This Row],[Investor ID]],INVESTORS_LIST[INVESTOR CODE],0),)</f>
        <v>3A &amp; COMPANY LTD.</v>
      </c>
      <c r="F850" s="100" t="s">
        <v>1113</v>
      </c>
      <c r="G850" s="101">
        <f>COUNTIF(LS[[#Headers],[Investor ID]]:LS[[#This Row],[Investor ID]],LS[[#This Row],[Investor ID]])</f>
        <v>2</v>
      </c>
      <c r="H850" s="101" t="str">
        <f>CONCATENATE(LS[[#This Row],[Frequency]],LS[[#This Row],[Investor ID]])</f>
        <v>2A00531</v>
      </c>
      <c r="I850" s="75" t="str">
        <f>IF(LS[[#This Row],[B/S]]="B","BUY",(IF(LS[[#This Row],[B/S]]="S","SELL"," ")))</f>
        <v>SELL</v>
      </c>
      <c r="J850" s="101" t="s">
        <v>1231</v>
      </c>
      <c r="K850" s="102">
        <v>-5845856.6699999999</v>
      </c>
      <c r="L850" s="99"/>
      <c r="M850" s="103">
        <f>LS[[#This Row],[Amount]]/LS[[#This Row],[Unit]]</f>
        <v>12.681999991322401</v>
      </c>
      <c r="N850" s="104">
        <f>LS[[#This Row],[Unit Capital]]/10</f>
        <v>-460957</v>
      </c>
      <c r="O850" s="104">
        <f>SUMIFS(LS[[#Headers],[Unit]]:LS[[#This Row],[Unit]],LS[[#Headers],[Investor ID]]:LS[[#This Row],[Investor ID]],LS[[#This Row],[Investor ID]])</f>
        <v>0</v>
      </c>
      <c r="P850" s="102">
        <v>-4609570</v>
      </c>
      <c r="Q850" s="102">
        <f>LS[[#This Row],[Amount]]-LS[[#This Row],[Unit Capital]]</f>
        <v>-1236286.67</v>
      </c>
      <c r="R8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50" s="103">
        <f t="shared" si="13"/>
        <v>14.224</v>
      </c>
      <c r="T850" s="102">
        <f>IF(LS[[#This Row],[B/S]]="B",0,ABS(LS[[#This Row],[Unit]])*(LS[[#This Row],[NAV (Strike Rate)]]-INDEX(LS[NAV at Cost (Average)],MATCH(CONCATENATE(LS[[#This Row],[Frequency]]-1,LS[[#This Row],[Investor ID]]),LS[Unique Code],0),)))</f>
        <v>845856.67000000016</v>
      </c>
      <c r="U850" s="102" cm="1">
        <f t="array" ref="U850">IF(LS[[#This Row],[B/S]]="S",ABS(LS[[#This Row],[Unit]])*(INDEX(LS[NAV at Cost (Average)],MATCH(CONCATENATE((LS[[#This Row],[Frequency]]-1),LS[[#This Row],[Investor ID]]),LS[Unique Code],0),0)),0)</f>
        <v>5000000</v>
      </c>
      <c r="V850" s="102">
        <f>IF(LS[[#This Row],[BO TRANSFER]]="YES",LS[[#This Row],[Unit]],)</f>
        <v>0</v>
      </c>
      <c r="W850" s="102">
        <f>SUMIFS(LS[[#Headers],[BO UNIT TRANSFER]]:LS[[#This Row],[BO UNIT TRANSFER]],LS[[#Headers],[Investor ID]]:LS[[#This Row],[Investor ID]],LS[[#This Row],[Investor ID]])</f>
        <v>0</v>
      </c>
    </row>
    <row r="851" spans="1:23">
      <c r="A851" s="101">
        <v>2025</v>
      </c>
      <c r="B851" s="101">
        <v>2</v>
      </c>
      <c r="C851" s="101">
        <v>23</v>
      </c>
      <c r="D851" s="98">
        <f>DATE(LS[[#This Row],[Year]],LS[[#This Row],[Month]],LS[[#This Row],[Day]])</f>
        <v>45711</v>
      </c>
      <c r="E851" s="99" t="str" cm="1">
        <f t="array" ref="E851">INDEX(INVESTORS_LIST[INVESTOR NAME],MATCH(LS[[#This Row],[Investor ID]],INVESTORS_LIST[INVESTOR CODE],0),)</f>
        <v>KHURRAM ALAMGIR</v>
      </c>
      <c r="F851" s="100" t="s">
        <v>1314</v>
      </c>
      <c r="G851" s="101">
        <f>COUNTIF(LS[[#Headers],[Investor ID]]:LS[[#This Row],[Investor ID]],LS[[#This Row],[Investor ID]])</f>
        <v>1</v>
      </c>
      <c r="H851" s="101" t="str">
        <f>CONCATENATE(LS[[#This Row],[Frequency]],LS[[#This Row],[Investor ID]])</f>
        <v>1A00604</v>
      </c>
      <c r="I851" s="75" t="str">
        <f>IF(LS[[#This Row],[B/S]]="B","BUY",(IF(LS[[#This Row],[B/S]]="S","SELL"," ")))</f>
        <v>BUY</v>
      </c>
      <c r="J851" s="101" t="s">
        <v>1229</v>
      </c>
      <c r="K851" s="102">
        <v>2500000</v>
      </c>
      <c r="L851" s="99"/>
      <c r="M851" s="103">
        <f>LS[[#This Row],[Amount]]/LS[[#This Row],[Unit]]</f>
        <v>12.681986506366357</v>
      </c>
      <c r="N851" s="104">
        <f>LS[[#This Row],[Unit Capital]]/10</f>
        <v>197130</v>
      </c>
      <c r="O851" s="104">
        <f>SUMIFS(LS[[#Headers],[Unit]]:LS[[#This Row],[Unit]],LS[[#Headers],[Investor ID]]:LS[[#This Row],[Investor ID]],LS[[#This Row],[Investor ID]])</f>
        <v>197130</v>
      </c>
      <c r="P851" s="102">
        <v>1971300</v>
      </c>
      <c r="Q851" s="102">
        <f>LS[[#This Row],[Amount]]-LS[[#This Row],[Unit Capital]]</f>
        <v>528700</v>
      </c>
      <c r="R8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12.681986506366357</v>
      </c>
      <c r="S851" s="103">
        <f t="shared" si="13"/>
        <v>14.224</v>
      </c>
      <c r="T8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1" s="102" cm="1">
        <f t="array" ref="U851">IF(LS[[#This Row],[B/S]]="S",ABS(LS[[#This Row],[Unit]])*(INDEX(LS[NAV at Cost (Average)],MATCH(CONCATENATE((LS[[#This Row],[Frequency]]-1),LS[[#This Row],[Investor ID]]),LS[Unique Code],0),0)),0)</f>
        <v>0</v>
      </c>
      <c r="V851" s="102">
        <f>IF(LS[[#This Row],[BO TRANSFER]]="YES",LS[[#This Row],[Unit]],)</f>
        <v>0</v>
      </c>
      <c r="W851" s="102">
        <f>SUMIFS(LS[[#Headers],[BO UNIT TRANSFER]]:LS[[#This Row],[BO UNIT TRANSFER]],LS[[#Headers],[Investor ID]]:LS[[#This Row],[Investor ID]],LS[[#This Row],[Investor ID]])</f>
        <v>0</v>
      </c>
    </row>
    <row r="852" spans="1:23">
      <c r="A852" s="101">
        <v>2025</v>
      </c>
      <c r="B852" s="101">
        <v>2</v>
      </c>
      <c r="C852" s="101">
        <v>25</v>
      </c>
      <c r="D852" s="98">
        <f>DATE(LS[[#This Row],[Year]],LS[[#This Row],[Month]],LS[[#This Row],[Day]])</f>
        <v>45713</v>
      </c>
      <c r="E852" s="99" t="str" cm="1">
        <f t="array" ref="E852">INDEX(INVESTORS_LIST[INVESTOR NAME],MATCH(LS[[#This Row],[Investor ID]],INVESTORS_LIST[INVESTOR CODE],0),)</f>
        <v>FARZANA JITU</v>
      </c>
      <c r="F852" s="100" t="s">
        <v>968</v>
      </c>
      <c r="G852" s="101">
        <f>COUNTIF(LS[[#Headers],[Investor ID]]:LS[[#This Row],[Investor ID]],LS[[#This Row],[Investor ID]])</f>
        <v>21</v>
      </c>
      <c r="H852" s="101" t="str">
        <f>CONCATENATE(LS[[#This Row],[Frequency]],LS[[#This Row],[Investor ID]])</f>
        <v>21A00461</v>
      </c>
      <c r="I852" s="75" t="str">
        <f>IF(LS[[#This Row],[B/S]]="B","BUY",(IF(LS[[#This Row],[B/S]]="S","SELL"," ")))</f>
        <v>BUY</v>
      </c>
      <c r="J852" s="101" t="s">
        <v>1229</v>
      </c>
      <c r="K852" s="102">
        <v>45000</v>
      </c>
      <c r="L852" s="88"/>
      <c r="M852" s="103">
        <f>LS[[#This Row],[Amount]]/LS[[#This Row],[Unit]]</f>
        <v>12.683201803833146</v>
      </c>
      <c r="N852" s="104">
        <f>LS[[#This Row],[Unit Capital]]/10</f>
        <v>3548</v>
      </c>
      <c r="O852" s="104">
        <f>SUMIFS(LS[[#Headers],[Unit]]:LS[[#This Row],[Unit]],LS[[#Headers],[Investor ID]]:LS[[#This Row],[Investor ID]],LS[[#This Row],[Investor ID]])</f>
        <v>32186</v>
      </c>
      <c r="P852" s="102">
        <v>35480</v>
      </c>
      <c r="Q852" s="102">
        <f>LS[[#This Row],[Amount]]-LS[[#This Row],[Unit Capital]]</f>
        <v>9520</v>
      </c>
      <c r="R8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11.73048163864515</v>
      </c>
      <c r="S852" s="103">
        <f t="shared" si="13"/>
        <v>14.224</v>
      </c>
      <c r="T85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2" s="102" cm="1">
        <f t="array" ref="U852">IF(LS[[#This Row],[B/S]]="S",ABS(LS[[#This Row],[Unit]])*(INDEX(LS[NAV at Cost (Average)],MATCH(CONCATENATE((LS[[#This Row],[Frequency]]-1),LS[[#This Row],[Investor ID]]),LS[Unique Code],0),0)),0)</f>
        <v>0</v>
      </c>
      <c r="V852" s="102">
        <f>IF(LS[[#This Row],[BO TRANSFER]]="YES",LS[[#This Row],[Unit]],)</f>
        <v>0</v>
      </c>
      <c r="W852" s="102">
        <f>SUMIFS(LS[[#Headers],[BO UNIT TRANSFER]]:LS[[#This Row],[BO UNIT TRANSFER]],LS[[#Headers],[Investor ID]]:LS[[#This Row],[Investor ID]],LS[[#This Row],[Investor ID]])</f>
        <v>0</v>
      </c>
    </row>
    <row r="853" spans="1:23">
      <c r="A853" s="101">
        <v>2025</v>
      </c>
      <c r="B853" s="101">
        <v>2</v>
      </c>
      <c r="C853" s="101">
        <v>26</v>
      </c>
      <c r="D853" s="98">
        <f>DATE(LS[[#This Row],[Year]],LS[[#This Row],[Month]],LS[[#This Row],[Day]])</f>
        <v>45714</v>
      </c>
      <c r="E853" s="99" t="str" cm="1">
        <f t="array" ref="E853">INDEX(INVESTORS_LIST[INVESTOR NAME],MATCH(LS[[#This Row],[Investor ID]],INVESTORS_LIST[INVESTOR CODE],0),)</f>
        <v>KHAN MUHAMMAD KAWSER AHMED</v>
      </c>
      <c r="F853" s="100" t="s">
        <v>944</v>
      </c>
      <c r="G853" s="101">
        <f>COUNTIF(LS[[#Headers],[Investor ID]]:LS[[#This Row],[Investor ID]],LS[[#This Row],[Investor ID]])</f>
        <v>22</v>
      </c>
      <c r="H853" s="101" t="str">
        <f>CONCATENATE(LS[[#This Row],[Frequency]],LS[[#This Row],[Investor ID]])</f>
        <v>22A00449</v>
      </c>
      <c r="I853" s="75" t="str">
        <f>IF(LS[[#This Row],[B/S]]="B","BUY",(IF(LS[[#This Row],[B/S]]="S","SELL"," ")))</f>
        <v>SELL</v>
      </c>
      <c r="J853" s="101" t="s">
        <v>1231</v>
      </c>
      <c r="K853" s="102">
        <v>-15000000</v>
      </c>
      <c r="L853" s="99"/>
      <c r="M853" s="103">
        <f>LS[[#This Row],[Amount]]/LS[[#This Row],[Unit]]</f>
        <v>12.681997228560872</v>
      </c>
      <c r="N853" s="104">
        <f>LS[[#This Row],[Unit Capital]]/10</f>
        <v>-1182779</v>
      </c>
      <c r="O853" s="104">
        <f>SUMIFS(LS[[#Headers],[Unit]]:LS[[#This Row],[Unit]],LS[[#Headers],[Investor ID]]:LS[[#This Row],[Investor ID]],LS[[#This Row],[Investor ID]])</f>
        <v>10958361</v>
      </c>
      <c r="P853" s="102">
        <v>-11827790</v>
      </c>
      <c r="Q853" s="102">
        <f>LS[[#This Row],[Amount]]-LS[[#This Row],[Unit Capital]]</f>
        <v>-3172210</v>
      </c>
      <c r="R8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11.798224112291525</v>
      </c>
      <c r="S853" s="103">
        <f t="shared" si="13"/>
        <v>14.224</v>
      </c>
      <c r="T853" s="102">
        <f>IF(LS[[#This Row],[B/S]]="B",0,ABS(LS[[#This Row],[Unit]])*(LS[[#This Row],[NAV (Strike Rate)]]-INDEX(LS[NAV at Cost (Average)],MATCH(CONCATENATE(LS[[#This Row],[Frequency]]-1,LS[[#This Row],[Investor ID]]),LS[Unique Code],0),)))</f>
        <v>1045308.2826879427</v>
      </c>
      <c r="U853" s="102" cm="1">
        <f t="array" ref="U853">IF(LS[[#This Row],[B/S]]="S",ABS(LS[[#This Row],[Unit]])*(INDEX(LS[NAV at Cost (Average)],MATCH(CONCATENATE((LS[[#This Row],[Frequency]]-1),LS[[#This Row],[Investor ID]]),LS[Unique Code],0),0)),0)</f>
        <v>13954691.717312057</v>
      </c>
      <c r="V853" s="102">
        <f>IF(LS[[#This Row],[BO TRANSFER]]="YES",LS[[#This Row],[Unit]],)</f>
        <v>0</v>
      </c>
      <c r="W853" s="102">
        <f>SUMIFS(LS[[#Headers],[BO UNIT TRANSFER]]:LS[[#This Row],[BO UNIT TRANSFER]],LS[[#Headers],[Investor ID]]:LS[[#This Row],[Investor ID]],LS[[#This Row],[Investor ID]])</f>
        <v>0</v>
      </c>
    </row>
    <row r="854" spans="1:23">
      <c r="A854" s="101">
        <v>2025</v>
      </c>
      <c r="B854" s="101">
        <v>2</v>
      </c>
      <c r="C854" s="101">
        <v>26</v>
      </c>
      <c r="D854" s="98">
        <f>DATE(LS[[#This Row],[Year]],LS[[#This Row],[Month]],LS[[#This Row],[Day]])</f>
        <v>45714</v>
      </c>
      <c r="E854" s="99" t="str" cm="1">
        <f t="array" ref="E854">INDEX(INVESTORS_LIST[INVESTOR NAME],MATCH(LS[[#This Row],[Investor ID]],INVESTORS_LIST[INVESTOR CODE],0),)</f>
        <v>KHAN MUHAMMAD KAWSER AHMED</v>
      </c>
      <c r="F854" s="100" t="s">
        <v>944</v>
      </c>
      <c r="G854" s="101">
        <f>COUNTIF(LS[[#Headers],[Investor ID]]:LS[[#This Row],[Investor ID]],LS[[#This Row],[Investor ID]])</f>
        <v>23</v>
      </c>
      <c r="H854" s="101" t="str">
        <f>CONCATENATE(LS[[#This Row],[Frequency]],LS[[#This Row],[Investor ID]])</f>
        <v>23A00449</v>
      </c>
      <c r="I854" s="75" t="str">
        <f>IF(LS[[#This Row],[B/S]]="B","BUY",(IF(LS[[#This Row],[B/S]]="S","SELL"," ")))</f>
        <v>BUY</v>
      </c>
      <c r="J854" s="101" t="s">
        <v>1229</v>
      </c>
      <c r="K854" s="102">
        <v>10000000</v>
      </c>
      <c r="L854" s="99"/>
      <c r="M854" s="103">
        <f>LS[[#This Row],[Amount]]/LS[[#This Row],[Unit]]</f>
        <v>12.682002589664929</v>
      </c>
      <c r="N854" s="104">
        <f>LS[[#This Row],[Unit Capital]]/10</f>
        <v>788519</v>
      </c>
      <c r="O854" s="104">
        <f>SUMIFS(LS[[#Headers],[Unit]]:LS[[#This Row],[Unit]],LS[[#Headers],[Investor ID]]:LS[[#This Row],[Investor ID]],LS[[#This Row],[Investor ID]])</f>
        <v>11746880</v>
      </c>
      <c r="P854" s="102">
        <v>7885190</v>
      </c>
      <c r="Q854" s="102">
        <f>LS[[#This Row],[Amount]]-LS[[#This Row],[Unit Capital]]</f>
        <v>2114810</v>
      </c>
      <c r="R8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11.85754847086163</v>
      </c>
      <c r="S854" s="103">
        <f t="shared" si="13"/>
        <v>14.224</v>
      </c>
      <c r="T8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4" s="102" cm="1">
        <f t="array" ref="U854">IF(LS[[#This Row],[B/S]]="S",ABS(LS[[#This Row],[Unit]])*(INDEX(LS[NAV at Cost (Average)],MATCH(CONCATENATE((LS[[#This Row],[Frequency]]-1),LS[[#This Row],[Investor ID]]),LS[Unique Code],0),0)),0)</f>
        <v>0</v>
      </c>
      <c r="V854" s="102">
        <f>IF(LS[[#This Row],[BO TRANSFER]]="YES",LS[[#This Row],[Unit]],)</f>
        <v>0</v>
      </c>
      <c r="W854" s="102">
        <f>SUMIFS(LS[[#Headers],[BO UNIT TRANSFER]]:LS[[#This Row],[BO UNIT TRANSFER]],LS[[#Headers],[Investor ID]]:LS[[#This Row],[Investor ID]],LS[[#This Row],[Investor ID]])</f>
        <v>0</v>
      </c>
    </row>
    <row r="855" spans="1:23">
      <c r="A855" s="101">
        <v>2025</v>
      </c>
      <c r="B855" s="101">
        <v>2</v>
      </c>
      <c r="C855" s="101">
        <v>27</v>
      </c>
      <c r="D855" s="98">
        <f>DATE(LS[[#This Row],[Year]],LS[[#This Row],[Month]],LS[[#This Row],[Day]])</f>
        <v>45715</v>
      </c>
      <c r="E855" s="99" t="str" cm="1">
        <f t="array" ref="E855">INDEX(INVESTORS_LIST[INVESTOR NAME],MATCH(LS[[#This Row],[Investor ID]],INVESTORS_LIST[INVESTOR CODE],0),)</f>
        <v>KHAN MUHAMMAD KAWSER AHMED</v>
      </c>
      <c r="F855" s="100" t="s">
        <v>944</v>
      </c>
      <c r="G855" s="101">
        <f>COUNTIF(LS[[#Headers],[Investor ID]]:LS[[#This Row],[Investor ID]],LS[[#This Row],[Investor ID]])</f>
        <v>24</v>
      </c>
      <c r="H855" s="101" t="str">
        <f>CONCATENATE(LS[[#This Row],[Frequency]],LS[[#This Row],[Investor ID]])</f>
        <v>24A00449</v>
      </c>
      <c r="I855" s="75" t="str">
        <f>IF(LS[[#This Row],[B/S]]="B","BUY",(IF(LS[[#This Row],[B/S]]="S","SELL"," ")))</f>
        <v>BUY</v>
      </c>
      <c r="J855" s="101" t="s">
        <v>1229</v>
      </c>
      <c r="K855" s="102">
        <v>2500000</v>
      </c>
      <c r="L855" s="99"/>
      <c r="M855" s="103">
        <f>LS[[#This Row],[Amount]]/LS[[#This Row],[Unit]]</f>
        <v>12.681986506366357</v>
      </c>
      <c r="N855" s="104">
        <f>LS[[#This Row],[Unit Capital]]/10</f>
        <v>197130</v>
      </c>
      <c r="O855" s="104">
        <f>SUMIFS(LS[[#Headers],[Unit]]:LS[[#This Row],[Unit]],LS[[#Headers],[Investor ID]]:LS[[#This Row],[Investor ID]],LS[[#This Row],[Investor ID]])</f>
        <v>11944010</v>
      </c>
      <c r="P855" s="102">
        <v>1971300</v>
      </c>
      <c r="Q855" s="102">
        <f>LS[[#This Row],[Amount]]-LS[[#This Row],[Unit Capital]]</f>
        <v>528700</v>
      </c>
      <c r="R8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11.871155414420706</v>
      </c>
      <c r="S855" s="103">
        <f t="shared" si="13"/>
        <v>14.224</v>
      </c>
      <c r="T8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5" s="102" cm="1">
        <f t="array" ref="U855">IF(LS[[#This Row],[B/S]]="S",ABS(LS[[#This Row],[Unit]])*(INDEX(LS[NAV at Cost (Average)],MATCH(CONCATENATE((LS[[#This Row],[Frequency]]-1),LS[[#This Row],[Investor ID]]),LS[Unique Code],0),0)),0)</f>
        <v>0</v>
      </c>
      <c r="V855" s="102">
        <f>IF(LS[[#This Row],[BO TRANSFER]]="YES",LS[[#This Row],[Unit]],)</f>
        <v>0</v>
      </c>
      <c r="W855" s="102">
        <f>SUMIFS(LS[[#Headers],[BO UNIT TRANSFER]]:LS[[#This Row],[BO UNIT TRANSFER]],LS[[#Headers],[Investor ID]]:LS[[#This Row],[Investor ID]],LS[[#This Row],[Investor ID]])</f>
        <v>0</v>
      </c>
    </row>
    <row r="856" spans="1:23">
      <c r="A856" s="101">
        <v>2025</v>
      </c>
      <c r="B856" s="101">
        <v>2</v>
      </c>
      <c r="C856" s="101">
        <v>27</v>
      </c>
      <c r="D856" s="98">
        <f>DATE(LS[[#This Row],[Year]],LS[[#This Row],[Month]],LS[[#This Row],[Day]])</f>
        <v>45715</v>
      </c>
      <c r="E856" s="99" t="str" cm="1">
        <f t="array" ref="E856">INDEX(INVESTORS_LIST[INVESTOR NAME],MATCH(LS[[#This Row],[Investor ID]],INVESTORS_LIST[INVESTOR CODE],0),)</f>
        <v>MAYA RANI SAHA</v>
      </c>
      <c r="F856" s="100" t="s">
        <v>224</v>
      </c>
      <c r="G856" s="101">
        <f>COUNTIF(LS[[#Headers],[Investor ID]]:LS[[#This Row],[Investor ID]],LS[[#This Row],[Investor ID]])</f>
        <v>14</v>
      </c>
      <c r="H856" s="101" t="str">
        <f>CONCATENATE(LS[[#This Row],[Frequency]],LS[[#This Row],[Investor ID]])</f>
        <v>14A00088</v>
      </c>
      <c r="I856" s="75" t="str">
        <f>IF(LS[[#This Row],[B/S]]="B","BUY",(IF(LS[[#This Row],[B/S]]="S","SELL"," ")))</f>
        <v>BUY</v>
      </c>
      <c r="J856" s="101" t="s">
        <v>1229</v>
      </c>
      <c r="K856" s="102">
        <v>700000</v>
      </c>
      <c r="L856" s="99"/>
      <c r="M856" s="103">
        <f>LS[[#This Row],[Amount]]/LS[[#This Row],[Unit]]</f>
        <v>12.682078411479093</v>
      </c>
      <c r="N856" s="104">
        <f>LS[[#This Row],[Unit Capital]]/10</f>
        <v>55196</v>
      </c>
      <c r="O856" s="104">
        <f>SUMIFS(LS[[#Headers],[Unit]]:LS[[#This Row],[Unit]],LS[[#Headers],[Investor ID]]:LS[[#This Row],[Investor ID]],LS[[#This Row],[Investor ID]])</f>
        <v>562798</v>
      </c>
      <c r="P856" s="102">
        <v>551960</v>
      </c>
      <c r="Q856" s="102">
        <f>LS[[#This Row],[Amount]]-LS[[#This Row],[Unit Capital]]</f>
        <v>148040</v>
      </c>
      <c r="R8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10.613943871398961</v>
      </c>
      <c r="S856" s="103">
        <f t="shared" si="13"/>
        <v>14.224</v>
      </c>
      <c r="T8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6" s="102" cm="1">
        <f t="array" ref="U856">IF(LS[[#This Row],[B/S]]="S",ABS(LS[[#This Row],[Unit]])*(INDEX(LS[NAV at Cost (Average)],MATCH(CONCATENATE((LS[[#This Row],[Frequency]]-1),LS[[#This Row],[Investor ID]]),LS[Unique Code],0),0)),0)</f>
        <v>0</v>
      </c>
      <c r="V856" s="102">
        <f>IF(LS[[#This Row],[BO TRANSFER]]="YES",LS[[#This Row],[Unit]],)</f>
        <v>0</v>
      </c>
      <c r="W856" s="102">
        <f>SUMIFS(LS[[#Headers],[BO UNIT TRANSFER]]:LS[[#This Row],[BO UNIT TRANSFER]],LS[[#Headers],[Investor ID]]:LS[[#This Row],[Investor ID]],LS[[#This Row],[Investor ID]])</f>
        <v>0</v>
      </c>
    </row>
    <row r="857" spans="1:23">
      <c r="A857" s="101">
        <v>2025</v>
      </c>
      <c r="B857" s="101">
        <v>2</v>
      </c>
      <c r="C857" s="101">
        <v>27</v>
      </c>
      <c r="D857" s="98">
        <f>DATE(LS[[#This Row],[Year]],LS[[#This Row],[Month]],LS[[#This Row],[Day]])</f>
        <v>45715</v>
      </c>
      <c r="E857" s="99" t="str" cm="1">
        <f t="array" ref="E857">INDEX(INVESTORS_LIST[INVESTOR NAME],MATCH(LS[[#This Row],[Investor ID]],INVESTORS_LIST[INVESTOR CODE],0),)</f>
        <v>SHAPNA RANI BARMAN</v>
      </c>
      <c r="F857" s="46" t="s">
        <v>1292</v>
      </c>
      <c r="G857" s="101">
        <f>COUNTIF(LS[[#Headers],[Investor ID]]:LS[[#This Row],[Investor ID]],LS[[#This Row],[Investor ID]])</f>
        <v>4</v>
      </c>
      <c r="H857" s="101" t="str">
        <f>CONCATENATE(LS[[#This Row],[Frequency]],LS[[#This Row],[Investor ID]])</f>
        <v>4A00593</v>
      </c>
      <c r="I857" s="75" t="str">
        <f>IF(LS[[#This Row],[B/S]]="B","BUY",(IF(LS[[#This Row],[B/S]]="S","SELL"," ")))</f>
        <v>SELL</v>
      </c>
      <c r="J857" s="101" t="s">
        <v>1231</v>
      </c>
      <c r="K857" s="102">
        <v>-1000</v>
      </c>
      <c r="L857" s="99"/>
      <c r="M857" s="103">
        <f>LS[[#This Row],[Amount]]/LS[[#This Row],[Unit]]</f>
        <v>12.658227848101266</v>
      </c>
      <c r="N857" s="104">
        <f>LS[[#This Row],[Unit Capital]]/10</f>
        <v>-79</v>
      </c>
      <c r="O857" s="104">
        <f>SUMIFS(LS[[#Headers],[Unit]]:LS[[#This Row],[Unit]],LS[[#Headers],[Investor ID]]:LS[[#This Row],[Investor ID]],LS[[#This Row],[Investor ID]])</f>
        <v>3638</v>
      </c>
      <c r="P857" s="102">
        <v>-790</v>
      </c>
      <c r="Q857" s="102">
        <f>LS[[#This Row],[Amount]]-LS[[#This Row],[Unit Capital]]</f>
        <v>-210</v>
      </c>
      <c r="R8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11.580030880082347</v>
      </c>
      <c r="S857" s="103">
        <f t="shared" si="13"/>
        <v>14.224</v>
      </c>
      <c r="T857" s="102">
        <f>IF(LS[[#This Row],[B/S]]="B",0,ABS(LS[[#This Row],[Unit]])*(LS[[#This Row],[NAV (Strike Rate)]]-INDEX(LS[NAV at Cost (Average)],MATCH(CONCATENATE(LS[[#This Row],[Frequency]]-1,LS[[#This Row],[Investor ID]]),LS[Unique Code],0),)))</f>
        <v>85.177560473494566</v>
      </c>
      <c r="U857" s="102" cm="1">
        <f t="array" ref="U857">IF(LS[[#This Row],[B/S]]="S",ABS(LS[[#This Row],[Unit]])*(INDEX(LS[NAV at Cost (Average)],MATCH(CONCATENATE((LS[[#This Row],[Frequency]]-1),LS[[#This Row],[Investor ID]]),LS[Unique Code],0),0)),0)</f>
        <v>914.82243952650538</v>
      </c>
      <c r="V857" s="102">
        <f>IF(LS[[#This Row],[BO TRANSFER]]="YES",LS[[#This Row],[Unit]],)</f>
        <v>0</v>
      </c>
      <c r="W857" s="102">
        <f>SUMIFS(LS[[#Headers],[BO UNIT TRANSFER]]:LS[[#This Row],[BO UNIT TRANSFER]],LS[[#Headers],[Investor ID]]:LS[[#This Row],[Investor ID]],LS[[#This Row],[Investor ID]])</f>
        <v>0</v>
      </c>
    </row>
    <row r="858" spans="1:23">
      <c r="A858" s="101">
        <v>2025</v>
      </c>
      <c r="B858" s="101">
        <v>3</v>
      </c>
      <c r="C858" s="101">
        <v>2</v>
      </c>
      <c r="D858" s="98">
        <f>DATE(LS[[#This Row],[Year]],LS[[#This Row],[Month]],LS[[#This Row],[Day]])</f>
        <v>45718</v>
      </c>
      <c r="E858" s="99" t="str" cm="1">
        <f t="array" ref="E858">INDEX(INVESTORS_LIST[INVESTOR NAME],MATCH(LS[[#This Row],[Investor ID]],INVESTORS_LIST[INVESTOR CODE],0),)</f>
        <v>SYED FAZLE RABBY</v>
      </c>
      <c r="F858" s="100" t="s">
        <v>166</v>
      </c>
      <c r="G858" s="101">
        <f>COUNTIF(LS[[#Headers],[Investor ID]]:LS[[#This Row],[Investor ID]],LS[[#This Row],[Investor ID]])</f>
        <v>33</v>
      </c>
      <c r="H858" s="101" t="str">
        <f>CONCATENATE(LS[[#This Row],[Frequency]],LS[[#This Row],[Investor ID]])</f>
        <v>33A00059</v>
      </c>
      <c r="I858" s="75" t="str">
        <f>IF(LS[[#This Row],[B/S]]="B","BUY",(IF(LS[[#This Row],[B/S]]="S","SELL"," ")))</f>
        <v>SELL</v>
      </c>
      <c r="J858" s="101" t="s">
        <v>1231</v>
      </c>
      <c r="K858" s="102">
        <v>-381000</v>
      </c>
      <c r="L858" s="99"/>
      <c r="M858" s="103">
        <f>LS[[#This Row],[Amount]]/LS[[#This Row],[Unit]]</f>
        <v>12.7</v>
      </c>
      <c r="N858" s="104">
        <f>LS[[#This Row],[Unit Capital]]/10</f>
        <v>-30000</v>
      </c>
      <c r="O858" s="104">
        <f>SUMIFS(LS[[#Headers],[Unit]]:LS[[#This Row],[Unit]],LS[[#Headers],[Investor ID]]:LS[[#This Row],[Investor ID]],LS[[#This Row],[Investor ID]])</f>
        <v>482304</v>
      </c>
      <c r="P858" s="102">
        <v>-300000</v>
      </c>
      <c r="Q858" s="102">
        <f>LS[[#This Row],[Amount]]-LS[[#This Row],[Unit Capital]]</f>
        <v>-81000</v>
      </c>
      <c r="R8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10.85868153336467</v>
      </c>
      <c r="S858" s="103">
        <f t="shared" si="13"/>
        <v>14.224</v>
      </c>
      <c r="T858" s="102">
        <f>IF(LS[[#This Row],[B/S]]="B",0,ABS(LS[[#This Row],[Unit]])*(LS[[#This Row],[NAV (Strike Rate)]]-INDEX(LS[NAV at Cost (Average)],MATCH(CONCATENATE(LS[[#This Row],[Frequency]]-1,LS[[#This Row],[Investor ID]]),LS[Unique Code],0),)))</f>
        <v>55239.553999059863</v>
      </c>
      <c r="U858" s="102" cm="1">
        <f t="array" ref="U858">IF(LS[[#This Row],[B/S]]="S",ABS(LS[[#This Row],[Unit]])*(INDEX(LS[NAV at Cost (Average)],MATCH(CONCATENATE((LS[[#This Row],[Frequency]]-1),LS[[#This Row],[Investor ID]]),LS[Unique Code],0),0)),0)</f>
        <v>325760.44600094011</v>
      </c>
      <c r="V858" s="102">
        <f>IF(LS[[#This Row],[BO TRANSFER]]="YES",LS[[#This Row],[Unit]],)</f>
        <v>0</v>
      </c>
      <c r="W858" s="102">
        <f>SUMIFS(LS[[#Headers],[BO UNIT TRANSFER]]:LS[[#This Row],[BO UNIT TRANSFER]],LS[[#Headers],[Investor ID]]:LS[[#This Row],[Investor ID]],LS[[#This Row],[Investor ID]])</f>
        <v>0</v>
      </c>
    </row>
    <row r="859" spans="1:23">
      <c r="A859" s="101">
        <v>2025</v>
      </c>
      <c r="B859" s="101">
        <v>3</v>
      </c>
      <c r="C859" s="101">
        <v>2</v>
      </c>
      <c r="D859" s="98">
        <f>DATE(LS[[#This Row],[Year]],LS[[#This Row],[Month]],LS[[#This Row],[Day]])</f>
        <v>45718</v>
      </c>
      <c r="E859" s="99" t="str" cm="1">
        <f t="array" ref="E859">INDEX(INVESTORS_LIST[INVESTOR NAME],MATCH(LS[[#This Row],[Investor ID]],INVESTORS_LIST[INVESTOR CODE],0),)</f>
        <v>3A &amp; COMPANY LTD.</v>
      </c>
      <c r="F859" s="100" t="s">
        <v>1113</v>
      </c>
      <c r="G859" s="101">
        <f>COUNTIF(LS[[#Headers],[Investor ID]]:LS[[#This Row],[Investor ID]],LS[[#This Row],[Investor ID]])</f>
        <v>3</v>
      </c>
      <c r="H859" s="101" t="str">
        <f>CONCATENATE(LS[[#This Row],[Frequency]],LS[[#This Row],[Investor ID]])</f>
        <v>3A00531</v>
      </c>
      <c r="I859" s="75" t="str">
        <f>IF(LS[[#This Row],[B/S]]="B","BUY",(IF(LS[[#This Row],[B/S]]="S","SELL"," ")))</f>
        <v>BUY</v>
      </c>
      <c r="J859" s="101" t="s">
        <v>1229</v>
      </c>
      <c r="K859" s="102">
        <v>5000000</v>
      </c>
      <c r="L859" s="99"/>
      <c r="M859" s="103">
        <f>LS[[#This Row],[Amount]]/LS[[#This Row],[Unit]]</f>
        <v>12.699993142003704</v>
      </c>
      <c r="N859" s="104">
        <f>LS[[#This Row],[Unit Capital]]/10</f>
        <v>393701</v>
      </c>
      <c r="O859" s="104">
        <f>SUMIFS(LS[[#Headers],[Unit]]:LS[[#This Row],[Unit]],LS[[#Headers],[Investor ID]]:LS[[#This Row],[Investor ID]],LS[[#This Row],[Investor ID]])</f>
        <v>393701</v>
      </c>
      <c r="P859" s="102">
        <v>3937010</v>
      </c>
      <c r="Q859" s="102">
        <f>LS[[#This Row],[Amount]]-LS[[#This Row],[Unit Capital]]</f>
        <v>1062990</v>
      </c>
      <c r="R8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12.699993142003704</v>
      </c>
      <c r="S859" s="103">
        <f t="shared" si="13"/>
        <v>14.224</v>
      </c>
      <c r="T85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59" s="102" cm="1">
        <f t="array" ref="U859">IF(LS[[#This Row],[B/S]]="S",ABS(LS[[#This Row],[Unit]])*(INDEX(LS[NAV at Cost (Average)],MATCH(CONCATENATE((LS[[#This Row],[Frequency]]-1),LS[[#This Row],[Investor ID]]),LS[Unique Code],0),0)),0)</f>
        <v>0</v>
      </c>
      <c r="V859" s="102">
        <f>IF(LS[[#This Row],[BO TRANSFER]]="YES",LS[[#This Row],[Unit]],)</f>
        <v>0</v>
      </c>
      <c r="W859" s="102">
        <f>SUMIFS(LS[[#Headers],[BO UNIT TRANSFER]]:LS[[#This Row],[BO UNIT TRANSFER]],LS[[#Headers],[Investor ID]]:LS[[#This Row],[Investor ID]],LS[[#This Row],[Investor ID]])</f>
        <v>0</v>
      </c>
    </row>
    <row r="860" spans="1:23">
      <c r="A860" s="101">
        <v>2025</v>
      </c>
      <c r="B860" s="101">
        <v>3</v>
      </c>
      <c r="C860" s="101">
        <v>2</v>
      </c>
      <c r="D860" s="98">
        <f>DATE(LS[[#This Row],[Year]],LS[[#This Row],[Month]],LS[[#This Row],[Day]])</f>
        <v>45718</v>
      </c>
      <c r="E860" s="99" t="str" cm="1">
        <f t="array" ref="E860">INDEX(INVESTORS_LIST[INVESTOR NAME],MATCH(LS[[#This Row],[Investor ID]],INVESTORS_LIST[INVESTOR CODE],0),)</f>
        <v>MAHFUZUL ISLAM &amp; HUMAIRA TABASSUM READDHE</v>
      </c>
      <c r="F860" s="100" t="s">
        <v>1315</v>
      </c>
      <c r="G860" s="101">
        <f>COUNTIF(LS[[#Headers],[Investor ID]]:LS[[#This Row],[Investor ID]],LS[[#This Row],[Investor ID]])</f>
        <v>1</v>
      </c>
      <c r="H860" s="101" t="str">
        <f>CONCATENATE(LS[[#This Row],[Frequency]],LS[[#This Row],[Investor ID]])</f>
        <v>1A00605</v>
      </c>
      <c r="I860" s="75" t="str">
        <f>IF(LS[[#This Row],[B/S]]="B","BUY",(IF(LS[[#This Row],[B/S]]="S","SELL"," ")))</f>
        <v>BUY</v>
      </c>
      <c r="J860" s="101" t="s">
        <v>1229</v>
      </c>
      <c r="K860" s="102">
        <v>18140</v>
      </c>
      <c r="L860" s="99"/>
      <c r="M860" s="103">
        <f>LS[[#This Row],[Amount]]/LS[[#This Row],[Unit]]</f>
        <v>12.703081232492996</v>
      </c>
      <c r="N860" s="104">
        <f>LS[[#This Row],[Unit Capital]]/10</f>
        <v>1428</v>
      </c>
      <c r="O860" s="104">
        <f>SUMIFS(LS[[#Headers],[Unit]]:LS[[#This Row],[Unit]],LS[[#Headers],[Investor ID]]:LS[[#This Row],[Investor ID]],LS[[#This Row],[Investor ID]])</f>
        <v>1428</v>
      </c>
      <c r="P860" s="102">
        <v>14280</v>
      </c>
      <c r="Q860" s="102">
        <f>LS[[#This Row],[Amount]]-LS[[#This Row],[Unit Capital]]</f>
        <v>3860</v>
      </c>
      <c r="R8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12.703081232492996</v>
      </c>
      <c r="S860" s="103">
        <f t="shared" si="13"/>
        <v>14.224</v>
      </c>
      <c r="T8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60" s="102" cm="1">
        <f t="array" ref="U860">IF(LS[[#This Row],[B/S]]="S",ABS(LS[[#This Row],[Unit]])*(INDEX(LS[NAV at Cost (Average)],MATCH(CONCATENATE((LS[[#This Row],[Frequency]]-1),LS[[#This Row],[Investor ID]]),LS[Unique Code],0),0)),0)</f>
        <v>0</v>
      </c>
      <c r="V860" s="102">
        <f>IF(LS[[#This Row],[BO TRANSFER]]="YES",LS[[#This Row],[Unit]],)</f>
        <v>0</v>
      </c>
      <c r="W860" s="102">
        <f>SUMIFS(LS[[#Headers],[BO UNIT TRANSFER]]:LS[[#This Row],[BO UNIT TRANSFER]],LS[[#Headers],[Investor ID]]:LS[[#This Row],[Investor ID]],LS[[#This Row],[Investor ID]])</f>
        <v>0</v>
      </c>
    </row>
    <row r="861" spans="1:23">
      <c r="A861" s="101">
        <v>2025</v>
      </c>
      <c r="B861" s="101">
        <v>3</v>
      </c>
      <c r="C861" s="101">
        <v>4</v>
      </c>
      <c r="D861" s="98">
        <f>DATE(LS[[#This Row],[Year]],LS[[#This Row],[Month]],LS[[#This Row],[Day]])</f>
        <v>45720</v>
      </c>
      <c r="E861" s="99" t="str" cm="1">
        <f t="array" ref="E861">INDEX(INVESTORS_LIST[INVESTOR NAME],MATCH(LS[[#This Row],[Investor ID]],INVESTORS_LIST[INVESTOR CODE],0),)</f>
        <v>MONIR AHMED</v>
      </c>
      <c r="F861" s="100" t="s">
        <v>125</v>
      </c>
      <c r="G861" s="101">
        <f>COUNTIF(LS[[#Headers],[Investor ID]]:LS[[#This Row],[Investor ID]],LS[[#This Row],[Investor ID]])</f>
        <v>6</v>
      </c>
      <c r="H861" s="101" t="str">
        <f>CONCATENATE(LS[[#This Row],[Frequency]],LS[[#This Row],[Investor ID]])</f>
        <v>6A00039</v>
      </c>
      <c r="I861" s="75" t="str">
        <f>IF(LS[[#This Row],[B/S]]="B","BUY",(IF(LS[[#This Row],[B/S]]="S","SELL"," ")))</f>
        <v>SELL</v>
      </c>
      <c r="J861" s="101" t="s">
        <v>1231</v>
      </c>
      <c r="K861" s="102">
        <v>-1136637.3</v>
      </c>
      <c r="L861" s="99"/>
      <c r="M861" s="103">
        <f>LS[[#This Row],[Amount]]/LS[[#This Row],[Unit]]</f>
        <v>12.700000000000001</v>
      </c>
      <c r="N861" s="104">
        <f>LS[[#This Row],[Unit Capital]]/10</f>
        <v>-89499</v>
      </c>
      <c r="O861" s="104">
        <f>SUMIFS(LS[[#Headers],[Unit]]:LS[[#This Row],[Unit]],LS[[#Headers],[Investor ID]]:LS[[#This Row],[Investor ID]],LS[[#This Row],[Investor ID]])</f>
        <v>0</v>
      </c>
      <c r="P861" s="102">
        <v>-894990</v>
      </c>
      <c r="Q861" s="102">
        <f>LS[[#This Row],[Amount]]-LS[[#This Row],[Unit Capital]]</f>
        <v>-241647.30000000005</v>
      </c>
      <c r="R8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61" s="103">
        <f t="shared" si="13"/>
        <v>14.224</v>
      </c>
      <c r="T861" s="102">
        <f>IF(LS[[#This Row],[B/S]]="B",0,ABS(LS[[#This Row],[Unit]])*(LS[[#This Row],[NAV (Strike Rate)]]-INDEX(LS[NAV at Cost (Average)],MATCH(CONCATENATE(LS[[#This Row],[Frequency]]-1,LS[[#This Row],[Investor ID]]),LS[Unique Code],0),)))</f>
        <v>66637.300000000163</v>
      </c>
      <c r="U861" s="102" cm="1">
        <f t="array" ref="U861">IF(LS[[#This Row],[B/S]]="S",ABS(LS[[#This Row],[Unit]])*(INDEX(LS[NAV at Cost (Average)],MATCH(CONCATENATE((LS[[#This Row],[Frequency]]-1),LS[[#This Row],[Investor ID]]),LS[Unique Code],0),0)),0)</f>
        <v>1070000</v>
      </c>
      <c r="V861" s="102">
        <f>IF(LS[[#This Row],[BO TRANSFER]]="YES",LS[[#This Row],[Unit]],)</f>
        <v>0</v>
      </c>
      <c r="W861" s="102">
        <f>SUMIFS(LS[[#Headers],[BO UNIT TRANSFER]]:LS[[#This Row],[BO UNIT TRANSFER]],LS[[#Headers],[Investor ID]]:LS[[#This Row],[Investor ID]],LS[[#This Row],[Investor ID]])</f>
        <v>0</v>
      </c>
    </row>
    <row r="862" spans="1:23">
      <c r="A862" s="101">
        <v>2025</v>
      </c>
      <c r="B862" s="101">
        <v>3</v>
      </c>
      <c r="C862" s="101">
        <v>4</v>
      </c>
      <c r="D862" s="98">
        <f>DATE(LS[[#This Row],[Year]],LS[[#This Row],[Month]],LS[[#This Row],[Day]])</f>
        <v>45720</v>
      </c>
      <c r="E862" s="99" t="str" cm="1">
        <f t="array" ref="E862">INDEX(INVESTORS_LIST[INVESTOR NAME],MATCH(LS[[#This Row],[Investor ID]],INVESTORS_LIST[INVESTOR CODE],0),)</f>
        <v>BETAONE INVESTMENTS LIMITED</v>
      </c>
      <c r="F862" s="100" t="s">
        <v>1124</v>
      </c>
      <c r="G862" s="101">
        <f>COUNTIF(LS[[#Headers],[Investor ID]]:LS[[#This Row],[Investor ID]],LS[[#This Row],[Investor ID]])</f>
        <v>5</v>
      </c>
      <c r="H862" s="101" t="str">
        <f>CONCATENATE(LS[[#This Row],[Frequency]],LS[[#This Row],[Investor ID]])</f>
        <v>5A00537</v>
      </c>
      <c r="I862" s="75" t="str">
        <f>IF(LS[[#This Row],[B/S]]="B","BUY",(IF(LS[[#This Row],[B/S]]="S","SELL"," ")))</f>
        <v>SELL</v>
      </c>
      <c r="J862" s="101" t="s">
        <v>1231</v>
      </c>
      <c r="K862" s="102">
        <v>-7360793</v>
      </c>
      <c r="L862" s="99"/>
      <c r="M862" s="103">
        <f>LS[[#This Row],[Amount]]/LS[[#This Row],[Unit]]</f>
        <v>12.7</v>
      </c>
      <c r="N862" s="104">
        <f>LS[[#This Row],[Unit Capital]]/10</f>
        <v>-579590</v>
      </c>
      <c r="O862" s="104">
        <f>SUMIFS(LS[[#Headers],[Unit]]:LS[[#This Row],[Unit]],LS[[#Headers],[Investor ID]]:LS[[#This Row],[Investor ID]],LS[[#This Row],[Investor ID]])</f>
        <v>0</v>
      </c>
      <c r="P862" s="102">
        <v>-5795900</v>
      </c>
      <c r="Q862" s="102">
        <f>LS[[#This Row],[Amount]]-LS[[#This Row],[Unit Capital]]</f>
        <v>-1564893</v>
      </c>
      <c r="R8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62" s="103">
        <f t="shared" si="13"/>
        <v>14.224</v>
      </c>
      <c r="T862" s="102">
        <f>IF(LS[[#This Row],[B/S]]="B",0,ABS(LS[[#This Row],[Unit]])*(LS[[#This Row],[NAV (Strike Rate)]]-INDEX(LS[NAV at Cost (Average)],MATCH(CONCATENATE(LS[[#This Row],[Frequency]]-1,LS[[#This Row],[Investor ID]]),LS[Unique Code],0),)))</f>
        <v>872359.84496819577</v>
      </c>
      <c r="U862" s="102" cm="1">
        <f t="array" ref="U862">IF(LS[[#This Row],[B/S]]="S",ABS(LS[[#This Row],[Unit]])*(INDEX(LS[NAV at Cost (Average)],MATCH(CONCATENATE((LS[[#This Row],[Frequency]]-1),LS[[#This Row],[Investor ID]]),LS[Unique Code],0),0)),0)</f>
        <v>6488433.155031804</v>
      </c>
      <c r="V862" s="102">
        <f>IF(LS[[#This Row],[BO TRANSFER]]="YES",LS[[#This Row],[Unit]],)</f>
        <v>0</v>
      </c>
      <c r="W862" s="102">
        <f>SUMIFS(LS[[#Headers],[BO UNIT TRANSFER]]:LS[[#This Row],[BO UNIT TRANSFER]],LS[[#Headers],[Investor ID]]:LS[[#This Row],[Investor ID]],LS[[#This Row],[Investor ID]])</f>
        <v>0</v>
      </c>
    </row>
    <row r="863" spans="1:23">
      <c r="A863" s="101">
        <v>2025</v>
      </c>
      <c r="B863" s="101">
        <v>3</v>
      </c>
      <c r="C863" s="101">
        <v>4</v>
      </c>
      <c r="D863" s="98">
        <f>DATE(LS[[#This Row],[Year]],LS[[#This Row],[Month]],LS[[#This Row],[Day]])</f>
        <v>45720</v>
      </c>
      <c r="E863" s="99" t="str" cm="1">
        <f t="array" ref="E863">INDEX(INVESTORS_LIST[INVESTOR NAME],MATCH(LS[[#This Row],[Investor ID]],INVESTORS_LIST[INVESTOR CODE],0),)</f>
        <v>BETAONE INVESTMENTS LIMITED</v>
      </c>
      <c r="F863" s="100" t="s">
        <v>1131</v>
      </c>
      <c r="G863" s="101">
        <f>COUNTIF(LS[[#Headers],[Investor ID]]:LS[[#This Row],[Investor ID]],LS[[#This Row],[Investor ID]])</f>
        <v>2</v>
      </c>
      <c r="H863" s="101" t="str">
        <f>CONCATENATE(LS[[#This Row],[Frequency]],LS[[#This Row],[Investor ID]])</f>
        <v>2A00541</v>
      </c>
      <c r="I863" s="75" t="str">
        <f>IF(LS[[#This Row],[B/S]]="B","BUY",(IF(LS[[#This Row],[B/S]]="S","SELL"," ")))</f>
        <v>SELL</v>
      </c>
      <c r="J863" s="101" t="s">
        <v>1231</v>
      </c>
      <c r="K863" s="102">
        <v>-3430892.3</v>
      </c>
      <c r="L863" s="99"/>
      <c r="M863" s="103">
        <f>LS[[#This Row],[Amount]]/LS[[#This Row],[Unit]]</f>
        <v>12.7</v>
      </c>
      <c r="N863" s="104">
        <f>LS[[#This Row],[Unit Capital]]/10</f>
        <v>-270149</v>
      </c>
      <c r="O863" s="104">
        <f>SUMIFS(LS[[#Headers],[Unit]]:LS[[#This Row],[Unit]],LS[[#Headers],[Investor ID]]:LS[[#This Row],[Investor ID]],LS[[#This Row],[Investor ID]])</f>
        <v>0</v>
      </c>
      <c r="P863" s="102">
        <v>-2701490</v>
      </c>
      <c r="Q863" s="102">
        <f>LS[[#This Row],[Amount]]-LS[[#This Row],[Unit Capital]]</f>
        <v>-729402.29999999981</v>
      </c>
      <c r="R8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63" s="103">
        <f t="shared" si="13"/>
        <v>14.224</v>
      </c>
      <c r="T863" s="102">
        <f>IF(LS[[#This Row],[B/S]]="B",0,ABS(LS[[#This Row],[Unit]])*(LS[[#This Row],[NAV (Strike Rate)]]-INDEX(LS[NAV at Cost (Average)],MATCH(CONCATENATE(LS[[#This Row],[Frequency]]-1,LS[[#This Row],[Investor ID]]),LS[Unique Code],0),)))</f>
        <v>430892.30000000005</v>
      </c>
      <c r="U863" s="102" cm="1">
        <f t="array" ref="U863">IF(LS[[#This Row],[B/S]]="S",ABS(LS[[#This Row],[Unit]])*(INDEX(LS[NAV at Cost (Average)],MATCH(CONCATENATE((LS[[#This Row],[Frequency]]-1),LS[[#This Row],[Investor ID]]),LS[Unique Code],0),0)),0)</f>
        <v>3000000</v>
      </c>
      <c r="V863" s="102">
        <f>IF(LS[[#This Row],[BO TRANSFER]]="YES",LS[[#This Row],[Unit]],)</f>
        <v>0</v>
      </c>
      <c r="W863" s="102">
        <f>SUMIFS(LS[[#Headers],[BO UNIT TRANSFER]]:LS[[#This Row],[BO UNIT TRANSFER]],LS[[#Headers],[Investor ID]]:LS[[#This Row],[Investor ID]],LS[[#This Row],[Investor ID]])</f>
        <v>0</v>
      </c>
    </row>
    <row r="864" spans="1:23">
      <c r="A864" s="101">
        <v>2025</v>
      </c>
      <c r="B864" s="101">
        <v>3</v>
      </c>
      <c r="C864" s="101">
        <v>4</v>
      </c>
      <c r="D864" s="98">
        <f>DATE(LS[[#This Row],[Year]],LS[[#This Row],[Month]],LS[[#This Row],[Day]])</f>
        <v>45720</v>
      </c>
      <c r="E864" s="99" t="str" cm="1">
        <f t="array" ref="E864">INDEX(INVESTORS_LIST[INVESTOR NAME],MATCH(LS[[#This Row],[Investor ID]],INVESTORS_LIST[INVESTOR CODE],0),)</f>
        <v>TAJDIKUL ALAM</v>
      </c>
      <c r="F864" s="100" t="s">
        <v>1099</v>
      </c>
      <c r="G864" s="101">
        <f>COUNTIF(LS[[#Headers],[Investor ID]]:LS[[#This Row],[Investor ID]],LS[[#This Row],[Investor ID]])</f>
        <v>4</v>
      </c>
      <c r="H864" s="101" t="str">
        <f>CONCATENATE(LS[[#This Row],[Frequency]],LS[[#This Row],[Investor ID]])</f>
        <v>4A00526</v>
      </c>
      <c r="I864" s="75" t="str">
        <f>IF(LS[[#This Row],[B/S]]="B","BUY",(IF(LS[[#This Row],[B/S]]="S","SELL"," ")))</f>
        <v>BUY</v>
      </c>
      <c r="J864" s="101" t="s">
        <v>1229</v>
      </c>
      <c r="K864" s="102">
        <v>100000</v>
      </c>
      <c r="L864" s="99"/>
      <c r="M864" s="103">
        <f>LS[[#This Row],[Amount]]/LS[[#This Row],[Unit]]</f>
        <v>12.7000254000508</v>
      </c>
      <c r="N864" s="104">
        <f>LS[[#This Row],[Unit Capital]]/10</f>
        <v>7874</v>
      </c>
      <c r="O864" s="104">
        <f>SUMIFS(LS[[#Headers],[Unit]]:LS[[#This Row],[Unit]],LS[[#Headers],[Investor ID]]:LS[[#This Row],[Investor ID]],LS[[#This Row],[Investor ID]])</f>
        <v>54376</v>
      </c>
      <c r="P864" s="102">
        <v>78740</v>
      </c>
      <c r="Q864" s="102">
        <f>LS[[#This Row],[Amount]]-LS[[#This Row],[Unit Capital]]</f>
        <v>21260</v>
      </c>
      <c r="R8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11.034279829336471</v>
      </c>
      <c r="S864" s="103">
        <f t="shared" si="13"/>
        <v>14.224</v>
      </c>
      <c r="T8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64" s="102" cm="1">
        <f t="array" ref="U864">IF(LS[[#This Row],[B/S]]="S",ABS(LS[[#This Row],[Unit]])*(INDEX(LS[NAV at Cost (Average)],MATCH(CONCATENATE((LS[[#This Row],[Frequency]]-1),LS[[#This Row],[Investor ID]]),LS[Unique Code],0),0)),0)</f>
        <v>0</v>
      </c>
      <c r="V864" s="102">
        <f>IF(LS[[#This Row],[BO TRANSFER]]="YES",LS[[#This Row],[Unit]],)</f>
        <v>0</v>
      </c>
      <c r="W864" s="102">
        <f>SUMIFS(LS[[#Headers],[BO UNIT TRANSFER]]:LS[[#This Row],[BO UNIT TRANSFER]],LS[[#Headers],[Investor ID]]:LS[[#This Row],[Investor ID]],LS[[#This Row],[Investor ID]])</f>
        <v>0</v>
      </c>
    </row>
    <row r="865" spans="1:23">
      <c r="A865" s="101">
        <v>2025</v>
      </c>
      <c r="B865" s="101">
        <v>3</v>
      </c>
      <c r="C865" s="101">
        <v>4</v>
      </c>
      <c r="D865" s="98">
        <f>DATE(LS[[#This Row],[Year]],LS[[#This Row],[Month]],LS[[#This Row],[Day]])</f>
        <v>45720</v>
      </c>
      <c r="E865" s="99" t="str" cm="1">
        <f t="array" ref="E865">INDEX(INVESTORS_LIST[INVESTOR NAME],MATCH(LS[[#This Row],[Investor ID]],INVESTORS_LIST[INVESTOR CODE],0),)</f>
        <v>TAJDIKUL ALAM</v>
      </c>
      <c r="F865" s="100" t="s">
        <v>1099</v>
      </c>
      <c r="G865" s="101">
        <f>COUNTIF(LS[[#Headers],[Investor ID]]:LS[[#This Row],[Investor ID]],LS[[#This Row],[Investor ID]])</f>
        <v>5</v>
      </c>
      <c r="H865" s="101" t="str">
        <f>CONCATENATE(LS[[#This Row],[Frequency]],LS[[#This Row],[Investor ID]])</f>
        <v>5A00526</v>
      </c>
      <c r="I865" s="75" t="str">
        <f>IF(LS[[#This Row],[B/S]]="B","BUY",(IF(LS[[#This Row],[B/S]]="S","SELL"," ")))</f>
        <v>BUY</v>
      </c>
      <c r="J865" s="101" t="s">
        <v>1229</v>
      </c>
      <c r="K865" s="102">
        <v>100000</v>
      </c>
      <c r="L865" s="99"/>
      <c r="M865" s="103">
        <f>LS[[#This Row],[Amount]]/LS[[#This Row],[Unit]]</f>
        <v>12.7000254000508</v>
      </c>
      <c r="N865" s="104">
        <f>LS[[#This Row],[Unit Capital]]/10</f>
        <v>7874</v>
      </c>
      <c r="O865" s="104">
        <f>SUMIFS(LS[[#Headers],[Unit]]:LS[[#This Row],[Unit]],LS[[#Headers],[Investor ID]]:LS[[#This Row],[Investor ID]],LS[[#This Row],[Investor ID]])</f>
        <v>62250</v>
      </c>
      <c r="P865" s="102">
        <v>78740</v>
      </c>
      <c r="Q865" s="102">
        <f>LS[[#This Row],[Amount]]-LS[[#This Row],[Unit Capital]]</f>
        <v>21260</v>
      </c>
      <c r="R8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865" s="103">
        <f t="shared" si="13"/>
        <v>14.224</v>
      </c>
      <c r="T86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65" s="102" cm="1">
        <f t="array" ref="U865">IF(LS[[#This Row],[B/S]]="S",ABS(LS[[#This Row],[Unit]])*(INDEX(LS[NAV at Cost (Average)],MATCH(CONCATENATE((LS[[#This Row],[Frequency]]-1),LS[[#This Row],[Investor ID]]),LS[Unique Code],0),0)),0)</f>
        <v>0</v>
      </c>
      <c r="V865" s="102">
        <f>IF(LS[[#This Row],[BO TRANSFER]]="YES",LS[[#This Row],[Unit]],)</f>
        <v>0</v>
      </c>
      <c r="W865" s="102">
        <f>SUMIFS(LS[[#Headers],[BO UNIT TRANSFER]]:LS[[#This Row],[BO UNIT TRANSFER]],LS[[#Headers],[Investor ID]]:LS[[#This Row],[Investor ID]],LS[[#This Row],[Investor ID]])</f>
        <v>0</v>
      </c>
    </row>
    <row r="866" spans="1:23">
      <c r="A866" s="101">
        <v>2025</v>
      </c>
      <c r="B866" s="101">
        <v>3</v>
      </c>
      <c r="C866" s="101">
        <v>4</v>
      </c>
      <c r="D866" s="98">
        <f>DATE(LS[[#This Row],[Year]],LS[[#This Row],[Month]],LS[[#This Row],[Day]])</f>
        <v>45720</v>
      </c>
      <c r="E866" s="99" t="str" cm="1">
        <f t="array" ref="E866">INDEX(INVESTORS_LIST[INVESTOR NAME],MATCH(LS[[#This Row],[Investor ID]],INVESTORS_LIST[INVESTOR CODE],0),)</f>
        <v>SHIREEN AFROZE</v>
      </c>
      <c r="F866" s="100" t="s">
        <v>1145</v>
      </c>
      <c r="G866" s="101">
        <f>COUNTIF(LS[[#Headers],[Investor ID]]:LS[[#This Row],[Investor ID]],LS[[#This Row],[Investor ID]])</f>
        <v>4</v>
      </c>
      <c r="H866" s="101" t="str">
        <f>CONCATENATE(LS[[#This Row],[Frequency]],LS[[#This Row],[Investor ID]])</f>
        <v>4A00548</v>
      </c>
      <c r="I866" s="75" t="str">
        <f>IF(LS[[#This Row],[B/S]]="B","BUY",(IF(LS[[#This Row],[B/S]]="S","SELL"," ")))</f>
        <v>SELL</v>
      </c>
      <c r="J866" s="101" t="s">
        <v>1231</v>
      </c>
      <c r="K866" s="102">
        <v>-10000</v>
      </c>
      <c r="L866" s="99"/>
      <c r="M866" s="103">
        <f>LS[[#This Row],[Amount]]/LS[[#This Row],[Unit]]</f>
        <v>12.706480304955527</v>
      </c>
      <c r="N866" s="104">
        <f>LS[[#This Row],[Unit Capital]]/10</f>
        <v>-787</v>
      </c>
      <c r="O866" s="104">
        <f>SUMIFS(LS[[#Headers],[Unit]]:LS[[#This Row],[Unit]],LS[[#Headers],[Investor ID]]:LS[[#This Row],[Investor ID]],LS[[#This Row],[Investor ID]])</f>
        <v>41709</v>
      </c>
      <c r="P866" s="102">
        <v>-7870</v>
      </c>
      <c r="Q866" s="102">
        <f>LS[[#This Row],[Amount]]-LS[[#This Row],[Unit Capital]]</f>
        <v>-2130</v>
      </c>
      <c r="R8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866" s="103">
        <f t="shared" si="13"/>
        <v>14.224</v>
      </c>
      <c r="T866" s="102">
        <f>IF(LS[[#This Row],[B/S]]="B",0,ABS(LS[[#This Row],[Unit]])*(LS[[#This Row],[NAV (Strike Rate)]]-INDEX(LS[NAV at Cost (Average)],MATCH(CONCATENATE(LS[[#This Row],[Frequency]]-1,LS[[#This Row],[Investor ID]]),LS[Unique Code],0),)))</f>
        <v>1278.4254621215468</v>
      </c>
      <c r="U866" s="102" cm="1">
        <f t="array" ref="U866">IF(LS[[#This Row],[B/S]]="S",ABS(LS[[#This Row],[Unit]])*(INDEX(LS[NAV at Cost (Average)],MATCH(CONCATENATE((LS[[#This Row],[Frequency]]-1),LS[[#This Row],[Investor ID]]),LS[Unique Code],0),0)),0)</f>
        <v>8721.5745378784522</v>
      </c>
      <c r="V866" s="102">
        <f>IF(LS[[#This Row],[BO TRANSFER]]="YES",LS[[#This Row],[Unit]],)</f>
        <v>0</v>
      </c>
      <c r="W866" s="102">
        <f>SUMIFS(LS[[#Headers],[BO UNIT TRANSFER]]:LS[[#This Row],[BO UNIT TRANSFER]],LS[[#Headers],[Investor ID]]:LS[[#This Row],[Investor ID]],LS[[#This Row],[Investor ID]])</f>
        <v>0</v>
      </c>
    </row>
    <row r="867" spans="1:23">
      <c r="A867" s="101">
        <v>2025</v>
      </c>
      <c r="B867" s="101">
        <v>3</v>
      </c>
      <c r="C867" s="101">
        <v>5</v>
      </c>
      <c r="D867" s="98">
        <f>DATE(LS[[#This Row],[Year]],LS[[#This Row],[Month]],LS[[#This Row],[Day]])</f>
        <v>45721</v>
      </c>
      <c r="E867" s="99" t="str" cm="1">
        <f t="array" ref="E867">INDEX(INVESTORS_LIST[INVESTOR NAME],MATCH(LS[[#This Row],[Investor ID]],INVESTORS_LIST[INVESTOR CODE],0),)</f>
        <v>MD. MUSTAFA KAMAL</v>
      </c>
      <c r="F867" s="100" t="s">
        <v>1300</v>
      </c>
      <c r="G867" s="101">
        <f>COUNTIF(LS[[#Headers],[Investor ID]]:LS[[#This Row],[Investor ID]],LS[[#This Row],[Investor ID]])</f>
        <v>4</v>
      </c>
      <c r="H867" s="101" t="str">
        <f>CONCATENATE(LS[[#This Row],[Frequency]],LS[[#This Row],[Investor ID]])</f>
        <v>4A00597</v>
      </c>
      <c r="I867" s="75" t="str">
        <f>IF(LS[[#This Row],[B/S]]="B","BUY",(IF(LS[[#This Row],[B/S]]="S","SELL"," ")))</f>
        <v>SELL</v>
      </c>
      <c r="J867" s="101" t="s">
        <v>1231</v>
      </c>
      <c r="K867" s="102">
        <v>-794702.5</v>
      </c>
      <c r="L867" s="99"/>
      <c r="M867" s="103">
        <f>LS[[#This Row],[Amount]]/LS[[#This Row],[Unit]]</f>
        <v>12.7</v>
      </c>
      <c r="N867" s="104">
        <f>LS[[#This Row],[Unit Capital]]/10</f>
        <v>-62575</v>
      </c>
      <c r="O867" s="104">
        <f>SUMIFS(LS[[#Headers],[Unit]]:LS[[#This Row],[Unit]],LS[[#Headers],[Investor ID]]:LS[[#This Row],[Investor ID]],LS[[#This Row],[Investor ID]])</f>
        <v>0</v>
      </c>
      <c r="P867" s="102">
        <v>-625750</v>
      </c>
      <c r="Q867" s="102">
        <f>LS[[#This Row],[Amount]]-LS[[#This Row],[Unit Capital]]</f>
        <v>-168952.5</v>
      </c>
      <c r="R8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67" s="103">
        <f t="shared" si="13"/>
        <v>14.224</v>
      </c>
      <c r="T867" s="102">
        <f>IF(LS[[#This Row],[B/S]]="B",0,ABS(LS[[#This Row],[Unit]])*(LS[[#This Row],[NAV (Strike Rate)]]-INDEX(LS[NAV at Cost (Average)],MATCH(CONCATENATE(LS[[#This Row],[Frequency]]-1,LS[[#This Row],[Investor ID]]),LS[Unique Code],0),)))</f>
        <v>44702.499999999869</v>
      </c>
      <c r="U867" s="102" cm="1">
        <f t="array" ref="U867">IF(LS[[#This Row],[B/S]]="S",ABS(LS[[#This Row],[Unit]])*(INDEX(LS[NAV at Cost (Average)],MATCH(CONCATENATE((LS[[#This Row],[Frequency]]-1),LS[[#This Row],[Investor ID]]),LS[Unique Code],0),0)),0)</f>
        <v>750000.00000000012</v>
      </c>
      <c r="V867" s="102">
        <f>IF(LS[[#This Row],[BO TRANSFER]]="YES",LS[[#This Row],[Unit]],)</f>
        <v>0</v>
      </c>
      <c r="W867" s="102">
        <f>SUMIFS(LS[[#Headers],[BO UNIT TRANSFER]]:LS[[#This Row],[BO UNIT TRANSFER]],LS[[#Headers],[Investor ID]]:LS[[#This Row],[Investor ID]],LS[[#This Row],[Investor ID]])</f>
        <v>0</v>
      </c>
    </row>
    <row r="868" spans="1:23">
      <c r="A868" s="101">
        <v>2025</v>
      </c>
      <c r="B868" s="101">
        <v>3</v>
      </c>
      <c r="C868" s="101">
        <v>5</v>
      </c>
      <c r="D868" s="98">
        <f>DATE(LS[[#This Row],[Year]],LS[[#This Row],[Month]],LS[[#This Row],[Day]])</f>
        <v>45721</v>
      </c>
      <c r="E868" s="99" t="str" cm="1">
        <f t="array" ref="E868">INDEX(INVESTORS_LIST[INVESTOR NAME],MATCH(LS[[#This Row],[Investor ID]],INVESTORS_LIST[INVESTOR CODE],0),)</f>
        <v>SULTANA RAZIA</v>
      </c>
      <c r="F868" s="100" t="s">
        <v>511</v>
      </c>
      <c r="G868" s="101">
        <f>COUNTIF(LS[[#Headers],[Investor ID]]:LS[[#This Row],[Investor ID]],LS[[#This Row],[Investor ID]])</f>
        <v>7</v>
      </c>
      <c r="H868" s="101" t="str">
        <f>CONCATENATE(LS[[#This Row],[Frequency]],LS[[#This Row],[Investor ID]])</f>
        <v>7A00231</v>
      </c>
      <c r="I868" s="75" t="str">
        <f>IF(LS[[#This Row],[B/S]]="B","BUY",(IF(LS[[#This Row],[B/S]]="S","SELL"," ")))</f>
        <v>SELL</v>
      </c>
      <c r="J868" s="101" t="s">
        <v>1231</v>
      </c>
      <c r="K868" s="102">
        <v>-2798216.4</v>
      </c>
      <c r="L868" s="99"/>
      <c r="M868" s="103">
        <f>LS[[#This Row],[Amount]]/LS[[#This Row],[Unit]]</f>
        <v>12.7</v>
      </c>
      <c r="N868" s="104">
        <f>LS[[#This Row],[Unit Capital]]/10</f>
        <v>-220332</v>
      </c>
      <c r="O868" s="104">
        <f>SUMIFS(LS[[#Headers],[Unit]]:LS[[#This Row],[Unit]],LS[[#Headers],[Investor ID]]:LS[[#This Row],[Investor ID]],LS[[#This Row],[Investor ID]])</f>
        <v>0</v>
      </c>
      <c r="P868" s="102">
        <v>-2203320</v>
      </c>
      <c r="Q868" s="102">
        <f>LS[[#This Row],[Amount]]-LS[[#This Row],[Unit Capital]]</f>
        <v>-594896.39999999991</v>
      </c>
      <c r="R8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68" s="103">
        <f t="shared" si="13"/>
        <v>14.224</v>
      </c>
      <c r="T868" s="102">
        <f>IF(LS[[#This Row],[B/S]]="B",0,ABS(LS[[#This Row],[Unit]])*(LS[[#This Row],[NAV (Strike Rate)]]-INDEX(LS[NAV at Cost (Average)],MATCH(CONCATENATE(LS[[#This Row],[Frequency]]-1,LS[[#This Row],[Investor ID]]),LS[Unique Code],0),)))</f>
        <v>269033.96840470022</v>
      </c>
      <c r="U868" s="102" cm="1">
        <f t="array" ref="U868">IF(LS[[#This Row],[B/S]]="S",ABS(LS[[#This Row],[Unit]])*(INDEX(LS[NAV at Cost (Average)],MATCH(CONCATENATE((LS[[#This Row],[Frequency]]-1),LS[[#This Row],[Investor ID]]),LS[Unique Code],0),0)),0)</f>
        <v>2529182.4315952999</v>
      </c>
      <c r="V868" s="102">
        <f>IF(LS[[#This Row],[BO TRANSFER]]="YES",LS[[#This Row],[Unit]],)</f>
        <v>0</v>
      </c>
      <c r="W868" s="102">
        <f>SUMIFS(LS[[#Headers],[BO UNIT TRANSFER]]:LS[[#This Row],[BO UNIT TRANSFER]],LS[[#Headers],[Investor ID]]:LS[[#This Row],[Investor ID]],LS[[#This Row],[Investor ID]])</f>
        <v>0</v>
      </c>
    </row>
    <row r="869" spans="1:23">
      <c r="A869" s="101">
        <v>2025</v>
      </c>
      <c r="B869" s="101">
        <v>3</v>
      </c>
      <c r="C869" s="101">
        <v>5</v>
      </c>
      <c r="D869" s="98">
        <f>DATE(LS[[#This Row],[Year]],LS[[#This Row],[Month]],LS[[#This Row],[Day]])</f>
        <v>45721</v>
      </c>
      <c r="E869" s="99" t="str" cm="1">
        <f t="array" ref="E869">INDEX(INVESTORS_LIST[INVESTOR NAME],MATCH(LS[[#This Row],[Investor ID]],INVESTORS_LIST[INVESTOR CODE],0),)</f>
        <v>ADNAN NOOR</v>
      </c>
      <c r="F869" s="100" t="s">
        <v>1105</v>
      </c>
      <c r="G869" s="101">
        <f>COUNTIF(LS[[#Headers],[Investor ID]]:LS[[#This Row],[Investor ID]],LS[[#This Row],[Investor ID]])</f>
        <v>3</v>
      </c>
      <c r="H869" s="101" t="str">
        <f>CONCATENATE(LS[[#This Row],[Frequency]],LS[[#This Row],[Investor ID]])</f>
        <v>3A00529</v>
      </c>
      <c r="I869" s="75" t="str">
        <f>IF(LS[[#This Row],[B/S]]="B","BUY",(IF(LS[[#This Row],[B/S]]="S","SELL"," ")))</f>
        <v>SELL</v>
      </c>
      <c r="J869" s="101" t="s">
        <v>1231</v>
      </c>
      <c r="K869" s="102">
        <v>-1000000</v>
      </c>
      <c r="L869" s="88"/>
      <c r="M869" s="103">
        <f>LS[[#This Row],[Amount]]/LS[[#This Row],[Unit]]</f>
        <v>12.7000254000508</v>
      </c>
      <c r="N869" s="104">
        <f>LS[[#This Row],[Unit Capital]]/10</f>
        <v>-78740</v>
      </c>
      <c r="O869" s="104">
        <f>SUMIFS(LS[[#Headers],[Unit]]:LS[[#This Row],[Unit]],LS[[#Headers],[Investor ID]]:LS[[#This Row],[Investor ID]],LS[[#This Row],[Investor ID]])</f>
        <v>105643</v>
      </c>
      <c r="P869" s="102">
        <v>-787400</v>
      </c>
      <c r="Q869" s="102">
        <f>LS[[#This Row],[Amount]]-LS[[#This Row],[Unit Capital]]</f>
        <v>-212600</v>
      </c>
      <c r="R8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10.846986978192131</v>
      </c>
      <c r="S869" s="103">
        <f t="shared" si="13"/>
        <v>14.224</v>
      </c>
      <c r="T869" s="102">
        <f>IF(LS[[#This Row],[B/S]]="B",0,ABS(LS[[#This Row],[Unit]])*(LS[[#This Row],[NAV (Strike Rate)]]-INDEX(LS[NAV at Cost (Average)],MATCH(CONCATENATE(LS[[#This Row],[Frequency]]-1,LS[[#This Row],[Investor ID]]),LS[Unique Code],0),)))</f>
        <v>145908.24533715157</v>
      </c>
      <c r="U869" s="102" cm="1">
        <f t="array" ref="U869">IF(LS[[#This Row],[B/S]]="S",ABS(LS[[#This Row],[Unit]])*(INDEX(LS[NAV at Cost (Average)],MATCH(CONCATENATE((LS[[#This Row],[Frequency]]-1),LS[[#This Row],[Investor ID]]),LS[Unique Code],0),0)),0)</f>
        <v>854091.75466284843</v>
      </c>
      <c r="V869" s="102">
        <f>IF(LS[[#This Row],[BO TRANSFER]]="YES",LS[[#This Row],[Unit]],)</f>
        <v>0</v>
      </c>
      <c r="W869" s="102">
        <f>SUMIFS(LS[[#Headers],[BO UNIT TRANSFER]]:LS[[#This Row],[BO UNIT TRANSFER]],LS[[#Headers],[Investor ID]]:LS[[#This Row],[Investor ID]],LS[[#This Row],[Investor ID]])</f>
        <v>0</v>
      </c>
    </row>
    <row r="870" spans="1:23">
      <c r="A870" s="101">
        <v>2025</v>
      </c>
      <c r="B870" s="101">
        <v>3</v>
      </c>
      <c r="C870" s="101">
        <v>5</v>
      </c>
      <c r="D870" s="98">
        <f>DATE(LS[[#This Row],[Year]],LS[[#This Row],[Month]],LS[[#This Row],[Day]])</f>
        <v>45721</v>
      </c>
      <c r="E870" s="99" t="str" cm="1">
        <f t="array" ref="E870">INDEX(INVESTORS_LIST[INVESTOR NAME],MATCH(LS[[#This Row],[Investor ID]],INVESTORS_LIST[INVESTOR CODE],0),)</f>
        <v>ASMA UL HUSNA</v>
      </c>
      <c r="F870" s="100" t="s">
        <v>324</v>
      </c>
      <c r="G870" s="101">
        <f>COUNTIF(LS[[#Headers],[Investor ID]]:LS[[#This Row],[Investor ID]],LS[[#This Row],[Investor ID]])</f>
        <v>4</v>
      </c>
      <c r="H870" s="101" t="str">
        <f>CONCATENATE(LS[[#This Row],[Frequency]],LS[[#This Row],[Investor ID]])</f>
        <v>4A00138</v>
      </c>
      <c r="I870" s="75" t="str">
        <f>IF(LS[[#This Row],[B/S]]="B","BUY",(IF(LS[[#This Row],[B/S]]="S","SELL"," ")))</f>
        <v>SELL</v>
      </c>
      <c r="J870" s="101" t="s">
        <v>1231</v>
      </c>
      <c r="K870" s="102">
        <v>-1000000</v>
      </c>
      <c r="L870" s="99"/>
      <c r="M870" s="103">
        <f>LS[[#This Row],[Amount]]/LS[[#This Row],[Unit]]</f>
        <v>12.7000254000508</v>
      </c>
      <c r="N870" s="104">
        <f>LS[[#This Row],[Unit Capital]]/10</f>
        <v>-78740</v>
      </c>
      <c r="O870" s="104">
        <f>SUMIFS(LS[[#Headers],[Unit]]:LS[[#This Row],[Unit]],LS[[#Headers],[Investor ID]]:LS[[#This Row],[Investor ID]],LS[[#This Row],[Investor ID]])</f>
        <v>90625</v>
      </c>
      <c r="P870" s="102">
        <v>-787400</v>
      </c>
      <c r="Q870" s="102">
        <f>LS[[#This Row],[Amount]]-LS[[#This Row],[Unit Capital]]</f>
        <v>-212600</v>
      </c>
      <c r="R8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10.176318100991924</v>
      </c>
      <c r="S870" s="103">
        <f t="shared" si="13"/>
        <v>14.224</v>
      </c>
      <c r="T870" s="102">
        <f>IF(LS[[#This Row],[B/S]]="B",0,ABS(LS[[#This Row],[Unit]])*(LS[[#This Row],[NAV (Strike Rate)]]-INDEX(LS[NAV at Cost (Average)],MATCH(CONCATENATE(LS[[#This Row],[Frequency]]-1,LS[[#This Row],[Investor ID]]),LS[Unique Code],0),)))</f>
        <v>198716.71272789585</v>
      </c>
      <c r="U870" s="102" cm="1">
        <f t="array" ref="U870">IF(LS[[#This Row],[B/S]]="S",ABS(LS[[#This Row],[Unit]])*(INDEX(LS[NAV at Cost (Average)],MATCH(CONCATENATE((LS[[#This Row],[Frequency]]-1),LS[[#This Row],[Investor ID]]),LS[Unique Code],0),0)),0)</f>
        <v>801283.28727210418</v>
      </c>
      <c r="V870" s="102">
        <f>IF(LS[[#This Row],[BO TRANSFER]]="YES",LS[[#This Row],[Unit]],)</f>
        <v>0</v>
      </c>
      <c r="W870" s="102">
        <f>SUMIFS(LS[[#Headers],[BO UNIT TRANSFER]]:LS[[#This Row],[BO UNIT TRANSFER]],LS[[#Headers],[Investor ID]]:LS[[#This Row],[Investor ID]],LS[[#This Row],[Investor ID]])</f>
        <v>0</v>
      </c>
    </row>
    <row r="871" spans="1:23">
      <c r="A871" s="101">
        <v>2025</v>
      </c>
      <c r="B871" s="101">
        <v>3</v>
      </c>
      <c r="C871" s="101">
        <v>5</v>
      </c>
      <c r="D871" s="98">
        <f>DATE(LS[[#This Row],[Year]],LS[[#This Row],[Month]],LS[[#This Row],[Day]])</f>
        <v>45721</v>
      </c>
      <c r="E871" s="99" t="str" cm="1">
        <f t="array" ref="E871">INDEX(INVESTORS_LIST[INVESTOR NAME],MATCH(LS[[#This Row],[Investor ID]],INVESTORS_LIST[INVESTOR CODE],0),)</f>
        <v>MAYA RANI SAHA</v>
      </c>
      <c r="F871" s="100" t="s">
        <v>224</v>
      </c>
      <c r="G871" s="101">
        <f>COUNTIF(LS[[#Headers],[Investor ID]]:LS[[#This Row],[Investor ID]],LS[[#This Row],[Investor ID]])</f>
        <v>15</v>
      </c>
      <c r="H871" s="101" t="str">
        <f>CONCATENATE(LS[[#This Row],[Frequency]],LS[[#This Row],[Investor ID]])</f>
        <v>15A00088</v>
      </c>
      <c r="I871" s="75" t="str">
        <f>IF(LS[[#This Row],[B/S]]="B","BUY",(IF(LS[[#This Row],[B/S]]="S","SELL"," ")))</f>
        <v>BUY</v>
      </c>
      <c r="J871" s="101" t="s">
        <v>1229</v>
      </c>
      <c r="K871" s="102">
        <v>200000</v>
      </c>
      <c r="L871" s="99"/>
      <c r="M871" s="103">
        <f>LS[[#This Row],[Amount]]/LS[[#This Row],[Unit]]</f>
        <v>12.7000254000508</v>
      </c>
      <c r="N871" s="104">
        <f>LS[[#This Row],[Unit Capital]]/10</f>
        <v>15748</v>
      </c>
      <c r="O871" s="104">
        <f>SUMIFS(LS[[#Headers],[Unit]]:LS[[#This Row],[Unit]],LS[[#Headers],[Investor ID]]:LS[[#This Row],[Investor ID]],LS[[#This Row],[Investor ID]])</f>
        <v>578546</v>
      </c>
      <c r="P871" s="102">
        <v>157480</v>
      </c>
      <c r="Q871" s="102">
        <f>LS[[#This Row],[Amount]]-LS[[#This Row],[Unit Capital]]</f>
        <v>42520</v>
      </c>
      <c r="R8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10.670726930850083</v>
      </c>
      <c r="S871" s="103">
        <f t="shared" si="13"/>
        <v>14.224</v>
      </c>
      <c r="T8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71" s="102" cm="1">
        <f t="array" ref="U871">IF(LS[[#This Row],[B/S]]="S",ABS(LS[[#This Row],[Unit]])*(INDEX(LS[NAV at Cost (Average)],MATCH(CONCATENATE((LS[[#This Row],[Frequency]]-1),LS[[#This Row],[Investor ID]]),LS[Unique Code],0),0)),0)</f>
        <v>0</v>
      </c>
      <c r="V871" s="102">
        <f>IF(LS[[#This Row],[BO TRANSFER]]="YES",LS[[#This Row],[Unit]],)</f>
        <v>0</v>
      </c>
      <c r="W871" s="102">
        <f>SUMIFS(LS[[#Headers],[BO UNIT TRANSFER]]:LS[[#This Row],[BO UNIT TRANSFER]],LS[[#Headers],[Investor ID]]:LS[[#This Row],[Investor ID]],LS[[#This Row],[Investor ID]])</f>
        <v>0</v>
      </c>
    </row>
    <row r="872" spans="1:23">
      <c r="A872" s="101">
        <v>2025</v>
      </c>
      <c r="B872" s="101">
        <v>3</v>
      </c>
      <c r="C872" s="101">
        <v>6</v>
      </c>
      <c r="D872" s="98">
        <f>DATE(LS[[#This Row],[Year]],LS[[#This Row],[Month]],LS[[#This Row],[Day]])</f>
        <v>45722</v>
      </c>
      <c r="E872" s="99" t="str" cm="1">
        <f t="array" ref="E872">INDEX(INVESTORS_LIST[INVESTOR NAME],MATCH(LS[[#This Row],[Investor ID]],INVESTORS_LIST[INVESTOR CODE],0),)</f>
        <v>SUJAN BARUA</v>
      </c>
      <c r="F872" s="100" t="s">
        <v>180</v>
      </c>
      <c r="G872" s="101">
        <f>COUNTIF(LS[[#Headers],[Investor ID]]:LS[[#This Row],[Investor ID]],LS[[#This Row],[Investor ID]])</f>
        <v>2</v>
      </c>
      <c r="H872" s="101" t="str">
        <f>CONCATENATE(LS[[#This Row],[Frequency]],LS[[#This Row],[Investor ID]])</f>
        <v>2A00066</v>
      </c>
      <c r="I872" s="75" t="str">
        <f>IF(LS[[#This Row],[B/S]]="B","BUY",(IF(LS[[#This Row],[B/S]]="S","SELL"," ")))</f>
        <v>SELL</v>
      </c>
      <c r="J872" s="101" t="s">
        <v>1231</v>
      </c>
      <c r="K872" s="102">
        <v>-584555.6</v>
      </c>
      <c r="L872" s="99"/>
      <c r="M872" s="103">
        <f>LS[[#This Row],[Amount]]/LS[[#This Row],[Unit]]</f>
        <v>12.7</v>
      </c>
      <c r="N872" s="104">
        <f>LS[[#This Row],[Unit Capital]]/10</f>
        <v>-46028</v>
      </c>
      <c r="O872" s="104">
        <f>SUMIFS(LS[[#Headers],[Unit]]:LS[[#This Row],[Unit]],LS[[#Headers],[Investor ID]]:LS[[#This Row],[Investor ID]],LS[[#This Row],[Investor ID]])</f>
        <v>0</v>
      </c>
      <c r="P872" s="102">
        <v>-460280</v>
      </c>
      <c r="Q872" s="102">
        <f>LS[[#This Row],[Amount]]-LS[[#This Row],[Unit Capital]]</f>
        <v>-124275.59999999998</v>
      </c>
      <c r="R8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72" s="103">
        <f t="shared" si="13"/>
        <v>14.224</v>
      </c>
      <c r="T872" s="102">
        <f>IF(LS[[#This Row],[B/S]]="B",0,ABS(LS[[#This Row],[Unit]])*(LS[[#This Row],[NAV (Strike Rate)]]-INDEX(LS[NAV at Cost (Average)],MATCH(CONCATENATE(LS[[#This Row],[Frequency]]-1,LS[[#This Row],[Investor ID]]),LS[Unique Code],0),)))</f>
        <v>84555.599999999933</v>
      </c>
      <c r="U872" s="102" cm="1">
        <f t="array" ref="U872">IF(LS[[#This Row],[B/S]]="S",ABS(LS[[#This Row],[Unit]])*(INDEX(LS[NAV at Cost (Average)],MATCH(CONCATENATE((LS[[#This Row],[Frequency]]-1),LS[[#This Row],[Investor ID]]),LS[Unique Code],0),0)),0)</f>
        <v>500000.00000000006</v>
      </c>
      <c r="V872" s="102">
        <f>IF(LS[[#This Row],[BO TRANSFER]]="YES",LS[[#This Row],[Unit]],)</f>
        <v>0</v>
      </c>
      <c r="W872" s="102">
        <f>SUMIFS(LS[[#Headers],[BO UNIT TRANSFER]]:LS[[#This Row],[BO UNIT TRANSFER]],LS[[#Headers],[Investor ID]]:LS[[#This Row],[Investor ID]],LS[[#This Row],[Investor ID]])</f>
        <v>0</v>
      </c>
    </row>
    <row r="873" spans="1:23">
      <c r="A873" s="101">
        <v>2025</v>
      </c>
      <c r="B873" s="101">
        <v>3</v>
      </c>
      <c r="C873" s="101">
        <v>6</v>
      </c>
      <c r="D873" s="98">
        <f>DATE(LS[[#This Row],[Year]],LS[[#This Row],[Month]],LS[[#This Row],[Day]])</f>
        <v>45722</v>
      </c>
      <c r="E873" s="99" t="str" cm="1">
        <f t="array" ref="E873">INDEX(INVESTORS_LIST[INVESTOR NAME],MATCH(LS[[#This Row],[Investor ID]],INVESTORS_LIST[INVESTOR CODE],0),)</f>
        <v xml:space="preserve">JOBAIDA KHANOM </v>
      </c>
      <c r="F873" s="100" t="s">
        <v>1309</v>
      </c>
      <c r="G873" s="101">
        <f>COUNTIF(LS[[#Headers],[Investor ID]]:LS[[#This Row],[Investor ID]],LS[[#This Row],[Investor ID]])</f>
        <v>1</v>
      </c>
      <c r="H873" s="101" t="str">
        <f>CONCATENATE(LS[[#This Row],[Frequency]],LS[[#This Row],[Investor ID]])</f>
        <v>1A00602</v>
      </c>
      <c r="I873" s="75" t="str">
        <f>IF(LS[[#This Row],[B/S]]="B","BUY",(IF(LS[[#This Row],[B/S]]="S","SELL"," ")))</f>
        <v>BUY</v>
      </c>
      <c r="J873" s="101" t="s">
        <v>1229</v>
      </c>
      <c r="K873" s="102">
        <v>2500000</v>
      </c>
      <c r="L873" s="99"/>
      <c r="M873" s="103">
        <f>LS[[#This Row],[Amount]]/LS[[#This Row],[Unit]]</f>
        <v>12.366014235755587</v>
      </c>
      <c r="N873" s="104">
        <f>LS[[#This Row],[Unit Capital]]/10</f>
        <v>202167</v>
      </c>
      <c r="O873" s="104">
        <f>SUMIFS(LS[[#Headers],[Unit]]:LS[[#This Row],[Unit]],LS[[#Headers],[Investor ID]]:LS[[#This Row],[Investor ID]],LS[[#This Row],[Investor ID]])</f>
        <v>202167</v>
      </c>
      <c r="P873" s="102">
        <v>2021670</v>
      </c>
      <c r="Q873" s="102">
        <f>LS[[#This Row],[Amount]]-LS[[#This Row],[Unit Capital]]</f>
        <v>478330</v>
      </c>
      <c r="R8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12.366014235755587</v>
      </c>
      <c r="S873" s="103">
        <f t="shared" si="13"/>
        <v>14.224</v>
      </c>
      <c r="T87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73" s="102" cm="1">
        <f t="array" ref="U873">IF(LS[[#This Row],[B/S]]="S",ABS(LS[[#This Row],[Unit]])*(INDEX(LS[NAV at Cost (Average)],MATCH(CONCATENATE((LS[[#This Row],[Frequency]]-1),LS[[#This Row],[Investor ID]]),LS[Unique Code],0),0)),0)</f>
        <v>0</v>
      </c>
      <c r="V873" s="102">
        <f>IF(LS[[#This Row],[BO TRANSFER]]="YES",LS[[#This Row],[Unit]],)</f>
        <v>0</v>
      </c>
      <c r="W873" s="102">
        <f>SUMIFS(LS[[#Headers],[BO UNIT TRANSFER]]:LS[[#This Row],[BO UNIT TRANSFER]],LS[[#Headers],[Investor ID]]:LS[[#This Row],[Investor ID]],LS[[#This Row],[Investor ID]])</f>
        <v>0</v>
      </c>
    </row>
    <row r="874" spans="1:23">
      <c r="A874" s="101">
        <v>2025</v>
      </c>
      <c r="B874" s="101">
        <v>3</v>
      </c>
      <c r="C874" s="101">
        <v>6</v>
      </c>
      <c r="D874" s="98">
        <f>DATE(LS[[#This Row],[Year]],LS[[#This Row],[Month]],LS[[#This Row],[Day]])</f>
        <v>45722</v>
      </c>
      <c r="E874" s="99" t="str" cm="1">
        <f t="array" ref="E874">INDEX(INVESTORS_LIST[INVESTOR NAME],MATCH(LS[[#This Row],[Investor ID]],INVESTORS_LIST[INVESTOR CODE],0),)</f>
        <v>FARZANA JITU</v>
      </c>
      <c r="F874" s="100" t="s">
        <v>968</v>
      </c>
      <c r="G874" s="101">
        <f>COUNTIF(LS[[#Headers],[Investor ID]]:LS[[#This Row],[Investor ID]],LS[[#This Row],[Investor ID]])</f>
        <v>22</v>
      </c>
      <c r="H874" s="101" t="str">
        <f>CONCATENATE(LS[[#This Row],[Frequency]],LS[[#This Row],[Investor ID]])</f>
        <v>22A00461</v>
      </c>
      <c r="I874" s="75" t="str">
        <f>IF(LS[[#This Row],[B/S]]="B","BUY",(IF(LS[[#This Row],[B/S]]="S","SELL"," ")))</f>
        <v>BUY</v>
      </c>
      <c r="J874" s="101" t="s">
        <v>1229</v>
      </c>
      <c r="K874" s="102">
        <v>25000</v>
      </c>
      <c r="L874" s="88"/>
      <c r="M874" s="103">
        <f>LS[[#This Row],[Amount]]/LS[[#This Row],[Unit]]</f>
        <v>12.696800406297614</v>
      </c>
      <c r="N874" s="104">
        <f>LS[[#This Row],[Unit Capital]]/10</f>
        <v>1969</v>
      </c>
      <c r="O874" s="104">
        <f>SUMIFS(LS[[#Headers],[Unit]]:LS[[#This Row],[Unit]],LS[[#Headers],[Investor ID]]:LS[[#This Row],[Investor ID]],LS[[#This Row],[Investor ID]])</f>
        <v>34155</v>
      </c>
      <c r="P874" s="102">
        <v>19690</v>
      </c>
      <c r="Q874" s="102">
        <f>LS[[#This Row],[Amount]]-LS[[#This Row],[Unit Capital]]</f>
        <v>5310</v>
      </c>
      <c r="R8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11.78618890415555</v>
      </c>
      <c r="S874" s="103">
        <f t="shared" si="13"/>
        <v>14.224</v>
      </c>
      <c r="T8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74" s="102" cm="1">
        <f t="array" ref="U874">IF(LS[[#This Row],[B/S]]="S",ABS(LS[[#This Row],[Unit]])*(INDEX(LS[NAV at Cost (Average)],MATCH(CONCATENATE((LS[[#This Row],[Frequency]]-1),LS[[#This Row],[Investor ID]]),LS[Unique Code],0),0)),0)</f>
        <v>0</v>
      </c>
      <c r="V874" s="102">
        <f>IF(LS[[#This Row],[BO TRANSFER]]="YES",LS[[#This Row],[Unit]],)</f>
        <v>0</v>
      </c>
      <c r="W874" s="102">
        <f>SUMIFS(LS[[#Headers],[BO UNIT TRANSFER]]:LS[[#This Row],[BO UNIT TRANSFER]],LS[[#Headers],[Investor ID]]:LS[[#This Row],[Investor ID]],LS[[#This Row],[Investor ID]])</f>
        <v>0</v>
      </c>
    </row>
    <row r="875" spans="1:23">
      <c r="A875" s="101">
        <v>2025</v>
      </c>
      <c r="B875" s="101">
        <v>3</v>
      </c>
      <c r="C875" s="101">
        <v>9</v>
      </c>
      <c r="D875" s="98">
        <f>DATE(LS[[#This Row],[Year]],LS[[#This Row],[Month]],LS[[#This Row],[Day]])</f>
        <v>45725</v>
      </c>
      <c r="E875" s="99" t="str" cm="1">
        <f t="array" ref="E875">INDEX(INVESTORS_LIST[INVESTOR NAME],MATCH(LS[[#This Row],[Investor ID]],INVESTORS_LIST[INVESTOR CODE],0),)</f>
        <v>SYED FAZLE RABBY</v>
      </c>
      <c r="F875" s="100" t="s">
        <v>166</v>
      </c>
      <c r="G875" s="101">
        <f>COUNTIF(LS[[#Headers],[Investor ID]]:LS[[#This Row],[Investor ID]],LS[[#This Row],[Investor ID]])</f>
        <v>34</v>
      </c>
      <c r="H875" s="101" t="str">
        <f>CONCATENATE(LS[[#This Row],[Frequency]],LS[[#This Row],[Investor ID]])</f>
        <v>34A00059</v>
      </c>
      <c r="I875" s="75" t="str">
        <f>IF(LS[[#This Row],[B/S]]="B","BUY",(IF(LS[[#This Row],[B/S]]="S","SELL"," ")))</f>
        <v>SELL</v>
      </c>
      <c r="J875" s="101" t="s">
        <v>1231</v>
      </c>
      <c r="K875" s="102">
        <v>-381120</v>
      </c>
      <c r="L875" s="99"/>
      <c r="M875" s="103">
        <f>LS[[#This Row],[Amount]]/LS[[#This Row],[Unit]]</f>
        <v>12.704000000000001</v>
      </c>
      <c r="N875" s="104">
        <f>LS[[#This Row],[Unit Capital]]/10</f>
        <v>-30000</v>
      </c>
      <c r="O875" s="104">
        <f>SUMIFS(LS[[#Headers],[Unit]]:LS[[#This Row],[Unit]],LS[[#Headers],[Investor ID]]:LS[[#This Row],[Investor ID]],LS[[#This Row],[Investor ID]])</f>
        <v>452304</v>
      </c>
      <c r="P875" s="102">
        <v>-300000</v>
      </c>
      <c r="Q875" s="102">
        <f>LS[[#This Row],[Amount]]-LS[[#This Row],[Unit Capital]]</f>
        <v>-81120</v>
      </c>
      <c r="R8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10.85868153336467</v>
      </c>
      <c r="S875" s="103">
        <f t="shared" si="13"/>
        <v>14.224</v>
      </c>
      <c r="T875" s="102">
        <f>IF(LS[[#This Row],[B/S]]="B",0,ABS(LS[[#This Row],[Unit]])*(LS[[#This Row],[NAV (Strike Rate)]]-INDEX(LS[NAV at Cost (Average)],MATCH(CONCATENATE(LS[[#This Row],[Frequency]]-1,LS[[#This Row],[Investor ID]]),LS[Unique Code],0),)))</f>
        <v>55359.553999059906</v>
      </c>
      <c r="U875" s="102" cm="1">
        <f t="array" ref="U875">IF(LS[[#This Row],[B/S]]="S",ABS(LS[[#This Row],[Unit]])*(INDEX(LS[NAV at Cost (Average)],MATCH(CONCATENATE((LS[[#This Row],[Frequency]]-1),LS[[#This Row],[Investor ID]]),LS[Unique Code],0),0)),0)</f>
        <v>325760.44600094011</v>
      </c>
      <c r="V875" s="102">
        <f>IF(LS[[#This Row],[BO TRANSFER]]="YES",LS[[#This Row],[Unit]],)</f>
        <v>0</v>
      </c>
      <c r="W875" s="102">
        <f>SUMIFS(LS[[#Headers],[BO UNIT TRANSFER]]:LS[[#This Row],[BO UNIT TRANSFER]],LS[[#Headers],[Investor ID]]:LS[[#This Row],[Investor ID]],LS[[#This Row],[Investor ID]])</f>
        <v>0</v>
      </c>
    </row>
    <row r="876" spans="1:23">
      <c r="A876" s="101">
        <v>2025</v>
      </c>
      <c r="B876" s="101">
        <v>3</v>
      </c>
      <c r="C876" s="101">
        <v>11</v>
      </c>
      <c r="D876" s="98">
        <f>DATE(LS[[#This Row],[Year]],LS[[#This Row],[Month]],LS[[#This Row],[Day]])</f>
        <v>45727</v>
      </c>
      <c r="E876" s="99" t="str" cm="1">
        <f t="array" ref="E876">INDEX(INVESTORS_LIST[INVESTOR NAME],MATCH(LS[[#This Row],[Investor ID]],INVESTORS_LIST[INVESTOR CODE],0),)</f>
        <v>MD SHAFIQUR RAHMAN MONSI</v>
      </c>
      <c r="F876" s="100" t="s">
        <v>1034</v>
      </c>
      <c r="G876" s="101">
        <f>COUNTIF(LS[[#Headers],[Investor ID]]:LS[[#This Row],[Investor ID]],LS[[#This Row],[Investor ID]])</f>
        <v>14</v>
      </c>
      <c r="H876" s="101" t="str">
        <f>CONCATENATE(LS[[#This Row],[Frequency]],LS[[#This Row],[Investor ID]])</f>
        <v>14A00494</v>
      </c>
      <c r="I876" s="75" t="str">
        <f>IF(LS[[#This Row],[B/S]]="B","BUY",(IF(LS[[#This Row],[B/S]]="S","SELL"," ")))</f>
        <v>SELL</v>
      </c>
      <c r="J876" s="101" t="s">
        <v>1231</v>
      </c>
      <c r="K876" s="102">
        <v>-441527.52</v>
      </c>
      <c r="L876" s="99"/>
      <c r="M876" s="103">
        <f>LS[[#This Row],[Amount]]/LS[[#This Row],[Unit]]</f>
        <v>12.704000000000001</v>
      </c>
      <c r="N876" s="104">
        <f>LS[[#This Row],[Unit Capital]]/10</f>
        <v>-34755</v>
      </c>
      <c r="O876" s="104">
        <f>SUMIFS(LS[[#Headers],[Unit]]:LS[[#This Row],[Unit]],LS[[#Headers],[Investor ID]]:LS[[#This Row],[Investor ID]],LS[[#This Row],[Investor ID]])</f>
        <v>0</v>
      </c>
      <c r="P876" s="102">
        <v>-347550</v>
      </c>
      <c r="Q876" s="102">
        <f>LS[[#This Row],[Amount]]-LS[[#This Row],[Unit Capital]]</f>
        <v>-93977.520000000019</v>
      </c>
      <c r="R8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76" s="103">
        <f t="shared" si="13"/>
        <v>14.224</v>
      </c>
      <c r="T876" s="102">
        <f>IF(LS[[#This Row],[B/S]]="B",0,ABS(LS[[#This Row],[Unit]])*(LS[[#This Row],[NAV (Strike Rate)]]-INDEX(LS[NAV at Cost (Average)],MATCH(CONCATENATE(LS[[#This Row],[Frequency]]-1,LS[[#This Row],[Investor ID]]),LS[Unique Code],0),)))</f>
        <v>35220.436952842974</v>
      </c>
      <c r="U876" s="102" cm="1">
        <f t="array" ref="U876">IF(LS[[#This Row],[B/S]]="S",ABS(LS[[#This Row],[Unit]])*(INDEX(LS[NAV at Cost (Average)],MATCH(CONCATENATE((LS[[#This Row],[Frequency]]-1),LS[[#This Row],[Investor ID]]),LS[Unique Code],0),0)),0)</f>
        <v>406307.08304715704</v>
      </c>
      <c r="V876" s="102">
        <f>IF(LS[[#This Row],[BO TRANSFER]]="YES",LS[[#This Row],[Unit]],)</f>
        <v>0</v>
      </c>
      <c r="W876" s="102">
        <f>SUMIFS(LS[[#Headers],[BO UNIT TRANSFER]]:LS[[#This Row],[BO UNIT TRANSFER]],LS[[#Headers],[Investor ID]]:LS[[#This Row],[Investor ID]],LS[[#This Row],[Investor ID]])</f>
        <v>0</v>
      </c>
    </row>
    <row r="877" spans="1:23">
      <c r="A877" s="101">
        <v>2025</v>
      </c>
      <c r="B877" s="101">
        <v>3</v>
      </c>
      <c r="C877" s="101">
        <v>12</v>
      </c>
      <c r="D877" s="98">
        <f>DATE(LS[[#This Row],[Year]],LS[[#This Row],[Month]],LS[[#This Row],[Day]])</f>
        <v>45728</v>
      </c>
      <c r="E877" s="99" t="str" cm="1">
        <f t="array" ref="E877">INDEX(INVESTORS_LIST[INVESTOR NAME],MATCH(LS[[#This Row],[Investor ID]],INVESTORS_LIST[INVESTOR CODE],0),)</f>
        <v>MONOARA ALAM</v>
      </c>
      <c r="F877" s="100" t="s">
        <v>1302</v>
      </c>
      <c r="G877" s="101">
        <f>COUNTIF(LS[[#Headers],[Investor ID]]:LS[[#This Row],[Investor ID]],LS[[#This Row],[Investor ID]])</f>
        <v>3</v>
      </c>
      <c r="H877" s="101" t="str">
        <f>CONCATENATE(LS[[#This Row],[Frequency]],LS[[#This Row],[Investor ID]])</f>
        <v>3A00598</v>
      </c>
      <c r="I877" s="75" t="str">
        <f>IF(LS[[#This Row],[B/S]]="B","BUY",(IF(LS[[#This Row],[B/S]]="S","SELL"," ")))</f>
        <v>SELL</v>
      </c>
      <c r="J877" s="101" t="s">
        <v>1231</v>
      </c>
      <c r="K877" s="102">
        <v>-5000</v>
      </c>
      <c r="L877" s="99"/>
      <c r="M877" s="103">
        <f>LS[[#This Row],[Amount]]/LS[[#This Row],[Unit]]</f>
        <v>12.690355329949238</v>
      </c>
      <c r="N877" s="104">
        <f>LS[[#This Row],[Unit Capital]]/10</f>
        <v>-394</v>
      </c>
      <c r="O877" s="104">
        <f>SUMIFS(LS[[#Headers],[Unit]]:LS[[#This Row],[Unit]],LS[[#Headers],[Investor ID]]:LS[[#This Row],[Investor ID]],LS[[#This Row],[Investor ID]])</f>
        <v>41217</v>
      </c>
      <c r="P877" s="102">
        <v>-3940</v>
      </c>
      <c r="Q877" s="102">
        <f>LS[[#This Row],[Amount]]-LS[[#This Row],[Unit Capital]]</f>
        <v>-1060</v>
      </c>
      <c r="R8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877" s="103">
        <f t="shared" si="13"/>
        <v>14.224</v>
      </c>
      <c r="T877" s="102">
        <f>IF(LS[[#This Row],[B/S]]="B",0,ABS(LS[[#This Row],[Unit]])*(LS[[#This Row],[NAV (Strike Rate)]]-INDEX(LS[NAV at Cost (Average)],MATCH(CONCATENATE(LS[[#This Row],[Frequency]]-1,LS[[#This Row],[Investor ID]]),LS[Unique Code],0),)))</f>
        <v>359.4648073117869</v>
      </c>
      <c r="U877" s="102" cm="1">
        <f t="array" ref="U877">IF(LS[[#This Row],[B/S]]="S",ABS(LS[[#This Row],[Unit]])*(INDEX(LS[NAV at Cost (Average)],MATCH(CONCATENATE((LS[[#This Row],[Frequency]]-1),LS[[#This Row],[Investor ID]]),LS[Unique Code],0),0)),0)</f>
        <v>4640.5351926882131</v>
      </c>
      <c r="V877" s="102">
        <f>IF(LS[[#This Row],[BO TRANSFER]]="YES",LS[[#This Row],[Unit]],)</f>
        <v>0</v>
      </c>
      <c r="W877" s="102">
        <f>SUMIFS(LS[[#Headers],[BO UNIT TRANSFER]]:LS[[#This Row],[BO UNIT TRANSFER]],LS[[#Headers],[Investor ID]]:LS[[#This Row],[Investor ID]],LS[[#This Row],[Investor ID]])</f>
        <v>0</v>
      </c>
    </row>
    <row r="878" spans="1:23">
      <c r="A878" s="101">
        <v>2025</v>
      </c>
      <c r="B878" s="101">
        <v>3</v>
      </c>
      <c r="C878" s="101">
        <v>13</v>
      </c>
      <c r="D878" s="98">
        <f>DATE(LS[[#This Row],[Year]],LS[[#This Row],[Month]],LS[[#This Row],[Day]])</f>
        <v>45729</v>
      </c>
      <c r="E878" s="99" t="str" cm="1">
        <f t="array" ref="E878">INDEX(INVESTORS_LIST[INVESTOR NAME],MATCH(LS[[#This Row],[Investor ID]],INVESTORS_LIST[INVESTOR CODE],0),)</f>
        <v>ARIFUR RAHMAN</v>
      </c>
      <c r="F878" s="100" t="s">
        <v>278</v>
      </c>
      <c r="G878" s="101">
        <f>COUNTIF(LS[[#Headers],[Investor ID]]:LS[[#This Row],[Investor ID]],LS[[#This Row],[Investor ID]])</f>
        <v>8</v>
      </c>
      <c r="H878" s="101" t="str">
        <f>CONCATENATE(LS[[#This Row],[Frequency]],LS[[#This Row],[Investor ID]])</f>
        <v>8A00115</v>
      </c>
      <c r="I878" s="75" t="str">
        <f>IF(LS[[#This Row],[B/S]]="B","BUY",(IF(LS[[#This Row],[B/S]]="S","SELL"," ")))</f>
        <v>SELL</v>
      </c>
      <c r="J878" s="101" t="s">
        <v>1231</v>
      </c>
      <c r="K878" s="102">
        <v>-175861.47</v>
      </c>
      <c r="L878" s="99"/>
      <c r="M878" s="103">
        <f>LS[[#This Row],[Amount]]/LS[[#This Row],[Unit]]</f>
        <v>12.703999855522646</v>
      </c>
      <c r="N878" s="104">
        <f>LS[[#This Row],[Unit Capital]]/10</f>
        <v>-13843</v>
      </c>
      <c r="O878" s="104">
        <f>SUMIFS(LS[[#Headers],[Unit]]:LS[[#This Row],[Unit]],LS[[#Headers],[Investor ID]]:LS[[#This Row],[Investor ID]],LS[[#This Row],[Investor ID]])</f>
        <v>30000</v>
      </c>
      <c r="P878" s="102">
        <v>-138430</v>
      </c>
      <c r="Q878" s="102">
        <f>LS[[#This Row],[Amount]]-LS[[#This Row],[Unit Capital]]</f>
        <v>-37431.47</v>
      </c>
      <c r="R8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10.970964578153868</v>
      </c>
      <c r="S878" s="103">
        <f t="shared" si="13"/>
        <v>14.224</v>
      </c>
      <c r="T878" s="102">
        <f>IF(LS[[#This Row],[B/S]]="B",0,ABS(LS[[#This Row],[Unit]])*(LS[[#This Row],[NAV (Strike Rate)]]-INDEX(LS[NAV at Cost (Average)],MATCH(CONCATENATE(LS[[#This Row],[Frequency]]-1,LS[[#This Row],[Investor ID]]),LS[Unique Code],0),)))</f>
        <v>23990.407344615993</v>
      </c>
      <c r="U878" s="102" cm="1">
        <f t="array" ref="U878">IF(LS[[#This Row],[B/S]]="S",ABS(LS[[#This Row],[Unit]])*(INDEX(LS[NAV at Cost (Average)],MATCH(CONCATENATE((LS[[#This Row],[Frequency]]-1),LS[[#This Row],[Investor ID]]),LS[Unique Code],0),0)),0)</f>
        <v>151871.06265538401</v>
      </c>
      <c r="V878" s="102">
        <f>IF(LS[[#This Row],[BO TRANSFER]]="YES",LS[[#This Row],[Unit]],)</f>
        <v>0</v>
      </c>
      <c r="W878" s="102">
        <f>SUMIFS(LS[[#Headers],[BO UNIT TRANSFER]]:LS[[#This Row],[BO UNIT TRANSFER]],LS[[#Headers],[Investor ID]]:LS[[#This Row],[Investor ID]],LS[[#This Row],[Investor ID]])</f>
        <v>0</v>
      </c>
    </row>
    <row r="879" spans="1:23">
      <c r="A879" s="101">
        <v>2025</v>
      </c>
      <c r="B879" s="101">
        <v>3</v>
      </c>
      <c r="C879" s="101">
        <v>16</v>
      </c>
      <c r="D879" s="98">
        <f>DATE(LS[[#This Row],[Year]],LS[[#This Row],[Month]],LS[[#This Row],[Day]])</f>
        <v>45732</v>
      </c>
      <c r="E879" s="99" t="str" cm="1">
        <f t="array" ref="E879">INDEX(INVESTORS_LIST[INVESTOR NAME],MATCH(LS[[#This Row],[Investor ID]],INVESTORS_LIST[INVESTOR CODE],0),)</f>
        <v>SOURAV SAHA</v>
      </c>
      <c r="F879" s="100" t="s">
        <v>1272</v>
      </c>
      <c r="G879" s="101">
        <f>COUNTIF(LS[[#Headers],[Investor ID]]:LS[[#This Row],[Investor ID]],LS[[#This Row],[Investor ID]])</f>
        <v>14</v>
      </c>
      <c r="H879" s="101" t="str">
        <f>CONCATENATE(LS[[#This Row],[Frequency]],LS[[#This Row],[Investor ID]])</f>
        <v>14A00583</v>
      </c>
      <c r="I879" s="75" t="str">
        <f>IF(LS[[#This Row],[B/S]]="B","BUY",(IF(LS[[#This Row],[B/S]]="S","SELL"," ")))</f>
        <v>SELL</v>
      </c>
      <c r="J879" s="101" t="s">
        <v>1231</v>
      </c>
      <c r="K879" s="102">
        <v>-260000</v>
      </c>
      <c r="L879" s="99"/>
      <c r="M879" s="103">
        <f>LS[[#This Row],[Amount]]/LS[[#This Row],[Unit]]</f>
        <v>12.648990513257115</v>
      </c>
      <c r="N879" s="104">
        <f>LS[[#This Row],[Unit Capital]]/10</f>
        <v>-20555</v>
      </c>
      <c r="O879" s="104">
        <f>SUMIFS(LS[[#Headers],[Unit]]:LS[[#This Row],[Unit]],LS[[#Headers],[Investor ID]]:LS[[#This Row],[Investor ID]],LS[[#This Row],[Investor ID]])</f>
        <v>29373</v>
      </c>
      <c r="P879" s="102">
        <v>-205550</v>
      </c>
      <c r="Q879" s="102">
        <f>LS[[#This Row],[Amount]]-LS[[#This Row],[Unit Capital]]</f>
        <v>-54450</v>
      </c>
      <c r="R8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11.997276077551675</v>
      </c>
      <c r="S879" s="103">
        <f t="shared" si="13"/>
        <v>14.224</v>
      </c>
      <c r="T879" s="102">
        <f>IF(LS[[#This Row],[B/S]]="B",0,ABS(LS[[#This Row],[Unit]])*(LS[[#This Row],[NAV (Strike Rate)]]-INDEX(LS[NAV at Cost (Average)],MATCH(CONCATENATE(LS[[#This Row],[Frequency]]-1,LS[[#This Row],[Investor ID]]),LS[Unique Code],0),)))</f>
        <v>13395.990225925316</v>
      </c>
      <c r="U879" s="102" cm="1">
        <f t="array" ref="U879">IF(LS[[#This Row],[B/S]]="S",ABS(LS[[#This Row],[Unit]])*(INDEX(LS[NAV at Cost (Average)],MATCH(CONCATENATE((LS[[#This Row],[Frequency]]-1),LS[[#This Row],[Investor ID]]),LS[Unique Code],0),0)),0)</f>
        <v>246604.00977407469</v>
      </c>
      <c r="V879" s="102">
        <f>IF(LS[[#This Row],[BO TRANSFER]]="YES",LS[[#This Row],[Unit]],)</f>
        <v>0</v>
      </c>
      <c r="W879" s="102">
        <f>SUMIFS(LS[[#Headers],[BO UNIT TRANSFER]]:LS[[#This Row],[BO UNIT TRANSFER]],LS[[#Headers],[Investor ID]]:LS[[#This Row],[Investor ID]],LS[[#This Row],[Investor ID]])</f>
        <v>0</v>
      </c>
    </row>
    <row r="880" spans="1:23">
      <c r="A880" s="101">
        <v>2025</v>
      </c>
      <c r="B880" s="101">
        <v>3</v>
      </c>
      <c r="C880" s="101">
        <v>16</v>
      </c>
      <c r="D880" s="98">
        <f>DATE(LS[[#This Row],[Year]],LS[[#This Row],[Month]],LS[[#This Row],[Day]])</f>
        <v>45732</v>
      </c>
      <c r="E880" s="99" t="str" cm="1">
        <f t="array" ref="E880">INDEX(INVESTORS_LIST[INVESTOR NAME],MATCH(LS[[#This Row],[Investor ID]],INVESTORS_LIST[INVESTOR CODE],0),)</f>
        <v>KHURRAM ALAMGIR</v>
      </c>
      <c r="F880" s="100" t="s">
        <v>1314</v>
      </c>
      <c r="G880" s="101">
        <f>COUNTIF(LS[[#Headers],[Investor ID]]:LS[[#This Row],[Investor ID]],LS[[#This Row],[Investor ID]])</f>
        <v>2</v>
      </c>
      <c r="H880" s="101" t="str">
        <f>CONCATENATE(LS[[#This Row],[Frequency]],LS[[#This Row],[Investor ID]])</f>
        <v>2A00604</v>
      </c>
      <c r="I880" s="75" t="str">
        <f>IF(LS[[#This Row],[B/S]]="B","BUY",(IF(LS[[#This Row],[B/S]]="S","SELL"," ")))</f>
        <v>BUY</v>
      </c>
      <c r="J880" s="101" t="s">
        <v>1229</v>
      </c>
      <c r="K880" s="102">
        <v>1500000</v>
      </c>
      <c r="L880" s="99"/>
      <c r="M880" s="103">
        <f>LS[[#This Row],[Amount]]/LS[[#This Row],[Unit]]</f>
        <v>12.387991906511955</v>
      </c>
      <c r="N880" s="104">
        <f>LS[[#This Row],[Unit Capital]]/10</f>
        <v>121085</v>
      </c>
      <c r="O880" s="104">
        <f>SUMIFS(LS[[#Headers],[Unit]]:LS[[#This Row],[Unit]],LS[[#Headers],[Investor ID]]:LS[[#This Row],[Investor ID]],LS[[#This Row],[Investor ID]])</f>
        <v>318215</v>
      </c>
      <c r="P880" s="102">
        <v>1210850</v>
      </c>
      <c r="Q880" s="102">
        <f>LS[[#This Row],[Amount]]-LS[[#This Row],[Unit Capital]]</f>
        <v>289150</v>
      </c>
      <c r="R8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12.570117687726851</v>
      </c>
      <c r="S880" s="103">
        <f t="shared" si="13"/>
        <v>14.224</v>
      </c>
      <c r="T8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80" s="102" cm="1">
        <f t="array" ref="U880">IF(LS[[#This Row],[B/S]]="S",ABS(LS[[#This Row],[Unit]])*(INDEX(LS[NAV at Cost (Average)],MATCH(CONCATENATE((LS[[#This Row],[Frequency]]-1),LS[[#This Row],[Investor ID]]),LS[Unique Code],0),0)),0)</f>
        <v>0</v>
      </c>
      <c r="V880" s="102">
        <f>IF(LS[[#This Row],[BO TRANSFER]]="YES",LS[[#This Row],[Unit]],)</f>
        <v>0</v>
      </c>
      <c r="W880" s="102">
        <f>SUMIFS(LS[[#Headers],[BO UNIT TRANSFER]]:LS[[#This Row],[BO UNIT TRANSFER]],LS[[#Headers],[Investor ID]]:LS[[#This Row],[Investor ID]],LS[[#This Row],[Investor ID]])</f>
        <v>0</v>
      </c>
    </row>
    <row r="881" spans="1:23">
      <c r="A881" s="101">
        <v>2025</v>
      </c>
      <c r="B881" s="101">
        <v>3</v>
      </c>
      <c r="C881" s="101">
        <v>16</v>
      </c>
      <c r="D881" s="98">
        <f>DATE(LS[[#This Row],[Year]],LS[[#This Row],[Month]],LS[[#This Row],[Day]])</f>
        <v>45732</v>
      </c>
      <c r="E881" s="99" t="str" cm="1">
        <f t="array" ref="E881">INDEX(INVESTORS_LIST[INVESTOR NAME],MATCH(LS[[#This Row],[Investor ID]],INVESTORS_LIST[INVESTOR CODE],0),)</f>
        <v>KHURRAM ALAMGIR</v>
      </c>
      <c r="F881" s="100" t="s">
        <v>1314</v>
      </c>
      <c r="G881" s="101">
        <f>COUNTIF(LS[[#Headers],[Investor ID]]:LS[[#This Row],[Investor ID]],LS[[#This Row],[Investor ID]])</f>
        <v>3</v>
      </c>
      <c r="H881" s="101" t="str">
        <f>CONCATENATE(LS[[#This Row],[Frequency]],LS[[#This Row],[Investor ID]])</f>
        <v>3A00604</v>
      </c>
      <c r="I881" s="75" t="str">
        <f>IF(LS[[#This Row],[B/S]]="B","BUY",(IF(LS[[#This Row],[B/S]]="S","SELL"," ")))</f>
        <v>BUY</v>
      </c>
      <c r="J881" s="101" t="s">
        <v>1229</v>
      </c>
      <c r="K881" s="102">
        <v>700000</v>
      </c>
      <c r="L881" s="99"/>
      <c r="M881" s="103">
        <f>LS[[#This Row],[Amount]]/LS[[#This Row],[Unit]]</f>
        <v>12.388064984249461</v>
      </c>
      <c r="N881" s="104">
        <f>LS[[#This Row],[Unit Capital]]/10</f>
        <v>56506</v>
      </c>
      <c r="O881" s="104">
        <f>SUMIFS(LS[[#Headers],[Unit]]:LS[[#This Row],[Unit]],LS[[#Headers],[Investor ID]]:LS[[#This Row],[Investor ID]],LS[[#This Row],[Investor ID]])</f>
        <v>374721</v>
      </c>
      <c r="P881" s="102">
        <v>565060</v>
      </c>
      <c r="Q881" s="102">
        <f>LS[[#This Row],[Amount]]-LS[[#This Row],[Unit Capital]]</f>
        <v>134940</v>
      </c>
      <c r="R8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12.542665076149989</v>
      </c>
      <c r="S881" s="103">
        <f t="shared" si="13"/>
        <v>14.224</v>
      </c>
      <c r="T8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81" s="102" cm="1">
        <f t="array" ref="U881">IF(LS[[#This Row],[B/S]]="S",ABS(LS[[#This Row],[Unit]])*(INDEX(LS[NAV at Cost (Average)],MATCH(CONCATENATE((LS[[#This Row],[Frequency]]-1),LS[[#This Row],[Investor ID]]),LS[Unique Code],0),0)),0)</f>
        <v>0</v>
      </c>
      <c r="V881" s="102">
        <f>IF(LS[[#This Row],[BO TRANSFER]]="YES",LS[[#This Row],[Unit]],)</f>
        <v>0</v>
      </c>
      <c r="W881" s="102">
        <f>SUMIFS(LS[[#Headers],[BO UNIT TRANSFER]]:LS[[#This Row],[BO UNIT TRANSFER]],LS[[#Headers],[Investor ID]]:LS[[#This Row],[Investor ID]],LS[[#This Row],[Investor ID]])</f>
        <v>0</v>
      </c>
    </row>
    <row r="882" spans="1:23">
      <c r="A882" s="101">
        <v>2025</v>
      </c>
      <c r="B882" s="101">
        <v>3</v>
      </c>
      <c r="C882" s="101">
        <v>17</v>
      </c>
      <c r="D882" s="98">
        <f>DATE(LS[[#This Row],[Year]],LS[[#This Row],[Month]],LS[[#This Row],[Day]])</f>
        <v>45733</v>
      </c>
      <c r="E882" s="99" t="str" cm="1">
        <f t="array" ref="E882">INDEX(INVESTORS_LIST[INVESTOR NAME],MATCH(LS[[#This Row],[Investor ID]],INVESTORS_LIST[INVESTOR CODE],0),)</f>
        <v>SHAH MUNTASIN MUJTABA</v>
      </c>
      <c r="F882" s="100" t="s">
        <v>1103</v>
      </c>
      <c r="G882" s="101">
        <f>COUNTIF(LS[[#Headers],[Investor ID]]:LS[[#This Row],[Investor ID]],LS[[#This Row],[Investor ID]])</f>
        <v>10</v>
      </c>
      <c r="H882" s="101" t="str">
        <f>CONCATENATE(LS[[#This Row],[Frequency]],LS[[#This Row],[Investor ID]])</f>
        <v>10A00528</v>
      </c>
      <c r="I882" s="75" t="str">
        <f>IF(LS[[#This Row],[B/S]]="B","BUY",(IF(LS[[#This Row],[B/S]]="S","SELL"," ")))</f>
        <v>BUY</v>
      </c>
      <c r="J882" s="101" t="s">
        <v>1229</v>
      </c>
      <c r="K882" s="102">
        <v>300034.28000000003</v>
      </c>
      <c r="L882" s="99"/>
      <c r="M882" s="103">
        <f>LS[[#This Row],[Amount]]/LS[[#This Row],[Unit]]</f>
        <v>12.649000000000001</v>
      </c>
      <c r="N882" s="104">
        <f>LS[[#This Row],[Unit Capital]]/10</f>
        <v>23720</v>
      </c>
      <c r="O882" s="104">
        <f>SUMIFS(LS[[#Headers],[Unit]]:LS[[#This Row],[Unit]],LS[[#Headers],[Investor ID]]:LS[[#This Row],[Investor ID]],LS[[#This Row],[Investor ID]])</f>
        <v>196156</v>
      </c>
      <c r="P882" s="102">
        <v>237200</v>
      </c>
      <c r="Q882" s="102">
        <f>LS[[#This Row],[Amount]]-LS[[#This Row],[Unit Capital]]</f>
        <v>62834.280000000028</v>
      </c>
      <c r="R8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11.721256536902938</v>
      </c>
      <c r="S882" s="103">
        <f t="shared" si="13"/>
        <v>14.224</v>
      </c>
      <c r="T8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82" s="102" cm="1">
        <f t="array" ref="U882">IF(LS[[#This Row],[B/S]]="S",ABS(LS[[#This Row],[Unit]])*(INDEX(LS[NAV at Cost (Average)],MATCH(CONCATENATE((LS[[#This Row],[Frequency]]-1),LS[[#This Row],[Investor ID]]),LS[Unique Code],0),0)),0)</f>
        <v>0</v>
      </c>
      <c r="V882" s="102">
        <f>IF(LS[[#This Row],[BO TRANSFER]]="YES",LS[[#This Row],[Unit]],)</f>
        <v>0</v>
      </c>
      <c r="W882" s="102">
        <f>SUMIFS(LS[[#Headers],[BO UNIT TRANSFER]]:LS[[#This Row],[BO UNIT TRANSFER]],LS[[#Headers],[Investor ID]]:LS[[#This Row],[Investor ID]],LS[[#This Row],[Investor ID]])</f>
        <v>0</v>
      </c>
    </row>
    <row r="883" spans="1:23">
      <c r="A883" s="101">
        <v>2025</v>
      </c>
      <c r="B883" s="101">
        <v>3</v>
      </c>
      <c r="C883" s="101">
        <v>17</v>
      </c>
      <c r="D883" s="98">
        <f>DATE(LS[[#This Row],[Year]],LS[[#This Row],[Month]],LS[[#This Row],[Day]])</f>
        <v>45733</v>
      </c>
      <c r="E883" s="99" t="str" cm="1">
        <f t="array" ref="E883">INDEX(INVESTORS_LIST[INVESTOR NAME],MATCH(LS[[#This Row],[Investor ID]],INVESTORS_LIST[INVESTOR CODE],0),)</f>
        <v>MD. ZAKIR HOSSEN</v>
      </c>
      <c r="F883" s="100" t="s">
        <v>82</v>
      </c>
      <c r="G883" s="101">
        <f>COUNTIF(LS[[#Headers],[Investor ID]]:LS[[#This Row],[Investor ID]],LS[[#This Row],[Investor ID]])</f>
        <v>2</v>
      </c>
      <c r="H883" s="101" t="str">
        <f>CONCATENATE(LS[[#This Row],[Frequency]],LS[[#This Row],[Investor ID]])</f>
        <v>2A00018</v>
      </c>
      <c r="I883" s="75" t="str">
        <f>IF(LS[[#This Row],[B/S]]="B","BUY",(IF(LS[[#This Row],[B/S]]="S","SELL"," ")))</f>
        <v>SELL</v>
      </c>
      <c r="J883" s="101" t="s">
        <v>1231</v>
      </c>
      <c r="K883" s="102">
        <v>-1011920</v>
      </c>
      <c r="L883" s="99"/>
      <c r="M883" s="103">
        <f>LS[[#This Row],[Amount]]/LS[[#This Row],[Unit]]</f>
        <v>12.648999999999999</v>
      </c>
      <c r="N883" s="104">
        <f>LS[[#This Row],[Unit Capital]]/10</f>
        <v>-80000</v>
      </c>
      <c r="O883" s="104">
        <f>SUMIFS(LS[[#Headers],[Unit]]:LS[[#This Row],[Unit]],LS[[#Headers],[Investor ID]]:LS[[#This Row],[Investor ID]],LS[[#This Row],[Investor ID]])</f>
        <v>0</v>
      </c>
      <c r="P883" s="102">
        <v>-800000</v>
      </c>
      <c r="Q883" s="102">
        <f>LS[[#This Row],[Amount]]-LS[[#This Row],[Unit Capital]]</f>
        <v>-211920</v>
      </c>
      <c r="R8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83" s="103">
        <f t="shared" si="13"/>
        <v>14.224</v>
      </c>
      <c r="T883" s="102">
        <f>IF(LS[[#This Row],[B/S]]="B",0,ABS(LS[[#This Row],[Unit]])*(LS[[#This Row],[NAV (Strike Rate)]]-INDEX(LS[NAV at Cost (Average)],MATCH(CONCATENATE(LS[[#This Row],[Frequency]]-1,LS[[#This Row],[Investor ID]]),LS[Unique Code],0),)))</f>
        <v>211919.99999999994</v>
      </c>
      <c r="U883" s="102" cm="1">
        <f t="array" ref="U883">IF(LS[[#This Row],[B/S]]="S",ABS(LS[[#This Row],[Unit]])*(INDEX(LS[NAV at Cost (Average)],MATCH(CONCATENATE((LS[[#This Row],[Frequency]]-1),LS[[#This Row],[Investor ID]]),LS[Unique Code],0),0)),0)</f>
        <v>800000</v>
      </c>
      <c r="V883" s="102">
        <f>IF(LS[[#This Row],[BO TRANSFER]]="YES",LS[[#This Row],[Unit]],)</f>
        <v>0</v>
      </c>
      <c r="W883" s="102">
        <f>SUMIFS(LS[[#Headers],[BO UNIT TRANSFER]]:LS[[#This Row],[BO UNIT TRANSFER]],LS[[#Headers],[Investor ID]]:LS[[#This Row],[Investor ID]],LS[[#This Row],[Investor ID]])</f>
        <v>0</v>
      </c>
    </row>
    <row r="884" spans="1:23">
      <c r="A884" s="101">
        <v>2025</v>
      </c>
      <c r="B884" s="101">
        <v>3</v>
      </c>
      <c r="C884" s="101">
        <v>19</v>
      </c>
      <c r="D884" s="98">
        <f>DATE(LS[[#This Row],[Year]],LS[[#This Row],[Month]],LS[[#This Row],[Day]])</f>
        <v>45735</v>
      </c>
      <c r="E884" s="99" t="str" cm="1">
        <f t="array" ref="E884">INDEX(INVESTORS_LIST[INVESTOR NAME],MATCH(LS[[#This Row],[Investor ID]],INVESTORS_LIST[INVESTOR CODE],0),)</f>
        <v>N M AL HOSSAIN</v>
      </c>
      <c r="F884" s="100" t="s">
        <v>280</v>
      </c>
      <c r="G884" s="101">
        <f>COUNTIF(LS[[#Headers],[Investor ID]]:LS[[#This Row],[Investor ID]],LS[[#This Row],[Investor ID]])</f>
        <v>6</v>
      </c>
      <c r="H884" s="101" t="str">
        <f>CONCATENATE(LS[[#This Row],[Frequency]],LS[[#This Row],[Investor ID]])</f>
        <v>6A00116</v>
      </c>
      <c r="I884" s="75" t="str">
        <f>IF(LS[[#This Row],[B/S]]="B","BUY",(IF(LS[[#This Row],[B/S]]="S","SELL"," ")))</f>
        <v>SELL</v>
      </c>
      <c r="J884" s="101" t="s">
        <v>1231</v>
      </c>
      <c r="K884" s="102">
        <v>-100000</v>
      </c>
      <c r="L884" s="99"/>
      <c r="M884" s="103">
        <f>LS[[#This Row],[Amount]]/LS[[#This Row],[Unit]]</f>
        <v>12.64862130027827</v>
      </c>
      <c r="N884" s="104">
        <f>LS[[#This Row],[Unit Capital]]/10</f>
        <v>-7906</v>
      </c>
      <c r="O884" s="104">
        <f>SUMIFS(LS[[#Headers],[Unit]]:LS[[#This Row],[Unit]],LS[[#Headers],[Investor ID]]:LS[[#This Row],[Investor ID]],LS[[#This Row],[Investor ID]])</f>
        <v>1250534</v>
      </c>
      <c r="P884" s="102">
        <v>-79060</v>
      </c>
      <c r="Q884" s="102">
        <f>LS[[#This Row],[Amount]]-LS[[#This Row],[Unit Capital]]</f>
        <v>-20940</v>
      </c>
      <c r="R8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884" s="103">
        <f t="shared" si="13"/>
        <v>14.224</v>
      </c>
      <c r="T884" s="102">
        <f>IF(LS[[#This Row],[B/S]]="B",0,ABS(LS[[#This Row],[Unit]])*(LS[[#This Row],[NAV (Strike Rate)]]-INDEX(LS[NAV at Cost (Average)],MATCH(CONCATENATE(LS[[#This Row],[Frequency]]-1,LS[[#This Row],[Investor ID]]),LS[Unique Code],0),)))</f>
        <v>15670.232850849601</v>
      </c>
      <c r="U884" s="102" cm="1">
        <f t="array" ref="U884">IF(LS[[#This Row],[B/S]]="S",ABS(LS[[#This Row],[Unit]])*(INDEX(LS[NAV at Cost (Average)],MATCH(CONCATENATE((LS[[#This Row],[Frequency]]-1),LS[[#This Row],[Investor ID]]),LS[Unique Code],0),0)),0)</f>
        <v>84329.767149150401</v>
      </c>
      <c r="V884" s="102">
        <f>IF(LS[[#This Row],[BO TRANSFER]]="YES",LS[[#This Row],[Unit]],)</f>
        <v>0</v>
      </c>
      <c r="W884" s="102">
        <f>SUMIFS(LS[[#Headers],[BO UNIT TRANSFER]]:LS[[#This Row],[BO UNIT TRANSFER]],LS[[#Headers],[Investor ID]]:LS[[#This Row],[Investor ID]],LS[[#This Row],[Investor ID]])</f>
        <v>0</v>
      </c>
    </row>
    <row r="885" spans="1:23">
      <c r="A885" s="101">
        <v>2025</v>
      </c>
      <c r="B885" s="101">
        <v>3</v>
      </c>
      <c r="C885" s="101">
        <v>19</v>
      </c>
      <c r="D885" s="98">
        <f>DATE(LS[[#This Row],[Year]],LS[[#This Row],[Month]],LS[[#This Row],[Day]])</f>
        <v>45735</v>
      </c>
      <c r="E885" s="99" t="str" cm="1">
        <f t="array" ref="E885">INDEX(INVESTORS_LIST[INVESTOR NAME],MATCH(LS[[#This Row],[Investor ID]],INVESTORS_LIST[INVESTOR CODE],0),)</f>
        <v>PUJA BHATTACHARJEE</v>
      </c>
      <c r="F885" s="100" t="s">
        <v>1286</v>
      </c>
      <c r="G885" s="101">
        <f>COUNTIF(LS[[#Headers],[Investor ID]]:LS[[#This Row],[Investor ID]],LS[[#This Row],[Investor ID]])</f>
        <v>4</v>
      </c>
      <c r="H885" s="101" t="str">
        <f>CONCATENATE(LS[[#This Row],[Frequency]],LS[[#This Row],[Investor ID]])</f>
        <v>4A00590</v>
      </c>
      <c r="I885" s="75" t="str">
        <f>IF(LS[[#This Row],[B/S]]="B","BUY",(IF(LS[[#This Row],[B/S]]="S","SELL"," ")))</f>
        <v>SELL</v>
      </c>
      <c r="J885" s="101" t="s">
        <v>1231</v>
      </c>
      <c r="K885" s="102">
        <v>-379470</v>
      </c>
      <c r="L885" s="99"/>
      <c r="M885" s="103">
        <f>LS[[#This Row],[Amount]]/LS[[#This Row],[Unit]]</f>
        <v>12.648999999999999</v>
      </c>
      <c r="N885" s="104">
        <f>LS[[#This Row],[Unit Capital]]/10</f>
        <v>-30000</v>
      </c>
      <c r="O885" s="104">
        <f>SUMIFS(LS[[#Headers],[Unit]]:LS[[#This Row],[Unit]],LS[[#Headers],[Investor ID]]:LS[[#This Row],[Investor ID]],LS[[#This Row],[Investor ID]])</f>
        <v>46239</v>
      </c>
      <c r="P885" s="102">
        <v>-300000</v>
      </c>
      <c r="Q885" s="102">
        <f>LS[[#This Row],[Amount]]-LS[[#This Row],[Unit Capital]]</f>
        <v>-79470</v>
      </c>
      <c r="R8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11.804981702278361</v>
      </c>
      <c r="S885" s="103">
        <f t="shared" si="13"/>
        <v>14.224</v>
      </c>
      <c r="T885" s="102">
        <f>IF(LS[[#This Row],[B/S]]="B",0,ABS(LS[[#This Row],[Unit]])*(LS[[#This Row],[NAV (Strike Rate)]]-INDEX(LS[NAV at Cost (Average)],MATCH(CONCATENATE(LS[[#This Row],[Frequency]]-1,LS[[#This Row],[Investor ID]]),LS[Unique Code],0),)))</f>
        <v>25320.548931649133</v>
      </c>
      <c r="U885" s="102" cm="1">
        <f t="array" ref="U885">IF(LS[[#This Row],[B/S]]="S",ABS(LS[[#This Row],[Unit]])*(INDEX(LS[NAV at Cost (Average)],MATCH(CONCATENATE((LS[[#This Row],[Frequency]]-1),LS[[#This Row],[Investor ID]]),LS[Unique Code],0),0)),0)</f>
        <v>354149.45106835087</v>
      </c>
      <c r="V885" s="102">
        <f>IF(LS[[#This Row],[BO TRANSFER]]="YES",LS[[#This Row],[Unit]],)</f>
        <v>0</v>
      </c>
      <c r="W885" s="102">
        <f>SUMIFS(LS[[#Headers],[BO UNIT TRANSFER]]:LS[[#This Row],[BO UNIT TRANSFER]],LS[[#Headers],[Investor ID]]:LS[[#This Row],[Investor ID]],LS[[#This Row],[Investor ID]])</f>
        <v>0</v>
      </c>
    </row>
    <row r="886" spans="1:23">
      <c r="A886" s="101">
        <v>2025</v>
      </c>
      <c r="B886" s="101">
        <v>3</v>
      </c>
      <c r="C886" s="101">
        <v>20</v>
      </c>
      <c r="D886" s="98">
        <f>DATE(LS[[#This Row],[Year]],LS[[#This Row],[Month]],LS[[#This Row],[Day]])</f>
        <v>45736</v>
      </c>
      <c r="E886" s="99" t="str" cm="1">
        <f t="array" ref="E886">INDEX(INVESTORS_LIST[INVESTOR NAME],MATCH(LS[[#This Row],[Investor ID]],INVESTORS_LIST[INVESTOR CODE],0),)</f>
        <v>DHAKA IMPERIAL COLLEGE TEACHERS STAFF MULTIPURPOSE CO-OPERATIVE SOCIETY LTD.</v>
      </c>
      <c r="F886" s="100" t="s">
        <v>736</v>
      </c>
      <c r="G886" s="101">
        <f>COUNTIF(LS[[#Headers],[Investor ID]]:LS[[#This Row],[Investor ID]],LS[[#This Row],[Investor ID]])</f>
        <v>3</v>
      </c>
      <c r="H886" s="101" t="str">
        <f>CONCATENATE(LS[[#This Row],[Frequency]],LS[[#This Row],[Investor ID]])</f>
        <v>3A00344</v>
      </c>
      <c r="I886" s="75" t="str">
        <f>IF(LS[[#This Row],[B/S]]="B","BUY",(IF(LS[[#This Row],[B/S]]="S","SELL"," ")))</f>
        <v>SELL</v>
      </c>
      <c r="J886" s="101" t="s">
        <v>1231</v>
      </c>
      <c r="K886" s="102">
        <v>-5579182.9699999997</v>
      </c>
      <c r="L886" s="99"/>
      <c r="M886" s="103">
        <f>LS[[#This Row],[Amount]]/LS[[#This Row],[Unit]]</f>
        <v>12.648999993198466</v>
      </c>
      <c r="N886" s="104">
        <f>LS[[#This Row],[Unit Capital]]/10</f>
        <v>-441077</v>
      </c>
      <c r="O886" s="104">
        <f>SUMIFS(LS[[#Headers],[Unit]]:LS[[#This Row],[Unit]],LS[[#Headers],[Investor ID]]:LS[[#This Row],[Investor ID]],LS[[#This Row],[Investor ID]])</f>
        <v>0</v>
      </c>
      <c r="P886" s="102">
        <v>-4410770</v>
      </c>
      <c r="Q886" s="102">
        <f>LS[[#This Row],[Amount]]-LS[[#This Row],[Unit Capital]]</f>
        <v>-1168412.9699999997</v>
      </c>
      <c r="R8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86" s="103">
        <f t="shared" si="13"/>
        <v>14.224</v>
      </c>
      <c r="T886" s="102">
        <f>IF(LS[[#This Row],[B/S]]="B",0,ABS(LS[[#This Row],[Unit]])*(LS[[#This Row],[NAV (Strike Rate)]]-INDEX(LS[NAV at Cost (Average)],MATCH(CONCATENATE(LS[[#This Row],[Frequency]]-1,LS[[#This Row],[Investor ID]]),LS[Unique Code],0),)))</f>
        <v>1079182.9699999995</v>
      </c>
      <c r="U886" s="102" cm="1">
        <f t="array" ref="U886">IF(LS[[#This Row],[B/S]]="S",ABS(LS[[#This Row],[Unit]])*(INDEX(LS[NAV at Cost (Average)],MATCH(CONCATENATE((LS[[#This Row],[Frequency]]-1),LS[[#This Row],[Investor ID]]),LS[Unique Code],0),0)),0)</f>
        <v>4500000</v>
      </c>
      <c r="V886" s="102">
        <f>IF(LS[[#This Row],[BO TRANSFER]]="YES",LS[[#This Row],[Unit]],)</f>
        <v>0</v>
      </c>
      <c r="W886" s="102">
        <f>SUMIFS(LS[[#Headers],[BO UNIT TRANSFER]]:LS[[#This Row],[BO UNIT TRANSFER]],LS[[#Headers],[Investor ID]]:LS[[#This Row],[Investor ID]],LS[[#This Row],[Investor ID]])</f>
        <v>0</v>
      </c>
    </row>
    <row r="887" spans="1:23">
      <c r="A887" s="101">
        <v>2025</v>
      </c>
      <c r="B887" s="101">
        <v>3</v>
      </c>
      <c r="C887" s="101">
        <v>20</v>
      </c>
      <c r="D887" s="98">
        <f>DATE(LS[[#This Row],[Year]],LS[[#This Row],[Month]],LS[[#This Row],[Day]])</f>
        <v>45736</v>
      </c>
      <c r="E887" s="99" t="str" cm="1">
        <f t="array" ref="E887">INDEX(INVESTORS_LIST[INVESTOR NAME],MATCH(LS[[#This Row],[Investor ID]],INVESTORS_LIST[INVESTOR CODE],0),)</f>
        <v>ASHIK CHOWDHURY OVI</v>
      </c>
      <c r="F887" s="100" t="s">
        <v>1101</v>
      </c>
      <c r="G887" s="101">
        <f>COUNTIF(LS[[#Headers],[Investor ID]]:LS[[#This Row],[Investor ID]],LS[[#This Row],[Investor ID]])</f>
        <v>3</v>
      </c>
      <c r="H887" s="101" t="str">
        <f>CONCATENATE(LS[[#This Row],[Frequency]],LS[[#This Row],[Investor ID]])</f>
        <v>3A00527</v>
      </c>
      <c r="I887" s="75" t="str">
        <f>IF(LS[[#This Row],[B/S]]="B","BUY",(IF(LS[[#This Row],[B/S]]="S","SELL"," ")))</f>
        <v>SELL</v>
      </c>
      <c r="J887" s="101" t="s">
        <v>1231</v>
      </c>
      <c r="K887" s="102">
        <v>-6324.5</v>
      </c>
      <c r="L887" s="99"/>
      <c r="M887" s="103">
        <f>LS[[#This Row],[Amount]]/LS[[#This Row],[Unit]]</f>
        <v>12.648999999999999</v>
      </c>
      <c r="N887" s="104">
        <f>LS[[#This Row],[Unit Capital]]/10</f>
        <v>-500</v>
      </c>
      <c r="O887" s="104">
        <f>SUMIFS(LS[[#Headers],[Unit]]:LS[[#This Row],[Unit]],LS[[#Headers],[Investor ID]]:LS[[#This Row],[Investor ID]],LS[[#This Row],[Investor ID]])</f>
        <v>0</v>
      </c>
      <c r="P887" s="102">
        <v>-5000</v>
      </c>
      <c r="Q887" s="102">
        <f>LS[[#This Row],[Amount]]-LS[[#This Row],[Unit Capital]]</f>
        <v>-1324.5</v>
      </c>
      <c r="R8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87" s="103">
        <f t="shared" si="13"/>
        <v>14.224</v>
      </c>
      <c r="T887" s="102">
        <f>IF(LS[[#This Row],[B/S]]="B",0,ABS(LS[[#This Row],[Unit]])*(LS[[#This Row],[NAV (Strike Rate)]]-INDEX(LS[NAV at Cost (Average)],MATCH(CONCATENATE(LS[[#This Row],[Frequency]]-1,LS[[#This Row],[Investor ID]]),LS[Unique Code],0),)))</f>
        <v>921.04178674351544</v>
      </c>
      <c r="U887" s="102" cm="1">
        <f t="array" ref="U887">IF(LS[[#This Row],[B/S]]="S",ABS(LS[[#This Row],[Unit]])*(INDEX(LS[NAV at Cost (Average)],MATCH(CONCATENATE((LS[[#This Row],[Frequency]]-1),LS[[#This Row],[Investor ID]]),LS[Unique Code],0),0)),0)</f>
        <v>5403.4582132564838</v>
      </c>
      <c r="V887" s="102">
        <f>IF(LS[[#This Row],[BO TRANSFER]]="YES",LS[[#This Row],[Unit]],)</f>
        <v>0</v>
      </c>
      <c r="W887" s="102">
        <f>SUMIFS(LS[[#Headers],[BO UNIT TRANSFER]]:LS[[#This Row],[BO UNIT TRANSFER]],LS[[#Headers],[Investor ID]]:LS[[#This Row],[Investor ID]],LS[[#This Row],[Investor ID]])</f>
        <v>0</v>
      </c>
    </row>
    <row r="888" spans="1:23">
      <c r="A888" s="101">
        <v>2025</v>
      </c>
      <c r="B888" s="101">
        <v>3</v>
      </c>
      <c r="C888" s="101">
        <v>20</v>
      </c>
      <c r="D888" s="98">
        <f>DATE(LS[[#This Row],[Year]],LS[[#This Row],[Month]],LS[[#This Row],[Day]])</f>
        <v>45736</v>
      </c>
      <c r="E888" s="99" t="str" cm="1">
        <f t="array" ref="E888">INDEX(INVESTORS_LIST[INVESTOR NAME],MATCH(LS[[#This Row],[Investor ID]],INVESTORS_LIST[INVESTOR CODE],0),)</f>
        <v>JOY SHREE SAHA</v>
      </c>
      <c r="F888" s="100" t="s">
        <v>575</v>
      </c>
      <c r="G888" s="101">
        <f>COUNTIF(LS[[#Headers],[Investor ID]]:LS[[#This Row],[Investor ID]],LS[[#This Row],[Investor ID]])</f>
        <v>6</v>
      </c>
      <c r="H888" s="101" t="str">
        <f>CONCATENATE(LS[[#This Row],[Frequency]],LS[[#This Row],[Investor ID]])</f>
        <v>6A00263</v>
      </c>
      <c r="I888" s="75" t="str">
        <f>IF(LS[[#This Row],[B/S]]="B","BUY",(IF(LS[[#This Row],[B/S]]="S","SELL"," ")))</f>
        <v>SELL</v>
      </c>
      <c r="J888" s="101" t="s">
        <v>1231</v>
      </c>
      <c r="K888" s="102">
        <v>-1914253.28</v>
      </c>
      <c r="L888" s="99"/>
      <c r="M888" s="103">
        <f>LS[[#This Row],[Amount]]/LS[[#This Row],[Unit]]</f>
        <v>12.649027858539938</v>
      </c>
      <c r="N888" s="104">
        <f>LS[[#This Row],[Unit Capital]]/10</f>
        <v>-151336</v>
      </c>
      <c r="O888" s="104">
        <f>SUMIFS(LS[[#Headers],[Unit]]:LS[[#This Row],[Unit]],LS[[#Headers],[Investor ID]]:LS[[#This Row],[Investor ID]],LS[[#This Row],[Investor ID]])</f>
        <v>302673</v>
      </c>
      <c r="P888" s="102">
        <v>-1513360</v>
      </c>
      <c r="Q888" s="102">
        <f>LS[[#This Row],[Amount]]-LS[[#This Row],[Unit Capital]]</f>
        <v>-400893.28</v>
      </c>
      <c r="R8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10.993834923977278</v>
      </c>
      <c r="S888" s="103">
        <f t="shared" si="13"/>
        <v>14.224</v>
      </c>
      <c r="T888" s="102">
        <f>IF(LS[[#This Row],[B/S]]="B",0,ABS(LS[[#This Row],[Unit]])*(LS[[#This Row],[NAV (Strike Rate)]]-INDEX(LS[NAV at Cost (Average)],MATCH(CONCATENATE(LS[[#This Row],[Frequency]]-1,LS[[#This Row],[Investor ID]]),LS[Unique Code],0),)))</f>
        <v>250490.27794497466</v>
      </c>
      <c r="U888" s="102" cm="1">
        <f t="array" ref="U888">IF(LS[[#This Row],[B/S]]="S",ABS(LS[[#This Row],[Unit]])*(INDEX(LS[NAV at Cost (Average)],MATCH(CONCATENATE((LS[[#This Row],[Frequency]]-1),LS[[#This Row],[Investor ID]]),LS[Unique Code],0),0)),0)</f>
        <v>1663763.0020550254</v>
      </c>
      <c r="V888" s="102">
        <f>IF(LS[[#This Row],[BO TRANSFER]]="YES",LS[[#This Row],[Unit]],)</f>
        <v>0</v>
      </c>
      <c r="W888" s="102">
        <f>SUMIFS(LS[[#Headers],[BO UNIT TRANSFER]]:LS[[#This Row],[BO UNIT TRANSFER]],LS[[#Headers],[Investor ID]]:LS[[#This Row],[Investor ID]],LS[[#This Row],[Investor ID]])</f>
        <v>0</v>
      </c>
    </row>
    <row r="889" spans="1:23">
      <c r="A889" s="101">
        <v>2025</v>
      </c>
      <c r="B889" s="101">
        <v>3</v>
      </c>
      <c r="C889" s="101">
        <v>20</v>
      </c>
      <c r="D889" s="98">
        <f>DATE(LS[[#This Row],[Year]],LS[[#This Row],[Month]],LS[[#This Row],[Day]])</f>
        <v>45736</v>
      </c>
      <c r="E889" s="99" t="str" cm="1">
        <f t="array" ref="E889">INDEX(INVESTORS_LIST[INVESTOR NAME],MATCH(LS[[#This Row],[Investor ID]],INVESTORS_LIST[INVESTOR CODE],0),)</f>
        <v>JOY SHREE SAHA</v>
      </c>
      <c r="F889" s="100" t="s">
        <v>575</v>
      </c>
      <c r="G889" s="101">
        <f>COUNTIF(LS[[#Headers],[Investor ID]]:LS[[#This Row],[Investor ID]],LS[[#This Row],[Investor ID]])</f>
        <v>7</v>
      </c>
      <c r="H889" s="101" t="str">
        <f>CONCATENATE(LS[[#This Row],[Frequency]],LS[[#This Row],[Investor ID]])</f>
        <v>7A00263</v>
      </c>
      <c r="I889" s="75" t="str">
        <f>IF(LS[[#This Row],[B/S]]="B","BUY",(IF(LS[[#This Row],[B/S]]="S","SELL"," ")))</f>
        <v>SELL</v>
      </c>
      <c r="J889" s="101" t="s">
        <v>1231</v>
      </c>
      <c r="K889" s="102">
        <v>-1914253.28</v>
      </c>
      <c r="L889" s="99"/>
      <c r="M889" s="103">
        <f>LS[[#This Row],[Amount]]/LS[[#This Row],[Unit]]</f>
        <v>12.649027858539938</v>
      </c>
      <c r="N889" s="104">
        <f>LS[[#This Row],[Unit Capital]]/10</f>
        <v>-151336</v>
      </c>
      <c r="O889" s="104">
        <f>SUMIFS(LS[[#Headers],[Unit]]:LS[[#This Row],[Unit]],LS[[#Headers],[Investor ID]]:LS[[#This Row],[Investor ID]],LS[[#This Row],[Investor ID]])</f>
        <v>151337</v>
      </c>
      <c r="P889" s="102">
        <v>-1513360</v>
      </c>
      <c r="Q889" s="102">
        <f>LS[[#This Row],[Amount]]-LS[[#This Row],[Unit Capital]]</f>
        <v>-400893.28</v>
      </c>
      <c r="R8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10.993834923977278</v>
      </c>
      <c r="S889" s="103">
        <f t="shared" si="13"/>
        <v>14.224</v>
      </c>
      <c r="T889" s="102">
        <f>IF(LS[[#This Row],[B/S]]="B",0,ABS(LS[[#This Row],[Unit]])*(LS[[#This Row],[NAV (Strike Rate)]]-INDEX(LS[NAV at Cost (Average)],MATCH(CONCATENATE(LS[[#This Row],[Frequency]]-1,LS[[#This Row],[Investor ID]]),LS[Unique Code],0),)))</f>
        <v>250490.27794497466</v>
      </c>
      <c r="U889" s="102" cm="1">
        <f t="array" ref="U889">IF(LS[[#This Row],[B/S]]="S",ABS(LS[[#This Row],[Unit]])*(INDEX(LS[NAV at Cost (Average)],MATCH(CONCATENATE((LS[[#This Row],[Frequency]]-1),LS[[#This Row],[Investor ID]]),LS[Unique Code],0),0)),0)</f>
        <v>1663763.0020550254</v>
      </c>
      <c r="V889" s="102">
        <f>IF(LS[[#This Row],[BO TRANSFER]]="YES",LS[[#This Row],[Unit]],)</f>
        <v>0</v>
      </c>
      <c r="W889" s="102">
        <f>SUMIFS(LS[[#Headers],[BO UNIT TRANSFER]]:LS[[#This Row],[BO UNIT TRANSFER]],LS[[#Headers],[Investor ID]]:LS[[#This Row],[Investor ID]],LS[[#This Row],[Investor ID]])</f>
        <v>0</v>
      </c>
    </row>
    <row r="890" spans="1:23">
      <c r="A890" s="101">
        <v>2025</v>
      </c>
      <c r="B890" s="101">
        <v>3</v>
      </c>
      <c r="C890" s="101">
        <v>20</v>
      </c>
      <c r="D890" s="98">
        <f>DATE(LS[[#This Row],[Year]],LS[[#This Row],[Month]],LS[[#This Row],[Day]])</f>
        <v>45736</v>
      </c>
      <c r="E890" s="99" t="str" cm="1">
        <f t="array" ref="E890">INDEX(INVESTORS_LIST[INVESTOR NAME],MATCH(LS[[#This Row],[Investor ID]],INVESTORS_LIST[INVESTOR CODE],0),)</f>
        <v>ASHIT BARAN SAHA</v>
      </c>
      <c r="F890" s="100" t="s">
        <v>196</v>
      </c>
      <c r="G890" s="101">
        <f>COUNTIF(LS[[#Headers],[Investor ID]]:LS[[#This Row],[Investor ID]],LS[[#This Row],[Investor ID]])</f>
        <v>3</v>
      </c>
      <c r="H890" s="101" t="str">
        <f>CONCATENATE(LS[[#This Row],[Frequency]],LS[[#This Row],[Investor ID]])</f>
        <v>3A00074</v>
      </c>
      <c r="I890" s="75" t="str">
        <f>IF(LS[[#This Row],[B/S]]="B","BUY",(IF(LS[[#This Row],[B/S]]="S","SELL"," ")))</f>
        <v>SELL</v>
      </c>
      <c r="J890" s="101" t="s">
        <v>1231</v>
      </c>
      <c r="K890" s="102">
        <v>-3263056.21</v>
      </c>
      <c r="L890" s="99"/>
      <c r="M890" s="103">
        <f>LS[[#This Row],[Amount]]/LS[[#This Row],[Unit]]</f>
        <v>12.648975501027252</v>
      </c>
      <c r="N890" s="104">
        <f>LS[[#This Row],[Unit Capital]]/10</f>
        <v>-257970</v>
      </c>
      <c r="O890" s="104">
        <f>SUMIFS(LS[[#Headers],[Unit]]:LS[[#This Row],[Unit]],LS[[#Headers],[Investor ID]]:LS[[#This Row],[Investor ID]],LS[[#This Row],[Investor ID]])</f>
        <v>257969</v>
      </c>
      <c r="P890" s="102">
        <v>-2579700</v>
      </c>
      <c r="Q890" s="102">
        <f>LS[[#This Row],[Amount]]-LS[[#This Row],[Unit Capital]]</f>
        <v>-683356.21</v>
      </c>
      <c r="R8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11.629281756176601</v>
      </c>
      <c r="S890" s="103">
        <f t="shared" si="13"/>
        <v>14.224</v>
      </c>
      <c r="T890" s="102">
        <f>IF(LS[[#This Row],[B/S]]="B",0,ABS(LS[[#This Row],[Unit]])*(LS[[#This Row],[NAV (Strike Rate)]]-INDEX(LS[NAV at Cost (Average)],MATCH(CONCATENATE(LS[[#This Row],[Frequency]]-1,LS[[#This Row],[Investor ID]]),LS[Unique Code],0),)))</f>
        <v>263050.39535912237</v>
      </c>
      <c r="U890" s="102" cm="1">
        <f t="array" ref="U890">IF(LS[[#This Row],[B/S]]="S",ABS(LS[[#This Row],[Unit]])*(INDEX(LS[NAV at Cost (Average)],MATCH(CONCATENATE((LS[[#This Row],[Frequency]]-1),LS[[#This Row],[Investor ID]]),LS[Unique Code],0),0)),0)</f>
        <v>3000005.8146408778</v>
      </c>
      <c r="V890" s="102">
        <f>IF(LS[[#This Row],[BO TRANSFER]]="YES",LS[[#This Row],[Unit]],)</f>
        <v>0</v>
      </c>
      <c r="W890" s="102">
        <f>SUMIFS(LS[[#Headers],[BO UNIT TRANSFER]]:LS[[#This Row],[BO UNIT TRANSFER]],LS[[#Headers],[Investor ID]]:LS[[#This Row],[Investor ID]],LS[[#This Row],[Investor ID]])</f>
        <v>0</v>
      </c>
    </row>
    <row r="891" spans="1:23">
      <c r="A891" s="101">
        <v>2025</v>
      </c>
      <c r="B891" s="101">
        <v>3</v>
      </c>
      <c r="C891" s="101">
        <v>20</v>
      </c>
      <c r="D891" s="98">
        <f>DATE(LS[[#This Row],[Year]],LS[[#This Row],[Month]],LS[[#This Row],[Day]])</f>
        <v>45736</v>
      </c>
      <c r="E891" s="99" t="str" cm="1">
        <f t="array" ref="E891">INDEX(INVESTORS_LIST[INVESTOR NAME],MATCH(LS[[#This Row],[Investor ID]],INVESTORS_LIST[INVESTOR CODE],0),)</f>
        <v>ASHIT BARAN SAHA</v>
      </c>
      <c r="F891" s="100" t="s">
        <v>196</v>
      </c>
      <c r="G891" s="101">
        <f>COUNTIF(LS[[#Headers],[Investor ID]]:LS[[#This Row],[Investor ID]],LS[[#This Row],[Investor ID]])</f>
        <v>4</v>
      </c>
      <c r="H891" s="101" t="str">
        <f>CONCATENATE(LS[[#This Row],[Frequency]],LS[[#This Row],[Investor ID]])</f>
        <v>4A00074</v>
      </c>
      <c r="I891" s="75" t="str">
        <f>IF(LS[[#This Row],[B/S]]="B","BUY",(IF(LS[[#This Row],[B/S]]="S","SELL"," ")))</f>
        <v>SELL</v>
      </c>
      <c r="J891" s="101" t="s">
        <v>1231</v>
      </c>
      <c r="K891" s="102">
        <v>-3263056.21</v>
      </c>
      <c r="L891" s="99"/>
      <c r="M891" s="103">
        <f>LS[[#This Row],[Amount]]/LS[[#This Row],[Unit]]</f>
        <v>12.649024533955631</v>
      </c>
      <c r="N891" s="104">
        <f>LS[[#This Row],[Unit Capital]]/10</f>
        <v>-257969</v>
      </c>
      <c r="O891" s="104">
        <f>SUMIFS(LS[[#Headers],[Unit]]:LS[[#This Row],[Unit]],LS[[#Headers],[Investor ID]]:LS[[#This Row],[Investor ID]],LS[[#This Row],[Investor ID]])</f>
        <v>0</v>
      </c>
      <c r="P891" s="102">
        <v>-2579690</v>
      </c>
      <c r="Q891" s="102">
        <f>LS[[#This Row],[Amount]]-LS[[#This Row],[Unit Capital]]</f>
        <v>-683366.21</v>
      </c>
      <c r="R8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91" s="103">
        <f t="shared" si="13"/>
        <v>14.224</v>
      </c>
      <c r="T891" s="102">
        <f>IF(LS[[#This Row],[B/S]]="B",0,ABS(LS[[#This Row],[Unit]])*(LS[[#This Row],[NAV (Strike Rate)]]-INDEX(LS[NAV at Cost (Average)],MATCH(CONCATENATE(LS[[#This Row],[Frequency]]-1,LS[[#This Row],[Investor ID]]),LS[Unique Code],0),)))</f>
        <v>263062.02464087849</v>
      </c>
      <c r="U891" s="102" cm="1">
        <f t="array" ref="U891">IF(LS[[#This Row],[B/S]]="S",ABS(LS[[#This Row],[Unit]])*(INDEX(LS[NAV at Cost (Average)],MATCH(CONCATENATE((LS[[#This Row],[Frequency]]-1),LS[[#This Row],[Investor ID]]),LS[Unique Code],0),0)),0)</f>
        <v>2999994.1853591218</v>
      </c>
      <c r="V891" s="102">
        <f>IF(LS[[#This Row],[BO TRANSFER]]="YES",LS[[#This Row],[Unit]],)</f>
        <v>0</v>
      </c>
      <c r="W891" s="102">
        <f>SUMIFS(LS[[#Headers],[BO UNIT TRANSFER]]:LS[[#This Row],[BO UNIT TRANSFER]],LS[[#Headers],[Investor ID]]:LS[[#This Row],[Investor ID]],LS[[#This Row],[Investor ID]])</f>
        <v>0</v>
      </c>
    </row>
    <row r="892" spans="1:23">
      <c r="A892" s="101">
        <v>2025</v>
      </c>
      <c r="B892" s="101">
        <v>3</v>
      </c>
      <c r="C892" s="101">
        <v>20</v>
      </c>
      <c r="D892" s="98">
        <f>DATE(LS[[#This Row],[Year]],LS[[#This Row],[Month]],LS[[#This Row],[Day]])</f>
        <v>45736</v>
      </c>
      <c r="E892" s="99" t="str" cm="1">
        <f t="array" ref="E892">INDEX(INVESTORS_LIST[INVESTOR NAME],MATCH(LS[[#This Row],[Investor ID]],INVESTORS_LIST[INVESTOR CODE],0),)</f>
        <v>SYED FAZLE RABBY</v>
      </c>
      <c r="F892" s="100" t="s">
        <v>166</v>
      </c>
      <c r="G892" s="101">
        <f>COUNTIF(LS[[#Headers],[Investor ID]]:LS[[#This Row],[Investor ID]],LS[[#This Row],[Investor ID]])</f>
        <v>35</v>
      </c>
      <c r="H892" s="101" t="str">
        <f>CONCATENATE(LS[[#This Row],[Frequency]],LS[[#This Row],[Investor ID]])</f>
        <v>35A00059</v>
      </c>
      <c r="I892" s="75" t="str">
        <f>IF(LS[[#This Row],[B/S]]="B","BUY",(IF(LS[[#This Row],[B/S]]="S","SELL"," ")))</f>
        <v>SELL</v>
      </c>
      <c r="J892" s="101" t="s">
        <v>1231</v>
      </c>
      <c r="K892" s="49">
        <v>-5721193.2960000001</v>
      </c>
      <c r="L892" s="99"/>
      <c r="M892" s="103">
        <f>LS[[#This Row],[Amount]]/LS[[#This Row],[Unit]]</f>
        <v>12.649000000000001</v>
      </c>
      <c r="N892" s="104">
        <f>LS[[#This Row],[Unit Capital]]/10</f>
        <v>-452304</v>
      </c>
      <c r="O892" s="104">
        <f>SUMIFS(LS[[#Headers],[Unit]]:LS[[#This Row],[Unit]],LS[[#Headers],[Investor ID]]:LS[[#This Row],[Investor ID]],LS[[#This Row],[Investor ID]])</f>
        <v>0</v>
      </c>
      <c r="P892" s="102">
        <v>-4523040</v>
      </c>
      <c r="Q892" s="102">
        <f>LS[[#This Row],[Amount]]-LS[[#This Row],[Unit Capital]]</f>
        <v>-1198153.2960000001</v>
      </c>
      <c r="R8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92" s="103">
        <f t="shared" si="13"/>
        <v>14.224</v>
      </c>
      <c r="T892" s="102">
        <f>IF(LS[[#This Row],[B/S]]="B",0,ABS(LS[[#This Row],[Unit]])*(LS[[#This Row],[NAV (Strike Rate)]]-INDEX(LS[NAV at Cost (Average)],MATCH(CONCATENATE(LS[[#This Row],[Frequency]]-1,LS[[#This Row],[Investor ID]]),LS[Unique Code],0),)))</f>
        <v>809768.20373302652</v>
      </c>
      <c r="U892" s="102" cm="1">
        <f t="array" ref="U892">IF(LS[[#This Row],[B/S]]="S",ABS(LS[[#This Row],[Unit]])*(INDEX(LS[NAV at Cost (Average)],MATCH(CONCATENATE((LS[[#This Row],[Frequency]]-1),LS[[#This Row],[Investor ID]]),LS[Unique Code],0),0)),0)</f>
        <v>4911425.092266974</v>
      </c>
      <c r="V892" s="102">
        <f>IF(LS[[#This Row],[BO TRANSFER]]="YES",LS[[#This Row],[Unit]],)</f>
        <v>0</v>
      </c>
      <c r="W892" s="102">
        <f>SUMIFS(LS[[#Headers],[BO UNIT TRANSFER]]:LS[[#This Row],[BO UNIT TRANSFER]],LS[[#Headers],[Investor ID]]:LS[[#This Row],[Investor ID]],LS[[#This Row],[Investor ID]])</f>
        <v>0</v>
      </c>
    </row>
    <row r="893" spans="1:23">
      <c r="A893" s="101">
        <v>2025</v>
      </c>
      <c r="B893" s="101">
        <v>3</v>
      </c>
      <c r="C893" s="101">
        <v>20</v>
      </c>
      <c r="D893" s="98">
        <f>DATE(LS[[#This Row],[Year]],LS[[#This Row],[Month]],LS[[#This Row],[Day]])</f>
        <v>45736</v>
      </c>
      <c r="E893" s="99" t="str" cm="1">
        <f t="array" ref="E893">INDEX(INVESTORS_LIST[INVESTOR NAME],MATCH(LS[[#This Row],[Investor ID]],INVESTORS_LIST[INVESTOR CODE],0),)</f>
        <v>RAJIV HASSAN</v>
      </c>
      <c r="F893" s="100" t="s">
        <v>1038</v>
      </c>
      <c r="G893" s="101">
        <f>COUNTIF(LS[[#Headers],[Investor ID]]:LS[[#This Row],[Investor ID]],LS[[#This Row],[Investor ID]])</f>
        <v>5</v>
      </c>
      <c r="H893" s="101" t="str">
        <f>CONCATENATE(LS[[#This Row],[Frequency]],LS[[#This Row],[Investor ID]])</f>
        <v>5A00496</v>
      </c>
      <c r="I893" s="75" t="str">
        <f>IF(LS[[#This Row],[B/S]]="B","BUY",(IF(LS[[#This Row],[B/S]]="S","SELL"," ")))</f>
        <v>SELL</v>
      </c>
      <c r="J893" s="101" t="s">
        <v>1231</v>
      </c>
      <c r="K893" s="102">
        <v>-7944836.9000000004</v>
      </c>
      <c r="L893" s="99"/>
      <c r="M893" s="103">
        <f>LS[[#This Row],[Amount]]/LS[[#This Row],[Unit]]</f>
        <v>12.649000000000001</v>
      </c>
      <c r="N893" s="104">
        <f>LS[[#This Row],[Unit Capital]]/10</f>
        <v>-628100</v>
      </c>
      <c r="O893" s="104">
        <f>SUMIFS(LS[[#Headers],[Unit]]:LS[[#This Row],[Unit]],LS[[#Headers],[Investor ID]]:LS[[#This Row],[Investor ID]],LS[[#This Row],[Investor ID]])</f>
        <v>0</v>
      </c>
      <c r="P893" s="102">
        <v>-6281000</v>
      </c>
      <c r="Q893" s="102">
        <f>LS[[#This Row],[Amount]]-LS[[#This Row],[Unit Capital]]</f>
        <v>-1663836.9000000004</v>
      </c>
      <c r="R8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93" s="103">
        <f t="shared" si="13"/>
        <v>14.224</v>
      </c>
      <c r="T893" s="102">
        <f>IF(LS[[#This Row],[B/S]]="B",0,ABS(LS[[#This Row],[Unit]])*(LS[[#This Row],[NAV (Strike Rate)]]-INDEX(LS[NAV at Cost (Average)],MATCH(CONCATENATE(LS[[#This Row],[Frequency]]-1,LS[[#This Row],[Investor ID]]),LS[Unique Code],0),)))</f>
        <v>944836.90000000224</v>
      </c>
      <c r="U893" s="102" cm="1">
        <f t="array" ref="U893">IF(LS[[#This Row],[B/S]]="S",ABS(LS[[#This Row],[Unit]])*(INDEX(LS[NAV at Cost (Average)],MATCH(CONCATENATE((LS[[#This Row],[Frequency]]-1),LS[[#This Row],[Investor ID]]),LS[Unique Code],0),0)),0)</f>
        <v>6999999.9999999981</v>
      </c>
      <c r="V893" s="102">
        <f>IF(LS[[#This Row],[BO TRANSFER]]="YES",LS[[#This Row],[Unit]],)</f>
        <v>0</v>
      </c>
      <c r="W893" s="102">
        <f>SUMIFS(LS[[#Headers],[BO UNIT TRANSFER]]:LS[[#This Row],[BO UNIT TRANSFER]],LS[[#Headers],[Investor ID]]:LS[[#This Row],[Investor ID]],LS[[#This Row],[Investor ID]])</f>
        <v>0</v>
      </c>
    </row>
    <row r="894" spans="1:23">
      <c r="A894" s="101">
        <v>2025</v>
      </c>
      <c r="B894" s="101">
        <v>3</v>
      </c>
      <c r="C894" s="101">
        <v>20</v>
      </c>
      <c r="D894" s="98">
        <f>DATE(LS[[#This Row],[Year]],LS[[#This Row],[Month]],LS[[#This Row],[Day]])</f>
        <v>45736</v>
      </c>
      <c r="E894" s="99" t="str" cm="1">
        <f t="array" ref="E894">INDEX(INVESTORS_LIST[INVESTOR NAME],MATCH(LS[[#This Row],[Investor ID]],INVESTORS_LIST[INVESTOR CODE],0),)</f>
        <v>FARZANA JITU</v>
      </c>
      <c r="F894" s="100" t="s">
        <v>968</v>
      </c>
      <c r="G894" s="101">
        <f>COUNTIF(LS[[#Headers],[Investor ID]]:LS[[#This Row],[Investor ID]],LS[[#This Row],[Investor ID]])</f>
        <v>23</v>
      </c>
      <c r="H894" s="101" t="str">
        <f>CONCATENATE(LS[[#This Row],[Frequency]],LS[[#This Row],[Investor ID]])</f>
        <v>23A00461</v>
      </c>
      <c r="I894" s="75" t="str">
        <f>IF(LS[[#This Row],[B/S]]="B","BUY",(IF(LS[[#This Row],[B/S]]="S","SELL"," ")))</f>
        <v>SELL</v>
      </c>
      <c r="J894" s="101" t="s">
        <v>1231</v>
      </c>
      <c r="K894" s="102">
        <v>-432026.6</v>
      </c>
      <c r="L894" s="88"/>
      <c r="M894" s="103">
        <f>LS[[#This Row],[Amount]]/LS[[#This Row],[Unit]]</f>
        <v>12.649000146391449</v>
      </c>
      <c r="N894" s="104">
        <f>LS[[#This Row],[Unit Capital]]/10</f>
        <v>-34155</v>
      </c>
      <c r="O894" s="104">
        <f>SUMIFS(LS[[#Headers],[Unit]]:LS[[#This Row],[Unit]],LS[[#Headers],[Investor ID]]:LS[[#This Row],[Investor ID]],LS[[#This Row],[Investor ID]])</f>
        <v>0</v>
      </c>
      <c r="P894" s="102">
        <v>-341550</v>
      </c>
      <c r="Q894" s="102">
        <f>LS[[#This Row],[Amount]]-LS[[#This Row],[Unit Capital]]</f>
        <v>-90476.599999999977</v>
      </c>
      <c r="R8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94" s="103">
        <f t="shared" si="13"/>
        <v>14.224</v>
      </c>
      <c r="T894" s="102">
        <f>IF(LS[[#This Row],[B/S]]="B",0,ABS(LS[[#This Row],[Unit]])*(LS[[#This Row],[NAV (Strike Rate)]]-INDEX(LS[NAV at Cost (Average)],MATCH(CONCATENATE(LS[[#This Row],[Frequency]]-1,LS[[#This Row],[Investor ID]]),LS[Unique Code],0),)))</f>
        <v>29469.317978567149</v>
      </c>
      <c r="U894" s="102" cm="1">
        <f t="array" ref="U894">IF(LS[[#This Row],[B/S]]="S",ABS(LS[[#This Row],[Unit]])*(INDEX(LS[NAV at Cost (Average)],MATCH(CONCATENATE((LS[[#This Row],[Frequency]]-1),LS[[#This Row],[Investor ID]]),LS[Unique Code],0),0)),0)</f>
        <v>402557.28202143282</v>
      </c>
      <c r="V894" s="102">
        <f>IF(LS[[#This Row],[BO TRANSFER]]="YES",LS[[#This Row],[Unit]],)</f>
        <v>0</v>
      </c>
      <c r="W894" s="102">
        <f>SUMIFS(LS[[#Headers],[BO UNIT TRANSFER]]:LS[[#This Row],[BO UNIT TRANSFER]],LS[[#Headers],[Investor ID]]:LS[[#This Row],[Investor ID]],LS[[#This Row],[Investor ID]])</f>
        <v>0</v>
      </c>
    </row>
    <row r="895" spans="1:23">
      <c r="A895" s="101">
        <v>2025</v>
      </c>
      <c r="B895" s="101">
        <v>3</v>
      </c>
      <c r="C895" s="101">
        <v>20</v>
      </c>
      <c r="D895" s="98">
        <f>DATE(LS[[#This Row],[Year]],LS[[#This Row],[Month]],LS[[#This Row],[Day]])</f>
        <v>45736</v>
      </c>
      <c r="E895" s="99" t="str" cm="1">
        <f t="array" ref="E895">INDEX(INVESTORS_LIST[INVESTOR NAME],MATCH(LS[[#This Row],[Investor ID]],INVESTORS_LIST[INVESTOR CODE],0),)</f>
        <v>JOY SHREE SAHA</v>
      </c>
      <c r="F895" s="100" t="s">
        <v>575</v>
      </c>
      <c r="G895" s="101">
        <f>COUNTIF(LS[[#Headers],[Investor ID]]:LS[[#This Row],[Investor ID]],LS[[#This Row],[Investor ID]])</f>
        <v>8</v>
      </c>
      <c r="H895" s="101" t="str">
        <f>CONCATENATE(LS[[#This Row],[Frequency]],LS[[#This Row],[Investor ID]])</f>
        <v>8A00263</v>
      </c>
      <c r="I895" s="75" t="str">
        <f>IF(LS[[#This Row],[B/S]]="B","BUY",(IF(LS[[#This Row],[B/S]]="S","SELL"," ")))</f>
        <v>SELL</v>
      </c>
      <c r="J895" s="101" t="s">
        <v>1231</v>
      </c>
      <c r="K895" s="102">
        <v>-1914253.28</v>
      </c>
      <c r="L895" s="99"/>
      <c r="M895" s="103">
        <f>LS[[#This Row],[Amount]]/LS[[#This Row],[Unit]]</f>
        <v>12.64894427668052</v>
      </c>
      <c r="N895" s="104">
        <f>LS[[#This Row],[Unit Capital]]/10</f>
        <v>-151337</v>
      </c>
      <c r="O895" s="104">
        <f>SUMIFS(LS[[#Headers],[Unit]]:LS[[#This Row],[Unit]],LS[[#Headers],[Investor ID]]:LS[[#This Row],[Investor ID]],LS[[#This Row],[Investor ID]])</f>
        <v>0</v>
      </c>
      <c r="P895" s="102">
        <v>-1513370</v>
      </c>
      <c r="Q895" s="102">
        <f>LS[[#This Row],[Amount]]-LS[[#This Row],[Unit Capital]]</f>
        <v>-400883.28</v>
      </c>
      <c r="R8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895" s="103">
        <f t="shared" si="13"/>
        <v>14.224</v>
      </c>
      <c r="T895" s="102">
        <f>IF(LS[[#This Row],[B/S]]="B",0,ABS(LS[[#This Row],[Unit]])*(LS[[#This Row],[NAV (Strike Rate)]]-INDEX(LS[NAV at Cost (Average)],MATCH(CONCATENATE(LS[[#This Row],[Frequency]]-1,LS[[#This Row],[Investor ID]]),LS[Unique Code],0),)))</f>
        <v>250479.28411005056</v>
      </c>
      <c r="U895" s="102" cm="1">
        <f t="array" ref="U895">IF(LS[[#This Row],[B/S]]="S",ABS(LS[[#This Row],[Unit]])*(INDEX(LS[NAV at Cost (Average)],MATCH(CONCATENATE((LS[[#This Row],[Frequency]]-1),LS[[#This Row],[Investor ID]]),LS[Unique Code],0),0)),0)</f>
        <v>1663773.9958899494</v>
      </c>
      <c r="V895" s="102">
        <f>IF(LS[[#This Row],[BO TRANSFER]]="YES",LS[[#This Row],[Unit]],)</f>
        <v>0</v>
      </c>
      <c r="W895" s="102">
        <f>SUMIFS(LS[[#Headers],[BO UNIT TRANSFER]]:LS[[#This Row],[BO UNIT TRANSFER]],LS[[#Headers],[Investor ID]]:LS[[#This Row],[Investor ID]],LS[[#This Row],[Investor ID]])</f>
        <v>0</v>
      </c>
    </row>
    <row r="896" spans="1:23">
      <c r="A896" s="101">
        <v>2025</v>
      </c>
      <c r="B896" s="101">
        <v>3</v>
      </c>
      <c r="C896" s="101">
        <v>20</v>
      </c>
      <c r="D896" s="98">
        <f>DATE(LS[[#This Row],[Year]],LS[[#This Row],[Month]],LS[[#This Row],[Day]])</f>
        <v>45736</v>
      </c>
      <c r="E896" s="99" t="str" cm="1">
        <f t="array" ref="E896">INDEX(INVESTORS_LIST[INVESTOR NAME],MATCH(LS[[#This Row],[Investor ID]],INVESTORS_LIST[INVESTOR CODE],0),)</f>
        <v>MUHAMMAD SHOHIDUZZAMAN</v>
      </c>
      <c r="F896" s="100" t="s">
        <v>986</v>
      </c>
      <c r="G896" s="101">
        <f>COUNTIF(LS[[#Headers],[Investor ID]]:LS[[#This Row],[Investor ID]],LS[[#This Row],[Investor ID]])</f>
        <v>9</v>
      </c>
      <c r="H896" s="101" t="str">
        <f>CONCATENATE(LS[[#This Row],[Frequency]],LS[[#This Row],[Investor ID]])</f>
        <v>9A00470</v>
      </c>
      <c r="I896" s="75" t="str">
        <f>IF(LS[[#This Row],[B/S]]="B","BUY",(IF(LS[[#This Row],[B/S]]="S","SELL"," ")))</f>
        <v>SELL</v>
      </c>
      <c r="J896" s="101" t="s">
        <v>1231</v>
      </c>
      <c r="K896" s="102">
        <v>-6000000</v>
      </c>
      <c r="L896" s="99" t="s">
        <v>1230</v>
      </c>
      <c r="M896" s="103">
        <f>LS[[#This Row],[Amount]]/LS[[#This Row],[Unit]]</f>
        <v>12.648994615744625</v>
      </c>
      <c r="N896" s="104">
        <f>LS[[#This Row],[Unit Capital]]/10</f>
        <v>-474346</v>
      </c>
      <c r="O896" s="104">
        <f>SUMIFS(LS[[#Headers],[Unit]]:LS[[#This Row],[Unit]],LS[[#Headers],[Investor ID]]:LS[[#This Row],[Investor ID]],LS[[#This Row],[Investor ID]])</f>
        <v>155933</v>
      </c>
      <c r="P896" s="102">
        <v>-4743460</v>
      </c>
      <c r="Q896" s="102">
        <f>LS[[#This Row],[Amount]]-LS[[#This Row],[Unit Capital]]</f>
        <v>-1256540</v>
      </c>
      <c r="R8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11.245204237006751</v>
      </c>
      <c r="S896" s="103">
        <f t="shared" si="13"/>
        <v>14.224</v>
      </c>
      <c r="T896" s="102">
        <f>IF(LS[[#This Row],[B/S]]="B",0,ABS(LS[[#This Row],[Unit]])*(LS[[#This Row],[NAV (Strike Rate)]]-INDEX(LS[NAV at Cost (Average)],MATCH(CONCATENATE(LS[[#This Row],[Frequency]]-1,LS[[#This Row],[Investor ID]]),LS[Unique Code],0),)))</f>
        <v>665882.35099279555</v>
      </c>
      <c r="U896" s="102" cm="1">
        <f t="array" ref="U896">IF(LS[[#This Row],[B/S]]="S",ABS(LS[[#This Row],[Unit]])*(INDEX(LS[NAV at Cost (Average)],MATCH(CONCATENATE((LS[[#This Row],[Frequency]]-1),LS[[#This Row],[Investor ID]]),LS[Unique Code],0),0)),0)</f>
        <v>5334117.6490072049</v>
      </c>
      <c r="V896" s="102">
        <f>IF(LS[[#This Row],[BO TRANSFER]]="YES",LS[[#This Row],[Unit]],)</f>
        <v>-474346</v>
      </c>
      <c r="W896" s="102">
        <f>SUMIFS(LS[[#Headers],[BO UNIT TRANSFER]]:LS[[#This Row],[BO UNIT TRANSFER]],LS[[#Headers],[Investor ID]]:LS[[#This Row],[Investor ID]],LS[[#This Row],[Investor ID]])</f>
        <v>111098</v>
      </c>
    </row>
    <row r="897" spans="1:23">
      <c r="A897" s="101">
        <v>2025</v>
      </c>
      <c r="B897" s="101">
        <v>3</v>
      </c>
      <c r="C897" s="101">
        <v>23</v>
      </c>
      <c r="D897" s="98">
        <f>DATE(LS[[#This Row],[Year]],LS[[#This Row],[Month]],LS[[#This Row],[Day]])</f>
        <v>45739</v>
      </c>
      <c r="E897" s="99" t="str" cm="1">
        <f t="array" ref="E897">INDEX(INVESTORS_LIST[INVESTOR NAME],MATCH(LS[[#This Row],[Investor ID]],INVESTORS_LIST[INVESTOR CODE],0),)</f>
        <v>KAZI HABIBUR RAHMAN</v>
      </c>
      <c r="F897" s="100" t="s">
        <v>1114</v>
      </c>
      <c r="G897" s="101">
        <f>COUNTIF(LS[[#Headers],[Investor ID]]:LS[[#This Row],[Investor ID]],LS[[#This Row],[Investor ID]])</f>
        <v>27</v>
      </c>
      <c r="H897" s="101" t="str">
        <f>CONCATENATE(LS[[#This Row],[Frequency]],LS[[#This Row],[Investor ID]])</f>
        <v>27A00532</v>
      </c>
      <c r="I897" s="75" t="str">
        <f>IF(LS[[#This Row],[B/S]]="B","BUY",(IF(LS[[#This Row],[B/S]]="S","SELL"," ")))</f>
        <v>BUY</v>
      </c>
      <c r="J897" s="101" t="s">
        <v>1229</v>
      </c>
      <c r="K897" s="102">
        <v>1203000</v>
      </c>
      <c r="L897" s="99"/>
      <c r="M897" s="103">
        <f>LS[[#This Row],[Amount]]/LS[[#This Row],[Unit]]</f>
        <v>12.38801359283287</v>
      </c>
      <c r="N897" s="104">
        <f>LS[[#This Row],[Unit Capital]]/10</f>
        <v>97110</v>
      </c>
      <c r="O897" s="104">
        <f>SUMIFS(LS[[#Headers],[Unit]]:LS[[#This Row],[Unit]],LS[[#Headers],[Investor ID]]:LS[[#This Row],[Investor ID]],LS[[#This Row],[Investor ID]])</f>
        <v>416638</v>
      </c>
      <c r="P897" s="102">
        <v>971100</v>
      </c>
      <c r="Q897" s="102">
        <f>LS[[#This Row],[Amount]]-LS[[#This Row],[Unit Capital]]</f>
        <v>231900</v>
      </c>
      <c r="R8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11.500813910366329</v>
      </c>
      <c r="S897" s="103">
        <f t="shared" si="13"/>
        <v>14.224</v>
      </c>
      <c r="T89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897" s="102" cm="1">
        <f t="array" ref="U897">IF(LS[[#This Row],[B/S]]="S",ABS(LS[[#This Row],[Unit]])*(INDEX(LS[NAV at Cost (Average)],MATCH(CONCATENATE((LS[[#This Row],[Frequency]]-1),LS[[#This Row],[Investor ID]]),LS[Unique Code],0),0)),0)</f>
        <v>0</v>
      </c>
      <c r="V897" s="102">
        <f>IF(LS[[#This Row],[BO TRANSFER]]="YES",LS[[#This Row],[Unit]],)</f>
        <v>0</v>
      </c>
      <c r="W897" s="102">
        <f>SUMIFS(LS[[#Headers],[BO UNIT TRANSFER]]:LS[[#This Row],[BO UNIT TRANSFER]],LS[[#Headers],[Investor ID]]:LS[[#This Row],[Investor ID]],LS[[#This Row],[Investor ID]])</f>
        <v>0</v>
      </c>
    </row>
    <row r="898" spans="1:23">
      <c r="A898" s="101">
        <v>2025</v>
      </c>
      <c r="B898" s="101">
        <v>3</v>
      </c>
      <c r="C898" s="101">
        <v>23</v>
      </c>
      <c r="D898" s="98">
        <f>DATE(LS[[#This Row],[Year]],LS[[#This Row],[Month]],LS[[#This Row],[Day]])</f>
        <v>45739</v>
      </c>
      <c r="E898" s="99" t="str" cm="1">
        <f t="array" ref="E898">INDEX(INVESTORS_LIST[INVESTOR NAME],MATCH(LS[[#This Row],[Investor ID]],INVESTORS_LIST[INVESTOR CODE],0),)</f>
        <v>DEBASHISH RAY</v>
      </c>
      <c r="F898" s="100" t="s">
        <v>1294</v>
      </c>
      <c r="G898" s="101">
        <f>COUNTIF(LS[[#Headers],[Investor ID]]:LS[[#This Row],[Investor ID]],LS[[#This Row],[Investor ID]])</f>
        <v>3</v>
      </c>
      <c r="H898" s="101" t="str">
        <f>CONCATENATE(LS[[#This Row],[Frequency]],LS[[#This Row],[Investor ID]])</f>
        <v>3A00594</v>
      </c>
      <c r="I898" s="75" t="str">
        <f>IF(LS[[#This Row],[B/S]]="B","BUY",(IF(LS[[#This Row],[B/S]]="S","SELL"," ")))</f>
        <v>SELL</v>
      </c>
      <c r="J898" s="101" t="s">
        <v>1231</v>
      </c>
      <c r="K898" s="102">
        <v>-213470.02</v>
      </c>
      <c r="L898" s="99"/>
      <c r="M898" s="103">
        <f>LS[[#This Row],[Amount]]/LS[[#This Row],[Unit]]</f>
        <v>12.649325669589949</v>
      </c>
      <c r="N898" s="104">
        <f>LS[[#This Row],[Unit Capital]]/10</f>
        <v>-16876</v>
      </c>
      <c r="O898" s="104">
        <f>SUMIFS(LS[[#Headers],[Unit]]:LS[[#This Row],[Unit]],LS[[#Headers],[Investor ID]]:LS[[#This Row],[Investor ID]],LS[[#This Row],[Investor ID]])</f>
        <v>356</v>
      </c>
      <c r="P898" s="102">
        <v>-168760</v>
      </c>
      <c r="Q898" s="102">
        <f>LS[[#This Row],[Amount]]-LS[[#This Row],[Unit Capital]]</f>
        <v>-44710.01999999999</v>
      </c>
      <c r="R8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11.606313834726091</v>
      </c>
      <c r="S898" s="103">
        <f t="shared" si="13"/>
        <v>14.224</v>
      </c>
      <c r="T898" s="102">
        <f>IF(LS[[#This Row],[B/S]]="B",0,ABS(LS[[#This Row],[Unit]])*(LS[[#This Row],[NAV (Strike Rate)]]-INDEX(LS[NAV at Cost (Average)],MATCH(CONCATENATE(LS[[#This Row],[Frequency]]-1,LS[[#This Row],[Investor ID]]),LS[Unique Code],0),)))</f>
        <v>17601.867725162469</v>
      </c>
      <c r="U898" s="102" cm="1">
        <f t="array" ref="U898">IF(LS[[#This Row],[B/S]]="S",ABS(LS[[#This Row],[Unit]])*(INDEX(LS[NAV at Cost (Average)],MATCH(CONCATENATE((LS[[#This Row],[Frequency]]-1),LS[[#This Row],[Investor ID]]),LS[Unique Code],0),0)),0)</f>
        <v>195868.15227483751</v>
      </c>
      <c r="V898" s="102">
        <f>IF(LS[[#This Row],[BO TRANSFER]]="YES",LS[[#This Row],[Unit]],)</f>
        <v>0</v>
      </c>
      <c r="W898" s="102">
        <f>SUMIFS(LS[[#Headers],[BO UNIT TRANSFER]]:LS[[#This Row],[BO UNIT TRANSFER]],LS[[#Headers],[Investor ID]]:LS[[#This Row],[Investor ID]],LS[[#This Row],[Investor ID]])</f>
        <v>0</v>
      </c>
    </row>
    <row r="899" spans="1:23">
      <c r="A899" s="101">
        <v>2025</v>
      </c>
      <c r="B899" s="101">
        <v>3</v>
      </c>
      <c r="C899" s="101">
        <v>23</v>
      </c>
      <c r="D899" s="98">
        <f>DATE(LS[[#This Row],[Year]],LS[[#This Row],[Month]],LS[[#This Row],[Day]])</f>
        <v>45739</v>
      </c>
      <c r="E899" s="99" t="str" cm="1">
        <f t="array" ref="E899">INDEX(INVESTORS_LIST[INVESTOR NAME],MATCH(LS[[#This Row],[Investor ID]],INVESTORS_LIST[INVESTOR CODE],0),)</f>
        <v>SHANTA SAHA</v>
      </c>
      <c r="F899" s="100" t="s">
        <v>1298</v>
      </c>
      <c r="G899" s="101">
        <f>COUNTIF(LS[[#Headers],[Investor ID]]:LS[[#This Row],[Investor ID]],LS[[#This Row],[Investor ID]])</f>
        <v>2</v>
      </c>
      <c r="H899" s="101" t="str">
        <f>CONCATENATE(LS[[#This Row],[Frequency]],LS[[#This Row],[Investor ID]])</f>
        <v>2A00596</v>
      </c>
      <c r="I899" s="75" t="str">
        <f>IF(LS[[#This Row],[B/S]]="B","BUY",(IF(LS[[#This Row],[B/S]]="S","SELL"," ")))</f>
        <v>SELL</v>
      </c>
      <c r="J899" s="101" t="s">
        <v>1231</v>
      </c>
      <c r="K899" s="102">
        <v>-316885.03999999998</v>
      </c>
      <c r="L899" s="99"/>
      <c r="M899" s="103">
        <f>LS[[#This Row],[Amount]]/LS[[#This Row],[Unit]]</f>
        <v>12.649091489701421</v>
      </c>
      <c r="N899" s="104">
        <f>LS[[#This Row],[Unit Capital]]/10</f>
        <v>-25052</v>
      </c>
      <c r="O899" s="104">
        <f>SUMIFS(LS[[#Headers],[Unit]]:LS[[#This Row],[Unit]],LS[[#Headers],[Investor ID]]:LS[[#This Row],[Investor ID]],LS[[#This Row],[Investor ID]])</f>
        <v>528</v>
      </c>
      <c r="P899" s="102">
        <v>-250520</v>
      </c>
      <c r="Q899" s="102">
        <f>LS[[#This Row],[Amount]]-LS[[#This Row],[Unit Capital]]</f>
        <v>-66365.039999999979</v>
      </c>
      <c r="R8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11.727912431587178</v>
      </c>
      <c r="S899" s="103">
        <f t="shared" ref="S899:S962" si="14">IFERROR(NAV_MKT,0)</f>
        <v>14.224</v>
      </c>
      <c r="T899" s="102">
        <f>IF(LS[[#This Row],[B/S]]="B",0,ABS(LS[[#This Row],[Unit]])*(LS[[#This Row],[NAV (Strike Rate)]]-INDEX(LS[NAV at Cost (Average)],MATCH(CONCATENATE(LS[[#This Row],[Frequency]]-1,LS[[#This Row],[Investor ID]]),LS[Unique Code],0),)))</f>
        <v>23077.377763878008</v>
      </c>
      <c r="U899" s="102" cm="1">
        <f t="array" ref="U899">IF(LS[[#This Row],[B/S]]="S",ABS(LS[[#This Row],[Unit]])*(INDEX(LS[NAV at Cost (Average)],MATCH(CONCATENATE((LS[[#This Row],[Frequency]]-1),LS[[#This Row],[Investor ID]]),LS[Unique Code],0),0)),0)</f>
        <v>293807.66223612201</v>
      </c>
      <c r="V899" s="102">
        <f>IF(LS[[#This Row],[BO TRANSFER]]="YES",LS[[#This Row],[Unit]],)</f>
        <v>0</v>
      </c>
      <c r="W899" s="102">
        <f>SUMIFS(LS[[#Headers],[BO UNIT TRANSFER]]:LS[[#This Row],[BO UNIT TRANSFER]],LS[[#Headers],[Investor ID]]:LS[[#This Row],[Investor ID]],LS[[#This Row],[Investor ID]])</f>
        <v>0</v>
      </c>
    </row>
    <row r="900" spans="1:23">
      <c r="A900" s="101">
        <v>2025</v>
      </c>
      <c r="B900" s="101">
        <v>3</v>
      </c>
      <c r="C900" s="101">
        <v>23</v>
      </c>
      <c r="D900" s="98">
        <f>DATE(LS[[#This Row],[Year]],LS[[#This Row],[Month]],LS[[#This Row],[Day]])</f>
        <v>45739</v>
      </c>
      <c r="E900" s="99" t="str" cm="1">
        <f t="array" ref="E900">INDEX(INVESTORS_LIST[INVESTOR NAME],MATCH(LS[[#This Row],[Investor ID]],INVESTORS_LIST[INVESTOR CODE],0),)</f>
        <v>MUSTAFA KAMAL MASUD</v>
      </c>
      <c r="F900" s="100" t="s">
        <v>1026</v>
      </c>
      <c r="G900" s="101">
        <f>COUNTIF(LS[[#Headers],[Investor ID]]:LS[[#This Row],[Investor ID]],LS[[#This Row],[Investor ID]])</f>
        <v>8</v>
      </c>
      <c r="H900" s="101" t="str">
        <f>CONCATENATE(LS[[#This Row],[Frequency]],LS[[#This Row],[Investor ID]])</f>
        <v>8A00490</v>
      </c>
      <c r="I900" s="75" t="str">
        <f>IF(LS[[#This Row],[B/S]]="B","BUY",(IF(LS[[#This Row],[B/S]]="S","SELL"," ")))</f>
        <v>BUY</v>
      </c>
      <c r="J900" s="101" t="s">
        <v>1229</v>
      </c>
      <c r="K900" s="102">
        <v>1000000</v>
      </c>
      <c r="L900" s="88"/>
      <c r="M900" s="103">
        <f>LS[[#This Row],[Amount]]/LS[[#This Row],[Unit]]</f>
        <v>12.388043060837679</v>
      </c>
      <c r="N900" s="104">
        <f>LS[[#This Row],[Unit Capital]]/10</f>
        <v>80723</v>
      </c>
      <c r="O900" s="104">
        <f>SUMIFS(LS[[#Headers],[Unit]]:LS[[#This Row],[Unit]],LS[[#Headers],[Investor ID]]:LS[[#This Row],[Investor ID]],LS[[#This Row],[Investor ID]])</f>
        <v>313432</v>
      </c>
      <c r="P900" s="102">
        <v>807230</v>
      </c>
      <c r="Q900" s="102">
        <f>LS[[#This Row],[Amount]]-LS[[#This Row],[Unit Capital]]</f>
        <v>192770</v>
      </c>
      <c r="R9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11.413124613780077</v>
      </c>
      <c r="S900" s="103">
        <f t="shared" si="14"/>
        <v>14.224</v>
      </c>
      <c r="T9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0" s="102" cm="1">
        <f t="array" ref="U900">IF(LS[[#This Row],[B/S]]="S",ABS(LS[[#This Row],[Unit]])*(INDEX(LS[NAV at Cost (Average)],MATCH(CONCATENATE((LS[[#This Row],[Frequency]]-1),LS[[#This Row],[Investor ID]]),LS[Unique Code],0),0)),0)</f>
        <v>0</v>
      </c>
      <c r="V900" s="102">
        <f>IF(LS[[#This Row],[BO TRANSFER]]="YES",LS[[#This Row],[Unit]],)</f>
        <v>0</v>
      </c>
      <c r="W900" s="102">
        <f>SUMIFS(LS[[#Headers],[BO UNIT TRANSFER]]:LS[[#This Row],[BO UNIT TRANSFER]],LS[[#Headers],[Investor ID]]:LS[[#This Row],[Investor ID]],LS[[#This Row],[Investor ID]])</f>
        <v>0</v>
      </c>
    </row>
    <row r="901" spans="1:23">
      <c r="A901" s="101">
        <v>2025</v>
      </c>
      <c r="B901" s="101">
        <v>3</v>
      </c>
      <c r="C901" s="101">
        <v>24</v>
      </c>
      <c r="D901" s="98">
        <f>DATE(LS[[#This Row],[Year]],LS[[#This Row],[Month]],LS[[#This Row],[Day]])</f>
        <v>45740</v>
      </c>
      <c r="E901" s="99" t="str" cm="1">
        <f t="array" ref="E901">INDEX(INVESTORS_LIST[INVESTOR NAME],MATCH(LS[[#This Row],[Investor ID]],INVESTORS_LIST[INVESTOR CODE],0),)</f>
        <v>DEBASHISH RAY</v>
      </c>
      <c r="F901" s="100" t="s">
        <v>1294</v>
      </c>
      <c r="G901" s="101">
        <f>COUNTIF(LS[[#Headers],[Investor ID]]:LS[[#This Row],[Investor ID]],LS[[#This Row],[Investor ID]])</f>
        <v>4</v>
      </c>
      <c r="H901" s="101" t="str">
        <f>CONCATENATE(LS[[#This Row],[Frequency]],LS[[#This Row],[Investor ID]])</f>
        <v>4A00594</v>
      </c>
      <c r="I901" s="75" t="str">
        <f>IF(LS[[#This Row],[B/S]]="B","BUY",(IF(LS[[#This Row],[B/S]]="S","SELL"," ")))</f>
        <v>SELL</v>
      </c>
      <c r="J901" s="101" t="s">
        <v>1231</v>
      </c>
      <c r="K901" s="102">
        <v>-4497.55</v>
      </c>
      <c r="L901" s="99"/>
      <c r="M901" s="103">
        <f>LS[[#This Row],[Amount]]/LS[[#This Row],[Unit]]</f>
        <v>12.633567415730338</v>
      </c>
      <c r="N901" s="104">
        <f>LS[[#This Row],[Unit Capital]]/10</f>
        <v>-356</v>
      </c>
      <c r="O901" s="104">
        <f>SUMIFS(LS[[#Headers],[Unit]]:LS[[#This Row],[Unit]],LS[[#Headers],[Investor ID]]:LS[[#This Row],[Investor ID]],LS[[#This Row],[Investor ID]])</f>
        <v>0</v>
      </c>
      <c r="P901" s="102">
        <v>-3560</v>
      </c>
      <c r="Q901" s="102">
        <f>LS[[#This Row],[Amount]]-LS[[#This Row],[Unit Capital]]</f>
        <v>-937.55000000000018</v>
      </c>
      <c r="R9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01" s="103">
        <f t="shared" si="14"/>
        <v>14.224</v>
      </c>
      <c r="T901" s="102">
        <f>IF(LS[[#This Row],[B/S]]="B",0,ABS(LS[[#This Row],[Unit]])*(LS[[#This Row],[NAV (Strike Rate)]]-INDEX(LS[NAV at Cost (Average)],MATCH(CONCATENATE(LS[[#This Row],[Frequency]]-1,LS[[#This Row],[Investor ID]]),LS[Unique Code],0),)))</f>
        <v>365.70227483751205</v>
      </c>
      <c r="U901" s="102" cm="1">
        <f t="array" ref="U901">IF(LS[[#This Row],[B/S]]="S",ABS(LS[[#This Row],[Unit]])*(INDEX(LS[NAV at Cost (Average)],MATCH(CONCATENATE((LS[[#This Row],[Frequency]]-1),LS[[#This Row],[Investor ID]]),LS[Unique Code],0),0)),0)</f>
        <v>4131.8477251624881</v>
      </c>
      <c r="V901" s="102">
        <f>IF(LS[[#This Row],[BO TRANSFER]]="YES",LS[[#This Row],[Unit]],)</f>
        <v>0</v>
      </c>
      <c r="W901" s="102">
        <f>SUMIFS(LS[[#Headers],[BO UNIT TRANSFER]]:LS[[#This Row],[BO UNIT TRANSFER]],LS[[#Headers],[Investor ID]]:LS[[#This Row],[Investor ID]],LS[[#This Row],[Investor ID]])</f>
        <v>0</v>
      </c>
    </row>
    <row r="902" spans="1:23">
      <c r="A902" s="101">
        <v>2025</v>
      </c>
      <c r="B902" s="101">
        <v>3</v>
      </c>
      <c r="C902" s="101">
        <v>24</v>
      </c>
      <c r="D902" s="98">
        <f>DATE(LS[[#This Row],[Year]],LS[[#This Row],[Month]],LS[[#This Row],[Day]])</f>
        <v>45740</v>
      </c>
      <c r="E902" s="99" t="str" cm="1">
        <f t="array" ref="E902">INDEX(INVESTORS_LIST[INVESTOR NAME],MATCH(LS[[#This Row],[Investor ID]],INVESTORS_LIST[INVESTOR CODE],0),)</f>
        <v>MALLIKA BISWAS</v>
      </c>
      <c r="F902" s="100" t="s">
        <v>970</v>
      </c>
      <c r="G902" s="101">
        <f>COUNTIF(LS[[#Headers],[Investor ID]]:LS[[#This Row],[Investor ID]],LS[[#This Row],[Investor ID]])</f>
        <v>2</v>
      </c>
      <c r="H902" s="101" t="str">
        <f>CONCATENATE(LS[[#This Row],[Frequency]],LS[[#This Row],[Investor ID]])</f>
        <v>2A00462</v>
      </c>
      <c r="I902" s="75" t="str">
        <f>IF(LS[[#This Row],[B/S]]="B","BUY",(IF(LS[[#This Row],[B/S]]="S","SELL"," ")))</f>
        <v>SELL</v>
      </c>
      <c r="J902" s="101" t="s">
        <v>1231</v>
      </c>
      <c r="K902" s="102">
        <v>-1000000</v>
      </c>
      <c r="L902" s="99"/>
      <c r="M902" s="103">
        <f>LS[[#This Row],[Amount]]/LS[[#This Row],[Unit]]</f>
        <v>12.388043060837679</v>
      </c>
      <c r="N902" s="104">
        <f>LS[[#This Row],[Unit Capital]]/10</f>
        <v>-80723</v>
      </c>
      <c r="O902" s="104">
        <f>SUMIFS(LS[[#Headers],[Unit]]:LS[[#This Row],[Unit]],LS[[#Headers],[Investor ID]]:LS[[#This Row],[Investor ID]],LS[[#This Row],[Investor ID]])</f>
        <v>19277</v>
      </c>
      <c r="P902" s="102">
        <v>-807230</v>
      </c>
      <c r="Q902" s="102">
        <f>LS[[#This Row],[Amount]]-LS[[#This Row],[Unit Capital]]</f>
        <v>-192770</v>
      </c>
      <c r="R9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902" s="103">
        <f t="shared" si="14"/>
        <v>14.224</v>
      </c>
      <c r="T902" s="102">
        <f>IF(LS[[#This Row],[B/S]]="B",0,ABS(LS[[#This Row],[Unit]])*(LS[[#This Row],[NAV (Strike Rate)]]-INDEX(LS[NAV at Cost (Average)],MATCH(CONCATENATE(LS[[#This Row],[Frequency]]-1,LS[[#This Row],[Investor ID]]),LS[Unique Code],0),)))</f>
        <v>192770</v>
      </c>
      <c r="U902" s="102" cm="1">
        <f t="array" ref="U902">IF(LS[[#This Row],[B/S]]="S",ABS(LS[[#This Row],[Unit]])*(INDEX(LS[NAV at Cost (Average)],MATCH(CONCATENATE((LS[[#This Row],[Frequency]]-1),LS[[#This Row],[Investor ID]]),LS[Unique Code],0),0)),0)</f>
        <v>807230</v>
      </c>
      <c r="V902" s="102">
        <f>IF(LS[[#This Row],[BO TRANSFER]]="YES",LS[[#This Row],[Unit]],)</f>
        <v>0</v>
      </c>
      <c r="W902" s="102">
        <f>SUMIFS(LS[[#Headers],[BO UNIT TRANSFER]]:LS[[#This Row],[BO UNIT TRANSFER]],LS[[#Headers],[Investor ID]]:LS[[#This Row],[Investor ID]],LS[[#This Row],[Investor ID]])</f>
        <v>0</v>
      </c>
    </row>
    <row r="903" spans="1:23">
      <c r="A903" s="101">
        <v>2025</v>
      </c>
      <c r="B903" s="101">
        <v>3</v>
      </c>
      <c r="C903" s="101">
        <v>24</v>
      </c>
      <c r="D903" s="98">
        <f>DATE(LS[[#This Row],[Year]],LS[[#This Row],[Month]],LS[[#This Row],[Day]])</f>
        <v>45740</v>
      </c>
      <c r="E903" s="99" t="str" cm="1">
        <f t="array" ref="E903">INDEX(INVESTORS_LIST[INVESTOR NAME],MATCH(LS[[#This Row],[Investor ID]],INVESTORS_LIST[INVESTOR CODE],0),)</f>
        <v>SHANTA SAHA</v>
      </c>
      <c r="F903" s="100" t="s">
        <v>1298</v>
      </c>
      <c r="G903" s="101">
        <f>COUNTIF(LS[[#Headers],[Investor ID]]:LS[[#This Row],[Investor ID]],LS[[#This Row],[Investor ID]])</f>
        <v>3</v>
      </c>
      <c r="H903" s="101" t="str">
        <f>CONCATENATE(LS[[#This Row],[Frequency]],LS[[#This Row],[Investor ID]])</f>
        <v>3A00596</v>
      </c>
      <c r="I903" s="75" t="str">
        <f>IF(LS[[#This Row],[B/S]]="B","BUY",(IF(LS[[#This Row],[B/S]]="S","SELL"," ")))</f>
        <v>SELL</v>
      </c>
      <c r="J903" s="101" t="s">
        <v>1231</v>
      </c>
      <c r="K903" s="102">
        <v>-6676.38</v>
      </c>
      <c r="L903" s="99"/>
      <c r="M903" s="103">
        <f>LS[[#This Row],[Amount]]/LS[[#This Row],[Unit]]</f>
        <v>12.644659090909091</v>
      </c>
      <c r="N903" s="104">
        <f>LS[[#This Row],[Unit Capital]]/10</f>
        <v>-528</v>
      </c>
      <c r="O903" s="104">
        <f>SUMIFS(LS[[#Headers],[Unit]]:LS[[#This Row],[Unit]],LS[[#Headers],[Investor ID]]:LS[[#This Row],[Investor ID]],LS[[#This Row],[Investor ID]])</f>
        <v>0</v>
      </c>
      <c r="P903" s="102">
        <v>-5280</v>
      </c>
      <c r="Q903" s="102">
        <f>LS[[#This Row],[Amount]]-LS[[#This Row],[Unit Capital]]</f>
        <v>-1396.38</v>
      </c>
      <c r="R9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03" s="103">
        <f t="shared" si="14"/>
        <v>14.224</v>
      </c>
      <c r="T903" s="102">
        <f>IF(LS[[#This Row],[B/S]]="B",0,ABS(LS[[#This Row],[Unit]])*(LS[[#This Row],[NAV (Strike Rate)]]-INDEX(LS[NAV at Cost (Average)],MATCH(CONCATENATE(LS[[#This Row],[Frequency]]-1,LS[[#This Row],[Investor ID]]),LS[Unique Code],0),)))</f>
        <v>484.04223612196978</v>
      </c>
      <c r="U903" s="102" cm="1">
        <f t="array" ref="U903">IF(LS[[#This Row],[B/S]]="S",ABS(LS[[#This Row],[Unit]])*(INDEX(LS[NAV at Cost (Average)],MATCH(CONCATENATE((LS[[#This Row],[Frequency]]-1),LS[[#This Row],[Investor ID]]),LS[Unique Code],0),0)),0)</f>
        <v>6192.3377638780303</v>
      </c>
      <c r="V903" s="102">
        <f>IF(LS[[#This Row],[BO TRANSFER]]="YES",LS[[#This Row],[Unit]],)</f>
        <v>0</v>
      </c>
      <c r="W903" s="102">
        <f>SUMIFS(LS[[#Headers],[BO UNIT TRANSFER]]:LS[[#This Row],[BO UNIT TRANSFER]],LS[[#Headers],[Investor ID]]:LS[[#This Row],[Investor ID]],LS[[#This Row],[Investor ID]])</f>
        <v>0</v>
      </c>
    </row>
    <row r="904" spans="1:23">
      <c r="A904" s="101">
        <v>2025</v>
      </c>
      <c r="B904" s="101">
        <v>3</v>
      </c>
      <c r="C904" s="101">
        <v>27</v>
      </c>
      <c r="D904" s="98">
        <f>DATE(LS[[#This Row],[Year]],LS[[#This Row],[Month]],LS[[#This Row],[Day]])</f>
        <v>45743</v>
      </c>
      <c r="E904" s="99" t="str" cm="1">
        <f t="array" ref="E904">INDEX(INVESTORS_LIST[INVESTOR NAME],MATCH(LS[[#This Row],[Investor ID]],INVESTORS_LIST[INVESTOR CODE],0),)</f>
        <v>FARZANA JITU</v>
      </c>
      <c r="F904" s="100" t="s">
        <v>968</v>
      </c>
      <c r="G904" s="101">
        <f>COUNTIF(LS[[#Headers],[Investor ID]]:LS[[#This Row],[Investor ID]],LS[[#This Row],[Investor ID]])</f>
        <v>24</v>
      </c>
      <c r="H904" s="101" t="str">
        <f>CONCATENATE(LS[[#This Row],[Frequency]],LS[[#This Row],[Investor ID]])</f>
        <v>24A00461</v>
      </c>
      <c r="I904" s="75" t="str">
        <f>IF(LS[[#This Row],[B/S]]="B","BUY",(IF(LS[[#This Row],[B/S]]="S","SELL"," ")))</f>
        <v>BUY</v>
      </c>
      <c r="J904" s="101" t="s">
        <v>1229</v>
      </c>
      <c r="K904" s="102">
        <v>100000</v>
      </c>
      <c r="L904" s="88"/>
      <c r="M904" s="103">
        <f>LS[[#This Row],[Amount]]/LS[[#This Row],[Unit]]</f>
        <v>12.388503468780971</v>
      </c>
      <c r="N904" s="104">
        <f>LS[[#This Row],[Unit Capital]]/10</f>
        <v>8072</v>
      </c>
      <c r="O904" s="104">
        <f>SUMIFS(LS[[#Headers],[Unit]]:LS[[#This Row],[Unit]],LS[[#Headers],[Investor ID]]:LS[[#This Row],[Investor ID]],LS[[#This Row],[Investor ID]])</f>
        <v>8072</v>
      </c>
      <c r="P904" s="102">
        <v>80720</v>
      </c>
      <c r="Q904" s="102">
        <f>LS[[#This Row],[Amount]]-LS[[#This Row],[Unit Capital]]</f>
        <v>19280</v>
      </c>
      <c r="R9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12.388503468780971</v>
      </c>
      <c r="S904" s="103">
        <f t="shared" si="14"/>
        <v>14.224</v>
      </c>
      <c r="T90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4" s="102" cm="1">
        <f t="array" ref="U904">IF(LS[[#This Row],[B/S]]="S",ABS(LS[[#This Row],[Unit]])*(INDEX(LS[NAV at Cost (Average)],MATCH(CONCATENATE((LS[[#This Row],[Frequency]]-1),LS[[#This Row],[Investor ID]]),LS[Unique Code],0),0)),0)</f>
        <v>0</v>
      </c>
      <c r="V904" s="102">
        <f>IF(LS[[#This Row],[BO TRANSFER]]="YES",LS[[#This Row],[Unit]],)</f>
        <v>0</v>
      </c>
      <c r="W904" s="102">
        <f>SUMIFS(LS[[#Headers],[BO UNIT TRANSFER]]:LS[[#This Row],[BO UNIT TRANSFER]],LS[[#Headers],[Investor ID]]:LS[[#This Row],[Investor ID]],LS[[#This Row],[Investor ID]])</f>
        <v>0</v>
      </c>
    </row>
    <row r="905" spans="1:23">
      <c r="A905" s="101">
        <v>2025</v>
      </c>
      <c r="B905" s="101">
        <v>3</v>
      </c>
      <c r="C905" s="101">
        <v>27</v>
      </c>
      <c r="D905" s="98">
        <f>DATE(LS[[#This Row],[Year]],LS[[#This Row],[Month]],LS[[#This Row],[Day]])</f>
        <v>45743</v>
      </c>
      <c r="E905" s="99" t="str" cm="1">
        <f t="array" ref="E905">INDEX(INVESTORS_LIST[INVESTOR NAME],MATCH(LS[[#This Row],[Investor ID]],INVESTORS_LIST[INVESTOR CODE],0),)</f>
        <v>SK FEROZ ALAM</v>
      </c>
      <c r="F905" s="100" t="s">
        <v>240</v>
      </c>
      <c r="G905" s="101">
        <f>COUNTIF(LS[[#Headers],[Investor ID]]:LS[[#This Row],[Investor ID]],LS[[#This Row],[Investor ID]])</f>
        <v>4</v>
      </c>
      <c r="H905" s="101" t="str">
        <f>CONCATENATE(LS[[#This Row],[Frequency]],LS[[#This Row],[Investor ID]])</f>
        <v>4A00096</v>
      </c>
      <c r="I905" s="75" t="str">
        <f>IF(LS[[#This Row],[B/S]]="B","BUY",(IF(LS[[#This Row],[B/S]]="S","SELL"," ")))</f>
        <v>SELL</v>
      </c>
      <c r="J905" s="101" t="s">
        <v>1231</v>
      </c>
      <c r="K905" s="102">
        <v>-318000</v>
      </c>
      <c r="L905" s="99"/>
      <c r="M905" s="103">
        <f>LS[[#This Row],[Amount]]/LS[[#This Row],[Unit]]</f>
        <v>12.388001558239189</v>
      </c>
      <c r="N905" s="104">
        <f>LS[[#This Row],[Unit Capital]]/10</f>
        <v>-25670</v>
      </c>
      <c r="O905" s="104">
        <f>SUMIFS(LS[[#Headers],[Unit]]:LS[[#This Row],[Unit]],LS[[#Headers],[Investor ID]]:LS[[#This Row],[Investor ID]],LS[[#This Row],[Investor ID]])</f>
        <v>330</v>
      </c>
      <c r="P905" s="102">
        <v>-256700</v>
      </c>
      <c r="Q905" s="102">
        <f>LS[[#This Row],[Amount]]-LS[[#This Row],[Unit Capital]]</f>
        <v>-61300</v>
      </c>
      <c r="R9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11.484999999999999</v>
      </c>
      <c r="S905" s="103">
        <f t="shared" si="14"/>
        <v>14.224</v>
      </c>
      <c r="T905" s="102">
        <f>IF(LS[[#This Row],[B/S]]="B",0,ABS(LS[[#This Row],[Unit]])*(LS[[#This Row],[NAV (Strike Rate)]]-INDEX(LS[NAV at Cost (Average)],MATCH(CONCATENATE(LS[[#This Row],[Frequency]]-1,LS[[#This Row],[Investor ID]]),LS[Unique Code],0),)))</f>
        <v>23180.05</v>
      </c>
      <c r="U905" s="102" cm="1">
        <f t="array" ref="U905">IF(LS[[#This Row],[B/S]]="S",ABS(LS[[#This Row],[Unit]])*(INDEX(LS[NAV at Cost (Average)],MATCH(CONCATENATE((LS[[#This Row],[Frequency]]-1),LS[[#This Row],[Investor ID]]),LS[Unique Code],0),0)),0)</f>
        <v>294819.95</v>
      </c>
      <c r="V905" s="102">
        <f>IF(LS[[#This Row],[BO TRANSFER]]="YES",LS[[#This Row],[Unit]],)</f>
        <v>0</v>
      </c>
      <c r="W905" s="102">
        <f>SUMIFS(LS[[#Headers],[BO UNIT TRANSFER]]:LS[[#This Row],[BO UNIT TRANSFER]],LS[[#Headers],[Investor ID]]:LS[[#This Row],[Investor ID]],LS[[#This Row],[Investor ID]])</f>
        <v>0</v>
      </c>
    </row>
    <row r="906" spans="1:23">
      <c r="A906" s="101">
        <v>2025</v>
      </c>
      <c r="B906" s="101">
        <v>3</v>
      </c>
      <c r="C906" s="101">
        <v>27</v>
      </c>
      <c r="D906" s="98">
        <f>DATE(LS[[#This Row],[Year]],LS[[#This Row],[Month]],LS[[#This Row],[Day]])</f>
        <v>45743</v>
      </c>
      <c r="E906" s="99" t="str" cm="1">
        <f t="array" ref="E906">INDEX(INVESTORS_LIST[INVESTOR NAME],MATCH(LS[[#This Row],[Investor ID]],INVESTORS_LIST[INVESTOR CODE],0),)</f>
        <v>SYED FAZLE RABBY</v>
      </c>
      <c r="F906" s="100" t="s">
        <v>166</v>
      </c>
      <c r="G906" s="101">
        <f>COUNTIF(LS[[#Headers],[Investor ID]]:LS[[#This Row],[Investor ID]],LS[[#This Row],[Investor ID]])</f>
        <v>36</v>
      </c>
      <c r="H906" s="101" t="str">
        <f>CONCATENATE(LS[[#This Row],[Frequency]],LS[[#This Row],[Investor ID]])</f>
        <v>36A00059</v>
      </c>
      <c r="I906" s="75" t="str">
        <f>IF(LS[[#This Row],[B/S]]="B","BUY",(IF(LS[[#This Row],[B/S]]="S","SELL"," ")))</f>
        <v>BUY</v>
      </c>
      <c r="J906" s="101" t="s">
        <v>1229</v>
      </c>
      <c r="K906" s="102">
        <v>5000000</v>
      </c>
      <c r="L906" s="99"/>
      <c r="M906" s="103">
        <f>LS[[#This Row],[Amount]]/LS[[#This Row],[Unit]]</f>
        <v>12.388012368191548</v>
      </c>
      <c r="N906" s="104">
        <f>LS[[#This Row],[Unit Capital]]/10</f>
        <v>403616</v>
      </c>
      <c r="O906" s="104">
        <f>SUMIFS(LS[[#Headers],[Unit]]:LS[[#This Row],[Unit]],LS[[#Headers],[Investor ID]]:LS[[#This Row],[Investor ID]],LS[[#This Row],[Investor ID]])</f>
        <v>403616</v>
      </c>
      <c r="P906" s="102">
        <v>4036160</v>
      </c>
      <c r="Q906" s="102">
        <f>LS[[#This Row],[Amount]]-LS[[#This Row],[Unit Capital]]</f>
        <v>963840</v>
      </c>
      <c r="R9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12.388012368191548</v>
      </c>
      <c r="S906" s="103">
        <f t="shared" si="14"/>
        <v>14.224</v>
      </c>
      <c r="T90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6" s="102" cm="1">
        <f t="array" ref="U906">IF(LS[[#This Row],[B/S]]="S",ABS(LS[[#This Row],[Unit]])*(INDEX(LS[NAV at Cost (Average)],MATCH(CONCATENATE((LS[[#This Row],[Frequency]]-1),LS[[#This Row],[Investor ID]]),LS[Unique Code],0),0)),0)</f>
        <v>0</v>
      </c>
      <c r="V906" s="102">
        <f>IF(LS[[#This Row],[BO TRANSFER]]="YES",LS[[#This Row],[Unit]],)</f>
        <v>0</v>
      </c>
      <c r="W906" s="102">
        <f>SUMIFS(LS[[#Headers],[BO UNIT TRANSFER]]:LS[[#This Row],[BO UNIT TRANSFER]],LS[[#Headers],[Investor ID]]:LS[[#This Row],[Investor ID]],LS[[#This Row],[Investor ID]])</f>
        <v>0</v>
      </c>
    </row>
    <row r="907" spans="1:23">
      <c r="A907" s="101">
        <v>2025</v>
      </c>
      <c r="B907" s="101">
        <v>3</v>
      </c>
      <c r="C907" s="101">
        <v>27</v>
      </c>
      <c r="D907" s="98">
        <f>DATE(LS[[#This Row],[Year]],LS[[#This Row],[Month]],LS[[#This Row],[Day]])</f>
        <v>45743</v>
      </c>
      <c r="E907" s="99" t="str" cm="1">
        <f t="array" ref="E907">INDEX(INVESTORS_LIST[INVESTOR NAME],MATCH(LS[[#This Row],[Investor ID]],INVESTORS_LIST[INVESTOR CODE],0),)</f>
        <v>MUHAMMAD SHOHIDUZZAMAN</v>
      </c>
      <c r="F907" s="100" t="s">
        <v>986</v>
      </c>
      <c r="G907" s="101">
        <f>COUNTIF(LS[[#Headers],[Investor ID]]:LS[[#This Row],[Investor ID]],LS[[#This Row],[Investor ID]])</f>
        <v>10</v>
      </c>
      <c r="H907" s="101" t="str">
        <f>CONCATENATE(LS[[#This Row],[Frequency]],LS[[#This Row],[Investor ID]])</f>
        <v>10A00470</v>
      </c>
      <c r="I907" s="75" t="str">
        <f>IF(LS[[#This Row],[B/S]]="B","BUY",(IF(LS[[#This Row],[B/S]]="S","SELL"," ")))</f>
        <v>BUY</v>
      </c>
      <c r="J907" s="101" t="s">
        <v>1229</v>
      </c>
      <c r="K907" s="102">
        <v>5000000</v>
      </c>
      <c r="L907" s="99"/>
      <c r="M907" s="103">
        <f>LS[[#This Row],[Amount]]/LS[[#This Row],[Unit]]</f>
        <v>12.388012368191548</v>
      </c>
      <c r="N907" s="104">
        <f>LS[[#This Row],[Unit Capital]]/10</f>
        <v>403616</v>
      </c>
      <c r="O907" s="104">
        <f>SUMIFS(LS[[#Headers],[Unit]]:LS[[#This Row],[Unit]],LS[[#Headers],[Investor ID]]:LS[[#This Row],[Investor ID]],LS[[#This Row],[Investor ID]])</f>
        <v>559549</v>
      </c>
      <c r="P907" s="102">
        <v>4036160</v>
      </c>
      <c r="Q907" s="102">
        <f>LS[[#This Row],[Amount]]-LS[[#This Row],[Unit Capital]]</f>
        <v>963840</v>
      </c>
      <c r="R9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12.06953891846679</v>
      </c>
      <c r="S907" s="103">
        <f t="shared" si="14"/>
        <v>14.224</v>
      </c>
      <c r="T90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7" s="102" cm="1">
        <f t="array" ref="U907">IF(LS[[#This Row],[B/S]]="S",ABS(LS[[#This Row],[Unit]])*(INDEX(LS[NAV at Cost (Average)],MATCH(CONCATENATE((LS[[#This Row],[Frequency]]-1),LS[[#This Row],[Investor ID]]),LS[Unique Code],0),0)),0)</f>
        <v>0</v>
      </c>
      <c r="V907" s="102">
        <f>IF(LS[[#This Row],[BO TRANSFER]]="YES",LS[[#This Row],[Unit]],)</f>
        <v>0</v>
      </c>
      <c r="W907" s="102">
        <f>SUMIFS(LS[[#Headers],[BO UNIT TRANSFER]]:LS[[#This Row],[BO UNIT TRANSFER]],LS[[#Headers],[Investor ID]]:LS[[#This Row],[Investor ID]],LS[[#This Row],[Investor ID]])</f>
        <v>111098</v>
      </c>
    </row>
    <row r="908" spans="1:23">
      <c r="A908" s="101">
        <v>2025</v>
      </c>
      <c r="B908" s="101">
        <v>3</v>
      </c>
      <c r="C908" s="101">
        <v>27</v>
      </c>
      <c r="D908" s="98">
        <f>DATE(LS[[#This Row],[Year]],LS[[#This Row],[Month]],LS[[#This Row],[Day]])</f>
        <v>45743</v>
      </c>
      <c r="E908" s="99" t="str" cm="1">
        <f t="array" ref="E908">INDEX(INVESTORS_LIST[INVESTOR NAME],MATCH(LS[[#This Row],[Investor ID]],INVESTORS_LIST[INVESTOR CODE],0),)</f>
        <v>SHAH MUNTASIN MUJTABA</v>
      </c>
      <c r="F908" s="100" t="s">
        <v>1103</v>
      </c>
      <c r="G908" s="101">
        <f>COUNTIF(LS[[#Headers],[Investor ID]]:LS[[#This Row],[Investor ID]],LS[[#This Row],[Investor ID]])</f>
        <v>11</v>
      </c>
      <c r="H908" s="101" t="str">
        <f>CONCATENATE(LS[[#This Row],[Frequency]],LS[[#This Row],[Investor ID]])</f>
        <v>11A00528</v>
      </c>
      <c r="I908" s="75" t="str">
        <f>IF(LS[[#This Row],[B/S]]="B","BUY",(IF(LS[[#This Row],[B/S]]="S","SELL"," ")))</f>
        <v>BUY</v>
      </c>
      <c r="J908" s="101" t="s">
        <v>1229</v>
      </c>
      <c r="K908" s="102">
        <v>42119.199999999997</v>
      </c>
      <c r="L908" s="99"/>
      <c r="M908" s="103">
        <f>LS[[#This Row],[Amount]]/LS[[#This Row],[Unit]]</f>
        <v>12.388</v>
      </c>
      <c r="N908" s="104">
        <f>LS[[#This Row],[Unit Capital]]/10</f>
        <v>3400</v>
      </c>
      <c r="O908" s="104">
        <f>SUMIFS(LS[[#Headers],[Unit]]:LS[[#This Row],[Unit]],LS[[#Headers],[Investor ID]]:LS[[#This Row],[Investor ID]],LS[[#This Row],[Investor ID]])</f>
        <v>199556</v>
      </c>
      <c r="P908" s="102">
        <v>34000</v>
      </c>
      <c r="Q908" s="102">
        <f>LS[[#This Row],[Amount]]-LS[[#This Row],[Unit Capital]]</f>
        <v>8119.1999999999971</v>
      </c>
      <c r="R9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11.732616394659809</v>
      </c>
      <c r="S908" s="103">
        <f t="shared" si="14"/>
        <v>14.224</v>
      </c>
      <c r="T9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8" s="102" cm="1">
        <f t="array" ref="U908">IF(LS[[#This Row],[B/S]]="S",ABS(LS[[#This Row],[Unit]])*(INDEX(LS[NAV at Cost (Average)],MATCH(CONCATENATE((LS[[#This Row],[Frequency]]-1),LS[[#This Row],[Investor ID]]),LS[Unique Code],0),0)),0)</f>
        <v>0</v>
      </c>
      <c r="V908" s="102">
        <f>IF(LS[[#This Row],[BO TRANSFER]]="YES",LS[[#This Row],[Unit]],)</f>
        <v>0</v>
      </c>
      <c r="W908" s="102">
        <f>SUMIFS(LS[[#Headers],[BO UNIT TRANSFER]]:LS[[#This Row],[BO UNIT TRANSFER]],LS[[#Headers],[Investor ID]]:LS[[#This Row],[Investor ID]],LS[[#This Row],[Investor ID]])</f>
        <v>0</v>
      </c>
    </row>
    <row r="909" spans="1:23">
      <c r="A909" s="101">
        <v>2025</v>
      </c>
      <c r="B909" s="101">
        <v>4</v>
      </c>
      <c r="C909" s="101">
        <v>7</v>
      </c>
      <c r="D909" s="98">
        <f>DATE(LS[[#This Row],[Year]],LS[[#This Row],[Month]],LS[[#This Row],[Day]])</f>
        <v>45754</v>
      </c>
      <c r="E909" s="99" t="str" cm="1">
        <f t="array" ref="E909">INDEX(INVESTORS_LIST[INVESTOR NAME],MATCH(LS[[#This Row],[Investor ID]],INVESTORS_LIST[INVESTOR CODE],0),)</f>
        <v>K.M SAKIB AHMED</v>
      </c>
      <c r="F909" s="100" t="s">
        <v>479</v>
      </c>
      <c r="G909" s="101">
        <f>COUNTIF(LS[[#Headers],[Investor ID]]:LS[[#This Row],[Investor ID]],LS[[#This Row],[Investor ID]])</f>
        <v>1</v>
      </c>
      <c r="H909" s="101" t="str">
        <f>CONCATENATE(LS[[#This Row],[Frequency]],LS[[#This Row],[Investor ID]])</f>
        <v>1A00215</v>
      </c>
      <c r="I909" s="75" t="str">
        <f>IF(LS[[#This Row],[B/S]]="B","BUY",(IF(LS[[#This Row],[B/S]]="S","SELL"," ")))</f>
        <v>BUY</v>
      </c>
      <c r="J909" s="101" t="s">
        <v>1229</v>
      </c>
      <c r="K909" s="102">
        <v>500000</v>
      </c>
      <c r="L909" s="99"/>
      <c r="M909" s="103">
        <f>LS[[#This Row],[Amount]]/LS[[#This Row],[Unit]]</f>
        <v>12.37286877335379</v>
      </c>
      <c r="N909" s="104">
        <f>LS[[#This Row],[Unit Capital]]/10</f>
        <v>40411</v>
      </c>
      <c r="O909" s="104">
        <f>SUMIFS(LS[[#Headers],[Unit]]:LS[[#This Row],[Unit]],LS[[#Headers],[Investor ID]]:LS[[#This Row],[Investor ID]],LS[[#This Row],[Investor ID]])</f>
        <v>40411</v>
      </c>
      <c r="P909" s="102">
        <v>404110</v>
      </c>
      <c r="Q909" s="102">
        <f>LS[[#This Row],[Amount]]-LS[[#This Row],[Unit Capital]]</f>
        <v>95890</v>
      </c>
      <c r="R9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12.37286877335379</v>
      </c>
      <c r="S909" s="103">
        <f t="shared" si="14"/>
        <v>14.224</v>
      </c>
      <c r="T90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09" s="102" cm="1">
        <f t="array" ref="U909">IF(LS[[#This Row],[B/S]]="S",ABS(LS[[#This Row],[Unit]])*(INDEX(LS[NAV at Cost (Average)],MATCH(CONCATENATE((LS[[#This Row],[Frequency]]-1),LS[[#This Row],[Investor ID]]),LS[Unique Code],0),0)),0)</f>
        <v>0</v>
      </c>
      <c r="V909" s="102">
        <f>IF(LS[[#This Row],[BO TRANSFER]]="YES",LS[[#This Row],[Unit]],)</f>
        <v>0</v>
      </c>
      <c r="W909" s="102">
        <f>SUMIFS(LS[[#Headers],[BO UNIT TRANSFER]]:LS[[#This Row],[BO UNIT TRANSFER]],LS[[#Headers],[Investor ID]]:LS[[#This Row],[Investor ID]],LS[[#This Row],[Investor ID]])</f>
        <v>0</v>
      </c>
    </row>
    <row r="910" spans="1:23">
      <c r="A910" s="101">
        <v>2025</v>
      </c>
      <c r="B910" s="101">
        <v>4</v>
      </c>
      <c r="C910" s="101">
        <v>7</v>
      </c>
      <c r="D910" s="98">
        <f>DATE(LS[[#This Row],[Year]],LS[[#This Row],[Month]],LS[[#This Row],[Day]])</f>
        <v>45754</v>
      </c>
      <c r="E910" s="99" t="str" cm="1">
        <f t="array" ref="E910">INDEX(INVESTORS_LIST[INVESTOR NAME],MATCH(LS[[#This Row],[Investor ID]],INVESTORS_LIST[INVESTOR CODE],0),)</f>
        <v>K.M SAKIB AHMED</v>
      </c>
      <c r="F910" s="100" t="s">
        <v>479</v>
      </c>
      <c r="G910" s="101">
        <f>COUNTIF(LS[[#Headers],[Investor ID]]:LS[[#This Row],[Investor ID]],LS[[#This Row],[Investor ID]])</f>
        <v>2</v>
      </c>
      <c r="H910" s="101" t="str">
        <f>CONCATENATE(LS[[#This Row],[Frequency]],LS[[#This Row],[Investor ID]])</f>
        <v>2A00215</v>
      </c>
      <c r="I910" s="75" t="str">
        <f>IF(LS[[#This Row],[B/S]]="B","BUY",(IF(LS[[#This Row],[B/S]]="S","SELL"," ")))</f>
        <v>BUY</v>
      </c>
      <c r="J910" s="101" t="s">
        <v>1229</v>
      </c>
      <c r="K910" s="102">
        <v>500000</v>
      </c>
      <c r="L910" s="99"/>
      <c r="M910" s="103">
        <f>LS[[#This Row],[Amount]]/LS[[#This Row],[Unit]]</f>
        <v>12.37286877335379</v>
      </c>
      <c r="N910" s="104">
        <f>LS[[#This Row],[Unit Capital]]/10</f>
        <v>40411</v>
      </c>
      <c r="O910" s="104">
        <f>SUMIFS(LS[[#Headers],[Unit]]:LS[[#This Row],[Unit]],LS[[#Headers],[Investor ID]]:LS[[#This Row],[Investor ID]],LS[[#This Row],[Investor ID]])</f>
        <v>80822</v>
      </c>
      <c r="P910" s="102">
        <v>404110</v>
      </c>
      <c r="Q910" s="102">
        <f>LS[[#This Row],[Amount]]-LS[[#This Row],[Unit Capital]]</f>
        <v>95890</v>
      </c>
      <c r="R9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12.37286877335379</v>
      </c>
      <c r="S910" s="103">
        <f t="shared" si="14"/>
        <v>14.224</v>
      </c>
      <c r="T91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0" s="102" cm="1">
        <f t="array" ref="U910">IF(LS[[#This Row],[B/S]]="S",ABS(LS[[#This Row],[Unit]])*(INDEX(LS[NAV at Cost (Average)],MATCH(CONCATENATE((LS[[#This Row],[Frequency]]-1),LS[[#This Row],[Investor ID]]),LS[Unique Code],0),0)),0)</f>
        <v>0</v>
      </c>
      <c r="V910" s="102">
        <f>IF(LS[[#This Row],[BO TRANSFER]]="YES",LS[[#This Row],[Unit]],)</f>
        <v>0</v>
      </c>
      <c r="W910" s="102">
        <f>SUMIFS(LS[[#Headers],[BO UNIT TRANSFER]]:LS[[#This Row],[BO UNIT TRANSFER]],LS[[#Headers],[Investor ID]]:LS[[#This Row],[Investor ID]],LS[[#This Row],[Investor ID]])</f>
        <v>0</v>
      </c>
    </row>
    <row r="911" spans="1:23">
      <c r="A911" s="101">
        <v>2025</v>
      </c>
      <c r="B911" s="101">
        <v>4</v>
      </c>
      <c r="C911" s="101">
        <v>7</v>
      </c>
      <c r="D911" s="98">
        <f>DATE(LS[[#This Row],[Year]],LS[[#This Row],[Month]],LS[[#This Row],[Day]])</f>
        <v>45754</v>
      </c>
      <c r="E911" s="99" t="str" cm="1">
        <f t="array" ref="E911">INDEX(INVESTORS_LIST[INVESTOR NAME],MATCH(LS[[#This Row],[Investor ID]],INVESTORS_LIST[INVESTOR CODE],0),)</f>
        <v>FARZANA JITU</v>
      </c>
      <c r="F911" s="100" t="s">
        <v>968</v>
      </c>
      <c r="G911" s="101">
        <f>COUNTIF(LS[[#Headers],[Investor ID]]:LS[[#This Row],[Investor ID]],LS[[#This Row],[Investor ID]])</f>
        <v>25</v>
      </c>
      <c r="H911" s="101" t="str">
        <f>CONCATENATE(LS[[#This Row],[Frequency]],LS[[#This Row],[Investor ID]])</f>
        <v>25A00461</v>
      </c>
      <c r="I911" s="75" t="str">
        <f>IF(LS[[#This Row],[B/S]]="B","BUY",(IF(LS[[#This Row],[B/S]]="S","SELL"," ")))</f>
        <v>BUY</v>
      </c>
      <c r="J911" s="101" t="s">
        <v>1229</v>
      </c>
      <c r="K911" s="102">
        <v>300000</v>
      </c>
      <c r="L911" s="88"/>
      <c r="M911" s="103">
        <f>LS[[#This Row],[Amount]]/LS[[#This Row],[Unit]]</f>
        <v>12.373174956693887</v>
      </c>
      <c r="N911" s="104">
        <f>LS[[#This Row],[Unit Capital]]/10</f>
        <v>24246</v>
      </c>
      <c r="O911" s="104">
        <f>SUMIFS(LS[[#Headers],[Unit]]:LS[[#This Row],[Unit]],LS[[#Headers],[Investor ID]]:LS[[#This Row],[Investor ID]],LS[[#This Row],[Investor ID]])</f>
        <v>32318</v>
      </c>
      <c r="P911" s="102">
        <v>242460</v>
      </c>
      <c r="Q911" s="102">
        <f>LS[[#This Row],[Amount]]-LS[[#This Row],[Unit Capital]]</f>
        <v>57540</v>
      </c>
      <c r="R9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12.377003527446005</v>
      </c>
      <c r="S911" s="103">
        <f t="shared" si="14"/>
        <v>14.224</v>
      </c>
      <c r="T9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1" s="102" cm="1">
        <f t="array" ref="U911">IF(LS[[#This Row],[B/S]]="S",ABS(LS[[#This Row],[Unit]])*(INDEX(LS[NAV at Cost (Average)],MATCH(CONCATENATE((LS[[#This Row],[Frequency]]-1),LS[[#This Row],[Investor ID]]),LS[Unique Code],0),0)),0)</f>
        <v>0</v>
      </c>
      <c r="V911" s="102">
        <f>IF(LS[[#This Row],[BO TRANSFER]]="YES",LS[[#This Row],[Unit]],)</f>
        <v>0</v>
      </c>
      <c r="W911" s="102">
        <f>SUMIFS(LS[[#Headers],[BO UNIT TRANSFER]]:LS[[#This Row],[BO UNIT TRANSFER]],LS[[#Headers],[Investor ID]]:LS[[#This Row],[Investor ID]],LS[[#This Row],[Investor ID]])</f>
        <v>0</v>
      </c>
    </row>
    <row r="912" spans="1:23">
      <c r="A912" s="101">
        <v>2025</v>
      </c>
      <c r="B912" s="101">
        <v>4</v>
      </c>
      <c r="C912" s="101">
        <v>7</v>
      </c>
      <c r="D912" s="98">
        <f>DATE(LS[[#This Row],[Year]],LS[[#This Row],[Month]],LS[[#This Row],[Day]])</f>
        <v>45754</v>
      </c>
      <c r="E912" s="99" t="str" cm="1">
        <f t="array" ref="E912">INDEX(INVESTORS_LIST[INVESTOR NAME],MATCH(LS[[#This Row],[Investor ID]],INVESTORS_LIST[INVESTOR CODE],0),)</f>
        <v>FARZANA JITU</v>
      </c>
      <c r="F912" s="100" t="s">
        <v>968</v>
      </c>
      <c r="G912" s="101">
        <f>COUNTIF(LS[[#Headers],[Investor ID]]:LS[[#This Row],[Investor ID]],LS[[#This Row],[Investor ID]])</f>
        <v>26</v>
      </c>
      <c r="H912" s="101" t="str">
        <f>CONCATENATE(LS[[#This Row],[Frequency]],LS[[#This Row],[Investor ID]])</f>
        <v>26A00461</v>
      </c>
      <c r="I912" s="75" t="str">
        <f>IF(LS[[#This Row],[B/S]]="B","BUY",(IF(LS[[#This Row],[B/S]]="S","SELL"," ")))</f>
        <v>BUY</v>
      </c>
      <c r="J912" s="101" t="s">
        <v>1229</v>
      </c>
      <c r="K912" s="102">
        <v>230000</v>
      </c>
      <c r="L912" s="88"/>
      <c r="M912" s="103">
        <f>LS[[#This Row],[Amount]]/LS[[#This Row],[Unit]]</f>
        <v>12.372908709451826</v>
      </c>
      <c r="N912" s="104">
        <f>LS[[#This Row],[Unit Capital]]/10</f>
        <v>18589</v>
      </c>
      <c r="O912" s="104">
        <f>SUMIFS(LS[[#Headers],[Unit]]:LS[[#This Row],[Unit]],LS[[#Headers],[Investor ID]]:LS[[#This Row],[Investor ID]],LS[[#This Row],[Investor ID]])</f>
        <v>50907</v>
      </c>
      <c r="P912" s="102">
        <v>185890</v>
      </c>
      <c r="Q912" s="102">
        <f>LS[[#This Row],[Amount]]-LS[[#This Row],[Unit Capital]]</f>
        <v>44110</v>
      </c>
      <c r="R9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12.37550827980435</v>
      </c>
      <c r="S912" s="103">
        <f t="shared" si="14"/>
        <v>14.224</v>
      </c>
      <c r="T9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2" s="102" cm="1">
        <f t="array" ref="U912">IF(LS[[#This Row],[B/S]]="S",ABS(LS[[#This Row],[Unit]])*(INDEX(LS[NAV at Cost (Average)],MATCH(CONCATENATE((LS[[#This Row],[Frequency]]-1),LS[[#This Row],[Investor ID]]),LS[Unique Code],0),0)),0)</f>
        <v>0</v>
      </c>
      <c r="V912" s="102">
        <f>IF(LS[[#This Row],[BO TRANSFER]]="YES",LS[[#This Row],[Unit]],)</f>
        <v>0</v>
      </c>
      <c r="W912" s="102">
        <f>SUMIFS(LS[[#Headers],[BO UNIT TRANSFER]]:LS[[#This Row],[BO UNIT TRANSFER]],LS[[#Headers],[Investor ID]]:LS[[#This Row],[Investor ID]],LS[[#This Row],[Investor ID]])</f>
        <v>0</v>
      </c>
    </row>
    <row r="913" spans="1:23">
      <c r="A913" s="101">
        <v>2025</v>
      </c>
      <c r="B913" s="101">
        <v>4</v>
      </c>
      <c r="C913" s="101">
        <v>8</v>
      </c>
      <c r="D913" s="98">
        <f>DATE(LS[[#This Row],[Year]],LS[[#This Row],[Month]],LS[[#This Row],[Day]])</f>
        <v>45755</v>
      </c>
      <c r="E913" s="99" t="str" cm="1">
        <f t="array" ref="E913">INDEX(INVESTORS_LIST[INVESTOR NAME],MATCH(LS[[#This Row],[Investor ID]],INVESTORS_LIST[INVESTOR CODE],0),)</f>
        <v>K.M SAKIB AHMED</v>
      </c>
      <c r="F913" s="100" t="s">
        <v>479</v>
      </c>
      <c r="G913" s="101">
        <f>COUNTIF(LS[[#Headers],[Investor ID]]:LS[[#This Row],[Investor ID]],LS[[#This Row],[Investor ID]])</f>
        <v>3</v>
      </c>
      <c r="H913" s="101" t="str">
        <f>CONCATENATE(LS[[#This Row],[Frequency]],LS[[#This Row],[Investor ID]])</f>
        <v>3A00215</v>
      </c>
      <c r="I913" s="75" t="str">
        <f>IF(LS[[#This Row],[B/S]]="B","BUY",(IF(LS[[#This Row],[B/S]]="S","SELL"," ")))</f>
        <v>BUY</v>
      </c>
      <c r="J913" s="101" t="s">
        <v>1229</v>
      </c>
      <c r="K913" s="102">
        <v>500000</v>
      </c>
      <c r="L913" s="99"/>
      <c r="M913" s="103">
        <f>LS[[#This Row],[Amount]]/LS[[#This Row],[Unit]]</f>
        <v>12.37286877335379</v>
      </c>
      <c r="N913" s="104">
        <f>LS[[#This Row],[Unit Capital]]/10</f>
        <v>40411</v>
      </c>
      <c r="O913" s="104">
        <f>SUMIFS(LS[[#Headers],[Unit]]:LS[[#This Row],[Unit]],LS[[#Headers],[Investor ID]]:LS[[#This Row],[Investor ID]],LS[[#This Row],[Investor ID]])</f>
        <v>121233</v>
      </c>
      <c r="P913" s="102">
        <v>404110</v>
      </c>
      <c r="Q913" s="102">
        <f>LS[[#This Row],[Amount]]-LS[[#This Row],[Unit Capital]]</f>
        <v>95890</v>
      </c>
      <c r="R9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12.37286877335379</v>
      </c>
      <c r="S913" s="103">
        <f t="shared" si="14"/>
        <v>14.224</v>
      </c>
      <c r="T91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3" s="102" cm="1">
        <f t="array" ref="U913">IF(LS[[#This Row],[B/S]]="S",ABS(LS[[#This Row],[Unit]])*(INDEX(LS[NAV at Cost (Average)],MATCH(CONCATENATE((LS[[#This Row],[Frequency]]-1),LS[[#This Row],[Investor ID]]),LS[Unique Code],0),0)),0)</f>
        <v>0</v>
      </c>
      <c r="V913" s="102">
        <f>IF(LS[[#This Row],[BO TRANSFER]]="YES",LS[[#This Row],[Unit]],)</f>
        <v>0</v>
      </c>
      <c r="W913" s="102">
        <f>SUMIFS(LS[[#Headers],[BO UNIT TRANSFER]]:LS[[#This Row],[BO UNIT TRANSFER]],LS[[#Headers],[Investor ID]]:LS[[#This Row],[Investor ID]],LS[[#This Row],[Investor ID]])</f>
        <v>0</v>
      </c>
    </row>
    <row r="914" spans="1:23">
      <c r="A914" s="101">
        <v>2025</v>
      </c>
      <c r="B914" s="101">
        <v>4</v>
      </c>
      <c r="C914" s="101">
        <v>8</v>
      </c>
      <c r="D914" s="98">
        <f>DATE(LS[[#This Row],[Year]],LS[[#This Row],[Month]],LS[[#This Row],[Day]])</f>
        <v>45755</v>
      </c>
      <c r="E914" s="99" t="str" cm="1">
        <f t="array" ref="E914">INDEX(INVESTORS_LIST[INVESTOR NAME],MATCH(LS[[#This Row],[Investor ID]],INVESTORS_LIST[INVESTOR CODE],0),)</f>
        <v>SHIREEN AFROZE</v>
      </c>
      <c r="F914" s="100" t="s">
        <v>1145</v>
      </c>
      <c r="G914" s="101">
        <f>COUNTIF(LS[[#Headers],[Investor ID]]:LS[[#This Row],[Investor ID]],LS[[#This Row],[Investor ID]])</f>
        <v>5</v>
      </c>
      <c r="H914" s="101" t="str">
        <f>CONCATENATE(LS[[#This Row],[Frequency]],LS[[#This Row],[Investor ID]])</f>
        <v>5A00548</v>
      </c>
      <c r="I914" s="75" t="str">
        <f>IF(LS[[#This Row],[B/S]]="B","BUY",(IF(LS[[#This Row],[B/S]]="S","SELL"," ")))</f>
        <v>SELL</v>
      </c>
      <c r="J914" s="101" t="s">
        <v>1231</v>
      </c>
      <c r="K914" s="102">
        <v>-17000</v>
      </c>
      <c r="L914" s="99"/>
      <c r="M914" s="103">
        <f>LS[[#This Row],[Amount]]/LS[[#This Row],[Unit]]</f>
        <v>12.372634643377001</v>
      </c>
      <c r="N914" s="104">
        <f>LS[[#This Row],[Unit Capital]]/10</f>
        <v>-1374</v>
      </c>
      <c r="O914" s="104">
        <f>SUMIFS(LS[[#Headers],[Unit]]:LS[[#This Row],[Unit]],LS[[#Headers],[Investor ID]]:LS[[#This Row],[Investor ID]],LS[[#This Row],[Investor ID]])</f>
        <v>40335</v>
      </c>
      <c r="P914" s="102">
        <v>-13740</v>
      </c>
      <c r="Q914" s="102">
        <f>LS[[#This Row],[Amount]]-LS[[#This Row],[Unit Capital]]</f>
        <v>-3260</v>
      </c>
      <c r="R9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914" s="103">
        <f t="shared" si="14"/>
        <v>14.224</v>
      </c>
      <c r="T914" s="102">
        <f>IF(LS[[#This Row],[B/S]]="B",0,ABS(LS[[#This Row],[Unit]])*(LS[[#This Row],[NAV (Strike Rate)]]-INDEX(LS[NAV at Cost (Average)],MATCH(CONCATENATE(LS[[#This Row],[Frequency]]-1,LS[[#This Row],[Investor ID]]),LS[Unique Code],0),)))</f>
        <v>1773.2612261181775</v>
      </c>
      <c r="U914" s="102" cm="1">
        <f t="array" ref="U914">IF(LS[[#This Row],[B/S]]="S",ABS(LS[[#This Row],[Unit]])*(INDEX(LS[NAV at Cost (Average)],MATCH(CONCATENATE((LS[[#This Row],[Frequency]]-1),LS[[#This Row],[Investor ID]]),LS[Unique Code],0),0)),0)</f>
        <v>15226.738773881822</v>
      </c>
      <c r="V914" s="102">
        <f>IF(LS[[#This Row],[BO TRANSFER]]="YES",LS[[#This Row],[Unit]],)</f>
        <v>0</v>
      </c>
      <c r="W914" s="102">
        <f>SUMIFS(LS[[#Headers],[BO UNIT TRANSFER]]:LS[[#This Row],[BO UNIT TRANSFER]],LS[[#Headers],[Investor ID]]:LS[[#This Row],[Investor ID]],LS[[#This Row],[Investor ID]])</f>
        <v>0</v>
      </c>
    </row>
    <row r="915" spans="1:23">
      <c r="A915" s="101">
        <v>2025</v>
      </c>
      <c r="B915" s="101">
        <v>4</v>
      </c>
      <c r="C915" s="101">
        <v>8</v>
      </c>
      <c r="D915" s="98">
        <f>DATE(LS[[#This Row],[Year]],LS[[#This Row],[Month]],LS[[#This Row],[Day]])</f>
        <v>45755</v>
      </c>
      <c r="E915" s="99" t="str" cm="1">
        <f t="array" ref="E915">INDEX(INVESTORS_LIST[INVESTOR NAME],MATCH(LS[[#This Row],[Investor ID]],INVESTORS_LIST[INVESTOR CODE],0),)</f>
        <v>MOHAMMAD MAHFUZUL HAQUE</v>
      </c>
      <c r="F915" s="100" t="s">
        <v>1284</v>
      </c>
      <c r="G915" s="101">
        <f>COUNTIF(LS[[#Headers],[Investor ID]]:LS[[#This Row],[Investor ID]],LS[[#This Row],[Investor ID]])</f>
        <v>2</v>
      </c>
      <c r="H915" s="101" t="str">
        <f>CONCATENATE(LS[[#This Row],[Frequency]],LS[[#This Row],[Investor ID]])</f>
        <v>2A00589</v>
      </c>
      <c r="I915" s="75" t="str">
        <f>IF(LS[[#This Row],[B/S]]="B","BUY",(IF(LS[[#This Row],[B/S]]="S","SELL"," ")))</f>
        <v>SELL</v>
      </c>
      <c r="J915" s="101" t="s">
        <v>1231</v>
      </c>
      <c r="K915" s="102">
        <v>-2158813.58</v>
      </c>
      <c r="L915" s="99"/>
      <c r="M915" s="103">
        <f>LS[[#This Row],[Amount]]/LS[[#This Row],[Unit]]</f>
        <v>12.397</v>
      </c>
      <c r="N915" s="104">
        <f>LS[[#This Row],[Unit Capital]]/10</f>
        <v>-174140</v>
      </c>
      <c r="O915" s="104">
        <f>SUMIFS(LS[[#Headers],[Unit]]:LS[[#This Row],[Unit]],LS[[#Headers],[Investor ID]]:LS[[#This Row],[Investor ID]],LS[[#This Row],[Investor ID]])</f>
        <v>0</v>
      </c>
      <c r="P915" s="102">
        <v>-1741400</v>
      </c>
      <c r="Q915" s="102">
        <f>LS[[#This Row],[Amount]]-LS[[#This Row],[Unit Capital]]</f>
        <v>-417413.58000000007</v>
      </c>
      <c r="R9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15" s="103">
        <f t="shared" si="14"/>
        <v>14.224</v>
      </c>
      <c r="T915" s="102">
        <f>IF(LS[[#This Row],[B/S]]="B",0,ABS(LS[[#This Row],[Unit]])*(LS[[#This Row],[NAV (Strike Rate)]]-INDEX(LS[NAV at Cost (Average)],MATCH(CONCATENATE(LS[[#This Row],[Frequency]]-1,LS[[#This Row],[Investor ID]]),LS[Unique Code],0),)))</f>
        <v>158813.58000000013</v>
      </c>
      <c r="U915" s="102" cm="1">
        <f t="array" ref="U915">IF(LS[[#This Row],[B/S]]="S",ABS(LS[[#This Row],[Unit]])*(INDEX(LS[NAV at Cost (Average)],MATCH(CONCATENATE((LS[[#This Row],[Frequency]]-1),LS[[#This Row],[Investor ID]]),LS[Unique Code],0),0)),0)</f>
        <v>2000000</v>
      </c>
      <c r="V915" s="102">
        <f>IF(LS[[#This Row],[BO TRANSFER]]="YES",LS[[#This Row],[Unit]],)</f>
        <v>0</v>
      </c>
      <c r="W915" s="102">
        <f>SUMIFS(LS[[#Headers],[BO UNIT TRANSFER]]:LS[[#This Row],[BO UNIT TRANSFER]],LS[[#Headers],[Investor ID]]:LS[[#This Row],[Investor ID]],LS[[#This Row],[Investor ID]])</f>
        <v>0</v>
      </c>
    </row>
    <row r="916" spans="1:23">
      <c r="A916" s="101">
        <v>2025</v>
      </c>
      <c r="B916" s="101">
        <v>4</v>
      </c>
      <c r="C916" s="101">
        <v>8</v>
      </c>
      <c r="D916" s="98">
        <f>DATE(LS[[#This Row],[Year]],LS[[#This Row],[Month]],LS[[#This Row],[Day]])</f>
        <v>45755</v>
      </c>
      <c r="E916" s="99" t="str" cm="1">
        <f t="array" ref="E916">INDEX(INVESTORS_LIST[INVESTOR NAME],MATCH(LS[[#This Row],[Investor ID]],INVESTORS_LIST[INVESTOR CODE],0),)</f>
        <v>K.M SAKIB AHMED</v>
      </c>
      <c r="F916" s="100" t="s">
        <v>479</v>
      </c>
      <c r="G916" s="101">
        <f>COUNTIF(LS[[#Headers],[Investor ID]]:LS[[#This Row],[Investor ID]],LS[[#This Row],[Investor ID]])</f>
        <v>4</v>
      </c>
      <c r="H916" s="101" t="str">
        <f>CONCATENATE(LS[[#This Row],[Frequency]],LS[[#This Row],[Investor ID]])</f>
        <v>4A00215</v>
      </c>
      <c r="I916" s="75" t="str">
        <f>IF(LS[[#This Row],[B/S]]="B","BUY",(IF(LS[[#This Row],[B/S]]="S","SELL"," ")))</f>
        <v>BUY</v>
      </c>
      <c r="J916" s="101" t="s">
        <v>1229</v>
      </c>
      <c r="K916" s="102">
        <v>500000</v>
      </c>
      <c r="L916" s="99"/>
      <c r="M916" s="103">
        <f>LS[[#This Row],[Amount]]/LS[[#This Row],[Unit]]</f>
        <v>12.37286877335379</v>
      </c>
      <c r="N916" s="104">
        <f>LS[[#This Row],[Unit Capital]]/10</f>
        <v>40411</v>
      </c>
      <c r="O916" s="104">
        <f>SUMIFS(LS[[#Headers],[Unit]]:LS[[#This Row],[Unit]],LS[[#Headers],[Investor ID]]:LS[[#This Row],[Investor ID]],LS[[#This Row],[Investor ID]])</f>
        <v>161644</v>
      </c>
      <c r="P916" s="102">
        <v>404110</v>
      </c>
      <c r="Q916" s="102">
        <f>LS[[#This Row],[Amount]]-LS[[#This Row],[Unit Capital]]</f>
        <v>95890</v>
      </c>
      <c r="R9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12.37286877335379</v>
      </c>
      <c r="S916" s="103">
        <f t="shared" si="14"/>
        <v>14.224</v>
      </c>
      <c r="T91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6" s="102" cm="1">
        <f t="array" ref="U916">IF(LS[[#This Row],[B/S]]="S",ABS(LS[[#This Row],[Unit]])*(INDEX(LS[NAV at Cost (Average)],MATCH(CONCATENATE((LS[[#This Row],[Frequency]]-1),LS[[#This Row],[Investor ID]]),LS[Unique Code],0),0)),0)</f>
        <v>0</v>
      </c>
      <c r="V916" s="102">
        <f>IF(LS[[#This Row],[BO TRANSFER]]="YES",LS[[#This Row],[Unit]],)</f>
        <v>0</v>
      </c>
      <c r="W916" s="102">
        <f>SUMIFS(LS[[#Headers],[BO UNIT TRANSFER]]:LS[[#This Row],[BO UNIT TRANSFER]],LS[[#Headers],[Investor ID]]:LS[[#This Row],[Investor ID]],LS[[#This Row],[Investor ID]])</f>
        <v>0</v>
      </c>
    </row>
    <row r="917" spans="1:23">
      <c r="A917" s="101">
        <v>2025</v>
      </c>
      <c r="B917" s="101">
        <v>4</v>
      </c>
      <c r="C917" s="101">
        <v>8</v>
      </c>
      <c r="D917" s="98">
        <f>DATE(LS[[#This Row],[Year]],LS[[#This Row],[Month]],LS[[#This Row],[Day]])</f>
        <v>45755</v>
      </c>
      <c r="E917" s="99" t="str" cm="1">
        <f t="array" ref="E917">INDEX(INVESTORS_LIST[INVESTOR NAME],MATCH(LS[[#This Row],[Investor ID]],INVESTORS_LIST[INVESTOR CODE],0),)</f>
        <v>MD ASHIQUR RAHMAN</v>
      </c>
      <c r="F917" s="97" t="s">
        <v>1173</v>
      </c>
      <c r="G917" s="101">
        <f>COUNTIF(LS[[#Headers],[Investor ID]]:LS[[#This Row],[Investor ID]],LS[[#This Row],[Investor ID]])</f>
        <v>4</v>
      </c>
      <c r="H917" s="101" t="str">
        <f>CONCATENATE(LS[[#This Row],[Frequency]],LS[[#This Row],[Investor ID]])</f>
        <v>4A00562</v>
      </c>
      <c r="I917" s="75" t="str">
        <f>IF(LS[[#This Row],[B/S]]="B","BUY",(IF(LS[[#This Row],[B/S]]="S","SELL"," ")))</f>
        <v>BUY</v>
      </c>
      <c r="J917" s="101" t="s">
        <v>1229</v>
      </c>
      <c r="K917" s="102">
        <v>200000</v>
      </c>
      <c r="L917" s="99"/>
      <c r="M917" s="103">
        <f>LS[[#This Row],[Amount]]/LS[[#This Row],[Unit]]</f>
        <v>12.373174956693887</v>
      </c>
      <c r="N917" s="104">
        <f>LS[[#This Row],[Unit Capital]]/10</f>
        <v>16164</v>
      </c>
      <c r="O917" s="104">
        <f>SUMIFS(LS[[#Headers],[Unit]]:LS[[#This Row],[Unit]],LS[[#Headers],[Investor ID]]:LS[[#This Row],[Investor ID]],LS[[#This Row],[Investor ID]])</f>
        <v>51171</v>
      </c>
      <c r="P917" s="102">
        <v>161640</v>
      </c>
      <c r="Q917" s="102">
        <f>LS[[#This Row],[Amount]]-LS[[#This Row],[Unit Capital]]</f>
        <v>38360</v>
      </c>
      <c r="R9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12.128006117276311</v>
      </c>
      <c r="S917" s="103">
        <f t="shared" si="14"/>
        <v>14.224</v>
      </c>
      <c r="T91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7" s="102" cm="1">
        <f t="array" ref="U917">IF(LS[[#This Row],[B/S]]="S",ABS(LS[[#This Row],[Unit]])*(INDEX(LS[NAV at Cost (Average)],MATCH(CONCATENATE((LS[[#This Row],[Frequency]]-1),LS[[#This Row],[Investor ID]]),LS[Unique Code],0),0)),0)</f>
        <v>0</v>
      </c>
      <c r="V917" s="102">
        <f>IF(LS[[#This Row],[BO TRANSFER]]="YES",LS[[#This Row],[Unit]],)</f>
        <v>0</v>
      </c>
      <c r="W917" s="102">
        <f>SUMIFS(LS[[#Headers],[BO UNIT TRANSFER]]:LS[[#This Row],[BO UNIT TRANSFER]],LS[[#Headers],[Investor ID]]:LS[[#This Row],[Investor ID]],LS[[#This Row],[Investor ID]])</f>
        <v>0</v>
      </c>
    </row>
    <row r="918" spans="1:23">
      <c r="A918" s="101">
        <v>2025</v>
      </c>
      <c r="B918" s="101">
        <v>4</v>
      </c>
      <c r="C918" s="101">
        <v>9</v>
      </c>
      <c r="D918" s="98">
        <f>DATE(LS[[#This Row],[Year]],LS[[#This Row],[Month]],LS[[#This Row],[Day]])</f>
        <v>45756</v>
      </c>
      <c r="E918" s="99" t="str" cm="1">
        <f t="array" ref="E918">INDEX(INVESTORS_LIST[INVESTOR NAME],MATCH(LS[[#This Row],[Investor ID]],INVESTORS_LIST[INVESTOR CODE],0),)</f>
        <v>SYED FAZLE RABBY</v>
      </c>
      <c r="F918" s="100" t="s">
        <v>166</v>
      </c>
      <c r="G918" s="101">
        <f>COUNTIF(LS[[#Headers],[Investor ID]]:LS[[#This Row],[Investor ID]],LS[[#This Row],[Investor ID]])</f>
        <v>37</v>
      </c>
      <c r="H918" s="101" t="str">
        <f>CONCATENATE(LS[[#This Row],[Frequency]],LS[[#This Row],[Investor ID]])</f>
        <v>37A00059</v>
      </c>
      <c r="I918" s="75" t="str">
        <f>IF(LS[[#This Row],[B/S]]="B","BUY",(IF(LS[[#This Row],[B/S]]="S","SELL"," ")))</f>
        <v>BUY</v>
      </c>
      <c r="J918" s="101" t="s">
        <v>1229</v>
      </c>
      <c r="K918" s="102">
        <v>310000</v>
      </c>
      <c r="L918" s="99"/>
      <c r="M918" s="103">
        <f>LS[[#This Row],[Amount]]/LS[[#This Row],[Unit]]</f>
        <v>12.372779884254641</v>
      </c>
      <c r="N918" s="104">
        <f>LS[[#This Row],[Unit Capital]]/10</f>
        <v>25055</v>
      </c>
      <c r="O918" s="104">
        <f>SUMIFS(LS[[#Headers],[Unit]]:LS[[#This Row],[Unit]],LS[[#Headers],[Investor ID]]:LS[[#This Row],[Investor ID]],LS[[#This Row],[Investor ID]])</f>
        <v>428671</v>
      </c>
      <c r="P918" s="102">
        <v>250550</v>
      </c>
      <c r="Q918" s="102">
        <f>LS[[#This Row],[Amount]]-LS[[#This Row],[Unit Capital]]</f>
        <v>59450</v>
      </c>
      <c r="R9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12.387122058641708</v>
      </c>
      <c r="S918" s="103">
        <f t="shared" si="14"/>
        <v>14.224</v>
      </c>
      <c r="T9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18" s="102" cm="1">
        <f t="array" ref="U918">IF(LS[[#This Row],[B/S]]="S",ABS(LS[[#This Row],[Unit]])*(INDEX(LS[NAV at Cost (Average)],MATCH(CONCATENATE((LS[[#This Row],[Frequency]]-1),LS[[#This Row],[Investor ID]]),LS[Unique Code],0),0)),0)</f>
        <v>0</v>
      </c>
      <c r="V918" s="102">
        <f>IF(LS[[#This Row],[BO TRANSFER]]="YES",LS[[#This Row],[Unit]],)</f>
        <v>0</v>
      </c>
      <c r="W918" s="102">
        <f>SUMIFS(LS[[#Headers],[BO UNIT TRANSFER]]:LS[[#This Row],[BO UNIT TRANSFER]],LS[[#Headers],[Investor ID]]:LS[[#This Row],[Investor ID]],LS[[#This Row],[Investor ID]])</f>
        <v>0</v>
      </c>
    </row>
    <row r="919" spans="1:23">
      <c r="A919" s="101">
        <v>2025</v>
      </c>
      <c r="B919" s="101">
        <v>4</v>
      </c>
      <c r="C919" s="101">
        <v>10</v>
      </c>
      <c r="D919" s="98">
        <f>DATE(LS[[#This Row],[Year]],LS[[#This Row],[Month]],LS[[#This Row],[Day]])</f>
        <v>45757</v>
      </c>
      <c r="E919" s="99" t="str" cm="1">
        <f t="array" ref="E919">INDEX(INVESTORS_LIST[INVESTOR NAME],MATCH(LS[[#This Row],[Investor ID]],INVESTORS_LIST[INVESTOR CODE],0),)</f>
        <v>ASFIA AFRIN TONNY</v>
      </c>
      <c r="F919" s="100" t="s">
        <v>1061</v>
      </c>
      <c r="G919" s="101">
        <f>COUNTIF(LS[[#Headers],[Investor ID]]:LS[[#This Row],[Investor ID]],LS[[#This Row],[Investor ID]])</f>
        <v>3</v>
      </c>
      <c r="H919" s="101" t="str">
        <f>CONCATENATE(LS[[#This Row],[Frequency]],LS[[#This Row],[Investor ID]])</f>
        <v>3A00508</v>
      </c>
      <c r="I919" s="75" t="str">
        <f>IF(LS[[#This Row],[B/S]]="B","BUY",(IF(LS[[#This Row],[B/S]]="S","SELL"," ")))</f>
        <v>SELL</v>
      </c>
      <c r="J919" s="101" t="s">
        <v>1231</v>
      </c>
      <c r="K919" s="102">
        <v>-58124</v>
      </c>
      <c r="L919" s="99"/>
      <c r="M919" s="103">
        <f>LS[[#This Row],[Amount]]/LS[[#This Row],[Unit]]</f>
        <v>12.372073222647936</v>
      </c>
      <c r="N919" s="104">
        <f>LS[[#This Row],[Unit Capital]]/10</f>
        <v>-4698</v>
      </c>
      <c r="O919" s="104">
        <f>SUMIFS(LS[[#Headers],[Unit]]:LS[[#This Row],[Unit]],LS[[#Headers],[Investor ID]]:LS[[#This Row],[Investor ID]],LS[[#This Row],[Investor ID]])</f>
        <v>24190</v>
      </c>
      <c r="P919" s="102">
        <v>-46980</v>
      </c>
      <c r="Q919" s="102">
        <f>LS[[#This Row],[Amount]]-LS[[#This Row],[Unit Capital]]</f>
        <v>-11144</v>
      </c>
      <c r="R9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10.384934921074494</v>
      </c>
      <c r="S919" s="103">
        <f t="shared" si="14"/>
        <v>14.224</v>
      </c>
      <c r="T919" s="102">
        <f>IF(LS[[#This Row],[B/S]]="B",0,ABS(LS[[#This Row],[Unit]])*(LS[[#This Row],[NAV (Strike Rate)]]-INDEX(LS[NAV at Cost (Average)],MATCH(CONCATENATE(LS[[#This Row],[Frequency]]-1,LS[[#This Row],[Investor ID]]),LS[Unique Code],0),)))</f>
        <v>9335.5757407920282</v>
      </c>
      <c r="U919" s="102" cm="1">
        <f t="array" ref="U919">IF(LS[[#This Row],[B/S]]="S",ABS(LS[[#This Row],[Unit]])*(INDEX(LS[NAV at Cost (Average)],MATCH(CONCATENATE((LS[[#This Row],[Frequency]]-1),LS[[#This Row],[Investor ID]]),LS[Unique Code],0),0)),0)</f>
        <v>48788.424259207975</v>
      </c>
      <c r="V919" s="102">
        <f>IF(LS[[#This Row],[BO TRANSFER]]="YES",LS[[#This Row],[Unit]],)</f>
        <v>0</v>
      </c>
      <c r="W919" s="102">
        <f>SUMIFS(LS[[#Headers],[BO UNIT TRANSFER]]:LS[[#This Row],[BO UNIT TRANSFER]],LS[[#Headers],[Investor ID]]:LS[[#This Row],[Investor ID]],LS[[#This Row],[Investor ID]])</f>
        <v>0</v>
      </c>
    </row>
    <row r="920" spans="1:23">
      <c r="A920" s="101">
        <v>2025</v>
      </c>
      <c r="B920" s="101">
        <v>4</v>
      </c>
      <c r="C920" s="101">
        <v>10</v>
      </c>
      <c r="D920" s="98">
        <f>DATE(LS[[#This Row],[Year]],LS[[#This Row],[Month]],LS[[#This Row],[Day]])</f>
        <v>45757</v>
      </c>
      <c r="E920" s="99" t="str" cm="1">
        <f t="array" ref="E920">INDEX(INVESTORS_LIST[INVESTOR NAME],MATCH(LS[[#This Row],[Investor ID]],INVESTORS_LIST[INVESTOR CODE],0),)</f>
        <v>RAJIV HASSAN</v>
      </c>
      <c r="F920" s="100" t="s">
        <v>1038</v>
      </c>
      <c r="G920" s="101">
        <f>COUNTIF(LS[[#Headers],[Investor ID]]:LS[[#This Row],[Investor ID]],LS[[#This Row],[Investor ID]])</f>
        <v>6</v>
      </c>
      <c r="H920" s="101" t="str">
        <f>CONCATENATE(LS[[#This Row],[Frequency]],LS[[#This Row],[Investor ID]])</f>
        <v>6A00496</v>
      </c>
      <c r="I920" s="75" t="str">
        <f>IF(LS[[#This Row],[B/S]]="B","BUY",(IF(LS[[#This Row],[B/S]]="S","SELL"," ")))</f>
        <v>BUY</v>
      </c>
      <c r="J920" s="101" t="s">
        <v>1229</v>
      </c>
      <c r="K920" s="102">
        <v>8500000</v>
      </c>
      <c r="L920" s="99"/>
      <c r="M920" s="103">
        <f>LS[[#This Row],[Amount]]/LS[[#This Row],[Unit]]</f>
        <v>12.372994847011558</v>
      </c>
      <c r="N920" s="104">
        <f>LS[[#This Row],[Unit Capital]]/10</f>
        <v>686980</v>
      </c>
      <c r="O920" s="104">
        <f>SUMIFS(LS[[#Headers],[Unit]]:LS[[#This Row],[Unit]],LS[[#Headers],[Investor ID]]:LS[[#This Row],[Investor ID]],LS[[#This Row],[Investor ID]])</f>
        <v>686980</v>
      </c>
      <c r="P920" s="102">
        <v>6869800</v>
      </c>
      <c r="Q920" s="102">
        <f>LS[[#This Row],[Amount]]-LS[[#This Row],[Unit Capital]]</f>
        <v>1630200</v>
      </c>
      <c r="R9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12.372994847011558</v>
      </c>
      <c r="S920" s="103">
        <f t="shared" si="14"/>
        <v>14.224</v>
      </c>
      <c r="T9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0" s="102" cm="1">
        <f t="array" ref="U920">IF(LS[[#This Row],[B/S]]="S",ABS(LS[[#This Row],[Unit]])*(INDEX(LS[NAV at Cost (Average)],MATCH(CONCATENATE((LS[[#This Row],[Frequency]]-1),LS[[#This Row],[Investor ID]]),LS[Unique Code],0),0)),0)</f>
        <v>0</v>
      </c>
      <c r="V920" s="102">
        <f>IF(LS[[#This Row],[BO TRANSFER]]="YES",LS[[#This Row],[Unit]],)</f>
        <v>0</v>
      </c>
      <c r="W920" s="102">
        <f>SUMIFS(LS[[#Headers],[BO UNIT TRANSFER]]:LS[[#This Row],[BO UNIT TRANSFER]],LS[[#Headers],[Investor ID]]:LS[[#This Row],[Investor ID]],LS[[#This Row],[Investor ID]])</f>
        <v>0</v>
      </c>
    </row>
    <row r="921" spans="1:23">
      <c r="A921" s="101">
        <v>2025</v>
      </c>
      <c r="B921" s="101">
        <v>4</v>
      </c>
      <c r="C921" s="101">
        <v>10</v>
      </c>
      <c r="D921" s="98">
        <f>DATE(LS[[#This Row],[Year]],LS[[#This Row],[Month]],LS[[#This Row],[Day]])</f>
        <v>45757</v>
      </c>
      <c r="E921" s="99" t="str" cm="1">
        <f t="array" ref="E921">INDEX(INVESTORS_LIST[INVESTOR NAME],MATCH(LS[[#This Row],[Investor ID]],INVESTORS_LIST[INVESTOR CODE],0),)</f>
        <v>RAIHAN FERDOUS</v>
      </c>
      <c r="F921" s="100" t="s">
        <v>1319</v>
      </c>
      <c r="G921" s="101">
        <f>COUNTIF(LS[[#Headers],[Investor ID]]:LS[[#This Row],[Investor ID]],LS[[#This Row],[Investor ID]])</f>
        <v>1</v>
      </c>
      <c r="H921" s="101" t="str">
        <f>CONCATENATE(LS[[#This Row],[Frequency]],LS[[#This Row],[Investor ID]])</f>
        <v>1A00606</v>
      </c>
      <c r="I921" s="75" t="str">
        <f>IF(LS[[#This Row],[B/S]]="B","BUY",(IF(LS[[#This Row],[B/S]]="S","SELL"," ")))</f>
        <v>BUY</v>
      </c>
      <c r="J921" s="101" t="s">
        <v>1229</v>
      </c>
      <c r="K921" s="102">
        <v>300000</v>
      </c>
      <c r="L921" s="99"/>
      <c r="M921" s="103">
        <f>LS[[#This Row],[Amount]]/LS[[#This Row],[Unit]]</f>
        <v>12.373174956693887</v>
      </c>
      <c r="N921" s="104">
        <f>LS[[#This Row],[Unit Capital]]/10</f>
        <v>24246</v>
      </c>
      <c r="O921" s="104">
        <f>SUMIFS(LS[[#Headers],[Unit]]:LS[[#This Row],[Unit]],LS[[#Headers],[Investor ID]]:LS[[#This Row],[Investor ID]],LS[[#This Row],[Investor ID]])</f>
        <v>24246</v>
      </c>
      <c r="P921" s="102">
        <v>242460</v>
      </c>
      <c r="Q921" s="102">
        <f>LS[[#This Row],[Amount]]-LS[[#This Row],[Unit Capital]]</f>
        <v>57540</v>
      </c>
      <c r="R9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12.373174956693887</v>
      </c>
      <c r="S921" s="103">
        <f t="shared" si="14"/>
        <v>14.224</v>
      </c>
      <c r="T9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1" s="102" cm="1">
        <f t="array" ref="U921">IF(LS[[#This Row],[B/S]]="S",ABS(LS[[#This Row],[Unit]])*(INDEX(LS[NAV at Cost (Average)],MATCH(CONCATENATE((LS[[#This Row],[Frequency]]-1),LS[[#This Row],[Investor ID]]),LS[Unique Code],0),0)),0)</f>
        <v>0</v>
      </c>
      <c r="V921" s="102">
        <f>IF(LS[[#This Row],[BO TRANSFER]]="YES",LS[[#This Row],[Unit]],)</f>
        <v>0</v>
      </c>
      <c r="W921" s="102">
        <f>SUMIFS(LS[[#Headers],[BO UNIT TRANSFER]]:LS[[#This Row],[BO UNIT TRANSFER]],LS[[#Headers],[Investor ID]]:LS[[#This Row],[Investor ID]],LS[[#This Row],[Investor ID]])</f>
        <v>0</v>
      </c>
    </row>
    <row r="922" spans="1:23">
      <c r="A922" s="101">
        <v>2025</v>
      </c>
      <c r="B922" s="101">
        <v>4</v>
      </c>
      <c r="C922" s="101">
        <v>13</v>
      </c>
      <c r="D922" s="98">
        <f>DATE(LS[[#This Row],[Year]],LS[[#This Row],[Month]],LS[[#This Row],[Day]])</f>
        <v>45760</v>
      </c>
      <c r="E922" s="99" t="str" cm="1">
        <f t="array" ref="E922">INDEX(INVESTORS_LIST[INVESTOR NAME],MATCH(LS[[#This Row],[Investor ID]],INVESTORS_LIST[INVESTOR CODE],0),)</f>
        <v>ASHAK ELAHI</v>
      </c>
      <c r="F922" s="100" t="s">
        <v>1077</v>
      </c>
      <c r="G922" s="101">
        <f>COUNTIF(LS[[#Headers],[Investor ID]]:LS[[#This Row],[Investor ID]],LS[[#This Row],[Investor ID]])</f>
        <v>14</v>
      </c>
      <c r="H922" s="101" t="str">
        <f>CONCATENATE(LS[[#This Row],[Frequency]],LS[[#This Row],[Investor ID]])</f>
        <v>14A00516</v>
      </c>
      <c r="I922" s="75" t="str">
        <f>IF(LS[[#This Row],[B/S]]="B","BUY",(IF(LS[[#This Row],[B/S]]="S","SELL"," ")))</f>
        <v>BUY</v>
      </c>
      <c r="J922" s="101" t="s">
        <v>1229</v>
      </c>
      <c r="K922" s="102">
        <v>198416</v>
      </c>
      <c r="L922" s="99"/>
      <c r="M922" s="103">
        <f>LS[[#This Row],[Amount]]/LS[[#This Row],[Unit]]</f>
        <v>12.401</v>
      </c>
      <c r="N922" s="104">
        <f>LS[[#This Row],[Unit Capital]]/10</f>
        <v>16000</v>
      </c>
      <c r="O922" s="104">
        <f>SUMIFS(LS[[#Headers],[Unit]]:LS[[#This Row],[Unit]],LS[[#Headers],[Investor ID]]:LS[[#This Row],[Investor ID]],LS[[#This Row],[Investor ID]])</f>
        <v>20700</v>
      </c>
      <c r="P922" s="102">
        <v>160000</v>
      </c>
      <c r="Q922" s="102">
        <f>LS[[#This Row],[Amount]]-LS[[#This Row],[Unit Capital]]</f>
        <v>38416</v>
      </c>
      <c r="R9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12.274038647342996</v>
      </c>
      <c r="S922" s="103">
        <f t="shared" si="14"/>
        <v>14.224</v>
      </c>
      <c r="T9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2" s="102" cm="1">
        <f t="array" ref="U922">IF(LS[[#This Row],[B/S]]="S",ABS(LS[[#This Row],[Unit]])*(INDEX(LS[NAV at Cost (Average)],MATCH(CONCATENATE((LS[[#This Row],[Frequency]]-1),LS[[#This Row],[Investor ID]]),LS[Unique Code],0),0)),0)</f>
        <v>0</v>
      </c>
      <c r="V922" s="102">
        <f>IF(LS[[#This Row],[BO TRANSFER]]="YES",LS[[#This Row],[Unit]],)</f>
        <v>0</v>
      </c>
      <c r="W922" s="102">
        <f>SUMIFS(LS[[#Headers],[BO UNIT TRANSFER]]:LS[[#This Row],[BO UNIT TRANSFER]],LS[[#Headers],[Investor ID]]:LS[[#This Row],[Investor ID]],LS[[#This Row],[Investor ID]])</f>
        <v>0</v>
      </c>
    </row>
    <row r="923" spans="1:23">
      <c r="A923" s="101">
        <v>2025</v>
      </c>
      <c r="B923" s="101">
        <v>4</v>
      </c>
      <c r="C923" s="101">
        <v>15</v>
      </c>
      <c r="D923" s="98">
        <f>DATE(LS[[#This Row],[Year]],LS[[#This Row],[Month]],LS[[#This Row],[Day]])</f>
        <v>45762</v>
      </c>
      <c r="E923" s="99" t="str" cm="1">
        <f t="array" ref="E923">INDEX(INVESTORS_LIST[INVESTOR NAME],MATCH(LS[[#This Row],[Investor ID]],INVESTORS_LIST[INVESTOR CODE],0),)</f>
        <v xml:space="preserve">H. S. M. SHAFEE BIN ALAM </v>
      </c>
      <c r="F923" s="100" t="s">
        <v>1087</v>
      </c>
      <c r="G923" s="101">
        <f>COUNTIF(LS[[#Headers],[Investor ID]]:LS[[#This Row],[Investor ID]],LS[[#This Row],[Investor ID]])</f>
        <v>6</v>
      </c>
      <c r="H923" s="101" t="str">
        <f>CONCATENATE(LS[[#This Row],[Frequency]],LS[[#This Row],[Investor ID]])</f>
        <v>6A00520</v>
      </c>
      <c r="I923" s="75" t="str">
        <f>IF(LS[[#This Row],[B/S]]="B","BUY",(IF(LS[[#This Row],[B/S]]="S","SELL"," ")))</f>
        <v>SELL</v>
      </c>
      <c r="J923" s="101" t="s">
        <v>1231</v>
      </c>
      <c r="K923" s="102">
        <v>-767373.88</v>
      </c>
      <c r="L923" s="99"/>
      <c r="M923" s="103">
        <f>LS[[#This Row],[Amount]]/LS[[#This Row],[Unit]]</f>
        <v>12.401</v>
      </c>
      <c r="N923" s="104">
        <f>LS[[#This Row],[Unit Capital]]/10</f>
        <v>-61880</v>
      </c>
      <c r="O923" s="104">
        <f>SUMIFS(LS[[#Headers],[Unit]]:LS[[#This Row],[Unit]],LS[[#Headers],[Investor ID]]:LS[[#This Row],[Investor ID]],LS[[#This Row],[Investor ID]])</f>
        <v>0</v>
      </c>
      <c r="P923" s="102">
        <v>-618800</v>
      </c>
      <c r="Q923" s="102">
        <f>LS[[#This Row],[Amount]]-LS[[#This Row],[Unit Capital]]</f>
        <v>-148573.88</v>
      </c>
      <c r="R9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23" s="103">
        <f t="shared" si="14"/>
        <v>14.224</v>
      </c>
      <c r="T923" s="102">
        <f>IF(LS[[#This Row],[B/S]]="B",0,ABS(LS[[#This Row],[Unit]])*(LS[[#This Row],[NAV (Strike Rate)]]-INDEX(LS[NAV at Cost (Average)],MATCH(CONCATENATE(LS[[#This Row],[Frequency]]-1,LS[[#This Row],[Investor ID]]),LS[Unique Code],0),)))</f>
        <v>80015.134393079177</v>
      </c>
      <c r="U923" s="102" cm="1">
        <f t="array" ref="U923">IF(LS[[#This Row],[B/S]]="S",ABS(LS[[#This Row],[Unit]])*(INDEX(LS[NAV at Cost (Average)],MATCH(CONCATENATE((LS[[#This Row],[Frequency]]-1),LS[[#This Row],[Investor ID]]),LS[Unique Code],0),0)),0)</f>
        <v>687358.7456069208</v>
      </c>
      <c r="V923" s="102">
        <f>IF(LS[[#This Row],[BO TRANSFER]]="YES",LS[[#This Row],[Unit]],)</f>
        <v>0</v>
      </c>
      <c r="W923" s="102">
        <f>SUMIFS(LS[[#Headers],[BO UNIT TRANSFER]]:LS[[#This Row],[BO UNIT TRANSFER]],LS[[#Headers],[Investor ID]]:LS[[#This Row],[Investor ID]],LS[[#This Row],[Investor ID]])</f>
        <v>0</v>
      </c>
    </row>
    <row r="924" spans="1:23">
      <c r="A924" s="101">
        <v>2025</v>
      </c>
      <c r="B924" s="101">
        <v>4</v>
      </c>
      <c r="C924" s="101">
        <v>15</v>
      </c>
      <c r="D924" s="98">
        <f>DATE(LS[[#This Row],[Year]],LS[[#This Row],[Month]],LS[[#This Row],[Day]])</f>
        <v>45762</v>
      </c>
      <c r="E924" s="99" t="str" cm="1">
        <f t="array" ref="E924">INDEX(INVESTORS_LIST[INVESTOR NAME],MATCH(LS[[#This Row],[Investor ID]],INVESTORS_LIST[INVESTOR CODE],0),)</f>
        <v>SHAH MUNTASIN MUJTABA</v>
      </c>
      <c r="F924" s="100" t="s">
        <v>1103</v>
      </c>
      <c r="G924" s="101">
        <f>COUNTIF(LS[[#Headers],[Investor ID]]:LS[[#This Row],[Investor ID]],LS[[#This Row],[Investor ID]])</f>
        <v>12</v>
      </c>
      <c r="H924" s="101" t="str">
        <f>CONCATENATE(LS[[#This Row],[Frequency]],LS[[#This Row],[Investor ID]])</f>
        <v>12A00528</v>
      </c>
      <c r="I924" s="75" t="str">
        <f>IF(LS[[#This Row],[B/S]]="B","BUY",(IF(LS[[#This Row],[B/S]]="S","SELL"," ")))</f>
        <v>SELL</v>
      </c>
      <c r="J924" s="101" t="s">
        <v>1231</v>
      </c>
      <c r="K924" s="102">
        <v>-2474693.96</v>
      </c>
      <c r="L924" s="99"/>
      <c r="M924" s="103">
        <f>LS[[#This Row],[Amount]]/LS[[#This Row],[Unit]]</f>
        <v>12.401000020044499</v>
      </c>
      <c r="N924" s="104">
        <f>LS[[#This Row],[Unit Capital]]/10</f>
        <v>-199556</v>
      </c>
      <c r="O924" s="104">
        <f>SUMIFS(LS[[#Headers],[Unit]]:LS[[#This Row],[Unit]],LS[[#Headers],[Investor ID]]:LS[[#This Row],[Investor ID]],LS[[#This Row],[Investor ID]])</f>
        <v>0</v>
      </c>
      <c r="P924" s="102">
        <v>-1995560</v>
      </c>
      <c r="Q924" s="102">
        <f>LS[[#This Row],[Amount]]-LS[[#This Row],[Unit Capital]]</f>
        <v>-479133.95999999996</v>
      </c>
      <c r="R9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24" s="103">
        <f t="shared" si="14"/>
        <v>14.224</v>
      </c>
      <c r="T924" s="102">
        <f>IF(LS[[#This Row],[B/S]]="B",0,ABS(LS[[#This Row],[Unit]])*(LS[[#This Row],[NAV (Strike Rate)]]-INDEX(LS[NAV at Cost (Average)],MATCH(CONCATENATE(LS[[#This Row],[Frequency]]-1,LS[[#This Row],[Investor ID]]),LS[Unique Code],0),)))</f>
        <v>133379.96274726724</v>
      </c>
      <c r="U924" s="102" cm="1">
        <f t="array" ref="U924">IF(LS[[#This Row],[B/S]]="S",ABS(LS[[#This Row],[Unit]])*(INDEX(LS[NAV at Cost (Average)],MATCH(CONCATENATE((LS[[#This Row],[Frequency]]-1),LS[[#This Row],[Investor ID]]),LS[Unique Code],0),0)),0)</f>
        <v>2341313.997252733</v>
      </c>
      <c r="V924" s="102">
        <f>IF(LS[[#This Row],[BO TRANSFER]]="YES",LS[[#This Row],[Unit]],)</f>
        <v>0</v>
      </c>
      <c r="W924" s="102">
        <f>SUMIFS(LS[[#Headers],[BO UNIT TRANSFER]]:LS[[#This Row],[BO UNIT TRANSFER]],LS[[#Headers],[Investor ID]]:LS[[#This Row],[Investor ID]],LS[[#This Row],[Investor ID]])</f>
        <v>0</v>
      </c>
    </row>
    <row r="925" spans="1:23">
      <c r="A925" s="101">
        <v>2025</v>
      </c>
      <c r="B925" s="101">
        <v>4</v>
      </c>
      <c r="C925" s="101">
        <v>17</v>
      </c>
      <c r="D925" s="98">
        <f>DATE(LS[[#This Row],[Year]],LS[[#This Row],[Month]],LS[[#This Row],[Day]])</f>
        <v>45764</v>
      </c>
      <c r="E925" s="99" t="str" cm="1">
        <f t="array" ref="E925">INDEX(INVESTORS_LIST[INVESTOR NAME],MATCH(LS[[#This Row],[Investor ID]],INVESTORS_LIST[INVESTOR CODE],0),)</f>
        <v>SYED FAZLE RABBY</v>
      </c>
      <c r="F925" s="100" t="s">
        <v>166</v>
      </c>
      <c r="G925" s="101">
        <f>COUNTIF(LS[[#Headers],[Investor ID]]:LS[[#This Row],[Investor ID]],LS[[#This Row],[Investor ID]])</f>
        <v>38</v>
      </c>
      <c r="H925" s="101" t="str">
        <f>CONCATENATE(LS[[#This Row],[Frequency]],LS[[#This Row],[Investor ID]])</f>
        <v>38A00059</v>
      </c>
      <c r="I925" s="75" t="str">
        <f>IF(LS[[#This Row],[B/S]]="B","BUY",(IF(LS[[#This Row],[B/S]]="S","SELL"," ")))</f>
        <v>BUY</v>
      </c>
      <c r="J925" s="101" t="s">
        <v>1229</v>
      </c>
      <c r="K925" s="102">
        <v>107000</v>
      </c>
      <c r="L925" s="99"/>
      <c r="M925" s="103">
        <f>LS[[#This Row],[Amount]]/LS[[#This Row],[Unit]]</f>
        <v>12.259395050412465</v>
      </c>
      <c r="N925" s="104">
        <f>LS[[#This Row],[Unit Capital]]/10</f>
        <v>8728</v>
      </c>
      <c r="O925" s="104">
        <f>SUMIFS(LS[[#Headers],[Unit]]:LS[[#This Row],[Unit]],LS[[#Headers],[Investor ID]]:LS[[#This Row],[Investor ID]],LS[[#This Row],[Investor ID]])</f>
        <v>437399</v>
      </c>
      <c r="P925" s="102">
        <v>87280</v>
      </c>
      <c r="Q925" s="102">
        <f>LS[[#This Row],[Amount]]-LS[[#This Row],[Unit Capital]]</f>
        <v>19720</v>
      </c>
      <c r="R9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12.384573352934048</v>
      </c>
      <c r="S925" s="103">
        <f t="shared" si="14"/>
        <v>14.224</v>
      </c>
      <c r="T9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5" s="102" cm="1">
        <f t="array" ref="U925">IF(LS[[#This Row],[B/S]]="S",ABS(LS[[#This Row],[Unit]])*(INDEX(LS[NAV at Cost (Average)],MATCH(CONCATENATE((LS[[#This Row],[Frequency]]-1),LS[[#This Row],[Investor ID]]),LS[Unique Code],0),0)),0)</f>
        <v>0</v>
      </c>
      <c r="V925" s="102">
        <f>IF(LS[[#This Row],[BO TRANSFER]]="YES",LS[[#This Row],[Unit]],)</f>
        <v>0</v>
      </c>
      <c r="W925" s="102">
        <f>SUMIFS(LS[[#Headers],[BO UNIT TRANSFER]]:LS[[#This Row],[BO UNIT TRANSFER]],LS[[#Headers],[Investor ID]]:LS[[#This Row],[Investor ID]],LS[[#This Row],[Investor ID]])</f>
        <v>0</v>
      </c>
    </row>
    <row r="926" spans="1:23">
      <c r="A926" s="101">
        <v>2025</v>
      </c>
      <c r="B926" s="101">
        <v>4</v>
      </c>
      <c r="C926" s="101">
        <v>20</v>
      </c>
      <c r="D926" s="98">
        <f>DATE(LS[[#This Row],[Year]],LS[[#This Row],[Month]],LS[[#This Row],[Day]])</f>
        <v>45767</v>
      </c>
      <c r="E926" s="99" t="str" cm="1">
        <f t="array" ref="E926">INDEX(INVESTORS_LIST[INVESTOR NAME],MATCH(LS[[#This Row],[Investor ID]],INVESTORS_LIST[INVESTOR CODE],0),)</f>
        <v>KAZI HABIBUR RAHMAN</v>
      </c>
      <c r="F926" s="100" t="s">
        <v>1114</v>
      </c>
      <c r="G926" s="101">
        <f>COUNTIF(LS[[#Headers],[Investor ID]]:LS[[#This Row],[Investor ID]],LS[[#This Row],[Investor ID]])</f>
        <v>28</v>
      </c>
      <c r="H926" s="101" t="str">
        <f>CONCATENATE(LS[[#This Row],[Frequency]],LS[[#This Row],[Investor ID]])</f>
        <v>28A00532</v>
      </c>
      <c r="I926" s="75" t="str">
        <f>IF(LS[[#This Row],[B/S]]="B","BUY",(IF(LS[[#This Row],[B/S]]="S","SELL"," ")))</f>
        <v>SELL</v>
      </c>
      <c r="J926" s="101" t="s">
        <v>1231</v>
      </c>
      <c r="K926" s="102">
        <v>-3000000</v>
      </c>
      <c r="L926" s="99"/>
      <c r="M926" s="103">
        <f>LS[[#This Row],[Amount]]/LS[[#This Row],[Unit]]</f>
        <v>12.391010734745633</v>
      </c>
      <c r="N926" s="104">
        <f>LS[[#This Row],[Unit Capital]]/10</f>
        <v>-242111</v>
      </c>
      <c r="O926" s="104">
        <f>SUMIFS(LS[[#Headers],[Unit]]:LS[[#This Row],[Unit]],LS[[#Headers],[Investor ID]]:LS[[#This Row],[Investor ID]],LS[[#This Row],[Investor ID]])</f>
        <v>174527</v>
      </c>
      <c r="P926" s="102">
        <v>-2421110</v>
      </c>
      <c r="Q926" s="102">
        <f>LS[[#This Row],[Amount]]-LS[[#This Row],[Unit Capital]]</f>
        <v>-578890</v>
      </c>
      <c r="R9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11.500813910366329</v>
      </c>
      <c r="S926" s="103">
        <f t="shared" si="14"/>
        <v>14.224</v>
      </c>
      <c r="T926" s="102">
        <f>IF(LS[[#This Row],[B/S]]="B",0,ABS(LS[[#This Row],[Unit]])*(LS[[#This Row],[NAV (Strike Rate)]]-INDEX(LS[NAV at Cost (Average)],MATCH(CONCATENATE(LS[[#This Row],[Frequency]]-1,LS[[#This Row],[Investor ID]]),LS[Unique Code],0),)))</f>
        <v>215526.44334729764</v>
      </c>
      <c r="U926" s="102" cm="1">
        <f t="array" ref="U926">IF(LS[[#This Row],[B/S]]="S",ABS(LS[[#This Row],[Unit]])*(INDEX(LS[NAV at Cost (Average)],MATCH(CONCATENATE((LS[[#This Row],[Frequency]]-1),LS[[#This Row],[Investor ID]]),LS[Unique Code],0),0)),0)</f>
        <v>2784473.5566527024</v>
      </c>
      <c r="V926" s="102">
        <f>IF(LS[[#This Row],[BO TRANSFER]]="YES",LS[[#This Row],[Unit]],)</f>
        <v>0</v>
      </c>
      <c r="W926" s="102">
        <f>SUMIFS(LS[[#Headers],[BO UNIT TRANSFER]]:LS[[#This Row],[BO UNIT TRANSFER]],LS[[#Headers],[Investor ID]]:LS[[#This Row],[Investor ID]],LS[[#This Row],[Investor ID]])</f>
        <v>0</v>
      </c>
    </row>
    <row r="927" spans="1:23">
      <c r="A927" s="101">
        <v>2025</v>
      </c>
      <c r="B927" s="101">
        <v>4</v>
      </c>
      <c r="C927" s="101">
        <v>20</v>
      </c>
      <c r="D927" s="98">
        <f>DATE(LS[[#This Row],[Year]],LS[[#This Row],[Month]],LS[[#This Row],[Day]])</f>
        <v>45767</v>
      </c>
      <c r="E927" s="99" t="str" cm="1">
        <f t="array" ref="E927">INDEX(INVESTORS_LIST[INVESTOR NAME],MATCH(LS[[#This Row],[Investor ID]],INVESTORS_LIST[INVESTOR CODE],0),)</f>
        <v>JOY SHREE SAHA</v>
      </c>
      <c r="F927" s="100" t="s">
        <v>575</v>
      </c>
      <c r="G927" s="101">
        <f>COUNTIF(LS[[#Headers],[Investor ID]]:LS[[#This Row],[Investor ID]],LS[[#This Row],[Investor ID]])</f>
        <v>9</v>
      </c>
      <c r="H927" s="101" t="str">
        <f>CONCATENATE(LS[[#This Row],[Frequency]],LS[[#This Row],[Investor ID]])</f>
        <v>9A00263</v>
      </c>
      <c r="I927" s="75" t="str">
        <f>IF(LS[[#This Row],[B/S]]="B","BUY",(IF(LS[[#This Row],[B/S]]="S","SELL"," ")))</f>
        <v>BUY</v>
      </c>
      <c r="J927" s="101" t="s">
        <v>1229</v>
      </c>
      <c r="K927" s="102">
        <v>1500000</v>
      </c>
      <c r="L927" s="99"/>
      <c r="M927" s="103">
        <f>LS[[#This Row],[Amount]]/LS[[#This Row],[Unit]]</f>
        <v>12.34395187504629</v>
      </c>
      <c r="N927" s="104">
        <f>LS[[#This Row],[Unit Capital]]/10</f>
        <v>121517</v>
      </c>
      <c r="O927" s="104">
        <f>SUMIFS(LS[[#Headers],[Unit]]:LS[[#This Row],[Unit]],LS[[#Headers],[Investor ID]]:LS[[#This Row],[Investor ID]],LS[[#This Row],[Investor ID]])</f>
        <v>121517</v>
      </c>
      <c r="P927" s="102">
        <v>1215170</v>
      </c>
      <c r="Q927" s="102">
        <f>LS[[#This Row],[Amount]]-LS[[#This Row],[Unit Capital]]</f>
        <v>284830</v>
      </c>
      <c r="R9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12.34395187504629</v>
      </c>
      <c r="S927" s="103">
        <f t="shared" si="14"/>
        <v>14.224</v>
      </c>
      <c r="T92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7" s="102" cm="1">
        <f t="array" ref="U927">IF(LS[[#This Row],[B/S]]="S",ABS(LS[[#This Row],[Unit]])*(INDEX(LS[NAV at Cost (Average)],MATCH(CONCATENATE((LS[[#This Row],[Frequency]]-1),LS[[#This Row],[Investor ID]]),LS[Unique Code],0),0)),0)</f>
        <v>0</v>
      </c>
      <c r="V927" s="102">
        <f>IF(LS[[#This Row],[BO TRANSFER]]="YES",LS[[#This Row],[Unit]],)</f>
        <v>0</v>
      </c>
      <c r="W927" s="102">
        <f>SUMIFS(LS[[#Headers],[BO UNIT TRANSFER]]:LS[[#This Row],[BO UNIT TRANSFER]],LS[[#Headers],[Investor ID]]:LS[[#This Row],[Investor ID]],LS[[#This Row],[Investor ID]])</f>
        <v>0</v>
      </c>
    </row>
    <row r="928" spans="1:23">
      <c r="A928" s="101">
        <v>2025</v>
      </c>
      <c r="B928" s="101">
        <v>4</v>
      </c>
      <c r="C928" s="101">
        <v>21</v>
      </c>
      <c r="D928" s="98">
        <f>DATE(LS[[#This Row],[Year]],LS[[#This Row],[Month]],LS[[#This Row],[Day]])</f>
        <v>45768</v>
      </c>
      <c r="E928" s="99" t="str" cm="1">
        <f t="array" ref="E928">INDEX(INVESTORS_LIST[INVESTOR NAME],MATCH(LS[[#This Row],[Investor ID]],INVESTORS_LIST[INVESTOR CODE],0),)</f>
        <v>ASHIT BARAN SAHA</v>
      </c>
      <c r="F928" s="100" t="s">
        <v>196</v>
      </c>
      <c r="G928" s="101">
        <f>COUNTIF(LS[[#Headers],[Investor ID]]:LS[[#This Row],[Investor ID]],LS[[#This Row],[Investor ID]])</f>
        <v>5</v>
      </c>
      <c r="H928" s="101" t="str">
        <f>CONCATENATE(LS[[#This Row],[Frequency]],LS[[#This Row],[Investor ID]])</f>
        <v>5A00074</v>
      </c>
      <c r="I928" s="75" t="str">
        <f>IF(LS[[#This Row],[B/S]]="B","BUY",(IF(LS[[#This Row],[B/S]]="S","SELL"," ")))</f>
        <v>BUY</v>
      </c>
      <c r="J928" s="101" t="s">
        <v>1229</v>
      </c>
      <c r="K928" s="102">
        <v>1400000</v>
      </c>
      <c r="L928" s="99"/>
      <c r="M928" s="103">
        <f>LS[[#This Row],[Amount]]/LS[[#This Row],[Unit]]</f>
        <v>12.344046202001499</v>
      </c>
      <c r="N928" s="104">
        <f>LS[[#This Row],[Unit Capital]]/10</f>
        <v>113415</v>
      </c>
      <c r="O928" s="104">
        <f>SUMIFS(LS[[#Headers],[Unit]]:LS[[#This Row],[Unit]],LS[[#Headers],[Investor ID]]:LS[[#This Row],[Investor ID]],LS[[#This Row],[Investor ID]])</f>
        <v>113415</v>
      </c>
      <c r="P928" s="102">
        <v>1134150</v>
      </c>
      <c r="Q928" s="102">
        <f>LS[[#This Row],[Amount]]-LS[[#This Row],[Unit Capital]]</f>
        <v>265850</v>
      </c>
      <c r="R9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12.344046202001499</v>
      </c>
      <c r="S928" s="103">
        <f t="shared" si="14"/>
        <v>14.224</v>
      </c>
      <c r="T9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28" s="102" cm="1">
        <f t="array" ref="U928">IF(LS[[#This Row],[B/S]]="S",ABS(LS[[#This Row],[Unit]])*(INDEX(LS[NAV at Cost (Average)],MATCH(CONCATENATE((LS[[#This Row],[Frequency]]-1),LS[[#This Row],[Investor ID]]),LS[Unique Code],0),0)),0)</f>
        <v>0</v>
      </c>
      <c r="V928" s="102">
        <f>IF(LS[[#This Row],[BO TRANSFER]]="YES",LS[[#This Row],[Unit]],)</f>
        <v>0</v>
      </c>
      <c r="W928" s="102">
        <f>SUMIFS(LS[[#Headers],[BO UNIT TRANSFER]]:LS[[#This Row],[BO UNIT TRANSFER]],LS[[#Headers],[Investor ID]]:LS[[#This Row],[Investor ID]],LS[[#This Row],[Investor ID]])</f>
        <v>0</v>
      </c>
    </row>
    <row r="929" spans="1:23">
      <c r="A929" s="101">
        <v>2025</v>
      </c>
      <c r="B929" s="101">
        <v>4</v>
      </c>
      <c r="C929" s="101">
        <v>21</v>
      </c>
      <c r="D929" s="98">
        <f>DATE(LS[[#This Row],[Year]],LS[[#This Row],[Month]],LS[[#This Row],[Day]])</f>
        <v>45768</v>
      </c>
      <c r="E929" s="99" t="str" cm="1">
        <f t="array" ref="E929">INDEX(INVESTORS_LIST[INVESTOR NAME],MATCH(LS[[#This Row],[Investor ID]],INVESTORS_LIST[INVESTOR CODE],0),)</f>
        <v>MD AYNUL HOQUE</v>
      </c>
      <c r="F929" s="100" t="s">
        <v>1139</v>
      </c>
      <c r="G929" s="101">
        <f>COUNTIF(LS[[#Headers],[Investor ID]]:LS[[#This Row],[Investor ID]],LS[[#This Row],[Investor ID]])</f>
        <v>4</v>
      </c>
      <c r="H929" s="101" t="str">
        <f>CONCATENATE(LS[[#This Row],[Frequency]],LS[[#This Row],[Investor ID]])</f>
        <v>4A00545</v>
      </c>
      <c r="I929" s="75" t="str">
        <f>IF(LS[[#This Row],[B/S]]="B","BUY",(IF(LS[[#This Row],[B/S]]="S","SELL"," ")))</f>
        <v>SELL</v>
      </c>
      <c r="J929" s="101" t="s">
        <v>1231</v>
      </c>
      <c r="K929" s="102">
        <v>-300000</v>
      </c>
      <c r="L929" s="99"/>
      <c r="M929" s="103">
        <f>LS[[#This Row],[Amount]]/LS[[#This Row],[Unit]]</f>
        <v>12.391061914006031</v>
      </c>
      <c r="N929" s="104">
        <f>LS[[#This Row],[Unit Capital]]/10</f>
        <v>-24211</v>
      </c>
      <c r="O929" s="104">
        <f>SUMIFS(LS[[#Headers],[Unit]]:LS[[#This Row],[Unit]],LS[[#Headers],[Investor ID]]:LS[[#This Row],[Investor ID]],LS[[#This Row],[Investor ID]])</f>
        <v>569834</v>
      </c>
      <c r="P929" s="102">
        <v>-242110</v>
      </c>
      <c r="Q929" s="102">
        <f>LS[[#This Row],[Amount]]-LS[[#This Row],[Unit Capital]]</f>
        <v>-57890</v>
      </c>
      <c r="R9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11.152712499004222</v>
      </c>
      <c r="S929" s="103">
        <f t="shared" si="14"/>
        <v>14.224</v>
      </c>
      <c r="T929" s="102">
        <f>IF(LS[[#This Row],[B/S]]="B",0,ABS(LS[[#This Row],[Unit]])*(LS[[#This Row],[NAV (Strike Rate)]]-INDEX(LS[NAV at Cost (Average)],MATCH(CONCATENATE(LS[[#This Row],[Frequency]]-1,LS[[#This Row],[Investor ID]]),LS[Unique Code],0),)))</f>
        <v>29981.677686608782</v>
      </c>
      <c r="U929" s="102" cm="1">
        <f t="array" ref="U929">IF(LS[[#This Row],[B/S]]="S",ABS(LS[[#This Row],[Unit]])*(INDEX(LS[NAV at Cost (Average)],MATCH(CONCATENATE((LS[[#This Row],[Frequency]]-1),LS[[#This Row],[Investor ID]]),LS[Unique Code],0),0)),0)</f>
        <v>270018.3223133912</v>
      </c>
      <c r="V929" s="102">
        <f>IF(LS[[#This Row],[BO TRANSFER]]="YES",LS[[#This Row],[Unit]],)</f>
        <v>0</v>
      </c>
      <c r="W929" s="102">
        <f>SUMIFS(LS[[#Headers],[BO UNIT TRANSFER]]:LS[[#This Row],[BO UNIT TRANSFER]],LS[[#Headers],[Investor ID]]:LS[[#This Row],[Investor ID]],LS[[#This Row],[Investor ID]])</f>
        <v>0</v>
      </c>
    </row>
    <row r="930" spans="1:23">
      <c r="A930" s="101">
        <v>2025</v>
      </c>
      <c r="B930" s="101">
        <v>4</v>
      </c>
      <c r="C930" s="101">
        <v>22</v>
      </c>
      <c r="D930" s="98">
        <f>DATE(LS[[#This Row],[Year]],LS[[#This Row],[Month]],LS[[#This Row],[Day]])</f>
        <v>45769</v>
      </c>
      <c r="E930" s="99" t="str" cm="1">
        <f t="array" ref="E930">INDEX(INVESTORS_LIST[INVESTOR NAME],MATCH(LS[[#This Row],[Investor ID]],INVESTORS_LIST[INVESTOR CODE],0),)</f>
        <v>JOY SHREE SAHA</v>
      </c>
      <c r="F930" s="100" t="s">
        <v>575</v>
      </c>
      <c r="G930" s="101">
        <f>COUNTIF(LS[[#Headers],[Investor ID]]:LS[[#This Row],[Investor ID]],LS[[#This Row],[Investor ID]])</f>
        <v>10</v>
      </c>
      <c r="H930" s="101" t="str">
        <f>CONCATENATE(LS[[#This Row],[Frequency]],LS[[#This Row],[Investor ID]])</f>
        <v>10A00263</v>
      </c>
      <c r="I930" s="75" t="str">
        <f>IF(LS[[#This Row],[B/S]]="B","BUY",(IF(LS[[#This Row],[B/S]]="S","SELL"," ")))</f>
        <v>BUY</v>
      </c>
      <c r="J930" s="101" t="s">
        <v>1229</v>
      </c>
      <c r="K930" s="102">
        <v>1600000</v>
      </c>
      <c r="L930" s="99"/>
      <c r="M930" s="103">
        <f>LS[[#This Row],[Amount]]/LS[[#This Row],[Unit]]</f>
        <v>12.343964572821676</v>
      </c>
      <c r="N930" s="104">
        <f>LS[[#This Row],[Unit Capital]]/10</f>
        <v>129618</v>
      </c>
      <c r="O930" s="104">
        <f>SUMIFS(LS[[#Headers],[Unit]]:LS[[#This Row],[Unit]],LS[[#Headers],[Investor ID]]:LS[[#This Row],[Investor ID]],LS[[#This Row],[Investor ID]])</f>
        <v>251135</v>
      </c>
      <c r="P930" s="102">
        <v>1296180</v>
      </c>
      <c r="Q930" s="102">
        <f>LS[[#This Row],[Amount]]-LS[[#This Row],[Unit Capital]]</f>
        <v>303820</v>
      </c>
      <c r="R9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12.343958428733551</v>
      </c>
      <c r="S930" s="103">
        <f t="shared" si="14"/>
        <v>14.224</v>
      </c>
      <c r="T93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0" s="102" cm="1">
        <f t="array" ref="U930">IF(LS[[#This Row],[B/S]]="S",ABS(LS[[#This Row],[Unit]])*(INDEX(LS[NAV at Cost (Average)],MATCH(CONCATENATE((LS[[#This Row],[Frequency]]-1),LS[[#This Row],[Investor ID]]),LS[Unique Code],0),0)),0)</f>
        <v>0</v>
      </c>
      <c r="V930" s="102">
        <f>IF(LS[[#This Row],[BO TRANSFER]]="YES",LS[[#This Row],[Unit]],)</f>
        <v>0</v>
      </c>
      <c r="W930" s="102">
        <f>SUMIFS(LS[[#Headers],[BO UNIT TRANSFER]]:LS[[#This Row],[BO UNIT TRANSFER]],LS[[#Headers],[Investor ID]]:LS[[#This Row],[Investor ID]],LS[[#This Row],[Investor ID]])</f>
        <v>0</v>
      </c>
    </row>
    <row r="931" spans="1:23">
      <c r="A931" s="101">
        <v>2025</v>
      </c>
      <c r="B931" s="101">
        <v>4</v>
      </c>
      <c r="C931" s="101">
        <v>22</v>
      </c>
      <c r="D931" s="98">
        <f>DATE(LS[[#This Row],[Year]],LS[[#This Row],[Month]],LS[[#This Row],[Day]])</f>
        <v>45769</v>
      </c>
      <c r="E931" s="99" t="str" cm="1">
        <f t="array" ref="E931">INDEX(INVESTORS_LIST[INVESTOR NAME],MATCH(LS[[#This Row],[Investor ID]],INVESTORS_LIST[INVESTOR CODE],0),)</f>
        <v>SILVIA ANWAR</v>
      </c>
      <c r="F931" s="100" t="s">
        <v>1192</v>
      </c>
      <c r="G931" s="101">
        <f>COUNTIF(LS[[#Headers],[Investor ID]]:LS[[#This Row],[Investor ID]],LS[[#This Row],[Investor ID]])</f>
        <v>4</v>
      </c>
      <c r="H931" s="101" t="str">
        <f>CONCATENATE(LS[[#This Row],[Frequency]],LS[[#This Row],[Investor ID]])</f>
        <v>4A00572</v>
      </c>
      <c r="I931" s="75" t="str">
        <f>IF(LS[[#This Row],[B/S]]="B","BUY",(IF(LS[[#This Row],[B/S]]="S","SELL"," ")))</f>
        <v>SELL</v>
      </c>
      <c r="J931" s="101" t="s">
        <v>1231</v>
      </c>
      <c r="K931" s="102">
        <f>-219246.35-0.35</f>
        <v>-219246.7</v>
      </c>
      <c r="L931" s="99"/>
      <c r="M931" s="103">
        <f>LS[[#This Row],[Amount]]/LS[[#This Row],[Unit]]</f>
        <v>12.391019554651296</v>
      </c>
      <c r="N931" s="104">
        <f>LS[[#This Row],[Unit Capital]]/10</f>
        <v>-17694</v>
      </c>
      <c r="O931" s="104">
        <f>SUMIFS(LS[[#Headers],[Unit]]:LS[[#This Row],[Unit]],LS[[#Headers],[Investor ID]]:LS[[#This Row],[Investor ID]],LS[[#This Row],[Investor ID]])</f>
        <v>0</v>
      </c>
      <c r="P931" s="102">
        <v>-176940</v>
      </c>
      <c r="Q931" s="102">
        <f>LS[[#This Row],[Amount]]-LS[[#This Row],[Unit Capital]]</f>
        <v>-42306.700000000012</v>
      </c>
      <c r="R9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31" s="103">
        <f t="shared" si="14"/>
        <v>14.224</v>
      </c>
      <c r="T931" s="102">
        <f>IF(LS[[#This Row],[B/S]]="B",0,ABS(LS[[#This Row],[Unit]])*(LS[[#This Row],[NAV (Strike Rate)]]-INDEX(LS[NAV at Cost (Average)],MATCH(CONCATENATE(LS[[#This Row],[Frequency]]-1,LS[[#This Row],[Investor ID]]),LS[Unique Code],0),)))</f>
        <v>20718.136814772082</v>
      </c>
      <c r="U931" s="102" cm="1">
        <f t="array" ref="U931">IF(LS[[#This Row],[B/S]]="S",ABS(LS[[#This Row],[Unit]])*(INDEX(LS[NAV at Cost (Average)],MATCH(CONCATENATE((LS[[#This Row],[Frequency]]-1),LS[[#This Row],[Investor ID]]),LS[Unique Code],0),0)),0)</f>
        <v>198528.56318522795</v>
      </c>
      <c r="V931" s="102">
        <f>IF(LS[[#This Row],[BO TRANSFER]]="YES",LS[[#This Row],[Unit]],)</f>
        <v>0</v>
      </c>
      <c r="W931" s="102">
        <f>SUMIFS(LS[[#Headers],[BO UNIT TRANSFER]]:LS[[#This Row],[BO UNIT TRANSFER]],LS[[#Headers],[Investor ID]]:LS[[#This Row],[Investor ID]],LS[[#This Row],[Investor ID]])</f>
        <v>0</v>
      </c>
    </row>
    <row r="932" spans="1:23">
      <c r="A932" s="101">
        <v>2025</v>
      </c>
      <c r="B932" s="101">
        <v>4</v>
      </c>
      <c r="C932" s="101">
        <v>22</v>
      </c>
      <c r="D932" s="98">
        <f>DATE(LS[[#This Row],[Year]],LS[[#This Row],[Month]],LS[[#This Row],[Day]])</f>
        <v>45769</v>
      </c>
      <c r="E932" s="99" t="str" cm="1">
        <f t="array" ref="E932">INDEX(INVESTORS_LIST[INVESTOR NAME],MATCH(LS[[#This Row],[Investor ID]],INVESTORS_LIST[INVESTOR CODE],0),)</f>
        <v>MOHAMMAD AKIB NAWAZ</v>
      </c>
      <c r="F932" s="100" t="s">
        <v>495</v>
      </c>
      <c r="G932" s="101">
        <f>COUNTIF(LS[[#Headers],[Investor ID]]:LS[[#This Row],[Investor ID]],LS[[#This Row],[Investor ID]])</f>
        <v>4</v>
      </c>
      <c r="H932" s="101" t="str">
        <f>CONCATENATE(LS[[#This Row],[Frequency]],LS[[#This Row],[Investor ID]])</f>
        <v>4A00223</v>
      </c>
      <c r="I932" s="75" t="str">
        <f>IF(LS[[#This Row],[B/S]]="B","BUY",(IF(LS[[#This Row],[B/S]]="S","SELL"," ")))</f>
        <v>BUY</v>
      </c>
      <c r="J932" s="101" t="s">
        <v>1229</v>
      </c>
      <c r="K932" s="102">
        <v>150000</v>
      </c>
      <c r="L932" s="99"/>
      <c r="M932" s="103">
        <f>LS[[#This Row],[Amount]]/LS[[#This Row],[Unit]]</f>
        <v>12.343647136273864</v>
      </c>
      <c r="N932" s="104">
        <f>LS[[#This Row],[Unit Capital]]/10</f>
        <v>12152</v>
      </c>
      <c r="O932" s="104">
        <f>SUMIFS(LS[[#Headers],[Unit]]:LS[[#This Row],[Unit]],LS[[#Headers],[Investor ID]]:LS[[#This Row],[Investor ID]],LS[[#This Row],[Investor ID]])</f>
        <v>12152</v>
      </c>
      <c r="P932" s="102">
        <v>121520</v>
      </c>
      <c r="Q932" s="102">
        <f>LS[[#This Row],[Amount]]-LS[[#This Row],[Unit Capital]]</f>
        <v>28480</v>
      </c>
      <c r="R9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12.343647136273864</v>
      </c>
      <c r="S932" s="103">
        <f t="shared" si="14"/>
        <v>14.224</v>
      </c>
      <c r="T9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2" s="102" cm="1">
        <f t="array" ref="U932">IF(LS[[#This Row],[B/S]]="S",ABS(LS[[#This Row],[Unit]])*(INDEX(LS[NAV at Cost (Average)],MATCH(CONCATENATE((LS[[#This Row],[Frequency]]-1),LS[[#This Row],[Investor ID]]),LS[Unique Code],0),0)),0)</f>
        <v>0</v>
      </c>
      <c r="V932" s="102">
        <f>IF(LS[[#This Row],[BO TRANSFER]]="YES",LS[[#This Row],[Unit]],)</f>
        <v>0</v>
      </c>
      <c r="W932" s="102">
        <f>SUMIFS(LS[[#Headers],[BO UNIT TRANSFER]]:LS[[#This Row],[BO UNIT TRANSFER]],LS[[#Headers],[Investor ID]]:LS[[#This Row],[Investor ID]],LS[[#This Row],[Investor ID]])</f>
        <v>0</v>
      </c>
    </row>
    <row r="933" spans="1:23">
      <c r="A933" s="101">
        <v>2025</v>
      </c>
      <c r="B933" s="101">
        <v>4</v>
      </c>
      <c r="C933" s="101">
        <v>23</v>
      </c>
      <c r="D933" s="98">
        <f>DATE(LS[[#This Row],[Year]],LS[[#This Row],[Month]],LS[[#This Row],[Day]])</f>
        <v>45770</v>
      </c>
      <c r="E933" s="99" t="str" cm="1">
        <f t="array" ref="E933">INDEX(INVESTORS_LIST[INVESTOR NAME],MATCH(LS[[#This Row],[Investor ID]],INVESTORS_LIST[INVESTOR CODE],0),)</f>
        <v>RAJIV HASSAN</v>
      </c>
      <c r="F933" s="100" t="s">
        <v>1038</v>
      </c>
      <c r="G933" s="101">
        <f>COUNTIF(LS[[#Headers],[Investor ID]]:LS[[#This Row],[Investor ID]],LS[[#This Row],[Investor ID]])</f>
        <v>7</v>
      </c>
      <c r="H933" s="101" t="str">
        <f>CONCATENATE(LS[[#This Row],[Frequency]],LS[[#This Row],[Investor ID]])</f>
        <v>7A00496</v>
      </c>
      <c r="I933" s="75" t="str">
        <f>IF(LS[[#This Row],[B/S]]="B","BUY",(IF(LS[[#This Row],[B/S]]="S","SELL"," ")))</f>
        <v>SELL</v>
      </c>
      <c r="J933" s="101" t="s">
        <v>1231</v>
      </c>
      <c r="K933" s="102">
        <v>-8512369.1799999997</v>
      </c>
      <c r="L933" s="99"/>
      <c r="M933" s="103">
        <f>LS[[#This Row],[Amount]]/LS[[#This Row],[Unit]]</f>
        <v>12.391</v>
      </c>
      <c r="N933" s="104">
        <f>LS[[#This Row],[Unit Capital]]/10</f>
        <v>-686980</v>
      </c>
      <c r="O933" s="104">
        <f>SUMIFS(LS[[#Headers],[Unit]]:LS[[#This Row],[Unit]],LS[[#Headers],[Investor ID]]:LS[[#This Row],[Investor ID]],LS[[#This Row],[Investor ID]])</f>
        <v>0</v>
      </c>
      <c r="P933" s="102">
        <v>-6869800</v>
      </c>
      <c r="Q933" s="102">
        <f>LS[[#This Row],[Amount]]-LS[[#This Row],[Unit Capital]]</f>
        <v>-1642569.1799999997</v>
      </c>
      <c r="R9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33" s="103">
        <f t="shared" si="14"/>
        <v>14.224</v>
      </c>
      <c r="T933" s="102">
        <f>IF(LS[[#This Row],[B/S]]="B",0,ABS(LS[[#This Row],[Unit]])*(LS[[#This Row],[NAV (Strike Rate)]]-INDEX(LS[NAV at Cost (Average)],MATCH(CONCATENATE(LS[[#This Row],[Frequency]]-1,LS[[#This Row],[Investor ID]]),LS[Unique Code],0),)))</f>
        <v>12369.17999999986</v>
      </c>
      <c r="U933" s="102" cm="1">
        <f t="array" ref="U933">IF(LS[[#This Row],[B/S]]="S",ABS(LS[[#This Row],[Unit]])*(INDEX(LS[NAV at Cost (Average)],MATCH(CONCATENATE((LS[[#This Row],[Frequency]]-1),LS[[#This Row],[Investor ID]]),LS[Unique Code],0),0)),0)</f>
        <v>8500000</v>
      </c>
      <c r="V933" s="102">
        <f>IF(LS[[#This Row],[BO TRANSFER]]="YES",LS[[#This Row],[Unit]],)</f>
        <v>0</v>
      </c>
      <c r="W933" s="102">
        <f>SUMIFS(LS[[#Headers],[BO UNIT TRANSFER]]:LS[[#This Row],[BO UNIT TRANSFER]],LS[[#Headers],[Investor ID]]:LS[[#This Row],[Investor ID]],LS[[#This Row],[Investor ID]])</f>
        <v>0</v>
      </c>
    </row>
    <row r="934" spans="1:23">
      <c r="A934" s="101">
        <v>2025</v>
      </c>
      <c r="B934" s="101">
        <v>4</v>
      </c>
      <c r="C934" s="101">
        <v>23</v>
      </c>
      <c r="D934" s="98">
        <f>DATE(LS[[#This Row],[Year]],LS[[#This Row],[Month]],LS[[#This Row],[Day]])</f>
        <v>45770</v>
      </c>
      <c r="E934" s="99" t="str" cm="1">
        <f t="array" ref="E934">INDEX(INVESTORS_LIST[INVESTOR NAME],MATCH(LS[[#This Row],[Investor ID]],INVESTORS_LIST[INVESTOR CODE],0),)</f>
        <v>ASHIT BARAN SAHA</v>
      </c>
      <c r="F934" s="100" t="s">
        <v>196</v>
      </c>
      <c r="G934" s="101">
        <f>COUNTIF(LS[[#Headers],[Investor ID]]:LS[[#This Row],[Investor ID]],LS[[#This Row],[Investor ID]])</f>
        <v>6</v>
      </c>
      <c r="H934" s="101" t="str">
        <f>CONCATENATE(LS[[#This Row],[Frequency]],LS[[#This Row],[Investor ID]])</f>
        <v>6A00074</v>
      </c>
      <c r="I934" s="75" t="str">
        <f>IF(LS[[#This Row],[B/S]]="B","BUY",(IF(LS[[#This Row],[B/S]]="S","SELL"," ")))</f>
        <v>BUY</v>
      </c>
      <c r="J934" s="101" t="s">
        <v>1229</v>
      </c>
      <c r="K934" s="102">
        <v>1800000</v>
      </c>
      <c r="L934" s="99"/>
      <c r="M934" s="103">
        <f>LS[[#This Row],[Amount]]/LS[[#This Row],[Unit]]</f>
        <v>12.343985735838706</v>
      </c>
      <c r="N934" s="104">
        <f>LS[[#This Row],[Unit Capital]]/10</f>
        <v>145820</v>
      </c>
      <c r="O934" s="104">
        <f>SUMIFS(LS[[#Headers],[Unit]]:LS[[#This Row],[Unit]],LS[[#Headers],[Investor ID]]:LS[[#This Row],[Investor ID]],LS[[#This Row],[Investor ID]])</f>
        <v>259235</v>
      </c>
      <c r="P934" s="102">
        <v>1458200</v>
      </c>
      <c r="Q934" s="102">
        <f>LS[[#This Row],[Amount]]-LS[[#This Row],[Unit Capital]]</f>
        <v>341800</v>
      </c>
      <c r="R9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12.344012189712037</v>
      </c>
      <c r="S934" s="103">
        <f t="shared" si="14"/>
        <v>14.224</v>
      </c>
      <c r="T9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4" s="102" cm="1">
        <f t="array" ref="U934">IF(LS[[#This Row],[B/S]]="S",ABS(LS[[#This Row],[Unit]])*(INDEX(LS[NAV at Cost (Average)],MATCH(CONCATENATE((LS[[#This Row],[Frequency]]-1),LS[[#This Row],[Investor ID]]),LS[Unique Code],0),0)),0)</f>
        <v>0</v>
      </c>
      <c r="V934" s="102">
        <f>IF(LS[[#This Row],[BO TRANSFER]]="YES",LS[[#This Row],[Unit]],)</f>
        <v>0</v>
      </c>
      <c r="W934" s="102">
        <f>SUMIFS(LS[[#Headers],[BO UNIT TRANSFER]]:LS[[#This Row],[BO UNIT TRANSFER]],LS[[#Headers],[Investor ID]]:LS[[#This Row],[Investor ID]],LS[[#This Row],[Investor ID]])</f>
        <v>0</v>
      </c>
    </row>
    <row r="935" spans="1:23">
      <c r="A935" s="101">
        <v>2025</v>
      </c>
      <c r="B935" s="101">
        <v>4</v>
      </c>
      <c r="C935" s="101">
        <v>24</v>
      </c>
      <c r="D935" s="98">
        <f>DATE(LS[[#This Row],[Year]],LS[[#This Row],[Month]],LS[[#This Row],[Day]])</f>
        <v>45771</v>
      </c>
      <c r="E935" s="99" t="str" cm="1">
        <f t="array" ref="E935">INDEX(INVESTORS_LIST[INVESTOR NAME],MATCH(LS[[#This Row],[Investor ID]],INVESTORS_LIST[INVESTOR CODE],0),)</f>
        <v>MD. WALID - AL - ZUBAYER</v>
      </c>
      <c r="F935" s="100" t="s">
        <v>565</v>
      </c>
      <c r="G935" s="101">
        <f>COUNTIF(LS[[#Headers],[Investor ID]]:LS[[#This Row],[Investor ID]],LS[[#This Row],[Investor ID]])</f>
        <v>10</v>
      </c>
      <c r="H935" s="101" t="str">
        <f>CONCATENATE(LS[[#This Row],[Frequency]],LS[[#This Row],[Investor ID]])</f>
        <v>10A00258</v>
      </c>
      <c r="I935" s="75" t="str">
        <f>IF(LS[[#This Row],[B/S]]="B","BUY",(IF(LS[[#This Row],[B/S]]="S","SELL"," ")))</f>
        <v>BUY</v>
      </c>
      <c r="J935" s="101" t="s">
        <v>1229</v>
      </c>
      <c r="K935" s="102">
        <v>1100000</v>
      </c>
      <c r="L935" s="99"/>
      <c r="M935" s="103">
        <f>LS[[#This Row],[Amount]]/LS[[#This Row],[Unit]]</f>
        <v>12.344016518538469</v>
      </c>
      <c r="N935" s="104">
        <f>LS[[#This Row],[Unit Capital]]/10</f>
        <v>89112</v>
      </c>
      <c r="O935" s="104">
        <f>SUMIFS(LS[[#Headers],[Unit]]:LS[[#This Row],[Unit]],LS[[#Headers],[Investor ID]]:LS[[#This Row],[Investor ID]],LS[[#This Row],[Investor ID]])</f>
        <v>208112</v>
      </c>
      <c r="P935" s="102">
        <v>891120</v>
      </c>
      <c r="Q935" s="102">
        <f>LS[[#This Row],[Amount]]-LS[[#This Row],[Unit Capital]]</f>
        <v>208880</v>
      </c>
      <c r="R9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11.96684177834795</v>
      </c>
      <c r="S935" s="103">
        <f t="shared" si="14"/>
        <v>14.224</v>
      </c>
      <c r="T9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5" s="102" cm="1">
        <f t="array" ref="U935">IF(LS[[#This Row],[B/S]]="S",ABS(LS[[#This Row],[Unit]])*(INDEX(LS[NAV at Cost (Average)],MATCH(CONCATENATE((LS[[#This Row],[Frequency]]-1),LS[[#This Row],[Investor ID]]),LS[Unique Code],0),0)),0)</f>
        <v>0</v>
      </c>
      <c r="V935" s="102">
        <f>IF(LS[[#This Row],[BO TRANSFER]]="YES",LS[[#This Row],[Unit]],)</f>
        <v>0</v>
      </c>
      <c r="W935" s="102">
        <f>SUMIFS(LS[[#Headers],[BO UNIT TRANSFER]]:LS[[#This Row],[BO UNIT TRANSFER]],LS[[#Headers],[Investor ID]]:LS[[#This Row],[Investor ID]],LS[[#This Row],[Investor ID]])</f>
        <v>0</v>
      </c>
    </row>
    <row r="936" spans="1:23">
      <c r="A936" s="101">
        <v>2025</v>
      </c>
      <c r="B936" s="101">
        <v>4</v>
      </c>
      <c r="C936" s="101">
        <v>24</v>
      </c>
      <c r="D936" s="98">
        <f>DATE(LS[[#This Row],[Year]],LS[[#This Row],[Month]],LS[[#This Row],[Day]])</f>
        <v>45771</v>
      </c>
      <c r="E936" s="99" t="str" cm="1">
        <f t="array" ref="E936">INDEX(INVESTORS_LIST[INVESTOR NAME],MATCH(LS[[#This Row],[Investor ID]],INVESTORS_LIST[INVESTOR CODE],0),)</f>
        <v>SWADESH RANJAN SAHA</v>
      </c>
      <c r="F936" s="100" t="s">
        <v>234</v>
      </c>
      <c r="G936" s="101">
        <f>COUNTIF(LS[[#Headers],[Investor ID]]:LS[[#This Row],[Investor ID]],LS[[#This Row],[Investor ID]])</f>
        <v>15</v>
      </c>
      <c r="H936" s="101" t="str">
        <f>CONCATENATE(LS[[#This Row],[Frequency]],LS[[#This Row],[Investor ID]])</f>
        <v>15A00093</v>
      </c>
      <c r="I936" s="75" t="str">
        <f>IF(LS[[#This Row],[B/S]]="B","BUY",(IF(LS[[#This Row],[B/S]]="S","SELL"," ")))</f>
        <v>SELL</v>
      </c>
      <c r="J936" s="101" t="s">
        <v>1231</v>
      </c>
      <c r="K936" s="102">
        <v>-700000</v>
      </c>
      <c r="L936" s="99"/>
      <c r="M936" s="103">
        <f>LS[[#This Row],[Amount]]/LS[[#This Row],[Unit]]</f>
        <v>12.249969375076562</v>
      </c>
      <c r="N936" s="104">
        <f>LS[[#This Row],[Unit Capital]]/10</f>
        <v>-57143</v>
      </c>
      <c r="O936" s="104">
        <f>SUMIFS(LS[[#Headers],[Unit]]:LS[[#This Row],[Unit]],LS[[#Headers],[Investor ID]]:LS[[#This Row],[Investor ID]],LS[[#This Row],[Investor ID]])</f>
        <v>34708</v>
      </c>
      <c r="P936" s="102">
        <v>-571430</v>
      </c>
      <c r="Q936" s="102">
        <f>LS[[#This Row],[Amount]]-LS[[#This Row],[Unit Capital]]</f>
        <v>-128570</v>
      </c>
      <c r="R9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10.686434641943903</v>
      </c>
      <c r="S936" s="103">
        <f t="shared" si="14"/>
        <v>14.224</v>
      </c>
      <c r="T936" s="102">
        <f>IF(LS[[#This Row],[B/S]]="B",0,ABS(LS[[#This Row],[Unit]])*(LS[[#This Row],[NAV (Strike Rate)]]-INDEX(LS[NAV at Cost (Average)],MATCH(CONCATENATE(LS[[#This Row],[Frequency]]-1,LS[[#This Row],[Investor ID]]),LS[Unique Code],0),)))</f>
        <v>89345.065255399546</v>
      </c>
      <c r="U936" s="102" cm="1">
        <f t="array" ref="U936">IF(LS[[#This Row],[B/S]]="S",ABS(LS[[#This Row],[Unit]])*(INDEX(LS[NAV at Cost (Average)],MATCH(CONCATENATE((LS[[#This Row],[Frequency]]-1),LS[[#This Row],[Investor ID]]),LS[Unique Code],0),0)),0)</f>
        <v>610654.93474460044</v>
      </c>
      <c r="V936" s="102">
        <f>IF(LS[[#This Row],[BO TRANSFER]]="YES",LS[[#This Row],[Unit]],)</f>
        <v>0</v>
      </c>
      <c r="W936" s="102">
        <f>SUMIFS(LS[[#Headers],[BO UNIT TRANSFER]]:LS[[#This Row],[BO UNIT TRANSFER]],LS[[#Headers],[Investor ID]]:LS[[#This Row],[Investor ID]],LS[[#This Row],[Investor ID]])</f>
        <v>0</v>
      </c>
    </row>
    <row r="937" spans="1:23">
      <c r="A937" s="101">
        <v>2025</v>
      </c>
      <c r="B937" s="101">
        <v>4</v>
      </c>
      <c r="C937" s="101">
        <v>24</v>
      </c>
      <c r="D937" s="98">
        <f>DATE(LS[[#This Row],[Year]],LS[[#This Row],[Month]],LS[[#This Row],[Day]])</f>
        <v>45771</v>
      </c>
      <c r="E937" s="99" t="str" cm="1">
        <f t="array" ref="E937">INDEX(INVESTORS_LIST[INVESTOR NAME],MATCH(LS[[#This Row],[Investor ID]],INVESTORS_LIST[INVESTOR CODE],0),)</f>
        <v>MAYA RANI SAHA</v>
      </c>
      <c r="F937" s="100" t="s">
        <v>224</v>
      </c>
      <c r="G937" s="101">
        <f>COUNTIF(LS[[#Headers],[Investor ID]]:LS[[#This Row],[Investor ID]],LS[[#This Row],[Investor ID]])</f>
        <v>16</v>
      </c>
      <c r="H937" s="101" t="str">
        <f>CONCATENATE(LS[[#This Row],[Frequency]],LS[[#This Row],[Investor ID]])</f>
        <v>16A00088</v>
      </c>
      <c r="I937" s="75" t="str">
        <f>IF(LS[[#This Row],[B/S]]="B","BUY",(IF(LS[[#This Row],[B/S]]="S","SELL"," ")))</f>
        <v>SELL</v>
      </c>
      <c r="J937" s="101" t="s">
        <v>1231</v>
      </c>
      <c r="K937" s="102">
        <v>-1000000</v>
      </c>
      <c r="L937" s="99"/>
      <c r="M937" s="103">
        <f>LS[[#This Row],[Amount]]/LS[[#This Row],[Unit]]</f>
        <v>12.249947937721265</v>
      </c>
      <c r="N937" s="104">
        <f>LS[[#This Row],[Unit Capital]]/10</f>
        <v>-81633</v>
      </c>
      <c r="O937" s="104">
        <f>SUMIFS(LS[[#Headers],[Unit]]:LS[[#This Row],[Unit]],LS[[#Headers],[Investor ID]]:LS[[#This Row],[Investor ID]],LS[[#This Row],[Investor ID]])</f>
        <v>496913</v>
      </c>
      <c r="P937" s="102">
        <v>-816330</v>
      </c>
      <c r="Q937" s="102">
        <f>LS[[#This Row],[Amount]]-LS[[#This Row],[Unit Capital]]</f>
        <v>-183670</v>
      </c>
      <c r="R9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10.670726930850083</v>
      </c>
      <c r="S937" s="103">
        <f t="shared" si="14"/>
        <v>14.224</v>
      </c>
      <c r="T937" s="102">
        <f>IF(LS[[#This Row],[B/S]]="B",0,ABS(LS[[#This Row],[Unit]])*(LS[[#This Row],[NAV (Strike Rate)]]-INDEX(LS[NAV at Cost (Average)],MATCH(CONCATENATE(LS[[#This Row],[Frequency]]-1,LS[[#This Row],[Investor ID]]),LS[Unique Code],0),)))</f>
        <v>128916.54845391515</v>
      </c>
      <c r="U937" s="102" cm="1">
        <f t="array" ref="U937">IF(LS[[#This Row],[B/S]]="S",ABS(LS[[#This Row],[Unit]])*(INDEX(LS[NAV at Cost (Average)],MATCH(CONCATENATE((LS[[#This Row],[Frequency]]-1),LS[[#This Row],[Investor ID]]),LS[Unique Code],0),0)),0)</f>
        <v>871083.45154608483</v>
      </c>
      <c r="V937" s="102">
        <f>IF(LS[[#This Row],[BO TRANSFER]]="YES",LS[[#This Row],[Unit]],)</f>
        <v>0</v>
      </c>
      <c r="W937" s="102">
        <f>SUMIFS(LS[[#Headers],[BO UNIT TRANSFER]]:LS[[#This Row],[BO UNIT TRANSFER]],LS[[#Headers],[Investor ID]]:LS[[#This Row],[Investor ID]],LS[[#This Row],[Investor ID]])</f>
        <v>0</v>
      </c>
    </row>
    <row r="938" spans="1:23">
      <c r="A938" s="101">
        <v>2025</v>
      </c>
      <c r="B938" s="101">
        <v>4</v>
      </c>
      <c r="C938" s="101">
        <v>23</v>
      </c>
      <c r="D938" s="98">
        <f>DATE(LS[[#This Row],[Year]],LS[[#This Row],[Month]],LS[[#This Row],[Day]])</f>
        <v>45770</v>
      </c>
      <c r="E938" s="99" t="str" cm="1">
        <f t="array" ref="E938">INDEX(INVESTORS_LIST[INVESTOR NAME],MATCH(LS[[#This Row],[Investor ID]],INVESTORS_LIST[INVESTOR CODE],0),)</f>
        <v>SYED FAZLE RABBY</v>
      </c>
      <c r="F938" s="100" t="s">
        <v>166</v>
      </c>
      <c r="G938" s="101">
        <f>COUNTIF(LS[[#Headers],[Investor ID]]:LS[[#This Row],[Investor ID]],LS[[#This Row],[Investor ID]])</f>
        <v>39</v>
      </c>
      <c r="H938" s="101" t="str">
        <f>CONCATENATE(LS[[#This Row],[Frequency]],LS[[#This Row],[Investor ID]])</f>
        <v>39A00059</v>
      </c>
      <c r="I938" s="75" t="str">
        <f>IF(LS[[#This Row],[B/S]]="B","BUY",(IF(LS[[#This Row],[B/S]]="S","SELL"," ")))</f>
        <v>BUY</v>
      </c>
      <c r="J938" s="101" t="s">
        <v>1229</v>
      </c>
      <c r="K938" s="102">
        <v>550000</v>
      </c>
      <c r="L938" s="99"/>
      <c r="M938" s="103">
        <f>LS[[#This Row],[Amount]]/LS[[#This Row],[Unit]]</f>
        <v>12.344016518538469</v>
      </c>
      <c r="N938" s="104">
        <f>LS[[#This Row],[Unit Capital]]/10</f>
        <v>44556</v>
      </c>
      <c r="O938" s="104">
        <f>SUMIFS(LS[[#Headers],[Unit]]:LS[[#This Row],[Unit]],LS[[#Headers],[Investor ID]]:LS[[#This Row],[Investor ID]],LS[[#This Row],[Investor ID]])</f>
        <v>481955</v>
      </c>
      <c r="P938" s="102">
        <v>445560</v>
      </c>
      <c r="Q938" s="102">
        <f>LS[[#This Row],[Amount]]-LS[[#This Row],[Unit Capital]]</f>
        <v>104440</v>
      </c>
      <c r="R9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12.380823935844631</v>
      </c>
      <c r="S938" s="103">
        <f t="shared" si="14"/>
        <v>14.224</v>
      </c>
      <c r="T93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8" s="102" cm="1">
        <f t="array" ref="U938">IF(LS[[#This Row],[B/S]]="S",ABS(LS[[#This Row],[Unit]])*(INDEX(LS[NAV at Cost (Average)],MATCH(CONCATENATE((LS[[#This Row],[Frequency]]-1),LS[[#This Row],[Investor ID]]),LS[Unique Code],0),0)),0)</f>
        <v>0</v>
      </c>
      <c r="V938" s="102">
        <f>IF(LS[[#This Row],[BO TRANSFER]]="YES",LS[[#This Row],[Unit]],)</f>
        <v>0</v>
      </c>
      <c r="W938" s="102">
        <f>SUMIFS(LS[[#Headers],[BO UNIT TRANSFER]]:LS[[#This Row],[BO UNIT TRANSFER]],LS[[#Headers],[Investor ID]]:LS[[#This Row],[Investor ID]],LS[[#This Row],[Investor ID]])</f>
        <v>0</v>
      </c>
    </row>
    <row r="939" spans="1:23">
      <c r="A939" s="101">
        <v>2025</v>
      </c>
      <c r="B939" s="101">
        <v>4</v>
      </c>
      <c r="C939" s="101">
        <v>24</v>
      </c>
      <c r="D939" s="98">
        <f>DATE(LS[[#This Row],[Year]],LS[[#This Row],[Month]],LS[[#This Row],[Day]])</f>
        <v>45771</v>
      </c>
      <c r="E939" s="99" t="str" cm="1">
        <f t="array" ref="E939">INDEX(INVESTORS_LIST[INVESTOR NAME],MATCH(LS[[#This Row],[Investor ID]],INVESTORS_LIST[INVESTOR CODE],0),)</f>
        <v>SYED FAZLE RABBY</v>
      </c>
      <c r="F939" s="100" t="s">
        <v>166</v>
      </c>
      <c r="G939" s="101">
        <f>COUNTIF(LS[[#Headers],[Investor ID]]:LS[[#This Row],[Investor ID]],LS[[#This Row],[Investor ID]])</f>
        <v>40</v>
      </c>
      <c r="H939" s="101" t="str">
        <f>CONCATENATE(LS[[#This Row],[Frequency]],LS[[#This Row],[Investor ID]])</f>
        <v>40A00059</v>
      </c>
      <c r="I939" s="75" t="str">
        <f>IF(LS[[#This Row],[B/S]]="B","BUY",(IF(LS[[#This Row],[B/S]]="S","SELL"," ")))</f>
        <v>BUY</v>
      </c>
      <c r="J939" s="101" t="s">
        <v>1229</v>
      </c>
      <c r="K939" s="102">
        <v>350000</v>
      </c>
      <c r="L939" s="99"/>
      <c r="M939" s="103">
        <f>LS[[#This Row],[Amount]]/LS[[#This Row],[Unit]]</f>
        <v>12.343937363334978</v>
      </c>
      <c r="N939" s="104">
        <f>LS[[#This Row],[Unit Capital]]/10</f>
        <v>28354</v>
      </c>
      <c r="O939" s="104">
        <f>SUMIFS(LS[[#Headers],[Unit]]:LS[[#This Row],[Unit]],LS[[#Headers],[Investor ID]]:LS[[#This Row],[Investor ID]],LS[[#This Row],[Investor ID]])</f>
        <v>510309</v>
      </c>
      <c r="P939" s="102">
        <v>283540</v>
      </c>
      <c r="Q939" s="102">
        <f>LS[[#This Row],[Amount]]-LS[[#This Row],[Unit Capital]]</f>
        <v>66460</v>
      </c>
      <c r="R9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12.378774428826455</v>
      </c>
      <c r="S939" s="103">
        <f t="shared" si="14"/>
        <v>14.224</v>
      </c>
      <c r="T93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39" s="102" cm="1">
        <f t="array" ref="U939">IF(LS[[#This Row],[B/S]]="S",ABS(LS[[#This Row],[Unit]])*(INDEX(LS[NAV at Cost (Average)],MATCH(CONCATENATE((LS[[#This Row],[Frequency]]-1),LS[[#This Row],[Investor ID]]),LS[Unique Code],0),0)),0)</f>
        <v>0</v>
      </c>
      <c r="V939" s="102">
        <f>IF(LS[[#This Row],[BO TRANSFER]]="YES",LS[[#This Row],[Unit]],)</f>
        <v>0</v>
      </c>
      <c r="W939" s="102">
        <f>SUMIFS(LS[[#Headers],[BO UNIT TRANSFER]]:LS[[#This Row],[BO UNIT TRANSFER]],LS[[#Headers],[Investor ID]]:LS[[#This Row],[Investor ID]],LS[[#This Row],[Investor ID]])</f>
        <v>0</v>
      </c>
    </row>
    <row r="940" spans="1:23">
      <c r="A940" s="101">
        <v>2025</v>
      </c>
      <c r="B940" s="101">
        <v>4</v>
      </c>
      <c r="C940" s="101">
        <v>24</v>
      </c>
      <c r="D940" s="98">
        <f>DATE(LS[[#This Row],[Year]],LS[[#This Row],[Month]],LS[[#This Row],[Day]])</f>
        <v>45771</v>
      </c>
      <c r="E940" s="99" t="str" cm="1">
        <f t="array" ref="E940">INDEX(INVESTORS_LIST[INVESTOR NAME],MATCH(LS[[#This Row],[Investor ID]],INVESTORS_LIST[INVESTOR CODE],0),)</f>
        <v>SOURAV SAHA</v>
      </c>
      <c r="F940" s="100" t="s">
        <v>1272</v>
      </c>
      <c r="G940" s="101">
        <f>COUNTIF(LS[[#Headers],[Investor ID]]:LS[[#This Row],[Investor ID]],LS[[#This Row],[Investor ID]])</f>
        <v>15</v>
      </c>
      <c r="H940" s="101" t="str">
        <f>CONCATENATE(LS[[#This Row],[Frequency]],LS[[#This Row],[Investor ID]])</f>
        <v>15A00583</v>
      </c>
      <c r="I940" s="75" t="str">
        <f>IF(LS[[#This Row],[B/S]]="B","BUY",(IF(LS[[#This Row],[B/S]]="S","SELL"," ")))</f>
        <v>SELL</v>
      </c>
      <c r="J940" s="101" t="s">
        <v>1231</v>
      </c>
      <c r="K940" s="102">
        <v>-24782</v>
      </c>
      <c r="L940" s="99"/>
      <c r="M940" s="103">
        <f>LS[[#This Row],[Amount]]/LS[[#This Row],[Unit]]</f>
        <v>12.391</v>
      </c>
      <c r="N940" s="104">
        <f>LS[[#This Row],[Unit Capital]]/10</f>
        <v>-2000</v>
      </c>
      <c r="O940" s="104">
        <f>SUMIFS(LS[[#Headers],[Unit]]:LS[[#This Row],[Unit]],LS[[#Headers],[Investor ID]]:LS[[#This Row],[Investor ID]],LS[[#This Row],[Investor ID]])</f>
        <v>27373</v>
      </c>
      <c r="P940" s="102">
        <v>-20000</v>
      </c>
      <c r="Q940" s="102">
        <f>LS[[#This Row],[Amount]]-LS[[#This Row],[Unit Capital]]</f>
        <v>-4782</v>
      </c>
      <c r="R9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11.997276077551675</v>
      </c>
      <c r="S940" s="103">
        <f t="shared" si="14"/>
        <v>14.224</v>
      </c>
      <c r="T940" s="102">
        <f>IF(LS[[#This Row],[B/S]]="B",0,ABS(LS[[#This Row],[Unit]])*(LS[[#This Row],[NAV (Strike Rate)]]-INDEX(LS[NAV at Cost (Average)],MATCH(CONCATENATE(LS[[#This Row],[Frequency]]-1,LS[[#This Row],[Investor ID]]),LS[Unique Code],0),)))</f>
        <v>787.44784489665062</v>
      </c>
      <c r="U940" s="102" cm="1">
        <f t="array" ref="U940">IF(LS[[#This Row],[B/S]]="S",ABS(LS[[#This Row],[Unit]])*(INDEX(LS[NAV at Cost (Average)],MATCH(CONCATENATE((LS[[#This Row],[Frequency]]-1),LS[[#This Row],[Investor ID]]),LS[Unique Code],0),0)),0)</f>
        <v>23994.552155103349</v>
      </c>
      <c r="V940" s="102">
        <f>IF(LS[[#This Row],[BO TRANSFER]]="YES",LS[[#This Row],[Unit]],)</f>
        <v>0</v>
      </c>
      <c r="W940" s="102">
        <f>SUMIFS(LS[[#Headers],[BO UNIT TRANSFER]]:LS[[#This Row],[BO UNIT TRANSFER]],LS[[#Headers],[Investor ID]]:LS[[#This Row],[Investor ID]],LS[[#This Row],[Investor ID]])</f>
        <v>0</v>
      </c>
    </row>
    <row r="941" spans="1:23">
      <c r="A941" s="101">
        <v>2025</v>
      </c>
      <c r="B941" s="101">
        <v>4</v>
      </c>
      <c r="C941" s="101">
        <v>24</v>
      </c>
      <c r="D941" s="98">
        <f>DATE(LS[[#This Row],[Year]],LS[[#This Row],[Month]],LS[[#This Row],[Day]])</f>
        <v>45771</v>
      </c>
      <c r="E941" s="99" t="str" cm="1">
        <f t="array" ref="E941">INDEX(INVESTORS_LIST[INVESTOR NAME],MATCH(LS[[#This Row],[Investor ID]],INVESTORS_LIST[INVESTOR CODE],0),)</f>
        <v>MD. JEDAR HOSSAIN</v>
      </c>
      <c r="F941" s="100" t="s">
        <v>1083</v>
      </c>
      <c r="G941" s="101">
        <f>COUNTIF(LS[[#Headers],[Investor ID]]:LS[[#This Row],[Investor ID]],LS[[#This Row],[Investor ID]])</f>
        <v>3</v>
      </c>
      <c r="H941" s="101" t="str">
        <f>CONCATENATE(LS[[#This Row],[Frequency]],LS[[#This Row],[Investor ID]])</f>
        <v>3A00519</v>
      </c>
      <c r="I941" s="75" t="str">
        <f>IF(LS[[#This Row],[B/S]]="B","BUY",(IF(LS[[#This Row],[B/S]]="S","SELL"," ")))</f>
        <v>SELL</v>
      </c>
      <c r="J941" s="101" t="s">
        <v>1231</v>
      </c>
      <c r="K941" s="102">
        <v>-19218.439999999999</v>
      </c>
      <c r="L941" s="99"/>
      <c r="M941" s="103">
        <f>LS[[#This Row],[Amount]]/LS[[#This Row],[Unit]]</f>
        <v>12.390999355254674</v>
      </c>
      <c r="N941" s="104">
        <f>LS[[#This Row],[Unit Capital]]/10</f>
        <v>-1551</v>
      </c>
      <c r="O941" s="104">
        <f>SUMIFS(LS[[#Headers],[Unit]]:LS[[#This Row],[Unit]],LS[[#Headers],[Investor ID]]:LS[[#This Row],[Investor ID]],LS[[#This Row],[Investor ID]])</f>
        <v>0</v>
      </c>
      <c r="P941" s="102">
        <v>-15510</v>
      </c>
      <c r="Q941" s="102">
        <f>LS[[#This Row],[Amount]]-LS[[#This Row],[Unit Capital]]</f>
        <v>-3708.4399999999987</v>
      </c>
      <c r="R9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41" s="103">
        <f t="shared" si="14"/>
        <v>14.224</v>
      </c>
      <c r="T941" s="102">
        <f>IF(LS[[#This Row],[B/S]]="B",0,ABS(LS[[#This Row],[Unit]])*(LS[[#This Row],[NAV (Strike Rate)]]-INDEX(LS[NAV at Cost (Average)],MATCH(CONCATENATE(LS[[#This Row],[Frequency]]-1,LS[[#This Row],[Investor ID]]),LS[Unique Code],0),)))</f>
        <v>2718.4400000000005</v>
      </c>
      <c r="U941" s="102" cm="1">
        <f t="array" ref="U941">IF(LS[[#This Row],[B/S]]="S",ABS(LS[[#This Row],[Unit]])*(INDEX(LS[NAV at Cost (Average)],MATCH(CONCATENATE((LS[[#This Row],[Frequency]]-1),LS[[#This Row],[Investor ID]]),LS[Unique Code],0),0)),0)</f>
        <v>16500</v>
      </c>
      <c r="V941" s="102">
        <f>IF(LS[[#This Row],[BO TRANSFER]]="YES",LS[[#This Row],[Unit]],)</f>
        <v>0</v>
      </c>
      <c r="W941" s="102">
        <f>SUMIFS(LS[[#Headers],[BO UNIT TRANSFER]]:LS[[#This Row],[BO UNIT TRANSFER]],LS[[#Headers],[Investor ID]]:LS[[#This Row],[Investor ID]],LS[[#This Row],[Investor ID]])</f>
        <v>0</v>
      </c>
    </row>
    <row r="942" spans="1:23">
      <c r="A942" s="101">
        <v>2025</v>
      </c>
      <c r="B942" s="101">
        <v>4</v>
      </c>
      <c r="C942" s="101">
        <v>24</v>
      </c>
      <c r="D942" s="98">
        <f>DATE(LS[[#This Row],[Year]],LS[[#This Row],[Month]],LS[[#This Row],[Day]])</f>
        <v>45771</v>
      </c>
      <c r="E942" s="99" t="str" cm="1">
        <f t="array" ref="E942">INDEX(INVESTORS_LIST[INVESTOR NAME],MATCH(LS[[#This Row],[Investor ID]],INVESTORS_LIST[INVESTOR CODE],0),)</f>
        <v>SYED FAZLE RABBY</v>
      </c>
      <c r="F942" s="100" t="s">
        <v>166</v>
      </c>
      <c r="G942" s="101">
        <f>COUNTIF(LS[[#Headers],[Investor ID]]:LS[[#This Row],[Investor ID]],LS[[#This Row],[Investor ID]])</f>
        <v>41</v>
      </c>
      <c r="H942" s="101" t="str">
        <f>CONCATENATE(LS[[#This Row],[Frequency]],LS[[#This Row],[Investor ID]])</f>
        <v>41A00059</v>
      </c>
      <c r="I942" s="75" t="str">
        <f>IF(LS[[#This Row],[B/S]]="B","BUY",(IF(LS[[#This Row],[B/S]]="S","SELL"," ")))</f>
        <v>BUY</v>
      </c>
      <c r="J942" s="101" t="s">
        <v>1229</v>
      </c>
      <c r="K942" s="102">
        <v>150000</v>
      </c>
      <c r="L942" s="99"/>
      <c r="M942" s="103">
        <f>LS[[#This Row],[Amount]]/LS[[#This Row],[Unit]]</f>
        <v>12.343647136273864</v>
      </c>
      <c r="N942" s="104">
        <f>LS[[#This Row],[Unit Capital]]/10</f>
        <v>12152</v>
      </c>
      <c r="O942" s="104">
        <f>SUMIFS(LS[[#Headers],[Unit]]:LS[[#This Row],[Unit]],LS[[#Headers],[Investor ID]]:LS[[#This Row],[Investor ID]],LS[[#This Row],[Investor ID]])</f>
        <v>522461</v>
      </c>
      <c r="P942" s="102">
        <v>121520</v>
      </c>
      <c r="Q942" s="102">
        <f>LS[[#This Row],[Amount]]-LS[[#This Row],[Unit Capital]]</f>
        <v>28480</v>
      </c>
      <c r="R9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12.37795739777706</v>
      </c>
      <c r="S942" s="103">
        <f t="shared" si="14"/>
        <v>14.224</v>
      </c>
      <c r="T9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2" s="102" cm="1">
        <f t="array" ref="U942">IF(LS[[#This Row],[B/S]]="S",ABS(LS[[#This Row],[Unit]])*(INDEX(LS[NAV at Cost (Average)],MATCH(CONCATENATE((LS[[#This Row],[Frequency]]-1),LS[[#This Row],[Investor ID]]),LS[Unique Code],0),0)),0)</f>
        <v>0</v>
      </c>
      <c r="V942" s="102">
        <f>IF(LS[[#This Row],[BO TRANSFER]]="YES",LS[[#This Row],[Unit]],)</f>
        <v>0</v>
      </c>
      <c r="W942" s="102">
        <f>SUMIFS(LS[[#Headers],[BO UNIT TRANSFER]]:LS[[#This Row],[BO UNIT TRANSFER]],LS[[#Headers],[Investor ID]]:LS[[#This Row],[Investor ID]],LS[[#This Row],[Investor ID]])</f>
        <v>0</v>
      </c>
    </row>
    <row r="943" spans="1:23">
      <c r="A943" s="101">
        <v>2025</v>
      </c>
      <c r="B943" s="101">
        <v>4</v>
      </c>
      <c r="C943" s="101">
        <v>24</v>
      </c>
      <c r="D943" s="98">
        <f>DATE(LS[[#This Row],[Year]],LS[[#This Row],[Month]],LS[[#This Row],[Day]])</f>
        <v>45771</v>
      </c>
      <c r="E943" s="99" t="str" cm="1">
        <f t="array" ref="E943">INDEX(INVESTORS_LIST[INVESTOR NAME],MATCH(LS[[#This Row],[Investor ID]],INVESTORS_LIST[INVESTOR CODE],0),)</f>
        <v>JOY SHREE SAHA</v>
      </c>
      <c r="F943" s="100" t="s">
        <v>575</v>
      </c>
      <c r="G943" s="101">
        <f>COUNTIF(LS[[#Headers],[Investor ID]]:LS[[#This Row],[Investor ID]],LS[[#This Row],[Investor ID]])</f>
        <v>11</v>
      </c>
      <c r="H943" s="101" t="str">
        <f>CONCATENATE(LS[[#This Row],[Frequency]],LS[[#This Row],[Investor ID]])</f>
        <v>11A00263</v>
      </c>
      <c r="I943" s="75" t="str">
        <f>IF(LS[[#This Row],[B/S]]="B","BUY",(IF(LS[[#This Row],[B/S]]="S","SELL"," ")))</f>
        <v>BUY</v>
      </c>
      <c r="J943" s="101" t="s">
        <v>1229</v>
      </c>
      <c r="K943" s="102">
        <v>1700000</v>
      </c>
      <c r="L943" s="99"/>
      <c r="M943" s="103">
        <f>LS[[#This Row],[Amount]]/LS[[#This Row],[Unit]]</f>
        <v>12.343975776762829</v>
      </c>
      <c r="N943" s="104">
        <f>LS[[#This Row],[Unit Capital]]/10</f>
        <v>137719</v>
      </c>
      <c r="O943" s="104">
        <f>SUMIFS(LS[[#Headers],[Unit]]:LS[[#This Row],[Unit]],LS[[#Headers],[Investor ID]]:LS[[#This Row],[Investor ID]],LS[[#This Row],[Investor ID]])</f>
        <v>388854</v>
      </c>
      <c r="P943" s="102">
        <v>1377190</v>
      </c>
      <c r="Q943" s="102">
        <f>LS[[#This Row],[Amount]]-LS[[#This Row],[Unit Capital]]</f>
        <v>322810</v>
      </c>
      <c r="R9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12.343964572821676</v>
      </c>
      <c r="S943" s="103">
        <f t="shared" si="14"/>
        <v>14.224</v>
      </c>
      <c r="T94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3" s="102" cm="1">
        <f t="array" ref="U943">IF(LS[[#This Row],[B/S]]="S",ABS(LS[[#This Row],[Unit]])*(INDEX(LS[NAV at Cost (Average)],MATCH(CONCATENATE((LS[[#This Row],[Frequency]]-1),LS[[#This Row],[Investor ID]]),LS[Unique Code],0),0)),0)</f>
        <v>0</v>
      </c>
      <c r="V943" s="102">
        <f>IF(LS[[#This Row],[BO TRANSFER]]="YES",LS[[#This Row],[Unit]],)</f>
        <v>0</v>
      </c>
      <c r="W943" s="102">
        <f>SUMIFS(LS[[#Headers],[BO UNIT TRANSFER]]:LS[[#This Row],[BO UNIT TRANSFER]],LS[[#Headers],[Investor ID]]:LS[[#This Row],[Investor ID]],LS[[#This Row],[Investor ID]])</f>
        <v>0</v>
      </c>
    </row>
    <row r="944" spans="1:23">
      <c r="A944" s="101">
        <v>2025</v>
      </c>
      <c r="B944" s="101">
        <v>4</v>
      </c>
      <c r="C944" s="101">
        <v>24</v>
      </c>
      <c r="D944" s="98">
        <f>DATE(LS[[#This Row],[Year]],LS[[#This Row],[Month]],LS[[#This Row],[Day]])</f>
        <v>45771</v>
      </c>
      <c r="E944" s="99" t="str" cm="1">
        <f t="array" ref="E944">INDEX(INVESTORS_LIST[INVESTOR NAME],MATCH(LS[[#This Row],[Investor ID]],INVESTORS_LIST[INVESTOR CODE],0),)</f>
        <v>ASHIT BARAN SAHA</v>
      </c>
      <c r="F944" s="100" t="s">
        <v>196</v>
      </c>
      <c r="G944" s="101">
        <f>COUNTIF(LS[[#Headers],[Investor ID]]:LS[[#This Row],[Investor ID]],LS[[#This Row],[Investor ID]])</f>
        <v>7</v>
      </c>
      <c r="H944" s="101" t="str">
        <f>CONCATENATE(LS[[#This Row],[Frequency]],LS[[#This Row],[Investor ID]])</f>
        <v>7A00074</v>
      </c>
      <c r="I944" s="75" t="str">
        <f>IF(LS[[#This Row],[B/S]]="B","BUY",(IF(LS[[#This Row],[B/S]]="S","SELL"," ")))</f>
        <v>BUY</v>
      </c>
      <c r="J944" s="101" t="s">
        <v>1229</v>
      </c>
      <c r="K944" s="102">
        <v>1800000</v>
      </c>
      <c r="L944" s="99"/>
      <c r="M944" s="103">
        <f>LS[[#This Row],[Amount]]/LS[[#This Row],[Unit]]</f>
        <v>12.343985735838706</v>
      </c>
      <c r="N944" s="104">
        <f>LS[[#This Row],[Unit Capital]]/10</f>
        <v>145820</v>
      </c>
      <c r="O944" s="104">
        <f>SUMIFS(LS[[#Headers],[Unit]]:LS[[#This Row],[Unit]],LS[[#Headers],[Investor ID]]:LS[[#This Row],[Investor ID]],LS[[#This Row],[Investor ID]])</f>
        <v>405055</v>
      </c>
      <c r="P944" s="102">
        <v>1458200</v>
      </c>
      <c r="Q944" s="102">
        <f>LS[[#This Row],[Amount]]-LS[[#This Row],[Unit Capital]]</f>
        <v>341800</v>
      </c>
      <c r="R9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12.344002666304576</v>
      </c>
      <c r="S944" s="103">
        <f t="shared" si="14"/>
        <v>14.224</v>
      </c>
      <c r="T94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4" s="102" cm="1">
        <f t="array" ref="U944">IF(LS[[#This Row],[B/S]]="S",ABS(LS[[#This Row],[Unit]])*(INDEX(LS[NAV at Cost (Average)],MATCH(CONCATENATE((LS[[#This Row],[Frequency]]-1),LS[[#This Row],[Investor ID]]),LS[Unique Code],0),0)),0)</f>
        <v>0</v>
      </c>
      <c r="V944" s="102">
        <f>IF(LS[[#This Row],[BO TRANSFER]]="YES",LS[[#This Row],[Unit]],)</f>
        <v>0</v>
      </c>
      <c r="W944" s="102">
        <f>SUMIFS(LS[[#Headers],[BO UNIT TRANSFER]]:LS[[#This Row],[BO UNIT TRANSFER]],LS[[#Headers],[Investor ID]]:LS[[#This Row],[Investor ID]],LS[[#This Row],[Investor ID]])</f>
        <v>0</v>
      </c>
    </row>
    <row r="945" spans="1:23">
      <c r="A945" s="101">
        <v>2025</v>
      </c>
      <c r="B945" s="101">
        <v>4</v>
      </c>
      <c r="C945" s="101">
        <v>24</v>
      </c>
      <c r="D945" s="98">
        <f>DATE(LS[[#This Row],[Year]],LS[[#This Row],[Month]],LS[[#This Row],[Day]])</f>
        <v>45771</v>
      </c>
      <c r="E945" s="99" t="str" cm="1">
        <f t="array" ref="E945">INDEX(INVESTORS_LIST[INVESTOR NAME],MATCH(LS[[#This Row],[Investor ID]],INVESTORS_LIST[INVESTOR CODE],0),)</f>
        <v>FARZANA JITU</v>
      </c>
      <c r="F945" s="100" t="s">
        <v>968</v>
      </c>
      <c r="G945" s="101">
        <f>COUNTIF(LS[[#Headers],[Investor ID]]:LS[[#This Row],[Investor ID]],LS[[#This Row],[Investor ID]])</f>
        <v>27</v>
      </c>
      <c r="H945" s="101" t="str">
        <f>CONCATENATE(LS[[#This Row],[Frequency]],LS[[#This Row],[Investor ID]])</f>
        <v>27A00461</v>
      </c>
      <c r="I945" s="75" t="str">
        <f>IF(LS[[#This Row],[B/S]]="B","BUY",(IF(LS[[#This Row],[B/S]]="S","SELL"," ")))</f>
        <v>BUY</v>
      </c>
      <c r="J945" s="101" t="s">
        <v>1229</v>
      </c>
      <c r="K945" s="102">
        <v>50000</v>
      </c>
      <c r="L945" s="88"/>
      <c r="M945" s="103">
        <f>LS[[#This Row],[Amount]]/LS[[#This Row],[Unit]]</f>
        <v>12.342631449024932</v>
      </c>
      <c r="N945" s="104">
        <f>LS[[#This Row],[Unit Capital]]/10</f>
        <v>4051</v>
      </c>
      <c r="O945" s="104">
        <f>SUMIFS(LS[[#Headers],[Unit]]:LS[[#This Row],[Unit]],LS[[#Headers],[Investor ID]]:LS[[#This Row],[Investor ID]],LS[[#This Row],[Investor ID]])</f>
        <v>54958</v>
      </c>
      <c r="P945" s="102">
        <v>40510</v>
      </c>
      <c r="Q945" s="102">
        <f>LS[[#This Row],[Amount]]-LS[[#This Row],[Unit Capital]]</f>
        <v>9490</v>
      </c>
      <c r="R9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12.373084901197279</v>
      </c>
      <c r="S945" s="103">
        <f t="shared" si="14"/>
        <v>14.224</v>
      </c>
      <c r="T94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5" s="102" cm="1">
        <f t="array" ref="U945">IF(LS[[#This Row],[B/S]]="S",ABS(LS[[#This Row],[Unit]])*(INDEX(LS[NAV at Cost (Average)],MATCH(CONCATENATE((LS[[#This Row],[Frequency]]-1),LS[[#This Row],[Investor ID]]),LS[Unique Code],0),0)),0)</f>
        <v>0</v>
      </c>
      <c r="V945" s="102">
        <f>IF(LS[[#This Row],[BO TRANSFER]]="YES",LS[[#This Row],[Unit]],)</f>
        <v>0</v>
      </c>
      <c r="W945" s="102">
        <f>SUMIFS(LS[[#Headers],[BO UNIT TRANSFER]]:LS[[#This Row],[BO UNIT TRANSFER]],LS[[#Headers],[Investor ID]]:LS[[#This Row],[Investor ID]],LS[[#This Row],[Investor ID]])</f>
        <v>0</v>
      </c>
    </row>
    <row r="946" spans="1:23">
      <c r="A946" s="101">
        <v>2025</v>
      </c>
      <c r="B946" s="101">
        <v>4</v>
      </c>
      <c r="C946" s="101">
        <v>24</v>
      </c>
      <c r="D946" s="98">
        <f>DATE(LS[[#This Row],[Year]],LS[[#This Row],[Month]],LS[[#This Row],[Day]])</f>
        <v>45771</v>
      </c>
      <c r="E946" s="99" t="str" cm="1">
        <f t="array" ref="E946">INDEX(INVESTORS_LIST[INVESTOR NAME],MATCH(LS[[#This Row],[Investor ID]],INVESTORS_LIST[INVESTOR CODE],0),)</f>
        <v>MAHFUZUL ISLAM &amp; HUMAIRA TABASSUM READDHE</v>
      </c>
      <c r="F946" s="100" t="s">
        <v>1315</v>
      </c>
      <c r="G946" s="101">
        <f>COUNTIF(LS[[#Headers],[Investor ID]]:LS[[#This Row],[Investor ID]],LS[[#This Row],[Investor ID]])</f>
        <v>2</v>
      </c>
      <c r="H946" s="101" t="str">
        <f>CONCATENATE(LS[[#This Row],[Frequency]],LS[[#This Row],[Investor ID]])</f>
        <v>2A00605</v>
      </c>
      <c r="I946" s="75" t="str">
        <f>IF(LS[[#This Row],[B/S]]="B","BUY",(IF(LS[[#This Row],[B/S]]="S","SELL"," ")))</f>
        <v>BUY</v>
      </c>
      <c r="J946" s="101" t="s">
        <v>1229</v>
      </c>
      <c r="K946" s="102">
        <v>72560</v>
      </c>
      <c r="L946" s="99"/>
      <c r="M946" s="103">
        <f>LS[[#This Row],[Amount]]/LS[[#This Row],[Unit]]</f>
        <v>12.344334807757742</v>
      </c>
      <c r="N946" s="104">
        <f>LS[[#This Row],[Unit Capital]]/10</f>
        <v>5878</v>
      </c>
      <c r="O946" s="104">
        <f>SUMIFS(LS[[#Headers],[Unit]]:LS[[#This Row],[Unit]],LS[[#Headers],[Investor ID]]:LS[[#This Row],[Investor ID]],LS[[#This Row],[Investor ID]])</f>
        <v>7306</v>
      </c>
      <c r="P946" s="102">
        <v>58780</v>
      </c>
      <c r="Q946" s="102">
        <f>LS[[#This Row],[Amount]]-LS[[#This Row],[Unit Capital]]</f>
        <v>13780</v>
      </c>
      <c r="R9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12.414453873528606</v>
      </c>
      <c r="S946" s="103">
        <f t="shared" si="14"/>
        <v>14.224</v>
      </c>
      <c r="T9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6" s="102" cm="1">
        <f t="array" ref="U946">IF(LS[[#This Row],[B/S]]="S",ABS(LS[[#This Row],[Unit]])*(INDEX(LS[NAV at Cost (Average)],MATCH(CONCATENATE((LS[[#This Row],[Frequency]]-1),LS[[#This Row],[Investor ID]]),LS[Unique Code],0),0)),0)</f>
        <v>0</v>
      </c>
      <c r="V946" s="102">
        <f>IF(LS[[#This Row],[BO TRANSFER]]="YES",LS[[#This Row],[Unit]],)</f>
        <v>0</v>
      </c>
      <c r="W946" s="102">
        <f>SUMIFS(LS[[#Headers],[BO UNIT TRANSFER]]:LS[[#This Row],[BO UNIT TRANSFER]],LS[[#Headers],[Investor ID]]:LS[[#This Row],[Investor ID]],LS[[#This Row],[Investor ID]])</f>
        <v>0</v>
      </c>
    </row>
    <row r="947" spans="1:23">
      <c r="A947" s="101">
        <v>2025</v>
      </c>
      <c r="B947" s="101">
        <v>4</v>
      </c>
      <c r="C947" s="101">
        <v>27</v>
      </c>
      <c r="D947" s="98">
        <f>DATE(LS[[#This Row],[Year]],LS[[#This Row],[Month]],LS[[#This Row],[Day]])</f>
        <v>45774</v>
      </c>
      <c r="E947" s="99" t="str" cm="1">
        <f t="array" ref="E947">INDEX(INVESTORS_LIST[INVESTOR NAME],MATCH(LS[[#This Row],[Investor ID]],INVESTORS_LIST[INVESTOR CODE],0),)</f>
        <v>TRIPTI BARUA</v>
      </c>
      <c r="F947" s="100" t="s">
        <v>384</v>
      </c>
      <c r="G947" s="101">
        <f>COUNTIF(LS[[#Headers],[Investor ID]]:LS[[#This Row],[Investor ID]],LS[[#This Row],[Investor ID]])</f>
        <v>5</v>
      </c>
      <c r="H947" s="101" t="str">
        <f>CONCATENATE(LS[[#This Row],[Frequency]],LS[[#This Row],[Investor ID]])</f>
        <v>5A00168</v>
      </c>
      <c r="I947" s="75" t="str">
        <f>IF(LS[[#This Row],[B/S]]="B","BUY",(IF(LS[[#This Row],[B/S]]="S","SELL"," ")))</f>
        <v>SELL</v>
      </c>
      <c r="J947" s="101" t="s">
        <v>1231</v>
      </c>
      <c r="K947" s="102">
        <v>-281376.03999999998</v>
      </c>
      <c r="L947" s="99"/>
      <c r="M947" s="103">
        <f>LS[[#This Row],[Amount]]/LS[[#This Row],[Unit]]</f>
        <v>12.38778022365061</v>
      </c>
      <c r="N947" s="104">
        <f>LS[[#This Row],[Unit Capital]]/10</f>
        <v>-22714</v>
      </c>
      <c r="O947" s="104">
        <f>SUMIFS(LS[[#Headers],[Unit]]:LS[[#This Row],[Unit]],LS[[#Headers],[Investor ID]]:LS[[#This Row],[Investor ID]],LS[[#This Row],[Investor ID]])</f>
        <v>403616</v>
      </c>
      <c r="P947" s="102">
        <v>-227140</v>
      </c>
      <c r="Q947" s="102">
        <f>LS[[#This Row],[Amount]]-LS[[#This Row],[Unit Capital]]</f>
        <v>-54236.039999999979</v>
      </c>
      <c r="R9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11.082002384846914</v>
      </c>
      <c r="S947" s="103">
        <f t="shared" si="14"/>
        <v>14.224</v>
      </c>
      <c r="T947" s="102">
        <f>IF(LS[[#This Row],[B/S]]="B",0,ABS(LS[[#This Row],[Unit]])*(LS[[#This Row],[NAV (Strike Rate)]]-INDEX(LS[NAV at Cost (Average)],MATCH(CONCATENATE(LS[[#This Row],[Frequency]]-1,LS[[#This Row],[Investor ID]]),LS[Unique Code],0),)))</f>
        <v>29659.437830587147</v>
      </c>
      <c r="U947" s="102" cm="1">
        <f t="array" ref="U947">IF(LS[[#This Row],[B/S]]="S",ABS(LS[[#This Row],[Unit]])*(INDEX(LS[NAV at Cost (Average)],MATCH(CONCATENATE((LS[[#This Row],[Frequency]]-1),LS[[#This Row],[Investor ID]]),LS[Unique Code],0),0)),0)</f>
        <v>251716.60216941283</v>
      </c>
      <c r="V947" s="102">
        <f>IF(LS[[#This Row],[BO TRANSFER]]="YES",LS[[#This Row],[Unit]],)</f>
        <v>0</v>
      </c>
      <c r="W947" s="102">
        <f>SUMIFS(LS[[#Headers],[BO UNIT TRANSFER]]:LS[[#This Row],[BO UNIT TRANSFER]],LS[[#Headers],[Investor ID]]:LS[[#This Row],[Investor ID]],LS[[#This Row],[Investor ID]])</f>
        <v>0</v>
      </c>
    </row>
    <row r="948" spans="1:23">
      <c r="A948" s="101">
        <v>2025</v>
      </c>
      <c r="B948" s="101">
        <v>4</v>
      </c>
      <c r="C948" s="101">
        <v>27</v>
      </c>
      <c r="D948" s="98">
        <f>DATE(LS[[#This Row],[Year]],LS[[#This Row],[Month]],LS[[#This Row],[Day]])</f>
        <v>45774</v>
      </c>
      <c r="E948" s="99" t="str" cm="1">
        <f t="array" ref="E948">INDEX(INVESTORS_LIST[INVESTOR NAME],MATCH(LS[[#This Row],[Investor ID]],INVESTORS_LIST[INVESTOR CODE],0),)</f>
        <v>MAYA RANI SAHA</v>
      </c>
      <c r="F948" s="100" t="s">
        <v>224</v>
      </c>
      <c r="G948" s="101">
        <f>COUNTIF(LS[[#Headers],[Investor ID]]:LS[[#This Row],[Investor ID]],LS[[#This Row],[Investor ID]])</f>
        <v>17</v>
      </c>
      <c r="H948" s="101" t="str">
        <f>CONCATENATE(LS[[#This Row],[Frequency]],LS[[#This Row],[Investor ID]])</f>
        <v>17A00088</v>
      </c>
      <c r="I948" s="75" t="str">
        <f>IF(LS[[#This Row],[B/S]]="B","BUY",(IF(LS[[#This Row],[B/S]]="S","SELL"," ")))</f>
        <v>SELL</v>
      </c>
      <c r="J948" s="101" t="s">
        <v>1231</v>
      </c>
      <c r="K948" s="102">
        <v>-1000000</v>
      </c>
      <c r="L948" s="99"/>
      <c r="M948" s="103">
        <f>LS[[#This Row],[Amount]]/LS[[#This Row],[Unit]]</f>
        <v>12.220009042806693</v>
      </c>
      <c r="N948" s="104">
        <f>LS[[#This Row],[Unit Capital]]/10</f>
        <v>-81833</v>
      </c>
      <c r="O948" s="104">
        <f>SUMIFS(LS[[#Headers],[Unit]]:LS[[#This Row],[Unit]],LS[[#Headers],[Investor ID]]:LS[[#This Row],[Investor ID]],LS[[#This Row],[Investor ID]])</f>
        <v>415080</v>
      </c>
      <c r="P948" s="102">
        <v>-818330</v>
      </c>
      <c r="Q948" s="102">
        <f>LS[[#This Row],[Amount]]-LS[[#This Row],[Unit Capital]]</f>
        <v>-181670</v>
      </c>
      <c r="R9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10.670726930850083</v>
      </c>
      <c r="S948" s="103">
        <f t="shared" si="14"/>
        <v>14.224</v>
      </c>
      <c r="T948" s="102">
        <f>IF(LS[[#This Row],[B/S]]="B",0,ABS(LS[[#This Row],[Unit]])*(LS[[#This Row],[NAV (Strike Rate)]]-INDEX(LS[NAV at Cost (Average)],MATCH(CONCATENATE(LS[[#This Row],[Frequency]]-1,LS[[#This Row],[Investor ID]]),LS[Unique Code],0),)))</f>
        <v>126782.4030677452</v>
      </c>
      <c r="U948" s="102" cm="1">
        <f t="array" ref="U948">IF(LS[[#This Row],[B/S]]="S",ABS(LS[[#This Row],[Unit]])*(INDEX(LS[NAV at Cost (Average)],MATCH(CONCATENATE((LS[[#This Row],[Frequency]]-1),LS[[#This Row],[Investor ID]]),LS[Unique Code],0),0)),0)</f>
        <v>873217.59693225485</v>
      </c>
      <c r="V948" s="102">
        <f>IF(LS[[#This Row],[BO TRANSFER]]="YES",LS[[#This Row],[Unit]],)</f>
        <v>0</v>
      </c>
      <c r="W948" s="102">
        <f>SUMIFS(LS[[#Headers],[BO UNIT TRANSFER]]:LS[[#This Row],[BO UNIT TRANSFER]],LS[[#Headers],[Investor ID]]:LS[[#This Row],[Investor ID]],LS[[#This Row],[Investor ID]])</f>
        <v>0</v>
      </c>
    </row>
    <row r="949" spans="1:23">
      <c r="A949" s="101">
        <v>2025</v>
      </c>
      <c r="B949" s="101">
        <v>4</v>
      </c>
      <c r="C949" s="101">
        <v>28</v>
      </c>
      <c r="D949" s="98">
        <f>DATE(LS[[#This Row],[Year]],LS[[#This Row],[Month]],LS[[#This Row],[Day]])</f>
        <v>45775</v>
      </c>
      <c r="E949" s="99" t="str" cm="1">
        <f t="array" ref="E949">INDEX(INVESTORS_LIST[INVESTOR NAME],MATCH(LS[[#This Row],[Investor ID]],INVESTORS_LIST[INVESTOR CODE],0),)</f>
        <v>FARZANA JITU</v>
      </c>
      <c r="F949" s="100" t="s">
        <v>968</v>
      </c>
      <c r="G949" s="101">
        <f>COUNTIF(LS[[#Headers],[Investor ID]]:LS[[#This Row],[Investor ID]],LS[[#This Row],[Investor ID]])</f>
        <v>28</v>
      </c>
      <c r="H949" s="101" t="str">
        <f>CONCATENATE(LS[[#This Row],[Frequency]],LS[[#This Row],[Investor ID]])</f>
        <v>28A00461</v>
      </c>
      <c r="I949" s="75" t="str">
        <f>IF(LS[[#This Row],[B/S]]="B","BUY",(IF(LS[[#This Row],[B/S]]="S","SELL"," ")))</f>
        <v>BUY</v>
      </c>
      <c r="J949" s="101" t="s">
        <v>1229</v>
      </c>
      <c r="K949" s="102">
        <v>300000</v>
      </c>
      <c r="L949" s="88"/>
      <c r="M949" s="103">
        <f>LS[[#This Row],[Amount]]/LS[[#This Row],[Unit]]</f>
        <v>12.335019119279634</v>
      </c>
      <c r="N949" s="104">
        <f>LS[[#This Row],[Unit Capital]]/10</f>
        <v>24321</v>
      </c>
      <c r="O949" s="104">
        <f>SUMIFS(LS[[#Headers],[Unit]]:LS[[#This Row],[Unit]],LS[[#Headers],[Investor ID]]:LS[[#This Row],[Investor ID]],LS[[#This Row],[Investor ID]])</f>
        <v>79279</v>
      </c>
      <c r="P949" s="102">
        <v>243210</v>
      </c>
      <c r="Q949" s="102">
        <f>LS[[#This Row],[Amount]]-LS[[#This Row],[Unit Capital]]</f>
        <v>56790</v>
      </c>
      <c r="R9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12.361407182229847</v>
      </c>
      <c r="S949" s="103">
        <f t="shared" si="14"/>
        <v>14.224</v>
      </c>
      <c r="T9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49" s="102" cm="1">
        <f t="array" ref="U949">IF(LS[[#This Row],[B/S]]="S",ABS(LS[[#This Row],[Unit]])*(INDEX(LS[NAV at Cost (Average)],MATCH(CONCATENATE((LS[[#This Row],[Frequency]]-1),LS[[#This Row],[Investor ID]]),LS[Unique Code],0),0)),0)</f>
        <v>0</v>
      </c>
      <c r="V949" s="102">
        <f>IF(LS[[#This Row],[BO TRANSFER]]="YES",LS[[#This Row],[Unit]],)</f>
        <v>0</v>
      </c>
      <c r="W949" s="102">
        <f>SUMIFS(LS[[#Headers],[BO UNIT TRANSFER]]:LS[[#This Row],[BO UNIT TRANSFER]],LS[[#Headers],[Investor ID]]:LS[[#This Row],[Investor ID]],LS[[#This Row],[Investor ID]])</f>
        <v>0</v>
      </c>
    </row>
    <row r="950" spans="1:23">
      <c r="A950" s="101">
        <v>2025</v>
      </c>
      <c r="B950" s="101">
        <v>4</v>
      </c>
      <c r="C950" s="101">
        <v>28</v>
      </c>
      <c r="D950" s="98">
        <f>DATE(LS[[#This Row],[Year]],LS[[#This Row],[Month]],LS[[#This Row],[Day]])</f>
        <v>45775</v>
      </c>
      <c r="E950" s="99" t="str" cm="1">
        <f t="array" ref="E950">INDEX(INVESTORS_LIST[INVESTOR NAME],MATCH(LS[[#This Row],[Investor ID]],INVESTORS_LIST[INVESTOR CODE],0),)</f>
        <v>FARZANA JITU</v>
      </c>
      <c r="F950" s="100" t="s">
        <v>968</v>
      </c>
      <c r="G950" s="101">
        <f>COUNTIF(LS[[#Headers],[Investor ID]]:LS[[#This Row],[Investor ID]],LS[[#This Row],[Investor ID]])</f>
        <v>29</v>
      </c>
      <c r="H950" s="101" t="str">
        <f>CONCATENATE(LS[[#This Row],[Frequency]],LS[[#This Row],[Investor ID]])</f>
        <v>29A00461</v>
      </c>
      <c r="I950" s="75" t="str">
        <f>IF(LS[[#This Row],[B/S]]="B","BUY",(IF(LS[[#This Row],[B/S]]="S","SELL"," ")))</f>
        <v>BUY</v>
      </c>
      <c r="J950" s="101" t="s">
        <v>1229</v>
      </c>
      <c r="K950" s="102">
        <v>160000</v>
      </c>
      <c r="L950" s="88"/>
      <c r="M950" s="103">
        <f>LS[[#This Row],[Amount]]/LS[[#This Row],[Unit]]</f>
        <v>12.335209313083032</v>
      </c>
      <c r="N950" s="104">
        <f>LS[[#This Row],[Unit Capital]]/10</f>
        <v>12971</v>
      </c>
      <c r="O950" s="104">
        <f>SUMIFS(LS[[#Headers],[Unit]]:LS[[#This Row],[Unit]],LS[[#Headers],[Investor ID]]:LS[[#This Row],[Investor ID]],LS[[#This Row],[Investor ID]])</f>
        <v>92250</v>
      </c>
      <c r="P950" s="102">
        <v>129710</v>
      </c>
      <c r="Q950" s="102">
        <f>LS[[#This Row],[Amount]]-LS[[#This Row],[Unit Capital]]</f>
        <v>30290</v>
      </c>
      <c r="R9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12.357723577235774</v>
      </c>
      <c r="S950" s="103">
        <f t="shared" si="14"/>
        <v>14.224</v>
      </c>
      <c r="T9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0" s="102" cm="1">
        <f t="array" ref="U950">IF(LS[[#This Row],[B/S]]="S",ABS(LS[[#This Row],[Unit]])*(INDEX(LS[NAV at Cost (Average)],MATCH(CONCATENATE((LS[[#This Row],[Frequency]]-1),LS[[#This Row],[Investor ID]]),LS[Unique Code],0),0)),0)</f>
        <v>0</v>
      </c>
      <c r="V950" s="102">
        <f>IF(LS[[#This Row],[BO TRANSFER]]="YES",LS[[#This Row],[Unit]],)</f>
        <v>0</v>
      </c>
      <c r="W950" s="102">
        <f>SUMIFS(LS[[#Headers],[BO UNIT TRANSFER]]:LS[[#This Row],[BO UNIT TRANSFER]],LS[[#Headers],[Investor ID]]:LS[[#This Row],[Investor ID]],LS[[#This Row],[Investor ID]])</f>
        <v>0</v>
      </c>
    </row>
    <row r="951" spans="1:23">
      <c r="A951" s="101">
        <v>2025</v>
      </c>
      <c r="B951" s="101">
        <v>4</v>
      </c>
      <c r="C951" s="101">
        <v>28</v>
      </c>
      <c r="D951" s="98">
        <f>DATE(LS[[#This Row],[Year]],LS[[#This Row],[Month]],LS[[#This Row],[Day]])</f>
        <v>45775</v>
      </c>
      <c r="E951" s="99" t="str" cm="1">
        <f t="array" ref="E951">INDEX(INVESTORS_LIST[INVESTOR NAME],MATCH(LS[[#This Row],[Investor ID]],INVESTORS_LIST[INVESTOR CODE],0),)</f>
        <v>NAZNIN AKTER</v>
      </c>
      <c r="F951" s="100" t="s">
        <v>459</v>
      </c>
      <c r="G951" s="101">
        <f>COUNTIF(LS[[#Headers],[Investor ID]]:LS[[#This Row],[Investor ID]],LS[[#This Row],[Investor ID]])</f>
        <v>1</v>
      </c>
      <c r="H951" s="101" t="str">
        <f>CONCATENATE(LS[[#This Row],[Frequency]],LS[[#This Row],[Investor ID]])</f>
        <v>1A00205</v>
      </c>
      <c r="I951" s="75" t="str">
        <f>IF(LS[[#This Row],[B/S]]="B","BUY",(IF(LS[[#This Row],[B/S]]="S","SELL"," ")))</f>
        <v>BUY</v>
      </c>
      <c r="J951" s="101" t="s">
        <v>1229</v>
      </c>
      <c r="K951" s="102">
        <v>500000</v>
      </c>
      <c r="L951" s="99"/>
      <c r="M951" s="103">
        <f>LS[[#This Row],[Amount]]/LS[[#This Row],[Unit]]</f>
        <v>12.335019119279634</v>
      </c>
      <c r="N951" s="104">
        <f>LS[[#This Row],[Unit Capital]]/10</f>
        <v>40535</v>
      </c>
      <c r="O951" s="104">
        <f>SUMIFS(LS[[#Headers],[Unit]]:LS[[#This Row],[Unit]],LS[[#Headers],[Investor ID]]:LS[[#This Row],[Investor ID]],LS[[#This Row],[Investor ID]])</f>
        <v>40535</v>
      </c>
      <c r="P951" s="102">
        <v>405350</v>
      </c>
      <c r="Q951" s="102">
        <f>LS[[#This Row],[Amount]]-LS[[#This Row],[Unit Capital]]</f>
        <v>94650</v>
      </c>
      <c r="R9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12.335019119279634</v>
      </c>
      <c r="S951" s="103">
        <f t="shared" si="14"/>
        <v>14.224</v>
      </c>
      <c r="T9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1" s="102" cm="1">
        <f t="array" ref="U951">IF(LS[[#This Row],[B/S]]="S",ABS(LS[[#This Row],[Unit]])*(INDEX(LS[NAV at Cost (Average)],MATCH(CONCATENATE((LS[[#This Row],[Frequency]]-1),LS[[#This Row],[Investor ID]]),LS[Unique Code],0),0)),0)</f>
        <v>0</v>
      </c>
      <c r="V951" s="102">
        <f>IF(LS[[#This Row],[BO TRANSFER]]="YES",LS[[#This Row],[Unit]],)</f>
        <v>0</v>
      </c>
      <c r="W951" s="102">
        <f>SUMIFS(LS[[#Headers],[BO UNIT TRANSFER]]:LS[[#This Row],[BO UNIT TRANSFER]],LS[[#Headers],[Investor ID]]:LS[[#This Row],[Investor ID]],LS[[#This Row],[Investor ID]])</f>
        <v>0</v>
      </c>
    </row>
    <row r="952" spans="1:23">
      <c r="A952" s="101">
        <v>2025</v>
      </c>
      <c r="B952" s="101">
        <v>4</v>
      </c>
      <c r="C952" s="101">
        <v>30</v>
      </c>
      <c r="D952" s="98">
        <f>DATE(LS[[#This Row],[Year]],LS[[#This Row],[Month]],LS[[#This Row],[Day]])</f>
        <v>45777</v>
      </c>
      <c r="E952" s="99" t="str" cm="1">
        <f t="array" ref="E952">INDEX(INVESTORS_LIST[INVESTOR NAME],MATCH(LS[[#This Row],[Investor ID]],INVESTORS_LIST[INVESTOR CODE],0),)</f>
        <v>MD. RASEL RANA</v>
      </c>
      <c r="F952" s="100" t="s">
        <v>1324</v>
      </c>
      <c r="G952" s="101">
        <f>COUNTIF(LS[[#Headers],[Investor ID]]:LS[[#This Row],[Investor ID]],LS[[#This Row],[Investor ID]])</f>
        <v>1</v>
      </c>
      <c r="H952" s="101" t="str">
        <f>CONCATENATE(LS[[#This Row],[Frequency]],LS[[#This Row],[Investor ID]])</f>
        <v>1A00609</v>
      </c>
      <c r="I952" s="75" t="str">
        <f>IF(LS[[#This Row],[B/S]]="B","BUY",(IF(LS[[#This Row],[B/S]]="S","SELL"," ")))</f>
        <v>BUY</v>
      </c>
      <c r="J952" s="101" t="s">
        <v>1229</v>
      </c>
      <c r="K952" s="102">
        <v>50000</v>
      </c>
      <c r="L952" s="99"/>
      <c r="M952" s="103">
        <f>LS[[#This Row],[Amount]]/LS[[#This Row],[Unit]]</f>
        <v>12.333497779970399</v>
      </c>
      <c r="N952" s="104">
        <f>LS[[#This Row],[Unit Capital]]/10</f>
        <v>4054</v>
      </c>
      <c r="O952" s="104">
        <f>SUMIFS(LS[[#Headers],[Unit]]:LS[[#This Row],[Unit]],LS[[#Headers],[Investor ID]]:LS[[#This Row],[Investor ID]],LS[[#This Row],[Investor ID]])</f>
        <v>4054</v>
      </c>
      <c r="P952" s="102">
        <v>40540</v>
      </c>
      <c r="Q952" s="102">
        <f>LS[[#This Row],[Amount]]-LS[[#This Row],[Unit Capital]]</f>
        <v>9460</v>
      </c>
      <c r="R9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12.333497779970399</v>
      </c>
      <c r="S952" s="103">
        <f t="shared" si="14"/>
        <v>14.224</v>
      </c>
      <c r="T95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2" s="102" cm="1">
        <f t="array" ref="U952">IF(LS[[#This Row],[B/S]]="S",ABS(LS[[#This Row],[Unit]])*(INDEX(LS[NAV at Cost (Average)],MATCH(CONCATENATE((LS[[#This Row],[Frequency]]-1),LS[[#This Row],[Investor ID]]),LS[Unique Code],0),0)),0)</f>
        <v>0</v>
      </c>
      <c r="V952" s="102">
        <f>IF(LS[[#This Row],[BO TRANSFER]]="YES",LS[[#This Row],[Unit]],)</f>
        <v>0</v>
      </c>
      <c r="W952" s="102">
        <f>SUMIFS(LS[[#Headers],[BO UNIT TRANSFER]]:LS[[#This Row],[BO UNIT TRANSFER]],LS[[#Headers],[Investor ID]]:LS[[#This Row],[Investor ID]],LS[[#This Row],[Investor ID]])</f>
        <v>0</v>
      </c>
    </row>
    <row r="953" spans="1:23">
      <c r="A953" s="101">
        <v>2025</v>
      </c>
      <c r="B953" s="101">
        <v>5</v>
      </c>
      <c r="C953" s="101">
        <v>3</v>
      </c>
      <c r="D953" s="98">
        <f>DATE(LS[[#This Row],[Year]],LS[[#This Row],[Month]],LS[[#This Row],[Day]])</f>
        <v>45780</v>
      </c>
      <c r="E953" s="99" t="str" cm="1">
        <f t="array" ref="E953">INDEX(INVESTORS_LIST[INVESTOR NAME],MATCH(LS[[#This Row],[Investor ID]],INVESTORS_LIST[INVESTOR CODE],0),)</f>
        <v>ASHIK SHOBHAN</v>
      </c>
      <c r="F953" s="100" t="s">
        <v>1327</v>
      </c>
      <c r="G953" s="101">
        <f>COUNTIF(LS[[#Headers],[Investor ID]]:LS[[#This Row],[Investor ID]],LS[[#This Row],[Investor ID]])</f>
        <v>1</v>
      </c>
      <c r="H953" s="101" t="str">
        <f>CONCATENATE(LS[[#This Row],[Frequency]],LS[[#This Row],[Investor ID]])</f>
        <v>1A00610</v>
      </c>
      <c r="I953" s="75" t="str">
        <f>IF(LS[[#This Row],[B/S]]="B","BUY",(IF(LS[[#This Row],[B/S]]="S","SELL"," ")))</f>
        <v>BUY</v>
      </c>
      <c r="J953" s="101" t="s">
        <v>1229</v>
      </c>
      <c r="K953" s="102">
        <v>500000</v>
      </c>
      <c r="L953" s="99"/>
      <c r="M953" s="103">
        <f>LS[[#This Row],[Amount]]/LS[[#This Row],[Unit]]</f>
        <v>12.40110121778814</v>
      </c>
      <c r="N953" s="104">
        <f>LS[[#This Row],[Unit Capital]]/10</f>
        <v>40319</v>
      </c>
      <c r="O953" s="104">
        <f>SUMIFS(LS[[#Headers],[Unit]]:LS[[#This Row],[Unit]],LS[[#Headers],[Investor ID]]:LS[[#This Row],[Investor ID]],LS[[#This Row],[Investor ID]])</f>
        <v>40319</v>
      </c>
      <c r="P953" s="102">
        <v>403190</v>
      </c>
      <c r="Q953" s="102">
        <f>LS[[#This Row],[Amount]]-LS[[#This Row],[Unit Capital]]</f>
        <v>96810</v>
      </c>
      <c r="R9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12.40110121778814</v>
      </c>
      <c r="S953" s="103">
        <f t="shared" si="14"/>
        <v>14.224</v>
      </c>
      <c r="T95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3" s="102" cm="1">
        <f t="array" ref="U953">IF(LS[[#This Row],[B/S]]="S",ABS(LS[[#This Row],[Unit]])*(INDEX(LS[NAV at Cost (Average)],MATCH(CONCATENATE((LS[[#This Row],[Frequency]]-1),LS[[#This Row],[Investor ID]]),LS[Unique Code],0),0)),0)</f>
        <v>0</v>
      </c>
      <c r="V953" s="102">
        <f>IF(LS[[#This Row],[BO TRANSFER]]="YES",LS[[#This Row],[Unit]],)</f>
        <v>0</v>
      </c>
      <c r="W953" s="102">
        <f>SUMIFS(LS[[#Headers],[BO UNIT TRANSFER]]:LS[[#This Row],[BO UNIT TRANSFER]],LS[[#Headers],[Investor ID]]:LS[[#This Row],[Investor ID]],LS[[#This Row],[Investor ID]])</f>
        <v>0</v>
      </c>
    </row>
    <row r="954" spans="1:23">
      <c r="A954" s="101">
        <v>2025</v>
      </c>
      <c r="B954" s="101">
        <v>5</v>
      </c>
      <c r="C954" s="101">
        <v>4</v>
      </c>
      <c r="D954" s="98">
        <f>DATE(LS[[#This Row],[Year]],LS[[#This Row],[Month]],LS[[#This Row],[Day]])</f>
        <v>45781</v>
      </c>
      <c r="E954" s="99" t="str" cm="1">
        <f t="array" ref="E954">INDEX(INVESTORS_LIST[INVESTOR NAME],MATCH(LS[[#This Row],[Investor ID]],INVESTORS_LIST[INVESTOR CODE],0),)</f>
        <v>ARIFUR RAHMAN</v>
      </c>
      <c r="F954" s="100" t="s">
        <v>278</v>
      </c>
      <c r="G954" s="101">
        <f>COUNTIF(LS[[#Headers],[Investor ID]]:LS[[#This Row],[Investor ID]],LS[[#This Row],[Investor ID]])</f>
        <v>9</v>
      </c>
      <c r="H954" s="101" t="str">
        <f>CONCATENATE(LS[[#This Row],[Frequency]],LS[[#This Row],[Investor ID]])</f>
        <v>9A00115</v>
      </c>
      <c r="I954" s="75" t="str">
        <f>IF(LS[[#This Row],[B/S]]="B","BUY",(IF(LS[[#This Row],[B/S]]="S","SELL"," ")))</f>
        <v>BUY</v>
      </c>
      <c r="J954" s="101" t="s">
        <v>1229</v>
      </c>
      <c r="K954" s="102">
        <v>30000</v>
      </c>
      <c r="L954" s="99"/>
      <c r="M954" s="103">
        <f>LS[[#This Row],[Amount]]/LS[[#This Row],[Unit]]</f>
        <v>12.401818933443572</v>
      </c>
      <c r="N954" s="104">
        <f>LS[[#This Row],[Unit Capital]]/10</f>
        <v>2419</v>
      </c>
      <c r="O954" s="104">
        <f>SUMIFS(LS[[#Headers],[Unit]]:LS[[#This Row],[Unit]],LS[[#Headers],[Investor ID]]:LS[[#This Row],[Investor ID]],LS[[#This Row],[Investor ID]])</f>
        <v>32419</v>
      </c>
      <c r="P954" s="102">
        <v>24190</v>
      </c>
      <c r="Q954" s="102">
        <f>LS[[#This Row],[Amount]]-LS[[#This Row],[Unit Capital]]</f>
        <v>5810</v>
      </c>
      <c r="R9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11.077730261408927</v>
      </c>
      <c r="S954" s="103">
        <f t="shared" si="14"/>
        <v>14.224</v>
      </c>
      <c r="T9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4" s="102" cm="1">
        <f t="array" ref="U954">IF(LS[[#This Row],[B/S]]="S",ABS(LS[[#This Row],[Unit]])*(INDEX(LS[NAV at Cost (Average)],MATCH(CONCATENATE((LS[[#This Row],[Frequency]]-1),LS[[#This Row],[Investor ID]]),LS[Unique Code],0),0)),0)</f>
        <v>0</v>
      </c>
      <c r="V954" s="102">
        <f>IF(LS[[#This Row],[BO TRANSFER]]="YES",LS[[#This Row],[Unit]],)</f>
        <v>0</v>
      </c>
      <c r="W954" s="102">
        <f>SUMIFS(LS[[#Headers],[BO UNIT TRANSFER]]:LS[[#This Row],[BO UNIT TRANSFER]],LS[[#Headers],[Investor ID]]:LS[[#This Row],[Investor ID]],LS[[#This Row],[Investor ID]])</f>
        <v>0</v>
      </c>
    </row>
    <row r="955" spans="1:23">
      <c r="A955" s="101">
        <v>2025</v>
      </c>
      <c r="B955" s="101">
        <v>5</v>
      </c>
      <c r="C955" s="101">
        <v>7</v>
      </c>
      <c r="D955" s="98">
        <f>DATE(LS[[#This Row],[Year]],LS[[#This Row],[Month]],LS[[#This Row],[Day]])</f>
        <v>45784</v>
      </c>
      <c r="E955" s="99" t="str" cm="1">
        <f t="array" ref="E955">INDEX(INVESTORS_LIST[INVESTOR NAME],MATCH(LS[[#This Row],[Investor ID]],INVESTORS_LIST[INVESTOR CODE],0),)</f>
        <v>RUMA AKTER</v>
      </c>
      <c r="F955" s="100" t="s">
        <v>1323</v>
      </c>
      <c r="G955" s="101">
        <f>COUNTIF(LS[[#Headers],[Investor ID]]:LS[[#This Row],[Investor ID]],LS[[#This Row],[Investor ID]])</f>
        <v>1</v>
      </c>
      <c r="H955" s="101" t="str">
        <f>CONCATENATE(LS[[#This Row],[Frequency]],LS[[#This Row],[Investor ID]])</f>
        <v>1A00608</v>
      </c>
      <c r="I955" s="75" t="str">
        <f>IF(LS[[#This Row],[B/S]]="B","BUY",(IF(LS[[#This Row],[B/S]]="S","SELL"," ")))</f>
        <v>BUY</v>
      </c>
      <c r="J955" s="101" t="s">
        <v>1229</v>
      </c>
      <c r="K955" s="102">
        <v>10000</v>
      </c>
      <c r="L955" s="99"/>
      <c r="M955" s="103">
        <f>LS[[#This Row],[Amount]]/LS[[#This Row],[Unit]]</f>
        <v>12.406947890818859</v>
      </c>
      <c r="N955" s="104">
        <f>LS[[#This Row],[Unit Capital]]/10</f>
        <v>806</v>
      </c>
      <c r="O955" s="104">
        <f>SUMIFS(LS[[#Headers],[Unit]]:LS[[#This Row],[Unit]],LS[[#Headers],[Investor ID]]:LS[[#This Row],[Investor ID]],LS[[#This Row],[Investor ID]])</f>
        <v>806</v>
      </c>
      <c r="P955" s="102">
        <v>8060</v>
      </c>
      <c r="Q955" s="102">
        <f>LS[[#This Row],[Amount]]-LS[[#This Row],[Unit Capital]]</f>
        <v>1940</v>
      </c>
      <c r="R9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12.406947890818859</v>
      </c>
      <c r="S955" s="103">
        <f t="shared" si="14"/>
        <v>14.224</v>
      </c>
      <c r="T9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5" s="102" cm="1">
        <f t="array" ref="U955">IF(LS[[#This Row],[B/S]]="S",ABS(LS[[#This Row],[Unit]])*(INDEX(LS[NAV at Cost (Average)],MATCH(CONCATENATE((LS[[#This Row],[Frequency]]-1),LS[[#This Row],[Investor ID]]),LS[Unique Code],0),0)),0)</f>
        <v>0</v>
      </c>
      <c r="V955" s="102">
        <f>IF(LS[[#This Row],[BO TRANSFER]]="YES",LS[[#This Row],[Unit]],)</f>
        <v>0</v>
      </c>
      <c r="W955" s="102">
        <f>SUMIFS(LS[[#Headers],[BO UNIT TRANSFER]]:LS[[#This Row],[BO UNIT TRANSFER]],LS[[#Headers],[Investor ID]]:LS[[#This Row],[Investor ID]],LS[[#This Row],[Investor ID]])</f>
        <v>0</v>
      </c>
    </row>
    <row r="956" spans="1:23">
      <c r="A956" s="101">
        <v>2025</v>
      </c>
      <c r="B956" s="101">
        <v>5</v>
      </c>
      <c r="C956" s="101">
        <v>7</v>
      </c>
      <c r="D956" s="98">
        <f>DATE(LS[[#This Row],[Year]],LS[[#This Row],[Month]],LS[[#This Row],[Day]])</f>
        <v>45784</v>
      </c>
      <c r="E956" s="99" t="str" cm="1">
        <f t="array" ref="E956">INDEX(INVESTORS_LIST[INVESTOR NAME],MATCH(LS[[#This Row],[Investor ID]],INVESTORS_LIST[INVESTOR CODE],0),)</f>
        <v>SHAHRIAR MAHMOOD</v>
      </c>
      <c r="F956" s="100" t="s">
        <v>298</v>
      </c>
      <c r="G956" s="101">
        <f>COUNTIF(LS[[#Headers],[Investor ID]]:LS[[#This Row],[Investor ID]],LS[[#This Row],[Investor ID]])</f>
        <v>2</v>
      </c>
      <c r="H956" s="101" t="str">
        <f>CONCATENATE(LS[[#This Row],[Frequency]],LS[[#This Row],[Investor ID]])</f>
        <v>2A00125</v>
      </c>
      <c r="I956" s="75" t="str">
        <f>IF(LS[[#This Row],[B/S]]="B","BUY",(IF(LS[[#This Row],[B/S]]="S","SELL"," ")))</f>
        <v>SELL</v>
      </c>
      <c r="J956" s="101" t="s">
        <v>1231</v>
      </c>
      <c r="K956" s="102">
        <v>-496040</v>
      </c>
      <c r="L956" s="99"/>
      <c r="M956" s="103">
        <f>LS[[#This Row],[Amount]]/LS[[#This Row],[Unit]]</f>
        <v>12.401</v>
      </c>
      <c r="N956" s="104">
        <f>LS[[#This Row],[Unit Capital]]/10</f>
        <v>-40000</v>
      </c>
      <c r="O956" s="104">
        <f>SUMIFS(LS[[#Headers],[Unit]]:LS[[#This Row],[Unit]],LS[[#Headers],[Investor ID]]:LS[[#This Row],[Investor ID]],LS[[#This Row],[Investor ID]])</f>
        <v>0</v>
      </c>
      <c r="P956" s="102">
        <v>-400000</v>
      </c>
      <c r="Q956" s="102">
        <f>LS[[#This Row],[Amount]]-LS[[#This Row],[Unit Capital]]</f>
        <v>-96040</v>
      </c>
      <c r="R9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56" s="103">
        <f t="shared" si="14"/>
        <v>14.224</v>
      </c>
      <c r="T956" s="102">
        <f>IF(LS[[#This Row],[B/S]]="B",0,ABS(LS[[#This Row],[Unit]])*(LS[[#This Row],[NAV (Strike Rate)]]-INDEX(LS[NAV at Cost (Average)],MATCH(CONCATENATE(LS[[#This Row],[Frequency]]-1,LS[[#This Row],[Investor ID]]),LS[Unique Code],0),)))</f>
        <v>96039.999999999985</v>
      </c>
      <c r="U956" s="102" cm="1">
        <f t="array" ref="U956">IF(LS[[#This Row],[B/S]]="S",ABS(LS[[#This Row],[Unit]])*(INDEX(LS[NAV at Cost (Average)],MATCH(CONCATENATE((LS[[#This Row],[Frequency]]-1),LS[[#This Row],[Investor ID]]),LS[Unique Code],0),0)),0)</f>
        <v>400000</v>
      </c>
      <c r="V956" s="102">
        <f>IF(LS[[#This Row],[BO TRANSFER]]="YES",LS[[#This Row],[Unit]],)</f>
        <v>0</v>
      </c>
      <c r="W956" s="102">
        <f>SUMIFS(LS[[#Headers],[BO UNIT TRANSFER]]:LS[[#This Row],[BO UNIT TRANSFER]],LS[[#Headers],[Investor ID]]:LS[[#This Row],[Investor ID]],LS[[#This Row],[Investor ID]])</f>
        <v>0</v>
      </c>
    </row>
    <row r="957" spans="1:23">
      <c r="A957" s="101">
        <v>2025</v>
      </c>
      <c r="B957" s="101">
        <v>5</v>
      </c>
      <c r="C957" s="101">
        <v>7</v>
      </c>
      <c r="D957" s="98">
        <f>DATE(LS[[#This Row],[Year]],LS[[#This Row],[Month]],LS[[#This Row],[Day]])</f>
        <v>45784</v>
      </c>
      <c r="E957" s="99" t="str" cm="1">
        <f t="array" ref="E957">INDEX(INVESTORS_LIST[INVESTOR NAME],MATCH(LS[[#This Row],[Investor ID]],INVESTORS_LIST[INVESTOR CODE],0),)</f>
        <v>TRIDHARA SAHA</v>
      </c>
      <c r="F957" s="100" t="s">
        <v>1329</v>
      </c>
      <c r="G957" s="101">
        <f>COUNTIF(LS[[#Headers],[Investor ID]]:LS[[#This Row],[Investor ID]],LS[[#This Row],[Investor ID]])</f>
        <v>1</v>
      </c>
      <c r="H957" s="101" t="str">
        <f>CONCATENATE(LS[[#This Row],[Frequency]],LS[[#This Row],[Investor ID]])</f>
        <v>1A00611</v>
      </c>
      <c r="I957" s="75" t="str">
        <f>IF(LS[[#This Row],[B/S]]="B","BUY",(IF(LS[[#This Row],[B/S]]="S","SELL"," ")))</f>
        <v>BUY</v>
      </c>
      <c r="J957" s="101" t="s">
        <v>1229</v>
      </c>
      <c r="K957" s="102">
        <v>1000000</v>
      </c>
      <c r="L957" s="99"/>
      <c r="M957" s="103">
        <f>LS[[#This Row],[Amount]]/LS[[#This Row],[Unit]]</f>
        <v>12.400947432383834</v>
      </c>
      <c r="N957" s="104">
        <f>LS[[#This Row],[Unit Capital]]/10</f>
        <v>80639</v>
      </c>
      <c r="O957" s="104">
        <f>SUMIFS(LS[[#Headers],[Unit]]:LS[[#This Row],[Unit]],LS[[#Headers],[Investor ID]]:LS[[#This Row],[Investor ID]],LS[[#This Row],[Investor ID]])</f>
        <v>80639</v>
      </c>
      <c r="P957" s="102">
        <v>806390</v>
      </c>
      <c r="Q957" s="102">
        <f>LS[[#This Row],[Amount]]-LS[[#This Row],[Unit Capital]]</f>
        <v>193610</v>
      </c>
      <c r="R9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12.400947432383834</v>
      </c>
      <c r="S957" s="103">
        <f t="shared" si="14"/>
        <v>14.224</v>
      </c>
      <c r="T9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7" s="102" cm="1">
        <f t="array" ref="U957">IF(LS[[#This Row],[B/S]]="S",ABS(LS[[#This Row],[Unit]])*(INDEX(LS[NAV at Cost (Average)],MATCH(CONCATENATE((LS[[#This Row],[Frequency]]-1),LS[[#This Row],[Investor ID]]),LS[Unique Code],0),0)),0)</f>
        <v>0</v>
      </c>
      <c r="V957" s="102">
        <f>IF(LS[[#This Row],[BO TRANSFER]]="YES",LS[[#This Row],[Unit]],)</f>
        <v>0</v>
      </c>
      <c r="W957" s="102">
        <f>SUMIFS(LS[[#Headers],[BO UNIT TRANSFER]]:LS[[#This Row],[BO UNIT TRANSFER]],LS[[#Headers],[Investor ID]]:LS[[#This Row],[Investor ID]],LS[[#This Row],[Investor ID]])</f>
        <v>0</v>
      </c>
    </row>
    <row r="958" spans="1:23">
      <c r="A958" s="101">
        <v>2025</v>
      </c>
      <c r="B958" s="101">
        <v>5</v>
      </c>
      <c r="C958" s="101">
        <v>8</v>
      </c>
      <c r="D958" s="98">
        <f>DATE(LS[[#This Row],[Year]],LS[[#This Row],[Month]],LS[[#This Row],[Day]])</f>
        <v>45785</v>
      </c>
      <c r="E958" s="99" t="str" cm="1">
        <f t="array" ref="E958">INDEX(INVESTORS_LIST[INVESTOR NAME],MATCH(LS[[#This Row],[Investor ID]],INVESTORS_LIST[INVESTOR CODE],0),)</f>
        <v>MD. WALID - AL - ZUBAYER</v>
      </c>
      <c r="F958" s="100" t="s">
        <v>565</v>
      </c>
      <c r="G958" s="101">
        <f>COUNTIF(LS[[#Headers],[Investor ID]]:LS[[#This Row],[Investor ID]],LS[[#This Row],[Investor ID]])</f>
        <v>11</v>
      </c>
      <c r="H958" s="101" t="str">
        <f>CONCATENATE(LS[[#This Row],[Frequency]],LS[[#This Row],[Investor ID]])</f>
        <v>11A00258</v>
      </c>
      <c r="I958" s="75" t="str">
        <f>IF(LS[[#This Row],[B/S]]="B","BUY",(IF(LS[[#This Row],[B/S]]="S","SELL"," ")))</f>
        <v>BUY</v>
      </c>
      <c r="J958" s="101" t="s">
        <v>1229</v>
      </c>
      <c r="K958" s="102">
        <v>471238</v>
      </c>
      <c r="L958" s="99"/>
      <c r="M958" s="103">
        <f>LS[[#This Row],[Amount]]/LS[[#This Row],[Unit]]</f>
        <v>12.401</v>
      </c>
      <c r="N958" s="104">
        <f>LS[[#This Row],[Unit Capital]]/10</f>
        <v>38000</v>
      </c>
      <c r="O958" s="104">
        <f>SUMIFS(LS[[#Headers],[Unit]]:LS[[#This Row],[Unit]],LS[[#Headers],[Investor ID]]:LS[[#This Row],[Investor ID]],LS[[#This Row],[Investor ID]])</f>
        <v>246112</v>
      </c>
      <c r="P958" s="102">
        <v>380000</v>
      </c>
      <c r="Q958" s="102">
        <f>LS[[#This Row],[Amount]]-LS[[#This Row],[Unit Capital]]</f>
        <v>91238</v>
      </c>
      <c r="R9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12.033876349692614</v>
      </c>
      <c r="S958" s="103">
        <f t="shared" si="14"/>
        <v>14.224</v>
      </c>
      <c r="T9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58" s="102" cm="1">
        <f t="array" ref="U958">IF(LS[[#This Row],[B/S]]="S",ABS(LS[[#This Row],[Unit]])*(INDEX(LS[NAV at Cost (Average)],MATCH(CONCATENATE((LS[[#This Row],[Frequency]]-1),LS[[#This Row],[Investor ID]]),LS[Unique Code],0),0)),0)</f>
        <v>0</v>
      </c>
      <c r="V958" s="102">
        <f>IF(LS[[#This Row],[BO TRANSFER]]="YES",LS[[#This Row],[Unit]],)</f>
        <v>0</v>
      </c>
      <c r="W958" s="102">
        <f>SUMIFS(LS[[#Headers],[BO UNIT TRANSFER]]:LS[[#This Row],[BO UNIT TRANSFER]],LS[[#Headers],[Investor ID]]:LS[[#This Row],[Investor ID]],LS[[#This Row],[Investor ID]])</f>
        <v>0</v>
      </c>
    </row>
    <row r="959" spans="1:23">
      <c r="A959" s="101">
        <v>2025</v>
      </c>
      <c r="B959" s="101">
        <v>5</v>
      </c>
      <c r="C959" s="101">
        <v>8</v>
      </c>
      <c r="D959" s="98">
        <f>DATE(LS[[#This Row],[Year]],LS[[#This Row],[Month]],LS[[#This Row],[Day]])</f>
        <v>45785</v>
      </c>
      <c r="E959" s="99" t="str" cm="1">
        <f t="array" ref="E959">INDEX(INVESTORS_LIST[INVESTOR NAME],MATCH(LS[[#This Row],[Investor ID]],INVESTORS_LIST[INVESTOR CODE],0),)</f>
        <v>MONOARA ALAM</v>
      </c>
      <c r="F959" s="100" t="s">
        <v>1302</v>
      </c>
      <c r="G959" s="101">
        <f>COUNTIF(LS[[#Headers],[Investor ID]]:LS[[#This Row],[Investor ID]],LS[[#This Row],[Investor ID]])</f>
        <v>4</v>
      </c>
      <c r="H959" s="101" t="str">
        <f>CONCATENATE(LS[[#This Row],[Frequency]],LS[[#This Row],[Investor ID]])</f>
        <v>4A00598</v>
      </c>
      <c r="I959" s="75" t="str">
        <f>IF(LS[[#This Row],[B/S]]="B","BUY",(IF(LS[[#This Row],[B/S]]="S","SELL"," ")))</f>
        <v>SELL</v>
      </c>
      <c r="J959" s="101" t="s">
        <v>1231</v>
      </c>
      <c r="K959" s="102">
        <v>-11132.02</v>
      </c>
      <c r="L959" s="99"/>
      <c r="M959" s="103">
        <f>LS[[#This Row],[Amount]]/LS[[#This Row],[Unit]]</f>
        <v>12.396458797327394</v>
      </c>
      <c r="N959" s="104">
        <f>LS[[#This Row],[Unit Capital]]/10</f>
        <v>-898</v>
      </c>
      <c r="O959" s="104">
        <f>SUMIFS(LS[[#Headers],[Unit]]:LS[[#This Row],[Unit]],LS[[#Headers],[Investor ID]]:LS[[#This Row],[Investor ID]],LS[[#This Row],[Investor ID]])</f>
        <v>40319</v>
      </c>
      <c r="P959" s="102">
        <v>-8980</v>
      </c>
      <c r="Q959" s="102">
        <f>LS[[#This Row],[Amount]]-LS[[#This Row],[Unit Capital]]</f>
        <v>-2152.0200000000004</v>
      </c>
      <c r="R9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959" s="103">
        <f t="shared" si="14"/>
        <v>14.224</v>
      </c>
      <c r="T959" s="102">
        <f>IF(LS[[#This Row],[B/S]]="B",0,ABS(LS[[#This Row],[Unit]])*(LS[[#This Row],[NAV (Strike Rate)]]-INDEX(LS[NAV at Cost (Average)],MATCH(CONCATENATE(LS[[#This Row],[Frequency]]-1,LS[[#This Row],[Investor ID]]),LS[Unique Code],0),)))</f>
        <v>555.36872326392097</v>
      </c>
      <c r="U959" s="102" cm="1">
        <f t="array" ref="U959">IF(LS[[#This Row],[B/S]]="S",ABS(LS[[#This Row],[Unit]])*(INDEX(LS[NAV at Cost (Average)],MATCH(CONCATENATE((LS[[#This Row],[Frequency]]-1),LS[[#This Row],[Investor ID]]),LS[Unique Code],0),0)),0)</f>
        <v>10576.651276736078</v>
      </c>
      <c r="V959" s="102">
        <f>IF(LS[[#This Row],[BO TRANSFER]]="YES",LS[[#This Row],[Unit]],)</f>
        <v>0</v>
      </c>
      <c r="W959" s="102">
        <f>SUMIFS(LS[[#Headers],[BO UNIT TRANSFER]]:LS[[#This Row],[BO UNIT TRANSFER]],LS[[#Headers],[Investor ID]]:LS[[#This Row],[Investor ID]],LS[[#This Row],[Investor ID]])</f>
        <v>0</v>
      </c>
    </row>
    <row r="960" spans="1:23">
      <c r="A960" s="101">
        <v>2025</v>
      </c>
      <c r="B960" s="101">
        <v>5</v>
      </c>
      <c r="C960" s="101">
        <v>8</v>
      </c>
      <c r="D960" s="98">
        <f>DATE(LS[[#This Row],[Year]],LS[[#This Row],[Month]],LS[[#This Row],[Day]])</f>
        <v>45785</v>
      </c>
      <c r="E960" s="99" t="str" cm="1">
        <f t="array" ref="E960">INDEX(INVESTORS_LIST[INVESTOR NAME],MATCH(LS[[#This Row],[Investor ID]],INVESTORS_LIST[INVESTOR CODE],0),)</f>
        <v>MOHAMMED ALI XAHANGIR</v>
      </c>
      <c r="F960" s="83" t="s">
        <v>312</v>
      </c>
      <c r="G960" s="101">
        <f>COUNTIF(LS[[#Headers],[Investor ID]]:LS[[#This Row],[Investor ID]],LS[[#This Row],[Investor ID]])</f>
        <v>3</v>
      </c>
      <c r="H960" s="101" t="str">
        <f>CONCATENATE(LS[[#This Row],[Frequency]],LS[[#This Row],[Investor ID]])</f>
        <v>3A00132</v>
      </c>
      <c r="I960" s="75" t="str">
        <f>IF(LS[[#This Row],[B/S]]="B","BUY",(IF(LS[[#This Row],[B/S]]="S","SELL"," ")))</f>
        <v>BUY</v>
      </c>
      <c r="J960" s="101" t="s">
        <v>1229</v>
      </c>
      <c r="K960" s="102">
        <v>1100000</v>
      </c>
      <c r="L960" s="99"/>
      <c r="M960" s="103">
        <f>LS[[#This Row],[Amount]]/LS[[#This Row],[Unit]]</f>
        <v>12.400933452081667</v>
      </c>
      <c r="N960" s="104">
        <f>LS[[#This Row],[Unit Capital]]/10</f>
        <v>88703</v>
      </c>
      <c r="O960" s="104">
        <f>SUMIFS(LS[[#Headers],[Unit]]:LS[[#This Row],[Unit]],LS[[#Headers],[Investor ID]]:LS[[#This Row],[Investor ID]],LS[[#This Row],[Investor ID]])</f>
        <v>88703</v>
      </c>
      <c r="P960" s="102">
        <v>887030</v>
      </c>
      <c r="Q960" s="102">
        <f>LS[[#This Row],[Amount]]-LS[[#This Row],[Unit Capital]]</f>
        <v>212970</v>
      </c>
      <c r="R9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12.400933452081667</v>
      </c>
      <c r="S960" s="103">
        <f t="shared" si="14"/>
        <v>14.224</v>
      </c>
      <c r="T9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0" s="102" cm="1">
        <f t="array" ref="U960">IF(LS[[#This Row],[B/S]]="S",ABS(LS[[#This Row],[Unit]])*(INDEX(LS[NAV at Cost (Average)],MATCH(CONCATENATE((LS[[#This Row],[Frequency]]-1),LS[[#This Row],[Investor ID]]),LS[Unique Code],0),0)),0)</f>
        <v>0</v>
      </c>
      <c r="V960" s="102">
        <f>IF(LS[[#This Row],[BO TRANSFER]]="YES",LS[[#This Row],[Unit]],)</f>
        <v>0</v>
      </c>
      <c r="W960" s="102">
        <f>SUMIFS(LS[[#Headers],[BO UNIT TRANSFER]]:LS[[#This Row],[BO UNIT TRANSFER]],LS[[#Headers],[Investor ID]]:LS[[#This Row],[Investor ID]],LS[[#This Row],[Investor ID]])</f>
        <v>0</v>
      </c>
    </row>
    <row r="961" spans="1:23">
      <c r="A961" s="101">
        <v>2025</v>
      </c>
      <c r="B961" s="101">
        <v>5</v>
      </c>
      <c r="C961" s="101">
        <v>8</v>
      </c>
      <c r="D961" s="98">
        <f>DATE(LS[[#This Row],[Year]],LS[[#This Row],[Month]],LS[[#This Row],[Day]])</f>
        <v>45785</v>
      </c>
      <c r="E961" s="99" t="str" cm="1">
        <f t="array" ref="E961">INDEX(INVESTORS_LIST[INVESTOR NAME],MATCH(LS[[#This Row],[Investor ID]],INVESTORS_LIST[INVESTOR CODE],0),)</f>
        <v>ANJANA SAHA</v>
      </c>
      <c r="F961" s="100" t="s">
        <v>73</v>
      </c>
      <c r="G961" s="101">
        <f>COUNTIF(LS[[#Headers],[Investor ID]]:LS[[#This Row],[Investor ID]],LS[[#This Row],[Investor ID]])</f>
        <v>4</v>
      </c>
      <c r="H961" s="101" t="str">
        <f>CONCATENATE(LS[[#This Row],[Frequency]],LS[[#This Row],[Investor ID]])</f>
        <v>4A00014</v>
      </c>
      <c r="I961" s="75" t="str">
        <f>IF(LS[[#This Row],[B/S]]="B","BUY",(IF(LS[[#This Row],[B/S]]="S","SELL"," ")))</f>
        <v>SELL</v>
      </c>
      <c r="J961" s="101" t="s">
        <v>1231</v>
      </c>
      <c r="K961" s="102">
        <v>-2141615.5</v>
      </c>
      <c r="L961" s="99"/>
      <c r="M961" s="103">
        <f>LS[[#This Row],[Amount]]/LS[[#This Row],[Unit]]</f>
        <v>12.401000017371466</v>
      </c>
      <c r="N961" s="104">
        <f>LS[[#This Row],[Unit Capital]]/10</f>
        <v>-172697</v>
      </c>
      <c r="O961" s="104">
        <f>SUMIFS(LS[[#Headers],[Unit]]:LS[[#This Row],[Unit]],LS[[#Headers],[Investor ID]]:LS[[#This Row],[Investor ID]],LS[[#This Row],[Investor ID]])</f>
        <v>0</v>
      </c>
      <c r="P961" s="102">
        <v>-1726970</v>
      </c>
      <c r="Q961" s="102">
        <f>LS[[#This Row],[Amount]]-LS[[#This Row],[Unit Capital]]</f>
        <v>-414645.5</v>
      </c>
      <c r="R9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61" s="103">
        <f t="shared" si="14"/>
        <v>14.224</v>
      </c>
      <c r="T961" s="102">
        <f>IF(LS[[#This Row],[B/S]]="B",0,ABS(LS[[#This Row],[Unit]])*(LS[[#This Row],[NAV (Strike Rate)]]-INDEX(LS[NAV at Cost (Average)],MATCH(CONCATENATE(LS[[#This Row],[Frequency]]-1,LS[[#This Row],[Investor ID]]),LS[Unique Code],0),)))</f>
        <v>332237.37321560452</v>
      </c>
      <c r="U961" s="102" cm="1">
        <f t="array" ref="U961">IF(LS[[#This Row],[B/S]]="S",ABS(LS[[#This Row],[Unit]])*(INDEX(LS[NAV at Cost (Average)],MATCH(CONCATENATE((LS[[#This Row],[Frequency]]-1),LS[[#This Row],[Investor ID]]),LS[Unique Code],0),0)),0)</f>
        <v>1809378.1267843954</v>
      </c>
      <c r="V961" s="102">
        <f>IF(LS[[#This Row],[BO TRANSFER]]="YES",LS[[#This Row],[Unit]],)</f>
        <v>0</v>
      </c>
      <c r="W961" s="102">
        <f>SUMIFS(LS[[#Headers],[BO UNIT TRANSFER]]:LS[[#This Row],[BO UNIT TRANSFER]],LS[[#Headers],[Investor ID]]:LS[[#This Row],[Investor ID]],LS[[#This Row],[Investor ID]])</f>
        <v>0</v>
      </c>
    </row>
    <row r="962" spans="1:23">
      <c r="A962" s="101">
        <v>2025</v>
      </c>
      <c r="B962" s="101">
        <v>5</v>
      </c>
      <c r="C962" s="101">
        <v>8</v>
      </c>
      <c r="D962" s="98">
        <f>DATE(LS[[#This Row],[Year]],LS[[#This Row],[Month]],LS[[#This Row],[Day]])</f>
        <v>45785</v>
      </c>
      <c r="E962" s="99" t="str" cm="1">
        <f t="array" ref="E962">INDEX(INVESTORS_LIST[INVESTOR NAME],MATCH(LS[[#This Row],[Investor ID]],INVESTORS_LIST[INVESTOR CODE],0),)</f>
        <v>SYED FAZLE RABBY</v>
      </c>
      <c r="F962" s="100" t="s">
        <v>166</v>
      </c>
      <c r="G962" s="101">
        <f>COUNTIF(LS[[#Headers],[Investor ID]]:LS[[#This Row],[Investor ID]],LS[[#This Row],[Investor ID]])</f>
        <v>42</v>
      </c>
      <c r="H962" s="101" t="str">
        <f>CONCATENATE(LS[[#This Row],[Frequency]],LS[[#This Row],[Investor ID]])</f>
        <v>42A00059</v>
      </c>
      <c r="I962" s="75" t="str">
        <f>IF(LS[[#This Row],[B/S]]="B","BUY",(IF(LS[[#This Row],[B/S]]="S","SELL"," ")))</f>
        <v>BUY</v>
      </c>
      <c r="J962" s="101" t="s">
        <v>1229</v>
      </c>
      <c r="K962" s="102">
        <v>74406</v>
      </c>
      <c r="L962" s="99"/>
      <c r="M962" s="103">
        <f>LS[[#This Row],[Amount]]/LS[[#This Row],[Unit]]</f>
        <v>12.401</v>
      </c>
      <c r="N962" s="104">
        <f>LS[[#This Row],[Unit Capital]]/10</f>
        <v>6000</v>
      </c>
      <c r="O962" s="104">
        <f>SUMIFS(LS[[#Headers],[Unit]]:LS[[#This Row],[Unit]],LS[[#Headers],[Investor ID]]:LS[[#This Row],[Investor ID]],LS[[#This Row],[Investor ID]])</f>
        <v>528461</v>
      </c>
      <c r="P962" s="102">
        <v>60000</v>
      </c>
      <c r="Q962" s="102">
        <f>LS[[#This Row],[Amount]]-LS[[#This Row],[Unit Capital]]</f>
        <v>14406</v>
      </c>
      <c r="R9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12.378219017108169</v>
      </c>
      <c r="S962" s="103">
        <f t="shared" si="14"/>
        <v>14.224</v>
      </c>
      <c r="T9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2" s="102" cm="1">
        <f t="array" ref="U962">IF(LS[[#This Row],[B/S]]="S",ABS(LS[[#This Row],[Unit]])*(INDEX(LS[NAV at Cost (Average)],MATCH(CONCATENATE((LS[[#This Row],[Frequency]]-1),LS[[#This Row],[Investor ID]]),LS[Unique Code],0),0)),0)</f>
        <v>0</v>
      </c>
      <c r="V962" s="102">
        <f>IF(LS[[#This Row],[BO TRANSFER]]="YES",LS[[#This Row],[Unit]],)</f>
        <v>0</v>
      </c>
      <c r="W962" s="102">
        <f>SUMIFS(LS[[#Headers],[BO UNIT TRANSFER]]:LS[[#This Row],[BO UNIT TRANSFER]],LS[[#Headers],[Investor ID]]:LS[[#This Row],[Investor ID]],LS[[#This Row],[Investor ID]])</f>
        <v>0</v>
      </c>
    </row>
    <row r="963" spans="1:23">
      <c r="A963" s="101">
        <v>2025</v>
      </c>
      <c r="B963" s="101">
        <v>5</v>
      </c>
      <c r="C963" s="101">
        <v>8</v>
      </c>
      <c r="D963" s="98">
        <f>DATE(LS[[#This Row],[Year]],LS[[#This Row],[Month]],LS[[#This Row],[Day]])</f>
        <v>45785</v>
      </c>
      <c r="E963" s="99" t="str" cm="1">
        <f t="array" ref="E963">INDEX(INVESTORS_LIST[INVESTOR NAME],MATCH(LS[[#This Row],[Investor ID]],INVESTORS_LIST[INVESTOR CODE],0),)</f>
        <v>SHUVA SAHA</v>
      </c>
      <c r="F963" s="100" t="s">
        <v>154</v>
      </c>
      <c r="G963" s="101">
        <f>COUNTIF(LS[[#Headers],[Investor ID]]:LS[[#This Row],[Investor ID]],LS[[#This Row],[Investor ID]])</f>
        <v>12</v>
      </c>
      <c r="H963" s="101" t="str">
        <f>CONCATENATE(LS[[#This Row],[Frequency]],LS[[#This Row],[Investor ID]])</f>
        <v>12A00053</v>
      </c>
      <c r="I963" s="75" t="str">
        <f>IF(LS[[#This Row],[B/S]]="B","BUY",(IF(LS[[#This Row],[B/S]]="S","SELL"," ")))</f>
        <v>BUY</v>
      </c>
      <c r="J963" s="101" t="s">
        <v>1229</v>
      </c>
      <c r="K963" s="102">
        <v>100000</v>
      </c>
      <c r="L963" s="88"/>
      <c r="M963" s="103">
        <f>LS[[#This Row],[Amount]]/LS[[#This Row],[Unit]]</f>
        <v>12.40079365079365</v>
      </c>
      <c r="N963" s="104">
        <f>LS[[#This Row],[Unit Capital]]/10</f>
        <v>8064</v>
      </c>
      <c r="O963" s="104">
        <f>SUMIFS(LS[[#Headers],[Unit]]:LS[[#This Row],[Unit]],LS[[#Headers],[Investor ID]]:LS[[#This Row],[Investor ID]],LS[[#This Row],[Investor ID]])</f>
        <v>52641</v>
      </c>
      <c r="P963" s="102">
        <v>80640</v>
      </c>
      <c r="Q963" s="102">
        <f>LS[[#This Row],[Amount]]-LS[[#This Row],[Unit Capital]]</f>
        <v>19360</v>
      </c>
      <c r="R9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12.203471694533887</v>
      </c>
      <c r="S963" s="103">
        <f t="shared" ref="S963:S1026" si="15">IFERROR(NAV_MKT,0)</f>
        <v>14.224</v>
      </c>
      <c r="T9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3" s="102" cm="1">
        <f t="array" ref="U963">IF(LS[[#This Row],[B/S]]="S",ABS(LS[[#This Row],[Unit]])*(INDEX(LS[NAV at Cost (Average)],MATCH(CONCATENATE((LS[[#This Row],[Frequency]]-1),LS[[#This Row],[Investor ID]]),LS[Unique Code],0),0)),0)</f>
        <v>0</v>
      </c>
      <c r="V963" s="102">
        <f>IF(LS[[#This Row],[BO TRANSFER]]="YES",LS[[#This Row],[Unit]],)</f>
        <v>0</v>
      </c>
      <c r="W963" s="102">
        <f>SUMIFS(LS[[#Headers],[BO UNIT TRANSFER]]:LS[[#This Row],[BO UNIT TRANSFER]],LS[[#Headers],[Investor ID]]:LS[[#This Row],[Investor ID]],LS[[#This Row],[Investor ID]])</f>
        <v>0</v>
      </c>
    </row>
    <row r="964" spans="1:23">
      <c r="A964" s="101">
        <v>2025</v>
      </c>
      <c r="B964" s="101">
        <v>5</v>
      </c>
      <c r="C964" s="101">
        <v>10</v>
      </c>
      <c r="D964" s="98">
        <f>DATE(LS[[#This Row],[Year]],LS[[#This Row],[Month]],LS[[#This Row],[Day]])</f>
        <v>45787</v>
      </c>
      <c r="E964" s="99" t="str" cm="1">
        <f t="array" ref="E964">INDEX(INVESTORS_LIST[INVESTOR NAME],MATCH(LS[[#This Row],[Investor ID]],INVESTORS_LIST[INVESTOR CODE],0),)</f>
        <v>MOHAMMAD AKIB NAWAZ</v>
      </c>
      <c r="F964" s="100" t="s">
        <v>495</v>
      </c>
      <c r="G964" s="101">
        <f>COUNTIF(LS[[#Headers],[Investor ID]]:LS[[#This Row],[Investor ID]],LS[[#This Row],[Investor ID]])</f>
        <v>5</v>
      </c>
      <c r="H964" s="101" t="str">
        <f>CONCATENATE(LS[[#This Row],[Frequency]],LS[[#This Row],[Investor ID]])</f>
        <v>5A00223</v>
      </c>
      <c r="I964" s="75" t="str">
        <f>IF(LS[[#This Row],[B/S]]="B","BUY",(IF(LS[[#This Row],[B/S]]="S","SELL"," ")))</f>
        <v>BUY</v>
      </c>
      <c r="J964" s="101" t="s">
        <v>1229</v>
      </c>
      <c r="K964" s="102">
        <v>50000</v>
      </c>
      <c r="L964" s="99"/>
      <c r="M964" s="103">
        <f>LS[[#This Row],[Amount]]/LS[[#This Row],[Unit]]</f>
        <v>12.419274714356682</v>
      </c>
      <c r="N964" s="104">
        <f>LS[[#This Row],[Unit Capital]]/10</f>
        <v>4026</v>
      </c>
      <c r="O964" s="104">
        <f>SUMIFS(LS[[#Headers],[Unit]]:LS[[#This Row],[Unit]],LS[[#Headers],[Investor ID]]:LS[[#This Row],[Investor ID]],LS[[#This Row],[Investor ID]])</f>
        <v>16178</v>
      </c>
      <c r="P964" s="102">
        <v>40260</v>
      </c>
      <c r="Q964" s="102">
        <f>LS[[#This Row],[Amount]]-LS[[#This Row],[Unit Capital]]</f>
        <v>9740</v>
      </c>
      <c r="R9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12.362467548522686</v>
      </c>
      <c r="S964" s="103">
        <f t="shared" si="15"/>
        <v>14.224</v>
      </c>
      <c r="T9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4" s="102" cm="1">
        <f t="array" ref="U964">IF(LS[[#This Row],[B/S]]="S",ABS(LS[[#This Row],[Unit]])*(INDEX(LS[NAV at Cost (Average)],MATCH(CONCATENATE((LS[[#This Row],[Frequency]]-1),LS[[#This Row],[Investor ID]]),LS[Unique Code],0),0)),0)</f>
        <v>0</v>
      </c>
      <c r="V964" s="102">
        <f>IF(LS[[#This Row],[BO TRANSFER]]="YES",LS[[#This Row],[Unit]],)</f>
        <v>0</v>
      </c>
      <c r="W964" s="102">
        <f>SUMIFS(LS[[#Headers],[BO UNIT TRANSFER]]:LS[[#This Row],[BO UNIT TRANSFER]],LS[[#Headers],[Investor ID]]:LS[[#This Row],[Investor ID]],LS[[#This Row],[Investor ID]])</f>
        <v>0</v>
      </c>
    </row>
    <row r="965" spans="1:23">
      <c r="A965" s="101">
        <v>2025</v>
      </c>
      <c r="B965" s="101">
        <v>5</v>
      </c>
      <c r="C965" s="101">
        <v>13</v>
      </c>
      <c r="D965" s="98">
        <f>DATE(LS[[#This Row],[Year]],LS[[#This Row],[Month]],LS[[#This Row],[Day]])</f>
        <v>45790</v>
      </c>
      <c r="E965" s="99" t="str" cm="1">
        <f t="array" ref="E965">INDEX(INVESTORS_LIST[INVESTOR NAME],MATCH(LS[[#This Row],[Investor ID]],INVESTORS_LIST[INVESTOR CODE],0),)</f>
        <v>SATCOM IT LTD. PROVIDENT FUND</v>
      </c>
      <c r="F965" s="100" t="s">
        <v>150</v>
      </c>
      <c r="G965" s="101">
        <f>COUNTIF(LS[[#Headers],[Investor ID]]:LS[[#This Row],[Investor ID]],LS[[#This Row],[Investor ID]])</f>
        <v>2</v>
      </c>
      <c r="H965" s="101" t="str">
        <f>CONCATENATE(LS[[#This Row],[Frequency]],LS[[#This Row],[Investor ID]])</f>
        <v>2A00051</v>
      </c>
      <c r="I965" s="75" t="str">
        <f>IF(LS[[#This Row],[B/S]]="B","BUY",(IF(LS[[#This Row],[B/S]]="S","SELL"," ")))</f>
        <v>SELL</v>
      </c>
      <c r="J965" s="101" t="s">
        <v>1231</v>
      </c>
      <c r="K965" s="102">
        <v>-1000000</v>
      </c>
      <c r="L965" s="99"/>
      <c r="M965" s="103">
        <f>LS[[#This Row],[Amount]]/LS[[#This Row],[Unit]]</f>
        <v>12.418966245249745</v>
      </c>
      <c r="N965" s="104">
        <f>LS[[#This Row],[Unit Capital]]/10</f>
        <v>-80522</v>
      </c>
      <c r="O965" s="104">
        <f>SUMIFS(LS[[#Headers],[Unit]]:LS[[#This Row],[Unit]],LS[[#Headers],[Investor ID]]:LS[[#This Row],[Investor ID]],LS[[#This Row],[Investor ID]])</f>
        <v>19478</v>
      </c>
      <c r="P965" s="102">
        <v>-805220</v>
      </c>
      <c r="Q965" s="102">
        <f>LS[[#This Row],[Amount]]-LS[[#This Row],[Unit Capital]]</f>
        <v>-194780</v>
      </c>
      <c r="R9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S965" s="103">
        <f t="shared" si="15"/>
        <v>14.224</v>
      </c>
      <c r="T965" s="102">
        <f>IF(LS[[#This Row],[B/S]]="B",0,ABS(LS[[#This Row],[Unit]])*(LS[[#This Row],[NAV (Strike Rate)]]-INDEX(LS[NAV at Cost (Average)],MATCH(CONCATENATE(LS[[#This Row],[Frequency]]-1,LS[[#This Row],[Investor ID]]),LS[Unique Code],0),)))</f>
        <v>194779.99999999997</v>
      </c>
      <c r="U965" s="102" cm="1">
        <f t="array" ref="U965">IF(LS[[#This Row],[B/S]]="S",ABS(LS[[#This Row],[Unit]])*(INDEX(LS[NAV at Cost (Average)],MATCH(CONCATENATE((LS[[#This Row],[Frequency]]-1),LS[[#This Row],[Investor ID]]),LS[Unique Code],0),0)),0)</f>
        <v>805220</v>
      </c>
      <c r="V965" s="102">
        <f>IF(LS[[#This Row],[BO TRANSFER]]="YES",LS[[#This Row],[Unit]],)</f>
        <v>0</v>
      </c>
      <c r="W965" s="102">
        <f>SUMIFS(LS[[#Headers],[BO UNIT TRANSFER]]:LS[[#This Row],[BO UNIT TRANSFER]],LS[[#Headers],[Investor ID]]:LS[[#This Row],[Investor ID]],LS[[#This Row],[Investor ID]])</f>
        <v>0</v>
      </c>
    </row>
    <row r="966" spans="1:23">
      <c r="A966" s="101">
        <v>2025</v>
      </c>
      <c r="B966" s="101">
        <v>5</v>
      </c>
      <c r="C966" s="101">
        <v>15</v>
      </c>
      <c r="D966" s="98">
        <f>DATE(LS[[#This Row],[Year]],LS[[#This Row],[Month]],LS[[#This Row],[Day]])</f>
        <v>45792</v>
      </c>
      <c r="E966" s="99" t="str" cm="1">
        <f t="array" ref="E966">INDEX(INVESTORS_LIST[INVESTOR NAME],MATCH(LS[[#This Row],[Investor ID]],INVESTORS_LIST[INVESTOR CODE],0),)</f>
        <v>A. K. M. MAHMUDUL ALAM</v>
      </c>
      <c r="F966" s="100" t="s">
        <v>1085</v>
      </c>
      <c r="G966" s="101">
        <f>COUNTIF(LS[[#Headers],[Investor ID]]:LS[[#This Row],[Investor ID]],LS[[#This Row],[Investor ID]])</f>
        <v>4</v>
      </c>
      <c r="H966" s="101" t="str">
        <f>CONCATENATE(LS[[#This Row],[Frequency]],LS[[#This Row],[Investor ID]])</f>
        <v>4SB00002</v>
      </c>
      <c r="I966" s="75" t="str">
        <f>IF(LS[[#This Row],[B/S]]="B","BUY",(IF(LS[[#This Row],[B/S]]="S","SELL"," ")))</f>
        <v>SELL</v>
      </c>
      <c r="J966" s="101" t="s">
        <v>1231</v>
      </c>
      <c r="K966" s="102">
        <v>-500000</v>
      </c>
      <c r="L966" s="88"/>
      <c r="M966" s="103">
        <f>LS[[#This Row],[Amount]]/LS[[#This Row],[Unit]]</f>
        <v>12.418966245249745</v>
      </c>
      <c r="N966" s="104">
        <f>LS[[#This Row],[Unit Capital]]/10</f>
        <v>-40261</v>
      </c>
      <c r="O966" s="104">
        <f>SUMIFS(LS[[#Headers],[Unit]]:LS[[#This Row],[Unit]],LS[[#Headers],[Investor ID]]:LS[[#This Row],[Investor ID]],LS[[#This Row],[Investor ID]])</f>
        <v>523519</v>
      </c>
      <c r="P966" s="102">
        <v>-402610</v>
      </c>
      <c r="Q966" s="102">
        <f>LS[[#This Row],[Amount]]-LS[[#This Row],[Unit Capital]]</f>
        <v>-97390</v>
      </c>
      <c r="R9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11.18877989152478</v>
      </c>
      <c r="S966" s="103">
        <f t="shared" si="15"/>
        <v>14.224</v>
      </c>
      <c r="T966" s="102">
        <f>IF(LS[[#This Row],[B/S]]="B",0,ABS(LS[[#This Row],[Unit]])*(LS[[#This Row],[NAV (Strike Rate)]]-INDEX(LS[NAV at Cost (Average)],MATCH(CONCATENATE(LS[[#This Row],[Frequency]]-1,LS[[#This Row],[Investor ID]]),LS[Unique Code],0),)))</f>
        <v>49528.532787320837</v>
      </c>
      <c r="U966" s="102" cm="1">
        <f t="array" ref="U966">IF(LS[[#This Row],[B/S]]="S",ABS(LS[[#This Row],[Unit]])*(INDEX(LS[NAV at Cost (Average)],MATCH(CONCATENATE((LS[[#This Row],[Frequency]]-1),LS[[#This Row],[Investor ID]]),LS[Unique Code],0),0)),0)</f>
        <v>450471.46721267916</v>
      </c>
      <c r="V966" s="102">
        <f>IF(LS[[#This Row],[BO TRANSFER]]="YES",LS[[#This Row],[Unit]],)</f>
        <v>0</v>
      </c>
      <c r="W966" s="102">
        <f>SUMIFS(LS[[#Headers],[BO UNIT TRANSFER]]:LS[[#This Row],[BO UNIT TRANSFER]],LS[[#Headers],[Investor ID]]:LS[[#This Row],[Investor ID]],LS[[#This Row],[Investor ID]])</f>
        <v>0</v>
      </c>
    </row>
    <row r="967" spans="1:23">
      <c r="A967" s="101">
        <v>2025</v>
      </c>
      <c r="B967" s="101">
        <v>5</v>
      </c>
      <c r="C967" s="101">
        <v>15</v>
      </c>
      <c r="D967" s="98">
        <f>DATE(LS[[#This Row],[Year]],LS[[#This Row],[Month]],LS[[#This Row],[Day]])</f>
        <v>45792</v>
      </c>
      <c r="E967" s="99" t="str" cm="1">
        <f t="array" ref="E967">INDEX(INVESTORS_LIST[INVESTOR NAME],MATCH(LS[[#This Row],[Investor ID]],INVESTORS_LIST[INVESTOR CODE],0),)</f>
        <v>SULTANA RAZIA</v>
      </c>
      <c r="F967" s="100" t="s">
        <v>511</v>
      </c>
      <c r="G967" s="101">
        <f>COUNTIF(LS[[#Headers],[Investor ID]]:LS[[#This Row],[Investor ID]],LS[[#This Row],[Investor ID]])</f>
        <v>8</v>
      </c>
      <c r="H967" s="101" t="str">
        <f>CONCATENATE(LS[[#This Row],[Frequency]],LS[[#This Row],[Investor ID]])</f>
        <v>8A00231</v>
      </c>
      <c r="I967" s="75" t="str">
        <f>IF(LS[[#This Row],[B/S]]="B","BUY",(IF(LS[[#This Row],[B/S]]="S","SELL"," ")))</f>
        <v>BUY</v>
      </c>
      <c r="J967" s="101" t="s">
        <v>1229</v>
      </c>
      <c r="K967" s="102">
        <v>500000</v>
      </c>
      <c r="L967" s="99"/>
      <c r="M967" s="103">
        <f>LS[[#This Row],[Amount]]/LS[[#This Row],[Unit]]</f>
        <v>12.418966245249745</v>
      </c>
      <c r="N967" s="104">
        <f>LS[[#This Row],[Unit Capital]]/10</f>
        <v>40261</v>
      </c>
      <c r="O967" s="104">
        <f>SUMIFS(LS[[#Headers],[Unit]]:LS[[#This Row],[Unit]],LS[[#Headers],[Investor ID]]:LS[[#This Row],[Investor ID]],LS[[#This Row],[Investor ID]])</f>
        <v>40261</v>
      </c>
      <c r="P967" s="102">
        <v>402610</v>
      </c>
      <c r="Q967" s="102">
        <f>LS[[#This Row],[Amount]]-LS[[#This Row],[Unit Capital]]</f>
        <v>97390</v>
      </c>
      <c r="R9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12.418966245249745</v>
      </c>
      <c r="S967" s="103">
        <f t="shared" si="15"/>
        <v>14.224</v>
      </c>
      <c r="T9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7" s="102" cm="1">
        <f t="array" ref="U967">IF(LS[[#This Row],[B/S]]="S",ABS(LS[[#This Row],[Unit]])*(INDEX(LS[NAV at Cost (Average)],MATCH(CONCATENATE((LS[[#This Row],[Frequency]]-1),LS[[#This Row],[Investor ID]]),LS[Unique Code],0),0)),0)</f>
        <v>0</v>
      </c>
      <c r="V967" s="102">
        <f>IF(LS[[#This Row],[BO TRANSFER]]="YES",LS[[#This Row],[Unit]],)</f>
        <v>0</v>
      </c>
      <c r="W967" s="102">
        <f>SUMIFS(LS[[#Headers],[BO UNIT TRANSFER]]:LS[[#This Row],[BO UNIT TRANSFER]],LS[[#Headers],[Investor ID]]:LS[[#This Row],[Investor ID]],LS[[#This Row],[Investor ID]])</f>
        <v>0</v>
      </c>
    </row>
    <row r="968" spans="1:23">
      <c r="A968" s="101">
        <v>2025</v>
      </c>
      <c r="B968" s="101">
        <v>5</v>
      </c>
      <c r="C968" s="101">
        <v>15</v>
      </c>
      <c r="D968" s="98">
        <f>DATE(LS[[#This Row],[Year]],LS[[#This Row],[Month]],LS[[#This Row],[Day]])</f>
        <v>45792</v>
      </c>
      <c r="E968" s="99" t="str" cm="1">
        <f t="array" ref="E968">INDEX(INVESTORS_LIST[INVESTOR NAME],MATCH(LS[[#This Row],[Investor ID]],INVESTORS_LIST[INVESTOR CODE],0),)</f>
        <v>MD. NAHIDUR RASHID</v>
      </c>
      <c r="F968" s="100" t="s">
        <v>696</v>
      </c>
      <c r="G968" s="101">
        <f>COUNTIF(LS[[#Headers],[Investor ID]]:LS[[#This Row],[Investor ID]],LS[[#This Row],[Investor ID]])</f>
        <v>1</v>
      </c>
      <c r="H968" s="101" t="str">
        <f>CONCATENATE(LS[[#This Row],[Frequency]],LS[[#This Row],[Investor ID]])</f>
        <v>1A00324</v>
      </c>
      <c r="I968" s="75" t="str">
        <f>IF(LS[[#This Row],[B/S]]="B","BUY",(IF(LS[[#This Row],[B/S]]="S","SELL"," ")))</f>
        <v>BUY</v>
      </c>
      <c r="J968" s="101" t="s">
        <v>1229</v>
      </c>
      <c r="K968" s="102">
        <v>500000</v>
      </c>
      <c r="L968" s="99"/>
      <c r="M968" s="103">
        <f>LS[[#This Row],[Amount]]/LS[[#This Row],[Unit]]</f>
        <v>12.418966245249745</v>
      </c>
      <c r="N968" s="104">
        <f>LS[[#This Row],[Unit Capital]]/10</f>
        <v>40261</v>
      </c>
      <c r="O968" s="104">
        <f>SUMIFS(LS[[#Headers],[Unit]]:LS[[#This Row],[Unit]],LS[[#Headers],[Investor ID]]:LS[[#This Row],[Investor ID]],LS[[#This Row],[Investor ID]])</f>
        <v>40261</v>
      </c>
      <c r="P968" s="102">
        <v>402610</v>
      </c>
      <c r="Q968" s="102">
        <f>LS[[#This Row],[Amount]]-LS[[#This Row],[Unit Capital]]</f>
        <v>97390</v>
      </c>
      <c r="R9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12.418966245249745</v>
      </c>
      <c r="S968" s="103">
        <f t="shared" si="15"/>
        <v>14.224</v>
      </c>
      <c r="T96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8" s="102" cm="1">
        <f t="array" ref="U968">IF(LS[[#This Row],[B/S]]="S",ABS(LS[[#This Row],[Unit]])*(INDEX(LS[NAV at Cost (Average)],MATCH(CONCATENATE((LS[[#This Row],[Frequency]]-1),LS[[#This Row],[Investor ID]]),LS[Unique Code],0),0)),0)</f>
        <v>0</v>
      </c>
      <c r="V968" s="102">
        <f>IF(LS[[#This Row],[BO TRANSFER]]="YES",LS[[#This Row],[Unit]],)</f>
        <v>0</v>
      </c>
      <c r="W968" s="102">
        <f>SUMIFS(LS[[#Headers],[BO UNIT TRANSFER]]:LS[[#This Row],[BO UNIT TRANSFER]],LS[[#Headers],[Investor ID]]:LS[[#This Row],[Investor ID]],LS[[#This Row],[Investor ID]])</f>
        <v>0</v>
      </c>
    </row>
    <row r="969" spans="1:23">
      <c r="A969" s="101">
        <v>2025</v>
      </c>
      <c r="B969" s="101">
        <v>5</v>
      </c>
      <c r="C969" s="101">
        <v>15</v>
      </c>
      <c r="D969" s="98">
        <f>DATE(LS[[#This Row],[Year]],LS[[#This Row],[Month]],LS[[#This Row],[Day]])</f>
        <v>45792</v>
      </c>
      <c r="E969" s="99" t="str" cm="1">
        <f t="array" ref="E969">INDEX(INVESTORS_LIST[INVESTOR NAME],MATCH(LS[[#This Row],[Investor ID]],INVESTORS_LIST[INVESTOR CODE],0),)</f>
        <v>FARIHA FARZANA</v>
      </c>
      <c r="F969" s="97" t="s">
        <v>1161</v>
      </c>
      <c r="G969" s="101">
        <f>COUNTIF(LS[[#Headers],[Investor ID]]:LS[[#This Row],[Investor ID]],LS[[#This Row],[Investor ID]])</f>
        <v>4</v>
      </c>
      <c r="H969" s="101" t="str">
        <f>CONCATENATE(LS[[#This Row],[Frequency]],LS[[#This Row],[Investor ID]])</f>
        <v>4A00556</v>
      </c>
      <c r="I969" s="75" t="str">
        <f>IF(LS[[#This Row],[B/S]]="B","BUY",(IF(LS[[#This Row],[B/S]]="S","SELL"," ")))</f>
        <v>BUY</v>
      </c>
      <c r="J969" s="101" t="s">
        <v>1229</v>
      </c>
      <c r="K969" s="102">
        <v>200000</v>
      </c>
      <c r="L969" s="99"/>
      <c r="M969" s="103">
        <f>LS[[#This Row],[Amount]]/LS[[#This Row],[Unit]]</f>
        <v>12.419274714356682</v>
      </c>
      <c r="N969" s="104">
        <f>LS[[#This Row],[Unit Capital]]/10</f>
        <v>16104</v>
      </c>
      <c r="O969" s="104">
        <f>SUMIFS(LS[[#Headers],[Unit]]:LS[[#This Row],[Unit]],LS[[#Headers],[Investor ID]]:LS[[#This Row],[Investor ID]],LS[[#This Row],[Investor ID]])</f>
        <v>16104</v>
      </c>
      <c r="P969" s="102">
        <v>161040</v>
      </c>
      <c r="Q969" s="102">
        <f>LS[[#This Row],[Amount]]-LS[[#This Row],[Unit Capital]]</f>
        <v>38960</v>
      </c>
      <c r="R9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12.419274714356682</v>
      </c>
      <c r="S969" s="103">
        <f t="shared" si="15"/>
        <v>14.224</v>
      </c>
      <c r="T96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69" s="102" cm="1">
        <f t="array" ref="U969">IF(LS[[#This Row],[B/S]]="S",ABS(LS[[#This Row],[Unit]])*(INDEX(LS[NAV at Cost (Average)],MATCH(CONCATENATE((LS[[#This Row],[Frequency]]-1),LS[[#This Row],[Investor ID]]),LS[Unique Code],0),0)),0)</f>
        <v>0</v>
      </c>
      <c r="V969" s="102">
        <f>IF(LS[[#This Row],[BO TRANSFER]]="YES",LS[[#This Row],[Unit]],)</f>
        <v>0</v>
      </c>
      <c r="W969" s="102">
        <f>SUMIFS(LS[[#Headers],[BO UNIT TRANSFER]]:LS[[#This Row],[BO UNIT TRANSFER]],LS[[#Headers],[Investor ID]]:LS[[#This Row],[Investor ID]],LS[[#This Row],[Investor ID]])</f>
        <v>0</v>
      </c>
    </row>
    <row r="970" spans="1:23">
      <c r="A970" s="101">
        <v>2025</v>
      </c>
      <c r="B970" s="101">
        <v>5</v>
      </c>
      <c r="C970" s="101">
        <v>15</v>
      </c>
      <c r="D970" s="98">
        <f>DATE(LS[[#This Row],[Year]],LS[[#This Row],[Month]],LS[[#This Row],[Day]])</f>
        <v>45792</v>
      </c>
      <c r="E970" s="99" t="str" cm="1">
        <f t="array" ref="E970">INDEX(INVESTORS_LIST[INVESTOR NAME],MATCH(LS[[#This Row],[Investor ID]],INVESTORS_LIST[INVESTOR CODE],0),)</f>
        <v>NANDINI SAHA</v>
      </c>
      <c r="F970" s="97" t="s">
        <v>242</v>
      </c>
      <c r="G970" s="101">
        <f>COUNTIF(LS[[#Headers],[Investor ID]]:LS[[#This Row],[Investor ID]],LS[[#This Row],[Investor ID]])</f>
        <v>7</v>
      </c>
      <c r="H970" s="101" t="str">
        <f>CONCATENATE(LS[[#This Row],[Frequency]],LS[[#This Row],[Investor ID]])</f>
        <v>7A00097</v>
      </c>
      <c r="I970" s="75" t="str">
        <f>IF(LS[[#This Row],[B/S]]="B","BUY",(IF(LS[[#This Row],[B/S]]="S","SELL"," ")))</f>
        <v>BUY</v>
      </c>
      <c r="J970" s="101" t="s">
        <v>1229</v>
      </c>
      <c r="K970" s="102">
        <v>220000</v>
      </c>
      <c r="L970" s="99"/>
      <c r="M970" s="103">
        <f>LS[[#This Row],[Amount]]/LS[[#This Row],[Unit]]</f>
        <v>12.418854078464578</v>
      </c>
      <c r="N970" s="104">
        <f>LS[[#This Row],[Unit Capital]]/10</f>
        <v>17715</v>
      </c>
      <c r="O970" s="104">
        <f>SUMIFS(LS[[#Headers],[Unit]]:LS[[#This Row],[Unit]],LS[[#Headers],[Investor ID]]:LS[[#This Row],[Investor ID]],LS[[#This Row],[Investor ID]])</f>
        <v>163436</v>
      </c>
      <c r="P970" s="102">
        <v>177150</v>
      </c>
      <c r="Q970" s="102">
        <f>LS[[#This Row],[Amount]]-LS[[#This Row],[Unit Capital]]</f>
        <v>42850</v>
      </c>
      <c r="R9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10.918173309091269</v>
      </c>
      <c r="S970" s="103">
        <f t="shared" si="15"/>
        <v>14.224</v>
      </c>
      <c r="T97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0" s="102" cm="1">
        <f t="array" ref="U970">IF(LS[[#This Row],[B/S]]="S",ABS(LS[[#This Row],[Unit]])*(INDEX(LS[NAV at Cost (Average)],MATCH(CONCATENATE((LS[[#This Row],[Frequency]]-1),LS[[#This Row],[Investor ID]]),LS[Unique Code],0),0)),0)</f>
        <v>0</v>
      </c>
      <c r="V970" s="102">
        <f>IF(LS[[#This Row],[BO TRANSFER]]="YES",LS[[#This Row],[Unit]],)</f>
        <v>0</v>
      </c>
      <c r="W970" s="102">
        <f>SUMIFS(LS[[#Headers],[BO UNIT TRANSFER]]:LS[[#This Row],[BO UNIT TRANSFER]],LS[[#Headers],[Investor ID]]:LS[[#This Row],[Investor ID]],LS[[#This Row],[Investor ID]])</f>
        <v>0</v>
      </c>
    </row>
    <row r="971" spans="1:23">
      <c r="A971" s="101">
        <v>2025</v>
      </c>
      <c r="B971" s="101">
        <v>5</v>
      </c>
      <c r="C971" s="101">
        <v>15</v>
      </c>
      <c r="D971" s="98">
        <f>DATE(LS[[#This Row],[Year]],LS[[#This Row],[Month]],LS[[#This Row],[Day]])</f>
        <v>45792</v>
      </c>
      <c r="E971" s="99" t="str" cm="1">
        <f t="array" ref="E971">INDEX(INVESTORS_LIST[INVESTOR NAME],MATCH(LS[[#This Row],[Investor ID]],INVESTORS_LIST[INVESTOR CODE],0),)</f>
        <v>A.T.M. MORSHED KAMAL</v>
      </c>
      <c r="F971" s="100" t="s">
        <v>652</v>
      </c>
      <c r="G971" s="101">
        <f>COUNTIF(LS[[#Headers],[Investor ID]]:LS[[#This Row],[Investor ID]],LS[[#This Row],[Investor ID]])</f>
        <v>5</v>
      </c>
      <c r="H971" s="101" t="str">
        <f>CONCATENATE(LS[[#This Row],[Frequency]],LS[[#This Row],[Investor ID]])</f>
        <v>5A00302</v>
      </c>
      <c r="I971" s="75" t="str">
        <f>IF(LS[[#This Row],[B/S]]="B","BUY",(IF(LS[[#This Row],[B/S]]="S","SELL"," ")))</f>
        <v>BUY</v>
      </c>
      <c r="J971" s="101" t="s">
        <v>1229</v>
      </c>
      <c r="K971" s="102">
        <v>400000</v>
      </c>
      <c r="L971" s="99"/>
      <c r="M971" s="103">
        <f>LS[[#This Row],[Amount]]/LS[[#This Row],[Unit]]</f>
        <v>12.418889130367289</v>
      </c>
      <c r="N971" s="104">
        <f>LS[[#This Row],[Unit Capital]]/10</f>
        <v>32209</v>
      </c>
      <c r="O971" s="104">
        <f>SUMIFS(LS[[#Headers],[Unit]]:LS[[#This Row],[Unit]],LS[[#Headers],[Investor ID]]:LS[[#This Row],[Investor ID]],LS[[#This Row],[Investor ID]])</f>
        <v>33690</v>
      </c>
      <c r="P971" s="102">
        <v>322090</v>
      </c>
      <c r="Q971" s="102">
        <f>LS[[#This Row],[Amount]]-LS[[#This Row],[Unit Capital]]</f>
        <v>77910</v>
      </c>
      <c r="R9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12.361128484900625</v>
      </c>
      <c r="S971" s="103">
        <f t="shared" si="15"/>
        <v>14.224</v>
      </c>
      <c r="T9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1" s="102" cm="1">
        <f t="array" ref="U971">IF(LS[[#This Row],[B/S]]="S",ABS(LS[[#This Row],[Unit]])*(INDEX(LS[NAV at Cost (Average)],MATCH(CONCATENATE((LS[[#This Row],[Frequency]]-1),LS[[#This Row],[Investor ID]]),LS[Unique Code],0),0)),0)</f>
        <v>0</v>
      </c>
      <c r="V971" s="102">
        <f>IF(LS[[#This Row],[BO TRANSFER]]="YES",LS[[#This Row],[Unit]],)</f>
        <v>0</v>
      </c>
      <c r="W971" s="102">
        <f>SUMIFS(LS[[#Headers],[BO UNIT TRANSFER]]:LS[[#This Row],[BO UNIT TRANSFER]],LS[[#Headers],[Investor ID]]:LS[[#This Row],[Investor ID]],LS[[#This Row],[Investor ID]])</f>
        <v>0</v>
      </c>
    </row>
    <row r="972" spans="1:23">
      <c r="A972" s="101">
        <v>2025</v>
      </c>
      <c r="B972" s="101">
        <v>5</v>
      </c>
      <c r="C972" s="101">
        <v>19</v>
      </c>
      <c r="D972" s="98">
        <f>DATE(LS[[#This Row],[Year]],LS[[#This Row],[Month]],LS[[#This Row],[Day]])</f>
        <v>45796</v>
      </c>
      <c r="E972" s="99" t="str" cm="1">
        <f t="array" ref="E972">INDEX(INVESTORS_LIST[INVESTOR NAME],MATCH(LS[[#This Row],[Investor ID]],INVESTORS_LIST[INVESTOR CODE],0),)</f>
        <v>MAYA RANI SAHA</v>
      </c>
      <c r="F972" s="100" t="s">
        <v>224</v>
      </c>
      <c r="G972" s="101">
        <f>COUNTIF(LS[[#Headers],[Investor ID]]:LS[[#This Row],[Investor ID]],LS[[#This Row],[Investor ID]])</f>
        <v>18</v>
      </c>
      <c r="H972" s="101" t="str">
        <f>CONCATENATE(LS[[#This Row],[Frequency]],LS[[#This Row],[Investor ID]])</f>
        <v>18A00088</v>
      </c>
      <c r="I972" s="75" t="str">
        <f>IF(LS[[#This Row],[B/S]]="B","BUY",(IF(LS[[#This Row],[B/S]]="S","SELL"," ")))</f>
        <v>BUY</v>
      </c>
      <c r="J972" s="101" t="s">
        <v>1229</v>
      </c>
      <c r="K972" s="102">
        <v>450000</v>
      </c>
      <c r="L972" s="99"/>
      <c r="M972" s="103">
        <f>LS[[#This Row],[Amount]]/LS[[#This Row],[Unit]]</f>
        <v>12.438842358404511</v>
      </c>
      <c r="N972" s="104">
        <f>LS[[#This Row],[Unit Capital]]/10</f>
        <v>36177</v>
      </c>
      <c r="O972" s="104">
        <f>SUMIFS(LS[[#Headers],[Unit]]:LS[[#This Row],[Unit]],LS[[#Headers],[Investor ID]]:LS[[#This Row],[Investor ID]],LS[[#This Row],[Investor ID]])</f>
        <v>451257</v>
      </c>
      <c r="P972" s="102">
        <v>361770</v>
      </c>
      <c r="Q972" s="102">
        <f>LS[[#This Row],[Amount]]-LS[[#This Row],[Unit Capital]]</f>
        <v>88230</v>
      </c>
      <c r="R9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10.812475672304812</v>
      </c>
      <c r="S972" s="103">
        <f t="shared" si="15"/>
        <v>14.224</v>
      </c>
      <c r="T97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2" s="102" cm="1">
        <f t="array" ref="U972">IF(LS[[#This Row],[B/S]]="S",ABS(LS[[#This Row],[Unit]])*(INDEX(LS[NAV at Cost (Average)],MATCH(CONCATENATE((LS[[#This Row],[Frequency]]-1),LS[[#This Row],[Investor ID]]),LS[Unique Code],0),0)),0)</f>
        <v>0</v>
      </c>
      <c r="V972" s="102">
        <f>IF(LS[[#This Row],[BO TRANSFER]]="YES",LS[[#This Row],[Unit]],)</f>
        <v>0</v>
      </c>
      <c r="W972" s="102">
        <f>SUMIFS(LS[[#Headers],[BO UNIT TRANSFER]]:LS[[#This Row],[BO UNIT TRANSFER]],LS[[#Headers],[Investor ID]]:LS[[#This Row],[Investor ID]],LS[[#This Row],[Investor ID]])</f>
        <v>0</v>
      </c>
    </row>
    <row r="973" spans="1:23">
      <c r="A973" s="101">
        <v>2025</v>
      </c>
      <c r="B973" s="101">
        <v>5</v>
      </c>
      <c r="C973" s="101">
        <v>19</v>
      </c>
      <c r="D973" s="98">
        <f>DATE(LS[[#This Row],[Year]],LS[[#This Row],[Month]],LS[[#This Row],[Day]])</f>
        <v>45796</v>
      </c>
      <c r="E973" s="99" t="str" cm="1">
        <f t="array" ref="E973">INDEX(INVESTORS_LIST[INVESTOR NAME],MATCH(LS[[#This Row],[Investor ID]],INVESTORS_LIST[INVESTOR CODE],0),)</f>
        <v>MOHAMMED ALI XAHANGIR</v>
      </c>
      <c r="F973" s="100" t="s">
        <v>312</v>
      </c>
      <c r="G973" s="101">
        <f>COUNTIF(LS[[#Headers],[Investor ID]]:LS[[#This Row],[Investor ID]],LS[[#This Row],[Investor ID]])</f>
        <v>4</v>
      </c>
      <c r="H973" s="101" t="str">
        <f>CONCATENATE(LS[[#This Row],[Frequency]],LS[[#This Row],[Investor ID]])</f>
        <v>4A00132</v>
      </c>
      <c r="I973" s="75" t="str">
        <f>IF(LS[[#This Row],[B/S]]="B","BUY",(IF(LS[[#This Row],[B/S]]="S","SELL"," ")))</f>
        <v>SELL</v>
      </c>
      <c r="J973" s="101" t="s">
        <v>1231</v>
      </c>
      <c r="K973" s="102">
        <v>-600000</v>
      </c>
      <c r="L973" s="99"/>
      <c r="M973" s="103">
        <f>LS[[#This Row],[Amount]]/LS[[#This Row],[Unit]]</f>
        <v>12.439100238416088</v>
      </c>
      <c r="N973" s="104">
        <f>LS[[#This Row],[Unit Capital]]/10</f>
        <v>-48235</v>
      </c>
      <c r="O973" s="104">
        <f>SUMIFS(LS[[#Headers],[Unit]]:LS[[#This Row],[Unit]],LS[[#Headers],[Investor ID]]:LS[[#This Row],[Investor ID]],LS[[#This Row],[Investor ID]])</f>
        <v>40468</v>
      </c>
      <c r="P973" s="102">
        <v>-482350</v>
      </c>
      <c r="Q973" s="102">
        <f>LS[[#This Row],[Amount]]-LS[[#This Row],[Unit Capital]]</f>
        <v>-117650</v>
      </c>
      <c r="R9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12.400933452081667</v>
      </c>
      <c r="S973" s="103">
        <f t="shared" si="15"/>
        <v>14.224</v>
      </c>
      <c r="T973" s="102">
        <f>IF(LS[[#This Row],[B/S]]="B",0,ABS(LS[[#This Row],[Unit]])*(LS[[#This Row],[NAV (Strike Rate)]]-INDEX(LS[NAV at Cost (Average)],MATCH(CONCATENATE(LS[[#This Row],[Frequency]]-1,LS[[#This Row],[Investor ID]]),LS[Unique Code],0),)))</f>
        <v>1840.9749388408425</v>
      </c>
      <c r="U973" s="102" cm="1">
        <f t="array" ref="U973">IF(LS[[#This Row],[B/S]]="S",ABS(LS[[#This Row],[Unit]])*(INDEX(LS[NAV at Cost (Average)],MATCH(CONCATENATE((LS[[#This Row],[Frequency]]-1),LS[[#This Row],[Investor ID]]),LS[Unique Code],0),0)),0)</f>
        <v>598159.02506115916</v>
      </c>
      <c r="V973" s="102">
        <f>IF(LS[[#This Row],[BO TRANSFER]]="YES",LS[[#This Row],[Unit]],)</f>
        <v>0</v>
      </c>
      <c r="W973" s="102">
        <f>SUMIFS(LS[[#Headers],[BO UNIT TRANSFER]]:LS[[#This Row],[BO UNIT TRANSFER]],LS[[#Headers],[Investor ID]]:LS[[#This Row],[Investor ID]],LS[[#This Row],[Investor ID]])</f>
        <v>0</v>
      </c>
    </row>
    <row r="974" spans="1:23">
      <c r="A974" s="101">
        <v>2025</v>
      </c>
      <c r="B974" s="101">
        <v>5</v>
      </c>
      <c r="C974" s="101">
        <v>19</v>
      </c>
      <c r="D974" s="98">
        <f>DATE(LS[[#This Row],[Year]],LS[[#This Row],[Month]],LS[[#This Row],[Day]])</f>
        <v>45796</v>
      </c>
      <c r="E974" s="99" t="str" cm="1">
        <f t="array" ref="E974">INDEX(INVESTORS_LIST[INVESTOR NAME],MATCH(LS[[#This Row],[Investor ID]],INVESTORS_LIST[INVESTOR CODE],0),)</f>
        <v>ARIFUR RAHMAN</v>
      </c>
      <c r="F974" s="100" t="s">
        <v>278</v>
      </c>
      <c r="G974" s="101">
        <f>COUNTIF(LS[[#Headers],[Investor ID]]:LS[[#This Row],[Investor ID]],LS[[#This Row],[Investor ID]])</f>
        <v>10</v>
      </c>
      <c r="H974" s="101" t="str">
        <f>CONCATENATE(LS[[#This Row],[Frequency]],LS[[#This Row],[Investor ID]])</f>
        <v>10A00115</v>
      </c>
      <c r="I974" s="75" t="str">
        <f>IF(LS[[#This Row],[B/S]]="B","BUY",(IF(LS[[#This Row],[B/S]]="S","SELL"," ")))</f>
        <v>BUY</v>
      </c>
      <c r="J974" s="101" t="s">
        <v>1229</v>
      </c>
      <c r="K974" s="102">
        <v>60000</v>
      </c>
      <c r="L974" s="99"/>
      <c r="M974" s="103">
        <f>LS[[#This Row],[Amount]]/LS[[#This Row],[Unit]]</f>
        <v>12.437810945273633</v>
      </c>
      <c r="N974" s="104">
        <f>LS[[#This Row],[Unit Capital]]/10</f>
        <v>4824</v>
      </c>
      <c r="O974" s="104">
        <f>SUMIFS(LS[[#Headers],[Unit]]:LS[[#This Row],[Unit]],LS[[#Headers],[Investor ID]]:LS[[#This Row],[Investor ID]],LS[[#This Row],[Investor ID]])</f>
        <v>37243</v>
      </c>
      <c r="P974" s="102">
        <v>48240</v>
      </c>
      <c r="Q974" s="102">
        <f>LS[[#This Row],[Amount]]-LS[[#This Row],[Unit Capital]]</f>
        <v>11760</v>
      </c>
      <c r="R9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11.253898379416697</v>
      </c>
      <c r="S974" s="103">
        <f t="shared" si="15"/>
        <v>14.224</v>
      </c>
      <c r="T9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4" s="102" cm="1">
        <f t="array" ref="U974">IF(LS[[#This Row],[B/S]]="S",ABS(LS[[#This Row],[Unit]])*(INDEX(LS[NAV at Cost (Average)],MATCH(CONCATENATE((LS[[#This Row],[Frequency]]-1),LS[[#This Row],[Investor ID]]),LS[Unique Code],0),0)),0)</f>
        <v>0</v>
      </c>
      <c r="V974" s="102">
        <f>IF(LS[[#This Row],[BO TRANSFER]]="YES",LS[[#This Row],[Unit]],)</f>
        <v>0</v>
      </c>
      <c r="W974" s="102">
        <f>SUMIFS(LS[[#Headers],[BO UNIT TRANSFER]]:LS[[#This Row],[BO UNIT TRANSFER]],LS[[#Headers],[Investor ID]]:LS[[#This Row],[Investor ID]],LS[[#This Row],[Investor ID]])</f>
        <v>0</v>
      </c>
    </row>
    <row r="975" spans="1:23">
      <c r="A975" s="101">
        <v>2025</v>
      </c>
      <c r="B975" s="101">
        <v>5</v>
      </c>
      <c r="C975" s="101">
        <v>20</v>
      </c>
      <c r="D975" s="98">
        <f>DATE(LS[[#This Row],[Year]],LS[[#This Row],[Month]],LS[[#This Row],[Day]])</f>
        <v>45797</v>
      </c>
      <c r="E975" s="99" t="str" cm="1">
        <f t="array" ref="E975">INDEX(INVESTORS_LIST[INVESTOR NAME],MATCH(LS[[#This Row],[Investor ID]],INVESTORS_LIST[INVESTOR CODE],0),)</f>
        <v>KHAN MUHAMMAD KAWSER AHMED</v>
      </c>
      <c r="F975" s="100" t="s">
        <v>944</v>
      </c>
      <c r="G975" s="101">
        <f>COUNTIF(LS[[#Headers],[Investor ID]]:LS[[#This Row],[Investor ID]],LS[[#This Row],[Investor ID]])</f>
        <v>25</v>
      </c>
      <c r="H975" s="101" t="str">
        <f>CONCATENATE(LS[[#This Row],[Frequency]],LS[[#This Row],[Investor ID]])</f>
        <v>25A00449</v>
      </c>
      <c r="I975" s="75" t="str">
        <f>IF(LS[[#This Row],[B/S]]="B","BUY",(IF(LS[[#This Row],[B/S]]="S","SELL"," ")))</f>
        <v>BUY</v>
      </c>
      <c r="J975" s="101" t="s">
        <v>1229</v>
      </c>
      <c r="K975" s="102">
        <v>5000000</v>
      </c>
      <c r="L975" s="99"/>
      <c r="M975" s="103">
        <f>LS[[#This Row],[Amount]]/LS[[#This Row],[Unit]]</f>
        <v>12.438986769893672</v>
      </c>
      <c r="N975" s="104">
        <f>LS[[#This Row],[Unit Capital]]/10</f>
        <v>401962</v>
      </c>
      <c r="O975" s="104">
        <f>SUMIFS(LS[[#Headers],[Unit]]:LS[[#This Row],[Unit]],LS[[#Headers],[Investor ID]]:LS[[#This Row],[Investor ID]],LS[[#This Row],[Investor ID]])</f>
        <v>12345972</v>
      </c>
      <c r="P975" s="102">
        <v>4019620</v>
      </c>
      <c r="Q975" s="102">
        <f>LS[[#This Row],[Amount]]-LS[[#This Row],[Unit Capital]]</f>
        <v>980380</v>
      </c>
      <c r="R9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11.889642952486449</v>
      </c>
      <c r="S975" s="103">
        <f t="shared" si="15"/>
        <v>14.224</v>
      </c>
      <c r="T97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5" s="102" cm="1">
        <f t="array" ref="U975">IF(LS[[#This Row],[B/S]]="S",ABS(LS[[#This Row],[Unit]])*(INDEX(LS[NAV at Cost (Average)],MATCH(CONCATENATE((LS[[#This Row],[Frequency]]-1),LS[[#This Row],[Investor ID]]),LS[Unique Code],0),0)),0)</f>
        <v>0</v>
      </c>
      <c r="V975" s="102">
        <f>IF(LS[[#This Row],[BO TRANSFER]]="YES",LS[[#This Row],[Unit]],)</f>
        <v>0</v>
      </c>
      <c r="W975" s="102">
        <f>SUMIFS(LS[[#Headers],[BO UNIT TRANSFER]]:LS[[#This Row],[BO UNIT TRANSFER]],LS[[#Headers],[Investor ID]]:LS[[#This Row],[Investor ID]],LS[[#This Row],[Investor ID]])</f>
        <v>0</v>
      </c>
    </row>
    <row r="976" spans="1:23">
      <c r="A976" s="101">
        <v>2025</v>
      </c>
      <c r="B976" s="101">
        <v>5</v>
      </c>
      <c r="C976" s="101">
        <v>20</v>
      </c>
      <c r="D976" s="98">
        <f>DATE(LS[[#This Row],[Year]],LS[[#This Row],[Month]],LS[[#This Row],[Day]])</f>
        <v>45797</v>
      </c>
      <c r="E976" s="99" t="str" cm="1">
        <f t="array" ref="E976">INDEX(INVESTORS_LIST[INVESTOR NAME],MATCH(LS[[#This Row],[Investor ID]],INVESTORS_LIST[INVESTOR CODE],0),)</f>
        <v>KHAN MUHAMMAD KAWSER AHMED</v>
      </c>
      <c r="F976" s="100" t="s">
        <v>944</v>
      </c>
      <c r="G976" s="101">
        <f>COUNTIF(LS[[#Headers],[Investor ID]]:LS[[#This Row],[Investor ID]],LS[[#This Row],[Investor ID]])</f>
        <v>26</v>
      </c>
      <c r="H976" s="101" t="str">
        <f>CONCATENATE(LS[[#This Row],[Frequency]],LS[[#This Row],[Investor ID]])</f>
        <v>26A00449</v>
      </c>
      <c r="I976" s="75" t="str">
        <f>IF(LS[[#This Row],[B/S]]="B","BUY",(IF(LS[[#This Row],[B/S]]="S","SELL"," ")))</f>
        <v>BUY</v>
      </c>
      <c r="J976" s="101" t="s">
        <v>1229</v>
      </c>
      <c r="K976" s="102">
        <v>13000000</v>
      </c>
      <c r="L976" s="99"/>
      <c r="M976" s="103">
        <f>LS[[#This Row],[Amount]]/LS[[#This Row],[Unit]]</f>
        <v>12.439001052530859</v>
      </c>
      <c r="N976" s="104">
        <f>LS[[#This Row],[Unit Capital]]/10</f>
        <v>1045100</v>
      </c>
      <c r="O976" s="104">
        <f>SUMIFS(LS[[#Headers],[Unit]]:LS[[#This Row],[Unit]],LS[[#Headers],[Investor ID]]:LS[[#This Row],[Investor ID]],LS[[#This Row],[Investor ID]])</f>
        <v>13391072</v>
      </c>
      <c r="P976" s="102">
        <v>10451000</v>
      </c>
      <c r="Q976" s="102">
        <f>LS[[#This Row],[Amount]]-LS[[#This Row],[Unit Capital]]</f>
        <v>2549000</v>
      </c>
      <c r="R9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11.932517350470151</v>
      </c>
      <c r="S976" s="103">
        <f t="shared" si="15"/>
        <v>14.224</v>
      </c>
      <c r="T97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6" s="102" cm="1">
        <f t="array" ref="U976">IF(LS[[#This Row],[B/S]]="S",ABS(LS[[#This Row],[Unit]])*(INDEX(LS[NAV at Cost (Average)],MATCH(CONCATENATE((LS[[#This Row],[Frequency]]-1),LS[[#This Row],[Investor ID]]),LS[Unique Code],0),0)),0)</f>
        <v>0</v>
      </c>
      <c r="V976" s="102">
        <f>IF(LS[[#This Row],[BO TRANSFER]]="YES",LS[[#This Row],[Unit]],)</f>
        <v>0</v>
      </c>
      <c r="W976" s="102">
        <f>SUMIFS(LS[[#Headers],[BO UNIT TRANSFER]]:LS[[#This Row],[BO UNIT TRANSFER]],LS[[#Headers],[Investor ID]]:LS[[#This Row],[Investor ID]],LS[[#This Row],[Investor ID]])</f>
        <v>0</v>
      </c>
    </row>
    <row r="977" spans="1:23">
      <c r="A977" s="101">
        <v>2025</v>
      </c>
      <c r="B977" s="101">
        <v>5</v>
      </c>
      <c r="C977" s="101">
        <v>21</v>
      </c>
      <c r="D977" s="98">
        <f>DATE(LS[[#This Row],[Year]],LS[[#This Row],[Month]],LS[[#This Row],[Day]])</f>
        <v>45798</v>
      </c>
      <c r="E977" s="99" t="str" cm="1">
        <f t="array" ref="E977">INDEX(INVESTORS_LIST[INVESTOR NAME],MATCH(LS[[#This Row],[Investor ID]],INVESTORS_LIST[INVESTOR CODE],0),)</f>
        <v>MALLIKA BISWAS</v>
      </c>
      <c r="F977" s="100" t="s">
        <v>970</v>
      </c>
      <c r="G977" s="101">
        <f>COUNTIF(LS[[#Headers],[Investor ID]]:LS[[#This Row],[Investor ID]],LS[[#This Row],[Investor ID]])</f>
        <v>3</v>
      </c>
      <c r="H977" s="101" t="str">
        <f>CONCATENATE(LS[[#This Row],[Frequency]],LS[[#This Row],[Investor ID]])</f>
        <v>3A00462</v>
      </c>
      <c r="I977" s="75" t="str">
        <f>IF(LS[[#This Row],[B/S]]="B","BUY",(IF(LS[[#This Row],[B/S]]="S","SELL"," ")))</f>
        <v>SELL</v>
      </c>
      <c r="J977" s="101" t="s">
        <v>1231</v>
      </c>
      <c r="K977" s="102">
        <v>-239786.6</v>
      </c>
      <c r="L977" s="99"/>
      <c r="M977" s="103">
        <f>LS[[#This Row],[Amount]]/LS[[#This Row],[Unit]]</f>
        <v>12.438999844374125</v>
      </c>
      <c r="N977" s="104">
        <f>LS[[#This Row],[Unit Capital]]/10</f>
        <v>-19277</v>
      </c>
      <c r="O977" s="104">
        <f>SUMIFS(LS[[#Headers],[Unit]]:LS[[#This Row],[Unit]],LS[[#Headers],[Investor ID]]:LS[[#This Row],[Investor ID]],LS[[#This Row],[Investor ID]])</f>
        <v>0</v>
      </c>
      <c r="P977" s="102">
        <v>-192770</v>
      </c>
      <c r="Q977" s="102">
        <f>LS[[#This Row],[Amount]]-LS[[#This Row],[Unit Capital]]</f>
        <v>-47016.600000000006</v>
      </c>
      <c r="R9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77" s="103">
        <f t="shared" si="15"/>
        <v>14.224</v>
      </c>
      <c r="T977" s="102">
        <f>IF(LS[[#This Row],[B/S]]="B",0,ABS(LS[[#This Row],[Unit]])*(LS[[#This Row],[NAV (Strike Rate)]]-INDEX(LS[NAV at Cost (Average)],MATCH(CONCATENATE(LS[[#This Row],[Frequency]]-1,LS[[#This Row],[Investor ID]]),LS[Unique Code],0),)))</f>
        <v>47016.600000000013</v>
      </c>
      <c r="U977" s="102" cm="1">
        <f t="array" ref="U977">IF(LS[[#This Row],[B/S]]="S",ABS(LS[[#This Row],[Unit]])*(INDEX(LS[NAV at Cost (Average)],MATCH(CONCATENATE((LS[[#This Row],[Frequency]]-1),LS[[#This Row],[Investor ID]]),LS[Unique Code],0),0)),0)</f>
        <v>192770</v>
      </c>
      <c r="V977" s="102">
        <f>IF(LS[[#This Row],[BO TRANSFER]]="YES",LS[[#This Row],[Unit]],)</f>
        <v>0</v>
      </c>
      <c r="W977" s="102">
        <f>SUMIFS(LS[[#Headers],[BO UNIT TRANSFER]]:LS[[#This Row],[BO UNIT TRANSFER]],LS[[#Headers],[Investor ID]]:LS[[#This Row],[Investor ID]],LS[[#This Row],[Investor ID]])</f>
        <v>0</v>
      </c>
    </row>
    <row r="978" spans="1:23">
      <c r="A978" s="101">
        <v>2025</v>
      </c>
      <c r="B978" s="101">
        <v>5</v>
      </c>
      <c r="C978" s="101">
        <v>22</v>
      </c>
      <c r="D978" s="98">
        <f>DATE(LS[[#This Row],[Year]],LS[[#This Row],[Month]],LS[[#This Row],[Day]])</f>
        <v>45799</v>
      </c>
      <c r="E978" s="99" t="str" cm="1">
        <f t="array" ref="E978">INDEX(INVESTORS_LIST[INVESTOR NAME],MATCH(LS[[#This Row],[Investor ID]],INVESTORS_LIST[INVESTOR CODE],0),)</f>
        <v>ARIFUR RAHMAN</v>
      </c>
      <c r="F978" s="100" t="s">
        <v>278</v>
      </c>
      <c r="G978" s="101">
        <f>COUNTIF(LS[[#Headers],[Investor ID]]:LS[[#This Row],[Investor ID]],LS[[#This Row],[Investor ID]])</f>
        <v>11</v>
      </c>
      <c r="H978" s="101" t="str">
        <f>CONCATENATE(LS[[#This Row],[Frequency]],LS[[#This Row],[Investor ID]])</f>
        <v>11A00115</v>
      </c>
      <c r="I978" s="75" t="str">
        <f>IF(LS[[#This Row],[B/S]]="B","BUY",(IF(LS[[#This Row],[B/S]]="S","SELL"," ")))</f>
        <v>BUY</v>
      </c>
      <c r="J978" s="101" t="s">
        <v>1229</v>
      </c>
      <c r="K978" s="102">
        <v>40000</v>
      </c>
      <c r="L978" s="99"/>
      <c r="M978" s="103">
        <f>LS[[#This Row],[Amount]]/LS[[#This Row],[Unit]]</f>
        <v>12.437810945273633</v>
      </c>
      <c r="N978" s="104">
        <f>LS[[#This Row],[Unit Capital]]/10</f>
        <v>3216</v>
      </c>
      <c r="O978" s="104">
        <f>SUMIFS(LS[[#Headers],[Unit]]:LS[[#This Row],[Unit]],LS[[#Headers],[Investor ID]]:LS[[#This Row],[Investor ID]],LS[[#This Row],[Investor ID]])</f>
        <v>40459</v>
      </c>
      <c r="P978" s="102">
        <v>32160</v>
      </c>
      <c r="Q978" s="102">
        <f>LS[[#This Row],[Amount]]-LS[[#This Row],[Unit Capital]]</f>
        <v>7840</v>
      </c>
      <c r="R9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11.348005075375466</v>
      </c>
      <c r="S978" s="103">
        <f t="shared" si="15"/>
        <v>14.224</v>
      </c>
      <c r="T9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78" s="102" cm="1">
        <f t="array" ref="U978">IF(LS[[#This Row],[B/S]]="S",ABS(LS[[#This Row],[Unit]])*(INDEX(LS[NAV at Cost (Average)],MATCH(CONCATENATE((LS[[#This Row],[Frequency]]-1),LS[[#This Row],[Investor ID]]),LS[Unique Code],0),0)),0)</f>
        <v>0</v>
      </c>
      <c r="V978" s="102">
        <f>IF(LS[[#This Row],[BO TRANSFER]]="YES",LS[[#This Row],[Unit]],)</f>
        <v>0</v>
      </c>
      <c r="W978" s="102">
        <f>SUMIFS(LS[[#Headers],[BO UNIT TRANSFER]]:LS[[#This Row],[BO UNIT TRANSFER]],LS[[#Headers],[Investor ID]]:LS[[#This Row],[Investor ID]],LS[[#This Row],[Investor ID]])</f>
        <v>0</v>
      </c>
    </row>
    <row r="979" spans="1:23">
      <c r="A979" s="101">
        <v>2025</v>
      </c>
      <c r="B979" s="101">
        <v>5</v>
      </c>
      <c r="C979" s="101">
        <v>22</v>
      </c>
      <c r="D979" s="98">
        <f>DATE(LS[[#This Row],[Year]],LS[[#This Row],[Month]],LS[[#This Row],[Day]])</f>
        <v>45799</v>
      </c>
      <c r="E979" s="99" t="str" cm="1">
        <f t="array" ref="E979">INDEX(INVESTORS_LIST[INVESTOR NAME],MATCH(LS[[#This Row],[Investor ID]],INVESTORS_LIST[INVESTOR CODE],0),)</f>
        <v>ADNAN NOOR</v>
      </c>
      <c r="F979" s="100" t="s">
        <v>1105</v>
      </c>
      <c r="G979" s="101">
        <f>COUNTIF(LS[[#Headers],[Investor ID]]:LS[[#This Row],[Investor ID]],LS[[#This Row],[Investor ID]])</f>
        <v>4</v>
      </c>
      <c r="H979" s="101" t="str">
        <f>CONCATENATE(LS[[#This Row],[Frequency]],LS[[#This Row],[Investor ID]])</f>
        <v>4A00529</v>
      </c>
      <c r="I979" s="75" t="str">
        <f>IF(LS[[#This Row],[B/S]]="B","BUY",(IF(LS[[#This Row],[B/S]]="S","SELL"," ")))</f>
        <v>SELL</v>
      </c>
      <c r="J979" s="101" t="s">
        <v>1231</v>
      </c>
      <c r="K979" s="102">
        <v>-500000</v>
      </c>
      <c r="L979" s="88"/>
      <c r="M979" s="103">
        <f>LS[[#This Row],[Amount]]/LS[[#This Row],[Unit]]</f>
        <v>12.439048661558363</v>
      </c>
      <c r="N979" s="104">
        <f>LS[[#This Row],[Unit Capital]]/10</f>
        <v>-40196</v>
      </c>
      <c r="O979" s="104">
        <f>SUMIFS(LS[[#Headers],[Unit]]:LS[[#This Row],[Unit]],LS[[#Headers],[Investor ID]]:LS[[#This Row],[Investor ID]],LS[[#This Row],[Investor ID]])</f>
        <v>65447</v>
      </c>
      <c r="P979" s="102">
        <v>-401960</v>
      </c>
      <c r="Q979" s="102">
        <f>LS[[#This Row],[Amount]]-LS[[#This Row],[Unit Capital]]</f>
        <v>-98040</v>
      </c>
      <c r="R9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10.846986978192131</v>
      </c>
      <c r="S979" s="103">
        <f t="shared" si="15"/>
        <v>14.224</v>
      </c>
      <c r="T979" s="102">
        <f>IF(LS[[#This Row],[B/S]]="B",0,ABS(LS[[#This Row],[Unit]])*(LS[[#This Row],[NAV (Strike Rate)]]-INDEX(LS[NAV at Cost (Average)],MATCH(CONCATENATE(LS[[#This Row],[Frequency]]-1,LS[[#This Row],[Investor ID]]),LS[Unique Code],0),)))</f>
        <v>63994.511424589073</v>
      </c>
      <c r="U979" s="102" cm="1">
        <f t="array" ref="U979">IF(LS[[#This Row],[B/S]]="S",ABS(LS[[#This Row],[Unit]])*(INDEX(LS[NAV at Cost (Average)],MATCH(CONCATENATE((LS[[#This Row],[Frequency]]-1),LS[[#This Row],[Investor ID]]),LS[Unique Code],0),0)),0)</f>
        <v>436005.48857541091</v>
      </c>
      <c r="V979" s="102">
        <f>IF(LS[[#This Row],[BO TRANSFER]]="YES",LS[[#This Row],[Unit]],)</f>
        <v>0</v>
      </c>
      <c r="W979" s="102">
        <f>SUMIFS(LS[[#Headers],[BO UNIT TRANSFER]]:LS[[#This Row],[BO UNIT TRANSFER]],LS[[#Headers],[Investor ID]]:LS[[#This Row],[Investor ID]],LS[[#This Row],[Investor ID]])</f>
        <v>0</v>
      </c>
    </row>
    <row r="980" spans="1:23">
      <c r="A980" s="101">
        <v>2025</v>
      </c>
      <c r="B980" s="101">
        <v>5</v>
      </c>
      <c r="C980" s="101">
        <v>22</v>
      </c>
      <c r="D980" s="98">
        <f>DATE(LS[[#This Row],[Year]],LS[[#This Row],[Month]],LS[[#This Row],[Day]])</f>
        <v>45799</v>
      </c>
      <c r="E980" s="99" t="str" cm="1">
        <f t="array" ref="E980">INDEX(INVESTORS_LIST[INVESTOR NAME],MATCH(LS[[#This Row],[Investor ID]],INVESTORS_LIST[INVESTOR CODE],0),)</f>
        <v>KAZI HABIBUR RAHMAN</v>
      </c>
      <c r="F980" s="100" t="s">
        <v>1114</v>
      </c>
      <c r="G980" s="101">
        <f>COUNTIF(LS[[#Headers],[Investor ID]]:LS[[#This Row],[Investor ID]],LS[[#This Row],[Investor ID]])</f>
        <v>29</v>
      </c>
      <c r="H980" s="101" t="str">
        <f>CONCATENATE(LS[[#This Row],[Frequency]],LS[[#This Row],[Investor ID]])</f>
        <v>29A00532</v>
      </c>
      <c r="I980" s="75" t="str">
        <f>IF(LS[[#This Row],[B/S]]="B","BUY",(IF(LS[[#This Row],[B/S]]="S","SELL"," ")))</f>
        <v>BUY</v>
      </c>
      <c r="J980" s="101" t="s">
        <v>1229</v>
      </c>
      <c r="K980" s="102">
        <v>363500</v>
      </c>
      <c r="L980" s="99"/>
      <c r="M980" s="103">
        <f>LS[[#This Row],[Amount]]/LS[[#This Row],[Unit]]</f>
        <v>12.438832426513363</v>
      </c>
      <c r="N980" s="104">
        <f>LS[[#This Row],[Unit Capital]]/10</f>
        <v>29223</v>
      </c>
      <c r="O980" s="104">
        <f>SUMIFS(LS[[#Headers],[Unit]]:LS[[#This Row],[Unit]],LS[[#Headers],[Investor ID]]:LS[[#This Row],[Investor ID]],LS[[#This Row],[Investor ID]])</f>
        <v>203750</v>
      </c>
      <c r="P980" s="102">
        <v>292230</v>
      </c>
      <c r="Q980" s="102">
        <f>LS[[#This Row],[Amount]]-LS[[#This Row],[Unit Capital]]</f>
        <v>71270</v>
      </c>
      <c r="R9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11.63534993538407</v>
      </c>
      <c r="S980" s="103">
        <f t="shared" si="15"/>
        <v>14.224</v>
      </c>
      <c r="T9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0" s="102" cm="1">
        <f t="array" ref="U980">IF(LS[[#This Row],[B/S]]="S",ABS(LS[[#This Row],[Unit]])*(INDEX(LS[NAV at Cost (Average)],MATCH(CONCATENATE((LS[[#This Row],[Frequency]]-1),LS[[#This Row],[Investor ID]]),LS[Unique Code],0),0)),0)</f>
        <v>0</v>
      </c>
      <c r="V980" s="102">
        <f>IF(LS[[#This Row],[BO TRANSFER]]="YES",LS[[#This Row],[Unit]],)</f>
        <v>0</v>
      </c>
      <c r="W980" s="102">
        <f>SUMIFS(LS[[#Headers],[BO UNIT TRANSFER]]:LS[[#This Row],[BO UNIT TRANSFER]],LS[[#Headers],[Investor ID]]:LS[[#This Row],[Investor ID]],LS[[#This Row],[Investor ID]])</f>
        <v>0</v>
      </c>
    </row>
    <row r="981" spans="1:23">
      <c r="A981" s="101">
        <v>2025</v>
      </c>
      <c r="B981" s="101">
        <v>5</v>
      </c>
      <c r="C981" s="101">
        <v>22</v>
      </c>
      <c r="D981" s="188">
        <f>DATE(LS[[#This Row],[Year]],LS[[#This Row],[Month]],LS[[#This Row],[Day]])</f>
        <v>45799</v>
      </c>
      <c r="E981" s="186" t="str" cm="1">
        <f t="array" ref="E981">INDEX(INVESTORS_LIST[INVESTOR NAME],MATCH(LS[[#This Row],[Investor ID]],INVESTORS_LIST[INVESTOR CODE],0),)</f>
        <v>RAHAT-UL-AMIN</v>
      </c>
      <c r="F981" s="189" t="s">
        <v>1331</v>
      </c>
      <c r="G981" s="187">
        <f>COUNTIF(LS[[#Headers],[Investor ID]]:LS[[#This Row],[Investor ID]],LS[[#This Row],[Investor ID]])</f>
        <v>1</v>
      </c>
      <c r="H981" s="187" t="str">
        <f>CONCATENATE(LS[[#This Row],[Frequency]],LS[[#This Row],[Investor ID]])</f>
        <v>1A00613</v>
      </c>
      <c r="I981" s="75" t="str">
        <f>IF(LS[[#This Row],[B/S]]="B","BUY",(IF(LS[[#This Row],[B/S]]="S","SELL"," ")))</f>
        <v>BUY</v>
      </c>
      <c r="J981" s="187" t="s">
        <v>1229</v>
      </c>
      <c r="K981" s="184">
        <v>500000</v>
      </c>
      <c r="L981" s="186"/>
      <c r="M981" s="190">
        <f>LS[[#This Row],[Amount]]/LS[[#This Row],[Unit]]</f>
        <v>12.439048661558363</v>
      </c>
      <c r="N981" s="185">
        <f>LS[[#This Row],[Unit Capital]]/10</f>
        <v>40196</v>
      </c>
      <c r="O981" s="185">
        <f>SUMIFS(LS[[#Headers],[Unit]]:LS[[#This Row],[Unit]],LS[[#Headers],[Investor ID]]:LS[[#This Row],[Investor ID]],LS[[#This Row],[Investor ID]])</f>
        <v>40196</v>
      </c>
      <c r="P981" s="102">
        <v>401960</v>
      </c>
      <c r="Q981" s="184">
        <f>LS[[#This Row],[Amount]]-LS[[#This Row],[Unit Capital]]</f>
        <v>98040</v>
      </c>
      <c r="R981" s="184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12.439048661558363</v>
      </c>
      <c r="S981" s="190">
        <f t="shared" si="15"/>
        <v>14.224</v>
      </c>
      <c r="T981" s="184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1" s="184" cm="1">
        <f t="array" ref="U981">IF(LS[[#This Row],[B/S]]="S",ABS(LS[[#This Row],[Unit]])*(INDEX(LS[NAV at Cost (Average)],MATCH(CONCATENATE((LS[[#This Row],[Frequency]]-1),LS[[#This Row],[Investor ID]]),LS[Unique Code],0),0)),0)</f>
        <v>0</v>
      </c>
      <c r="V981" s="184">
        <f>IF(LS[[#This Row],[BO TRANSFER]]="YES",LS[[#This Row],[Unit]],)</f>
        <v>0</v>
      </c>
      <c r="W981" s="184">
        <f>SUMIFS(LS[[#Headers],[BO UNIT TRANSFER]]:LS[[#This Row],[BO UNIT TRANSFER]],LS[[#Headers],[Investor ID]]:LS[[#This Row],[Investor ID]],LS[[#This Row],[Investor ID]])</f>
        <v>0</v>
      </c>
    </row>
    <row r="982" spans="1:23">
      <c r="A982" s="101">
        <v>2025</v>
      </c>
      <c r="B982" s="101">
        <v>5</v>
      </c>
      <c r="C982" s="101">
        <v>24</v>
      </c>
      <c r="D982" s="98">
        <f>DATE(LS[[#This Row],[Year]],LS[[#This Row],[Month]],LS[[#This Row],[Day]])</f>
        <v>45801</v>
      </c>
      <c r="E982" s="99" t="str" cm="1">
        <f t="array" ref="E982">INDEX(INVESTORS_LIST[INVESTOR NAME],MATCH(LS[[#This Row],[Investor ID]],INVESTORS_LIST[INVESTOR CODE],0),)</f>
        <v>KAZI HABIBUR RAHMAN</v>
      </c>
      <c r="F982" s="100" t="s">
        <v>1114</v>
      </c>
      <c r="G982" s="101">
        <f>COUNTIF(LS[[#Headers],[Investor ID]]:LS[[#This Row],[Investor ID]],LS[[#This Row],[Investor ID]])</f>
        <v>30</v>
      </c>
      <c r="H982" s="101" t="str">
        <f>CONCATENATE(LS[[#This Row],[Frequency]],LS[[#This Row],[Investor ID]])</f>
        <v>30A00532</v>
      </c>
      <c r="I982" s="75" t="str">
        <f>IF(LS[[#This Row],[B/S]]="B","BUY",(IF(LS[[#This Row],[B/S]]="S","SELL"," ")))</f>
        <v>BUY</v>
      </c>
      <c r="J982" s="187" t="s">
        <v>1229</v>
      </c>
      <c r="K982" s="102">
        <v>490000</v>
      </c>
      <c r="L982" s="99"/>
      <c r="M982" s="103">
        <f>LS[[#This Row],[Amount]]/LS[[#This Row],[Unit]]</f>
        <v>12.467876135467291</v>
      </c>
      <c r="N982" s="104">
        <f>LS[[#This Row],[Unit Capital]]/10</f>
        <v>39301</v>
      </c>
      <c r="O982" s="104">
        <f>SUMIFS(LS[[#Headers],[Unit]]:LS[[#This Row],[Unit]],LS[[#Headers],[Investor ID]]:LS[[#This Row],[Investor ID]],LS[[#This Row],[Investor ID]])</f>
        <v>243051</v>
      </c>
      <c r="P982" s="102">
        <v>393010</v>
      </c>
      <c r="Q982" s="102">
        <f>LS[[#This Row],[Amount]]-LS[[#This Row],[Unit Capital]]</f>
        <v>96990</v>
      </c>
      <c r="R9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11.769968234380867</v>
      </c>
      <c r="S982" s="103">
        <f t="shared" si="15"/>
        <v>14.224</v>
      </c>
      <c r="T9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2" s="102" cm="1">
        <f t="array" ref="U982">IF(LS[[#This Row],[B/S]]="S",ABS(LS[[#This Row],[Unit]])*(INDEX(LS[NAV at Cost (Average)],MATCH(CONCATENATE((LS[[#This Row],[Frequency]]-1),LS[[#This Row],[Investor ID]]),LS[Unique Code],0),0)),0)</f>
        <v>0</v>
      </c>
      <c r="V982" s="102">
        <f>IF(LS[[#This Row],[BO TRANSFER]]="YES",LS[[#This Row],[Unit]],)</f>
        <v>0</v>
      </c>
      <c r="W982" s="102">
        <f>SUMIFS(LS[[#Headers],[BO UNIT TRANSFER]]:LS[[#This Row],[BO UNIT TRANSFER]],LS[[#Headers],[Investor ID]]:LS[[#This Row],[Investor ID]],LS[[#This Row],[Investor ID]])</f>
        <v>0</v>
      </c>
    </row>
    <row r="983" spans="1:23">
      <c r="A983" s="101">
        <v>2025</v>
      </c>
      <c r="B983" s="101">
        <v>5</v>
      </c>
      <c r="C983" s="101">
        <v>25</v>
      </c>
      <c r="D983" s="98">
        <f>DATE(LS[[#This Row],[Year]],LS[[#This Row],[Month]],LS[[#This Row],[Day]])</f>
        <v>45802</v>
      </c>
      <c r="E983" s="99" t="str" cm="1">
        <f t="array" ref="E983">INDEX(INVESTORS_LIST[INVESTOR NAME],MATCH(LS[[#This Row],[Investor ID]],INVESTORS_LIST[INVESTOR CODE],0),)</f>
        <v>LILY RANI PAUL</v>
      </c>
      <c r="F983" s="100" t="s">
        <v>214</v>
      </c>
      <c r="G983" s="101">
        <f>COUNTIF(LS[[#Headers],[Investor ID]]:LS[[#This Row],[Investor ID]],LS[[#This Row],[Investor ID]])</f>
        <v>5</v>
      </c>
      <c r="H983" s="101" t="str">
        <f>CONCATENATE(LS[[#This Row],[Frequency]],LS[[#This Row],[Investor ID]])</f>
        <v>5A00083</v>
      </c>
      <c r="I983" s="75" t="str">
        <f>IF(LS[[#This Row],[B/S]]="B","BUY",(IF(LS[[#This Row],[B/S]]="S","SELL"," ")))</f>
        <v>SELL</v>
      </c>
      <c r="J983" s="101" t="s">
        <v>1231</v>
      </c>
      <c r="K983" s="102">
        <v>-300000</v>
      </c>
      <c r="L983" s="99"/>
      <c r="M983" s="103">
        <f>LS[[#This Row],[Amount]]/LS[[#This Row],[Unit]]</f>
        <v>12.467791538525477</v>
      </c>
      <c r="N983" s="104">
        <f>LS[[#This Row],[Unit Capital]]/10</f>
        <v>-24062</v>
      </c>
      <c r="O983" s="104">
        <f>SUMIFS(LS[[#Headers],[Unit]]:LS[[#This Row],[Unit]],LS[[#Headers],[Investor ID]]:LS[[#This Row],[Investor ID]],LS[[#This Row],[Investor ID]])</f>
        <v>89642</v>
      </c>
      <c r="P983" s="102">
        <v>-240620</v>
      </c>
      <c r="Q983" s="102">
        <f>LS[[#This Row],[Amount]]-LS[[#This Row],[Unit Capital]]</f>
        <v>-59380</v>
      </c>
      <c r="R9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10.461067099766666</v>
      </c>
      <c r="S983" s="103">
        <f t="shared" si="15"/>
        <v>14.224</v>
      </c>
      <c r="T983" s="102">
        <f>IF(LS[[#This Row],[B/S]]="B",0,ABS(LS[[#This Row],[Unit]])*(LS[[#This Row],[NAV (Strike Rate)]]-INDEX(LS[NAV at Cost (Average)],MATCH(CONCATENATE(LS[[#This Row],[Frequency]]-1,LS[[#This Row],[Investor ID]]),LS[Unique Code],0),)))</f>
        <v>48285.803445414502</v>
      </c>
      <c r="U983" s="102" cm="1">
        <f t="array" ref="U983">IF(LS[[#This Row],[B/S]]="S",ABS(LS[[#This Row],[Unit]])*(INDEX(LS[NAV at Cost (Average)],MATCH(CONCATENATE((LS[[#This Row],[Frequency]]-1),LS[[#This Row],[Investor ID]]),LS[Unique Code],0),0)),0)</f>
        <v>251714.19655458551</v>
      </c>
      <c r="V983" s="102">
        <f>IF(LS[[#This Row],[BO TRANSFER]]="YES",LS[[#This Row],[Unit]],)</f>
        <v>0</v>
      </c>
      <c r="W983" s="102">
        <f>SUMIFS(LS[[#Headers],[BO UNIT TRANSFER]]:LS[[#This Row],[BO UNIT TRANSFER]],LS[[#Headers],[Investor ID]]:LS[[#This Row],[Investor ID]],LS[[#This Row],[Investor ID]])</f>
        <v>0</v>
      </c>
    </row>
    <row r="984" spans="1:23">
      <c r="A984" s="101">
        <v>2025</v>
      </c>
      <c r="B984" s="101">
        <v>5</v>
      </c>
      <c r="C984" s="101">
        <v>26</v>
      </c>
      <c r="D984" s="98">
        <f>DATE(LS[[#This Row],[Year]],LS[[#This Row],[Month]],LS[[#This Row],[Day]])</f>
        <v>45803</v>
      </c>
      <c r="E984" s="99" t="str" cm="1">
        <f t="array" ref="E984">INDEX(INVESTORS_LIST[INVESTOR NAME],MATCH(LS[[#This Row],[Investor ID]],INVESTORS_LIST[INVESTOR CODE],0),)</f>
        <v>TAMANNA AFRIN MITUL</v>
      </c>
      <c r="F984" s="100" t="s">
        <v>1157</v>
      </c>
      <c r="G984" s="101">
        <f>COUNTIF(LS[[#Headers],[Investor ID]]:LS[[#This Row],[Investor ID]],LS[[#This Row],[Investor ID]])</f>
        <v>8</v>
      </c>
      <c r="H984" s="101" t="str">
        <f>CONCATENATE(LS[[#This Row],[Frequency]],LS[[#This Row],[Investor ID]])</f>
        <v>8A00554</v>
      </c>
      <c r="I984" s="75" t="str">
        <f>IF(LS[[#This Row],[B/S]]="B","BUY",(IF(LS[[#This Row],[B/S]]="S","SELL"," ")))</f>
        <v>BUY</v>
      </c>
      <c r="J984" s="101" t="s">
        <v>1229</v>
      </c>
      <c r="K984" s="102">
        <v>70000</v>
      </c>
      <c r="L984" s="99"/>
      <c r="M984" s="103">
        <f>LS[[#This Row],[Amount]]/LS[[#This Row],[Unit]]</f>
        <v>12.468827930174564</v>
      </c>
      <c r="N984" s="104">
        <f>LS[[#This Row],[Unit Capital]]/10</f>
        <v>5614</v>
      </c>
      <c r="O984" s="104">
        <f>SUMIFS(LS[[#Headers],[Unit]]:LS[[#This Row],[Unit]],LS[[#Headers],[Investor ID]]:LS[[#This Row],[Investor ID]],LS[[#This Row],[Investor ID]])</f>
        <v>10888</v>
      </c>
      <c r="P984" s="102">
        <v>56140</v>
      </c>
      <c r="Q984" s="102">
        <f>LS[[#This Row],[Amount]]-LS[[#This Row],[Unit Capital]]</f>
        <v>13860</v>
      </c>
      <c r="R9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12.162658308345907</v>
      </c>
      <c r="S984" s="103">
        <f t="shared" si="15"/>
        <v>14.224</v>
      </c>
      <c r="T9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4" s="102" cm="1">
        <f t="array" ref="U984">IF(LS[[#This Row],[B/S]]="S",ABS(LS[[#This Row],[Unit]])*(INDEX(LS[NAV at Cost (Average)],MATCH(CONCATENATE((LS[[#This Row],[Frequency]]-1),LS[[#This Row],[Investor ID]]),LS[Unique Code],0),0)),0)</f>
        <v>0</v>
      </c>
      <c r="V984" s="102">
        <f>IF(LS[[#This Row],[BO TRANSFER]]="YES",LS[[#This Row],[Unit]],)</f>
        <v>0</v>
      </c>
      <c r="W984" s="102">
        <f>SUMIFS(LS[[#Headers],[BO UNIT TRANSFER]]:LS[[#This Row],[BO UNIT TRANSFER]],LS[[#Headers],[Investor ID]]:LS[[#This Row],[Investor ID]],LS[[#This Row],[Investor ID]])</f>
        <v>0</v>
      </c>
    </row>
    <row r="985" spans="1:23">
      <c r="A985" s="101">
        <v>2025</v>
      </c>
      <c r="B985" s="101">
        <v>5</v>
      </c>
      <c r="C985" s="101">
        <v>26</v>
      </c>
      <c r="D985" s="98">
        <f>DATE(LS[[#This Row],[Year]],LS[[#This Row],[Month]],LS[[#This Row],[Day]])</f>
        <v>45803</v>
      </c>
      <c r="E985" s="99" t="str" cm="1">
        <f t="array" ref="E985">INDEX(INVESTORS_LIST[INVESTOR NAME],MATCH(LS[[#This Row],[Investor ID]],INVESTORS_LIST[INVESTOR CODE],0),)</f>
        <v>ASFIA AFRIN TONNY</v>
      </c>
      <c r="F985" s="100" t="s">
        <v>1061</v>
      </c>
      <c r="G985" s="101">
        <f>COUNTIF(LS[[#Headers],[Investor ID]]:LS[[#This Row],[Investor ID]],LS[[#This Row],[Investor ID]])</f>
        <v>4</v>
      </c>
      <c r="H985" s="101" t="str">
        <f>CONCATENATE(LS[[#This Row],[Frequency]],LS[[#This Row],[Investor ID]])</f>
        <v>4A00508</v>
      </c>
      <c r="I985" s="75" t="str">
        <f>IF(LS[[#This Row],[B/S]]="B","BUY",(IF(LS[[#This Row],[B/S]]="S","SELL"," ")))</f>
        <v>SELL</v>
      </c>
      <c r="J985" s="101" t="s">
        <v>1231</v>
      </c>
      <c r="K985" s="102">
        <v>-301600.92</v>
      </c>
      <c r="L985" s="99"/>
      <c r="M985" s="103">
        <f>LS[[#This Row],[Amount]]/LS[[#This Row],[Unit]]</f>
        <v>12.468</v>
      </c>
      <c r="N985" s="104">
        <f>LS[[#This Row],[Unit Capital]]/10</f>
        <v>-24190</v>
      </c>
      <c r="O985" s="104">
        <f>SUMIFS(LS[[#Headers],[Unit]]:LS[[#This Row],[Unit]],LS[[#Headers],[Investor ID]]:LS[[#This Row],[Investor ID]],LS[[#This Row],[Investor ID]])</f>
        <v>0</v>
      </c>
      <c r="P985" s="102">
        <v>-241900</v>
      </c>
      <c r="Q985" s="102">
        <f>LS[[#This Row],[Amount]]-LS[[#This Row],[Unit Capital]]</f>
        <v>-59700.919999999984</v>
      </c>
      <c r="R9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85" s="103">
        <f t="shared" si="15"/>
        <v>14.224</v>
      </c>
      <c r="T985" s="102">
        <f>IF(LS[[#This Row],[B/S]]="B",0,ABS(LS[[#This Row],[Unit]])*(LS[[#This Row],[NAV (Strike Rate)]]-INDEX(LS[NAV at Cost (Average)],MATCH(CONCATENATE(LS[[#This Row],[Frequency]]-1,LS[[#This Row],[Investor ID]]),LS[Unique Code],0),)))</f>
        <v>50389.344259207981</v>
      </c>
      <c r="U985" s="102" cm="1">
        <f t="array" ref="U985">IF(LS[[#This Row],[B/S]]="S",ABS(LS[[#This Row],[Unit]])*(INDEX(LS[NAV at Cost (Average)],MATCH(CONCATENATE((LS[[#This Row],[Frequency]]-1),LS[[#This Row],[Investor ID]]),LS[Unique Code],0),0)),0)</f>
        <v>251211.57574079203</v>
      </c>
      <c r="V985" s="102">
        <f>IF(LS[[#This Row],[BO TRANSFER]]="YES",LS[[#This Row],[Unit]],)</f>
        <v>0</v>
      </c>
      <c r="W985" s="102">
        <f>SUMIFS(LS[[#Headers],[BO UNIT TRANSFER]]:LS[[#This Row],[BO UNIT TRANSFER]],LS[[#Headers],[Investor ID]]:LS[[#This Row],[Investor ID]],LS[[#This Row],[Investor ID]])</f>
        <v>0</v>
      </c>
    </row>
    <row r="986" spans="1:23">
      <c r="A986" s="101">
        <v>2025</v>
      </c>
      <c r="B986" s="101">
        <v>5</v>
      </c>
      <c r="C986" s="101">
        <v>27</v>
      </c>
      <c r="D986" s="98">
        <f>DATE(LS[[#This Row],[Year]],LS[[#This Row],[Month]],LS[[#This Row],[Day]])</f>
        <v>45804</v>
      </c>
      <c r="E986" s="99" t="str" cm="1">
        <f t="array" ref="E986">INDEX(INVESTORS_LIST[INVESTOR NAME],MATCH(LS[[#This Row],[Investor ID]],INVESTORS_LIST[INVESTOR CODE],0),)</f>
        <v>KAZI HABIBUR RAHMAN</v>
      </c>
      <c r="F986" s="100" t="s">
        <v>1114</v>
      </c>
      <c r="G986" s="101">
        <f>COUNTIF(LS[[#Headers],[Investor ID]]:LS[[#This Row],[Investor ID]],LS[[#This Row],[Investor ID]])</f>
        <v>31</v>
      </c>
      <c r="H986" s="101" t="str">
        <f>CONCATENATE(LS[[#This Row],[Frequency]],LS[[#This Row],[Investor ID]])</f>
        <v>31A00532</v>
      </c>
      <c r="I986" s="75" t="str">
        <f>IF(LS[[#This Row],[B/S]]="B","BUY",(IF(LS[[#This Row],[B/S]]="S","SELL"," ")))</f>
        <v>BUY</v>
      </c>
      <c r="J986" s="101" t="s">
        <v>1229</v>
      </c>
      <c r="K986" s="102">
        <v>1010000</v>
      </c>
      <c r="L986" s="99"/>
      <c r="M986" s="103">
        <f>LS[[#This Row],[Amount]]/LS[[#This Row],[Unit]]</f>
        <v>12.468058315948005</v>
      </c>
      <c r="N986" s="104">
        <f>LS[[#This Row],[Unit Capital]]/10</f>
        <v>81007</v>
      </c>
      <c r="O986" s="104">
        <f>SUMIFS(LS[[#Headers],[Unit]]:LS[[#This Row],[Unit]],LS[[#Headers],[Investor ID]]:LS[[#This Row],[Investor ID]],LS[[#This Row],[Investor ID]])</f>
        <v>324058</v>
      </c>
      <c r="P986" s="102">
        <v>810070</v>
      </c>
      <c r="Q986" s="102">
        <f>LS[[#This Row],[Amount]]-LS[[#This Row],[Unit Capital]]</f>
        <v>199930</v>
      </c>
      <c r="R9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11.944474598172254</v>
      </c>
      <c r="S986" s="103">
        <f t="shared" si="15"/>
        <v>14.224</v>
      </c>
      <c r="T98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6" s="102" cm="1">
        <f t="array" ref="U986">IF(LS[[#This Row],[B/S]]="S",ABS(LS[[#This Row],[Unit]])*(INDEX(LS[NAV at Cost (Average)],MATCH(CONCATENATE((LS[[#This Row],[Frequency]]-1),LS[[#This Row],[Investor ID]]),LS[Unique Code],0),0)),0)</f>
        <v>0</v>
      </c>
      <c r="V986" s="102">
        <f>IF(LS[[#This Row],[BO TRANSFER]]="YES",LS[[#This Row],[Unit]],)</f>
        <v>0</v>
      </c>
      <c r="W986" s="102">
        <f>SUMIFS(LS[[#Headers],[BO UNIT TRANSFER]]:LS[[#This Row],[BO UNIT TRANSFER]],LS[[#Headers],[Investor ID]]:LS[[#This Row],[Investor ID]],LS[[#This Row],[Investor ID]])</f>
        <v>0</v>
      </c>
    </row>
    <row r="987" spans="1:23">
      <c r="A987" s="101">
        <v>2025</v>
      </c>
      <c r="B987" s="101">
        <v>5</v>
      </c>
      <c r="C987" s="101">
        <v>28</v>
      </c>
      <c r="D987" s="98">
        <f>DATE(LS[[#This Row],[Year]],LS[[#This Row],[Month]],LS[[#This Row],[Day]])</f>
        <v>45805</v>
      </c>
      <c r="E987" s="99" t="str" cm="1">
        <f t="array" ref="E987">INDEX(INVESTORS_LIST[INVESTOR NAME],MATCH(LS[[#This Row],[Investor ID]],INVESTORS_LIST[INVESTOR CODE],0),)</f>
        <v>SHUVA SAHA</v>
      </c>
      <c r="F987" s="100" t="s">
        <v>154</v>
      </c>
      <c r="G987" s="101">
        <f>COUNTIF(LS[[#Headers],[Investor ID]]:LS[[#This Row],[Investor ID]],LS[[#This Row],[Investor ID]])</f>
        <v>13</v>
      </c>
      <c r="H987" s="101" t="str">
        <f>CONCATENATE(LS[[#This Row],[Frequency]],LS[[#This Row],[Investor ID]])</f>
        <v>13A00053</v>
      </c>
      <c r="I987" s="75" t="str">
        <f>IF(LS[[#This Row],[B/S]]="B","BUY",(IF(LS[[#This Row],[B/S]]="S","SELL"," ")))</f>
        <v>BUY</v>
      </c>
      <c r="J987" s="101" t="s">
        <v>1229</v>
      </c>
      <c r="K987" s="102">
        <v>200000</v>
      </c>
      <c r="L987" s="88"/>
      <c r="M987" s="103">
        <f>LS[[#This Row],[Amount]]/LS[[#This Row],[Unit]]</f>
        <v>12.468050620285519</v>
      </c>
      <c r="N987" s="104">
        <f>LS[[#This Row],[Unit Capital]]/10</f>
        <v>16041</v>
      </c>
      <c r="O987" s="104">
        <f>SUMIFS(LS[[#Headers],[Unit]]:LS[[#This Row],[Unit]],LS[[#Headers],[Investor ID]]:LS[[#This Row],[Investor ID]],LS[[#This Row],[Investor ID]])</f>
        <v>68682</v>
      </c>
      <c r="P987" s="102">
        <v>160410</v>
      </c>
      <c r="Q987" s="102">
        <f>LS[[#This Row],[Amount]]-LS[[#This Row],[Unit Capital]]</f>
        <v>39590</v>
      </c>
      <c r="R9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12.265265331119629</v>
      </c>
      <c r="S987" s="103">
        <f t="shared" si="15"/>
        <v>14.224</v>
      </c>
      <c r="T98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7" s="102" cm="1">
        <f t="array" ref="U987">IF(LS[[#This Row],[B/S]]="S",ABS(LS[[#This Row],[Unit]])*(INDEX(LS[NAV at Cost (Average)],MATCH(CONCATENATE((LS[[#This Row],[Frequency]]-1),LS[[#This Row],[Investor ID]]),LS[Unique Code],0),0)),0)</f>
        <v>0</v>
      </c>
      <c r="V987" s="102">
        <f>IF(LS[[#This Row],[BO TRANSFER]]="YES",LS[[#This Row],[Unit]],)</f>
        <v>0</v>
      </c>
      <c r="W987" s="102">
        <f>SUMIFS(LS[[#Headers],[BO UNIT TRANSFER]]:LS[[#This Row],[BO UNIT TRANSFER]],LS[[#Headers],[Investor ID]]:LS[[#This Row],[Investor ID]],LS[[#This Row],[Investor ID]])</f>
        <v>0</v>
      </c>
    </row>
    <row r="988" spans="1:23">
      <c r="A988" s="101">
        <v>2025</v>
      </c>
      <c r="B988" s="101">
        <v>5</v>
      </c>
      <c r="C988" s="101">
        <v>28</v>
      </c>
      <c r="D988" s="98">
        <f>DATE(LS[[#This Row],[Year]],LS[[#This Row],[Month]],LS[[#This Row],[Day]])</f>
        <v>45805</v>
      </c>
      <c r="E988" s="99" t="str" cm="1">
        <f t="array" ref="E988">INDEX(INVESTORS_LIST[INVESTOR NAME],MATCH(LS[[#This Row],[Investor ID]],INVESTORS_LIST[INVESTOR CODE],0),)</f>
        <v>MAKID HAIDER</v>
      </c>
      <c r="F988" s="100" t="s">
        <v>1186</v>
      </c>
      <c r="G988" s="101">
        <f>COUNTIF(LS[[#Headers],[Investor ID]]:LS[[#This Row],[Investor ID]],LS[[#This Row],[Investor ID]])</f>
        <v>2</v>
      </c>
      <c r="H988" s="101" t="str">
        <f>CONCATENATE(LS[[#This Row],[Frequency]],LS[[#This Row],[Investor ID]])</f>
        <v>2A00569</v>
      </c>
      <c r="I988" s="75" t="str">
        <f>IF(LS[[#This Row],[B/S]]="B","BUY",(IF(LS[[#This Row],[B/S]]="S","SELL"," ")))</f>
        <v>BUY</v>
      </c>
      <c r="J988" s="101" t="s">
        <v>1229</v>
      </c>
      <c r="K988" s="102">
        <v>300000</v>
      </c>
      <c r="L988" s="99"/>
      <c r="M988" s="103">
        <f>LS[[#This Row],[Amount]]/LS[[#This Row],[Unit]]</f>
        <v>12.467791538525477</v>
      </c>
      <c r="N988" s="104">
        <f>LS[[#This Row],[Unit Capital]]/10</f>
        <v>24062</v>
      </c>
      <c r="O988" s="104">
        <f>SUMIFS(LS[[#Headers],[Unit]]:LS[[#This Row],[Unit]],LS[[#Headers],[Investor ID]]:LS[[#This Row],[Investor ID]],LS[[#This Row],[Investor ID]])</f>
        <v>50963</v>
      </c>
      <c r="P988" s="102">
        <v>240620</v>
      </c>
      <c r="Q988" s="102">
        <f>LS[[#This Row],[Amount]]-LS[[#This Row],[Unit Capital]]</f>
        <v>59380</v>
      </c>
      <c r="R9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11.773247257814493</v>
      </c>
      <c r="S988" s="103">
        <f t="shared" si="15"/>
        <v>14.224</v>
      </c>
      <c r="T9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8" s="102" cm="1">
        <f t="array" ref="U988">IF(LS[[#This Row],[B/S]]="S",ABS(LS[[#This Row],[Unit]])*(INDEX(LS[NAV at Cost (Average)],MATCH(CONCATENATE((LS[[#This Row],[Frequency]]-1),LS[[#This Row],[Investor ID]]),LS[Unique Code],0),0)),0)</f>
        <v>0</v>
      </c>
      <c r="V988" s="102">
        <f>IF(LS[[#This Row],[BO TRANSFER]]="YES",LS[[#This Row],[Unit]],)</f>
        <v>0</v>
      </c>
      <c r="W988" s="102">
        <f>SUMIFS(LS[[#Headers],[BO UNIT TRANSFER]]:LS[[#This Row],[BO UNIT TRANSFER]],LS[[#Headers],[Investor ID]]:LS[[#This Row],[Investor ID]],LS[[#This Row],[Investor ID]])</f>
        <v>0</v>
      </c>
    </row>
    <row r="989" spans="1:23">
      <c r="A989" s="101">
        <v>2025</v>
      </c>
      <c r="B989" s="101">
        <v>5</v>
      </c>
      <c r="C989" s="101">
        <v>28</v>
      </c>
      <c r="D989" s="98">
        <f>DATE(LS[[#This Row],[Year]],LS[[#This Row],[Month]],LS[[#This Row],[Day]])</f>
        <v>45805</v>
      </c>
      <c r="E989" s="99" t="str" cm="1">
        <f t="array" ref="E989">INDEX(INVESTORS_LIST[INVESTOR NAME],MATCH(LS[[#This Row],[Investor ID]],INVESTORS_LIST[INVESTOR CODE],0),)</f>
        <v>TAMANNA AFRIN MITUL</v>
      </c>
      <c r="F989" s="100" t="s">
        <v>1157</v>
      </c>
      <c r="G989" s="101">
        <f>COUNTIF(LS[[#Headers],[Investor ID]]:LS[[#This Row],[Investor ID]],LS[[#This Row],[Investor ID]])</f>
        <v>9</v>
      </c>
      <c r="H989" s="101" t="str">
        <f>CONCATENATE(LS[[#This Row],[Frequency]],LS[[#This Row],[Investor ID]])</f>
        <v>9A00554</v>
      </c>
      <c r="I989" s="75" t="str">
        <f>IF(LS[[#This Row],[B/S]]="B","BUY",(IF(LS[[#This Row],[B/S]]="S","SELL"," ")))</f>
        <v>BUY</v>
      </c>
      <c r="J989" s="101" t="s">
        <v>1229</v>
      </c>
      <c r="K989" s="102">
        <v>110000</v>
      </c>
      <c r="L989" s="99"/>
      <c r="M989" s="103">
        <f>LS[[#This Row],[Amount]]/LS[[#This Row],[Unit]]</f>
        <v>12.46741471154936</v>
      </c>
      <c r="N989" s="104">
        <f>LS[[#This Row],[Unit Capital]]/10</f>
        <v>8823</v>
      </c>
      <c r="O989" s="104">
        <f>SUMIFS(LS[[#Headers],[Unit]]:LS[[#This Row],[Unit]],LS[[#Headers],[Investor ID]]:LS[[#This Row],[Investor ID]],LS[[#This Row],[Investor ID]])</f>
        <v>19711</v>
      </c>
      <c r="P989" s="102">
        <v>88230</v>
      </c>
      <c r="Q989" s="102">
        <f>LS[[#This Row],[Amount]]-LS[[#This Row],[Unit Capital]]</f>
        <v>21770</v>
      </c>
      <c r="R9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12.299072784803929</v>
      </c>
      <c r="S989" s="103">
        <f t="shared" si="15"/>
        <v>14.224</v>
      </c>
      <c r="T98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89" s="102" cm="1">
        <f t="array" ref="U989">IF(LS[[#This Row],[B/S]]="S",ABS(LS[[#This Row],[Unit]])*(INDEX(LS[NAV at Cost (Average)],MATCH(CONCATENATE((LS[[#This Row],[Frequency]]-1),LS[[#This Row],[Investor ID]]),LS[Unique Code],0),0)),0)</f>
        <v>0</v>
      </c>
      <c r="V989" s="102">
        <f>IF(LS[[#This Row],[BO TRANSFER]]="YES",LS[[#This Row],[Unit]],)</f>
        <v>0</v>
      </c>
      <c r="W989" s="102">
        <f>SUMIFS(LS[[#Headers],[BO UNIT TRANSFER]]:LS[[#This Row],[BO UNIT TRANSFER]],LS[[#Headers],[Investor ID]]:LS[[#This Row],[Investor ID]],LS[[#This Row],[Investor ID]])</f>
        <v>0</v>
      </c>
    </row>
    <row r="990" spans="1:23">
      <c r="A990" s="101">
        <v>2025</v>
      </c>
      <c r="B990" s="101">
        <v>5</v>
      </c>
      <c r="C990" s="101">
        <v>28</v>
      </c>
      <c r="D990" s="98">
        <f>DATE(LS[[#This Row],[Year]],LS[[#This Row],[Month]],LS[[#This Row],[Day]])</f>
        <v>45805</v>
      </c>
      <c r="E990" s="99" t="str" cm="1">
        <f t="array" ref="E990">INDEX(INVESTORS_LIST[INVESTOR NAME],MATCH(LS[[#This Row],[Investor ID]],INVESTORS_LIST[INVESTOR CODE],0),)</f>
        <v>FARZANA JITU</v>
      </c>
      <c r="F990" s="100" t="s">
        <v>968</v>
      </c>
      <c r="G990" s="101">
        <f>COUNTIF(LS[[#Headers],[Investor ID]]:LS[[#This Row],[Investor ID]],LS[[#This Row],[Investor ID]])</f>
        <v>30</v>
      </c>
      <c r="H990" s="101" t="str">
        <f>CONCATENATE(LS[[#This Row],[Frequency]],LS[[#This Row],[Investor ID]])</f>
        <v>30A00461</v>
      </c>
      <c r="I990" s="75" t="str">
        <f>IF(LS[[#This Row],[B/S]]="B","BUY",(IF(LS[[#This Row],[B/S]]="S","SELL"," ")))</f>
        <v>BUY</v>
      </c>
      <c r="J990" s="101" t="s">
        <v>1229</v>
      </c>
      <c r="K990" s="102">
        <v>70000</v>
      </c>
      <c r="L990" s="88"/>
      <c r="M990" s="103">
        <f>LS[[#This Row],[Amount]]/LS[[#This Row],[Unit]]</f>
        <v>12.468827930174564</v>
      </c>
      <c r="N990" s="104">
        <f>LS[[#This Row],[Unit Capital]]/10</f>
        <v>5614</v>
      </c>
      <c r="O990" s="104">
        <f>SUMIFS(LS[[#Headers],[Unit]]:LS[[#This Row],[Unit]],LS[[#Headers],[Investor ID]]:LS[[#This Row],[Investor ID]],LS[[#This Row],[Investor ID]])</f>
        <v>97864</v>
      </c>
      <c r="P990" s="102">
        <v>56140</v>
      </c>
      <c r="Q990" s="102">
        <f>LS[[#This Row],[Amount]]-LS[[#This Row],[Unit Capital]]</f>
        <v>13860</v>
      </c>
      <c r="R9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12.364097114362792</v>
      </c>
      <c r="S990" s="103">
        <f t="shared" si="15"/>
        <v>14.224</v>
      </c>
      <c r="T99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0" s="102" cm="1">
        <f t="array" ref="U990">IF(LS[[#This Row],[B/S]]="S",ABS(LS[[#This Row],[Unit]])*(INDEX(LS[NAV at Cost (Average)],MATCH(CONCATENATE((LS[[#This Row],[Frequency]]-1),LS[[#This Row],[Investor ID]]),LS[Unique Code],0),0)),0)</f>
        <v>0</v>
      </c>
      <c r="V990" s="102">
        <f>IF(LS[[#This Row],[BO TRANSFER]]="YES",LS[[#This Row],[Unit]],)</f>
        <v>0</v>
      </c>
      <c r="W990" s="102">
        <f>SUMIFS(LS[[#Headers],[BO UNIT TRANSFER]]:LS[[#This Row],[BO UNIT TRANSFER]],LS[[#Headers],[Investor ID]]:LS[[#This Row],[Investor ID]],LS[[#This Row],[Investor ID]])</f>
        <v>0</v>
      </c>
    </row>
    <row r="991" spans="1:23">
      <c r="A991" s="101">
        <v>2025</v>
      </c>
      <c r="B991" s="101">
        <v>6</v>
      </c>
      <c r="C991" s="101">
        <v>1</v>
      </c>
      <c r="D991" s="98">
        <f>DATE(LS[[#This Row],[Year]],LS[[#This Row],[Month]],LS[[#This Row],[Day]])</f>
        <v>45809</v>
      </c>
      <c r="E991" s="99" t="str" cm="1">
        <f t="array" ref="E991">INDEX(INVESTORS_LIST[INVESTOR NAME],MATCH(LS[[#This Row],[Investor ID]],INVESTORS_LIST[INVESTOR CODE],0),)</f>
        <v>TAMANNA AFRIN MITUL</v>
      </c>
      <c r="F991" s="97" t="s">
        <v>1157</v>
      </c>
      <c r="G991" s="101">
        <f>COUNTIF(LS[[#Headers],[Investor ID]]:LS[[#This Row],[Investor ID]],LS[[#This Row],[Investor ID]])</f>
        <v>10</v>
      </c>
      <c r="H991" s="101" t="str">
        <f>CONCATENATE(LS[[#This Row],[Frequency]],LS[[#This Row],[Investor ID]])</f>
        <v>10A00554</v>
      </c>
      <c r="I991" s="75" t="str">
        <f>IF(LS[[#This Row],[B/S]]="B","BUY",(IF(LS[[#This Row],[B/S]]="S","SELL"," ")))</f>
        <v>BUY</v>
      </c>
      <c r="J991" s="101" t="s">
        <v>1229</v>
      </c>
      <c r="K991" s="102">
        <v>80000</v>
      </c>
      <c r="L991" s="99"/>
      <c r="M991" s="103">
        <f>LS[[#This Row],[Amount]]/LS[[#This Row],[Unit]]</f>
        <v>12.496094970321774</v>
      </c>
      <c r="N991" s="104">
        <f>LS[[#This Row],[Unit Capital]]/10</f>
        <v>6402</v>
      </c>
      <c r="O991" s="104">
        <f>SUMIFS(LS[[#Headers],[Unit]]:LS[[#This Row],[Unit]],LS[[#Headers],[Investor ID]]:LS[[#This Row],[Investor ID]],LS[[#This Row],[Investor ID]])</f>
        <v>26113</v>
      </c>
      <c r="P991" s="102">
        <v>64020</v>
      </c>
      <c r="Q991" s="102">
        <f>LS[[#This Row],[Amount]]-LS[[#This Row],[Unit Capital]]</f>
        <v>15980</v>
      </c>
      <c r="R9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12.347375776864789</v>
      </c>
      <c r="S991" s="103">
        <f t="shared" si="15"/>
        <v>14.224</v>
      </c>
      <c r="T99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1" s="102" cm="1">
        <f t="array" ref="U991">IF(LS[[#This Row],[B/S]]="S",ABS(LS[[#This Row],[Unit]])*(INDEX(LS[NAV at Cost (Average)],MATCH(CONCATENATE((LS[[#This Row],[Frequency]]-1),LS[[#This Row],[Investor ID]]),LS[Unique Code],0),0)),0)</f>
        <v>0</v>
      </c>
      <c r="V991" s="102">
        <f>IF(LS[[#This Row],[BO TRANSFER]]="YES",LS[[#This Row],[Unit]],)</f>
        <v>0</v>
      </c>
      <c r="W991" s="102">
        <f>SUMIFS(LS[[#Headers],[BO UNIT TRANSFER]]:LS[[#This Row],[BO UNIT TRANSFER]],LS[[#Headers],[Investor ID]]:LS[[#This Row],[Investor ID]],LS[[#This Row],[Investor ID]])</f>
        <v>0</v>
      </c>
    </row>
    <row r="992" spans="1:23">
      <c r="A992" s="101">
        <v>2025</v>
      </c>
      <c r="B992" s="101">
        <v>6</v>
      </c>
      <c r="C992" s="101">
        <v>2</v>
      </c>
      <c r="D992" s="98">
        <f>DATE(LS[[#This Row],[Year]],LS[[#This Row],[Month]],LS[[#This Row],[Day]])</f>
        <v>45810</v>
      </c>
      <c r="E992" s="99" t="str" cm="1">
        <f t="array" ref="E992">INDEX(INVESTORS_LIST[INVESTOR NAME],MATCH(LS[[#This Row],[Investor ID]],INVESTORS_LIST[INVESTOR CODE],0),)</f>
        <v>MD SHAFIQUR RAHMAN MONSI</v>
      </c>
      <c r="F992" s="100" t="s">
        <v>1034</v>
      </c>
      <c r="G992" s="101">
        <f>COUNTIF(LS[[#Headers],[Investor ID]]:LS[[#This Row],[Investor ID]],LS[[#This Row],[Investor ID]])</f>
        <v>15</v>
      </c>
      <c r="H992" s="101" t="str">
        <f>CONCATENATE(LS[[#This Row],[Frequency]],LS[[#This Row],[Investor ID]])</f>
        <v>15A00494</v>
      </c>
      <c r="I992" s="75" t="str">
        <f>IF(LS[[#This Row],[B/S]]="B","BUY",(IF(LS[[#This Row],[B/S]]="S","SELL"," ")))</f>
        <v>BUY</v>
      </c>
      <c r="J992" s="101" t="s">
        <v>1229</v>
      </c>
      <c r="K992" s="102">
        <v>300000</v>
      </c>
      <c r="L992" s="99"/>
      <c r="M992" s="103">
        <f>LS[[#This Row],[Amount]]/LS[[#This Row],[Unit]]</f>
        <v>12.495834721759413</v>
      </c>
      <c r="N992" s="104">
        <f>LS[[#This Row],[Unit Capital]]/10</f>
        <v>24008</v>
      </c>
      <c r="O992" s="104">
        <f>SUMIFS(LS[[#Headers],[Unit]]:LS[[#This Row],[Unit]],LS[[#Headers],[Investor ID]]:LS[[#This Row],[Investor ID]],LS[[#This Row],[Investor ID]])</f>
        <v>24008</v>
      </c>
      <c r="P992" s="102">
        <v>240080</v>
      </c>
      <c r="Q992" s="102">
        <f>LS[[#This Row],[Amount]]-LS[[#This Row],[Unit Capital]]</f>
        <v>59920</v>
      </c>
      <c r="R9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12.495834721759413</v>
      </c>
      <c r="S992" s="103">
        <f t="shared" si="15"/>
        <v>14.224</v>
      </c>
      <c r="T9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2" s="102" cm="1">
        <f t="array" ref="U992">IF(LS[[#This Row],[B/S]]="S",ABS(LS[[#This Row],[Unit]])*(INDEX(LS[NAV at Cost (Average)],MATCH(CONCATENATE((LS[[#This Row],[Frequency]]-1),LS[[#This Row],[Investor ID]]),LS[Unique Code],0),0)),0)</f>
        <v>0</v>
      </c>
      <c r="V992" s="102">
        <f>IF(LS[[#This Row],[BO TRANSFER]]="YES",LS[[#This Row],[Unit]],)</f>
        <v>0</v>
      </c>
      <c r="W992" s="102">
        <f>SUMIFS(LS[[#Headers],[BO UNIT TRANSFER]]:LS[[#This Row],[BO UNIT TRANSFER]],LS[[#Headers],[Investor ID]]:LS[[#This Row],[Investor ID]],LS[[#This Row],[Investor ID]])</f>
        <v>0</v>
      </c>
    </row>
    <row r="993" spans="1:23">
      <c r="A993" s="101">
        <v>2025</v>
      </c>
      <c r="B993" s="101">
        <v>6</v>
      </c>
      <c r="C993" s="101">
        <v>2</v>
      </c>
      <c r="D993" s="98">
        <f>DATE(LS[[#This Row],[Year]],LS[[#This Row],[Month]],LS[[#This Row],[Day]])</f>
        <v>45810</v>
      </c>
      <c r="E993" s="99" t="str" cm="1">
        <f t="array" ref="E993">INDEX(INVESTORS_LIST[INVESTOR NAME],MATCH(LS[[#This Row],[Investor ID]],INVESTORS_LIST[INVESTOR CODE],0),)</f>
        <v>MD SHAFIQUR RAHMAN MONSI</v>
      </c>
      <c r="F993" s="100" t="s">
        <v>1034</v>
      </c>
      <c r="G993" s="101">
        <f>COUNTIF(LS[[#Headers],[Investor ID]]:LS[[#This Row],[Investor ID]],LS[[#This Row],[Investor ID]])</f>
        <v>16</v>
      </c>
      <c r="H993" s="101" t="str">
        <f>CONCATENATE(LS[[#This Row],[Frequency]],LS[[#This Row],[Investor ID]])</f>
        <v>16A00494</v>
      </c>
      <c r="I993" s="75" t="str">
        <f>IF(LS[[#This Row],[B/S]]="B","BUY",(IF(LS[[#This Row],[B/S]]="S","SELL"," ")))</f>
        <v>BUY</v>
      </c>
      <c r="J993" s="101" t="s">
        <v>1229</v>
      </c>
      <c r="K993" s="102">
        <v>200000</v>
      </c>
      <c r="L993" s="99"/>
      <c r="M993" s="103">
        <f>LS[[#This Row],[Amount]]/LS[[#This Row],[Unit]]</f>
        <v>12.496094970321774</v>
      </c>
      <c r="N993" s="104">
        <f>LS[[#This Row],[Unit Capital]]/10</f>
        <v>16005</v>
      </c>
      <c r="O993" s="104">
        <f>SUMIFS(LS[[#Headers],[Unit]]:LS[[#This Row],[Unit]],LS[[#Headers],[Investor ID]]:LS[[#This Row],[Investor ID]],LS[[#This Row],[Investor ID]])</f>
        <v>40013</v>
      </c>
      <c r="P993" s="102">
        <v>160050</v>
      </c>
      <c r="Q993" s="102">
        <f>LS[[#This Row],[Amount]]-LS[[#This Row],[Unit Capital]]</f>
        <v>39950</v>
      </c>
      <c r="R9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12.495938819883538</v>
      </c>
      <c r="S993" s="103">
        <f t="shared" si="15"/>
        <v>14.224</v>
      </c>
      <c r="T99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3" s="102" cm="1">
        <f t="array" ref="U993">IF(LS[[#This Row],[B/S]]="S",ABS(LS[[#This Row],[Unit]])*(INDEX(LS[NAV at Cost (Average)],MATCH(CONCATENATE((LS[[#This Row],[Frequency]]-1),LS[[#This Row],[Investor ID]]),LS[Unique Code],0),0)),0)</f>
        <v>0</v>
      </c>
      <c r="V993" s="102">
        <f>IF(LS[[#This Row],[BO TRANSFER]]="YES",LS[[#This Row],[Unit]],)</f>
        <v>0</v>
      </c>
      <c r="W993" s="102">
        <f>SUMIFS(LS[[#Headers],[BO UNIT TRANSFER]]:LS[[#This Row],[BO UNIT TRANSFER]],LS[[#Headers],[Investor ID]]:LS[[#This Row],[Investor ID]],LS[[#This Row],[Investor ID]])</f>
        <v>0</v>
      </c>
    </row>
    <row r="994" spans="1:23">
      <c r="A994" s="101">
        <v>2025</v>
      </c>
      <c r="B994" s="101">
        <v>6</v>
      </c>
      <c r="C994" s="101">
        <v>2</v>
      </c>
      <c r="D994" s="98">
        <f>DATE(LS[[#This Row],[Year]],LS[[#This Row],[Month]],LS[[#This Row],[Day]])</f>
        <v>45810</v>
      </c>
      <c r="E994" s="99" t="str" cm="1">
        <f t="array" ref="E994">INDEX(INVESTORS_LIST[INVESTOR NAME],MATCH(LS[[#This Row],[Investor ID]],INVESTORS_LIST[INVESTOR CODE],0),)</f>
        <v>ATIQUR RAHMAN KHAN</v>
      </c>
      <c r="F994" s="100" t="s">
        <v>1335</v>
      </c>
      <c r="G994" s="101">
        <f>COUNTIF(LS[[#Headers],[Investor ID]]:LS[[#This Row],[Investor ID]],LS[[#This Row],[Investor ID]])</f>
        <v>1</v>
      </c>
      <c r="H994" s="101" t="str">
        <f>CONCATENATE(LS[[#This Row],[Frequency]],LS[[#This Row],[Investor ID]])</f>
        <v>1A00614</v>
      </c>
      <c r="I994" s="75" t="str">
        <f>IF(LS[[#This Row],[B/S]]="B","BUY",(IF(LS[[#This Row],[B/S]]="S","SELL"," ")))</f>
        <v>BUY</v>
      </c>
      <c r="J994" s="101" t="s">
        <v>1229</v>
      </c>
      <c r="K994" s="102">
        <v>300000</v>
      </c>
      <c r="L994" s="99"/>
      <c r="M994" s="103">
        <f>LS[[#This Row],[Amount]]/LS[[#This Row],[Unit]]</f>
        <v>12.495834721759413</v>
      </c>
      <c r="N994" s="104">
        <f>LS[[#This Row],[Unit Capital]]/10</f>
        <v>24008</v>
      </c>
      <c r="O994" s="104">
        <f>SUMIFS(LS[[#Headers],[Unit]]:LS[[#This Row],[Unit]],LS[[#Headers],[Investor ID]]:LS[[#This Row],[Investor ID]],LS[[#This Row],[Investor ID]])</f>
        <v>24008</v>
      </c>
      <c r="P994" s="102">
        <v>240080</v>
      </c>
      <c r="Q994" s="102">
        <f>LS[[#This Row],[Amount]]-LS[[#This Row],[Unit Capital]]</f>
        <v>59920</v>
      </c>
      <c r="R9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12.495834721759413</v>
      </c>
      <c r="S994" s="103">
        <f t="shared" si="15"/>
        <v>14.224</v>
      </c>
      <c r="T9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4" s="102" cm="1">
        <f t="array" ref="U994">IF(LS[[#This Row],[B/S]]="S",ABS(LS[[#This Row],[Unit]])*(INDEX(LS[NAV at Cost (Average)],MATCH(CONCATENATE((LS[[#This Row],[Frequency]]-1),LS[[#This Row],[Investor ID]]),LS[Unique Code],0),0)),0)</f>
        <v>0</v>
      </c>
      <c r="V994" s="102">
        <f>IF(LS[[#This Row],[BO TRANSFER]]="YES",LS[[#This Row],[Unit]],)</f>
        <v>0</v>
      </c>
      <c r="W994" s="102">
        <f>SUMIFS(LS[[#Headers],[BO UNIT TRANSFER]]:LS[[#This Row],[BO UNIT TRANSFER]],LS[[#Headers],[Investor ID]]:LS[[#This Row],[Investor ID]],LS[[#This Row],[Investor ID]])</f>
        <v>0</v>
      </c>
    </row>
    <row r="995" spans="1:23">
      <c r="A995" s="101">
        <v>2025</v>
      </c>
      <c r="B995" s="101">
        <v>6</v>
      </c>
      <c r="C995" s="101">
        <v>2</v>
      </c>
      <c r="D995" s="98">
        <f>DATE(LS[[#This Row],[Year]],LS[[#This Row],[Month]],LS[[#This Row],[Day]])</f>
        <v>45810</v>
      </c>
      <c r="E995" s="99" t="str" cm="1">
        <f t="array" ref="E995">INDEX(INVESTORS_LIST[INVESTOR NAME],MATCH(LS[[#This Row],[Investor ID]],INVESTORS_LIST[INVESTOR CODE],0),)</f>
        <v>ATIQUR RAHMAN KHAN</v>
      </c>
      <c r="F995" s="100" t="s">
        <v>1335</v>
      </c>
      <c r="G995" s="101">
        <f>COUNTIF(LS[[#Headers],[Investor ID]]:LS[[#This Row],[Investor ID]],LS[[#This Row],[Investor ID]])</f>
        <v>2</v>
      </c>
      <c r="H995" s="101" t="str">
        <f>CONCATENATE(LS[[#This Row],[Frequency]],LS[[#This Row],[Investor ID]])</f>
        <v>2A00614</v>
      </c>
      <c r="I995" s="75" t="str">
        <f>IF(LS[[#This Row],[B/S]]="B","BUY",(IF(LS[[#This Row],[B/S]]="S","SELL"," ")))</f>
        <v>BUY</v>
      </c>
      <c r="J995" s="101" t="s">
        <v>1229</v>
      </c>
      <c r="K995" s="102">
        <v>200000</v>
      </c>
      <c r="L995" s="99"/>
      <c r="M995" s="103">
        <f>LS[[#This Row],[Amount]]/LS[[#This Row],[Unit]]</f>
        <v>12.496094970321774</v>
      </c>
      <c r="N995" s="104">
        <f>LS[[#This Row],[Unit Capital]]/10</f>
        <v>16005</v>
      </c>
      <c r="O995" s="104">
        <f>SUMIFS(LS[[#Headers],[Unit]]:LS[[#This Row],[Unit]],LS[[#Headers],[Investor ID]]:LS[[#This Row],[Investor ID]],LS[[#This Row],[Investor ID]])</f>
        <v>40013</v>
      </c>
      <c r="P995" s="102">
        <v>160050</v>
      </c>
      <c r="Q995" s="102">
        <f>LS[[#This Row],[Amount]]-LS[[#This Row],[Unit Capital]]</f>
        <v>39950</v>
      </c>
      <c r="R9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12.495938819883538</v>
      </c>
      <c r="S995" s="103">
        <f t="shared" si="15"/>
        <v>14.224</v>
      </c>
      <c r="T9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5" s="102" cm="1">
        <f t="array" ref="U995">IF(LS[[#This Row],[B/S]]="S",ABS(LS[[#This Row],[Unit]])*(INDEX(LS[NAV at Cost (Average)],MATCH(CONCATENATE((LS[[#This Row],[Frequency]]-1),LS[[#This Row],[Investor ID]]),LS[Unique Code],0),0)),0)</f>
        <v>0</v>
      </c>
      <c r="V995" s="102">
        <f>IF(LS[[#This Row],[BO TRANSFER]]="YES",LS[[#This Row],[Unit]],)</f>
        <v>0</v>
      </c>
      <c r="W995" s="102">
        <f>SUMIFS(LS[[#Headers],[BO UNIT TRANSFER]]:LS[[#This Row],[BO UNIT TRANSFER]],LS[[#Headers],[Investor ID]]:LS[[#This Row],[Investor ID]],LS[[#This Row],[Investor ID]])</f>
        <v>0</v>
      </c>
    </row>
    <row r="996" spans="1:23">
      <c r="A996" s="101">
        <v>2025</v>
      </c>
      <c r="B996" s="101">
        <v>6</v>
      </c>
      <c r="C996" s="101">
        <v>3</v>
      </c>
      <c r="D996" s="98">
        <f>DATE(LS[[#This Row],[Year]],LS[[#This Row],[Month]],LS[[#This Row],[Day]])</f>
        <v>45811</v>
      </c>
      <c r="E996" s="99" t="str" cm="1">
        <f t="array" ref="E996">INDEX(INVESTORS_LIST[INVESTOR NAME],MATCH(LS[[#This Row],[Investor ID]],INVESTORS_LIST[INVESTOR CODE],0),)</f>
        <v>MD. WALID - AL - ZUBAYER</v>
      </c>
      <c r="F996" s="100" t="s">
        <v>565</v>
      </c>
      <c r="G996" s="101">
        <f>COUNTIF(LS[[#Headers],[Investor ID]]:LS[[#This Row],[Investor ID]],LS[[#This Row],[Investor ID]])</f>
        <v>12</v>
      </c>
      <c r="H996" s="101" t="str">
        <f>CONCATENATE(LS[[#This Row],[Frequency]],LS[[#This Row],[Investor ID]])</f>
        <v>12A00258</v>
      </c>
      <c r="I996" s="75" t="str">
        <f>IF(LS[[#This Row],[B/S]]="B","BUY",(IF(LS[[#This Row],[B/S]]="S","SELL"," ")))</f>
        <v>SELL</v>
      </c>
      <c r="J996" s="101" t="s">
        <v>1231</v>
      </c>
      <c r="K996" s="102">
        <v>-1247913.04</v>
      </c>
      <c r="L996" s="99"/>
      <c r="M996" s="103">
        <f>LS[[#This Row],[Amount]]/LS[[#This Row],[Unit]]</f>
        <v>12.496</v>
      </c>
      <c r="N996" s="104">
        <f>LS[[#This Row],[Unit Capital]]/10</f>
        <v>-99865</v>
      </c>
      <c r="O996" s="104">
        <f>SUMIFS(LS[[#Headers],[Unit]]:LS[[#This Row],[Unit]],LS[[#Headers],[Investor ID]]:LS[[#This Row],[Investor ID]],LS[[#This Row],[Investor ID]])</f>
        <v>146247</v>
      </c>
      <c r="P996" s="102">
        <v>-998650</v>
      </c>
      <c r="Q996" s="102">
        <f>LS[[#This Row],[Amount]]-LS[[#This Row],[Unit Capital]]</f>
        <v>-249263.04000000004</v>
      </c>
      <c r="R9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12.033876349692614</v>
      </c>
      <c r="S996" s="103">
        <f t="shared" si="15"/>
        <v>14.224</v>
      </c>
      <c r="T996" s="102">
        <f>IF(LS[[#This Row],[B/S]]="B",0,ABS(LS[[#This Row],[Unit]])*(LS[[#This Row],[NAV (Strike Rate)]]-INDEX(LS[NAV at Cost (Average)],MATCH(CONCATENATE(LS[[#This Row],[Frequency]]-1,LS[[#This Row],[Investor ID]]),LS[Unique Code],0),)))</f>
        <v>46149.97833794717</v>
      </c>
      <c r="U996" s="102" cm="1">
        <f t="array" ref="U996">IF(LS[[#This Row],[B/S]]="S",ABS(LS[[#This Row],[Unit]])*(INDEX(LS[NAV at Cost (Average)],MATCH(CONCATENATE((LS[[#This Row],[Frequency]]-1),LS[[#This Row],[Investor ID]]),LS[Unique Code],0),0)),0)</f>
        <v>1201763.0616620528</v>
      </c>
      <c r="V996" s="102">
        <f>IF(LS[[#This Row],[BO TRANSFER]]="YES",LS[[#This Row],[Unit]],)</f>
        <v>0</v>
      </c>
      <c r="W996" s="102">
        <f>SUMIFS(LS[[#Headers],[BO UNIT TRANSFER]]:LS[[#This Row],[BO UNIT TRANSFER]],LS[[#Headers],[Investor ID]]:LS[[#This Row],[Investor ID]],LS[[#This Row],[Investor ID]])</f>
        <v>0</v>
      </c>
    </row>
    <row r="997" spans="1:23">
      <c r="A997" s="101">
        <v>2025</v>
      </c>
      <c r="B997" s="101">
        <v>6</v>
      </c>
      <c r="C997" s="101">
        <v>3</v>
      </c>
      <c r="D997" s="98">
        <f>DATE(LS[[#This Row],[Year]],LS[[#This Row],[Month]],LS[[#This Row],[Day]])</f>
        <v>45811</v>
      </c>
      <c r="E997" s="99" t="str" cm="1">
        <f t="array" ref="E997">INDEX(INVESTORS_LIST[INVESTOR NAME],MATCH(LS[[#This Row],[Investor ID]],INVESTORS_LIST[INVESTOR CODE],0),)</f>
        <v>S.M. MAHBUBUR RAHMAN</v>
      </c>
      <c r="F997" s="100" t="s">
        <v>1067</v>
      </c>
      <c r="G997" s="101">
        <f>COUNTIF(LS[[#Headers],[Investor ID]]:LS[[#This Row],[Investor ID]],LS[[#This Row],[Investor ID]])</f>
        <v>2</v>
      </c>
      <c r="H997" s="101" t="str">
        <f>CONCATENATE(LS[[#This Row],[Frequency]],LS[[#This Row],[Investor ID]])</f>
        <v>2A00511</v>
      </c>
      <c r="I997" s="75" t="str">
        <f>IF(LS[[#This Row],[B/S]]="B","BUY",(IF(LS[[#This Row],[B/S]]="S","SELL"," ")))</f>
        <v>SELL</v>
      </c>
      <c r="J997" s="101" t="s">
        <v>1231</v>
      </c>
      <c r="K997" s="102">
        <v>-437360</v>
      </c>
      <c r="L997" s="99"/>
      <c r="M997" s="103">
        <f>LS[[#This Row],[Amount]]/LS[[#This Row],[Unit]]</f>
        <v>12.496</v>
      </c>
      <c r="N997" s="104">
        <f>LS[[#This Row],[Unit Capital]]/10</f>
        <v>-35000</v>
      </c>
      <c r="O997" s="104">
        <f>SUMIFS(LS[[#Headers],[Unit]]:LS[[#This Row],[Unit]],LS[[#Headers],[Investor ID]]:LS[[#This Row],[Investor ID]],LS[[#This Row],[Investor ID]])</f>
        <v>0</v>
      </c>
      <c r="P997" s="102">
        <v>-350000</v>
      </c>
      <c r="Q997" s="102">
        <f>LS[[#This Row],[Amount]]-LS[[#This Row],[Unit Capital]]</f>
        <v>-87360</v>
      </c>
      <c r="R9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97" s="103">
        <f t="shared" si="15"/>
        <v>14.224</v>
      </c>
      <c r="T997" s="102">
        <f>IF(LS[[#This Row],[B/S]]="B",0,ABS(LS[[#This Row],[Unit]])*(LS[[#This Row],[NAV (Strike Rate)]]-INDEX(LS[NAV at Cost (Average)],MATCH(CONCATENATE(LS[[#This Row],[Frequency]]-1,LS[[#This Row],[Investor ID]]),LS[Unique Code],0),)))</f>
        <v>71995.000000000015</v>
      </c>
      <c r="U997" s="102" cm="1">
        <f t="array" ref="U997">IF(LS[[#This Row],[B/S]]="S",ABS(LS[[#This Row],[Unit]])*(INDEX(LS[NAV at Cost (Average)],MATCH(CONCATENATE((LS[[#This Row],[Frequency]]-1),LS[[#This Row],[Investor ID]]),LS[Unique Code],0),0)),0)</f>
        <v>365365</v>
      </c>
      <c r="V997" s="102">
        <f>IF(LS[[#This Row],[BO TRANSFER]]="YES",LS[[#This Row],[Unit]],)</f>
        <v>0</v>
      </c>
      <c r="W997" s="102">
        <f>SUMIFS(LS[[#Headers],[BO UNIT TRANSFER]]:LS[[#This Row],[BO UNIT TRANSFER]],LS[[#Headers],[Investor ID]]:LS[[#This Row],[Investor ID]],LS[[#This Row],[Investor ID]])</f>
        <v>0</v>
      </c>
    </row>
    <row r="998" spans="1:23">
      <c r="A998" s="101">
        <v>2025</v>
      </c>
      <c r="B998" s="101">
        <v>6</v>
      </c>
      <c r="C998" s="101">
        <v>3</v>
      </c>
      <c r="D998" s="98">
        <f>DATE(LS[[#This Row],[Year]],LS[[#This Row],[Month]],LS[[#This Row],[Day]])</f>
        <v>45811</v>
      </c>
      <c r="E998" s="99" t="str" cm="1">
        <f t="array" ref="E998">INDEX(INVESTORS_LIST[INVESTOR NAME],MATCH(LS[[#This Row],[Investor ID]],INVESTORS_LIST[INVESTOR CODE],0),)</f>
        <v>MD MINHAZ UDDIN</v>
      </c>
      <c r="F998" s="100" t="s">
        <v>1126</v>
      </c>
      <c r="G998" s="101">
        <f>COUNTIF(LS[[#Headers],[Investor ID]]:LS[[#This Row],[Investor ID]],LS[[#This Row],[Investor ID]])</f>
        <v>5</v>
      </c>
      <c r="H998" s="101" t="str">
        <f>CONCATENATE(LS[[#This Row],[Frequency]],LS[[#This Row],[Investor ID]])</f>
        <v>5A00538</v>
      </c>
      <c r="I998" s="75" t="str">
        <f>IF(LS[[#This Row],[B/S]]="B","BUY",(IF(LS[[#This Row],[B/S]]="S","SELL"," ")))</f>
        <v>SELL</v>
      </c>
      <c r="J998" s="101" t="s">
        <v>1231</v>
      </c>
      <c r="K998" s="102">
        <v>-1559925.66</v>
      </c>
      <c r="L998" s="99"/>
      <c r="M998" s="103">
        <f>LS[[#This Row],[Amount]]/LS[[#This Row],[Unit]]</f>
        <v>12.495999967957447</v>
      </c>
      <c r="N998" s="104">
        <f>LS[[#This Row],[Unit Capital]]/10</f>
        <v>-124834</v>
      </c>
      <c r="O998" s="104">
        <f>SUMIFS(LS[[#Headers],[Unit]]:LS[[#This Row],[Unit]],LS[[#Headers],[Investor ID]]:LS[[#This Row],[Investor ID]],LS[[#This Row],[Investor ID]])</f>
        <v>0</v>
      </c>
      <c r="P998" s="102">
        <v>-1248340</v>
      </c>
      <c r="Q998" s="102">
        <f>LS[[#This Row],[Amount]]-LS[[#This Row],[Unit Capital]]</f>
        <v>-311585.65999999992</v>
      </c>
      <c r="R9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998" s="103">
        <f t="shared" si="15"/>
        <v>14.224</v>
      </c>
      <c r="T998" s="102">
        <f>IF(LS[[#This Row],[B/S]]="B",0,ABS(LS[[#This Row],[Unit]])*(LS[[#This Row],[NAV (Strike Rate)]]-INDEX(LS[NAV at Cost (Average)],MATCH(CONCATENATE(LS[[#This Row],[Frequency]]-1,LS[[#This Row],[Investor ID]]),LS[Unique Code],0),)))</f>
        <v>59925.66</v>
      </c>
      <c r="U998" s="102" cm="1">
        <f t="array" ref="U998">IF(LS[[#This Row],[B/S]]="S",ABS(LS[[#This Row],[Unit]])*(INDEX(LS[NAV at Cost (Average)],MATCH(CONCATENATE((LS[[#This Row],[Frequency]]-1),LS[[#This Row],[Investor ID]]),LS[Unique Code],0),0)),0)</f>
        <v>1500000</v>
      </c>
      <c r="V998" s="102">
        <f>IF(LS[[#This Row],[BO TRANSFER]]="YES",LS[[#This Row],[Unit]],)</f>
        <v>0</v>
      </c>
      <c r="W998" s="102">
        <f>SUMIFS(LS[[#Headers],[BO UNIT TRANSFER]]:LS[[#This Row],[BO UNIT TRANSFER]],LS[[#Headers],[Investor ID]]:LS[[#This Row],[Investor ID]],LS[[#This Row],[Investor ID]])</f>
        <v>0</v>
      </c>
    </row>
    <row r="999" spans="1:23">
      <c r="A999" s="101">
        <v>2025</v>
      </c>
      <c r="B999" s="101">
        <v>6</v>
      </c>
      <c r="C999" s="101">
        <v>3</v>
      </c>
      <c r="D999" s="98">
        <f>DATE(LS[[#This Row],[Year]],LS[[#This Row],[Month]],LS[[#This Row],[Day]])</f>
        <v>45811</v>
      </c>
      <c r="E999" s="99" t="str" cm="1">
        <f t="array" ref="E999">INDEX(INVESTORS_LIST[INVESTOR NAME],MATCH(LS[[#This Row],[Investor ID]],INVESTORS_LIST[INVESTOR CODE],0),)</f>
        <v>JOY SHREE SAHA</v>
      </c>
      <c r="F999" s="100" t="s">
        <v>575</v>
      </c>
      <c r="G999" s="101">
        <f>COUNTIF(LS[[#Headers],[Investor ID]]:LS[[#This Row],[Investor ID]],LS[[#This Row],[Investor ID]])</f>
        <v>12</v>
      </c>
      <c r="H999" s="101" t="str">
        <f>CONCATENATE(LS[[#This Row],[Frequency]],LS[[#This Row],[Investor ID]])</f>
        <v>12A00263</v>
      </c>
      <c r="I999" s="75" t="str">
        <f>IF(LS[[#This Row],[B/S]]="B","BUY",(IF(LS[[#This Row],[B/S]]="S","SELL"," ")))</f>
        <v>BUY</v>
      </c>
      <c r="J999" s="101" t="s">
        <v>1229</v>
      </c>
      <c r="K999" s="102">
        <v>1500000</v>
      </c>
      <c r="L999" s="99"/>
      <c r="M999" s="103">
        <f>LS[[#This Row],[Amount]]/LS[[#This Row],[Unit]]</f>
        <v>12.496042919742081</v>
      </c>
      <c r="N999" s="104">
        <f>LS[[#This Row],[Unit Capital]]/10</f>
        <v>120038</v>
      </c>
      <c r="O999" s="104">
        <f>SUMIFS(LS[[#Headers],[Unit]]:LS[[#This Row],[Unit]],LS[[#Headers],[Investor ID]]:LS[[#This Row],[Investor ID]],LS[[#This Row],[Investor ID]])</f>
        <v>508892</v>
      </c>
      <c r="P999" s="102">
        <v>1200380</v>
      </c>
      <c r="Q999" s="102">
        <f>LS[[#This Row],[Amount]]-LS[[#This Row],[Unit Capital]]</f>
        <v>299620</v>
      </c>
      <c r="R9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12.379836979162572</v>
      </c>
      <c r="S999" s="103">
        <f t="shared" si="15"/>
        <v>14.224</v>
      </c>
      <c r="T99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999" s="102" cm="1">
        <f t="array" ref="U999">IF(LS[[#This Row],[B/S]]="S",ABS(LS[[#This Row],[Unit]])*(INDEX(LS[NAV at Cost (Average)],MATCH(CONCATENATE((LS[[#This Row],[Frequency]]-1),LS[[#This Row],[Investor ID]]),LS[Unique Code],0),0)),0)</f>
        <v>0</v>
      </c>
      <c r="V999" s="102">
        <f>IF(LS[[#This Row],[BO TRANSFER]]="YES",LS[[#This Row],[Unit]],)</f>
        <v>0</v>
      </c>
      <c r="W999" s="102">
        <f>SUMIFS(LS[[#Headers],[BO UNIT TRANSFER]]:LS[[#This Row],[BO UNIT TRANSFER]],LS[[#Headers],[Investor ID]]:LS[[#This Row],[Investor ID]],LS[[#This Row],[Investor ID]])</f>
        <v>0</v>
      </c>
    </row>
    <row r="1000" spans="1:23">
      <c r="A1000" s="101">
        <v>2025</v>
      </c>
      <c r="B1000" s="101">
        <v>6</v>
      </c>
      <c r="C1000" s="101">
        <v>3</v>
      </c>
      <c r="D1000" s="98">
        <f>DATE(LS[[#This Row],[Year]],LS[[#This Row],[Month]],LS[[#This Row],[Day]])</f>
        <v>45811</v>
      </c>
      <c r="E1000" s="99" t="str" cm="1">
        <f t="array" ref="E1000">INDEX(INVESTORS_LIST[INVESTOR NAME],MATCH(LS[[#This Row],[Investor ID]],INVESTORS_LIST[INVESTOR CODE],0),)</f>
        <v>JOY SHREE SAHA</v>
      </c>
      <c r="F1000" s="100" t="s">
        <v>575</v>
      </c>
      <c r="G1000" s="101">
        <f>COUNTIF(LS[[#Headers],[Investor ID]]:LS[[#This Row],[Investor ID]],LS[[#This Row],[Investor ID]])</f>
        <v>13</v>
      </c>
      <c r="H1000" s="101" t="str">
        <f>CONCATENATE(LS[[#This Row],[Frequency]],LS[[#This Row],[Investor ID]])</f>
        <v>13A00263</v>
      </c>
      <c r="I1000" s="75" t="str">
        <f>IF(LS[[#This Row],[B/S]]="B","BUY",(IF(LS[[#This Row],[B/S]]="S","SELL"," ")))</f>
        <v>BUY</v>
      </c>
      <c r="J1000" s="101" t="s">
        <v>1229</v>
      </c>
      <c r="K1000" s="102">
        <v>1500000</v>
      </c>
      <c r="L1000" s="99"/>
      <c r="M1000" s="103">
        <f>LS[[#This Row],[Amount]]/LS[[#This Row],[Unit]]</f>
        <v>12.496042919742081</v>
      </c>
      <c r="N1000" s="104">
        <f>LS[[#This Row],[Unit Capital]]/10</f>
        <v>120038</v>
      </c>
      <c r="O1000" s="104">
        <f>SUMIFS(LS[[#Headers],[Unit]]:LS[[#This Row],[Unit]],LS[[#Headers],[Investor ID]]:LS[[#This Row],[Investor ID]],LS[[#This Row],[Investor ID]])</f>
        <v>628930</v>
      </c>
      <c r="P1000" s="102">
        <v>1200380</v>
      </c>
      <c r="Q1000" s="102">
        <f>LS[[#This Row],[Amount]]-LS[[#This Row],[Unit Capital]]</f>
        <v>299620</v>
      </c>
      <c r="R10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12.402016122620958</v>
      </c>
      <c r="S1000" s="103">
        <f t="shared" si="15"/>
        <v>14.224</v>
      </c>
      <c r="T10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0" s="102" cm="1">
        <f t="array" ref="U1000">IF(LS[[#This Row],[B/S]]="S",ABS(LS[[#This Row],[Unit]])*(INDEX(LS[NAV at Cost (Average)],MATCH(CONCATENATE((LS[[#This Row],[Frequency]]-1),LS[[#This Row],[Investor ID]]),LS[Unique Code],0),0)),0)</f>
        <v>0</v>
      </c>
      <c r="V1000" s="102">
        <f>IF(LS[[#This Row],[BO TRANSFER]]="YES",LS[[#This Row],[Unit]],)</f>
        <v>0</v>
      </c>
      <c r="W1000" s="102">
        <f>SUMIFS(LS[[#Headers],[BO UNIT TRANSFER]]:LS[[#This Row],[BO UNIT TRANSFER]],LS[[#Headers],[Investor ID]]:LS[[#This Row],[Investor ID]],LS[[#This Row],[Investor ID]])</f>
        <v>0</v>
      </c>
    </row>
    <row r="1001" spans="1:23">
      <c r="A1001" s="101">
        <v>2025</v>
      </c>
      <c r="B1001" s="101">
        <v>6</v>
      </c>
      <c r="C1001" s="101">
        <v>3</v>
      </c>
      <c r="D1001" s="98">
        <f>DATE(LS[[#This Row],[Year]],LS[[#This Row],[Month]],LS[[#This Row],[Day]])</f>
        <v>45811</v>
      </c>
      <c r="E1001" s="99" t="str" cm="1">
        <f t="array" ref="E1001">INDEX(INVESTORS_LIST[INVESTOR NAME],MATCH(LS[[#This Row],[Investor ID]],INVESTORS_LIST[INVESTOR CODE],0),)</f>
        <v>JOY SHREE SAHA</v>
      </c>
      <c r="F1001" s="100" t="s">
        <v>575</v>
      </c>
      <c r="G1001" s="101">
        <f>COUNTIF(LS[[#Headers],[Investor ID]]:LS[[#This Row],[Investor ID]],LS[[#This Row],[Investor ID]])</f>
        <v>14</v>
      </c>
      <c r="H1001" s="101" t="str">
        <f>CONCATENATE(LS[[#This Row],[Frequency]],LS[[#This Row],[Investor ID]])</f>
        <v>14A00263</v>
      </c>
      <c r="I1001" s="75" t="str">
        <f>IF(LS[[#This Row],[B/S]]="B","BUY",(IF(LS[[#This Row],[B/S]]="S","SELL"," ")))</f>
        <v>BUY</v>
      </c>
      <c r="J1001" s="101" t="s">
        <v>1229</v>
      </c>
      <c r="K1001" s="102">
        <v>1600000</v>
      </c>
      <c r="L1001" s="99"/>
      <c r="M1001" s="103">
        <f>LS[[#This Row],[Amount]]/LS[[#This Row],[Unit]]</f>
        <v>12.495997375840551</v>
      </c>
      <c r="N1001" s="104">
        <f>LS[[#This Row],[Unit Capital]]/10</f>
        <v>128041</v>
      </c>
      <c r="O1001" s="104">
        <f>SUMIFS(LS[[#Headers],[Unit]]:LS[[#This Row],[Unit]],LS[[#Headers],[Investor ID]]:LS[[#This Row],[Investor ID]],LS[[#This Row],[Investor ID]])</f>
        <v>756971</v>
      </c>
      <c r="P1001" s="102">
        <v>1280410</v>
      </c>
      <c r="Q1001" s="102">
        <f>LS[[#This Row],[Amount]]-LS[[#This Row],[Unit Capital]]</f>
        <v>319590</v>
      </c>
      <c r="R10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12.417912971566942</v>
      </c>
      <c r="S1001" s="103">
        <f t="shared" si="15"/>
        <v>14.224</v>
      </c>
      <c r="T100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1" s="102" cm="1">
        <f t="array" ref="U1001">IF(LS[[#This Row],[B/S]]="S",ABS(LS[[#This Row],[Unit]])*(INDEX(LS[NAV at Cost (Average)],MATCH(CONCATENATE((LS[[#This Row],[Frequency]]-1),LS[[#This Row],[Investor ID]]),LS[Unique Code],0),0)),0)</f>
        <v>0</v>
      </c>
      <c r="V1001" s="102">
        <f>IF(LS[[#This Row],[BO TRANSFER]]="YES",LS[[#This Row],[Unit]],)</f>
        <v>0</v>
      </c>
      <c r="W1001" s="102">
        <f>SUMIFS(LS[[#Headers],[BO UNIT TRANSFER]]:LS[[#This Row],[BO UNIT TRANSFER]],LS[[#Headers],[Investor ID]]:LS[[#This Row],[Investor ID]],LS[[#This Row],[Investor ID]])</f>
        <v>0</v>
      </c>
    </row>
    <row r="1002" spans="1:23">
      <c r="A1002" s="101">
        <v>2025</v>
      </c>
      <c r="B1002" s="101">
        <v>6</v>
      </c>
      <c r="C1002" s="101">
        <v>4</v>
      </c>
      <c r="D1002" s="98">
        <f>DATE(LS[[#This Row],[Year]],LS[[#This Row],[Month]],LS[[#This Row],[Day]])</f>
        <v>45812</v>
      </c>
      <c r="E1002" s="99" t="str" cm="1">
        <f t="array" ref="E1002">INDEX(INVESTORS_LIST[INVESTOR NAME],MATCH(LS[[#This Row],[Investor ID]],INVESTORS_LIST[INVESTOR CODE],0),)</f>
        <v>MD. RASEL RANA</v>
      </c>
      <c r="F1002" s="100" t="s">
        <v>1324</v>
      </c>
      <c r="G1002" s="101">
        <f>COUNTIF(LS[[#Headers],[Investor ID]]:LS[[#This Row],[Investor ID]],LS[[#This Row],[Investor ID]])</f>
        <v>2</v>
      </c>
      <c r="H1002" s="101" t="str">
        <f>CONCATENATE(LS[[#This Row],[Frequency]],LS[[#This Row],[Investor ID]])</f>
        <v>2A00609</v>
      </c>
      <c r="I1002" s="75" t="str">
        <f>IF(LS[[#This Row],[B/S]]="B","BUY",(IF(LS[[#This Row],[B/S]]="S","SELL"," ")))</f>
        <v>BUY</v>
      </c>
      <c r="J1002" s="101" t="s">
        <v>1229</v>
      </c>
      <c r="K1002" s="102">
        <v>10000</v>
      </c>
      <c r="L1002" s="99"/>
      <c r="M1002" s="103">
        <f>LS[[#This Row],[Amount]]/LS[[#This Row],[Unit]]</f>
        <v>12.5</v>
      </c>
      <c r="N1002" s="104">
        <f>LS[[#This Row],[Unit Capital]]/10</f>
        <v>800</v>
      </c>
      <c r="O1002" s="104">
        <f>SUMIFS(LS[[#Headers],[Unit]]:LS[[#This Row],[Unit]],LS[[#Headers],[Investor ID]]:LS[[#This Row],[Investor ID]],LS[[#This Row],[Investor ID]])</f>
        <v>4854</v>
      </c>
      <c r="P1002" s="102">
        <v>8000</v>
      </c>
      <c r="Q1002" s="102">
        <f>LS[[#This Row],[Amount]]-LS[[#This Row],[Unit Capital]]</f>
        <v>2000</v>
      </c>
      <c r="R10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12.360939431396785</v>
      </c>
      <c r="S1002" s="103">
        <f t="shared" si="15"/>
        <v>14.224</v>
      </c>
      <c r="T100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2" s="102" cm="1">
        <f t="array" ref="U1002">IF(LS[[#This Row],[B/S]]="S",ABS(LS[[#This Row],[Unit]])*(INDEX(LS[NAV at Cost (Average)],MATCH(CONCATENATE((LS[[#This Row],[Frequency]]-1),LS[[#This Row],[Investor ID]]),LS[Unique Code],0),0)),0)</f>
        <v>0</v>
      </c>
      <c r="V1002" s="102">
        <f>IF(LS[[#This Row],[BO TRANSFER]]="YES",LS[[#This Row],[Unit]],)</f>
        <v>0</v>
      </c>
      <c r="W1002" s="102">
        <f>SUMIFS(LS[[#Headers],[BO UNIT TRANSFER]]:LS[[#This Row],[BO UNIT TRANSFER]],LS[[#Headers],[Investor ID]]:LS[[#This Row],[Investor ID]],LS[[#This Row],[Investor ID]])</f>
        <v>0</v>
      </c>
    </row>
    <row r="1003" spans="1:23">
      <c r="A1003" s="101">
        <v>2025</v>
      </c>
      <c r="B1003" s="101">
        <v>6</v>
      </c>
      <c r="C1003" s="101">
        <v>4</v>
      </c>
      <c r="D1003" s="98">
        <f>DATE(LS[[#This Row],[Year]],LS[[#This Row],[Month]],LS[[#This Row],[Day]])</f>
        <v>45812</v>
      </c>
      <c r="E1003" s="99" t="str" cm="1">
        <f t="array" ref="E1003">INDEX(INVESTORS_LIST[INVESTOR NAME],MATCH(LS[[#This Row],[Investor ID]],INVESTORS_LIST[INVESTOR CODE],0),)</f>
        <v>MOHAMMAD HASAN SHAHRIAR MASUD</v>
      </c>
      <c r="F1003" s="100" t="s">
        <v>954</v>
      </c>
      <c r="G1003" s="101">
        <f>COUNTIF(LS[[#Headers],[Investor ID]]:LS[[#This Row],[Investor ID]],LS[[#This Row],[Investor ID]])</f>
        <v>4</v>
      </c>
      <c r="H1003" s="101" t="str">
        <f>CONCATENATE(LS[[#This Row],[Frequency]],LS[[#This Row],[Investor ID]])</f>
        <v>4A00454</v>
      </c>
      <c r="I1003" s="75" t="str">
        <f>IF(LS[[#This Row],[B/S]]="B","BUY",(IF(LS[[#This Row],[B/S]]="S","SELL"," ")))</f>
        <v>BUY</v>
      </c>
      <c r="J1003" s="101" t="s">
        <v>1229</v>
      </c>
      <c r="K1003" s="102">
        <v>1500000</v>
      </c>
      <c r="L1003" s="99"/>
      <c r="M1003" s="103">
        <f>LS[[#This Row],[Amount]]/LS[[#This Row],[Unit]]</f>
        <v>12.496042919742081</v>
      </c>
      <c r="N1003" s="104">
        <f>LS[[#This Row],[Unit Capital]]/10</f>
        <v>120038</v>
      </c>
      <c r="O1003" s="104">
        <f>SUMIFS(LS[[#Headers],[Unit]]:LS[[#This Row],[Unit]],LS[[#Headers],[Investor ID]]:LS[[#This Row],[Investor ID]],LS[[#This Row],[Investor ID]])</f>
        <v>120038</v>
      </c>
      <c r="P1003" s="102">
        <v>1200380</v>
      </c>
      <c r="Q1003" s="102">
        <f>LS[[#This Row],[Amount]]-LS[[#This Row],[Unit Capital]]</f>
        <v>299620</v>
      </c>
      <c r="R10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12.496042919742081</v>
      </c>
      <c r="S1003" s="103">
        <f t="shared" si="15"/>
        <v>14.224</v>
      </c>
      <c r="T100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3" s="102" cm="1">
        <f t="array" ref="U1003">IF(LS[[#This Row],[B/S]]="S",ABS(LS[[#This Row],[Unit]])*(INDEX(LS[NAV at Cost (Average)],MATCH(CONCATENATE((LS[[#This Row],[Frequency]]-1),LS[[#This Row],[Investor ID]]),LS[Unique Code],0),0)),0)</f>
        <v>0</v>
      </c>
      <c r="V1003" s="102">
        <f>IF(LS[[#This Row],[BO TRANSFER]]="YES",LS[[#This Row],[Unit]],)</f>
        <v>0</v>
      </c>
      <c r="W1003" s="102">
        <f>SUMIFS(LS[[#Headers],[BO UNIT TRANSFER]]:LS[[#This Row],[BO UNIT TRANSFER]],LS[[#Headers],[Investor ID]]:LS[[#This Row],[Investor ID]],LS[[#This Row],[Investor ID]])</f>
        <v>0</v>
      </c>
    </row>
    <row r="1004" spans="1:23">
      <c r="A1004" s="101">
        <v>2025</v>
      </c>
      <c r="B1004" s="101">
        <v>6</v>
      </c>
      <c r="C1004" s="101">
        <v>4</v>
      </c>
      <c r="D1004" s="98">
        <f>DATE(LS[[#This Row],[Year]],LS[[#This Row],[Month]],LS[[#This Row],[Day]])</f>
        <v>45812</v>
      </c>
      <c r="E1004" s="99" t="str" cm="1">
        <f t="array" ref="E1004">INDEX(INVESTORS_LIST[INVESTOR NAME],MATCH(LS[[#This Row],[Investor ID]],INVESTORS_LIST[INVESTOR CODE],0),)</f>
        <v>SHUVA SAHA</v>
      </c>
      <c r="F1004" s="100" t="s">
        <v>154</v>
      </c>
      <c r="G1004" s="101">
        <f>COUNTIF(LS[[#Headers],[Investor ID]]:LS[[#This Row],[Investor ID]],LS[[#This Row],[Investor ID]])</f>
        <v>14</v>
      </c>
      <c r="H1004" s="101" t="str">
        <f>CONCATENATE(LS[[#This Row],[Frequency]],LS[[#This Row],[Investor ID]])</f>
        <v>14A00053</v>
      </c>
      <c r="I1004" s="75" t="str">
        <f>IF(LS[[#This Row],[B/S]]="B","BUY",(IF(LS[[#This Row],[B/S]]="S","SELL"," ")))</f>
        <v>SELL</v>
      </c>
      <c r="J1004" s="101" t="s">
        <v>1231</v>
      </c>
      <c r="K1004" s="102">
        <v>-500000</v>
      </c>
      <c r="L1004" s="88"/>
      <c r="M1004" s="103">
        <f>LS[[#This Row],[Amount]]/LS[[#This Row],[Unit]]</f>
        <v>12.495938819883538</v>
      </c>
      <c r="N1004" s="104">
        <f>LS[[#This Row],[Unit Capital]]/10</f>
        <v>-40013</v>
      </c>
      <c r="O1004" s="104">
        <f>SUMIFS(LS[[#Headers],[Unit]]:LS[[#This Row],[Unit]],LS[[#Headers],[Investor ID]]:LS[[#This Row],[Investor ID]],LS[[#This Row],[Investor ID]])</f>
        <v>28669</v>
      </c>
      <c r="P1004" s="102">
        <v>-400130</v>
      </c>
      <c r="Q1004" s="102">
        <f>LS[[#This Row],[Amount]]-LS[[#This Row],[Unit Capital]]</f>
        <v>-99870</v>
      </c>
      <c r="R10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12.265265331119629</v>
      </c>
      <c r="S1004" s="103">
        <f t="shared" si="15"/>
        <v>14.224</v>
      </c>
      <c r="T1004" s="102">
        <f>IF(LS[[#This Row],[B/S]]="B",0,ABS(LS[[#This Row],[Unit]])*(LS[[#This Row],[NAV (Strike Rate)]]-INDEX(LS[NAV at Cost (Average)],MATCH(CONCATENATE(LS[[#This Row],[Frequency]]-1,LS[[#This Row],[Investor ID]]),LS[Unique Code],0),)))</f>
        <v>9229.9383059102838</v>
      </c>
      <c r="U1004" s="102" cm="1">
        <f t="array" ref="U1004">IF(LS[[#This Row],[B/S]]="S",ABS(LS[[#This Row],[Unit]])*(INDEX(LS[NAV at Cost (Average)],MATCH(CONCATENATE((LS[[#This Row],[Frequency]]-1),LS[[#This Row],[Investor ID]]),LS[Unique Code],0),0)),0)</f>
        <v>490770.06169408973</v>
      </c>
      <c r="V1004" s="102">
        <f>IF(LS[[#This Row],[BO TRANSFER]]="YES",LS[[#This Row],[Unit]],)</f>
        <v>0</v>
      </c>
      <c r="W1004" s="102">
        <f>SUMIFS(LS[[#Headers],[BO UNIT TRANSFER]]:LS[[#This Row],[BO UNIT TRANSFER]],LS[[#Headers],[Investor ID]]:LS[[#This Row],[Investor ID]],LS[[#This Row],[Investor ID]])</f>
        <v>0</v>
      </c>
    </row>
    <row r="1005" spans="1:23">
      <c r="A1005" s="101">
        <v>2025</v>
      </c>
      <c r="B1005" s="101">
        <v>6</v>
      </c>
      <c r="C1005" s="101">
        <v>4</v>
      </c>
      <c r="D1005" s="98">
        <f>DATE(LS[[#This Row],[Year]],LS[[#This Row],[Month]],LS[[#This Row],[Day]])</f>
        <v>45812</v>
      </c>
      <c r="E1005" s="99" t="str" cm="1">
        <f t="array" ref="E1005">INDEX(INVESTORS_LIST[INVESTOR NAME],MATCH(LS[[#This Row],[Investor ID]],INVESTORS_LIST[INVESTOR CODE],0),)</f>
        <v>MD SHAFIQUR RAHMAN MONSI</v>
      </c>
      <c r="F1005" s="100" t="s">
        <v>1034</v>
      </c>
      <c r="G1005" s="101">
        <f>COUNTIF(LS[[#Headers],[Investor ID]]:LS[[#This Row],[Investor ID]],LS[[#This Row],[Investor ID]])</f>
        <v>17</v>
      </c>
      <c r="H1005" s="101" t="str">
        <f>CONCATENATE(LS[[#This Row],[Frequency]],LS[[#This Row],[Investor ID]])</f>
        <v>17A00494</v>
      </c>
      <c r="I1005" s="75" t="str">
        <f>IF(LS[[#This Row],[B/S]]="B","BUY",(IF(LS[[#This Row],[B/S]]="S","SELL"," ")))</f>
        <v>BUY</v>
      </c>
      <c r="J1005" s="101" t="s">
        <v>1229</v>
      </c>
      <c r="K1005" s="102">
        <v>200000</v>
      </c>
      <c r="L1005" s="99"/>
      <c r="M1005" s="103">
        <f>LS[[#This Row],[Amount]]/LS[[#This Row],[Unit]]</f>
        <v>12.496094970321774</v>
      </c>
      <c r="N1005" s="104">
        <f>LS[[#This Row],[Unit Capital]]/10</f>
        <v>16005</v>
      </c>
      <c r="O1005" s="104">
        <f>SUMIFS(LS[[#Headers],[Unit]]:LS[[#This Row],[Unit]],LS[[#Headers],[Investor ID]]:LS[[#This Row],[Investor ID]],LS[[#This Row],[Investor ID]])</f>
        <v>56018</v>
      </c>
      <c r="P1005" s="102">
        <v>160050</v>
      </c>
      <c r="Q1005" s="102">
        <f>LS[[#This Row],[Amount]]-LS[[#This Row],[Unit Capital]]</f>
        <v>39950</v>
      </c>
      <c r="R10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12.495983433896248</v>
      </c>
      <c r="S1005" s="103">
        <f t="shared" si="15"/>
        <v>14.224</v>
      </c>
      <c r="T100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5" s="102" cm="1">
        <f t="array" ref="U1005">IF(LS[[#This Row],[B/S]]="S",ABS(LS[[#This Row],[Unit]])*(INDEX(LS[NAV at Cost (Average)],MATCH(CONCATENATE((LS[[#This Row],[Frequency]]-1),LS[[#This Row],[Investor ID]]),LS[Unique Code],0),0)),0)</f>
        <v>0</v>
      </c>
      <c r="V1005" s="102">
        <f>IF(LS[[#This Row],[BO TRANSFER]]="YES",LS[[#This Row],[Unit]],)</f>
        <v>0</v>
      </c>
      <c r="W1005" s="102">
        <f>SUMIFS(LS[[#Headers],[BO UNIT TRANSFER]]:LS[[#This Row],[BO UNIT TRANSFER]],LS[[#Headers],[Investor ID]]:LS[[#This Row],[Investor ID]],LS[[#This Row],[Investor ID]])</f>
        <v>0</v>
      </c>
    </row>
    <row r="1006" spans="1:23">
      <c r="A1006" s="101">
        <v>2025</v>
      </c>
      <c r="B1006" s="101">
        <v>6</v>
      </c>
      <c r="C1006" s="101">
        <v>15</v>
      </c>
      <c r="D1006" s="98">
        <f>DATE(LS[[#This Row],[Year]],LS[[#This Row],[Month]],LS[[#This Row],[Day]])</f>
        <v>45823</v>
      </c>
      <c r="E1006" s="99" t="str" cm="1">
        <f t="array" ref="E1006">INDEX(INVESTORS_LIST[INVESTOR NAME],MATCH(LS[[#This Row],[Investor ID]],INVESTORS_LIST[INVESTOR CODE],0),)</f>
        <v>MD. SHOWKAT AKBAR</v>
      </c>
      <c r="F1006" s="100" t="s">
        <v>1175</v>
      </c>
      <c r="G1006" s="101">
        <f>COUNTIF(LS[[#Headers],[Investor ID]]:LS[[#This Row],[Investor ID]],LS[[#This Row],[Investor ID]])</f>
        <v>2</v>
      </c>
      <c r="H1006" s="101" t="str">
        <f>CONCATENATE(LS[[#This Row],[Frequency]],LS[[#This Row],[Investor ID]])</f>
        <v>2A00563</v>
      </c>
      <c r="I1006" s="75" t="str">
        <f>IF(LS[[#This Row],[B/S]]="B","BUY",(IF(LS[[#This Row],[B/S]]="S","SELL"," ")))</f>
        <v>SELL</v>
      </c>
      <c r="J1006" s="101" t="s">
        <v>1231</v>
      </c>
      <c r="K1006" s="102">
        <v>-393724.83</v>
      </c>
      <c r="L1006" s="99"/>
      <c r="M1006" s="103">
        <f>LS[[#This Row],[Amount]]/LS[[#This Row],[Unit]]</f>
        <v>12.545000159311774</v>
      </c>
      <c r="N1006" s="104">
        <f>LS[[#This Row],[Unit Capital]]/10</f>
        <v>-31385</v>
      </c>
      <c r="O1006" s="104">
        <f>SUMIFS(LS[[#Headers],[Unit]]:LS[[#This Row],[Unit]],LS[[#Headers],[Investor ID]]:LS[[#This Row],[Investor ID]],LS[[#This Row],[Investor ID]])</f>
        <v>0</v>
      </c>
      <c r="P1006" s="102">
        <v>-313850</v>
      </c>
      <c r="Q1006" s="102">
        <f>LS[[#This Row],[Amount]]-LS[[#This Row],[Unit Capital]]</f>
        <v>-79874.830000000016</v>
      </c>
      <c r="R10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06" s="103">
        <f t="shared" si="15"/>
        <v>14.224</v>
      </c>
      <c r="T1006" s="102">
        <f>IF(LS[[#This Row],[B/S]]="B",0,ABS(LS[[#This Row],[Unit]])*(LS[[#This Row],[NAV (Strike Rate)]]-INDEX(LS[NAV at Cost (Average)],MATCH(CONCATENATE(LS[[#This Row],[Frequency]]-1,LS[[#This Row],[Investor ID]]),LS[Unique Code],0),)))</f>
        <v>43724.830000000031</v>
      </c>
      <c r="U1006" s="102" cm="1">
        <f t="array" ref="U1006">IF(LS[[#This Row],[B/S]]="S",ABS(LS[[#This Row],[Unit]])*(INDEX(LS[NAV at Cost (Average)],MATCH(CONCATENATE((LS[[#This Row],[Frequency]]-1),LS[[#This Row],[Investor ID]]),LS[Unique Code],0),0)),0)</f>
        <v>350000</v>
      </c>
      <c r="V1006" s="102">
        <f>IF(LS[[#This Row],[BO TRANSFER]]="YES",LS[[#This Row],[Unit]],)</f>
        <v>0</v>
      </c>
      <c r="W1006" s="102">
        <f>SUMIFS(LS[[#Headers],[BO UNIT TRANSFER]]:LS[[#This Row],[BO UNIT TRANSFER]],LS[[#Headers],[Investor ID]]:LS[[#This Row],[Investor ID]],LS[[#This Row],[Investor ID]])</f>
        <v>0</v>
      </c>
    </row>
    <row r="1007" spans="1:23">
      <c r="A1007" s="101">
        <v>2025</v>
      </c>
      <c r="B1007" s="101">
        <v>6</v>
      </c>
      <c r="C1007" s="101">
        <v>16</v>
      </c>
      <c r="D1007" s="98">
        <f>DATE(LS[[#This Row],[Year]],LS[[#This Row],[Month]],LS[[#This Row],[Day]])</f>
        <v>45824</v>
      </c>
      <c r="E1007" s="99" t="str" cm="1">
        <f t="array" ref="E1007">INDEX(INVESTORS_LIST[INVESTOR NAME],MATCH(LS[[#This Row],[Investor ID]],INVESTORS_LIST[INVESTOR CODE],0),)</f>
        <v>KHAN MUHAMMAD KAWSER AHMED</v>
      </c>
      <c r="F1007" s="100" t="s">
        <v>944</v>
      </c>
      <c r="G1007" s="101">
        <f>COUNTIF(LS[[#Headers],[Investor ID]]:LS[[#This Row],[Investor ID]],LS[[#This Row],[Investor ID]])</f>
        <v>27</v>
      </c>
      <c r="H1007" s="101" t="str">
        <f>CONCATENATE(LS[[#This Row],[Frequency]],LS[[#This Row],[Investor ID]])</f>
        <v>27A00449</v>
      </c>
      <c r="I1007" s="75" t="str">
        <f>IF(LS[[#This Row],[B/S]]="B","BUY",(IF(LS[[#This Row],[B/S]]="S","SELL"," ")))</f>
        <v>SELL</v>
      </c>
      <c r="J1007" s="101" t="s">
        <v>1231</v>
      </c>
      <c r="K1007" s="102">
        <v>-10500000</v>
      </c>
      <c r="L1007" s="99"/>
      <c r="M1007" s="103">
        <f>LS[[#This Row],[Amount]]/LS[[#This Row],[Unit]]</f>
        <v>12.544997712031369</v>
      </c>
      <c r="N1007" s="104">
        <f>LS[[#This Row],[Unit Capital]]/10</f>
        <v>-836987</v>
      </c>
      <c r="O1007" s="104">
        <f>SUMIFS(LS[[#Headers],[Unit]]:LS[[#This Row],[Unit]],LS[[#Headers],[Investor ID]]:LS[[#This Row],[Investor ID]],LS[[#This Row],[Investor ID]])</f>
        <v>12554085</v>
      </c>
      <c r="P1007" s="102">
        <v>-8369870</v>
      </c>
      <c r="Q1007" s="102">
        <f>LS[[#This Row],[Amount]]-LS[[#This Row],[Unit Capital]]</f>
        <v>-2130130</v>
      </c>
      <c r="R10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11.932517350470151</v>
      </c>
      <c r="S1007" s="103">
        <f t="shared" si="15"/>
        <v>14.224</v>
      </c>
      <c r="T1007" s="102">
        <f>IF(LS[[#This Row],[B/S]]="B",0,ABS(LS[[#This Row],[Unit]])*(LS[[#This Row],[NAV (Strike Rate)]]-INDEX(LS[NAV at Cost (Average)],MATCH(CONCATENATE(LS[[#This Row],[Frequency]]-1,LS[[#This Row],[Investor ID]]),LS[Unique Code],0),)))</f>
        <v>512638.10038203915</v>
      </c>
      <c r="U1007" s="102" cm="1">
        <f t="array" ref="U1007">IF(LS[[#This Row],[B/S]]="S",ABS(LS[[#This Row],[Unit]])*(INDEX(LS[NAV at Cost (Average)],MATCH(CONCATENATE((LS[[#This Row],[Frequency]]-1),LS[[#This Row],[Investor ID]]),LS[Unique Code],0),0)),0)</f>
        <v>9987361.8996179607</v>
      </c>
      <c r="V1007" s="102">
        <f>IF(LS[[#This Row],[BO TRANSFER]]="YES",LS[[#This Row],[Unit]],)</f>
        <v>0</v>
      </c>
      <c r="W1007" s="102">
        <f>SUMIFS(LS[[#Headers],[BO UNIT TRANSFER]]:LS[[#This Row],[BO UNIT TRANSFER]],LS[[#Headers],[Investor ID]]:LS[[#This Row],[Investor ID]],LS[[#This Row],[Investor ID]])</f>
        <v>0</v>
      </c>
    </row>
    <row r="1008" spans="1:23">
      <c r="A1008" s="101">
        <v>2025</v>
      </c>
      <c r="B1008" s="101">
        <v>6</v>
      </c>
      <c r="C1008" s="101">
        <v>16</v>
      </c>
      <c r="D1008" s="98">
        <f>DATE(LS[[#This Row],[Year]],LS[[#This Row],[Month]],LS[[#This Row],[Day]])</f>
        <v>45824</v>
      </c>
      <c r="E1008" s="99" t="str" cm="1">
        <f t="array" ref="E1008">INDEX(INVESTORS_LIST[INVESTOR NAME],MATCH(LS[[#This Row],[Investor ID]],INVESTORS_LIST[INVESTOR CODE],0),)</f>
        <v>SULTANA MASHQURA JAHAN</v>
      </c>
      <c r="F1008" s="100" t="s">
        <v>1171</v>
      </c>
      <c r="G1008" s="101">
        <f>COUNTIF(LS[[#Headers],[Investor ID]]:LS[[#This Row],[Investor ID]],LS[[#This Row],[Investor ID]])</f>
        <v>2</v>
      </c>
      <c r="H1008" s="101" t="str">
        <f>CONCATENATE(LS[[#This Row],[Frequency]],LS[[#This Row],[Investor ID]])</f>
        <v>2A00561</v>
      </c>
      <c r="I1008" s="75" t="str">
        <f>IF(LS[[#This Row],[B/S]]="B","BUY",(IF(LS[[#This Row],[B/S]]="S","SELL"," ")))</f>
        <v>BUY</v>
      </c>
      <c r="J1008" s="101" t="s">
        <v>1229</v>
      </c>
      <c r="K1008" s="102">
        <v>200000</v>
      </c>
      <c r="L1008" s="99"/>
      <c r="M1008" s="103">
        <f>LS[[#This Row],[Amount]]/LS[[#This Row],[Unit]]</f>
        <v>12.544690459762906</v>
      </c>
      <c r="N1008" s="104">
        <f>LS[[#This Row],[Unit Capital]]/10</f>
        <v>15943</v>
      </c>
      <c r="O1008" s="104">
        <f>SUMIFS(LS[[#Headers],[Unit]]:LS[[#This Row],[Unit]],LS[[#Headers],[Investor ID]]:LS[[#This Row],[Investor ID]],LS[[#This Row],[Investor ID]])</f>
        <v>33877</v>
      </c>
      <c r="P1008" s="102">
        <v>159430</v>
      </c>
      <c r="Q1008" s="102">
        <f>LS[[#This Row],[Amount]]-LS[[#This Row],[Unit Capital]]</f>
        <v>40570</v>
      </c>
      <c r="R10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11.807420964075922</v>
      </c>
      <c r="S1008" s="103">
        <f t="shared" si="15"/>
        <v>14.224</v>
      </c>
      <c r="T10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8" s="102" cm="1">
        <f t="array" ref="U1008">IF(LS[[#This Row],[B/S]]="S",ABS(LS[[#This Row],[Unit]])*(INDEX(LS[NAV at Cost (Average)],MATCH(CONCATENATE((LS[[#This Row],[Frequency]]-1),LS[[#This Row],[Investor ID]]),LS[Unique Code],0),0)),0)</f>
        <v>0</v>
      </c>
      <c r="V1008" s="102">
        <f>IF(LS[[#This Row],[BO TRANSFER]]="YES",LS[[#This Row],[Unit]],)</f>
        <v>0</v>
      </c>
      <c r="W1008" s="102">
        <f>SUMIFS(LS[[#Headers],[BO UNIT TRANSFER]]:LS[[#This Row],[BO UNIT TRANSFER]],LS[[#Headers],[Investor ID]]:LS[[#This Row],[Investor ID]],LS[[#This Row],[Investor ID]])</f>
        <v>0</v>
      </c>
    </row>
    <row r="1009" spans="1:23">
      <c r="A1009" s="101">
        <v>2025</v>
      </c>
      <c r="B1009" s="101">
        <v>6</v>
      </c>
      <c r="C1009" s="101">
        <v>16</v>
      </c>
      <c r="D1009" s="98">
        <f>DATE(LS[[#This Row],[Year]],LS[[#This Row],[Month]],LS[[#This Row],[Day]])</f>
        <v>45824</v>
      </c>
      <c r="E1009" s="99" t="str" cm="1">
        <f t="array" ref="E1009">INDEX(INVESTORS_LIST[INVESTOR NAME],MATCH(LS[[#This Row],[Investor ID]],INVESTORS_LIST[INVESTOR CODE],0),)</f>
        <v>KHAN MUHAMMAD KAWSER AHMED</v>
      </c>
      <c r="F1009" s="100" t="s">
        <v>944</v>
      </c>
      <c r="G1009" s="101">
        <f>COUNTIF(LS[[#Headers],[Investor ID]]:LS[[#This Row],[Investor ID]],LS[[#This Row],[Investor ID]])</f>
        <v>28</v>
      </c>
      <c r="H1009" s="101" t="str">
        <f>CONCATENATE(LS[[#This Row],[Frequency]],LS[[#This Row],[Investor ID]])</f>
        <v>28A00449</v>
      </c>
      <c r="I1009" s="75" t="str">
        <f>IF(LS[[#This Row],[B/S]]="B","BUY",(IF(LS[[#This Row],[B/S]]="S","SELL"," ")))</f>
        <v>BUY</v>
      </c>
      <c r="J1009" s="101" t="s">
        <v>1229</v>
      </c>
      <c r="K1009" s="102">
        <v>10500000</v>
      </c>
      <c r="L1009" s="99"/>
      <c r="M1009" s="103">
        <f>LS[[#This Row],[Amount]]/LS[[#This Row],[Unit]]</f>
        <v>12.544997712031369</v>
      </c>
      <c r="N1009" s="104">
        <f>LS[[#This Row],[Unit Capital]]/10</f>
        <v>836987</v>
      </c>
      <c r="O1009" s="104">
        <f>SUMIFS(LS[[#Headers],[Unit]]:LS[[#This Row],[Unit]],LS[[#Headers],[Investor ID]]:LS[[#This Row],[Investor ID]],LS[[#This Row],[Investor ID]])</f>
        <v>13391072</v>
      </c>
      <c r="P1009" s="102">
        <v>8369870</v>
      </c>
      <c r="Q1009" s="102">
        <f>LS[[#This Row],[Amount]]-LS[[#This Row],[Unit Capital]]</f>
        <v>2130130</v>
      </c>
      <c r="R10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009" s="103">
        <f t="shared" si="15"/>
        <v>14.224</v>
      </c>
      <c r="T100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09" s="102" cm="1">
        <f t="array" ref="U1009">IF(LS[[#This Row],[B/S]]="S",ABS(LS[[#This Row],[Unit]])*(INDEX(LS[NAV at Cost (Average)],MATCH(CONCATENATE((LS[[#This Row],[Frequency]]-1),LS[[#This Row],[Investor ID]]),LS[Unique Code],0),0)),0)</f>
        <v>0</v>
      </c>
      <c r="V1009" s="102">
        <f>IF(LS[[#This Row],[BO TRANSFER]]="YES",LS[[#This Row],[Unit]],)</f>
        <v>0</v>
      </c>
      <c r="W1009" s="102">
        <f>SUMIFS(LS[[#Headers],[BO UNIT TRANSFER]]:LS[[#This Row],[BO UNIT TRANSFER]],LS[[#Headers],[Investor ID]]:LS[[#This Row],[Investor ID]],LS[[#This Row],[Investor ID]])</f>
        <v>0</v>
      </c>
    </row>
    <row r="1010" spans="1:23">
      <c r="A1010" s="101">
        <v>2025</v>
      </c>
      <c r="B1010" s="101">
        <v>6</v>
      </c>
      <c r="C1010" s="101">
        <v>16</v>
      </c>
      <c r="D1010" s="98">
        <f>DATE(LS[[#This Row],[Year]],LS[[#This Row],[Month]],LS[[#This Row],[Day]])</f>
        <v>45824</v>
      </c>
      <c r="E1010" s="99" t="str" cm="1">
        <f t="array" ref="E1010">INDEX(INVESTORS_LIST[INVESTOR NAME],MATCH(LS[[#This Row],[Investor ID]],INVESTORS_LIST[INVESTOR CODE],0),)</f>
        <v>RAHAT-UL-AMIN</v>
      </c>
      <c r="F1010" s="100" t="s">
        <v>1331</v>
      </c>
      <c r="G1010" s="101">
        <f>COUNTIF(LS[[#Headers],[Investor ID]]:LS[[#This Row],[Investor ID]],LS[[#This Row],[Investor ID]])</f>
        <v>2</v>
      </c>
      <c r="H1010" s="101" t="str">
        <f>CONCATENATE(LS[[#This Row],[Frequency]],LS[[#This Row],[Investor ID]])</f>
        <v>2A00613</v>
      </c>
      <c r="I1010" s="75" t="str">
        <f>IF(LS[[#This Row],[B/S]]="B","BUY",(IF(LS[[#This Row],[B/S]]="S","SELL"," ")))</f>
        <v>BUY</v>
      </c>
      <c r="J1010" s="101" t="s">
        <v>1229</v>
      </c>
      <c r="K1010" s="102">
        <v>500000</v>
      </c>
      <c r="L1010" s="99"/>
      <c r="M1010" s="103">
        <f>LS[[#This Row],[Amount]]/LS[[#This Row],[Unit]]</f>
        <v>12.54484783099581</v>
      </c>
      <c r="N1010" s="104">
        <f>LS[[#This Row],[Unit Capital]]/10</f>
        <v>39857</v>
      </c>
      <c r="O1010" s="104">
        <f>SUMIFS(LS[[#Headers],[Unit]]:LS[[#This Row],[Unit]],LS[[#Headers],[Investor ID]]:LS[[#This Row],[Investor ID]],LS[[#This Row],[Investor ID]])</f>
        <v>80053</v>
      </c>
      <c r="P1010" s="102">
        <v>398570</v>
      </c>
      <c r="Q1010" s="102">
        <f>LS[[#This Row],[Amount]]-LS[[#This Row],[Unit Capital]]</f>
        <v>101430</v>
      </c>
      <c r="R10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12.491724232695839</v>
      </c>
      <c r="S1010" s="103">
        <f t="shared" si="15"/>
        <v>14.224</v>
      </c>
      <c r="T101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0" s="102" cm="1">
        <f t="array" ref="U1010">IF(LS[[#This Row],[B/S]]="S",ABS(LS[[#This Row],[Unit]])*(INDEX(LS[NAV at Cost (Average)],MATCH(CONCATENATE((LS[[#This Row],[Frequency]]-1),LS[[#This Row],[Investor ID]]),LS[Unique Code],0),0)),0)</f>
        <v>0</v>
      </c>
      <c r="V1010" s="102">
        <f>IF(LS[[#This Row],[BO TRANSFER]]="YES",LS[[#This Row],[Unit]],)</f>
        <v>0</v>
      </c>
      <c r="W1010" s="102">
        <f>SUMIFS(LS[[#Headers],[BO UNIT TRANSFER]]:LS[[#This Row],[BO UNIT TRANSFER]],LS[[#Headers],[Investor ID]]:LS[[#This Row],[Investor ID]],LS[[#This Row],[Investor ID]])</f>
        <v>0</v>
      </c>
    </row>
    <row r="1011" spans="1:23">
      <c r="A1011" s="101">
        <v>2025</v>
      </c>
      <c r="B1011" s="101">
        <v>6</v>
      </c>
      <c r="C1011" s="101">
        <v>16</v>
      </c>
      <c r="D1011" s="98">
        <f>DATE(LS[[#This Row],[Year]],LS[[#This Row],[Month]],LS[[#This Row],[Day]])</f>
        <v>45824</v>
      </c>
      <c r="E1011" s="99" t="str" cm="1">
        <f t="array" ref="E1011">INDEX(INVESTORS_LIST[INVESTOR NAME],MATCH(LS[[#This Row],[Investor ID]],INVESTORS_LIST[INVESTOR CODE],0),)</f>
        <v>MOHAMMAD HASAN IMAM</v>
      </c>
      <c r="F1011" s="100" t="s">
        <v>1122</v>
      </c>
      <c r="G1011" s="101">
        <f>COUNTIF(LS[[#Headers],[Investor ID]]:LS[[#This Row],[Investor ID]],LS[[#This Row],[Investor ID]])</f>
        <v>2</v>
      </c>
      <c r="H1011" s="101" t="str">
        <f>CONCATENATE(LS[[#This Row],[Frequency]],LS[[#This Row],[Investor ID]])</f>
        <v>2A00536</v>
      </c>
      <c r="I1011" s="75" t="str">
        <f>IF(LS[[#This Row],[B/S]]="B","BUY",(IF(LS[[#This Row],[B/S]]="S","SELL"," ")))</f>
        <v>BUY</v>
      </c>
      <c r="J1011" s="101" t="s">
        <v>1229</v>
      </c>
      <c r="K1011" s="102">
        <v>100000</v>
      </c>
      <c r="L1011" s="99"/>
      <c r="M1011" s="103">
        <f>LS[[#This Row],[Amount]]/LS[[#This Row],[Unit]]</f>
        <v>12.545477355413373</v>
      </c>
      <c r="N1011" s="104">
        <f>LS[[#This Row],[Unit Capital]]/10</f>
        <v>7971</v>
      </c>
      <c r="O1011" s="104">
        <f>SUMIFS(LS[[#Headers],[Unit]]:LS[[#This Row],[Unit]],LS[[#Headers],[Investor ID]]:LS[[#This Row],[Investor ID]],LS[[#This Row],[Investor ID]])</f>
        <v>9784</v>
      </c>
      <c r="P1011" s="102">
        <v>79710</v>
      </c>
      <c r="Q1011" s="102">
        <f>LS[[#This Row],[Amount]]-LS[[#This Row],[Unit Capital]]</f>
        <v>20290</v>
      </c>
      <c r="R10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12.264922322158627</v>
      </c>
      <c r="S1011" s="103">
        <f t="shared" si="15"/>
        <v>14.224</v>
      </c>
      <c r="T10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1" s="102" cm="1">
        <f t="array" ref="U1011">IF(LS[[#This Row],[B/S]]="S",ABS(LS[[#This Row],[Unit]])*(INDEX(LS[NAV at Cost (Average)],MATCH(CONCATENATE((LS[[#This Row],[Frequency]]-1),LS[[#This Row],[Investor ID]]),LS[Unique Code],0),0)),0)</f>
        <v>0</v>
      </c>
      <c r="V1011" s="102">
        <f>IF(LS[[#This Row],[BO TRANSFER]]="YES",LS[[#This Row],[Unit]],)</f>
        <v>0</v>
      </c>
      <c r="W1011" s="102">
        <f>SUMIFS(LS[[#Headers],[BO UNIT TRANSFER]]:LS[[#This Row],[BO UNIT TRANSFER]],LS[[#Headers],[Investor ID]]:LS[[#This Row],[Investor ID]],LS[[#This Row],[Investor ID]])</f>
        <v>0</v>
      </c>
    </row>
    <row r="1012" spans="1:23">
      <c r="A1012" s="101">
        <v>2025</v>
      </c>
      <c r="B1012" s="101">
        <v>6</v>
      </c>
      <c r="C1012" s="101">
        <v>18</v>
      </c>
      <c r="D1012" s="98">
        <f>DATE(LS[[#This Row],[Year]],LS[[#This Row],[Month]],LS[[#This Row],[Day]])</f>
        <v>45826</v>
      </c>
      <c r="E1012" s="99" t="str" cm="1">
        <f t="array" ref="E1012">INDEX(INVESTORS_LIST[INVESTOR NAME],MATCH(LS[[#This Row],[Investor ID]],INVESTORS_LIST[INVESTOR CODE],0),)</f>
        <v>SANDHANI AML SLIC FIXED INCOME FUND</v>
      </c>
      <c r="F1012" s="100" t="s">
        <v>978</v>
      </c>
      <c r="G1012" s="101">
        <f>COUNTIF(LS[[#Headers],[Investor ID]]:LS[[#This Row],[Investor ID]],LS[[#This Row],[Investor ID]])</f>
        <v>3</v>
      </c>
      <c r="H1012" s="101" t="str">
        <f>CONCATENATE(LS[[#This Row],[Frequency]],LS[[#This Row],[Investor ID]])</f>
        <v>3A00466</v>
      </c>
      <c r="I1012" s="75" t="str">
        <f>IF(LS[[#This Row],[B/S]]="B","BUY",(IF(LS[[#This Row],[B/S]]="S","SELL"," ")))</f>
        <v>SELL</v>
      </c>
      <c r="J1012" s="101" t="s">
        <v>1231</v>
      </c>
      <c r="K1012" s="102">
        <v>-6397950</v>
      </c>
      <c r="L1012" s="99"/>
      <c r="M1012" s="103">
        <f>LS[[#This Row],[Amount]]/LS[[#This Row],[Unit]]</f>
        <v>12.545</v>
      </c>
      <c r="N1012" s="104">
        <f>LS[[#This Row],[Unit Capital]]/10</f>
        <v>-510000</v>
      </c>
      <c r="O1012" s="104">
        <f>SUMIFS(LS[[#Headers],[Unit]]:LS[[#This Row],[Unit]],LS[[#Headers],[Investor ID]]:LS[[#This Row],[Investor ID]],LS[[#This Row],[Investor ID]])</f>
        <v>0</v>
      </c>
      <c r="P1012" s="102">
        <v>-5100000</v>
      </c>
      <c r="Q1012" s="102">
        <f>LS[[#This Row],[Amount]]-LS[[#This Row],[Unit Capital]]</f>
        <v>-1297950</v>
      </c>
      <c r="R10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12" s="103">
        <f t="shared" si="15"/>
        <v>14.224</v>
      </c>
      <c r="T1012" s="102">
        <f>IF(LS[[#This Row],[B/S]]="B",0,ABS(LS[[#This Row],[Unit]])*(LS[[#This Row],[NAV (Strike Rate)]]-INDEX(LS[NAV at Cost (Average)],MATCH(CONCATENATE(LS[[#This Row],[Frequency]]-1,LS[[#This Row],[Investor ID]]),LS[Unique Code],0),)))</f>
        <v>1030110</v>
      </c>
      <c r="U1012" s="102" cm="1">
        <f t="array" ref="U1012">IF(LS[[#This Row],[B/S]]="S",ABS(LS[[#This Row],[Unit]])*(INDEX(LS[NAV at Cost (Average)],MATCH(CONCATENATE((LS[[#This Row],[Frequency]]-1),LS[[#This Row],[Investor ID]]),LS[Unique Code],0),0)),0)</f>
        <v>5367840</v>
      </c>
      <c r="V1012" s="102">
        <f>IF(LS[[#This Row],[BO TRANSFER]]="YES",LS[[#This Row],[Unit]],)</f>
        <v>0</v>
      </c>
      <c r="W1012" s="102">
        <f>SUMIFS(LS[[#Headers],[BO UNIT TRANSFER]]:LS[[#This Row],[BO UNIT TRANSFER]],LS[[#Headers],[Investor ID]]:LS[[#This Row],[Investor ID]],LS[[#This Row],[Investor ID]])</f>
        <v>0</v>
      </c>
    </row>
    <row r="1013" spans="1:23">
      <c r="A1013" s="101">
        <v>2025</v>
      </c>
      <c r="B1013" s="101">
        <v>6</v>
      </c>
      <c r="C1013" s="101">
        <v>19</v>
      </c>
      <c r="D1013" s="98">
        <f>DATE(LS[[#This Row],[Year]],LS[[#This Row],[Month]],LS[[#This Row],[Day]])</f>
        <v>45827</v>
      </c>
      <c r="E1013" s="99" t="str" cm="1">
        <f t="array" ref="E1013">INDEX(INVESTORS_LIST[INVESTOR NAME],MATCH(LS[[#This Row],[Investor ID]],INVESTORS_LIST[INVESTOR CODE],0),)</f>
        <v>KHAN MUHAMMAD KAWSER AHMED</v>
      </c>
      <c r="F1013" s="100" t="s">
        <v>944</v>
      </c>
      <c r="G1013" s="101">
        <f>COUNTIF(LS[[#Headers],[Investor ID]]:LS[[#This Row],[Investor ID]],LS[[#This Row],[Investor ID]])</f>
        <v>29</v>
      </c>
      <c r="H1013" s="101" t="str">
        <f>CONCATENATE(LS[[#This Row],[Frequency]],LS[[#This Row],[Investor ID]])</f>
        <v>29A00449</v>
      </c>
      <c r="I1013" s="75" t="str">
        <f>IF(LS[[#This Row],[B/S]]="B","BUY",(IF(LS[[#This Row],[B/S]]="S","SELL"," ")))</f>
        <v>SELL</v>
      </c>
      <c r="J1013" s="101" t="s">
        <v>1231</v>
      </c>
      <c r="K1013" s="102">
        <v>-1500000</v>
      </c>
      <c r="L1013" s="99"/>
      <c r="M1013" s="103">
        <f>LS[[#This Row],[Amount]]/LS[[#This Row],[Unit]]</f>
        <v>12.544952747344652</v>
      </c>
      <c r="N1013" s="104">
        <f>LS[[#This Row],[Unit Capital]]/10</f>
        <v>-119570</v>
      </c>
      <c r="O1013" s="104">
        <f>SUMIFS(LS[[#Headers],[Unit]]:LS[[#This Row],[Unit]],LS[[#Headers],[Investor ID]]:LS[[#This Row],[Investor ID]],LS[[#This Row],[Investor ID]])</f>
        <v>13271502</v>
      </c>
      <c r="P1013" s="102">
        <v>-1195700</v>
      </c>
      <c r="Q1013" s="102">
        <f>LS[[#This Row],[Amount]]-LS[[#This Row],[Unit Capital]]</f>
        <v>-304300</v>
      </c>
      <c r="R10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013" s="103">
        <f t="shared" si="15"/>
        <v>14.224</v>
      </c>
      <c r="T1013" s="102">
        <f>IF(LS[[#This Row],[B/S]]="B",0,ABS(LS[[#This Row],[Unit]])*(LS[[#This Row],[NAV (Strike Rate)]]-INDEX(LS[NAV at Cost (Average)],MATCH(CONCATENATE(LS[[#This Row],[Frequency]]-1,LS[[#This Row],[Investor ID]]),LS[Unique Code],0),)))</f>
        <v>68651.512002319068</v>
      </c>
      <c r="U1013" s="102" cm="1">
        <f t="array" ref="U1013">IF(LS[[#This Row],[B/S]]="S",ABS(LS[[#This Row],[Unit]])*(INDEX(LS[NAV at Cost (Average)],MATCH(CONCATENATE((LS[[#This Row],[Frequency]]-1),LS[[#This Row],[Investor ID]]),LS[Unique Code],0),0)),0)</f>
        <v>1431348.4879976809</v>
      </c>
      <c r="V1013" s="102">
        <f>IF(LS[[#This Row],[BO TRANSFER]]="YES",LS[[#This Row],[Unit]],)</f>
        <v>0</v>
      </c>
      <c r="W1013" s="102">
        <f>SUMIFS(LS[[#Headers],[BO UNIT TRANSFER]]:LS[[#This Row],[BO UNIT TRANSFER]],LS[[#Headers],[Investor ID]]:LS[[#This Row],[Investor ID]],LS[[#This Row],[Investor ID]])</f>
        <v>0</v>
      </c>
    </row>
    <row r="1014" spans="1:23">
      <c r="A1014" s="101">
        <v>2025</v>
      </c>
      <c r="B1014" s="101">
        <v>6</v>
      </c>
      <c r="C1014" s="101">
        <v>19</v>
      </c>
      <c r="D1014" s="98">
        <f>DATE(LS[[#This Row],[Year]],LS[[#This Row],[Month]],LS[[#This Row],[Day]])</f>
        <v>45827</v>
      </c>
      <c r="E1014" s="99" t="str" cm="1">
        <f t="array" ref="E1014">INDEX(INVESTORS_LIST[INVESTOR NAME],MATCH(LS[[#This Row],[Investor ID]],INVESTORS_LIST[INVESTOR CODE],0),)</f>
        <v>MOHAMMED ALI XAHANGIR</v>
      </c>
      <c r="F1014" s="100" t="s">
        <v>312</v>
      </c>
      <c r="G1014" s="101">
        <f>COUNTIF(LS[[#Headers],[Investor ID]]:LS[[#This Row],[Investor ID]],LS[[#This Row],[Investor ID]])</f>
        <v>5</v>
      </c>
      <c r="H1014" s="101" t="str">
        <f>CONCATENATE(LS[[#This Row],[Frequency]],LS[[#This Row],[Investor ID]])</f>
        <v>5A00132</v>
      </c>
      <c r="I1014" s="75" t="str">
        <f>IF(LS[[#This Row],[B/S]]="B","BUY",(IF(LS[[#This Row],[B/S]]="S","SELL"," ")))</f>
        <v>SELL</v>
      </c>
      <c r="J1014" s="101" t="s">
        <v>1231</v>
      </c>
      <c r="K1014" s="102">
        <v>-507671.06</v>
      </c>
      <c r="L1014" s="99"/>
      <c r="M1014" s="103">
        <f>LS[[#This Row],[Amount]]/LS[[#This Row],[Unit]]</f>
        <v>12.545</v>
      </c>
      <c r="N1014" s="104">
        <f>LS[[#This Row],[Unit Capital]]/10</f>
        <v>-40468</v>
      </c>
      <c r="O1014" s="104">
        <f>SUMIFS(LS[[#Headers],[Unit]]:LS[[#This Row],[Unit]],LS[[#Headers],[Investor ID]]:LS[[#This Row],[Investor ID]],LS[[#This Row],[Investor ID]])</f>
        <v>0</v>
      </c>
      <c r="P1014" s="102">
        <v>-404680</v>
      </c>
      <c r="Q1014" s="102">
        <f>LS[[#This Row],[Amount]]-LS[[#This Row],[Unit Capital]]</f>
        <v>-102991.06</v>
      </c>
      <c r="R10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14" s="103">
        <f t="shared" si="15"/>
        <v>14.224</v>
      </c>
      <c r="T1014" s="102">
        <f>IF(LS[[#This Row],[B/S]]="B",0,ABS(LS[[#This Row],[Unit]])*(LS[[#This Row],[NAV (Strike Rate)]]-INDEX(LS[NAV at Cost (Average)],MATCH(CONCATENATE(LS[[#This Row],[Frequency]]-1,LS[[#This Row],[Investor ID]]),LS[Unique Code],0),)))</f>
        <v>5830.0850611591159</v>
      </c>
      <c r="U1014" s="102" cm="1">
        <f t="array" ref="U1014">IF(LS[[#This Row],[B/S]]="S",ABS(LS[[#This Row],[Unit]])*(INDEX(LS[NAV at Cost (Average)],MATCH(CONCATENATE((LS[[#This Row],[Frequency]]-1),LS[[#This Row],[Investor ID]]),LS[Unique Code],0),0)),0)</f>
        <v>501840.9749388409</v>
      </c>
      <c r="V1014" s="102">
        <f>IF(LS[[#This Row],[BO TRANSFER]]="YES",LS[[#This Row],[Unit]],)</f>
        <v>0</v>
      </c>
      <c r="W1014" s="102">
        <f>SUMIFS(LS[[#Headers],[BO UNIT TRANSFER]]:LS[[#This Row],[BO UNIT TRANSFER]],LS[[#Headers],[Investor ID]]:LS[[#This Row],[Investor ID]],LS[[#This Row],[Investor ID]])</f>
        <v>0</v>
      </c>
    </row>
    <row r="1015" spans="1:23">
      <c r="A1015" s="101">
        <v>2025</v>
      </c>
      <c r="B1015" s="101">
        <v>6</v>
      </c>
      <c r="C1015" s="101">
        <v>19</v>
      </c>
      <c r="D1015" s="98">
        <f>DATE(LS[[#This Row],[Year]],LS[[#This Row],[Month]],LS[[#This Row],[Day]])</f>
        <v>45827</v>
      </c>
      <c r="E1015" s="99" t="str" cm="1">
        <f t="array" ref="E1015">INDEX(INVESTORS_LIST[INVESTOR NAME],MATCH(LS[[#This Row],[Investor ID]],INVESTORS_LIST[INVESTOR CODE],0),)</f>
        <v>MD. WALID - AL - ZUBAYER</v>
      </c>
      <c r="F1015" s="100" t="s">
        <v>565</v>
      </c>
      <c r="G1015" s="101">
        <f>COUNTIF(LS[[#Headers],[Investor ID]]:LS[[#This Row],[Investor ID]],LS[[#This Row],[Investor ID]])</f>
        <v>13</v>
      </c>
      <c r="H1015" s="101" t="str">
        <f>CONCATENATE(LS[[#This Row],[Frequency]],LS[[#This Row],[Investor ID]])</f>
        <v>13A00258</v>
      </c>
      <c r="I1015" s="75" t="str">
        <f>IF(LS[[#This Row],[B/S]]="B","BUY",(IF(LS[[#This Row],[B/S]]="S","SELL"," ")))</f>
        <v>SELL</v>
      </c>
      <c r="J1015" s="101" t="s">
        <v>1231</v>
      </c>
      <c r="K1015" s="102">
        <v>-1834668.62</v>
      </c>
      <c r="L1015" s="99"/>
      <c r="M1015" s="103">
        <f>LS[[#This Row],[Amount]]/LS[[#This Row],[Unit]]</f>
        <v>12.545000034188737</v>
      </c>
      <c r="N1015" s="104">
        <f>LS[[#This Row],[Unit Capital]]/10</f>
        <v>-146247</v>
      </c>
      <c r="O1015" s="104">
        <f>SUMIFS(LS[[#Headers],[Unit]]:LS[[#This Row],[Unit]],LS[[#Headers],[Investor ID]]:LS[[#This Row],[Investor ID]],LS[[#This Row],[Investor ID]])</f>
        <v>0</v>
      </c>
      <c r="P1015" s="102">
        <v>-1462470</v>
      </c>
      <c r="Q1015" s="102">
        <f>LS[[#This Row],[Amount]]-LS[[#This Row],[Unit Capital]]</f>
        <v>-372198.62000000011</v>
      </c>
      <c r="R10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15" s="103">
        <f t="shared" si="15"/>
        <v>14.224</v>
      </c>
      <c r="T1015" s="102">
        <f>IF(LS[[#This Row],[B/S]]="B",0,ABS(LS[[#This Row],[Unit]])*(LS[[#This Row],[NAV (Strike Rate)]]-INDEX(LS[NAV at Cost (Average)],MATCH(CONCATENATE(LS[[#This Row],[Frequency]]-1,LS[[#This Row],[Investor ID]]),LS[Unique Code],0),)))</f>
        <v>74750.305486504556</v>
      </c>
      <c r="U1015" s="102" cm="1">
        <f t="array" ref="U1015">IF(LS[[#This Row],[B/S]]="S",ABS(LS[[#This Row],[Unit]])*(INDEX(LS[NAV at Cost (Average)],MATCH(CONCATENATE((LS[[#This Row],[Frequency]]-1),LS[[#This Row],[Investor ID]]),LS[Unique Code],0),0)),0)</f>
        <v>1759918.3145134957</v>
      </c>
      <c r="V1015" s="102">
        <f>IF(LS[[#This Row],[BO TRANSFER]]="YES",LS[[#This Row],[Unit]],)</f>
        <v>0</v>
      </c>
      <c r="W1015" s="102">
        <f>SUMIFS(LS[[#Headers],[BO UNIT TRANSFER]]:LS[[#This Row],[BO UNIT TRANSFER]],LS[[#Headers],[Investor ID]]:LS[[#This Row],[Investor ID]],LS[[#This Row],[Investor ID]])</f>
        <v>0</v>
      </c>
    </row>
    <row r="1016" spans="1:23">
      <c r="A1016" s="101">
        <v>2025</v>
      </c>
      <c r="B1016" s="101">
        <v>6</v>
      </c>
      <c r="C1016" s="101">
        <v>22</v>
      </c>
      <c r="D1016" s="98">
        <f>DATE(LS[[#This Row],[Year]],LS[[#This Row],[Month]],LS[[#This Row],[Day]])</f>
        <v>45830</v>
      </c>
      <c r="E1016" s="99" t="str">
        <f t="array" ref="E1016">INDEX(INVESTORS_LIST[INVESTOR NAME],MATCH(LS[[#This Row],[Investor ID]],INVESTORS_LIST[INVESTOR CODE],0),)</f>
        <v>MD ZAHIR RAYHAN</v>
      </c>
      <c r="F1016" s="100" t="s">
        <v>1346</v>
      </c>
      <c r="G1016" s="101">
        <f>COUNTIF(LS[[#Headers],[Investor ID]]:LS[[#This Row],[Investor ID]],LS[[#This Row],[Investor ID]])</f>
        <v>1</v>
      </c>
      <c r="H1016" s="101" t="str">
        <f>CONCATENATE(LS[[#This Row],[Frequency]],LS[[#This Row],[Investor ID]])</f>
        <v>1A00619</v>
      </c>
      <c r="I1016" s="75" t="str">
        <f>IF(LS[[#This Row],[B/S]]="B","BUY",(IF(LS[[#This Row],[B/S]]="S","SELL"," ")))</f>
        <v>BUY</v>
      </c>
      <c r="J1016" s="101" t="s">
        <v>1229</v>
      </c>
      <c r="K1016" s="102">
        <v>300000</v>
      </c>
      <c r="L1016" s="99"/>
      <c r="M1016" s="103">
        <f>LS[[#This Row],[Amount]]/LS[[#This Row],[Unit]]</f>
        <v>12.54075746175069</v>
      </c>
      <c r="N1016" s="104">
        <f>LS[[#This Row],[Unit Capital]]/10</f>
        <v>23922</v>
      </c>
      <c r="O1016" s="104">
        <f>SUMIFS(LS[[#Headers],[Unit]]:LS[[#This Row],[Unit]],LS[[#Headers],[Investor ID]]:LS[[#This Row],[Investor ID]],LS[[#This Row],[Investor ID]])</f>
        <v>23922</v>
      </c>
      <c r="P1016" s="102">
        <v>239220</v>
      </c>
      <c r="Q1016" s="102">
        <f>LS[[#This Row],[Amount]]-LS[[#This Row],[Unit Capital]]</f>
        <v>60780</v>
      </c>
      <c r="R10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16" s="103">
        <f t="shared" si="15"/>
        <v>14.224</v>
      </c>
      <c r="T101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6" s="102">
        <f t="array" ref="U1016">IF(LS[[#This Row],[B/S]]="S",ABS(LS[[#This Row],[Unit]])*(INDEX(LS[NAV at Cost (Average)],MATCH(CONCATENATE((LS[[#This Row],[Frequency]]-1),LS[[#This Row],[Investor ID]]),LS[Unique Code],0),0)),0)</f>
        <v>0</v>
      </c>
      <c r="V1016" s="102">
        <f>IF(LS[[#This Row],[BO TRANSFER]]="YES",LS[[#This Row],[Unit]],)</f>
        <v>0</v>
      </c>
      <c r="W1016" s="102">
        <f>SUMIFS(LS[[#Headers],[BO UNIT TRANSFER]]:LS[[#This Row],[BO UNIT TRANSFER]],LS[[#Headers],[Investor ID]]:LS[[#This Row],[Investor ID]],LS[[#This Row],[Investor ID]])</f>
        <v>0</v>
      </c>
    </row>
    <row r="1017" spans="1:23">
      <c r="A1017" s="101">
        <v>2025</v>
      </c>
      <c r="B1017" s="101">
        <v>6</v>
      </c>
      <c r="C1017" s="101">
        <v>22</v>
      </c>
      <c r="D1017" s="98">
        <f>DATE(LS[[#This Row],[Year]],LS[[#This Row],[Month]],LS[[#This Row],[Day]])</f>
        <v>45830</v>
      </c>
      <c r="E1017" s="99" t="str">
        <f t="array" ref="E1017">INDEX(INVESTORS_LIST[INVESTOR NAME],MATCH(LS[[#This Row],[Investor ID]],INVESTORS_LIST[INVESTOR CODE],0),)</f>
        <v>MD. EHSANUL HOQUE</v>
      </c>
      <c r="F1017" s="100" t="s">
        <v>1204</v>
      </c>
      <c r="G1017" s="101">
        <f>COUNTIF(LS[[#Headers],[Investor ID]]:LS[[#This Row],[Investor ID]],LS[[#This Row],[Investor ID]])</f>
        <v>2</v>
      </c>
      <c r="H1017" s="101" t="str">
        <f>CONCATENATE(LS[[#This Row],[Frequency]],LS[[#This Row],[Investor ID]])</f>
        <v>2A00578</v>
      </c>
      <c r="I1017" s="75" t="str">
        <f>IF(LS[[#This Row],[B/S]]="B","BUY",(IF(LS[[#This Row],[B/S]]="S","SELL"," ")))</f>
        <v>BUY</v>
      </c>
      <c r="J1017" s="101" t="s">
        <v>1229</v>
      </c>
      <c r="K1017" s="102">
        <v>500000</v>
      </c>
      <c r="L1017" s="99"/>
      <c r="M1017" s="103">
        <f>LS[[#This Row],[Amount]]/LS[[#This Row],[Unit]]</f>
        <v>12.541072010835487</v>
      </c>
      <c r="N1017" s="104">
        <f>LS[[#This Row],[Unit Capital]]/10</f>
        <v>39869</v>
      </c>
      <c r="O1017" s="104">
        <f>SUMIFS(LS[[#Headers],[Unit]]:LS[[#This Row],[Unit]],LS[[#Headers],[Investor ID]]:LS[[#This Row],[Investor ID]],LS[[#This Row],[Investor ID]])</f>
        <v>84704</v>
      </c>
      <c r="P1017" s="102">
        <v>398690</v>
      </c>
      <c r="Q1017" s="102">
        <f>LS[[#This Row],[Amount]]-LS[[#This Row],[Unit Capital]]</f>
        <v>101310</v>
      </c>
      <c r="R10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11.805817907064601</v>
      </c>
      <c r="S1017" s="103">
        <f t="shared" si="15"/>
        <v>14.224</v>
      </c>
      <c r="T101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7" s="102">
        <f t="array" ref="U1017">IF(LS[[#This Row],[B/S]]="S",ABS(LS[[#This Row],[Unit]])*(INDEX(LS[NAV at Cost (Average)],MATCH(CONCATENATE((LS[[#This Row],[Frequency]]-1),LS[[#This Row],[Investor ID]]),LS[Unique Code],0),0)),0)</f>
        <v>0</v>
      </c>
      <c r="V1017" s="102">
        <f>IF(LS[[#This Row],[BO TRANSFER]]="YES",LS[[#This Row],[Unit]],)</f>
        <v>0</v>
      </c>
      <c r="W1017" s="102">
        <f>SUMIFS(LS[[#Headers],[BO UNIT TRANSFER]]:LS[[#This Row],[BO UNIT TRANSFER]],LS[[#Headers],[Investor ID]]:LS[[#This Row],[Investor ID]],LS[[#This Row],[Investor ID]])</f>
        <v>0</v>
      </c>
    </row>
    <row r="1018" spans="1:23">
      <c r="A1018" s="101">
        <v>2025</v>
      </c>
      <c r="B1018" s="101">
        <v>6</v>
      </c>
      <c r="C1018" s="101">
        <v>22</v>
      </c>
      <c r="D1018" s="98">
        <f>DATE(LS[[#This Row],[Year]],LS[[#This Row],[Month]],LS[[#This Row],[Day]])</f>
        <v>45830</v>
      </c>
      <c r="E1018" s="99" t="str">
        <f t="array" ref="E1018">INDEX(INVESTORS_LIST[INVESTOR NAME],MATCH(LS[[#This Row],[Investor ID]],INVESTORS_LIST[INVESTOR CODE],0),)</f>
        <v>SADMAN PRODHAN</v>
      </c>
      <c r="F1018" s="100" t="s">
        <v>1169</v>
      </c>
      <c r="G1018" s="101">
        <f>COUNTIF(LS[[#Headers],[Investor ID]]:LS[[#This Row],[Investor ID]],LS[[#This Row],[Investor ID]])</f>
        <v>3</v>
      </c>
      <c r="H1018" s="101" t="str">
        <f>CONCATENATE(LS[[#This Row],[Frequency]],LS[[#This Row],[Investor ID]])</f>
        <v>3A00560</v>
      </c>
      <c r="I1018" s="75" t="str">
        <f>IF(LS[[#This Row],[B/S]]="B","BUY",(IF(LS[[#This Row],[B/S]]="S","SELL"," ")))</f>
        <v>BUY</v>
      </c>
      <c r="J1018" s="101" t="s">
        <v>1229</v>
      </c>
      <c r="K1018" s="102">
        <v>200000</v>
      </c>
      <c r="L1018" s="99"/>
      <c r="M1018" s="103">
        <f>LS[[#This Row],[Amount]]/LS[[#This Row],[Unit]]</f>
        <v>12.54075746175069</v>
      </c>
      <c r="N1018" s="104">
        <f>LS[[#This Row],[Unit Capital]]/10</f>
        <v>15948</v>
      </c>
      <c r="O1018" s="104">
        <f>SUMIFS(LS[[#Headers],[Unit]]:LS[[#This Row],[Unit]],LS[[#Headers],[Investor ID]]:LS[[#This Row],[Investor ID]],LS[[#This Row],[Investor ID]])</f>
        <v>15948</v>
      </c>
      <c r="P1018" s="102">
        <v>159480</v>
      </c>
      <c r="Q1018" s="102">
        <f>LS[[#This Row],[Amount]]-LS[[#This Row],[Unit Capital]]</f>
        <v>40520</v>
      </c>
      <c r="R10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18" s="103">
        <f t="shared" si="15"/>
        <v>14.224</v>
      </c>
      <c r="T10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8" s="102">
        <f t="array" ref="U1018">IF(LS[[#This Row],[B/S]]="S",ABS(LS[[#This Row],[Unit]])*(INDEX(LS[NAV at Cost (Average)],MATCH(CONCATENATE((LS[[#This Row],[Frequency]]-1),LS[[#This Row],[Investor ID]]),LS[Unique Code],0),0)),0)</f>
        <v>0</v>
      </c>
      <c r="V1018" s="102">
        <f>IF(LS[[#This Row],[BO TRANSFER]]="YES",LS[[#This Row],[Unit]],)</f>
        <v>0</v>
      </c>
      <c r="W1018" s="102">
        <f>SUMIFS(LS[[#Headers],[BO UNIT TRANSFER]]:LS[[#This Row],[BO UNIT TRANSFER]],LS[[#Headers],[Investor ID]]:LS[[#This Row],[Investor ID]],LS[[#This Row],[Investor ID]])</f>
        <v>0</v>
      </c>
    </row>
    <row r="1019" spans="1:23">
      <c r="A1019" s="101">
        <v>2025</v>
      </c>
      <c r="B1019" s="101">
        <v>6</v>
      </c>
      <c r="C1019" s="101">
        <v>22</v>
      </c>
      <c r="D1019" s="98">
        <f>DATE(LS[[#This Row],[Year]],LS[[#This Row],[Month]],LS[[#This Row],[Day]])</f>
        <v>45830</v>
      </c>
      <c r="E1019" s="99" t="str">
        <f t="array" ref="E1019">INDEX(INVESTORS_LIST[INVESTOR NAME],MATCH(LS[[#This Row],[Investor ID]],INVESTORS_LIST[INVESTOR CODE],0),)</f>
        <v>SHARMIN AKTER</v>
      </c>
      <c r="F1019" s="100" t="s">
        <v>1342</v>
      </c>
      <c r="G1019" s="101">
        <f>COUNTIF(LS[[#Headers],[Investor ID]]:LS[[#This Row],[Investor ID]],LS[[#This Row],[Investor ID]])</f>
        <v>1</v>
      </c>
      <c r="H1019" s="101" t="str">
        <f>CONCATENATE(LS[[#This Row],[Frequency]],LS[[#This Row],[Investor ID]])</f>
        <v>1A00617</v>
      </c>
      <c r="I1019" s="75" t="str">
        <f>IF(LS[[#This Row],[B/S]]="B","BUY",(IF(LS[[#This Row],[B/S]]="S","SELL"," ")))</f>
        <v>BUY</v>
      </c>
      <c r="J1019" s="101" t="s">
        <v>1229</v>
      </c>
      <c r="K1019" s="102">
        <v>200000</v>
      </c>
      <c r="L1019" s="99"/>
      <c r="M1019" s="103">
        <f>LS[[#This Row],[Amount]]/LS[[#This Row],[Unit]]</f>
        <v>12.54075746175069</v>
      </c>
      <c r="N1019" s="104">
        <f>LS[[#This Row],[Unit Capital]]/10</f>
        <v>15948</v>
      </c>
      <c r="O1019" s="104">
        <f>SUMIFS(LS[[#Headers],[Unit]]:LS[[#This Row],[Unit]],LS[[#Headers],[Investor ID]]:LS[[#This Row],[Investor ID]],LS[[#This Row],[Investor ID]])</f>
        <v>15948</v>
      </c>
      <c r="P1019" s="102">
        <v>159480</v>
      </c>
      <c r="Q1019" s="102">
        <f>LS[[#This Row],[Amount]]-LS[[#This Row],[Unit Capital]]</f>
        <v>40520</v>
      </c>
      <c r="R10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19" s="103">
        <f t="shared" si="15"/>
        <v>14.224</v>
      </c>
      <c r="T101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19" s="102">
        <f t="array" ref="U1019">IF(LS[[#This Row],[B/S]]="S",ABS(LS[[#This Row],[Unit]])*(INDEX(LS[NAV at Cost (Average)],MATCH(CONCATENATE((LS[[#This Row],[Frequency]]-1),LS[[#This Row],[Investor ID]]),LS[Unique Code],0),0)),0)</f>
        <v>0</v>
      </c>
      <c r="V1019" s="102">
        <f>IF(LS[[#This Row],[BO TRANSFER]]="YES",LS[[#This Row],[Unit]],)</f>
        <v>0</v>
      </c>
      <c r="W1019" s="102">
        <f>SUMIFS(LS[[#Headers],[BO UNIT TRANSFER]]:LS[[#This Row],[BO UNIT TRANSFER]],LS[[#Headers],[Investor ID]]:LS[[#This Row],[Investor ID]],LS[[#This Row],[Investor ID]])</f>
        <v>0</v>
      </c>
    </row>
    <row r="1020" spans="1:23">
      <c r="A1020" s="101">
        <v>2025</v>
      </c>
      <c r="B1020" s="101">
        <v>6</v>
      </c>
      <c r="C1020" s="101">
        <v>23</v>
      </c>
      <c r="D1020" s="98">
        <f>DATE(LS[[#This Row],[Year]],LS[[#This Row],[Month]],LS[[#This Row],[Day]])</f>
        <v>45831</v>
      </c>
      <c r="E1020" s="99" t="str">
        <f t="array" ref="E1020">INDEX(INVESTORS_LIST[INVESTOR NAME],MATCH(LS[[#This Row],[Investor ID]],INVESTORS_LIST[INVESTOR CODE],0),)</f>
        <v>TANVIR HASAN</v>
      </c>
      <c r="F1020" s="97" t="s">
        <v>1468</v>
      </c>
      <c r="G1020" s="101">
        <f>COUNTIF(LS[[#Headers],[Investor ID]]:LS[[#This Row],[Investor ID]],LS[[#This Row],[Investor ID]])</f>
        <v>4</v>
      </c>
      <c r="H1020" s="101" t="str">
        <f>CONCATENATE(LS[[#This Row],[Frequency]],LS[[#This Row],[Investor ID]])</f>
        <v>4A00679</v>
      </c>
      <c r="I1020" s="75" t="str">
        <f>IF(LS[[#This Row],[B/S]]="B","BUY",(IF(LS[[#This Row],[B/S]]="S","SELL"," ")))</f>
        <v>BUY</v>
      </c>
      <c r="J1020" s="101" t="s">
        <v>1229</v>
      </c>
      <c r="K1020" s="102">
        <v>100000</v>
      </c>
      <c r="L1020" s="99" t="s">
        <v>1230</v>
      </c>
      <c r="M1020" s="103">
        <f>LS[[#This Row],[Amount]]/LS[[#This Row],[Unit]]</f>
        <v>12.54075746175069</v>
      </c>
      <c r="N1020" s="104">
        <f>LS[[#This Row],[Unit Capital]]/10</f>
        <v>7974</v>
      </c>
      <c r="O1020" s="104">
        <f>SUMIFS(LS[[#Headers],[Unit]]:LS[[#This Row],[Unit]],LS[[#Headers],[Investor ID]]:LS[[#This Row],[Investor ID]],LS[[#This Row],[Investor ID]])</f>
        <v>98776</v>
      </c>
      <c r="P1020" s="102">
        <v>79740</v>
      </c>
      <c r="Q1020" s="102">
        <f>LS[[#This Row],[Amount]]-LS[[#This Row],[Unit Capital]]</f>
        <v>20260</v>
      </c>
      <c r="R10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11.136308414999595</v>
      </c>
      <c r="S1020" s="103">
        <f t="shared" si="15"/>
        <v>14.224</v>
      </c>
      <c r="T10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0" s="102">
        <f t="array" ref="U1020">IF(LS[[#This Row],[B/S]]="S",ABS(LS[[#This Row],[Unit]])*(INDEX(LS[NAV at Cost (Average)],MATCH(CONCATENATE((LS[[#This Row],[Frequency]]-1),LS[[#This Row],[Investor ID]]),LS[Unique Code],0),0)),0)</f>
        <v>0</v>
      </c>
      <c r="V1020" s="102">
        <f>IF(LS[[#This Row],[BO TRANSFER]]="YES",LS[[#This Row],[Unit]],)</f>
        <v>7974</v>
      </c>
      <c r="W1020" s="102">
        <f>SUMIFS(LS[[#Headers],[BO UNIT TRANSFER]]:LS[[#This Row],[BO UNIT TRANSFER]],LS[[#Headers],[Investor ID]]:LS[[#This Row],[Investor ID]],LS[[#This Row],[Investor ID]])</f>
        <v>7974</v>
      </c>
    </row>
    <row r="1021" spans="1:23">
      <c r="A1021" s="101">
        <v>2025</v>
      </c>
      <c r="B1021" s="101">
        <v>6</v>
      </c>
      <c r="C1021" s="101">
        <v>23</v>
      </c>
      <c r="D1021" s="98">
        <f>DATE(LS[[#This Row],[Year]],LS[[#This Row],[Month]],LS[[#This Row],[Day]])</f>
        <v>45831</v>
      </c>
      <c r="E1021" s="99" t="str">
        <f t="array" ref="E1021">INDEX(INVESTORS_LIST[INVESTOR NAME],MATCH(LS[[#This Row],[Investor ID]],INVESTORS_LIST[INVESTOR CODE],0),)</f>
        <v>SHAFAYAT ALAMGIR</v>
      </c>
      <c r="F1021" s="100" t="s">
        <v>1344</v>
      </c>
      <c r="G1021" s="101">
        <f>COUNTIF(LS[[#Headers],[Investor ID]]:LS[[#This Row],[Investor ID]],LS[[#This Row],[Investor ID]])</f>
        <v>1</v>
      </c>
      <c r="H1021" s="101" t="str">
        <f>CONCATENATE(LS[[#This Row],[Frequency]],LS[[#This Row],[Investor ID]])</f>
        <v>1A00618</v>
      </c>
      <c r="I1021" s="75" t="str">
        <f>IF(LS[[#This Row],[B/S]]="B","BUY",(IF(LS[[#This Row],[B/S]]="S","SELL"," ")))</f>
        <v>BUY</v>
      </c>
      <c r="J1021" s="101" t="s">
        <v>1229</v>
      </c>
      <c r="K1021" s="102">
        <v>50000</v>
      </c>
      <c r="L1021" s="99"/>
      <c r="M1021" s="103">
        <f>LS[[#This Row],[Amount]]/LS[[#This Row],[Unit]]</f>
        <v>12.54075746175069</v>
      </c>
      <c r="N1021" s="104">
        <f>LS[[#This Row],[Unit Capital]]/10</f>
        <v>3987</v>
      </c>
      <c r="O1021" s="104">
        <f>SUMIFS(LS[[#Headers],[Unit]]:LS[[#This Row],[Unit]],LS[[#Headers],[Investor ID]]:LS[[#This Row],[Investor ID]],LS[[#This Row],[Investor ID]])</f>
        <v>3987</v>
      </c>
      <c r="P1021" s="102">
        <v>39870</v>
      </c>
      <c r="Q1021" s="102">
        <f>LS[[#This Row],[Amount]]-LS[[#This Row],[Unit Capital]]</f>
        <v>10130</v>
      </c>
      <c r="R10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21" s="103">
        <f t="shared" si="15"/>
        <v>14.224</v>
      </c>
      <c r="T10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1" s="102">
        <f t="array" ref="U1021">IF(LS[[#This Row],[B/S]]="S",ABS(LS[[#This Row],[Unit]])*(INDEX(LS[NAV at Cost (Average)],MATCH(CONCATENATE((LS[[#This Row],[Frequency]]-1),LS[[#This Row],[Investor ID]]),LS[Unique Code],0),0)),0)</f>
        <v>0</v>
      </c>
      <c r="V1021" s="102">
        <f>IF(LS[[#This Row],[BO TRANSFER]]="YES",LS[[#This Row],[Unit]],)</f>
        <v>0</v>
      </c>
      <c r="W1021" s="102">
        <f>SUMIFS(LS[[#Headers],[BO UNIT TRANSFER]]:LS[[#This Row],[BO UNIT TRANSFER]],LS[[#Headers],[Investor ID]]:LS[[#This Row],[Investor ID]],LS[[#This Row],[Investor ID]])</f>
        <v>0</v>
      </c>
    </row>
    <row r="1022" spans="1:23">
      <c r="A1022" s="101">
        <v>2025</v>
      </c>
      <c r="B1022" s="101">
        <v>6</v>
      </c>
      <c r="C1022" s="101">
        <v>23</v>
      </c>
      <c r="D1022" s="98">
        <f>DATE(LS[[#This Row],[Year]],LS[[#This Row],[Month]],LS[[#This Row],[Day]])</f>
        <v>45831</v>
      </c>
      <c r="E1022" s="99" t="str">
        <f t="array" ref="E1022">INDEX(INVESTORS_LIST[INVESTOR NAME],MATCH(LS[[#This Row],[Investor ID]],INVESTORS_LIST[INVESTOR CODE],0),)</f>
        <v>MUHAMMAD SHOHIDUZZAMAN</v>
      </c>
      <c r="F1022" s="100" t="s">
        <v>986</v>
      </c>
      <c r="G1022" s="101">
        <f>COUNTIF(LS[[#Headers],[Investor ID]]:LS[[#This Row],[Investor ID]],LS[[#This Row],[Investor ID]])</f>
        <v>11</v>
      </c>
      <c r="H1022" s="101" t="str">
        <f>CONCATENATE(LS[[#This Row],[Frequency]],LS[[#This Row],[Investor ID]])</f>
        <v>11A00470</v>
      </c>
      <c r="I1022" s="75" t="str">
        <f>IF(LS[[#This Row],[B/S]]="B","BUY",(IF(LS[[#This Row],[B/S]]="S","SELL"," ")))</f>
        <v>SELL</v>
      </c>
      <c r="J1022" s="101" t="s">
        <v>1231</v>
      </c>
      <c r="K1022" s="102">
        <v>-3000000</v>
      </c>
      <c r="L1022" s="99" t="s">
        <v>1230</v>
      </c>
      <c r="M1022" s="103">
        <f>LS[[#This Row],[Amount]]/LS[[#This Row],[Unit]]</f>
        <v>12.541019584892252</v>
      </c>
      <c r="N1022" s="104">
        <f>LS[[#This Row],[Unit Capital]]/10</f>
        <v>-239215</v>
      </c>
      <c r="O1022" s="104">
        <f>SUMIFS(LS[[#Headers],[Unit]]:LS[[#This Row],[Unit]],LS[[#Headers],[Investor ID]]:LS[[#This Row],[Investor ID]],LS[[#This Row],[Investor ID]])</f>
        <v>320334</v>
      </c>
      <c r="P1022" s="102">
        <v>-2392150</v>
      </c>
      <c r="Q1022" s="102">
        <f>LS[[#This Row],[Amount]]-LS[[#This Row],[Unit Capital]]</f>
        <v>-607850</v>
      </c>
      <c r="R10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12.06953891846679</v>
      </c>
      <c r="S1022" s="103">
        <f t="shared" si="15"/>
        <v>14.224</v>
      </c>
      <c r="T1022" s="102">
        <f>IF(LS[[#This Row],[B/S]]="B",0,ABS(LS[[#This Row],[Unit]])*(LS[[#This Row],[NAV (Strike Rate)]]-INDEX(LS[NAV at Cost (Average)],MATCH(CONCATENATE(LS[[#This Row],[Frequency]]-1,LS[[#This Row],[Investor ID]]),LS[Unique Code],0),)))</f>
        <v>112785.24761896691</v>
      </c>
      <c r="U1022" s="102">
        <f t="array" ref="U1022">IF(LS[[#This Row],[B/S]]="S",ABS(LS[[#This Row],[Unit]])*(INDEX(LS[NAV at Cost (Average)],MATCH(CONCATENATE((LS[[#This Row],[Frequency]]-1),LS[[#This Row],[Investor ID]]),LS[Unique Code],0),0)),0)</f>
        <v>2887214.7523810333</v>
      </c>
      <c r="V1022" s="102">
        <f>IF(LS[[#This Row],[BO TRANSFER]]="YES",LS[[#This Row],[Unit]],)</f>
        <v>-239215</v>
      </c>
      <c r="W1022" s="102">
        <f>SUMIFS(LS[[#Headers],[BO UNIT TRANSFER]]:LS[[#This Row],[BO UNIT TRANSFER]],LS[[#Headers],[Investor ID]]:LS[[#This Row],[Investor ID]],LS[[#This Row],[Investor ID]])</f>
        <v>-128117</v>
      </c>
    </row>
    <row r="1023" spans="1:23">
      <c r="A1023" s="101">
        <v>2025</v>
      </c>
      <c r="B1023" s="101">
        <v>6</v>
      </c>
      <c r="C1023" s="101">
        <v>23</v>
      </c>
      <c r="D1023" s="98">
        <f>DATE(LS[[#This Row],[Year]],LS[[#This Row],[Month]],LS[[#This Row],[Day]])</f>
        <v>45831</v>
      </c>
      <c r="E1023" s="99" t="str">
        <f t="array" ref="E1023">INDEX(INVESTORS_LIST[INVESTOR NAME],MATCH(LS[[#This Row],[Investor ID]],INVESTORS_LIST[INVESTOR CODE],0),)</f>
        <v>RUMA AKTER</v>
      </c>
      <c r="F1023" s="100" t="s">
        <v>1323</v>
      </c>
      <c r="G1023" s="101">
        <f>COUNTIF(LS[[#Headers],[Investor ID]]:LS[[#This Row],[Investor ID]],LS[[#This Row],[Investor ID]])</f>
        <v>2</v>
      </c>
      <c r="H1023" s="101" t="str">
        <f>CONCATENATE(LS[[#This Row],[Frequency]],LS[[#This Row],[Investor ID]])</f>
        <v>2A00608</v>
      </c>
      <c r="I1023" s="75" t="str">
        <f>IF(LS[[#This Row],[B/S]]="B","BUY",(IF(LS[[#This Row],[B/S]]="S","SELL"," ")))</f>
        <v>BUY</v>
      </c>
      <c r="J1023" s="101" t="s">
        <v>1229</v>
      </c>
      <c r="K1023" s="102">
        <v>5000</v>
      </c>
      <c r="L1023" s="99"/>
      <c r="M1023" s="103">
        <f>LS[[#This Row],[Amount]]/LS[[#This Row],[Unit]]</f>
        <v>12.531328320802006</v>
      </c>
      <c r="N1023" s="104">
        <f>LS[[#This Row],[Unit Capital]]/10</f>
        <v>399</v>
      </c>
      <c r="O1023" s="104">
        <f>SUMIFS(LS[[#Headers],[Unit]]:LS[[#This Row],[Unit]],LS[[#Headers],[Investor ID]]:LS[[#This Row],[Investor ID]],LS[[#This Row],[Investor ID]])</f>
        <v>1205</v>
      </c>
      <c r="P1023" s="102">
        <v>3990</v>
      </c>
      <c r="Q1023" s="102">
        <f>LS[[#This Row],[Amount]]-LS[[#This Row],[Unit Capital]]</f>
        <v>1010</v>
      </c>
      <c r="R10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12.44813278008299</v>
      </c>
      <c r="S1023" s="103">
        <f t="shared" si="15"/>
        <v>14.224</v>
      </c>
      <c r="T102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3" s="102">
        <f t="array" ref="U1023">IF(LS[[#This Row],[B/S]]="S",ABS(LS[[#This Row],[Unit]])*(INDEX(LS[NAV at Cost (Average)],MATCH(CONCATENATE((LS[[#This Row],[Frequency]]-1),LS[[#This Row],[Investor ID]]),LS[Unique Code],0),0)),0)</f>
        <v>0</v>
      </c>
      <c r="V1023" s="102">
        <f>IF(LS[[#This Row],[BO TRANSFER]]="YES",LS[[#This Row],[Unit]],)</f>
        <v>0</v>
      </c>
      <c r="W1023" s="102">
        <f>SUMIFS(LS[[#Headers],[BO UNIT TRANSFER]]:LS[[#This Row],[BO UNIT TRANSFER]],LS[[#Headers],[Investor ID]]:LS[[#This Row],[Investor ID]],LS[[#This Row],[Investor ID]])</f>
        <v>0</v>
      </c>
    </row>
    <row r="1024" spans="1:23">
      <c r="A1024" s="101">
        <v>2025</v>
      </c>
      <c r="B1024" s="101">
        <v>6</v>
      </c>
      <c r="C1024" s="101">
        <v>23</v>
      </c>
      <c r="D1024" s="98">
        <f>DATE(LS[[#This Row],[Year]],LS[[#This Row],[Month]],LS[[#This Row],[Day]])</f>
        <v>45831</v>
      </c>
      <c r="E1024" s="99" t="str">
        <f t="array" ref="E1024">INDEX(INVESTORS_LIST[INVESTOR NAME],MATCH(LS[[#This Row],[Investor ID]],INVESTORS_LIST[INVESTOR CODE],0),)</f>
        <v>MD. SHOWKAT AKBAR</v>
      </c>
      <c r="F1024" s="100" t="s">
        <v>1175</v>
      </c>
      <c r="G1024" s="101">
        <f>COUNTIF(LS[[#Headers],[Investor ID]]:LS[[#This Row],[Investor ID]],LS[[#This Row],[Investor ID]])</f>
        <v>3</v>
      </c>
      <c r="H1024" s="101" t="str">
        <f>CONCATENATE(LS[[#This Row],[Frequency]],LS[[#This Row],[Investor ID]])</f>
        <v>3A00563</v>
      </c>
      <c r="I1024" s="75" t="str">
        <f>IF(LS[[#This Row],[B/S]]="B","BUY",(IF(LS[[#This Row],[B/S]]="S","SELL"," ")))</f>
        <v>BUY</v>
      </c>
      <c r="J1024" s="101" t="s">
        <v>1229</v>
      </c>
      <c r="K1024" s="102">
        <v>500000</v>
      </c>
      <c r="L1024" s="99"/>
      <c r="M1024" s="103">
        <f>LS[[#This Row],[Amount]]/LS[[#This Row],[Unit]]</f>
        <v>12.541072010835487</v>
      </c>
      <c r="N1024" s="104">
        <f>LS[[#This Row],[Unit Capital]]/10</f>
        <v>39869</v>
      </c>
      <c r="O1024" s="104">
        <f>SUMIFS(LS[[#Headers],[Unit]]:LS[[#This Row],[Unit]],LS[[#Headers],[Investor ID]]:LS[[#This Row],[Investor ID]],LS[[#This Row],[Investor ID]])</f>
        <v>39869</v>
      </c>
      <c r="P1024" s="102">
        <v>398690</v>
      </c>
      <c r="Q1024" s="102">
        <f>LS[[#This Row],[Amount]]-LS[[#This Row],[Unit Capital]]</f>
        <v>101310</v>
      </c>
      <c r="R10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24" s="103">
        <f t="shared" si="15"/>
        <v>14.224</v>
      </c>
      <c r="T102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4" s="102">
        <f t="array" ref="U1024">IF(LS[[#This Row],[B/S]]="S",ABS(LS[[#This Row],[Unit]])*(INDEX(LS[NAV at Cost (Average)],MATCH(CONCATENATE((LS[[#This Row],[Frequency]]-1),LS[[#This Row],[Investor ID]]),LS[Unique Code],0),0)),0)</f>
        <v>0</v>
      </c>
      <c r="V1024" s="102">
        <f>IF(LS[[#This Row],[BO TRANSFER]]="YES",LS[[#This Row],[Unit]],)</f>
        <v>0</v>
      </c>
      <c r="W1024" s="102">
        <f>SUMIFS(LS[[#Headers],[BO UNIT TRANSFER]]:LS[[#This Row],[BO UNIT TRANSFER]],LS[[#Headers],[Investor ID]]:LS[[#This Row],[Investor ID]],LS[[#This Row],[Investor ID]])</f>
        <v>0</v>
      </c>
    </row>
    <row r="1025" spans="1:23">
      <c r="A1025" s="101">
        <v>2025</v>
      </c>
      <c r="B1025" s="101">
        <v>6</v>
      </c>
      <c r="C1025" s="101">
        <v>23</v>
      </c>
      <c r="D1025" s="98">
        <f>DATE(LS[[#This Row],[Year]],LS[[#This Row],[Month]],LS[[#This Row],[Day]])</f>
        <v>45831</v>
      </c>
      <c r="E1025" s="99" t="str">
        <f t="array" ref="E1025">INDEX(INVESTORS_LIST[INVESTOR NAME],MATCH(LS[[#This Row],[Investor ID]],INVESTORS_LIST[INVESTOR CODE],0),)</f>
        <v>A.N.M. GOLAM SHABBIR</v>
      </c>
      <c r="F1025" s="100" t="s">
        <v>1056</v>
      </c>
      <c r="G1025" s="101">
        <f>COUNTIF(LS[[#Headers],[Investor ID]]:LS[[#This Row],[Investor ID]],LS[[#This Row],[Investor ID]])</f>
        <v>2</v>
      </c>
      <c r="H1025" s="101" t="str">
        <f>CONCATENATE(LS[[#This Row],[Frequency]],LS[[#This Row],[Investor ID]])</f>
        <v>2A00505</v>
      </c>
      <c r="I1025" s="75" t="str">
        <f>IF(LS[[#This Row],[B/S]]="B","BUY",(IF(LS[[#This Row],[B/S]]="S","SELL"," ")))</f>
        <v>BUY</v>
      </c>
      <c r="J1025" s="101" t="s">
        <v>1229</v>
      </c>
      <c r="K1025" s="102">
        <v>500000</v>
      </c>
      <c r="L1025" s="99"/>
      <c r="M1025" s="103">
        <f>LS[[#This Row],[Amount]]/LS[[#This Row],[Unit]]</f>
        <v>12.541072010835487</v>
      </c>
      <c r="N1025" s="104">
        <f>LS[[#This Row],[Unit Capital]]/10</f>
        <v>39869</v>
      </c>
      <c r="O1025" s="104">
        <f>SUMIFS(LS[[#Headers],[Unit]]:LS[[#This Row],[Unit]],LS[[#Headers],[Investor ID]]:LS[[#This Row],[Investor ID]],LS[[#This Row],[Investor ID]])</f>
        <v>98133</v>
      </c>
      <c r="P1025" s="102">
        <v>398690</v>
      </c>
      <c r="Q1025" s="102">
        <f>LS[[#This Row],[Amount]]-LS[[#This Row],[Unit Capital]]</f>
        <v>101310</v>
      </c>
      <c r="R10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11.209277205425291</v>
      </c>
      <c r="S1025" s="103">
        <f t="shared" si="15"/>
        <v>14.224</v>
      </c>
      <c r="T10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5" s="102">
        <f t="array" ref="U1025">IF(LS[[#This Row],[B/S]]="S",ABS(LS[[#This Row],[Unit]])*(INDEX(LS[NAV at Cost (Average)],MATCH(CONCATENATE((LS[[#This Row],[Frequency]]-1),LS[[#This Row],[Investor ID]]),LS[Unique Code],0),0)),0)</f>
        <v>0</v>
      </c>
      <c r="V1025" s="102">
        <f>IF(LS[[#This Row],[BO TRANSFER]]="YES",LS[[#This Row],[Unit]],)</f>
        <v>0</v>
      </c>
      <c r="W1025" s="102">
        <f>SUMIFS(LS[[#Headers],[BO UNIT TRANSFER]]:LS[[#This Row],[BO UNIT TRANSFER]],LS[[#Headers],[Investor ID]]:LS[[#This Row],[Investor ID]],LS[[#This Row],[Investor ID]])</f>
        <v>0</v>
      </c>
    </row>
    <row r="1026" spans="1:23">
      <c r="A1026" s="101">
        <v>2025</v>
      </c>
      <c r="B1026" s="101">
        <v>6</v>
      </c>
      <c r="C1026" s="101">
        <v>23</v>
      </c>
      <c r="D1026" s="98">
        <f>DATE(LS[[#This Row],[Year]],LS[[#This Row],[Month]],LS[[#This Row],[Day]])</f>
        <v>45831</v>
      </c>
      <c r="E1026" s="99" t="str">
        <f t="array" ref="E1026">INDEX(INVESTORS_LIST[INVESTOR NAME],MATCH(LS[[#This Row],[Investor ID]],INVESTORS_LIST[INVESTOR CODE],0),)</f>
        <v>RAJIV HASSAN</v>
      </c>
      <c r="F1026" s="97" t="s">
        <v>1038</v>
      </c>
      <c r="G1026" s="101">
        <f>COUNTIF(LS[[#Headers],[Investor ID]]:LS[[#This Row],[Investor ID]],LS[[#This Row],[Investor ID]])</f>
        <v>8</v>
      </c>
      <c r="H1026" s="101" t="str">
        <f>CONCATENATE(LS[[#This Row],[Frequency]],LS[[#This Row],[Investor ID]])</f>
        <v>8A00496</v>
      </c>
      <c r="I1026" s="75" t="str">
        <f>IF(LS[[#This Row],[B/S]]="B","BUY",(IF(LS[[#This Row],[B/S]]="S","SELL"," ")))</f>
        <v>BUY</v>
      </c>
      <c r="J1026" s="101" t="s">
        <v>1229</v>
      </c>
      <c r="K1026" s="102">
        <v>500000</v>
      </c>
      <c r="L1026" s="99"/>
      <c r="M1026" s="103">
        <f>LS[[#This Row],[Amount]]/LS[[#This Row],[Unit]]</f>
        <v>12.541072010835487</v>
      </c>
      <c r="N1026" s="104">
        <f>LS[[#This Row],[Unit Capital]]/10</f>
        <v>39869</v>
      </c>
      <c r="O1026" s="104">
        <f>SUMIFS(LS[[#Headers],[Unit]]:LS[[#This Row],[Unit]],LS[[#Headers],[Investor ID]]:LS[[#This Row],[Investor ID]],LS[[#This Row],[Investor ID]])</f>
        <v>39869</v>
      </c>
      <c r="P1026" s="102">
        <v>398690</v>
      </c>
      <c r="Q1026" s="102">
        <f>LS[[#This Row],[Amount]]-LS[[#This Row],[Unit Capital]]</f>
        <v>101310</v>
      </c>
      <c r="R10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26" s="103">
        <f t="shared" si="15"/>
        <v>14.224</v>
      </c>
      <c r="T10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6" s="102">
        <f t="array" ref="U1026">IF(LS[[#This Row],[B/S]]="S",ABS(LS[[#This Row],[Unit]])*(INDEX(LS[NAV at Cost (Average)],MATCH(CONCATENATE((LS[[#This Row],[Frequency]]-1),LS[[#This Row],[Investor ID]]),LS[Unique Code],0),0)),0)</f>
        <v>0</v>
      </c>
      <c r="V1026" s="102">
        <f>IF(LS[[#This Row],[BO TRANSFER]]="YES",LS[[#This Row],[Unit]],)</f>
        <v>0</v>
      </c>
      <c r="W1026" s="102">
        <f>SUMIFS(LS[[#Headers],[BO UNIT TRANSFER]]:LS[[#This Row],[BO UNIT TRANSFER]],LS[[#Headers],[Investor ID]]:LS[[#This Row],[Investor ID]],LS[[#This Row],[Investor ID]])</f>
        <v>0</v>
      </c>
    </row>
    <row r="1027" spans="1:23">
      <c r="A1027" s="101">
        <v>2025</v>
      </c>
      <c r="B1027" s="101">
        <v>6</v>
      </c>
      <c r="C1027" s="101">
        <v>23</v>
      </c>
      <c r="D1027" s="98">
        <f>DATE(LS[[#This Row],[Year]],LS[[#This Row],[Month]],LS[[#This Row],[Day]])</f>
        <v>45831</v>
      </c>
      <c r="E1027" s="99" t="str">
        <f t="array" ref="E1027">INDEX(INVESTORS_LIST[INVESTOR NAME],MATCH(LS[[#This Row],[Investor ID]],INVESTORS_LIST[INVESTOR CODE],0),)</f>
        <v>SYEDA DIL AFROZE</v>
      </c>
      <c r="F1027" s="100" t="s">
        <v>1340</v>
      </c>
      <c r="G1027" s="101">
        <f>COUNTIF(LS[[#Headers],[Investor ID]]:LS[[#This Row],[Investor ID]],LS[[#This Row],[Investor ID]])</f>
        <v>1</v>
      </c>
      <c r="H1027" s="101" t="str">
        <f>CONCATENATE(LS[[#This Row],[Frequency]],LS[[#This Row],[Investor ID]])</f>
        <v>1A00616</v>
      </c>
      <c r="I1027" s="75" t="str">
        <f>IF(LS[[#This Row],[B/S]]="B","BUY",(IF(LS[[#This Row],[B/S]]="S","SELL"," ")))</f>
        <v>BUY</v>
      </c>
      <c r="J1027" s="101" t="s">
        <v>1229</v>
      </c>
      <c r="K1027" s="102">
        <v>400000</v>
      </c>
      <c r="L1027" s="99"/>
      <c r="M1027" s="103">
        <f>LS[[#This Row],[Amount]]/LS[[#This Row],[Unit]]</f>
        <v>12.54115065057219</v>
      </c>
      <c r="N1027" s="104">
        <f>LS[[#This Row],[Unit Capital]]/10</f>
        <v>31895</v>
      </c>
      <c r="O1027" s="104">
        <f>SUMIFS(LS[[#Headers],[Unit]]:LS[[#This Row],[Unit]],LS[[#Headers],[Investor ID]]:LS[[#This Row],[Investor ID]],LS[[#This Row],[Investor ID]])</f>
        <v>31895</v>
      </c>
      <c r="P1027" s="102">
        <v>318950</v>
      </c>
      <c r="Q1027" s="102">
        <f>LS[[#This Row],[Amount]]-LS[[#This Row],[Unit Capital]]</f>
        <v>81050</v>
      </c>
      <c r="R10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12.54115065057219</v>
      </c>
      <c r="S1027" s="103">
        <f t="shared" ref="S1027:S1090" si="16">IFERROR(NAV_MKT,0)</f>
        <v>14.224</v>
      </c>
      <c r="T102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7" s="102">
        <f t="array" ref="U1027">IF(LS[[#This Row],[B/S]]="S",ABS(LS[[#This Row],[Unit]])*(INDEX(LS[NAV at Cost (Average)],MATCH(CONCATENATE((LS[[#This Row],[Frequency]]-1),LS[[#This Row],[Investor ID]]),LS[Unique Code],0),0)),0)</f>
        <v>0</v>
      </c>
      <c r="V1027" s="102">
        <f>IF(LS[[#This Row],[BO TRANSFER]]="YES",LS[[#This Row],[Unit]],)</f>
        <v>0</v>
      </c>
      <c r="W1027" s="102">
        <f>SUMIFS(LS[[#Headers],[BO UNIT TRANSFER]]:LS[[#This Row],[BO UNIT TRANSFER]],LS[[#Headers],[Investor ID]]:LS[[#This Row],[Investor ID]],LS[[#This Row],[Investor ID]])</f>
        <v>0</v>
      </c>
    </row>
    <row r="1028" spans="1:23">
      <c r="A1028" s="101">
        <v>2025</v>
      </c>
      <c r="B1028" s="101">
        <v>6</v>
      </c>
      <c r="C1028" s="101">
        <v>24</v>
      </c>
      <c r="D1028" s="98">
        <f>DATE(LS[[#This Row],[Year]],LS[[#This Row],[Month]],LS[[#This Row],[Day]])</f>
        <v>45832</v>
      </c>
      <c r="E1028" s="99" t="str">
        <f t="array" ref="E1028">INDEX(INVESTORS_LIST[INVESTOR NAME],MATCH(LS[[#This Row],[Investor ID]],INVESTORS_LIST[INVESTOR CODE],0),)</f>
        <v>SABBIR-AL-HARUN</v>
      </c>
      <c r="F1028" s="100" t="s">
        <v>1202</v>
      </c>
      <c r="G1028" s="101">
        <f>COUNTIF(LS[[#Headers],[Investor ID]]:LS[[#This Row],[Investor ID]],LS[[#This Row],[Investor ID]])</f>
        <v>2</v>
      </c>
      <c r="H1028" s="101" t="str">
        <f>CONCATENATE(LS[[#This Row],[Frequency]],LS[[#This Row],[Investor ID]])</f>
        <v>2A00577</v>
      </c>
      <c r="I1028" s="75" t="str">
        <f>IF(LS[[#This Row],[B/S]]="B","BUY",(IF(LS[[#This Row],[B/S]]="S","SELL"," ")))</f>
        <v>BUY</v>
      </c>
      <c r="J1028" s="101" t="s">
        <v>1229</v>
      </c>
      <c r="K1028" s="102">
        <v>500000</v>
      </c>
      <c r="L1028" s="99"/>
      <c r="M1028" s="103">
        <f>LS[[#This Row],[Amount]]/LS[[#This Row],[Unit]]</f>
        <v>12.541072010835487</v>
      </c>
      <c r="N1028" s="104">
        <f>LS[[#This Row],[Unit Capital]]/10</f>
        <v>39869</v>
      </c>
      <c r="O1028" s="104">
        <f>SUMIFS(LS[[#Headers],[Unit]]:LS[[#This Row],[Unit]],LS[[#Headers],[Investor ID]]:LS[[#This Row],[Investor ID]],LS[[#This Row],[Investor ID]])</f>
        <v>84704</v>
      </c>
      <c r="P1028" s="102">
        <v>398690</v>
      </c>
      <c r="Q1028" s="102">
        <f>LS[[#This Row],[Amount]]-LS[[#This Row],[Unit Capital]]</f>
        <v>101310</v>
      </c>
      <c r="R10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11.805817907064601</v>
      </c>
      <c r="S1028" s="103">
        <f t="shared" si="16"/>
        <v>14.224</v>
      </c>
      <c r="T10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8" s="102">
        <f t="array" ref="U1028">IF(LS[[#This Row],[B/S]]="S",ABS(LS[[#This Row],[Unit]])*(INDEX(LS[NAV at Cost (Average)],MATCH(CONCATENATE((LS[[#This Row],[Frequency]]-1),LS[[#This Row],[Investor ID]]),LS[Unique Code],0),0)),0)</f>
        <v>0</v>
      </c>
      <c r="V1028" s="102">
        <f>IF(LS[[#This Row],[BO TRANSFER]]="YES",LS[[#This Row],[Unit]],)</f>
        <v>0</v>
      </c>
      <c r="W1028" s="102">
        <f>SUMIFS(LS[[#Headers],[BO UNIT TRANSFER]]:LS[[#This Row],[BO UNIT TRANSFER]],LS[[#Headers],[Investor ID]]:LS[[#This Row],[Investor ID]],LS[[#This Row],[Investor ID]])</f>
        <v>0</v>
      </c>
    </row>
    <row r="1029" spans="1:23">
      <c r="A1029" s="101">
        <v>2025</v>
      </c>
      <c r="B1029" s="101">
        <v>6</v>
      </c>
      <c r="C1029" s="101">
        <v>24</v>
      </c>
      <c r="D1029" s="98">
        <f>DATE(LS[[#This Row],[Year]],LS[[#This Row],[Month]],LS[[#This Row],[Day]])</f>
        <v>45832</v>
      </c>
      <c r="E1029" s="99" t="str">
        <f t="array" ref="E1029">INDEX(INVESTORS_LIST[INVESTOR NAME],MATCH(LS[[#This Row],[Investor ID]],INVESTORS_LIST[INVESTOR CODE],0),)</f>
        <v>MOHAMMAD JAHANGIR HOSSAIN</v>
      </c>
      <c r="F1029" s="100" t="s">
        <v>1263</v>
      </c>
      <c r="G1029" s="101">
        <f>COUNTIF(LS[[#Headers],[Investor ID]]:LS[[#This Row],[Investor ID]],LS[[#This Row],[Investor ID]])</f>
        <v>3</v>
      </c>
      <c r="H1029" s="101" t="str">
        <f>CONCATENATE(LS[[#This Row],[Frequency]],LS[[#This Row],[Investor ID]])</f>
        <v>3A00581</v>
      </c>
      <c r="I1029" s="75" t="str">
        <f>IF(LS[[#This Row],[B/S]]="B","BUY",(IF(LS[[#This Row],[B/S]]="S","SELL"," ")))</f>
        <v>BUY</v>
      </c>
      <c r="J1029" s="101" t="s">
        <v>1229</v>
      </c>
      <c r="K1029" s="102">
        <v>290000</v>
      </c>
      <c r="L1029" s="99"/>
      <c r="M1029" s="103">
        <f>LS[[#This Row],[Amount]]/LS[[#This Row],[Unit]]</f>
        <v>12.541082857637088</v>
      </c>
      <c r="N1029" s="104">
        <f>LS[[#This Row],[Unit Capital]]/10</f>
        <v>23124</v>
      </c>
      <c r="O1029" s="104">
        <f>SUMIFS(LS[[#Headers],[Unit]]:LS[[#This Row],[Unit]],LS[[#Headers],[Investor ID]]:LS[[#This Row],[Investor ID]],LS[[#This Row],[Investor ID]])</f>
        <v>23124</v>
      </c>
      <c r="P1029" s="102">
        <v>231240</v>
      </c>
      <c r="Q1029" s="102">
        <f>LS[[#This Row],[Amount]]-LS[[#This Row],[Unit Capital]]</f>
        <v>58760</v>
      </c>
      <c r="R10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12.541082857637088</v>
      </c>
      <c r="S1029" s="103">
        <f t="shared" si="16"/>
        <v>14.224</v>
      </c>
      <c r="T10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29" s="102">
        <f t="array" ref="U1029">IF(LS[[#This Row],[B/S]]="S",ABS(LS[[#This Row],[Unit]])*(INDEX(LS[NAV at Cost (Average)],MATCH(CONCATENATE((LS[[#This Row],[Frequency]]-1),LS[[#This Row],[Investor ID]]),LS[Unique Code],0),0)),0)</f>
        <v>0</v>
      </c>
      <c r="V1029" s="102">
        <f>IF(LS[[#This Row],[BO TRANSFER]]="YES",LS[[#This Row],[Unit]],)</f>
        <v>0</v>
      </c>
      <c r="W1029" s="102">
        <f>SUMIFS(LS[[#Headers],[BO UNIT TRANSFER]]:LS[[#This Row],[BO UNIT TRANSFER]],LS[[#Headers],[Investor ID]]:LS[[#This Row],[Investor ID]],LS[[#This Row],[Investor ID]])</f>
        <v>0</v>
      </c>
    </row>
    <row r="1030" spans="1:23">
      <c r="A1030" s="101">
        <v>2025</v>
      </c>
      <c r="B1030" s="101">
        <v>6</v>
      </c>
      <c r="C1030" s="101">
        <v>24</v>
      </c>
      <c r="D1030" s="98">
        <f>DATE(LS[[#This Row],[Year]],LS[[#This Row],[Month]],LS[[#This Row],[Day]])</f>
        <v>45832</v>
      </c>
      <c r="E1030" s="99" t="str">
        <f t="array" ref="E1030">INDEX(INVESTORS_LIST[INVESTOR NAME],MATCH(LS[[#This Row],[Investor ID]],INVESTORS_LIST[INVESTOR CODE],0),)</f>
        <v>MAHMOOD KABIR</v>
      </c>
      <c r="F1030" s="100" t="s">
        <v>1165</v>
      </c>
      <c r="G1030" s="101">
        <f>COUNTIF(LS[[#Headers],[Investor ID]]:LS[[#This Row],[Investor ID]],LS[[#This Row],[Investor ID]])</f>
        <v>4</v>
      </c>
      <c r="H1030" s="101" t="str">
        <f>CONCATENATE(LS[[#This Row],[Frequency]],LS[[#This Row],[Investor ID]])</f>
        <v>4A00558</v>
      </c>
      <c r="I1030" s="75" t="str">
        <f>IF(LS[[#This Row],[B/S]]="B","BUY",(IF(LS[[#This Row],[B/S]]="S","SELL"," ")))</f>
        <v>BUY</v>
      </c>
      <c r="J1030" s="101" t="s">
        <v>1229</v>
      </c>
      <c r="K1030" s="102">
        <v>300000</v>
      </c>
      <c r="L1030" s="88"/>
      <c r="M1030" s="103">
        <f>LS[[#This Row],[Amount]]/LS[[#This Row],[Unit]]</f>
        <v>12.54075746175069</v>
      </c>
      <c r="N1030" s="104">
        <f>LS[[#This Row],[Unit Capital]]/10</f>
        <v>23922</v>
      </c>
      <c r="O1030" s="104">
        <f>SUMIFS(LS[[#Headers],[Unit]]:LS[[#This Row],[Unit]],LS[[#Headers],[Investor ID]]:LS[[#This Row],[Investor ID]],LS[[#This Row],[Investor ID]])</f>
        <v>68947</v>
      </c>
      <c r="P1030" s="102">
        <v>239220</v>
      </c>
      <c r="Q1030" s="102">
        <f>LS[[#This Row],[Amount]]-LS[[#This Row],[Unit Capital]]</f>
        <v>60780</v>
      </c>
      <c r="R10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11.603115436494701</v>
      </c>
      <c r="S1030" s="103">
        <f t="shared" si="16"/>
        <v>14.224</v>
      </c>
      <c r="T103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0" s="102">
        <f t="array" ref="U1030">IF(LS[[#This Row],[B/S]]="S",ABS(LS[[#This Row],[Unit]])*(INDEX(LS[NAV at Cost (Average)],MATCH(CONCATENATE((LS[[#This Row],[Frequency]]-1),LS[[#This Row],[Investor ID]]),LS[Unique Code],0),0)),0)</f>
        <v>0</v>
      </c>
      <c r="V1030" s="102">
        <f>IF(LS[[#This Row],[BO TRANSFER]]="YES",LS[[#This Row],[Unit]],)</f>
        <v>0</v>
      </c>
      <c r="W1030" s="102">
        <f>SUMIFS(LS[[#Headers],[BO UNIT TRANSFER]]:LS[[#This Row],[BO UNIT TRANSFER]],LS[[#Headers],[Investor ID]]:LS[[#This Row],[Investor ID]],LS[[#This Row],[Investor ID]])</f>
        <v>0</v>
      </c>
    </row>
    <row r="1031" spans="1:23">
      <c r="A1031" s="101">
        <v>2025</v>
      </c>
      <c r="B1031" s="101">
        <v>6</v>
      </c>
      <c r="C1031" s="101">
        <v>24</v>
      </c>
      <c r="D1031" s="98">
        <f>DATE(LS[[#This Row],[Year]],LS[[#This Row],[Month]],LS[[#This Row],[Day]])</f>
        <v>45832</v>
      </c>
      <c r="E1031" s="99" t="str">
        <f t="array" ref="E1031">INDEX(INVESTORS_LIST[INVESTOR NAME],MATCH(LS[[#This Row],[Investor ID]],INVESTORS_LIST[INVESTOR CODE],0),)</f>
        <v>MAHMOOD KABIR</v>
      </c>
      <c r="F1031" s="100" t="s">
        <v>1165</v>
      </c>
      <c r="G1031" s="101">
        <f>COUNTIF(LS[[#Headers],[Investor ID]]:LS[[#This Row],[Investor ID]],LS[[#This Row],[Investor ID]])</f>
        <v>5</v>
      </c>
      <c r="H1031" s="101" t="str">
        <f>CONCATENATE(LS[[#This Row],[Frequency]],LS[[#This Row],[Investor ID]])</f>
        <v>5A00558</v>
      </c>
      <c r="I1031" s="75" t="str">
        <f>IF(LS[[#This Row],[B/S]]="B","BUY",(IF(LS[[#This Row],[B/S]]="S","SELL"," ")))</f>
        <v>BUY</v>
      </c>
      <c r="J1031" s="101" t="s">
        <v>1229</v>
      </c>
      <c r="K1031" s="102">
        <v>150000</v>
      </c>
      <c r="L1031" s="88"/>
      <c r="M1031" s="103">
        <f>LS[[#This Row],[Amount]]/LS[[#This Row],[Unit]]</f>
        <v>12.54075746175069</v>
      </c>
      <c r="N1031" s="104">
        <f>LS[[#This Row],[Unit Capital]]/10</f>
        <v>11961</v>
      </c>
      <c r="O1031" s="104">
        <f>SUMIFS(LS[[#Headers],[Unit]]:LS[[#This Row],[Unit]],LS[[#Headers],[Investor ID]]:LS[[#This Row],[Investor ID]],LS[[#This Row],[Investor ID]])</f>
        <v>80908</v>
      </c>
      <c r="P1031" s="102">
        <v>119610</v>
      </c>
      <c r="Q1031" s="102">
        <f>LS[[#This Row],[Amount]]-LS[[#This Row],[Unit Capital]]</f>
        <v>30390</v>
      </c>
      <c r="R10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11.741731349186733</v>
      </c>
      <c r="S1031" s="103">
        <f t="shared" si="16"/>
        <v>14.224</v>
      </c>
      <c r="T10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1" s="102">
        <f t="array" ref="U1031">IF(LS[[#This Row],[B/S]]="S",ABS(LS[[#This Row],[Unit]])*(INDEX(LS[NAV at Cost (Average)],MATCH(CONCATENATE((LS[[#This Row],[Frequency]]-1),LS[[#This Row],[Investor ID]]),LS[Unique Code],0),0)),0)</f>
        <v>0</v>
      </c>
      <c r="V1031" s="102">
        <f>IF(LS[[#This Row],[BO TRANSFER]]="YES",LS[[#This Row],[Unit]],)</f>
        <v>0</v>
      </c>
      <c r="W1031" s="102">
        <f>SUMIFS(LS[[#Headers],[BO UNIT TRANSFER]]:LS[[#This Row],[BO UNIT TRANSFER]],LS[[#Headers],[Investor ID]]:LS[[#This Row],[Investor ID]],LS[[#This Row],[Investor ID]])</f>
        <v>0</v>
      </c>
    </row>
    <row r="1032" spans="1:23">
      <c r="A1032" s="101">
        <v>2025</v>
      </c>
      <c r="B1032" s="101">
        <v>6</v>
      </c>
      <c r="C1032" s="101">
        <v>24</v>
      </c>
      <c r="D1032" s="98">
        <f>DATE(LS[[#This Row],[Year]],LS[[#This Row],[Month]],LS[[#This Row],[Day]])</f>
        <v>45832</v>
      </c>
      <c r="E1032" s="99" t="str">
        <f t="array" ref="E1032">INDEX(INVESTORS_LIST[INVESTOR NAME],MATCH(LS[[#This Row],[Investor ID]],INVESTORS_LIST[INVESTOR CODE],0),)</f>
        <v>AVRO SAHA</v>
      </c>
      <c r="F1032" s="100" t="s">
        <v>1372</v>
      </c>
      <c r="G1032" s="101">
        <f>COUNTIF(LS[[#Headers],[Investor ID]]:LS[[#This Row],[Investor ID]],LS[[#This Row],[Investor ID]])</f>
        <v>1</v>
      </c>
      <c r="H1032" s="101" t="str">
        <f>CONCATENATE(LS[[#This Row],[Frequency]],LS[[#This Row],[Investor ID]])</f>
        <v>1A00633</v>
      </c>
      <c r="I1032" s="75" t="str">
        <f>IF(LS[[#This Row],[B/S]]="B","BUY",(IF(LS[[#This Row],[B/S]]="S","SELL"," ")))</f>
        <v>BUY</v>
      </c>
      <c r="J1032" s="101" t="s">
        <v>1229</v>
      </c>
      <c r="K1032" s="102">
        <v>55000</v>
      </c>
      <c r="L1032" s="99"/>
      <c r="M1032" s="103">
        <f>LS[[#This Row],[Amount]]/LS[[#This Row],[Unit]]</f>
        <v>12.539899680802554</v>
      </c>
      <c r="N1032" s="104">
        <f>LS[[#This Row],[Unit Capital]]/10</f>
        <v>4386</v>
      </c>
      <c r="O1032" s="104">
        <f>SUMIFS(LS[[#Headers],[Unit]]:LS[[#This Row],[Unit]],LS[[#Headers],[Investor ID]]:LS[[#This Row],[Investor ID]],LS[[#This Row],[Investor ID]])</f>
        <v>4386</v>
      </c>
      <c r="P1032" s="102">
        <v>43860</v>
      </c>
      <c r="Q1032" s="102">
        <f>LS[[#This Row],[Amount]]-LS[[#This Row],[Unit Capital]]</f>
        <v>11140</v>
      </c>
      <c r="R10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12.539899680802554</v>
      </c>
      <c r="S1032" s="103">
        <f t="shared" si="16"/>
        <v>14.224</v>
      </c>
      <c r="T10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2" s="102">
        <f t="array" ref="U1032">IF(LS[[#This Row],[B/S]]="S",ABS(LS[[#This Row],[Unit]])*(INDEX(LS[NAV at Cost (Average)],MATCH(CONCATENATE((LS[[#This Row],[Frequency]]-1),LS[[#This Row],[Investor ID]]),LS[Unique Code],0),0)),0)</f>
        <v>0</v>
      </c>
      <c r="V1032" s="102">
        <f>IF(LS[[#This Row],[BO TRANSFER]]="YES",LS[[#This Row],[Unit]],)</f>
        <v>0</v>
      </c>
      <c r="W1032" s="102">
        <f>SUMIFS(LS[[#Headers],[BO UNIT TRANSFER]]:LS[[#This Row],[BO UNIT TRANSFER]],LS[[#Headers],[Investor ID]]:LS[[#This Row],[Investor ID]],LS[[#This Row],[Investor ID]])</f>
        <v>0</v>
      </c>
    </row>
    <row r="1033" spans="1:23">
      <c r="A1033" s="101">
        <v>2025</v>
      </c>
      <c r="B1033" s="101">
        <v>6</v>
      </c>
      <c r="C1033" s="101">
        <v>25</v>
      </c>
      <c r="D1033" s="98">
        <f>DATE(LS[[#This Row],[Year]],LS[[#This Row],[Month]],LS[[#This Row],[Day]])</f>
        <v>45833</v>
      </c>
      <c r="E1033" s="99" t="str">
        <f t="array" ref="E1033">INDEX(INVESTORS_LIST[INVESTOR NAME],MATCH(LS[[#This Row],[Investor ID]],INVESTORS_LIST[INVESTOR CODE],0),)</f>
        <v>MAHMOOD KABIR</v>
      </c>
      <c r="F1033" s="100" t="s">
        <v>1165</v>
      </c>
      <c r="G1033" s="101">
        <f>COUNTIF(LS[[#Headers],[Investor ID]]:LS[[#This Row],[Investor ID]],LS[[#This Row],[Investor ID]])</f>
        <v>6</v>
      </c>
      <c r="H1033" s="101" t="str">
        <f>CONCATENATE(LS[[#This Row],[Frequency]],LS[[#This Row],[Investor ID]])</f>
        <v>6A00558</v>
      </c>
      <c r="I1033" s="75" t="str">
        <f>IF(LS[[#This Row],[B/S]]="B","BUY",(IF(LS[[#This Row],[B/S]]="S","SELL"," ")))</f>
        <v>BUY</v>
      </c>
      <c r="J1033" s="101" t="s">
        <v>1229</v>
      </c>
      <c r="K1033" s="102">
        <v>50000</v>
      </c>
      <c r="L1033" s="88"/>
      <c r="M1033" s="103">
        <f>LS[[#This Row],[Amount]]/LS[[#This Row],[Unit]]</f>
        <v>12.54075746175069</v>
      </c>
      <c r="N1033" s="104">
        <f>LS[[#This Row],[Unit Capital]]/10</f>
        <v>3987</v>
      </c>
      <c r="O1033" s="104">
        <f>SUMIFS(LS[[#Headers],[Unit]]:LS[[#This Row],[Unit]],LS[[#Headers],[Investor ID]]:LS[[#This Row],[Investor ID]],LS[[#This Row],[Investor ID]])</f>
        <v>84895</v>
      </c>
      <c r="P1033" s="102">
        <v>39870</v>
      </c>
      <c r="Q1033" s="102">
        <f>LS[[#This Row],[Amount]]-LS[[#This Row],[Unit Capital]]</f>
        <v>10130</v>
      </c>
      <c r="R10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11.779256728900409</v>
      </c>
      <c r="S1033" s="103">
        <f t="shared" si="16"/>
        <v>14.224</v>
      </c>
      <c r="T10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3" s="102">
        <f t="array" ref="U1033">IF(LS[[#This Row],[B/S]]="S",ABS(LS[[#This Row],[Unit]])*(INDEX(LS[NAV at Cost (Average)],MATCH(CONCATENATE((LS[[#This Row],[Frequency]]-1),LS[[#This Row],[Investor ID]]),LS[Unique Code],0),0)),0)</f>
        <v>0</v>
      </c>
      <c r="V1033" s="102">
        <f>IF(LS[[#This Row],[BO TRANSFER]]="YES",LS[[#This Row],[Unit]],)</f>
        <v>0</v>
      </c>
      <c r="W1033" s="102">
        <f>SUMIFS(LS[[#Headers],[BO UNIT TRANSFER]]:LS[[#This Row],[BO UNIT TRANSFER]],LS[[#Headers],[Investor ID]]:LS[[#This Row],[Investor ID]],LS[[#This Row],[Investor ID]])</f>
        <v>0</v>
      </c>
    </row>
    <row r="1034" spans="1:23">
      <c r="A1034" s="101">
        <v>2025</v>
      </c>
      <c r="B1034" s="101">
        <v>6</v>
      </c>
      <c r="C1034" s="101">
        <v>25</v>
      </c>
      <c r="D1034" s="98">
        <f>DATE(LS[[#This Row],[Year]],LS[[#This Row],[Month]],LS[[#This Row],[Day]])</f>
        <v>45833</v>
      </c>
      <c r="E1034" s="99" t="str">
        <f t="array" ref="E1034">INDEX(INVESTORS_LIST[INVESTOR NAME],MATCH(LS[[#This Row],[Investor ID]],INVESTORS_LIST[INVESTOR CODE],0),)</f>
        <v>SULTAN HAFEEZ RAHMAN</v>
      </c>
      <c r="F1034" s="100" t="s">
        <v>1360</v>
      </c>
      <c r="G1034" s="101">
        <f>COUNTIF(LS[[#Headers],[Investor ID]]:LS[[#This Row],[Investor ID]],LS[[#This Row],[Investor ID]])</f>
        <v>1</v>
      </c>
      <c r="H1034" s="101" t="str">
        <f>CONCATENATE(LS[[#This Row],[Frequency]],LS[[#This Row],[Investor ID]])</f>
        <v>1A00626</v>
      </c>
      <c r="I1034" s="75" t="str">
        <f>IF(LS[[#This Row],[B/S]]="B","BUY",(IF(LS[[#This Row],[B/S]]="S","SELL"," ")))</f>
        <v>BUY</v>
      </c>
      <c r="J1034" s="101" t="s">
        <v>1229</v>
      </c>
      <c r="K1034" s="102">
        <v>500000</v>
      </c>
      <c r="L1034" s="99"/>
      <c r="M1034" s="103">
        <f>LS[[#This Row],[Amount]]/LS[[#This Row],[Unit]]</f>
        <v>12.541072010835487</v>
      </c>
      <c r="N1034" s="104">
        <f>LS[[#This Row],[Unit Capital]]/10</f>
        <v>39869</v>
      </c>
      <c r="O1034" s="104">
        <f>SUMIFS(LS[[#Headers],[Unit]]:LS[[#This Row],[Unit]],LS[[#Headers],[Investor ID]]:LS[[#This Row],[Investor ID]],LS[[#This Row],[Investor ID]])</f>
        <v>39869</v>
      </c>
      <c r="P1034" s="102">
        <v>398690</v>
      </c>
      <c r="Q1034" s="102">
        <f>LS[[#This Row],[Amount]]-LS[[#This Row],[Unit Capital]]</f>
        <v>101310</v>
      </c>
      <c r="R10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34" s="103">
        <f t="shared" si="16"/>
        <v>14.224</v>
      </c>
      <c r="T10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4" s="102">
        <f t="array" ref="U1034">IF(LS[[#This Row],[B/S]]="S",ABS(LS[[#This Row],[Unit]])*(INDEX(LS[NAV at Cost (Average)],MATCH(CONCATENATE((LS[[#This Row],[Frequency]]-1),LS[[#This Row],[Investor ID]]),LS[Unique Code],0),0)),0)</f>
        <v>0</v>
      </c>
      <c r="V1034" s="102">
        <f>IF(LS[[#This Row],[BO TRANSFER]]="YES",LS[[#This Row],[Unit]],)</f>
        <v>0</v>
      </c>
      <c r="W1034" s="102">
        <f>SUMIFS(LS[[#Headers],[BO UNIT TRANSFER]]:LS[[#This Row],[BO UNIT TRANSFER]],LS[[#Headers],[Investor ID]]:LS[[#This Row],[Investor ID]],LS[[#This Row],[Investor ID]])</f>
        <v>0</v>
      </c>
    </row>
    <row r="1035" spans="1:23">
      <c r="A1035" s="101">
        <v>2025</v>
      </c>
      <c r="B1035" s="101">
        <v>6</v>
      </c>
      <c r="C1035" s="101">
        <v>25</v>
      </c>
      <c r="D1035" s="98">
        <f>DATE(LS[[#This Row],[Year]],LS[[#This Row],[Month]],LS[[#This Row],[Day]])</f>
        <v>45833</v>
      </c>
      <c r="E1035" s="99" t="str">
        <f t="array" ref="E1035">INDEX(INVESTORS_LIST[INVESTOR NAME],MATCH(LS[[#This Row],[Investor ID]],INVESTORS_LIST[INVESTOR CODE],0),)</f>
        <v>SAYEED NASIR</v>
      </c>
      <c r="F1035" s="100" t="s">
        <v>1356</v>
      </c>
      <c r="G1035" s="101">
        <f>COUNTIF(LS[[#Headers],[Investor ID]]:LS[[#This Row],[Investor ID]],LS[[#This Row],[Investor ID]])</f>
        <v>1</v>
      </c>
      <c r="H1035" s="101" t="str">
        <f>CONCATENATE(LS[[#This Row],[Frequency]],LS[[#This Row],[Investor ID]])</f>
        <v>1A00624</v>
      </c>
      <c r="I1035" s="75" t="str">
        <f>IF(LS[[#This Row],[B/S]]="B","BUY",(IF(LS[[#This Row],[B/S]]="S","SELL"," ")))</f>
        <v>BUY</v>
      </c>
      <c r="J1035" s="101" t="s">
        <v>1229</v>
      </c>
      <c r="K1035" s="102">
        <v>500000</v>
      </c>
      <c r="L1035" s="99"/>
      <c r="M1035" s="103">
        <f>LS[[#This Row],[Amount]]/LS[[#This Row],[Unit]]</f>
        <v>12.541072010835487</v>
      </c>
      <c r="N1035" s="104">
        <f>LS[[#This Row],[Unit Capital]]/10</f>
        <v>39869</v>
      </c>
      <c r="O1035" s="104">
        <f>SUMIFS(LS[[#Headers],[Unit]]:LS[[#This Row],[Unit]],LS[[#Headers],[Investor ID]]:LS[[#This Row],[Investor ID]],LS[[#This Row],[Investor ID]])</f>
        <v>39869</v>
      </c>
      <c r="P1035" s="102">
        <v>398690</v>
      </c>
      <c r="Q1035" s="102">
        <f>LS[[#This Row],[Amount]]-LS[[#This Row],[Unit Capital]]</f>
        <v>101310</v>
      </c>
      <c r="R10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35" s="103">
        <f t="shared" si="16"/>
        <v>14.224</v>
      </c>
      <c r="T10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5" s="102">
        <f t="array" ref="U1035">IF(LS[[#This Row],[B/S]]="S",ABS(LS[[#This Row],[Unit]])*(INDEX(LS[NAV at Cost (Average)],MATCH(CONCATENATE((LS[[#This Row],[Frequency]]-1),LS[[#This Row],[Investor ID]]),LS[Unique Code],0),0)),0)</f>
        <v>0</v>
      </c>
      <c r="V1035" s="102">
        <f>IF(LS[[#This Row],[BO TRANSFER]]="YES",LS[[#This Row],[Unit]],)</f>
        <v>0</v>
      </c>
      <c r="W1035" s="102">
        <f>SUMIFS(LS[[#Headers],[BO UNIT TRANSFER]]:LS[[#This Row],[BO UNIT TRANSFER]],LS[[#Headers],[Investor ID]]:LS[[#This Row],[Investor ID]],LS[[#This Row],[Investor ID]])</f>
        <v>0</v>
      </c>
    </row>
    <row r="1036" spans="1:23">
      <c r="A1036" s="101">
        <v>2025</v>
      </c>
      <c r="B1036" s="101">
        <v>6</v>
      </c>
      <c r="C1036" s="101">
        <v>25</v>
      </c>
      <c r="D1036" s="98">
        <f>DATE(LS[[#This Row],[Year]],LS[[#This Row],[Month]],LS[[#This Row],[Day]])</f>
        <v>45833</v>
      </c>
      <c r="E1036" s="99" t="str">
        <f t="array" ref="E1036">INDEX(INVESTORS_LIST[INVESTOR NAME],MATCH(LS[[#This Row],[Investor ID]],INVESTORS_LIST[INVESTOR CODE],0),)</f>
        <v>AKHTER MOHAMMED MUSA</v>
      </c>
      <c r="F1036" s="100" t="s">
        <v>1358</v>
      </c>
      <c r="G1036" s="101">
        <f>COUNTIF(LS[[#Headers],[Investor ID]]:LS[[#This Row],[Investor ID]],LS[[#This Row],[Investor ID]])</f>
        <v>1</v>
      </c>
      <c r="H1036" s="101" t="str">
        <f>CONCATENATE(LS[[#This Row],[Frequency]],LS[[#This Row],[Investor ID]])</f>
        <v>1A00625</v>
      </c>
      <c r="I1036" s="75" t="str">
        <f>IF(LS[[#This Row],[B/S]]="B","BUY",(IF(LS[[#This Row],[B/S]]="S","SELL"," ")))</f>
        <v>BUY</v>
      </c>
      <c r="J1036" s="101" t="s">
        <v>1229</v>
      </c>
      <c r="K1036" s="102">
        <v>500000</v>
      </c>
      <c r="L1036" s="99"/>
      <c r="M1036" s="103">
        <f>LS[[#This Row],[Amount]]/LS[[#This Row],[Unit]]</f>
        <v>12.541072010835487</v>
      </c>
      <c r="N1036" s="104">
        <f>LS[[#This Row],[Unit Capital]]/10</f>
        <v>39869</v>
      </c>
      <c r="O1036" s="104">
        <f>SUMIFS(LS[[#Headers],[Unit]]:LS[[#This Row],[Unit]],LS[[#Headers],[Investor ID]]:LS[[#This Row],[Investor ID]],LS[[#This Row],[Investor ID]])</f>
        <v>39869</v>
      </c>
      <c r="P1036" s="102">
        <v>398690</v>
      </c>
      <c r="Q1036" s="102">
        <f>LS[[#This Row],[Amount]]-LS[[#This Row],[Unit Capital]]</f>
        <v>101310</v>
      </c>
      <c r="R10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36" s="103">
        <f t="shared" si="16"/>
        <v>14.224</v>
      </c>
      <c r="T103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6" s="102">
        <f t="array" ref="U1036">IF(LS[[#This Row],[B/S]]="S",ABS(LS[[#This Row],[Unit]])*(INDEX(LS[NAV at Cost (Average)],MATCH(CONCATENATE((LS[[#This Row],[Frequency]]-1),LS[[#This Row],[Investor ID]]),LS[Unique Code],0),0)),0)</f>
        <v>0</v>
      </c>
      <c r="V1036" s="102">
        <f>IF(LS[[#This Row],[BO TRANSFER]]="YES",LS[[#This Row],[Unit]],)</f>
        <v>0</v>
      </c>
      <c r="W1036" s="102">
        <f>SUMIFS(LS[[#Headers],[BO UNIT TRANSFER]]:LS[[#This Row],[BO UNIT TRANSFER]],LS[[#Headers],[Investor ID]]:LS[[#This Row],[Investor ID]],LS[[#This Row],[Investor ID]])</f>
        <v>0</v>
      </c>
    </row>
    <row r="1037" spans="1:23">
      <c r="A1037" s="101">
        <v>2025</v>
      </c>
      <c r="B1037" s="101">
        <v>6</v>
      </c>
      <c r="C1037" s="101">
        <v>25</v>
      </c>
      <c r="D1037" s="98">
        <f>DATE(LS[[#This Row],[Year]],LS[[#This Row],[Month]],LS[[#This Row],[Day]])</f>
        <v>45833</v>
      </c>
      <c r="E1037" s="99" t="str">
        <f t="array" ref="E1037">INDEX(INVESTORS_LIST[INVESTOR NAME],MATCH(LS[[#This Row],[Investor ID]],INVESTORS_LIST[INVESTOR CODE],0),)</f>
        <v>ABUL FAZAL MOHAMMAD SAIFUL ISLAM</v>
      </c>
      <c r="F1037" s="100" t="s">
        <v>1196</v>
      </c>
      <c r="G1037" s="101">
        <f>COUNTIF(LS[[#Headers],[Investor ID]]:LS[[#This Row],[Investor ID]],LS[[#This Row],[Investor ID]])</f>
        <v>3</v>
      </c>
      <c r="H1037" s="101" t="str">
        <f>CONCATENATE(LS[[#This Row],[Frequency]],LS[[#This Row],[Investor ID]])</f>
        <v>3A00574</v>
      </c>
      <c r="I1037" s="75" t="str">
        <f>IF(LS[[#This Row],[B/S]]="B","BUY",(IF(LS[[#This Row],[B/S]]="S","SELL"," ")))</f>
        <v>BUY</v>
      </c>
      <c r="J1037" s="101" t="s">
        <v>1229</v>
      </c>
      <c r="K1037" s="102">
        <v>500000</v>
      </c>
      <c r="L1037" s="99"/>
      <c r="M1037" s="103">
        <f>LS[[#This Row],[Amount]]/LS[[#This Row],[Unit]]</f>
        <v>12.541072010835487</v>
      </c>
      <c r="N1037" s="104">
        <f>LS[[#This Row],[Unit Capital]]/10</f>
        <v>39869</v>
      </c>
      <c r="O1037" s="104">
        <f>SUMIFS(LS[[#Headers],[Unit]]:LS[[#This Row],[Unit]],LS[[#Headers],[Investor ID]]:LS[[#This Row],[Investor ID]],LS[[#This Row],[Investor ID]])</f>
        <v>39869</v>
      </c>
      <c r="P1037" s="102">
        <v>398690</v>
      </c>
      <c r="Q1037" s="102">
        <f>LS[[#This Row],[Amount]]-LS[[#This Row],[Unit Capital]]</f>
        <v>101310</v>
      </c>
      <c r="R10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37" s="103">
        <f t="shared" si="16"/>
        <v>14.224</v>
      </c>
      <c r="T103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7" s="102">
        <f t="array" ref="U1037">IF(LS[[#This Row],[B/S]]="S",ABS(LS[[#This Row],[Unit]])*(INDEX(LS[NAV at Cost (Average)],MATCH(CONCATENATE((LS[[#This Row],[Frequency]]-1),LS[[#This Row],[Investor ID]]),LS[Unique Code],0),0)),0)</f>
        <v>0</v>
      </c>
      <c r="V1037" s="102">
        <f>IF(LS[[#This Row],[BO TRANSFER]]="YES",LS[[#This Row],[Unit]],)</f>
        <v>0</v>
      </c>
      <c r="W1037" s="102">
        <f>SUMIFS(LS[[#Headers],[BO UNIT TRANSFER]]:LS[[#This Row],[BO UNIT TRANSFER]],LS[[#Headers],[Investor ID]]:LS[[#This Row],[Investor ID]],LS[[#This Row],[Investor ID]])</f>
        <v>0</v>
      </c>
    </row>
    <row r="1038" spans="1:23">
      <c r="A1038" s="101">
        <v>2025</v>
      </c>
      <c r="B1038" s="101">
        <v>6</v>
      </c>
      <c r="C1038" s="101">
        <v>25</v>
      </c>
      <c r="D1038" s="98">
        <f>DATE(LS[[#This Row],[Year]],LS[[#This Row],[Month]],LS[[#This Row],[Day]])</f>
        <v>45833</v>
      </c>
      <c r="E1038" s="99" t="str">
        <f t="array" ref="E1038">INDEX(INVESTORS_LIST[INVESTOR NAME],MATCH(LS[[#This Row],[Investor ID]],INVESTORS_LIST[INVESTOR CODE],0),)</f>
        <v>A. K. M. BAZLUR RASHID</v>
      </c>
      <c r="F1038" s="100" t="s">
        <v>1149</v>
      </c>
      <c r="G1038" s="101">
        <f>COUNTIF(LS[[#Headers],[Investor ID]]:LS[[#This Row],[Investor ID]],LS[[#This Row],[Investor ID]])</f>
        <v>2</v>
      </c>
      <c r="H1038" s="101" t="str">
        <f>CONCATENATE(LS[[#This Row],[Frequency]],LS[[#This Row],[Investor ID]])</f>
        <v>2A00550</v>
      </c>
      <c r="I1038" s="75" t="str">
        <f>IF(LS[[#This Row],[B/S]]="B","BUY",(IF(LS[[#This Row],[B/S]]="S","SELL"," ")))</f>
        <v>BUY</v>
      </c>
      <c r="J1038" s="101" t="s">
        <v>1229</v>
      </c>
      <c r="K1038" s="102">
        <v>500000</v>
      </c>
      <c r="L1038" s="99"/>
      <c r="M1038" s="103">
        <f>LS[[#This Row],[Amount]]/LS[[#This Row],[Unit]]</f>
        <v>12.541072010835487</v>
      </c>
      <c r="N1038" s="104">
        <f>LS[[#This Row],[Unit Capital]]/10</f>
        <v>39869</v>
      </c>
      <c r="O1038" s="104">
        <f>SUMIFS(LS[[#Headers],[Unit]]:LS[[#This Row],[Unit]],LS[[#Headers],[Investor ID]]:LS[[#This Row],[Investor ID]],LS[[#This Row],[Investor ID]])</f>
        <v>220342</v>
      </c>
      <c r="P1038" s="102">
        <v>398690</v>
      </c>
      <c r="Q1038" s="102">
        <f>LS[[#This Row],[Amount]]-LS[[#This Row],[Unit Capital]]</f>
        <v>101310</v>
      </c>
      <c r="R10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11.3459984932514</v>
      </c>
      <c r="S1038" s="103">
        <f t="shared" si="16"/>
        <v>14.224</v>
      </c>
      <c r="T103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8" s="102">
        <f t="array" ref="U1038">IF(LS[[#This Row],[B/S]]="S",ABS(LS[[#This Row],[Unit]])*(INDEX(LS[NAV at Cost (Average)],MATCH(CONCATENATE((LS[[#This Row],[Frequency]]-1),LS[[#This Row],[Investor ID]]),LS[Unique Code],0),0)),0)</f>
        <v>0</v>
      </c>
      <c r="V1038" s="102">
        <f>IF(LS[[#This Row],[BO TRANSFER]]="YES",LS[[#This Row],[Unit]],)</f>
        <v>0</v>
      </c>
      <c r="W1038" s="102">
        <f>SUMIFS(LS[[#Headers],[BO UNIT TRANSFER]]:LS[[#This Row],[BO UNIT TRANSFER]],LS[[#Headers],[Investor ID]]:LS[[#This Row],[Investor ID]],LS[[#This Row],[Investor ID]])</f>
        <v>0</v>
      </c>
    </row>
    <row r="1039" spans="1:23">
      <c r="A1039" s="101">
        <v>2025</v>
      </c>
      <c r="B1039" s="101">
        <v>6</v>
      </c>
      <c r="C1039" s="101">
        <v>25</v>
      </c>
      <c r="D1039" s="98">
        <f>DATE(LS[[#This Row],[Year]],LS[[#This Row],[Month]],LS[[#This Row],[Day]])</f>
        <v>45833</v>
      </c>
      <c r="E1039" s="99" t="str">
        <f t="array" ref="E1039">INDEX(INVESTORS_LIST[INVESTOR NAME],MATCH(LS[[#This Row],[Investor ID]],INVESTORS_LIST[INVESTOR CODE],0),)</f>
        <v>JISHAN SHAMSAD</v>
      </c>
      <c r="F1039" s="100" t="s">
        <v>1036</v>
      </c>
      <c r="G1039" s="101">
        <f>COUNTIF(LS[[#Headers],[Investor ID]]:LS[[#This Row],[Investor ID]],LS[[#This Row],[Investor ID]])</f>
        <v>2</v>
      </c>
      <c r="H1039" s="101" t="str">
        <f>CONCATENATE(LS[[#This Row],[Frequency]],LS[[#This Row],[Investor ID]])</f>
        <v>2A00495</v>
      </c>
      <c r="I1039" s="75" t="str">
        <f>IF(LS[[#This Row],[B/S]]="B","BUY",(IF(LS[[#This Row],[B/S]]="S","SELL"," ")))</f>
        <v>BUY</v>
      </c>
      <c r="J1039" s="101" t="s">
        <v>1229</v>
      </c>
      <c r="K1039" s="102">
        <v>500000</v>
      </c>
      <c r="L1039" s="99"/>
      <c r="M1039" s="103">
        <f>LS[[#This Row],[Amount]]/LS[[#This Row],[Unit]]</f>
        <v>12.541072010835487</v>
      </c>
      <c r="N1039" s="104">
        <f>LS[[#This Row],[Unit Capital]]/10</f>
        <v>39869</v>
      </c>
      <c r="O1039" s="104">
        <f>SUMIFS(LS[[#Headers],[Unit]]:LS[[#This Row],[Unit]],LS[[#Headers],[Investor ID]]:LS[[#This Row],[Investor ID]],LS[[#This Row],[Investor ID]])</f>
        <v>88726</v>
      </c>
      <c r="P1039" s="102">
        <v>398690</v>
      </c>
      <c r="Q1039" s="102">
        <f>LS[[#This Row],[Amount]]-LS[[#This Row],[Unit Capital]]</f>
        <v>101310</v>
      </c>
      <c r="R10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11.270653472488336</v>
      </c>
      <c r="S1039" s="103">
        <f t="shared" si="16"/>
        <v>14.224</v>
      </c>
      <c r="T103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39" s="102">
        <f t="array" ref="U1039">IF(LS[[#This Row],[B/S]]="S",ABS(LS[[#This Row],[Unit]])*(INDEX(LS[NAV at Cost (Average)],MATCH(CONCATENATE((LS[[#This Row],[Frequency]]-1),LS[[#This Row],[Investor ID]]),LS[Unique Code],0),0)),0)</f>
        <v>0</v>
      </c>
      <c r="V1039" s="102">
        <f>IF(LS[[#This Row],[BO TRANSFER]]="YES",LS[[#This Row],[Unit]],)</f>
        <v>0</v>
      </c>
      <c r="W1039" s="102">
        <f>SUMIFS(LS[[#Headers],[BO UNIT TRANSFER]]:LS[[#This Row],[BO UNIT TRANSFER]],LS[[#Headers],[Investor ID]]:LS[[#This Row],[Investor ID]],LS[[#This Row],[Investor ID]])</f>
        <v>0</v>
      </c>
    </row>
    <row r="1040" spans="1:23">
      <c r="A1040" s="101">
        <v>2025</v>
      </c>
      <c r="B1040" s="101">
        <v>6</v>
      </c>
      <c r="C1040" s="101">
        <v>25</v>
      </c>
      <c r="D1040" s="98">
        <f>DATE(LS[[#This Row],[Year]],LS[[#This Row],[Month]],LS[[#This Row],[Day]])</f>
        <v>45833</v>
      </c>
      <c r="E1040" s="99" t="str">
        <f t="array" ref="E1040">INDEX(INVESTORS_LIST[INVESTOR NAME],MATCH(LS[[#This Row],[Investor ID]],INVESTORS_LIST[INVESTOR CODE],0),)</f>
        <v>FARIZA RAHMAN</v>
      </c>
      <c r="F1040" s="100" t="s">
        <v>1155</v>
      </c>
      <c r="G1040" s="101">
        <f>COUNTIF(LS[[#Headers],[Investor ID]]:LS[[#This Row],[Investor ID]],LS[[#This Row],[Investor ID]])</f>
        <v>2</v>
      </c>
      <c r="H1040" s="101" t="str">
        <f>CONCATENATE(LS[[#This Row],[Frequency]],LS[[#This Row],[Investor ID]])</f>
        <v>2A00553</v>
      </c>
      <c r="I1040" s="75" t="str">
        <f>IF(LS[[#This Row],[B/S]]="B","BUY",(IF(LS[[#This Row],[B/S]]="S","SELL"," ")))</f>
        <v>BUY</v>
      </c>
      <c r="J1040" s="101" t="s">
        <v>1229</v>
      </c>
      <c r="K1040" s="102">
        <v>300000</v>
      </c>
      <c r="L1040" s="99"/>
      <c r="M1040" s="103">
        <f>LS[[#This Row],[Amount]]/LS[[#This Row],[Unit]]</f>
        <v>12.54075746175069</v>
      </c>
      <c r="N1040" s="104">
        <f>LS[[#This Row],[Unit Capital]]/10</f>
        <v>23922</v>
      </c>
      <c r="O1040" s="104">
        <f>SUMIFS(LS[[#Headers],[Unit]]:LS[[#This Row],[Unit]],LS[[#Headers],[Investor ID]]:LS[[#This Row],[Investor ID]],LS[[#This Row],[Investor ID]])</f>
        <v>68947</v>
      </c>
      <c r="P1040" s="102">
        <v>239220</v>
      </c>
      <c r="Q1040" s="102">
        <f>LS[[#This Row],[Amount]]-LS[[#This Row],[Unit Capital]]</f>
        <v>60780</v>
      </c>
      <c r="R10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11.603115436494701</v>
      </c>
      <c r="S1040" s="103">
        <f t="shared" si="16"/>
        <v>14.224</v>
      </c>
      <c r="T104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0" s="102">
        <f t="array" ref="U1040">IF(LS[[#This Row],[B/S]]="S",ABS(LS[[#This Row],[Unit]])*(INDEX(LS[NAV at Cost (Average)],MATCH(CONCATENATE((LS[[#This Row],[Frequency]]-1),LS[[#This Row],[Investor ID]]),LS[Unique Code],0),0)),0)</f>
        <v>0</v>
      </c>
      <c r="V1040" s="102">
        <f>IF(LS[[#This Row],[BO TRANSFER]]="YES",LS[[#This Row],[Unit]],)</f>
        <v>0</v>
      </c>
      <c r="W1040" s="102">
        <f>SUMIFS(LS[[#Headers],[BO UNIT TRANSFER]]:LS[[#This Row],[BO UNIT TRANSFER]],LS[[#Headers],[Investor ID]]:LS[[#This Row],[Investor ID]],LS[[#This Row],[Investor ID]])</f>
        <v>0</v>
      </c>
    </row>
    <row r="1041" spans="1:23">
      <c r="A1041" s="101">
        <v>2025</v>
      </c>
      <c r="B1041" s="101">
        <v>6</v>
      </c>
      <c r="C1041" s="101">
        <v>25</v>
      </c>
      <c r="D1041" s="98">
        <f>DATE(LS[[#This Row],[Year]],LS[[#This Row],[Month]],LS[[#This Row],[Day]])</f>
        <v>45833</v>
      </c>
      <c r="E1041" s="99" t="str">
        <f t="array" ref="E1041">INDEX(INVESTORS_LIST[INVESTOR NAME],MATCH(LS[[#This Row],[Investor ID]],INVESTORS_LIST[INVESTOR CODE],0),)</f>
        <v>NISHAT RAHMAN</v>
      </c>
      <c r="F1041" s="100" t="s">
        <v>1200</v>
      </c>
      <c r="G1041" s="101">
        <f>COUNTIF(LS[[#Headers],[Investor ID]]:LS[[#This Row],[Investor ID]],LS[[#This Row],[Investor ID]])</f>
        <v>3</v>
      </c>
      <c r="H1041" s="101" t="str">
        <f>CONCATENATE(LS[[#This Row],[Frequency]],LS[[#This Row],[Investor ID]])</f>
        <v>3A00576</v>
      </c>
      <c r="I1041" s="75" t="str">
        <f>IF(LS[[#This Row],[B/S]]="B","BUY",(IF(LS[[#This Row],[B/S]]="S","SELL"," ")))</f>
        <v>BUY</v>
      </c>
      <c r="J1041" s="101" t="s">
        <v>1229</v>
      </c>
      <c r="K1041" s="102">
        <v>500000</v>
      </c>
      <c r="L1041" s="99"/>
      <c r="M1041" s="103">
        <f>LS[[#This Row],[Amount]]/LS[[#This Row],[Unit]]</f>
        <v>12.541072010835487</v>
      </c>
      <c r="N1041" s="104">
        <f>LS[[#This Row],[Unit Capital]]/10</f>
        <v>39869</v>
      </c>
      <c r="O1041" s="104">
        <f>SUMIFS(LS[[#Headers],[Unit]]:LS[[#This Row],[Unit]],LS[[#Headers],[Investor ID]]:LS[[#This Row],[Investor ID]],LS[[#This Row],[Investor ID]])</f>
        <v>39869</v>
      </c>
      <c r="P1041" s="102">
        <v>398690</v>
      </c>
      <c r="Q1041" s="102">
        <f>LS[[#This Row],[Amount]]-LS[[#This Row],[Unit Capital]]</f>
        <v>101310</v>
      </c>
      <c r="R10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41" s="103">
        <f t="shared" si="16"/>
        <v>14.224</v>
      </c>
      <c r="T10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1" s="102">
        <f t="array" ref="U1041">IF(LS[[#This Row],[B/S]]="S",ABS(LS[[#This Row],[Unit]])*(INDEX(LS[NAV at Cost (Average)],MATCH(CONCATENATE((LS[[#This Row],[Frequency]]-1),LS[[#This Row],[Investor ID]]),LS[Unique Code],0),0)),0)</f>
        <v>0</v>
      </c>
      <c r="V1041" s="102">
        <f>IF(LS[[#This Row],[BO TRANSFER]]="YES",LS[[#This Row],[Unit]],)</f>
        <v>0</v>
      </c>
      <c r="W1041" s="102">
        <f>SUMIFS(LS[[#Headers],[BO UNIT TRANSFER]]:LS[[#This Row],[BO UNIT TRANSFER]],LS[[#Headers],[Investor ID]]:LS[[#This Row],[Investor ID]],LS[[#This Row],[Investor ID]])</f>
        <v>0</v>
      </c>
    </row>
    <row r="1042" spans="1:23">
      <c r="A1042" s="101">
        <v>2025</v>
      </c>
      <c r="B1042" s="101">
        <v>6</v>
      </c>
      <c r="C1042" s="101">
        <v>25</v>
      </c>
      <c r="D1042" s="98">
        <f>DATE(LS[[#This Row],[Year]],LS[[#This Row],[Month]],LS[[#This Row],[Day]])</f>
        <v>45833</v>
      </c>
      <c r="E1042" s="99" t="str">
        <f t="array" ref="E1042">INDEX(INVESTORS_LIST[INVESTOR NAME],MATCH(LS[[#This Row],[Investor ID]],INVESTORS_LIST[INVESTOR CODE],0),)</f>
        <v>MD. MUSTAFA KAMAL</v>
      </c>
      <c r="F1042" s="100" t="s">
        <v>1300</v>
      </c>
      <c r="G1042" s="101">
        <f>COUNTIF(LS[[#Headers],[Investor ID]]:LS[[#This Row],[Investor ID]],LS[[#This Row],[Investor ID]])</f>
        <v>5</v>
      </c>
      <c r="H1042" s="101" t="str">
        <f>CONCATENATE(LS[[#This Row],[Frequency]],LS[[#This Row],[Investor ID]])</f>
        <v>5A00597</v>
      </c>
      <c r="I1042" s="75" t="str">
        <f>IF(LS[[#This Row],[B/S]]="B","BUY",(IF(LS[[#This Row],[B/S]]="S","SELL"," ")))</f>
        <v>BUY</v>
      </c>
      <c r="J1042" s="101" t="s">
        <v>1229</v>
      </c>
      <c r="K1042" s="102">
        <v>250000</v>
      </c>
      <c r="L1042" s="99"/>
      <c r="M1042" s="103">
        <f>LS[[#This Row],[Amount]]/LS[[#This Row],[Unit]]</f>
        <v>12.54075746175069</v>
      </c>
      <c r="N1042" s="104">
        <f>LS[[#This Row],[Unit Capital]]/10</f>
        <v>19935</v>
      </c>
      <c r="O1042" s="104">
        <f>SUMIFS(LS[[#Headers],[Unit]]:LS[[#This Row],[Unit]],LS[[#Headers],[Investor ID]]:LS[[#This Row],[Investor ID]],LS[[#This Row],[Investor ID]])</f>
        <v>19935</v>
      </c>
      <c r="P1042" s="102">
        <v>199350</v>
      </c>
      <c r="Q1042" s="102">
        <f>LS[[#This Row],[Amount]]-LS[[#This Row],[Unit Capital]]</f>
        <v>50650</v>
      </c>
      <c r="R10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42" s="103">
        <f t="shared" si="16"/>
        <v>14.224</v>
      </c>
      <c r="T10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2" s="102">
        <f t="array" ref="U1042">IF(LS[[#This Row],[B/S]]="S",ABS(LS[[#This Row],[Unit]])*(INDEX(LS[NAV at Cost (Average)],MATCH(CONCATENATE((LS[[#This Row],[Frequency]]-1),LS[[#This Row],[Investor ID]]),LS[Unique Code],0),0)),0)</f>
        <v>0</v>
      </c>
      <c r="V1042" s="102">
        <f>IF(LS[[#This Row],[BO TRANSFER]]="YES",LS[[#This Row],[Unit]],)</f>
        <v>0</v>
      </c>
      <c r="W1042" s="102">
        <f>SUMIFS(LS[[#Headers],[BO UNIT TRANSFER]]:LS[[#This Row],[BO UNIT TRANSFER]],LS[[#Headers],[Investor ID]]:LS[[#This Row],[Investor ID]],LS[[#This Row],[Investor ID]])</f>
        <v>0</v>
      </c>
    </row>
    <row r="1043" spans="1:23">
      <c r="A1043" s="101">
        <v>2025</v>
      </c>
      <c r="B1043" s="101">
        <v>6</v>
      </c>
      <c r="C1043" s="101">
        <v>25</v>
      </c>
      <c r="D1043" s="98">
        <f>DATE(LS[[#This Row],[Year]],LS[[#This Row],[Month]],LS[[#This Row],[Day]])</f>
        <v>45833</v>
      </c>
      <c r="E1043" s="99" t="str">
        <f t="array" ref="E1043">INDEX(INVESTORS_LIST[INVESTOR NAME],MATCH(LS[[#This Row],[Investor ID]],INVESTORS_LIST[INVESTOR CODE],0),)</f>
        <v>FARZANA JITU</v>
      </c>
      <c r="F1043" s="100" t="s">
        <v>968</v>
      </c>
      <c r="G1043" s="101">
        <f>COUNTIF(LS[[#Headers],[Investor ID]]:LS[[#This Row],[Investor ID]],LS[[#This Row],[Investor ID]])</f>
        <v>31</v>
      </c>
      <c r="H1043" s="101" t="str">
        <f>CONCATENATE(LS[[#This Row],[Frequency]],LS[[#This Row],[Investor ID]])</f>
        <v>31A00461</v>
      </c>
      <c r="I1043" s="75" t="str">
        <f>IF(LS[[#This Row],[B/S]]="B","BUY",(IF(LS[[#This Row],[B/S]]="S","SELL"," ")))</f>
        <v>BUY</v>
      </c>
      <c r="J1043" s="101" t="s">
        <v>1229</v>
      </c>
      <c r="K1043" s="102">
        <v>100000</v>
      </c>
      <c r="L1043" s="88"/>
      <c r="M1043" s="103">
        <f>LS[[#This Row],[Amount]]/LS[[#This Row],[Unit]]</f>
        <v>12.54075746175069</v>
      </c>
      <c r="N1043" s="104">
        <f>LS[[#This Row],[Unit Capital]]/10</f>
        <v>7974</v>
      </c>
      <c r="O1043" s="104">
        <f>SUMIFS(LS[[#Headers],[Unit]]:LS[[#This Row],[Unit]],LS[[#Headers],[Investor ID]]:LS[[#This Row],[Investor ID]],LS[[#This Row],[Investor ID]])</f>
        <v>105838</v>
      </c>
      <c r="P1043" s="102">
        <v>79740</v>
      </c>
      <c r="Q1043" s="102">
        <f>LS[[#This Row],[Amount]]-LS[[#This Row],[Unit Capital]]</f>
        <v>20260</v>
      </c>
      <c r="R10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12.377406980479606</v>
      </c>
      <c r="S1043" s="103">
        <f t="shared" si="16"/>
        <v>14.224</v>
      </c>
      <c r="T104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3" s="102">
        <f t="array" ref="U1043">IF(LS[[#This Row],[B/S]]="S",ABS(LS[[#This Row],[Unit]])*(INDEX(LS[NAV at Cost (Average)],MATCH(CONCATENATE((LS[[#This Row],[Frequency]]-1),LS[[#This Row],[Investor ID]]),LS[Unique Code],0),0)),0)</f>
        <v>0</v>
      </c>
      <c r="V1043" s="102">
        <f>IF(LS[[#This Row],[BO TRANSFER]]="YES",LS[[#This Row],[Unit]],)</f>
        <v>0</v>
      </c>
      <c r="W1043" s="102">
        <f>SUMIFS(LS[[#Headers],[BO UNIT TRANSFER]]:LS[[#This Row],[BO UNIT TRANSFER]],LS[[#Headers],[Investor ID]]:LS[[#This Row],[Investor ID]],LS[[#This Row],[Investor ID]])</f>
        <v>0</v>
      </c>
    </row>
    <row r="1044" spans="1:23">
      <c r="A1044" s="101">
        <v>2025</v>
      </c>
      <c r="B1044" s="101">
        <v>6</v>
      </c>
      <c r="C1044" s="101">
        <v>25</v>
      </c>
      <c r="D1044" s="98">
        <f>DATE(LS[[#This Row],[Year]],LS[[#This Row],[Month]],LS[[#This Row],[Day]])</f>
        <v>45833</v>
      </c>
      <c r="E1044" s="99" t="str">
        <f t="array" ref="E1044">INDEX(INVESTORS_LIST[INVESTOR NAME],MATCH(LS[[#This Row],[Investor ID]],INVESTORS_LIST[INVESTOR CODE],0),)</f>
        <v>AHAMMOD HOSSAIN</v>
      </c>
      <c r="F1044" s="100" t="s">
        <v>1179</v>
      </c>
      <c r="G1044" s="101">
        <f>COUNTIF(LS[[#Headers],[Investor ID]]:LS[[#This Row],[Investor ID]],LS[[#This Row],[Investor ID]])</f>
        <v>3</v>
      </c>
      <c r="H1044" s="101" t="str">
        <f>CONCATENATE(LS[[#This Row],[Frequency]],LS[[#This Row],[Investor ID]])</f>
        <v>3A00565</v>
      </c>
      <c r="I1044" s="75" t="str">
        <f>IF(LS[[#This Row],[B/S]]="B","BUY",(IF(LS[[#This Row],[B/S]]="S","SELL"," ")))</f>
        <v>BUY</v>
      </c>
      <c r="J1044" s="101" t="s">
        <v>1229</v>
      </c>
      <c r="K1044" s="102">
        <v>200000</v>
      </c>
      <c r="L1044" s="99"/>
      <c r="M1044" s="103">
        <f>LS[[#This Row],[Amount]]/LS[[#This Row],[Unit]]</f>
        <v>12.54075746175069</v>
      </c>
      <c r="N1044" s="104">
        <f>LS[[#This Row],[Unit Capital]]/10</f>
        <v>15948</v>
      </c>
      <c r="O1044" s="104">
        <f>SUMIFS(LS[[#Headers],[Unit]]:LS[[#This Row],[Unit]],LS[[#Headers],[Investor ID]]:LS[[#This Row],[Investor ID]],LS[[#This Row],[Investor ID]])</f>
        <v>15948</v>
      </c>
      <c r="P1044" s="102">
        <v>159480</v>
      </c>
      <c r="Q1044" s="102">
        <f>LS[[#This Row],[Amount]]-LS[[#This Row],[Unit Capital]]</f>
        <v>40520</v>
      </c>
      <c r="R10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44" s="103">
        <f t="shared" si="16"/>
        <v>14.224</v>
      </c>
      <c r="T104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4" s="102">
        <f t="array" ref="U1044">IF(LS[[#This Row],[B/S]]="S",ABS(LS[[#This Row],[Unit]])*(INDEX(LS[NAV at Cost (Average)],MATCH(CONCATENATE((LS[[#This Row],[Frequency]]-1),LS[[#This Row],[Investor ID]]),LS[Unique Code],0),0)),0)</f>
        <v>0</v>
      </c>
      <c r="V1044" s="102">
        <f>IF(LS[[#This Row],[BO TRANSFER]]="YES",LS[[#This Row],[Unit]],)</f>
        <v>0</v>
      </c>
      <c r="W1044" s="102">
        <f>SUMIFS(LS[[#Headers],[BO UNIT TRANSFER]]:LS[[#This Row],[BO UNIT TRANSFER]],LS[[#Headers],[Investor ID]]:LS[[#This Row],[Investor ID]],LS[[#This Row],[Investor ID]])</f>
        <v>0</v>
      </c>
    </row>
    <row r="1045" spans="1:23">
      <c r="A1045" s="101">
        <v>2025</v>
      </c>
      <c r="B1045" s="101">
        <v>6</v>
      </c>
      <c r="C1045" s="101">
        <v>25</v>
      </c>
      <c r="D1045" s="98">
        <f>DATE(LS[[#This Row],[Year]],LS[[#This Row],[Month]],LS[[#This Row],[Day]])</f>
        <v>45833</v>
      </c>
      <c r="E1045" s="99" t="str">
        <f t="array" ref="E1045">INDEX(INVESTORS_LIST[INVESTOR NAME],MATCH(LS[[#This Row],[Investor ID]],INVESTORS_LIST[INVESTOR CODE],0),)</f>
        <v>NAZMUL HASAN KHAN</v>
      </c>
      <c r="F1045" s="100" t="s">
        <v>1368</v>
      </c>
      <c r="G1045" s="101">
        <f>COUNTIF(LS[[#Headers],[Investor ID]]:LS[[#This Row],[Investor ID]],LS[[#This Row],[Investor ID]])</f>
        <v>1</v>
      </c>
      <c r="H1045" s="101" t="str">
        <f>CONCATENATE(LS[[#This Row],[Frequency]],LS[[#This Row],[Investor ID]])</f>
        <v>1A00631</v>
      </c>
      <c r="I1045" s="75" t="str">
        <f>IF(LS[[#This Row],[B/S]]="B","BUY",(IF(LS[[#This Row],[B/S]]="S","SELL"," ")))</f>
        <v>BUY</v>
      </c>
      <c r="J1045" s="101" t="s">
        <v>1229</v>
      </c>
      <c r="K1045" s="102">
        <v>200000</v>
      </c>
      <c r="L1045" s="99"/>
      <c r="M1045" s="103">
        <f>LS[[#This Row],[Amount]]/LS[[#This Row],[Unit]]</f>
        <v>12.54075746175069</v>
      </c>
      <c r="N1045" s="104">
        <f>LS[[#This Row],[Unit Capital]]/10</f>
        <v>15948</v>
      </c>
      <c r="O1045" s="104">
        <f>SUMIFS(LS[[#Headers],[Unit]]:LS[[#This Row],[Unit]],LS[[#Headers],[Investor ID]]:LS[[#This Row],[Investor ID]],LS[[#This Row],[Investor ID]])</f>
        <v>15948</v>
      </c>
      <c r="P1045" s="102">
        <v>159480</v>
      </c>
      <c r="Q1045" s="102">
        <f>LS[[#This Row],[Amount]]-LS[[#This Row],[Unit Capital]]</f>
        <v>40520</v>
      </c>
      <c r="R10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45" s="103">
        <f t="shared" si="16"/>
        <v>14.224</v>
      </c>
      <c r="T104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5" s="102">
        <f t="array" ref="U1045">IF(LS[[#This Row],[B/S]]="S",ABS(LS[[#This Row],[Unit]])*(INDEX(LS[NAV at Cost (Average)],MATCH(CONCATENATE((LS[[#This Row],[Frequency]]-1),LS[[#This Row],[Investor ID]]),LS[Unique Code],0),0)),0)</f>
        <v>0</v>
      </c>
      <c r="V1045" s="102">
        <f>IF(LS[[#This Row],[BO TRANSFER]]="YES",LS[[#This Row],[Unit]],)</f>
        <v>0</v>
      </c>
      <c r="W1045" s="102">
        <f>SUMIFS(LS[[#Headers],[BO UNIT TRANSFER]]:LS[[#This Row],[BO UNIT TRANSFER]],LS[[#Headers],[Investor ID]]:LS[[#This Row],[Investor ID]],LS[[#This Row],[Investor ID]])</f>
        <v>0</v>
      </c>
    </row>
    <row r="1046" spans="1:23">
      <c r="A1046" s="101">
        <v>2025</v>
      </c>
      <c r="B1046" s="101">
        <v>6</v>
      </c>
      <c r="C1046" s="101">
        <v>25</v>
      </c>
      <c r="D1046" s="98">
        <f>DATE(LS[[#This Row],[Year]],LS[[#This Row],[Month]],LS[[#This Row],[Day]])</f>
        <v>45833</v>
      </c>
      <c r="E1046" s="99" t="str">
        <f t="array" ref="E1046">INDEX(INVESTORS_LIST[INVESTOR NAME],MATCH(LS[[#This Row],[Investor ID]],INVESTORS_LIST[INVESTOR CODE],0),)</f>
        <v>TASNUVA ANAN</v>
      </c>
      <c r="F1046" s="100" t="s">
        <v>1366</v>
      </c>
      <c r="G1046" s="101">
        <f>COUNTIF(LS[[#Headers],[Investor ID]]:LS[[#This Row],[Investor ID]],LS[[#This Row],[Investor ID]])</f>
        <v>1</v>
      </c>
      <c r="H1046" s="101" t="str">
        <f>CONCATENATE(LS[[#This Row],[Frequency]],LS[[#This Row],[Investor ID]])</f>
        <v>1A00630</v>
      </c>
      <c r="I1046" s="75" t="str">
        <f>IF(LS[[#This Row],[B/S]]="B","BUY",(IF(LS[[#This Row],[B/S]]="S","SELL"," ")))</f>
        <v>BUY</v>
      </c>
      <c r="J1046" s="101" t="s">
        <v>1229</v>
      </c>
      <c r="K1046" s="102">
        <v>500000</v>
      </c>
      <c r="L1046" s="99"/>
      <c r="M1046" s="103">
        <f>LS[[#This Row],[Amount]]/LS[[#This Row],[Unit]]</f>
        <v>12.541072010835487</v>
      </c>
      <c r="N1046" s="104">
        <f>LS[[#This Row],[Unit Capital]]/10</f>
        <v>39869</v>
      </c>
      <c r="O1046" s="104">
        <f>SUMIFS(LS[[#Headers],[Unit]]:LS[[#This Row],[Unit]],LS[[#Headers],[Investor ID]]:LS[[#This Row],[Investor ID]],LS[[#This Row],[Investor ID]])</f>
        <v>39869</v>
      </c>
      <c r="P1046" s="102">
        <v>398690</v>
      </c>
      <c r="Q1046" s="102">
        <f>LS[[#This Row],[Amount]]-LS[[#This Row],[Unit Capital]]</f>
        <v>101310</v>
      </c>
      <c r="R10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46" s="103">
        <f t="shared" si="16"/>
        <v>14.224</v>
      </c>
      <c r="T10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6" s="102">
        <f t="array" ref="U1046">IF(LS[[#This Row],[B/S]]="S",ABS(LS[[#This Row],[Unit]])*(INDEX(LS[NAV at Cost (Average)],MATCH(CONCATENATE((LS[[#This Row],[Frequency]]-1),LS[[#This Row],[Investor ID]]),LS[Unique Code],0),0)),0)</f>
        <v>0</v>
      </c>
      <c r="V1046" s="102">
        <f>IF(LS[[#This Row],[BO TRANSFER]]="YES",LS[[#This Row],[Unit]],)</f>
        <v>0</v>
      </c>
      <c r="W1046" s="102">
        <f>SUMIFS(LS[[#Headers],[BO UNIT TRANSFER]]:LS[[#This Row],[BO UNIT TRANSFER]],LS[[#Headers],[Investor ID]]:LS[[#This Row],[Investor ID]],LS[[#This Row],[Investor ID]])</f>
        <v>0</v>
      </c>
    </row>
    <row r="1047" spans="1:23">
      <c r="A1047" s="101">
        <v>2025</v>
      </c>
      <c r="B1047" s="101">
        <v>6</v>
      </c>
      <c r="C1047" s="101">
        <v>25</v>
      </c>
      <c r="D1047" s="98">
        <f>DATE(LS[[#This Row],[Year]],LS[[#This Row],[Month]],LS[[#This Row],[Day]])</f>
        <v>45833</v>
      </c>
      <c r="E1047" s="99" t="str">
        <f t="array" ref="E1047">INDEX(INVESTORS_LIST[INVESTOR NAME],MATCH(LS[[#This Row],[Investor ID]],INVESTORS_LIST[INVESTOR CODE],0),)</f>
        <v>SHUVA SAHA</v>
      </c>
      <c r="F1047" s="100" t="s">
        <v>154</v>
      </c>
      <c r="G1047" s="101">
        <f>COUNTIF(LS[[#Headers],[Investor ID]]:LS[[#This Row],[Investor ID]],LS[[#This Row],[Investor ID]])</f>
        <v>15</v>
      </c>
      <c r="H1047" s="101" t="str">
        <f>CONCATENATE(LS[[#This Row],[Frequency]],LS[[#This Row],[Investor ID]])</f>
        <v>15A00053</v>
      </c>
      <c r="I1047" s="75" t="str">
        <f>IF(LS[[#This Row],[B/S]]="B","BUY",(IF(LS[[#This Row],[B/S]]="S","SELL"," ")))</f>
        <v>BUY</v>
      </c>
      <c r="J1047" s="101" t="s">
        <v>1229</v>
      </c>
      <c r="K1047" s="102">
        <v>50000</v>
      </c>
      <c r="L1047" s="88"/>
      <c r="M1047" s="103">
        <f>LS[[#This Row],[Amount]]/LS[[#This Row],[Unit]]</f>
        <v>12.54075746175069</v>
      </c>
      <c r="N1047" s="104">
        <f>LS[[#This Row],[Unit Capital]]/10</f>
        <v>3987</v>
      </c>
      <c r="O1047" s="104">
        <f>SUMIFS(LS[[#Headers],[Unit]]:LS[[#This Row],[Unit]],LS[[#Headers],[Investor ID]]:LS[[#This Row],[Investor ID]],LS[[#This Row],[Investor ID]])</f>
        <v>32656</v>
      </c>
      <c r="P1047" s="102">
        <v>39870</v>
      </c>
      <c r="Q1047" s="102">
        <f>LS[[#This Row],[Amount]]-LS[[#This Row],[Unit Capital]]</f>
        <v>10130</v>
      </c>
      <c r="R10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12.298900409660357</v>
      </c>
      <c r="S1047" s="103">
        <f t="shared" si="16"/>
        <v>14.224</v>
      </c>
      <c r="T104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7" s="102">
        <f t="array" ref="U1047">IF(LS[[#This Row],[B/S]]="S",ABS(LS[[#This Row],[Unit]])*(INDEX(LS[NAV at Cost (Average)],MATCH(CONCATENATE((LS[[#This Row],[Frequency]]-1),LS[[#This Row],[Investor ID]]),LS[Unique Code],0),0)),0)</f>
        <v>0</v>
      </c>
      <c r="V1047" s="102">
        <f>IF(LS[[#This Row],[BO TRANSFER]]="YES",LS[[#This Row],[Unit]],)</f>
        <v>0</v>
      </c>
      <c r="W1047" s="102">
        <f>SUMIFS(LS[[#Headers],[BO UNIT TRANSFER]]:LS[[#This Row],[BO UNIT TRANSFER]],LS[[#Headers],[Investor ID]]:LS[[#This Row],[Investor ID]],LS[[#This Row],[Investor ID]])</f>
        <v>0</v>
      </c>
    </row>
    <row r="1048" spans="1:23">
      <c r="A1048" s="101">
        <v>2025</v>
      </c>
      <c r="B1048" s="101">
        <v>6</v>
      </c>
      <c r="C1048" s="101">
        <v>25</v>
      </c>
      <c r="D1048" s="98">
        <f>DATE(LS[[#This Row],[Year]],LS[[#This Row],[Month]],LS[[#This Row],[Day]])</f>
        <v>45833</v>
      </c>
      <c r="E1048" s="99" t="str">
        <f t="array" ref="E1048">INDEX(INVESTORS_LIST[INVESTOR NAME],MATCH(LS[[#This Row],[Investor ID]],INVESTORS_LIST[INVESTOR CODE],0),)</f>
        <v>MD MIZANUR RAHMAN</v>
      </c>
      <c r="F1048" s="200" t="s">
        <v>1376</v>
      </c>
      <c r="G1048" s="101">
        <f>COUNTIF(LS[[#Headers],[Investor ID]]:LS[[#This Row],[Investor ID]],LS[[#This Row],[Investor ID]])</f>
        <v>1</v>
      </c>
      <c r="H1048" s="101" t="str">
        <f>CONCATENATE(LS[[#This Row],[Frequency]],LS[[#This Row],[Investor ID]])</f>
        <v>1A00636</v>
      </c>
      <c r="I1048" s="75" t="str">
        <f>IF(LS[[#This Row],[B/S]]="B","BUY",(IF(LS[[#This Row],[B/S]]="S","SELL"," ")))</f>
        <v>BUY</v>
      </c>
      <c r="J1048" s="101" t="s">
        <v>1229</v>
      </c>
      <c r="K1048" s="102">
        <v>250000</v>
      </c>
      <c r="L1048" s="99"/>
      <c r="M1048" s="103">
        <f>LS[[#This Row],[Amount]]/LS[[#This Row],[Unit]]</f>
        <v>12.54075746175069</v>
      </c>
      <c r="N1048" s="104">
        <f>LS[[#This Row],[Unit Capital]]/10</f>
        <v>19935</v>
      </c>
      <c r="O1048" s="104">
        <f>SUMIFS(LS[[#Headers],[Unit]]:LS[[#This Row],[Unit]],LS[[#Headers],[Investor ID]]:LS[[#This Row],[Investor ID]],LS[[#This Row],[Investor ID]])</f>
        <v>19935</v>
      </c>
      <c r="P1048" s="102">
        <v>199350</v>
      </c>
      <c r="Q1048" s="102">
        <f>LS[[#This Row],[Amount]]-LS[[#This Row],[Unit Capital]]</f>
        <v>50650</v>
      </c>
      <c r="R10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12.54075746175069</v>
      </c>
      <c r="S1048" s="103">
        <f t="shared" si="16"/>
        <v>14.224</v>
      </c>
      <c r="T10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8" s="102">
        <f t="array" ref="U1048">IF(LS[[#This Row],[B/S]]="S",ABS(LS[[#This Row],[Unit]])*(INDEX(LS[NAV at Cost (Average)],MATCH(CONCATENATE((LS[[#This Row],[Frequency]]-1),LS[[#This Row],[Investor ID]]),LS[Unique Code],0),0)),0)</f>
        <v>0</v>
      </c>
      <c r="V1048" s="102">
        <f>IF(LS[[#This Row],[BO TRANSFER]]="YES",LS[[#This Row],[Unit]],)</f>
        <v>0</v>
      </c>
      <c r="W1048" s="102">
        <f>SUMIFS(LS[[#Headers],[BO UNIT TRANSFER]]:LS[[#This Row],[BO UNIT TRANSFER]],LS[[#Headers],[Investor ID]]:LS[[#This Row],[Investor ID]],LS[[#This Row],[Investor ID]])</f>
        <v>0</v>
      </c>
    </row>
    <row r="1049" spans="1:23">
      <c r="A1049" s="101">
        <v>2025</v>
      </c>
      <c r="B1049" s="101">
        <v>6</v>
      </c>
      <c r="C1049" s="101">
        <v>26</v>
      </c>
      <c r="D1049" s="98">
        <f>DATE(LS[[#This Row],[Year]],LS[[#This Row],[Month]],LS[[#This Row],[Day]])</f>
        <v>45834</v>
      </c>
      <c r="E1049" s="99" t="str">
        <f t="array" ref="E1049">INDEX(INVESTORS_LIST[INVESTOR NAME],MATCH(LS[[#This Row],[Investor ID]],INVESTORS_LIST[INVESTOR CODE],0),)</f>
        <v>ARIF HASAN KHAN</v>
      </c>
      <c r="F1049" s="100" t="s">
        <v>1350</v>
      </c>
      <c r="G1049" s="101">
        <f>COUNTIF(LS[[#Headers],[Investor ID]]:LS[[#This Row],[Investor ID]],LS[[#This Row],[Investor ID]])</f>
        <v>1</v>
      </c>
      <c r="H1049" s="101" t="str">
        <f>CONCATENATE(LS[[#This Row],[Frequency]],LS[[#This Row],[Investor ID]])</f>
        <v>1A00621</v>
      </c>
      <c r="I1049" s="75" t="str">
        <f>IF(LS[[#This Row],[B/S]]="B","BUY",(IF(LS[[#This Row],[B/S]]="S","SELL"," ")))</f>
        <v>BUY</v>
      </c>
      <c r="J1049" s="101" t="s">
        <v>1229</v>
      </c>
      <c r="K1049" s="102">
        <v>500000</v>
      </c>
      <c r="L1049" s="99"/>
      <c r="M1049" s="103">
        <f>LS[[#This Row],[Amount]]/LS[[#This Row],[Unit]]</f>
        <v>12.541072010835487</v>
      </c>
      <c r="N1049" s="104">
        <f>LS[[#This Row],[Unit Capital]]/10</f>
        <v>39869</v>
      </c>
      <c r="O1049" s="104">
        <f>SUMIFS(LS[[#Headers],[Unit]]:LS[[#This Row],[Unit]],LS[[#Headers],[Investor ID]]:LS[[#This Row],[Investor ID]],LS[[#This Row],[Investor ID]])</f>
        <v>39869</v>
      </c>
      <c r="P1049" s="102">
        <v>398690</v>
      </c>
      <c r="Q1049" s="102">
        <f>LS[[#This Row],[Amount]]-LS[[#This Row],[Unit Capital]]</f>
        <v>101310</v>
      </c>
      <c r="R10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49" s="103">
        <f t="shared" si="16"/>
        <v>14.224</v>
      </c>
      <c r="T10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49" s="102">
        <f t="array" ref="U1049">IF(LS[[#This Row],[B/S]]="S",ABS(LS[[#This Row],[Unit]])*(INDEX(LS[NAV at Cost (Average)],MATCH(CONCATENATE((LS[[#This Row],[Frequency]]-1),LS[[#This Row],[Investor ID]]),LS[Unique Code],0),0)),0)</f>
        <v>0</v>
      </c>
      <c r="V1049" s="102">
        <f>IF(LS[[#This Row],[BO TRANSFER]]="YES",LS[[#This Row],[Unit]],)</f>
        <v>0</v>
      </c>
      <c r="W1049" s="102">
        <f>SUMIFS(LS[[#Headers],[BO UNIT TRANSFER]]:LS[[#This Row],[BO UNIT TRANSFER]],LS[[#Headers],[Investor ID]]:LS[[#This Row],[Investor ID]],LS[[#This Row],[Investor ID]])</f>
        <v>0</v>
      </c>
    </row>
    <row r="1050" spans="1:23">
      <c r="A1050" s="101">
        <v>2025</v>
      </c>
      <c r="B1050" s="101">
        <v>6</v>
      </c>
      <c r="C1050" s="101">
        <v>26</v>
      </c>
      <c r="D1050" s="98">
        <f>DATE(LS[[#This Row],[Year]],LS[[#This Row],[Month]],LS[[#This Row],[Day]])</f>
        <v>45834</v>
      </c>
      <c r="E1050" s="99" t="str">
        <f t="array" ref="E1050">INDEX(INVESTORS_LIST[INVESTOR NAME],MATCH(LS[[#This Row],[Investor ID]],INVESTORS_LIST[INVESTOR CODE],0),)</f>
        <v>AZIM SALAM KHAN</v>
      </c>
      <c r="F1050" s="100" t="s">
        <v>1348</v>
      </c>
      <c r="G1050" s="101">
        <f>COUNTIF(LS[[#Headers],[Investor ID]]:LS[[#This Row],[Investor ID]],LS[[#This Row],[Investor ID]])</f>
        <v>1</v>
      </c>
      <c r="H1050" s="101" t="str">
        <f>CONCATENATE(LS[[#This Row],[Frequency]],LS[[#This Row],[Investor ID]])</f>
        <v>1A00620</v>
      </c>
      <c r="I1050" s="75" t="str">
        <f>IF(LS[[#This Row],[B/S]]="B","BUY",(IF(LS[[#This Row],[B/S]]="S","SELL"," ")))</f>
        <v>BUY</v>
      </c>
      <c r="J1050" s="101" t="s">
        <v>1229</v>
      </c>
      <c r="K1050" s="102">
        <v>390000</v>
      </c>
      <c r="L1050" s="99"/>
      <c r="M1050" s="103">
        <f>LS[[#This Row],[Amount]]/LS[[#This Row],[Unit]]</f>
        <v>12.540999421184642</v>
      </c>
      <c r="N1050" s="104">
        <f>LS[[#This Row],[Unit Capital]]/10</f>
        <v>31098</v>
      </c>
      <c r="O1050" s="104">
        <f>SUMIFS(LS[[#Headers],[Unit]]:LS[[#This Row],[Unit]],LS[[#Headers],[Investor ID]]:LS[[#This Row],[Investor ID]],LS[[#This Row],[Investor ID]])</f>
        <v>31098</v>
      </c>
      <c r="P1050" s="102">
        <v>310980</v>
      </c>
      <c r="Q1050" s="102">
        <f>LS[[#This Row],[Amount]]-LS[[#This Row],[Unit Capital]]</f>
        <v>79020</v>
      </c>
      <c r="R10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12.540999421184642</v>
      </c>
      <c r="S1050" s="103">
        <f t="shared" si="16"/>
        <v>14.224</v>
      </c>
      <c r="T10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0" s="102">
        <f t="array" ref="U1050">IF(LS[[#This Row],[B/S]]="S",ABS(LS[[#This Row],[Unit]])*(INDEX(LS[NAV at Cost (Average)],MATCH(CONCATENATE((LS[[#This Row],[Frequency]]-1),LS[[#This Row],[Investor ID]]),LS[Unique Code],0),0)),0)</f>
        <v>0</v>
      </c>
      <c r="V1050" s="102">
        <f>IF(LS[[#This Row],[BO TRANSFER]]="YES",LS[[#This Row],[Unit]],)</f>
        <v>0</v>
      </c>
      <c r="W1050" s="102">
        <f>SUMIFS(LS[[#Headers],[BO UNIT TRANSFER]]:LS[[#This Row],[BO UNIT TRANSFER]],LS[[#Headers],[Investor ID]]:LS[[#This Row],[Investor ID]],LS[[#This Row],[Investor ID]])</f>
        <v>0</v>
      </c>
    </row>
    <row r="1051" spans="1:23">
      <c r="A1051" s="101">
        <v>2025</v>
      </c>
      <c r="B1051" s="101">
        <v>6</v>
      </c>
      <c r="C1051" s="101">
        <v>26</v>
      </c>
      <c r="D1051" s="98">
        <f>DATE(LS[[#This Row],[Year]],LS[[#This Row],[Month]],LS[[#This Row],[Day]])</f>
        <v>45834</v>
      </c>
      <c r="E1051" s="99" t="str">
        <f t="array" ref="E1051">INDEX(INVESTORS_LIST[INVESTOR NAME],MATCH(LS[[#This Row],[Investor ID]],INVESTORS_LIST[INVESTOR CODE],0),)</f>
        <v>A N M NAUSHAD KHAN</v>
      </c>
      <c r="F1051" s="100" t="s">
        <v>1375</v>
      </c>
      <c r="G1051" s="101">
        <f>COUNTIF(LS[[#Headers],[Investor ID]]:LS[[#This Row],[Investor ID]],LS[[#This Row],[Investor ID]])</f>
        <v>1</v>
      </c>
      <c r="H1051" s="101" t="str">
        <f>CONCATENATE(LS[[#This Row],[Frequency]],LS[[#This Row],[Investor ID]])</f>
        <v>1A00635</v>
      </c>
      <c r="I1051" s="75" t="str">
        <f>IF(LS[[#This Row],[B/S]]="B","BUY",(IF(LS[[#This Row],[B/S]]="S","SELL"," ")))</f>
        <v>BUY</v>
      </c>
      <c r="J1051" s="101" t="s">
        <v>1229</v>
      </c>
      <c r="K1051" s="102">
        <v>500000</v>
      </c>
      <c r="L1051" s="99"/>
      <c r="M1051" s="103">
        <f>LS[[#This Row],[Amount]]/LS[[#This Row],[Unit]]</f>
        <v>12.541072010835487</v>
      </c>
      <c r="N1051" s="104">
        <f>LS[[#This Row],[Unit Capital]]/10</f>
        <v>39869</v>
      </c>
      <c r="O1051" s="104">
        <f>SUMIFS(LS[[#Headers],[Unit]]:LS[[#This Row],[Unit]],LS[[#Headers],[Investor ID]]:LS[[#This Row],[Investor ID]],LS[[#This Row],[Investor ID]])</f>
        <v>39869</v>
      </c>
      <c r="P1051" s="102">
        <v>398690</v>
      </c>
      <c r="Q1051" s="102">
        <f>LS[[#This Row],[Amount]]-LS[[#This Row],[Unit Capital]]</f>
        <v>101310</v>
      </c>
      <c r="R10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12.541072010835487</v>
      </c>
      <c r="S1051" s="103">
        <f t="shared" si="16"/>
        <v>14.224</v>
      </c>
      <c r="T10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1" s="102">
        <f t="array" ref="U1051">IF(LS[[#This Row],[B/S]]="S",ABS(LS[[#This Row],[Unit]])*(INDEX(LS[NAV at Cost (Average)],MATCH(CONCATENATE((LS[[#This Row],[Frequency]]-1),LS[[#This Row],[Investor ID]]),LS[Unique Code],0),0)),0)</f>
        <v>0</v>
      </c>
      <c r="V1051" s="102">
        <f>IF(LS[[#This Row],[BO TRANSFER]]="YES",LS[[#This Row],[Unit]],)</f>
        <v>0</v>
      </c>
      <c r="W1051" s="102">
        <f>SUMIFS(LS[[#Headers],[BO UNIT TRANSFER]]:LS[[#This Row],[BO UNIT TRANSFER]],LS[[#Headers],[Investor ID]]:LS[[#This Row],[Investor ID]],LS[[#This Row],[Investor ID]])</f>
        <v>0</v>
      </c>
    </row>
    <row r="1052" spans="1:23">
      <c r="A1052" s="101">
        <v>2025</v>
      </c>
      <c r="B1052" s="101">
        <v>6</v>
      </c>
      <c r="C1052" s="101">
        <v>26</v>
      </c>
      <c r="D1052" s="98">
        <f>DATE(LS[[#This Row],[Year]],LS[[#This Row],[Month]],LS[[#This Row],[Day]])</f>
        <v>45834</v>
      </c>
      <c r="E1052" s="99" t="str">
        <f t="array" ref="E1052">INDEX(INVESTORS_LIST[INVESTOR NAME],MATCH(LS[[#This Row],[Investor ID]],INVESTORS_LIST[INVESTOR CODE],0),)</f>
        <v>TAMANNA AFRIN MITUL</v>
      </c>
      <c r="F1052" s="100" t="s">
        <v>1157</v>
      </c>
      <c r="G1052" s="101">
        <f>COUNTIF(LS[[#Headers],[Investor ID]]:LS[[#This Row],[Investor ID]],LS[[#This Row],[Investor ID]])</f>
        <v>11</v>
      </c>
      <c r="H1052" s="101" t="str">
        <f>CONCATENATE(LS[[#This Row],[Frequency]],LS[[#This Row],[Investor ID]])</f>
        <v>11A00554</v>
      </c>
      <c r="I1052" s="75" t="str">
        <f>IF(LS[[#This Row],[B/S]]="B","BUY",(IF(LS[[#This Row],[B/S]]="S","SELL"," ")))</f>
        <v>BUY</v>
      </c>
      <c r="J1052" s="101" t="s">
        <v>1229</v>
      </c>
      <c r="K1052" s="102">
        <v>110000</v>
      </c>
      <c r="L1052" s="99"/>
      <c r="M1052" s="103">
        <f>LS[[#This Row],[Amount]]/LS[[#This Row],[Unit]]</f>
        <v>12.541329380914377</v>
      </c>
      <c r="N1052" s="104">
        <f>LS[[#This Row],[Unit Capital]]/10</f>
        <v>8771</v>
      </c>
      <c r="O1052" s="104">
        <f>SUMIFS(LS[[#Headers],[Unit]]:LS[[#This Row],[Unit]],LS[[#Headers],[Investor ID]]:LS[[#This Row],[Investor ID]],LS[[#This Row],[Investor ID]])</f>
        <v>34884</v>
      </c>
      <c r="P1052" s="102">
        <v>87710</v>
      </c>
      <c r="Q1052" s="102">
        <f>LS[[#This Row],[Amount]]-LS[[#This Row],[Unit Capital]]</f>
        <v>22290</v>
      </c>
      <c r="R10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12.396142175819007</v>
      </c>
      <c r="S1052" s="103">
        <f t="shared" si="16"/>
        <v>14.224</v>
      </c>
      <c r="T105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2" s="102">
        <f t="array" ref="U1052">IF(LS[[#This Row],[B/S]]="S",ABS(LS[[#This Row],[Unit]])*(INDEX(LS[NAV at Cost (Average)],MATCH(CONCATENATE((LS[[#This Row],[Frequency]]-1),LS[[#This Row],[Investor ID]]),LS[Unique Code],0),0)),0)</f>
        <v>0</v>
      </c>
      <c r="V1052" s="102">
        <f>IF(LS[[#This Row],[BO TRANSFER]]="YES",LS[[#This Row],[Unit]],)</f>
        <v>0</v>
      </c>
      <c r="W1052" s="102">
        <f>SUMIFS(LS[[#Headers],[BO UNIT TRANSFER]]:LS[[#This Row],[BO UNIT TRANSFER]],LS[[#Headers],[Investor ID]]:LS[[#This Row],[Investor ID]],LS[[#This Row],[Investor ID]])</f>
        <v>0</v>
      </c>
    </row>
    <row r="1053" spans="1:23">
      <c r="A1053" s="101">
        <v>2025</v>
      </c>
      <c r="B1053" s="101">
        <v>6</v>
      </c>
      <c r="C1053" s="101">
        <v>26</v>
      </c>
      <c r="D1053" s="98">
        <f>DATE(LS[[#This Row],[Year]],LS[[#This Row],[Month]],LS[[#This Row],[Day]])</f>
        <v>45834</v>
      </c>
      <c r="E1053" s="99" t="str">
        <f t="array" ref="E1053">INDEX(INVESTORS_LIST[INVESTOR NAME],MATCH(LS[[#This Row],[Investor ID]],INVESTORS_LIST[INVESTOR CODE],0),)</f>
        <v>NUR ELAHEE MOLLA</v>
      </c>
      <c r="F1053" s="100" t="s">
        <v>628</v>
      </c>
      <c r="G1053" s="101">
        <f>COUNTIF(LS[[#Headers],[Investor ID]]:LS[[#This Row],[Investor ID]],LS[[#This Row],[Investor ID]])</f>
        <v>2</v>
      </c>
      <c r="H1053" s="101" t="str">
        <f>CONCATENATE(LS[[#This Row],[Frequency]],LS[[#This Row],[Investor ID]])</f>
        <v>2A00290</v>
      </c>
      <c r="I1053" s="75" t="str">
        <f>IF(LS[[#This Row],[B/S]]="B","BUY",(IF(LS[[#This Row],[B/S]]="S","SELL"," ")))</f>
        <v>BUY</v>
      </c>
      <c r="J1053" s="101" t="s">
        <v>1229</v>
      </c>
      <c r="K1053" s="102">
        <v>200000</v>
      </c>
      <c r="L1053" s="99"/>
      <c r="M1053" s="103">
        <f>LS[[#This Row],[Amount]]/LS[[#This Row],[Unit]]</f>
        <v>12.54075746175069</v>
      </c>
      <c r="N1053" s="104">
        <f>LS[[#This Row],[Unit Capital]]/10</f>
        <v>15948</v>
      </c>
      <c r="O1053" s="104">
        <f>SUMIFS(LS[[#Headers],[Unit]]:LS[[#This Row],[Unit]],LS[[#Headers],[Investor ID]]:LS[[#This Row],[Investor ID]],LS[[#This Row],[Investor ID]])</f>
        <v>35453</v>
      </c>
      <c r="P1053" s="102">
        <v>159480</v>
      </c>
      <c r="Q1053" s="102">
        <f>LS[[#This Row],[Amount]]-LS[[#This Row],[Unit Capital]]</f>
        <v>40520</v>
      </c>
      <c r="R10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11.282543085211406</v>
      </c>
      <c r="S1053" s="103">
        <f t="shared" si="16"/>
        <v>14.224</v>
      </c>
      <c r="T105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3" s="102">
        <f t="array" ref="U1053">IF(LS[[#This Row],[B/S]]="S",ABS(LS[[#This Row],[Unit]])*(INDEX(LS[NAV at Cost (Average)],MATCH(CONCATENATE((LS[[#This Row],[Frequency]]-1),LS[[#This Row],[Investor ID]]),LS[Unique Code],0),0)),0)</f>
        <v>0</v>
      </c>
      <c r="V1053" s="102">
        <f>IF(LS[[#This Row],[BO TRANSFER]]="YES",LS[[#This Row],[Unit]],)</f>
        <v>0</v>
      </c>
      <c r="W1053" s="102">
        <f>SUMIFS(LS[[#Headers],[BO UNIT TRANSFER]]:LS[[#This Row],[BO UNIT TRANSFER]],LS[[#Headers],[Investor ID]]:LS[[#This Row],[Investor ID]],LS[[#This Row],[Investor ID]])</f>
        <v>0</v>
      </c>
    </row>
    <row r="1054" spans="1:23">
      <c r="A1054" s="101">
        <v>2025</v>
      </c>
      <c r="B1054" s="101">
        <v>6</v>
      </c>
      <c r="C1054" s="101">
        <v>29</v>
      </c>
      <c r="D1054" s="98">
        <f>DATE(LS[[#This Row],[Year]],LS[[#This Row],[Month]],LS[[#This Row],[Day]])</f>
        <v>45837</v>
      </c>
      <c r="E1054" s="99" t="str">
        <f t="array" ref="E1054">INDEX(INVESTORS_LIST[INVESTOR NAME],MATCH(LS[[#This Row],[Investor ID]],INVESTORS_LIST[INVESTOR CODE],0),)</f>
        <v>MD. ABUL KALAM AZAD</v>
      </c>
      <c r="F1054" s="100" t="s">
        <v>1373</v>
      </c>
      <c r="G1054" s="101">
        <f>COUNTIF(LS[[#Headers],[Investor ID]]:LS[[#This Row],[Investor ID]],LS[[#This Row],[Investor ID]])</f>
        <v>1</v>
      </c>
      <c r="H1054" s="101" t="str">
        <f>CONCATENATE(LS[[#This Row],[Frequency]],LS[[#This Row],[Investor ID]])</f>
        <v>1A00634</v>
      </c>
      <c r="I1054" s="75" t="str">
        <f>IF(LS[[#This Row],[B/S]]="B","BUY",(IF(LS[[#This Row],[B/S]]="S","SELL"," ")))</f>
        <v>BUY</v>
      </c>
      <c r="J1054" s="101" t="s">
        <v>1229</v>
      </c>
      <c r="K1054" s="102">
        <v>300000</v>
      </c>
      <c r="L1054" s="99"/>
      <c r="M1054" s="103">
        <f>LS[[#This Row],[Amount]]/LS[[#This Row],[Unit]]</f>
        <v>12.561761996482707</v>
      </c>
      <c r="N1054" s="104">
        <f>LS[[#This Row],[Unit Capital]]/10</f>
        <v>23882</v>
      </c>
      <c r="O1054" s="104">
        <f>SUMIFS(LS[[#Headers],[Unit]]:LS[[#This Row],[Unit]],LS[[#Headers],[Investor ID]]:LS[[#This Row],[Investor ID]],LS[[#This Row],[Investor ID]])</f>
        <v>23882</v>
      </c>
      <c r="P1054" s="102">
        <v>238820</v>
      </c>
      <c r="Q1054" s="102">
        <f>LS[[#This Row],[Amount]]-LS[[#This Row],[Unit Capital]]</f>
        <v>61180</v>
      </c>
      <c r="R10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12.561761996482707</v>
      </c>
      <c r="S1054" s="103">
        <f t="shared" si="16"/>
        <v>14.224</v>
      </c>
      <c r="T10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4" s="102">
        <f t="array" ref="U1054">IF(LS[[#This Row],[B/S]]="S",ABS(LS[[#This Row],[Unit]])*(INDEX(LS[NAV at Cost (Average)],MATCH(CONCATENATE((LS[[#This Row],[Frequency]]-1),LS[[#This Row],[Investor ID]]),LS[Unique Code],0),0)),0)</f>
        <v>0</v>
      </c>
      <c r="V1054" s="102">
        <f>IF(LS[[#This Row],[BO TRANSFER]]="YES",LS[[#This Row],[Unit]],)</f>
        <v>0</v>
      </c>
      <c r="W1054" s="102">
        <f>SUMIFS(LS[[#Headers],[BO UNIT TRANSFER]]:LS[[#This Row],[BO UNIT TRANSFER]],LS[[#Headers],[Investor ID]]:LS[[#This Row],[Investor ID]],LS[[#This Row],[Investor ID]])</f>
        <v>0</v>
      </c>
    </row>
    <row r="1055" spans="1:23">
      <c r="A1055" s="101">
        <v>2025</v>
      </c>
      <c r="B1055" s="101">
        <v>6</v>
      </c>
      <c r="C1055" s="101">
        <v>29</v>
      </c>
      <c r="D1055" s="98">
        <f>DATE(LS[[#This Row],[Year]],LS[[#This Row],[Month]],LS[[#This Row],[Day]])</f>
        <v>45837</v>
      </c>
      <c r="E1055" s="99" t="str">
        <f t="array" ref="E1055">INDEX(INVESTORS_LIST[INVESTOR NAME],MATCH(LS[[#This Row],[Investor ID]],INVESTORS_LIST[INVESTOR CODE],0),)</f>
        <v>MD. ASHIKUR RAHMAN MILON</v>
      </c>
      <c r="F1055" s="100" t="s">
        <v>1370</v>
      </c>
      <c r="G1055" s="101">
        <f>COUNTIF(LS[[#Headers],[Investor ID]]:LS[[#This Row],[Investor ID]],LS[[#This Row],[Investor ID]])</f>
        <v>1</v>
      </c>
      <c r="H1055" s="101" t="str">
        <f>CONCATENATE(LS[[#This Row],[Frequency]],LS[[#This Row],[Investor ID]])</f>
        <v>1A00632</v>
      </c>
      <c r="I1055" s="75" t="str">
        <f>IF(LS[[#This Row],[B/S]]="B","BUY",(IF(LS[[#This Row],[B/S]]="S","SELL"," ")))</f>
        <v>BUY</v>
      </c>
      <c r="J1055" s="101" t="s">
        <v>1229</v>
      </c>
      <c r="K1055" s="102">
        <v>250000</v>
      </c>
      <c r="L1055" s="99"/>
      <c r="M1055" s="103">
        <f>LS[[#This Row],[Amount]]/LS[[#This Row],[Unit]]</f>
        <v>12.562182804884177</v>
      </c>
      <c r="N1055" s="104">
        <f>LS[[#This Row],[Unit Capital]]/10</f>
        <v>19901</v>
      </c>
      <c r="O1055" s="104">
        <f>SUMIFS(LS[[#Headers],[Unit]]:LS[[#This Row],[Unit]],LS[[#Headers],[Investor ID]]:LS[[#This Row],[Investor ID]],LS[[#This Row],[Investor ID]])</f>
        <v>19901</v>
      </c>
      <c r="P1055" s="102">
        <v>199010</v>
      </c>
      <c r="Q1055" s="102">
        <f>LS[[#This Row],[Amount]]-LS[[#This Row],[Unit Capital]]</f>
        <v>50990</v>
      </c>
      <c r="R10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12.562182804884177</v>
      </c>
      <c r="S1055" s="103">
        <f t="shared" si="16"/>
        <v>14.224</v>
      </c>
      <c r="T10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5" s="102">
        <f t="array" ref="U1055">IF(LS[[#This Row],[B/S]]="S",ABS(LS[[#This Row],[Unit]])*(INDEX(LS[NAV at Cost (Average)],MATCH(CONCATENATE((LS[[#This Row],[Frequency]]-1),LS[[#This Row],[Investor ID]]),LS[Unique Code],0),0)),0)</f>
        <v>0</v>
      </c>
      <c r="V1055" s="102">
        <f>IF(LS[[#This Row],[BO TRANSFER]]="YES",LS[[#This Row],[Unit]],)</f>
        <v>0</v>
      </c>
      <c r="W1055" s="102">
        <f>SUMIFS(LS[[#Headers],[BO UNIT TRANSFER]]:LS[[#This Row],[BO UNIT TRANSFER]],LS[[#Headers],[Investor ID]]:LS[[#This Row],[Investor ID]],LS[[#This Row],[Investor ID]])</f>
        <v>0</v>
      </c>
    </row>
    <row r="1056" spans="1:23">
      <c r="A1056" s="101">
        <v>2025</v>
      </c>
      <c r="B1056" s="101">
        <v>6</v>
      </c>
      <c r="C1056" s="101">
        <v>29</v>
      </c>
      <c r="D1056" s="98">
        <f>DATE(LS[[#This Row],[Year]],LS[[#This Row],[Month]],LS[[#This Row],[Day]])</f>
        <v>45837</v>
      </c>
      <c r="E1056" s="99" t="str">
        <f t="array" ref="E1056">INDEX(INVESTORS_LIST[INVESTOR NAME],MATCH(LS[[#This Row],[Investor ID]],INVESTORS_LIST[INVESTOR CODE],0),)</f>
        <v>MD. SADEKUR RAHMAN</v>
      </c>
      <c r="F1056" s="97" t="s">
        <v>1184</v>
      </c>
      <c r="G1056" s="101">
        <f>COUNTIF(LS[[#Headers],[Investor ID]]:LS[[#This Row],[Investor ID]],LS[[#This Row],[Investor ID]])</f>
        <v>2</v>
      </c>
      <c r="H1056" s="101" t="str">
        <f>CONCATENATE(LS[[#This Row],[Frequency]],LS[[#This Row],[Investor ID]])</f>
        <v>2A00568</v>
      </c>
      <c r="I1056" s="75" t="str">
        <f>IF(LS[[#This Row],[B/S]]="B","BUY",(IF(LS[[#This Row],[B/S]]="S","SELL"," ")))</f>
        <v>BUY</v>
      </c>
      <c r="J1056" s="101" t="s">
        <v>1229</v>
      </c>
      <c r="K1056" s="102">
        <v>200000</v>
      </c>
      <c r="L1056" s="99"/>
      <c r="M1056" s="103">
        <f>LS[[#This Row],[Amount]]/LS[[#This Row],[Unit]]</f>
        <v>12.562024998429747</v>
      </c>
      <c r="N1056" s="104">
        <f>LS[[#This Row],[Unit Capital]]/10</f>
        <v>15921</v>
      </c>
      <c r="O1056" s="104">
        <f>SUMIFS(LS[[#Headers],[Unit]]:LS[[#This Row],[Unit]],LS[[#Headers],[Investor ID]]:LS[[#This Row],[Investor ID]],LS[[#This Row],[Investor ID]])</f>
        <v>38339</v>
      </c>
      <c r="P1056" s="102">
        <v>159210</v>
      </c>
      <c r="Q1056" s="102">
        <f>LS[[#This Row],[Amount]]-LS[[#This Row],[Unit Capital]]</f>
        <v>40790</v>
      </c>
      <c r="R10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11.737395341558205</v>
      </c>
      <c r="S1056" s="103">
        <f t="shared" si="16"/>
        <v>14.224</v>
      </c>
      <c r="T10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6" s="102">
        <f t="array" ref="U1056">IF(LS[[#This Row],[B/S]]="S",ABS(LS[[#This Row],[Unit]])*(INDEX(LS[NAV at Cost (Average)],MATCH(CONCATENATE((LS[[#This Row],[Frequency]]-1),LS[[#This Row],[Investor ID]]),LS[Unique Code],0),0)),0)</f>
        <v>0</v>
      </c>
      <c r="V1056" s="102">
        <f>IF(LS[[#This Row],[BO TRANSFER]]="YES",LS[[#This Row],[Unit]],)</f>
        <v>0</v>
      </c>
      <c r="W1056" s="102">
        <f>SUMIFS(LS[[#Headers],[BO UNIT TRANSFER]]:LS[[#This Row],[BO UNIT TRANSFER]],LS[[#Headers],[Investor ID]]:LS[[#This Row],[Investor ID]],LS[[#This Row],[Investor ID]])</f>
        <v>0</v>
      </c>
    </row>
    <row r="1057" spans="1:23">
      <c r="A1057" s="101">
        <v>2025</v>
      </c>
      <c r="B1057" s="101">
        <v>6</v>
      </c>
      <c r="C1057" s="101">
        <v>29</v>
      </c>
      <c r="D1057" s="98">
        <f>DATE(LS[[#This Row],[Year]],LS[[#This Row],[Month]],LS[[#This Row],[Day]])</f>
        <v>45837</v>
      </c>
      <c r="E1057" s="99" t="str">
        <f t="array" ref="E1057">INDEX(INVESTORS_LIST[INVESTOR NAME],MATCH(LS[[#This Row],[Investor ID]],INVESTORS_LIST[INVESTOR CODE],0),)</f>
        <v>NAVID CHOWDHURY</v>
      </c>
      <c r="F1057" s="100" t="s">
        <v>1194</v>
      </c>
      <c r="G1057" s="101">
        <f>COUNTIF(LS[[#Headers],[Investor ID]]:LS[[#This Row],[Investor ID]],LS[[#This Row],[Investor ID]])</f>
        <v>2</v>
      </c>
      <c r="H1057" s="101" t="str">
        <f>CONCATENATE(LS[[#This Row],[Frequency]],LS[[#This Row],[Investor ID]])</f>
        <v>2A00573</v>
      </c>
      <c r="I1057" s="75" t="str">
        <f>IF(LS[[#This Row],[B/S]]="B","BUY",(IF(LS[[#This Row],[B/S]]="S","SELL"," ")))</f>
        <v>BUY</v>
      </c>
      <c r="J1057" s="101" t="s">
        <v>1229</v>
      </c>
      <c r="K1057" s="102">
        <v>300000</v>
      </c>
      <c r="L1057" s="99"/>
      <c r="M1057" s="103">
        <f>LS[[#This Row],[Amount]]/LS[[#This Row],[Unit]]</f>
        <v>12.561761996482707</v>
      </c>
      <c r="N1057" s="104">
        <f>LS[[#This Row],[Unit Capital]]/10</f>
        <v>23882</v>
      </c>
      <c r="O1057" s="104">
        <f>SUMIFS(LS[[#Headers],[Unit]]:LS[[#This Row],[Unit]],LS[[#Headers],[Investor ID]]:LS[[#This Row],[Investor ID]],LS[[#This Row],[Investor ID]])</f>
        <v>41816</v>
      </c>
      <c r="P1057" s="102">
        <v>238820</v>
      </c>
      <c r="Q1057" s="102">
        <f>LS[[#This Row],[Amount]]-LS[[#This Row],[Unit Capital]]</f>
        <v>61180</v>
      </c>
      <c r="R10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11.957145590204705</v>
      </c>
      <c r="S1057" s="103">
        <f t="shared" si="16"/>
        <v>14.224</v>
      </c>
      <c r="T10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7" s="102">
        <f t="array" ref="U1057">IF(LS[[#This Row],[B/S]]="S",ABS(LS[[#This Row],[Unit]])*(INDEX(LS[NAV at Cost (Average)],MATCH(CONCATENATE((LS[[#This Row],[Frequency]]-1),LS[[#This Row],[Investor ID]]),LS[Unique Code],0),0)),0)</f>
        <v>0</v>
      </c>
      <c r="V1057" s="102">
        <f>IF(LS[[#This Row],[BO TRANSFER]]="YES",LS[[#This Row],[Unit]],)</f>
        <v>0</v>
      </c>
      <c r="W1057" s="102">
        <f>SUMIFS(LS[[#Headers],[BO UNIT TRANSFER]]:LS[[#This Row],[BO UNIT TRANSFER]],LS[[#Headers],[Investor ID]]:LS[[#This Row],[Investor ID]],LS[[#This Row],[Investor ID]])</f>
        <v>0</v>
      </c>
    </row>
    <row r="1058" spans="1:23">
      <c r="A1058" s="101">
        <v>2025</v>
      </c>
      <c r="B1058" s="101">
        <v>6</v>
      </c>
      <c r="C1058" s="101">
        <v>29</v>
      </c>
      <c r="D1058" s="98">
        <f>DATE(LS[[#This Row],[Year]],LS[[#This Row],[Month]],LS[[#This Row],[Day]])</f>
        <v>45837</v>
      </c>
      <c r="E1058" s="99" t="str">
        <f t="array" ref="E1058">INDEX(INVESTORS_LIST[INVESTOR NAME],MATCH(LS[[#This Row],[Investor ID]],INVESTORS_LIST[INVESTOR CODE],0),)</f>
        <v>KHAN MUHAMMAD FAISOL</v>
      </c>
      <c r="F1058" s="100" t="s">
        <v>930</v>
      </c>
      <c r="G1058" s="101">
        <f>COUNTIF(LS[[#Headers],[Investor ID]]:LS[[#This Row],[Investor ID]],LS[[#This Row],[Investor ID]])</f>
        <v>1</v>
      </c>
      <c r="H1058" s="101" t="str">
        <f>CONCATENATE(LS[[#This Row],[Frequency]],LS[[#This Row],[Investor ID]])</f>
        <v>1A00442</v>
      </c>
      <c r="I1058" s="75" t="str">
        <f>IF(LS[[#This Row],[B/S]]="B","BUY",(IF(LS[[#This Row],[B/S]]="S","SELL"," ")))</f>
        <v>BUY</v>
      </c>
      <c r="J1058" s="101" t="s">
        <v>1229</v>
      </c>
      <c r="K1058" s="102">
        <v>300000</v>
      </c>
      <c r="L1058" s="99" t="s">
        <v>1230</v>
      </c>
      <c r="M1058" s="103">
        <f>LS[[#This Row],[Amount]]/LS[[#This Row],[Unit]]</f>
        <v>12.561761996482707</v>
      </c>
      <c r="N1058" s="104">
        <f>LS[[#This Row],[Unit Capital]]/10</f>
        <v>23882</v>
      </c>
      <c r="O1058" s="104">
        <f>SUMIFS(LS[[#Headers],[Unit]]:LS[[#This Row],[Unit]],LS[[#Headers],[Investor ID]]:LS[[#This Row],[Investor ID]],LS[[#This Row],[Investor ID]])</f>
        <v>23882</v>
      </c>
      <c r="P1058" s="102">
        <v>238820</v>
      </c>
      <c r="Q1058" s="102">
        <f>LS[[#This Row],[Amount]]-LS[[#This Row],[Unit Capital]]</f>
        <v>61180</v>
      </c>
      <c r="R10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12.561761996482707</v>
      </c>
      <c r="S1058" s="103">
        <f t="shared" si="16"/>
        <v>14.224</v>
      </c>
      <c r="T10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8" s="102">
        <f t="array" ref="U1058">IF(LS[[#This Row],[B/S]]="S",ABS(LS[[#This Row],[Unit]])*(INDEX(LS[NAV at Cost (Average)],MATCH(CONCATENATE((LS[[#This Row],[Frequency]]-1),LS[[#This Row],[Investor ID]]),LS[Unique Code],0),0)),0)</f>
        <v>0</v>
      </c>
      <c r="V1058" s="102">
        <f>IF(LS[[#This Row],[BO TRANSFER]]="YES",LS[[#This Row],[Unit]],)</f>
        <v>23882</v>
      </c>
      <c r="W1058" s="102">
        <f>SUMIFS(LS[[#Headers],[BO UNIT TRANSFER]]:LS[[#This Row],[BO UNIT TRANSFER]],LS[[#Headers],[Investor ID]]:LS[[#This Row],[Investor ID]],LS[[#This Row],[Investor ID]])</f>
        <v>23882</v>
      </c>
    </row>
    <row r="1059" spans="1:23">
      <c r="A1059" s="101">
        <v>2025</v>
      </c>
      <c r="B1059" s="101">
        <v>6</v>
      </c>
      <c r="C1059" s="101">
        <v>29</v>
      </c>
      <c r="D1059" s="98">
        <f>DATE(LS[[#This Row],[Year]],LS[[#This Row],[Month]],LS[[#This Row],[Day]])</f>
        <v>45837</v>
      </c>
      <c r="E1059" s="99" t="str">
        <f t="array" ref="E1059">INDEX(INVESTORS_LIST[INVESTOR NAME],MATCH(LS[[#This Row],[Investor ID]],INVESTORS_LIST[INVESTOR CODE],0),)</f>
        <v>ELORA SHAHAB SHARMEE</v>
      </c>
      <c r="F1059" s="202" t="s">
        <v>1385</v>
      </c>
      <c r="G1059" s="101">
        <f>COUNTIF(LS[[#Headers],[Investor ID]]:LS[[#This Row],[Investor ID]],LS[[#This Row],[Investor ID]])</f>
        <v>1</v>
      </c>
      <c r="H1059" s="101" t="str">
        <f>CONCATENATE(LS[[#This Row],[Frequency]],LS[[#This Row],[Investor ID]])</f>
        <v>1A00637</v>
      </c>
      <c r="I1059" s="75" t="str">
        <f>IF(LS[[#This Row],[B/S]]="B","BUY",(IF(LS[[#This Row],[B/S]]="S","SELL"," ")))</f>
        <v>BUY</v>
      </c>
      <c r="J1059" s="101" t="s">
        <v>1229</v>
      </c>
      <c r="K1059" s="102">
        <v>200000</v>
      </c>
      <c r="L1059" s="99"/>
      <c r="M1059" s="103">
        <f>LS[[#This Row],[Amount]]/LS[[#This Row],[Unit]]</f>
        <v>12.562024998429747</v>
      </c>
      <c r="N1059" s="104">
        <f>LS[[#This Row],[Unit Capital]]/10</f>
        <v>15921</v>
      </c>
      <c r="O1059" s="104">
        <f>SUMIFS(LS[[#Headers],[Unit]]:LS[[#This Row],[Unit]],LS[[#Headers],[Investor ID]]:LS[[#This Row],[Investor ID]],LS[[#This Row],[Investor ID]])</f>
        <v>15921</v>
      </c>
      <c r="P1059" s="102">
        <v>159210</v>
      </c>
      <c r="Q1059" s="102">
        <f>LS[[#This Row],[Amount]]-LS[[#This Row],[Unit Capital]]</f>
        <v>40790</v>
      </c>
      <c r="R10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12.562024998429747</v>
      </c>
      <c r="S1059" s="103">
        <f t="shared" si="16"/>
        <v>14.224</v>
      </c>
      <c r="T105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59" s="102">
        <f t="array" ref="U1059">IF(LS[[#This Row],[B/S]]="S",ABS(LS[[#This Row],[Unit]])*(INDEX(LS[NAV at Cost (Average)],MATCH(CONCATENATE((LS[[#This Row],[Frequency]]-1),LS[[#This Row],[Investor ID]]),LS[Unique Code],0),0)),0)</f>
        <v>0</v>
      </c>
      <c r="V1059" s="102">
        <f>IF(LS[[#This Row],[BO TRANSFER]]="YES",LS[[#This Row],[Unit]],)</f>
        <v>0</v>
      </c>
      <c r="W1059" s="102">
        <f>SUMIFS(LS[[#Headers],[BO UNIT TRANSFER]]:LS[[#This Row],[BO UNIT TRANSFER]],LS[[#Headers],[Investor ID]]:LS[[#This Row],[Investor ID]],LS[[#This Row],[Investor ID]])</f>
        <v>0</v>
      </c>
    </row>
    <row r="1060" spans="1:23">
      <c r="A1060" s="101">
        <v>2025</v>
      </c>
      <c r="B1060" s="101">
        <v>6</v>
      </c>
      <c r="C1060" s="101">
        <v>29</v>
      </c>
      <c r="D1060" s="98">
        <f>DATE(LS[[#This Row],[Year]],LS[[#This Row],[Month]],LS[[#This Row],[Day]])</f>
        <v>45837</v>
      </c>
      <c r="E1060" s="99" t="str">
        <f t="array" ref="E1060">INDEX(INVESTORS_LIST[INVESTOR NAME],MATCH(LS[[#This Row],[Investor ID]],INVESTORS_LIST[INVESTOR CODE],0),)</f>
        <v>SWADESH RANJAN SAHA</v>
      </c>
      <c r="F1060" s="97" t="s">
        <v>234</v>
      </c>
      <c r="G1060" s="101">
        <f>COUNTIF(LS[[#Headers],[Investor ID]]:LS[[#This Row],[Investor ID]],LS[[#This Row],[Investor ID]])</f>
        <v>16</v>
      </c>
      <c r="H1060" s="101" t="str">
        <f>CONCATENATE(LS[[#This Row],[Frequency]],LS[[#This Row],[Investor ID]])</f>
        <v>16A00093</v>
      </c>
      <c r="I1060" s="75" t="str">
        <f>IF(LS[[#This Row],[B/S]]="B","BUY",(IF(LS[[#This Row],[B/S]]="S","SELL"," ")))</f>
        <v>BUY</v>
      </c>
      <c r="J1060" s="101" t="s">
        <v>1229</v>
      </c>
      <c r="K1060" s="102">
        <v>600000</v>
      </c>
      <c r="L1060" s="99"/>
      <c r="M1060" s="103">
        <f>LS[[#This Row],[Amount]]/LS[[#This Row],[Unit]]</f>
        <v>12.562024998429747</v>
      </c>
      <c r="N1060" s="104">
        <f>LS[[#This Row],[Unit Capital]]/10</f>
        <v>47763</v>
      </c>
      <c r="O1060" s="104">
        <f>SUMIFS(LS[[#Headers],[Unit]]:LS[[#This Row],[Unit]],LS[[#Headers],[Investor ID]]:LS[[#This Row],[Investor ID]],LS[[#This Row],[Investor ID]])</f>
        <v>82471</v>
      </c>
      <c r="P1060" s="102">
        <v>477630</v>
      </c>
      <c r="Q1060" s="102">
        <f>LS[[#This Row],[Amount]]-LS[[#This Row],[Unit Capital]]</f>
        <v>122370</v>
      </c>
      <c r="R10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11.772680985468698</v>
      </c>
      <c r="S1060" s="103">
        <f t="shared" si="16"/>
        <v>14.224</v>
      </c>
      <c r="T10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0" s="102">
        <f t="array" ref="U1060">IF(LS[[#This Row],[B/S]]="S",ABS(LS[[#This Row],[Unit]])*(INDEX(LS[NAV at Cost (Average)],MATCH(CONCATENATE((LS[[#This Row],[Frequency]]-1),LS[[#This Row],[Investor ID]]),LS[Unique Code],0),0)),0)</f>
        <v>0</v>
      </c>
      <c r="V1060" s="102">
        <f>IF(LS[[#This Row],[BO TRANSFER]]="YES",LS[[#This Row],[Unit]],)</f>
        <v>0</v>
      </c>
      <c r="W1060" s="102">
        <f>SUMIFS(LS[[#Headers],[BO UNIT TRANSFER]]:LS[[#This Row],[BO UNIT TRANSFER]],LS[[#Headers],[Investor ID]]:LS[[#This Row],[Investor ID]],LS[[#This Row],[Investor ID]])</f>
        <v>0</v>
      </c>
    </row>
    <row r="1061" spans="1:23">
      <c r="A1061" s="101">
        <v>2025</v>
      </c>
      <c r="B1061" s="101">
        <v>6</v>
      </c>
      <c r="C1061" s="101">
        <v>29</v>
      </c>
      <c r="D1061" s="98">
        <f>DATE(LS[[#This Row],[Year]],LS[[#This Row],[Month]],LS[[#This Row],[Day]])</f>
        <v>45837</v>
      </c>
      <c r="E1061" s="99" t="str">
        <f t="array" ref="E1061">INDEX(INVESTORS_LIST[INVESTOR NAME],MATCH(LS[[#This Row],[Investor ID]],INVESTORS_LIST[INVESTOR CODE],0),)</f>
        <v>SYED SHIBLI MAHMUD</v>
      </c>
      <c r="F1061" s="97" t="s">
        <v>1362</v>
      </c>
      <c r="G1061" s="101">
        <f>COUNTIF(LS[[#Headers],[Investor ID]]:LS[[#This Row],[Investor ID]],LS[[#This Row],[Investor ID]])</f>
        <v>1</v>
      </c>
      <c r="H1061" s="101" t="str">
        <f>CONCATENATE(LS[[#This Row],[Frequency]],LS[[#This Row],[Investor ID]])</f>
        <v>1A00627</v>
      </c>
      <c r="I1061" s="75" t="str">
        <f>IF(LS[[#This Row],[B/S]]="B","BUY",(IF(LS[[#This Row],[B/S]]="S","SELL"," ")))</f>
        <v>BUY</v>
      </c>
      <c r="J1061" s="101" t="s">
        <v>1229</v>
      </c>
      <c r="K1061" s="102">
        <v>100000</v>
      </c>
      <c r="L1061" s="99"/>
      <c r="M1061" s="103">
        <f>LS[[#This Row],[Amount]]/LS[[#This Row],[Unit]]</f>
        <v>12.561236025624922</v>
      </c>
      <c r="N1061" s="104">
        <f>LS[[#This Row],[Unit Capital]]/10</f>
        <v>7961</v>
      </c>
      <c r="O1061" s="104">
        <f>SUMIFS(LS[[#Headers],[Unit]]:LS[[#This Row],[Unit]],LS[[#Headers],[Investor ID]]:LS[[#This Row],[Investor ID]],LS[[#This Row],[Investor ID]])</f>
        <v>7961</v>
      </c>
      <c r="P1061" s="102">
        <v>79610</v>
      </c>
      <c r="Q1061" s="102">
        <f>LS[[#This Row],[Amount]]-LS[[#This Row],[Unit Capital]]</f>
        <v>20390</v>
      </c>
      <c r="R10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12.561236025624922</v>
      </c>
      <c r="S1061" s="103">
        <f t="shared" si="16"/>
        <v>14.224</v>
      </c>
      <c r="T106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1" s="102">
        <f t="array" ref="U1061">IF(LS[[#This Row],[B/S]]="S",ABS(LS[[#This Row],[Unit]])*(INDEX(LS[NAV at Cost (Average)],MATCH(CONCATENATE((LS[[#This Row],[Frequency]]-1),LS[[#This Row],[Investor ID]]),LS[Unique Code],0),0)),0)</f>
        <v>0</v>
      </c>
      <c r="V1061" s="102">
        <f>IF(LS[[#This Row],[BO TRANSFER]]="YES",LS[[#This Row],[Unit]],)</f>
        <v>0</v>
      </c>
      <c r="W1061" s="102">
        <f>SUMIFS(LS[[#Headers],[BO UNIT TRANSFER]]:LS[[#This Row],[BO UNIT TRANSFER]],LS[[#Headers],[Investor ID]]:LS[[#This Row],[Investor ID]],LS[[#This Row],[Investor ID]])</f>
        <v>0</v>
      </c>
    </row>
    <row r="1062" spans="1:23">
      <c r="A1062" s="101">
        <v>2025</v>
      </c>
      <c r="B1062" s="101">
        <v>6</v>
      </c>
      <c r="C1062" s="101">
        <v>29</v>
      </c>
      <c r="D1062" s="98">
        <f>DATE(LS[[#This Row],[Year]],LS[[#This Row],[Month]],LS[[#This Row],[Day]])</f>
        <v>45837</v>
      </c>
      <c r="E1062" s="99" t="str">
        <f t="array" ref="E1062">INDEX(INVESTORS_LIST[INVESTOR NAME],MATCH(LS[[#This Row],[Investor ID]],INVESTORS_LIST[INVESTOR CODE],0),)</f>
        <v>MD. MASUM BILLAH</v>
      </c>
      <c r="F1062" s="100" t="s">
        <v>1364</v>
      </c>
      <c r="G1062" s="101">
        <f>COUNTIF(LS[[#Headers],[Investor ID]]:LS[[#This Row],[Investor ID]],LS[[#This Row],[Investor ID]])</f>
        <v>1</v>
      </c>
      <c r="H1062" s="101" t="str">
        <f>CONCATENATE(LS[[#This Row],[Frequency]],LS[[#This Row],[Investor ID]])</f>
        <v>1A00628</v>
      </c>
      <c r="I1062" s="75" t="str">
        <f>IF(LS[[#This Row],[B/S]]="B","BUY",(IF(LS[[#This Row],[B/S]]="S","SELL"," ")))</f>
        <v>BUY</v>
      </c>
      <c r="J1062" s="101" t="s">
        <v>1229</v>
      </c>
      <c r="K1062" s="102">
        <v>100000</v>
      </c>
      <c r="L1062" s="99"/>
      <c r="M1062" s="103">
        <f>LS[[#This Row],[Amount]]/LS[[#This Row],[Unit]]</f>
        <v>12.561236025624922</v>
      </c>
      <c r="N1062" s="104">
        <f>LS[[#This Row],[Unit Capital]]/10</f>
        <v>7961</v>
      </c>
      <c r="O1062" s="104">
        <f>SUMIFS(LS[[#Headers],[Unit]]:LS[[#This Row],[Unit]],LS[[#Headers],[Investor ID]]:LS[[#This Row],[Investor ID]],LS[[#This Row],[Investor ID]])</f>
        <v>7961</v>
      </c>
      <c r="P1062" s="102">
        <v>79610</v>
      </c>
      <c r="Q1062" s="102">
        <f>LS[[#This Row],[Amount]]-LS[[#This Row],[Unit Capital]]</f>
        <v>20390</v>
      </c>
      <c r="R10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12.561236025624922</v>
      </c>
      <c r="S1062" s="103">
        <f t="shared" si="16"/>
        <v>14.224</v>
      </c>
      <c r="T10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2" s="102">
        <f t="array" ref="U1062">IF(LS[[#This Row],[B/S]]="S",ABS(LS[[#This Row],[Unit]])*(INDEX(LS[NAV at Cost (Average)],MATCH(CONCATENATE((LS[[#This Row],[Frequency]]-1),LS[[#This Row],[Investor ID]]),LS[Unique Code],0),0)),0)</f>
        <v>0</v>
      </c>
      <c r="V1062" s="102">
        <f>IF(LS[[#This Row],[BO TRANSFER]]="YES",LS[[#This Row],[Unit]],)</f>
        <v>0</v>
      </c>
      <c r="W1062" s="102">
        <f>SUMIFS(LS[[#Headers],[BO UNIT TRANSFER]]:LS[[#This Row],[BO UNIT TRANSFER]],LS[[#Headers],[Investor ID]]:LS[[#This Row],[Investor ID]],LS[[#This Row],[Investor ID]])</f>
        <v>0</v>
      </c>
    </row>
    <row r="1063" spans="1:23">
      <c r="A1063" s="101">
        <v>2025</v>
      </c>
      <c r="B1063" s="101">
        <v>6</v>
      </c>
      <c r="C1063" s="101">
        <v>29</v>
      </c>
      <c r="D1063" s="98">
        <f>DATE(LS[[#This Row],[Year]],LS[[#This Row],[Month]],LS[[#This Row],[Day]])</f>
        <v>45837</v>
      </c>
      <c r="E1063" s="99" t="str">
        <f t="array" ref="E1063">INDEX(INVESTORS_LIST[INVESTOR NAME],MATCH(LS[[#This Row],[Investor ID]],INVESTORS_LIST[INVESTOR CODE],0),)</f>
        <v>NAZMUL AHSAN</v>
      </c>
      <c r="F1063" s="97" t="s">
        <v>262</v>
      </c>
      <c r="G1063" s="101">
        <f>COUNTIF(LS[[#Headers],[Investor ID]]:LS[[#This Row],[Investor ID]],LS[[#This Row],[Investor ID]])</f>
        <v>3</v>
      </c>
      <c r="H1063" s="101" t="str">
        <f>CONCATENATE(LS[[#This Row],[Frequency]],LS[[#This Row],[Investor ID]])</f>
        <v>3A00107</v>
      </c>
      <c r="I1063" s="75" t="str">
        <f>IF(LS[[#This Row],[B/S]]="B","BUY",(IF(LS[[#This Row],[B/S]]="S","SELL"," ")))</f>
        <v>BUY</v>
      </c>
      <c r="J1063" s="101" t="s">
        <v>1229</v>
      </c>
      <c r="K1063" s="102">
        <v>60000</v>
      </c>
      <c r="L1063" s="99"/>
      <c r="M1063" s="103">
        <f>LS[[#This Row],[Amount]]/LS[[#This Row],[Unit]]</f>
        <v>12.562814070351759</v>
      </c>
      <c r="N1063" s="104">
        <f>LS[[#This Row],[Unit Capital]]/10</f>
        <v>4776</v>
      </c>
      <c r="O1063" s="104">
        <f>SUMIFS(LS[[#Headers],[Unit]]:LS[[#This Row],[Unit]],LS[[#Headers],[Investor ID]]:LS[[#This Row],[Investor ID]],LS[[#This Row],[Investor ID]])</f>
        <v>179146</v>
      </c>
      <c r="P1063" s="102">
        <v>47760</v>
      </c>
      <c r="Q1063" s="102">
        <f>LS[[#This Row],[Amount]]-LS[[#This Row],[Unit Capital]]</f>
        <v>12240</v>
      </c>
      <c r="R10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10.940796891920556</v>
      </c>
      <c r="S1063" s="103">
        <f t="shared" si="16"/>
        <v>14.224</v>
      </c>
      <c r="T10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3" s="102">
        <f t="array" ref="U1063">IF(LS[[#This Row],[B/S]]="S",ABS(LS[[#This Row],[Unit]])*(INDEX(LS[NAV at Cost (Average)],MATCH(CONCATENATE((LS[[#This Row],[Frequency]]-1),LS[[#This Row],[Investor ID]]),LS[Unique Code],0),0)),0)</f>
        <v>0</v>
      </c>
      <c r="V1063" s="102">
        <f>IF(LS[[#This Row],[BO TRANSFER]]="YES",LS[[#This Row],[Unit]],)</f>
        <v>0</v>
      </c>
      <c r="W1063" s="102">
        <f>SUMIFS(LS[[#Headers],[BO UNIT TRANSFER]]:LS[[#This Row],[BO UNIT TRANSFER]],LS[[#Headers],[Investor ID]]:LS[[#This Row],[Investor ID]],LS[[#This Row],[Investor ID]])</f>
        <v>0</v>
      </c>
    </row>
    <row r="1064" spans="1:23">
      <c r="A1064" s="101">
        <v>2025</v>
      </c>
      <c r="B1064" s="101">
        <v>6</v>
      </c>
      <c r="C1064" s="101">
        <v>30</v>
      </c>
      <c r="D1064" s="98">
        <f>DATE(LS[[#This Row],[Year]],LS[[#This Row],[Month]],LS[[#This Row],[Day]])</f>
        <v>45838</v>
      </c>
      <c r="E1064" s="99" t="str">
        <f t="array" ref="E1064">INDEX(INVESTORS_LIST[INVESTOR NAME],MATCH(LS[[#This Row],[Investor ID]],INVESTORS_LIST[INVESTOR CODE],0),)</f>
        <v>NAZMUL AHSAN</v>
      </c>
      <c r="F1064" s="97" t="s">
        <v>262</v>
      </c>
      <c r="G1064" s="101">
        <f>COUNTIF(LS[[#Headers],[Investor ID]]:LS[[#This Row],[Investor ID]],LS[[#This Row],[Investor ID]])</f>
        <v>4</v>
      </c>
      <c r="H1064" s="101" t="str">
        <f>CONCATENATE(LS[[#This Row],[Frequency]],LS[[#This Row],[Investor ID]])</f>
        <v>4A00107</v>
      </c>
      <c r="I1064" s="75" t="str">
        <f>IF(LS[[#This Row],[B/S]]="B","BUY",(IF(LS[[#This Row],[B/S]]="S","SELL"," ")))</f>
        <v>BUY</v>
      </c>
      <c r="J1064" s="101" t="s">
        <v>1229</v>
      </c>
      <c r="K1064" s="102">
        <v>70000</v>
      </c>
      <c r="L1064" s="99"/>
      <c r="M1064" s="103">
        <f>LS[[#This Row],[Amount]]/LS[[#This Row],[Unit]]</f>
        <v>12.562814070351759</v>
      </c>
      <c r="N1064" s="104">
        <f>LS[[#This Row],[Unit Capital]]/10</f>
        <v>5572</v>
      </c>
      <c r="O1064" s="104">
        <f>SUMIFS(LS[[#Headers],[Unit]]:LS[[#This Row],[Unit]],LS[[#Headers],[Investor ID]]:LS[[#This Row],[Investor ID]],LS[[#This Row],[Investor ID]])</f>
        <v>184718</v>
      </c>
      <c r="P1064" s="102">
        <v>55720</v>
      </c>
      <c r="Q1064" s="102">
        <f>LS[[#This Row],[Amount]]-LS[[#This Row],[Unit Capital]]</f>
        <v>14280</v>
      </c>
      <c r="R10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10.98972487792202</v>
      </c>
      <c r="S1064" s="103">
        <f t="shared" si="16"/>
        <v>14.224</v>
      </c>
      <c r="T10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4" s="102">
        <f t="array" ref="U1064">IF(LS[[#This Row],[B/S]]="S",ABS(LS[[#This Row],[Unit]])*(INDEX(LS[NAV at Cost (Average)],MATCH(CONCATENATE((LS[[#This Row],[Frequency]]-1),LS[[#This Row],[Investor ID]]),LS[Unique Code],0),0)),0)</f>
        <v>0</v>
      </c>
      <c r="V1064" s="102">
        <f>IF(LS[[#This Row],[BO TRANSFER]]="YES",LS[[#This Row],[Unit]],)</f>
        <v>0</v>
      </c>
      <c r="W1064" s="102">
        <f>SUMIFS(LS[[#Headers],[BO UNIT TRANSFER]]:LS[[#This Row],[BO UNIT TRANSFER]],LS[[#Headers],[Investor ID]]:LS[[#This Row],[Investor ID]],LS[[#This Row],[Investor ID]])</f>
        <v>0</v>
      </c>
    </row>
    <row r="1065" spans="1:23">
      <c r="A1065" s="101">
        <v>2025</v>
      </c>
      <c r="B1065" s="101">
        <v>6</v>
      </c>
      <c r="C1065" s="101">
        <v>30</v>
      </c>
      <c r="D1065" s="98">
        <f>DATE(LS[[#This Row],[Year]],LS[[#This Row],[Month]],LS[[#This Row],[Day]])</f>
        <v>45838</v>
      </c>
      <c r="E1065" s="99" t="str">
        <f t="array" ref="E1065">INDEX(INVESTORS_LIST[INVESTOR NAME],MATCH(LS[[#This Row],[Investor ID]],INVESTORS_LIST[INVESTOR CODE],0),)</f>
        <v>MD. ASIFUL HUQ</v>
      </c>
      <c r="F1065" s="100" t="s">
        <v>1354</v>
      </c>
      <c r="G1065" s="101">
        <f>COUNTIF(LS[[#Headers],[Investor ID]]:LS[[#This Row],[Investor ID]],LS[[#This Row],[Investor ID]])</f>
        <v>1</v>
      </c>
      <c r="H1065" s="101" t="str">
        <f>CONCATENATE(LS[[#This Row],[Frequency]],LS[[#This Row],[Investor ID]])</f>
        <v>1A00623</v>
      </c>
      <c r="I1065" s="75" t="str">
        <f>IF(LS[[#This Row],[B/S]]="B","BUY",(IF(LS[[#This Row],[B/S]]="S","SELL"," ")))</f>
        <v>BUY</v>
      </c>
      <c r="J1065" s="101" t="s">
        <v>1229</v>
      </c>
      <c r="K1065" s="102">
        <v>400000</v>
      </c>
      <c r="L1065" s="99"/>
      <c r="M1065" s="103">
        <f>LS[[#This Row],[Amount]]/LS[[#This Row],[Unit]]</f>
        <v>12.562024998429747</v>
      </c>
      <c r="N1065" s="104">
        <f>LS[[#This Row],[Unit Capital]]/10</f>
        <v>31842</v>
      </c>
      <c r="O1065" s="104">
        <f>SUMIFS(LS[[#Headers],[Unit]]:LS[[#This Row],[Unit]],LS[[#Headers],[Investor ID]]:LS[[#This Row],[Investor ID]],LS[[#This Row],[Investor ID]])</f>
        <v>31842</v>
      </c>
      <c r="P1065" s="102">
        <v>318420</v>
      </c>
      <c r="Q1065" s="102">
        <f>LS[[#This Row],[Amount]]-LS[[#This Row],[Unit Capital]]</f>
        <v>81580</v>
      </c>
      <c r="R10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12.562024998429747</v>
      </c>
      <c r="S1065" s="103">
        <f t="shared" si="16"/>
        <v>14.224</v>
      </c>
      <c r="T106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5" s="102">
        <f t="array" ref="U1065">IF(LS[[#This Row],[B/S]]="S",ABS(LS[[#This Row],[Unit]])*(INDEX(LS[NAV at Cost (Average)],MATCH(CONCATENATE((LS[[#This Row],[Frequency]]-1),LS[[#This Row],[Investor ID]]),LS[Unique Code],0),0)),0)</f>
        <v>0</v>
      </c>
      <c r="V1065" s="102">
        <f>IF(LS[[#This Row],[BO TRANSFER]]="YES",LS[[#This Row],[Unit]],)</f>
        <v>0</v>
      </c>
      <c r="W1065" s="102">
        <f>SUMIFS(LS[[#Headers],[BO UNIT TRANSFER]]:LS[[#This Row],[BO UNIT TRANSFER]],LS[[#Headers],[Investor ID]]:LS[[#This Row],[Investor ID]],LS[[#This Row],[Investor ID]])</f>
        <v>0</v>
      </c>
    </row>
    <row r="1066" spans="1:23">
      <c r="A1066" s="101">
        <v>2025</v>
      </c>
      <c r="B1066" s="101">
        <v>6</v>
      </c>
      <c r="C1066" s="101">
        <v>30</v>
      </c>
      <c r="D1066" s="98">
        <f>DATE(LS[[#This Row],[Year]],LS[[#This Row],[Month]],LS[[#This Row],[Day]])</f>
        <v>45838</v>
      </c>
      <c r="E1066" s="99" t="str">
        <f t="array" ref="E1066">INDEX(INVESTORS_LIST[INVESTOR NAME],MATCH(LS[[#This Row],[Investor ID]],INVESTORS_LIST[INVESTOR CODE],0),)</f>
        <v>ARIFUR RAHMAN</v>
      </c>
      <c r="F1066" s="100" t="s">
        <v>278</v>
      </c>
      <c r="G1066" s="101">
        <f>COUNTIF(LS[[#Headers],[Investor ID]]:LS[[#This Row],[Investor ID]],LS[[#This Row],[Investor ID]])</f>
        <v>12</v>
      </c>
      <c r="H1066" s="101" t="str">
        <f>CONCATENATE(LS[[#This Row],[Frequency]],LS[[#This Row],[Investor ID]])</f>
        <v>12A00115</v>
      </c>
      <c r="I1066" s="75" t="str">
        <f>IF(LS[[#This Row],[B/S]]="B","BUY",(IF(LS[[#This Row],[B/S]]="S","SELL"," ")))</f>
        <v>BUY</v>
      </c>
      <c r="J1066" s="101" t="s">
        <v>1229</v>
      </c>
      <c r="K1066" s="102">
        <v>52000</v>
      </c>
      <c r="L1066" s="99"/>
      <c r="M1066" s="103">
        <f>LS[[#This Row],[Amount]]/LS[[#This Row],[Unit]]</f>
        <v>12.563421116211645</v>
      </c>
      <c r="N1066" s="104">
        <f>LS[[#This Row],[Unit Capital]]/10</f>
        <v>4139</v>
      </c>
      <c r="O1066" s="104">
        <f>SUMIFS(LS[[#Headers],[Unit]]:LS[[#This Row],[Unit]],LS[[#Headers],[Investor ID]]:LS[[#This Row],[Investor ID]],LS[[#This Row],[Investor ID]])</f>
        <v>44598</v>
      </c>
      <c r="P1066" s="102">
        <v>41390</v>
      </c>
      <c r="Q1066" s="102">
        <f>LS[[#This Row],[Amount]]-LS[[#This Row],[Unit Capital]]</f>
        <v>10610</v>
      </c>
      <c r="R10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11.46080401239105</v>
      </c>
      <c r="S1066" s="103">
        <f t="shared" si="16"/>
        <v>14.224</v>
      </c>
      <c r="T106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6" s="102">
        <f t="array" ref="U1066">IF(LS[[#This Row],[B/S]]="S",ABS(LS[[#This Row],[Unit]])*(INDEX(LS[NAV at Cost (Average)],MATCH(CONCATENATE((LS[[#This Row],[Frequency]]-1),LS[[#This Row],[Investor ID]]),LS[Unique Code],0),0)),0)</f>
        <v>0</v>
      </c>
      <c r="V1066" s="102">
        <f>IF(LS[[#This Row],[BO TRANSFER]]="YES",LS[[#This Row],[Unit]],)</f>
        <v>0</v>
      </c>
      <c r="W1066" s="102">
        <f>SUMIFS(LS[[#Headers],[BO UNIT TRANSFER]]:LS[[#This Row],[BO UNIT TRANSFER]],LS[[#Headers],[Investor ID]]:LS[[#This Row],[Investor ID]],LS[[#This Row],[Investor ID]])</f>
        <v>0</v>
      </c>
    </row>
    <row r="1067" spans="1:23">
      <c r="A1067" s="101">
        <v>2025</v>
      </c>
      <c r="B1067" s="101">
        <v>6</v>
      </c>
      <c r="C1067" s="101">
        <v>30</v>
      </c>
      <c r="D1067" s="98">
        <f>DATE(LS[[#This Row],[Year]],LS[[#This Row],[Month]],LS[[#This Row],[Day]])</f>
        <v>45838</v>
      </c>
      <c r="E1067" s="99" t="str">
        <f t="array" ref="E1067">INDEX(INVESTORS_LIST[INVESTOR NAME],MATCH(LS[[#This Row],[Investor ID]],INVESTORS_LIST[INVESTOR CODE],0),)</f>
        <v>FAISAL RAHMAN</v>
      </c>
      <c r="F1067" s="207" t="s">
        <v>1388</v>
      </c>
      <c r="G1067" s="101">
        <f>COUNTIF(LS[[#Headers],[Investor ID]]:LS[[#This Row],[Investor ID]],LS[[#This Row],[Investor ID]])</f>
        <v>1</v>
      </c>
      <c r="H1067" s="101" t="str">
        <f>CONCATENATE(LS[[#This Row],[Frequency]],LS[[#This Row],[Investor ID]])</f>
        <v>1A00639</v>
      </c>
      <c r="I1067" s="75" t="str">
        <f>IF(LS[[#This Row],[B/S]]="B","BUY",(IF(LS[[#This Row],[B/S]]="S","SELL"," ")))</f>
        <v>BUY</v>
      </c>
      <c r="J1067" s="101" t="s">
        <v>1229</v>
      </c>
      <c r="K1067" s="102">
        <v>80000</v>
      </c>
      <c r="L1067" s="99"/>
      <c r="M1067" s="103">
        <f>LS[[#This Row],[Amount]]/LS[[#This Row],[Unit]]</f>
        <v>12.562814070351759</v>
      </c>
      <c r="N1067" s="104">
        <f>LS[[#This Row],[Unit Capital]]/10</f>
        <v>6368</v>
      </c>
      <c r="O1067" s="104">
        <f>SUMIFS(LS[[#Headers],[Unit]]:LS[[#This Row],[Unit]],LS[[#Headers],[Investor ID]]:LS[[#This Row],[Investor ID]],LS[[#This Row],[Investor ID]])</f>
        <v>6368</v>
      </c>
      <c r="P1067" s="102">
        <v>63680</v>
      </c>
      <c r="Q1067" s="102">
        <f>LS[[#This Row],[Amount]]-LS[[#This Row],[Unit Capital]]</f>
        <v>16320</v>
      </c>
      <c r="R10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12.562814070351759</v>
      </c>
      <c r="S1067" s="103">
        <f t="shared" si="16"/>
        <v>14.224</v>
      </c>
      <c r="T10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7" s="102">
        <f t="array" ref="U1067">IF(LS[[#This Row],[B/S]]="S",ABS(LS[[#This Row],[Unit]])*(INDEX(LS[NAV at Cost (Average)],MATCH(CONCATENATE((LS[[#This Row],[Frequency]]-1),LS[[#This Row],[Investor ID]]),LS[Unique Code],0),0)),0)</f>
        <v>0</v>
      </c>
      <c r="V1067" s="102">
        <f>IF(LS[[#This Row],[BO TRANSFER]]="YES",LS[[#This Row],[Unit]],)</f>
        <v>0</v>
      </c>
      <c r="W1067" s="102">
        <f>SUMIFS(LS[[#Headers],[BO UNIT TRANSFER]]:LS[[#This Row],[BO UNIT TRANSFER]],LS[[#Headers],[Investor ID]]:LS[[#This Row],[Investor ID]],LS[[#This Row],[Investor ID]])</f>
        <v>0</v>
      </c>
    </row>
    <row r="1068" spans="1:23">
      <c r="A1068" s="101">
        <v>2025</v>
      </c>
      <c r="B1068" s="101">
        <v>7</v>
      </c>
      <c r="C1068" s="101">
        <v>2</v>
      </c>
      <c r="D1068" s="98">
        <f>DATE(LS[[#This Row],[Year]],LS[[#This Row],[Month]],LS[[#This Row],[Day]])</f>
        <v>45840</v>
      </c>
      <c r="E1068" s="99" t="str" cm="1">
        <f t="array" ref="E1068">INDEX(INVESTORS_LIST[INVESTOR NAME],MATCH(LS[[#This Row],[Investor ID]],INVESTORS_LIST[INVESTOR CODE],0),)</f>
        <v>KAZI AHSAN MARUF</v>
      </c>
      <c r="F1068" s="100" t="s">
        <v>158</v>
      </c>
      <c r="G1068" s="101">
        <f>COUNTIF(LS[[#Headers],[Investor ID]]:LS[[#This Row],[Investor ID]],LS[[#This Row],[Investor ID]])</f>
        <v>5</v>
      </c>
      <c r="H1068" s="101" t="str">
        <f>CONCATENATE(LS[[#This Row],[Frequency]],LS[[#This Row],[Investor ID]])</f>
        <v>5A00055</v>
      </c>
      <c r="I1068" s="75" t="str">
        <f>IF(LS[[#This Row],[B/S]]="B","BUY",(IF(LS[[#This Row],[B/S]]="S","SELL"," ")))</f>
        <v>BUY</v>
      </c>
      <c r="J1068" s="101" t="s">
        <v>1229</v>
      </c>
      <c r="K1068" s="102">
        <v>350000</v>
      </c>
      <c r="L1068" s="99"/>
      <c r="M1068" s="103">
        <f>LS[[#This Row],[Amount]]/LS[[#This Row],[Unit]]</f>
        <v>12.561912281961094</v>
      </c>
      <c r="N1068" s="104">
        <f>LS[[#This Row],[Unit Capital]]/10</f>
        <v>27862</v>
      </c>
      <c r="O1068" s="104">
        <f>SUMIFS(LS[[#Headers],[Unit]]:LS[[#This Row],[Unit]],LS[[#Headers],[Investor ID]]:LS[[#This Row],[Investor ID]],LS[[#This Row],[Investor ID]])</f>
        <v>27862</v>
      </c>
      <c r="P1068" s="102">
        <v>278620</v>
      </c>
      <c r="Q1068" s="102">
        <f>LS[[#This Row],[Amount]]-LS[[#This Row],[Unit Capital]]</f>
        <v>71380</v>
      </c>
      <c r="R10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12.561912281961094</v>
      </c>
      <c r="S1068" s="103">
        <f t="shared" si="16"/>
        <v>14.224</v>
      </c>
      <c r="T106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68" s="102" cm="1">
        <f t="array" ref="U1068">IF(LS[[#This Row],[B/S]]="S",ABS(LS[[#This Row],[Unit]])*(INDEX(LS[NAV at Cost (Average)],MATCH(CONCATENATE((LS[[#This Row],[Frequency]]-1),LS[[#This Row],[Investor ID]]),LS[Unique Code],0),0)),0)</f>
        <v>0</v>
      </c>
      <c r="V1068" s="102">
        <f>IF(LS[[#This Row],[BO TRANSFER]]="YES",LS[[#This Row],[Unit]],)</f>
        <v>0</v>
      </c>
      <c r="W1068" s="102">
        <f>SUMIFS(LS[[#Headers],[BO UNIT TRANSFER]]:LS[[#This Row],[BO UNIT TRANSFER]],LS[[#Headers],[Investor ID]]:LS[[#This Row],[Investor ID]],LS[[#This Row],[Investor ID]])</f>
        <v>0</v>
      </c>
    </row>
    <row r="1069" spans="1:23">
      <c r="A1069" s="101">
        <v>2025</v>
      </c>
      <c r="B1069" s="101">
        <v>7</v>
      </c>
      <c r="C1069" s="101">
        <v>2</v>
      </c>
      <c r="D1069" s="98">
        <f>DATE(LS[[#This Row],[Year]],LS[[#This Row],[Month]],LS[[#This Row],[Day]])</f>
        <v>45840</v>
      </c>
      <c r="E1069" s="99" t="str" cm="1">
        <f t="array" ref="E1069">INDEX(INVESTORS_LIST[INVESTOR NAME],MATCH(LS[[#This Row],[Investor ID]],INVESTORS_LIST[INVESTOR CODE],0),)</f>
        <v>A. K. M. MAHMUDUL ALAM</v>
      </c>
      <c r="F1069" s="100" t="s">
        <v>1085</v>
      </c>
      <c r="G1069" s="101">
        <f>COUNTIF(LS[[#Headers],[Investor ID]]:LS[[#This Row],[Investor ID]],LS[[#This Row],[Investor ID]])</f>
        <v>5</v>
      </c>
      <c r="H1069" s="101" t="str">
        <f>CONCATENATE(LS[[#This Row],[Frequency]],LS[[#This Row],[Investor ID]])</f>
        <v>5SB00002</v>
      </c>
      <c r="I1069" s="75" t="str">
        <f>IF(LS[[#This Row],[B/S]]="B","BUY",(IF(LS[[#This Row],[B/S]]="S","SELL"," ")))</f>
        <v>SELL</v>
      </c>
      <c r="J1069" s="101" t="s">
        <v>1231</v>
      </c>
      <c r="K1069" s="102">
        <v>-1900000</v>
      </c>
      <c r="L1069" s="99"/>
      <c r="M1069" s="103">
        <f>LS[[#This Row],[Amount]]/LS[[#This Row],[Unit]]</f>
        <v>12.561983471074381</v>
      </c>
      <c r="N1069" s="104">
        <f>LS[[#This Row],[Unit Capital]]/10</f>
        <v>-151250</v>
      </c>
      <c r="O1069" s="104">
        <f>SUMIFS(LS[[#Headers],[Unit]]:LS[[#This Row],[Unit]],LS[[#Headers],[Investor ID]]:LS[[#This Row],[Investor ID]],LS[[#This Row],[Investor ID]])</f>
        <v>372269</v>
      </c>
      <c r="P1069" s="102">
        <v>-1512500</v>
      </c>
      <c r="Q1069" s="102">
        <f>LS[[#This Row],[Amount]]-LS[[#This Row],[Unit Capital]]</f>
        <v>-387500</v>
      </c>
      <c r="R10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11.18877989152478</v>
      </c>
      <c r="S1069" s="103">
        <f t="shared" si="16"/>
        <v>14.224</v>
      </c>
      <c r="T1069" s="102">
        <f>IF(LS[[#This Row],[B/S]]="B",0,ABS(LS[[#This Row],[Unit]])*(LS[[#This Row],[NAV (Strike Rate)]]-INDEX(LS[NAV at Cost (Average)],MATCH(CONCATENATE(LS[[#This Row],[Frequency]]-1,LS[[#This Row],[Investor ID]]),LS[Unique Code],0),)))</f>
        <v>207697.04140687719</v>
      </c>
      <c r="U1069" s="102" cm="1">
        <f t="array" ref="U1069">IF(LS[[#This Row],[B/S]]="S",ABS(LS[[#This Row],[Unit]])*(INDEX(LS[NAV at Cost (Average)],MATCH(CONCATENATE((LS[[#This Row],[Frequency]]-1),LS[[#This Row],[Investor ID]]),LS[Unique Code],0),0)),0)</f>
        <v>1692302.9585931229</v>
      </c>
      <c r="V1069" s="102">
        <f>IF(LS[[#This Row],[BO TRANSFER]]="YES",LS[[#This Row],[Unit]],)</f>
        <v>0</v>
      </c>
      <c r="W1069" s="102">
        <f>SUMIFS(LS[[#Headers],[BO UNIT TRANSFER]]:LS[[#This Row],[BO UNIT TRANSFER]],LS[[#Headers],[Investor ID]]:LS[[#This Row],[Investor ID]],LS[[#This Row],[Investor ID]])</f>
        <v>0</v>
      </c>
    </row>
    <row r="1070" spans="1:23">
      <c r="A1070" s="101">
        <v>2025</v>
      </c>
      <c r="B1070" s="101">
        <v>7</v>
      </c>
      <c r="C1070" s="101">
        <v>2</v>
      </c>
      <c r="D1070" s="98">
        <f>DATE(LS[[#This Row],[Year]],LS[[#This Row],[Month]],LS[[#This Row],[Day]])</f>
        <v>45840</v>
      </c>
      <c r="E1070" s="99" t="str" cm="1">
        <f t="array" ref="E1070">INDEX(INVESTORS_LIST[INVESTOR NAME],MATCH(LS[[#This Row],[Investor ID]],INVESTORS_LIST[INVESTOR CODE],0),)</f>
        <v>MOHSIN REZA</v>
      </c>
      <c r="F1070" s="100" t="s">
        <v>1143</v>
      </c>
      <c r="G1070" s="101">
        <f>COUNTIF(LS[[#Headers],[Investor ID]]:LS[[#This Row],[Investor ID]],LS[[#This Row],[Investor ID]])</f>
        <v>3</v>
      </c>
      <c r="H1070" s="101" t="str">
        <f>CONCATENATE(LS[[#This Row],[Frequency]],LS[[#This Row],[Investor ID]])</f>
        <v>3A00547</v>
      </c>
      <c r="I1070" s="75" t="str">
        <f>IF(LS[[#This Row],[B/S]]="B","BUY",(IF(LS[[#This Row],[B/S]]="S","SELL"," ")))</f>
        <v>SELL</v>
      </c>
      <c r="J1070" s="101" t="s">
        <v>1231</v>
      </c>
      <c r="K1070" s="102">
        <v>-2512400</v>
      </c>
      <c r="L1070" s="99"/>
      <c r="M1070" s="103">
        <f>LS[[#This Row],[Amount]]/LS[[#This Row],[Unit]]</f>
        <v>12.561999999999999</v>
      </c>
      <c r="N1070" s="104">
        <f>LS[[#This Row],[Unit Capital]]/10</f>
        <v>-200000</v>
      </c>
      <c r="O1070" s="104">
        <f>SUMIFS(LS[[#Headers],[Unit]]:LS[[#This Row],[Unit]],LS[[#Headers],[Investor ID]]:LS[[#This Row],[Investor ID]],LS[[#This Row],[Investor ID]])</f>
        <v>38361</v>
      </c>
      <c r="P1070" s="102">
        <v>-2000000</v>
      </c>
      <c r="Q1070" s="102">
        <f>LS[[#This Row],[Amount]]-LS[[#This Row],[Unit Capital]]</f>
        <v>-512400</v>
      </c>
      <c r="R10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11.327356404780984</v>
      </c>
      <c r="S1070" s="103">
        <f t="shared" si="16"/>
        <v>14.224</v>
      </c>
      <c r="T1070" s="102">
        <f>IF(LS[[#This Row],[B/S]]="B",0,ABS(LS[[#This Row],[Unit]])*(LS[[#This Row],[NAV (Strike Rate)]]-INDEX(LS[NAV at Cost (Average)],MATCH(CONCATENATE(LS[[#This Row],[Frequency]]-1,LS[[#This Row],[Investor ID]]),LS[Unique Code],0),)))</f>
        <v>246928.71904380311</v>
      </c>
      <c r="U1070" s="102" cm="1">
        <f t="array" ref="U1070">IF(LS[[#This Row],[B/S]]="S",ABS(LS[[#This Row],[Unit]])*(INDEX(LS[NAV at Cost (Average)],MATCH(CONCATENATE((LS[[#This Row],[Frequency]]-1),LS[[#This Row],[Investor ID]]),LS[Unique Code],0),0)),0)</f>
        <v>2265471.2809561966</v>
      </c>
      <c r="V1070" s="102">
        <f>IF(LS[[#This Row],[BO TRANSFER]]="YES",LS[[#This Row],[Unit]],)</f>
        <v>0</v>
      </c>
      <c r="W1070" s="102">
        <f>SUMIFS(LS[[#Headers],[BO UNIT TRANSFER]]:LS[[#This Row],[BO UNIT TRANSFER]],LS[[#Headers],[Investor ID]]:LS[[#This Row],[Investor ID]],LS[[#This Row],[Investor ID]])</f>
        <v>0</v>
      </c>
    </row>
    <row r="1071" spans="1:23">
      <c r="A1071" s="101">
        <v>2025</v>
      </c>
      <c r="B1071" s="101">
        <v>7</v>
      </c>
      <c r="C1071" s="101">
        <v>2</v>
      </c>
      <c r="D1071" s="98">
        <f>DATE(LS[[#This Row],[Year]],LS[[#This Row],[Month]],LS[[#This Row],[Day]])</f>
        <v>45840</v>
      </c>
      <c r="E1071" s="99" t="str" cm="1">
        <f t="array" ref="E1071">INDEX(INVESTORS_LIST[INVESTOR NAME],MATCH(LS[[#This Row],[Investor ID]],INVESTORS_LIST[INVESTOR CODE],0),)</f>
        <v>PUJA GHOSH</v>
      </c>
      <c r="F1071" s="100" t="s">
        <v>1397</v>
      </c>
      <c r="G1071" s="101">
        <f>COUNTIF(LS[[#Headers],[Investor ID]]:LS[[#This Row],[Investor ID]],LS[[#This Row],[Investor ID]])</f>
        <v>1</v>
      </c>
      <c r="H1071" s="101" t="str">
        <f>CONCATENATE(LS[[#This Row],[Frequency]],LS[[#This Row],[Investor ID]])</f>
        <v>1A00642</v>
      </c>
      <c r="I1071" s="75" t="str">
        <f>IF(LS[[#This Row],[B/S]]="B","BUY",(IF(LS[[#This Row],[B/S]]="S","SELL"," ")))</f>
        <v>BUY</v>
      </c>
      <c r="J1071" s="101" t="s">
        <v>1229</v>
      </c>
      <c r="K1071" s="102">
        <v>22136</v>
      </c>
      <c r="L1071" s="99"/>
      <c r="M1071" s="103">
        <f>LS[[#This Row],[Amount]]/LS[[#This Row],[Unit]]</f>
        <v>12.56299659477866</v>
      </c>
      <c r="N1071" s="104">
        <f>LS[[#This Row],[Unit Capital]]/10</f>
        <v>1762</v>
      </c>
      <c r="O1071" s="104">
        <f>SUMIFS(LS[[#Headers],[Unit]]:LS[[#This Row],[Unit]],LS[[#Headers],[Investor ID]]:LS[[#This Row],[Investor ID]],LS[[#This Row],[Investor ID]])</f>
        <v>1762</v>
      </c>
      <c r="P1071" s="102">
        <v>17620</v>
      </c>
      <c r="Q1071" s="102">
        <f>LS[[#This Row],[Amount]]-LS[[#This Row],[Unit Capital]]</f>
        <v>4516</v>
      </c>
      <c r="R10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12.56299659477866</v>
      </c>
      <c r="S1071" s="103">
        <f t="shared" si="16"/>
        <v>14.224</v>
      </c>
      <c r="T10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1" s="102" cm="1">
        <f t="array" ref="U1071">IF(LS[[#This Row],[B/S]]="S",ABS(LS[[#This Row],[Unit]])*(INDEX(LS[NAV at Cost (Average)],MATCH(CONCATENATE((LS[[#This Row],[Frequency]]-1),LS[[#This Row],[Investor ID]]),LS[Unique Code],0),0)),0)</f>
        <v>0</v>
      </c>
      <c r="V1071" s="102">
        <f>IF(LS[[#This Row],[BO TRANSFER]]="YES",LS[[#This Row],[Unit]],)</f>
        <v>0</v>
      </c>
      <c r="W1071" s="102">
        <f>SUMIFS(LS[[#Headers],[BO UNIT TRANSFER]]:LS[[#This Row],[BO UNIT TRANSFER]],LS[[#Headers],[Investor ID]]:LS[[#This Row],[Investor ID]],LS[[#This Row],[Investor ID]])</f>
        <v>0</v>
      </c>
    </row>
    <row r="1072" spans="1:23">
      <c r="A1072" s="101">
        <v>2025</v>
      </c>
      <c r="B1072" s="101">
        <v>7</v>
      </c>
      <c r="C1072" s="101">
        <v>3</v>
      </c>
      <c r="D1072" s="98">
        <f>DATE(LS[[#This Row],[Year]],LS[[#This Row],[Month]],LS[[#This Row],[Day]])</f>
        <v>45841</v>
      </c>
      <c r="E1072" s="99" t="str" cm="1">
        <f t="array" ref="E1072">INDEX(INVESTORS_LIST[INVESTOR NAME],MATCH(LS[[#This Row],[Investor ID]],INVESTORS_LIST[INVESTOR CODE],0),)</f>
        <v>AMIT KUMAR CHAKRABARTY</v>
      </c>
      <c r="F1072" s="100" t="s">
        <v>1306</v>
      </c>
      <c r="G1072" s="101">
        <f>COUNTIF(LS[[#Headers],[Investor ID]]:LS[[#This Row],[Investor ID]],LS[[#This Row],[Investor ID]])</f>
        <v>2</v>
      </c>
      <c r="H1072" s="101" t="str">
        <f>CONCATENATE(LS[[#This Row],[Frequency]],LS[[#This Row],[Investor ID]])</f>
        <v>2A00600</v>
      </c>
      <c r="I1072" s="75" t="str">
        <f>IF(LS[[#This Row],[B/S]]="B","BUY",(IF(LS[[#This Row],[B/S]]="S","SELL"," ")))</f>
        <v>BUY</v>
      </c>
      <c r="J1072" s="101" t="s">
        <v>1229</v>
      </c>
      <c r="K1072" s="102">
        <v>400000</v>
      </c>
      <c r="L1072" s="99"/>
      <c r="M1072" s="103">
        <f>LS[[#This Row],[Amount]]/LS[[#This Row],[Unit]]</f>
        <v>12.562024998429747</v>
      </c>
      <c r="N1072" s="104">
        <f>LS[[#This Row],[Unit Capital]]/10</f>
        <v>31842</v>
      </c>
      <c r="O1072" s="104">
        <f>SUMIFS(LS[[#Headers],[Unit]]:LS[[#This Row],[Unit]],LS[[#Headers],[Investor ID]]:LS[[#This Row],[Investor ID]],LS[[#This Row],[Investor ID]])</f>
        <v>48486</v>
      </c>
      <c r="P1072" s="102">
        <v>318420</v>
      </c>
      <c r="Q1072" s="102">
        <f>LS[[#This Row],[Amount]]-LS[[#This Row],[Unit Capital]]</f>
        <v>81580</v>
      </c>
      <c r="R10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12.374706100730108</v>
      </c>
      <c r="S1072" s="103">
        <f t="shared" si="16"/>
        <v>14.224</v>
      </c>
      <c r="T107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2" s="102" cm="1">
        <f t="array" ref="U1072">IF(LS[[#This Row],[B/S]]="S",ABS(LS[[#This Row],[Unit]])*(INDEX(LS[NAV at Cost (Average)],MATCH(CONCATENATE((LS[[#This Row],[Frequency]]-1),LS[[#This Row],[Investor ID]]),LS[Unique Code],0),0)),0)</f>
        <v>0</v>
      </c>
      <c r="V1072" s="102">
        <f>IF(LS[[#This Row],[BO TRANSFER]]="YES",LS[[#This Row],[Unit]],)</f>
        <v>0</v>
      </c>
      <c r="W1072" s="102">
        <f>SUMIFS(LS[[#Headers],[BO UNIT TRANSFER]]:LS[[#This Row],[BO UNIT TRANSFER]],LS[[#Headers],[Investor ID]]:LS[[#This Row],[Investor ID]],LS[[#This Row],[Investor ID]])</f>
        <v>0</v>
      </c>
    </row>
    <row r="1073" spans="1:23">
      <c r="A1073" s="101">
        <v>2025</v>
      </c>
      <c r="B1073" s="101">
        <v>7</v>
      </c>
      <c r="C1073" s="101">
        <v>3</v>
      </c>
      <c r="D1073" s="98">
        <f>DATE(LS[[#This Row],[Year]],LS[[#This Row],[Month]],LS[[#This Row],[Day]])</f>
        <v>45841</v>
      </c>
      <c r="E1073" s="99" t="str" cm="1">
        <f t="array" ref="E1073">INDEX(INVESTORS_LIST[INVESTOR NAME],MATCH(LS[[#This Row],[Investor ID]],INVESTORS_LIST[INVESTOR CODE],0),)</f>
        <v>PUJA BHATTACHARJEE</v>
      </c>
      <c r="F1073" s="100" t="s">
        <v>1286</v>
      </c>
      <c r="G1073" s="101">
        <f>COUNTIF(LS[[#Headers],[Investor ID]]:LS[[#This Row],[Investor ID]],LS[[#This Row],[Investor ID]])</f>
        <v>5</v>
      </c>
      <c r="H1073" s="101" t="str">
        <f>CONCATENATE(LS[[#This Row],[Frequency]],LS[[#This Row],[Investor ID]])</f>
        <v>5A00590</v>
      </c>
      <c r="I1073" s="75" t="str">
        <f>IF(LS[[#This Row],[B/S]]="B","BUY",(IF(LS[[#This Row],[B/S]]="S","SELL"," ")))</f>
        <v>BUY</v>
      </c>
      <c r="J1073" s="101" t="s">
        <v>1229</v>
      </c>
      <c r="K1073" s="102">
        <v>100000</v>
      </c>
      <c r="L1073" s="99"/>
      <c r="M1073" s="103">
        <f>LS[[#This Row],[Amount]]/LS[[#This Row],[Unit]]</f>
        <v>12.561236025624922</v>
      </c>
      <c r="N1073" s="104">
        <f>LS[[#This Row],[Unit Capital]]/10</f>
        <v>7961</v>
      </c>
      <c r="O1073" s="104">
        <f>SUMIFS(LS[[#Headers],[Unit]]:LS[[#This Row],[Unit]],LS[[#Headers],[Investor ID]]:LS[[#This Row],[Investor ID]],LS[[#This Row],[Investor ID]])</f>
        <v>54200</v>
      </c>
      <c r="P1073" s="102">
        <v>79610</v>
      </c>
      <c r="Q1073" s="102">
        <f>LS[[#This Row],[Amount]]-LS[[#This Row],[Unit Capital]]</f>
        <v>20390</v>
      </c>
      <c r="R10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11.916061788406811</v>
      </c>
      <c r="S1073" s="103">
        <f t="shared" si="16"/>
        <v>14.224</v>
      </c>
      <c r="T107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3" s="102" cm="1">
        <f t="array" ref="U1073">IF(LS[[#This Row],[B/S]]="S",ABS(LS[[#This Row],[Unit]])*(INDEX(LS[NAV at Cost (Average)],MATCH(CONCATENATE((LS[[#This Row],[Frequency]]-1),LS[[#This Row],[Investor ID]]),LS[Unique Code],0),0)),0)</f>
        <v>0</v>
      </c>
      <c r="V1073" s="102">
        <f>IF(LS[[#This Row],[BO TRANSFER]]="YES",LS[[#This Row],[Unit]],)</f>
        <v>0</v>
      </c>
      <c r="W1073" s="102">
        <f>SUMIFS(LS[[#Headers],[BO UNIT TRANSFER]]:LS[[#This Row],[BO UNIT TRANSFER]],LS[[#Headers],[Investor ID]]:LS[[#This Row],[Investor ID]],LS[[#This Row],[Investor ID]])</f>
        <v>0</v>
      </c>
    </row>
    <row r="1074" spans="1:23">
      <c r="A1074" s="101">
        <v>2025</v>
      </c>
      <c r="B1074" s="101">
        <v>7</v>
      </c>
      <c r="C1074" s="101">
        <v>3</v>
      </c>
      <c r="D1074" s="98">
        <f>DATE(LS[[#This Row],[Year]],LS[[#This Row],[Month]],LS[[#This Row],[Day]])</f>
        <v>45841</v>
      </c>
      <c r="E1074" s="99" t="str" cm="1">
        <f t="array" ref="E1074">INDEX(INVESTORS_LIST[INVESTOR NAME],MATCH(LS[[#This Row],[Investor ID]],INVESTORS_LIST[INVESTOR CODE],0),)</f>
        <v>ROKSABA KASEM</v>
      </c>
      <c r="F1074" s="100" t="s">
        <v>900</v>
      </c>
      <c r="G1074" s="101">
        <f>COUNTIF(LS[[#Headers],[Investor ID]]:LS[[#This Row],[Investor ID]],LS[[#This Row],[Investor ID]])</f>
        <v>1</v>
      </c>
      <c r="H1074" s="101" t="str">
        <f>CONCATENATE(LS[[#This Row],[Frequency]],LS[[#This Row],[Investor ID]])</f>
        <v>1A00427</v>
      </c>
      <c r="I1074" s="75" t="str">
        <f>IF(LS[[#This Row],[B/S]]="B","BUY",(IF(LS[[#This Row],[B/S]]="S","SELL"," ")))</f>
        <v>BUY</v>
      </c>
      <c r="J1074" s="101" t="s">
        <v>1229</v>
      </c>
      <c r="K1074" s="102">
        <v>500000</v>
      </c>
      <c r="L1074" s="99" t="s">
        <v>1230</v>
      </c>
      <c r="M1074" s="103">
        <f>LS[[#This Row],[Amount]]/LS[[#This Row],[Unit]]</f>
        <v>12.561867195940005</v>
      </c>
      <c r="N1074" s="104">
        <f>LS[[#This Row],[Unit Capital]]/10</f>
        <v>39803</v>
      </c>
      <c r="O1074" s="104">
        <f>SUMIFS(LS[[#Headers],[Unit]]:LS[[#This Row],[Unit]],LS[[#Headers],[Investor ID]]:LS[[#This Row],[Investor ID]],LS[[#This Row],[Investor ID]])</f>
        <v>39803</v>
      </c>
      <c r="P1074" s="102">
        <v>398030</v>
      </c>
      <c r="Q1074" s="102">
        <f>LS[[#This Row],[Amount]]-LS[[#This Row],[Unit Capital]]</f>
        <v>101970</v>
      </c>
      <c r="R10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12.561867195940005</v>
      </c>
      <c r="S1074" s="103">
        <f t="shared" si="16"/>
        <v>14.224</v>
      </c>
      <c r="T10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4" s="102" cm="1">
        <f t="array" ref="U1074">IF(LS[[#This Row],[B/S]]="S",ABS(LS[[#This Row],[Unit]])*(INDEX(LS[NAV at Cost (Average)],MATCH(CONCATENATE((LS[[#This Row],[Frequency]]-1),LS[[#This Row],[Investor ID]]),LS[Unique Code],0),0)),0)</f>
        <v>0</v>
      </c>
      <c r="V1074" s="102">
        <f>IF(LS[[#This Row],[BO TRANSFER]]="YES",LS[[#This Row],[Unit]],)</f>
        <v>39803</v>
      </c>
      <c r="W1074" s="102">
        <f>SUMIFS(LS[[#Headers],[BO UNIT TRANSFER]]:LS[[#This Row],[BO UNIT TRANSFER]],LS[[#Headers],[Investor ID]]:LS[[#This Row],[Investor ID]],LS[[#This Row],[Investor ID]])</f>
        <v>39803</v>
      </c>
    </row>
    <row r="1075" spans="1:23">
      <c r="A1075" s="101">
        <v>2025</v>
      </c>
      <c r="B1075" s="101">
        <v>7</v>
      </c>
      <c r="C1075" s="101">
        <v>7</v>
      </c>
      <c r="D1075" s="98">
        <f>DATE(LS[[#This Row],[Year]],LS[[#This Row],[Month]],LS[[#This Row],[Day]])</f>
        <v>45845</v>
      </c>
      <c r="E1075" s="99" t="str" cm="1">
        <f t="array" ref="E1075">INDEX(INVESTORS_LIST[INVESTOR NAME],MATCH(LS[[#This Row],[Investor ID]],INVESTORS_LIST[INVESTOR CODE],0),)</f>
        <v>MD MIZANUR RAHMAN</v>
      </c>
      <c r="F1075" s="100" t="s">
        <v>1304</v>
      </c>
      <c r="G1075" s="101">
        <f>COUNTIF(LS[[#Headers],[Investor ID]]:LS[[#This Row],[Investor ID]],LS[[#This Row],[Investor ID]])</f>
        <v>2</v>
      </c>
      <c r="H1075" s="101" t="str">
        <f>CONCATENATE(LS[[#This Row],[Frequency]],LS[[#This Row],[Investor ID]])</f>
        <v>2A00599</v>
      </c>
      <c r="I1075" s="75" t="str">
        <f>IF(LS[[#This Row],[B/S]]="B","BUY",(IF(LS[[#This Row],[B/S]]="S","SELL"," ")))</f>
        <v>SELL</v>
      </c>
      <c r="J1075" s="101" t="s">
        <v>1231</v>
      </c>
      <c r="K1075" s="102">
        <v>-4050</v>
      </c>
      <c r="L1075" s="99"/>
      <c r="M1075" s="103">
        <f>LS[[#This Row],[Amount]]/LS[[#This Row],[Unit]]</f>
        <v>12.577639751552795</v>
      </c>
      <c r="N1075" s="104">
        <f>LS[[#This Row],[Unit Capital]]/10</f>
        <v>-322</v>
      </c>
      <c r="O1075" s="104">
        <f>SUMIFS(LS[[#Headers],[Unit]]:LS[[#This Row],[Unit]],LS[[#Headers],[Investor ID]]:LS[[#This Row],[Investor ID]],LS[[#This Row],[Investor ID]])</f>
        <v>510</v>
      </c>
      <c r="P1075" s="102">
        <v>-3220</v>
      </c>
      <c r="Q1075" s="102">
        <f>LS[[#This Row],[Amount]]-LS[[#This Row],[Unit Capital]]</f>
        <v>-830</v>
      </c>
      <c r="R10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12.01923076923077</v>
      </c>
      <c r="S1075" s="103">
        <f t="shared" si="16"/>
        <v>14.224</v>
      </c>
      <c r="T1075" s="102">
        <f>IF(LS[[#This Row],[B/S]]="B",0,ABS(LS[[#This Row],[Unit]])*(LS[[#This Row],[NAV (Strike Rate)]]-INDEX(LS[NAV at Cost (Average)],MATCH(CONCATENATE(LS[[#This Row],[Frequency]]-1,LS[[#This Row],[Investor ID]]),LS[Unique Code],0),)))</f>
        <v>179.80769230769192</v>
      </c>
      <c r="U1075" s="102" cm="1">
        <f t="array" ref="U1075">IF(LS[[#This Row],[B/S]]="S",ABS(LS[[#This Row],[Unit]])*(INDEX(LS[NAV at Cost (Average)],MATCH(CONCATENATE((LS[[#This Row],[Frequency]]-1),LS[[#This Row],[Investor ID]]),LS[Unique Code],0),0)),0)</f>
        <v>3870.1923076923081</v>
      </c>
      <c r="V1075" s="102">
        <f>IF(LS[[#This Row],[BO TRANSFER]]="YES",LS[[#This Row],[Unit]],)</f>
        <v>0</v>
      </c>
      <c r="W1075" s="102">
        <f>SUMIFS(LS[[#Headers],[BO UNIT TRANSFER]]:LS[[#This Row],[BO UNIT TRANSFER]],LS[[#Headers],[Investor ID]]:LS[[#This Row],[Investor ID]],LS[[#This Row],[Investor ID]])</f>
        <v>0</v>
      </c>
    </row>
    <row r="1076" spans="1:23">
      <c r="A1076" s="101">
        <v>2025</v>
      </c>
      <c r="B1076" s="101">
        <v>7</v>
      </c>
      <c r="C1076" s="101">
        <v>7</v>
      </c>
      <c r="D1076" s="98">
        <f>DATE(LS[[#This Row],[Year]],LS[[#This Row],[Month]],LS[[#This Row],[Day]])</f>
        <v>45845</v>
      </c>
      <c r="E1076" s="99" t="str" cm="1">
        <f t="array" ref="E1076">INDEX(INVESTORS_LIST[INVESTOR NAME],MATCH(LS[[#This Row],[Investor ID]],INVESTORS_LIST[INVESTOR CODE],0),)</f>
        <v>MOHAMMED NURUNNABI BHUIYAN</v>
      </c>
      <c r="F1076" s="100" t="s">
        <v>1400</v>
      </c>
      <c r="G1076" s="101">
        <f>COUNTIF(LS[[#Headers],[Investor ID]]:LS[[#This Row],[Investor ID]],LS[[#This Row],[Investor ID]])</f>
        <v>1</v>
      </c>
      <c r="H1076" s="101" t="str">
        <f>CONCATENATE(LS[[#This Row],[Frequency]],LS[[#This Row],[Investor ID]])</f>
        <v>1A00643</v>
      </c>
      <c r="I1076" s="75" t="str">
        <f>IF(LS[[#This Row],[B/S]]="B","BUY",(IF(LS[[#This Row],[B/S]]="S","SELL"," ")))</f>
        <v>BUY</v>
      </c>
      <c r="J1076" s="101" t="s">
        <v>1229</v>
      </c>
      <c r="K1076" s="102">
        <v>2500000</v>
      </c>
      <c r="L1076" s="99"/>
      <c r="M1076" s="103">
        <f>LS[[#This Row],[Amount]]/LS[[#This Row],[Unit]]</f>
        <v>12.58399818790426</v>
      </c>
      <c r="N1076" s="104">
        <f>LS[[#This Row],[Unit Capital]]/10</f>
        <v>198665</v>
      </c>
      <c r="O1076" s="104">
        <f>SUMIFS(LS[[#Headers],[Unit]]:LS[[#This Row],[Unit]],LS[[#Headers],[Investor ID]]:LS[[#This Row],[Investor ID]],LS[[#This Row],[Investor ID]])</f>
        <v>198665</v>
      </c>
      <c r="P1076" s="102">
        <v>1986650</v>
      </c>
      <c r="Q1076" s="102">
        <f>LS[[#This Row],[Amount]]-LS[[#This Row],[Unit Capital]]</f>
        <v>513350</v>
      </c>
      <c r="R10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12.58399818790426</v>
      </c>
      <c r="S1076" s="103">
        <f t="shared" si="16"/>
        <v>14.224</v>
      </c>
      <c r="T107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6" s="102" cm="1">
        <f t="array" ref="U1076">IF(LS[[#This Row],[B/S]]="S",ABS(LS[[#This Row],[Unit]])*(INDEX(LS[NAV at Cost (Average)],MATCH(CONCATENATE((LS[[#This Row],[Frequency]]-1),LS[[#This Row],[Investor ID]]),LS[Unique Code],0),0)),0)</f>
        <v>0</v>
      </c>
      <c r="V1076" s="102">
        <f>IF(LS[[#This Row],[BO TRANSFER]]="YES",LS[[#This Row],[Unit]],)</f>
        <v>0</v>
      </c>
      <c r="W1076" s="102">
        <f>SUMIFS(LS[[#Headers],[BO UNIT TRANSFER]]:LS[[#This Row],[BO UNIT TRANSFER]],LS[[#Headers],[Investor ID]]:LS[[#This Row],[Investor ID]],LS[[#This Row],[Investor ID]])</f>
        <v>0</v>
      </c>
    </row>
    <row r="1077" spans="1:23">
      <c r="A1077" s="101">
        <v>2025</v>
      </c>
      <c r="B1077" s="101">
        <v>7</v>
      </c>
      <c r="C1077" s="101">
        <v>7</v>
      </c>
      <c r="D1077" s="98">
        <f>DATE(LS[[#This Row],[Year]],LS[[#This Row],[Month]],LS[[#This Row],[Day]])</f>
        <v>45845</v>
      </c>
      <c r="E1077" s="99" t="str" cm="1">
        <f t="array" ref="E1077">INDEX(INVESTORS_LIST[INVESTOR NAME],MATCH(LS[[#This Row],[Investor ID]],INVESTORS_LIST[INVESTOR CODE],0),)</f>
        <v>SYED FAZLE RABBY</v>
      </c>
      <c r="F1077" s="100" t="s">
        <v>166</v>
      </c>
      <c r="G1077" s="101">
        <f>COUNTIF(LS[[#Headers],[Investor ID]]:LS[[#This Row],[Investor ID]],LS[[#This Row],[Investor ID]])</f>
        <v>43</v>
      </c>
      <c r="H1077" s="101" t="str">
        <f>CONCATENATE(LS[[#This Row],[Frequency]],LS[[#This Row],[Investor ID]])</f>
        <v>43A00059</v>
      </c>
      <c r="I1077" s="75" t="str">
        <f>IF(LS[[#This Row],[B/S]]="B","BUY",(IF(LS[[#This Row],[B/S]]="S","SELL"," ")))</f>
        <v>BUY</v>
      </c>
      <c r="J1077" s="101" t="s">
        <v>1229</v>
      </c>
      <c r="K1077" s="102">
        <v>500000</v>
      </c>
      <c r="L1077" s="99"/>
      <c r="M1077" s="103">
        <f>LS[[#This Row],[Amount]]/LS[[#This Row],[Unit]]</f>
        <v>12.58399818790426</v>
      </c>
      <c r="N1077" s="104">
        <f>LS[[#This Row],[Unit Capital]]/10</f>
        <v>39733</v>
      </c>
      <c r="O1077" s="104">
        <f>SUMIFS(LS[[#Headers],[Unit]]:LS[[#This Row],[Unit]],LS[[#Headers],[Investor ID]]:LS[[#This Row],[Investor ID]],LS[[#This Row],[Investor ID]])</f>
        <v>568194</v>
      </c>
      <c r="P1077" s="102">
        <v>397330</v>
      </c>
      <c r="Q1077" s="102">
        <f>LS[[#This Row],[Amount]]-LS[[#This Row],[Unit Capital]]</f>
        <v>102670</v>
      </c>
      <c r="R10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12.392608862465989</v>
      </c>
      <c r="S1077" s="103">
        <f t="shared" si="16"/>
        <v>14.224</v>
      </c>
      <c r="T10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7" s="102" cm="1">
        <f t="array" ref="U1077">IF(LS[[#This Row],[B/S]]="S",ABS(LS[[#This Row],[Unit]])*(INDEX(LS[NAV at Cost (Average)],MATCH(CONCATENATE((LS[[#This Row],[Frequency]]-1),LS[[#This Row],[Investor ID]]),LS[Unique Code],0),0)),0)</f>
        <v>0</v>
      </c>
      <c r="V1077" s="102">
        <f>IF(LS[[#This Row],[BO TRANSFER]]="YES",LS[[#This Row],[Unit]],)</f>
        <v>0</v>
      </c>
      <c r="W1077" s="102">
        <f>SUMIFS(LS[[#Headers],[BO UNIT TRANSFER]]:LS[[#This Row],[BO UNIT TRANSFER]],LS[[#Headers],[Investor ID]]:LS[[#This Row],[Investor ID]],LS[[#This Row],[Investor ID]])</f>
        <v>0</v>
      </c>
    </row>
    <row r="1078" spans="1:23">
      <c r="A1078" s="101">
        <v>2025</v>
      </c>
      <c r="B1078" s="101">
        <v>7</v>
      </c>
      <c r="C1078" s="101">
        <v>9</v>
      </c>
      <c r="D1078" s="98">
        <f>DATE(LS[[#This Row],[Year]],LS[[#This Row],[Month]],LS[[#This Row],[Day]])</f>
        <v>45847</v>
      </c>
      <c r="E1078" s="99" t="str" cm="1">
        <f t="array" ref="E1078">INDEX(INVESTORS_LIST[INVESTOR NAME],MATCH(LS[[#This Row],[Investor ID]],INVESTORS_LIST[INVESTOR CODE],0),)</f>
        <v>MIR ARIFUL ISLAM</v>
      </c>
      <c r="F1078" s="100" t="s">
        <v>853</v>
      </c>
      <c r="G1078" s="101">
        <f>COUNTIF(LS[[#Headers],[Investor ID]]:LS[[#This Row],[Investor ID]],LS[[#This Row],[Investor ID]])</f>
        <v>2</v>
      </c>
      <c r="H1078" s="101" t="str">
        <f>CONCATENATE(LS[[#This Row],[Frequency]],LS[[#This Row],[Investor ID]])</f>
        <v>2A00403</v>
      </c>
      <c r="I1078" s="75" t="str">
        <f>IF(LS[[#This Row],[B/S]]="B","BUY",(IF(LS[[#This Row],[B/S]]="S","SELL"," ")))</f>
        <v>BUY</v>
      </c>
      <c r="J1078" s="101" t="s">
        <v>1229</v>
      </c>
      <c r="K1078" s="102">
        <v>943800</v>
      </c>
      <c r="L1078" s="99"/>
      <c r="M1078" s="103">
        <f>LS[[#This Row],[Amount]]/LS[[#This Row],[Unit]]</f>
        <v>12.584</v>
      </c>
      <c r="N1078" s="104">
        <f>LS[[#This Row],[Unit Capital]]/10</f>
        <v>75000</v>
      </c>
      <c r="O1078" s="104">
        <f>SUMIFS(LS[[#Headers],[Unit]]:LS[[#This Row],[Unit]],LS[[#Headers],[Investor ID]]:LS[[#This Row],[Investor ID]],LS[[#This Row],[Investor ID]])</f>
        <v>125000</v>
      </c>
      <c r="P1078" s="102">
        <v>750000</v>
      </c>
      <c r="Q1078" s="102">
        <f>LS[[#This Row],[Amount]]-LS[[#This Row],[Unit Capital]]</f>
        <v>193800</v>
      </c>
      <c r="R10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12.321999999999999</v>
      </c>
      <c r="S1078" s="103">
        <f t="shared" si="16"/>
        <v>14.224</v>
      </c>
      <c r="T10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8" s="102" cm="1">
        <f t="array" ref="U1078">IF(LS[[#This Row],[B/S]]="S",ABS(LS[[#This Row],[Unit]])*(INDEX(LS[NAV at Cost (Average)],MATCH(CONCATENATE((LS[[#This Row],[Frequency]]-1),LS[[#This Row],[Investor ID]]),LS[Unique Code],0),0)),0)</f>
        <v>0</v>
      </c>
      <c r="V1078" s="102">
        <f>IF(LS[[#This Row],[BO TRANSFER]]="YES",LS[[#This Row],[Unit]],)</f>
        <v>0</v>
      </c>
      <c r="W1078" s="102">
        <f>SUMIFS(LS[[#Headers],[BO UNIT TRANSFER]]:LS[[#This Row],[BO UNIT TRANSFER]],LS[[#Headers],[Investor ID]]:LS[[#This Row],[Investor ID]],LS[[#This Row],[Investor ID]])</f>
        <v>0</v>
      </c>
    </row>
    <row r="1079" spans="1:23">
      <c r="A1079" s="101">
        <v>2025</v>
      </c>
      <c r="B1079" s="101">
        <v>7</v>
      </c>
      <c r="C1079" s="101">
        <v>9</v>
      </c>
      <c r="D1079" s="98">
        <f>DATE(LS[[#This Row],[Year]],LS[[#This Row],[Month]],LS[[#This Row],[Day]])</f>
        <v>45847</v>
      </c>
      <c r="E1079" s="99" t="str" cm="1">
        <f t="array" ref="E1079">INDEX(INVESTORS_LIST[INVESTOR NAME],MATCH(LS[[#This Row],[Investor ID]],INVESTORS_LIST[INVESTOR CODE],0),)</f>
        <v>PUJA BHATTACHARJEE</v>
      </c>
      <c r="F1079" s="100" t="s">
        <v>1286</v>
      </c>
      <c r="G1079" s="101">
        <f>COUNTIF(LS[[#Headers],[Investor ID]]:LS[[#This Row],[Investor ID]],LS[[#This Row],[Investor ID]])</f>
        <v>6</v>
      </c>
      <c r="H1079" s="101" t="str">
        <f>CONCATENATE(LS[[#This Row],[Frequency]],LS[[#This Row],[Investor ID]])</f>
        <v>6A00590</v>
      </c>
      <c r="I1079" s="75" t="str">
        <f>IF(LS[[#This Row],[B/S]]="B","BUY",(IF(LS[[#This Row],[B/S]]="S","SELL"," ")))</f>
        <v>BUY</v>
      </c>
      <c r="J1079" s="101" t="s">
        <v>1229</v>
      </c>
      <c r="K1079" s="102">
        <v>450000</v>
      </c>
      <c r="L1079" s="99"/>
      <c r="M1079" s="103">
        <f>LS[[#This Row],[Amount]]/LS[[#This Row],[Unit]]</f>
        <v>12.583892617449665</v>
      </c>
      <c r="N1079" s="104">
        <f>LS[[#This Row],[Unit Capital]]/10</f>
        <v>35760</v>
      </c>
      <c r="O1079" s="104">
        <f>SUMIFS(LS[[#Headers],[Unit]]:LS[[#This Row],[Unit]],LS[[#Headers],[Investor ID]]:LS[[#This Row],[Investor ID]],LS[[#This Row],[Investor ID]])</f>
        <v>89960</v>
      </c>
      <c r="P1079" s="102">
        <v>357600</v>
      </c>
      <c r="Q1079" s="102">
        <f>LS[[#This Row],[Amount]]-LS[[#This Row],[Unit Capital]]</f>
        <v>92400</v>
      </c>
      <c r="R10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12.181531224229094</v>
      </c>
      <c r="S1079" s="103">
        <f t="shared" si="16"/>
        <v>14.224</v>
      </c>
      <c r="T10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79" s="102" cm="1">
        <f t="array" ref="U1079">IF(LS[[#This Row],[B/S]]="S",ABS(LS[[#This Row],[Unit]])*(INDEX(LS[NAV at Cost (Average)],MATCH(CONCATENATE((LS[[#This Row],[Frequency]]-1),LS[[#This Row],[Investor ID]]),LS[Unique Code],0),0)),0)</f>
        <v>0</v>
      </c>
      <c r="V1079" s="102">
        <f>IF(LS[[#This Row],[BO TRANSFER]]="YES",LS[[#This Row],[Unit]],)</f>
        <v>0</v>
      </c>
      <c r="W1079" s="102">
        <f>SUMIFS(LS[[#Headers],[BO UNIT TRANSFER]]:LS[[#This Row],[BO UNIT TRANSFER]],LS[[#Headers],[Investor ID]]:LS[[#This Row],[Investor ID]],LS[[#This Row],[Investor ID]])</f>
        <v>0</v>
      </c>
    </row>
    <row r="1080" spans="1:23">
      <c r="A1080" s="101">
        <v>2025</v>
      </c>
      <c r="B1080" s="101">
        <v>7</v>
      </c>
      <c r="C1080" s="101">
        <v>9</v>
      </c>
      <c r="D1080" s="98">
        <f>DATE(LS[[#This Row],[Year]],LS[[#This Row],[Month]],LS[[#This Row],[Day]])</f>
        <v>45847</v>
      </c>
      <c r="E1080" s="99" t="str" cm="1">
        <f t="array" ref="E1080">INDEX(INVESTORS_LIST[INVESTOR NAME],MATCH(LS[[#This Row],[Investor ID]],INVESTORS_LIST[INVESTOR CODE],0),)</f>
        <v>ANONYA CHOWDHURY HIYA</v>
      </c>
      <c r="F1080" s="100" t="s">
        <v>1402</v>
      </c>
      <c r="G1080" s="101">
        <f>COUNTIF(LS[[#Headers],[Investor ID]]:LS[[#This Row],[Investor ID]],LS[[#This Row],[Investor ID]])</f>
        <v>1</v>
      </c>
      <c r="H1080" s="101" t="str">
        <f>CONCATENATE(LS[[#This Row],[Frequency]],LS[[#This Row],[Investor ID]])</f>
        <v>1A00644</v>
      </c>
      <c r="I1080" s="75" t="str">
        <f>IF(LS[[#This Row],[B/S]]="B","BUY",(IF(LS[[#This Row],[B/S]]="S","SELL"," ")))</f>
        <v>BUY</v>
      </c>
      <c r="J1080" s="101" t="s">
        <v>1229</v>
      </c>
      <c r="K1080" s="102">
        <v>1000000</v>
      </c>
      <c r="L1080" s="99"/>
      <c r="M1080" s="103">
        <f>LS[[#This Row],[Amount]]/LS[[#This Row],[Unit]]</f>
        <v>12.58399818790426</v>
      </c>
      <c r="N1080" s="104">
        <f>LS[[#This Row],[Unit Capital]]/10</f>
        <v>79466</v>
      </c>
      <c r="O1080" s="104">
        <f>SUMIFS(LS[[#Headers],[Unit]]:LS[[#This Row],[Unit]],LS[[#Headers],[Investor ID]]:LS[[#This Row],[Investor ID]],LS[[#This Row],[Investor ID]])</f>
        <v>79466</v>
      </c>
      <c r="P1080" s="102">
        <v>794660</v>
      </c>
      <c r="Q1080" s="102">
        <f>LS[[#This Row],[Amount]]-LS[[#This Row],[Unit Capital]]</f>
        <v>205340</v>
      </c>
      <c r="R10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12.58399818790426</v>
      </c>
      <c r="S1080" s="103">
        <f t="shared" si="16"/>
        <v>14.224</v>
      </c>
      <c r="T10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80" s="102" cm="1">
        <f t="array" ref="U1080">IF(LS[[#This Row],[B/S]]="S",ABS(LS[[#This Row],[Unit]])*(INDEX(LS[NAV at Cost (Average)],MATCH(CONCATENATE((LS[[#This Row],[Frequency]]-1),LS[[#This Row],[Investor ID]]),LS[Unique Code],0),0)),0)</f>
        <v>0</v>
      </c>
      <c r="V1080" s="102">
        <f>IF(LS[[#This Row],[BO TRANSFER]]="YES",LS[[#This Row],[Unit]],)</f>
        <v>0</v>
      </c>
      <c r="W1080" s="102">
        <f>SUMIFS(LS[[#Headers],[BO UNIT TRANSFER]]:LS[[#This Row],[BO UNIT TRANSFER]],LS[[#Headers],[Investor ID]]:LS[[#This Row],[Investor ID]],LS[[#This Row],[Investor ID]])</f>
        <v>0</v>
      </c>
    </row>
    <row r="1081" spans="1:23">
      <c r="A1081" s="101">
        <v>2025</v>
      </c>
      <c r="B1081" s="101">
        <v>7</v>
      </c>
      <c r="C1081" s="101">
        <v>10</v>
      </c>
      <c r="D1081" s="98">
        <f>DATE(LS[[#This Row],[Year]],LS[[#This Row],[Month]],LS[[#This Row],[Day]])</f>
        <v>45848</v>
      </c>
      <c r="E1081" s="99" t="str" cm="1">
        <f t="array" ref="E1081">INDEX(INVESTORS_LIST[INVESTOR NAME],MATCH(LS[[#This Row],[Investor ID]],INVESTORS_LIST[INVESTOR CODE],0),)</f>
        <v>RAHNUMA SANJANA &amp; AROOBA SAMEERA</v>
      </c>
      <c r="F1081" s="100" t="s">
        <v>1406</v>
      </c>
      <c r="G1081" s="101">
        <f>COUNTIF(LS[[#Headers],[Investor ID]]:LS[[#This Row],[Investor ID]],LS[[#This Row],[Investor ID]])</f>
        <v>1</v>
      </c>
      <c r="H1081" s="101" t="str">
        <f>CONCATENATE(LS[[#This Row],[Frequency]],LS[[#This Row],[Investor ID]])</f>
        <v>1A00646</v>
      </c>
      <c r="I1081" s="75" t="str">
        <f>IF(LS[[#This Row],[B/S]]="B","BUY",(IF(LS[[#This Row],[B/S]]="S","SELL"," ")))</f>
        <v>BUY</v>
      </c>
      <c r="J1081" s="101" t="s">
        <v>1229</v>
      </c>
      <c r="K1081" s="102">
        <v>7500000</v>
      </c>
      <c r="L1081" s="99"/>
      <c r="M1081" s="103">
        <f>LS[[#This Row],[Amount]]/LS[[#This Row],[Unit]]</f>
        <v>12.596996875944775</v>
      </c>
      <c r="N1081" s="104">
        <f>LS[[#This Row],[Unit Capital]]/10</f>
        <v>595380</v>
      </c>
      <c r="O1081" s="104">
        <f>SUMIFS(LS[[#Headers],[Unit]]:LS[[#This Row],[Unit]],LS[[#Headers],[Investor ID]]:LS[[#This Row],[Investor ID]],LS[[#This Row],[Investor ID]])</f>
        <v>595380</v>
      </c>
      <c r="P1081" s="102">
        <v>5953800</v>
      </c>
      <c r="Q1081" s="102">
        <f>LS[[#This Row],[Amount]]-LS[[#This Row],[Unit Capital]]</f>
        <v>1546200</v>
      </c>
      <c r="R10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12.596996875944775</v>
      </c>
      <c r="S1081" s="103">
        <f t="shared" si="16"/>
        <v>14.224</v>
      </c>
      <c r="T10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81" s="102" cm="1">
        <f t="array" ref="U1081">IF(LS[[#This Row],[B/S]]="S",ABS(LS[[#This Row],[Unit]])*(INDEX(LS[NAV at Cost (Average)],MATCH(CONCATENATE((LS[[#This Row],[Frequency]]-1),LS[[#This Row],[Investor ID]]),LS[Unique Code],0),0)),0)</f>
        <v>0</v>
      </c>
      <c r="V1081" s="102">
        <f>IF(LS[[#This Row],[BO TRANSFER]]="YES",LS[[#This Row],[Unit]],)</f>
        <v>0</v>
      </c>
      <c r="W1081" s="102">
        <f>SUMIFS(LS[[#Headers],[BO UNIT TRANSFER]]:LS[[#This Row],[BO UNIT TRANSFER]],LS[[#Headers],[Investor ID]]:LS[[#This Row],[Investor ID]],LS[[#This Row],[Investor ID]])</f>
        <v>0</v>
      </c>
    </row>
    <row r="1082" spans="1:23">
      <c r="A1082" s="101">
        <v>2025</v>
      </c>
      <c r="B1082" s="101">
        <v>7</v>
      </c>
      <c r="C1082" s="101">
        <v>10</v>
      </c>
      <c r="D1082" s="98">
        <f>DATE(LS[[#This Row],[Year]],LS[[#This Row],[Month]],LS[[#This Row],[Day]])</f>
        <v>45848</v>
      </c>
      <c r="E1082" s="99" t="str" cm="1">
        <f t="array" ref="E1082">INDEX(INVESTORS_LIST[INVESTOR NAME],MATCH(LS[[#This Row],[Investor ID]],INVESTORS_LIST[INVESTOR CODE],0),)</f>
        <v>MD MIZANUR RAHMAN</v>
      </c>
      <c r="F1082" s="100" t="s">
        <v>1304</v>
      </c>
      <c r="G1082" s="101">
        <f>COUNTIF(LS[[#Headers],[Investor ID]]:LS[[#This Row],[Investor ID]],LS[[#This Row],[Investor ID]])</f>
        <v>3</v>
      </c>
      <c r="H1082" s="101" t="str">
        <f>CONCATENATE(LS[[#This Row],[Frequency]],LS[[#This Row],[Investor ID]])</f>
        <v>3A00599</v>
      </c>
      <c r="I1082" s="75" t="str">
        <f>IF(LS[[#This Row],[B/S]]="B","BUY",(IF(LS[[#This Row],[B/S]]="S","SELL"," ")))</f>
        <v>SELL</v>
      </c>
      <c r="J1082" s="101" t="s">
        <v>1231</v>
      </c>
      <c r="K1082" s="102">
        <v>-6417.84</v>
      </c>
      <c r="L1082" s="99"/>
      <c r="M1082" s="103">
        <f>LS[[#This Row],[Amount]]/LS[[#This Row],[Unit]]</f>
        <v>12.584</v>
      </c>
      <c r="N1082" s="104">
        <f>LS[[#This Row],[Unit Capital]]/10</f>
        <v>-510</v>
      </c>
      <c r="O1082" s="104">
        <f>SUMIFS(LS[[#Headers],[Unit]]:LS[[#This Row],[Unit]],LS[[#Headers],[Investor ID]]:LS[[#This Row],[Investor ID]],LS[[#This Row],[Investor ID]])</f>
        <v>0</v>
      </c>
      <c r="P1082" s="102">
        <v>-5100</v>
      </c>
      <c r="Q1082" s="102">
        <f>LS[[#This Row],[Amount]]-LS[[#This Row],[Unit Capital]]</f>
        <v>-1317.8400000000001</v>
      </c>
      <c r="R10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82" s="103">
        <f t="shared" si="16"/>
        <v>14.224</v>
      </c>
      <c r="T1082" s="102">
        <f>IF(LS[[#This Row],[B/S]]="B",0,ABS(LS[[#This Row],[Unit]])*(LS[[#This Row],[NAV (Strike Rate)]]-INDEX(LS[NAV at Cost (Average)],MATCH(CONCATENATE(LS[[#This Row],[Frequency]]-1,LS[[#This Row],[Investor ID]]),LS[Unique Code],0),)))</f>
        <v>288.03230769230709</v>
      </c>
      <c r="U1082" s="102" cm="1">
        <f t="array" ref="U1082">IF(LS[[#This Row],[B/S]]="S",ABS(LS[[#This Row],[Unit]])*(INDEX(LS[NAV at Cost (Average)],MATCH(CONCATENATE((LS[[#This Row],[Frequency]]-1),LS[[#This Row],[Investor ID]]),LS[Unique Code],0),0)),0)</f>
        <v>6129.8076923076924</v>
      </c>
      <c r="V1082" s="102">
        <f>IF(LS[[#This Row],[BO TRANSFER]]="YES",LS[[#This Row],[Unit]],)</f>
        <v>0</v>
      </c>
      <c r="W1082" s="102">
        <f>SUMIFS(LS[[#Headers],[BO UNIT TRANSFER]]:LS[[#This Row],[BO UNIT TRANSFER]],LS[[#Headers],[Investor ID]]:LS[[#This Row],[Investor ID]],LS[[#This Row],[Investor ID]])</f>
        <v>0</v>
      </c>
    </row>
    <row r="1083" spans="1:23">
      <c r="A1083" s="101">
        <v>2025</v>
      </c>
      <c r="B1083" s="101">
        <v>7</v>
      </c>
      <c r="C1083" s="101">
        <v>10</v>
      </c>
      <c r="D1083" s="98">
        <f>DATE(LS[[#This Row],[Year]],LS[[#This Row],[Month]],LS[[#This Row],[Day]])</f>
        <v>45848</v>
      </c>
      <c r="E1083" s="99" t="str" cm="1">
        <f t="array" ref="E1083">INDEX(INVESTORS_LIST[INVESTOR NAME],MATCH(LS[[#This Row],[Investor ID]],INVESTORS_LIST[INVESTOR CODE],0),)</f>
        <v>S.M. AFZAL REZA</v>
      </c>
      <c r="F1083" s="100" t="s">
        <v>1404</v>
      </c>
      <c r="G1083" s="101">
        <f>COUNTIF(LS[[#Headers],[Investor ID]]:LS[[#This Row],[Investor ID]],LS[[#This Row],[Investor ID]])</f>
        <v>1</v>
      </c>
      <c r="H1083" s="101" t="str">
        <f>CONCATENATE(LS[[#This Row],[Frequency]],LS[[#This Row],[Investor ID]])</f>
        <v>1A00645</v>
      </c>
      <c r="I1083" s="75" t="str">
        <f>IF(LS[[#This Row],[B/S]]="B","BUY",(IF(LS[[#This Row],[B/S]]="S","SELL"," ")))</f>
        <v>BUY</v>
      </c>
      <c r="J1083" s="101" t="s">
        <v>1229</v>
      </c>
      <c r="K1083" s="102">
        <v>1000000</v>
      </c>
      <c r="L1083" s="99"/>
      <c r="M1083" s="103">
        <f>LS[[#This Row],[Amount]]/LS[[#This Row],[Unit]]</f>
        <v>12.58399818790426</v>
      </c>
      <c r="N1083" s="104">
        <f>LS[[#This Row],[Unit Capital]]/10</f>
        <v>79466</v>
      </c>
      <c r="O1083" s="104">
        <f>SUMIFS(LS[[#Headers],[Unit]]:LS[[#This Row],[Unit]],LS[[#Headers],[Investor ID]]:LS[[#This Row],[Investor ID]],LS[[#This Row],[Investor ID]])</f>
        <v>79466</v>
      </c>
      <c r="P1083" s="102">
        <v>794660</v>
      </c>
      <c r="Q1083" s="102">
        <f>LS[[#This Row],[Amount]]-LS[[#This Row],[Unit Capital]]</f>
        <v>205340</v>
      </c>
      <c r="R10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12.58399818790426</v>
      </c>
      <c r="S1083" s="103">
        <f t="shared" si="16"/>
        <v>14.224</v>
      </c>
      <c r="T108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83" s="102" cm="1">
        <f t="array" ref="U1083">IF(LS[[#This Row],[B/S]]="S",ABS(LS[[#This Row],[Unit]])*(INDEX(LS[NAV at Cost (Average)],MATCH(CONCATENATE((LS[[#This Row],[Frequency]]-1),LS[[#This Row],[Investor ID]]),LS[Unique Code],0),0)),0)</f>
        <v>0</v>
      </c>
      <c r="V1083" s="102">
        <f>IF(LS[[#This Row],[BO TRANSFER]]="YES",LS[[#This Row],[Unit]],)</f>
        <v>0</v>
      </c>
      <c r="W1083" s="102">
        <f>SUMIFS(LS[[#Headers],[BO UNIT TRANSFER]]:LS[[#This Row],[BO UNIT TRANSFER]],LS[[#Headers],[Investor ID]]:LS[[#This Row],[Investor ID]],LS[[#This Row],[Investor ID]])</f>
        <v>0</v>
      </c>
    </row>
    <row r="1084" spans="1:23">
      <c r="A1084" s="101">
        <v>2025</v>
      </c>
      <c r="B1084" s="101">
        <v>7</v>
      </c>
      <c r="C1084" s="101">
        <v>10</v>
      </c>
      <c r="D1084" s="98">
        <f>DATE(LS[[#This Row],[Year]],LS[[#This Row],[Month]],LS[[#This Row],[Day]])</f>
        <v>45848</v>
      </c>
      <c r="E1084" s="99" t="str" cm="1">
        <f t="array" ref="E1084">INDEX(INVESTORS_LIST[INVESTOR NAME],MATCH(LS[[#This Row],[Investor ID]],INVESTORS_LIST[INVESTOR CODE],0),)</f>
        <v>RAJIV HASSAN</v>
      </c>
      <c r="F1084" s="100" t="s">
        <v>1038</v>
      </c>
      <c r="G1084" s="101">
        <f>COUNTIF(LS[[#Headers],[Investor ID]]:LS[[#This Row],[Investor ID]],LS[[#This Row],[Investor ID]])</f>
        <v>9</v>
      </c>
      <c r="H1084" s="101" t="str">
        <f>CONCATENATE(LS[[#This Row],[Frequency]],LS[[#This Row],[Investor ID]])</f>
        <v>9A00496</v>
      </c>
      <c r="I1084" s="75" t="str">
        <f>IF(LS[[#This Row],[B/S]]="B","BUY",(IF(LS[[#This Row],[B/S]]="S","SELL"," ")))</f>
        <v>BUY</v>
      </c>
      <c r="J1084" s="101" t="s">
        <v>1229</v>
      </c>
      <c r="K1084" s="102">
        <v>500000</v>
      </c>
      <c r="L1084" s="99"/>
      <c r="M1084" s="103">
        <f>LS[[#This Row],[Amount]]/LS[[#This Row],[Unit]]</f>
        <v>12.58399818790426</v>
      </c>
      <c r="N1084" s="104">
        <f>LS[[#This Row],[Unit Capital]]/10</f>
        <v>39733</v>
      </c>
      <c r="O1084" s="104">
        <f>SUMIFS(LS[[#Headers],[Unit]]:LS[[#This Row],[Unit]],LS[[#Headers],[Investor ID]]:LS[[#This Row],[Investor ID]],LS[[#This Row],[Investor ID]])</f>
        <v>79602</v>
      </c>
      <c r="P1084" s="102">
        <v>397330</v>
      </c>
      <c r="Q1084" s="102">
        <f>LS[[#This Row],[Amount]]-LS[[#This Row],[Unit Capital]]</f>
        <v>102670</v>
      </c>
      <c r="R10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12.562498429687697</v>
      </c>
      <c r="S1084" s="103">
        <f t="shared" si="16"/>
        <v>14.224</v>
      </c>
      <c r="T10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84" s="102" cm="1">
        <f t="array" ref="U1084">IF(LS[[#This Row],[B/S]]="S",ABS(LS[[#This Row],[Unit]])*(INDEX(LS[NAV at Cost (Average)],MATCH(CONCATENATE((LS[[#This Row],[Frequency]]-1),LS[[#This Row],[Investor ID]]),LS[Unique Code],0),0)),0)</f>
        <v>0</v>
      </c>
      <c r="V1084" s="102">
        <f>IF(LS[[#This Row],[BO TRANSFER]]="YES",LS[[#This Row],[Unit]],)</f>
        <v>0</v>
      </c>
      <c r="W1084" s="102">
        <f>SUMIFS(LS[[#Headers],[BO UNIT TRANSFER]]:LS[[#This Row],[BO UNIT TRANSFER]],LS[[#Headers],[Investor ID]]:LS[[#This Row],[Investor ID]],LS[[#This Row],[Investor ID]])</f>
        <v>0</v>
      </c>
    </row>
    <row r="1085" spans="1:23">
      <c r="A1085" s="101">
        <v>2025</v>
      </c>
      <c r="B1085" s="101">
        <v>7</v>
      </c>
      <c r="C1085" s="101">
        <v>13</v>
      </c>
      <c r="D1085" s="98">
        <f>DATE(LS[[#This Row],[Year]],LS[[#This Row],[Month]],LS[[#This Row],[Day]])</f>
        <v>45851</v>
      </c>
      <c r="E1085" s="99" t="str" cm="1">
        <f t="array" ref="E1085">INDEX(INVESTORS_LIST[INVESTOR NAME],MATCH(LS[[#This Row],[Investor ID]],INVESTORS_LIST[INVESTOR CODE],0),)</f>
        <v>MONOARA ALAM</v>
      </c>
      <c r="F1085" s="100" t="s">
        <v>1302</v>
      </c>
      <c r="G1085" s="101">
        <f>COUNTIF(LS[[#Headers],[Investor ID]]:LS[[#This Row],[Investor ID]],LS[[#This Row],[Investor ID]])</f>
        <v>5</v>
      </c>
      <c r="H1085" s="101" t="str">
        <f>CONCATENATE(LS[[#This Row],[Frequency]],LS[[#This Row],[Investor ID]])</f>
        <v>5A00598</v>
      </c>
      <c r="I1085" s="75" t="str">
        <f>IF(LS[[#This Row],[B/S]]="B","BUY",(IF(LS[[#This Row],[B/S]]="S","SELL"," ")))</f>
        <v>SELL</v>
      </c>
      <c r="J1085" s="101" t="s">
        <v>1231</v>
      </c>
      <c r="K1085" s="102">
        <v>-8462.91</v>
      </c>
      <c r="L1085" s="99"/>
      <c r="M1085" s="103">
        <f>LS[[#This Row],[Amount]]/LS[[#This Row],[Unit]]</f>
        <v>12.612384500745156</v>
      </c>
      <c r="N1085" s="104">
        <f>LS[[#This Row],[Unit Capital]]/10</f>
        <v>-671</v>
      </c>
      <c r="O1085" s="104">
        <f>SUMIFS(LS[[#Headers],[Unit]]:LS[[#This Row],[Unit]],LS[[#Headers],[Investor ID]]:LS[[#This Row],[Investor ID]],LS[[#This Row],[Investor ID]])</f>
        <v>39648</v>
      </c>
      <c r="P1085" s="102">
        <v>-6710</v>
      </c>
      <c r="Q1085" s="102">
        <f>LS[[#This Row],[Amount]]-LS[[#This Row],[Unit Capital]]</f>
        <v>-1752.9099999999999</v>
      </c>
      <c r="R10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1085" s="103">
        <f t="shared" si="16"/>
        <v>14.224</v>
      </c>
      <c r="T1085" s="102">
        <f>IF(LS[[#This Row],[B/S]]="B",0,ABS(LS[[#This Row],[Unit]])*(LS[[#This Row],[NAV (Strike Rate)]]-INDEX(LS[NAV at Cost (Average)],MATCH(CONCATENATE(LS[[#This Row],[Frequency]]-1,LS[[#This Row],[Investor ID]]),LS[Unique Code],0),)))</f>
        <v>559.86656270611434</v>
      </c>
      <c r="U1085" s="102" cm="1">
        <f t="array" ref="U1085">IF(LS[[#This Row],[B/S]]="S",ABS(LS[[#This Row],[Unit]])*(INDEX(LS[NAV at Cost (Average)],MATCH(CONCATENATE((LS[[#This Row],[Frequency]]-1),LS[[#This Row],[Investor ID]]),LS[Unique Code],0),0)),0)</f>
        <v>7903.0434372938853</v>
      </c>
      <c r="V1085" s="102">
        <f>IF(LS[[#This Row],[BO TRANSFER]]="YES",LS[[#This Row],[Unit]],)</f>
        <v>0</v>
      </c>
      <c r="W1085" s="102">
        <f>SUMIFS(LS[[#Headers],[BO UNIT TRANSFER]]:LS[[#This Row],[BO UNIT TRANSFER]],LS[[#Headers],[Investor ID]]:LS[[#This Row],[Investor ID]],LS[[#This Row],[Investor ID]])</f>
        <v>0</v>
      </c>
    </row>
    <row r="1086" spans="1:23">
      <c r="A1086" s="101">
        <v>2025</v>
      </c>
      <c r="B1086" s="101">
        <v>7</v>
      </c>
      <c r="C1086" s="101">
        <v>13</v>
      </c>
      <c r="D1086" s="98">
        <f>DATE(LS[[#This Row],[Year]],LS[[#This Row],[Month]],LS[[#This Row],[Day]])</f>
        <v>45851</v>
      </c>
      <c r="E1086" s="99" t="str" cm="1">
        <f t="array" ref="E1086">INDEX(INVESTORS_LIST[INVESTOR NAME],MATCH(LS[[#This Row],[Investor ID]],INVESTORS_LIST[INVESTOR CODE],0),)</f>
        <v>KHAN MUHAMMAD FAISOL</v>
      </c>
      <c r="F1086" s="100" t="s">
        <v>930</v>
      </c>
      <c r="G1086" s="101">
        <f>COUNTIF(LS[[#Headers],[Investor ID]]:LS[[#This Row],[Investor ID]],LS[[#This Row],[Investor ID]])</f>
        <v>2</v>
      </c>
      <c r="H1086" s="101" t="str">
        <f>CONCATENATE(LS[[#This Row],[Frequency]],LS[[#This Row],[Investor ID]])</f>
        <v>2A00442</v>
      </c>
      <c r="I1086" s="75" t="str">
        <f>IF(LS[[#This Row],[B/S]]="B","BUY",(IF(LS[[#This Row],[B/S]]="S","SELL"," ")))</f>
        <v>SELL</v>
      </c>
      <c r="J1086" s="101" t="s">
        <v>1231</v>
      </c>
      <c r="K1086" s="102">
        <v>-301175.90000000002</v>
      </c>
      <c r="L1086" s="99" t="s">
        <v>1230</v>
      </c>
      <c r="M1086" s="103">
        <f>LS[[#This Row],[Amount]]/LS[[#This Row],[Unit]]</f>
        <v>12.61099991625492</v>
      </c>
      <c r="N1086" s="104">
        <f>LS[[#This Row],[Unit Capital]]/10</f>
        <v>-23882</v>
      </c>
      <c r="O1086" s="104">
        <f>SUMIFS(LS[[#Headers],[Unit]]:LS[[#This Row],[Unit]],LS[[#Headers],[Investor ID]]:LS[[#This Row],[Investor ID]],LS[[#This Row],[Investor ID]])</f>
        <v>0</v>
      </c>
      <c r="P1086" s="102">
        <v>-238820</v>
      </c>
      <c r="Q1086" s="102">
        <f>LS[[#This Row],[Amount]]-LS[[#This Row],[Unit Capital]]</f>
        <v>-62355.900000000023</v>
      </c>
      <c r="R10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86" s="103">
        <f t="shared" si="16"/>
        <v>14.224</v>
      </c>
      <c r="T1086" s="102">
        <f>IF(LS[[#This Row],[B/S]]="B",0,ABS(LS[[#This Row],[Unit]])*(LS[[#This Row],[NAV (Strike Rate)]]-INDEX(LS[NAV at Cost (Average)],MATCH(CONCATENATE(LS[[#This Row],[Frequency]]-1,LS[[#This Row],[Investor ID]]),LS[Unique Code],0),)))</f>
        <v>1175.9000000000076</v>
      </c>
      <c r="U1086" s="102" cm="1">
        <f t="array" ref="U1086">IF(LS[[#This Row],[B/S]]="S",ABS(LS[[#This Row],[Unit]])*(INDEX(LS[NAV at Cost (Average)],MATCH(CONCATENATE((LS[[#This Row],[Frequency]]-1),LS[[#This Row],[Investor ID]]),LS[Unique Code],0),0)),0)</f>
        <v>300000</v>
      </c>
      <c r="V1086" s="102">
        <f>IF(LS[[#This Row],[BO TRANSFER]]="YES",LS[[#This Row],[Unit]],)</f>
        <v>-23882</v>
      </c>
      <c r="W1086" s="102">
        <f>SUMIFS(LS[[#Headers],[BO UNIT TRANSFER]]:LS[[#This Row],[BO UNIT TRANSFER]],LS[[#Headers],[Investor ID]]:LS[[#This Row],[Investor ID]],LS[[#This Row],[Investor ID]])</f>
        <v>0</v>
      </c>
    </row>
    <row r="1087" spans="1:23">
      <c r="A1087" s="101">
        <v>2025</v>
      </c>
      <c r="B1087" s="101">
        <v>7</v>
      </c>
      <c r="C1087" s="101">
        <v>13</v>
      </c>
      <c r="D1087" s="98">
        <f>DATE(LS[[#This Row],[Year]],LS[[#This Row],[Month]],LS[[#This Row],[Day]])</f>
        <v>45851</v>
      </c>
      <c r="E1087" s="99" t="str" cm="1">
        <f t="array" ref="E1087">INDEX(INVESTORS_LIST[INVESTOR NAME],MATCH(LS[[#This Row],[Investor ID]],INVESTORS_LIST[INVESTOR CODE],0),)</f>
        <v>LILY RANI PAUL</v>
      </c>
      <c r="F1087" s="100" t="s">
        <v>214</v>
      </c>
      <c r="G1087" s="101">
        <f>COUNTIF(LS[[#Headers],[Investor ID]]:LS[[#This Row],[Investor ID]],LS[[#This Row],[Investor ID]])</f>
        <v>6</v>
      </c>
      <c r="H1087" s="101" t="str">
        <f>CONCATENATE(LS[[#This Row],[Frequency]],LS[[#This Row],[Investor ID]])</f>
        <v>6A00083</v>
      </c>
      <c r="I1087" s="75" t="str">
        <f>IF(LS[[#This Row],[B/S]]="B","BUY",(IF(LS[[#This Row],[B/S]]="S","SELL"," ")))</f>
        <v>SELL</v>
      </c>
      <c r="J1087" s="101" t="s">
        <v>1231</v>
      </c>
      <c r="K1087" s="102">
        <v>-400000</v>
      </c>
      <c r="L1087" s="99"/>
      <c r="M1087" s="103">
        <f>LS[[#This Row],[Amount]]/LS[[#This Row],[Unit]]</f>
        <v>12.61113563276373</v>
      </c>
      <c r="N1087" s="104">
        <f>LS[[#This Row],[Unit Capital]]/10</f>
        <v>-31718</v>
      </c>
      <c r="O1087" s="104">
        <f>SUMIFS(LS[[#Headers],[Unit]]:LS[[#This Row],[Unit]],LS[[#Headers],[Investor ID]]:LS[[#This Row],[Investor ID]],LS[[#This Row],[Investor ID]])</f>
        <v>57924</v>
      </c>
      <c r="P1087" s="102">
        <v>-317180</v>
      </c>
      <c r="Q1087" s="102">
        <f>LS[[#This Row],[Amount]]-LS[[#This Row],[Unit Capital]]</f>
        <v>-82820</v>
      </c>
      <c r="R10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10.461067099766666</v>
      </c>
      <c r="S1087" s="103">
        <f t="shared" si="16"/>
        <v>14.224</v>
      </c>
      <c r="T1087" s="102">
        <f>IF(LS[[#This Row],[B/S]]="B",0,ABS(LS[[#This Row],[Unit]])*(LS[[#This Row],[NAV (Strike Rate)]]-INDEX(LS[NAV at Cost (Average)],MATCH(CONCATENATE(LS[[#This Row],[Frequency]]-1,LS[[#This Row],[Investor ID]]),LS[Unique Code],0),)))</f>
        <v>68195.873729600891</v>
      </c>
      <c r="U1087" s="102" cm="1">
        <f t="array" ref="U1087">IF(LS[[#This Row],[B/S]]="S",ABS(LS[[#This Row],[Unit]])*(INDEX(LS[NAV at Cost (Average)],MATCH(CONCATENATE((LS[[#This Row],[Frequency]]-1),LS[[#This Row],[Investor ID]]),LS[Unique Code],0),0)),0)</f>
        <v>331804.12627039914</v>
      </c>
      <c r="V1087" s="102">
        <f>IF(LS[[#This Row],[BO TRANSFER]]="YES",LS[[#This Row],[Unit]],)</f>
        <v>0</v>
      </c>
      <c r="W1087" s="102">
        <f>SUMIFS(LS[[#Headers],[BO UNIT TRANSFER]]:LS[[#This Row],[BO UNIT TRANSFER]],LS[[#Headers],[Investor ID]]:LS[[#This Row],[Investor ID]],LS[[#This Row],[Investor ID]])</f>
        <v>0</v>
      </c>
    </row>
    <row r="1088" spans="1:23">
      <c r="A1088" s="101">
        <v>2025</v>
      </c>
      <c r="B1088" s="101">
        <v>7</v>
      </c>
      <c r="C1088" s="101">
        <v>13</v>
      </c>
      <c r="D1088" s="98">
        <f>DATE(LS[[#This Row],[Year]],LS[[#This Row],[Month]],LS[[#This Row],[Day]])</f>
        <v>45851</v>
      </c>
      <c r="E1088" s="99" t="str" cm="1">
        <f t="array" ref="E1088">INDEX(INVESTORS_LIST[INVESTOR NAME],MATCH(LS[[#This Row],[Investor ID]],INVESTORS_LIST[INVESTOR CODE],0),)</f>
        <v>NISHAT RAHMAN</v>
      </c>
      <c r="F1088" s="100" t="s">
        <v>1200</v>
      </c>
      <c r="G1088" s="101">
        <f>COUNTIF(LS[[#Headers],[Investor ID]]:LS[[#This Row],[Investor ID]],LS[[#This Row],[Investor ID]])</f>
        <v>4</v>
      </c>
      <c r="H1088" s="101" t="str">
        <f>CONCATENATE(LS[[#This Row],[Frequency]],LS[[#This Row],[Investor ID]])</f>
        <v>4A00576</v>
      </c>
      <c r="I1088" s="75" t="str">
        <f>IF(LS[[#This Row],[B/S]]="B","BUY",(IF(LS[[#This Row],[B/S]]="S","SELL"," ")))</f>
        <v>SELL</v>
      </c>
      <c r="J1088" s="101" t="s">
        <v>1231</v>
      </c>
      <c r="K1088" s="102">
        <v>-502787.96</v>
      </c>
      <c r="L1088" s="99"/>
      <c r="M1088" s="103">
        <f>LS[[#This Row],[Amount]]/LS[[#This Row],[Unit]]</f>
        <v>12.611000025082145</v>
      </c>
      <c r="N1088" s="104">
        <f>LS[[#This Row],[Unit Capital]]/10</f>
        <v>-39869</v>
      </c>
      <c r="O1088" s="104">
        <f>SUMIFS(LS[[#Headers],[Unit]]:LS[[#This Row],[Unit]],LS[[#Headers],[Investor ID]]:LS[[#This Row],[Investor ID]],LS[[#This Row],[Investor ID]])</f>
        <v>0</v>
      </c>
      <c r="P1088" s="102">
        <v>-398690</v>
      </c>
      <c r="Q1088" s="102">
        <f>LS[[#This Row],[Amount]]-LS[[#This Row],[Unit Capital]]</f>
        <v>-104097.96000000002</v>
      </c>
      <c r="R10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88" s="103">
        <f t="shared" si="16"/>
        <v>14.224</v>
      </c>
      <c r="T1088" s="102">
        <f>IF(LS[[#This Row],[B/S]]="B",0,ABS(LS[[#This Row],[Unit]])*(LS[[#This Row],[NAV (Strike Rate)]]-INDEX(LS[NAV at Cost (Average)],MATCH(CONCATENATE(LS[[#This Row],[Frequency]]-1,LS[[#This Row],[Investor ID]]),LS[Unique Code],0),)))</f>
        <v>2787.9600000000105</v>
      </c>
      <c r="U1088" s="102" cm="1">
        <f t="array" ref="U1088">IF(LS[[#This Row],[B/S]]="S",ABS(LS[[#This Row],[Unit]])*(INDEX(LS[NAV at Cost (Average)],MATCH(CONCATENATE((LS[[#This Row],[Frequency]]-1),LS[[#This Row],[Investor ID]]),LS[Unique Code],0),0)),0)</f>
        <v>500000.00000000006</v>
      </c>
      <c r="V1088" s="102">
        <f>IF(LS[[#This Row],[BO TRANSFER]]="YES",LS[[#This Row],[Unit]],)</f>
        <v>0</v>
      </c>
      <c r="W1088" s="102">
        <f>SUMIFS(LS[[#Headers],[BO UNIT TRANSFER]]:LS[[#This Row],[BO UNIT TRANSFER]],LS[[#Headers],[Investor ID]]:LS[[#This Row],[Investor ID]],LS[[#This Row],[Investor ID]])</f>
        <v>0</v>
      </c>
    </row>
    <row r="1089" spans="1:23">
      <c r="A1089" s="101">
        <v>2025</v>
      </c>
      <c r="B1089" s="101">
        <v>7</v>
      </c>
      <c r="C1089" s="101">
        <v>13</v>
      </c>
      <c r="D1089" s="98">
        <f>DATE(LS[[#This Row],[Year]],LS[[#This Row],[Month]],LS[[#This Row],[Day]])</f>
        <v>45851</v>
      </c>
      <c r="E1089" s="99" t="str" cm="1">
        <f t="array" ref="E1089">INDEX(INVESTORS_LIST[INVESTOR NAME],MATCH(LS[[#This Row],[Investor ID]],INVESTORS_LIST[INVESTOR CODE],0),)</f>
        <v>MD ASHIQUR RAHMAN</v>
      </c>
      <c r="F1089" s="100" t="s">
        <v>1173</v>
      </c>
      <c r="G1089" s="101">
        <f>COUNTIF(LS[[#Headers],[Investor ID]]:LS[[#This Row],[Investor ID]],LS[[#This Row],[Investor ID]])</f>
        <v>5</v>
      </c>
      <c r="H1089" s="101" t="str">
        <f>CONCATENATE(LS[[#This Row],[Frequency]],LS[[#This Row],[Investor ID]])</f>
        <v>5A00562</v>
      </c>
      <c r="I1089" s="75" t="str">
        <f>IF(LS[[#This Row],[B/S]]="B","BUY",(IF(LS[[#This Row],[B/S]]="S","SELL"," ")))</f>
        <v>SELL</v>
      </c>
      <c r="J1089" s="101" t="s">
        <v>1231</v>
      </c>
      <c r="K1089" s="102">
        <v>-350000</v>
      </c>
      <c r="L1089" s="99"/>
      <c r="M1089" s="103">
        <f>LS[[#This Row],[Amount]]/LS[[#This Row],[Unit]]</f>
        <v>12.610794840383369</v>
      </c>
      <c r="N1089" s="104">
        <f>LS[[#This Row],[Unit Capital]]/10</f>
        <v>-27754</v>
      </c>
      <c r="O1089" s="104">
        <f>SUMIFS(LS[[#Headers],[Unit]]:LS[[#This Row],[Unit]],LS[[#Headers],[Investor ID]]:LS[[#This Row],[Investor ID]],LS[[#This Row],[Investor ID]])</f>
        <v>23417</v>
      </c>
      <c r="P1089" s="102">
        <v>-277540</v>
      </c>
      <c r="Q1089" s="102">
        <f>LS[[#This Row],[Amount]]-LS[[#This Row],[Unit Capital]]</f>
        <v>-72460</v>
      </c>
      <c r="R10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12.128006117276311</v>
      </c>
      <c r="S1089" s="103">
        <f t="shared" si="16"/>
        <v>14.224</v>
      </c>
      <c r="T1089" s="102">
        <f>IF(LS[[#This Row],[B/S]]="B",0,ABS(LS[[#This Row],[Unit]])*(LS[[#This Row],[NAV (Strike Rate)]]-INDEX(LS[NAV at Cost (Average)],MATCH(CONCATENATE(LS[[#This Row],[Frequency]]-1,LS[[#This Row],[Investor ID]]),LS[Unique Code],0),)))</f>
        <v>13399.318221113288</v>
      </c>
      <c r="U1089" s="102" cm="1">
        <f t="array" ref="U1089">IF(LS[[#This Row],[B/S]]="S",ABS(LS[[#This Row],[Unit]])*(INDEX(LS[NAV at Cost (Average)],MATCH(CONCATENATE((LS[[#This Row],[Frequency]]-1),LS[[#This Row],[Investor ID]]),LS[Unique Code],0),0)),0)</f>
        <v>336600.6817788867</v>
      </c>
      <c r="V1089" s="102">
        <f>IF(LS[[#This Row],[BO TRANSFER]]="YES",LS[[#This Row],[Unit]],)</f>
        <v>0</v>
      </c>
      <c r="W1089" s="102">
        <f>SUMIFS(LS[[#Headers],[BO UNIT TRANSFER]]:LS[[#This Row],[BO UNIT TRANSFER]],LS[[#Headers],[Investor ID]]:LS[[#This Row],[Investor ID]],LS[[#This Row],[Investor ID]])</f>
        <v>0</v>
      </c>
    </row>
    <row r="1090" spans="1:23">
      <c r="A1090" s="101">
        <v>2025</v>
      </c>
      <c r="B1090" s="101">
        <v>7</v>
      </c>
      <c r="C1090" s="101">
        <v>14</v>
      </c>
      <c r="D1090" s="98">
        <f>DATE(LS[[#This Row],[Year]],LS[[#This Row],[Month]],LS[[#This Row],[Day]])</f>
        <v>45852</v>
      </c>
      <c r="E1090" s="99" t="str" cm="1">
        <f t="array" ref="E1090">INDEX(INVESTORS_LIST[INVESTOR NAME],MATCH(LS[[#This Row],[Investor ID]],INVESTORS_LIST[INVESTOR CODE],0),)</f>
        <v>MD MIZANUR RAHMAN</v>
      </c>
      <c r="F1090" s="100" t="s">
        <v>1376</v>
      </c>
      <c r="G1090" s="101">
        <f>COUNTIF(LS[[#Headers],[Investor ID]]:LS[[#This Row],[Investor ID]],LS[[#This Row],[Investor ID]])</f>
        <v>2</v>
      </c>
      <c r="H1090" s="101" t="str">
        <f>CONCATENATE(LS[[#This Row],[Frequency]],LS[[#This Row],[Investor ID]])</f>
        <v>2A00636</v>
      </c>
      <c r="I1090" s="75" t="str">
        <f>IF(LS[[#This Row],[B/S]]="B","BUY",(IF(LS[[#This Row],[B/S]]="S","SELL"," ")))</f>
        <v>SELL</v>
      </c>
      <c r="J1090" s="101" t="s">
        <v>1231</v>
      </c>
      <c r="K1090" s="102">
        <v>-251400.29</v>
      </c>
      <c r="L1090" s="99"/>
      <c r="M1090" s="103">
        <f>LS[[#This Row],[Amount]]/LS[[#This Row],[Unit]]</f>
        <v>12.611000250815149</v>
      </c>
      <c r="N1090" s="104">
        <f>LS[[#This Row],[Unit Capital]]/10</f>
        <v>-19935</v>
      </c>
      <c r="O1090" s="104">
        <f>SUMIFS(LS[[#Headers],[Unit]]:LS[[#This Row],[Unit]],LS[[#Headers],[Investor ID]]:LS[[#This Row],[Investor ID]],LS[[#This Row],[Investor ID]])</f>
        <v>0</v>
      </c>
      <c r="P1090" s="102">
        <v>-199350</v>
      </c>
      <c r="Q1090" s="102">
        <f>LS[[#This Row],[Amount]]-LS[[#This Row],[Unit Capital]]</f>
        <v>-52050.290000000008</v>
      </c>
      <c r="R10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90" s="103">
        <f t="shared" si="16"/>
        <v>14.224</v>
      </c>
      <c r="T1090" s="102">
        <f>IF(LS[[#This Row],[B/S]]="B",0,ABS(LS[[#This Row],[Unit]])*(LS[[#This Row],[NAV (Strike Rate)]]-INDEX(LS[NAV at Cost (Average)],MATCH(CONCATENATE(LS[[#This Row],[Frequency]]-1,LS[[#This Row],[Investor ID]]),LS[Unique Code],0),)))</f>
        <v>1400.2899999999818</v>
      </c>
      <c r="U1090" s="102" cm="1">
        <f t="array" ref="U1090">IF(LS[[#This Row],[B/S]]="S",ABS(LS[[#This Row],[Unit]])*(INDEX(LS[NAV at Cost (Average)],MATCH(CONCATENATE((LS[[#This Row],[Frequency]]-1),LS[[#This Row],[Investor ID]]),LS[Unique Code],0),0)),0)</f>
        <v>250000</v>
      </c>
      <c r="V1090" s="102">
        <f>IF(LS[[#This Row],[BO TRANSFER]]="YES",LS[[#This Row],[Unit]],)</f>
        <v>0</v>
      </c>
      <c r="W1090" s="102">
        <f>SUMIFS(LS[[#Headers],[BO UNIT TRANSFER]]:LS[[#This Row],[BO UNIT TRANSFER]],LS[[#Headers],[Investor ID]]:LS[[#This Row],[Investor ID]],LS[[#This Row],[Investor ID]])</f>
        <v>0</v>
      </c>
    </row>
    <row r="1091" spans="1:23">
      <c r="A1091" s="101">
        <v>2025</v>
      </c>
      <c r="B1091" s="101">
        <v>7</v>
      </c>
      <c r="C1091" s="101">
        <v>14</v>
      </c>
      <c r="D1091" s="98">
        <f>DATE(LS[[#This Row],[Year]],LS[[#This Row],[Month]],LS[[#This Row],[Day]])</f>
        <v>45852</v>
      </c>
      <c r="E1091" s="99" t="str" cm="1">
        <f t="array" ref="E1091">INDEX(INVESTORS_LIST[INVESTOR NAME],MATCH(LS[[#This Row],[Investor ID]],INVESTORS_LIST[INVESTOR CODE],0),)</f>
        <v>SADMAN PRODHAN</v>
      </c>
      <c r="F1091" s="100" t="s">
        <v>1169</v>
      </c>
      <c r="G1091" s="101">
        <f>COUNTIF(LS[[#Headers],[Investor ID]]:LS[[#This Row],[Investor ID]],LS[[#This Row],[Investor ID]])</f>
        <v>4</v>
      </c>
      <c r="H1091" s="101" t="str">
        <f>CONCATENATE(LS[[#This Row],[Frequency]],LS[[#This Row],[Investor ID]])</f>
        <v>4A00560</v>
      </c>
      <c r="I1091" s="75" t="str">
        <f>IF(LS[[#This Row],[B/S]]="B","BUY",(IF(LS[[#This Row],[B/S]]="S","SELL"," ")))</f>
        <v>SELL</v>
      </c>
      <c r="J1091" s="101" t="s">
        <v>1231</v>
      </c>
      <c r="K1091" s="102">
        <v>-201120.23</v>
      </c>
      <c r="L1091" s="99"/>
      <c r="M1091" s="103">
        <f>LS[[#This Row],[Amount]]/LS[[#This Row],[Unit]]</f>
        <v>12.611000125407575</v>
      </c>
      <c r="N1091" s="104">
        <f>LS[[#This Row],[Unit Capital]]/10</f>
        <v>-15948</v>
      </c>
      <c r="O1091" s="104">
        <f>SUMIFS(LS[[#Headers],[Unit]]:LS[[#This Row],[Unit]],LS[[#Headers],[Investor ID]]:LS[[#This Row],[Investor ID]],LS[[#This Row],[Investor ID]])</f>
        <v>0</v>
      </c>
      <c r="P1091" s="102">
        <v>-159480</v>
      </c>
      <c r="Q1091" s="102">
        <f>LS[[#This Row],[Amount]]-LS[[#This Row],[Unit Capital]]</f>
        <v>-41640.23000000001</v>
      </c>
      <c r="R10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091" s="103">
        <f t="shared" ref="S1091:S1154" si="17">IFERROR(NAV_MKT,0)</f>
        <v>14.224</v>
      </c>
      <c r="T1091" s="102">
        <f>IF(LS[[#This Row],[B/S]]="B",0,ABS(LS[[#This Row],[Unit]])*(LS[[#This Row],[NAV (Strike Rate)]]-INDEX(LS[NAV at Cost (Average)],MATCH(CONCATENATE(LS[[#This Row],[Frequency]]-1,LS[[#This Row],[Investor ID]]),LS[Unique Code],0),)))</f>
        <v>1120.2299999999937</v>
      </c>
      <c r="U1091" s="102" cm="1">
        <f t="array" ref="U1091">IF(LS[[#This Row],[B/S]]="S",ABS(LS[[#This Row],[Unit]])*(INDEX(LS[NAV at Cost (Average)],MATCH(CONCATENATE((LS[[#This Row],[Frequency]]-1),LS[[#This Row],[Investor ID]]),LS[Unique Code],0),0)),0)</f>
        <v>200000</v>
      </c>
      <c r="V1091" s="102">
        <f>IF(LS[[#This Row],[BO TRANSFER]]="YES",LS[[#This Row],[Unit]],)</f>
        <v>0</v>
      </c>
      <c r="W1091" s="102">
        <f>SUMIFS(LS[[#Headers],[BO UNIT TRANSFER]]:LS[[#This Row],[BO UNIT TRANSFER]],LS[[#Headers],[Investor ID]]:LS[[#This Row],[Investor ID]],LS[[#This Row],[Investor ID]])</f>
        <v>0</v>
      </c>
    </row>
    <row r="1092" spans="1:23">
      <c r="A1092" s="101">
        <v>2025</v>
      </c>
      <c r="B1092" s="101">
        <v>7</v>
      </c>
      <c r="C1092" s="101">
        <v>14</v>
      </c>
      <c r="D1092" s="98">
        <f>DATE(LS[[#This Row],[Year]],LS[[#This Row],[Month]],LS[[#This Row],[Day]])</f>
        <v>45852</v>
      </c>
      <c r="E1092" t="str" cm="1">
        <f t="array" ref="E1092">INDEX(INVESTORS_LIST[INVESTOR NAME],MATCH(LS[[#This Row],[Investor ID]],INVESTORS_LIST[INVESTOR CODE],0),)</f>
        <v>EKUSH WEALTH MANAGEMENT LIMITED</v>
      </c>
      <c r="F1092" s="100" t="s">
        <v>47</v>
      </c>
      <c r="G1092" s="101">
        <f>COUNTIF(LS[[#Headers],[Investor ID]]:LS[[#This Row],[Investor ID]],LS[[#This Row],[Investor ID]])</f>
        <v>28</v>
      </c>
      <c r="H1092" s="101" t="str">
        <f>CONCATENATE(LS[[#This Row],[Frequency]],LS[[#This Row],[Investor ID]])</f>
        <v>28A00003</v>
      </c>
      <c r="I1092" s="75" t="str">
        <f>IF(LS[[#This Row],[B/S]]="B","BUY",(IF(LS[[#This Row],[B/S]]="S","SELL"," ")))</f>
        <v>BUY</v>
      </c>
      <c r="J1092" s="101" t="s">
        <v>1229</v>
      </c>
      <c r="K1092" s="102">
        <v>2050000</v>
      </c>
      <c r="L1092" s="99"/>
      <c r="M1092" s="103">
        <f>LS[[#This Row],[Amount]]/LS[[#This Row],[Unit]]</f>
        <v>12.611038657447279</v>
      </c>
      <c r="N1092" s="104">
        <f>LS[[#This Row],[Unit Capital]]/10</f>
        <v>162556</v>
      </c>
      <c r="O1092" s="104">
        <f>SUMIFS(LS[[#Headers],[Unit]]:LS[[#This Row],[Unit]],LS[[#Headers],[Investor ID]]:LS[[#This Row],[Investor ID]],LS[[#This Row],[Investor ID]])</f>
        <v>412556</v>
      </c>
      <c r="P1092" s="102">
        <v>1625560</v>
      </c>
      <c r="Q1092" s="102">
        <f>LS[[#This Row],[Amount]]-LS[[#This Row],[Unit Capital]]</f>
        <v>424440</v>
      </c>
      <c r="R10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11.637971654163529</v>
      </c>
      <c r="S1092" s="103">
        <f t="shared" si="17"/>
        <v>14.224</v>
      </c>
      <c r="T10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2" s="102" cm="1">
        <f t="array" ref="U1092">IF(LS[[#This Row],[B/S]]="S",ABS(LS[[#This Row],[Unit]])*(INDEX(LS[NAV at Cost (Average)],MATCH(CONCATENATE((LS[[#This Row],[Frequency]]-1),LS[[#This Row],[Investor ID]]),LS[Unique Code],0),0)),0)</f>
        <v>0</v>
      </c>
      <c r="V1092" s="102">
        <f>IF(LS[[#This Row],[BO TRANSFER]]="YES",LS[[#This Row],[Unit]],)</f>
        <v>0</v>
      </c>
      <c r="W1092" s="102">
        <f>SUMIFS(LS[[#Headers],[BO UNIT TRANSFER]]:LS[[#This Row],[BO UNIT TRANSFER]],LS[[#Headers],[Investor ID]]:LS[[#This Row],[Investor ID]],LS[[#This Row],[Investor ID]])</f>
        <v>0</v>
      </c>
    </row>
    <row r="1093" spans="1:23">
      <c r="A1093" s="101">
        <v>2025</v>
      </c>
      <c r="B1093" s="101">
        <v>7</v>
      </c>
      <c r="C1093" s="101">
        <v>14</v>
      </c>
      <c r="D1093" s="98">
        <f>DATE(LS[[#This Row],[Year]],LS[[#This Row],[Month]],LS[[#This Row],[Day]])</f>
        <v>45852</v>
      </c>
      <c r="E1093" s="99" t="str" cm="1">
        <f t="array" ref="E1093">INDEX(INVESTORS_LIST[INVESTOR NAME],MATCH(LS[[#This Row],[Investor ID]],INVESTORS_LIST[INVESTOR CODE],0),)</f>
        <v>MAHMOOD KABIR</v>
      </c>
      <c r="F1093" s="100" t="s">
        <v>1165</v>
      </c>
      <c r="G1093" s="101">
        <f>COUNTIF(LS[[#Headers],[Investor ID]]:LS[[#This Row],[Investor ID]],LS[[#This Row],[Investor ID]])</f>
        <v>7</v>
      </c>
      <c r="H1093" s="101" t="str">
        <f>CONCATENATE(LS[[#This Row],[Frequency]],LS[[#This Row],[Investor ID]])</f>
        <v>7A00558</v>
      </c>
      <c r="I1093" s="75" t="str">
        <f>IF(LS[[#This Row],[B/S]]="B","BUY",(IF(LS[[#This Row],[B/S]]="S","SELL"," ")))</f>
        <v>SELL</v>
      </c>
      <c r="J1093" s="101" t="s">
        <v>1231</v>
      </c>
      <c r="K1093" s="102">
        <v>-500000</v>
      </c>
      <c r="L1093" s="99"/>
      <c r="M1093" s="103">
        <f>LS[[#This Row],[Amount]]/LS[[#This Row],[Unit]]</f>
        <v>12.610976594027441</v>
      </c>
      <c r="N1093" s="104">
        <f>LS[[#This Row],[Unit Capital]]/10</f>
        <v>-39648</v>
      </c>
      <c r="O1093" s="104">
        <f>SUMIFS(LS[[#Headers],[Unit]]:LS[[#This Row],[Unit]],LS[[#Headers],[Investor ID]]:LS[[#This Row],[Investor ID]],LS[[#This Row],[Investor ID]])</f>
        <v>45247</v>
      </c>
      <c r="P1093" s="102">
        <v>-396480</v>
      </c>
      <c r="Q1093" s="102">
        <f>LS[[#This Row],[Amount]]-LS[[#This Row],[Unit Capital]]</f>
        <v>-103520</v>
      </c>
      <c r="R10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11.779256728900409</v>
      </c>
      <c r="S1093" s="103">
        <f t="shared" si="17"/>
        <v>14.224</v>
      </c>
      <c r="T1093" s="102">
        <f>IF(LS[[#This Row],[B/S]]="B",0,ABS(LS[[#This Row],[Unit]])*(LS[[#This Row],[NAV (Strike Rate)]]-INDEX(LS[NAV at Cost (Average)],MATCH(CONCATENATE(LS[[#This Row],[Frequency]]-1,LS[[#This Row],[Investor ID]]),LS[Unique Code],0),)))</f>
        <v>32976.029212556597</v>
      </c>
      <c r="U1093" s="102" cm="1">
        <f t="array" ref="U1093">IF(LS[[#This Row],[B/S]]="S",ABS(LS[[#This Row],[Unit]])*(INDEX(LS[NAV at Cost (Average)],MATCH(CONCATENATE((LS[[#This Row],[Frequency]]-1),LS[[#This Row],[Investor ID]]),LS[Unique Code],0),0)),0)</f>
        <v>467023.9707874434</v>
      </c>
      <c r="V1093" s="102">
        <f>IF(LS[[#This Row],[BO TRANSFER]]="YES",LS[[#This Row],[Unit]],)</f>
        <v>0</v>
      </c>
      <c r="W1093" s="102">
        <f>SUMIFS(LS[[#Headers],[BO UNIT TRANSFER]]:LS[[#This Row],[BO UNIT TRANSFER]],LS[[#Headers],[Investor ID]]:LS[[#This Row],[Investor ID]],LS[[#This Row],[Investor ID]])</f>
        <v>0</v>
      </c>
    </row>
    <row r="1094" spans="1:23">
      <c r="A1094" s="101">
        <v>2025</v>
      </c>
      <c r="B1094" s="101">
        <v>7</v>
      </c>
      <c r="C1094" s="101">
        <v>14</v>
      </c>
      <c r="D1094" s="98">
        <f>DATE(LS[[#This Row],[Year]],LS[[#This Row],[Month]],LS[[#This Row],[Day]])</f>
        <v>45852</v>
      </c>
      <c r="E1094" s="99" t="str" cm="1">
        <f t="array" ref="E1094">INDEX(INVESTORS_LIST[INVESTOR NAME],MATCH(LS[[#This Row],[Investor ID]],INVESTORS_LIST[INVESTOR CODE],0),)</f>
        <v>BETAONE INVESTMENTS LIMITED</v>
      </c>
      <c r="F1094" s="100" t="s">
        <v>1131</v>
      </c>
      <c r="G1094" s="101">
        <f>COUNTIF(LS[[#Headers],[Investor ID]]:LS[[#This Row],[Investor ID]],LS[[#This Row],[Investor ID]])</f>
        <v>3</v>
      </c>
      <c r="H1094" s="101" t="str">
        <f>CONCATENATE(LS[[#This Row],[Frequency]],LS[[#This Row],[Investor ID]])</f>
        <v>3A00541</v>
      </c>
      <c r="I1094" s="75" t="str">
        <f>IF(LS[[#This Row],[B/S]]="B","BUY",(IF(LS[[#This Row],[B/S]]="S","SELL"," ")))</f>
        <v>BUY</v>
      </c>
      <c r="J1094" s="101" t="s">
        <v>1229</v>
      </c>
      <c r="K1094" s="102">
        <v>20629000</v>
      </c>
      <c r="L1094" s="99"/>
      <c r="M1094" s="103">
        <f>LS[[#This Row],[Amount]]/LS[[#This Row],[Unit]]</f>
        <v>12.611001140730433</v>
      </c>
      <c r="N1094" s="104">
        <f>LS[[#This Row],[Unit Capital]]/10</f>
        <v>1635794</v>
      </c>
      <c r="O1094" s="104">
        <f>SUMIFS(LS[[#Headers],[Unit]]:LS[[#This Row],[Unit]],LS[[#Headers],[Investor ID]]:LS[[#This Row],[Investor ID]],LS[[#This Row],[Investor ID]])</f>
        <v>1635794</v>
      </c>
      <c r="P1094" s="102">
        <v>16357940</v>
      </c>
      <c r="Q1094" s="102">
        <f>LS[[#This Row],[Amount]]-LS[[#This Row],[Unit Capital]]</f>
        <v>4271060</v>
      </c>
      <c r="R10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12.611001140730433</v>
      </c>
      <c r="S1094" s="103">
        <f t="shared" si="17"/>
        <v>14.224</v>
      </c>
      <c r="T10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4" s="102" cm="1">
        <f t="array" ref="U1094">IF(LS[[#This Row],[B/S]]="S",ABS(LS[[#This Row],[Unit]])*(INDEX(LS[NAV at Cost (Average)],MATCH(CONCATENATE((LS[[#This Row],[Frequency]]-1),LS[[#This Row],[Investor ID]]),LS[Unique Code],0),0)),0)</f>
        <v>0</v>
      </c>
      <c r="V1094" s="102">
        <f>IF(LS[[#This Row],[BO TRANSFER]]="YES",LS[[#This Row],[Unit]],)</f>
        <v>0</v>
      </c>
      <c r="W1094" s="102">
        <f>SUMIFS(LS[[#Headers],[BO UNIT TRANSFER]]:LS[[#This Row],[BO UNIT TRANSFER]],LS[[#Headers],[Investor ID]]:LS[[#This Row],[Investor ID]],LS[[#This Row],[Investor ID]])</f>
        <v>0</v>
      </c>
    </row>
    <row r="1095" spans="1:23">
      <c r="A1095" s="101">
        <v>2025</v>
      </c>
      <c r="B1095" s="101">
        <v>7</v>
      </c>
      <c r="C1095" s="101">
        <v>16</v>
      </c>
      <c r="D1095" s="98">
        <f>DATE(LS[[#This Row],[Year]],LS[[#This Row],[Month]],LS[[#This Row],[Day]])</f>
        <v>45854</v>
      </c>
      <c r="E1095" s="99" t="str" cm="1">
        <f t="array" ref="E1095">INDEX(INVESTORS_LIST[INVESTOR NAME],MATCH(LS[[#This Row],[Investor ID]],INVESTORS_LIST[INVESTOR CODE],0),)</f>
        <v>MD. MUSTAFA KAMAL</v>
      </c>
      <c r="F1095" s="100" t="s">
        <v>1300</v>
      </c>
      <c r="G1095" s="101">
        <f>COUNTIF(LS[[#Headers],[Investor ID]]:LS[[#This Row],[Investor ID]],LS[[#This Row],[Investor ID]])</f>
        <v>6</v>
      </c>
      <c r="H1095" s="101" t="str">
        <f>CONCATENATE(LS[[#This Row],[Frequency]],LS[[#This Row],[Investor ID]])</f>
        <v>6A00597</v>
      </c>
      <c r="I1095" s="75" t="str">
        <f>IF(LS[[#This Row],[B/S]]="B","BUY",(IF(LS[[#This Row],[B/S]]="S","SELL"," ")))</f>
        <v>BUY</v>
      </c>
      <c r="J1095" s="101" t="s">
        <v>1229</v>
      </c>
      <c r="K1095" s="102">
        <v>200000</v>
      </c>
      <c r="L1095" s="99"/>
      <c r="M1095" s="103">
        <f>LS[[#This Row],[Amount]]/LS[[#This Row],[Unit]]</f>
        <v>12.61113563276373</v>
      </c>
      <c r="N1095" s="104">
        <f>LS[[#This Row],[Unit Capital]]/10</f>
        <v>15859</v>
      </c>
      <c r="O1095" s="104">
        <f>SUMIFS(LS[[#Headers],[Unit]]:LS[[#This Row],[Unit]],LS[[#Headers],[Investor ID]]:LS[[#This Row],[Investor ID]],LS[[#This Row],[Investor ID]])</f>
        <v>35794</v>
      </c>
      <c r="P1095" s="102">
        <v>158590</v>
      </c>
      <c r="Q1095" s="102">
        <f>LS[[#This Row],[Amount]]-LS[[#This Row],[Unit Capital]]</f>
        <v>41410</v>
      </c>
      <c r="R10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12.571939431189586</v>
      </c>
      <c r="S1095" s="103">
        <f t="shared" si="17"/>
        <v>14.224</v>
      </c>
      <c r="T10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5" s="102" cm="1">
        <f t="array" ref="U1095">IF(LS[[#This Row],[B/S]]="S",ABS(LS[[#This Row],[Unit]])*(INDEX(LS[NAV at Cost (Average)],MATCH(CONCATENATE((LS[[#This Row],[Frequency]]-1),LS[[#This Row],[Investor ID]]),LS[Unique Code],0),0)),0)</f>
        <v>0</v>
      </c>
      <c r="V1095" s="102">
        <f>IF(LS[[#This Row],[BO TRANSFER]]="YES",LS[[#This Row],[Unit]],)</f>
        <v>0</v>
      </c>
      <c r="W1095" s="102">
        <f>SUMIFS(LS[[#Headers],[BO UNIT TRANSFER]]:LS[[#This Row],[BO UNIT TRANSFER]],LS[[#Headers],[Investor ID]]:LS[[#This Row],[Investor ID]],LS[[#This Row],[Investor ID]])</f>
        <v>0</v>
      </c>
    </row>
    <row r="1096" spans="1:23">
      <c r="A1096" s="101">
        <v>2025</v>
      </c>
      <c r="B1096" s="101">
        <v>7</v>
      </c>
      <c r="C1096" s="101">
        <v>16</v>
      </c>
      <c r="D1096" s="98">
        <f>DATE(LS[[#This Row],[Year]],LS[[#This Row],[Month]],LS[[#This Row],[Day]])</f>
        <v>45854</v>
      </c>
      <c r="E1096" s="99" t="str" cm="1">
        <f t="array" ref="E1096">INDEX(INVESTORS_LIST[INVESTOR NAME],MATCH(LS[[#This Row],[Investor ID]],INVESTORS_LIST[INVESTOR CODE],0),)</f>
        <v>MD. MUSTAFA KAMAL</v>
      </c>
      <c r="F1096" s="100" t="s">
        <v>1300</v>
      </c>
      <c r="G1096" s="101">
        <f>COUNTIF(LS[[#Headers],[Investor ID]]:LS[[#This Row],[Investor ID]],LS[[#This Row],[Investor ID]])</f>
        <v>7</v>
      </c>
      <c r="H1096" s="101" t="str">
        <f>CONCATENATE(LS[[#This Row],[Frequency]],LS[[#This Row],[Investor ID]])</f>
        <v>7A00597</v>
      </c>
      <c r="I1096" s="75" t="str">
        <f>IF(LS[[#This Row],[B/S]]="B","BUY",(IF(LS[[#This Row],[B/S]]="S","SELL"," ")))</f>
        <v>BUY</v>
      </c>
      <c r="J1096" s="101" t="s">
        <v>1229</v>
      </c>
      <c r="K1096" s="102">
        <v>135000</v>
      </c>
      <c r="L1096" s="99"/>
      <c r="M1096" s="103">
        <f>LS[[#This Row],[Amount]]/LS[[#This Row],[Unit]]</f>
        <v>12.610929472209248</v>
      </c>
      <c r="N1096" s="104">
        <f>LS[[#This Row],[Unit Capital]]/10</f>
        <v>10705</v>
      </c>
      <c r="O1096" s="104">
        <f>SUMIFS(LS[[#Headers],[Unit]]:LS[[#This Row],[Unit]],LS[[#Headers],[Investor ID]]:LS[[#This Row],[Investor ID]],LS[[#This Row],[Investor ID]])</f>
        <v>46499</v>
      </c>
      <c r="P1096" s="102">
        <v>107050</v>
      </c>
      <c r="Q1096" s="102">
        <f>LS[[#This Row],[Amount]]-LS[[#This Row],[Unit Capital]]</f>
        <v>27950</v>
      </c>
      <c r="R10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12.580915718617604</v>
      </c>
      <c r="S1096" s="103">
        <f t="shared" si="17"/>
        <v>14.224</v>
      </c>
      <c r="T109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6" s="102" cm="1">
        <f t="array" ref="U1096">IF(LS[[#This Row],[B/S]]="S",ABS(LS[[#This Row],[Unit]])*(INDEX(LS[NAV at Cost (Average)],MATCH(CONCATENATE((LS[[#This Row],[Frequency]]-1),LS[[#This Row],[Investor ID]]),LS[Unique Code],0),0)),0)</f>
        <v>0</v>
      </c>
      <c r="V1096" s="102">
        <f>IF(LS[[#This Row],[BO TRANSFER]]="YES",LS[[#This Row],[Unit]],)</f>
        <v>0</v>
      </c>
      <c r="W1096" s="102">
        <f>SUMIFS(LS[[#Headers],[BO UNIT TRANSFER]]:LS[[#This Row],[BO UNIT TRANSFER]],LS[[#Headers],[Investor ID]]:LS[[#This Row],[Investor ID]],LS[[#This Row],[Investor ID]])</f>
        <v>0</v>
      </c>
    </row>
    <row r="1097" spans="1:23">
      <c r="A1097" s="101">
        <v>2025</v>
      </c>
      <c r="B1097" s="101">
        <v>7</v>
      </c>
      <c r="C1097" s="101">
        <v>16</v>
      </c>
      <c r="D1097" s="98">
        <f>DATE(LS[[#This Row],[Year]],LS[[#This Row],[Month]],LS[[#This Row],[Day]])</f>
        <v>45854</v>
      </c>
      <c r="E1097" s="99" t="str" cm="1">
        <f t="array" ref="E1097">INDEX(INVESTORS_LIST[INVESTOR NAME],MATCH(LS[[#This Row],[Investor ID]],INVESTORS_LIST[INVESTOR CODE],0),)</f>
        <v>UMME SALMA KATHA</v>
      </c>
      <c r="F1097" s="97" t="s">
        <v>616</v>
      </c>
      <c r="G1097" s="101">
        <f>COUNTIF(LS[[#Headers],[Investor ID]]:LS[[#This Row],[Investor ID]],LS[[#This Row],[Investor ID]])</f>
        <v>1</v>
      </c>
      <c r="H1097" s="101" t="str">
        <f>CONCATENATE(LS[[#This Row],[Frequency]],LS[[#This Row],[Investor ID]])</f>
        <v>1A00284</v>
      </c>
      <c r="I1097" s="75" t="str">
        <f>IF(LS[[#This Row],[B/S]]="B","BUY",(IF(LS[[#This Row],[B/S]]="S","SELL"," ")))</f>
        <v>BUY</v>
      </c>
      <c r="J1097" s="101" t="s">
        <v>1229</v>
      </c>
      <c r="K1097" s="102">
        <v>882770</v>
      </c>
      <c r="L1097" s="99"/>
      <c r="M1097" s="103">
        <f>LS[[#This Row],[Amount]]/LS[[#This Row],[Unit]]</f>
        <v>12.611000000000001</v>
      </c>
      <c r="N1097" s="104">
        <f>LS[[#This Row],[Unit Capital]]/10</f>
        <v>70000</v>
      </c>
      <c r="O1097" s="104">
        <f>SUMIFS(LS[[#Headers],[Unit]]:LS[[#This Row],[Unit]],LS[[#Headers],[Investor ID]]:LS[[#This Row],[Investor ID]],LS[[#This Row],[Investor ID]])</f>
        <v>70000</v>
      </c>
      <c r="P1097" s="102">
        <v>700000</v>
      </c>
      <c r="Q1097" s="102">
        <f>LS[[#This Row],[Amount]]-LS[[#This Row],[Unit Capital]]</f>
        <v>182770</v>
      </c>
      <c r="R10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12.611000000000001</v>
      </c>
      <c r="S1097" s="103">
        <f t="shared" si="17"/>
        <v>14.224</v>
      </c>
      <c r="T109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7" s="102" cm="1">
        <f t="array" ref="U1097">IF(LS[[#This Row],[B/S]]="S",ABS(LS[[#This Row],[Unit]])*(INDEX(LS[NAV at Cost (Average)],MATCH(CONCATENATE((LS[[#This Row],[Frequency]]-1),LS[[#This Row],[Investor ID]]),LS[Unique Code],0),0)),0)</f>
        <v>0</v>
      </c>
      <c r="V1097" s="102">
        <f>IF(LS[[#This Row],[BO TRANSFER]]="YES",LS[[#This Row],[Unit]],)</f>
        <v>0</v>
      </c>
      <c r="W1097" s="102">
        <f>SUMIFS(LS[[#Headers],[BO UNIT TRANSFER]]:LS[[#This Row],[BO UNIT TRANSFER]],LS[[#Headers],[Investor ID]]:LS[[#This Row],[Investor ID]],LS[[#This Row],[Investor ID]])</f>
        <v>0</v>
      </c>
    </row>
    <row r="1098" spans="1:23">
      <c r="A1098" s="101">
        <v>2025</v>
      </c>
      <c r="B1098" s="101">
        <v>7</v>
      </c>
      <c r="C1098" s="101">
        <v>16</v>
      </c>
      <c r="D1098" s="98">
        <f>DATE(LS[[#This Row],[Year]],LS[[#This Row],[Month]],LS[[#This Row],[Day]])</f>
        <v>45854</v>
      </c>
      <c r="E1098" t="str" cm="1">
        <f t="array" ref="E1098">INDEX(INVESTORS_LIST[INVESTOR NAME],MATCH(LS[[#This Row],[Investor ID]],INVESTORS_LIST[INVESTOR CODE],0),)</f>
        <v>EKUSH WEALTH MANAGEMENT LIMITED</v>
      </c>
      <c r="F1098" s="100" t="s">
        <v>47</v>
      </c>
      <c r="G1098" s="101">
        <f>COUNTIF(LS[[#Headers],[Investor ID]]:LS[[#This Row],[Investor ID]],LS[[#This Row],[Investor ID]])</f>
        <v>29</v>
      </c>
      <c r="H1098" s="101" t="str">
        <f>CONCATENATE(LS[[#This Row],[Frequency]],LS[[#This Row],[Investor ID]])</f>
        <v>29A00003</v>
      </c>
      <c r="I1098" s="75" t="str">
        <f>IF(LS[[#This Row],[B/S]]="B","BUY",(IF(LS[[#This Row],[B/S]]="S","SELL"," ")))</f>
        <v>BUY</v>
      </c>
      <c r="J1098" s="101" t="s">
        <v>1229</v>
      </c>
      <c r="K1098" s="102">
        <v>4000000</v>
      </c>
      <c r="L1098" s="99"/>
      <c r="M1098" s="103">
        <f>LS[[#This Row],[Amount]]/LS[[#This Row],[Unit]]</f>
        <v>12.611016353335456</v>
      </c>
      <c r="N1098" s="104">
        <f>LS[[#This Row],[Unit Capital]]/10</f>
        <v>317183</v>
      </c>
      <c r="O1098" s="104">
        <f>SUMIFS(LS[[#Headers],[Unit]]:LS[[#This Row],[Unit]],LS[[#Headers],[Investor ID]]:LS[[#This Row],[Investor ID]],LS[[#This Row],[Investor ID]])</f>
        <v>729739</v>
      </c>
      <c r="P1098" s="102">
        <v>3171830</v>
      </c>
      <c r="Q1098" s="102">
        <f>LS[[#This Row],[Amount]]-LS[[#This Row],[Unit Capital]]</f>
        <v>828170</v>
      </c>
      <c r="R10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098" s="103">
        <f t="shared" si="17"/>
        <v>14.224</v>
      </c>
      <c r="T109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8" s="102" cm="1">
        <f t="array" ref="U1098">IF(LS[[#This Row],[B/S]]="S",ABS(LS[[#This Row],[Unit]])*(INDEX(LS[NAV at Cost (Average)],MATCH(CONCATENATE((LS[[#This Row],[Frequency]]-1),LS[[#This Row],[Investor ID]]),LS[Unique Code],0),0)),0)</f>
        <v>0</v>
      </c>
      <c r="V1098" s="102">
        <f>IF(LS[[#This Row],[BO TRANSFER]]="YES",LS[[#This Row],[Unit]],)</f>
        <v>0</v>
      </c>
      <c r="W1098" s="102">
        <f>SUMIFS(LS[[#Headers],[BO UNIT TRANSFER]]:LS[[#This Row],[BO UNIT TRANSFER]],LS[[#Headers],[Investor ID]]:LS[[#This Row],[Investor ID]],LS[[#This Row],[Investor ID]])</f>
        <v>0</v>
      </c>
    </row>
    <row r="1099" spans="1:23">
      <c r="A1099" s="101">
        <v>2025</v>
      </c>
      <c r="B1099" s="101">
        <v>7</v>
      </c>
      <c r="C1099" s="101">
        <v>16</v>
      </c>
      <c r="D1099" s="98">
        <f>DATE(LS[[#This Row],[Year]],LS[[#This Row],[Month]],LS[[#This Row],[Day]])</f>
        <v>45854</v>
      </c>
      <c r="E1099" s="99" t="str" cm="1">
        <f t="array" ref="E1099">INDEX(INVESTORS_LIST[INVESTOR NAME],MATCH(LS[[#This Row],[Investor ID]],INVESTORS_LIST[INVESTOR CODE],0),)</f>
        <v>SUKANTA SAHA</v>
      </c>
      <c r="F1099" s="97" t="s">
        <v>1408</v>
      </c>
      <c r="G1099" s="101">
        <f>COUNTIF(LS[[#Headers],[Investor ID]]:LS[[#This Row],[Investor ID]],LS[[#This Row],[Investor ID]])</f>
        <v>1</v>
      </c>
      <c r="H1099" s="101" t="str">
        <f>CONCATENATE(LS[[#This Row],[Frequency]],LS[[#This Row],[Investor ID]])</f>
        <v>1A00647</v>
      </c>
      <c r="I1099" s="75" t="str">
        <f>IF(LS[[#This Row],[B/S]]="B","BUY",(IF(LS[[#This Row],[B/S]]="S","SELL"," ")))</f>
        <v>BUY</v>
      </c>
      <c r="J1099" s="101" t="s">
        <v>1229</v>
      </c>
      <c r="K1099" s="102">
        <v>300000</v>
      </c>
      <c r="L1099" s="99" t="s">
        <v>1230</v>
      </c>
      <c r="M1099" s="103">
        <f>LS[[#This Row],[Amount]]/LS[[#This Row],[Unit]]</f>
        <v>12.610870570431713</v>
      </c>
      <c r="N1099" s="104">
        <f>LS[[#This Row],[Unit Capital]]/10</f>
        <v>23789</v>
      </c>
      <c r="O1099" s="104">
        <f>SUMIFS(LS[[#Headers],[Unit]]:LS[[#This Row],[Unit]],LS[[#Headers],[Investor ID]]:LS[[#This Row],[Investor ID]],LS[[#This Row],[Investor ID]])</f>
        <v>23789</v>
      </c>
      <c r="P1099" s="102">
        <v>237890</v>
      </c>
      <c r="Q1099" s="102">
        <f>LS[[#This Row],[Amount]]-LS[[#This Row],[Unit Capital]]</f>
        <v>62110</v>
      </c>
      <c r="R10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12.610870570431713</v>
      </c>
      <c r="S1099" s="103">
        <f t="shared" si="17"/>
        <v>14.224</v>
      </c>
      <c r="T109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099" s="102" cm="1">
        <f t="array" ref="U1099">IF(LS[[#This Row],[B/S]]="S",ABS(LS[[#This Row],[Unit]])*(INDEX(LS[NAV at Cost (Average)],MATCH(CONCATENATE((LS[[#This Row],[Frequency]]-1),LS[[#This Row],[Investor ID]]),LS[Unique Code],0),0)),0)</f>
        <v>0</v>
      </c>
      <c r="V1099" s="102">
        <f>IF(LS[[#This Row],[BO TRANSFER]]="YES",LS[[#This Row],[Unit]],)</f>
        <v>23789</v>
      </c>
      <c r="W1099" s="102">
        <f>SUMIFS(LS[[#Headers],[BO UNIT TRANSFER]]:LS[[#This Row],[BO UNIT TRANSFER]],LS[[#Headers],[Investor ID]]:LS[[#This Row],[Investor ID]],LS[[#This Row],[Investor ID]])</f>
        <v>23789</v>
      </c>
    </row>
    <row r="1100" spans="1:23">
      <c r="A1100" s="101">
        <v>2025</v>
      </c>
      <c r="B1100" s="101">
        <v>7</v>
      </c>
      <c r="C1100" s="101">
        <v>16</v>
      </c>
      <c r="D1100" s="98">
        <f>DATE(LS[[#This Row],[Year]],LS[[#This Row],[Month]],LS[[#This Row],[Day]])</f>
        <v>45854</v>
      </c>
      <c r="E1100" s="99" t="str" cm="1">
        <f t="array" ref="E1100">INDEX(INVESTORS_LIST[INVESTOR NAME],MATCH(LS[[#This Row],[Investor ID]],INVESTORS_LIST[INVESTOR CODE],0),)</f>
        <v>SUKANTA SAHA</v>
      </c>
      <c r="F1100" s="97" t="s">
        <v>1408</v>
      </c>
      <c r="G1100" s="101">
        <f>COUNTIF(LS[[#Headers],[Investor ID]]:LS[[#This Row],[Investor ID]],LS[[#This Row],[Investor ID]])</f>
        <v>2</v>
      </c>
      <c r="H1100" s="101" t="str">
        <f>CONCATENATE(LS[[#This Row],[Frequency]],LS[[#This Row],[Investor ID]])</f>
        <v>2A00647</v>
      </c>
      <c r="I1100" s="75" t="str">
        <f>IF(LS[[#This Row],[B/S]]="B","BUY",(IF(LS[[#This Row],[B/S]]="S","SELL"," ")))</f>
        <v>BUY</v>
      </c>
      <c r="J1100" s="101" t="s">
        <v>1229</v>
      </c>
      <c r="K1100" s="102">
        <v>200000</v>
      </c>
      <c r="L1100" s="99" t="s">
        <v>1230</v>
      </c>
      <c r="M1100" s="103">
        <f>LS[[#This Row],[Amount]]/LS[[#This Row],[Unit]]</f>
        <v>12.61113563276373</v>
      </c>
      <c r="N1100" s="104">
        <f>LS[[#This Row],[Unit Capital]]/10</f>
        <v>15859</v>
      </c>
      <c r="O1100" s="104">
        <f>SUMIFS(LS[[#Headers],[Unit]]:LS[[#This Row],[Unit]],LS[[#Headers],[Investor ID]]:LS[[#This Row],[Investor ID]],LS[[#This Row],[Investor ID]])</f>
        <v>39648</v>
      </c>
      <c r="P1100" s="102">
        <v>158590</v>
      </c>
      <c r="Q1100" s="102">
        <f>LS[[#This Row],[Amount]]-LS[[#This Row],[Unit Capital]]</f>
        <v>41410</v>
      </c>
      <c r="R11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12.610976594027441</v>
      </c>
      <c r="S1100" s="103">
        <f t="shared" si="17"/>
        <v>14.224</v>
      </c>
      <c r="T11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0" s="102" cm="1">
        <f t="array" ref="U1100">IF(LS[[#This Row],[B/S]]="S",ABS(LS[[#This Row],[Unit]])*(INDEX(LS[NAV at Cost (Average)],MATCH(CONCATENATE((LS[[#This Row],[Frequency]]-1),LS[[#This Row],[Investor ID]]),LS[Unique Code],0),0)),0)</f>
        <v>0</v>
      </c>
      <c r="V1100" s="102">
        <f>IF(LS[[#This Row],[BO TRANSFER]]="YES",LS[[#This Row],[Unit]],)</f>
        <v>15859</v>
      </c>
      <c r="W1100" s="102">
        <f>SUMIFS(LS[[#Headers],[BO UNIT TRANSFER]]:LS[[#This Row],[BO UNIT TRANSFER]],LS[[#Headers],[Investor ID]]:LS[[#This Row],[Investor ID]],LS[[#This Row],[Investor ID]])</f>
        <v>39648</v>
      </c>
    </row>
    <row r="1101" spans="1:23">
      <c r="A1101" s="101">
        <v>2025</v>
      </c>
      <c r="B1101" s="101">
        <v>7</v>
      </c>
      <c r="C1101" s="101">
        <v>16</v>
      </c>
      <c r="D1101" s="98">
        <f>DATE(LS[[#This Row],[Year]],LS[[#This Row],[Month]],LS[[#This Row],[Day]])</f>
        <v>45854</v>
      </c>
      <c r="E1101" s="99" t="str" cm="1">
        <f t="array" ref="E1101">INDEX(INVESTORS_LIST[INVESTOR NAME],MATCH(LS[[#This Row],[Investor ID]],INVESTORS_LIST[INVESTOR CODE],0),)</f>
        <v>SYED FAZLE RABBY</v>
      </c>
      <c r="F1101" s="100" t="s">
        <v>166</v>
      </c>
      <c r="G1101" s="101">
        <f>COUNTIF(LS[[#Headers],[Investor ID]]:LS[[#This Row],[Investor ID]],LS[[#This Row],[Investor ID]])</f>
        <v>44</v>
      </c>
      <c r="H1101" s="101" t="str">
        <f>CONCATENATE(LS[[#This Row],[Frequency]],LS[[#This Row],[Investor ID]])</f>
        <v>44A00059</v>
      </c>
      <c r="I1101" s="75" t="str">
        <f>IF(LS[[#This Row],[B/S]]="B","BUY",(IF(LS[[#This Row],[B/S]]="S","SELL"," ")))</f>
        <v>BUY</v>
      </c>
      <c r="J1101" s="101" t="s">
        <v>1229</v>
      </c>
      <c r="K1101" s="102">
        <v>200000</v>
      </c>
      <c r="L1101" s="99"/>
      <c r="M1101" s="103">
        <f>LS[[#This Row],[Amount]]/LS[[#This Row],[Unit]]</f>
        <v>12.61113563276373</v>
      </c>
      <c r="N1101" s="104">
        <f>LS[[#This Row],[Unit Capital]]/10</f>
        <v>15859</v>
      </c>
      <c r="O1101" s="104">
        <f>SUMIFS(LS[[#Headers],[Unit]]:LS[[#This Row],[Unit]],LS[[#Headers],[Investor ID]]:LS[[#This Row],[Investor ID]],LS[[#This Row],[Investor ID]])</f>
        <v>584053</v>
      </c>
      <c r="P1101" s="102">
        <v>158590</v>
      </c>
      <c r="Q1101" s="102">
        <f>LS[[#This Row],[Amount]]-LS[[#This Row],[Unit Capital]]</f>
        <v>41410</v>
      </c>
      <c r="R11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12.398542598017645</v>
      </c>
      <c r="S1101" s="103">
        <f t="shared" si="17"/>
        <v>14.224</v>
      </c>
      <c r="T110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1" s="102" cm="1">
        <f t="array" ref="U1101">IF(LS[[#This Row],[B/S]]="S",ABS(LS[[#This Row],[Unit]])*(INDEX(LS[NAV at Cost (Average)],MATCH(CONCATENATE((LS[[#This Row],[Frequency]]-1),LS[[#This Row],[Investor ID]]),LS[Unique Code],0),0)),0)</f>
        <v>0</v>
      </c>
      <c r="V1101" s="102">
        <f>IF(LS[[#This Row],[BO TRANSFER]]="YES",LS[[#This Row],[Unit]],)</f>
        <v>0</v>
      </c>
      <c r="W1101" s="102">
        <f>SUMIFS(LS[[#Headers],[BO UNIT TRANSFER]]:LS[[#This Row],[BO UNIT TRANSFER]],LS[[#Headers],[Investor ID]]:LS[[#This Row],[Investor ID]],LS[[#This Row],[Investor ID]])</f>
        <v>0</v>
      </c>
    </row>
    <row r="1102" spans="1:23">
      <c r="A1102" s="101">
        <v>2025</v>
      </c>
      <c r="B1102" s="101">
        <v>7</v>
      </c>
      <c r="C1102" s="101">
        <v>17</v>
      </c>
      <c r="D1102" s="98">
        <f>DATE(LS[[#This Row],[Year]],LS[[#This Row],[Month]],LS[[#This Row],[Day]])</f>
        <v>45855</v>
      </c>
      <c r="E1102" s="99" t="str" cm="1">
        <f t="array" ref="E1102">INDEX(INVESTORS_LIST[INVESTOR NAME],MATCH(LS[[#This Row],[Investor ID]],INVESTORS_LIST[INVESTOR CODE],0),)</f>
        <v>MD. ABUL KALAM AZAD</v>
      </c>
      <c r="F1102" s="100" t="s">
        <v>1373</v>
      </c>
      <c r="G1102" s="101">
        <f>COUNTIF(LS[[#Headers],[Investor ID]]:LS[[#This Row],[Investor ID]],LS[[#This Row],[Investor ID]])</f>
        <v>2</v>
      </c>
      <c r="H1102" s="101" t="str">
        <f>CONCATENATE(LS[[#This Row],[Frequency]],LS[[#This Row],[Investor ID]])</f>
        <v>2A00634</v>
      </c>
      <c r="I1102" s="75" t="str">
        <f>IF(LS[[#This Row],[B/S]]="B","BUY",(IF(LS[[#This Row],[B/S]]="S","SELL"," ")))</f>
        <v>SELL</v>
      </c>
      <c r="J1102" s="101" t="s">
        <v>1231</v>
      </c>
      <c r="K1102" s="102">
        <v>-301175.90000000002</v>
      </c>
      <c r="L1102" s="99"/>
      <c r="M1102" s="103">
        <f>LS[[#This Row],[Amount]]/LS[[#This Row],[Unit]]</f>
        <v>12.61099991625492</v>
      </c>
      <c r="N1102" s="104">
        <f>LS[[#This Row],[Unit Capital]]/10</f>
        <v>-23882</v>
      </c>
      <c r="O1102" s="104">
        <f>SUMIFS(LS[[#Headers],[Unit]]:LS[[#This Row],[Unit]],LS[[#Headers],[Investor ID]]:LS[[#This Row],[Investor ID]],LS[[#This Row],[Investor ID]])</f>
        <v>0</v>
      </c>
      <c r="P1102" s="102">
        <v>-238820</v>
      </c>
      <c r="Q1102" s="102">
        <f>LS[[#This Row],[Amount]]-LS[[#This Row],[Unit Capital]]</f>
        <v>-62355.900000000023</v>
      </c>
      <c r="R11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02" s="103">
        <f t="shared" si="17"/>
        <v>14.224</v>
      </c>
      <c r="T1102" s="102">
        <f>IF(LS[[#This Row],[B/S]]="B",0,ABS(LS[[#This Row],[Unit]])*(LS[[#This Row],[NAV (Strike Rate)]]-INDEX(LS[NAV at Cost (Average)],MATCH(CONCATENATE(LS[[#This Row],[Frequency]]-1,LS[[#This Row],[Investor ID]]),LS[Unique Code],0),)))</f>
        <v>1175.9000000000076</v>
      </c>
      <c r="U1102" s="102" cm="1">
        <f t="array" ref="U1102">IF(LS[[#This Row],[B/S]]="S",ABS(LS[[#This Row],[Unit]])*(INDEX(LS[NAV at Cost (Average)],MATCH(CONCATENATE((LS[[#This Row],[Frequency]]-1),LS[[#This Row],[Investor ID]]),LS[Unique Code],0),0)),0)</f>
        <v>300000</v>
      </c>
      <c r="V1102" s="102">
        <f>IF(LS[[#This Row],[BO TRANSFER]]="YES",LS[[#This Row],[Unit]],)</f>
        <v>0</v>
      </c>
      <c r="W1102" s="102">
        <f>SUMIFS(LS[[#Headers],[BO UNIT TRANSFER]]:LS[[#This Row],[BO UNIT TRANSFER]],LS[[#Headers],[Investor ID]]:LS[[#This Row],[Investor ID]],LS[[#This Row],[Investor ID]])</f>
        <v>0</v>
      </c>
    </row>
    <row r="1103" spans="1:23">
      <c r="A1103" s="101">
        <v>2025</v>
      </c>
      <c r="B1103" s="101">
        <v>7</v>
      </c>
      <c r="C1103" s="101">
        <v>17</v>
      </c>
      <c r="D1103" s="98">
        <f>DATE(LS[[#This Row],[Year]],LS[[#This Row],[Month]],LS[[#This Row],[Day]])</f>
        <v>45855</v>
      </c>
      <c r="E1103" s="99" t="str" cm="1">
        <f t="array" ref="E1103">INDEX(INVESTORS_LIST[INVESTOR NAME],MATCH(LS[[#This Row],[Investor ID]],INVESTORS_LIST[INVESTOR CODE],0),)</f>
        <v>K. M. ROHAN AHMED</v>
      </c>
      <c r="F1103" s="100" t="s">
        <v>1409</v>
      </c>
      <c r="G1103" s="101">
        <f>COUNTIF(LS[[#Headers],[Investor ID]]:LS[[#This Row],[Investor ID]],LS[[#This Row],[Investor ID]])</f>
        <v>1</v>
      </c>
      <c r="H1103" s="101" t="str">
        <f>CONCATENATE(LS[[#This Row],[Frequency]],LS[[#This Row],[Investor ID]])</f>
        <v>1A00648</v>
      </c>
      <c r="I1103" s="75" t="str">
        <f>IF(LS[[#This Row],[B/S]]="B","BUY",(IF(LS[[#This Row],[B/S]]="S","SELL"," ")))</f>
        <v>BUY</v>
      </c>
      <c r="J1103" s="101" t="s">
        <v>1229</v>
      </c>
      <c r="K1103" s="102">
        <v>10000</v>
      </c>
      <c r="L1103" s="99"/>
      <c r="M1103" s="103">
        <f>LS[[#This Row],[Amount]]/LS[[#This Row],[Unit]]</f>
        <v>12.610340479192939</v>
      </c>
      <c r="N1103" s="104">
        <f>LS[[#This Row],[Unit Capital]]/10</f>
        <v>793</v>
      </c>
      <c r="O1103" s="104">
        <f>SUMIFS(LS[[#Headers],[Unit]]:LS[[#This Row],[Unit]],LS[[#Headers],[Investor ID]]:LS[[#This Row],[Investor ID]],LS[[#This Row],[Investor ID]])</f>
        <v>793</v>
      </c>
      <c r="P1103" s="102">
        <v>7930</v>
      </c>
      <c r="Q1103" s="102">
        <f>LS[[#This Row],[Amount]]-LS[[#This Row],[Unit Capital]]</f>
        <v>2070</v>
      </c>
      <c r="R11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12.610340479192939</v>
      </c>
      <c r="S1103" s="103">
        <f t="shared" si="17"/>
        <v>14.224</v>
      </c>
      <c r="T110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3" s="102" cm="1">
        <f t="array" ref="U1103">IF(LS[[#This Row],[B/S]]="S",ABS(LS[[#This Row],[Unit]])*(INDEX(LS[NAV at Cost (Average)],MATCH(CONCATENATE((LS[[#This Row],[Frequency]]-1),LS[[#This Row],[Investor ID]]),LS[Unique Code],0),0)),0)</f>
        <v>0</v>
      </c>
      <c r="V1103" s="102">
        <f>IF(LS[[#This Row],[BO TRANSFER]]="YES",LS[[#This Row],[Unit]],)</f>
        <v>0</v>
      </c>
      <c r="W1103" s="102">
        <f>SUMIFS(LS[[#Headers],[BO UNIT TRANSFER]]:LS[[#This Row],[BO UNIT TRANSFER]],LS[[#Headers],[Investor ID]]:LS[[#This Row],[Investor ID]],LS[[#This Row],[Investor ID]])</f>
        <v>0</v>
      </c>
    </row>
    <row r="1104" spans="1:23">
      <c r="A1104" s="101">
        <v>2025</v>
      </c>
      <c r="B1104" s="101">
        <v>7</v>
      </c>
      <c r="C1104" s="101">
        <v>17</v>
      </c>
      <c r="D1104" s="98">
        <f>DATE(LS[[#This Row],[Year]],LS[[#This Row],[Month]],LS[[#This Row],[Day]])</f>
        <v>45855</v>
      </c>
      <c r="E1104" s="99" t="str" cm="1">
        <f t="array" ref="E1104">INDEX(INVESTORS_LIST[INVESTOR NAME],MATCH(LS[[#This Row],[Investor ID]],INVESTORS_LIST[INVESTOR CODE],0),)</f>
        <v>K. M. ROHAN AHMED</v>
      </c>
      <c r="F1104" s="100" t="s">
        <v>1409</v>
      </c>
      <c r="G1104" s="101">
        <f>COUNTIF(LS[[#Headers],[Investor ID]]:LS[[#This Row],[Investor ID]],LS[[#This Row],[Investor ID]])</f>
        <v>2</v>
      </c>
      <c r="H1104" s="101" t="str">
        <f>CONCATENATE(LS[[#This Row],[Frequency]],LS[[#This Row],[Investor ID]])</f>
        <v>2A00648</v>
      </c>
      <c r="I1104" s="75" t="str">
        <f>IF(LS[[#This Row],[B/S]]="B","BUY",(IF(LS[[#This Row],[B/S]]="S","SELL"," ")))</f>
        <v>BUY</v>
      </c>
      <c r="J1104" s="101" t="s">
        <v>1229</v>
      </c>
      <c r="K1104" s="102">
        <v>995000</v>
      </c>
      <c r="L1104" s="99"/>
      <c r="M1104" s="103">
        <f>LS[[#This Row],[Amount]]/LS[[#This Row],[Unit]]</f>
        <v>12.611059709248533</v>
      </c>
      <c r="N1104" s="104">
        <f>LS[[#This Row],[Unit Capital]]/10</f>
        <v>78899</v>
      </c>
      <c r="O1104" s="104">
        <f>SUMIFS(LS[[#Headers],[Unit]]:LS[[#This Row],[Unit]],LS[[#Headers],[Investor ID]]:LS[[#This Row],[Investor ID]],LS[[#This Row],[Investor ID]])</f>
        <v>79692</v>
      </c>
      <c r="P1104" s="102">
        <v>788990</v>
      </c>
      <c r="Q1104" s="102">
        <f>LS[[#This Row],[Amount]]-LS[[#This Row],[Unit Capital]]</f>
        <v>206010</v>
      </c>
      <c r="R11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12.611052552326457</v>
      </c>
      <c r="S1104" s="103">
        <f t="shared" si="17"/>
        <v>14.224</v>
      </c>
      <c r="T110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4" s="102" cm="1">
        <f t="array" ref="U1104">IF(LS[[#This Row],[B/S]]="S",ABS(LS[[#This Row],[Unit]])*(INDEX(LS[NAV at Cost (Average)],MATCH(CONCATENATE((LS[[#This Row],[Frequency]]-1),LS[[#This Row],[Investor ID]]),LS[Unique Code],0),0)),0)</f>
        <v>0</v>
      </c>
      <c r="V1104" s="102">
        <f>IF(LS[[#This Row],[BO TRANSFER]]="YES",LS[[#This Row],[Unit]],)</f>
        <v>0</v>
      </c>
      <c r="W1104" s="102">
        <f>SUMIFS(LS[[#Headers],[BO UNIT TRANSFER]]:LS[[#This Row],[BO UNIT TRANSFER]],LS[[#Headers],[Investor ID]]:LS[[#This Row],[Investor ID]],LS[[#This Row],[Investor ID]])</f>
        <v>0</v>
      </c>
    </row>
    <row r="1105" spans="1:23">
      <c r="A1105" s="101">
        <v>2025</v>
      </c>
      <c r="B1105" s="101">
        <v>7</v>
      </c>
      <c r="C1105" s="101">
        <v>17</v>
      </c>
      <c r="D1105" s="98">
        <f>DATE(LS[[#This Row],[Year]],LS[[#This Row],[Month]],LS[[#This Row],[Day]])</f>
        <v>45855</v>
      </c>
      <c r="E1105" s="99" t="str" cm="1">
        <f t="array" ref="E1105">INDEX(INVESTORS_LIST[INVESTOR NAME],MATCH(LS[[#This Row],[Investor ID]],INVESTORS_LIST[INVESTOR CODE],0),)</f>
        <v>MD. ASHIKUR RAHMAN MILON</v>
      </c>
      <c r="F1105" s="100" t="s">
        <v>1370</v>
      </c>
      <c r="G1105" s="101">
        <f>COUNTIF(LS[[#Headers],[Investor ID]]:LS[[#This Row],[Investor ID]],LS[[#This Row],[Investor ID]])</f>
        <v>2</v>
      </c>
      <c r="H1105" s="101" t="str">
        <f>CONCATENATE(LS[[#This Row],[Frequency]],LS[[#This Row],[Investor ID]])</f>
        <v>2A00632</v>
      </c>
      <c r="I1105" s="75" t="str">
        <f>IF(LS[[#This Row],[B/S]]="B","BUY",(IF(LS[[#This Row],[B/S]]="S","SELL"," ")))</f>
        <v>SELL</v>
      </c>
      <c r="J1105" s="101" t="s">
        <v>1231</v>
      </c>
      <c r="K1105" s="102">
        <v>-250971.51</v>
      </c>
      <c r="L1105" s="99"/>
      <c r="M1105" s="103">
        <f>LS[[#This Row],[Amount]]/LS[[#This Row],[Unit]]</f>
        <v>12.610999949751269</v>
      </c>
      <c r="N1105" s="104">
        <f>LS[[#This Row],[Unit Capital]]/10</f>
        <v>-19901</v>
      </c>
      <c r="O1105" s="104">
        <f>SUMIFS(LS[[#Headers],[Unit]]:LS[[#This Row],[Unit]],LS[[#Headers],[Investor ID]]:LS[[#This Row],[Investor ID]],LS[[#This Row],[Investor ID]])</f>
        <v>0</v>
      </c>
      <c r="P1105" s="102">
        <v>-199010</v>
      </c>
      <c r="Q1105" s="102">
        <f>LS[[#This Row],[Amount]]-LS[[#This Row],[Unit Capital]]</f>
        <v>-51961.510000000009</v>
      </c>
      <c r="R11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05" s="103">
        <f t="shared" si="17"/>
        <v>14.224</v>
      </c>
      <c r="T1105" s="102">
        <f>IF(LS[[#This Row],[B/S]]="B",0,ABS(LS[[#This Row],[Unit]])*(LS[[#This Row],[NAV (Strike Rate)]]-INDEX(LS[NAV at Cost (Average)],MATCH(CONCATENATE(LS[[#This Row],[Frequency]]-1,LS[[#This Row],[Investor ID]]),LS[Unique Code],0),)))</f>
        <v>971.51000000000204</v>
      </c>
      <c r="U1105" s="102" cm="1">
        <f t="array" ref="U1105">IF(LS[[#This Row],[B/S]]="S",ABS(LS[[#This Row],[Unit]])*(INDEX(LS[NAV at Cost (Average)],MATCH(CONCATENATE((LS[[#This Row],[Frequency]]-1),LS[[#This Row],[Investor ID]]),LS[Unique Code],0),0)),0)</f>
        <v>250000</v>
      </c>
      <c r="V1105" s="102">
        <f>IF(LS[[#This Row],[BO TRANSFER]]="YES",LS[[#This Row],[Unit]],)</f>
        <v>0</v>
      </c>
      <c r="W1105" s="102">
        <f>SUMIFS(LS[[#Headers],[BO UNIT TRANSFER]]:LS[[#This Row],[BO UNIT TRANSFER]],LS[[#Headers],[Investor ID]]:LS[[#This Row],[Investor ID]],LS[[#This Row],[Investor ID]])</f>
        <v>0</v>
      </c>
    </row>
    <row r="1106" spans="1:23">
      <c r="A1106" s="101">
        <v>2025</v>
      </c>
      <c r="B1106" s="101">
        <v>7</v>
      </c>
      <c r="C1106" s="101">
        <v>17</v>
      </c>
      <c r="D1106" s="98">
        <f>DATE(LS[[#This Row],[Year]],LS[[#This Row],[Month]],LS[[#This Row],[Day]])</f>
        <v>45855</v>
      </c>
      <c r="E1106" s="99" t="str" cm="1">
        <f t="array" ref="E1106">INDEX(INVESTORS_LIST[INVESTOR NAME],MATCH(LS[[#This Row],[Investor ID]],INVESTORS_LIST[INVESTOR CODE],0),)</f>
        <v>FARIHA FARZANA</v>
      </c>
      <c r="F1106" s="100" t="s">
        <v>1161</v>
      </c>
      <c r="G1106" s="101">
        <f>COUNTIF(LS[[#Headers],[Investor ID]]:LS[[#This Row],[Investor ID]],LS[[#This Row],[Investor ID]])</f>
        <v>5</v>
      </c>
      <c r="H1106" s="101" t="str">
        <f>CONCATENATE(LS[[#This Row],[Frequency]],LS[[#This Row],[Investor ID]])</f>
        <v>5A00556</v>
      </c>
      <c r="I1106" s="75" t="str">
        <f>IF(LS[[#This Row],[B/S]]="B","BUY",(IF(LS[[#This Row],[B/S]]="S","SELL"," ")))</f>
        <v>SELL</v>
      </c>
      <c r="J1106" s="101" t="s">
        <v>1231</v>
      </c>
      <c r="K1106" s="102">
        <v>-156616.01</v>
      </c>
      <c r="L1106" s="99"/>
      <c r="M1106" s="103">
        <f>LS[[#This Row],[Amount]]/LS[[#This Row],[Unit]]</f>
        <v>12.611000080521782</v>
      </c>
      <c r="N1106" s="104">
        <f>LS[[#This Row],[Unit Capital]]/10</f>
        <v>-12419</v>
      </c>
      <c r="O1106" s="104">
        <f>SUMIFS(LS[[#Headers],[Unit]]:LS[[#This Row],[Unit]],LS[[#Headers],[Investor ID]]:LS[[#This Row],[Investor ID]],LS[[#This Row],[Investor ID]])</f>
        <v>3685</v>
      </c>
      <c r="P1106" s="102">
        <v>-124190</v>
      </c>
      <c r="Q1106" s="102">
        <f>LS[[#This Row],[Amount]]-LS[[#This Row],[Unit Capital]]</f>
        <v>-32426.010000000009</v>
      </c>
      <c r="R11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12.419274714356682</v>
      </c>
      <c r="S1106" s="103">
        <f t="shared" si="17"/>
        <v>14.224</v>
      </c>
      <c r="T1106" s="102">
        <f>IF(LS[[#This Row],[B/S]]="B",0,ABS(LS[[#This Row],[Unit]])*(LS[[#This Row],[NAV (Strike Rate)]]-INDEX(LS[NAV at Cost (Average)],MATCH(CONCATENATE(LS[[#This Row],[Frequency]]-1,LS[[#This Row],[Investor ID]]),LS[Unique Code],0),)))</f>
        <v>2381.037322404376</v>
      </c>
      <c r="U1106" s="102" cm="1">
        <f t="array" ref="U1106">IF(LS[[#This Row],[B/S]]="S",ABS(LS[[#This Row],[Unit]])*(INDEX(LS[NAV at Cost (Average)],MATCH(CONCATENATE((LS[[#This Row],[Frequency]]-1),LS[[#This Row],[Investor ID]]),LS[Unique Code],0),0)),0)</f>
        <v>154234.97267759562</v>
      </c>
      <c r="V1106" s="102">
        <f>IF(LS[[#This Row],[BO TRANSFER]]="YES",LS[[#This Row],[Unit]],)</f>
        <v>0</v>
      </c>
      <c r="W1106" s="102">
        <f>SUMIFS(LS[[#Headers],[BO UNIT TRANSFER]]:LS[[#This Row],[BO UNIT TRANSFER]],LS[[#Headers],[Investor ID]]:LS[[#This Row],[Investor ID]],LS[[#This Row],[Investor ID]])</f>
        <v>0</v>
      </c>
    </row>
    <row r="1107" spans="1:23">
      <c r="A1107" s="101">
        <v>2025</v>
      </c>
      <c r="B1107" s="101">
        <v>7</v>
      </c>
      <c r="C1107" s="101">
        <v>17</v>
      </c>
      <c r="D1107" s="98">
        <f>DATE(LS[[#This Row],[Year]],LS[[#This Row],[Month]],LS[[#This Row],[Day]])</f>
        <v>45855</v>
      </c>
      <c r="E1107" s="99" t="str" cm="1">
        <f t="array" ref="E1107">INDEX(INVESTORS_LIST[INVESTOR NAME],MATCH(LS[[#This Row],[Investor ID]],INVESTORS_LIST[INVESTOR CODE],0),)</f>
        <v>MUHAMMAD SHOHIDUZZAMAN</v>
      </c>
      <c r="F1107" s="100" t="s">
        <v>986</v>
      </c>
      <c r="G1107" s="101">
        <f>COUNTIF(LS[[#Headers],[Investor ID]]:LS[[#This Row],[Investor ID]],LS[[#This Row],[Investor ID]])</f>
        <v>12</v>
      </c>
      <c r="H1107" s="101" t="str">
        <f>CONCATENATE(LS[[#This Row],[Frequency]],LS[[#This Row],[Investor ID]])</f>
        <v>12A00470</v>
      </c>
      <c r="I1107" s="75" t="str">
        <f>IF(LS[[#This Row],[B/S]]="B","BUY",(IF(LS[[#This Row],[B/S]]="S","SELL"," ")))</f>
        <v>BUY</v>
      </c>
      <c r="J1107" s="101" t="s">
        <v>1229</v>
      </c>
      <c r="K1107" s="102">
        <v>6000000</v>
      </c>
      <c r="L1107" s="99" t="s">
        <v>1230</v>
      </c>
      <c r="M1107" s="103">
        <f>LS[[#This Row],[Amount]]/LS[[#This Row],[Unit]]</f>
        <v>12.611003100204929</v>
      </c>
      <c r="N1107" s="104">
        <f>LS[[#This Row],[Unit Capital]]/10</f>
        <v>475775</v>
      </c>
      <c r="O1107" s="104">
        <f>SUMIFS(LS[[#Headers],[Unit]]:LS[[#This Row],[Unit]],LS[[#Headers],[Investor ID]]:LS[[#This Row],[Investor ID]],LS[[#This Row],[Investor ID]])</f>
        <v>796109</v>
      </c>
      <c r="P1107" s="102">
        <v>4757750</v>
      </c>
      <c r="Q1107" s="102">
        <f>LS[[#This Row],[Amount]]-LS[[#This Row],[Unit Capital]]</f>
        <v>1242250</v>
      </c>
      <c r="R11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12.39313169416266</v>
      </c>
      <c r="S1107" s="103">
        <f t="shared" si="17"/>
        <v>14.224</v>
      </c>
      <c r="T110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7" s="102" cm="1">
        <f t="array" ref="U1107">IF(LS[[#This Row],[B/S]]="S",ABS(LS[[#This Row],[Unit]])*(INDEX(LS[NAV at Cost (Average)],MATCH(CONCATENATE((LS[[#This Row],[Frequency]]-1),LS[[#This Row],[Investor ID]]),LS[Unique Code],0),0)),0)</f>
        <v>0</v>
      </c>
      <c r="V1107" s="102">
        <f>IF(LS[[#This Row],[BO TRANSFER]]="YES",LS[[#This Row],[Unit]],)</f>
        <v>475775</v>
      </c>
      <c r="W1107" s="102">
        <f>SUMIFS(LS[[#Headers],[BO UNIT TRANSFER]]:LS[[#This Row],[BO UNIT TRANSFER]],LS[[#Headers],[Investor ID]]:LS[[#This Row],[Investor ID]],LS[[#This Row],[Investor ID]])</f>
        <v>347658</v>
      </c>
    </row>
    <row r="1108" spans="1:23">
      <c r="A1108" s="101">
        <v>2025</v>
      </c>
      <c r="B1108" s="101">
        <v>7</v>
      </c>
      <c r="C1108" s="101">
        <v>17</v>
      </c>
      <c r="D1108" s="98">
        <f>DATE(LS[[#This Row],[Year]],LS[[#This Row],[Month]],LS[[#This Row],[Day]])</f>
        <v>45855</v>
      </c>
      <c r="E1108" s="99" t="str" cm="1">
        <f t="array" ref="E1108">INDEX(INVESTORS_LIST[INVESTOR NAME],MATCH(LS[[#This Row],[Investor ID]],INVESTORS_LIST[INVESTOR CODE],0),)</f>
        <v>SULTANA RAZIA</v>
      </c>
      <c r="F1108" s="100" t="s">
        <v>511</v>
      </c>
      <c r="G1108" s="101">
        <f>COUNTIF(LS[[#Headers],[Investor ID]]:LS[[#This Row],[Investor ID]],LS[[#This Row],[Investor ID]])</f>
        <v>9</v>
      </c>
      <c r="H1108" s="101" t="str">
        <f>CONCATENATE(LS[[#This Row],[Frequency]],LS[[#This Row],[Investor ID]])</f>
        <v>9A00231</v>
      </c>
      <c r="I1108" s="75" t="str">
        <f>IF(LS[[#This Row],[B/S]]="B","BUY",(IF(LS[[#This Row],[B/S]]="S","SELL"," ")))</f>
        <v>BUY</v>
      </c>
      <c r="J1108" s="101" t="s">
        <v>1229</v>
      </c>
      <c r="K1108" s="102">
        <v>500000</v>
      </c>
      <c r="L1108" s="99"/>
      <c r="M1108" s="103">
        <f>LS[[#This Row],[Amount]]/LS[[#This Row],[Unit]]</f>
        <v>12.610976594027441</v>
      </c>
      <c r="N1108" s="104">
        <f>LS[[#This Row],[Unit Capital]]/10</f>
        <v>39648</v>
      </c>
      <c r="O1108" s="104">
        <f>SUMIFS(LS[[#Headers],[Unit]]:LS[[#This Row],[Unit]],LS[[#Headers],[Investor ID]]:LS[[#This Row],[Investor ID]],LS[[#This Row],[Investor ID]])</f>
        <v>79909</v>
      </c>
      <c r="P1108" s="102">
        <v>396480</v>
      </c>
      <c r="Q1108" s="102">
        <f>LS[[#This Row],[Amount]]-LS[[#This Row],[Unit Capital]]</f>
        <v>103520</v>
      </c>
      <c r="R11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12.514234942246805</v>
      </c>
      <c r="S1108" s="103">
        <f t="shared" si="17"/>
        <v>14.224</v>
      </c>
      <c r="T11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8" s="102" cm="1">
        <f t="array" ref="U1108">IF(LS[[#This Row],[B/S]]="S",ABS(LS[[#This Row],[Unit]])*(INDEX(LS[NAV at Cost (Average)],MATCH(CONCATENATE((LS[[#This Row],[Frequency]]-1),LS[[#This Row],[Investor ID]]),LS[Unique Code],0),0)),0)</f>
        <v>0</v>
      </c>
      <c r="V1108" s="102">
        <f>IF(LS[[#This Row],[BO TRANSFER]]="YES",LS[[#This Row],[Unit]],)</f>
        <v>0</v>
      </c>
      <c r="W1108" s="102">
        <f>SUMIFS(LS[[#Headers],[BO UNIT TRANSFER]]:LS[[#This Row],[BO UNIT TRANSFER]],LS[[#Headers],[Investor ID]]:LS[[#This Row],[Investor ID]],LS[[#This Row],[Investor ID]])</f>
        <v>0</v>
      </c>
    </row>
    <row r="1109" spans="1:23">
      <c r="A1109" s="101">
        <v>2025</v>
      </c>
      <c r="B1109" s="101">
        <v>7</v>
      </c>
      <c r="C1109" s="101">
        <v>17</v>
      </c>
      <c r="D1109" s="98">
        <f>DATE(LS[[#This Row],[Year]],LS[[#This Row],[Month]],LS[[#This Row],[Day]])</f>
        <v>45855</v>
      </c>
      <c r="E1109" s="99" t="str" cm="1">
        <f t="array" ref="E1109">INDEX(INVESTORS_LIST[INVESTOR NAME],MATCH(LS[[#This Row],[Investor ID]],INVESTORS_LIST[INVESTOR CODE],0),)</f>
        <v>SULTANA RAZIA</v>
      </c>
      <c r="F1109" s="100" t="s">
        <v>511</v>
      </c>
      <c r="G1109" s="101">
        <f>COUNTIF(LS[[#Headers],[Investor ID]]:LS[[#This Row],[Investor ID]],LS[[#This Row],[Investor ID]])</f>
        <v>10</v>
      </c>
      <c r="H1109" s="101" t="str">
        <f>CONCATENATE(LS[[#This Row],[Frequency]],LS[[#This Row],[Investor ID]])</f>
        <v>10A00231</v>
      </c>
      <c r="I1109" s="75" t="str">
        <f>IF(LS[[#This Row],[B/S]]="B","BUY",(IF(LS[[#This Row],[B/S]]="S","SELL"," ")))</f>
        <v>BUY</v>
      </c>
      <c r="J1109" s="101" t="s">
        <v>1229</v>
      </c>
      <c r="K1109" s="102">
        <v>700000</v>
      </c>
      <c r="L1109" s="99"/>
      <c r="M1109" s="103">
        <f>LS[[#This Row],[Amount]]/LS[[#This Row],[Unit]]</f>
        <v>12.611022033257067</v>
      </c>
      <c r="N1109" s="104">
        <f>LS[[#This Row],[Unit Capital]]/10</f>
        <v>55507</v>
      </c>
      <c r="O1109" s="104">
        <f>SUMIFS(LS[[#Headers],[Unit]]:LS[[#This Row],[Unit]],LS[[#Headers],[Investor ID]]:LS[[#This Row],[Investor ID]],LS[[#This Row],[Investor ID]])</f>
        <v>135416</v>
      </c>
      <c r="P1109" s="102">
        <v>555070</v>
      </c>
      <c r="Q1109" s="102">
        <f>LS[[#This Row],[Amount]]-LS[[#This Row],[Unit Capital]]</f>
        <v>144930</v>
      </c>
      <c r="R11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12.553907957700714</v>
      </c>
      <c r="S1109" s="103">
        <f t="shared" si="17"/>
        <v>14.224</v>
      </c>
      <c r="T110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09" s="102" cm="1">
        <f t="array" ref="U1109">IF(LS[[#This Row],[B/S]]="S",ABS(LS[[#This Row],[Unit]])*(INDEX(LS[NAV at Cost (Average)],MATCH(CONCATENATE((LS[[#This Row],[Frequency]]-1),LS[[#This Row],[Investor ID]]),LS[Unique Code],0),0)),0)</f>
        <v>0</v>
      </c>
      <c r="V1109" s="102">
        <f>IF(LS[[#This Row],[BO TRANSFER]]="YES",LS[[#This Row],[Unit]],)</f>
        <v>0</v>
      </c>
      <c r="W1109" s="102">
        <f>SUMIFS(LS[[#Headers],[BO UNIT TRANSFER]]:LS[[#This Row],[BO UNIT TRANSFER]],LS[[#Headers],[Investor ID]]:LS[[#This Row],[Investor ID]],LS[[#This Row],[Investor ID]])</f>
        <v>0</v>
      </c>
    </row>
    <row r="1110" spans="1:23">
      <c r="A1110" s="101">
        <v>2025</v>
      </c>
      <c r="B1110" s="101">
        <v>7</v>
      </c>
      <c r="C1110" s="101">
        <v>20</v>
      </c>
      <c r="D1110" s="98">
        <f>DATE(LS[[#This Row],[Year]],LS[[#This Row],[Month]],LS[[#This Row],[Day]])</f>
        <v>45858</v>
      </c>
      <c r="E1110" s="99" t="str" cm="1">
        <f t="array" ref="E1110">INDEX(INVESTORS_LIST[INVESTOR NAME],MATCH(LS[[#This Row],[Investor ID]],INVESTORS_LIST[INVESTOR CODE],0),)</f>
        <v>NANDA DULAL SAHA</v>
      </c>
      <c r="F1110" s="100" t="s">
        <v>880</v>
      </c>
      <c r="G1110" s="101">
        <f>COUNTIF(LS[[#Headers],[Investor ID]]:LS[[#This Row],[Investor ID]],LS[[#This Row],[Investor ID]])</f>
        <v>2</v>
      </c>
      <c r="H1110" s="101" t="str">
        <f>CONCATENATE(LS[[#This Row],[Frequency]],LS[[#This Row],[Investor ID]])</f>
        <v>2A00417</v>
      </c>
      <c r="I1110" s="75" t="str">
        <f>IF(LS[[#This Row],[B/S]]="B","BUY",(IF(LS[[#This Row],[B/S]]="S","SELL"," ")))</f>
        <v>BUY</v>
      </c>
      <c r="J1110" s="101" t="s">
        <v>1229</v>
      </c>
      <c r="K1110" s="102">
        <v>150000</v>
      </c>
      <c r="L1110" s="99"/>
      <c r="M1110" s="103">
        <f>LS[[#This Row],[Amount]]/LS[[#This Row],[Unit]]</f>
        <v>12.679628064243449</v>
      </c>
      <c r="N1110" s="104">
        <f>LS[[#This Row],[Unit Capital]]/10</f>
        <v>11830</v>
      </c>
      <c r="O1110" s="104">
        <f>SUMIFS(LS[[#Headers],[Unit]]:LS[[#This Row],[Unit]],LS[[#Headers],[Investor ID]]:LS[[#This Row],[Investor ID]],LS[[#This Row],[Investor ID]])</f>
        <v>25400</v>
      </c>
      <c r="P1110" s="102">
        <v>118300</v>
      </c>
      <c r="Q1110" s="102">
        <f>LS[[#This Row],[Amount]]-LS[[#This Row],[Unit Capital]]</f>
        <v>31700</v>
      </c>
      <c r="R11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11.811023622047244</v>
      </c>
      <c r="S1110" s="103">
        <f t="shared" si="17"/>
        <v>14.224</v>
      </c>
      <c r="T111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10" s="102" cm="1">
        <f t="array" ref="U1110">IF(LS[[#This Row],[B/S]]="S",ABS(LS[[#This Row],[Unit]])*(INDEX(LS[NAV at Cost (Average)],MATCH(CONCATENATE((LS[[#This Row],[Frequency]]-1),LS[[#This Row],[Investor ID]]),LS[Unique Code],0),0)),0)</f>
        <v>0</v>
      </c>
      <c r="V1110" s="102">
        <f>IF(LS[[#This Row],[BO TRANSFER]]="YES",LS[[#This Row],[Unit]],)</f>
        <v>0</v>
      </c>
      <c r="W1110" s="102">
        <f>SUMIFS(LS[[#Headers],[BO UNIT TRANSFER]]:LS[[#This Row],[BO UNIT TRANSFER]],LS[[#Headers],[Investor ID]]:LS[[#This Row],[Investor ID]],LS[[#This Row],[Investor ID]])</f>
        <v>0</v>
      </c>
    </row>
    <row r="1111" spans="1:23">
      <c r="A1111" s="101">
        <v>2025</v>
      </c>
      <c r="B1111" s="101">
        <v>7</v>
      </c>
      <c r="C1111" s="101">
        <v>21</v>
      </c>
      <c r="D1111" s="98">
        <f>DATE(LS[[#This Row],[Year]],LS[[#This Row],[Month]],LS[[#This Row],[Day]])</f>
        <v>45859</v>
      </c>
      <c r="E1111" s="99" t="str" cm="1">
        <f t="array" ref="E1111">INDEX(INVESTORS_LIST[INVESTOR NAME],MATCH(LS[[#This Row],[Investor ID]],INVESTORS_LIST[INVESTOR CODE],0),)</f>
        <v>SYED FAZLE RABBY</v>
      </c>
      <c r="F1111" s="100" t="s">
        <v>166</v>
      </c>
      <c r="G1111" s="101">
        <f>COUNTIF(LS[[#Headers],[Investor ID]]:LS[[#This Row],[Investor ID]],LS[[#This Row],[Investor ID]])</f>
        <v>45</v>
      </c>
      <c r="H1111" s="101" t="str">
        <f>CONCATENATE(LS[[#This Row],[Frequency]],LS[[#This Row],[Investor ID]])</f>
        <v>45A00059</v>
      </c>
      <c r="I1111" s="75" t="str">
        <f>IF(LS[[#This Row],[B/S]]="B","BUY",(IF(LS[[#This Row],[B/S]]="S","SELL"," ")))</f>
        <v>SELL</v>
      </c>
      <c r="J1111" s="101" t="s">
        <v>1231</v>
      </c>
      <c r="K1111" s="102">
        <v>-200344</v>
      </c>
      <c r="L1111" s="99"/>
      <c r="M1111" s="103">
        <f>LS[[#This Row],[Amount]]/LS[[#This Row],[Unit]]</f>
        <v>12.68</v>
      </c>
      <c r="N1111" s="104">
        <f>LS[[#This Row],[Unit Capital]]/10</f>
        <v>-15800</v>
      </c>
      <c r="O1111" s="104">
        <f>SUMIFS(LS[[#Headers],[Unit]]:LS[[#This Row],[Unit]],LS[[#Headers],[Investor ID]]:LS[[#This Row],[Investor ID]],LS[[#This Row],[Investor ID]])</f>
        <v>568253</v>
      </c>
      <c r="P1111" s="102">
        <v>-158000</v>
      </c>
      <c r="Q1111" s="102">
        <f>LS[[#This Row],[Amount]]-LS[[#This Row],[Unit Capital]]</f>
        <v>-42344</v>
      </c>
      <c r="R11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12.398542598017645</v>
      </c>
      <c r="S1111" s="103">
        <f t="shared" si="17"/>
        <v>14.224</v>
      </c>
      <c r="T1111" s="102">
        <f>IF(LS[[#This Row],[B/S]]="B",0,ABS(LS[[#This Row],[Unit]])*(LS[[#This Row],[NAV (Strike Rate)]]-INDEX(LS[NAV at Cost (Average)],MATCH(CONCATENATE(LS[[#This Row],[Frequency]]-1,LS[[#This Row],[Investor ID]]),LS[Unique Code],0),)))</f>
        <v>4447.0269513212024</v>
      </c>
      <c r="U1111" s="102" cm="1">
        <f t="array" ref="U1111">IF(LS[[#This Row],[B/S]]="S",ABS(LS[[#This Row],[Unit]])*(INDEX(LS[NAV at Cost (Average)],MATCH(CONCATENATE((LS[[#This Row],[Frequency]]-1),LS[[#This Row],[Investor ID]]),LS[Unique Code],0),0)),0)</f>
        <v>195896.9730486788</v>
      </c>
      <c r="V1111" s="102">
        <f>IF(LS[[#This Row],[BO TRANSFER]]="YES",LS[[#This Row],[Unit]],)</f>
        <v>0</v>
      </c>
      <c r="W1111" s="102">
        <f>SUMIFS(LS[[#Headers],[BO UNIT TRANSFER]]:LS[[#This Row],[BO UNIT TRANSFER]],LS[[#Headers],[Investor ID]]:LS[[#This Row],[Investor ID]],LS[[#This Row],[Investor ID]])</f>
        <v>0</v>
      </c>
    </row>
    <row r="1112" spans="1:23">
      <c r="A1112" s="101">
        <v>2025</v>
      </c>
      <c r="B1112" s="101">
        <v>7</v>
      </c>
      <c r="C1112" s="101">
        <v>21</v>
      </c>
      <c r="D1112" s="98">
        <f>DATE(LS[[#This Row],[Year]],LS[[#This Row],[Month]],LS[[#This Row],[Day]])</f>
        <v>45859</v>
      </c>
      <c r="E1112" s="99" t="str" cm="1">
        <f t="array" ref="E1112">INDEX(INVESTORS_LIST[INVESTOR NAME],MATCH(LS[[#This Row],[Investor ID]],INVESTORS_LIST[INVESTOR CODE],0),)</f>
        <v>NANDINI SAHA</v>
      </c>
      <c r="F1112" s="100" t="s">
        <v>242</v>
      </c>
      <c r="G1112" s="101">
        <f>COUNTIF(LS[[#Headers],[Investor ID]]:LS[[#This Row],[Investor ID]],LS[[#This Row],[Investor ID]])</f>
        <v>8</v>
      </c>
      <c r="H1112" s="101" t="str">
        <f>CONCATENATE(LS[[#This Row],[Frequency]],LS[[#This Row],[Investor ID]])</f>
        <v>8A00097</v>
      </c>
      <c r="I1112" s="75" t="str">
        <f>IF(LS[[#This Row],[B/S]]="B","BUY",(IF(LS[[#This Row],[B/S]]="S","SELL"," ")))</f>
        <v>SELL</v>
      </c>
      <c r="J1112" s="101" t="s">
        <v>1231</v>
      </c>
      <c r="K1112" s="102">
        <v>-50000</v>
      </c>
      <c r="L1112" s="99"/>
      <c r="M1112" s="103">
        <f>LS[[#This Row],[Amount]]/LS[[#This Row],[Unit]]</f>
        <v>12.6806999746386</v>
      </c>
      <c r="N1112" s="104">
        <f>LS[[#This Row],[Unit Capital]]/10</f>
        <v>-3943</v>
      </c>
      <c r="O1112" s="104">
        <f>SUMIFS(LS[[#Headers],[Unit]]:LS[[#This Row],[Unit]],LS[[#Headers],[Investor ID]]:LS[[#This Row],[Investor ID]],LS[[#This Row],[Investor ID]])</f>
        <v>159493</v>
      </c>
      <c r="P1112" s="102">
        <v>-39430</v>
      </c>
      <c r="Q1112" s="102">
        <f>LS[[#This Row],[Amount]]-LS[[#This Row],[Unit Capital]]</f>
        <v>-10570</v>
      </c>
      <c r="R11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10.918173309091269</v>
      </c>
      <c r="S1112" s="103">
        <f t="shared" si="17"/>
        <v>14.224</v>
      </c>
      <c r="T1112" s="102">
        <f>IF(LS[[#This Row],[B/S]]="B",0,ABS(LS[[#This Row],[Unit]])*(LS[[#This Row],[NAV (Strike Rate)]]-INDEX(LS[NAV at Cost (Average)],MATCH(CONCATENATE(LS[[#This Row],[Frequency]]-1,LS[[#This Row],[Investor ID]]),LS[Unique Code],0),)))</f>
        <v>6949.642642253124</v>
      </c>
      <c r="U1112" s="102" cm="1">
        <f t="array" ref="U1112">IF(LS[[#This Row],[B/S]]="S",ABS(LS[[#This Row],[Unit]])*(INDEX(LS[NAV at Cost (Average)],MATCH(CONCATENATE((LS[[#This Row],[Frequency]]-1),LS[[#This Row],[Investor ID]]),LS[Unique Code],0),0)),0)</f>
        <v>43050.357357746878</v>
      </c>
      <c r="V1112" s="102">
        <f>IF(LS[[#This Row],[BO TRANSFER]]="YES",LS[[#This Row],[Unit]],)</f>
        <v>0</v>
      </c>
      <c r="W1112" s="102">
        <f>SUMIFS(LS[[#Headers],[BO UNIT TRANSFER]]:LS[[#This Row],[BO UNIT TRANSFER]],LS[[#Headers],[Investor ID]]:LS[[#This Row],[Investor ID]],LS[[#This Row],[Investor ID]])</f>
        <v>0</v>
      </c>
    </row>
    <row r="1113" spans="1:23">
      <c r="A1113" s="101">
        <v>2025</v>
      </c>
      <c r="B1113" s="101">
        <v>7</v>
      </c>
      <c r="C1113" s="101">
        <v>21</v>
      </c>
      <c r="D1113" s="98">
        <f>DATE(LS[[#This Row],[Year]],LS[[#This Row],[Month]],LS[[#This Row],[Day]])</f>
        <v>45859</v>
      </c>
      <c r="E1113" s="99" t="str" cm="1">
        <f t="array" ref="E1113">INDEX(INVESTORS_LIST[INVESTOR NAME],MATCH(LS[[#This Row],[Investor ID]],INVESTORS_LIST[INVESTOR CODE],0),)</f>
        <v>SWADESH RANJAN SAHA</v>
      </c>
      <c r="F1113" s="100" t="s">
        <v>234</v>
      </c>
      <c r="G1113" s="101">
        <f>COUNTIF(LS[[#Headers],[Investor ID]]:LS[[#This Row],[Investor ID]],LS[[#This Row],[Investor ID]])</f>
        <v>17</v>
      </c>
      <c r="H1113" s="101" t="str">
        <f>CONCATENATE(LS[[#This Row],[Frequency]],LS[[#This Row],[Investor ID]])</f>
        <v>17A00093</v>
      </c>
      <c r="I1113" s="75" t="str">
        <f>IF(LS[[#This Row],[B/S]]="B","BUY",(IF(LS[[#This Row],[B/S]]="S","SELL"," ")))</f>
        <v>SELL</v>
      </c>
      <c r="J1113" s="101" t="s">
        <v>1231</v>
      </c>
      <c r="K1113" s="102">
        <v>-600000</v>
      </c>
      <c r="L1113" s="99"/>
      <c r="M1113" s="103">
        <f>LS[[#This Row],[Amount]]/LS[[#This Row],[Unit]]</f>
        <v>12.679896024852596</v>
      </c>
      <c r="N1113" s="104">
        <f>LS[[#This Row],[Unit Capital]]/10</f>
        <v>-47319</v>
      </c>
      <c r="O1113" s="104">
        <f>SUMIFS(LS[[#Headers],[Unit]]:LS[[#This Row],[Unit]],LS[[#Headers],[Investor ID]]:LS[[#This Row],[Investor ID]],LS[[#This Row],[Investor ID]])</f>
        <v>35152</v>
      </c>
      <c r="P1113" s="102">
        <v>-473190</v>
      </c>
      <c r="Q1113" s="102">
        <f>LS[[#This Row],[Amount]]-LS[[#This Row],[Unit Capital]]</f>
        <v>-126810</v>
      </c>
      <c r="R11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11.772680985468698</v>
      </c>
      <c r="S1113" s="103">
        <f t="shared" si="17"/>
        <v>14.224</v>
      </c>
      <c r="T1113" s="102">
        <f>IF(LS[[#This Row],[B/S]]="B",0,ABS(LS[[#This Row],[Unit]])*(LS[[#This Row],[NAV (Strike Rate)]]-INDEX(LS[NAV at Cost (Average)],MATCH(CONCATENATE(LS[[#This Row],[Frequency]]-1,LS[[#This Row],[Investor ID]]),LS[Unique Code],0),)))</f>
        <v>42928.508448606663</v>
      </c>
      <c r="U1113" s="102" cm="1">
        <f t="array" ref="U1113">IF(LS[[#This Row],[B/S]]="S",ABS(LS[[#This Row],[Unit]])*(INDEX(LS[NAV at Cost (Average)],MATCH(CONCATENATE((LS[[#This Row],[Frequency]]-1),LS[[#This Row],[Investor ID]]),LS[Unique Code],0),0)),0)</f>
        <v>557071.49155139329</v>
      </c>
      <c r="V1113" s="102">
        <f>IF(LS[[#This Row],[BO TRANSFER]]="YES",LS[[#This Row],[Unit]],)</f>
        <v>0</v>
      </c>
      <c r="W1113" s="102">
        <f>SUMIFS(LS[[#Headers],[BO UNIT TRANSFER]]:LS[[#This Row],[BO UNIT TRANSFER]],LS[[#Headers],[Investor ID]]:LS[[#This Row],[Investor ID]],LS[[#This Row],[Investor ID]])</f>
        <v>0</v>
      </c>
    </row>
    <row r="1114" spans="1:23">
      <c r="A1114" s="101">
        <v>2025</v>
      </c>
      <c r="B1114" s="101">
        <v>7</v>
      </c>
      <c r="C1114" s="101">
        <v>21</v>
      </c>
      <c r="D1114" s="98">
        <f>DATE(LS[[#This Row],[Year]],LS[[#This Row],[Month]],LS[[#This Row],[Day]])</f>
        <v>45859</v>
      </c>
      <c r="E1114" s="99" t="str" cm="1">
        <f t="array" ref="E1114">INDEX(INVESTORS_LIST[INVESTOR NAME],MATCH(LS[[#This Row],[Investor ID]],INVESTORS_LIST[INVESTOR CODE],0),)</f>
        <v>SHAKERA JEASMIN</v>
      </c>
      <c r="F1114" s="100" t="s">
        <v>1296</v>
      </c>
      <c r="G1114" s="101">
        <f>COUNTIF(LS[[#Headers],[Investor ID]]:LS[[#This Row],[Investor ID]],LS[[#This Row],[Investor ID]])</f>
        <v>2</v>
      </c>
      <c r="H1114" s="101" t="str">
        <f>CONCATENATE(LS[[#This Row],[Frequency]],LS[[#This Row],[Investor ID]])</f>
        <v>2A00595</v>
      </c>
      <c r="I1114" s="75" t="str">
        <f>IF(LS[[#This Row],[B/S]]="B","BUY",(IF(LS[[#This Row],[B/S]]="S","SELL"," ")))</f>
        <v>SELL</v>
      </c>
      <c r="J1114" s="101" t="s">
        <v>1231</v>
      </c>
      <c r="K1114" s="102">
        <v>-10000</v>
      </c>
      <c r="L1114" s="99"/>
      <c r="M1114" s="103">
        <f>LS[[#This Row],[Amount]]/LS[[#This Row],[Unit]]</f>
        <v>12.67427122940431</v>
      </c>
      <c r="N1114" s="104">
        <f>LS[[#This Row],[Unit Capital]]/10</f>
        <v>-789</v>
      </c>
      <c r="O1114" s="104">
        <f>SUMIFS(LS[[#Headers],[Unit]]:LS[[#This Row],[Unit]],LS[[#Headers],[Investor ID]]:LS[[#This Row],[Investor ID]],LS[[#This Row],[Investor ID]])</f>
        <v>9211</v>
      </c>
      <c r="P1114" s="102">
        <v>-7890</v>
      </c>
      <c r="Q1114" s="102">
        <f>LS[[#This Row],[Amount]]-LS[[#This Row],[Unit Capital]]</f>
        <v>-2110</v>
      </c>
      <c r="R11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11.702999999999999</v>
      </c>
      <c r="S1114" s="103">
        <f t="shared" si="17"/>
        <v>14.224</v>
      </c>
      <c r="T1114" s="102">
        <f>IF(LS[[#This Row],[B/S]]="B",0,ABS(LS[[#This Row],[Unit]])*(LS[[#This Row],[NAV (Strike Rate)]]-INDEX(LS[NAV at Cost (Average)],MATCH(CONCATENATE(LS[[#This Row],[Frequency]]-1,LS[[#This Row],[Investor ID]]),LS[Unique Code],0),)))</f>
        <v>766.33300000000088</v>
      </c>
      <c r="U1114" s="102" cm="1">
        <f t="array" ref="U1114">IF(LS[[#This Row],[B/S]]="S",ABS(LS[[#This Row],[Unit]])*(INDEX(LS[NAV at Cost (Average)],MATCH(CONCATENATE((LS[[#This Row],[Frequency]]-1),LS[[#This Row],[Investor ID]]),LS[Unique Code],0),0)),0)</f>
        <v>9233.6669999999995</v>
      </c>
      <c r="V1114" s="102">
        <f>IF(LS[[#This Row],[BO TRANSFER]]="YES",LS[[#This Row],[Unit]],)</f>
        <v>0</v>
      </c>
      <c r="W1114" s="102">
        <f>SUMIFS(LS[[#Headers],[BO UNIT TRANSFER]]:LS[[#This Row],[BO UNIT TRANSFER]],LS[[#Headers],[Investor ID]]:LS[[#This Row],[Investor ID]],LS[[#This Row],[Investor ID]])</f>
        <v>0</v>
      </c>
    </row>
    <row r="1115" spans="1:23">
      <c r="A1115" s="101">
        <v>2025</v>
      </c>
      <c r="B1115" s="101">
        <v>7</v>
      </c>
      <c r="C1115" s="101">
        <v>22</v>
      </c>
      <c r="D1115" s="98">
        <f>DATE(LS[[#This Row],[Year]],LS[[#This Row],[Month]],LS[[#This Row],[Day]])</f>
        <v>45860</v>
      </c>
      <c r="E1115" s="99" t="str" cm="1">
        <f t="array" ref="E1115">INDEX(INVESTORS_LIST[INVESTOR NAME],MATCH(LS[[#This Row],[Investor ID]],INVESTORS_LIST[INVESTOR CODE],0),)</f>
        <v>MAYA RANI SAHA</v>
      </c>
      <c r="F1115" s="100" t="s">
        <v>224</v>
      </c>
      <c r="G1115" s="101">
        <f>COUNTIF(LS[[#Headers],[Investor ID]]:LS[[#This Row],[Investor ID]],LS[[#This Row],[Investor ID]])</f>
        <v>19</v>
      </c>
      <c r="H1115" s="101" t="str">
        <f>CONCATENATE(LS[[#This Row],[Frequency]],LS[[#This Row],[Investor ID]])</f>
        <v>19A00088</v>
      </c>
      <c r="I1115" s="75" t="str">
        <f>IF(LS[[#This Row],[B/S]]="B","BUY",(IF(LS[[#This Row],[B/S]]="S","SELL"," ")))</f>
        <v>BUY</v>
      </c>
      <c r="J1115" s="101" t="s">
        <v>1229</v>
      </c>
      <c r="K1115" s="102">
        <v>565000</v>
      </c>
      <c r="L1115" s="99"/>
      <c r="M1115" s="103">
        <f>LS[[#This Row],[Amount]]/LS[[#This Row],[Unit]]</f>
        <v>12.680102338525069</v>
      </c>
      <c r="N1115" s="104">
        <f>LS[[#This Row],[Unit Capital]]/10</f>
        <v>44558</v>
      </c>
      <c r="O1115" s="104">
        <f>SUMIFS(LS[[#Headers],[Unit]]:LS[[#This Row],[Unit]],LS[[#Headers],[Investor ID]]:LS[[#This Row],[Investor ID]],LS[[#This Row],[Investor ID]])</f>
        <v>495815</v>
      </c>
      <c r="P1115" s="102">
        <v>445580</v>
      </c>
      <c r="Q1115" s="102">
        <f>LS[[#This Row],[Amount]]-LS[[#This Row],[Unit Capital]]</f>
        <v>119420</v>
      </c>
      <c r="R11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10.980315913107214</v>
      </c>
      <c r="S1115" s="103">
        <f t="shared" si="17"/>
        <v>14.224</v>
      </c>
      <c r="T111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15" s="102" cm="1">
        <f t="array" ref="U1115">IF(LS[[#This Row],[B/S]]="S",ABS(LS[[#This Row],[Unit]])*(INDEX(LS[NAV at Cost (Average)],MATCH(CONCATENATE((LS[[#This Row],[Frequency]]-1),LS[[#This Row],[Investor ID]]),LS[Unique Code],0),0)),0)</f>
        <v>0</v>
      </c>
      <c r="V1115" s="102">
        <f>IF(LS[[#This Row],[BO TRANSFER]]="YES",LS[[#This Row],[Unit]],)</f>
        <v>0</v>
      </c>
      <c r="W1115" s="102">
        <f>SUMIFS(LS[[#Headers],[BO UNIT TRANSFER]]:LS[[#This Row],[BO UNIT TRANSFER]],LS[[#Headers],[Investor ID]]:LS[[#This Row],[Investor ID]],LS[[#This Row],[Investor ID]])</f>
        <v>0</v>
      </c>
    </row>
    <row r="1116" spans="1:23">
      <c r="A1116" s="101">
        <v>2025</v>
      </c>
      <c r="B1116" s="101">
        <v>7</v>
      </c>
      <c r="C1116" s="101">
        <v>22</v>
      </c>
      <c r="D1116" s="98">
        <f>DATE(LS[[#This Row],[Year]],LS[[#This Row],[Month]],LS[[#This Row],[Day]])</f>
        <v>45860</v>
      </c>
      <c r="E1116" s="99" t="str" cm="1">
        <f t="array" ref="E1116">INDEX(INVESTORS_LIST[INVESTOR NAME],MATCH(LS[[#This Row],[Investor ID]],INVESTORS_LIST[INVESTOR CODE],0),)</f>
        <v>KAZI AHSAN MARUF</v>
      </c>
      <c r="F1116" s="100" t="s">
        <v>158</v>
      </c>
      <c r="G1116" s="101">
        <f>COUNTIF(LS[[#Headers],[Investor ID]]:LS[[#This Row],[Investor ID]],LS[[#This Row],[Investor ID]])</f>
        <v>6</v>
      </c>
      <c r="H1116" s="101" t="str">
        <f>CONCATENATE(LS[[#This Row],[Frequency]],LS[[#This Row],[Investor ID]])</f>
        <v>6A00055</v>
      </c>
      <c r="I1116" s="75" t="str">
        <f>IF(LS[[#This Row],[B/S]]="B","BUY",(IF(LS[[#This Row],[B/S]]="S","SELL"," ")))</f>
        <v>BUY</v>
      </c>
      <c r="J1116" s="101" t="s">
        <v>1229</v>
      </c>
      <c r="K1116" s="102">
        <v>350000</v>
      </c>
      <c r="L1116" s="99"/>
      <c r="M1116" s="103">
        <f>LS[[#This Row],[Amount]]/LS[[#This Row],[Unit]]</f>
        <v>12.679781183204724</v>
      </c>
      <c r="N1116" s="104">
        <f>LS[[#This Row],[Unit Capital]]/10</f>
        <v>27603</v>
      </c>
      <c r="O1116" s="104">
        <f>SUMIFS(LS[[#Headers],[Unit]]:LS[[#This Row],[Unit]],LS[[#Headers],[Investor ID]]:LS[[#This Row],[Investor ID]],LS[[#This Row],[Investor ID]])</f>
        <v>55465</v>
      </c>
      <c r="P1116" s="102">
        <v>276030</v>
      </c>
      <c r="Q1116" s="102">
        <f>LS[[#This Row],[Amount]]-LS[[#This Row],[Unit Capital]]</f>
        <v>73970</v>
      </c>
      <c r="R11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12.620571531596502</v>
      </c>
      <c r="S1116" s="103">
        <f t="shared" si="17"/>
        <v>14.224</v>
      </c>
      <c r="T111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16" s="102" cm="1">
        <f t="array" ref="U1116">IF(LS[[#This Row],[B/S]]="S",ABS(LS[[#This Row],[Unit]])*(INDEX(LS[NAV at Cost (Average)],MATCH(CONCATENATE((LS[[#This Row],[Frequency]]-1),LS[[#This Row],[Investor ID]]),LS[Unique Code],0),0)),0)</f>
        <v>0</v>
      </c>
      <c r="V1116" s="102">
        <f>IF(LS[[#This Row],[BO TRANSFER]]="YES",LS[[#This Row],[Unit]],)</f>
        <v>0</v>
      </c>
      <c r="W1116" s="102">
        <f>SUMIFS(LS[[#Headers],[BO UNIT TRANSFER]]:LS[[#This Row],[BO UNIT TRANSFER]],LS[[#Headers],[Investor ID]]:LS[[#This Row],[Investor ID]],LS[[#This Row],[Investor ID]])</f>
        <v>0</v>
      </c>
    </row>
    <row r="1117" spans="1:23">
      <c r="A1117" s="101">
        <v>2025</v>
      </c>
      <c r="B1117" s="101">
        <v>7</v>
      </c>
      <c r="C1117" s="101">
        <v>23</v>
      </c>
      <c r="D1117" s="98">
        <f>DATE(LS[[#This Row],[Year]],LS[[#This Row],[Month]],LS[[#This Row],[Day]])</f>
        <v>45861</v>
      </c>
      <c r="E1117" s="99" t="str" cm="1">
        <f t="array" ref="E1117">INDEX(INVESTORS_LIST[INVESTOR NAME],MATCH(LS[[#This Row],[Investor ID]],INVESTORS_LIST[INVESTOR CODE],0),)</f>
        <v>SHAKERA JEASMIN</v>
      </c>
      <c r="F1117" s="100" t="s">
        <v>1296</v>
      </c>
      <c r="G1117" s="101">
        <f>COUNTIF(LS[[#Headers],[Investor ID]]:LS[[#This Row],[Investor ID]],LS[[#This Row],[Investor ID]])</f>
        <v>3</v>
      </c>
      <c r="H1117" s="101" t="str">
        <f>CONCATENATE(LS[[#This Row],[Frequency]],LS[[#This Row],[Investor ID]])</f>
        <v>3A00595</v>
      </c>
      <c r="I1117" s="75" t="str">
        <f>IF(LS[[#This Row],[B/S]]="B","BUY",(IF(LS[[#This Row],[B/S]]="S","SELL"," ")))</f>
        <v>SELL</v>
      </c>
      <c r="J1117" s="101" t="s">
        <v>1231</v>
      </c>
      <c r="K1117" s="102">
        <v>-116800</v>
      </c>
      <c r="L1117" s="99"/>
      <c r="M1117" s="103">
        <f>LS[[#This Row],[Amount]]/LS[[#This Row],[Unit]]</f>
        <v>12.680490717620236</v>
      </c>
      <c r="N1117" s="104">
        <f>LS[[#This Row],[Unit Capital]]/10</f>
        <v>-9211</v>
      </c>
      <c r="O1117" s="104">
        <f>SUMIFS(LS[[#Headers],[Unit]]:LS[[#This Row],[Unit]],LS[[#Headers],[Investor ID]]:LS[[#This Row],[Investor ID]],LS[[#This Row],[Investor ID]])</f>
        <v>0</v>
      </c>
      <c r="P1117" s="102">
        <v>-92110</v>
      </c>
      <c r="Q1117" s="102">
        <f>LS[[#This Row],[Amount]]-LS[[#This Row],[Unit Capital]]</f>
        <v>-24690</v>
      </c>
      <c r="R11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17" s="103">
        <f t="shared" si="17"/>
        <v>14.224</v>
      </c>
      <c r="T1117" s="102">
        <f>IF(LS[[#This Row],[B/S]]="B",0,ABS(LS[[#This Row],[Unit]])*(LS[[#This Row],[NAV (Strike Rate)]]-INDEX(LS[NAV at Cost (Average)],MATCH(CONCATENATE(LS[[#This Row],[Frequency]]-1,LS[[#This Row],[Investor ID]]),LS[Unique Code],0),)))</f>
        <v>9003.6669999999995</v>
      </c>
      <c r="U1117" s="102" cm="1">
        <f t="array" ref="U1117">IF(LS[[#This Row],[B/S]]="S",ABS(LS[[#This Row],[Unit]])*(INDEX(LS[NAV at Cost (Average)],MATCH(CONCATENATE((LS[[#This Row],[Frequency]]-1),LS[[#This Row],[Investor ID]]),LS[Unique Code],0),0)),0)</f>
        <v>107796.333</v>
      </c>
      <c r="V1117" s="102">
        <f>IF(LS[[#This Row],[BO TRANSFER]]="YES",LS[[#This Row],[Unit]],)</f>
        <v>0</v>
      </c>
      <c r="W1117" s="102">
        <f>SUMIFS(LS[[#Headers],[BO UNIT TRANSFER]]:LS[[#This Row],[BO UNIT TRANSFER]],LS[[#Headers],[Investor ID]]:LS[[#This Row],[Investor ID]],LS[[#This Row],[Investor ID]])</f>
        <v>0</v>
      </c>
    </row>
    <row r="1118" spans="1:23">
      <c r="A1118" s="101">
        <v>2025</v>
      </c>
      <c r="B1118" s="101">
        <v>7</v>
      </c>
      <c r="C1118" s="101">
        <v>23</v>
      </c>
      <c r="D1118" s="98">
        <f>DATE(LS[[#This Row],[Year]],LS[[#This Row],[Month]],LS[[#This Row],[Day]])</f>
        <v>45861</v>
      </c>
      <c r="E1118" s="99" t="str" cm="1">
        <f t="array" ref="E1118">INDEX(INVESTORS_LIST[INVESTOR NAME],MATCH(LS[[#This Row],[Investor ID]],INVESTORS_LIST[INVESTOR CODE],0),)</f>
        <v>RAIS UDDIN AHMAD</v>
      </c>
      <c r="F1118" s="100" t="s">
        <v>632</v>
      </c>
      <c r="G1118" s="101">
        <f>COUNTIF(LS[[#Headers],[Investor ID]]:LS[[#This Row],[Investor ID]],LS[[#This Row],[Investor ID]])</f>
        <v>3</v>
      </c>
      <c r="H1118" s="101" t="str">
        <f>CONCATENATE(LS[[#This Row],[Frequency]],LS[[#This Row],[Investor ID]])</f>
        <v>3A00292</v>
      </c>
      <c r="I1118" s="75" t="str">
        <f>IF(LS[[#This Row],[B/S]]="B","BUY",(IF(LS[[#This Row],[B/S]]="S","SELL"," ")))</f>
        <v>SELL</v>
      </c>
      <c r="J1118" s="101" t="s">
        <v>1231</v>
      </c>
      <c r="K1118" s="102">
        <v>-410198</v>
      </c>
      <c r="L1118" s="99"/>
      <c r="M1118" s="103">
        <f>LS[[#This Row],[Amount]]/LS[[#This Row],[Unit]]</f>
        <v>12.68</v>
      </c>
      <c r="N1118" s="104">
        <f>LS[[#This Row],[Unit Capital]]/10</f>
        <v>-32350</v>
      </c>
      <c r="O1118" s="104">
        <f>SUMIFS(LS[[#Headers],[Unit]]:LS[[#This Row],[Unit]],LS[[#Headers],[Investor ID]]:LS[[#This Row],[Investor ID]],LS[[#This Row],[Investor ID]])</f>
        <v>0</v>
      </c>
      <c r="P1118" s="102">
        <v>-323500</v>
      </c>
      <c r="Q1118" s="102">
        <f>LS[[#This Row],[Amount]]-LS[[#This Row],[Unit Capital]]</f>
        <v>-86698</v>
      </c>
      <c r="R11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18" s="103">
        <f t="shared" si="17"/>
        <v>14.224</v>
      </c>
      <c r="T1118" s="102">
        <f>IF(LS[[#This Row],[B/S]]="B",0,ABS(LS[[#This Row],[Unit]])*(LS[[#This Row],[NAV (Strike Rate)]]-INDEX(LS[NAV at Cost (Average)],MATCH(CONCATENATE(LS[[#This Row],[Frequency]]-1,LS[[#This Row],[Investor ID]]),LS[Unique Code],0),)))</f>
        <v>82137.965520738231</v>
      </c>
      <c r="U1118" s="102" cm="1">
        <f t="array" ref="U1118">IF(LS[[#This Row],[B/S]]="S",ABS(LS[[#This Row],[Unit]])*(INDEX(LS[NAV at Cost (Average)],MATCH(CONCATENATE((LS[[#This Row],[Frequency]]-1),LS[[#This Row],[Investor ID]]),LS[Unique Code],0),0)),0)</f>
        <v>328060.03447926178</v>
      </c>
      <c r="V1118" s="102">
        <f>IF(LS[[#This Row],[BO TRANSFER]]="YES",LS[[#This Row],[Unit]],)</f>
        <v>0</v>
      </c>
      <c r="W1118" s="102">
        <f>SUMIFS(LS[[#Headers],[BO UNIT TRANSFER]]:LS[[#This Row],[BO UNIT TRANSFER]],LS[[#Headers],[Investor ID]]:LS[[#This Row],[Investor ID]],LS[[#This Row],[Investor ID]])</f>
        <v>0</v>
      </c>
    </row>
    <row r="1119" spans="1:23">
      <c r="A1119" s="101">
        <v>2025</v>
      </c>
      <c r="B1119" s="101">
        <v>7</v>
      </c>
      <c r="C1119" s="101">
        <v>23</v>
      </c>
      <c r="D1119" s="98">
        <f>DATE(LS[[#This Row],[Year]],LS[[#This Row],[Month]],LS[[#This Row],[Day]])</f>
        <v>45861</v>
      </c>
      <c r="E1119" s="99" t="str" cm="1">
        <f t="array" ref="E1119">INDEX(INVESTORS_LIST[INVESTOR NAME],MATCH(LS[[#This Row],[Investor ID]],INVESTORS_LIST[INVESTOR CODE],0),)</f>
        <v>PUJA BHATTACHARJEE</v>
      </c>
      <c r="F1119" s="100" t="s">
        <v>1286</v>
      </c>
      <c r="G1119" s="101">
        <f>COUNTIF(LS[[#Headers],[Investor ID]]:LS[[#This Row],[Investor ID]],LS[[#This Row],[Investor ID]])</f>
        <v>7</v>
      </c>
      <c r="H1119" s="101" t="str">
        <f>CONCATENATE(LS[[#This Row],[Frequency]],LS[[#This Row],[Investor ID]])</f>
        <v>7A00590</v>
      </c>
      <c r="I1119" s="75" t="str">
        <f>IF(LS[[#This Row],[B/S]]="B","BUY",(IF(LS[[#This Row],[B/S]]="S","SELL"," ")))</f>
        <v>SELL</v>
      </c>
      <c r="J1119" s="101" t="s">
        <v>1231</v>
      </c>
      <c r="K1119" s="102">
        <v>-25000</v>
      </c>
      <c r="L1119" s="99"/>
      <c r="M1119" s="103">
        <f>LS[[#This Row],[Amount]]/LS[[#This Row],[Unit]]</f>
        <v>12.677484787018255</v>
      </c>
      <c r="N1119" s="104">
        <f>LS[[#This Row],[Unit Capital]]/10</f>
        <v>-1972</v>
      </c>
      <c r="O1119" s="104">
        <f>SUMIFS(LS[[#Headers],[Unit]]:LS[[#This Row],[Unit]],LS[[#Headers],[Investor ID]]:LS[[#This Row],[Investor ID]],LS[[#This Row],[Investor ID]])</f>
        <v>87988</v>
      </c>
      <c r="P1119" s="102">
        <v>-19720</v>
      </c>
      <c r="Q1119" s="102">
        <f>LS[[#This Row],[Amount]]-LS[[#This Row],[Unit Capital]]</f>
        <v>-5280</v>
      </c>
      <c r="R11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12.181531224229094</v>
      </c>
      <c r="S1119" s="103">
        <f t="shared" si="17"/>
        <v>14.224</v>
      </c>
      <c r="T1119" s="102">
        <f>IF(LS[[#This Row],[B/S]]="B",0,ABS(LS[[#This Row],[Unit]])*(LS[[#This Row],[NAV (Strike Rate)]]-INDEX(LS[NAV at Cost (Average)],MATCH(CONCATENATE(LS[[#This Row],[Frequency]]-1,LS[[#This Row],[Investor ID]]),LS[Unique Code],0),)))</f>
        <v>978.0204258202258</v>
      </c>
      <c r="U1119" s="102" cm="1">
        <f t="array" ref="U1119">IF(LS[[#This Row],[B/S]]="S",ABS(LS[[#This Row],[Unit]])*(INDEX(LS[NAV at Cost (Average)],MATCH(CONCATENATE((LS[[#This Row],[Frequency]]-1),LS[[#This Row],[Investor ID]]),LS[Unique Code],0),0)),0)</f>
        <v>24021.979574179772</v>
      </c>
      <c r="V1119" s="102">
        <f>IF(LS[[#This Row],[BO TRANSFER]]="YES",LS[[#This Row],[Unit]],)</f>
        <v>0</v>
      </c>
      <c r="W1119" s="102">
        <f>SUMIFS(LS[[#Headers],[BO UNIT TRANSFER]]:LS[[#This Row],[BO UNIT TRANSFER]],LS[[#Headers],[Investor ID]]:LS[[#This Row],[Investor ID]],LS[[#This Row],[Investor ID]])</f>
        <v>0</v>
      </c>
    </row>
    <row r="1120" spans="1:23">
      <c r="A1120" s="101">
        <v>2025</v>
      </c>
      <c r="B1120" s="101">
        <v>7</v>
      </c>
      <c r="C1120" s="101">
        <v>23</v>
      </c>
      <c r="D1120" s="98">
        <f>DATE(LS[[#This Row],[Year]],LS[[#This Row],[Month]],LS[[#This Row],[Day]])</f>
        <v>45861</v>
      </c>
      <c r="E1120" s="99" t="str" cm="1">
        <f t="array" ref="E1120">INDEX(INVESTORS_LIST[INVESTOR NAME],MATCH(LS[[#This Row],[Investor ID]],INVESTORS_LIST[INVESTOR CODE],0),)</f>
        <v>AMIT KUMAR CHAKRABARTY</v>
      </c>
      <c r="F1120" s="100" t="s">
        <v>1306</v>
      </c>
      <c r="G1120" s="101">
        <f>COUNTIF(LS[[#Headers],[Investor ID]]:LS[[#This Row],[Investor ID]],LS[[#This Row],[Investor ID]])</f>
        <v>3</v>
      </c>
      <c r="H1120" s="101" t="str">
        <f>CONCATENATE(LS[[#This Row],[Frequency]],LS[[#This Row],[Investor ID]])</f>
        <v>3A00600</v>
      </c>
      <c r="I1120" s="75" t="str">
        <f>IF(LS[[#This Row],[B/S]]="B","BUY",(IF(LS[[#This Row],[B/S]]="S","SELL"," ")))</f>
        <v>SELL</v>
      </c>
      <c r="J1120" s="101" t="s">
        <v>1231</v>
      </c>
      <c r="K1120" s="102">
        <v>-20000</v>
      </c>
      <c r="L1120" s="99"/>
      <c r="M1120" s="103">
        <f>LS[[#This Row],[Amount]]/LS[[#This Row],[Unit]]</f>
        <v>12.682308180088777</v>
      </c>
      <c r="N1120" s="104">
        <f>LS[[#This Row],[Unit Capital]]/10</f>
        <v>-1577</v>
      </c>
      <c r="O1120" s="104">
        <f>SUMIFS(LS[[#Headers],[Unit]]:LS[[#This Row],[Unit]],LS[[#Headers],[Investor ID]]:LS[[#This Row],[Investor ID]],LS[[#This Row],[Investor ID]])</f>
        <v>46909</v>
      </c>
      <c r="P1120" s="102">
        <v>-15770</v>
      </c>
      <c r="Q1120" s="102">
        <f>LS[[#This Row],[Amount]]-LS[[#This Row],[Unit Capital]]</f>
        <v>-4230</v>
      </c>
      <c r="R11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12.374706100730108</v>
      </c>
      <c r="S1120" s="103">
        <f t="shared" si="17"/>
        <v>14.224</v>
      </c>
      <c r="T1120" s="102">
        <f>IF(LS[[#This Row],[B/S]]="B",0,ABS(LS[[#This Row],[Unit]])*(LS[[#This Row],[NAV (Strike Rate)]]-INDEX(LS[NAV at Cost (Average)],MATCH(CONCATENATE(LS[[#This Row],[Frequency]]-1,LS[[#This Row],[Investor ID]]),LS[Unique Code],0),)))</f>
        <v>485.0884791486198</v>
      </c>
      <c r="U1120" s="102" cm="1">
        <f t="array" ref="U1120">IF(LS[[#This Row],[B/S]]="S",ABS(LS[[#This Row],[Unit]])*(INDEX(LS[NAV at Cost (Average)],MATCH(CONCATENATE((LS[[#This Row],[Frequency]]-1),LS[[#This Row],[Investor ID]]),LS[Unique Code],0),0)),0)</f>
        <v>19514.911520851379</v>
      </c>
      <c r="V1120" s="102">
        <f>IF(LS[[#This Row],[BO TRANSFER]]="YES",LS[[#This Row],[Unit]],)</f>
        <v>0</v>
      </c>
      <c r="W1120" s="102">
        <f>SUMIFS(LS[[#Headers],[BO UNIT TRANSFER]]:LS[[#This Row],[BO UNIT TRANSFER]],LS[[#Headers],[Investor ID]]:LS[[#This Row],[Investor ID]],LS[[#This Row],[Investor ID]])</f>
        <v>0</v>
      </c>
    </row>
    <row r="1121" spans="1:23">
      <c r="A1121" s="101">
        <v>2025</v>
      </c>
      <c r="B1121" s="101">
        <v>7</v>
      </c>
      <c r="C1121" s="101">
        <v>23</v>
      </c>
      <c r="D1121" s="98">
        <f>DATE(LS[[#This Row],[Year]],LS[[#This Row],[Month]],LS[[#This Row],[Day]])</f>
        <v>45861</v>
      </c>
      <c r="E1121" s="99" t="str" cm="1">
        <f t="array" ref="E1121">INDEX(INVESTORS_LIST[INVESTOR NAME],MATCH(LS[[#This Row],[Investor ID]],INVESTORS_LIST[INVESTOR CODE],0),)</f>
        <v>AZAM KHAN</v>
      </c>
      <c r="F1121" s="100" t="s">
        <v>1411</v>
      </c>
      <c r="G1121" s="101">
        <f>COUNTIF(LS[[#Headers],[Investor ID]]:LS[[#This Row],[Investor ID]],LS[[#This Row],[Investor ID]])</f>
        <v>1</v>
      </c>
      <c r="H1121" s="101" t="str">
        <f>CONCATENATE(LS[[#This Row],[Frequency]],LS[[#This Row],[Investor ID]])</f>
        <v>1A00649</v>
      </c>
      <c r="I1121" s="75" t="str">
        <f>IF(LS[[#This Row],[B/S]]="B","BUY",(IF(LS[[#This Row],[B/S]]="S","SELL"," ")))</f>
        <v>BUY</v>
      </c>
      <c r="J1121" s="101" t="s">
        <v>1229</v>
      </c>
      <c r="K1121" s="102">
        <v>12680</v>
      </c>
      <c r="L1121" s="99"/>
      <c r="M1121" s="103">
        <f>LS[[#This Row],[Amount]]/LS[[#This Row],[Unit]]</f>
        <v>12.68</v>
      </c>
      <c r="N1121" s="104">
        <f>LS[[#This Row],[Unit Capital]]/10</f>
        <v>1000</v>
      </c>
      <c r="O1121" s="104">
        <f>SUMIFS(LS[[#Headers],[Unit]]:LS[[#This Row],[Unit]],LS[[#Headers],[Investor ID]]:LS[[#This Row],[Investor ID]],LS[[#This Row],[Investor ID]])</f>
        <v>1000</v>
      </c>
      <c r="P1121" s="102">
        <v>10000</v>
      </c>
      <c r="Q1121" s="102">
        <f>LS[[#This Row],[Amount]]-LS[[#This Row],[Unit Capital]]</f>
        <v>2680</v>
      </c>
      <c r="R11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</v>
      </c>
      <c r="S1121" s="103">
        <f t="shared" si="17"/>
        <v>14.224</v>
      </c>
      <c r="T11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21" s="102" cm="1">
        <f t="array" ref="U1121">IF(LS[[#This Row],[B/S]]="S",ABS(LS[[#This Row],[Unit]])*(INDEX(LS[NAV at Cost (Average)],MATCH(CONCATENATE((LS[[#This Row],[Frequency]]-1),LS[[#This Row],[Investor ID]]),LS[Unique Code],0),0)),0)</f>
        <v>0</v>
      </c>
      <c r="V1121" s="102">
        <f>IF(LS[[#This Row],[BO TRANSFER]]="YES",LS[[#This Row],[Unit]],)</f>
        <v>0</v>
      </c>
      <c r="W1121" s="102">
        <f>SUMIFS(LS[[#Headers],[BO UNIT TRANSFER]]:LS[[#This Row],[BO UNIT TRANSFER]],LS[[#Headers],[Investor ID]]:LS[[#This Row],[Investor ID]],LS[[#This Row],[Investor ID]])</f>
        <v>0</v>
      </c>
    </row>
    <row r="1122" spans="1:23">
      <c r="A1122" s="101">
        <v>2025</v>
      </c>
      <c r="B1122" s="101">
        <v>7</v>
      </c>
      <c r="C1122" s="101">
        <v>23</v>
      </c>
      <c r="D1122" s="98">
        <f>DATE(LS[[#This Row],[Year]],LS[[#This Row],[Month]],LS[[#This Row],[Day]])</f>
        <v>45861</v>
      </c>
      <c r="E1122" s="99" t="str" cm="1">
        <f t="array" ref="E1122">INDEX(INVESTORS_LIST[INVESTOR NAME],MATCH(LS[[#This Row],[Investor ID]],INVESTORS_LIST[INVESTOR CODE],0),)</f>
        <v>MD. MUSTAFA KAMAL</v>
      </c>
      <c r="F1122" s="100" t="s">
        <v>1300</v>
      </c>
      <c r="G1122" s="101">
        <f>COUNTIF(LS[[#Headers],[Investor ID]]:LS[[#This Row],[Investor ID]],LS[[#This Row],[Investor ID]])</f>
        <v>8</v>
      </c>
      <c r="H1122" s="101" t="str">
        <f>CONCATENATE(LS[[#This Row],[Frequency]],LS[[#This Row],[Investor ID]])</f>
        <v>8A00597</v>
      </c>
      <c r="I1122" s="75" t="str">
        <f>IF(LS[[#This Row],[B/S]]="B","BUY",(IF(LS[[#This Row],[B/S]]="S","SELL"," ")))</f>
        <v>BUY</v>
      </c>
      <c r="J1122" s="101" t="s">
        <v>1229</v>
      </c>
      <c r="K1122" s="102">
        <v>150000</v>
      </c>
      <c r="L1122" s="99"/>
      <c r="M1122" s="103">
        <f>LS[[#This Row],[Amount]]/LS[[#This Row],[Unit]]</f>
        <v>12.679628064243449</v>
      </c>
      <c r="N1122" s="104">
        <f>LS[[#This Row],[Unit Capital]]/10</f>
        <v>11830</v>
      </c>
      <c r="O1122" s="104">
        <f>SUMIFS(LS[[#Headers],[Unit]]:LS[[#This Row],[Unit]],LS[[#Headers],[Investor ID]]:LS[[#This Row],[Investor ID]],LS[[#This Row],[Investor ID]])</f>
        <v>58329</v>
      </c>
      <c r="P1122" s="102">
        <v>118300</v>
      </c>
      <c r="Q1122" s="102">
        <f>LS[[#This Row],[Amount]]-LS[[#This Row],[Unit Capital]]</f>
        <v>31700</v>
      </c>
      <c r="R11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12.600936069536594</v>
      </c>
      <c r="S1122" s="103">
        <f t="shared" si="17"/>
        <v>14.224</v>
      </c>
      <c r="T11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22" s="102" cm="1">
        <f t="array" ref="U1122">IF(LS[[#This Row],[B/S]]="S",ABS(LS[[#This Row],[Unit]])*(INDEX(LS[NAV at Cost (Average)],MATCH(CONCATENATE((LS[[#This Row],[Frequency]]-1),LS[[#This Row],[Investor ID]]),LS[Unique Code],0),0)),0)</f>
        <v>0</v>
      </c>
      <c r="V1122" s="102">
        <f>IF(LS[[#This Row],[BO TRANSFER]]="YES",LS[[#This Row],[Unit]],)</f>
        <v>0</v>
      </c>
      <c r="W1122" s="102">
        <f>SUMIFS(LS[[#Headers],[BO UNIT TRANSFER]]:LS[[#This Row],[BO UNIT TRANSFER]],LS[[#Headers],[Investor ID]]:LS[[#This Row],[Investor ID]],LS[[#This Row],[Investor ID]])</f>
        <v>0</v>
      </c>
    </row>
    <row r="1123" spans="1:23">
      <c r="A1123" s="101">
        <v>2025</v>
      </c>
      <c r="B1123" s="101">
        <v>7</v>
      </c>
      <c r="C1123" s="101">
        <v>23</v>
      </c>
      <c r="D1123" s="98">
        <f>DATE(LS[[#This Row],[Year]],LS[[#This Row],[Month]],LS[[#This Row],[Day]])</f>
        <v>45861</v>
      </c>
      <c r="E1123" s="99" t="str" cm="1">
        <f t="array" ref="E1123">INDEX(INVESTORS_LIST[INVESTOR NAME],MATCH(LS[[#This Row],[Investor ID]],INVESTORS_LIST[INVESTOR CODE],0),)</f>
        <v>KAZI HABIBUR RAHMAN</v>
      </c>
      <c r="F1123" s="100" t="s">
        <v>1114</v>
      </c>
      <c r="G1123" s="101">
        <f>COUNTIF(LS[[#Headers],[Investor ID]]:LS[[#This Row],[Investor ID]],LS[[#This Row],[Investor ID]])</f>
        <v>32</v>
      </c>
      <c r="H1123" s="101" t="str">
        <f>CONCATENATE(LS[[#This Row],[Frequency]],LS[[#This Row],[Investor ID]])</f>
        <v>32A00532</v>
      </c>
      <c r="I1123" s="75" t="str">
        <f>IF(LS[[#This Row],[B/S]]="B","BUY",(IF(LS[[#This Row],[B/S]]="S","SELL"," ")))</f>
        <v>SELL</v>
      </c>
      <c r="J1123" s="101" t="s">
        <v>1231</v>
      </c>
      <c r="K1123" s="102">
        <v>-4109055.44</v>
      </c>
      <c r="L1123" s="99"/>
      <c r="M1123" s="103">
        <f>LS[[#This Row],[Amount]]/LS[[#This Row],[Unit]]</f>
        <v>12.68</v>
      </c>
      <c r="N1123" s="104">
        <f>LS[[#This Row],[Unit Capital]]/10</f>
        <v>-324058</v>
      </c>
      <c r="O1123" s="104">
        <f>SUMIFS(LS[[#Headers],[Unit]]:LS[[#This Row],[Unit]],LS[[#Headers],[Investor ID]]:LS[[#This Row],[Investor ID]],LS[[#This Row],[Investor ID]])</f>
        <v>0</v>
      </c>
      <c r="P1123" s="102">
        <v>-3240580</v>
      </c>
      <c r="Q1123" s="102">
        <f>LS[[#This Row],[Amount]]-LS[[#This Row],[Unit Capital]]</f>
        <v>-868475.44</v>
      </c>
      <c r="R11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23" s="103">
        <f t="shared" si="17"/>
        <v>14.224</v>
      </c>
      <c r="T1123" s="102">
        <f>IF(LS[[#This Row],[B/S]]="B",0,ABS(LS[[#This Row],[Unit]])*(LS[[#This Row],[NAV (Strike Rate)]]-INDEX(LS[NAV at Cost (Average)],MATCH(CONCATENATE(LS[[#This Row],[Frequency]]-1,LS[[#This Row],[Investor ID]]),LS[Unique Code],0),)))</f>
        <v>238352.89066549548</v>
      </c>
      <c r="U1123" s="102" cm="1">
        <f t="array" ref="U1123">IF(LS[[#This Row],[B/S]]="S",ABS(LS[[#This Row],[Unit]])*(INDEX(LS[NAV at Cost (Average)],MATCH(CONCATENATE((LS[[#This Row],[Frequency]]-1),LS[[#This Row],[Investor ID]]),LS[Unique Code],0),0)),0)</f>
        <v>3870702.5493345046</v>
      </c>
      <c r="V1123" s="102">
        <f>IF(LS[[#This Row],[BO TRANSFER]]="YES",LS[[#This Row],[Unit]],)</f>
        <v>0</v>
      </c>
      <c r="W1123" s="102">
        <f>SUMIFS(LS[[#Headers],[BO UNIT TRANSFER]]:LS[[#This Row],[BO UNIT TRANSFER]],LS[[#Headers],[Investor ID]]:LS[[#This Row],[Investor ID]],LS[[#This Row],[Investor ID]])</f>
        <v>0</v>
      </c>
    </row>
    <row r="1124" spans="1:23">
      <c r="A1124" s="101">
        <v>2025</v>
      </c>
      <c r="B1124" s="101">
        <v>7</v>
      </c>
      <c r="C1124" s="101">
        <v>23</v>
      </c>
      <c r="D1124" s="98">
        <f>DATE(LS[[#This Row],[Year]],LS[[#This Row],[Month]],LS[[#This Row],[Day]])</f>
        <v>45861</v>
      </c>
      <c r="E1124" s="99" t="str" cm="1">
        <f t="array" ref="E1124">INDEX(INVESTORS_LIST[INVESTOR NAME],MATCH(LS[[#This Row],[Investor ID]],INVESTORS_LIST[INVESTOR CODE],0),)</f>
        <v>MD. MUSTAFA KAMAL</v>
      </c>
      <c r="F1124" s="100" t="s">
        <v>1300</v>
      </c>
      <c r="G1124" s="101">
        <f>COUNTIF(LS[[#Headers],[Investor ID]]:LS[[#This Row],[Investor ID]],LS[[#This Row],[Investor ID]])</f>
        <v>9</v>
      </c>
      <c r="H1124" s="101" t="str">
        <f>CONCATENATE(LS[[#This Row],[Frequency]],LS[[#This Row],[Investor ID]])</f>
        <v>9A00597</v>
      </c>
      <c r="I1124" s="75" t="str">
        <f>IF(LS[[#This Row],[B/S]]="B","BUY",(IF(LS[[#This Row],[B/S]]="S","SELL"," ")))</f>
        <v>BUY</v>
      </c>
      <c r="J1124" s="101" t="s">
        <v>1229</v>
      </c>
      <c r="K1124" s="102">
        <v>100000</v>
      </c>
      <c r="L1124" s="99"/>
      <c r="M1124" s="103">
        <f>LS[[#This Row],[Amount]]/LS[[#This Row],[Unit]]</f>
        <v>12.6806999746386</v>
      </c>
      <c r="N1124" s="104">
        <f>LS[[#This Row],[Unit Capital]]/10</f>
        <v>7886</v>
      </c>
      <c r="O1124" s="104">
        <f>SUMIFS(LS[[#Headers],[Unit]]:LS[[#This Row],[Unit]],LS[[#Headers],[Investor ID]]:LS[[#This Row],[Investor ID]],LS[[#This Row],[Investor ID]])</f>
        <v>66215</v>
      </c>
      <c r="P1124" s="102">
        <v>78860</v>
      </c>
      <c r="Q1124" s="102">
        <f>LS[[#This Row],[Amount]]-LS[[#This Row],[Unit Capital]]</f>
        <v>21140</v>
      </c>
      <c r="R11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12.610435701880238</v>
      </c>
      <c r="S1124" s="103">
        <f t="shared" si="17"/>
        <v>14.224</v>
      </c>
      <c r="T112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24" s="102" cm="1">
        <f t="array" ref="U1124">IF(LS[[#This Row],[B/S]]="S",ABS(LS[[#This Row],[Unit]])*(INDEX(LS[NAV at Cost (Average)],MATCH(CONCATENATE((LS[[#This Row],[Frequency]]-1),LS[[#This Row],[Investor ID]]),LS[Unique Code],0),0)),0)</f>
        <v>0</v>
      </c>
      <c r="V1124" s="102">
        <f>IF(LS[[#This Row],[BO TRANSFER]]="YES",LS[[#This Row],[Unit]],)</f>
        <v>0</v>
      </c>
      <c r="W1124" s="102">
        <f>SUMIFS(LS[[#Headers],[BO UNIT TRANSFER]]:LS[[#This Row],[BO UNIT TRANSFER]],LS[[#Headers],[Investor ID]]:LS[[#This Row],[Investor ID]],LS[[#This Row],[Investor ID]])</f>
        <v>0</v>
      </c>
    </row>
    <row r="1125" spans="1:23">
      <c r="A1125" s="101">
        <v>2025</v>
      </c>
      <c r="B1125" s="101">
        <v>7</v>
      </c>
      <c r="C1125" s="101">
        <v>23</v>
      </c>
      <c r="D1125" s="98">
        <f>DATE(LS[[#This Row],[Year]],LS[[#This Row],[Month]],LS[[#This Row],[Day]])</f>
        <v>45861</v>
      </c>
      <c r="E1125" s="99" t="str" cm="1">
        <f t="array" ref="E1125">INDEX(INVESTORS_LIST[INVESTOR NAME],MATCH(LS[[#This Row],[Investor ID]],INVESTORS_LIST[INVESTOR CODE],0),)</f>
        <v>SYED FAZLE RABBY</v>
      </c>
      <c r="F1125" s="100" t="s">
        <v>166</v>
      </c>
      <c r="G1125" s="101">
        <f>COUNTIF(LS[[#Headers],[Investor ID]]:LS[[#This Row],[Investor ID]],LS[[#This Row],[Investor ID]])</f>
        <v>46</v>
      </c>
      <c r="H1125" s="101" t="str">
        <f>CONCATENATE(LS[[#This Row],[Frequency]],LS[[#This Row],[Investor ID]])</f>
        <v>46A00059</v>
      </c>
      <c r="I1125" s="75" t="str">
        <f>IF(LS[[#This Row],[B/S]]="B","BUY",(IF(LS[[#This Row],[B/S]]="S","SELL"," ")))</f>
        <v>BUY</v>
      </c>
      <c r="J1125" s="101" t="s">
        <v>1229</v>
      </c>
      <c r="K1125" s="102">
        <v>100000</v>
      </c>
      <c r="L1125" s="99"/>
      <c r="M1125" s="103">
        <f>LS[[#This Row],[Amount]]/LS[[#This Row],[Unit]]</f>
        <v>12.6806999746386</v>
      </c>
      <c r="N1125" s="104">
        <f>LS[[#This Row],[Unit Capital]]/10</f>
        <v>7886</v>
      </c>
      <c r="O1125" s="104">
        <f>SUMIFS(LS[[#Headers],[Unit]]:LS[[#This Row],[Unit]],LS[[#Headers],[Investor ID]]:LS[[#This Row],[Investor ID]],LS[[#This Row],[Investor ID]])</f>
        <v>576139</v>
      </c>
      <c r="P1125" s="102">
        <v>78860</v>
      </c>
      <c r="Q1125" s="102">
        <f>LS[[#This Row],[Amount]]-LS[[#This Row],[Unit Capital]]</f>
        <v>21140</v>
      </c>
      <c r="R11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12.402404674829027</v>
      </c>
      <c r="S1125" s="103">
        <f t="shared" si="17"/>
        <v>14.224</v>
      </c>
      <c r="T112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25" s="102" cm="1">
        <f t="array" ref="U1125">IF(LS[[#This Row],[B/S]]="S",ABS(LS[[#This Row],[Unit]])*(INDEX(LS[NAV at Cost (Average)],MATCH(CONCATENATE((LS[[#This Row],[Frequency]]-1),LS[[#This Row],[Investor ID]]),LS[Unique Code],0),0)),0)</f>
        <v>0</v>
      </c>
      <c r="V1125" s="102">
        <f>IF(LS[[#This Row],[BO TRANSFER]]="YES",LS[[#This Row],[Unit]],)</f>
        <v>0</v>
      </c>
      <c r="W1125" s="102">
        <f>SUMIFS(LS[[#Headers],[BO UNIT TRANSFER]]:LS[[#This Row],[BO UNIT TRANSFER]],LS[[#Headers],[Investor ID]]:LS[[#This Row],[Investor ID]],LS[[#This Row],[Investor ID]])</f>
        <v>0</v>
      </c>
    </row>
    <row r="1126" spans="1:23">
      <c r="A1126" s="101">
        <v>2025</v>
      </c>
      <c r="B1126" s="101">
        <v>7</v>
      </c>
      <c r="C1126" s="101">
        <v>24</v>
      </c>
      <c r="D1126" s="98">
        <f>DATE(LS[[#This Row],[Year]],LS[[#This Row],[Month]],LS[[#This Row],[Day]])</f>
        <v>45862</v>
      </c>
      <c r="E1126" s="99" t="str" cm="1">
        <f t="array" ref="E1126">INDEX(INVESTORS_LIST[INVESTOR NAME],MATCH(LS[[#This Row],[Investor ID]],INVESTORS_LIST[INVESTOR CODE],0),)</f>
        <v>FARZANA JITU</v>
      </c>
      <c r="F1126" s="100" t="s">
        <v>968</v>
      </c>
      <c r="G1126" s="101">
        <f>COUNTIF(LS[[#Headers],[Investor ID]]:LS[[#This Row],[Investor ID]],LS[[#This Row],[Investor ID]])</f>
        <v>32</v>
      </c>
      <c r="H1126" s="101" t="str">
        <f>CONCATENATE(LS[[#This Row],[Frequency]],LS[[#This Row],[Investor ID]])</f>
        <v>32A00461</v>
      </c>
      <c r="I1126" s="75" t="str">
        <f>IF(LS[[#This Row],[B/S]]="B","BUY",(IF(LS[[#This Row],[B/S]]="S","SELL"," ")))</f>
        <v>BUY</v>
      </c>
      <c r="J1126" s="101" t="s">
        <v>1229</v>
      </c>
      <c r="K1126" s="102">
        <v>200000</v>
      </c>
      <c r="L1126" s="88" t="s">
        <v>1230</v>
      </c>
      <c r="M1126" s="103">
        <f>LS[[#This Row],[Amount]]/LS[[#This Row],[Unit]]</f>
        <v>12.679896024852596</v>
      </c>
      <c r="N1126" s="104">
        <f>LS[[#This Row],[Unit Capital]]/10</f>
        <v>15773</v>
      </c>
      <c r="O1126" s="104">
        <f>SUMIFS(LS[[#Headers],[Unit]]:LS[[#This Row],[Unit]],LS[[#Headers],[Investor ID]]:LS[[#This Row],[Investor ID]],LS[[#This Row],[Investor ID]])</f>
        <v>121611</v>
      </c>
      <c r="P1126" s="102">
        <v>157730</v>
      </c>
      <c r="Q1126" s="102">
        <f>LS[[#This Row],[Amount]]-LS[[#This Row],[Unit Capital]]</f>
        <v>42270</v>
      </c>
      <c r="R11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12.416639942110503</v>
      </c>
      <c r="S1126" s="103">
        <f t="shared" si="17"/>
        <v>14.224</v>
      </c>
      <c r="T11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26" s="102" cm="1">
        <f t="array" ref="U1126">IF(LS[[#This Row],[B/S]]="S",ABS(LS[[#This Row],[Unit]])*(INDEX(LS[NAV at Cost (Average)],MATCH(CONCATENATE((LS[[#This Row],[Frequency]]-1),LS[[#This Row],[Investor ID]]),LS[Unique Code],0),0)),0)</f>
        <v>0</v>
      </c>
      <c r="V1126" s="102">
        <f>IF(LS[[#This Row],[BO TRANSFER]]="YES",LS[[#This Row],[Unit]],)</f>
        <v>15773</v>
      </c>
      <c r="W1126" s="102">
        <f>SUMIFS(LS[[#Headers],[BO UNIT TRANSFER]]:LS[[#This Row],[BO UNIT TRANSFER]],LS[[#Headers],[Investor ID]]:LS[[#This Row],[Investor ID]],LS[[#This Row],[Investor ID]])</f>
        <v>15773</v>
      </c>
    </row>
    <row r="1127" spans="1:23">
      <c r="A1127" s="101">
        <v>2025</v>
      </c>
      <c r="B1127" s="101">
        <v>7</v>
      </c>
      <c r="C1127" s="101">
        <v>24</v>
      </c>
      <c r="D1127" s="98">
        <f>DATE(LS[[#This Row],[Year]],LS[[#This Row],[Month]],LS[[#This Row],[Day]])</f>
        <v>45862</v>
      </c>
      <c r="E1127" s="99" t="str" cm="1">
        <f t="array" ref="E1127">INDEX(INVESTORS_LIST[INVESTOR NAME],MATCH(LS[[#This Row],[Investor ID]],INVESTORS_LIST[INVESTOR CODE],0),)</f>
        <v>TAMANNA AFRIN MITUL</v>
      </c>
      <c r="F1127" s="100" t="s">
        <v>1157</v>
      </c>
      <c r="G1127" s="101">
        <f>COUNTIF(LS[[#Headers],[Investor ID]]:LS[[#This Row],[Investor ID]],LS[[#This Row],[Investor ID]])</f>
        <v>12</v>
      </c>
      <c r="H1127" s="101" t="str">
        <f>CONCATENATE(LS[[#This Row],[Frequency]],LS[[#This Row],[Investor ID]])</f>
        <v>12A00554</v>
      </c>
      <c r="I1127" s="75" t="str">
        <f>IF(LS[[#This Row],[B/S]]="B","BUY",(IF(LS[[#This Row],[B/S]]="S","SELL"," ")))</f>
        <v>SELL</v>
      </c>
      <c r="J1127" s="101" t="s">
        <v>1231</v>
      </c>
      <c r="K1127" s="102">
        <v>-330000</v>
      </c>
      <c r="L1127" s="99"/>
      <c r="M1127" s="103">
        <f>LS[[#This Row],[Amount]]/LS[[#This Row],[Unit]]</f>
        <v>12.680115273775217</v>
      </c>
      <c r="N1127" s="104">
        <f>LS[[#This Row],[Unit Capital]]/10</f>
        <v>-26025</v>
      </c>
      <c r="O1127" s="104">
        <f>SUMIFS(LS[[#Headers],[Unit]]:LS[[#This Row],[Unit]],LS[[#Headers],[Investor ID]]:LS[[#This Row],[Investor ID]],LS[[#This Row],[Investor ID]])</f>
        <v>8859</v>
      </c>
      <c r="P1127" s="102">
        <v>-260250</v>
      </c>
      <c r="Q1127" s="102">
        <f>LS[[#This Row],[Amount]]-LS[[#This Row],[Unit Capital]]</f>
        <v>-69750</v>
      </c>
      <c r="R11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12.396142175819007</v>
      </c>
      <c r="S1127" s="103">
        <f t="shared" si="17"/>
        <v>14.224</v>
      </c>
      <c r="T1127" s="102">
        <f>IF(LS[[#This Row],[B/S]]="B",0,ABS(LS[[#This Row],[Unit]])*(LS[[#This Row],[NAV (Strike Rate)]]-INDEX(LS[NAV at Cost (Average)],MATCH(CONCATENATE(LS[[#This Row],[Frequency]]-1,LS[[#This Row],[Investor ID]]),LS[Unique Code],0),)))</f>
        <v>7390.3998743103612</v>
      </c>
      <c r="U1127" s="102" cm="1">
        <f t="array" ref="U1127">IF(LS[[#This Row],[B/S]]="S",ABS(LS[[#This Row],[Unit]])*(INDEX(LS[NAV at Cost (Average)],MATCH(CONCATENATE((LS[[#This Row],[Frequency]]-1),LS[[#This Row],[Investor ID]]),LS[Unique Code],0),0)),0)</f>
        <v>322609.60012568964</v>
      </c>
      <c r="V1127" s="102">
        <f>IF(LS[[#This Row],[BO TRANSFER]]="YES",LS[[#This Row],[Unit]],)</f>
        <v>0</v>
      </c>
      <c r="W1127" s="102">
        <f>SUMIFS(LS[[#Headers],[BO UNIT TRANSFER]]:LS[[#This Row],[BO UNIT TRANSFER]],LS[[#Headers],[Investor ID]]:LS[[#This Row],[Investor ID]],LS[[#This Row],[Investor ID]])</f>
        <v>0</v>
      </c>
    </row>
    <row r="1128" spans="1:23">
      <c r="A1128" s="101">
        <v>2025</v>
      </c>
      <c r="B1128" s="101">
        <v>7</v>
      </c>
      <c r="C1128" s="101">
        <v>24</v>
      </c>
      <c r="D1128" s="98">
        <f>DATE(LS[[#This Row],[Year]],LS[[#This Row],[Month]],LS[[#This Row],[Day]])</f>
        <v>45862</v>
      </c>
      <c r="E1128" s="99" t="str" cm="1">
        <f t="array" ref="E1128">INDEX(INVESTORS_LIST[INVESTOR NAME],MATCH(LS[[#This Row],[Investor ID]],INVESTORS_LIST[INVESTOR CODE],0),)</f>
        <v>AKHTER MOHAMMED MUSA</v>
      </c>
      <c r="F1128" s="100" t="s">
        <v>1358</v>
      </c>
      <c r="G1128" s="101">
        <f>COUNTIF(LS[[#Headers],[Investor ID]]:LS[[#This Row],[Investor ID]],LS[[#This Row],[Investor ID]])</f>
        <v>2</v>
      </c>
      <c r="H1128" s="101" t="str">
        <f>CONCATENATE(LS[[#This Row],[Frequency]],LS[[#This Row],[Investor ID]])</f>
        <v>2A00625</v>
      </c>
      <c r="I1128" s="75" t="str">
        <f>IF(LS[[#This Row],[B/S]]="B","BUY",(IF(LS[[#This Row],[B/S]]="S","SELL"," ")))</f>
        <v>SELL</v>
      </c>
      <c r="J1128" s="101" t="s">
        <v>1231</v>
      </c>
      <c r="K1128" s="102">
        <v>-505538.92</v>
      </c>
      <c r="L1128" s="99"/>
      <c r="M1128" s="103">
        <f>LS[[#This Row],[Amount]]/LS[[#This Row],[Unit]]</f>
        <v>12.68</v>
      </c>
      <c r="N1128" s="104">
        <f>LS[[#This Row],[Unit Capital]]/10</f>
        <v>-39869</v>
      </c>
      <c r="O1128" s="104">
        <f>SUMIFS(LS[[#Headers],[Unit]]:LS[[#This Row],[Unit]],LS[[#Headers],[Investor ID]]:LS[[#This Row],[Investor ID]],LS[[#This Row],[Investor ID]])</f>
        <v>0</v>
      </c>
      <c r="P1128" s="102">
        <v>-398690</v>
      </c>
      <c r="Q1128" s="102">
        <f>LS[[#This Row],[Amount]]-LS[[#This Row],[Unit Capital]]</f>
        <v>-106848.91999999998</v>
      </c>
      <c r="R11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28" s="103">
        <f t="shared" si="17"/>
        <v>14.224</v>
      </c>
      <c r="T1128" s="102">
        <f>IF(LS[[#This Row],[B/S]]="B",0,ABS(LS[[#This Row],[Unit]])*(LS[[#This Row],[NAV (Strike Rate)]]-INDEX(LS[NAV at Cost (Average)],MATCH(CONCATENATE(LS[[#This Row],[Frequency]]-1,LS[[#This Row],[Investor ID]]),LS[Unique Code],0),)))</f>
        <v>5538.9199999999591</v>
      </c>
      <c r="U1128" s="102" cm="1">
        <f t="array" ref="U1128">IF(LS[[#This Row],[B/S]]="S",ABS(LS[[#This Row],[Unit]])*(INDEX(LS[NAV at Cost (Average)],MATCH(CONCATENATE((LS[[#This Row],[Frequency]]-1),LS[[#This Row],[Investor ID]]),LS[Unique Code],0),0)),0)</f>
        <v>500000.00000000006</v>
      </c>
      <c r="V1128" s="102">
        <f>IF(LS[[#This Row],[BO TRANSFER]]="YES",LS[[#This Row],[Unit]],)</f>
        <v>0</v>
      </c>
      <c r="W1128" s="102">
        <f>SUMIFS(LS[[#Headers],[BO UNIT TRANSFER]]:LS[[#This Row],[BO UNIT TRANSFER]],LS[[#Headers],[Investor ID]]:LS[[#This Row],[Investor ID]],LS[[#This Row],[Investor ID]])</f>
        <v>0</v>
      </c>
    </row>
    <row r="1129" spans="1:23">
      <c r="A1129" s="101">
        <v>2025</v>
      </c>
      <c r="B1129" s="101">
        <v>7</v>
      </c>
      <c r="C1129" s="101">
        <v>24</v>
      </c>
      <c r="D1129" s="98">
        <f>DATE(LS[[#This Row],[Year]],LS[[#This Row],[Month]],LS[[#This Row],[Day]])</f>
        <v>45862</v>
      </c>
      <c r="E1129" s="99" t="str" cm="1">
        <f t="array" ref="E1129">INDEX(INVESTORS_LIST[INVESTOR NAME],MATCH(LS[[#This Row],[Investor ID]],INVESTORS_LIST[INVESTOR CODE],0),)</f>
        <v>AMIT KUMAR CHAKRABARTY</v>
      </c>
      <c r="F1129" s="100" t="s">
        <v>1306</v>
      </c>
      <c r="G1129" s="101">
        <f>COUNTIF(LS[[#Headers],[Investor ID]]:LS[[#This Row],[Investor ID]],LS[[#This Row],[Investor ID]])</f>
        <v>4</v>
      </c>
      <c r="H1129" s="101" t="str">
        <f>CONCATENATE(LS[[#This Row],[Frequency]],LS[[#This Row],[Investor ID]])</f>
        <v>4A00600</v>
      </c>
      <c r="I1129" s="75" t="str">
        <f>IF(LS[[#This Row],[B/S]]="B","BUY",(IF(LS[[#This Row],[B/S]]="S","SELL"," ")))</f>
        <v>SELL</v>
      </c>
      <c r="J1129" s="101" t="s">
        <v>1231</v>
      </c>
      <c r="K1129" s="102">
        <v>-233600</v>
      </c>
      <c r="L1129" s="99"/>
      <c r="M1129" s="103">
        <f>LS[[#This Row],[Amount]]/LS[[#This Row],[Unit]]</f>
        <v>12.679802420886935</v>
      </c>
      <c r="N1129" s="104">
        <f>LS[[#This Row],[Unit Capital]]/10</f>
        <v>-18423</v>
      </c>
      <c r="O1129" s="104">
        <f>SUMIFS(LS[[#Headers],[Unit]]:LS[[#This Row],[Unit]],LS[[#Headers],[Investor ID]]:LS[[#This Row],[Investor ID]],LS[[#This Row],[Investor ID]])</f>
        <v>28486</v>
      </c>
      <c r="P1129" s="102">
        <v>-184230</v>
      </c>
      <c r="Q1129" s="102">
        <f>LS[[#This Row],[Amount]]-LS[[#This Row],[Unit Capital]]</f>
        <v>-49370</v>
      </c>
      <c r="R11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12.374706100730108</v>
      </c>
      <c r="S1129" s="103">
        <f t="shared" si="17"/>
        <v>14.224</v>
      </c>
      <c r="T1129" s="102">
        <f>IF(LS[[#This Row],[B/S]]="B",0,ABS(LS[[#This Row],[Unit]])*(LS[[#This Row],[NAV (Strike Rate)]]-INDEX(LS[NAV at Cost (Average)],MATCH(CONCATENATE(LS[[#This Row],[Frequency]]-1,LS[[#This Row],[Investor ID]]),LS[Unique Code],0),)))</f>
        <v>5620.7895062492089</v>
      </c>
      <c r="U1129" s="102" cm="1">
        <f t="array" ref="U1129">IF(LS[[#This Row],[B/S]]="S",ABS(LS[[#This Row],[Unit]])*(INDEX(LS[NAV at Cost (Average)],MATCH(CONCATENATE((LS[[#This Row],[Frequency]]-1),LS[[#This Row],[Investor ID]]),LS[Unique Code],0),0)),0)</f>
        <v>227979.21049375078</v>
      </c>
      <c r="V1129" s="102">
        <f>IF(LS[[#This Row],[BO TRANSFER]]="YES",LS[[#This Row],[Unit]],)</f>
        <v>0</v>
      </c>
      <c r="W1129" s="102">
        <f>SUMIFS(LS[[#Headers],[BO UNIT TRANSFER]]:LS[[#This Row],[BO UNIT TRANSFER]],LS[[#Headers],[Investor ID]]:LS[[#This Row],[Investor ID]],LS[[#This Row],[Investor ID]])</f>
        <v>0</v>
      </c>
    </row>
    <row r="1130" spans="1:23">
      <c r="A1130" s="101">
        <v>2025</v>
      </c>
      <c r="B1130" s="101">
        <v>7</v>
      </c>
      <c r="C1130" s="101">
        <v>24</v>
      </c>
      <c r="D1130" s="98">
        <f>DATE(LS[[#This Row],[Year]],LS[[#This Row],[Month]],LS[[#This Row],[Day]])</f>
        <v>45862</v>
      </c>
      <c r="E1130" s="99" t="str" cm="1">
        <f t="array" ref="E1130">INDEX(INVESTORS_LIST[INVESTOR NAME],MATCH(LS[[#This Row],[Investor ID]],INVESTORS_LIST[INVESTOR CODE],0),)</f>
        <v>PUJA BHATTACHARJEE</v>
      </c>
      <c r="F1130" s="100" t="s">
        <v>1286</v>
      </c>
      <c r="G1130" s="101">
        <f>COUNTIF(LS[[#Headers],[Investor ID]]:LS[[#This Row],[Investor ID]],LS[[#This Row],[Investor ID]])</f>
        <v>8</v>
      </c>
      <c r="H1130" s="101" t="str">
        <f>CONCATENATE(LS[[#This Row],[Frequency]],LS[[#This Row],[Investor ID]])</f>
        <v>8A00590</v>
      </c>
      <c r="I1130" s="75" t="str">
        <f>IF(LS[[#This Row],[B/S]]="B","BUY",(IF(LS[[#This Row],[B/S]]="S","SELL"," ")))</f>
        <v>SELL</v>
      </c>
      <c r="J1130" s="101" t="s">
        <v>1231</v>
      </c>
      <c r="K1130" s="102">
        <v>-292000</v>
      </c>
      <c r="L1130" s="99"/>
      <c r="M1130" s="103">
        <f>LS[[#This Row],[Amount]]/LS[[#This Row],[Unit]]</f>
        <v>12.680215389960049</v>
      </c>
      <c r="N1130" s="104">
        <f>LS[[#This Row],[Unit Capital]]/10</f>
        <v>-23028</v>
      </c>
      <c r="O1130" s="104">
        <f>SUMIFS(LS[[#Headers],[Unit]]:LS[[#This Row],[Unit]],LS[[#Headers],[Investor ID]]:LS[[#This Row],[Investor ID]],LS[[#This Row],[Investor ID]])</f>
        <v>64960</v>
      </c>
      <c r="P1130" s="102">
        <v>-230280</v>
      </c>
      <c r="Q1130" s="102">
        <f>LS[[#This Row],[Amount]]-LS[[#This Row],[Unit Capital]]</f>
        <v>-61720</v>
      </c>
      <c r="R11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12.181531224229094</v>
      </c>
      <c r="S1130" s="103">
        <f t="shared" si="17"/>
        <v>14.224</v>
      </c>
      <c r="T1130" s="102">
        <f>IF(LS[[#This Row],[B/S]]="B",0,ABS(LS[[#This Row],[Unit]])*(LS[[#This Row],[NAV (Strike Rate)]]-INDEX(LS[NAV at Cost (Average)],MATCH(CONCATENATE(LS[[#This Row],[Frequency]]-1,LS[[#This Row],[Investor ID]]),LS[Unique Code],0),)))</f>
        <v>11483.698968452434</v>
      </c>
      <c r="U1130" s="102" cm="1">
        <f t="array" ref="U1130">IF(LS[[#This Row],[B/S]]="S",ABS(LS[[#This Row],[Unit]])*(INDEX(LS[NAV at Cost (Average)],MATCH(CONCATENATE((LS[[#This Row],[Frequency]]-1),LS[[#This Row],[Investor ID]]),LS[Unique Code],0),0)),0)</f>
        <v>280516.30103154754</v>
      </c>
      <c r="V1130" s="102">
        <f>IF(LS[[#This Row],[BO TRANSFER]]="YES",LS[[#This Row],[Unit]],)</f>
        <v>0</v>
      </c>
      <c r="W1130" s="102">
        <f>SUMIFS(LS[[#Headers],[BO UNIT TRANSFER]]:LS[[#This Row],[BO UNIT TRANSFER]],LS[[#Headers],[Investor ID]]:LS[[#This Row],[Investor ID]],LS[[#This Row],[Investor ID]])</f>
        <v>0</v>
      </c>
    </row>
    <row r="1131" spans="1:23">
      <c r="A1131" s="101">
        <v>2025</v>
      </c>
      <c r="B1131" s="101">
        <v>7</v>
      </c>
      <c r="C1131" s="101">
        <v>24</v>
      </c>
      <c r="D1131" s="98">
        <f>DATE(LS[[#This Row],[Year]],LS[[#This Row],[Month]],LS[[#This Row],[Day]])</f>
        <v>45862</v>
      </c>
      <c r="E1131" s="99" t="str" cm="1">
        <f t="array" ref="E1131">INDEX(INVESTORS_LIST[INVESTOR NAME],MATCH(LS[[#This Row],[Investor ID]],INVESTORS_LIST[INVESTOR CODE],0),)</f>
        <v>KHAN MUHAMMAD FAISOL</v>
      </c>
      <c r="F1131" s="100" t="s">
        <v>930</v>
      </c>
      <c r="G1131" s="101">
        <f>COUNTIF(LS[[#Headers],[Investor ID]]:LS[[#This Row],[Investor ID]],LS[[#This Row],[Investor ID]])</f>
        <v>3</v>
      </c>
      <c r="H1131" s="101" t="str">
        <f>CONCATENATE(LS[[#This Row],[Frequency]],LS[[#This Row],[Investor ID]])</f>
        <v>3A00442</v>
      </c>
      <c r="I1131" s="75" t="str">
        <f>IF(LS[[#This Row],[B/S]]="B","BUY",(IF(LS[[#This Row],[B/S]]="S","SELL"," ")))</f>
        <v>BUY</v>
      </c>
      <c r="J1131" s="101" t="s">
        <v>1229</v>
      </c>
      <c r="K1131" s="102">
        <v>800000</v>
      </c>
      <c r="L1131" s="99" t="s">
        <v>1230</v>
      </c>
      <c r="M1131" s="103">
        <f>LS[[#This Row],[Amount]]/LS[[#This Row],[Unit]]</f>
        <v>12.680097002742071</v>
      </c>
      <c r="N1131" s="104">
        <f>LS[[#This Row],[Unit Capital]]/10</f>
        <v>63091</v>
      </c>
      <c r="O1131" s="104">
        <f>SUMIFS(LS[[#Headers],[Unit]]:LS[[#This Row],[Unit]],LS[[#Headers],[Investor ID]]:LS[[#This Row],[Investor ID]],LS[[#This Row],[Investor ID]])</f>
        <v>63091</v>
      </c>
      <c r="P1131" s="102">
        <v>630910</v>
      </c>
      <c r="Q1131" s="102">
        <f>LS[[#This Row],[Amount]]-LS[[#This Row],[Unit Capital]]</f>
        <v>169090</v>
      </c>
      <c r="R11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12.680097002742071</v>
      </c>
      <c r="S1131" s="103">
        <f t="shared" si="17"/>
        <v>14.224</v>
      </c>
      <c r="T113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31" s="102" cm="1">
        <f t="array" ref="U1131">IF(LS[[#This Row],[B/S]]="S",ABS(LS[[#This Row],[Unit]])*(INDEX(LS[NAV at Cost (Average)],MATCH(CONCATENATE((LS[[#This Row],[Frequency]]-1),LS[[#This Row],[Investor ID]]),LS[Unique Code],0),0)),0)</f>
        <v>0</v>
      </c>
      <c r="V1131" s="102">
        <f>IF(LS[[#This Row],[BO TRANSFER]]="YES",LS[[#This Row],[Unit]],)</f>
        <v>63091</v>
      </c>
      <c r="W1131" s="102">
        <f>SUMIFS(LS[[#Headers],[BO UNIT TRANSFER]]:LS[[#This Row],[BO UNIT TRANSFER]],LS[[#Headers],[Investor ID]]:LS[[#This Row],[Investor ID]],LS[[#This Row],[Investor ID]])</f>
        <v>63091</v>
      </c>
    </row>
    <row r="1132" spans="1:23">
      <c r="A1132" s="101">
        <v>2025</v>
      </c>
      <c r="B1132" s="101">
        <v>7</v>
      </c>
      <c r="C1132" s="101">
        <v>24</v>
      </c>
      <c r="D1132" s="98">
        <f>DATE(LS[[#This Row],[Year]],LS[[#This Row],[Month]],LS[[#This Row],[Day]])</f>
        <v>45862</v>
      </c>
      <c r="E1132" s="99" t="str" cm="1">
        <f t="array" ref="E1132">INDEX(INVESTORS_LIST[INVESTOR NAME],MATCH(LS[[#This Row],[Investor ID]],INVESTORS_LIST[INVESTOR CODE],0),)</f>
        <v>NANDA DULAL SAHA</v>
      </c>
      <c r="F1132" s="100" t="s">
        <v>880</v>
      </c>
      <c r="G1132" s="101">
        <f>COUNTIF(LS[[#Headers],[Investor ID]]:LS[[#This Row],[Investor ID]],LS[[#This Row],[Investor ID]])</f>
        <v>3</v>
      </c>
      <c r="H1132" s="101" t="str">
        <f>CONCATENATE(LS[[#This Row],[Frequency]],LS[[#This Row],[Investor ID]])</f>
        <v>3A00417</v>
      </c>
      <c r="I1132" s="75" t="str">
        <f>IF(LS[[#This Row],[B/S]]="B","BUY",(IF(LS[[#This Row],[B/S]]="S","SELL"," ")))</f>
        <v>BUY</v>
      </c>
      <c r="J1132" s="101" t="s">
        <v>1229</v>
      </c>
      <c r="K1132" s="102">
        <v>200000</v>
      </c>
      <c r="L1132" s="99"/>
      <c r="M1132" s="103">
        <f>LS[[#This Row],[Amount]]/LS[[#This Row],[Unit]]</f>
        <v>12.679896024852596</v>
      </c>
      <c r="N1132" s="104">
        <f>LS[[#This Row],[Unit Capital]]/10</f>
        <v>15773</v>
      </c>
      <c r="O1132" s="104">
        <f>SUMIFS(LS[[#Headers],[Unit]]:LS[[#This Row],[Unit]],LS[[#Headers],[Investor ID]]:LS[[#This Row],[Investor ID]],LS[[#This Row],[Investor ID]])</f>
        <v>41173</v>
      </c>
      <c r="P1132" s="102">
        <v>157730</v>
      </c>
      <c r="Q1132" s="102">
        <f>LS[[#This Row],[Amount]]-LS[[#This Row],[Unit Capital]]</f>
        <v>42270</v>
      </c>
      <c r="R11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12.143880698516018</v>
      </c>
      <c r="S1132" s="103">
        <f t="shared" si="17"/>
        <v>14.224</v>
      </c>
      <c r="T11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32" s="102" cm="1">
        <f t="array" ref="U1132">IF(LS[[#This Row],[B/S]]="S",ABS(LS[[#This Row],[Unit]])*(INDEX(LS[NAV at Cost (Average)],MATCH(CONCATENATE((LS[[#This Row],[Frequency]]-1),LS[[#This Row],[Investor ID]]),LS[Unique Code],0),0)),0)</f>
        <v>0</v>
      </c>
      <c r="V1132" s="102">
        <f>IF(LS[[#This Row],[BO TRANSFER]]="YES",LS[[#This Row],[Unit]],)</f>
        <v>0</v>
      </c>
      <c r="W1132" s="102">
        <f>SUMIFS(LS[[#Headers],[BO UNIT TRANSFER]]:LS[[#This Row],[BO UNIT TRANSFER]],LS[[#Headers],[Investor ID]]:LS[[#This Row],[Investor ID]],LS[[#This Row],[Investor ID]])</f>
        <v>0</v>
      </c>
    </row>
    <row r="1133" spans="1:23">
      <c r="A1133" s="101">
        <v>2025</v>
      </c>
      <c r="B1133" s="101">
        <v>7</v>
      </c>
      <c r="C1133" s="101">
        <v>24</v>
      </c>
      <c r="D1133" s="98">
        <f>DATE(LS[[#This Row],[Year]],LS[[#This Row],[Month]],LS[[#This Row],[Day]])</f>
        <v>45862</v>
      </c>
      <c r="E1133" s="99" t="str" cm="1">
        <f t="array" ref="E1133">INDEX(INVESTORS_LIST[INVESTOR NAME],MATCH(LS[[#This Row],[Investor ID]],INVESTORS_LIST[INVESTOR CODE],0),)</f>
        <v>MD. MITHU HOWLADER</v>
      </c>
      <c r="F1133" s="97" t="s">
        <v>1413</v>
      </c>
      <c r="G1133" s="101">
        <f>COUNTIF(LS[[#Headers],[Investor ID]]:LS[[#This Row],[Investor ID]],LS[[#This Row],[Investor ID]])</f>
        <v>1</v>
      </c>
      <c r="H1133" s="101" t="str">
        <f>CONCATENATE(LS[[#This Row],[Frequency]],LS[[#This Row],[Investor ID]])</f>
        <v>1A00650</v>
      </c>
      <c r="I1133" s="75" t="str">
        <f>IF(LS[[#This Row],[B/S]]="B","BUY",(IF(LS[[#This Row],[B/S]]="S","SELL"," ")))</f>
        <v>BUY</v>
      </c>
      <c r="J1133" s="101" t="s">
        <v>1229</v>
      </c>
      <c r="K1133" s="102">
        <v>6000000</v>
      </c>
      <c r="L1133" s="99"/>
      <c r="M1133" s="103">
        <f>LS[[#This Row],[Amount]]/LS[[#This Row],[Unit]]</f>
        <v>12.680003212267481</v>
      </c>
      <c r="N1133" s="104">
        <f>LS[[#This Row],[Unit Capital]]/10</f>
        <v>473186</v>
      </c>
      <c r="O1133" s="104">
        <f>SUMIFS(LS[[#Headers],[Unit]]:LS[[#This Row],[Unit]],LS[[#Headers],[Investor ID]]:LS[[#This Row],[Investor ID]],LS[[#This Row],[Investor ID]])</f>
        <v>473186</v>
      </c>
      <c r="P1133" s="102">
        <v>4731860</v>
      </c>
      <c r="Q1133" s="102">
        <f>LS[[#This Row],[Amount]]-LS[[#This Row],[Unit Capital]]</f>
        <v>1268140</v>
      </c>
      <c r="R11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12.680003212267481</v>
      </c>
      <c r="S1133" s="103">
        <f t="shared" si="17"/>
        <v>14.224</v>
      </c>
      <c r="T11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33" s="102" cm="1">
        <f t="array" ref="U1133">IF(LS[[#This Row],[B/S]]="S",ABS(LS[[#This Row],[Unit]])*(INDEX(LS[NAV at Cost (Average)],MATCH(CONCATENATE((LS[[#This Row],[Frequency]]-1),LS[[#This Row],[Investor ID]]),LS[Unique Code],0),0)),0)</f>
        <v>0</v>
      </c>
      <c r="V1133" s="102">
        <f>IF(LS[[#This Row],[BO TRANSFER]]="YES",LS[[#This Row],[Unit]],)</f>
        <v>0</v>
      </c>
      <c r="W1133" s="102">
        <f>SUMIFS(LS[[#Headers],[BO UNIT TRANSFER]]:LS[[#This Row],[BO UNIT TRANSFER]],LS[[#Headers],[Investor ID]]:LS[[#This Row],[Investor ID]],LS[[#This Row],[Investor ID]])</f>
        <v>0</v>
      </c>
    </row>
    <row r="1134" spans="1:23">
      <c r="A1134" s="101">
        <v>2025</v>
      </c>
      <c r="B1134" s="101">
        <v>7</v>
      </c>
      <c r="C1134" s="101">
        <v>24</v>
      </c>
      <c r="D1134" s="98">
        <f>DATE(LS[[#This Row],[Year]],LS[[#This Row],[Month]],LS[[#This Row],[Day]])</f>
        <v>45862</v>
      </c>
      <c r="E1134" s="99" t="str" cm="1">
        <f t="array" ref="E1134">INDEX(INVESTORS_LIST[INVESTOR NAME],MATCH(LS[[#This Row],[Investor ID]],INVESTORS_LIST[INVESTOR CODE],0),)</f>
        <v>MD. MITHU HOWLADER</v>
      </c>
      <c r="F1134" s="97" t="s">
        <v>1413</v>
      </c>
      <c r="G1134" s="101">
        <f>COUNTIF(LS[[#Headers],[Investor ID]]:LS[[#This Row],[Investor ID]],LS[[#This Row],[Investor ID]])</f>
        <v>2</v>
      </c>
      <c r="H1134" s="101" t="str">
        <f>CONCATENATE(LS[[#This Row],[Frequency]],LS[[#This Row],[Investor ID]])</f>
        <v>2A00650</v>
      </c>
      <c r="I1134" s="75" t="str">
        <f>IF(LS[[#This Row],[B/S]]="B","BUY",(IF(LS[[#This Row],[B/S]]="S","SELL"," ")))</f>
        <v>BUY</v>
      </c>
      <c r="J1134" s="101" t="s">
        <v>1229</v>
      </c>
      <c r="K1134" s="102">
        <v>4000000</v>
      </c>
      <c r="L1134" s="99"/>
      <c r="M1134" s="103">
        <f>LS[[#This Row],[Amount]]/LS[[#This Row],[Unit]]</f>
        <v>12.68001661082176</v>
      </c>
      <c r="N1134" s="104">
        <f>LS[[#This Row],[Unit Capital]]/10</f>
        <v>315457</v>
      </c>
      <c r="O1134" s="104">
        <f>SUMIFS(LS[[#Headers],[Unit]]:LS[[#This Row],[Unit]],LS[[#Headers],[Investor ID]]:LS[[#This Row],[Investor ID]],LS[[#This Row],[Investor ID]])</f>
        <v>788643</v>
      </c>
      <c r="P1134" s="102">
        <v>3154570</v>
      </c>
      <c r="Q1134" s="102">
        <f>LS[[#This Row],[Amount]]-LS[[#This Row],[Unit Capital]]</f>
        <v>845430</v>
      </c>
      <c r="R11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12.680008571685793</v>
      </c>
      <c r="S1134" s="103">
        <f t="shared" si="17"/>
        <v>14.224</v>
      </c>
      <c r="T11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34" s="102" cm="1">
        <f t="array" ref="U1134">IF(LS[[#This Row],[B/S]]="S",ABS(LS[[#This Row],[Unit]])*(INDEX(LS[NAV at Cost (Average)],MATCH(CONCATENATE((LS[[#This Row],[Frequency]]-1),LS[[#This Row],[Investor ID]]),LS[Unique Code],0),0)),0)</f>
        <v>0</v>
      </c>
      <c r="V1134" s="102">
        <f>IF(LS[[#This Row],[BO TRANSFER]]="YES",LS[[#This Row],[Unit]],)</f>
        <v>0</v>
      </c>
      <c r="W1134" s="102">
        <f>SUMIFS(LS[[#Headers],[BO UNIT TRANSFER]]:LS[[#This Row],[BO UNIT TRANSFER]],LS[[#Headers],[Investor ID]]:LS[[#This Row],[Investor ID]],LS[[#This Row],[Investor ID]])</f>
        <v>0</v>
      </c>
    </row>
    <row r="1135" spans="1:23">
      <c r="A1135" s="101">
        <v>2025</v>
      </c>
      <c r="B1135" s="101">
        <v>7</v>
      </c>
      <c r="C1135" s="101">
        <v>24</v>
      </c>
      <c r="D1135" s="98">
        <f>DATE(LS[[#This Row],[Year]],LS[[#This Row],[Month]],LS[[#This Row],[Day]])</f>
        <v>45862</v>
      </c>
      <c r="E1135" s="99" t="str" cm="1">
        <f t="array" ref="E1135">INDEX(INVESTORS_LIST[INVESTOR NAME],MATCH(LS[[#This Row],[Investor ID]],INVESTORS_LIST[INVESTOR CODE],0),)</f>
        <v>FARZANA JITU</v>
      </c>
      <c r="F1135" s="100" t="s">
        <v>968</v>
      </c>
      <c r="G1135" s="101">
        <f>COUNTIF(LS[[#Headers],[Investor ID]]:LS[[#This Row],[Investor ID]],LS[[#This Row],[Investor ID]])</f>
        <v>33</v>
      </c>
      <c r="H1135" s="101" t="str">
        <f>CONCATENATE(LS[[#This Row],[Frequency]],LS[[#This Row],[Investor ID]])</f>
        <v>33A00461</v>
      </c>
      <c r="I1135" s="75" t="str">
        <f>IF(LS[[#This Row],[B/S]]="B","BUY",(IF(LS[[#This Row],[B/S]]="S","SELL"," ")))</f>
        <v>BUY</v>
      </c>
      <c r="J1135" s="101" t="s">
        <v>1229</v>
      </c>
      <c r="K1135" s="102">
        <v>50000</v>
      </c>
      <c r="L1135" s="88" t="s">
        <v>1230</v>
      </c>
      <c r="M1135" s="103">
        <f>LS[[#This Row],[Amount]]/LS[[#This Row],[Unit]]</f>
        <v>12.6806999746386</v>
      </c>
      <c r="N1135" s="104">
        <f>LS[[#This Row],[Unit Capital]]/10</f>
        <v>3943</v>
      </c>
      <c r="O1135" s="104">
        <f>SUMIFS(LS[[#Headers],[Unit]]:LS[[#This Row],[Unit]],LS[[#Headers],[Investor ID]]:LS[[#This Row],[Investor ID]],LS[[#This Row],[Investor ID]])</f>
        <v>125554</v>
      </c>
      <c r="P1135" s="102">
        <v>39430</v>
      </c>
      <c r="Q1135" s="102">
        <f>LS[[#This Row],[Amount]]-LS[[#This Row],[Unit Capital]]</f>
        <v>10570</v>
      </c>
      <c r="R11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12.424932698281221</v>
      </c>
      <c r="S1135" s="103">
        <f t="shared" si="17"/>
        <v>14.224</v>
      </c>
      <c r="T113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35" s="102" cm="1">
        <f t="array" ref="U1135">IF(LS[[#This Row],[B/S]]="S",ABS(LS[[#This Row],[Unit]])*(INDEX(LS[NAV at Cost (Average)],MATCH(CONCATENATE((LS[[#This Row],[Frequency]]-1),LS[[#This Row],[Investor ID]]),LS[Unique Code],0),0)),0)</f>
        <v>0</v>
      </c>
      <c r="V1135" s="102">
        <f>IF(LS[[#This Row],[BO TRANSFER]]="YES",LS[[#This Row],[Unit]],)</f>
        <v>3943</v>
      </c>
      <c r="W1135" s="102">
        <f>SUMIFS(LS[[#Headers],[BO UNIT TRANSFER]]:LS[[#This Row],[BO UNIT TRANSFER]],LS[[#Headers],[Investor ID]]:LS[[#This Row],[Investor ID]],LS[[#This Row],[Investor ID]])</f>
        <v>19716</v>
      </c>
    </row>
    <row r="1136" spans="1:23">
      <c r="A1136" s="101">
        <v>2025</v>
      </c>
      <c r="B1136" s="101">
        <v>7</v>
      </c>
      <c r="C1136" s="101">
        <v>27</v>
      </c>
      <c r="D1136" s="98">
        <f>DATE(LS[[#This Row],[Year]],LS[[#This Row],[Month]],LS[[#This Row],[Day]])</f>
        <v>45865</v>
      </c>
      <c r="E1136" s="99" t="str" cm="1">
        <f t="array" ref="E1136">INDEX(INVESTORS_LIST[INVESTOR NAME],MATCH(LS[[#This Row],[Investor ID]],INVESTORS_LIST[INVESTOR CODE],0),)</f>
        <v>N M AL HOSSAIN</v>
      </c>
      <c r="F1136" s="100" t="s">
        <v>280</v>
      </c>
      <c r="G1136" s="101">
        <f>COUNTIF(LS[[#Headers],[Investor ID]]:LS[[#This Row],[Investor ID]],LS[[#This Row],[Investor ID]])</f>
        <v>7</v>
      </c>
      <c r="H1136" s="101" t="str">
        <f>CONCATENATE(LS[[#This Row],[Frequency]],LS[[#This Row],[Investor ID]])</f>
        <v>7A00116</v>
      </c>
      <c r="I1136" s="75" t="str">
        <f>IF(LS[[#This Row],[B/S]]="B","BUY",(IF(LS[[#This Row],[B/S]]="S","SELL"," ")))</f>
        <v>SELL</v>
      </c>
      <c r="J1136" s="101" t="s">
        <v>1231</v>
      </c>
      <c r="K1136" s="102">
        <v>-2500000</v>
      </c>
      <c r="L1136" s="99"/>
      <c r="M1136" s="103">
        <f>LS[[#This Row],[Amount]]/LS[[#This Row],[Unit]]</f>
        <v>12.810002049600328</v>
      </c>
      <c r="N1136" s="104">
        <f>LS[[#This Row],[Unit Capital]]/10</f>
        <v>-195160</v>
      </c>
      <c r="O1136" s="104">
        <f>SUMIFS(LS[[#Headers],[Unit]]:LS[[#This Row],[Unit]],LS[[#Headers],[Investor ID]]:LS[[#This Row],[Investor ID]],LS[[#This Row],[Investor ID]])</f>
        <v>1055374</v>
      </c>
      <c r="P1136" s="102">
        <v>-1951600</v>
      </c>
      <c r="Q1136" s="102">
        <f>LS[[#This Row],[Amount]]-LS[[#This Row],[Unit Capital]]</f>
        <v>-548400</v>
      </c>
      <c r="R11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1136" s="103">
        <f t="shared" si="17"/>
        <v>14.224</v>
      </c>
      <c r="T1136" s="102">
        <f>IF(LS[[#This Row],[B/S]]="B",0,ABS(LS[[#This Row],[Unit]])*(LS[[#This Row],[NAV (Strike Rate)]]-INDEX(LS[NAV at Cost (Average)],MATCH(CONCATENATE(LS[[#This Row],[Frequency]]-1,LS[[#This Row],[Investor ID]]),LS[Unique Code],0),)))</f>
        <v>418315.53796759521</v>
      </c>
      <c r="U1136" s="102" cm="1">
        <f t="array" ref="U1136">IF(LS[[#This Row],[B/S]]="S",ABS(LS[[#This Row],[Unit]])*(INDEX(LS[NAV at Cost (Average)],MATCH(CONCATENATE((LS[[#This Row],[Frequency]]-1),LS[[#This Row],[Investor ID]]),LS[Unique Code],0),0)),0)</f>
        <v>2081684.462032405</v>
      </c>
      <c r="V1136" s="102">
        <f>IF(LS[[#This Row],[BO TRANSFER]]="YES",LS[[#This Row],[Unit]],)</f>
        <v>0</v>
      </c>
      <c r="W1136" s="102">
        <f>SUMIFS(LS[[#Headers],[BO UNIT TRANSFER]]:LS[[#This Row],[BO UNIT TRANSFER]],LS[[#Headers],[Investor ID]]:LS[[#This Row],[Investor ID]],LS[[#This Row],[Investor ID]])</f>
        <v>0</v>
      </c>
    </row>
    <row r="1137" spans="1:23">
      <c r="A1137" s="101">
        <v>2025</v>
      </c>
      <c r="B1137" s="101">
        <v>7</v>
      </c>
      <c r="C1137" s="101">
        <v>27</v>
      </c>
      <c r="D1137" s="98">
        <f>DATE(LS[[#This Row],[Year]],LS[[#This Row],[Month]],LS[[#This Row],[Day]])</f>
        <v>45865</v>
      </c>
      <c r="E1137" s="99" t="str" cm="1">
        <f t="array" ref="E1137">INDEX(INVESTORS_LIST[INVESTOR NAME],MATCH(LS[[#This Row],[Investor ID]],INVESTORS_LIST[INVESTOR CODE],0),)</f>
        <v>KHAN MUHAMMAD KAWSER AHMED</v>
      </c>
      <c r="F1137" s="100" t="s">
        <v>944</v>
      </c>
      <c r="G1137" s="101">
        <f>COUNTIF(LS[[#Headers],[Investor ID]]:LS[[#This Row],[Investor ID]],LS[[#This Row],[Investor ID]])</f>
        <v>30</v>
      </c>
      <c r="H1137" s="101" t="str">
        <f>CONCATENATE(LS[[#This Row],[Frequency]],LS[[#This Row],[Investor ID]])</f>
        <v>30A00449</v>
      </c>
      <c r="I1137" s="75" t="str">
        <f>IF(LS[[#This Row],[B/S]]="B","BUY",(IF(LS[[#This Row],[B/S]]="S","SELL"," ")))</f>
        <v>SELL</v>
      </c>
      <c r="J1137" s="101" t="s">
        <v>1231</v>
      </c>
      <c r="K1137" s="102">
        <v>-3000000</v>
      </c>
      <c r="L1137" s="99"/>
      <c r="M1137" s="103">
        <f>LS[[#This Row],[Amount]]/LS[[#This Row],[Unit]]</f>
        <v>12.810002049600328</v>
      </c>
      <c r="N1137" s="104">
        <f>LS[[#This Row],[Unit Capital]]/10</f>
        <v>-234192</v>
      </c>
      <c r="O1137" s="104">
        <f>SUMIFS(LS[[#Headers],[Unit]]:LS[[#This Row],[Unit]],LS[[#Headers],[Investor ID]]:LS[[#This Row],[Investor ID]],LS[[#This Row],[Investor ID]])</f>
        <v>13037310</v>
      </c>
      <c r="P1137" s="102">
        <v>-2341920</v>
      </c>
      <c r="Q1137" s="102">
        <f>LS[[#This Row],[Amount]]-LS[[#This Row],[Unit Capital]]</f>
        <v>-658080</v>
      </c>
      <c r="R11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137" s="103">
        <f t="shared" si="17"/>
        <v>14.224</v>
      </c>
      <c r="T1137" s="102">
        <f>IF(LS[[#This Row],[B/S]]="B",0,ABS(LS[[#This Row],[Unit]])*(LS[[#This Row],[NAV (Strike Rate)]]-INDEX(LS[NAV at Cost (Average)],MATCH(CONCATENATE(LS[[#This Row],[Frequency]]-1,LS[[#This Row],[Investor ID]]),LS[Unique Code],0),)))</f>
        <v>196534.53959059209</v>
      </c>
      <c r="U1137" s="102" cm="1">
        <f t="array" ref="U1137">IF(LS[[#This Row],[B/S]]="S",ABS(LS[[#This Row],[Unit]])*(INDEX(LS[NAV at Cost (Average)],MATCH(CONCATENATE((LS[[#This Row],[Frequency]]-1),LS[[#This Row],[Investor ID]]),LS[Unique Code],0),0)),0)</f>
        <v>2803465.460409408</v>
      </c>
      <c r="V1137" s="102">
        <f>IF(LS[[#This Row],[BO TRANSFER]]="YES",LS[[#This Row],[Unit]],)</f>
        <v>0</v>
      </c>
      <c r="W1137" s="102">
        <f>SUMIFS(LS[[#Headers],[BO UNIT TRANSFER]]:LS[[#This Row],[BO UNIT TRANSFER]],LS[[#Headers],[Investor ID]]:LS[[#This Row],[Investor ID]],LS[[#This Row],[Investor ID]])</f>
        <v>0</v>
      </c>
    </row>
    <row r="1138" spans="1:23">
      <c r="A1138" s="101">
        <v>2025</v>
      </c>
      <c r="B1138" s="101">
        <v>7</v>
      </c>
      <c r="C1138" s="101">
        <v>28</v>
      </c>
      <c r="D1138" s="98">
        <f>DATE(LS[[#This Row],[Year]],LS[[#This Row],[Month]],LS[[#This Row],[Day]])</f>
        <v>45866</v>
      </c>
      <c r="E1138" s="99" t="str" cm="1">
        <f t="array" ref="E1138">INDEX(INVESTORS_LIST[INVESTOR NAME],MATCH(LS[[#This Row],[Investor ID]],INVESTORS_LIST[INVESTOR CODE],0),)</f>
        <v>RAIHAN FERDOUS</v>
      </c>
      <c r="F1138" s="100" t="s">
        <v>1319</v>
      </c>
      <c r="G1138" s="101">
        <f>COUNTIF(LS[[#Headers],[Investor ID]]:LS[[#This Row],[Investor ID]],LS[[#This Row],[Investor ID]])</f>
        <v>2</v>
      </c>
      <c r="H1138" s="101" t="str">
        <f>CONCATENATE(LS[[#This Row],[Frequency]],LS[[#This Row],[Investor ID]])</f>
        <v>2A00606</v>
      </c>
      <c r="I1138" s="75" t="str">
        <f>IF(LS[[#This Row],[B/S]]="B","BUY",(IF(LS[[#This Row],[B/S]]="S","SELL"," ")))</f>
        <v>SELL</v>
      </c>
      <c r="J1138" s="101" t="s">
        <v>1231</v>
      </c>
      <c r="K1138" s="102">
        <v>-10000</v>
      </c>
      <c r="L1138" s="99"/>
      <c r="M1138" s="103">
        <f>LS[[#This Row],[Amount]]/LS[[#This Row],[Unit]]</f>
        <v>12.804097311139564</v>
      </c>
      <c r="N1138" s="104">
        <f>LS[[#This Row],[Unit Capital]]/10</f>
        <v>-781</v>
      </c>
      <c r="O1138" s="104">
        <f>SUMIFS(LS[[#Headers],[Unit]]:LS[[#This Row],[Unit]],LS[[#Headers],[Investor ID]]:LS[[#This Row],[Investor ID]],LS[[#This Row],[Investor ID]])</f>
        <v>23465</v>
      </c>
      <c r="P1138" s="102">
        <v>-7810</v>
      </c>
      <c r="Q1138" s="102">
        <f>LS[[#This Row],[Amount]]-LS[[#This Row],[Unit Capital]]</f>
        <v>-2190</v>
      </c>
      <c r="R11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12.373174956693887</v>
      </c>
      <c r="S1138" s="103">
        <f t="shared" si="17"/>
        <v>14.224</v>
      </c>
      <c r="T1138" s="102">
        <f>IF(LS[[#This Row],[B/S]]="B",0,ABS(LS[[#This Row],[Unit]])*(LS[[#This Row],[NAV (Strike Rate)]]-INDEX(LS[NAV at Cost (Average)],MATCH(CONCATENATE(LS[[#This Row],[Frequency]]-1,LS[[#This Row],[Investor ID]]),LS[Unique Code],0),)))</f>
        <v>336.5503588220738</v>
      </c>
      <c r="U1138" s="102" cm="1">
        <f t="array" ref="U1138">IF(LS[[#This Row],[B/S]]="S",ABS(LS[[#This Row],[Unit]])*(INDEX(LS[NAV at Cost (Average)],MATCH(CONCATENATE((LS[[#This Row],[Frequency]]-1),LS[[#This Row],[Investor ID]]),LS[Unique Code],0),0)),0)</f>
        <v>9663.4496411779255</v>
      </c>
      <c r="V1138" s="102">
        <f>IF(LS[[#This Row],[BO TRANSFER]]="YES",LS[[#This Row],[Unit]],)</f>
        <v>0</v>
      </c>
      <c r="W1138" s="102">
        <f>SUMIFS(LS[[#Headers],[BO UNIT TRANSFER]]:LS[[#This Row],[BO UNIT TRANSFER]],LS[[#Headers],[Investor ID]]:LS[[#This Row],[Investor ID]],LS[[#This Row],[Investor ID]])</f>
        <v>0</v>
      </c>
    </row>
    <row r="1139" spans="1:23">
      <c r="A1139" s="101">
        <v>2025</v>
      </c>
      <c r="B1139" s="101">
        <v>7</v>
      </c>
      <c r="C1139" s="101">
        <v>28</v>
      </c>
      <c r="D1139" s="98">
        <f>DATE(LS[[#This Row],[Year]],LS[[#This Row],[Month]],LS[[#This Row],[Day]])</f>
        <v>45866</v>
      </c>
      <c r="E1139" t="str" cm="1">
        <f t="array" ref="E1139">INDEX(INVESTORS_LIST[INVESTOR NAME],MATCH(LS[[#This Row],[Investor ID]],INVESTORS_LIST[INVESTOR CODE],0),)</f>
        <v>EKUSH WEALTH MANAGEMENT LIMITED</v>
      </c>
      <c r="F1139" s="100" t="s">
        <v>47</v>
      </c>
      <c r="G1139" s="101">
        <f>COUNTIF(LS[[#Headers],[Investor ID]]:LS[[#This Row],[Investor ID]],LS[[#This Row],[Investor ID]])</f>
        <v>30</v>
      </c>
      <c r="H1139" s="101" t="str">
        <f>CONCATENATE(LS[[#This Row],[Frequency]],LS[[#This Row],[Investor ID]])</f>
        <v>30A00003</v>
      </c>
      <c r="I1139" s="75" t="str">
        <f>IF(LS[[#This Row],[B/S]]="B","BUY",(IF(LS[[#This Row],[B/S]]="S","SELL"," ")))</f>
        <v>SELL</v>
      </c>
      <c r="J1139" s="101" t="s">
        <v>1231</v>
      </c>
      <c r="K1139" s="102">
        <v>-1000000</v>
      </c>
      <c r="L1139" s="99"/>
      <c r="M1139" s="103">
        <f>LS[[#This Row],[Amount]]/LS[[#This Row],[Unit]]</f>
        <v>12.810002049600328</v>
      </c>
      <c r="N1139" s="104">
        <f>LS[[#This Row],[Unit Capital]]/10</f>
        <v>-78064</v>
      </c>
      <c r="O1139" s="104">
        <f>SUMIFS(LS[[#Headers],[Unit]]:LS[[#This Row],[Unit]],LS[[#Headers],[Investor ID]]:LS[[#This Row],[Investor ID]],LS[[#This Row],[Investor ID]])</f>
        <v>651675</v>
      </c>
      <c r="P1139" s="102">
        <v>-780640</v>
      </c>
      <c r="Q1139" s="102">
        <f>LS[[#This Row],[Amount]]-LS[[#This Row],[Unit Capital]]</f>
        <v>-219360</v>
      </c>
      <c r="R11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139" s="103">
        <f t="shared" si="17"/>
        <v>14.224</v>
      </c>
      <c r="T1139" s="102">
        <f>IF(LS[[#This Row],[B/S]]="B",0,ABS(LS[[#This Row],[Unit]])*(LS[[#This Row],[NAV (Strike Rate)]]-INDEX(LS[NAV at Cost (Average)],MATCH(CONCATENATE(LS[[#This Row],[Frequency]]-1,LS[[#This Row],[Investor ID]]),LS[Unique Code],0),)))</f>
        <v>58477.268180736901</v>
      </c>
      <c r="U1139" s="102" cm="1">
        <f t="array" ref="U1139">IF(LS[[#This Row],[B/S]]="S",ABS(LS[[#This Row],[Unit]])*(INDEX(LS[NAV at Cost (Average)],MATCH(CONCATENATE((LS[[#This Row],[Frequency]]-1),LS[[#This Row],[Investor ID]]),LS[Unique Code],0),0)),0)</f>
        <v>941522.73181926308</v>
      </c>
      <c r="V1139" s="102">
        <f>IF(LS[[#This Row],[BO TRANSFER]]="YES",LS[[#This Row],[Unit]],)</f>
        <v>0</v>
      </c>
      <c r="W1139" s="102">
        <f>SUMIFS(LS[[#Headers],[BO UNIT TRANSFER]]:LS[[#This Row],[BO UNIT TRANSFER]],LS[[#Headers],[Investor ID]]:LS[[#This Row],[Investor ID]],LS[[#This Row],[Investor ID]])</f>
        <v>0</v>
      </c>
    </row>
    <row r="1140" spans="1:23">
      <c r="A1140" s="101">
        <v>2025</v>
      </c>
      <c r="B1140" s="101">
        <v>7</v>
      </c>
      <c r="C1140" s="101">
        <v>29</v>
      </c>
      <c r="D1140" s="98">
        <f>DATE(LS[[#This Row],[Year]],LS[[#This Row],[Month]],LS[[#This Row],[Day]])</f>
        <v>45867</v>
      </c>
      <c r="E1140" s="99" t="str" cm="1">
        <f t="array" ref="E1140">INDEX(INVESTORS_LIST[INVESTOR NAME],MATCH(LS[[#This Row],[Investor ID]],INVESTORS_LIST[INVESTOR CODE],0),)</f>
        <v>FARIZA RAHMAN</v>
      </c>
      <c r="F1140" s="100" t="s">
        <v>1155</v>
      </c>
      <c r="G1140" s="101">
        <f>COUNTIF(LS[[#Headers],[Investor ID]]:LS[[#This Row],[Investor ID]],LS[[#This Row],[Investor ID]])</f>
        <v>3</v>
      </c>
      <c r="H1140" s="101" t="str">
        <f>CONCATENATE(LS[[#This Row],[Frequency]],LS[[#This Row],[Investor ID]])</f>
        <v>3A00553</v>
      </c>
      <c r="I1140" s="75" t="str">
        <f>IF(LS[[#This Row],[B/S]]="B","BUY",(IF(LS[[#This Row],[B/S]]="S","SELL"," ")))</f>
        <v>SELL</v>
      </c>
      <c r="J1140" s="101" t="s">
        <v>1231</v>
      </c>
      <c r="K1140" s="102">
        <v>-70000</v>
      </c>
      <c r="L1140" s="99"/>
      <c r="M1140" s="103">
        <f>LS[[#This Row],[Amount]]/LS[[#This Row],[Unit]]</f>
        <v>12.811127379209371</v>
      </c>
      <c r="N1140" s="104">
        <f>LS[[#This Row],[Unit Capital]]/10</f>
        <v>-5464</v>
      </c>
      <c r="O1140" s="104">
        <f>SUMIFS(LS[[#Headers],[Unit]]:LS[[#This Row],[Unit]],LS[[#Headers],[Investor ID]]:LS[[#This Row],[Investor ID]],LS[[#This Row],[Investor ID]])</f>
        <v>63483</v>
      </c>
      <c r="P1140" s="102">
        <v>-54640</v>
      </c>
      <c r="Q1140" s="102">
        <f>LS[[#This Row],[Amount]]-LS[[#This Row],[Unit Capital]]</f>
        <v>-15360</v>
      </c>
      <c r="R11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11.603115436494701</v>
      </c>
      <c r="S1140" s="103">
        <f t="shared" si="17"/>
        <v>14.224</v>
      </c>
      <c r="T1140" s="102">
        <f>IF(LS[[#This Row],[B/S]]="B",0,ABS(LS[[#This Row],[Unit]])*(LS[[#This Row],[NAV (Strike Rate)]]-INDEX(LS[NAV at Cost (Average)],MATCH(CONCATENATE(LS[[#This Row],[Frequency]]-1,LS[[#This Row],[Investor ID]]),LS[Unique Code],0),)))</f>
        <v>6600.5772549929561</v>
      </c>
      <c r="U1140" s="102" cm="1">
        <f t="array" ref="U1140">IF(LS[[#This Row],[B/S]]="S",ABS(LS[[#This Row],[Unit]])*(INDEX(LS[NAV at Cost (Average)],MATCH(CONCATENATE((LS[[#This Row],[Frequency]]-1),LS[[#This Row],[Investor ID]]),LS[Unique Code],0),0)),0)</f>
        <v>63399.422745007047</v>
      </c>
      <c r="V1140" s="102">
        <f>IF(LS[[#This Row],[BO TRANSFER]]="YES",LS[[#This Row],[Unit]],)</f>
        <v>0</v>
      </c>
      <c r="W1140" s="102">
        <f>SUMIFS(LS[[#Headers],[BO UNIT TRANSFER]]:LS[[#This Row],[BO UNIT TRANSFER]],LS[[#Headers],[Investor ID]]:LS[[#This Row],[Investor ID]],LS[[#This Row],[Investor ID]])</f>
        <v>0</v>
      </c>
    </row>
    <row r="1141" spans="1:23">
      <c r="A1141" s="101">
        <v>2025</v>
      </c>
      <c r="B1141" s="101">
        <v>7</v>
      </c>
      <c r="C1141" s="101">
        <v>29</v>
      </c>
      <c r="D1141" s="98">
        <f>DATE(LS[[#This Row],[Year]],LS[[#This Row],[Month]],LS[[#This Row],[Day]])</f>
        <v>45867</v>
      </c>
      <c r="E1141" s="99" t="str" cm="1">
        <f t="array" ref="E1141">INDEX(INVESTORS_LIST[INVESTOR NAME],MATCH(LS[[#This Row],[Investor ID]],INVESTORS_LIST[INVESTOR CODE],0),)</f>
        <v>SHARMIN AKTER</v>
      </c>
      <c r="F1141" s="100" t="s">
        <v>1342</v>
      </c>
      <c r="G1141" s="101">
        <f>COUNTIF(LS[[#Headers],[Investor ID]]:LS[[#This Row],[Investor ID]],LS[[#This Row],[Investor ID]])</f>
        <v>2</v>
      </c>
      <c r="H1141" s="101" t="str">
        <f>CONCATENATE(LS[[#This Row],[Frequency]],LS[[#This Row],[Investor ID]])</f>
        <v>2A00617</v>
      </c>
      <c r="I1141" s="75" t="str">
        <f>IF(LS[[#This Row],[B/S]]="B","BUY",(IF(LS[[#This Row],[B/S]]="S","SELL"," ")))</f>
        <v>BUY</v>
      </c>
      <c r="J1141" s="101" t="s">
        <v>1229</v>
      </c>
      <c r="K1141" s="102">
        <v>150000</v>
      </c>
      <c r="L1141" s="99"/>
      <c r="M1141" s="103">
        <f>LS[[#This Row],[Amount]]/LS[[#This Row],[Unit]]</f>
        <v>12.809564474807857</v>
      </c>
      <c r="N1141" s="104">
        <f>LS[[#This Row],[Unit Capital]]/10</f>
        <v>11710</v>
      </c>
      <c r="O1141" s="104">
        <f>SUMIFS(LS[[#Headers],[Unit]]:LS[[#This Row],[Unit]],LS[[#Headers],[Investor ID]]:LS[[#This Row],[Investor ID]],LS[[#This Row],[Investor ID]])</f>
        <v>27658</v>
      </c>
      <c r="P1141" s="102">
        <v>117100</v>
      </c>
      <c r="Q1141" s="102">
        <f>LS[[#This Row],[Amount]]-LS[[#This Row],[Unit Capital]]</f>
        <v>32900</v>
      </c>
      <c r="R11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12.654566490707932</v>
      </c>
      <c r="S1141" s="103">
        <f t="shared" si="17"/>
        <v>14.224</v>
      </c>
      <c r="T114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1" s="102" cm="1">
        <f t="array" ref="U1141">IF(LS[[#This Row],[B/S]]="S",ABS(LS[[#This Row],[Unit]])*(INDEX(LS[NAV at Cost (Average)],MATCH(CONCATENATE((LS[[#This Row],[Frequency]]-1),LS[[#This Row],[Investor ID]]),LS[Unique Code],0),0)),0)</f>
        <v>0</v>
      </c>
      <c r="V1141" s="102">
        <f>IF(LS[[#This Row],[BO TRANSFER]]="YES",LS[[#This Row],[Unit]],)</f>
        <v>0</v>
      </c>
      <c r="W1141" s="102">
        <f>SUMIFS(LS[[#Headers],[BO UNIT TRANSFER]]:LS[[#This Row],[BO UNIT TRANSFER]],LS[[#Headers],[Investor ID]]:LS[[#This Row],[Investor ID]],LS[[#This Row],[Investor ID]])</f>
        <v>0</v>
      </c>
    </row>
    <row r="1142" spans="1:23">
      <c r="A1142" s="101">
        <v>2025</v>
      </c>
      <c r="B1142" s="101">
        <v>7</v>
      </c>
      <c r="C1142" s="101">
        <v>30</v>
      </c>
      <c r="D1142" s="98">
        <f>DATE(LS[[#This Row],[Year]],LS[[#This Row],[Month]],LS[[#This Row],[Day]])</f>
        <v>45868</v>
      </c>
      <c r="E1142" s="99" t="str" cm="1">
        <f t="array" ref="E1142">INDEX(INVESTORS_LIST[INVESTOR NAME],MATCH(LS[[#This Row],[Investor ID]],INVESTORS_LIST[INVESTOR CODE],0),)</f>
        <v>MD. MUSTAFA KAMAL</v>
      </c>
      <c r="F1142" s="100" t="s">
        <v>1300</v>
      </c>
      <c r="G1142" s="101">
        <f>COUNTIF(LS[[#Headers],[Investor ID]]:LS[[#This Row],[Investor ID]],LS[[#This Row],[Investor ID]])</f>
        <v>10</v>
      </c>
      <c r="H1142" s="101" t="str">
        <f>CONCATENATE(LS[[#This Row],[Frequency]],LS[[#This Row],[Investor ID]])</f>
        <v>10A00597</v>
      </c>
      <c r="I1142" s="75" t="str">
        <f>IF(LS[[#This Row],[B/S]]="B","BUY",(IF(LS[[#This Row],[B/S]]="S","SELL"," ")))</f>
        <v>BUY</v>
      </c>
      <c r="J1142" s="101" t="s">
        <v>1229</v>
      </c>
      <c r="K1142" s="102">
        <v>290000</v>
      </c>
      <c r="L1142" s="99"/>
      <c r="M1142" s="103">
        <f>LS[[#This Row],[Amount]]/LS[[#This Row],[Unit]]</f>
        <v>12.809753080966473</v>
      </c>
      <c r="N1142" s="104">
        <f>LS[[#This Row],[Unit Capital]]/10</f>
        <v>22639</v>
      </c>
      <c r="O1142" s="104">
        <f>SUMIFS(LS[[#Headers],[Unit]]:LS[[#This Row],[Unit]],LS[[#Headers],[Investor ID]]:LS[[#This Row],[Investor ID]],LS[[#This Row],[Investor ID]])</f>
        <v>88854</v>
      </c>
      <c r="P1142" s="102">
        <v>226390</v>
      </c>
      <c r="Q1142" s="102">
        <f>LS[[#This Row],[Amount]]-LS[[#This Row],[Unit Capital]]</f>
        <v>63610</v>
      </c>
      <c r="R11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12.661219528665001</v>
      </c>
      <c r="S1142" s="103">
        <f t="shared" si="17"/>
        <v>14.224</v>
      </c>
      <c r="T114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2" s="102" cm="1">
        <f t="array" ref="U1142">IF(LS[[#This Row],[B/S]]="S",ABS(LS[[#This Row],[Unit]])*(INDEX(LS[NAV at Cost (Average)],MATCH(CONCATENATE((LS[[#This Row],[Frequency]]-1),LS[[#This Row],[Investor ID]]),LS[Unique Code],0),0)),0)</f>
        <v>0</v>
      </c>
      <c r="V1142" s="102">
        <f>IF(LS[[#This Row],[BO TRANSFER]]="YES",LS[[#This Row],[Unit]],)</f>
        <v>0</v>
      </c>
      <c r="W1142" s="102">
        <f>SUMIFS(LS[[#Headers],[BO UNIT TRANSFER]]:LS[[#This Row],[BO UNIT TRANSFER]],LS[[#Headers],[Investor ID]]:LS[[#This Row],[Investor ID]],LS[[#This Row],[Investor ID]])</f>
        <v>0</v>
      </c>
    </row>
    <row r="1143" spans="1:23">
      <c r="A1143" s="101">
        <v>2025</v>
      </c>
      <c r="B1143" s="101">
        <v>7</v>
      </c>
      <c r="C1143" s="101">
        <v>30</v>
      </c>
      <c r="D1143" s="98">
        <f>DATE(LS[[#This Row],[Year]],LS[[#This Row],[Month]],LS[[#This Row],[Day]])</f>
        <v>45868</v>
      </c>
      <c r="E1143" s="99" t="str" cm="1">
        <f t="array" ref="E1143">INDEX(INVESTORS_LIST[INVESTOR NAME],MATCH(LS[[#This Row],[Investor ID]],INVESTORS_LIST[INVESTOR CODE],0),)</f>
        <v>AHAMMOD HOSSAIN</v>
      </c>
      <c r="F1143" s="100" t="s">
        <v>1179</v>
      </c>
      <c r="G1143" s="101">
        <f>COUNTIF(LS[[#Headers],[Investor ID]]:LS[[#This Row],[Investor ID]],LS[[#This Row],[Investor ID]])</f>
        <v>4</v>
      </c>
      <c r="H1143" s="101" t="str">
        <f>CONCATENATE(LS[[#This Row],[Frequency]],LS[[#This Row],[Investor ID]])</f>
        <v>4A00565</v>
      </c>
      <c r="I1143" s="75" t="str">
        <f>IF(LS[[#This Row],[B/S]]="B","BUY",(IF(LS[[#This Row],[B/S]]="S","SELL"," ")))</f>
        <v>SELL</v>
      </c>
      <c r="J1143" s="101" t="s">
        <v>1231</v>
      </c>
      <c r="K1143" s="102">
        <v>-204293.88</v>
      </c>
      <c r="L1143" s="99"/>
      <c r="M1143" s="103">
        <f>LS[[#This Row],[Amount]]/LS[[#This Row],[Unit]]</f>
        <v>12.81</v>
      </c>
      <c r="N1143" s="104">
        <f>LS[[#This Row],[Unit Capital]]/10</f>
        <v>-15948</v>
      </c>
      <c r="O1143" s="104">
        <f>SUMIFS(LS[[#Headers],[Unit]]:LS[[#This Row],[Unit]],LS[[#Headers],[Investor ID]]:LS[[#This Row],[Investor ID]],LS[[#This Row],[Investor ID]])</f>
        <v>0</v>
      </c>
      <c r="P1143" s="102">
        <v>-159480</v>
      </c>
      <c r="Q1143" s="102">
        <f>LS[[#This Row],[Amount]]-LS[[#This Row],[Unit Capital]]</f>
        <v>-44813.880000000005</v>
      </c>
      <c r="R11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43" s="103">
        <f t="shared" si="17"/>
        <v>14.224</v>
      </c>
      <c r="T1143" s="102">
        <f>IF(LS[[#This Row],[B/S]]="B",0,ABS(LS[[#This Row],[Unit]])*(LS[[#This Row],[NAV (Strike Rate)]]-INDEX(LS[NAV at Cost (Average)],MATCH(CONCATENATE(LS[[#This Row],[Frequency]]-1,LS[[#This Row],[Investor ID]]),LS[Unique Code],0),)))</f>
        <v>4293.8799999999992</v>
      </c>
      <c r="U1143" s="102" cm="1">
        <f t="array" ref="U1143">IF(LS[[#This Row],[B/S]]="S",ABS(LS[[#This Row],[Unit]])*(INDEX(LS[NAV at Cost (Average)],MATCH(CONCATENATE((LS[[#This Row],[Frequency]]-1),LS[[#This Row],[Investor ID]]),LS[Unique Code],0),0)),0)</f>
        <v>200000</v>
      </c>
      <c r="V1143" s="102">
        <f>IF(LS[[#This Row],[BO TRANSFER]]="YES",LS[[#This Row],[Unit]],)</f>
        <v>0</v>
      </c>
      <c r="W1143" s="102">
        <f>SUMIFS(LS[[#Headers],[BO UNIT TRANSFER]]:LS[[#This Row],[BO UNIT TRANSFER]],LS[[#Headers],[Investor ID]]:LS[[#This Row],[Investor ID]],LS[[#This Row],[Investor ID]])</f>
        <v>0</v>
      </c>
    </row>
    <row r="1144" spans="1:23">
      <c r="A1144" s="101">
        <v>2025</v>
      </c>
      <c r="B1144" s="101">
        <v>7</v>
      </c>
      <c r="C1144" s="101">
        <v>31</v>
      </c>
      <c r="D1144" s="98">
        <f>DATE(LS[[#This Row],[Year]],LS[[#This Row],[Month]],LS[[#This Row],[Day]])</f>
        <v>45869</v>
      </c>
      <c r="E1144" s="99" t="str" cm="1">
        <f t="array" ref="E1144">INDEX(INVESTORS_LIST[INVESTOR NAME],MATCH(LS[[#This Row],[Investor ID]],INVESTORS_LIST[INVESTOR CODE],0),)</f>
        <v>ANJUMAN ARA BEGUM POLY</v>
      </c>
      <c r="F1144" s="212" t="s">
        <v>1415</v>
      </c>
      <c r="G1144" s="101">
        <f>COUNTIF(LS[[#Headers],[Investor ID]]:LS[[#This Row],[Investor ID]],LS[[#This Row],[Investor ID]])</f>
        <v>1</v>
      </c>
      <c r="H1144" s="101" t="str">
        <f>CONCATENATE(LS[[#This Row],[Frequency]],LS[[#This Row],[Investor ID]])</f>
        <v>1A00651</v>
      </c>
      <c r="I1144" s="75" t="str">
        <f>IF(LS[[#This Row],[B/S]]="B","BUY",(IF(LS[[#This Row],[B/S]]="S","SELL"," ")))</f>
        <v>BUY</v>
      </c>
      <c r="J1144" s="101" t="s">
        <v>1229</v>
      </c>
      <c r="K1144" s="102">
        <v>6000</v>
      </c>
      <c r="L1144" s="99"/>
      <c r="M1144" s="103">
        <f>LS[[#This Row],[Amount]]/LS[[#This Row],[Unit]]</f>
        <v>12.820512820512821</v>
      </c>
      <c r="N1144" s="104">
        <f>LS[[#This Row],[Unit Capital]]/10</f>
        <v>468</v>
      </c>
      <c r="O1144" s="104">
        <f>SUMIFS(LS[[#Headers],[Unit]]:LS[[#This Row],[Unit]],LS[[#Headers],[Investor ID]]:LS[[#This Row],[Investor ID]],LS[[#This Row],[Investor ID]])</f>
        <v>468</v>
      </c>
      <c r="P1144" s="102">
        <v>4680</v>
      </c>
      <c r="Q1144" s="102">
        <f>LS[[#This Row],[Amount]]-LS[[#This Row],[Unit Capital]]</f>
        <v>1320</v>
      </c>
      <c r="R11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12.820512820512821</v>
      </c>
      <c r="S1144" s="103">
        <f t="shared" si="17"/>
        <v>14.224</v>
      </c>
      <c r="T114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4" s="102" cm="1">
        <f t="array" ref="U1144">IF(LS[[#This Row],[B/S]]="S",ABS(LS[[#This Row],[Unit]])*(INDEX(LS[NAV at Cost (Average)],MATCH(CONCATENATE((LS[[#This Row],[Frequency]]-1),LS[[#This Row],[Investor ID]]),LS[Unique Code],0),0)),0)</f>
        <v>0</v>
      </c>
      <c r="V1144" s="102">
        <f>IF(LS[[#This Row],[BO TRANSFER]]="YES",LS[[#This Row],[Unit]],)</f>
        <v>0</v>
      </c>
      <c r="W1144" s="102">
        <f>SUMIFS(LS[[#Headers],[BO UNIT TRANSFER]]:LS[[#This Row],[BO UNIT TRANSFER]],LS[[#Headers],[Investor ID]]:LS[[#This Row],[Investor ID]],LS[[#This Row],[Investor ID]])</f>
        <v>0</v>
      </c>
    </row>
    <row r="1145" spans="1:23">
      <c r="A1145" s="101">
        <v>2025</v>
      </c>
      <c r="B1145" s="101">
        <v>7</v>
      </c>
      <c r="C1145" s="101">
        <v>31</v>
      </c>
      <c r="D1145" s="98">
        <f>DATE(LS[[#This Row],[Year]],LS[[#This Row],[Month]],LS[[#This Row],[Day]])</f>
        <v>45869</v>
      </c>
      <c r="E1145" s="99" t="str" cm="1">
        <f t="array" ref="E1145">INDEX(INVESTORS_LIST[INVESTOR NAME],MATCH(LS[[#This Row],[Investor ID]],INVESTORS_LIST[INVESTOR CODE],0),)</f>
        <v>MD. MUSTAFA KAMAL</v>
      </c>
      <c r="F1145" s="100" t="s">
        <v>1300</v>
      </c>
      <c r="G1145" s="101">
        <f>COUNTIF(LS[[#Headers],[Investor ID]]:LS[[#This Row],[Investor ID]],LS[[#This Row],[Investor ID]])</f>
        <v>11</v>
      </c>
      <c r="H1145" s="101" t="str">
        <f>CONCATENATE(LS[[#This Row],[Frequency]],LS[[#This Row],[Investor ID]])</f>
        <v>11A00597</v>
      </c>
      <c r="I1145" s="75" t="str">
        <f>IF(LS[[#This Row],[B/S]]="B","BUY",(IF(LS[[#This Row],[B/S]]="S","SELL"," ")))</f>
        <v>SELL</v>
      </c>
      <c r="J1145" s="101" t="s">
        <v>1231</v>
      </c>
      <c r="K1145" s="102">
        <v>-625000</v>
      </c>
      <c r="L1145" s="99"/>
      <c r="M1145" s="103">
        <f>LS[[#This Row],[Amount]]/LS[[#This Row],[Unit]]</f>
        <v>12.810002049600328</v>
      </c>
      <c r="N1145" s="104">
        <f>LS[[#This Row],[Unit Capital]]/10</f>
        <v>-48790</v>
      </c>
      <c r="O1145" s="104">
        <f>SUMIFS(LS[[#Headers],[Unit]]:LS[[#This Row],[Unit]],LS[[#Headers],[Investor ID]]:LS[[#This Row],[Investor ID]],LS[[#This Row],[Investor ID]])</f>
        <v>40064</v>
      </c>
      <c r="P1145" s="102">
        <v>-487900</v>
      </c>
      <c r="Q1145" s="102">
        <f>LS[[#This Row],[Amount]]-LS[[#This Row],[Unit Capital]]</f>
        <v>-137100</v>
      </c>
      <c r="R11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12.661219528665001</v>
      </c>
      <c r="S1145" s="103">
        <f t="shared" si="17"/>
        <v>14.224</v>
      </c>
      <c r="T1145" s="102">
        <f>IF(LS[[#This Row],[B/S]]="B",0,ABS(LS[[#This Row],[Unit]])*(LS[[#This Row],[NAV (Strike Rate)]]-INDEX(LS[NAV at Cost (Average)],MATCH(CONCATENATE(LS[[#This Row],[Frequency]]-1,LS[[#This Row],[Investor ID]]),LS[Unique Code],0),)))</f>
        <v>7259.0991964346294</v>
      </c>
      <c r="U1145" s="102" cm="1">
        <f t="array" ref="U1145">IF(LS[[#This Row],[B/S]]="S",ABS(LS[[#This Row],[Unit]])*(INDEX(LS[NAV at Cost (Average)],MATCH(CONCATENATE((LS[[#This Row],[Frequency]]-1),LS[[#This Row],[Investor ID]]),LS[Unique Code],0),0)),0)</f>
        <v>617740.9008035654</v>
      </c>
      <c r="V1145" s="102">
        <f>IF(LS[[#This Row],[BO TRANSFER]]="YES",LS[[#This Row],[Unit]],)</f>
        <v>0</v>
      </c>
      <c r="W1145" s="102">
        <f>SUMIFS(LS[[#Headers],[BO UNIT TRANSFER]]:LS[[#This Row],[BO UNIT TRANSFER]],LS[[#Headers],[Investor ID]]:LS[[#This Row],[Investor ID]],LS[[#This Row],[Investor ID]])</f>
        <v>0</v>
      </c>
    </row>
    <row r="1146" spans="1:23">
      <c r="A1146" s="101">
        <v>2025</v>
      </c>
      <c r="B1146" s="101">
        <v>7</v>
      </c>
      <c r="C1146" s="101">
        <v>31</v>
      </c>
      <c r="D1146" s="98">
        <f>DATE(LS[[#This Row],[Year]],LS[[#This Row],[Month]],LS[[#This Row],[Day]])</f>
        <v>45869</v>
      </c>
      <c r="E1146" s="99" t="str" cm="1">
        <f t="array" ref="E1146">INDEX(INVESTORS_LIST[INVESTOR NAME],MATCH(LS[[#This Row],[Investor ID]],INVESTORS_LIST[INVESTOR CODE],0),)</f>
        <v>KAZI AHSAN MARUF</v>
      </c>
      <c r="F1146" s="100" t="s">
        <v>158</v>
      </c>
      <c r="G1146" s="101">
        <f>COUNTIF(LS[[#Headers],[Investor ID]]:LS[[#This Row],[Investor ID]],LS[[#This Row],[Investor ID]])</f>
        <v>7</v>
      </c>
      <c r="H1146" s="101" t="str">
        <f>CONCATENATE(LS[[#This Row],[Frequency]],LS[[#This Row],[Investor ID]])</f>
        <v>7A00055</v>
      </c>
      <c r="I1146" s="75" t="str">
        <f>IF(LS[[#This Row],[B/S]]="B","BUY",(IF(LS[[#This Row],[B/S]]="S","SELL"," ")))</f>
        <v>BUY</v>
      </c>
      <c r="J1146" s="101" t="s">
        <v>1229</v>
      </c>
      <c r="K1146" s="102">
        <v>300000</v>
      </c>
      <c r="L1146" s="99"/>
      <c r="M1146" s="103">
        <f>LS[[#This Row],[Amount]]/LS[[#This Row],[Unit]]</f>
        <v>12.810111447969597</v>
      </c>
      <c r="N1146" s="104">
        <f>LS[[#This Row],[Unit Capital]]/10</f>
        <v>23419</v>
      </c>
      <c r="O1146" s="104">
        <f>SUMIFS(LS[[#Headers],[Unit]]:LS[[#This Row],[Unit]],LS[[#Headers],[Investor ID]]:LS[[#This Row],[Investor ID]],LS[[#This Row],[Investor ID]])</f>
        <v>78884</v>
      </c>
      <c r="P1146" s="102">
        <v>234190</v>
      </c>
      <c r="Q1146" s="102">
        <f>LS[[#This Row],[Amount]]-LS[[#This Row],[Unit Capital]]</f>
        <v>65810</v>
      </c>
      <c r="R11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12.676841945134626</v>
      </c>
      <c r="S1146" s="103">
        <f t="shared" si="17"/>
        <v>14.224</v>
      </c>
      <c r="T11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6" s="102" cm="1">
        <f t="array" ref="U1146">IF(LS[[#This Row],[B/S]]="S",ABS(LS[[#This Row],[Unit]])*(INDEX(LS[NAV at Cost (Average)],MATCH(CONCATENATE((LS[[#This Row],[Frequency]]-1),LS[[#This Row],[Investor ID]]),LS[Unique Code],0),0)),0)</f>
        <v>0</v>
      </c>
      <c r="V1146" s="102">
        <f>IF(LS[[#This Row],[BO TRANSFER]]="YES",LS[[#This Row],[Unit]],)</f>
        <v>0</v>
      </c>
      <c r="W1146" s="102">
        <f>SUMIFS(LS[[#Headers],[BO UNIT TRANSFER]]:LS[[#This Row],[BO UNIT TRANSFER]],LS[[#Headers],[Investor ID]]:LS[[#This Row],[Investor ID]],LS[[#This Row],[Investor ID]])</f>
        <v>0</v>
      </c>
    </row>
    <row r="1147" spans="1:23">
      <c r="A1147" s="101">
        <v>2025</v>
      </c>
      <c r="B1147" s="101">
        <v>7</v>
      </c>
      <c r="C1147" s="101">
        <v>31</v>
      </c>
      <c r="D1147" s="98">
        <f>DATE(LS[[#This Row],[Year]],LS[[#This Row],[Month]],LS[[#This Row],[Day]])</f>
        <v>45869</v>
      </c>
      <c r="E1147" s="99" t="str" cm="1">
        <f t="array" ref="E1147">INDEX(INVESTORS_LIST[INVESTOR NAME],MATCH(LS[[#This Row],[Investor ID]],INVESTORS_LIST[INVESTOR CODE],0),)</f>
        <v>KHAN MUHAMMAD KAWSER AHMED</v>
      </c>
      <c r="F1147" s="100" t="s">
        <v>944</v>
      </c>
      <c r="G1147" s="101">
        <f>COUNTIF(LS[[#Headers],[Investor ID]]:LS[[#This Row],[Investor ID]],LS[[#This Row],[Investor ID]])</f>
        <v>31</v>
      </c>
      <c r="H1147" s="101" t="str">
        <f>CONCATENATE(LS[[#This Row],[Frequency]],LS[[#This Row],[Investor ID]])</f>
        <v>31A00449</v>
      </c>
      <c r="I1147" s="75" t="str">
        <f>IF(LS[[#This Row],[B/S]]="B","BUY",(IF(LS[[#This Row],[B/S]]="S","SELL"," ")))</f>
        <v>SELL</v>
      </c>
      <c r="J1147" s="101" t="s">
        <v>1231</v>
      </c>
      <c r="K1147" s="102">
        <v>-17100000</v>
      </c>
      <c r="L1147" s="99"/>
      <c r="M1147" s="103">
        <f>LS[[#This Row],[Amount]]/LS[[#This Row],[Unit]]</f>
        <v>12.809996291843179</v>
      </c>
      <c r="N1147" s="104">
        <f>LS[[#This Row],[Unit Capital]]/10</f>
        <v>-1334895</v>
      </c>
      <c r="O1147" s="104">
        <f>SUMIFS(LS[[#Headers],[Unit]]:LS[[#This Row],[Unit]],LS[[#Headers],[Investor ID]]:LS[[#This Row],[Investor ID]],LS[[#This Row],[Investor ID]])</f>
        <v>11702415</v>
      </c>
      <c r="P1147" s="102">
        <v>-13348950</v>
      </c>
      <c r="Q1147" s="102">
        <f>LS[[#This Row],[Amount]]-LS[[#This Row],[Unit Capital]]</f>
        <v>-3751050</v>
      </c>
      <c r="R11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147" s="103">
        <f t="shared" si="17"/>
        <v>14.224</v>
      </c>
      <c r="T1147" s="102">
        <f>IF(LS[[#This Row],[B/S]]="B",0,ABS(LS[[#This Row],[Unit]])*(LS[[#This Row],[NAV (Strike Rate)]]-INDEX(LS[NAV at Cost (Average)],MATCH(CONCATENATE(LS[[#This Row],[Frequency]]-1,LS[[#This Row],[Investor ID]]),LS[Unique Code],0),)))</f>
        <v>1120239.6931867162</v>
      </c>
      <c r="U1147" s="102" cm="1">
        <f t="array" ref="U1147">IF(LS[[#This Row],[B/S]]="S",ABS(LS[[#This Row],[Unit]])*(INDEX(LS[NAV at Cost (Average)],MATCH(CONCATENATE((LS[[#This Row],[Frequency]]-1),LS[[#This Row],[Investor ID]]),LS[Unique Code],0),0)),0)</f>
        <v>15979760.306813285</v>
      </c>
      <c r="V1147" s="102">
        <f>IF(LS[[#This Row],[BO TRANSFER]]="YES",LS[[#This Row],[Unit]],)</f>
        <v>0</v>
      </c>
      <c r="W1147" s="102">
        <f>SUMIFS(LS[[#Headers],[BO UNIT TRANSFER]]:LS[[#This Row],[BO UNIT TRANSFER]],LS[[#Headers],[Investor ID]]:LS[[#This Row],[Investor ID]],LS[[#This Row],[Investor ID]])</f>
        <v>0</v>
      </c>
    </row>
    <row r="1148" spans="1:23">
      <c r="A1148" s="101">
        <v>2025</v>
      </c>
      <c r="B1148" s="101">
        <v>7</v>
      </c>
      <c r="C1148" s="101">
        <v>31</v>
      </c>
      <c r="D1148" s="213">
        <f>DATE(LS[[#This Row],[Year]],LS[[#This Row],[Month]],LS[[#This Row],[Day]])</f>
        <v>45869</v>
      </c>
      <c r="E1148" s="214" t="str" cm="1">
        <f t="array" ref="E1148">INDEX(INVESTORS_LIST[INVESTOR NAME],MATCH(LS[[#This Row],[Investor ID]],INVESTORS_LIST[INVESTOR CODE],0),)</f>
        <v>ANJUMAN ARA BEGUM POLY</v>
      </c>
      <c r="F1148" s="212" t="s">
        <v>1415</v>
      </c>
      <c r="G1148" s="215">
        <f>COUNTIF(LS[[#Headers],[Investor ID]]:LS[[#This Row],[Investor ID]],LS[[#This Row],[Investor ID]])</f>
        <v>2</v>
      </c>
      <c r="H1148" s="215" t="str">
        <f>CONCATENATE(LS[[#This Row],[Frequency]],LS[[#This Row],[Investor ID]])</f>
        <v>2A00651</v>
      </c>
      <c r="I1148" s="75" t="str">
        <f>IF(LS[[#This Row],[B/S]]="B","BUY",(IF(LS[[#This Row],[B/S]]="S","SELL"," ")))</f>
        <v>BUY</v>
      </c>
      <c r="J1148" s="101" t="s">
        <v>1229</v>
      </c>
      <c r="K1148" s="216">
        <v>144000</v>
      </c>
      <c r="L1148" s="214"/>
      <c r="M1148" s="217">
        <f>LS[[#This Row],[Amount]]/LS[[#This Row],[Unit]]</f>
        <v>12.810248198558847</v>
      </c>
      <c r="N1148" s="218">
        <f>LS[[#This Row],[Unit Capital]]/10</f>
        <v>11241</v>
      </c>
      <c r="O1148" s="218">
        <f>SUMIFS(LS[[#Headers],[Unit]]:LS[[#This Row],[Unit]],LS[[#Headers],[Investor ID]]:LS[[#This Row],[Investor ID]],LS[[#This Row],[Investor ID]])</f>
        <v>11709</v>
      </c>
      <c r="P1148" s="216">
        <v>112410</v>
      </c>
      <c r="Q1148" s="216">
        <f>LS[[#This Row],[Amount]]-LS[[#This Row],[Unit Capital]]</f>
        <v>31590</v>
      </c>
      <c r="R114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12.810658467845249</v>
      </c>
      <c r="S1148" s="217">
        <f t="shared" si="17"/>
        <v>14.224</v>
      </c>
      <c r="T1148" s="21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8" s="216" cm="1">
        <f t="array" ref="U1148">IF(LS[[#This Row],[B/S]]="S",ABS(LS[[#This Row],[Unit]])*(INDEX(LS[NAV at Cost (Average)],MATCH(CONCATENATE((LS[[#This Row],[Frequency]]-1),LS[[#This Row],[Investor ID]]),LS[Unique Code],0),0)),0)</f>
        <v>0</v>
      </c>
      <c r="V1148" s="216">
        <f>IF(LS[[#This Row],[BO TRANSFER]]="YES",LS[[#This Row],[Unit]],)</f>
        <v>0</v>
      </c>
      <c r="W1148" s="216">
        <f>SUMIFS(LS[[#Headers],[BO UNIT TRANSFER]]:LS[[#This Row],[BO UNIT TRANSFER]],LS[[#Headers],[Investor ID]]:LS[[#This Row],[Investor ID]],LS[[#This Row],[Investor ID]])</f>
        <v>0</v>
      </c>
    </row>
    <row r="1149" spans="1:23">
      <c r="A1149" s="101">
        <v>2025</v>
      </c>
      <c r="B1149" s="101">
        <v>8</v>
      </c>
      <c r="C1149" s="101">
        <v>3</v>
      </c>
      <c r="D1149" s="98">
        <f>DATE(LS[[#This Row],[Year]],LS[[#This Row],[Month]],LS[[#This Row],[Day]])</f>
        <v>45872</v>
      </c>
      <c r="E1149" s="99" t="str" cm="1">
        <f t="array" ref="E1149">INDEX(INVESTORS_LIST[INVESTOR NAME],MATCH(LS[[#This Row],[Investor ID]],INVESTORS_LIST[INVESTOR CODE],0),)</f>
        <v>NANDINI SAHA</v>
      </c>
      <c r="F1149" s="100" t="s">
        <v>242</v>
      </c>
      <c r="G1149" s="101">
        <f>COUNTIF(LS[[#Headers],[Investor ID]]:LS[[#This Row],[Investor ID]],LS[[#This Row],[Investor ID]])</f>
        <v>9</v>
      </c>
      <c r="H1149" s="101" t="str">
        <f>CONCATENATE(LS[[#This Row],[Frequency]],LS[[#This Row],[Investor ID]])</f>
        <v>9A00097</v>
      </c>
      <c r="I1149" s="75" t="str">
        <f>IF(LS[[#This Row],[B/S]]="B","BUY",(IF(LS[[#This Row],[B/S]]="S","SELL"," ")))</f>
        <v>BUY</v>
      </c>
      <c r="J1149" s="101" t="s">
        <v>1229</v>
      </c>
      <c r="K1149" s="102">
        <v>70000</v>
      </c>
      <c r="L1149" s="99"/>
      <c r="M1149" s="103">
        <f>LS[[#This Row],[Amount]]/LS[[#This Row],[Unit]]</f>
        <v>12.853470437017995</v>
      </c>
      <c r="N1149" s="104">
        <f>LS[[#This Row],[Unit Capital]]/10</f>
        <v>5446</v>
      </c>
      <c r="O1149" s="104">
        <f>SUMIFS(LS[[#Headers],[Unit]]:LS[[#This Row],[Unit]],LS[[#Headers],[Investor ID]]:LS[[#This Row],[Investor ID]],LS[[#This Row],[Investor ID]])</f>
        <v>164939</v>
      </c>
      <c r="P1149" s="102">
        <v>54460</v>
      </c>
      <c r="Q1149" s="102">
        <f>LS[[#This Row],[Amount]]-LS[[#This Row],[Unit Capital]]</f>
        <v>15540</v>
      </c>
      <c r="R11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10.982073467081127</v>
      </c>
      <c r="S1149" s="103">
        <f t="shared" si="17"/>
        <v>14.224</v>
      </c>
      <c r="T11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49" s="102" cm="1">
        <f t="array" ref="U1149">IF(LS[[#This Row],[B/S]]="S",ABS(LS[[#This Row],[Unit]])*(INDEX(LS[NAV at Cost (Average)],MATCH(CONCATENATE((LS[[#This Row],[Frequency]]-1),LS[[#This Row],[Investor ID]]),LS[Unique Code],0),0)),0)</f>
        <v>0</v>
      </c>
      <c r="V1149" s="102">
        <f>IF(LS[[#This Row],[BO TRANSFER]]="YES",LS[[#This Row],[Unit]],)</f>
        <v>0</v>
      </c>
      <c r="W1149" s="102">
        <f>SUMIFS(LS[[#Headers],[BO UNIT TRANSFER]]:LS[[#This Row],[BO UNIT TRANSFER]],LS[[#Headers],[Investor ID]]:LS[[#This Row],[Investor ID]],LS[[#This Row],[Investor ID]])</f>
        <v>0</v>
      </c>
    </row>
    <row r="1150" spans="1:23">
      <c r="A1150" s="101">
        <v>2025</v>
      </c>
      <c r="B1150" s="101">
        <v>8</v>
      </c>
      <c r="C1150" s="101">
        <v>3</v>
      </c>
      <c r="D1150" s="98">
        <f>DATE(LS[[#This Row],[Year]],LS[[#This Row],[Month]],LS[[#This Row],[Day]])</f>
        <v>45872</v>
      </c>
      <c r="E1150" s="99" t="str" cm="1">
        <f t="array" ref="E1150">INDEX(INVESTORS_LIST[INVESTOR NAME],MATCH(LS[[#This Row],[Investor ID]],INVESTORS_LIST[INVESTOR CODE],0),)</f>
        <v>MUHAMMAD SHOHIDUZZAMAN</v>
      </c>
      <c r="F1150" s="100" t="s">
        <v>986</v>
      </c>
      <c r="G1150" s="101">
        <f>COUNTIF(LS[[#Headers],[Investor ID]]:LS[[#This Row],[Investor ID]],LS[[#This Row],[Investor ID]])</f>
        <v>13</v>
      </c>
      <c r="H1150" s="101" t="str">
        <f>CONCATENATE(LS[[#This Row],[Frequency]],LS[[#This Row],[Investor ID]])</f>
        <v>13A00470</v>
      </c>
      <c r="I1150" s="75" t="str">
        <f>IF(LS[[#This Row],[B/S]]="B","BUY",(IF(LS[[#This Row],[B/S]]="S","SELL"," ")))</f>
        <v>BUY</v>
      </c>
      <c r="J1150" s="101" t="s">
        <v>1229</v>
      </c>
      <c r="K1150" s="102">
        <v>6000000</v>
      </c>
      <c r="L1150" s="99" t="s">
        <v>1230</v>
      </c>
      <c r="M1150" s="103">
        <f>LS[[#This Row],[Amount]]/LS[[#This Row],[Unit]]</f>
        <v>12.853993628703824</v>
      </c>
      <c r="N1150" s="104">
        <f>LS[[#This Row],[Unit Capital]]/10</f>
        <v>466781</v>
      </c>
      <c r="O1150" s="104">
        <f>SUMIFS(LS[[#Headers],[Unit]]:LS[[#This Row],[Unit]],LS[[#Headers],[Investor ID]]:LS[[#This Row],[Investor ID]],LS[[#This Row],[Investor ID]])</f>
        <v>1262890</v>
      </c>
      <c r="P1150" s="102">
        <v>4667810</v>
      </c>
      <c r="Q1150" s="102">
        <f>LS[[#This Row],[Amount]]-LS[[#This Row],[Unit Capital]]</f>
        <v>1332190</v>
      </c>
      <c r="R11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12.563472416368917</v>
      </c>
      <c r="S1150" s="103">
        <f t="shared" si="17"/>
        <v>14.224</v>
      </c>
      <c r="T11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50" s="102" cm="1">
        <f t="array" ref="U1150">IF(LS[[#This Row],[B/S]]="S",ABS(LS[[#This Row],[Unit]])*(INDEX(LS[NAV at Cost (Average)],MATCH(CONCATENATE((LS[[#This Row],[Frequency]]-1),LS[[#This Row],[Investor ID]]),LS[Unique Code],0),0)),0)</f>
        <v>0</v>
      </c>
      <c r="V1150" s="102">
        <f>IF(LS[[#This Row],[BO TRANSFER]]="YES",LS[[#This Row],[Unit]],)</f>
        <v>466781</v>
      </c>
      <c r="W1150" s="102">
        <f>SUMIFS(LS[[#Headers],[BO UNIT TRANSFER]]:LS[[#This Row],[BO UNIT TRANSFER]],LS[[#Headers],[Investor ID]]:LS[[#This Row],[Investor ID]],LS[[#This Row],[Investor ID]])</f>
        <v>814439</v>
      </c>
    </row>
    <row r="1151" spans="1:23">
      <c r="A1151" s="101">
        <v>2025</v>
      </c>
      <c r="B1151" s="101">
        <v>8</v>
      </c>
      <c r="C1151" s="101">
        <v>3</v>
      </c>
      <c r="D1151" s="98">
        <f>DATE(LS[[#This Row],[Year]],LS[[#This Row],[Month]],LS[[#This Row],[Day]])</f>
        <v>45872</v>
      </c>
      <c r="E1151" s="99" t="str" cm="1">
        <f t="array" ref="E1151">INDEX(INVESTORS_LIST[INVESTOR NAME],MATCH(LS[[#This Row],[Investor ID]],INVESTORS_LIST[INVESTOR CODE],0),)</f>
        <v>MAYA RANI SAHA</v>
      </c>
      <c r="F1151" s="100" t="s">
        <v>224</v>
      </c>
      <c r="G1151" s="101">
        <f>COUNTIF(LS[[#Headers],[Investor ID]]:LS[[#This Row],[Investor ID]],LS[[#This Row],[Investor ID]])</f>
        <v>20</v>
      </c>
      <c r="H1151" s="101" t="str">
        <f>CONCATENATE(LS[[#This Row],[Frequency]],LS[[#This Row],[Investor ID]])</f>
        <v>20A00088</v>
      </c>
      <c r="I1151" s="75" t="str">
        <f>IF(LS[[#This Row],[B/S]]="B","BUY",(IF(LS[[#This Row],[B/S]]="S","SELL"," ")))</f>
        <v>BUY</v>
      </c>
      <c r="J1151" s="101" t="s">
        <v>1229</v>
      </c>
      <c r="K1151" s="102">
        <v>100000</v>
      </c>
      <c r="L1151" s="99"/>
      <c r="M1151" s="103">
        <f>LS[[#This Row],[Amount]]/LS[[#This Row],[Unit]]</f>
        <v>12.853470437017995</v>
      </c>
      <c r="N1151" s="104">
        <f>LS[[#This Row],[Unit Capital]]/10</f>
        <v>7780</v>
      </c>
      <c r="O1151" s="104">
        <f>SUMIFS(LS[[#Headers],[Unit]]:LS[[#This Row],[Unit]],LS[[#Headers],[Investor ID]]:LS[[#This Row],[Investor ID]],LS[[#This Row],[Investor ID]])</f>
        <v>503595</v>
      </c>
      <c r="P1151" s="102">
        <v>77800</v>
      </c>
      <c r="Q1151" s="102">
        <f>LS[[#This Row],[Amount]]-LS[[#This Row],[Unit Capital]]</f>
        <v>22200</v>
      </c>
      <c r="R11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11.009254131707529</v>
      </c>
      <c r="S1151" s="103">
        <f t="shared" si="17"/>
        <v>14.224</v>
      </c>
      <c r="T11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51" s="102" cm="1">
        <f t="array" ref="U1151">IF(LS[[#This Row],[B/S]]="S",ABS(LS[[#This Row],[Unit]])*(INDEX(LS[NAV at Cost (Average)],MATCH(CONCATENATE((LS[[#This Row],[Frequency]]-1),LS[[#This Row],[Investor ID]]),LS[Unique Code],0),0)),0)</f>
        <v>0</v>
      </c>
      <c r="V1151" s="102">
        <f>IF(LS[[#This Row],[BO TRANSFER]]="YES",LS[[#This Row],[Unit]],)</f>
        <v>0</v>
      </c>
      <c r="W1151" s="102">
        <f>SUMIFS(LS[[#Headers],[BO UNIT TRANSFER]]:LS[[#This Row],[BO UNIT TRANSFER]],LS[[#Headers],[Investor ID]]:LS[[#This Row],[Investor ID]],LS[[#This Row],[Investor ID]])</f>
        <v>0</v>
      </c>
    </row>
    <row r="1152" spans="1:23">
      <c r="A1152" s="101">
        <v>2025</v>
      </c>
      <c r="B1152" s="101">
        <v>8</v>
      </c>
      <c r="C1152" s="101">
        <v>3</v>
      </c>
      <c r="D1152" s="98">
        <f>DATE(LS[[#This Row],[Year]],LS[[#This Row],[Month]],LS[[#This Row],[Day]])</f>
        <v>45872</v>
      </c>
      <c r="E1152" s="99" t="str" cm="1">
        <f t="array" ref="E1152">INDEX(INVESTORS_LIST[INVESTOR NAME],MATCH(LS[[#This Row],[Investor ID]],INVESTORS_LIST[INVESTOR CODE],0),)</f>
        <v>SYED FAZLE RABBY</v>
      </c>
      <c r="F1152" s="100" t="s">
        <v>166</v>
      </c>
      <c r="G1152" s="101">
        <f>COUNTIF(LS[[#Headers],[Investor ID]]:LS[[#This Row],[Investor ID]],LS[[#This Row],[Investor ID]])</f>
        <v>47</v>
      </c>
      <c r="H1152" s="101" t="str">
        <f>CONCATENATE(LS[[#This Row],[Frequency]],LS[[#This Row],[Investor ID]])</f>
        <v>47A00059</v>
      </c>
      <c r="I1152" s="75" t="str">
        <f>IF(LS[[#This Row],[B/S]]="B","BUY",(IF(LS[[#This Row],[B/S]]="S","SELL"," ")))</f>
        <v>BUY</v>
      </c>
      <c r="J1152" s="101" t="s">
        <v>1229</v>
      </c>
      <c r="K1152" s="102">
        <v>200000</v>
      </c>
      <c r="L1152" s="99"/>
      <c r="M1152" s="103">
        <f>LS[[#This Row],[Amount]]/LS[[#This Row],[Unit]]</f>
        <v>12.854296548621377</v>
      </c>
      <c r="N1152" s="104">
        <f>LS[[#This Row],[Unit Capital]]/10</f>
        <v>15559</v>
      </c>
      <c r="O1152" s="104">
        <f>SUMIFS(LS[[#Headers],[Unit]]:LS[[#This Row],[Unit]],LS[[#Headers],[Investor ID]]:LS[[#This Row],[Investor ID]],LS[[#This Row],[Investor ID]])</f>
        <v>591698</v>
      </c>
      <c r="P1152" s="102">
        <v>155590</v>
      </c>
      <c r="Q1152" s="102">
        <f>LS[[#This Row],[Amount]]-LS[[#This Row],[Unit Capital]]</f>
        <v>44410</v>
      </c>
      <c r="R11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12.414287401598994</v>
      </c>
      <c r="S1152" s="103">
        <f t="shared" si="17"/>
        <v>14.224</v>
      </c>
      <c r="T115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52" s="102" cm="1">
        <f t="array" ref="U1152">IF(LS[[#This Row],[B/S]]="S",ABS(LS[[#This Row],[Unit]])*(INDEX(LS[NAV at Cost (Average)],MATCH(CONCATENATE((LS[[#This Row],[Frequency]]-1),LS[[#This Row],[Investor ID]]),LS[Unique Code],0),0)),0)</f>
        <v>0</v>
      </c>
      <c r="V1152" s="102">
        <f>IF(LS[[#This Row],[BO TRANSFER]]="YES",LS[[#This Row],[Unit]],)</f>
        <v>0</v>
      </c>
      <c r="W1152" s="102">
        <f>SUMIFS(LS[[#Headers],[BO UNIT TRANSFER]]:LS[[#This Row],[BO UNIT TRANSFER]],LS[[#Headers],[Investor ID]]:LS[[#This Row],[Investor ID]],LS[[#This Row],[Investor ID]])</f>
        <v>0</v>
      </c>
    </row>
    <row r="1153" spans="1:23">
      <c r="A1153" s="101">
        <v>2025</v>
      </c>
      <c r="B1153" s="101">
        <v>8</v>
      </c>
      <c r="C1153" s="101">
        <v>4</v>
      </c>
      <c r="D1153" s="98">
        <f>DATE(LS[[#This Row],[Year]],LS[[#This Row],[Month]],LS[[#This Row],[Day]])</f>
        <v>45873</v>
      </c>
      <c r="E1153" t="str" cm="1">
        <f t="array" ref="E1153">INDEX(INVESTORS_LIST[INVESTOR NAME],MATCH(LS[[#This Row],[Investor ID]],INVESTORS_LIST[INVESTOR CODE],0),)</f>
        <v>EKUSH WEALTH MANAGEMENT LIMITED</v>
      </c>
      <c r="F1153" s="100" t="s">
        <v>47</v>
      </c>
      <c r="G1153" s="101">
        <f>COUNTIF(LS[[#Headers],[Investor ID]]:LS[[#This Row],[Investor ID]],LS[[#This Row],[Investor ID]])</f>
        <v>31</v>
      </c>
      <c r="H1153" s="101" t="str">
        <f>CONCATENATE(LS[[#This Row],[Frequency]],LS[[#This Row],[Investor ID]])</f>
        <v>31A00003</v>
      </c>
      <c r="I1153" s="75" t="str">
        <f>IF(LS[[#This Row],[B/S]]="B","BUY",(IF(LS[[#This Row],[B/S]]="S","SELL"," ")))</f>
        <v>SELL</v>
      </c>
      <c r="J1153" s="101" t="s">
        <v>1231</v>
      </c>
      <c r="K1153" s="102">
        <v>-1000000</v>
      </c>
      <c r="L1153" s="99"/>
      <c r="M1153" s="103">
        <f>LS[[#This Row],[Amount]]/LS[[#This Row],[Unit]]</f>
        <v>12.853966091237451</v>
      </c>
      <c r="N1153" s="104">
        <f>LS[[#This Row],[Unit Capital]]/10</f>
        <v>-77797</v>
      </c>
      <c r="O1153" s="104">
        <f>SUMIFS(LS[[#Headers],[Unit]]:LS[[#This Row],[Unit]],LS[[#Headers],[Investor ID]]:LS[[#This Row],[Investor ID]],LS[[#This Row],[Investor ID]])</f>
        <v>573878</v>
      </c>
      <c r="P1153" s="102">
        <v>-777970</v>
      </c>
      <c r="Q1153" s="102">
        <f>LS[[#This Row],[Amount]]-LS[[#This Row],[Unit Capital]]</f>
        <v>-222030</v>
      </c>
      <c r="R11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153" s="103">
        <f t="shared" si="17"/>
        <v>14.224</v>
      </c>
      <c r="T1153" s="102">
        <f>IF(LS[[#This Row],[B/S]]="B",0,ABS(LS[[#This Row],[Unit]])*(LS[[#This Row],[NAV (Strike Rate)]]-INDEX(LS[NAV at Cost (Average)],MATCH(CONCATENATE(LS[[#This Row],[Frequency]]-1,LS[[#This Row],[Investor ID]]),LS[Unique Code],0),)))</f>
        <v>61697.530649938337</v>
      </c>
      <c r="U1153" s="102" cm="1">
        <f t="array" ref="U1153">IF(LS[[#This Row],[B/S]]="S",ABS(LS[[#This Row],[Unit]])*(INDEX(LS[NAV at Cost (Average)],MATCH(CONCATENATE((LS[[#This Row],[Frequency]]-1),LS[[#This Row],[Investor ID]]),LS[Unique Code],0),0)),0)</f>
        <v>938302.46935006161</v>
      </c>
      <c r="V1153" s="102">
        <f>IF(LS[[#This Row],[BO TRANSFER]]="YES",LS[[#This Row],[Unit]],)</f>
        <v>0</v>
      </c>
      <c r="W1153" s="102">
        <f>SUMIFS(LS[[#Headers],[BO UNIT TRANSFER]]:LS[[#This Row],[BO UNIT TRANSFER]],LS[[#Headers],[Investor ID]]:LS[[#This Row],[Investor ID]],LS[[#This Row],[Investor ID]])</f>
        <v>0</v>
      </c>
    </row>
    <row r="1154" spans="1:23">
      <c r="A1154" s="101">
        <v>2025</v>
      </c>
      <c r="B1154" s="101">
        <v>8</v>
      </c>
      <c r="C1154" s="101">
        <v>4</v>
      </c>
      <c r="D1154" s="98">
        <f>DATE(LS[[#This Row],[Year]],LS[[#This Row],[Month]],LS[[#This Row],[Day]])</f>
        <v>45873</v>
      </c>
      <c r="E1154" s="99" t="str" cm="1">
        <f t="array" ref="E1154">INDEX(INVESTORS_LIST[INVESTOR NAME],MATCH(LS[[#This Row],[Investor ID]],INVESTORS_LIST[INVESTOR CODE],0),)</f>
        <v>KHAN MUHAMMAD KAWSER AHMED</v>
      </c>
      <c r="F1154" s="100" t="s">
        <v>944</v>
      </c>
      <c r="G1154" s="101">
        <f>COUNTIF(LS[[#Headers],[Investor ID]]:LS[[#This Row],[Investor ID]],LS[[#This Row],[Investor ID]])</f>
        <v>32</v>
      </c>
      <c r="H1154" s="101" t="str">
        <f>CONCATENATE(LS[[#This Row],[Frequency]],LS[[#This Row],[Investor ID]])</f>
        <v>32A00449</v>
      </c>
      <c r="I1154" s="75" t="str">
        <f>IF(LS[[#This Row],[B/S]]="B","BUY",(IF(LS[[#This Row],[B/S]]="S","SELL"," ")))</f>
        <v>SELL</v>
      </c>
      <c r="J1154" s="101" t="s">
        <v>1231</v>
      </c>
      <c r="K1154" s="102">
        <v>-3000000</v>
      </c>
      <c r="L1154" s="99"/>
      <c r="M1154" s="103">
        <f>LS[[#This Row],[Amount]]/LS[[#This Row],[Unit]]</f>
        <v>12.854021166288188</v>
      </c>
      <c r="N1154" s="104">
        <f>LS[[#This Row],[Unit Capital]]/10</f>
        <v>-233390</v>
      </c>
      <c r="O1154" s="104">
        <f>SUMIFS(LS[[#Headers],[Unit]]:LS[[#This Row],[Unit]],LS[[#Headers],[Investor ID]]:LS[[#This Row],[Investor ID]],LS[[#This Row],[Investor ID]])</f>
        <v>11469025</v>
      </c>
      <c r="P1154" s="102">
        <v>-2333900</v>
      </c>
      <c r="Q1154" s="102">
        <f>LS[[#This Row],[Amount]]-LS[[#This Row],[Unit Capital]]</f>
        <v>-666100</v>
      </c>
      <c r="R11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154" s="103">
        <f t="shared" si="17"/>
        <v>14.224</v>
      </c>
      <c r="T1154" s="102">
        <f>IF(LS[[#This Row],[B/S]]="B",0,ABS(LS[[#This Row],[Unit]])*(LS[[#This Row],[NAV (Strike Rate)]]-INDEX(LS[NAV at Cost (Average)],MATCH(CONCATENATE(LS[[#This Row],[Frequency]]-1,LS[[#This Row],[Investor ID]]),LS[Unique Code],0),)))</f>
        <v>206135.12073447564</v>
      </c>
      <c r="U1154" s="102" cm="1">
        <f t="array" ref="U1154">IF(LS[[#This Row],[B/S]]="S",ABS(LS[[#This Row],[Unit]])*(INDEX(LS[NAV at Cost (Average)],MATCH(CONCATENATE((LS[[#This Row],[Frequency]]-1),LS[[#This Row],[Investor ID]]),LS[Unique Code],0),0)),0)</f>
        <v>2793864.8792655244</v>
      </c>
      <c r="V1154" s="102">
        <f>IF(LS[[#This Row],[BO TRANSFER]]="YES",LS[[#This Row],[Unit]],)</f>
        <v>0</v>
      </c>
      <c r="W1154" s="102">
        <f>SUMIFS(LS[[#Headers],[BO UNIT TRANSFER]]:LS[[#This Row],[BO UNIT TRANSFER]],LS[[#Headers],[Investor ID]]:LS[[#This Row],[Investor ID]],LS[[#This Row],[Investor ID]])</f>
        <v>0</v>
      </c>
    </row>
    <row r="1155" spans="1:23">
      <c r="A1155" s="101">
        <v>2025</v>
      </c>
      <c r="B1155" s="101">
        <v>8</v>
      </c>
      <c r="C1155" s="101">
        <v>4</v>
      </c>
      <c r="D1155" s="98">
        <f>DATE(LS[[#This Row],[Year]],LS[[#This Row],[Month]],LS[[#This Row],[Day]])</f>
        <v>45873</v>
      </c>
      <c r="E1155" s="99" t="str" cm="1">
        <f t="array" ref="E1155">INDEX(INVESTORS_LIST[INVESTOR NAME],MATCH(LS[[#This Row],[Investor ID]],INVESTORS_LIST[INVESTOR CODE],0),)</f>
        <v>EVEREST PHARMACEUTICALS LTD. EMPLOYEES CONTRIBUTORY PROVIDENT FUND</v>
      </c>
      <c r="F1155" s="100" t="s">
        <v>742</v>
      </c>
      <c r="G1155" s="101">
        <f>COUNTIF(LS[[#Headers],[Investor ID]]:LS[[#This Row],[Investor ID]],LS[[#This Row],[Investor ID]])</f>
        <v>1</v>
      </c>
      <c r="H1155" s="101" t="str">
        <f>CONCATENATE(LS[[#This Row],[Frequency]],LS[[#This Row],[Investor ID]])</f>
        <v>1A00347</v>
      </c>
      <c r="I1155" s="75" t="str">
        <f>IF(LS[[#This Row],[B/S]]="B","BUY",(IF(LS[[#This Row],[B/S]]="S","SELL"," ")))</f>
        <v>BUY</v>
      </c>
      <c r="J1155" s="101" t="s">
        <v>1229</v>
      </c>
      <c r="K1155" s="102">
        <v>2000000</v>
      </c>
      <c r="L1155" s="99"/>
      <c r="M1155" s="103">
        <f>LS[[#This Row],[Amount]]/LS[[#This Row],[Unit]]</f>
        <v>12.853966091237451</v>
      </c>
      <c r="N1155" s="104">
        <f>LS[[#This Row],[Unit Capital]]/10</f>
        <v>155594</v>
      </c>
      <c r="O1155" s="104">
        <f>SUMIFS(LS[[#Headers],[Unit]]:LS[[#This Row],[Unit]],LS[[#Headers],[Investor ID]]:LS[[#This Row],[Investor ID]],LS[[#This Row],[Investor ID]])</f>
        <v>155594</v>
      </c>
      <c r="P1155" s="102">
        <v>1555940</v>
      </c>
      <c r="Q1155" s="102">
        <f>LS[[#This Row],[Amount]]-LS[[#This Row],[Unit Capital]]</f>
        <v>444060</v>
      </c>
      <c r="R11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155" s="103">
        <f t="shared" ref="S1155:S1218" si="18">IFERROR(NAV_MKT,0)</f>
        <v>14.224</v>
      </c>
      <c r="T11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55" s="102" cm="1">
        <f t="array" ref="U1155">IF(LS[[#This Row],[B/S]]="S",ABS(LS[[#This Row],[Unit]])*(INDEX(LS[NAV at Cost (Average)],MATCH(CONCATENATE((LS[[#This Row],[Frequency]]-1),LS[[#This Row],[Investor ID]]),LS[Unique Code],0),0)),0)</f>
        <v>0</v>
      </c>
      <c r="V1155" s="102">
        <f>IF(LS[[#This Row],[BO TRANSFER]]="YES",LS[[#This Row],[Unit]],)</f>
        <v>0</v>
      </c>
      <c r="W1155" s="102">
        <f>SUMIFS(LS[[#Headers],[BO UNIT TRANSFER]]:LS[[#This Row],[BO UNIT TRANSFER]],LS[[#Headers],[Investor ID]]:LS[[#This Row],[Investor ID]],LS[[#This Row],[Investor ID]])</f>
        <v>0</v>
      </c>
    </row>
    <row r="1156" spans="1:23">
      <c r="A1156" s="101">
        <v>2025</v>
      </c>
      <c r="B1156" s="101">
        <v>8</v>
      </c>
      <c r="C1156" s="101">
        <v>4</v>
      </c>
      <c r="D1156" s="98">
        <f>DATE(LS[[#This Row],[Year]],LS[[#This Row],[Month]],LS[[#This Row],[Day]])</f>
        <v>45873</v>
      </c>
      <c r="E1156" s="99" t="str" cm="1">
        <f t="array" ref="E1156">INDEX(INVESTORS_LIST[INVESTOR NAME],MATCH(LS[[#This Row],[Investor ID]],INVESTORS_LIST[INVESTOR CODE],0),)</f>
        <v>KHAN MUHAMMAD FAISOL</v>
      </c>
      <c r="F1156" s="100" t="s">
        <v>930</v>
      </c>
      <c r="G1156" s="101">
        <f>COUNTIF(LS[[#Headers],[Investor ID]]:LS[[#This Row],[Investor ID]],LS[[#This Row],[Investor ID]])</f>
        <v>4</v>
      </c>
      <c r="H1156" s="101" t="str">
        <f>CONCATENATE(LS[[#This Row],[Frequency]],LS[[#This Row],[Investor ID]])</f>
        <v>4A00442</v>
      </c>
      <c r="I1156" s="75" t="str">
        <f>IF(LS[[#This Row],[B/S]]="B","BUY",(IF(LS[[#This Row],[B/S]]="S","SELL"," ")))</f>
        <v>SELL</v>
      </c>
      <c r="J1156" s="101" t="s">
        <v>1231</v>
      </c>
      <c r="K1156" s="102">
        <v>-128540</v>
      </c>
      <c r="L1156" s="99" t="s">
        <v>1230</v>
      </c>
      <c r="M1156" s="103">
        <f>LS[[#This Row],[Amount]]/LS[[#This Row],[Unit]]</f>
        <v>12.853999999999999</v>
      </c>
      <c r="N1156" s="104">
        <f>LS[[#This Row],[Unit Capital]]/10</f>
        <v>-10000</v>
      </c>
      <c r="O1156" s="104">
        <f>SUMIFS(LS[[#Headers],[Unit]]:LS[[#This Row],[Unit]],LS[[#Headers],[Investor ID]]:LS[[#This Row],[Investor ID]],LS[[#This Row],[Investor ID]])</f>
        <v>53091</v>
      </c>
      <c r="P1156" s="102">
        <v>-100000</v>
      </c>
      <c r="Q1156" s="102">
        <f>LS[[#This Row],[Amount]]-LS[[#This Row],[Unit Capital]]</f>
        <v>-28540</v>
      </c>
      <c r="R11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12.680097002742071</v>
      </c>
      <c r="S1156" s="103">
        <f t="shared" si="18"/>
        <v>14.224</v>
      </c>
      <c r="T1156" s="102">
        <f>IF(LS[[#This Row],[B/S]]="B",0,ABS(LS[[#This Row],[Unit]])*(LS[[#This Row],[NAV (Strike Rate)]]-INDEX(LS[NAV at Cost (Average)],MATCH(CONCATENATE(LS[[#This Row],[Frequency]]-1,LS[[#This Row],[Investor ID]]),LS[Unique Code],0),)))</f>
        <v>1739.0299725792779</v>
      </c>
      <c r="U1156" s="102" cm="1">
        <f t="array" ref="U1156">IF(LS[[#This Row],[B/S]]="S",ABS(LS[[#This Row],[Unit]])*(INDEX(LS[NAV at Cost (Average)],MATCH(CONCATENATE((LS[[#This Row],[Frequency]]-1),LS[[#This Row],[Investor ID]]),LS[Unique Code],0),0)),0)</f>
        <v>126800.97002742071</v>
      </c>
      <c r="V1156" s="102">
        <f>IF(LS[[#This Row],[BO TRANSFER]]="YES",LS[[#This Row],[Unit]],)</f>
        <v>-10000</v>
      </c>
      <c r="W1156" s="102">
        <f>SUMIFS(LS[[#Headers],[BO UNIT TRANSFER]]:LS[[#This Row],[BO UNIT TRANSFER]],LS[[#Headers],[Investor ID]]:LS[[#This Row],[Investor ID]],LS[[#This Row],[Investor ID]])</f>
        <v>53091</v>
      </c>
    </row>
    <row r="1157" spans="1:23">
      <c r="A1157" s="101">
        <v>2025</v>
      </c>
      <c r="B1157" s="101">
        <v>8</v>
      </c>
      <c r="C1157" s="101">
        <v>6</v>
      </c>
      <c r="D1157" s="98">
        <f>DATE(LS[[#This Row],[Year]],LS[[#This Row],[Month]],LS[[#This Row],[Day]])</f>
        <v>45875</v>
      </c>
      <c r="E1157" s="99" t="str" cm="1">
        <f t="array" ref="E1157">INDEX(INVESTORS_LIST[INVESTOR NAME],MATCH(LS[[#This Row],[Investor ID]],INVESTORS_LIST[INVESTOR CODE],0),)</f>
        <v>SK FEROZ ALAM</v>
      </c>
      <c r="F1157" s="46" t="s">
        <v>240</v>
      </c>
      <c r="G1157" s="101">
        <f>COUNTIF(LS[[#Headers],[Investor ID]]:LS[[#This Row],[Investor ID]],LS[[#This Row],[Investor ID]])</f>
        <v>5</v>
      </c>
      <c r="H1157" s="101" t="str">
        <f>CONCATENATE(LS[[#This Row],[Frequency]],LS[[#This Row],[Investor ID]])</f>
        <v>5A00096</v>
      </c>
      <c r="I1157" s="75" t="str">
        <f>IF(LS[[#This Row],[B/S]]="B","BUY",(IF(LS[[#This Row],[B/S]]="S","SELL"," ")))</f>
        <v>SELL</v>
      </c>
      <c r="J1157" s="101" t="s">
        <v>1231</v>
      </c>
      <c r="K1157" s="102">
        <v>-4241.82</v>
      </c>
      <c r="L1157" s="99"/>
      <c r="M1157" s="103">
        <f>LS[[#This Row],[Amount]]/LS[[#This Row],[Unit]]</f>
        <v>12.853999999999999</v>
      </c>
      <c r="N1157" s="104">
        <f>LS[[#This Row],[Unit Capital]]/10</f>
        <v>-330</v>
      </c>
      <c r="O1157" s="104">
        <f>SUMIFS(LS[[#Headers],[Unit]]:LS[[#This Row],[Unit]],LS[[#Headers],[Investor ID]]:LS[[#This Row],[Investor ID]],LS[[#This Row],[Investor ID]])</f>
        <v>0</v>
      </c>
      <c r="P1157" s="102">
        <v>-3300</v>
      </c>
      <c r="Q1157" s="102">
        <f>LS[[#This Row],[Amount]]-LS[[#This Row],[Unit Capital]]</f>
        <v>-941.81999999999971</v>
      </c>
      <c r="R11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57" s="103">
        <f t="shared" si="18"/>
        <v>14.224</v>
      </c>
      <c r="T1157" s="102">
        <f>IF(LS[[#This Row],[B/S]]="B",0,ABS(LS[[#This Row],[Unit]])*(LS[[#This Row],[NAV (Strike Rate)]]-INDEX(LS[NAV at Cost (Average)],MATCH(CONCATENATE(LS[[#This Row],[Frequency]]-1,LS[[#This Row],[Investor ID]]),LS[Unique Code],0),)))</f>
        <v>451.76999999999992</v>
      </c>
      <c r="U1157" s="102" cm="1">
        <f t="array" ref="U1157">IF(LS[[#This Row],[B/S]]="S",ABS(LS[[#This Row],[Unit]])*(INDEX(LS[NAV at Cost (Average)],MATCH(CONCATENATE((LS[[#This Row],[Frequency]]-1),LS[[#This Row],[Investor ID]]),LS[Unique Code],0),0)),0)</f>
        <v>3790.0499999999997</v>
      </c>
      <c r="V1157" s="102">
        <f>IF(LS[[#This Row],[BO TRANSFER]]="YES",LS[[#This Row],[Unit]],)</f>
        <v>0</v>
      </c>
      <c r="W1157" s="102">
        <f>SUMIFS(LS[[#Headers],[BO UNIT TRANSFER]]:LS[[#This Row],[BO UNIT TRANSFER]],LS[[#Headers],[Investor ID]]:LS[[#This Row],[Investor ID]],LS[[#This Row],[Investor ID]])</f>
        <v>0</v>
      </c>
    </row>
    <row r="1158" spans="1:23">
      <c r="A1158" s="101">
        <v>2025</v>
      </c>
      <c r="B1158" s="101">
        <v>8</v>
      </c>
      <c r="C1158" s="101">
        <v>6</v>
      </c>
      <c r="D1158" s="98">
        <f>DATE(LS[[#This Row],[Year]],LS[[#This Row],[Month]],LS[[#This Row],[Day]])</f>
        <v>45875</v>
      </c>
      <c r="E1158" s="99" t="str" cm="1">
        <f t="array" ref="E1158">INDEX(INVESTORS_LIST[INVESTOR NAME],MATCH(LS[[#This Row],[Investor ID]],INVESTORS_LIST[INVESTOR CODE],0),)</f>
        <v>ABU BAKAR BIN JAHID</v>
      </c>
      <c r="F1158" s="100" t="s">
        <v>1264</v>
      </c>
      <c r="G1158" s="101">
        <f>COUNTIF(LS[[#Headers],[Investor ID]]:LS[[#This Row],[Investor ID]],LS[[#This Row],[Investor ID]])</f>
        <v>2</v>
      </c>
      <c r="H1158" s="101" t="str">
        <f>CONCATENATE(LS[[#This Row],[Frequency]],LS[[#This Row],[Investor ID]])</f>
        <v>2A00580</v>
      </c>
      <c r="I1158" s="75" t="str">
        <f>IF(LS[[#This Row],[B/S]]="B","BUY",(IF(LS[[#This Row],[B/S]]="S","SELL"," ")))</f>
        <v>SELL</v>
      </c>
      <c r="J1158" s="101" t="s">
        <v>1231</v>
      </c>
      <c r="K1158" s="102">
        <v>-345129.9</v>
      </c>
      <c r="L1158" s="99"/>
      <c r="M1158" s="103">
        <f>LS[[#This Row],[Amount]]/LS[[#This Row],[Unit]]</f>
        <v>12.854000000000001</v>
      </c>
      <c r="N1158" s="104">
        <f>LS[[#This Row],[Unit Capital]]/10</f>
        <v>-26850</v>
      </c>
      <c r="O1158" s="104">
        <f>SUMIFS(LS[[#Headers],[Unit]]:LS[[#This Row],[Unit]],LS[[#Headers],[Investor ID]]:LS[[#This Row],[Investor ID]],LS[[#This Row],[Investor ID]])</f>
        <v>0</v>
      </c>
      <c r="P1158" s="102">
        <v>-268500</v>
      </c>
      <c r="Q1158" s="102">
        <f>LS[[#This Row],[Amount]]-LS[[#This Row],[Unit Capital]]</f>
        <v>-76629.900000000023</v>
      </c>
      <c r="R11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58" s="103">
        <f t="shared" si="18"/>
        <v>14.224</v>
      </c>
      <c r="T1158" s="102">
        <f>IF(LS[[#This Row],[B/S]]="B",0,ABS(LS[[#This Row],[Unit]])*(LS[[#This Row],[NAV (Strike Rate)]]-INDEX(LS[NAV at Cost (Average)],MATCH(CONCATENATE(LS[[#This Row],[Frequency]]-1,LS[[#This Row],[Investor ID]]),LS[Unique Code],0),)))</f>
        <v>45129.900000000031</v>
      </c>
      <c r="U1158" s="102" cm="1">
        <f t="array" ref="U1158">IF(LS[[#This Row],[B/S]]="S",ABS(LS[[#This Row],[Unit]])*(INDEX(LS[NAV at Cost (Average)],MATCH(CONCATENATE((LS[[#This Row],[Frequency]]-1),LS[[#This Row],[Investor ID]]),LS[Unique Code],0),0)),0)</f>
        <v>300000</v>
      </c>
      <c r="V1158" s="102">
        <f>IF(LS[[#This Row],[BO TRANSFER]]="YES",LS[[#This Row],[Unit]],)</f>
        <v>0</v>
      </c>
      <c r="W1158" s="102">
        <f>SUMIFS(LS[[#Headers],[BO UNIT TRANSFER]]:LS[[#This Row],[BO UNIT TRANSFER]],LS[[#Headers],[Investor ID]]:LS[[#This Row],[Investor ID]],LS[[#This Row],[Investor ID]])</f>
        <v>0</v>
      </c>
    </row>
    <row r="1159" spans="1:23">
      <c r="A1159" s="101">
        <v>2025</v>
      </c>
      <c r="B1159" s="101">
        <v>8</v>
      </c>
      <c r="C1159" s="101">
        <v>6</v>
      </c>
      <c r="D1159" s="98">
        <f>DATE(LS[[#This Row],[Year]],LS[[#This Row],[Month]],LS[[#This Row],[Day]])</f>
        <v>45875</v>
      </c>
      <c r="E1159" s="99" t="str" cm="1">
        <f t="array" ref="E1159">INDEX(INVESTORS_LIST[INVESTOR NAME],MATCH(LS[[#This Row],[Investor ID]],INVESTORS_LIST[INVESTOR CODE],0),)</f>
        <v>SHUVA SAHA</v>
      </c>
      <c r="F1159" s="100" t="s">
        <v>154</v>
      </c>
      <c r="G1159" s="101">
        <f>COUNTIF(LS[[#Headers],[Investor ID]]:LS[[#This Row],[Investor ID]],LS[[#This Row],[Investor ID]])</f>
        <v>16</v>
      </c>
      <c r="H1159" s="101" t="str">
        <f>CONCATENATE(LS[[#This Row],[Frequency]],LS[[#This Row],[Investor ID]])</f>
        <v>16A00053</v>
      </c>
      <c r="I1159" s="75" t="str">
        <f>IF(LS[[#This Row],[B/S]]="B","BUY",(IF(LS[[#This Row],[B/S]]="S","SELL"," ")))</f>
        <v>SELL</v>
      </c>
      <c r="J1159" s="101" t="s">
        <v>1231</v>
      </c>
      <c r="K1159" s="102">
        <v>-150000</v>
      </c>
      <c r="L1159" s="99"/>
      <c r="M1159" s="103">
        <f>LS[[#This Row],[Amount]]/LS[[#This Row],[Unit]]</f>
        <v>12.853470437017995</v>
      </c>
      <c r="N1159" s="104">
        <f>LS[[#This Row],[Unit Capital]]/10</f>
        <v>-11670</v>
      </c>
      <c r="O1159" s="104">
        <f>SUMIFS(LS[[#Headers],[Unit]]:LS[[#This Row],[Unit]],LS[[#Headers],[Investor ID]]:LS[[#This Row],[Investor ID]],LS[[#This Row],[Investor ID]])</f>
        <v>20986</v>
      </c>
      <c r="P1159" s="102">
        <v>-116700</v>
      </c>
      <c r="Q1159" s="102">
        <f>LS[[#This Row],[Amount]]-LS[[#This Row],[Unit Capital]]</f>
        <v>-33300</v>
      </c>
      <c r="R11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12.298900409660357</v>
      </c>
      <c r="S1159" s="103">
        <f t="shared" si="18"/>
        <v>14.224</v>
      </c>
      <c r="T1159" s="102">
        <f>IF(LS[[#This Row],[B/S]]="B",0,ABS(LS[[#This Row],[Unit]])*(LS[[#This Row],[NAV (Strike Rate)]]-INDEX(LS[NAV at Cost (Average)],MATCH(CONCATENATE(LS[[#This Row],[Frequency]]-1,LS[[#This Row],[Investor ID]]),LS[Unique Code],0),)))</f>
        <v>6471.8322192636351</v>
      </c>
      <c r="U1159" s="102" cm="1">
        <f t="array" ref="U1159">IF(LS[[#This Row],[B/S]]="S",ABS(LS[[#This Row],[Unit]])*(INDEX(LS[NAV at Cost (Average)],MATCH(CONCATENATE((LS[[#This Row],[Frequency]]-1),LS[[#This Row],[Investor ID]]),LS[Unique Code],0),0)),0)</f>
        <v>143528.16778073637</v>
      </c>
      <c r="V1159" s="102">
        <f>IF(LS[[#This Row],[BO TRANSFER]]="YES",LS[[#This Row],[Unit]],)</f>
        <v>0</v>
      </c>
      <c r="W1159" s="102">
        <f>SUMIFS(LS[[#Headers],[BO UNIT TRANSFER]]:LS[[#This Row],[BO UNIT TRANSFER]],LS[[#Headers],[Investor ID]]:LS[[#This Row],[Investor ID]],LS[[#This Row],[Investor ID]])</f>
        <v>0</v>
      </c>
    </row>
    <row r="1160" spans="1:23">
      <c r="A1160" s="101">
        <v>2025</v>
      </c>
      <c r="B1160" s="101">
        <v>8</v>
      </c>
      <c r="C1160" s="101">
        <v>7</v>
      </c>
      <c r="D1160" s="98">
        <f>DATE(LS[[#This Row],[Year]],LS[[#This Row],[Month]],LS[[#This Row],[Day]])</f>
        <v>45876</v>
      </c>
      <c r="E1160" s="99" t="str" cm="1">
        <f t="array" ref="E1160">INDEX(INVESTORS_LIST[INVESTOR NAME],MATCH(LS[[#This Row],[Investor ID]],INVESTORS_LIST[INVESTOR CODE],0),)</f>
        <v>MD. MUSTAFA KAMAL</v>
      </c>
      <c r="F1160" s="100" t="s">
        <v>1300</v>
      </c>
      <c r="G1160" s="101">
        <f>COUNTIF(LS[[#Headers],[Investor ID]]:LS[[#This Row],[Investor ID]],LS[[#This Row],[Investor ID]])</f>
        <v>12</v>
      </c>
      <c r="H1160" s="101" t="str">
        <f>CONCATENATE(LS[[#This Row],[Frequency]],LS[[#This Row],[Investor ID]])</f>
        <v>12A00597</v>
      </c>
      <c r="I1160" s="75" t="str">
        <f>IF(LS[[#This Row],[B/S]]="B","BUY",(IF(LS[[#This Row],[B/S]]="S","SELL"," ")))</f>
        <v>BUY</v>
      </c>
      <c r="J1160" s="101" t="s">
        <v>1229</v>
      </c>
      <c r="K1160" s="102">
        <v>300000</v>
      </c>
      <c r="L1160" s="99"/>
      <c r="M1160" s="103">
        <f>LS[[#This Row],[Amount]]/LS[[#This Row],[Unit]]</f>
        <v>12.854021166288188</v>
      </c>
      <c r="N1160" s="104">
        <f>LS[[#This Row],[Unit Capital]]/10</f>
        <v>23339</v>
      </c>
      <c r="O1160" s="104">
        <f>SUMIFS(LS[[#Headers],[Unit]]:LS[[#This Row],[Unit]],LS[[#Headers],[Investor ID]]:LS[[#This Row],[Investor ID]],LS[[#This Row],[Investor ID]])</f>
        <v>63403</v>
      </c>
      <c r="P1160" s="102">
        <v>233390</v>
      </c>
      <c r="Q1160" s="102">
        <f>LS[[#This Row],[Amount]]-LS[[#This Row],[Unit Capital]]</f>
        <v>66610</v>
      </c>
      <c r="R11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12.732190893119167</v>
      </c>
      <c r="S1160" s="103">
        <f t="shared" si="18"/>
        <v>14.224</v>
      </c>
      <c r="T11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0" s="102" cm="1">
        <f t="array" ref="U1160">IF(LS[[#This Row],[B/S]]="S",ABS(LS[[#This Row],[Unit]])*(INDEX(LS[NAV at Cost (Average)],MATCH(CONCATENATE((LS[[#This Row],[Frequency]]-1),LS[[#This Row],[Investor ID]]),LS[Unique Code],0),0)),0)</f>
        <v>0</v>
      </c>
      <c r="V1160" s="102">
        <f>IF(LS[[#This Row],[BO TRANSFER]]="YES",LS[[#This Row],[Unit]],)</f>
        <v>0</v>
      </c>
      <c r="W1160" s="102">
        <f>SUMIFS(LS[[#Headers],[BO UNIT TRANSFER]]:LS[[#This Row],[BO UNIT TRANSFER]],LS[[#Headers],[Investor ID]]:LS[[#This Row],[Investor ID]],LS[[#This Row],[Investor ID]])</f>
        <v>0</v>
      </c>
    </row>
    <row r="1161" spans="1:23">
      <c r="A1161" s="101">
        <v>2025</v>
      </c>
      <c r="B1161" s="101">
        <v>8</v>
      </c>
      <c r="C1161" s="101">
        <v>7</v>
      </c>
      <c r="D1161" s="98">
        <f>DATE(LS[[#This Row],[Year]],LS[[#This Row],[Month]],LS[[#This Row],[Day]])</f>
        <v>45876</v>
      </c>
      <c r="E1161" s="99" t="str" cm="1">
        <f t="array" ref="E1161">INDEX(INVESTORS_LIST[INVESTOR NAME],MATCH(LS[[#This Row],[Investor ID]],INVESTORS_LIST[INVESTOR CODE],0),)</f>
        <v>MD. MUSTAFA KAMAL</v>
      </c>
      <c r="F1161" s="100" t="s">
        <v>1300</v>
      </c>
      <c r="G1161" s="101">
        <f>COUNTIF(LS[[#Headers],[Investor ID]]:LS[[#This Row],[Investor ID]],LS[[#This Row],[Investor ID]])</f>
        <v>13</v>
      </c>
      <c r="H1161" s="101" t="str">
        <f>CONCATENATE(LS[[#This Row],[Frequency]],LS[[#This Row],[Investor ID]])</f>
        <v>13A00597</v>
      </c>
      <c r="I1161" s="75" t="str">
        <f>IF(LS[[#This Row],[B/S]]="B","BUY",(IF(LS[[#This Row],[B/S]]="S","SELL"," ")))</f>
        <v>BUY</v>
      </c>
      <c r="J1161" s="101" t="s">
        <v>1229</v>
      </c>
      <c r="K1161" s="102">
        <v>300000</v>
      </c>
      <c r="L1161" s="99"/>
      <c r="M1161" s="103">
        <f>LS[[#This Row],[Amount]]/LS[[#This Row],[Unit]]</f>
        <v>12.854021166288188</v>
      </c>
      <c r="N1161" s="104">
        <f>LS[[#This Row],[Unit Capital]]/10</f>
        <v>23339</v>
      </c>
      <c r="O1161" s="104">
        <f>SUMIFS(LS[[#Headers],[Unit]]:LS[[#This Row],[Unit]],LS[[#Headers],[Investor ID]]:LS[[#This Row],[Investor ID]],LS[[#This Row],[Investor ID]])</f>
        <v>86742</v>
      </c>
      <c r="P1161" s="102">
        <v>233390</v>
      </c>
      <c r="Q1161" s="102">
        <f>LS[[#This Row],[Amount]]-LS[[#This Row],[Unit Capital]]</f>
        <v>66610</v>
      </c>
      <c r="R11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12.764970823781265</v>
      </c>
      <c r="S1161" s="103">
        <f t="shared" si="18"/>
        <v>14.224</v>
      </c>
      <c r="T116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1" s="102" cm="1">
        <f t="array" ref="U1161">IF(LS[[#This Row],[B/S]]="S",ABS(LS[[#This Row],[Unit]])*(INDEX(LS[NAV at Cost (Average)],MATCH(CONCATENATE((LS[[#This Row],[Frequency]]-1),LS[[#This Row],[Investor ID]]),LS[Unique Code],0),0)),0)</f>
        <v>0</v>
      </c>
      <c r="V1161" s="102">
        <f>IF(LS[[#This Row],[BO TRANSFER]]="YES",LS[[#This Row],[Unit]],)</f>
        <v>0</v>
      </c>
      <c r="W1161" s="102">
        <f>SUMIFS(LS[[#Headers],[BO UNIT TRANSFER]]:LS[[#This Row],[BO UNIT TRANSFER]],LS[[#Headers],[Investor ID]]:LS[[#This Row],[Investor ID]],LS[[#This Row],[Investor ID]])</f>
        <v>0</v>
      </c>
    </row>
    <row r="1162" spans="1:23">
      <c r="A1162" s="101">
        <v>2025</v>
      </c>
      <c r="B1162" s="101">
        <v>8</v>
      </c>
      <c r="C1162" s="101">
        <v>7</v>
      </c>
      <c r="D1162" s="98">
        <f>DATE(LS[[#This Row],[Year]],LS[[#This Row],[Month]],LS[[#This Row],[Day]])</f>
        <v>45876</v>
      </c>
      <c r="E1162" s="99" t="str" cm="1">
        <f t="array" ref="E1162">INDEX(INVESTORS_LIST[INVESTOR NAME],MATCH(LS[[#This Row],[Investor ID]],INVESTORS_LIST[INVESTOR CODE],0),)</f>
        <v>MD. MUSTAFA KAMAL</v>
      </c>
      <c r="F1162" s="100" t="s">
        <v>1300</v>
      </c>
      <c r="G1162" s="101">
        <f>COUNTIF(LS[[#Headers],[Investor ID]]:LS[[#This Row],[Investor ID]],LS[[#This Row],[Investor ID]])</f>
        <v>14</v>
      </c>
      <c r="H1162" s="101" t="str">
        <f>CONCATENATE(LS[[#This Row],[Frequency]],LS[[#This Row],[Investor ID]])</f>
        <v>14A00597</v>
      </c>
      <c r="I1162" s="75" t="str">
        <f>IF(LS[[#This Row],[B/S]]="B","BUY",(IF(LS[[#This Row],[B/S]]="S","SELL"," ")))</f>
        <v>BUY</v>
      </c>
      <c r="J1162" s="101" t="s">
        <v>1229</v>
      </c>
      <c r="K1162" s="102">
        <v>50000</v>
      </c>
      <c r="L1162" s="99"/>
      <c r="M1162" s="103">
        <f>LS[[#This Row],[Amount]]/LS[[#This Row],[Unit]]</f>
        <v>12.853470437017995</v>
      </c>
      <c r="N1162" s="104">
        <f>LS[[#This Row],[Unit Capital]]/10</f>
        <v>3890</v>
      </c>
      <c r="O1162" s="104">
        <f>SUMIFS(LS[[#Headers],[Unit]]:LS[[#This Row],[Unit]],LS[[#Headers],[Investor ID]]:LS[[#This Row],[Investor ID]],LS[[#This Row],[Investor ID]])</f>
        <v>90632</v>
      </c>
      <c r="P1162" s="102">
        <v>38900</v>
      </c>
      <c r="Q1162" s="102">
        <f>LS[[#This Row],[Amount]]-LS[[#This Row],[Unit Capital]]</f>
        <v>11100</v>
      </c>
      <c r="R11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12.768769299987142</v>
      </c>
      <c r="S1162" s="103">
        <f t="shared" si="18"/>
        <v>14.224</v>
      </c>
      <c r="T11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2" s="102" cm="1">
        <f t="array" ref="U1162">IF(LS[[#This Row],[B/S]]="S",ABS(LS[[#This Row],[Unit]])*(INDEX(LS[NAV at Cost (Average)],MATCH(CONCATENATE((LS[[#This Row],[Frequency]]-1),LS[[#This Row],[Investor ID]]),LS[Unique Code],0),0)),0)</f>
        <v>0</v>
      </c>
      <c r="V1162" s="102">
        <f>IF(LS[[#This Row],[BO TRANSFER]]="YES",LS[[#This Row],[Unit]],)</f>
        <v>0</v>
      </c>
      <c r="W1162" s="102">
        <f>SUMIFS(LS[[#Headers],[BO UNIT TRANSFER]]:LS[[#This Row],[BO UNIT TRANSFER]],LS[[#Headers],[Investor ID]]:LS[[#This Row],[Investor ID]],LS[[#This Row],[Investor ID]])</f>
        <v>0</v>
      </c>
    </row>
    <row r="1163" spans="1:23">
      <c r="A1163" s="101">
        <v>2025</v>
      </c>
      <c r="B1163" s="101">
        <v>8</v>
      </c>
      <c r="C1163" s="101">
        <v>7</v>
      </c>
      <c r="D1163" s="98">
        <f>DATE(LS[[#This Row],[Year]],LS[[#This Row],[Month]],LS[[#This Row],[Day]])</f>
        <v>45876</v>
      </c>
      <c r="E1163" s="99" t="str" cm="1">
        <f t="array" ref="E1163">INDEX(INVESTORS_LIST[INVESTOR NAME],MATCH(LS[[#This Row],[Investor ID]],INVESTORS_LIST[INVESTOR CODE],0),)</f>
        <v>BEAUTY BEGUM LOTA</v>
      </c>
      <c r="F1163" s="100" t="s">
        <v>1081</v>
      </c>
      <c r="G1163" s="101">
        <f>COUNTIF(LS[[#Headers],[Investor ID]]:LS[[#This Row],[Investor ID]],LS[[#This Row],[Investor ID]])</f>
        <v>13</v>
      </c>
      <c r="H1163" s="101" t="str">
        <f>CONCATENATE(LS[[#This Row],[Frequency]],LS[[#This Row],[Investor ID]])</f>
        <v>13A00518</v>
      </c>
      <c r="I1163" s="75" t="str">
        <f>IF(LS[[#This Row],[B/S]]="B","BUY",(IF(LS[[#This Row],[B/S]]="S","SELL"," ")))</f>
        <v>BUY</v>
      </c>
      <c r="J1163" s="101" t="s">
        <v>1229</v>
      </c>
      <c r="K1163" s="102">
        <v>300000</v>
      </c>
      <c r="L1163" s="99"/>
      <c r="M1163" s="103">
        <f>LS[[#This Row],[Amount]]/LS[[#This Row],[Unit]]</f>
        <v>12.854021166288188</v>
      </c>
      <c r="N1163" s="104">
        <f>LS[[#This Row],[Unit Capital]]/10</f>
        <v>23339</v>
      </c>
      <c r="O1163" s="104">
        <f>SUMIFS(LS[[#Headers],[Unit]]:LS[[#This Row],[Unit]],LS[[#Headers],[Investor ID]]:LS[[#This Row],[Investor ID]],LS[[#This Row],[Investor ID]])</f>
        <v>23339</v>
      </c>
      <c r="P1163" s="102">
        <v>233390</v>
      </c>
      <c r="Q1163" s="102">
        <f>LS[[#This Row],[Amount]]-LS[[#This Row],[Unit Capital]]</f>
        <v>66610</v>
      </c>
      <c r="R11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163" s="103">
        <f t="shared" si="18"/>
        <v>14.224</v>
      </c>
      <c r="T11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3" s="102" cm="1">
        <f t="array" ref="U1163">IF(LS[[#This Row],[B/S]]="S",ABS(LS[[#This Row],[Unit]])*(INDEX(LS[NAV at Cost (Average)],MATCH(CONCATENATE((LS[[#This Row],[Frequency]]-1),LS[[#This Row],[Investor ID]]),LS[Unique Code],0),0)),0)</f>
        <v>0</v>
      </c>
      <c r="V1163" s="102">
        <f>IF(LS[[#This Row],[BO TRANSFER]]="YES",LS[[#This Row],[Unit]],)</f>
        <v>0</v>
      </c>
      <c r="W1163" s="102">
        <f>SUMIFS(LS[[#Headers],[BO UNIT TRANSFER]]:LS[[#This Row],[BO UNIT TRANSFER]],LS[[#Headers],[Investor ID]]:LS[[#This Row],[Investor ID]],LS[[#This Row],[Investor ID]])</f>
        <v>0</v>
      </c>
    </row>
    <row r="1164" spans="1:23">
      <c r="A1164" s="101">
        <v>2025</v>
      </c>
      <c r="B1164" s="101">
        <v>8</v>
      </c>
      <c r="C1164" s="101">
        <v>7</v>
      </c>
      <c r="D1164" s="98">
        <f>DATE(LS[[#This Row],[Year]],LS[[#This Row],[Month]],LS[[#This Row],[Day]])</f>
        <v>45876</v>
      </c>
      <c r="E1164" s="99" t="str" cm="1">
        <f t="array" ref="E1164">INDEX(INVESTORS_LIST[INVESTOR NAME],MATCH(LS[[#This Row],[Investor ID]],INVESTORS_LIST[INVESTOR CODE],0),)</f>
        <v>BEAUTY BEGUM LOTA</v>
      </c>
      <c r="F1164" s="100" t="s">
        <v>1081</v>
      </c>
      <c r="G1164" s="101">
        <f>COUNTIF(LS[[#Headers],[Investor ID]]:LS[[#This Row],[Investor ID]],LS[[#This Row],[Investor ID]])</f>
        <v>14</v>
      </c>
      <c r="H1164" s="101" t="str">
        <f>CONCATENATE(LS[[#This Row],[Frequency]],LS[[#This Row],[Investor ID]])</f>
        <v>14A00518</v>
      </c>
      <c r="I1164" s="75" t="str">
        <f>IF(LS[[#This Row],[B/S]]="B","BUY",(IF(LS[[#This Row],[B/S]]="S","SELL"," ")))</f>
        <v>BUY</v>
      </c>
      <c r="J1164" s="101" t="s">
        <v>1229</v>
      </c>
      <c r="K1164" s="102">
        <v>100000</v>
      </c>
      <c r="L1164" s="99"/>
      <c r="M1164" s="103">
        <f>LS[[#This Row],[Amount]]/LS[[#This Row],[Unit]]</f>
        <v>12.853470437017995</v>
      </c>
      <c r="N1164" s="104">
        <f>LS[[#This Row],[Unit Capital]]/10</f>
        <v>7780</v>
      </c>
      <c r="O1164" s="104">
        <f>SUMIFS(LS[[#Headers],[Unit]]:LS[[#This Row],[Unit]],LS[[#Headers],[Investor ID]]:LS[[#This Row],[Investor ID]],LS[[#This Row],[Investor ID]])</f>
        <v>31119</v>
      </c>
      <c r="P1164" s="102">
        <v>77800</v>
      </c>
      <c r="Q1164" s="102">
        <f>LS[[#This Row],[Amount]]-LS[[#This Row],[Unit Capital]]</f>
        <v>22200</v>
      </c>
      <c r="R11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12.853883479546258</v>
      </c>
      <c r="S1164" s="103">
        <f t="shared" si="18"/>
        <v>14.224</v>
      </c>
      <c r="T11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4" s="102" cm="1">
        <f t="array" ref="U1164">IF(LS[[#This Row],[B/S]]="S",ABS(LS[[#This Row],[Unit]])*(INDEX(LS[NAV at Cost (Average)],MATCH(CONCATENATE((LS[[#This Row],[Frequency]]-1),LS[[#This Row],[Investor ID]]),LS[Unique Code],0),0)),0)</f>
        <v>0</v>
      </c>
      <c r="V1164" s="102">
        <f>IF(LS[[#This Row],[BO TRANSFER]]="YES",LS[[#This Row],[Unit]],)</f>
        <v>0</v>
      </c>
      <c r="W1164" s="102">
        <f>SUMIFS(LS[[#Headers],[BO UNIT TRANSFER]]:LS[[#This Row],[BO UNIT TRANSFER]],LS[[#Headers],[Investor ID]]:LS[[#This Row],[Investor ID]],LS[[#This Row],[Investor ID]])</f>
        <v>0</v>
      </c>
    </row>
    <row r="1165" spans="1:23">
      <c r="A1165" s="101">
        <v>2025</v>
      </c>
      <c r="B1165" s="101">
        <v>8</v>
      </c>
      <c r="C1165" s="101">
        <v>7</v>
      </c>
      <c r="D1165" s="98">
        <f>DATE(LS[[#This Row],[Year]],LS[[#This Row],[Month]],LS[[#This Row],[Day]])</f>
        <v>45876</v>
      </c>
      <c r="E1165" s="99" t="str" cm="1">
        <f t="array" ref="E1165">INDEX(INVESTORS_LIST[INVESTOR NAME],MATCH(LS[[#This Row],[Investor ID]],INVESTORS_LIST[INVESTOR CODE],0),)</f>
        <v>NASREEN BEGUM</v>
      </c>
      <c r="F1165" s="97" t="s">
        <v>1417</v>
      </c>
      <c r="G1165" s="101">
        <f>COUNTIF(LS[[#Headers],[Investor ID]]:LS[[#This Row],[Investor ID]],LS[[#This Row],[Investor ID]])</f>
        <v>1</v>
      </c>
      <c r="H1165" s="101" t="str">
        <f>CONCATENATE(LS[[#This Row],[Frequency]],LS[[#This Row],[Investor ID]])</f>
        <v>1A00652</v>
      </c>
      <c r="I1165" s="75" t="str">
        <f>IF(LS[[#This Row],[B/S]]="B","BUY",(IF(LS[[#This Row],[B/S]]="S","SELL"," ")))</f>
        <v>BUY</v>
      </c>
      <c r="J1165" s="101" t="s">
        <v>1229</v>
      </c>
      <c r="K1165" s="102">
        <v>1500000</v>
      </c>
      <c r="L1165" s="99"/>
      <c r="M1165" s="103">
        <f>LS[[#This Row],[Amount]]/LS[[#This Row],[Unit]]</f>
        <v>12.854021166288188</v>
      </c>
      <c r="N1165" s="104">
        <f>LS[[#This Row],[Unit Capital]]/10</f>
        <v>116695</v>
      </c>
      <c r="O1165" s="104">
        <f>SUMIFS(LS[[#Headers],[Unit]]:LS[[#This Row],[Unit]],LS[[#Headers],[Investor ID]]:LS[[#This Row],[Investor ID]],LS[[#This Row],[Investor ID]])</f>
        <v>116695</v>
      </c>
      <c r="P1165" s="102">
        <v>1166950</v>
      </c>
      <c r="Q1165" s="102">
        <f>LS[[#This Row],[Amount]]-LS[[#This Row],[Unit Capital]]</f>
        <v>333050</v>
      </c>
      <c r="R11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165" s="103">
        <f t="shared" si="18"/>
        <v>14.224</v>
      </c>
      <c r="T116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5" s="102" cm="1">
        <f t="array" ref="U1165">IF(LS[[#This Row],[B/S]]="S",ABS(LS[[#This Row],[Unit]])*(INDEX(LS[NAV at Cost (Average)],MATCH(CONCATENATE((LS[[#This Row],[Frequency]]-1),LS[[#This Row],[Investor ID]]),LS[Unique Code],0),0)),0)</f>
        <v>0</v>
      </c>
      <c r="V1165" s="102">
        <f>IF(LS[[#This Row],[BO TRANSFER]]="YES",LS[[#This Row],[Unit]],)</f>
        <v>0</v>
      </c>
      <c r="W1165" s="102">
        <f>SUMIFS(LS[[#Headers],[BO UNIT TRANSFER]]:LS[[#This Row],[BO UNIT TRANSFER]],LS[[#Headers],[Investor ID]]:LS[[#This Row],[Investor ID]],LS[[#This Row],[Investor ID]])</f>
        <v>0</v>
      </c>
    </row>
    <row r="1166" spans="1:23">
      <c r="A1166" s="101">
        <v>2025</v>
      </c>
      <c r="B1166" s="101">
        <v>8</v>
      </c>
      <c r="C1166" s="101">
        <v>7</v>
      </c>
      <c r="D1166" s="98">
        <f>DATE(LS[[#This Row],[Year]],LS[[#This Row],[Month]],LS[[#This Row],[Day]])</f>
        <v>45876</v>
      </c>
      <c r="E1166" s="99" t="str" cm="1">
        <f t="array" ref="E1166">INDEX(INVESTORS_LIST[INVESTOR NAME],MATCH(LS[[#This Row],[Investor ID]],INVESTORS_LIST[INVESTOR CODE],0),)</f>
        <v>FAISAL RAHMAN</v>
      </c>
      <c r="F1166" s="100" t="s">
        <v>1388</v>
      </c>
      <c r="G1166" s="101">
        <f>COUNTIF(LS[[#Headers],[Investor ID]]:LS[[#This Row],[Investor ID]],LS[[#This Row],[Investor ID]])</f>
        <v>2</v>
      </c>
      <c r="H1166" s="101" t="str">
        <f>CONCATENATE(LS[[#This Row],[Frequency]],LS[[#This Row],[Investor ID]])</f>
        <v>2A00639</v>
      </c>
      <c r="I1166" s="75" t="str">
        <f>IF(LS[[#This Row],[B/S]]="B","BUY",(IF(LS[[#This Row],[B/S]]="S","SELL"," ")))</f>
        <v>SELL</v>
      </c>
      <c r="J1166" s="101" t="s">
        <v>1231</v>
      </c>
      <c r="K1166" s="102">
        <v>-81854.27</v>
      </c>
      <c r="L1166" s="99"/>
      <c r="M1166" s="103">
        <f>LS[[#This Row],[Amount]]/LS[[#This Row],[Unit]]</f>
        <v>12.853999685929649</v>
      </c>
      <c r="N1166" s="104">
        <f>LS[[#This Row],[Unit Capital]]/10</f>
        <v>-6368</v>
      </c>
      <c r="O1166" s="104">
        <f>SUMIFS(LS[[#Headers],[Unit]]:LS[[#This Row],[Unit]],LS[[#Headers],[Investor ID]]:LS[[#This Row],[Investor ID]],LS[[#This Row],[Investor ID]])</f>
        <v>0</v>
      </c>
      <c r="P1166" s="102">
        <v>-63680</v>
      </c>
      <c r="Q1166" s="102">
        <f>LS[[#This Row],[Amount]]-LS[[#This Row],[Unit Capital]]</f>
        <v>-18174.270000000004</v>
      </c>
      <c r="R11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66" s="103">
        <f t="shared" si="18"/>
        <v>14.224</v>
      </c>
      <c r="T1166" s="102">
        <f>IF(LS[[#This Row],[B/S]]="B",0,ABS(LS[[#This Row],[Unit]])*(LS[[#This Row],[NAV (Strike Rate)]]-INDEX(LS[NAV at Cost (Average)],MATCH(CONCATENATE(LS[[#This Row],[Frequency]]-1,LS[[#This Row],[Investor ID]]),LS[Unique Code],0),)))</f>
        <v>1854.2700000000009</v>
      </c>
      <c r="U1166" s="102" cm="1">
        <f t="array" ref="U1166">IF(LS[[#This Row],[B/S]]="S",ABS(LS[[#This Row],[Unit]])*(INDEX(LS[NAV at Cost (Average)],MATCH(CONCATENATE((LS[[#This Row],[Frequency]]-1),LS[[#This Row],[Investor ID]]),LS[Unique Code],0),0)),0)</f>
        <v>80000</v>
      </c>
      <c r="V1166" s="102">
        <f>IF(LS[[#This Row],[BO TRANSFER]]="YES",LS[[#This Row],[Unit]],)</f>
        <v>0</v>
      </c>
      <c r="W1166" s="102">
        <f>SUMIFS(LS[[#Headers],[BO UNIT TRANSFER]]:LS[[#This Row],[BO UNIT TRANSFER]],LS[[#Headers],[Investor ID]]:LS[[#This Row],[Investor ID]],LS[[#This Row],[Investor ID]])</f>
        <v>0</v>
      </c>
    </row>
    <row r="1167" spans="1:23">
      <c r="A1167" s="101">
        <v>2025</v>
      </c>
      <c r="B1167" s="101">
        <v>8</v>
      </c>
      <c r="C1167" s="101">
        <v>7</v>
      </c>
      <c r="D1167" s="98">
        <f>DATE(LS[[#This Row],[Year]],LS[[#This Row],[Month]],LS[[#This Row],[Day]])</f>
        <v>45876</v>
      </c>
      <c r="E1167" s="99" t="str" cm="1">
        <f t="array" ref="E1167">INDEX(INVESTORS_LIST[INVESTOR NAME],MATCH(LS[[#This Row],[Investor ID]],INVESTORS_LIST[INVESTOR CODE],0),)</f>
        <v>ARZUN KUMAR SARKAR</v>
      </c>
      <c r="F1167" s="100" t="s">
        <v>310</v>
      </c>
      <c r="G1167" s="101">
        <f>COUNTIF(LS[[#Headers],[Investor ID]]:LS[[#This Row],[Investor ID]],LS[[#This Row],[Investor ID]])</f>
        <v>4</v>
      </c>
      <c r="H1167" s="101" t="str">
        <f>CONCATENATE(LS[[#This Row],[Frequency]],LS[[#This Row],[Investor ID]])</f>
        <v>4A00131</v>
      </c>
      <c r="I1167" s="75" t="str">
        <f>IF(LS[[#This Row],[B/S]]="B","BUY",(IF(LS[[#This Row],[B/S]]="S","SELL"," ")))</f>
        <v>BUY</v>
      </c>
      <c r="J1167" s="101" t="s">
        <v>1229</v>
      </c>
      <c r="K1167" s="102">
        <v>200000</v>
      </c>
      <c r="L1167" s="99"/>
      <c r="M1167" s="103">
        <f>LS[[#This Row],[Amount]]/LS[[#This Row],[Unit]]</f>
        <v>12.854296548621377</v>
      </c>
      <c r="N1167" s="104">
        <f>LS[[#This Row],[Unit Capital]]/10</f>
        <v>15559</v>
      </c>
      <c r="O1167" s="104">
        <f>SUMIFS(LS[[#Headers],[Unit]]:LS[[#This Row],[Unit]],LS[[#Headers],[Investor ID]]:LS[[#This Row],[Investor ID]],LS[[#This Row],[Investor ID]])</f>
        <v>34705</v>
      </c>
      <c r="P1167" s="102">
        <v>155590</v>
      </c>
      <c r="Q1167" s="102">
        <f>LS[[#This Row],[Amount]]-LS[[#This Row],[Unit Capital]]</f>
        <v>44410</v>
      </c>
      <c r="R11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11.562064017432874</v>
      </c>
      <c r="S1167" s="103">
        <f t="shared" si="18"/>
        <v>14.224</v>
      </c>
      <c r="T11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7" s="102" cm="1">
        <f t="array" ref="U1167">IF(LS[[#This Row],[B/S]]="S",ABS(LS[[#This Row],[Unit]])*(INDEX(LS[NAV at Cost (Average)],MATCH(CONCATENATE((LS[[#This Row],[Frequency]]-1),LS[[#This Row],[Investor ID]]),LS[Unique Code],0),0)),0)</f>
        <v>0</v>
      </c>
      <c r="V1167" s="102">
        <f>IF(LS[[#This Row],[BO TRANSFER]]="YES",LS[[#This Row],[Unit]],)</f>
        <v>0</v>
      </c>
      <c r="W1167" s="102">
        <f>SUMIFS(LS[[#Headers],[BO UNIT TRANSFER]]:LS[[#This Row],[BO UNIT TRANSFER]],LS[[#Headers],[Investor ID]]:LS[[#This Row],[Investor ID]],LS[[#This Row],[Investor ID]])</f>
        <v>0</v>
      </c>
    </row>
    <row r="1168" spans="1:23">
      <c r="A1168" s="101">
        <v>2025</v>
      </c>
      <c r="B1168" s="101">
        <v>8</v>
      </c>
      <c r="C1168" s="101">
        <v>7</v>
      </c>
      <c r="D1168" s="98">
        <f>DATE(LS[[#This Row],[Year]],LS[[#This Row],[Month]],LS[[#This Row],[Day]])</f>
        <v>45876</v>
      </c>
      <c r="E1168" s="99" t="str" cm="1">
        <f t="array" ref="E1168">INDEX(INVESTORS_LIST[INVESTOR NAME],MATCH(LS[[#This Row],[Investor ID]],INVESTORS_LIST[INVESTOR CODE],0),)</f>
        <v>AROOBA SAMEERA CHOWDHURY</v>
      </c>
      <c r="F1168" s="100" t="s">
        <v>1418</v>
      </c>
      <c r="G1168" s="101">
        <f>COUNTIF(LS[[#Headers],[Investor ID]]:LS[[#This Row],[Investor ID]],LS[[#This Row],[Investor ID]])</f>
        <v>1</v>
      </c>
      <c r="H1168" s="101" t="str">
        <f>CONCATENATE(LS[[#This Row],[Frequency]],LS[[#This Row],[Investor ID]])</f>
        <v>1A00653</v>
      </c>
      <c r="I1168" s="75" t="str">
        <f>IF(LS[[#This Row],[B/S]]="B","BUY",(IF(LS[[#This Row],[B/S]]="S","SELL"," ")))</f>
        <v>BUY</v>
      </c>
      <c r="J1168" s="101" t="s">
        <v>1229</v>
      </c>
      <c r="K1168" s="102">
        <v>1000000</v>
      </c>
      <c r="L1168" s="99"/>
      <c r="M1168" s="103">
        <f>LS[[#This Row],[Amount]]/LS[[#This Row],[Unit]]</f>
        <v>12.853966091237451</v>
      </c>
      <c r="N1168" s="104">
        <f>LS[[#This Row],[Unit Capital]]/10</f>
        <v>77797</v>
      </c>
      <c r="O1168" s="104">
        <f>SUMIFS(LS[[#Headers],[Unit]]:LS[[#This Row],[Unit]],LS[[#Headers],[Investor ID]]:LS[[#This Row],[Investor ID]],LS[[#This Row],[Investor ID]])</f>
        <v>77797</v>
      </c>
      <c r="P1168" s="102">
        <v>777970</v>
      </c>
      <c r="Q1168" s="102">
        <f>LS[[#This Row],[Amount]]-LS[[#This Row],[Unit Capital]]</f>
        <v>222030</v>
      </c>
      <c r="R11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168" s="103">
        <f t="shared" si="18"/>
        <v>14.224</v>
      </c>
      <c r="T116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8" s="102" cm="1">
        <f t="array" ref="U1168">IF(LS[[#This Row],[B/S]]="S",ABS(LS[[#This Row],[Unit]])*(INDEX(LS[NAV at Cost (Average)],MATCH(CONCATENATE((LS[[#This Row],[Frequency]]-1),LS[[#This Row],[Investor ID]]),LS[Unique Code],0),0)),0)</f>
        <v>0</v>
      </c>
      <c r="V1168" s="102">
        <f>IF(LS[[#This Row],[BO TRANSFER]]="YES",LS[[#This Row],[Unit]],)</f>
        <v>0</v>
      </c>
      <c r="W1168" s="102">
        <f>SUMIFS(LS[[#Headers],[BO UNIT TRANSFER]]:LS[[#This Row],[BO UNIT TRANSFER]],LS[[#Headers],[Investor ID]]:LS[[#This Row],[Investor ID]],LS[[#This Row],[Investor ID]])</f>
        <v>0</v>
      </c>
    </row>
    <row r="1169" spans="1:23">
      <c r="A1169" s="101">
        <v>2025</v>
      </c>
      <c r="B1169" s="101">
        <v>8</v>
      </c>
      <c r="C1169" s="101">
        <v>9</v>
      </c>
      <c r="D1169" s="98">
        <f>DATE(LS[[#This Row],[Year]],LS[[#This Row],[Month]],LS[[#This Row],[Day]])</f>
        <v>45878</v>
      </c>
      <c r="E1169" s="99" t="str" cm="1">
        <f t="array" ref="E1169">INDEX(INVESTORS_LIST[INVESTOR NAME],MATCH(LS[[#This Row],[Investor ID]],INVESTORS_LIST[INVESTOR CODE],0),)</f>
        <v>PUJA GHOSH</v>
      </c>
      <c r="F1169" s="206" t="s">
        <v>1397</v>
      </c>
      <c r="G1169" s="101">
        <f>COUNTIF(LS[[#Headers],[Investor ID]]:LS[[#This Row],[Investor ID]],LS[[#This Row],[Investor ID]])</f>
        <v>2</v>
      </c>
      <c r="H1169" s="101" t="str">
        <f>CONCATENATE(LS[[#This Row],[Frequency]],LS[[#This Row],[Investor ID]])</f>
        <v>2A00642</v>
      </c>
      <c r="I1169" s="75" t="str">
        <f>IF(LS[[#This Row],[B/S]]="B","BUY",(IF(LS[[#This Row],[B/S]]="S","SELL"," ")))</f>
        <v>BUY</v>
      </c>
      <c r="J1169" s="101" t="s">
        <v>1229</v>
      </c>
      <c r="K1169" s="102">
        <v>60000</v>
      </c>
      <c r="L1169" s="99"/>
      <c r="M1169" s="103">
        <f>LS[[#This Row],[Amount]]/LS[[#This Row],[Unit]]</f>
        <v>12.917115177610334</v>
      </c>
      <c r="N1169" s="104">
        <f>LS[[#This Row],[Unit Capital]]/10</f>
        <v>4645</v>
      </c>
      <c r="O1169" s="104">
        <f>SUMIFS(LS[[#Headers],[Unit]]:LS[[#This Row],[Unit]],LS[[#Headers],[Investor ID]]:LS[[#This Row],[Investor ID]],LS[[#This Row],[Investor ID]])</f>
        <v>6407</v>
      </c>
      <c r="P1169" s="102">
        <v>46450</v>
      </c>
      <c r="Q1169" s="102">
        <f>LS[[#This Row],[Amount]]-LS[[#This Row],[Unit Capital]]</f>
        <v>13550</v>
      </c>
      <c r="R11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12.819728422038397</v>
      </c>
      <c r="S1169" s="103">
        <f t="shared" si="18"/>
        <v>14.224</v>
      </c>
      <c r="T116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69" s="102" cm="1">
        <f t="array" ref="U1169">IF(LS[[#This Row],[B/S]]="S",ABS(LS[[#This Row],[Unit]])*(INDEX(LS[NAV at Cost (Average)],MATCH(CONCATENATE((LS[[#This Row],[Frequency]]-1),LS[[#This Row],[Investor ID]]),LS[Unique Code],0),0)),0)</f>
        <v>0</v>
      </c>
      <c r="V1169" s="102">
        <f>IF(LS[[#This Row],[BO TRANSFER]]="YES",LS[[#This Row],[Unit]],)</f>
        <v>0</v>
      </c>
      <c r="W1169" s="102">
        <f>SUMIFS(LS[[#Headers],[BO UNIT TRANSFER]]:LS[[#This Row],[BO UNIT TRANSFER]],LS[[#Headers],[Investor ID]]:LS[[#This Row],[Investor ID]],LS[[#This Row],[Investor ID]])</f>
        <v>0</v>
      </c>
    </row>
    <row r="1170" spans="1:23">
      <c r="A1170" s="101">
        <v>2025</v>
      </c>
      <c r="B1170" s="101">
        <v>8</v>
      </c>
      <c r="C1170" s="101">
        <v>10</v>
      </c>
      <c r="D1170" s="98">
        <f>DATE(LS[[#This Row],[Year]],LS[[#This Row],[Month]],LS[[#This Row],[Day]])</f>
        <v>45879</v>
      </c>
      <c r="E1170" s="99" t="str" cm="1">
        <f t="array" ref="E1170">INDEX(INVESTORS_LIST[INVESTOR NAME],MATCH(LS[[#This Row],[Investor ID]],INVESTORS_LIST[INVESTOR CODE],0),)</f>
        <v>KAZI AHSAN MARUF</v>
      </c>
      <c r="F1170" s="100" t="s">
        <v>158</v>
      </c>
      <c r="G1170" s="101">
        <f>COUNTIF(LS[[#Headers],[Investor ID]]:LS[[#This Row],[Investor ID]],LS[[#This Row],[Investor ID]])</f>
        <v>8</v>
      </c>
      <c r="H1170" s="101" t="str">
        <f>CONCATENATE(LS[[#This Row],[Frequency]],LS[[#This Row],[Investor ID]])</f>
        <v>8A00055</v>
      </c>
      <c r="I1170" s="75" t="str">
        <f>IF(LS[[#This Row],[B/S]]="B","BUY",(IF(LS[[#This Row],[B/S]]="S","SELL"," ")))</f>
        <v>SELL</v>
      </c>
      <c r="J1170" s="101" t="s">
        <v>1231</v>
      </c>
      <c r="K1170" s="102">
        <v>-50000</v>
      </c>
      <c r="L1170" s="99"/>
      <c r="M1170" s="103">
        <f>LS[[#This Row],[Amount]]/LS[[#This Row],[Unit]]</f>
        <v>12.916559028674762</v>
      </c>
      <c r="N1170" s="104">
        <f>LS[[#This Row],[Unit Capital]]/10</f>
        <v>-3871</v>
      </c>
      <c r="O1170" s="104">
        <f>SUMIFS(LS[[#Headers],[Unit]]:LS[[#This Row],[Unit]],LS[[#Headers],[Investor ID]]:LS[[#This Row],[Investor ID]],LS[[#This Row],[Investor ID]])</f>
        <v>75013</v>
      </c>
      <c r="P1170" s="102">
        <v>-38710</v>
      </c>
      <c r="Q1170" s="102">
        <f>LS[[#This Row],[Amount]]-LS[[#This Row],[Unit Capital]]</f>
        <v>-11290</v>
      </c>
      <c r="R11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12.676841945134626</v>
      </c>
      <c r="S1170" s="103">
        <f t="shared" si="18"/>
        <v>14.224</v>
      </c>
      <c r="T1170" s="102">
        <f>IF(LS[[#This Row],[B/S]]="B",0,ABS(LS[[#This Row],[Unit]])*(LS[[#This Row],[NAV (Strike Rate)]]-INDEX(LS[NAV at Cost (Average)],MATCH(CONCATENATE(LS[[#This Row],[Frequency]]-1,LS[[#This Row],[Investor ID]]),LS[Unique Code],0),)))</f>
        <v>927.94483038386431</v>
      </c>
      <c r="U1170" s="102" cm="1">
        <f t="array" ref="U1170">IF(LS[[#This Row],[B/S]]="S",ABS(LS[[#This Row],[Unit]])*(INDEX(LS[NAV at Cost (Average)],MATCH(CONCATENATE((LS[[#This Row],[Frequency]]-1),LS[[#This Row],[Investor ID]]),LS[Unique Code],0),0)),0)</f>
        <v>49072.055169616135</v>
      </c>
      <c r="V1170" s="102">
        <f>IF(LS[[#This Row],[BO TRANSFER]]="YES",LS[[#This Row],[Unit]],)</f>
        <v>0</v>
      </c>
      <c r="W1170" s="102">
        <f>SUMIFS(LS[[#Headers],[BO UNIT TRANSFER]]:LS[[#This Row],[BO UNIT TRANSFER]],LS[[#Headers],[Investor ID]]:LS[[#This Row],[Investor ID]],LS[[#This Row],[Investor ID]])</f>
        <v>0</v>
      </c>
    </row>
    <row r="1171" spans="1:23">
      <c r="A1171" s="101">
        <v>2025</v>
      </c>
      <c r="B1171" s="101">
        <v>8</v>
      </c>
      <c r="C1171" s="101">
        <v>10</v>
      </c>
      <c r="D1171" s="98">
        <f>DATE(LS[[#This Row],[Year]],LS[[#This Row],[Month]],LS[[#This Row],[Day]])</f>
        <v>45879</v>
      </c>
      <c r="E1171" s="99" t="str" cm="1">
        <f t="array" ref="E1171">INDEX(INVESTORS_LIST[INVESTOR NAME],MATCH(LS[[#This Row],[Investor ID]],INVESTORS_LIST[INVESTOR CODE],0),)</f>
        <v>NAZMUL HASAN KHAN</v>
      </c>
      <c r="F1171" s="100" t="s">
        <v>1368</v>
      </c>
      <c r="G1171" s="101">
        <f>COUNTIF(LS[[#Headers],[Investor ID]]:LS[[#This Row],[Investor ID]],LS[[#This Row],[Investor ID]])</f>
        <v>2</v>
      </c>
      <c r="H1171" s="101" t="str">
        <f>CONCATENATE(LS[[#This Row],[Frequency]],LS[[#This Row],[Investor ID]])</f>
        <v>2A00631</v>
      </c>
      <c r="I1171" s="75" t="str">
        <f>IF(LS[[#This Row],[B/S]]="B","BUY",(IF(LS[[#This Row],[B/S]]="S","SELL"," ")))</f>
        <v>SELL</v>
      </c>
      <c r="J1171" s="101" t="s">
        <v>1231</v>
      </c>
      <c r="K1171" s="102">
        <v>-206016.26</v>
      </c>
      <c r="L1171" s="99"/>
      <c r="M1171" s="103">
        <f>LS[[#This Row],[Amount]]/LS[[#This Row],[Unit]]</f>
        <v>12.917999749184851</v>
      </c>
      <c r="N1171" s="104">
        <f>LS[[#This Row],[Unit Capital]]/10</f>
        <v>-15948</v>
      </c>
      <c r="O1171" s="104">
        <f>SUMIFS(LS[[#Headers],[Unit]]:LS[[#This Row],[Unit]],LS[[#Headers],[Investor ID]]:LS[[#This Row],[Investor ID]],LS[[#This Row],[Investor ID]])</f>
        <v>0</v>
      </c>
      <c r="P1171" s="102">
        <v>-159480</v>
      </c>
      <c r="Q1171" s="102">
        <f>LS[[#This Row],[Amount]]-LS[[#This Row],[Unit Capital]]</f>
        <v>-46536.260000000009</v>
      </c>
      <c r="R11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71" s="103">
        <f t="shared" si="18"/>
        <v>14.224</v>
      </c>
      <c r="T1171" s="102">
        <f>IF(LS[[#This Row],[B/S]]="B",0,ABS(LS[[#This Row],[Unit]])*(LS[[#This Row],[NAV (Strike Rate)]]-INDEX(LS[NAV at Cost (Average)],MATCH(CONCATENATE(LS[[#This Row],[Frequency]]-1,LS[[#This Row],[Investor ID]]),LS[Unique Code],0),)))</f>
        <v>6016.2599999999957</v>
      </c>
      <c r="U1171" s="102" cm="1">
        <f t="array" ref="U1171">IF(LS[[#This Row],[B/S]]="S",ABS(LS[[#This Row],[Unit]])*(INDEX(LS[NAV at Cost (Average)],MATCH(CONCATENATE((LS[[#This Row],[Frequency]]-1),LS[[#This Row],[Investor ID]]),LS[Unique Code],0),0)),0)</f>
        <v>200000</v>
      </c>
      <c r="V1171" s="102">
        <f>IF(LS[[#This Row],[BO TRANSFER]]="YES",LS[[#This Row],[Unit]],)</f>
        <v>0</v>
      </c>
      <c r="W1171" s="102">
        <f>SUMIFS(LS[[#Headers],[BO UNIT TRANSFER]]:LS[[#This Row],[BO UNIT TRANSFER]],LS[[#Headers],[Investor ID]]:LS[[#This Row],[Investor ID]],LS[[#This Row],[Investor ID]])</f>
        <v>0</v>
      </c>
    </row>
    <row r="1172" spans="1:23">
      <c r="A1172" s="101">
        <v>2025</v>
      </c>
      <c r="B1172" s="101">
        <v>8</v>
      </c>
      <c r="C1172" s="101">
        <v>10</v>
      </c>
      <c r="D1172" s="98">
        <f>DATE(LS[[#This Row],[Year]],LS[[#This Row],[Month]],LS[[#This Row],[Day]])</f>
        <v>45879</v>
      </c>
      <c r="E1172" s="99" t="str" cm="1">
        <f t="array" ref="E1172">INDEX(INVESTORS_LIST[INVESTOR NAME],MATCH(LS[[#This Row],[Investor ID]],INVESTORS_LIST[INVESTOR CODE],0),)</f>
        <v>MD. MUSTAFA KAMAL</v>
      </c>
      <c r="F1172" s="100" t="s">
        <v>1300</v>
      </c>
      <c r="G1172" s="101">
        <f>COUNTIF(LS[[#Headers],[Investor ID]]:LS[[#This Row],[Investor ID]],LS[[#This Row],[Investor ID]])</f>
        <v>15</v>
      </c>
      <c r="H1172" s="101" t="str">
        <f>CONCATENATE(LS[[#This Row],[Frequency]],LS[[#This Row],[Investor ID]])</f>
        <v>15A00597</v>
      </c>
      <c r="I1172" s="75" t="str">
        <f>IF(LS[[#This Row],[B/S]]="B","BUY",(IF(LS[[#This Row],[B/S]]="S","SELL"," ")))</f>
        <v>SELL</v>
      </c>
      <c r="J1172" s="101" t="s">
        <v>1231</v>
      </c>
      <c r="K1172" s="102">
        <v>-520750</v>
      </c>
      <c r="L1172" s="99"/>
      <c r="M1172" s="103">
        <f>LS[[#This Row],[Amount]]/LS[[#This Row],[Unit]]</f>
        <v>12.917989680492161</v>
      </c>
      <c r="N1172" s="104">
        <f>LS[[#This Row],[Unit Capital]]/10</f>
        <v>-40312</v>
      </c>
      <c r="O1172" s="104">
        <f>SUMIFS(LS[[#Headers],[Unit]]:LS[[#This Row],[Unit]],LS[[#Headers],[Investor ID]]:LS[[#This Row],[Investor ID]],LS[[#This Row],[Investor ID]])</f>
        <v>50320</v>
      </c>
      <c r="P1172" s="102">
        <v>-403120</v>
      </c>
      <c r="Q1172" s="102">
        <f>LS[[#This Row],[Amount]]-LS[[#This Row],[Unit Capital]]</f>
        <v>-117630</v>
      </c>
      <c r="R11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12.768769299987142</v>
      </c>
      <c r="S1172" s="103">
        <f t="shared" si="18"/>
        <v>14.224</v>
      </c>
      <c r="T1172" s="102">
        <f>IF(LS[[#This Row],[B/S]]="B",0,ABS(LS[[#This Row],[Unit]])*(LS[[#This Row],[NAV (Strike Rate)]]-INDEX(LS[NAV at Cost (Average)],MATCH(CONCATENATE(LS[[#This Row],[Frequency]]-1,LS[[#This Row],[Investor ID]]),LS[Unique Code],0),)))</f>
        <v>6015.3719789183333</v>
      </c>
      <c r="U1172" s="102" cm="1">
        <f t="array" ref="U1172">IF(LS[[#This Row],[B/S]]="S",ABS(LS[[#This Row],[Unit]])*(INDEX(LS[NAV at Cost (Average)],MATCH(CONCATENATE((LS[[#This Row],[Frequency]]-1),LS[[#This Row],[Investor ID]]),LS[Unique Code],0),0)),0)</f>
        <v>514734.62802108168</v>
      </c>
      <c r="V1172" s="102">
        <f>IF(LS[[#This Row],[BO TRANSFER]]="YES",LS[[#This Row],[Unit]],)</f>
        <v>0</v>
      </c>
      <c r="W1172" s="102">
        <f>SUMIFS(LS[[#Headers],[BO UNIT TRANSFER]]:LS[[#This Row],[BO UNIT TRANSFER]],LS[[#Headers],[Investor ID]]:LS[[#This Row],[Investor ID]],LS[[#This Row],[Investor ID]])</f>
        <v>0</v>
      </c>
    </row>
    <row r="1173" spans="1:23">
      <c r="A1173" s="101">
        <v>2025</v>
      </c>
      <c r="B1173" s="101">
        <v>8</v>
      </c>
      <c r="C1173" s="101">
        <v>10</v>
      </c>
      <c r="D1173" s="98">
        <f>DATE(LS[[#This Row],[Year]],LS[[#This Row],[Month]],LS[[#This Row],[Day]])</f>
        <v>45879</v>
      </c>
      <c r="E1173" s="99" t="str" cm="1">
        <f t="array" ref="E1173">INDEX(INVESTORS_LIST[INVESTOR NAME],MATCH(LS[[#This Row],[Investor ID]],INVESTORS_LIST[INVESTOR CODE],0),)</f>
        <v>TANIA AKTER</v>
      </c>
      <c r="F1173" s="100" t="s">
        <v>1069</v>
      </c>
      <c r="G1173" s="101">
        <f>COUNTIF(LS[[#Headers],[Investor ID]]:LS[[#This Row],[Investor ID]],LS[[#This Row],[Investor ID]])</f>
        <v>4</v>
      </c>
      <c r="H1173" s="101" t="str">
        <f>CONCATENATE(LS[[#This Row],[Frequency]],LS[[#This Row],[Investor ID]])</f>
        <v>4A00512</v>
      </c>
      <c r="I1173" s="75" t="str">
        <f>IF(LS[[#This Row],[B/S]]="B","BUY",(IF(LS[[#This Row],[B/S]]="S","SELL"," ")))</f>
        <v>SELL</v>
      </c>
      <c r="J1173" s="101" t="s">
        <v>1231</v>
      </c>
      <c r="K1173" s="102">
        <v>-116804.56</v>
      </c>
      <c r="L1173" s="99"/>
      <c r="M1173" s="103">
        <f>LS[[#This Row],[Amount]]/LS[[#This Row],[Unit]]</f>
        <v>12.918000442380004</v>
      </c>
      <c r="N1173" s="104">
        <f>LS[[#This Row],[Unit Capital]]/10</f>
        <v>-9042</v>
      </c>
      <c r="O1173" s="104">
        <f>SUMIFS(LS[[#Headers],[Unit]]:LS[[#This Row],[Unit]],LS[[#Headers],[Investor ID]]:LS[[#This Row],[Investor ID]],LS[[#This Row],[Investor ID]])</f>
        <v>0</v>
      </c>
      <c r="P1173" s="102">
        <v>-90420</v>
      </c>
      <c r="Q1173" s="102">
        <f>LS[[#This Row],[Amount]]-LS[[#This Row],[Unit Capital]]</f>
        <v>-26384.559999999998</v>
      </c>
      <c r="R11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73" s="103">
        <f t="shared" si="18"/>
        <v>14.224</v>
      </c>
      <c r="T1173" s="102">
        <f>IF(LS[[#This Row],[B/S]]="B",0,ABS(LS[[#This Row],[Unit]])*(LS[[#This Row],[NAV (Strike Rate)]]-INDEX(LS[NAV at Cost (Average)],MATCH(CONCATENATE(LS[[#This Row],[Frequency]]-1,LS[[#This Row],[Investor ID]]),LS[Unique Code],0),)))</f>
        <v>11780.807346938771</v>
      </c>
      <c r="U1173" s="102" cm="1">
        <f t="array" ref="U1173">IF(LS[[#This Row],[B/S]]="S",ABS(LS[[#This Row],[Unit]])*(INDEX(LS[NAV at Cost (Average)],MATCH(CONCATENATE((LS[[#This Row],[Frequency]]-1),LS[[#This Row],[Investor ID]]),LS[Unique Code],0),0)),0)</f>
        <v>105023.75265306122</v>
      </c>
      <c r="V1173" s="102">
        <f>IF(LS[[#This Row],[BO TRANSFER]]="YES",LS[[#This Row],[Unit]],)</f>
        <v>0</v>
      </c>
      <c r="W1173" s="102">
        <f>SUMIFS(LS[[#Headers],[BO UNIT TRANSFER]]:LS[[#This Row],[BO UNIT TRANSFER]],LS[[#Headers],[Investor ID]]:LS[[#This Row],[Investor ID]],LS[[#This Row],[Investor ID]])</f>
        <v>0</v>
      </c>
    </row>
    <row r="1174" spans="1:23">
      <c r="A1174" s="101">
        <v>2025</v>
      </c>
      <c r="B1174" s="101">
        <v>8</v>
      </c>
      <c r="C1174" s="101">
        <v>10</v>
      </c>
      <c r="D1174" s="98">
        <f>DATE(LS[[#This Row],[Year]],LS[[#This Row],[Month]],LS[[#This Row],[Day]])</f>
        <v>45879</v>
      </c>
      <c r="E1174" s="99" t="str" cm="1">
        <f t="array" ref="E1174">INDEX(INVESTORS_LIST[INVESTOR NAME],MATCH(LS[[#This Row],[Investor ID]],INVESTORS_LIST[INVESTOR CODE],0),)</f>
        <v>MD. ASIFUL HUQ</v>
      </c>
      <c r="F1174" s="100" t="s">
        <v>1354</v>
      </c>
      <c r="G1174" s="101">
        <f>COUNTIF(LS[[#Headers],[Investor ID]]:LS[[#This Row],[Investor ID]],LS[[#This Row],[Investor ID]])</f>
        <v>2</v>
      </c>
      <c r="H1174" s="101" t="str">
        <f>CONCATENATE(LS[[#This Row],[Frequency]],LS[[#This Row],[Investor ID]])</f>
        <v>2A00623</v>
      </c>
      <c r="I1174" s="75" t="str">
        <f>IF(LS[[#This Row],[B/S]]="B","BUY",(IF(LS[[#This Row],[B/S]]="S","SELL"," ")))</f>
        <v>SELL</v>
      </c>
      <c r="J1174" s="101" t="s">
        <v>1231</v>
      </c>
      <c r="K1174" s="102">
        <v>-100000</v>
      </c>
      <c r="L1174" s="99"/>
      <c r="M1174" s="103">
        <f>LS[[#This Row],[Amount]]/LS[[#This Row],[Unit]]</f>
        <v>12.918227619170651</v>
      </c>
      <c r="N1174" s="104">
        <f>LS[[#This Row],[Unit Capital]]/10</f>
        <v>-7741</v>
      </c>
      <c r="O1174" s="104">
        <f>SUMIFS(LS[[#Headers],[Unit]]:LS[[#This Row],[Unit]],LS[[#Headers],[Investor ID]]:LS[[#This Row],[Investor ID]],LS[[#This Row],[Investor ID]])</f>
        <v>24101</v>
      </c>
      <c r="P1174" s="102">
        <v>-77410</v>
      </c>
      <c r="Q1174" s="102">
        <f>LS[[#This Row],[Amount]]-LS[[#This Row],[Unit Capital]]</f>
        <v>-22590</v>
      </c>
      <c r="R11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12.562024998429747</v>
      </c>
      <c r="S1174" s="103">
        <f t="shared" si="18"/>
        <v>14.224</v>
      </c>
      <c r="T1174" s="102">
        <f>IF(LS[[#This Row],[B/S]]="B",0,ABS(LS[[#This Row],[Unit]])*(LS[[#This Row],[NAV (Strike Rate)]]-INDEX(LS[NAV at Cost (Average)],MATCH(CONCATENATE(LS[[#This Row],[Frequency]]-1,LS[[#This Row],[Investor ID]]),LS[Unique Code],0),)))</f>
        <v>2757.3644871553356</v>
      </c>
      <c r="U1174" s="102" cm="1">
        <f t="array" ref="U1174">IF(LS[[#This Row],[B/S]]="S",ABS(LS[[#This Row],[Unit]])*(INDEX(LS[NAV at Cost (Average)],MATCH(CONCATENATE((LS[[#This Row],[Frequency]]-1),LS[[#This Row],[Investor ID]]),LS[Unique Code],0),0)),0)</f>
        <v>97242.635512844674</v>
      </c>
      <c r="V1174" s="102">
        <f>IF(LS[[#This Row],[BO TRANSFER]]="YES",LS[[#This Row],[Unit]],)</f>
        <v>0</v>
      </c>
      <c r="W1174" s="102">
        <f>SUMIFS(LS[[#Headers],[BO UNIT TRANSFER]]:LS[[#This Row],[BO UNIT TRANSFER]],LS[[#Headers],[Investor ID]]:LS[[#This Row],[Investor ID]],LS[[#This Row],[Investor ID]])</f>
        <v>0</v>
      </c>
    </row>
    <row r="1175" spans="1:23">
      <c r="A1175" s="101">
        <v>2025</v>
      </c>
      <c r="B1175" s="101">
        <v>8</v>
      </c>
      <c r="C1175" s="101">
        <v>10</v>
      </c>
      <c r="D1175" s="98">
        <f>DATE(LS[[#This Row],[Year]],LS[[#This Row],[Month]],LS[[#This Row],[Day]])</f>
        <v>45879</v>
      </c>
      <c r="E1175" s="99" t="str" cm="1">
        <f t="array" ref="E1175">INDEX(INVESTORS_LIST[INVESTOR NAME],MATCH(LS[[#This Row],[Investor ID]],INVESTORS_LIST[INVESTOR CODE],0),)</f>
        <v>ANONYA CHOWDHURY HIYA</v>
      </c>
      <c r="F1175" s="100" t="s">
        <v>1402</v>
      </c>
      <c r="G1175" s="101">
        <f>COUNTIF(LS[[#Headers],[Investor ID]]:LS[[#This Row],[Investor ID]],LS[[#This Row],[Investor ID]])</f>
        <v>2</v>
      </c>
      <c r="H1175" s="101" t="str">
        <f>CONCATENATE(LS[[#This Row],[Frequency]],LS[[#This Row],[Investor ID]])</f>
        <v>2A00644</v>
      </c>
      <c r="I1175" s="75" t="str">
        <f>IF(LS[[#This Row],[B/S]]="B","BUY",(IF(LS[[#This Row],[B/S]]="S","SELL"," ")))</f>
        <v>SELL</v>
      </c>
      <c r="J1175" s="101" t="s">
        <v>1231</v>
      </c>
      <c r="K1175" s="102">
        <v>-26000</v>
      </c>
      <c r="L1175" s="99"/>
      <c r="M1175" s="103">
        <f>LS[[#This Row],[Amount]]/LS[[#This Row],[Unit]]</f>
        <v>12.916045702930949</v>
      </c>
      <c r="N1175" s="104">
        <f>LS[[#This Row],[Unit Capital]]/10</f>
        <v>-2013</v>
      </c>
      <c r="O1175" s="104">
        <f>SUMIFS(LS[[#Headers],[Unit]]:LS[[#This Row],[Unit]],LS[[#Headers],[Investor ID]]:LS[[#This Row],[Investor ID]],LS[[#This Row],[Investor ID]])</f>
        <v>77453</v>
      </c>
      <c r="P1175" s="102">
        <v>-20130</v>
      </c>
      <c r="Q1175" s="102">
        <f>LS[[#This Row],[Amount]]-LS[[#This Row],[Unit Capital]]</f>
        <v>-5870</v>
      </c>
      <c r="R11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12.58399818790426</v>
      </c>
      <c r="S1175" s="103">
        <f t="shared" si="18"/>
        <v>14.224</v>
      </c>
      <c r="T1175" s="102">
        <f>IF(LS[[#This Row],[B/S]]="B",0,ABS(LS[[#This Row],[Unit]])*(LS[[#This Row],[NAV (Strike Rate)]]-INDEX(LS[NAV at Cost (Average)],MATCH(CONCATENATE(LS[[#This Row],[Frequency]]-1,LS[[#This Row],[Investor ID]]),LS[Unique Code],0),)))</f>
        <v>668.41164774872504</v>
      </c>
      <c r="U1175" s="102" cm="1">
        <f t="array" ref="U1175">IF(LS[[#This Row],[B/S]]="S",ABS(LS[[#This Row],[Unit]])*(INDEX(LS[NAV at Cost (Average)],MATCH(CONCATENATE((LS[[#This Row],[Frequency]]-1),LS[[#This Row],[Investor ID]]),LS[Unique Code],0),0)),0)</f>
        <v>25331.588352251278</v>
      </c>
      <c r="V1175" s="102">
        <f>IF(LS[[#This Row],[BO TRANSFER]]="YES",LS[[#This Row],[Unit]],)</f>
        <v>0</v>
      </c>
      <c r="W1175" s="102">
        <f>SUMIFS(LS[[#Headers],[BO UNIT TRANSFER]]:LS[[#This Row],[BO UNIT TRANSFER]],LS[[#Headers],[Investor ID]]:LS[[#This Row],[Investor ID]],LS[[#This Row],[Investor ID]])</f>
        <v>0</v>
      </c>
    </row>
    <row r="1176" spans="1:23">
      <c r="A1176" s="101">
        <v>2025</v>
      </c>
      <c r="B1176" s="101">
        <v>8</v>
      </c>
      <c r="C1176" s="101">
        <v>10</v>
      </c>
      <c r="D1176" s="98">
        <f>DATE(LS[[#This Row],[Year]],LS[[#This Row],[Month]],LS[[#This Row],[Day]])</f>
        <v>45879</v>
      </c>
      <c r="E1176" s="99" t="str" cm="1">
        <f t="array" ref="E1176">INDEX(INVESTORS_LIST[INVESTOR NAME],MATCH(LS[[#This Row],[Investor ID]],INVESTORS_LIST[INVESTOR CODE],0),)</f>
        <v>MAHMUD ALI ALAMGIR &amp; MOHAMMED ALI XAHANGIR</v>
      </c>
      <c r="F1176" s="100" t="s">
        <v>1130</v>
      </c>
      <c r="G1176" s="101">
        <f>COUNTIF(LS[[#Headers],[Investor ID]]:LS[[#This Row],[Investor ID]],LS[[#This Row],[Investor ID]])</f>
        <v>2</v>
      </c>
      <c r="H1176" s="101" t="str">
        <f>CONCATENATE(LS[[#This Row],[Frequency]],LS[[#This Row],[Investor ID]])</f>
        <v>2A00540</v>
      </c>
      <c r="I1176" s="75" t="str">
        <f>IF(LS[[#This Row],[B/S]]="B","BUY",(IF(LS[[#This Row],[B/S]]="S","SELL"," ")))</f>
        <v>SELL</v>
      </c>
      <c r="J1176" s="101" t="s">
        <v>1231</v>
      </c>
      <c r="K1176" s="102">
        <v>-222447.96</v>
      </c>
      <c r="L1176" s="99"/>
      <c r="M1176" s="103">
        <f>LS[[#This Row],[Amount]]/LS[[#This Row],[Unit]]</f>
        <v>12.917999999999999</v>
      </c>
      <c r="N1176" s="104">
        <f>LS[[#This Row],[Unit Capital]]/10</f>
        <v>-17220</v>
      </c>
      <c r="O1176" s="104">
        <f>SUMIFS(LS[[#Headers],[Unit]]:LS[[#This Row],[Unit]],LS[[#Headers],[Investor ID]]:LS[[#This Row],[Investor ID]],LS[[#This Row],[Investor ID]])</f>
        <v>0</v>
      </c>
      <c r="P1176" s="102">
        <v>-172200</v>
      </c>
      <c r="Q1176" s="102">
        <f>LS[[#This Row],[Amount]]-LS[[#This Row],[Unit Capital]]</f>
        <v>-50247.959999999992</v>
      </c>
      <c r="R11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76" s="103">
        <f t="shared" si="18"/>
        <v>14.224</v>
      </c>
      <c r="T1176" s="102">
        <f>IF(LS[[#This Row],[B/S]]="B",0,ABS(LS[[#This Row],[Unit]])*(LS[[#This Row],[NAV (Strike Rate)]]-INDEX(LS[NAV at Cost (Average)],MATCH(CONCATENATE(LS[[#This Row],[Frequency]]-1,LS[[#This Row],[Investor ID]]),LS[Unique Code],0),)))</f>
        <v>32447.959999999974</v>
      </c>
      <c r="U1176" s="102" cm="1">
        <f t="array" ref="U1176">IF(LS[[#This Row],[B/S]]="S",ABS(LS[[#This Row],[Unit]])*(INDEX(LS[NAV at Cost (Average)],MATCH(CONCATENATE((LS[[#This Row],[Frequency]]-1),LS[[#This Row],[Investor ID]]),LS[Unique Code],0),0)),0)</f>
        <v>190000</v>
      </c>
      <c r="V1176" s="102">
        <f>IF(LS[[#This Row],[BO TRANSFER]]="YES",LS[[#This Row],[Unit]],)</f>
        <v>0</v>
      </c>
      <c r="W1176" s="102">
        <f>SUMIFS(LS[[#Headers],[BO UNIT TRANSFER]]:LS[[#This Row],[BO UNIT TRANSFER]],LS[[#Headers],[Investor ID]]:LS[[#This Row],[Investor ID]],LS[[#This Row],[Investor ID]])</f>
        <v>0</v>
      </c>
    </row>
    <row r="1177" spans="1:23">
      <c r="A1177" s="101">
        <v>2025</v>
      </c>
      <c r="B1177" s="101">
        <v>8</v>
      </c>
      <c r="C1177" s="101">
        <v>10</v>
      </c>
      <c r="D1177" s="98">
        <f>DATE(LS[[#This Row],[Year]],LS[[#This Row],[Month]],LS[[#This Row],[Day]])</f>
        <v>45879</v>
      </c>
      <c r="E1177" s="99" t="str" cm="1">
        <f t="array" ref="E1177">INDEX(INVESTORS_LIST[INVESTOR NAME],MATCH(LS[[#This Row],[Investor ID]],INVESTORS_LIST[INVESTOR CODE],0),)</f>
        <v>MONOARA ALAM</v>
      </c>
      <c r="F1177" s="100" t="s">
        <v>1302</v>
      </c>
      <c r="G1177" s="101">
        <f>COUNTIF(LS[[#Headers],[Investor ID]]:LS[[#This Row],[Investor ID]],LS[[#This Row],[Investor ID]])</f>
        <v>6</v>
      </c>
      <c r="H1177" s="101" t="str">
        <f>CONCATENATE(LS[[#This Row],[Frequency]],LS[[#This Row],[Investor ID]])</f>
        <v>6A00598</v>
      </c>
      <c r="I1177" s="75" t="str">
        <f>IF(LS[[#This Row],[B/S]]="B","BUY",(IF(LS[[#This Row],[B/S]]="S","SELL"," ")))</f>
        <v>SELL</v>
      </c>
      <c r="J1177" s="101" t="s">
        <v>1231</v>
      </c>
      <c r="K1177" s="102">
        <v>-12172.86</v>
      </c>
      <c r="L1177" s="99"/>
      <c r="M1177" s="103">
        <f>LS[[#This Row],[Amount]]/LS[[#This Row],[Unit]]</f>
        <v>12.922356687898089</v>
      </c>
      <c r="N1177" s="104">
        <f>LS[[#This Row],[Unit Capital]]/10</f>
        <v>-942</v>
      </c>
      <c r="O1177" s="104">
        <f>SUMIFS(LS[[#Headers],[Unit]]:LS[[#This Row],[Unit]],LS[[#Headers],[Investor ID]]:LS[[#This Row],[Investor ID]],LS[[#This Row],[Investor ID]])</f>
        <v>38706</v>
      </c>
      <c r="P1177" s="102">
        <v>-9420</v>
      </c>
      <c r="Q1177" s="102">
        <f>LS[[#This Row],[Amount]]-LS[[#This Row],[Unit Capital]]</f>
        <v>-2752.8600000000006</v>
      </c>
      <c r="R11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1177" s="103">
        <f t="shared" si="18"/>
        <v>14.224</v>
      </c>
      <c r="T1177" s="102">
        <f>IF(LS[[#This Row],[B/S]]="B",0,ABS(LS[[#This Row],[Unit]])*(LS[[#This Row],[NAV (Strike Rate)]]-INDEX(LS[NAV at Cost (Average)],MATCH(CONCATENATE(LS[[#This Row],[Frequency]]-1,LS[[#This Row],[Investor ID]]),LS[Unique Code],0),)))</f>
        <v>1077.9763667200598</v>
      </c>
      <c r="U1177" s="102" cm="1">
        <f t="array" ref="U1177">IF(LS[[#This Row],[B/S]]="S",ABS(LS[[#This Row],[Unit]])*(INDEX(LS[NAV at Cost (Average)],MATCH(CONCATENATE((LS[[#This Row],[Frequency]]-1),LS[[#This Row],[Investor ID]]),LS[Unique Code],0),0)),0)</f>
        <v>11094.88363327994</v>
      </c>
      <c r="V1177" s="102">
        <f>IF(LS[[#This Row],[BO TRANSFER]]="YES",LS[[#This Row],[Unit]],)</f>
        <v>0</v>
      </c>
      <c r="W1177" s="102">
        <f>SUMIFS(LS[[#Headers],[BO UNIT TRANSFER]]:LS[[#This Row],[BO UNIT TRANSFER]],LS[[#Headers],[Investor ID]]:LS[[#This Row],[Investor ID]],LS[[#This Row],[Investor ID]])</f>
        <v>0</v>
      </c>
    </row>
    <row r="1178" spans="1:23">
      <c r="A1178" s="101">
        <v>2025</v>
      </c>
      <c r="B1178" s="101">
        <v>8</v>
      </c>
      <c r="C1178" s="101">
        <v>11</v>
      </c>
      <c r="D1178" s="98">
        <f>DATE(LS[[#This Row],[Year]],LS[[#This Row],[Month]],LS[[#This Row],[Day]])</f>
        <v>45880</v>
      </c>
      <c r="E1178" s="99" t="str" cm="1">
        <f t="array" ref="E1178">INDEX(INVESTORS_LIST[INVESTOR NAME],MATCH(LS[[#This Row],[Investor ID]],INVESTORS_LIST[INVESTOR CODE],0),)</f>
        <v>SK SHAHJAHAN RASHED</v>
      </c>
      <c r="F1178" s="100" t="s">
        <v>1333</v>
      </c>
      <c r="G1178" s="101">
        <f>COUNTIF(LS[[#Headers],[Investor ID]]:LS[[#This Row],[Investor ID]],LS[[#This Row],[Investor ID]])</f>
        <v>1</v>
      </c>
      <c r="H1178" s="101" t="str">
        <f>CONCATENATE(LS[[#This Row],[Frequency]],LS[[#This Row],[Investor ID]])</f>
        <v>1A00612</v>
      </c>
      <c r="I1178" s="75" t="str">
        <f>IF(LS[[#This Row],[B/S]]="B","BUY",(IF(LS[[#This Row],[B/S]]="S","SELL"," ")))</f>
        <v>BUY</v>
      </c>
      <c r="J1178" s="101" t="s">
        <v>1229</v>
      </c>
      <c r="K1178" s="102">
        <v>6459</v>
      </c>
      <c r="L1178" s="99"/>
      <c r="M1178" s="103">
        <f>LS[[#This Row],[Amount]]/LS[[#This Row],[Unit]]</f>
        <v>12.917999999999999</v>
      </c>
      <c r="N1178" s="104">
        <f>LS[[#This Row],[Unit Capital]]/10</f>
        <v>500</v>
      </c>
      <c r="O1178" s="104">
        <f>SUMIFS(LS[[#Headers],[Unit]]:LS[[#This Row],[Unit]],LS[[#Headers],[Investor ID]]:LS[[#This Row],[Investor ID]],LS[[#This Row],[Investor ID]])</f>
        <v>500</v>
      </c>
      <c r="P1178" s="102">
        <v>5000</v>
      </c>
      <c r="Q1178" s="102">
        <f>LS[[#This Row],[Amount]]-LS[[#This Row],[Unit Capital]]</f>
        <v>1459</v>
      </c>
      <c r="R11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12.917999999999999</v>
      </c>
      <c r="S1178" s="103">
        <f t="shared" si="18"/>
        <v>14.224</v>
      </c>
      <c r="T11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78" s="102" cm="1">
        <f t="array" ref="U1178">IF(LS[[#This Row],[B/S]]="S",ABS(LS[[#This Row],[Unit]])*(INDEX(LS[NAV at Cost (Average)],MATCH(CONCATENATE((LS[[#This Row],[Frequency]]-1),LS[[#This Row],[Investor ID]]),LS[Unique Code],0),0)),0)</f>
        <v>0</v>
      </c>
      <c r="V1178" s="102">
        <f>IF(LS[[#This Row],[BO TRANSFER]]="YES",LS[[#This Row],[Unit]],)</f>
        <v>0</v>
      </c>
      <c r="W1178" s="102">
        <f>SUMIFS(LS[[#Headers],[BO UNIT TRANSFER]]:LS[[#This Row],[BO UNIT TRANSFER]],LS[[#Headers],[Investor ID]]:LS[[#This Row],[Investor ID]],LS[[#This Row],[Investor ID]])</f>
        <v>0</v>
      </c>
    </row>
    <row r="1179" spans="1:23">
      <c r="A1179" s="101">
        <v>2025</v>
      </c>
      <c r="B1179" s="101">
        <v>8</v>
      </c>
      <c r="C1179" s="101">
        <v>11</v>
      </c>
      <c r="D1179" s="98">
        <f>DATE(LS[[#This Row],[Year]],LS[[#This Row],[Month]],LS[[#This Row],[Day]])</f>
        <v>45880</v>
      </c>
      <c r="E1179" s="99" t="str" cm="1">
        <f t="array" ref="E1179">INDEX(INVESTORS_LIST[INVESTOR NAME],MATCH(LS[[#This Row],[Investor ID]],INVESTORS_LIST[INVESTOR CODE],0),)</f>
        <v>RAKIBUL HASSAN</v>
      </c>
      <c r="F1179" s="100" t="s">
        <v>1422</v>
      </c>
      <c r="G1179" s="101">
        <f>COUNTIF(LS[[#Headers],[Investor ID]]:LS[[#This Row],[Investor ID]],LS[[#This Row],[Investor ID]])</f>
        <v>1</v>
      </c>
      <c r="H1179" s="101" t="str">
        <f>CONCATENATE(LS[[#This Row],[Frequency]],LS[[#This Row],[Investor ID]])</f>
        <v>1A00655</v>
      </c>
      <c r="I1179" s="75" t="str">
        <f>IF(LS[[#This Row],[B/S]]="B","BUY",(IF(LS[[#This Row],[B/S]]="S","SELL"," ")))</f>
        <v>BUY</v>
      </c>
      <c r="J1179" s="101" t="s">
        <v>1229</v>
      </c>
      <c r="K1179" s="102">
        <v>100000</v>
      </c>
      <c r="L1179" s="99"/>
      <c r="M1179" s="103">
        <f>LS[[#This Row],[Amount]]/LS[[#This Row],[Unit]]</f>
        <v>12.918227619170651</v>
      </c>
      <c r="N1179" s="104">
        <f>LS[[#This Row],[Unit Capital]]/10</f>
        <v>7741</v>
      </c>
      <c r="O1179" s="104">
        <f>SUMIFS(LS[[#Headers],[Unit]]:LS[[#This Row],[Unit]],LS[[#Headers],[Investor ID]]:LS[[#This Row],[Investor ID]],LS[[#This Row],[Investor ID]])</f>
        <v>7741</v>
      </c>
      <c r="P1179" s="102">
        <v>77410</v>
      </c>
      <c r="Q1179" s="102">
        <f>LS[[#This Row],[Amount]]-LS[[#This Row],[Unit Capital]]</f>
        <v>22590</v>
      </c>
      <c r="R11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12.918227619170651</v>
      </c>
      <c r="S1179" s="103">
        <f t="shared" si="18"/>
        <v>14.224</v>
      </c>
      <c r="T11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79" s="102" cm="1">
        <f t="array" ref="U1179">IF(LS[[#This Row],[B/S]]="S",ABS(LS[[#This Row],[Unit]])*(INDEX(LS[NAV at Cost (Average)],MATCH(CONCATENATE((LS[[#This Row],[Frequency]]-1),LS[[#This Row],[Investor ID]]),LS[Unique Code],0),0)),0)</f>
        <v>0</v>
      </c>
      <c r="V1179" s="102">
        <f>IF(LS[[#This Row],[BO TRANSFER]]="YES",LS[[#This Row],[Unit]],)</f>
        <v>0</v>
      </c>
      <c r="W1179" s="102">
        <f>SUMIFS(LS[[#Headers],[BO UNIT TRANSFER]]:LS[[#This Row],[BO UNIT TRANSFER]],LS[[#Headers],[Investor ID]]:LS[[#This Row],[Investor ID]],LS[[#This Row],[Investor ID]])</f>
        <v>0</v>
      </c>
    </row>
    <row r="1180" spans="1:23">
      <c r="A1180" s="101">
        <v>2025</v>
      </c>
      <c r="B1180" s="101">
        <v>8</v>
      </c>
      <c r="C1180" s="101">
        <v>12</v>
      </c>
      <c r="D1180" s="98">
        <f>DATE(LS[[#This Row],[Year]],LS[[#This Row],[Month]],LS[[#This Row],[Day]])</f>
        <v>45881</v>
      </c>
      <c r="E1180" s="99" t="str" cm="1">
        <f t="array" ref="E1180">INDEX(INVESTORS_LIST[INVESTOR NAME],MATCH(LS[[#This Row],[Investor ID]],INVESTORS_LIST[INVESTOR CODE],0),)</f>
        <v>S.M. AFZAL REZA</v>
      </c>
      <c r="F1180" s="100" t="s">
        <v>1404</v>
      </c>
      <c r="G1180" s="101">
        <f>COUNTIF(LS[[#Headers],[Investor ID]]:LS[[#This Row],[Investor ID]],LS[[#This Row],[Investor ID]])</f>
        <v>2</v>
      </c>
      <c r="H1180" s="101" t="str">
        <f>CONCATENATE(LS[[#This Row],[Frequency]],LS[[#This Row],[Investor ID]])</f>
        <v>2A00645</v>
      </c>
      <c r="I1180" s="75" t="str">
        <f>IF(LS[[#This Row],[B/S]]="B","BUY",(IF(LS[[#This Row],[B/S]]="S","SELL"," ")))</f>
        <v>SELL</v>
      </c>
      <c r="J1180" s="101" t="s">
        <v>1231</v>
      </c>
      <c r="K1180" s="102">
        <v>-26500</v>
      </c>
      <c r="L1180" s="99"/>
      <c r="M1180" s="103">
        <f>LS[[#This Row],[Amount]]/LS[[#This Row],[Unit]]</f>
        <v>12.920526572403706</v>
      </c>
      <c r="N1180" s="104">
        <f>LS[[#This Row],[Unit Capital]]/10</f>
        <v>-2051</v>
      </c>
      <c r="O1180" s="104">
        <f>SUMIFS(LS[[#Headers],[Unit]]:LS[[#This Row],[Unit]],LS[[#Headers],[Investor ID]]:LS[[#This Row],[Investor ID]],LS[[#This Row],[Investor ID]])</f>
        <v>77415</v>
      </c>
      <c r="P1180" s="102">
        <v>-20510</v>
      </c>
      <c r="Q1180" s="102">
        <f>LS[[#This Row],[Amount]]-LS[[#This Row],[Unit Capital]]</f>
        <v>-5990</v>
      </c>
      <c r="R11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12.58399818790426</v>
      </c>
      <c r="S1180" s="103">
        <f t="shared" si="18"/>
        <v>14.224</v>
      </c>
      <c r="T1180" s="102">
        <f>IF(LS[[#This Row],[B/S]]="B",0,ABS(LS[[#This Row],[Unit]])*(LS[[#This Row],[NAV (Strike Rate)]]-INDEX(LS[NAV at Cost (Average)],MATCH(CONCATENATE(LS[[#This Row],[Frequency]]-1,LS[[#This Row],[Investor ID]]),LS[Unique Code],0),)))</f>
        <v>690.21971660836198</v>
      </c>
      <c r="U1180" s="102" cm="1">
        <f t="array" ref="U1180">IF(LS[[#This Row],[B/S]]="S",ABS(LS[[#This Row],[Unit]])*(INDEX(LS[NAV at Cost (Average)],MATCH(CONCATENATE((LS[[#This Row],[Frequency]]-1),LS[[#This Row],[Investor ID]]),LS[Unique Code],0),0)),0)</f>
        <v>25809.780283391639</v>
      </c>
      <c r="V1180" s="102">
        <f>IF(LS[[#This Row],[BO TRANSFER]]="YES",LS[[#This Row],[Unit]],)</f>
        <v>0</v>
      </c>
      <c r="W1180" s="102">
        <f>SUMIFS(LS[[#Headers],[BO UNIT TRANSFER]]:LS[[#This Row],[BO UNIT TRANSFER]],LS[[#Headers],[Investor ID]]:LS[[#This Row],[Investor ID]],LS[[#This Row],[Investor ID]])</f>
        <v>0</v>
      </c>
    </row>
    <row r="1181" spans="1:23">
      <c r="A1181" s="101">
        <v>2025</v>
      </c>
      <c r="B1181" s="101">
        <v>8</v>
      </c>
      <c r="C1181" s="101">
        <v>12</v>
      </c>
      <c r="D1181" s="98">
        <f>DATE(LS[[#This Row],[Year]],LS[[#This Row],[Month]],LS[[#This Row],[Day]])</f>
        <v>45881</v>
      </c>
      <c r="E1181" s="99" t="str" cm="1">
        <f t="array" ref="E1181">INDEX(INVESTORS_LIST[INVESTOR NAME],MATCH(LS[[#This Row],[Investor ID]],INVESTORS_LIST[INVESTOR CODE],0),)</f>
        <v>TANVIR AHMED SIDDIQUI</v>
      </c>
      <c r="F1181" s="100" t="s">
        <v>111</v>
      </c>
      <c r="G1181" s="101">
        <f>COUNTIF(LS[[#Headers],[Investor ID]]:LS[[#This Row],[Investor ID]],LS[[#This Row],[Investor ID]])</f>
        <v>5</v>
      </c>
      <c r="H1181" s="101" t="str">
        <f>CONCATENATE(LS[[#This Row],[Frequency]],LS[[#This Row],[Investor ID]])</f>
        <v>5A00032</v>
      </c>
      <c r="I1181" s="75" t="str">
        <f>IF(LS[[#This Row],[B/S]]="B","BUY",(IF(LS[[#This Row],[B/S]]="S","SELL"," ")))</f>
        <v>SELL</v>
      </c>
      <c r="J1181" s="101" t="s">
        <v>1231</v>
      </c>
      <c r="K1181" s="102">
        <v>-303198.38</v>
      </c>
      <c r="L1181" s="99"/>
      <c r="M1181" s="103">
        <f>LS[[#This Row],[Amount]]/LS[[#This Row],[Unit]]</f>
        <v>12.918000085211538</v>
      </c>
      <c r="N1181" s="104">
        <f>LS[[#This Row],[Unit Capital]]/10</f>
        <v>-23471</v>
      </c>
      <c r="O1181" s="104">
        <f>SUMIFS(LS[[#Headers],[Unit]]:LS[[#This Row],[Unit]],LS[[#Headers],[Investor ID]]:LS[[#This Row],[Investor ID]],LS[[#This Row],[Investor ID]])</f>
        <v>0</v>
      </c>
      <c r="P1181" s="102">
        <v>-234710</v>
      </c>
      <c r="Q1181" s="102">
        <f>LS[[#This Row],[Amount]]-LS[[#This Row],[Unit Capital]]</f>
        <v>-68488.38</v>
      </c>
      <c r="R11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81" s="103">
        <f t="shared" si="18"/>
        <v>14.224</v>
      </c>
      <c r="T1181" s="102">
        <f>IF(LS[[#This Row],[B/S]]="B",0,ABS(LS[[#This Row],[Unit]])*(LS[[#This Row],[NAV (Strike Rate)]]-INDEX(LS[NAV at Cost (Average)],MATCH(CONCATENATE(LS[[#This Row],[Frequency]]-1,LS[[#This Row],[Investor ID]]),LS[Unique Code],0),)))</f>
        <v>53198.38</v>
      </c>
      <c r="U1181" s="102" cm="1">
        <f t="array" ref="U1181">IF(LS[[#This Row],[B/S]]="S",ABS(LS[[#This Row],[Unit]])*(INDEX(LS[NAV at Cost (Average)],MATCH(CONCATENATE((LS[[#This Row],[Frequency]]-1),LS[[#This Row],[Investor ID]]),LS[Unique Code],0),0)),0)</f>
        <v>250000.00000000003</v>
      </c>
      <c r="V1181" s="102">
        <f>IF(LS[[#This Row],[BO TRANSFER]]="YES",LS[[#This Row],[Unit]],)</f>
        <v>0</v>
      </c>
      <c r="W1181" s="102">
        <f>SUMIFS(LS[[#Headers],[BO UNIT TRANSFER]]:LS[[#This Row],[BO UNIT TRANSFER]],LS[[#Headers],[Investor ID]]:LS[[#This Row],[Investor ID]],LS[[#This Row],[Investor ID]])</f>
        <v>0</v>
      </c>
    </row>
    <row r="1182" spans="1:23">
      <c r="A1182" s="101">
        <v>2025</v>
      </c>
      <c r="B1182" s="101">
        <v>8</v>
      </c>
      <c r="C1182" s="101">
        <v>12</v>
      </c>
      <c r="D1182" s="98">
        <f>DATE(LS[[#This Row],[Year]],LS[[#This Row],[Month]],LS[[#This Row],[Day]])</f>
        <v>45881</v>
      </c>
      <c r="E1182" s="99" t="str" cm="1">
        <f t="array" ref="E1182">INDEX(INVESTORS_LIST[INVESTOR NAME],MATCH(LS[[#This Row],[Investor ID]],INVESTORS_LIST[INVESTOR CODE],0),)</f>
        <v>NANDINI SAHA</v>
      </c>
      <c r="F1182" s="100" t="s">
        <v>242</v>
      </c>
      <c r="G1182" s="101">
        <f>COUNTIF(LS[[#Headers],[Investor ID]]:LS[[#This Row],[Investor ID]],LS[[#This Row],[Investor ID]])</f>
        <v>10</v>
      </c>
      <c r="H1182" s="101" t="str">
        <f>CONCATENATE(LS[[#This Row],[Frequency]],LS[[#This Row],[Investor ID]])</f>
        <v>10A00097</v>
      </c>
      <c r="I1182" s="75" t="str">
        <f>IF(LS[[#This Row],[B/S]]="B","BUY",(IF(LS[[#This Row],[B/S]]="S","SELL"," ")))</f>
        <v>BUY</v>
      </c>
      <c r="J1182" s="101" t="s">
        <v>1229</v>
      </c>
      <c r="K1182" s="102">
        <v>885000</v>
      </c>
      <c r="L1182" s="99"/>
      <c r="M1182" s="103">
        <f>LS[[#This Row],[Amount]]/LS[[#This Row],[Unit]]</f>
        <v>12.918010772307287</v>
      </c>
      <c r="N1182" s="104">
        <f>LS[[#This Row],[Unit Capital]]/10</f>
        <v>68509</v>
      </c>
      <c r="O1182" s="104">
        <f>SUMIFS(LS[[#Headers],[Unit]]:LS[[#This Row],[Unit]],LS[[#Headers],[Investor ID]]:LS[[#This Row],[Investor ID]],LS[[#This Row],[Investor ID]])</f>
        <v>233448</v>
      </c>
      <c r="P1182" s="102">
        <v>685090</v>
      </c>
      <c r="Q1182" s="102">
        <f>LS[[#This Row],[Amount]]-LS[[#This Row],[Unit Capital]]</f>
        <v>199910</v>
      </c>
      <c r="R11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11.550204823287816</v>
      </c>
      <c r="S1182" s="103">
        <f t="shared" si="18"/>
        <v>14.224</v>
      </c>
      <c r="T11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2" s="102" cm="1">
        <f t="array" ref="U1182">IF(LS[[#This Row],[B/S]]="S",ABS(LS[[#This Row],[Unit]])*(INDEX(LS[NAV at Cost (Average)],MATCH(CONCATENATE((LS[[#This Row],[Frequency]]-1),LS[[#This Row],[Investor ID]]),LS[Unique Code],0),0)),0)</f>
        <v>0</v>
      </c>
      <c r="V1182" s="102">
        <f>IF(LS[[#This Row],[BO TRANSFER]]="YES",LS[[#This Row],[Unit]],)</f>
        <v>0</v>
      </c>
      <c r="W1182" s="102">
        <f>SUMIFS(LS[[#Headers],[BO UNIT TRANSFER]]:LS[[#This Row],[BO UNIT TRANSFER]],LS[[#Headers],[Investor ID]]:LS[[#This Row],[Investor ID]],LS[[#This Row],[Investor ID]])</f>
        <v>0</v>
      </c>
    </row>
    <row r="1183" spans="1:23">
      <c r="A1183" s="101">
        <v>2025</v>
      </c>
      <c r="B1183" s="101">
        <v>8</v>
      </c>
      <c r="C1183" s="101">
        <v>13</v>
      </c>
      <c r="D1183" s="98">
        <f>DATE(LS[[#This Row],[Year]],LS[[#This Row],[Month]],LS[[#This Row],[Day]])</f>
        <v>45882</v>
      </c>
      <c r="E1183" s="99" t="str" cm="1">
        <f t="array" ref="E1183">INDEX(INVESTORS_LIST[INVESTOR NAME],MATCH(LS[[#This Row],[Investor ID]],INVESTORS_LIST[INVESTOR CODE],0),)</f>
        <v>SHUVA SAHA</v>
      </c>
      <c r="F1183" s="100" t="s">
        <v>154</v>
      </c>
      <c r="G1183" s="101">
        <f>COUNTIF(LS[[#Headers],[Investor ID]]:LS[[#This Row],[Investor ID]],LS[[#This Row],[Investor ID]])</f>
        <v>17</v>
      </c>
      <c r="H1183" s="101" t="str">
        <f>CONCATENATE(LS[[#This Row],[Frequency]],LS[[#This Row],[Investor ID]])</f>
        <v>17A00053</v>
      </c>
      <c r="I1183" s="75" t="str">
        <f>IF(LS[[#This Row],[B/S]]="B","BUY",(IF(LS[[#This Row],[B/S]]="S","SELL"," ")))</f>
        <v>BUY</v>
      </c>
      <c r="J1183" s="101" t="s">
        <v>1229</v>
      </c>
      <c r="K1183" s="102">
        <v>110000</v>
      </c>
      <c r="L1183" s="99"/>
      <c r="M1183" s="103">
        <f>LS[[#This Row],[Amount]]/LS[[#This Row],[Unit]]</f>
        <v>12.918379330593071</v>
      </c>
      <c r="N1183" s="104">
        <f>LS[[#This Row],[Unit Capital]]/10</f>
        <v>8515</v>
      </c>
      <c r="O1183" s="104">
        <f>SUMIFS(LS[[#Headers],[Unit]]:LS[[#This Row],[Unit]],LS[[#Headers],[Investor ID]]:LS[[#This Row],[Investor ID]],LS[[#This Row],[Investor ID]])</f>
        <v>29501</v>
      </c>
      <c r="P1183" s="102">
        <v>85150</v>
      </c>
      <c r="Q1183" s="102">
        <f>LS[[#This Row],[Amount]]-LS[[#This Row],[Unit Capital]]</f>
        <v>24850</v>
      </c>
      <c r="R11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12.477703264198917</v>
      </c>
      <c r="S1183" s="103">
        <f t="shared" si="18"/>
        <v>14.224</v>
      </c>
      <c r="T118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3" s="102" cm="1">
        <f t="array" ref="U1183">IF(LS[[#This Row],[B/S]]="S",ABS(LS[[#This Row],[Unit]])*(INDEX(LS[NAV at Cost (Average)],MATCH(CONCATENATE((LS[[#This Row],[Frequency]]-1),LS[[#This Row],[Investor ID]]),LS[Unique Code],0),0)),0)</f>
        <v>0</v>
      </c>
      <c r="V1183" s="102">
        <f>IF(LS[[#This Row],[BO TRANSFER]]="YES",LS[[#This Row],[Unit]],)</f>
        <v>0</v>
      </c>
      <c r="W1183" s="102">
        <f>SUMIFS(LS[[#Headers],[BO UNIT TRANSFER]]:LS[[#This Row],[BO UNIT TRANSFER]],LS[[#Headers],[Investor ID]]:LS[[#This Row],[Investor ID]],LS[[#This Row],[Investor ID]])</f>
        <v>0</v>
      </c>
    </row>
    <row r="1184" spans="1:23">
      <c r="A1184" s="101">
        <v>2025</v>
      </c>
      <c r="B1184" s="101">
        <v>8</v>
      </c>
      <c r="C1184" s="101">
        <v>13</v>
      </c>
      <c r="D1184" s="98">
        <f>DATE(LS[[#This Row],[Year]],LS[[#This Row],[Month]],LS[[#This Row],[Day]])</f>
        <v>45882</v>
      </c>
      <c r="E1184" s="99" t="str" cm="1">
        <f t="array" ref="E1184">INDEX(INVESTORS_LIST[INVESTOR NAME],MATCH(LS[[#This Row],[Investor ID]],INVESTORS_LIST[INVESTOR CODE],0),)</f>
        <v>MD. MUSTAFA KAMAL</v>
      </c>
      <c r="F1184" s="100" t="s">
        <v>1300</v>
      </c>
      <c r="G1184" s="101">
        <f>COUNTIF(LS[[#Headers],[Investor ID]]:LS[[#This Row],[Investor ID]],LS[[#This Row],[Investor ID]])</f>
        <v>16</v>
      </c>
      <c r="H1184" s="101" t="str">
        <f>CONCATENATE(LS[[#This Row],[Frequency]],LS[[#This Row],[Investor ID]])</f>
        <v>16A00597</v>
      </c>
      <c r="I1184" s="75" t="str">
        <f>IF(LS[[#This Row],[B/S]]="B","BUY",(IF(LS[[#This Row],[B/S]]="S","SELL"," ")))</f>
        <v>BUY</v>
      </c>
      <c r="J1184" s="101" t="s">
        <v>1229</v>
      </c>
      <c r="K1184" s="102">
        <v>300000</v>
      </c>
      <c r="L1184" s="99"/>
      <c r="M1184" s="103">
        <f>LS[[#This Row],[Amount]]/LS[[#This Row],[Unit]]</f>
        <v>12.918227619170651</v>
      </c>
      <c r="N1184" s="104">
        <f>LS[[#This Row],[Unit Capital]]/10</f>
        <v>23223</v>
      </c>
      <c r="O1184" s="104">
        <f>SUMIFS(LS[[#Headers],[Unit]]:LS[[#This Row],[Unit]],LS[[#Headers],[Investor ID]]:LS[[#This Row],[Investor ID]],LS[[#This Row],[Investor ID]])</f>
        <v>73543</v>
      </c>
      <c r="P1184" s="102">
        <v>232230</v>
      </c>
      <c r="Q1184" s="102">
        <f>LS[[#This Row],[Amount]]-LS[[#This Row],[Unit Capital]]</f>
        <v>67770</v>
      </c>
      <c r="R11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12.815964417760398</v>
      </c>
      <c r="S1184" s="103">
        <f t="shared" si="18"/>
        <v>14.224</v>
      </c>
      <c r="T11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4" s="102" cm="1">
        <f t="array" ref="U1184">IF(LS[[#This Row],[B/S]]="S",ABS(LS[[#This Row],[Unit]])*(INDEX(LS[NAV at Cost (Average)],MATCH(CONCATENATE((LS[[#This Row],[Frequency]]-1),LS[[#This Row],[Investor ID]]),LS[Unique Code],0),0)),0)</f>
        <v>0</v>
      </c>
      <c r="V1184" s="102">
        <f>IF(LS[[#This Row],[BO TRANSFER]]="YES",LS[[#This Row],[Unit]],)</f>
        <v>0</v>
      </c>
      <c r="W1184" s="102">
        <f>SUMIFS(LS[[#Headers],[BO UNIT TRANSFER]]:LS[[#This Row],[BO UNIT TRANSFER]],LS[[#Headers],[Investor ID]]:LS[[#This Row],[Investor ID]],LS[[#This Row],[Investor ID]])</f>
        <v>0</v>
      </c>
    </row>
    <row r="1185" spans="1:23">
      <c r="A1185" s="101">
        <v>2025</v>
      </c>
      <c r="B1185" s="101">
        <v>8</v>
      </c>
      <c r="C1185" s="101">
        <v>13</v>
      </c>
      <c r="D1185" s="98">
        <f>DATE(LS[[#This Row],[Year]],LS[[#This Row],[Month]],LS[[#This Row],[Day]])</f>
        <v>45882</v>
      </c>
      <c r="E1185" s="99" t="str" cm="1">
        <f t="array" ref="E1185">INDEX(INVESTORS_LIST[INVESTOR NAME],MATCH(LS[[#This Row],[Investor ID]],INVESTORS_LIST[INVESTOR CODE],0),)</f>
        <v>MD. MUSTAFA KAMAL</v>
      </c>
      <c r="F1185" s="100" t="s">
        <v>1300</v>
      </c>
      <c r="G1185" s="101">
        <f>COUNTIF(LS[[#Headers],[Investor ID]]:LS[[#This Row],[Investor ID]],LS[[#This Row],[Investor ID]])</f>
        <v>17</v>
      </c>
      <c r="H1185" s="101" t="str">
        <f>CONCATENATE(LS[[#This Row],[Frequency]],LS[[#This Row],[Investor ID]])</f>
        <v>17A00597</v>
      </c>
      <c r="I1185" s="75" t="str">
        <f>IF(LS[[#This Row],[B/S]]="B","BUY",(IF(LS[[#This Row],[B/S]]="S","SELL"," ")))</f>
        <v>BUY</v>
      </c>
      <c r="J1185" s="101" t="s">
        <v>1229</v>
      </c>
      <c r="K1185" s="102">
        <v>200000</v>
      </c>
      <c r="L1185" s="99"/>
      <c r="M1185" s="103">
        <f>LS[[#This Row],[Amount]]/LS[[#This Row],[Unit]]</f>
        <v>12.918227619170651</v>
      </c>
      <c r="N1185" s="104">
        <f>LS[[#This Row],[Unit Capital]]/10</f>
        <v>15482</v>
      </c>
      <c r="O1185" s="104">
        <f>SUMIFS(LS[[#Headers],[Unit]]:LS[[#This Row],[Unit]],LS[[#Headers],[Investor ID]]:LS[[#This Row],[Investor ID]],LS[[#This Row],[Investor ID]])</f>
        <v>89025</v>
      </c>
      <c r="P1185" s="102">
        <v>154820</v>
      </c>
      <c r="Q1185" s="102">
        <f>LS[[#This Row],[Amount]]-LS[[#This Row],[Unit Capital]]</f>
        <v>45180</v>
      </c>
      <c r="R11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12.833748623143531</v>
      </c>
      <c r="S1185" s="103">
        <f t="shared" si="18"/>
        <v>14.224</v>
      </c>
      <c r="T118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5" s="102" cm="1">
        <f t="array" ref="U1185">IF(LS[[#This Row],[B/S]]="S",ABS(LS[[#This Row],[Unit]])*(INDEX(LS[NAV at Cost (Average)],MATCH(CONCATENATE((LS[[#This Row],[Frequency]]-1),LS[[#This Row],[Investor ID]]),LS[Unique Code],0),0)),0)</f>
        <v>0</v>
      </c>
      <c r="V1185" s="102">
        <f>IF(LS[[#This Row],[BO TRANSFER]]="YES",LS[[#This Row],[Unit]],)</f>
        <v>0</v>
      </c>
      <c r="W1185" s="102">
        <f>SUMIFS(LS[[#Headers],[BO UNIT TRANSFER]]:LS[[#This Row],[BO UNIT TRANSFER]],LS[[#Headers],[Investor ID]]:LS[[#This Row],[Investor ID]],LS[[#This Row],[Investor ID]])</f>
        <v>0</v>
      </c>
    </row>
    <row r="1186" spans="1:23">
      <c r="A1186" s="101">
        <v>2025</v>
      </c>
      <c r="B1186" s="101">
        <v>8</v>
      </c>
      <c r="C1186" s="101">
        <v>13</v>
      </c>
      <c r="D1186" s="98">
        <f>DATE(LS[[#This Row],[Year]],LS[[#This Row],[Month]],LS[[#This Row],[Day]])</f>
        <v>45882</v>
      </c>
      <c r="E1186" s="99" t="str" cm="1">
        <f t="array" ref="E1186">INDEX(INVESTORS_LIST[INVESTOR NAME],MATCH(LS[[#This Row],[Investor ID]],INVESTORS_LIST[INVESTOR CODE],0),)</f>
        <v>SK FEROZ ALAM &amp; MD BULBUL ISLAM</v>
      </c>
      <c r="F1186" s="100" t="s">
        <v>481</v>
      </c>
      <c r="G1186" s="101">
        <f>COUNTIF(LS[[#Headers],[Investor ID]]:LS[[#This Row],[Investor ID]],LS[[#This Row],[Investor ID]])</f>
        <v>7</v>
      </c>
      <c r="H1186" s="101" t="str">
        <f>CONCATENATE(LS[[#This Row],[Frequency]],LS[[#This Row],[Investor ID]])</f>
        <v>7A00216</v>
      </c>
      <c r="I1186" s="75" t="str">
        <f>IF(LS[[#This Row],[B/S]]="B","BUY",(IF(LS[[#This Row],[B/S]]="S","SELL"," ")))</f>
        <v>BUY</v>
      </c>
      <c r="J1186" s="101" t="s">
        <v>1229</v>
      </c>
      <c r="K1186" s="102">
        <v>129180</v>
      </c>
      <c r="L1186" s="99"/>
      <c r="M1186" s="103">
        <f>LS[[#This Row],[Amount]]/LS[[#This Row],[Unit]]</f>
        <v>12.917999999999999</v>
      </c>
      <c r="N1186" s="104">
        <f>LS[[#This Row],[Unit Capital]]/10</f>
        <v>10000</v>
      </c>
      <c r="O1186" s="104">
        <f>SUMIFS(LS[[#Headers],[Unit]]:LS[[#This Row],[Unit]],LS[[#Headers],[Investor ID]]:LS[[#This Row],[Investor ID]],LS[[#This Row],[Investor ID]])</f>
        <v>60000</v>
      </c>
      <c r="P1186" s="102">
        <v>100000</v>
      </c>
      <c r="Q1186" s="102">
        <f>LS[[#This Row],[Amount]]-LS[[#This Row],[Unit Capital]]</f>
        <v>29180</v>
      </c>
      <c r="R11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11.704583333333332</v>
      </c>
      <c r="S1186" s="103">
        <f t="shared" si="18"/>
        <v>14.224</v>
      </c>
      <c r="T118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6" s="102" cm="1">
        <f t="array" ref="U1186">IF(LS[[#This Row],[B/S]]="S",ABS(LS[[#This Row],[Unit]])*(INDEX(LS[NAV at Cost (Average)],MATCH(CONCATENATE((LS[[#This Row],[Frequency]]-1),LS[[#This Row],[Investor ID]]),LS[Unique Code],0),0)),0)</f>
        <v>0</v>
      </c>
      <c r="V1186" s="102">
        <f>IF(LS[[#This Row],[BO TRANSFER]]="YES",LS[[#This Row],[Unit]],)</f>
        <v>0</v>
      </c>
      <c r="W1186" s="102">
        <f>SUMIFS(LS[[#Headers],[BO UNIT TRANSFER]]:LS[[#This Row],[BO UNIT TRANSFER]],LS[[#Headers],[Investor ID]]:LS[[#This Row],[Investor ID]],LS[[#This Row],[Investor ID]])</f>
        <v>0</v>
      </c>
    </row>
    <row r="1187" spans="1:23">
      <c r="A1187" s="101">
        <v>2025</v>
      </c>
      <c r="B1187" s="101">
        <v>8</v>
      </c>
      <c r="C1187" s="101">
        <v>13</v>
      </c>
      <c r="D1187" s="98">
        <f>DATE(LS[[#This Row],[Year]],LS[[#This Row],[Month]],LS[[#This Row],[Day]])</f>
        <v>45882</v>
      </c>
      <c r="E1187" s="99" t="str" cm="1">
        <f t="array" ref="E1187">INDEX(INVESTORS_LIST[INVESTOR NAME],MATCH(LS[[#This Row],[Investor ID]],INVESTORS_LIST[INVESTOR CODE],0),)</f>
        <v>MD ZAHIR RAYHAN</v>
      </c>
      <c r="F1187" s="100" t="s">
        <v>1346</v>
      </c>
      <c r="G1187" s="101">
        <f>COUNTIF(LS[[#Headers],[Investor ID]]:LS[[#This Row],[Investor ID]],LS[[#This Row],[Investor ID]])</f>
        <v>2</v>
      </c>
      <c r="H1187" s="101" t="str">
        <f>CONCATENATE(LS[[#This Row],[Frequency]],LS[[#This Row],[Investor ID]])</f>
        <v>2A00619</v>
      </c>
      <c r="I1187" s="75" t="str">
        <f>IF(LS[[#This Row],[B/S]]="B","BUY",(IF(LS[[#This Row],[B/S]]="S","SELL"," ")))</f>
        <v>SELL</v>
      </c>
      <c r="J1187" s="101" t="s">
        <v>1231</v>
      </c>
      <c r="K1187" s="102">
        <v>-309024.40000000002</v>
      </c>
      <c r="L1187" s="99"/>
      <c r="M1187" s="103">
        <f>LS[[#This Row],[Amount]]/LS[[#This Row],[Unit]]</f>
        <v>12.918000167210101</v>
      </c>
      <c r="N1187" s="104">
        <f>LS[[#This Row],[Unit Capital]]/10</f>
        <v>-23922</v>
      </c>
      <c r="O1187" s="104">
        <f>SUMIFS(LS[[#Headers],[Unit]]:LS[[#This Row],[Unit]],LS[[#Headers],[Investor ID]]:LS[[#This Row],[Investor ID]],LS[[#This Row],[Investor ID]])</f>
        <v>0</v>
      </c>
      <c r="P1187" s="102">
        <v>-239220</v>
      </c>
      <c r="Q1187" s="102">
        <f>LS[[#This Row],[Amount]]-LS[[#This Row],[Unit Capital]]</f>
        <v>-69804.400000000023</v>
      </c>
      <c r="R11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87" s="103">
        <f t="shared" si="18"/>
        <v>14.224</v>
      </c>
      <c r="T1187" s="102">
        <f>IF(LS[[#This Row],[B/S]]="B",0,ABS(LS[[#This Row],[Unit]])*(LS[[#This Row],[NAV (Strike Rate)]]-INDEX(LS[NAV at Cost (Average)],MATCH(CONCATENATE(LS[[#This Row],[Frequency]]-1,LS[[#This Row],[Investor ID]]),LS[Unique Code],0),)))</f>
        <v>9024.4000000000233</v>
      </c>
      <c r="U1187" s="102" cm="1">
        <f t="array" ref="U1187">IF(LS[[#This Row],[B/S]]="S",ABS(LS[[#This Row],[Unit]])*(INDEX(LS[NAV at Cost (Average)],MATCH(CONCATENATE((LS[[#This Row],[Frequency]]-1),LS[[#This Row],[Investor ID]]),LS[Unique Code],0),0)),0)</f>
        <v>300000</v>
      </c>
      <c r="V1187" s="102">
        <f>IF(LS[[#This Row],[BO TRANSFER]]="YES",LS[[#This Row],[Unit]],)</f>
        <v>0</v>
      </c>
      <c r="W1187" s="102">
        <f>SUMIFS(LS[[#Headers],[BO UNIT TRANSFER]]:LS[[#This Row],[BO UNIT TRANSFER]],LS[[#Headers],[Investor ID]]:LS[[#This Row],[Investor ID]],LS[[#This Row],[Investor ID]])</f>
        <v>0</v>
      </c>
    </row>
    <row r="1188" spans="1:23">
      <c r="A1188" s="101">
        <v>2025</v>
      </c>
      <c r="B1188" s="101">
        <v>8</v>
      </c>
      <c r="C1188" s="101">
        <v>13</v>
      </c>
      <c r="D1188" s="98">
        <f>DATE(LS[[#This Row],[Year]],LS[[#This Row],[Month]],LS[[#This Row],[Day]])</f>
        <v>45882</v>
      </c>
      <c r="E1188" s="99" t="str" cm="1">
        <f t="array" ref="E1188">INDEX(INVESTORS_LIST[INVESTOR NAME],MATCH(LS[[#This Row],[Investor ID]],INVESTORS_LIST[INVESTOR CODE],0),)</f>
        <v>SHARMIN AKTER</v>
      </c>
      <c r="F1188" s="100" t="s">
        <v>1342</v>
      </c>
      <c r="G1188" s="101">
        <f>COUNTIF(LS[[#Headers],[Investor ID]]:LS[[#This Row],[Investor ID]],LS[[#This Row],[Investor ID]])</f>
        <v>3</v>
      </c>
      <c r="H1188" s="101" t="str">
        <f>CONCATENATE(LS[[#This Row],[Frequency]],LS[[#This Row],[Investor ID]])</f>
        <v>3A00617</v>
      </c>
      <c r="I1188" s="75" t="str">
        <f>IF(LS[[#This Row],[B/S]]="B","BUY",(IF(LS[[#This Row],[B/S]]="S","SELL"," ")))</f>
        <v>BUY</v>
      </c>
      <c r="J1188" s="101" t="s">
        <v>1229</v>
      </c>
      <c r="K1188" s="102">
        <v>300000</v>
      </c>
      <c r="L1188" s="99"/>
      <c r="M1188" s="103">
        <f>LS[[#This Row],[Amount]]/LS[[#This Row],[Unit]]</f>
        <v>12.918227619170651</v>
      </c>
      <c r="N1188" s="104">
        <f>LS[[#This Row],[Unit Capital]]/10</f>
        <v>23223</v>
      </c>
      <c r="O1188" s="104">
        <f>SUMIFS(LS[[#Headers],[Unit]]:LS[[#This Row],[Unit]],LS[[#Headers],[Investor ID]]:LS[[#This Row],[Investor ID]],LS[[#This Row],[Investor ID]])</f>
        <v>50881</v>
      </c>
      <c r="P1188" s="102">
        <v>232230</v>
      </c>
      <c r="Q1188" s="102">
        <f>LS[[#This Row],[Amount]]-LS[[#This Row],[Unit Capital]]</f>
        <v>67770</v>
      </c>
      <c r="R11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12.774906153574026</v>
      </c>
      <c r="S1188" s="103">
        <f t="shared" si="18"/>
        <v>14.224</v>
      </c>
      <c r="T11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88" s="102" cm="1">
        <f t="array" ref="U1188">IF(LS[[#This Row],[B/S]]="S",ABS(LS[[#This Row],[Unit]])*(INDEX(LS[NAV at Cost (Average)],MATCH(CONCATENATE((LS[[#This Row],[Frequency]]-1),LS[[#This Row],[Investor ID]]),LS[Unique Code],0),0)),0)</f>
        <v>0</v>
      </c>
      <c r="V1188" s="102">
        <f>IF(LS[[#This Row],[BO TRANSFER]]="YES",LS[[#This Row],[Unit]],)</f>
        <v>0</v>
      </c>
      <c r="W1188" s="102">
        <f>SUMIFS(LS[[#Headers],[BO UNIT TRANSFER]]:LS[[#This Row],[BO UNIT TRANSFER]],LS[[#Headers],[Investor ID]]:LS[[#This Row],[Investor ID]],LS[[#This Row],[Investor ID]])</f>
        <v>0</v>
      </c>
    </row>
    <row r="1189" spans="1:23">
      <c r="A1189" s="101">
        <v>2025</v>
      </c>
      <c r="B1189" s="101">
        <v>8</v>
      </c>
      <c r="C1189" s="101">
        <v>13</v>
      </c>
      <c r="D1189" s="98">
        <f>DATE(LS[[#This Row],[Year]],LS[[#This Row],[Month]],LS[[#This Row],[Day]])</f>
        <v>45882</v>
      </c>
      <c r="E1189" s="99" t="str" cm="1">
        <f t="array" ref="E1189">INDEX(INVESTORS_LIST[INVESTOR NAME],MATCH(LS[[#This Row],[Investor ID]],INVESTORS_LIST[INVESTOR CODE],0),)</f>
        <v>EDGE HIGH QUALITY INCOME FUND</v>
      </c>
      <c r="F1189" s="97" t="s">
        <v>976</v>
      </c>
      <c r="G1189" s="101">
        <f>COUNTIF(LS[[#Headers],[Investor ID]]:LS[[#This Row],[Investor ID]],LS[[#This Row],[Investor ID]])</f>
        <v>5</v>
      </c>
      <c r="H1189" s="101" t="str">
        <f>CONCATENATE(LS[[#This Row],[Frequency]],LS[[#This Row],[Investor ID]])</f>
        <v>5A00465</v>
      </c>
      <c r="I1189" s="75" t="str">
        <f>IF(LS[[#This Row],[B/S]]="B","BUY",(IF(LS[[#This Row],[B/S]]="S","SELL"," ")))</f>
        <v>SELL</v>
      </c>
      <c r="J1189" s="101" t="s">
        <v>1231</v>
      </c>
      <c r="K1189" s="102">
        <v>-9001262.4000000004</v>
      </c>
      <c r="L1189" s="99" t="s">
        <v>1230</v>
      </c>
      <c r="M1189" s="103">
        <f>LS[[#This Row],[Amount]]/LS[[#This Row],[Unit]]</f>
        <v>12.918000000000001</v>
      </c>
      <c r="N1189" s="104">
        <f>LS[[#This Row],[Unit Capital]]/10</f>
        <v>-696800</v>
      </c>
      <c r="O1189" s="104">
        <f>SUMIFS(LS[[#Headers],[Unit]]:LS[[#This Row],[Unit]],LS[[#Headers],[Investor ID]]:LS[[#This Row],[Investor ID]],LS[[#This Row],[Investor ID]])</f>
        <v>2303200</v>
      </c>
      <c r="P1189" s="102">
        <v>-6968000</v>
      </c>
      <c r="Q1189" s="102">
        <f>LS[[#This Row],[Amount]]-LS[[#This Row],[Unit Capital]]</f>
        <v>-2033262.4000000004</v>
      </c>
      <c r="R11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11.587596446153846</v>
      </c>
      <c r="S1189" s="103">
        <f t="shared" si="18"/>
        <v>14.224</v>
      </c>
      <c r="T1189" s="102">
        <f>IF(LS[[#This Row],[B/S]]="B",0,ABS(LS[[#This Row],[Unit]])*(LS[[#This Row],[NAV (Strike Rate)]]-INDEX(LS[NAV at Cost (Average)],MATCH(CONCATENATE(LS[[#This Row],[Frequency]]-1,LS[[#This Row],[Investor ID]]),LS[Unique Code],0),)))</f>
        <v>927025.19632000092</v>
      </c>
      <c r="U1189" s="102" cm="1">
        <f t="array" ref="U1189">IF(LS[[#This Row],[B/S]]="S",ABS(LS[[#This Row],[Unit]])*(INDEX(LS[NAV at Cost (Average)],MATCH(CONCATENATE((LS[[#This Row],[Frequency]]-1),LS[[#This Row],[Investor ID]]),LS[Unique Code],0),0)),0)</f>
        <v>8074237.2036800003</v>
      </c>
      <c r="V1189" s="102">
        <f>IF(LS[[#This Row],[BO TRANSFER]]="YES",LS[[#This Row],[Unit]],)</f>
        <v>-696800</v>
      </c>
      <c r="W1189" s="102">
        <f>SUMIFS(LS[[#Headers],[BO UNIT TRANSFER]]:LS[[#This Row],[BO UNIT TRANSFER]],LS[[#Headers],[Investor ID]]:LS[[#This Row],[Investor ID]],LS[[#This Row],[Investor ID]])</f>
        <v>2303200</v>
      </c>
    </row>
    <row r="1190" spans="1:23">
      <c r="A1190" s="101">
        <v>2025</v>
      </c>
      <c r="B1190" s="101">
        <v>8</v>
      </c>
      <c r="C1190" s="101">
        <v>13</v>
      </c>
      <c r="D1190" s="98">
        <f>DATE(LS[[#This Row],[Year]],LS[[#This Row],[Month]],LS[[#This Row],[Day]])</f>
        <v>45882</v>
      </c>
      <c r="E1190" s="99" t="str" cm="1">
        <f t="array" ref="E1190">INDEX(INVESTORS_LIST[INVESTOR NAME],MATCH(LS[[#This Row],[Investor ID]],INVESTORS_LIST[INVESTOR CODE],0),)</f>
        <v>ANONYA CHOWDHURY HIYA</v>
      </c>
      <c r="F1190" s="100" t="s">
        <v>1402</v>
      </c>
      <c r="G1190" s="101">
        <f>COUNTIF(LS[[#Headers],[Investor ID]]:LS[[#This Row],[Investor ID]],LS[[#This Row],[Investor ID]])</f>
        <v>3</v>
      </c>
      <c r="H1190" s="101" t="str">
        <f>CONCATENATE(LS[[#This Row],[Frequency]],LS[[#This Row],[Investor ID]])</f>
        <v>3A00644</v>
      </c>
      <c r="I1190" s="75" t="str">
        <f>IF(LS[[#This Row],[B/S]]="B","BUY",(IF(LS[[#This Row],[B/S]]="S","SELL"," ")))</f>
        <v>BUY</v>
      </c>
      <c r="J1190" s="101" t="s">
        <v>1229</v>
      </c>
      <c r="K1190" s="102">
        <v>800000</v>
      </c>
      <c r="L1190" s="99"/>
      <c r="M1190" s="103">
        <f>LS[[#This Row],[Amount]]/LS[[#This Row],[Unit]]</f>
        <v>12.91801902178301</v>
      </c>
      <c r="N1190" s="104">
        <f>LS[[#This Row],[Unit Capital]]/10</f>
        <v>61929</v>
      </c>
      <c r="O1190" s="104">
        <f>SUMIFS(LS[[#Headers],[Unit]]:LS[[#This Row],[Unit]],LS[[#Headers],[Investor ID]]:LS[[#This Row],[Investor ID]],LS[[#This Row],[Investor ID]])</f>
        <v>139382</v>
      </c>
      <c r="P1190" s="102">
        <v>619290</v>
      </c>
      <c r="Q1190" s="102">
        <f>LS[[#This Row],[Amount]]-LS[[#This Row],[Unit Capital]]</f>
        <v>180710</v>
      </c>
      <c r="R11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12.732407424543691</v>
      </c>
      <c r="S1190" s="103">
        <f t="shared" si="18"/>
        <v>14.224</v>
      </c>
      <c r="T119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0" s="102" cm="1">
        <f t="array" ref="U1190">IF(LS[[#This Row],[B/S]]="S",ABS(LS[[#This Row],[Unit]])*(INDEX(LS[NAV at Cost (Average)],MATCH(CONCATENATE((LS[[#This Row],[Frequency]]-1),LS[[#This Row],[Investor ID]]),LS[Unique Code],0),0)),0)</f>
        <v>0</v>
      </c>
      <c r="V1190" s="102">
        <f>IF(LS[[#This Row],[BO TRANSFER]]="YES",LS[[#This Row],[Unit]],)</f>
        <v>0</v>
      </c>
      <c r="W1190" s="102">
        <f>SUMIFS(LS[[#Headers],[BO UNIT TRANSFER]]:LS[[#This Row],[BO UNIT TRANSFER]],LS[[#Headers],[Investor ID]]:LS[[#This Row],[Investor ID]],LS[[#This Row],[Investor ID]])</f>
        <v>0</v>
      </c>
    </row>
    <row r="1191" spans="1:23">
      <c r="A1191" s="101">
        <v>2025</v>
      </c>
      <c r="B1191" s="101">
        <v>8</v>
      </c>
      <c r="C1191" s="101">
        <v>14</v>
      </c>
      <c r="D1191" s="98">
        <f>DATE(LS[[#This Row],[Year]],LS[[#This Row],[Month]],LS[[#This Row],[Day]])</f>
        <v>45883</v>
      </c>
      <c r="E1191" s="99" t="str" cm="1">
        <f t="array" ref="E1191">INDEX(INVESTORS_LIST[INVESTOR NAME],MATCH(LS[[#This Row],[Investor ID]],INVESTORS_LIST[INVESTOR CODE],0),)</f>
        <v>MD. ARIFUL ISLAM</v>
      </c>
      <c r="F1191" s="100" t="s">
        <v>222</v>
      </c>
      <c r="G1191" s="101">
        <f>COUNTIF(LS[[#Headers],[Investor ID]]:LS[[#This Row],[Investor ID]],LS[[#This Row],[Investor ID]])</f>
        <v>2</v>
      </c>
      <c r="H1191" s="101" t="str">
        <f>CONCATENATE(LS[[#This Row],[Frequency]],LS[[#This Row],[Investor ID]])</f>
        <v>2A00087</v>
      </c>
      <c r="I1191" s="75" t="str">
        <f>IF(LS[[#This Row],[B/S]]="B","BUY",(IF(LS[[#This Row],[B/S]]="S","SELL"," ")))</f>
        <v>SELL</v>
      </c>
      <c r="J1191" s="101" t="s">
        <v>1231</v>
      </c>
      <c r="K1191" s="102">
        <v>-261163.20600000001</v>
      </c>
      <c r="L1191" s="99"/>
      <c r="M1191" s="103">
        <f>LS[[#This Row],[Amount]]/LS[[#This Row],[Unit]]</f>
        <v>12.918000000000001</v>
      </c>
      <c r="N1191" s="104">
        <f>LS[[#This Row],[Unit Capital]]/10</f>
        <v>-20217</v>
      </c>
      <c r="O1191" s="104">
        <f>SUMIFS(LS[[#Headers],[Unit]]:LS[[#This Row],[Unit]],LS[[#Headers],[Investor ID]]:LS[[#This Row],[Investor ID]],LS[[#This Row],[Investor ID]])</f>
        <v>0</v>
      </c>
      <c r="P1191" s="102">
        <v>-202170</v>
      </c>
      <c r="Q1191" s="102">
        <f>LS[[#This Row],[Amount]]-LS[[#This Row],[Unit Capital]]</f>
        <v>-58993.206000000006</v>
      </c>
      <c r="R11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91" s="103">
        <f t="shared" si="18"/>
        <v>14.224</v>
      </c>
      <c r="T1191" s="102">
        <f>IF(LS[[#This Row],[B/S]]="B",0,ABS(LS[[#This Row],[Unit]])*(LS[[#This Row],[NAV (Strike Rate)]]-INDEX(LS[NAV at Cost (Average)],MATCH(CONCATENATE(LS[[#This Row],[Frequency]]-1,LS[[#This Row],[Investor ID]]),LS[Unique Code],0),)))</f>
        <v>11163.206000000004</v>
      </c>
      <c r="U1191" s="102" cm="1">
        <f t="array" ref="U1191">IF(LS[[#This Row],[B/S]]="S",ABS(LS[[#This Row],[Unit]])*(INDEX(LS[NAV at Cost (Average)],MATCH(CONCATENATE((LS[[#This Row],[Frequency]]-1),LS[[#This Row],[Investor ID]]),LS[Unique Code],0),0)),0)</f>
        <v>250000.00000000003</v>
      </c>
      <c r="V1191" s="102">
        <f>IF(LS[[#This Row],[BO TRANSFER]]="YES",LS[[#This Row],[Unit]],)</f>
        <v>0</v>
      </c>
      <c r="W1191" s="102">
        <f>SUMIFS(LS[[#Headers],[BO UNIT TRANSFER]]:LS[[#This Row],[BO UNIT TRANSFER]],LS[[#Headers],[Investor ID]]:LS[[#This Row],[Investor ID]],LS[[#This Row],[Investor ID]])</f>
        <v>0</v>
      </c>
    </row>
    <row r="1192" spans="1:23">
      <c r="A1192" s="101">
        <v>2025</v>
      </c>
      <c r="B1192" s="101">
        <v>8</v>
      </c>
      <c r="C1192" s="101">
        <v>14</v>
      </c>
      <c r="D1192" s="98">
        <f>DATE(LS[[#This Row],[Year]],LS[[#This Row],[Month]],LS[[#This Row],[Day]])</f>
        <v>45883</v>
      </c>
      <c r="E1192" s="99" t="str" cm="1">
        <f t="array" ref="E1192">INDEX(INVESTORS_LIST[INVESTOR NAME],MATCH(LS[[#This Row],[Investor ID]],INVESTORS_LIST[INVESTOR CODE],0),)</f>
        <v>MAHFUZUL ISLAM &amp; HUMAIRA TABASSUM READDHE</v>
      </c>
      <c r="F1192" s="100" t="s">
        <v>1315</v>
      </c>
      <c r="G1192" s="101">
        <f>COUNTIF(LS[[#Headers],[Investor ID]]:LS[[#This Row],[Investor ID]],LS[[#This Row],[Investor ID]])</f>
        <v>3</v>
      </c>
      <c r="H1192" s="101" t="str">
        <f>CONCATENATE(LS[[#This Row],[Frequency]],LS[[#This Row],[Investor ID]])</f>
        <v>3A00605</v>
      </c>
      <c r="I1192" s="75" t="str">
        <f>IF(LS[[#This Row],[B/S]]="B","BUY",(IF(LS[[#This Row],[B/S]]="S","SELL"," ")))</f>
        <v>SELL</v>
      </c>
      <c r="J1192" s="101" t="s">
        <v>1231</v>
      </c>
      <c r="K1192" s="102">
        <v>-94378.907999999996</v>
      </c>
      <c r="L1192" s="99"/>
      <c r="M1192" s="103">
        <f>LS[[#This Row],[Amount]]/LS[[#This Row],[Unit]]</f>
        <v>12.917999999999999</v>
      </c>
      <c r="N1192" s="104">
        <f>LS[[#This Row],[Unit Capital]]/10</f>
        <v>-7306</v>
      </c>
      <c r="O1192" s="104">
        <f>SUMIFS(LS[[#Headers],[Unit]]:LS[[#This Row],[Unit]],LS[[#Headers],[Investor ID]]:LS[[#This Row],[Investor ID]],LS[[#This Row],[Investor ID]])</f>
        <v>0</v>
      </c>
      <c r="P1192" s="102">
        <v>-73060</v>
      </c>
      <c r="Q1192" s="102">
        <f>LS[[#This Row],[Amount]]-LS[[#This Row],[Unit Capital]]</f>
        <v>-21318.907999999996</v>
      </c>
      <c r="R11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192" s="103">
        <f t="shared" si="18"/>
        <v>14.224</v>
      </c>
      <c r="T1192" s="102">
        <f>IF(LS[[#This Row],[B/S]]="B",0,ABS(LS[[#This Row],[Unit]])*(LS[[#This Row],[NAV (Strike Rate)]]-INDEX(LS[NAV at Cost (Average)],MATCH(CONCATENATE(LS[[#This Row],[Frequency]]-1,LS[[#This Row],[Investor ID]]),LS[Unique Code],0),)))</f>
        <v>3678.9080000000004</v>
      </c>
      <c r="U1192" s="102" cm="1">
        <f t="array" ref="U1192">IF(LS[[#This Row],[B/S]]="S",ABS(LS[[#This Row],[Unit]])*(INDEX(LS[NAV at Cost (Average)],MATCH(CONCATENATE((LS[[#This Row],[Frequency]]-1),LS[[#This Row],[Investor ID]]),LS[Unique Code],0),0)),0)</f>
        <v>90700</v>
      </c>
      <c r="V1192" s="102">
        <f>IF(LS[[#This Row],[BO TRANSFER]]="YES",LS[[#This Row],[Unit]],)</f>
        <v>0</v>
      </c>
      <c r="W1192" s="102">
        <f>SUMIFS(LS[[#Headers],[BO UNIT TRANSFER]]:LS[[#This Row],[BO UNIT TRANSFER]],LS[[#Headers],[Investor ID]]:LS[[#This Row],[Investor ID]],LS[[#This Row],[Investor ID]])</f>
        <v>0</v>
      </c>
    </row>
    <row r="1193" spans="1:23">
      <c r="A1193" s="101">
        <v>2025</v>
      </c>
      <c r="B1193" s="101">
        <v>8</v>
      </c>
      <c r="C1193" s="101">
        <v>14</v>
      </c>
      <c r="D1193" s="98">
        <f>DATE(LS[[#This Row],[Year]],LS[[#This Row],[Month]],LS[[#This Row],[Day]])</f>
        <v>45883</v>
      </c>
      <c r="E1193" s="99" t="str" cm="1">
        <f t="array" ref="E1193">INDEX(INVESTORS_LIST[INVESTOR NAME],MATCH(LS[[#This Row],[Investor ID]],INVESTORS_LIST[INVESTOR CODE],0),)</f>
        <v>SYEDUL TANVIR HOQUE PRIYAM</v>
      </c>
      <c r="F1193" s="224" t="s">
        <v>1424</v>
      </c>
      <c r="G1193" s="101">
        <f>COUNTIF(LS[[#Headers],[Investor ID]]:LS[[#This Row],[Investor ID]],LS[[#This Row],[Investor ID]])</f>
        <v>1</v>
      </c>
      <c r="H1193" s="101" t="str">
        <f>CONCATENATE(LS[[#This Row],[Frequency]],LS[[#This Row],[Investor ID]])</f>
        <v>1A00656</v>
      </c>
      <c r="I1193" s="75" t="str">
        <f>IF(LS[[#This Row],[B/S]]="B","BUY",(IF(LS[[#This Row],[B/S]]="S","SELL"," ")))</f>
        <v>BUY</v>
      </c>
      <c r="J1193" s="101" t="s">
        <v>1229</v>
      </c>
      <c r="K1193" s="102">
        <v>500000</v>
      </c>
      <c r="L1193" s="99"/>
      <c r="M1193" s="103">
        <f>LS[[#This Row],[Amount]]/LS[[#This Row],[Unit]]</f>
        <v>12.917893866583992</v>
      </c>
      <c r="N1193" s="104">
        <f>LS[[#This Row],[Unit Capital]]/10</f>
        <v>38706</v>
      </c>
      <c r="O1193" s="104">
        <f>SUMIFS(LS[[#Headers],[Unit]]:LS[[#This Row],[Unit]],LS[[#Headers],[Investor ID]]:LS[[#This Row],[Investor ID]],LS[[#This Row],[Investor ID]])</f>
        <v>38706</v>
      </c>
      <c r="P1193" s="102">
        <v>387060</v>
      </c>
      <c r="Q1193" s="102">
        <f>LS[[#This Row],[Amount]]-LS[[#This Row],[Unit Capital]]</f>
        <v>112940</v>
      </c>
      <c r="R11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12.917893866583992</v>
      </c>
      <c r="S1193" s="103">
        <f t="shared" si="18"/>
        <v>14.224</v>
      </c>
      <c r="T119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3" s="102" cm="1">
        <f t="array" ref="U1193">IF(LS[[#This Row],[B/S]]="S",ABS(LS[[#This Row],[Unit]])*(INDEX(LS[NAV at Cost (Average)],MATCH(CONCATENATE((LS[[#This Row],[Frequency]]-1),LS[[#This Row],[Investor ID]]),LS[Unique Code],0),0)),0)</f>
        <v>0</v>
      </c>
      <c r="V1193" s="102">
        <f>IF(LS[[#This Row],[BO TRANSFER]]="YES",LS[[#This Row],[Unit]],)</f>
        <v>0</v>
      </c>
      <c r="W1193" s="102">
        <f>SUMIFS(LS[[#Headers],[BO UNIT TRANSFER]]:LS[[#This Row],[BO UNIT TRANSFER]],LS[[#Headers],[Investor ID]]:LS[[#This Row],[Investor ID]],LS[[#This Row],[Investor ID]])</f>
        <v>0</v>
      </c>
    </row>
    <row r="1194" spans="1:23">
      <c r="A1194" s="101">
        <v>2025</v>
      </c>
      <c r="B1194" s="101">
        <v>8</v>
      </c>
      <c r="C1194" s="101">
        <v>14</v>
      </c>
      <c r="D1194" s="98">
        <f>DATE(LS[[#This Row],[Year]],LS[[#This Row],[Month]],LS[[#This Row],[Day]])</f>
        <v>45883</v>
      </c>
      <c r="E1194" s="99" t="str" cm="1">
        <f t="array" ref="E1194">INDEX(INVESTORS_LIST[INVESTOR NAME],MATCH(LS[[#This Row],[Investor ID]],INVESTORS_LIST[INVESTOR CODE],0),)</f>
        <v>SYEDUL TANVIR HOQUE PRIYAM</v>
      </c>
      <c r="F1194" s="224" t="s">
        <v>1424</v>
      </c>
      <c r="G1194" s="101">
        <f>COUNTIF(LS[[#Headers],[Investor ID]]:LS[[#This Row],[Investor ID]],LS[[#This Row],[Investor ID]])</f>
        <v>2</v>
      </c>
      <c r="H1194" s="101" t="str">
        <f>CONCATENATE(LS[[#This Row],[Frequency]],LS[[#This Row],[Investor ID]])</f>
        <v>2A00656</v>
      </c>
      <c r="I1194" s="75" t="str">
        <f>IF(LS[[#This Row],[B/S]]="B","BUY",(IF(LS[[#This Row],[B/S]]="S","SELL"," ")))</f>
        <v>BUY</v>
      </c>
      <c r="J1194" s="101" t="s">
        <v>1229</v>
      </c>
      <c r="K1194" s="102">
        <v>500000</v>
      </c>
      <c r="L1194" s="99"/>
      <c r="M1194" s="103">
        <f>LS[[#This Row],[Amount]]/LS[[#This Row],[Unit]]</f>
        <v>12.917893866583992</v>
      </c>
      <c r="N1194" s="104">
        <f>LS[[#This Row],[Unit Capital]]/10</f>
        <v>38706</v>
      </c>
      <c r="O1194" s="104">
        <f>SUMIFS(LS[[#Headers],[Unit]]:LS[[#This Row],[Unit]],LS[[#Headers],[Investor ID]]:LS[[#This Row],[Investor ID]],LS[[#This Row],[Investor ID]])</f>
        <v>77412</v>
      </c>
      <c r="P1194" s="102">
        <v>387060</v>
      </c>
      <c r="Q1194" s="102">
        <f>LS[[#This Row],[Amount]]-LS[[#This Row],[Unit Capital]]</f>
        <v>112940</v>
      </c>
      <c r="R11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12.917893866583992</v>
      </c>
      <c r="S1194" s="103">
        <f t="shared" si="18"/>
        <v>14.224</v>
      </c>
      <c r="T11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4" s="102" cm="1">
        <f t="array" ref="U1194">IF(LS[[#This Row],[B/S]]="S",ABS(LS[[#This Row],[Unit]])*(INDEX(LS[NAV at Cost (Average)],MATCH(CONCATENATE((LS[[#This Row],[Frequency]]-1),LS[[#This Row],[Investor ID]]),LS[Unique Code],0),0)),0)</f>
        <v>0</v>
      </c>
      <c r="V1194" s="102">
        <f>IF(LS[[#This Row],[BO TRANSFER]]="YES",LS[[#This Row],[Unit]],)</f>
        <v>0</v>
      </c>
      <c r="W1194" s="102">
        <f>SUMIFS(LS[[#Headers],[BO UNIT TRANSFER]]:LS[[#This Row],[BO UNIT TRANSFER]],LS[[#Headers],[Investor ID]]:LS[[#This Row],[Investor ID]],LS[[#This Row],[Investor ID]])</f>
        <v>0</v>
      </c>
    </row>
    <row r="1195" spans="1:23">
      <c r="A1195" s="101">
        <v>2025</v>
      </c>
      <c r="B1195" s="101">
        <v>8</v>
      </c>
      <c r="C1195" s="101">
        <v>14</v>
      </c>
      <c r="D1195" s="98">
        <f>DATE(LS[[#This Row],[Year]],LS[[#This Row],[Month]],LS[[#This Row],[Day]])</f>
        <v>45883</v>
      </c>
      <c r="E1195" s="99" t="str" cm="1">
        <f t="array" ref="E1195">INDEX(INVESTORS_LIST[INVESTOR NAME],MATCH(LS[[#This Row],[Investor ID]],INVESTORS_LIST[INVESTOR CODE],0),)</f>
        <v>SYEDUL TANVIR HOQUE PRIYAM</v>
      </c>
      <c r="F1195" s="224" t="s">
        <v>1424</v>
      </c>
      <c r="G1195" s="101">
        <f>COUNTIF(LS[[#Headers],[Investor ID]]:LS[[#This Row],[Investor ID]],LS[[#This Row],[Investor ID]])</f>
        <v>3</v>
      </c>
      <c r="H1195" s="101" t="str">
        <f>CONCATENATE(LS[[#This Row],[Frequency]],LS[[#This Row],[Investor ID]])</f>
        <v>3A00656</v>
      </c>
      <c r="I1195" s="75" t="str">
        <f>IF(LS[[#This Row],[B/S]]="B","BUY",(IF(LS[[#This Row],[B/S]]="S","SELL"," ")))</f>
        <v>BUY</v>
      </c>
      <c r="J1195" s="101" t="s">
        <v>1229</v>
      </c>
      <c r="K1195" s="102">
        <v>300000</v>
      </c>
      <c r="L1195" s="99"/>
      <c r="M1195" s="103">
        <f>LS[[#This Row],[Amount]]/LS[[#This Row],[Unit]]</f>
        <v>12.918227619170651</v>
      </c>
      <c r="N1195" s="104">
        <f>LS[[#This Row],[Unit Capital]]/10</f>
        <v>23223</v>
      </c>
      <c r="O1195" s="104">
        <f>SUMIFS(LS[[#Headers],[Unit]]:LS[[#This Row],[Unit]],LS[[#Headers],[Investor ID]]:LS[[#This Row],[Investor ID]],LS[[#This Row],[Investor ID]])</f>
        <v>100635</v>
      </c>
      <c r="P1195" s="102">
        <v>232230</v>
      </c>
      <c r="Q1195" s="102">
        <f>LS[[#This Row],[Amount]]-LS[[#This Row],[Unit Capital]]</f>
        <v>67770</v>
      </c>
      <c r="R11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12.917970884881006</v>
      </c>
      <c r="S1195" s="103">
        <f t="shared" si="18"/>
        <v>14.224</v>
      </c>
      <c r="T11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5" s="102" cm="1">
        <f t="array" ref="U1195">IF(LS[[#This Row],[B/S]]="S",ABS(LS[[#This Row],[Unit]])*(INDEX(LS[NAV at Cost (Average)],MATCH(CONCATENATE((LS[[#This Row],[Frequency]]-1),LS[[#This Row],[Investor ID]]),LS[Unique Code],0),0)),0)</f>
        <v>0</v>
      </c>
      <c r="V1195" s="102">
        <f>IF(LS[[#This Row],[BO TRANSFER]]="YES",LS[[#This Row],[Unit]],)</f>
        <v>0</v>
      </c>
      <c r="W1195" s="102">
        <f>SUMIFS(LS[[#Headers],[BO UNIT TRANSFER]]:LS[[#This Row],[BO UNIT TRANSFER]],LS[[#Headers],[Investor ID]]:LS[[#This Row],[Investor ID]],LS[[#This Row],[Investor ID]])</f>
        <v>0</v>
      </c>
    </row>
    <row r="1196" spans="1:23">
      <c r="A1196" s="101">
        <v>2025</v>
      </c>
      <c r="B1196" s="101">
        <v>8</v>
      </c>
      <c r="C1196" s="101">
        <v>14</v>
      </c>
      <c r="D1196" s="98">
        <f>DATE(LS[[#This Row],[Year]],LS[[#This Row],[Month]],LS[[#This Row],[Day]])</f>
        <v>45883</v>
      </c>
      <c r="E1196" s="99" t="str" cm="1">
        <f t="array" ref="E1196">INDEX(INVESTORS_LIST[INVESTOR NAME],MATCH(LS[[#This Row],[Investor ID]],INVESTORS_LIST[INVESTOR CODE],0),)</f>
        <v>SYEDUL TANVIR HOQUE PRIYAM</v>
      </c>
      <c r="F1196" s="224" t="s">
        <v>1424</v>
      </c>
      <c r="G1196" s="101">
        <f>COUNTIF(LS[[#Headers],[Investor ID]]:LS[[#This Row],[Investor ID]],LS[[#This Row],[Investor ID]])</f>
        <v>4</v>
      </c>
      <c r="H1196" s="101" t="str">
        <f>CONCATENATE(LS[[#This Row],[Frequency]],LS[[#This Row],[Investor ID]])</f>
        <v>4A00656</v>
      </c>
      <c r="I1196" s="75" t="str">
        <f>IF(LS[[#This Row],[B/S]]="B","BUY",(IF(LS[[#This Row],[B/S]]="S","SELL"," ")))</f>
        <v>BUY</v>
      </c>
      <c r="J1196" s="101" t="s">
        <v>1229</v>
      </c>
      <c r="K1196" s="102">
        <v>100000</v>
      </c>
      <c r="L1196" s="99"/>
      <c r="M1196" s="103">
        <f>LS[[#This Row],[Amount]]/LS[[#This Row],[Unit]]</f>
        <v>12.918227619170651</v>
      </c>
      <c r="N1196" s="104">
        <f>LS[[#This Row],[Unit Capital]]/10</f>
        <v>7741</v>
      </c>
      <c r="O1196" s="104">
        <f>SUMIFS(LS[[#Headers],[Unit]]:LS[[#This Row],[Unit]],LS[[#Headers],[Investor ID]]:LS[[#This Row],[Investor ID]],LS[[#This Row],[Investor ID]])</f>
        <v>108376</v>
      </c>
      <c r="P1196" s="102">
        <v>77410</v>
      </c>
      <c r="Q1196" s="102">
        <f>LS[[#This Row],[Amount]]-LS[[#This Row],[Unit Capital]]</f>
        <v>22590</v>
      </c>
      <c r="R11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196" s="103">
        <f t="shared" si="18"/>
        <v>14.224</v>
      </c>
      <c r="T119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6" s="102" cm="1">
        <f t="array" ref="U1196">IF(LS[[#This Row],[B/S]]="S",ABS(LS[[#This Row],[Unit]])*(INDEX(LS[NAV at Cost (Average)],MATCH(CONCATENATE((LS[[#This Row],[Frequency]]-1),LS[[#This Row],[Investor ID]]),LS[Unique Code],0),0)),0)</f>
        <v>0</v>
      </c>
      <c r="V1196" s="102">
        <f>IF(LS[[#This Row],[BO TRANSFER]]="YES",LS[[#This Row],[Unit]],)</f>
        <v>0</v>
      </c>
      <c r="W1196" s="102">
        <f>SUMIFS(LS[[#Headers],[BO UNIT TRANSFER]]:LS[[#This Row],[BO UNIT TRANSFER]],LS[[#Headers],[Investor ID]]:LS[[#This Row],[Investor ID]],LS[[#This Row],[Investor ID]])</f>
        <v>0</v>
      </c>
    </row>
    <row r="1197" spans="1:23">
      <c r="A1197" s="101">
        <v>2025</v>
      </c>
      <c r="B1197" s="101">
        <v>8</v>
      </c>
      <c r="C1197" s="101">
        <v>14</v>
      </c>
      <c r="D1197" s="98">
        <f>DATE(LS[[#This Row],[Year]],LS[[#This Row],[Month]],LS[[#This Row],[Day]])</f>
        <v>45883</v>
      </c>
      <c r="E1197" s="99" t="str" cm="1">
        <f t="array" ref="E1197">INDEX(INVESTORS_LIST[INVESTOR NAME],MATCH(LS[[#This Row],[Investor ID]],INVESTORS_LIST[INVESTOR CODE],0),)</f>
        <v>MD ASHIQUR RAHMAN</v>
      </c>
      <c r="F1197" s="100" t="s">
        <v>1173</v>
      </c>
      <c r="G1197" s="101">
        <f>COUNTIF(LS[[#Headers],[Investor ID]]:LS[[#This Row],[Investor ID]],LS[[#This Row],[Investor ID]])</f>
        <v>6</v>
      </c>
      <c r="H1197" s="101" t="str">
        <f>CONCATENATE(LS[[#This Row],[Frequency]],LS[[#This Row],[Investor ID]])</f>
        <v>6A00562</v>
      </c>
      <c r="I1197" s="75" t="str">
        <f>IF(LS[[#This Row],[B/S]]="B","BUY",(IF(LS[[#This Row],[B/S]]="S","SELL"," ")))</f>
        <v>SELL</v>
      </c>
      <c r="J1197" s="101" t="s">
        <v>1231</v>
      </c>
      <c r="K1197" s="102">
        <v>-50000</v>
      </c>
      <c r="L1197" s="99"/>
      <c r="M1197" s="103">
        <f>LS[[#This Row],[Amount]]/LS[[#This Row],[Unit]]</f>
        <v>12.916559028674762</v>
      </c>
      <c r="N1197" s="104">
        <f>LS[[#This Row],[Unit Capital]]/10</f>
        <v>-3871</v>
      </c>
      <c r="O1197" s="104">
        <f>SUMIFS(LS[[#Headers],[Unit]]:LS[[#This Row],[Unit]],LS[[#Headers],[Investor ID]]:LS[[#This Row],[Investor ID]],LS[[#This Row],[Investor ID]])</f>
        <v>19546</v>
      </c>
      <c r="P1197" s="102">
        <v>-38710</v>
      </c>
      <c r="Q1197" s="102">
        <f>LS[[#This Row],[Amount]]-LS[[#This Row],[Unit Capital]]</f>
        <v>-11290</v>
      </c>
      <c r="R11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12.128006117276311</v>
      </c>
      <c r="S1197" s="103">
        <f t="shared" si="18"/>
        <v>14.224</v>
      </c>
      <c r="T1197" s="102">
        <f>IF(LS[[#This Row],[B/S]]="B",0,ABS(LS[[#This Row],[Unit]])*(LS[[#This Row],[NAV (Strike Rate)]]-INDEX(LS[NAV at Cost (Average)],MATCH(CONCATENATE(LS[[#This Row],[Frequency]]-1,LS[[#This Row],[Investor ID]]),LS[Unique Code],0),)))</f>
        <v>3052.488320023404</v>
      </c>
      <c r="U1197" s="102" cm="1">
        <f t="array" ref="U1197">IF(LS[[#This Row],[B/S]]="S",ABS(LS[[#This Row],[Unit]])*(INDEX(LS[NAV at Cost (Average)],MATCH(CONCATENATE((LS[[#This Row],[Frequency]]-1),LS[[#This Row],[Investor ID]]),LS[Unique Code],0),0)),0)</f>
        <v>46947.511679976596</v>
      </c>
      <c r="V1197" s="102">
        <f>IF(LS[[#This Row],[BO TRANSFER]]="YES",LS[[#This Row],[Unit]],)</f>
        <v>0</v>
      </c>
      <c r="W1197" s="102">
        <f>SUMIFS(LS[[#Headers],[BO UNIT TRANSFER]]:LS[[#This Row],[BO UNIT TRANSFER]],LS[[#Headers],[Investor ID]]:LS[[#This Row],[Investor ID]],LS[[#This Row],[Investor ID]])</f>
        <v>0</v>
      </c>
    </row>
    <row r="1198" spans="1:23">
      <c r="A1198" s="101">
        <v>2025</v>
      </c>
      <c r="B1198" s="101">
        <v>8</v>
      </c>
      <c r="C1198" s="101">
        <v>17</v>
      </c>
      <c r="D1198" s="98">
        <f>DATE(LS[[#This Row],[Year]],LS[[#This Row],[Month]],LS[[#This Row],[Day]])</f>
        <v>45886</v>
      </c>
      <c r="E1198" t="str" cm="1">
        <f t="array" ref="E1198">INDEX(INVESTORS_LIST[INVESTOR NAME],MATCH(LS[[#This Row],[Investor ID]],INVESTORS_LIST[INVESTOR CODE],0),)</f>
        <v>EKUSH WEALTH MANAGEMENT LIMITED</v>
      </c>
      <c r="F1198" s="100" t="s">
        <v>47</v>
      </c>
      <c r="G1198" s="101">
        <f>COUNTIF(LS[[#Headers],[Investor ID]]:LS[[#This Row],[Investor ID]],LS[[#This Row],[Investor ID]])</f>
        <v>32</v>
      </c>
      <c r="H1198" s="101" t="str">
        <f>CONCATENATE(LS[[#This Row],[Frequency]],LS[[#This Row],[Investor ID]])</f>
        <v>32A00003</v>
      </c>
      <c r="I1198" s="75" t="str">
        <f>IF(LS[[#This Row],[B/S]]="B","BUY",(IF(LS[[#This Row],[B/S]]="S","SELL"," ")))</f>
        <v>SELL</v>
      </c>
      <c r="J1198" s="101" t="s">
        <v>1231</v>
      </c>
      <c r="K1198" s="102">
        <v>-350000</v>
      </c>
      <c r="L1198" s="99"/>
      <c r="M1198" s="103">
        <f>LS[[#This Row],[Amount]]/LS[[#This Row],[Unit]]</f>
        <v>13.088026325630095</v>
      </c>
      <c r="N1198" s="104">
        <f>LS[[#This Row],[Unit Capital]]/10</f>
        <v>-26742</v>
      </c>
      <c r="O1198" s="104">
        <f>SUMIFS(LS[[#Headers],[Unit]]:LS[[#This Row],[Unit]],LS[[#Headers],[Investor ID]]:LS[[#This Row],[Investor ID]],LS[[#This Row],[Investor ID]])</f>
        <v>547136</v>
      </c>
      <c r="P1198" s="102">
        <v>-267420</v>
      </c>
      <c r="Q1198" s="102">
        <f>LS[[#This Row],[Amount]]-LS[[#This Row],[Unit Capital]]</f>
        <v>-82580</v>
      </c>
      <c r="R11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198" s="103">
        <f t="shared" si="18"/>
        <v>14.224</v>
      </c>
      <c r="T1198" s="102">
        <f>IF(LS[[#This Row],[B/S]]="B",0,ABS(LS[[#This Row],[Unit]])*(LS[[#This Row],[NAV (Strike Rate)]]-INDEX(LS[NAV at Cost (Average)],MATCH(CONCATENATE(LS[[#This Row],[Frequency]]-1,LS[[#This Row],[Investor ID]]),LS[Unique Code],0),)))</f>
        <v>27467.194938630673</v>
      </c>
      <c r="U1198" s="102" cm="1">
        <f t="array" ref="U1198">IF(LS[[#This Row],[B/S]]="S",ABS(LS[[#This Row],[Unit]])*(INDEX(LS[NAV at Cost (Average)],MATCH(CONCATENATE((LS[[#This Row],[Frequency]]-1),LS[[#This Row],[Investor ID]]),LS[Unique Code],0),0)),0)</f>
        <v>322532.80506136932</v>
      </c>
      <c r="V1198" s="102">
        <f>IF(LS[[#This Row],[BO TRANSFER]]="YES",LS[[#This Row],[Unit]],)</f>
        <v>0</v>
      </c>
      <c r="W1198" s="102">
        <f>SUMIFS(LS[[#Headers],[BO UNIT TRANSFER]]:LS[[#This Row],[BO UNIT TRANSFER]],LS[[#Headers],[Investor ID]]:LS[[#This Row],[Investor ID]],LS[[#This Row],[Investor ID]])</f>
        <v>0</v>
      </c>
    </row>
    <row r="1199" spans="1:23">
      <c r="A1199" s="101">
        <v>2025</v>
      </c>
      <c r="B1199" s="101">
        <v>8</v>
      </c>
      <c r="C1199" s="101">
        <v>17</v>
      </c>
      <c r="D1199" s="98">
        <f>DATE(LS[[#This Row],[Year]],LS[[#This Row],[Month]],LS[[#This Row],[Day]])</f>
        <v>45886</v>
      </c>
      <c r="E1199" s="99" t="str" cm="1">
        <f t="array" ref="E1199">INDEX(INVESTORS_LIST[INVESTOR NAME],MATCH(LS[[#This Row],[Investor ID]],INVESTORS_LIST[INVESTOR CODE],0),)</f>
        <v>MAHFUZUL ISLAM &amp; HUMAIRA TABASSUM READDHE</v>
      </c>
      <c r="F1199" s="100" t="s">
        <v>1315</v>
      </c>
      <c r="G1199" s="101">
        <f>COUNTIF(LS[[#Headers],[Investor ID]]:LS[[#This Row],[Investor ID]],LS[[#This Row],[Investor ID]])</f>
        <v>4</v>
      </c>
      <c r="H1199" s="101" t="str">
        <f>CONCATENATE(LS[[#This Row],[Frequency]],LS[[#This Row],[Investor ID]])</f>
        <v>4A00605</v>
      </c>
      <c r="I1199" s="75" t="str">
        <f>IF(LS[[#This Row],[B/S]]="B","BUY",(IF(LS[[#This Row],[B/S]]="S","SELL"," ")))</f>
        <v>BUY</v>
      </c>
      <c r="J1199" s="101" t="s">
        <v>1229</v>
      </c>
      <c r="K1199" s="102">
        <v>81015</v>
      </c>
      <c r="L1199" s="99"/>
      <c r="M1199" s="103">
        <f>LS[[#This Row],[Amount]]/LS[[#This Row],[Unit]]</f>
        <v>13.088045234248789</v>
      </c>
      <c r="N1199" s="104">
        <f>LS[[#This Row],[Unit Capital]]/10</f>
        <v>6190</v>
      </c>
      <c r="O1199" s="104">
        <f>SUMIFS(LS[[#Headers],[Unit]]:LS[[#This Row],[Unit]],LS[[#Headers],[Investor ID]]:LS[[#This Row],[Investor ID]],LS[[#This Row],[Investor ID]])</f>
        <v>6190</v>
      </c>
      <c r="P1199" s="102">
        <v>61900</v>
      </c>
      <c r="Q1199" s="102">
        <f>LS[[#This Row],[Amount]]-LS[[#This Row],[Unit Capital]]</f>
        <v>19115</v>
      </c>
      <c r="R11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13.088045234248789</v>
      </c>
      <c r="S1199" s="103">
        <f t="shared" si="18"/>
        <v>14.224</v>
      </c>
      <c r="T119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199" s="102" cm="1">
        <f t="array" ref="U1199">IF(LS[[#This Row],[B/S]]="S",ABS(LS[[#This Row],[Unit]])*(INDEX(LS[NAV at Cost (Average)],MATCH(CONCATENATE((LS[[#This Row],[Frequency]]-1),LS[[#This Row],[Investor ID]]),LS[Unique Code],0),0)),0)</f>
        <v>0</v>
      </c>
      <c r="V1199" s="102">
        <f>IF(LS[[#This Row],[BO TRANSFER]]="YES",LS[[#This Row],[Unit]],)</f>
        <v>0</v>
      </c>
      <c r="W1199" s="102">
        <f>SUMIFS(LS[[#Headers],[BO UNIT TRANSFER]]:LS[[#This Row],[BO UNIT TRANSFER]],LS[[#Headers],[Investor ID]]:LS[[#This Row],[Investor ID]],LS[[#This Row],[Investor ID]])</f>
        <v>0</v>
      </c>
    </row>
    <row r="1200" spans="1:23">
      <c r="A1200" s="101">
        <v>2025</v>
      </c>
      <c r="B1200" s="101">
        <v>8</v>
      </c>
      <c r="C1200" s="101">
        <v>17</v>
      </c>
      <c r="D1200" s="98">
        <f>DATE(LS[[#This Row],[Year]],LS[[#This Row],[Month]],LS[[#This Row],[Day]])</f>
        <v>45886</v>
      </c>
      <c r="E1200" s="99" t="str" cm="1">
        <f t="array" ref="E1200">INDEX(INVESTORS_LIST[INVESTOR NAME],MATCH(LS[[#This Row],[Investor ID]],INVESTORS_LIST[INVESTOR CODE],0),)</f>
        <v>SK SHAHJAHAN RASHED</v>
      </c>
      <c r="F1200" s="100" t="s">
        <v>1333</v>
      </c>
      <c r="G1200" s="101">
        <f>COUNTIF(LS[[#Headers],[Investor ID]]:LS[[#This Row],[Investor ID]],LS[[#This Row],[Investor ID]])</f>
        <v>2</v>
      </c>
      <c r="H1200" s="101" t="str">
        <f>CONCATENATE(LS[[#This Row],[Frequency]],LS[[#This Row],[Investor ID]])</f>
        <v>2A00612</v>
      </c>
      <c r="I1200" s="75" t="str">
        <f>IF(LS[[#This Row],[B/S]]="B","BUY",(IF(LS[[#This Row],[B/S]]="S","SELL"," ")))</f>
        <v>SELL</v>
      </c>
      <c r="J1200" s="101" t="s">
        <v>1231</v>
      </c>
      <c r="K1200" s="102">
        <v>-6544</v>
      </c>
      <c r="L1200" s="99"/>
      <c r="M1200" s="103">
        <f>LS[[#This Row],[Amount]]/LS[[#This Row],[Unit]]</f>
        <v>13.087999999999999</v>
      </c>
      <c r="N1200" s="104">
        <f>LS[[#This Row],[Unit Capital]]/10</f>
        <v>-500</v>
      </c>
      <c r="O1200" s="104">
        <f>SUMIFS(LS[[#Headers],[Unit]]:LS[[#This Row],[Unit]],LS[[#Headers],[Investor ID]]:LS[[#This Row],[Investor ID]],LS[[#This Row],[Investor ID]])</f>
        <v>0</v>
      </c>
      <c r="P1200" s="102">
        <v>-5000</v>
      </c>
      <c r="Q1200" s="102">
        <f>LS[[#This Row],[Amount]]-LS[[#This Row],[Unit Capital]]</f>
        <v>-1544</v>
      </c>
      <c r="R12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00" s="103">
        <f t="shared" si="18"/>
        <v>14.224</v>
      </c>
      <c r="T1200" s="102">
        <f>IF(LS[[#This Row],[B/S]]="B",0,ABS(LS[[#This Row],[Unit]])*(LS[[#This Row],[NAV (Strike Rate)]]-INDEX(LS[NAV at Cost (Average)],MATCH(CONCATENATE(LS[[#This Row],[Frequency]]-1,LS[[#This Row],[Investor ID]]),LS[Unique Code],0),)))</f>
        <v>84.999999999999972</v>
      </c>
      <c r="U1200" s="102" cm="1">
        <f t="array" ref="U1200">IF(LS[[#This Row],[B/S]]="S",ABS(LS[[#This Row],[Unit]])*(INDEX(LS[NAV at Cost (Average)],MATCH(CONCATENATE((LS[[#This Row],[Frequency]]-1),LS[[#This Row],[Investor ID]]),LS[Unique Code],0),0)),0)</f>
        <v>6459</v>
      </c>
      <c r="V1200" s="102">
        <f>IF(LS[[#This Row],[BO TRANSFER]]="YES",LS[[#This Row],[Unit]],)</f>
        <v>0</v>
      </c>
      <c r="W1200" s="102">
        <f>SUMIFS(LS[[#Headers],[BO UNIT TRANSFER]]:LS[[#This Row],[BO UNIT TRANSFER]],LS[[#Headers],[Investor ID]]:LS[[#This Row],[Investor ID]],LS[[#This Row],[Investor ID]])</f>
        <v>0</v>
      </c>
    </row>
    <row r="1201" spans="1:23">
      <c r="A1201" s="101">
        <v>2025</v>
      </c>
      <c r="B1201" s="101">
        <v>8</v>
      </c>
      <c r="C1201" s="101">
        <v>17</v>
      </c>
      <c r="D1201" s="98">
        <f>DATE(LS[[#This Row],[Year]],LS[[#This Row],[Month]],LS[[#This Row],[Day]])</f>
        <v>45886</v>
      </c>
      <c r="E1201" s="99" t="str" cm="1">
        <f t="array" ref="E1201">INDEX(INVESTORS_LIST[INVESTOR NAME],MATCH(LS[[#This Row],[Investor ID]],INVESTORS_LIST[INVESTOR CODE],0),)</f>
        <v>FARZANA JITU</v>
      </c>
      <c r="F1201" s="100" t="s">
        <v>968</v>
      </c>
      <c r="G1201" s="101">
        <f>COUNTIF(LS[[#Headers],[Investor ID]]:LS[[#This Row],[Investor ID]],LS[[#This Row],[Investor ID]])</f>
        <v>34</v>
      </c>
      <c r="H1201" s="101" t="str">
        <f>CONCATENATE(LS[[#This Row],[Frequency]],LS[[#This Row],[Investor ID]])</f>
        <v>34A00461</v>
      </c>
      <c r="I1201" s="75" t="str">
        <f>IF(LS[[#This Row],[B/S]]="B","BUY",(IF(LS[[#This Row],[B/S]]="S","SELL"," ")))</f>
        <v>SELL</v>
      </c>
      <c r="J1201" s="101" t="s">
        <v>1231</v>
      </c>
      <c r="K1201" s="102">
        <v>-200000</v>
      </c>
      <c r="L1201" s="88" t="s">
        <v>1230</v>
      </c>
      <c r="M1201" s="103">
        <f>LS[[#This Row],[Amount]]/LS[[#This Row],[Unit]]</f>
        <v>13.08814868136902</v>
      </c>
      <c r="N1201" s="104">
        <f>LS[[#This Row],[Unit Capital]]/10</f>
        <v>-15281</v>
      </c>
      <c r="O1201" s="104">
        <f>SUMIFS(LS[[#Headers],[Unit]]:LS[[#This Row],[Unit]],LS[[#Headers],[Investor ID]]:LS[[#This Row],[Investor ID]],LS[[#This Row],[Investor ID]])</f>
        <v>110273</v>
      </c>
      <c r="P1201" s="102">
        <v>-152810</v>
      </c>
      <c r="Q1201" s="102">
        <f>LS[[#This Row],[Amount]]-LS[[#This Row],[Unit Capital]]</f>
        <v>-47190</v>
      </c>
      <c r="R12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12.424932698281221</v>
      </c>
      <c r="S1201" s="103">
        <f t="shared" si="18"/>
        <v>14.224</v>
      </c>
      <c r="T1201" s="102">
        <f>IF(LS[[#This Row],[B/S]]="B",0,ABS(LS[[#This Row],[Unit]])*(LS[[#This Row],[NAV (Strike Rate)]]-INDEX(LS[NAV at Cost (Average)],MATCH(CONCATENATE(LS[[#This Row],[Frequency]]-1,LS[[#This Row],[Investor ID]]),LS[Unique Code],0),)))</f>
        <v>10134.603437564654</v>
      </c>
      <c r="U1201" s="102" cm="1">
        <f t="array" ref="U1201">IF(LS[[#This Row],[B/S]]="S",ABS(LS[[#This Row],[Unit]])*(INDEX(LS[NAV at Cost (Average)],MATCH(CONCATENATE((LS[[#This Row],[Frequency]]-1),LS[[#This Row],[Investor ID]]),LS[Unique Code],0),0)),0)</f>
        <v>189865.39656243534</v>
      </c>
      <c r="V1201" s="102">
        <f>IF(LS[[#This Row],[BO TRANSFER]]="YES",LS[[#This Row],[Unit]],)</f>
        <v>-15281</v>
      </c>
      <c r="W1201" s="102">
        <f>SUMIFS(LS[[#Headers],[BO UNIT TRANSFER]]:LS[[#This Row],[BO UNIT TRANSFER]],LS[[#Headers],[Investor ID]]:LS[[#This Row],[Investor ID]],LS[[#This Row],[Investor ID]])</f>
        <v>4435</v>
      </c>
    </row>
    <row r="1202" spans="1:23">
      <c r="A1202" s="101">
        <v>2025</v>
      </c>
      <c r="B1202" s="101">
        <v>8</v>
      </c>
      <c r="C1202" s="101">
        <v>18</v>
      </c>
      <c r="D1202" s="98">
        <f>DATE(LS[[#This Row],[Year]],LS[[#This Row],[Month]],LS[[#This Row],[Day]])</f>
        <v>45887</v>
      </c>
      <c r="E1202" s="99" t="str" cm="1">
        <f t="array" ref="E1202">INDEX(INVESTORS_LIST[INVESTOR NAME],MATCH(LS[[#This Row],[Investor ID]],INVESTORS_LIST[INVESTOR CODE],0),)</f>
        <v>SHUVA SAHA</v>
      </c>
      <c r="F1202" s="100" t="s">
        <v>154</v>
      </c>
      <c r="G1202" s="101">
        <f>COUNTIF(LS[[#Headers],[Investor ID]]:LS[[#This Row],[Investor ID]],LS[[#This Row],[Investor ID]])</f>
        <v>18</v>
      </c>
      <c r="H1202" s="101" t="str">
        <f>CONCATENATE(LS[[#This Row],[Frequency]],LS[[#This Row],[Investor ID]])</f>
        <v>18A00053</v>
      </c>
      <c r="I1202" s="75" t="str">
        <f>IF(LS[[#This Row],[B/S]]="B","BUY",(IF(LS[[#This Row],[B/S]]="S","SELL"," ")))</f>
        <v>SELL</v>
      </c>
      <c r="J1202" s="101" t="s">
        <v>1231</v>
      </c>
      <c r="K1202" s="102">
        <v>-150000</v>
      </c>
      <c r="L1202" s="99"/>
      <c r="M1202" s="103">
        <f>LS[[#This Row],[Amount]]/LS[[#This Row],[Unit]]</f>
        <v>13.087863188203473</v>
      </c>
      <c r="N1202" s="104">
        <f>LS[[#This Row],[Unit Capital]]/10</f>
        <v>-11461</v>
      </c>
      <c r="O1202" s="104">
        <f>SUMIFS(LS[[#Headers],[Unit]]:LS[[#This Row],[Unit]],LS[[#Headers],[Investor ID]]:LS[[#This Row],[Investor ID]],LS[[#This Row],[Investor ID]])</f>
        <v>18040</v>
      </c>
      <c r="P1202" s="102">
        <v>-114610</v>
      </c>
      <c r="Q1202" s="102">
        <f>LS[[#This Row],[Amount]]-LS[[#This Row],[Unit Capital]]</f>
        <v>-35390</v>
      </c>
      <c r="R12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12.477703264198917</v>
      </c>
      <c r="S1202" s="103">
        <f t="shared" si="18"/>
        <v>14.224</v>
      </c>
      <c r="T1202" s="102">
        <f>IF(LS[[#This Row],[B/S]]="B",0,ABS(LS[[#This Row],[Unit]])*(LS[[#This Row],[NAV (Strike Rate)]]-INDEX(LS[NAV at Cost (Average)],MATCH(CONCATENATE(LS[[#This Row],[Frequency]]-1,LS[[#This Row],[Investor ID]]),LS[Unique Code],0),)))</f>
        <v>6993.0428890162148</v>
      </c>
      <c r="U1202" s="102" cm="1">
        <f t="array" ref="U1202">IF(LS[[#This Row],[B/S]]="S",ABS(LS[[#This Row],[Unit]])*(INDEX(LS[NAV at Cost (Average)],MATCH(CONCATENATE((LS[[#This Row],[Frequency]]-1),LS[[#This Row],[Investor ID]]),LS[Unique Code],0),0)),0)</f>
        <v>143006.95711098379</v>
      </c>
      <c r="V1202" s="102">
        <f>IF(LS[[#This Row],[BO TRANSFER]]="YES",LS[[#This Row],[Unit]],)</f>
        <v>0</v>
      </c>
      <c r="W1202" s="102">
        <f>SUMIFS(LS[[#Headers],[BO UNIT TRANSFER]]:LS[[#This Row],[BO UNIT TRANSFER]],LS[[#Headers],[Investor ID]]:LS[[#This Row],[Investor ID]],LS[[#This Row],[Investor ID]])</f>
        <v>0</v>
      </c>
    </row>
    <row r="1203" spans="1:23">
      <c r="A1203" s="101">
        <v>2025</v>
      </c>
      <c r="B1203" s="101">
        <v>8</v>
      </c>
      <c r="C1203" s="101">
        <v>18</v>
      </c>
      <c r="D1203" s="98">
        <f>DATE(LS[[#This Row],[Year]],LS[[#This Row],[Month]],LS[[#This Row],[Day]])</f>
        <v>45887</v>
      </c>
      <c r="E1203" s="99" t="str" cm="1">
        <f t="array" ref="E1203">INDEX(INVESTORS_LIST[INVESTOR NAME],MATCH(LS[[#This Row],[Investor ID]],INVESTORS_LIST[INVESTOR CODE],0),)</f>
        <v>TANIZA MAZED</v>
      </c>
      <c r="F1203" s="100" t="s">
        <v>84</v>
      </c>
      <c r="G1203" s="101">
        <f>COUNTIF(LS[[#Headers],[Investor ID]]:LS[[#This Row],[Investor ID]],LS[[#This Row],[Investor ID]])</f>
        <v>6</v>
      </c>
      <c r="H1203" s="101" t="str">
        <f>CONCATENATE(LS[[#This Row],[Frequency]],LS[[#This Row],[Investor ID]])</f>
        <v>6A00019</v>
      </c>
      <c r="I1203" s="75" t="str">
        <f>IF(LS[[#This Row],[B/S]]="B","BUY",(IF(LS[[#This Row],[B/S]]="S","SELL"," ")))</f>
        <v>SELL</v>
      </c>
      <c r="J1203" s="101" t="s">
        <v>1231</v>
      </c>
      <c r="K1203" s="102">
        <v>-2000000</v>
      </c>
      <c r="L1203" s="99"/>
      <c r="M1203" s="103">
        <f>LS[[#This Row],[Amount]]/LS[[#This Row],[Unit]]</f>
        <v>13.08797738397508</v>
      </c>
      <c r="N1203" s="104">
        <f>LS[[#This Row],[Unit Capital]]/10</f>
        <v>-152812</v>
      </c>
      <c r="O1203" s="104">
        <f>SUMIFS(LS[[#Headers],[Unit]]:LS[[#This Row],[Unit]],LS[[#Headers],[Investor ID]]:LS[[#This Row],[Investor ID]],LS[[#This Row],[Investor ID]])</f>
        <v>186685</v>
      </c>
      <c r="P1203" s="102">
        <v>-1528120</v>
      </c>
      <c r="Q1203" s="102">
        <f>LS[[#This Row],[Amount]]-LS[[#This Row],[Unit Capital]]</f>
        <v>-471880</v>
      </c>
      <c r="R12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11.193029688038481</v>
      </c>
      <c r="S1203" s="103">
        <f t="shared" si="18"/>
        <v>14.224</v>
      </c>
      <c r="T1203" s="102">
        <f>IF(LS[[#This Row],[B/S]]="B",0,ABS(LS[[#This Row],[Unit]])*(LS[[#This Row],[NAV (Strike Rate)]]-INDEX(LS[NAV at Cost (Average)],MATCH(CONCATENATE(LS[[#This Row],[Frequency]]-1,LS[[#This Row],[Investor ID]]),LS[Unique Code],0),)))</f>
        <v>289570.74731146358</v>
      </c>
      <c r="U1203" s="102" cm="1">
        <f t="array" ref="U1203">IF(LS[[#This Row],[B/S]]="S",ABS(LS[[#This Row],[Unit]])*(INDEX(LS[NAV at Cost (Average)],MATCH(CONCATENATE((LS[[#This Row],[Frequency]]-1),LS[[#This Row],[Investor ID]]),LS[Unique Code],0),0)),0)</f>
        <v>1710429.2526885362</v>
      </c>
      <c r="V1203" s="102">
        <f>IF(LS[[#This Row],[BO TRANSFER]]="YES",LS[[#This Row],[Unit]],)</f>
        <v>0</v>
      </c>
      <c r="W1203" s="102">
        <f>SUMIFS(LS[[#Headers],[BO UNIT TRANSFER]]:LS[[#This Row],[BO UNIT TRANSFER]],LS[[#Headers],[Investor ID]]:LS[[#This Row],[Investor ID]],LS[[#This Row],[Investor ID]])</f>
        <v>0</v>
      </c>
    </row>
    <row r="1204" spans="1:23">
      <c r="A1204" s="101">
        <v>2025</v>
      </c>
      <c r="B1204" s="101">
        <v>8</v>
      </c>
      <c r="C1204" s="101">
        <v>18</v>
      </c>
      <c r="D1204" s="98">
        <f>DATE(LS[[#This Row],[Year]],LS[[#This Row],[Month]],LS[[#This Row],[Day]])</f>
        <v>45887</v>
      </c>
      <c r="E1204" s="99" t="str" cm="1">
        <f t="array" ref="E1204">INDEX(INVESTORS_LIST[INVESTOR NAME],MATCH(LS[[#This Row],[Investor ID]],INVESTORS_LIST[INVESTOR CODE],0),)</f>
        <v>MD. MUSTAFA KAMAL</v>
      </c>
      <c r="F1204" s="100" t="s">
        <v>1300</v>
      </c>
      <c r="G1204" s="101">
        <f>COUNTIF(LS[[#Headers],[Investor ID]]:LS[[#This Row],[Investor ID]],LS[[#This Row],[Investor ID]])</f>
        <v>18</v>
      </c>
      <c r="H1204" s="101" t="str">
        <f>CONCATENATE(LS[[#This Row],[Frequency]],LS[[#This Row],[Investor ID]])</f>
        <v>18A00597</v>
      </c>
      <c r="I1204" s="75" t="str">
        <f>IF(LS[[#This Row],[B/S]]="B","BUY",(IF(LS[[#This Row],[B/S]]="S","SELL"," ")))</f>
        <v>SELL</v>
      </c>
      <c r="J1204" s="101" t="s">
        <v>1231</v>
      </c>
      <c r="K1204" s="102">
        <v>-765000</v>
      </c>
      <c r="L1204" s="99"/>
      <c r="M1204" s="103">
        <f>LS[[#This Row],[Amount]]/LS[[#This Row],[Unit]]</f>
        <v>13.088109495295123</v>
      </c>
      <c r="N1204" s="104">
        <f>LS[[#This Row],[Unit Capital]]/10</f>
        <v>-58450</v>
      </c>
      <c r="O1204" s="104">
        <f>SUMIFS(LS[[#Headers],[Unit]]:LS[[#This Row],[Unit]],LS[[#Headers],[Investor ID]]:LS[[#This Row],[Investor ID]],LS[[#This Row],[Investor ID]])</f>
        <v>30575</v>
      </c>
      <c r="P1204" s="102">
        <v>-584500</v>
      </c>
      <c r="Q1204" s="102">
        <f>LS[[#This Row],[Amount]]-LS[[#This Row],[Unit Capital]]</f>
        <v>-180500</v>
      </c>
      <c r="R12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12.833748623143531</v>
      </c>
      <c r="S1204" s="103">
        <f t="shared" si="18"/>
        <v>14.224</v>
      </c>
      <c r="T1204" s="102">
        <f>IF(LS[[#This Row],[B/S]]="B",0,ABS(LS[[#This Row],[Unit]])*(LS[[#This Row],[NAV (Strike Rate)]]-INDEX(LS[NAV at Cost (Average)],MATCH(CONCATENATE(LS[[#This Row],[Frequency]]-1,LS[[#This Row],[Investor ID]]),LS[Unique Code],0),)))</f>
        <v>14867.392977260552</v>
      </c>
      <c r="U1204" s="102" cm="1">
        <f t="array" ref="U1204">IF(LS[[#This Row],[B/S]]="S",ABS(LS[[#This Row],[Unit]])*(INDEX(LS[NAV at Cost (Average)],MATCH(CONCATENATE((LS[[#This Row],[Frequency]]-1),LS[[#This Row],[Investor ID]]),LS[Unique Code],0),0)),0)</f>
        <v>750132.60702273936</v>
      </c>
      <c r="V1204" s="102">
        <f>IF(LS[[#This Row],[BO TRANSFER]]="YES",LS[[#This Row],[Unit]],)</f>
        <v>0</v>
      </c>
      <c r="W1204" s="102">
        <f>SUMIFS(LS[[#Headers],[BO UNIT TRANSFER]]:LS[[#This Row],[BO UNIT TRANSFER]],LS[[#Headers],[Investor ID]]:LS[[#This Row],[Investor ID]],LS[[#This Row],[Investor ID]])</f>
        <v>0</v>
      </c>
    </row>
    <row r="1205" spans="1:23">
      <c r="A1205" s="101">
        <v>2025</v>
      </c>
      <c r="B1205" s="101">
        <v>8</v>
      </c>
      <c r="C1205" s="101">
        <v>19</v>
      </c>
      <c r="D1205" s="98">
        <f>DATE(LS[[#This Row],[Year]],LS[[#This Row],[Month]],LS[[#This Row],[Day]])</f>
        <v>45888</v>
      </c>
      <c r="E1205" s="99" t="str" cm="1">
        <f t="array" ref="E1205">INDEX(INVESTORS_LIST[INVESTOR NAME],MATCH(LS[[#This Row],[Investor ID]],INVESTORS_LIST[INVESTOR CODE],0),)</f>
        <v>MOHAMMAD AKIB NAWAZ</v>
      </c>
      <c r="F1205" s="100" t="s">
        <v>495</v>
      </c>
      <c r="G1205" s="101">
        <f>COUNTIF(LS[[#Headers],[Investor ID]]:LS[[#This Row],[Investor ID]],LS[[#This Row],[Investor ID]])</f>
        <v>6</v>
      </c>
      <c r="H1205" s="101" t="str">
        <f>CONCATENATE(LS[[#This Row],[Frequency]],LS[[#This Row],[Investor ID]])</f>
        <v>6A00223</v>
      </c>
      <c r="I1205" s="75" t="str">
        <f>IF(LS[[#This Row],[B/S]]="B","BUY",(IF(LS[[#This Row],[B/S]]="S","SELL"," ")))</f>
        <v>BUY</v>
      </c>
      <c r="J1205" s="101" t="s">
        <v>1229</v>
      </c>
      <c r="K1205" s="102">
        <v>50000</v>
      </c>
      <c r="L1205" s="99"/>
      <c r="M1205" s="103">
        <f>LS[[#This Row],[Amount]]/LS[[#This Row],[Unit]]</f>
        <v>13.089005235602095</v>
      </c>
      <c r="N1205" s="104">
        <f>LS[[#This Row],[Unit Capital]]/10</f>
        <v>3820</v>
      </c>
      <c r="O1205" s="104">
        <f>SUMIFS(LS[[#Headers],[Unit]]:LS[[#This Row],[Unit]],LS[[#Headers],[Investor ID]]:LS[[#This Row],[Investor ID]],LS[[#This Row],[Investor ID]])</f>
        <v>19998</v>
      </c>
      <c r="P1205" s="102">
        <v>38200</v>
      </c>
      <c r="Q1205" s="102">
        <f>LS[[#This Row],[Amount]]-LS[[#This Row],[Unit Capital]]</f>
        <v>11800</v>
      </c>
      <c r="R12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12.501250125012502</v>
      </c>
      <c r="S1205" s="103">
        <f t="shared" si="18"/>
        <v>14.224</v>
      </c>
      <c r="T120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05" s="102" cm="1">
        <f t="array" ref="U1205">IF(LS[[#This Row],[B/S]]="S",ABS(LS[[#This Row],[Unit]])*(INDEX(LS[NAV at Cost (Average)],MATCH(CONCATENATE((LS[[#This Row],[Frequency]]-1),LS[[#This Row],[Investor ID]]),LS[Unique Code],0),0)),0)</f>
        <v>0</v>
      </c>
      <c r="V1205" s="102">
        <f>IF(LS[[#This Row],[BO TRANSFER]]="YES",LS[[#This Row],[Unit]],)</f>
        <v>0</v>
      </c>
      <c r="W1205" s="102">
        <f>SUMIFS(LS[[#Headers],[BO UNIT TRANSFER]]:LS[[#This Row],[BO UNIT TRANSFER]],LS[[#Headers],[Investor ID]]:LS[[#This Row],[Investor ID]],LS[[#This Row],[Investor ID]])</f>
        <v>0</v>
      </c>
    </row>
    <row r="1206" spans="1:23">
      <c r="A1206" s="101">
        <v>2025</v>
      </c>
      <c r="B1206" s="101">
        <v>8</v>
      </c>
      <c r="C1206" s="101">
        <v>19</v>
      </c>
      <c r="D1206" s="98">
        <f>DATE(LS[[#This Row],[Year]],LS[[#This Row],[Month]],LS[[#This Row],[Day]])</f>
        <v>45888</v>
      </c>
      <c r="E1206" t="str" cm="1">
        <f t="array" ref="E1206">INDEX(INVESTORS_LIST[INVESTOR NAME],MATCH(LS[[#This Row],[Investor ID]],INVESTORS_LIST[INVESTOR CODE],0),)</f>
        <v>EKUSH WEALTH MANAGEMENT LIMITED</v>
      </c>
      <c r="F1206" s="100" t="s">
        <v>47</v>
      </c>
      <c r="G1206" s="101">
        <f>COUNTIF(LS[[#Headers],[Investor ID]]:LS[[#This Row],[Investor ID]],LS[[#This Row],[Investor ID]])</f>
        <v>33</v>
      </c>
      <c r="H1206" s="101" t="str">
        <f>CONCATENATE(LS[[#This Row],[Frequency]],LS[[#This Row],[Investor ID]])</f>
        <v>33A00003</v>
      </c>
      <c r="I1206" s="75" t="str">
        <f>IF(LS[[#This Row],[B/S]]="B","BUY",(IF(LS[[#This Row],[B/S]]="S","SELL"," ")))</f>
        <v>SELL</v>
      </c>
      <c r="J1206" s="101" t="s">
        <v>1231</v>
      </c>
      <c r="K1206" s="102">
        <v>-1000000</v>
      </c>
      <c r="L1206" s="99"/>
      <c r="M1206" s="103">
        <f>LS[[#This Row],[Amount]]/LS[[#This Row],[Unit]]</f>
        <v>13.08797738397508</v>
      </c>
      <c r="N1206" s="104">
        <f>LS[[#This Row],[Unit Capital]]/10</f>
        <v>-76406</v>
      </c>
      <c r="O1206" s="104">
        <f>SUMIFS(LS[[#Headers],[Unit]]:LS[[#This Row],[Unit]],LS[[#Headers],[Investor ID]]:LS[[#This Row],[Investor ID]],LS[[#This Row],[Investor ID]])</f>
        <v>470730</v>
      </c>
      <c r="P1206" s="102">
        <v>-764060</v>
      </c>
      <c r="Q1206" s="102">
        <f>LS[[#This Row],[Amount]]-LS[[#This Row],[Unit Capital]]</f>
        <v>-235940</v>
      </c>
      <c r="R12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06" s="103">
        <f t="shared" si="18"/>
        <v>14.224</v>
      </c>
      <c r="T1206" s="102">
        <f>IF(LS[[#This Row],[B/S]]="B",0,ABS(LS[[#This Row],[Unit]])*(LS[[#This Row],[NAV (Strike Rate)]]-INDEX(LS[NAV at Cost (Average)],MATCH(CONCATENATE(LS[[#This Row],[Frequency]]-1,LS[[#This Row],[Investor ID]]),LS[Unique Code],0),)))</f>
        <v>78474.253850909226</v>
      </c>
      <c r="U1206" s="102" cm="1">
        <f t="array" ref="U1206">IF(LS[[#This Row],[B/S]]="S",ABS(LS[[#This Row],[Unit]])*(INDEX(LS[NAV at Cost (Average)],MATCH(CONCATENATE((LS[[#This Row],[Frequency]]-1),LS[[#This Row],[Investor ID]]),LS[Unique Code],0),0)),0)</f>
        <v>921525.7461490907</v>
      </c>
      <c r="V1206" s="102">
        <f>IF(LS[[#This Row],[BO TRANSFER]]="YES",LS[[#This Row],[Unit]],)</f>
        <v>0</v>
      </c>
      <c r="W1206" s="102">
        <f>SUMIFS(LS[[#Headers],[BO UNIT TRANSFER]]:LS[[#This Row],[BO UNIT TRANSFER]],LS[[#Headers],[Investor ID]]:LS[[#This Row],[Investor ID]],LS[[#This Row],[Investor ID]])</f>
        <v>0</v>
      </c>
    </row>
    <row r="1207" spans="1:23">
      <c r="A1207" s="101">
        <v>2025</v>
      </c>
      <c r="B1207" s="101">
        <v>8</v>
      </c>
      <c r="C1207" s="101">
        <v>19</v>
      </c>
      <c r="D1207" s="98">
        <f>DATE(LS[[#This Row],[Year]],LS[[#This Row],[Month]],LS[[#This Row],[Day]])</f>
        <v>45888</v>
      </c>
      <c r="E1207" s="99" t="str" cm="1">
        <f t="array" ref="E1207">INDEX(INVESTORS_LIST[INVESTOR NAME],MATCH(LS[[#This Row],[Investor ID]],INVESTORS_LIST[INVESTOR CODE],0),)</f>
        <v>SK SHAHJAHAN RASHED</v>
      </c>
      <c r="F1207" s="100" t="s">
        <v>1333</v>
      </c>
      <c r="G1207" s="101">
        <f>COUNTIF(LS[[#Headers],[Investor ID]]:LS[[#This Row],[Investor ID]],LS[[#This Row],[Investor ID]])</f>
        <v>3</v>
      </c>
      <c r="H1207" s="101" t="str">
        <f>CONCATENATE(LS[[#This Row],[Frequency]],LS[[#This Row],[Investor ID]])</f>
        <v>3A00612</v>
      </c>
      <c r="I1207" s="75" t="str">
        <f>IF(LS[[#This Row],[B/S]]="B","BUY",(IF(LS[[#This Row],[B/S]]="S","SELL"," ")))</f>
        <v>BUY</v>
      </c>
      <c r="J1207" s="101" t="s">
        <v>1229</v>
      </c>
      <c r="K1207" s="102">
        <v>6544</v>
      </c>
      <c r="L1207" s="99"/>
      <c r="M1207" s="103">
        <f>LS[[#This Row],[Amount]]/LS[[#This Row],[Unit]]</f>
        <v>13.087999999999999</v>
      </c>
      <c r="N1207" s="104">
        <f>LS[[#This Row],[Unit Capital]]/10</f>
        <v>500</v>
      </c>
      <c r="O1207" s="104">
        <f>SUMIFS(LS[[#Headers],[Unit]]:LS[[#This Row],[Unit]],LS[[#Headers],[Investor ID]]:LS[[#This Row],[Investor ID]],LS[[#This Row],[Investor ID]])</f>
        <v>500</v>
      </c>
      <c r="P1207" s="102">
        <v>5000</v>
      </c>
      <c r="Q1207" s="102">
        <f>LS[[#This Row],[Amount]]-LS[[#This Row],[Unit Capital]]</f>
        <v>1544</v>
      </c>
      <c r="R12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13.087999999999999</v>
      </c>
      <c r="S1207" s="103">
        <f t="shared" si="18"/>
        <v>14.224</v>
      </c>
      <c r="T120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07" s="102" cm="1">
        <f t="array" ref="U1207">IF(LS[[#This Row],[B/S]]="S",ABS(LS[[#This Row],[Unit]])*(INDEX(LS[NAV at Cost (Average)],MATCH(CONCATENATE((LS[[#This Row],[Frequency]]-1),LS[[#This Row],[Investor ID]]),LS[Unique Code],0),0)),0)</f>
        <v>0</v>
      </c>
      <c r="V1207" s="102">
        <f>IF(LS[[#This Row],[BO TRANSFER]]="YES",LS[[#This Row],[Unit]],)</f>
        <v>0</v>
      </c>
      <c r="W1207" s="102">
        <f>SUMIFS(LS[[#Headers],[BO UNIT TRANSFER]]:LS[[#This Row],[BO UNIT TRANSFER]],LS[[#Headers],[Investor ID]]:LS[[#This Row],[Investor ID]],LS[[#This Row],[Investor ID]])</f>
        <v>0</v>
      </c>
    </row>
    <row r="1208" spans="1:23">
      <c r="A1208" s="101">
        <v>2025</v>
      </c>
      <c r="B1208" s="101">
        <v>8</v>
      </c>
      <c r="C1208" s="101">
        <v>19</v>
      </c>
      <c r="D1208" s="98">
        <f>DATE(LS[[#This Row],[Year]],LS[[#This Row],[Month]],LS[[#This Row],[Day]])</f>
        <v>45888</v>
      </c>
      <c r="E1208" s="99" t="str" cm="1">
        <f t="array" ref="E1208">INDEX(INVESTORS_LIST[INVESTOR NAME],MATCH(LS[[#This Row],[Investor ID]],INVESTORS_LIST[INVESTOR CODE],0),)</f>
        <v>SYED FAZLE RABBY</v>
      </c>
      <c r="F1208" s="100" t="s">
        <v>166</v>
      </c>
      <c r="G1208" s="101">
        <f>COUNTIF(LS[[#Headers],[Investor ID]]:LS[[#This Row],[Investor ID]],LS[[#This Row],[Investor ID]])</f>
        <v>48</v>
      </c>
      <c r="H1208" s="101" t="str">
        <f>CONCATENATE(LS[[#This Row],[Frequency]],LS[[#This Row],[Investor ID]])</f>
        <v>48A00059</v>
      </c>
      <c r="I1208" s="75" t="str">
        <f>IF(LS[[#This Row],[B/S]]="B","BUY",(IF(LS[[#This Row],[B/S]]="S","SELL"," ")))</f>
        <v>SELL</v>
      </c>
      <c r="J1208" s="101" t="s">
        <v>1231</v>
      </c>
      <c r="K1208" s="102">
        <v>-196320</v>
      </c>
      <c r="L1208" s="99"/>
      <c r="M1208" s="103">
        <f>LS[[#This Row],[Amount]]/LS[[#This Row],[Unit]]</f>
        <v>13.087999999999999</v>
      </c>
      <c r="N1208" s="104">
        <f>LS[[#This Row],[Unit Capital]]/10</f>
        <v>-15000</v>
      </c>
      <c r="O1208" s="104">
        <f>SUMIFS(LS[[#Headers],[Unit]]:LS[[#This Row],[Unit]],LS[[#Headers],[Investor ID]]:LS[[#This Row],[Investor ID]],LS[[#This Row],[Investor ID]])</f>
        <v>576698</v>
      </c>
      <c r="P1208" s="102">
        <v>-150000</v>
      </c>
      <c r="Q1208" s="102">
        <f>LS[[#This Row],[Amount]]-LS[[#This Row],[Unit Capital]]</f>
        <v>-46320</v>
      </c>
      <c r="R12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12.414287401598994</v>
      </c>
      <c r="S1208" s="103">
        <f t="shared" si="18"/>
        <v>14.224</v>
      </c>
      <c r="T1208" s="102">
        <f>IF(LS[[#This Row],[B/S]]="B",0,ABS(LS[[#This Row],[Unit]])*(LS[[#This Row],[NAV (Strike Rate)]]-INDEX(LS[NAV at Cost (Average)],MATCH(CONCATENATE(LS[[#This Row],[Frequency]]-1,LS[[#This Row],[Investor ID]]),LS[Unique Code],0),)))</f>
        <v>10105.688976015079</v>
      </c>
      <c r="U1208" s="102" cm="1">
        <f t="array" ref="U1208">IF(LS[[#This Row],[B/S]]="S",ABS(LS[[#This Row],[Unit]])*(INDEX(LS[NAV at Cost (Average)],MATCH(CONCATENATE((LS[[#This Row],[Frequency]]-1),LS[[#This Row],[Investor ID]]),LS[Unique Code],0),0)),0)</f>
        <v>186214.31102398492</v>
      </c>
      <c r="V1208" s="102">
        <f>IF(LS[[#This Row],[BO TRANSFER]]="YES",LS[[#This Row],[Unit]],)</f>
        <v>0</v>
      </c>
      <c r="W1208" s="102">
        <f>SUMIFS(LS[[#Headers],[BO UNIT TRANSFER]]:LS[[#This Row],[BO UNIT TRANSFER]],LS[[#Headers],[Investor ID]]:LS[[#This Row],[Investor ID]],LS[[#This Row],[Investor ID]])</f>
        <v>0</v>
      </c>
    </row>
    <row r="1209" spans="1:23">
      <c r="A1209" s="101">
        <v>2025</v>
      </c>
      <c r="B1209" s="101">
        <v>8</v>
      </c>
      <c r="C1209" s="101">
        <v>24</v>
      </c>
      <c r="D1209" s="98">
        <f>DATE(LS[[#This Row],[Year]],LS[[#This Row],[Month]],LS[[#This Row],[Day]])</f>
        <v>45893</v>
      </c>
      <c r="E1209" s="99" t="str" cm="1">
        <f t="array" ref="E1209">INDEX(INVESTORS_LIST[INVESTOR NAME],MATCH(LS[[#This Row],[Investor ID]],INVESTORS_LIST[INVESTOR CODE],0),)</f>
        <v>S.M. AFZAL REZA</v>
      </c>
      <c r="F1209" s="100" t="s">
        <v>1404</v>
      </c>
      <c r="G1209" s="101">
        <f>COUNTIF(LS[[#Headers],[Investor ID]]:LS[[#This Row],[Investor ID]],LS[[#This Row],[Investor ID]])</f>
        <v>3</v>
      </c>
      <c r="H1209" s="101" t="str">
        <f>CONCATENATE(LS[[#This Row],[Frequency]],LS[[#This Row],[Investor ID]])</f>
        <v>3A00645</v>
      </c>
      <c r="I1209" s="75" t="str">
        <f>IF(LS[[#This Row],[B/S]]="B","BUY",(IF(LS[[#This Row],[B/S]]="S","SELL"," ")))</f>
        <v>SELL</v>
      </c>
      <c r="J1209" s="101" t="s">
        <v>1231</v>
      </c>
      <c r="K1209" s="102">
        <v>-1019091.06</v>
      </c>
      <c r="L1209" s="99"/>
      <c r="M1209" s="103">
        <f>LS[[#This Row],[Amount]]/LS[[#This Row],[Unit]]</f>
        <v>13.164000000000001</v>
      </c>
      <c r="N1209" s="104">
        <f>LS[[#This Row],[Unit Capital]]/10</f>
        <v>-77415</v>
      </c>
      <c r="O1209" s="104">
        <f>SUMIFS(LS[[#Headers],[Unit]]:LS[[#This Row],[Unit]],LS[[#Headers],[Investor ID]]:LS[[#This Row],[Investor ID]],LS[[#This Row],[Investor ID]])</f>
        <v>0</v>
      </c>
      <c r="P1209" s="102">
        <v>-774150</v>
      </c>
      <c r="Q1209" s="102">
        <f>LS[[#This Row],[Amount]]-LS[[#This Row],[Unit Capital]]</f>
        <v>-244941.06000000006</v>
      </c>
      <c r="R12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09" s="103">
        <f t="shared" si="18"/>
        <v>14.224</v>
      </c>
      <c r="T1209" s="102">
        <f>IF(LS[[#This Row],[B/S]]="B",0,ABS(LS[[#This Row],[Unit]])*(LS[[#This Row],[NAV (Strike Rate)]]-INDEX(LS[NAV at Cost (Average)],MATCH(CONCATENATE(LS[[#This Row],[Frequency]]-1,LS[[#This Row],[Investor ID]]),LS[Unique Code],0),)))</f>
        <v>44900.840283391793</v>
      </c>
      <c r="U1209" s="102" cm="1">
        <f t="array" ref="U1209">IF(LS[[#This Row],[B/S]]="S",ABS(LS[[#This Row],[Unit]])*(INDEX(LS[NAV at Cost (Average)],MATCH(CONCATENATE((LS[[#This Row],[Frequency]]-1),LS[[#This Row],[Investor ID]]),LS[Unique Code],0),0)),0)</f>
        <v>974190.21971660829</v>
      </c>
      <c r="V1209" s="102">
        <f>IF(LS[[#This Row],[BO TRANSFER]]="YES",LS[[#This Row],[Unit]],)</f>
        <v>0</v>
      </c>
      <c r="W1209" s="102">
        <f>SUMIFS(LS[[#Headers],[BO UNIT TRANSFER]]:LS[[#This Row],[BO UNIT TRANSFER]],LS[[#Headers],[Investor ID]]:LS[[#This Row],[Investor ID]],LS[[#This Row],[Investor ID]])</f>
        <v>0</v>
      </c>
    </row>
    <row r="1210" spans="1:23">
      <c r="A1210" s="101">
        <v>2025</v>
      </c>
      <c r="B1210" s="101">
        <v>8</v>
      </c>
      <c r="C1210" s="101">
        <v>25</v>
      </c>
      <c r="D1210" s="98">
        <f>DATE(LS[[#This Row],[Year]],LS[[#This Row],[Month]],LS[[#This Row],[Day]])</f>
        <v>45894</v>
      </c>
      <c r="E1210" s="99" t="str" cm="1">
        <f t="array" ref="E1210">INDEX(INVESTORS_LIST[INVESTOR NAME],MATCH(LS[[#This Row],[Investor ID]],INVESTORS_LIST[INVESTOR CODE],0),)</f>
        <v>NRB BANK LIMITED</v>
      </c>
      <c r="F1210" s="100" t="s">
        <v>1151</v>
      </c>
      <c r="G1210" s="101">
        <f>COUNTIF(LS[[#Headers],[Investor ID]]:LS[[#This Row],[Investor ID]],LS[[#This Row],[Investor ID]])</f>
        <v>2</v>
      </c>
      <c r="H1210" s="101" t="str">
        <f>CONCATENATE(LS[[#This Row],[Frequency]],LS[[#This Row],[Investor ID]])</f>
        <v>2A00551</v>
      </c>
      <c r="I1210" s="75" t="str">
        <f>IF(LS[[#This Row],[B/S]]="B","BUY",(IF(LS[[#This Row],[B/S]]="S","SELL"," ")))</f>
        <v>SELL</v>
      </c>
      <c r="J1210" s="101" t="s">
        <v>1231</v>
      </c>
      <c r="K1210" s="102">
        <v>-47514891.990000002</v>
      </c>
      <c r="L1210" s="99"/>
      <c r="M1210" s="103">
        <f>LS[[#This Row],[Amount]]/LS[[#This Row],[Unit]]</f>
        <v>13.1640000116361</v>
      </c>
      <c r="N1210" s="104">
        <f>LS[[#This Row],[Unit Capital]]/10</f>
        <v>-3609457</v>
      </c>
      <c r="O1210" s="104">
        <f>SUMIFS(LS[[#Headers],[Unit]]:LS[[#This Row],[Unit]],LS[[#Headers],[Investor ID]]:LS[[#This Row],[Investor ID]],LS[[#This Row],[Investor ID]])</f>
        <v>0</v>
      </c>
      <c r="P1210" s="102">
        <v>-36094570</v>
      </c>
      <c r="Q1210" s="102">
        <f>LS[[#This Row],[Amount]]-LS[[#This Row],[Unit Capital]]</f>
        <v>-11420321.990000002</v>
      </c>
      <c r="R12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10" s="103">
        <f t="shared" si="18"/>
        <v>14.224</v>
      </c>
      <c r="T1210" s="102">
        <f>IF(LS[[#This Row],[B/S]]="B",0,ABS(LS[[#This Row],[Unit]])*(LS[[#This Row],[NAV (Strike Rate)]]-INDEX(LS[NAV at Cost (Average)],MATCH(CONCATENATE(LS[[#This Row],[Frequency]]-1,LS[[#This Row],[Investor ID]]),LS[Unique Code],0),)))</f>
        <v>7514891.9900000039</v>
      </c>
      <c r="U1210" s="102" cm="1">
        <f t="array" ref="U1210">IF(LS[[#This Row],[B/S]]="S",ABS(LS[[#This Row],[Unit]])*(INDEX(LS[NAV at Cost (Average)],MATCH(CONCATENATE((LS[[#This Row],[Frequency]]-1),LS[[#This Row],[Investor ID]]),LS[Unique Code],0),0)),0)</f>
        <v>40000000</v>
      </c>
      <c r="V1210" s="102">
        <f>IF(LS[[#This Row],[BO TRANSFER]]="YES",LS[[#This Row],[Unit]],)</f>
        <v>0</v>
      </c>
      <c r="W1210" s="102">
        <f>SUMIFS(LS[[#Headers],[BO UNIT TRANSFER]]:LS[[#This Row],[BO UNIT TRANSFER]],LS[[#Headers],[Investor ID]]:LS[[#This Row],[Investor ID]],LS[[#This Row],[Investor ID]])</f>
        <v>0</v>
      </c>
    </row>
    <row r="1211" spans="1:23">
      <c r="A1211" s="101">
        <v>2025</v>
      </c>
      <c r="B1211" s="101">
        <v>8</v>
      </c>
      <c r="C1211" s="101">
        <v>25</v>
      </c>
      <c r="D1211" s="98">
        <f>DATE(LS[[#This Row],[Year]],LS[[#This Row],[Month]],LS[[#This Row],[Day]])</f>
        <v>45894</v>
      </c>
      <c r="E1211" s="99" t="str" cm="1">
        <f t="array" ref="E1211">INDEX(INVESTORS_LIST[INVESTOR NAME],MATCH(LS[[#This Row],[Investor ID]],INVESTORS_LIST[INVESTOR CODE],0),)</f>
        <v>SWADESH RANJAN SAHA</v>
      </c>
      <c r="F1211" s="100" t="s">
        <v>234</v>
      </c>
      <c r="G1211" s="101">
        <f>COUNTIF(LS[[#Headers],[Investor ID]]:LS[[#This Row],[Investor ID]],LS[[#This Row],[Investor ID]])</f>
        <v>18</v>
      </c>
      <c r="H1211" s="101" t="str">
        <f>CONCATENATE(LS[[#This Row],[Frequency]],LS[[#This Row],[Investor ID]])</f>
        <v>18A00093</v>
      </c>
      <c r="I1211" s="75" t="str">
        <f>IF(LS[[#This Row],[B/S]]="B","BUY",(IF(LS[[#This Row],[B/S]]="S","SELL"," ")))</f>
        <v>BUY</v>
      </c>
      <c r="J1211" s="101" t="s">
        <v>1229</v>
      </c>
      <c r="K1211" s="102">
        <v>1000000</v>
      </c>
      <c r="L1211" s="99"/>
      <c r="M1211" s="103">
        <f>LS[[#This Row],[Amount]]/LS[[#This Row],[Unit]]</f>
        <v>13.1639570854999</v>
      </c>
      <c r="N1211" s="104">
        <f>LS[[#This Row],[Unit Capital]]/10</f>
        <v>75965</v>
      </c>
      <c r="O1211" s="104">
        <f>SUMIFS(LS[[#Headers],[Unit]]:LS[[#This Row],[Unit]],LS[[#Headers],[Investor ID]]:LS[[#This Row],[Investor ID]],LS[[#This Row],[Investor ID]])</f>
        <v>111117</v>
      </c>
      <c r="P1211" s="102">
        <v>759650</v>
      </c>
      <c r="Q1211" s="102">
        <f>LS[[#This Row],[Amount]]-LS[[#This Row],[Unit Capital]]</f>
        <v>240350</v>
      </c>
      <c r="R12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12.723825175276472</v>
      </c>
      <c r="S1211" s="103">
        <f t="shared" si="18"/>
        <v>14.224</v>
      </c>
      <c r="T12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11" s="102" cm="1">
        <f t="array" ref="U1211">IF(LS[[#This Row],[B/S]]="S",ABS(LS[[#This Row],[Unit]])*(INDEX(LS[NAV at Cost (Average)],MATCH(CONCATENATE((LS[[#This Row],[Frequency]]-1),LS[[#This Row],[Investor ID]]),LS[Unique Code],0),0)),0)</f>
        <v>0</v>
      </c>
      <c r="V1211" s="102">
        <f>IF(LS[[#This Row],[BO TRANSFER]]="YES",LS[[#This Row],[Unit]],)</f>
        <v>0</v>
      </c>
      <c r="W1211" s="102">
        <f>SUMIFS(LS[[#Headers],[BO UNIT TRANSFER]]:LS[[#This Row],[BO UNIT TRANSFER]],LS[[#Headers],[Investor ID]]:LS[[#This Row],[Investor ID]],LS[[#This Row],[Investor ID]])</f>
        <v>0</v>
      </c>
    </row>
    <row r="1212" spans="1:23">
      <c r="A1212" s="101">
        <v>2025</v>
      </c>
      <c r="B1212" s="101">
        <v>8</v>
      </c>
      <c r="C1212" s="101">
        <v>25</v>
      </c>
      <c r="D1212" s="98">
        <f>DATE(LS[[#This Row],[Year]],LS[[#This Row],[Month]],LS[[#This Row],[Day]])</f>
        <v>45894</v>
      </c>
      <c r="E1212" s="99" t="str" cm="1">
        <f t="array" ref="E1212">INDEX(INVESTORS_LIST[INVESTOR NAME],MATCH(LS[[#This Row],[Investor ID]],INVESTORS_LIST[INVESTOR CODE],0),)</f>
        <v>MAYA RANI SAHA</v>
      </c>
      <c r="F1212" s="100" t="s">
        <v>224</v>
      </c>
      <c r="G1212" s="101">
        <f>COUNTIF(LS[[#Headers],[Investor ID]]:LS[[#This Row],[Investor ID]],LS[[#This Row],[Investor ID]])</f>
        <v>21</v>
      </c>
      <c r="H1212" s="101" t="str">
        <f>CONCATENATE(LS[[#This Row],[Frequency]],LS[[#This Row],[Investor ID]])</f>
        <v>21A00088</v>
      </c>
      <c r="I1212" s="75" t="str">
        <f>IF(LS[[#This Row],[B/S]]="B","BUY",(IF(LS[[#This Row],[B/S]]="S","SELL"," ")))</f>
        <v>BUY</v>
      </c>
      <c r="J1212" s="101" t="s">
        <v>1229</v>
      </c>
      <c r="K1212" s="102">
        <v>600000</v>
      </c>
      <c r="L1212" s="99"/>
      <c r="M1212" s="103">
        <f>LS[[#This Row],[Amount]]/LS[[#This Row],[Unit]]</f>
        <v>13.1639570854999</v>
      </c>
      <c r="N1212" s="104">
        <f>LS[[#This Row],[Unit Capital]]/10</f>
        <v>45579</v>
      </c>
      <c r="O1212" s="104">
        <f>SUMIFS(LS[[#Headers],[Unit]]:LS[[#This Row],[Unit]],LS[[#Headers],[Investor ID]]:LS[[#This Row],[Investor ID]],LS[[#This Row],[Investor ID]])</f>
        <v>549174</v>
      </c>
      <c r="P1212" s="102">
        <v>455790</v>
      </c>
      <c r="Q1212" s="102">
        <f>LS[[#This Row],[Amount]]-LS[[#This Row],[Unit Capital]]</f>
        <v>144210</v>
      </c>
      <c r="R12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11.188084895601854</v>
      </c>
      <c r="S1212" s="103">
        <f t="shared" si="18"/>
        <v>14.224</v>
      </c>
      <c r="T12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12" s="102" cm="1">
        <f t="array" ref="U1212">IF(LS[[#This Row],[B/S]]="S",ABS(LS[[#This Row],[Unit]])*(INDEX(LS[NAV at Cost (Average)],MATCH(CONCATENATE((LS[[#This Row],[Frequency]]-1),LS[[#This Row],[Investor ID]]),LS[Unique Code],0),0)),0)</f>
        <v>0</v>
      </c>
      <c r="V1212" s="102">
        <f>IF(LS[[#This Row],[BO TRANSFER]]="YES",LS[[#This Row],[Unit]],)</f>
        <v>0</v>
      </c>
      <c r="W1212" s="102">
        <f>SUMIFS(LS[[#Headers],[BO UNIT TRANSFER]]:LS[[#This Row],[BO UNIT TRANSFER]],LS[[#Headers],[Investor ID]]:LS[[#This Row],[Investor ID]],LS[[#This Row],[Investor ID]])</f>
        <v>0</v>
      </c>
    </row>
    <row r="1213" spans="1:23">
      <c r="A1213" s="101">
        <v>2025</v>
      </c>
      <c r="B1213" s="101">
        <v>8</v>
      </c>
      <c r="C1213" s="101">
        <v>25</v>
      </c>
      <c r="D1213" s="98">
        <f>DATE(LS[[#This Row],[Year]],LS[[#This Row],[Month]],LS[[#This Row],[Day]])</f>
        <v>45894</v>
      </c>
      <c r="E1213" s="99" t="str" cm="1">
        <f t="array" ref="E1213">INDEX(INVESTORS_LIST[INVESTOR NAME],MATCH(LS[[#This Row],[Investor ID]],INVESTORS_LIST[INVESTOR CODE],0),)</f>
        <v>NRB BANK LIMITED</v>
      </c>
      <c r="F1213" s="100" t="s">
        <v>1151</v>
      </c>
      <c r="G1213" s="101">
        <f>COUNTIF(LS[[#Headers],[Investor ID]]:LS[[#This Row],[Investor ID]],LS[[#This Row],[Investor ID]])</f>
        <v>3</v>
      </c>
      <c r="H1213" s="101" t="str">
        <f>CONCATENATE(LS[[#This Row],[Frequency]],LS[[#This Row],[Investor ID]])</f>
        <v>3A00551</v>
      </c>
      <c r="I1213" s="75" t="str">
        <f>IF(LS[[#This Row],[B/S]]="B","BUY",(IF(LS[[#This Row],[B/S]]="S","SELL"," ")))</f>
        <v>BUY</v>
      </c>
      <c r="J1213" s="101" t="s">
        <v>1229</v>
      </c>
      <c r="K1213" s="102">
        <v>40000000</v>
      </c>
      <c r="L1213" s="99"/>
      <c r="M1213" s="103">
        <f>LS[[#This Row],[Amount]]/LS[[#This Row],[Unit]]</f>
        <v>13.164000408084013</v>
      </c>
      <c r="N1213" s="104">
        <f>LS[[#This Row],[Unit Capital]]/10</f>
        <v>3038590</v>
      </c>
      <c r="O1213" s="104">
        <f>SUMIFS(LS[[#Headers],[Unit]]:LS[[#This Row],[Unit]],LS[[#Headers],[Investor ID]]:LS[[#This Row],[Investor ID]],LS[[#This Row],[Investor ID]])</f>
        <v>3038590</v>
      </c>
      <c r="P1213" s="102">
        <v>30385900</v>
      </c>
      <c r="Q1213" s="102">
        <f>LS[[#This Row],[Amount]]-LS[[#This Row],[Unit Capital]]</f>
        <v>9614100</v>
      </c>
      <c r="R12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13.164000408084013</v>
      </c>
      <c r="S1213" s="103">
        <f t="shared" si="18"/>
        <v>14.224</v>
      </c>
      <c r="T121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13" s="102" cm="1">
        <f t="array" ref="U1213">IF(LS[[#This Row],[B/S]]="S",ABS(LS[[#This Row],[Unit]])*(INDEX(LS[NAV at Cost (Average)],MATCH(CONCATENATE((LS[[#This Row],[Frequency]]-1),LS[[#This Row],[Investor ID]]),LS[Unique Code],0),0)),0)</f>
        <v>0</v>
      </c>
      <c r="V1213" s="102">
        <f>IF(LS[[#This Row],[BO TRANSFER]]="YES",LS[[#This Row],[Unit]],)</f>
        <v>0</v>
      </c>
      <c r="W1213" s="102">
        <f>SUMIFS(LS[[#Headers],[BO UNIT TRANSFER]]:LS[[#This Row],[BO UNIT TRANSFER]],LS[[#Headers],[Investor ID]]:LS[[#This Row],[Investor ID]],LS[[#This Row],[Investor ID]])</f>
        <v>0</v>
      </c>
    </row>
    <row r="1214" spans="1:23">
      <c r="A1214" s="101">
        <v>2025</v>
      </c>
      <c r="B1214" s="101">
        <v>8</v>
      </c>
      <c r="C1214" s="101">
        <v>26</v>
      </c>
      <c r="D1214" s="98">
        <f>DATE(LS[[#This Row],[Year]],LS[[#This Row],[Month]],LS[[#This Row],[Day]])</f>
        <v>45895</v>
      </c>
      <c r="E1214" s="99" t="str" cm="1">
        <f t="array" ref="E1214">INDEX(INVESTORS_LIST[INVESTOR NAME],MATCH(LS[[#This Row],[Investor ID]],INVESTORS_LIST[INVESTOR CODE],0),)</f>
        <v>EDGE HIGH QUALITY INCOME FUND</v>
      </c>
      <c r="F1214" s="100" t="s">
        <v>976</v>
      </c>
      <c r="G1214" s="101">
        <f>COUNTIF(LS[[#Headers],[Investor ID]]:LS[[#This Row],[Investor ID]],LS[[#This Row],[Investor ID]])</f>
        <v>6</v>
      </c>
      <c r="H1214" s="101" t="str">
        <f>CONCATENATE(LS[[#This Row],[Frequency]],LS[[#This Row],[Investor ID]])</f>
        <v>6A00465</v>
      </c>
      <c r="I1214" s="75" t="str">
        <f>IF(LS[[#This Row],[B/S]]="B","BUY",(IF(LS[[#This Row],[B/S]]="S","SELL"," ")))</f>
        <v>SELL</v>
      </c>
      <c r="J1214" s="101" t="s">
        <v>1231</v>
      </c>
      <c r="K1214" s="102">
        <v>-7000088.6399999997</v>
      </c>
      <c r="L1214" s="99" t="s">
        <v>1230</v>
      </c>
      <c r="M1214" s="103">
        <f>LS[[#This Row],[Amount]]/LS[[#This Row],[Unit]]</f>
        <v>13.164</v>
      </c>
      <c r="N1214" s="104">
        <f>LS[[#This Row],[Unit Capital]]/10</f>
        <v>-531760</v>
      </c>
      <c r="O1214" s="104">
        <f>SUMIFS(LS[[#Headers],[Unit]]:LS[[#This Row],[Unit]],LS[[#Headers],[Investor ID]]:LS[[#This Row],[Investor ID]],LS[[#This Row],[Investor ID]])</f>
        <v>1771440</v>
      </c>
      <c r="P1214" s="102">
        <v>-5317600</v>
      </c>
      <c r="Q1214" s="102">
        <f>LS[[#This Row],[Amount]]-LS[[#This Row],[Unit Capital]]</f>
        <v>-1682488.6399999997</v>
      </c>
      <c r="R12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11.587596446153846</v>
      </c>
      <c r="S1214" s="103">
        <f t="shared" si="18"/>
        <v>14.224</v>
      </c>
      <c r="T1214" s="102">
        <f>IF(LS[[#This Row],[B/S]]="B",0,ABS(LS[[#This Row],[Unit]])*(LS[[#This Row],[NAV (Strike Rate)]]-INDEX(LS[NAV at Cost (Average)],MATCH(CONCATENATE(LS[[#This Row],[Frequency]]-1,LS[[#This Row],[Investor ID]]),LS[Unique Code],0),)))</f>
        <v>838268.35379323072</v>
      </c>
      <c r="U1214" s="102" cm="1">
        <f t="array" ref="U1214">IF(LS[[#This Row],[B/S]]="S",ABS(LS[[#This Row],[Unit]])*(INDEX(LS[NAV at Cost (Average)],MATCH(CONCATENATE((LS[[#This Row],[Frequency]]-1),LS[[#This Row],[Investor ID]]),LS[Unique Code],0),0)),0)</f>
        <v>6161820.2862067688</v>
      </c>
      <c r="V1214" s="102">
        <f>IF(LS[[#This Row],[BO TRANSFER]]="YES",LS[[#This Row],[Unit]],)</f>
        <v>-531760</v>
      </c>
      <c r="W1214" s="102">
        <f>SUMIFS(LS[[#Headers],[BO UNIT TRANSFER]]:LS[[#This Row],[BO UNIT TRANSFER]],LS[[#Headers],[Investor ID]]:LS[[#This Row],[Investor ID]],LS[[#This Row],[Investor ID]])</f>
        <v>1771440</v>
      </c>
    </row>
    <row r="1215" spans="1:23">
      <c r="A1215" s="101">
        <v>2025</v>
      </c>
      <c r="B1215" s="101">
        <v>8</v>
      </c>
      <c r="C1215" s="101">
        <v>26</v>
      </c>
      <c r="D1215" s="98">
        <f>DATE(LS[[#This Row],[Year]],LS[[#This Row],[Month]],LS[[#This Row],[Day]])</f>
        <v>45895</v>
      </c>
      <c r="E1215" s="99" t="str" cm="1">
        <f t="array" ref="E1215">INDEX(INVESTORS_LIST[INVESTOR NAME],MATCH(LS[[#This Row],[Investor ID]],INVESTORS_LIST[INVESTOR CODE],0),)</f>
        <v>KHAN MUHAMMAD KAWSER AHMED</v>
      </c>
      <c r="F1215" s="100" t="s">
        <v>944</v>
      </c>
      <c r="G1215" s="101">
        <f>COUNTIF(LS[[#Headers],[Investor ID]]:LS[[#This Row],[Investor ID]],LS[[#This Row],[Investor ID]])</f>
        <v>33</v>
      </c>
      <c r="H1215" s="101" t="str">
        <f>CONCATENATE(LS[[#This Row],[Frequency]],LS[[#This Row],[Investor ID]])</f>
        <v>33A00449</v>
      </c>
      <c r="I1215" s="75" t="str">
        <f>IF(LS[[#This Row],[B/S]]="B","BUY",(IF(LS[[#This Row],[B/S]]="S","SELL"," ")))</f>
        <v>SELL</v>
      </c>
      <c r="J1215" s="101" t="s">
        <v>1231</v>
      </c>
      <c r="K1215" s="102">
        <v>-30000000</v>
      </c>
      <c r="L1215" s="99"/>
      <c r="M1215" s="103">
        <f>LS[[#This Row],[Amount]]/LS[[#This Row],[Unit]]</f>
        <v>13.163997519902868</v>
      </c>
      <c r="N1215" s="104">
        <f>LS[[#This Row],[Unit Capital]]/10</f>
        <v>-2278943</v>
      </c>
      <c r="O1215" s="104">
        <f>SUMIFS(LS[[#Headers],[Unit]]:LS[[#This Row],[Unit]],LS[[#Headers],[Investor ID]]:LS[[#This Row],[Investor ID]],LS[[#This Row],[Investor ID]])</f>
        <v>9190082</v>
      </c>
      <c r="P1215" s="102">
        <v>-22789430</v>
      </c>
      <c r="Q1215" s="102">
        <f>LS[[#This Row],[Amount]]-LS[[#This Row],[Unit Capital]]</f>
        <v>-7210570</v>
      </c>
      <c r="R12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11.970799431276081</v>
      </c>
      <c r="S1215" s="103">
        <f t="shared" si="18"/>
        <v>14.224</v>
      </c>
      <c r="T1215" s="102">
        <f>IF(LS[[#This Row],[B/S]]="B",0,ABS(LS[[#This Row],[Unit]])*(LS[[#This Row],[NAV (Strike Rate)]]-INDEX(LS[NAV at Cost (Average)],MATCH(CONCATENATE(LS[[#This Row],[Frequency]]-1,LS[[#This Row],[Investor ID]]),LS[Unique Code],0),)))</f>
        <v>2719230.4316893946</v>
      </c>
      <c r="U1215" s="102" cm="1">
        <f t="array" ref="U1215">IF(LS[[#This Row],[B/S]]="S",ABS(LS[[#This Row],[Unit]])*(INDEX(LS[NAV at Cost (Average)],MATCH(CONCATENATE((LS[[#This Row],[Frequency]]-1),LS[[#This Row],[Investor ID]]),LS[Unique Code],0),0)),0)</f>
        <v>27280769.568310607</v>
      </c>
      <c r="V1215" s="102">
        <f>IF(LS[[#This Row],[BO TRANSFER]]="YES",LS[[#This Row],[Unit]],)</f>
        <v>0</v>
      </c>
      <c r="W1215" s="102">
        <f>SUMIFS(LS[[#Headers],[BO UNIT TRANSFER]]:LS[[#This Row],[BO UNIT TRANSFER]],LS[[#Headers],[Investor ID]]:LS[[#This Row],[Investor ID]],LS[[#This Row],[Investor ID]])</f>
        <v>0</v>
      </c>
    </row>
    <row r="1216" spans="1:23">
      <c r="A1216" s="101">
        <v>2025</v>
      </c>
      <c r="B1216" s="101">
        <v>8</v>
      </c>
      <c r="C1216" s="101">
        <v>26</v>
      </c>
      <c r="D1216" s="98">
        <f>DATE(LS[[#This Row],[Year]],LS[[#This Row],[Month]],LS[[#This Row],[Day]])</f>
        <v>45895</v>
      </c>
      <c r="E1216" s="99" t="str" cm="1">
        <f t="array" ref="E1216">INDEX(INVESTORS_LIST[INVESTOR NAME],MATCH(LS[[#This Row],[Investor ID]],INVESTORS_LIST[INVESTOR CODE],0),)</f>
        <v>KAZI AHSAN MARUF</v>
      </c>
      <c r="F1216" s="100" t="s">
        <v>158</v>
      </c>
      <c r="G1216" s="101">
        <f>COUNTIF(LS[[#Headers],[Investor ID]]:LS[[#This Row],[Investor ID]],LS[[#This Row],[Investor ID]])</f>
        <v>9</v>
      </c>
      <c r="H1216" s="101" t="str">
        <f>CONCATENATE(LS[[#This Row],[Frequency]],LS[[#This Row],[Investor ID]])</f>
        <v>9A00055</v>
      </c>
      <c r="I1216" s="75" t="str">
        <f>IF(LS[[#This Row],[B/S]]="B","BUY",(IF(LS[[#This Row],[B/S]]="S","SELL"," ")))</f>
        <v>SELL</v>
      </c>
      <c r="J1216" s="101" t="s">
        <v>1231</v>
      </c>
      <c r="K1216" s="102">
        <v>-682081.5</v>
      </c>
      <c r="L1216" s="99"/>
      <c r="M1216" s="103">
        <f>LS[[#This Row],[Amount]]/LS[[#This Row],[Unit]]</f>
        <v>13.164038676805497</v>
      </c>
      <c r="N1216" s="104">
        <f>LS[[#This Row],[Unit Capital]]/10</f>
        <v>-51814</v>
      </c>
      <c r="O1216" s="104">
        <f>SUMIFS(LS[[#Headers],[Unit]]:LS[[#This Row],[Unit]],LS[[#Headers],[Investor ID]]:LS[[#This Row],[Investor ID]],LS[[#This Row],[Investor ID]])</f>
        <v>23199</v>
      </c>
      <c r="P1216" s="102">
        <v>-518140</v>
      </c>
      <c r="Q1216" s="102">
        <f>LS[[#This Row],[Amount]]-LS[[#This Row],[Unit Capital]]</f>
        <v>-163941.5</v>
      </c>
      <c r="R12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12.676841945134626</v>
      </c>
      <c r="S1216" s="103">
        <f t="shared" si="18"/>
        <v>14.224</v>
      </c>
      <c r="T1216" s="102">
        <f>IF(LS[[#This Row],[B/S]]="B",0,ABS(LS[[#This Row],[Unit]])*(LS[[#This Row],[NAV (Strike Rate)]]-INDEX(LS[NAV at Cost (Average)],MATCH(CONCATENATE(LS[[#This Row],[Frequency]]-1,LS[[#This Row],[Investor ID]]),LS[Unique Code],0),)))</f>
        <v>25243.611454794485</v>
      </c>
      <c r="U1216" s="102" cm="1">
        <f t="array" ref="U1216">IF(LS[[#This Row],[B/S]]="S",ABS(LS[[#This Row],[Unit]])*(INDEX(LS[NAV at Cost (Average)],MATCH(CONCATENATE((LS[[#This Row],[Frequency]]-1),LS[[#This Row],[Investor ID]]),LS[Unique Code],0),0)),0)</f>
        <v>656837.88854520547</v>
      </c>
      <c r="V1216" s="102">
        <f>IF(LS[[#This Row],[BO TRANSFER]]="YES",LS[[#This Row],[Unit]],)</f>
        <v>0</v>
      </c>
      <c r="W1216" s="102">
        <f>SUMIFS(LS[[#Headers],[BO UNIT TRANSFER]]:LS[[#This Row],[BO UNIT TRANSFER]],LS[[#Headers],[Investor ID]]:LS[[#This Row],[Investor ID]],LS[[#This Row],[Investor ID]])</f>
        <v>0</v>
      </c>
    </row>
    <row r="1217" spans="1:23">
      <c r="A1217" s="101">
        <v>2025</v>
      </c>
      <c r="B1217" s="101">
        <v>8</v>
      </c>
      <c r="C1217" s="101">
        <v>26</v>
      </c>
      <c r="D1217" s="98">
        <f>DATE(LS[[#This Row],[Year]],LS[[#This Row],[Month]],LS[[#This Row],[Day]])</f>
        <v>45895</v>
      </c>
      <c r="E1217" s="99" t="str" cm="1">
        <f t="array" ref="E1217">INDEX(INVESTORS_LIST[INVESTOR NAME],MATCH(LS[[#This Row],[Investor ID]],INVESTORS_LIST[INVESTOR CODE],0),)</f>
        <v>SHUVA SAHA</v>
      </c>
      <c r="F1217" s="100" t="s">
        <v>154</v>
      </c>
      <c r="G1217" s="101">
        <f>COUNTIF(LS[[#Headers],[Investor ID]]:LS[[#This Row],[Investor ID]],LS[[#This Row],[Investor ID]])</f>
        <v>19</v>
      </c>
      <c r="H1217" s="101" t="str">
        <f>CONCATENATE(LS[[#This Row],[Frequency]],LS[[#This Row],[Investor ID]])</f>
        <v>19A00053</v>
      </c>
      <c r="I1217" s="75" t="str">
        <f>IF(LS[[#This Row],[B/S]]="B","BUY",(IF(LS[[#This Row],[B/S]]="S","SELL"," ")))</f>
        <v>SELL</v>
      </c>
      <c r="J1217" s="101" t="s">
        <v>1231</v>
      </c>
      <c r="K1217" s="102">
        <v>-237478.56</v>
      </c>
      <c r="L1217" s="99"/>
      <c r="M1217" s="103">
        <f>LS[[#This Row],[Amount]]/LS[[#This Row],[Unit]]</f>
        <v>13.164</v>
      </c>
      <c r="N1217" s="104">
        <f>LS[[#This Row],[Unit Capital]]/10</f>
        <v>-18040</v>
      </c>
      <c r="O1217" s="104">
        <f>SUMIFS(LS[[#Headers],[Unit]]:LS[[#This Row],[Unit]],LS[[#Headers],[Investor ID]]:LS[[#This Row],[Investor ID]],LS[[#This Row],[Investor ID]])</f>
        <v>0</v>
      </c>
      <c r="P1217" s="102">
        <v>-180400</v>
      </c>
      <c r="Q1217" s="102">
        <f>LS[[#This Row],[Amount]]-LS[[#This Row],[Unit Capital]]</f>
        <v>-57078.559999999998</v>
      </c>
      <c r="R12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17" s="103">
        <f t="shared" si="18"/>
        <v>14.224</v>
      </c>
      <c r="T1217" s="102">
        <f>IF(LS[[#This Row],[B/S]]="B",0,ABS(LS[[#This Row],[Unit]])*(LS[[#This Row],[NAV (Strike Rate)]]-INDEX(LS[NAV at Cost (Average)],MATCH(CONCATENATE(LS[[#This Row],[Frequency]]-1,LS[[#This Row],[Investor ID]]),LS[Unique Code],0),)))</f>
        <v>12380.793113851532</v>
      </c>
      <c r="U1217" s="102" cm="1">
        <f t="array" ref="U1217">IF(LS[[#This Row],[B/S]]="S",ABS(LS[[#This Row],[Unit]])*(INDEX(LS[NAV at Cost (Average)],MATCH(CONCATENATE((LS[[#This Row],[Frequency]]-1),LS[[#This Row],[Investor ID]]),LS[Unique Code],0),0)),0)</f>
        <v>225097.76688614846</v>
      </c>
      <c r="V1217" s="102">
        <f>IF(LS[[#This Row],[BO TRANSFER]]="YES",LS[[#This Row],[Unit]],)</f>
        <v>0</v>
      </c>
      <c r="W1217" s="102">
        <f>SUMIFS(LS[[#Headers],[BO UNIT TRANSFER]]:LS[[#This Row],[BO UNIT TRANSFER]],LS[[#Headers],[Investor ID]]:LS[[#This Row],[Investor ID]],LS[[#This Row],[Investor ID]])</f>
        <v>0</v>
      </c>
    </row>
    <row r="1218" spans="1:23">
      <c r="A1218" s="101">
        <v>2025</v>
      </c>
      <c r="B1218" s="101">
        <v>8</v>
      </c>
      <c r="C1218" s="101">
        <v>26</v>
      </c>
      <c r="D1218" s="98">
        <f>DATE(LS[[#This Row],[Year]],LS[[#This Row],[Month]],LS[[#This Row],[Day]])</f>
        <v>45895</v>
      </c>
      <c r="E1218" s="99" t="str" cm="1">
        <f t="array" ref="E1218">INDEX(INVESTORS_LIST[INVESTOR NAME],MATCH(LS[[#This Row],[Investor ID]],INVESTORS_LIST[INVESTOR CODE],0),)</f>
        <v>KAZI AHSAN MARUF</v>
      </c>
      <c r="F1218" s="100" t="s">
        <v>158</v>
      </c>
      <c r="G1218" s="101">
        <f>COUNTIF(LS[[#Headers],[Investor ID]]:LS[[#This Row],[Investor ID]],LS[[#This Row],[Investor ID]])</f>
        <v>10</v>
      </c>
      <c r="H1218" s="101" t="str">
        <f>CONCATENATE(LS[[#This Row],[Frequency]],LS[[#This Row],[Investor ID]])</f>
        <v>10A00055</v>
      </c>
      <c r="I1218" s="75" t="str">
        <f>IF(LS[[#This Row],[B/S]]="B","BUY",(IF(LS[[#This Row],[B/S]]="S","SELL"," ")))</f>
        <v>SELL</v>
      </c>
      <c r="J1218" s="101" t="s">
        <v>1231</v>
      </c>
      <c r="K1218" s="102">
        <v>-305390.15999999997</v>
      </c>
      <c r="L1218" s="99"/>
      <c r="M1218" s="103">
        <f>LS[[#This Row],[Amount]]/LS[[#This Row],[Unit]]</f>
        <v>13.163936376567955</v>
      </c>
      <c r="N1218" s="104">
        <f>LS[[#This Row],[Unit Capital]]/10</f>
        <v>-23199</v>
      </c>
      <c r="O1218" s="104">
        <f>SUMIFS(LS[[#Headers],[Unit]]:LS[[#This Row],[Unit]],LS[[#Headers],[Investor ID]]:LS[[#This Row],[Investor ID]],LS[[#This Row],[Investor ID]])</f>
        <v>0</v>
      </c>
      <c r="P1218" s="102">
        <v>-231990</v>
      </c>
      <c r="Q1218" s="102">
        <f>LS[[#This Row],[Amount]]-LS[[#This Row],[Unit Capital]]</f>
        <v>-73400.159999999974</v>
      </c>
      <c r="R12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18" s="103">
        <f t="shared" si="18"/>
        <v>14.224</v>
      </c>
      <c r="T1218" s="102">
        <f>IF(LS[[#This Row],[B/S]]="B",0,ABS(LS[[#This Row],[Unit]])*(LS[[#This Row],[NAV (Strike Rate)]]-INDEX(LS[NAV at Cost (Average)],MATCH(CONCATENATE(LS[[#This Row],[Frequency]]-1,LS[[#This Row],[Investor ID]]),LS[Unique Code],0),)))</f>
        <v>11300.103714821798</v>
      </c>
      <c r="U1218" s="102" cm="1">
        <f t="array" ref="U1218">IF(LS[[#This Row],[B/S]]="S",ABS(LS[[#This Row],[Unit]])*(INDEX(LS[NAV at Cost (Average)],MATCH(CONCATENATE((LS[[#This Row],[Frequency]]-1),LS[[#This Row],[Investor ID]]),LS[Unique Code],0),0)),0)</f>
        <v>294090.05628517817</v>
      </c>
      <c r="V1218" s="102">
        <f>IF(LS[[#This Row],[BO TRANSFER]]="YES",LS[[#This Row],[Unit]],)</f>
        <v>0</v>
      </c>
      <c r="W1218" s="102">
        <f>SUMIFS(LS[[#Headers],[BO UNIT TRANSFER]]:LS[[#This Row],[BO UNIT TRANSFER]],LS[[#Headers],[Investor ID]]:LS[[#This Row],[Investor ID]],LS[[#This Row],[Investor ID]])</f>
        <v>0</v>
      </c>
    </row>
    <row r="1219" spans="1:23">
      <c r="A1219" s="101">
        <v>2025</v>
      </c>
      <c r="B1219" s="101">
        <v>8</v>
      </c>
      <c r="C1219" s="101">
        <v>26</v>
      </c>
      <c r="D1219" s="98">
        <f>DATE(LS[[#This Row],[Year]],LS[[#This Row],[Month]],LS[[#This Row],[Day]])</f>
        <v>45895</v>
      </c>
      <c r="E1219" t="str" cm="1">
        <f t="array" ref="E1219">INDEX(INVESTORS_LIST[INVESTOR NAME],MATCH(LS[[#This Row],[Investor ID]],INVESTORS_LIST[INVESTOR CODE],0),)</f>
        <v>EKUSH WEALTH MANAGEMENT LIMITED</v>
      </c>
      <c r="F1219" s="100" t="s">
        <v>47</v>
      </c>
      <c r="G1219" s="101">
        <f>COUNTIF(LS[[#Headers],[Investor ID]]:LS[[#This Row],[Investor ID]],LS[[#This Row],[Investor ID]])</f>
        <v>34</v>
      </c>
      <c r="H1219" s="101" t="str">
        <f>CONCATENATE(LS[[#This Row],[Frequency]],LS[[#This Row],[Investor ID]])</f>
        <v>34A00003</v>
      </c>
      <c r="I1219" s="75" t="str">
        <f>IF(LS[[#This Row],[B/S]]="B","BUY",(IF(LS[[#This Row],[B/S]]="S","SELL"," ")))</f>
        <v>SELL</v>
      </c>
      <c r="J1219" s="101" t="s">
        <v>1231</v>
      </c>
      <c r="K1219" s="102">
        <v>-380000</v>
      </c>
      <c r="L1219" s="99"/>
      <c r="M1219" s="103">
        <f>LS[[#This Row],[Amount]]/LS[[#This Row],[Unit]]</f>
        <v>13.163820279211556</v>
      </c>
      <c r="N1219" s="104">
        <f>LS[[#This Row],[Unit Capital]]/10</f>
        <v>-28867</v>
      </c>
      <c r="O1219" s="104">
        <f>SUMIFS(LS[[#Headers],[Unit]]:LS[[#This Row],[Unit]],LS[[#Headers],[Investor ID]]:LS[[#This Row],[Investor ID]],LS[[#This Row],[Investor ID]])</f>
        <v>441863</v>
      </c>
      <c r="P1219" s="102">
        <v>-288670</v>
      </c>
      <c r="Q1219" s="102">
        <f>LS[[#This Row],[Amount]]-LS[[#This Row],[Unit Capital]]</f>
        <v>-91330</v>
      </c>
      <c r="R12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19" s="103">
        <f t="shared" ref="S1219:S1269" si="19">IFERROR(NAV_MKT,0)</f>
        <v>14.224</v>
      </c>
      <c r="T1219" s="102">
        <f>IF(LS[[#This Row],[B/S]]="B",0,ABS(LS[[#This Row],[Unit]])*(LS[[#This Row],[NAV (Strike Rate)]]-INDEX(LS[NAV at Cost (Average)],MATCH(CONCATENATE(LS[[#This Row],[Frequency]]-1,LS[[#This Row],[Investor ID]]),LS[Unique Code],0),)))</f>
        <v>31837.765174386805</v>
      </c>
      <c r="U1219" s="102" cm="1">
        <f t="array" ref="U1219">IF(LS[[#This Row],[B/S]]="S",ABS(LS[[#This Row],[Unit]])*(INDEX(LS[NAV at Cost (Average)],MATCH(CONCATENATE((LS[[#This Row],[Frequency]]-1),LS[[#This Row],[Investor ID]]),LS[Unique Code],0),0)),0)</f>
        <v>348162.23482561321</v>
      </c>
      <c r="V1219" s="102">
        <f>IF(LS[[#This Row],[BO TRANSFER]]="YES",LS[[#This Row],[Unit]],)</f>
        <v>0</v>
      </c>
      <c r="W1219" s="102">
        <f>SUMIFS(LS[[#Headers],[BO UNIT TRANSFER]]:LS[[#This Row],[BO UNIT TRANSFER]],LS[[#Headers],[Investor ID]]:LS[[#This Row],[Investor ID]],LS[[#This Row],[Investor ID]])</f>
        <v>0</v>
      </c>
    </row>
    <row r="1220" spans="1:23">
      <c r="A1220" s="101">
        <v>2025</v>
      </c>
      <c r="B1220" s="101">
        <v>8</v>
      </c>
      <c r="C1220" s="101">
        <v>26</v>
      </c>
      <c r="D1220" s="98">
        <f>DATE(LS[[#This Row],[Year]],LS[[#This Row],[Month]],LS[[#This Row],[Day]])</f>
        <v>45895</v>
      </c>
      <c r="E1220" s="99" t="str" cm="1">
        <f t="array" ref="E1220">INDEX(INVESTORS_LIST[INVESTOR NAME],MATCH(LS[[#This Row],[Investor ID]],INVESTORS_LIST[INVESTOR CODE],0),)</f>
        <v>KHAN MUHAMMAD KAWSER AHMED</v>
      </c>
      <c r="F1220" s="100" t="s">
        <v>944</v>
      </c>
      <c r="G1220" s="101">
        <f>COUNTIF(LS[[#Headers],[Investor ID]]:LS[[#This Row],[Investor ID]],LS[[#This Row],[Investor ID]])</f>
        <v>34</v>
      </c>
      <c r="H1220" s="101" t="str">
        <f>CONCATENATE(LS[[#This Row],[Frequency]],LS[[#This Row],[Investor ID]])</f>
        <v>34A00449</v>
      </c>
      <c r="I1220" s="75" t="str">
        <f>IF(LS[[#This Row],[B/S]]="B","BUY",(IF(LS[[#This Row],[B/S]]="S","SELL"," ")))</f>
        <v>BUY</v>
      </c>
      <c r="J1220" s="101" t="s">
        <v>1229</v>
      </c>
      <c r="K1220" s="102">
        <v>30000000</v>
      </c>
      <c r="L1220" s="99"/>
      <c r="M1220" s="103">
        <f>LS[[#This Row],[Amount]]/LS[[#This Row],[Unit]]</f>
        <v>13.163997519902868</v>
      </c>
      <c r="N1220" s="104">
        <f>LS[[#This Row],[Unit Capital]]/10</f>
        <v>2278943</v>
      </c>
      <c r="O1220" s="104">
        <f>SUMIFS(LS[[#Headers],[Unit]]:LS[[#This Row],[Unit]],LS[[#Headers],[Investor ID]]:LS[[#This Row],[Investor ID]],LS[[#This Row],[Investor ID]])</f>
        <v>11469025</v>
      </c>
      <c r="P1220" s="102">
        <v>22789430</v>
      </c>
      <c r="Q1220" s="102">
        <f>LS[[#This Row],[Amount]]-LS[[#This Row],[Unit Capital]]</f>
        <v>7210570</v>
      </c>
      <c r="R12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220" s="103">
        <f t="shared" si="19"/>
        <v>14.224</v>
      </c>
      <c r="T12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20" s="102" cm="1">
        <f t="array" ref="U1220">IF(LS[[#This Row],[B/S]]="S",ABS(LS[[#This Row],[Unit]])*(INDEX(LS[NAV at Cost (Average)],MATCH(CONCATENATE((LS[[#This Row],[Frequency]]-1),LS[[#This Row],[Investor ID]]),LS[Unique Code],0),0)),0)</f>
        <v>0</v>
      </c>
      <c r="V1220" s="102">
        <f>IF(LS[[#This Row],[BO TRANSFER]]="YES",LS[[#This Row],[Unit]],)</f>
        <v>0</v>
      </c>
      <c r="W1220" s="102">
        <f>SUMIFS(LS[[#Headers],[BO UNIT TRANSFER]]:LS[[#This Row],[BO UNIT TRANSFER]],LS[[#Headers],[Investor ID]]:LS[[#This Row],[Investor ID]],LS[[#This Row],[Investor ID]])</f>
        <v>0</v>
      </c>
    </row>
    <row r="1221" spans="1:23">
      <c r="A1221" s="101">
        <v>2025</v>
      </c>
      <c r="B1221" s="101">
        <v>8</v>
      </c>
      <c r="C1221" s="101">
        <v>28</v>
      </c>
      <c r="D1221" s="98">
        <f>DATE(LS[[#This Row],[Year]],LS[[#This Row],[Month]],LS[[#This Row],[Day]])</f>
        <v>45897</v>
      </c>
      <c r="E1221" s="99" t="str" cm="1">
        <f t="array" ref="E1221">INDEX(INVESTORS_LIST[INVESTOR NAME],MATCH(LS[[#This Row],[Investor ID]],INVESTORS_LIST[INVESTOR CODE],0),)</f>
        <v>RAKIBUL HASSAN</v>
      </c>
      <c r="F1221" s="100" t="s">
        <v>1422</v>
      </c>
      <c r="G1221" s="101">
        <f>COUNTIF(LS[[#Headers],[Investor ID]]:LS[[#This Row],[Investor ID]],LS[[#This Row],[Investor ID]])</f>
        <v>2</v>
      </c>
      <c r="H1221" s="101" t="str">
        <f>CONCATENATE(LS[[#This Row],[Frequency]],LS[[#This Row],[Investor ID]])</f>
        <v>2A00655</v>
      </c>
      <c r="I1221" s="75" t="str">
        <f>IF(LS[[#This Row],[B/S]]="B","BUY",(IF(LS[[#This Row],[B/S]]="S","SELL"," ")))</f>
        <v>SELL</v>
      </c>
      <c r="J1221" s="101" t="s">
        <v>1231</v>
      </c>
      <c r="K1221" s="102">
        <v>-101902.52</v>
      </c>
      <c r="L1221" s="99"/>
      <c r="M1221" s="103">
        <f>LS[[#This Row],[Amount]]/LS[[#This Row],[Unit]]</f>
        <v>13.163999483270896</v>
      </c>
      <c r="N1221" s="104">
        <f>LS[[#This Row],[Unit Capital]]/10</f>
        <v>-7741</v>
      </c>
      <c r="O1221" s="104">
        <f>SUMIFS(LS[[#Headers],[Unit]]:LS[[#This Row],[Unit]],LS[[#Headers],[Investor ID]]:LS[[#This Row],[Investor ID]],LS[[#This Row],[Investor ID]])</f>
        <v>0</v>
      </c>
      <c r="P1221" s="102">
        <v>-77410</v>
      </c>
      <c r="Q1221" s="102">
        <f>LS[[#This Row],[Amount]]-LS[[#This Row],[Unit Capital]]</f>
        <v>-24492.520000000004</v>
      </c>
      <c r="R12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21" s="103">
        <f t="shared" si="19"/>
        <v>14.224</v>
      </c>
      <c r="T1221" s="102">
        <f>IF(LS[[#This Row],[B/S]]="B",0,ABS(LS[[#This Row],[Unit]])*(LS[[#This Row],[NAV (Strike Rate)]]-INDEX(LS[NAV at Cost (Average)],MATCH(CONCATENATE(LS[[#This Row],[Frequency]]-1,LS[[#This Row],[Investor ID]]),LS[Unique Code],0),)))</f>
        <v>1902.5199999999973</v>
      </c>
      <c r="U1221" s="102" cm="1">
        <f t="array" ref="U1221">IF(LS[[#This Row],[B/S]]="S",ABS(LS[[#This Row],[Unit]])*(INDEX(LS[NAV at Cost (Average)],MATCH(CONCATENATE((LS[[#This Row],[Frequency]]-1),LS[[#This Row],[Investor ID]]),LS[Unique Code],0),0)),0)</f>
        <v>100000</v>
      </c>
      <c r="V1221" s="102">
        <f>IF(LS[[#This Row],[BO TRANSFER]]="YES",LS[[#This Row],[Unit]],)</f>
        <v>0</v>
      </c>
      <c r="W1221" s="102">
        <f>SUMIFS(LS[[#Headers],[BO UNIT TRANSFER]]:LS[[#This Row],[BO UNIT TRANSFER]],LS[[#Headers],[Investor ID]]:LS[[#This Row],[Investor ID]],LS[[#This Row],[Investor ID]])</f>
        <v>0</v>
      </c>
    </row>
    <row r="1222" spans="1:23">
      <c r="A1222" s="101">
        <v>2025</v>
      </c>
      <c r="B1222" s="101">
        <v>8</v>
      </c>
      <c r="C1222" s="101">
        <v>28</v>
      </c>
      <c r="D1222" s="98">
        <f>DATE(LS[[#This Row],[Year]],LS[[#This Row],[Month]],LS[[#This Row],[Day]])</f>
        <v>45897</v>
      </c>
      <c r="E1222" s="99" t="str" cm="1">
        <f t="array" ref="E1222">INDEX(INVESTORS_LIST[INVESTOR NAME],MATCH(LS[[#This Row],[Investor ID]],INVESTORS_LIST[INVESTOR CODE],0),)</f>
        <v>MD. MUSTAFA KAMAL</v>
      </c>
      <c r="F1222" s="100" t="s">
        <v>1300</v>
      </c>
      <c r="G1222" s="101">
        <f>COUNTIF(LS[[#Headers],[Investor ID]]:LS[[#This Row],[Investor ID]],LS[[#This Row],[Investor ID]])</f>
        <v>19</v>
      </c>
      <c r="H1222" s="101" t="str">
        <f>CONCATENATE(LS[[#This Row],[Frequency]],LS[[#This Row],[Investor ID]])</f>
        <v>19A00597</v>
      </c>
      <c r="I1222" s="75" t="str">
        <f>IF(LS[[#This Row],[B/S]]="B","BUY",(IF(LS[[#This Row],[B/S]]="S","SELL"," ")))</f>
        <v>SELL</v>
      </c>
      <c r="J1222" s="101" t="s">
        <v>1231</v>
      </c>
      <c r="K1222" s="102">
        <v>-402489.3</v>
      </c>
      <c r="L1222" s="99"/>
      <c r="M1222" s="103">
        <f>LS[[#This Row],[Amount]]/LS[[#This Row],[Unit]]</f>
        <v>13.164</v>
      </c>
      <c r="N1222" s="104">
        <f>LS[[#This Row],[Unit Capital]]/10</f>
        <v>-30575</v>
      </c>
      <c r="O1222" s="104">
        <f>SUMIFS(LS[[#Headers],[Unit]]:LS[[#This Row],[Unit]],LS[[#Headers],[Investor ID]]:LS[[#This Row],[Investor ID]],LS[[#This Row],[Investor ID]])</f>
        <v>0</v>
      </c>
      <c r="P1222" s="102">
        <v>-305750</v>
      </c>
      <c r="Q1222" s="102">
        <f>LS[[#This Row],[Amount]]-LS[[#This Row],[Unit Capital]]</f>
        <v>-96739.299999999988</v>
      </c>
      <c r="R12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22" s="103">
        <f t="shared" si="19"/>
        <v>14.224</v>
      </c>
      <c r="T1222" s="102">
        <f>IF(LS[[#This Row],[B/S]]="B",0,ABS(LS[[#This Row],[Unit]])*(LS[[#This Row],[NAV (Strike Rate)]]-INDEX(LS[NAV at Cost (Average)],MATCH(CONCATENATE(LS[[#This Row],[Frequency]]-1,LS[[#This Row],[Investor ID]]),LS[Unique Code],0),)))</f>
        <v>10097.43584738652</v>
      </c>
      <c r="U1222" s="102" cm="1">
        <f t="array" ref="U1222">IF(LS[[#This Row],[B/S]]="S",ABS(LS[[#This Row],[Unit]])*(INDEX(LS[NAV at Cost (Average)],MATCH(CONCATENATE((LS[[#This Row],[Frequency]]-1),LS[[#This Row],[Investor ID]]),LS[Unique Code],0),0)),0)</f>
        <v>392391.86415261345</v>
      </c>
      <c r="V1222" s="102">
        <f>IF(LS[[#This Row],[BO TRANSFER]]="YES",LS[[#This Row],[Unit]],)</f>
        <v>0</v>
      </c>
      <c r="W1222" s="102">
        <f>SUMIFS(LS[[#Headers],[BO UNIT TRANSFER]]:LS[[#This Row],[BO UNIT TRANSFER]],LS[[#Headers],[Investor ID]]:LS[[#This Row],[Investor ID]],LS[[#This Row],[Investor ID]])</f>
        <v>0</v>
      </c>
    </row>
    <row r="1223" spans="1:23">
      <c r="A1223" s="101">
        <v>2025</v>
      </c>
      <c r="B1223" s="101">
        <v>8</v>
      </c>
      <c r="C1223" s="101">
        <v>28</v>
      </c>
      <c r="D1223" s="98">
        <f>DATE(LS[[#This Row],[Year]],LS[[#This Row],[Month]],LS[[#This Row],[Day]])</f>
        <v>45897</v>
      </c>
      <c r="E1223" s="99" t="str" cm="1">
        <f t="array" ref="E1223">INDEX(INVESTORS_LIST[INVESTOR NAME],MATCH(LS[[#This Row],[Investor ID]],INVESTORS_LIST[INVESTOR CODE],0),)</f>
        <v>MD. EHSANUL HOQUE</v>
      </c>
      <c r="F1223" s="100" t="s">
        <v>1204</v>
      </c>
      <c r="G1223" s="101">
        <f>COUNTIF(LS[[#Headers],[Investor ID]]:LS[[#This Row],[Investor ID]],LS[[#This Row],[Investor ID]])</f>
        <v>3</v>
      </c>
      <c r="H1223" s="101" t="str">
        <f>CONCATENATE(LS[[#This Row],[Frequency]],LS[[#This Row],[Investor ID]])</f>
        <v>3A00578</v>
      </c>
      <c r="I1223" s="75" t="str">
        <f>IF(LS[[#This Row],[B/S]]="B","BUY",(IF(LS[[#This Row],[B/S]]="S","SELL"," ")))</f>
        <v>SELL</v>
      </c>
      <c r="J1223" s="101" t="s">
        <v>1231</v>
      </c>
      <c r="K1223" s="102">
        <v>-1115043.46</v>
      </c>
      <c r="L1223" s="99"/>
      <c r="M1223" s="103">
        <f>LS[[#This Row],[Amount]]/LS[[#This Row],[Unit]]</f>
        <v>13.16400004722327</v>
      </c>
      <c r="N1223" s="104">
        <f>LS[[#This Row],[Unit Capital]]/10</f>
        <v>-84704</v>
      </c>
      <c r="O1223" s="104">
        <f>SUMIFS(LS[[#Headers],[Unit]]:LS[[#This Row],[Unit]],LS[[#Headers],[Investor ID]]:LS[[#This Row],[Investor ID]],LS[[#This Row],[Investor ID]])</f>
        <v>0</v>
      </c>
      <c r="P1223" s="102">
        <v>-847040</v>
      </c>
      <c r="Q1223" s="102">
        <f>LS[[#This Row],[Amount]]-LS[[#This Row],[Unit Capital]]</f>
        <v>-268003.45999999996</v>
      </c>
      <c r="R12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23" s="103">
        <f t="shared" si="19"/>
        <v>14.224</v>
      </c>
      <c r="T1223" s="102">
        <f>IF(LS[[#This Row],[B/S]]="B",0,ABS(LS[[#This Row],[Unit]])*(LS[[#This Row],[NAV (Strike Rate)]]-INDEX(LS[NAV at Cost (Average)],MATCH(CONCATENATE(LS[[#This Row],[Frequency]]-1,LS[[#This Row],[Investor ID]]),LS[Unique Code],0),)))</f>
        <v>115043.45999999996</v>
      </c>
      <c r="U1223" s="102" cm="1">
        <f t="array" ref="U1223">IF(LS[[#This Row],[B/S]]="S",ABS(LS[[#This Row],[Unit]])*(INDEX(LS[NAV at Cost (Average)],MATCH(CONCATENATE((LS[[#This Row],[Frequency]]-1),LS[[#This Row],[Investor ID]]),LS[Unique Code],0),0)),0)</f>
        <v>999999.99999999988</v>
      </c>
      <c r="V1223" s="102">
        <f>IF(LS[[#This Row],[BO TRANSFER]]="YES",LS[[#This Row],[Unit]],)</f>
        <v>0</v>
      </c>
      <c r="W1223" s="102">
        <f>SUMIFS(LS[[#Headers],[BO UNIT TRANSFER]]:LS[[#This Row],[BO UNIT TRANSFER]],LS[[#Headers],[Investor ID]]:LS[[#This Row],[Investor ID]],LS[[#This Row],[Investor ID]])</f>
        <v>0</v>
      </c>
    </row>
    <row r="1224" spans="1:23">
      <c r="A1224" s="101">
        <v>2025</v>
      </c>
      <c r="B1224" s="101">
        <v>8</v>
      </c>
      <c r="C1224" s="101">
        <v>28</v>
      </c>
      <c r="D1224" s="230">
        <f>DATE(LS[[#This Row],[Year]],LS[[#This Row],[Month]],LS[[#This Row],[Day]])</f>
        <v>45897</v>
      </c>
      <c r="E1224" s="231" t="str" cm="1">
        <f t="array" ref="E1224">INDEX(INVESTORS_LIST[INVESTOR NAME],MATCH(LS[[#This Row],[Investor ID]],INVESTORS_LIST[INVESTOR CODE],0),)</f>
        <v>KABIR AHMED TALUKDER</v>
      </c>
      <c r="F1224" s="232" t="s">
        <v>411</v>
      </c>
      <c r="G1224" s="229">
        <f>COUNTIF(LS[[#Headers],[Investor ID]]:LS[[#This Row],[Investor ID]],LS[[#This Row],[Investor ID]])</f>
        <v>1</v>
      </c>
      <c r="H1224" s="229" t="str">
        <f>CONCATENATE(LS[[#This Row],[Frequency]],LS[[#This Row],[Investor ID]])</f>
        <v>1A00181</v>
      </c>
      <c r="I1224" s="75" t="str">
        <f>IF(LS[[#This Row],[B/S]]="B","BUY",(IF(LS[[#This Row],[B/S]]="S","SELL"," ")))</f>
        <v>BUY</v>
      </c>
      <c r="J1224" s="229" t="s">
        <v>1229</v>
      </c>
      <c r="K1224" s="233">
        <v>1475000</v>
      </c>
      <c r="L1224" s="231"/>
      <c r="M1224" s="234">
        <f>LS[[#This Row],[Amount]]/LS[[#This Row],[Unit]]</f>
        <v>13.164001142367557</v>
      </c>
      <c r="N1224" s="235">
        <f>LS[[#This Row],[Unit Capital]]/10</f>
        <v>112048</v>
      </c>
      <c r="O1224" s="235">
        <f>SUMIFS(LS[[#Headers],[Unit]]:LS[[#This Row],[Unit]],LS[[#Headers],[Investor ID]]:LS[[#This Row],[Investor ID]],LS[[#This Row],[Investor ID]])</f>
        <v>112048</v>
      </c>
      <c r="P1224" s="233">
        <v>1120480</v>
      </c>
      <c r="Q1224" s="233">
        <f>LS[[#This Row],[Amount]]-LS[[#This Row],[Unit Capital]]</f>
        <v>354520</v>
      </c>
      <c r="R1224" s="233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13.164001142367557</v>
      </c>
      <c r="S1224" s="234">
        <f t="shared" si="19"/>
        <v>14.224</v>
      </c>
      <c r="T1224" s="23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24" s="233" cm="1">
        <f t="array" ref="U1224">IF(LS[[#This Row],[B/S]]="S",ABS(LS[[#This Row],[Unit]])*(INDEX(LS[NAV at Cost (Average)],MATCH(CONCATENATE((LS[[#This Row],[Frequency]]-1),LS[[#This Row],[Investor ID]]),LS[Unique Code],0),0)),0)</f>
        <v>0</v>
      </c>
      <c r="V1224" s="233">
        <f>IF(LS[[#This Row],[BO TRANSFER]]="YES",LS[[#This Row],[Unit]],)</f>
        <v>0</v>
      </c>
      <c r="W1224" s="233">
        <f>SUMIFS(LS[[#Headers],[BO UNIT TRANSFER]]:LS[[#This Row],[BO UNIT TRANSFER]],LS[[#Headers],[Investor ID]]:LS[[#This Row],[Investor ID]],LS[[#This Row],[Investor ID]])</f>
        <v>0</v>
      </c>
    </row>
    <row r="1225" spans="1:23">
      <c r="A1225" s="101">
        <v>2025</v>
      </c>
      <c r="B1225" s="101">
        <v>8</v>
      </c>
      <c r="C1225" s="101">
        <v>31</v>
      </c>
      <c r="D1225" s="98">
        <f>DATE(LS[[#This Row],[Year]],LS[[#This Row],[Month]],LS[[#This Row],[Day]])</f>
        <v>45900</v>
      </c>
      <c r="E1225" s="99" t="str" cm="1">
        <f t="array" ref="E1225">INDEX(INVESTORS_LIST[INVESTOR NAME],MATCH(LS[[#This Row],[Investor ID]],INVESTORS_LIST[INVESTOR CODE],0),)</f>
        <v>KHAN MUHAMMAD KAWSER AHMED</v>
      </c>
      <c r="F1225" s="100" t="s">
        <v>944</v>
      </c>
      <c r="G1225" s="101">
        <f>COUNTIF(LS[[#Headers],[Investor ID]]:LS[[#This Row],[Investor ID]],LS[[#This Row],[Investor ID]])</f>
        <v>35</v>
      </c>
      <c r="H1225" s="101" t="str">
        <f>CONCATENATE(LS[[#This Row],[Frequency]],LS[[#This Row],[Investor ID]])</f>
        <v>35A00449</v>
      </c>
      <c r="I1225" s="75" t="str">
        <f>IF(LS[[#This Row],[B/S]]="B","BUY",(IF(LS[[#This Row],[B/S]]="S","SELL"," ")))</f>
        <v>SELL</v>
      </c>
      <c r="J1225" s="101" t="s">
        <v>1231</v>
      </c>
      <c r="K1225" s="102">
        <v>-9000000</v>
      </c>
      <c r="L1225" s="99"/>
      <c r="M1225" s="103">
        <f>LS[[#This Row],[Amount]]/LS[[#This Row],[Unit]]</f>
        <v>13.194991181347561</v>
      </c>
      <c r="N1225" s="104">
        <f>LS[[#This Row],[Unit Capital]]/10</f>
        <v>-682077</v>
      </c>
      <c r="O1225" s="104">
        <f>SUMIFS(LS[[#Headers],[Unit]]:LS[[#This Row],[Unit]],LS[[#Headers],[Investor ID]]:LS[[#This Row],[Investor ID]],LS[[#This Row],[Investor ID]])</f>
        <v>10786948</v>
      </c>
      <c r="P1225" s="102">
        <v>-6820770</v>
      </c>
      <c r="Q1225" s="102">
        <f>LS[[#This Row],[Amount]]-LS[[#This Row],[Unit Capital]]</f>
        <v>-2179230</v>
      </c>
      <c r="R12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225" s="103">
        <f t="shared" si="19"/>
        <v>14.224</v>
      </c>
      <c r="T1225" s="102">
        <f>IF(LS[[#This Row],[B/S]]="B",0,ABS(LS[[#This Row],[Unit]])*(LS[[#This Row],[NAV (Strike Rate)]]-INDEX(LS[NAV at Cost (Average)],MATCH(CONCATENATE(LS[[#This Row],[Frequency]]-1,LS[[#This Row],[Investor ID]]),LS[Unique Code],0),)))</f>
        <v>673277.06349494203</v>
      </c>
      <c r="U1225" s="102" cm="1">
        <f t="array" ref="U1225">IF(LS[[#This Row],[B/S]]="S",ABS(LS[[#This Row],[Unit]])*(INDEX(LS[NAV at Cost (Average)],MATCH(CONCATENATE((LS[[#This Row],[Frequency]]-1),LS[[#This Row],[Investor ID]]),LS[Unique Code],0),0)),0)</f>
        <v>8326722.9365050578</v>
      </c>
      <c r="V1225" s="102">
        <f>IF(LS[[#This Row],[BO TRANSFER]]="YES",LS[[#This Row],[Unit]],)</f>
        <v>0</v>
      </c>
      <c r="W1225" s="102">
        <f>SUMIFS(LS[[#Headers],[BO UNIT TRANSFER]]:LS[[#This Row],[BO UNIT TRANSFER]],LS[[#Headers],[Investor ID]]:LS[[#This Row],[Investor ID]],LS[[#This Row],[Investor ID]])</f>
        <v>0</v>
      </c>
    </row>
    <row r="1226" spans="1:23">
      <c r="A1226" s="101">
        <v>2025</v>
      </c>
      <c r="B1226" s="101">
        <v>9</v>
      </c>
      <c r="C1226" s="101">
        <v>1</v>
      </c>
      <c r="D1226" s="98">
        <f>DATE(LS[[#This Row],[Year]],LS[[#This Row],[Month]],LS[[#This Row],[Day]])</f>
        <v>45901</v>
      </c>
      <c r="E1226" s="99" t="str" cm="1">
        <f t="array" ref="E1226">INDEX(INVESTORS_LIST[INVESTOR NAME],MATCH(LS[[#This Row],[Investor ID]],INVESTORS_LIST[INVESTOR CODE],0),)</f>
        <v>TAJDIKUL ALAM</v>
      </c>
      <c r="F1226" s="100" t="s">
        <v>1099</v>
      </c>
      <c r="G1226" s="101">
        <f>COUNTIF(LS[[#Headers],[Investor ID]]:LS[[#This Row],[Investor ID]],LS[[#This Row],[Investor ID]])</f>
        <v>6</v>
      </c>
      <c r="H1226" s="101" t="str">
        <f>CONCATENATE(LS[[#This Row],[Frequency]],LS[[#This Row],[Investor ID]])</f>
        <v>6A00526</v>
      </c>
      <c r="I1226" s="75" t="str">
        <f>IF(LS[[#This Row],[B/S]]="B","BUY",(IF(LS[[#This Row],[B/S]]="S","SELL"," ")))</f>
        <v>SELL</v>
      </c>
      <c r="J1226" s="101" t="s">
        <v>1231</v>
      </c>
      <c r="K1226" s="102">
        <v>-46182.5</v>
      </c>
      <c r="L1226" s="99"/>
      <c r="M1226" s="103">
        <f>LS[[#This Row],[Amount]]/LS[[#This Row],[Unit]]</f>
        <v>13.195</v>
      </c>
      <c r="N1226" s="104">
        <f>LS[[#This Row],[Unit Capital]]/10</f>
        <v>-3500</v>
      </c>
      <c r="O1226" s="104">
        <f>SUMIFS(LS[[#Headers],[Unit]]:LS[[#This Row],[Unit]],LS[[#Headers],[Investor ID]]:LS[[#This Row],[Investor ID]],LS[[#This Row],[Investor ID]])</f>
        <v>58750</v>
      </c>
      <c r="P1226" s="102">
        <v>-35000</v>
      </c>
      <c r="Q1226" s="102">
        <f>LS[[#This Row],[Amount]]-LS[[#This Row],[Unit Capital]]</f>
        <v>-11182.5</v>
      </c>
      <c r="R12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226" s="103">
        <f t="shared" si="19"/>
        <v>14.224</v>
      </c>
      <c r="T1226" s="102">
        <f>IF(LS[[#This Row],[B/S]]="B",0,ABS(LS[[#This Row],[Unit]])*(LS[[#This Row],[NAV (Strike Rate)]]-INDEX(LS[NAV at Cost (Average)],MATCH(CONCATENATE(LS[[#This Row],[Frequency]]-1,LS[[#This Row],[Investor ID]]),LS[Unique Code],0),)))</f>
        <v>6825.070281124501</v>
      </c>
      <c r="U1226" s="102" cm="1">
        <f t="array" ref="U1226">IF(LS[[#This Row],[B/S]]="S",ABS(LS[[#This Row],[Unit]])*(INDEX(LS[NAV at Cost (Average)],MATCH(CONCATENATE((LS[[#This Row],[Frequency]]-1),LS[[#This Row],[Investor ID]]),LS[Unique Code],0),0)),0)</f>
        <v>39357.429718875501</v>
      </c>
      <c r="V1226" s="102">
        <f>IF(LS[[#This Row],[BO TRANSFER]]="YES",LS[[#This Row],[Unit]],)</f>
        <v>0</v>
      </c>
      <c r="W1226" s="102">
        <f>SUMIFS(LS[[#Headers],[BO UNIT TRANSFER]]:LS[[#This Row],[BO UNIT TRANSFER]],LS[[#Headers],[Investor ID]]:LS[[#This Row],[Investor ID]],LS[[#This Row],[Investor ID]])</f>
        <v>0</v>
      </c>
    </row>
    <row r="1227" spans="1:23">
      <c r="A1227" s="101">
        <v>2025</v>
      </c>
      <c r="B1227" s="101">
        <v>9</v>
      </c>
      <c r="C1227" s="101">
        <v>1</v>
      </c>
      <c r="D1227" s="98">
        <f>DATE(LS[[#This Row],[Year]],LS[[#This Row],[Month]],LS[[#This Row],[Day]])</f>
        <v>45901</v>
      </c>
      <c r="E1227" s="99" t="str" cm="1">
        <f t="array" ref="E1227">INDEX(INVESTORS_LIST[INVESTOR NAME],MATCH(LS[[#This Row],[Investor ID]],INVESTORS_LIST[INVESTOR CODE],0),)</f>
        <v>KHAN MUHAMMAD KAWSER AHMED</v>
      </c>
      <c r="F1227" s="100" t="s">
        <v>944</v>
      </c>
      <c r="G1227" s="101">
        <f>COUNTIF(LS[[#Headers],[Investor ID]]:LS[[#This Row],[Investor ID]],LS[[#This Row],[Investor ID]])</f>
        <v>36</v>
      </c>
      <c r="H1227" s="101" t="str">
        <f>CONCATENATE(LS[[#This Row],[Frequency]],LS[[#This Row],[Investor ID]])</f>
        <v>36A00449</v>
      </c>
      <c r="I1227" s="75" t="str">
        <f>IF(LS[[#This Row],[B/S]]="B","BUY",(IF(LS[[#This Row],[B/S]]="S","SELL"," ")))</f>
        <v>SELL</v>
      </c>
      <c r="J1227" s="101" t="s">
        <v>1231</v>
      </c>
      <c r="K1227" s="102">
        <v>-23000000</v>
      </c>
      <c r="L1227" s="99"/>
      <c r="M1227" s="103">
        <f>LS[[#This Row],[Amount]]/LS[[#This Row],[Unit]]</f>
        <v>13.194996227952165</v>
      </c>
      <c r="N1227" s="104">
        <f>LS[[#This Row],[Unit Capital]]/10</f>
        <v>-1743085</v>
      </c>
      <c r="O1227" s="104">
        <f>SUMIFS(LS[[#Headers],[Unit]]:LS[[#This Row],[Unit]],LS[[#Headers],[Investor ID]]:LS[[#This Row],[Investor ID]],LS[[#This Row],[Investor ID]])</f>
        <v>9043863</v>
      </c>
      <c r="P1227" s="102">
        <v>-17430850</v>
      </c>
      <c r="Q1227" s="102">
        <f>LS[[#This Row],[Amount]]-LS[[#This Row],[Unit Capital]]</f>
        <v>-5569150</v>
      </c>
      <c r="R12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227" s="103">
        <f t="shared" si="19"/>
        <v>14.224</v>
      </c>
      <c r="T1227" s="102">
        <f>IF(LS[[#This Row],[B/S]]="B",0,ABS(LS[[#This Row],[Unit]])*(LS[[#This Row],[NAV (Strike Rate)]]-INDEX(LS[NAV at Cost (Average)],MATCH(CONCATENATE(LS[[#This Row],[Frequency]]-1,LS[[#This Row],[Investor ID]]),LS[Unique Code],0),)))</f>
        <v>1720605.0786378675</v>
      </c>
      <c r="U1227" s="102" cm="1">
        <f t="array" ref="U1227">IF(LS[[#This Row],[B/S]]="S",ABS(LS[[#This Row],[Unit]])*(INDEX(LS[NAV at Cost (Average)],MATCH(CONCATENATE((LS[[#This Row],[Frequency]]-1),LS[[#This Row],[Investor ID]]),LS[Unique Code],0),0)),0)</f>
        <v>21279394.921362132</v>
      </c>
      <c r="V1227" s="102">
        <f>IF(LS[[#This Row],[BO TRANSFER]]="YES",LS[[#This Row],[Unit]],)</f>
        <v>0</v>
      </c>
      <c r="W1227" s="102">
        <f>SUMIFS(LS[[#Headers],[BO UNIT TRANSFER]]:LS[[#This Row],[BO UNIT TRANSFER]],LS[[#Headers],[Investor ID]]:LS[[#This Row],[Investor ID]],LS[[#This Row],[Investor ID]])</f>
        <v>0</v>
      </c>
    </row>
    <row r="1228" spans="1:23">
      <c r="A1228" s="101">
        <v>2025</v>
      </c>
      <c r="B1228" s="101">
        <v>9</v>
      </c>
      <c r="C1228" s="101">
        <v>1</v>
      </c>
      <c r="D1228" s="98">
        <f>DATE(LS[[#This Row],[Year]],LS[[#This Row],[Month]],LS[[#This Row],[Day]])</f>
        <v>45901</v>
      </c>
      <c r="E1228" s="99" t="str" cm="1">
        <f t="array" ref="E1228">INDEX(INVESTORS_LIST[INVESTOR NAME],MATCH(LS[[#This Row],[Investor ID]],INVESTORS_LIST[INVESTOR CODE],0),)</f>
        <v>ANONYA CHOWDHURY HIYA</v>
      </c>
      <c r="F1228" s="100" t="s">
        <v>1402</v>
      </c>
      <c r="G1228" s="101">
        <f>COUNTIF(LS[[#Headers],[Investor ID]]:LS[[#This Row],[Investor ID]],LS[[#This Row],[Investor ID]])</f>
        <v>4</v>
      </c>
      <c r="H1228" s="101" t="str">
        <f>CONCATENATE(LS[[#This Row],[Frequency]],LS[[#This Row],[Investor ID]])</f>
        <v>4A00644</v>
      </c>
      <c r="I1228" s="75" t="str">
        <f>IF(LS[[#This Row],[B/S]]="B","BUY",(IF(LS[[#This Row],[B/S]]="S","SELL"," ")))</f>
        <v>SELL</v>
      </c>
      <c r="J1228" s="101" t="s">
        <v>1231</v>
      </c>
      <c r="K1228" s="102">
        <v>-39000</v>
      </c>
      <c r="L1228" s="99"/>
      <c r="M1228" s="103">
        <f>LS[[#This Row],[Amount]]/LS[[#This Row],[Unit]]</f>
        <v>13.193504736129904</v>
      </c>
      <c r="N1228" s="104">
        <f>LS[[#This Row],[Unit Capital]]/10</f>
        <v>-2956</v>
      </c>
      <c r="O1228" s="104">
        <f>SUMIFS(LS[[#Headers],[Unit]]:LS[[#This Row],[Unit]],LS[[#Headers],[Investor ID]]:LS[[#This Row],[Investor ID]],LS[[#This Row],[Investor ID]])</f>
        <v>136426</v>
      </c>
      <c r="P1228" s="102">
        <v>-29560</v>
      </c>
      <c r="Q1228" s="102">
        <f>LS[[#This Row],[Amount]]-LS[[#This Row],[Unit Capital]]</f>
        <v>-9440</v>
      </c>
      <c r="R12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12.732407424543691</v>
      </c>
      <c r="S1228" s="103">
        <f t="shared" si="19"/>
        <v>14.224</v>
      </c>
      <c r="T1228" s="102">
        <f>IF(LS[[#This Row],[B/S]]="B",0,ABS(LS[[#This Row],[Unit]])*(LS[[#This Row],[NAV (Strike Rate)]]-INDEX(LS[NAV at Cost (Average)],MATCH(CONCATENATE(LS[[#This Row],[Frequency]]-1,LS[[#This Row],[Investor ID]]),LS[Unique Code],0),)))</f>
        <v>1363.0036530488467</v>
      </c>
      <c r="U1228" s="102" cm="1">
        <f t="array" ref="U1228">IF(LS[[#This Row],[B/S]]="S",ABS(LS[[#This Row],[Unit]])*(INDEX(LS[NAV at Cost (Average)],MATCH(CONCATENATE((LS[[#This Row],[Frequency]]-1),LS[[#This Row],[Investor ID]]),LS[Unique Code],0),0)),0)</f>
        <v>37636.996346951149</v>
      </c>
      <c r="V1228" s="102">
        <f>IF(LS[[#This Row],[BO TRANSFER]]="YES",LS[[#This Row],[Unit]],)</f>
        <v>0</v>
      </c>
      <c r="W1228" s="102">
        <f>SUMIFS(LS[[#Headers],[BO UNIT TRANSFER]]:LS[[#This Row],[BO UNIT TRANSFER]],LS[[#Headers],[Investor ID]]:LS[[#This Row],[Investor ID]],LS[[#This Row],[Investor ID]])</f>
        <v>0</v>
      </c>
    </row>
    <row r="1229" spans="1:23">
      <c r="A1229" s="101">
        <v>2025</v>
      </c>
      <c r="B1229" s="101">
        <v>9</v>
      </c>
      <c r="C1229" s="101">
        <v>1</v>
      </c>
      <c r="D1229" s="98">
        <f>DATE(LS[[#This Row],[Year]],LS[[#This Row],[Month]],LS[[#This Row],[Day]])</f>
        <v>45901</v>
      </c>
      <c r="E1229" t="str" cm="1">
        <f t="array" ref="E1229">INDEX(INVESTORS_LIST[INVESTOR NAME],MATCH(LS[[#This Row],[Investor ID]],INVESTORS_LIST[INVESTOR CODE],0),)</f>
        <v>EKUSH WEALTH MANAGEMENT LIMITED</v>
      </c>
      <c r="F1229" s="100" t="s">
        <v>47</v>
      </c>
      <c r="G1229" s="101">
        <f>COUNTIF(LS[[#Headers],[Investor ID]]:LS[[#This Row],[Investor ID]],LS[[#This Row],[Investor ID]])</f>
        <v>35</v>
      </c>
      <c r="H1229" s="101" t="str">
        <f>CONCATENATE(LS[[#This Row],[Frequency]],LS[[#This Row],[Investor ID]])</f>
        <v>35A00003</v>
      </c>
      <c r="I1229" s="75" t="str">
        <f>IF(LS[[#This Row],[B/S]]="B","BUY",(IF(LS[[#This Row],[B/S]]="S","SELL"," ")))</f>
        <v>SELL</v>
      </c>
      <c r="J1229" s="101" t="s">
        <v>1231</v>
      </c>
      <c r="K1229" s="102">
        <v>-550000</v>
      </c>
      <c r="L1229" s="99"/>
      <c r="M1229" s="103">
        <f>LS[[#This Row],[Amount]]/LS[[#This Row],[Unit]]</f>
        <v>13.195144186939206</v>
      </c>
      <c r="N1229" s="104">
        <f>LS[[#This Row],[Unit Capital]]/10</f>
        <v>-41682</v>
      </c>
      <c r="O1229" s="104">
        <f>SUMIFS(LS[[#Headers],[Unit]]:LS[[#This Row],[Unit]],LS[[#Headers],[Investor ID]]:LS[[#This Row],[Investor ID]],LS[[#This Row],[Investor ID]])</f>
        <v>400181</v>
      </c>
      <c r="P1229" s="102">
        <v>-416820</v>
      </c>
      <c r="Q1229" s="102">
        <f>LS[[#This Row],[Amount]]-LS[[#This Row],[Unit Capital]]</f>
        <v>-133180</v>
      </c>
      <c r="R12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29" s="103">
        <f t="shared" si="19"/>
        <v>14.224</v>
      </c>
      <c r="T1229" s="102">
        <f>IF(LS[[#This Row],[B/S]]="B",0,ABS(LS[[#This Row],[Unit]])*(LS[[#This Row],[NAV (Strike Rate)]]-INDEX(LS[NAV at Cost (Average)],MATCH(CONCATENATE(LS[[#This Row],[Frequency]]-1,LS[[#This Row],[Investor ID]]),LS[Unique Code],0),)))</f>
        <v>47277.22756084078</v>
      </c>
      <c r="U1229" s="102" cm="1">
        <f t="array" ref="U1229">IF(LS[[#This Row],[B/S]]="S",ABS(LS[[#This Row],[Unit]])*(INDEX(LS[NAV at Cost (Average)],MATCH(CONCATENATE((LS[[#This Row],[Frequency]]-1),LS[[#This Row],[Investor ID]]),LS[Unique Code],0),0)),0)</f>
        <v>502722.77243915922</v>
      </c>
      <c r="V1229" s="102">
        <f>IF(LS[[#This Row],[BO TRANSFER]]="YES",LS[[#This Row],[Unit]],)</f>
        <v>0</v>
      </c>
      <c r="W1229" s="102">
        <f>SUMIFS(LS[[#Headers],[BO UNIT TRANSFER]]:LS[[#This Row],[BO UNIT TRANSFER]],LS[[#Headers],[Investor ID]]:LS[[#This Row],[Investor ID]],LS[[#This Row],[Investor ID]])</f>
        <v>0</v>
      </c>
    </row>
    <row r="1230" spans="1:23">
      <c r="A1230" s="101">
        <v>2025</v>
      </c>
      <c r="B1230" s="101">
        <v>9</v>
      </c>
      <c r="C1230" s="101">
        <v>1</v>
      </c>
      <c r="D1230" s="98">
        <f>DATE(LS[[#This Row],[Year]],LS[[#This Row],[Month]],LS[[#This Row],[Day]])</f>
        <v>45901</v>
      </c>
      <c r="E1230" s="99" t="str" cm="1">
        <f t="array" ref="E1230">INDEX(INVESTORS_LIST[INVESTOR NAME],MATCH(LS[[#This Row],[Investor ID]],INVESTORS_LIST[INVESTOR CODE],0),)</f>
        <v>NAZIA TABASSUM</v>
      </c>
      <c r="F1230" s="100" t="s">
        <v>1133</v>
      </c>
      <c r="G1230" s="101">
        <f>COUNTIF(LS[[#Headers],[Investor ID]]:LS[[#This Row],[Investor ID]],LS[[#This Row],[Investor ID]])</f>
        <v>2</v>
      </c>
      <c r="H1230" s="101" t="str">
        <f>CONCATENATE(LS[[#This Row],[Frequency]],LS[[#This Row],[Investor ID]])</f>
        <v>2A00542</v>
      </c>
      <c r="I1230" s="75" t="str">
        <f>IF(LS[[#This Row],[B/S]]="B","BUY",(IF(LS[[#This Row],[B/S]]="S","SELL"," ")))</f>
        <v>SELL</v>
      </c>
      <c r="J1230" s="101" t="s">
        <v>1231</v>
      </c>
      <c r="K1230" s="102">
        <v>-2152526.7400000002</v>
      </c>
      <c r="L1230" s="99"/>
      <c r="M1230" s="103">
        <f>LS[[#This Row],[Amount]]/LS[[#This Row],[Unit]]</f>
        <v>13.195000000000002</v>
      </c>
      <c r="N1230" s="104">
        <f>LS[[#This Row],[Unit Capital]]/10</f>
        <v>-163132</v>
      </c>
      <c r="O1230" s="104">
        <f>SUMIFS(LS[[#Headers],[Unit]]:LS[[#This Row],[Unit]],LS[[#Headers],[Investor ID]]:LS[[#This Row],[Investor ID]],LS[[#This Row],[Investor ID]])</f>
        <v>0</v>
      </c>
      <c r="P1230" s="102">
        <v>-1631320</v>
      </c>
      <c r="Q1230" s="102">
        <f>LS[[#This Row],[Amount]]-LS[[#This Row],[Unit Capital]]</f>
        <v>-521206.74000000022</v>
      </c>
      <c r="R12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30" s="103">
        <f t="shared" si="19"/>
        <v>14.224</v>
      </c>
      <c r="T1230" s="102">
        <f>IF(LS[[#This Row],[B/S]]="B",0,ABS(LS[[#This Row],[Unit]])*(LS[[#This Row],[NAV (Strike Rate)]]-INDEX(LS[NAV at Cost (Average)],MATCH(CONCATENATE(LS[[#This Row],[Frequency]]-1,LS[[#This Row],[Investor ID]]),LS[Unique Code],0),)))</f>
        <v>352526.74000000028</v>
      </c>
      <c r="U1230" s="102" cm="1">
        <f t="array" ref="U1230">IF(LS[[#This Row],[B/S]]="S",ABS(LS[[#This Row],[Unit]])*(INDEX(LS[NAV at Cost (Average)],MATCH(CONCATENATE((LS[[#This Row],[Frequency]]-1),LS[[#This Row],[Investor ID]]),LS[Unique Code],0),0)),0)</f>
        <v>1800000</v>
      </c>
      <c r="V1230" s="102">
        <f>IF(LS[[#This Row],[BO TRANSFER]]="YES",LS[[#This Row],[Unit]],)</f>
        <v>0</v>
      </c>
      <c r="W1230" s="102">
        <f>SUMIFS(LS[[#Headers],[BO UNIT TRANSFER]]:LS[[#This Row],[BO UNIT TRANSFER]],LS[[#Headers],[Investor ID]]:LS[[#This Row],[Investor ID]],LS[[#This Row],[Investor ID]])</f>
        <v>0</v>
      </c>
    </row>
    <row r="1231" spans="1:23">
      <c r="A1231" s="101">
        <v>2025</v>
      </c>
      <c r="B1231" s="101">
        <v>9</v>
      </c>
      <c r="C1231" s="101">
        <v>1</v>
      </c>
      <c r="D1231" s="242">
        <f>DATE(LS[[#This Row],[Year]],LS[[#This Row],[Month]],LS[[#This Row],[Day]])</f>
        <v>45901</v>
      </c>
      <c r="E1231" s="240" t="str" cm="1">
        <f t="array" ref="E1231">INDEX(INVESTORS_LIST[INVESTOR NAME],MATCH(LS[[#This Row],[Investor ID]],INVESTORS_LIST[INVESTOR CODE],0),)</f>
        <v>MD. SAIFUL ISLAM</v>
      </c>
      <c r="F1231" s="243" t="s">
        <v>1425</v>
      </c>
      <c r="G1231" s="241">
        <f>COUNTIF(LS[[#Headers],[Investor ID]]:LS[[#This Row],[Investor ID]],LS[[#This Row],[Investor ID]])</f>
        <v>1</v>
      </c>
      <c r="H1231" s="241" t="str">
        <f>CONCATENATE(LS[[#This Row],[Frequency]],LS[[#This Row],[Investor ID]])</f>
        <v>1A00658</v>
      </c>
      <c r="I1231" s="75" t="str">
        <f>IF(LS[[#This Row],[B/S]]="B","BUY",(IF(LS[[#This Row],[B/S]]="S","SELL"," ")))</f>
        <v>BUY</v>
      </c>
      <c r="J1231" s="241" t="s">
        <v>1229</v>
      </c>
      <c r="K1231" s="238">
        <v>150000</v>
      </c>
      <c r="L1231" s="240"/>
      <c r="M1231" s="244">
        <f>LS[[#This Row],[Amount]]/LS[[#This Row],[Unit]]</f>
        <v>13.194933145672062</v>
      </c>
      <c r="N1231" s="239">
        <f>LS[[#This Row],[Unit Capital]]/10</f>
        <v>11368</v>
      </c>
      <c r="O1231" s="239">
        <f>SUMIFS(LS[[#Headers],[Unit]]:LS[[#This Row],[Unit]],LS[[#Headers],[Investor ID]]:LS[[#This Row],[Investor ID]],LS[[#This Row],[Investor ID]])</f>
        <v>11368</v>
      </c>
      <c r="P1231" s="238">
        <v>113680</v>
      </c>
      <c r="Q1231" s="238">
        <f>LS[[#This Row],[Amount]]-LS[[#This Row],[Unit Capital]]</f>
        <v>36320</v>
      </c>
      <c r="R1231" s="23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13.194933145672062</v>
      </c>
      <c r="S1231" s="244">
        <f t="shared" si="19"/>
        <v>14.224</v>
      </c>
      <c r="T1231" s="238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31" s="238" cm="1">
        <f t="array" ref="U1231">IF(LS[[#This Row],[B/S]]="S",ABS(LS[[#This Row],[Unit]])*(INDEX(LS[NAV at Cost (Average)],MATCH(CONCATENATE((LS[[#This Row],[Frequency]]-1),LS[[#This Row],[Investor ID]]),LS[Unique Code],0),0)),0)</f>
        <v>0</v>
      </c>
      <c r="V1231" s="238">
        <f>IF(LS[[#This Row],[BO TRANSFER]]="YES",LS[[#This Row],[Unit]],)</f>
        <v>0</v>
      </c>
      <c r="W1231" s="238">
        <f>SUMIFS(LS[[#Headers],[BO UNIT TRANSFER]]:LS[[#This Row],[BO UNIT TRANSFER]],LS[[#Headers],[Investor ID]]:LS[[#This Row],[Investor ID]],LS[[#This Row],[Investor ID]])</f>
        <v>0</v>
      </c>
    </row>
    <row r="1232" spans="1:23">
      <c r="A1232" s="101">
        <v>2025</v>
      </c>
      <c r="B1232" s="101">
        <v>9</v>
      </c>
      <c r="C1232" s="101">
        <v>2</v>
      </c>
      <c r="D1232" s="98">
        <f>DATE(LS[[#This Row],[Year]],LS[[#This Row],[Month]],LS[[#This Row],[Day]])</f>
        <v>45902</v>
      </c>
      <c r="E1232" t="str" cm="1">
        <f t="array" ref="E1232">INDEX(INVESTORS_LIST[INVESTOR NAME],MATCH(LS[[#This Row],[Investor ID]],INVESTORS_LIST[INVESTOR CODE],0),)</f>
        <v>EKUSH WEALTH MANAGEMENT LIMITED</v>
      </c>
      <c r="F1232" s="100" t="s">
        <v>47</v>
      </c>
      <c r="G1232" s="101">
        <f>COUNTIF(LS[[#Headers],[Investor ID]]:LS[[#This Row],[Investor ID]],LS[[#This Row],[Investor ID]])</f>
        <v>36</v>
      </c>
      <c r="H1232" s="101" t="str">
        <f>CONCATENATE(LS[[#This Row],[Frequency]],LS[[#This Row],[Investor ID]])</f>
        <v>36A00003</v>
      </c>
      <c r="I1232" s="75" t="str">
        <f>IF(LS[[#This Row],[B/S]]="B","BUY",(IF(LS[[#This Row],[B/S]]="S","SELL"," ")))</f>
        <v>SELL</v>
      </c>
      <c r="J1232" s="101" t="s">
        <v>1231</v>
      </c>
      <c r="K1232" s="102">
        <v>-140000</v>
      </c>
      <c r="L1232" s="99"/>
      <c r="M1232" s="103">
        <f>LS[[#This Row],[Amount]]/LS[[#This Row],[Unit]]</f>
        <v>13.195098963242224</v>
      </c>
      <c r="N1232" s="104">
        <f>LS[[#This Row],[Unit Capital]]/10</f>
        <v>-10610</v>
      </c>
      <c r="O1232" s="104">
        <f>SUMIFS(LS[[#Headers],[Unit]]:LS[[#This Row],[Unit]],LS[[#Headers],[Investor ID]]:LS[[#This Row],[Investor ID]],LS[[#This Row],[Investor ID]])</f>
        <v>389571</v>
      </c>
      <c r="P1232" s="102">
        <v>-106100</v>
      </c>
      <c r="Q1232" s="102">
        <f>LS[[#This Row],[Amount]]-LS[[#This Row],[Unit Capital]]</f>
        <v>-33900</v>
      </c>
      <c r="R12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32" s="103">
        <f t="shared" si="19"/>
        <v>14.224</v>
      </c>
      <c r="T1232" s="102">
        <f>IF(LS[[#This Row],[B/S]]="B",0,ABS(LS[[#This Row],[Unit]])*(LS[[#This Row],[NAV (Strike Rate)]]-INDEX(LS[NAV at Cost (Average)],MATCH(CONCATENATE(LS[[#This Row],[Frequency]]-1,LS[[#This Row],[Investor ID]]),LS[Unique Code],0),)))</f>
        <v>12033.764800645851</v>
      </c>
      <c r="U1232" s="102" cm="1">
        <f t="array" ref="U1232">IF(LS[[#This Row],[B/S]]="S",ABS(LS[[#This Row],[Unit]])*(INDEX(LS[NAV at Cost (Average)],MATCH(CONCATENATE((LS[[#This Row],[Frequency]]-1),LS[[#This Row],[Investor ID]]),LS[Unique Code],0),0)),0)</f>
        <v>127966.23519935414</v>
      </c>
      <c r="V1232" s="102">
        <f>IF(LS[[#This Row],[BO TRANSFER]]="YES",LS[[#This Row],[Unit]],)</f>
        <v>0</v>
      </c>
      <c r="W1232" s="102">
        <f>SUMIFS(LS[[#Headers],[BO UNIT TRANSFER]]:LS[[#This Row],[BO UNIT TRANSFER]],LS[[#Headers],[Investor ID]]:LS[[#This Row],[Investor ID]],LS[[#This Row],[Investor ID]])</f>
        <v>0</v>
      </c>
    </row>
    <row r="1233" spans="1:23">
      <c r="A1233" s="101">
        <v>2025</v>
      </c>
      <c r="B1233" s="101">
        <v>9</v>
      </c>
      <c r="C1233" s="101">
        <v>2</v>
      </c>
      <c r="D1233" s="98">
        <f>DATE(LS[[#This Row],[Year]],LS[[#This Row],[Month]],LS[[#This Row],[Day]])</f>
        <v>45902</v>
      </c>
      <c r="E1233" t="str" cm="1">
        <f t="array" ref="E1233">INDEX(INVESTORS_LIST[INVESTOR NAME],MATCH(LS[[#This Row],[Investor ID]],INVESTORS_LIST[INVESTOR CODE],0),)</f>
        <v>EKUSH WEALTH MANAGEMENT LIMITED</v>
      </c>
      <c r="F1233" s="100" t="s">
        <v>47</v>
      </c>
      <c r="G1233" s="101">
        <f>COUNTIF(LS[[#Headers],[Investor ID]]:LS[[#This Row],[Investor ID]],LS[[#This Row],[Investor ID]])</f>
        <v>37</v>
      </c>
      <c r="H1233" s="101" t="str">
        <f>CONCATENATE(LS[[#This Row],[Frequency]],LS[[#This Row],[Investor ID]])</f>
        <v>37A00003</v>
      </c>
      <c r="I1233" s="75" t="str">
        <f>IF(LS[[#This Row],[B/S]]="B","BUY",(IF(LS[[#This Row],[B/S]]="S","SELL"," ")))</f>
        <v>SELL</v>
      </c>
      <c r="J1233" s="101" t="s">
        <v>1231</v>
      </c>
      <c r="K1233" s="102">
        <v>-630000</v>
      </c>
      <c r="L1233" s="99"/>
      <c r="M1233" s="103">
        <f>LS[[#This Row],[Amount]]/LS[[#This Row],[Unit]]</f>
        <v>13.195098963242224</v>
      </c>
      <c r="N1233" s="104">
        <f>LS[[#This Row],[Unit Capital]]/10</f>
        <v>-47745</v>
      </c>
      <c r="O1233" s="104">
        <f>SUMIFS(LS[[#Headers],[Unit]]:LS[[#This Row],[Unit]],LS[[#Headers],[Investor ID]]:LS[[#This Row],[Investor ID]],LS[[#This Row],[Investor ID]])</f>
        <v>341826</v>
      </c>
      <c r="P1233" s="102">
        <v>-477450</v>
      </c>
      <c r="Q1233" s="102">
        <f>LS[[#This Row],[Amount]]-LS[[#This Row],[Unit Capital]]</f>
        <v>-152550</v>
      </c>
      <c r="R12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33" s="103">
        <f t="shared" si="19"/>
        <v>14.224</v>
      </c>
      <c r="T1233" s="102">
        <f>IF(LS[[#This Row],[B/S]]="B",0,ABS(LS[[#This Row],[Unit]])*(LS[[#This Row],[NAV (Strike Rate)]]-INDEX(LS[NAV at Cost (Average)],MATCH(CONCATENATE(LS[[#This Row],[Frequency]]-1,LS[[#This Row],[Investor ID]]),LS[Unique Code],0),)))</f>
        <v>54151.941602906329</v>
      </c>
      <c r="U1233" s="102" cm="1">
        <f t="array" ref="U1233">IF(LS[[#This Row],[B/S]]="S",ABS(LS[[#This Row],[Unit]])*(INDEX(LS[NAV at Cost (Average)],MATCH(CONCATENATE((LS[[#This Row],[Frequency]]-1),LS[[#This Row],[Investor ID]]),LS[Unique Code],0),0)),0)</f>
        <v>575848.05839709367</v>
      </c>
      <c r="V1233" s="102">
        <f>IF(LS[[#This Row],[BO TRANSFER]]="YES",LS[[#This Row],[Unit]],)</f>
        <v>0</v>
      </c>
      <c r="W1233" s="102">
        <f>SUMIFS(LS[[#Headers],[BO UNIT TRANSFER]]:LS[[#This Row],[BO UNIT TRANSFER]],LS[[#Headers],[Investor ID]]:LS[[#This Row],[Investor ID]],LS[[#This Row],[Investor ID]])</f>
        <v>0</v>
      </c>
    </row>
    <row r="1234" spans="1:23">
      <c r="A1234" s="101">
        <v>2025</v>
      </c>
      <c r="B1234" s="101">
        <v>9</v>
      </c>
      <c r="C1234" s="101">
        <v>2</v>
      </c>
      <c r="D1234" s="98">
        <f>DATE(LS[[#This Row],[Year]],LS[[#This Row],[Month]],LS[[#This Row],[Day]])</f>
        <v>45902</v>
      </c>
      <c r="E1234" s="99" t="str" cm="1">
        <f t="array" ref="E1234">INDEX(INVESTORS_LIST[INVESTOR NAME],MATCH(LS[[#This Row],[Investor ID]],INVESTORS_LIST[INVESTOR CODE],0),)</f>
        <v>N M AL HOSSAIN</v>
      </c>
      <c r="F1234" s="100" t="s">
        <v>280</v>
      </c>
      <c r="G1234" s="101">
        <f>COUNTIF(LS[[#Headers],[Investor ID]]:LS[[#This Row],[Investor ID]],LS[[#This Row],[Investor ID]])</f>
        <v>8</v>
      </c>
      <c r="H1234" s="101" t="str">
        <f>CONCATENATE(LS[[#This Row],[Frequency]],LS[[#This Row],[Investor ID]])</f>
        <v>8A00116</v>
      </c>
      <c r="I1234" s="75" t="str">
        <f>IF(LS[[#This Row],[B/S]]="B","BUY",(IF(LS[[#This Row],[B/S]]="S","SELL"," ")))</f>
        <v>SELL</v>
      </c>
      <c r="J1234" s="101" t="s">
        <v>1231</v>
      </c>
      <c r="K1234" s="102">
        <v>-1050000</v>
      </c>
      <c r="L1234" s="99"/>
      <c r="M1234" s="103">
        <f>LS[[#This Row],[Amount]]/LS[[#This Row],[Unit]]</f>
        <v>13.194933145672062</v>
      </c>
      <c r="N1234" s="104">
        <f>LS[[#This Row],[Unit Capital]]/10</f>
        <v>-79576</v>
      </c>
      <c r="O1234" s="104">
        <f>SUMIFS(LS[[#Headers],[Unit]]:LS[[#This Row],[Unit]],LS[[#Headers],[Investor ID]]:LS[[#This Row],[Investor ID]],LS[[#This Row],[Investor ID]])</f>
        <v>975798</v>
      </c>
      <c r="P1234" s="102">
        <v>-795760</v>
      </c>
      <c r="Q1234" s="102">
        <f>LS[[#This Row],[Amount]]-LS[[#This Row],[Unit Capital]]</f>
        <v>-254240</v>
      </c>
      <c r="R12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1234" s="103">
        <f t="shared" si="19"/>
        <v>14.224</v>
      </c>
      <c r="T1234" s="102">
        <f>IF(LS[[#This Row],[B/S]]="B",0,ABS(LS[[#This Row],[Unit]])*(LS[[#This Row],[NAV (Strike Rate)]]-INDEX(LS[NAV at Cost (Average)],MATCH(CONCATENATE(LS[[#This Row],[Frequency]]-1,LS[[#This Row],[Investor ID]]),LS[Unique Code],0),)))</f>
        <v>201198.38721720307</v>
      </c>
      <c r="U1234" s="102" cm="1">
        <f t="array" ref="U1234">IF(LS[[#This Row],[B/S]]="S",ABS(LS[[#This Row],[Unit]])*(INDEX(LS[NAV at Cost (Average)],MATCH(CONCATENATE((LS[[#This Row],[Frequency]]-1),LS[[#This Row],[Investor ID]]),LS[Unique Code],0),0)),0)</f>
        <v>848801.61278279696</v>
      </c>
      <c r="V1234" s="102">
        <f>IF(LS[[#This Row],[BO TRANSFER]]="YES",LS[[#This Row],[Unit]],)</f>
        <v>0</v>
      </c>
      <c r="W1234" s="102">
        <f>SUMIFS(LS[[#Headers],[BO UNIT TRANSFER]]:LS[[#This Row],[BO UNIT TRANSFER]],LS[[#Headers],[Investor ID]]:LS[[#This Row],[Investor ID]],LS[[#This Row],[Investor ID]])</f>
        <v>0</v>
      </c>
    </row>
    <row r="1235" spans="1:23">
      <c r="A1235" s="101">
        <v>2025</v>
      </c>
      <c r="B1235" s="101">
        <v>9</v>
      </c>
      <c r="C1235" s="101">
        <v>3</v>
      </c>
      <c r="D1235" s="98">
        <f>DATE(LS[[#This Row],[Year]],LS[[#This Row],[Month]],LS[[#This Row],[Day]])</f>
        <v>45903</v>
      </c>
      <c r="E1235" s="99" t="str" cm="1">
        <f t="array" ref="E1235">INDEX(INVESTORS_LIST[INVESTOR NAME],MATCH(LS[[#This Row],[Investor ID]],INVESTORS_LIST[INVESTOR CODE],0),)</f>
        <v>NAUSHEEN AHMED</v>
      </c>
      <c r="F1235" s="100" t="s">
        <v>585</v>
      </c>
      <c r="G1235" s="101">
        <f>COUNTIF(LS[[#Headers],[Investor ID]]:LS[[#This Row],[Investor ID]],LS[[#This Row],[Investor ID]])</f>
        <v>5</v>
      </c>
      <c r="H1235" s="101" t="str">
        <f>CONCATENATE(LS[[#This Row],[Frequency]],LS[[#This Row],[Investor ID]])</f>
        <v>5A00268</v>
      </c>
      <c r="I1235" s="75" t="str">
        <f>IF(LS[[#This Row],[B/S]]="B","BUY",(IF(LS[[#This Row],[B/S]]="S","SELL"," ")))</f>
        <v>SELL</v>
      </c>
      <c r="J1235" s="101" t="s">
        <v>1231</v>
      </c>
      <c r="K1235" s="102">
        <v>-642596.5</v>
      </c>
      <c r="L1235" s="99"/>
      <c r="M1235" s="103">
        <f>LS[[#This Row],[Amount]]/LS[[#This Row],[Unit]]</f>
        <v>13.195</v>
      </c>
      <c r="N1235" s="104">
        <f>LS[[#This Row],[Unit Capital]]/10</f>
        <v>-48700</v>
      </c>
      <c r="O1235" s="104">
        <f>SUMIFS(LS[[#Headers],[Unit]]:LS[[#This Row],[Unit]],LS[[#Headers],[Investor ID]]:LS[[#This Row],[Investor ID]],LS[[#This Row],[Investor ID]])</f>
        <v>0</v>
      </c>
      <c r="P1235" s="102">
        <v>-487000</v>
      </c>
      <c r="Q1235" s="102">
        <f>LS[[#This Row],[Amount]]-LS[[#This Row],[Unit Capital]]</f>
        <v>-155596.5</v>
      </c>
      <c r="R12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35" s="103">
        <f t="shared" si="19"/>
        <v>14.224</v>
      </c>
      <c r="T1235" s="102">
        <f>IF(LS[[#This Row],[B/S]]="B",0,ABS(LS[[#This Row],[Unit]])*(LS[[#This Row],[NAV (Strike Rate)]]-INDEX(LS[NAV at Cost (Average)],MATCH(CONCATENATE(LS[[#This Row],[Frequency]]-1,LS[[#This Row],[Investor ID]]),LS[Unique Code],0),)))</f>
        <v>89615.500000000131</v>
      </c>
      <c r="U1235" s="102" cm="1">
        <f t="array" ref="U1235">IF(LS[[#This Row],[B/S]]="S",ABS(LS[[#This Row],[Unit]])*(INDEX(LS[NAV at Cost (Average)],MATCH(CONCATENATE((LS[[#This Row],[Frequency]]-1),LS[[#This Row],[Investor ID]]),LS[Unique Code],0),0)),0)</f>
        <v>552980.99999999988</v>
      </c>
      <c r="V1235" s="102">
        <f>IF(LS[[#This Row],[BO TRANSFER]]="YES",LS[[#This Row],[Unit]],)</f>
        <v>0</v>
      </c>
      <c r="W1235" s="102">
        <f>SUMIFS(LS[[#Headers],[BO UNIT TRANSFER]]:LS[[#This Row],[BO UNIT TRANSFER]],LS[[#Headers],[Investor ID]]:LS[[#This Row],[Investor ID]],LS[[#This Row],[Investor ID]])</f>
        <v>0</v>
      </c>
    </row>
    <row r="1236" spans="1:23">
      <c r="A1236" s="101">
        <v>2025</v>
      </c>
      <c r="B1236" s="101">
        <v>9</v>
      </c>
      <c r="C1236" s="101">
        <v>7</v>
      </c>
      <c r="D1236" s="98">
        <f>DATE(LS[[#This Row],[Year]],LS[[#This Row],[Month]],LS[[#This Row],[Day]])</f>
        <v>45907</v>
      </c>
      <c r="E1236" s="99" t="str" cm="1">
        <f t="array" ref="E1236">INDEX(INVESTORS_LIST[INVESTOR NAME],MATCH(LS[[#This Row],[Investor ID]],INVESTORS_LIST[INVESTOR CODE],0),)</f>
        <v>BEAUTY BEGUM LOTA</v>
      </c>
      <c r="F1236" s="100" t="s">
        <v>1081</v>
      </c>
      <c r="G1236" s="101">
        <f>COUNTIF(LS[[#Headers],[Investor ID]]:LS[[#This Row],[Investor ID]],LS[[#This Row],[Investor ID]])</f>
        <v>15</v>
      </c>
      <c r="H1236" s="101" t="str">
        <f>CONCATENATE(LS[[#This Row],[Frequency]],LS[[#This Row],[Investor ID]])</f>
        <v>15A00518</v>
      </c>
      <c r="I1236" s="75" t="str">
        <f>IF(LS[[#This Row],[B/S]]="B","BUY",(IF(LS[[#This Row],[B/S]]="S","SELL"," ")))</f>
        <v>SELL</v>
      </c>
      <c r="J1236" s="101" t="s">
        <v>1231</v>
      </c>
      <c r="K1236" s="102">
        <v>-100001.78</v>
      </c>
      <c r="L1236" s="99"/>
      <c r="M1236" s="103">
        <f>LS[[#This Row],[Amount]]/LS[[#This Row],[Unit]]</f>
        <v>13.232999867672357</v>
      </c>
      <c r="N1236" s="104">
        <f>LS[[#This Row],[Unit Capital]]/10</f>
        <v>-7557</v>
      </c>
      <c r="O1236" s="104">
        <f>SUMIFS(LS[[#Headers],[Unit]]:LS[[#This Row],[Unit]],LS[[#Headers],[Investor ID]]:LS[[#This Row],[Investor ID]],LS[[#This Row],[Investor ID]])</f>
        <v>23562</v>
      </c>
      <c r="P1236" s="102">
        <v>-75570</v>
      </c>
      <c r="Q1236" s="102">
        <f>LS[[#This Row],[Amount]]-LS[[#This Row],[Unit Capital]]</f>
        <v>-24431.78</v>
      </c>
      <c r="R12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12.853883479546258</v>
      </c>
      <c r="S1236" s="103">
        <f t="shared" si="19"/>
        <v>14.224</v>
      </c>
      <c r="T1236" s="102">
        <f>IF(LS[[#This Row],[B/S]]="B",0,ABS(LS[[#This Row],[Unit]])*(LS[[#This Row],[NAV (Strike Rate)]]-INDEX(LS[NAV at Cost (Average)],MATCH(CONCATENATE(LS[[#This Row],[Frequency]]-1,LS[[#This Row],[Investor ID]]),LS[Unique Code],0),)))</f>
        <v>2864.9825450689236</v>
      </c>
      <c r="U1236" s="102" cm="1">
        <f t="array" ref="U1236">IF(LS[[#This Row],[B/S]]="S",ABS(LS[[#This Row],[Unit]])*(INDEX(LS[NAV at Cost (Average)],MATCH(CONCATENATE((LS[[#This Row],[Frequency]]-1),LS[[#This Row],[Investor ID]]),LS[Unique Code],0),0)),0)</f>
        <v>97136.797454931075</v>
      </c>
      <c r="V1236" s="102">
        <f>IF(LS[[#This Row],[BO TRANSFER]]="YES",LS[[#This Row],[Unit]],)</f>
        <v>0</v>
      </c>
      <c r="W1236" s="102">
        <f>SUMIFS(LS[[#Headers],[BO UNIT TRANSFER]]:LS[[#This Row],[BO UNIT TRANSFER]],LS[[#Headers],[Investor ID]]:LS[[#This Row],[Investor ID]],LS[[#This Row],[Investor ID]])</f>
        <v>0</v>
      </c>
    </row>
    <row r="1237" spans="1:23">
      <c r="A1237" s="101">
        <v>2025</v>
      </c>
      <c r="B1237" s="101">
        <v>9</v>
      </c>
      <c r="C1237" s="101">
        <v>7</v>
      </c>
      <c r="D1237" s="98">
        <f>DATE(LS[[#This Row],[Year]],LS[[#This Row],[Month]],LS[[#This Row],[Day]])</f>
        <v>45907</v>
      </c>
      <c r="E1237" s="99" t="str" cm="1">
        <f t="array" ref="E1237">INDEX(INVESTORS_LIST[INVESTOR NAME],MATCH(LS[[#This Row],[Investor ID]],INVESTORS_LIST[INVESTOR CODE],0),)</f>
        <v>NASREEN BEGUM</v>
      </c>
      <c r="F1237" s="100" t="s">
        <v>1417</v>
      </c>
      <c r="G1237" s="101">
        <f>COUNTIF(LS[[#Headers],[Investor ID]]:LS[[#This Row],[Investor ID]],LS[[#This Row],[Investor ID]])</f>
        <v>2</v>
      </c>
      <c r="H1237" s="101" t="str">
        <f>CONCATENATE(LS[[#This Row],[Frequency]],LS[[#This Row],[Investor ID]])</f>
        <v>2A00652</v>
      </c>
      <c r="I1237" s="75" t="str">
        <f>IF(LS[[#This Row],[B/S]]="B","BUY",(IF(LS[[#This Row],[B/S]]="S","SELL"," ")))</f>
        <v>SELL</v>
      </c>
      <c r="J1237" s="101" t="s">
        <v>1231</v>
      </c>
      <c r="K1237" s="102">
        <v>-44224.94</v>
      </c>
      <c r="L1237" s="99"/>
      <c r="M1237" s="103">
        <f>LS[[#This Row],[Amount]]/LS[[#This Row],[Unit]]</f>
        <v>13.233076002393776</v>
      </c>
      <c r="N1237" s="104">
        <f>LS[[#This Row],[Unit Capital]]/10</f>
        <v>-3342</v>
      </c>
      <c r="O1237" s="104">
        <f>SUMIFS(LS[[#Headers],[Unit]]:LS[[#This Row],[Unit]],LS[[#Headers],[Investor ID]]:LS[[#This Row],[Investor ID]],LS[[#This Row],[Investor ID]])</f>
        <v>113353</v>
      </c>
      <c r="P1237" s="102">
        <v>-33420</v>
      </c>
      <c r="Q1237" s="102">
        <f>LS[[#This Row],[Amount]]-LS[[#This Row],[Unit Capital]]</f>
        <v>-10804.940000000002</v>
      </c>
      <c r="R12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237" s="103">
        <f t="shared" si="19"/>
        <v>14.224</v>
      </c>
      <c r="T1237" s="102">
        <f>IF(LS[[#This Row],[B/S]]="B",0,ABS(LS[[#This Row],[Unit]])*(LS[[#This Row],[NAV (Strike Rate)]]-INDEX(LS[NAV at Cost (Average)],MATCH(CONCATENATE(LS[[#This Row],[Frequency]]-1,LS[[#This Row],[Investor ID]]),LS[Unique Code],0),)))</f>
        <v>1266.8012622648762</v>
      </c>
      <c r="U1237" s="102" cm="1">
        <f t="array" ref="U1237">IF(LS[[#This Row],[B/S]]="S",ABS(LS[[#This Row],[Unit]])*(INDEX(LS[NAV at Cost (Average)],MATCH(CONCATENATE((LS[[#This Row],[Frequency]]-1),LS[[#This Row],[Investor ID]]),LS[Unique Code],0),0)),0)</f>
        <v>42958.138737735128</v>
      </c>
      <c r="V1237" s="102">
        <f>IF(LS[[#This Row],[BO TRANSFER]]="YES",LS[[#This Row],[Unit]],)</f>
        <v>0</v>
      </c>
      <c r="W1237" s="102">
        <f>SUMIFS(LS[[#Headers],[BO UNIT TRANSFER]]:LS[[#This Row],[BO UNIT TRANSFER]],LS[[#Headers],[Investor ID]]:LS[[#This Row],[Investor ID]],LS[[#This Row],[Investor ID]])</f>
        <v>0</v>
      </c>
    </row>
    <row r="1238" spans="1:23">
      <c r="A1238" s="101">
        <v>2025</v>
      </c>
      <c r="B1238" s="101">
        <v>9</v>
      </c>
      <c r="C1238" s="101">
        <v>7</v>
      </c>
      <c r="D1238" s="98">
        <f>DATE(LS[[#This Row],[Year]],LS[[#This Row],[Month]],LS[[#This Row],[Day]])</f>
        <v>45907</v>
      </c>
      <c r="E1238" s="99" t="str" cm="1">
        <f t="array" ref="E1238">INDEX(INVESTORS_LIST[INVESTOR NAME],MATCH(LS[[#This Row],[Investor ID]],INVESTORS_LIST[INVESTOR CODE],0),)</f>
        <v>AROOBA SAMEERA CHOWDHURY</v>
      </c>
      <c r="F1238" s="100" t="s">
        <v>1418</v>
      </c>
      <c r="G1238" s="101">
        <f>COUNTIF(LS[[#Headers],[Investor ID]]:LS[[#This Row],[Investor ID]],LS[[#This Row],[Investor ID]])</f>
        <v>2</v>
      </c>
      <c r="H1238" s="101" t="str">
        <f>CONCATENATE(LS[[#This Row],[Frequency]],LS[[#This Row],[Investor ID]])</f>
        <v>2A00653</v>
      </c>
      <c r="I1238" s="75" t="str">
        <f>IF(LS[[#This Row],[B/S]]="B","BUY",(IF(LS[[#This Row],[B/S]]="S","SELL"," ")))</f>
        <v>SELL</v>
      </c>
      <c r="J1238" s="101" t="s">
        <v>1231</v>
      </c>
      <c r="K1238" s="102">
        <v>-7000</v>
      </c>
      <c r="L1238" s="99"/>
      <c r="M1238" s="103">
        <f>LS[[#This Row],[Amount]]/LS[[#This Row],[Unit]]</f>
        <v>13.232514177693762</v>
      </c>
      <c r="N1238" s="104">
        <f>LS[[#This Row],[Unit Capital]]/10</f>
        <v>-529</v>
      </c>
      <c r="O1238" s="104">
        <f>SUMIFS(LS[[#Headers],[Unit]]:LS[[#This Row],[Unit]],LS[[#Headers],[Investor ID]]:LS[[#This Row],[Investor ID]],LS[[#This Row],[Investor ID]])</f>
        <v>77268</v>
      </c>
      <c r="P1238" s="102">
        <v>-5290</v>
      </c>
      <c r="Q1238" s="102">
        <f>LS[[#This Row],[Amount]]-LS[[#This Row],[Unit Capital]]</f>
        <v>-1710</v>
      </c>
      <c r="R12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238" s="103">
        <f t="shared" si="19"/>
        <v>14.224</v>
      </c>
      <c r="T1238" s="102">
        <f>IF(LS[[#This Row],[B/S]]="B",0,ABS(LS[[#This Row],[Unit]])*(LS[[#This Row],[NAV (Strike Rate)]]-INDEX(LS[NAV at Cost (Average)],MATCH(CONCATENATE(LS[[#This Row],[Frequency]]-1,LS[[#This Row],[Investor ID]]),LS[Unique Code],0),)))</f>
        <v>200.25193773538845</v>
      </c>
      <c r="U1238" s="102" cm="1">
        <f t="array" ref="U1238">IF(LS[[#This Row],[B/S]]="S",ABS(LS[[#This Row],[Unit]])*(INDEX(LS[NAV at Cost (Average)],MATCH(CONCATENATE((LS[[#This Row],[Frequency]]-1),LS[[#This Row],[Investor ID]]),LS[Unique Code],0),0)),0)</f>
        <v>6799.7480622646117</v>
      </c>
      <c r="V1238" s="102">
        <f>IF(LS[[#This Row],[BO TRANSFER]]="YES",LS[[#This Row],[Unit]],)</f>
        <v>0</v>
      </c>
      <c r="W1238" s="102">
        <f>SUMIFS(LS[[#Headers],[BO UNIT TRANSFER]]:LS[[#This Row],[BO UNIT TRANSFER]],LS[[#Headers],[Investor ID]]:LS[[#This Row],[Investor ID]],LS[[#This Row],[Investor ID]])</f>
        <v>0</v>
      </c>
    </row>
    <row r="1239" spans="1:23">
      <c r="A1239" s="101">
        <v>2025</v>
      </c>
      <c r="B1239" s="101">
        <v>9</v>
      </c>
      <c r="C1239" s="101">
        <v>7</v>
      </c>
      <c r="D1239" s="98">
        <f>DATE(LS[[#This Row],[Year]],LS[[#This Row],[Month]],LS[[#This Row],[Day]])</f>
        <v>45907</v>
      </c>
      <c r="E1239" s="99" t="str" cm="1">
        <f t="array" ref="E1239">INDEX(INVESTORS_LIST[INVESTOR NAME],MATCH(LS[[#This Row],[Investor ID]],INVESTORS_LIST[INVESTOR CODE],0),)</f>
        <v>BABITA RANI BARMAN</v>
      </c>
      <c r="F1239" s="100" t="s">
        <v>188</v>
      </c>
      <c r="G1239" s="101">
        <f>COUNTIF(LS[[#Headers],[Investor ID]]:LS[[#This Row],[Investor ID]],LS[[#This Row],[Investor ID]])</f>
        <v>7</v>
      </c>
      <c r="H1239" s="101" t="str">
        <f>CONCATENATE(LS[[#This Row],[Frequency]],LS[[#This Row],[Investor ID]])</f>
        <v>7A00070</v>
      </c>
      <c r="I1239" s="75" t="str">
        <f>IF(LS[[#This Row],[B/S]]="B","BUY",(IF(LS[[#This Row],[B/S]]="S","SELL"," ")))</f>
        <v>BUY</v>
      </c>
      <c r="J1239" s="101" t="s">
        <v>1229</v>
      </c>
      <c r="K1239" s="102">
        <v>150000</v>
      </c>
      <c r="L1239" s="99"/>
      <c r="M1239" s="103">
        <f>LS[[#This Row],[Amount]]/LS[[#This Row],[Unit]]</f>
        <v>13.233348037053375</v>
      </c>
      <c r="N1239" s="104">
        <f>LS[[#This Row],[Unit Capital]]/10</f>
        <v>11335</v>
      </c>
      <c r="O1239" s="104">
        <f>SUMIFS(LS[[#Headers],[Unit]]:LS[[#This Row],[Unit]],LS[[#Headers],[Investor ID]]:LS[[#This Row],[Investor ID]],LS[[#This Row],[Investor ID]])</f>
        <v>46621</v>
      </c>
      <c r="P1239" s="102">
        <v>113350</v>
      </c>
      <c r="Q1239" s="102">
        <f>LS[[#This Row],[Amount]]-LS[[#This Row],[Unit Capital]]</f>
        <v>36650</v>
      </c>
      <c r="R12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11.58521290838768</v>
      </c>
      <c r="S1239" s="103">
        <f t="shared" si="19"/>
        <v>14.224</v>
      </c>
      <c r="T123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39" s="102" cm="1">
        <f t="array" ref="U1239">IF(LS[[#This Row],[B/S]]="S",ABS(LS[[#This Row],[Unit]])*(INDEX(LS[NAV at Cost (Average)],MATCH(CONCATENATE((LS[[#This Row],[Frequency]]-1),LS[[#This Row],[Investor ID]]),LS[Unique Code],0),0)),0)</f>
        <v>0</v>
      </c>
      <c r="V1239" s="102">
        <f>IF(LS[[#This Row],[BO TRANSFER]]="YES",LS[[#This Row],[Unit]],)</f>
        <v>0</v>
      </c>
      <c r="W1239" s="102">
        <f>SUMIFS(LS[[#Headers],[BO UNIT TRANSFER]]:LS[[#This Row],[BO UNIT TRANSFER]],LS[[#Headers],[Investor ID]]:LS[[#This Row],[Investor ID]],LS[[#This Row],[Investor ID]])</f>
        <v>0</v>
      </c>
    </row>
    <row r="1240" spans="1:23">
      <c r="A1240" s="101">
        <v>2025</v>
      </c>
      <c r="B1240" s="101">
        <v>9</v>
      </c>
      <c r="C1240" s="101">
        <v>8</v>
      </c>
      <c r="D1240" s="98">
        <f>DATE(LS[[#This Row],[Year]],LS[[#This Row],[Month]],LS[[#This Row],[Day]])</f>
        <v>45908</v>
      </c>
      <c r="E1240" s="99" t="str" cm="1">
        <f t="array" ref="E1240">INDEX(INVESTORS_LIST[INVESTOR NAME],MATCH(LS[[#This Row],[Investor ID]],INVESTORS_LIST[INVESTOR CODE],0),)</f>
        <v>MD ASHIQUR RAHMAN</v>
      </c>
      <c r="F1240" s="100" t="s">
        <v>1173</v>
      </c>
      <c r="G1240" s="101">
        <f>COUNTIF(LS[[#Headers],[Investor ID]]:LS[[#This Row],[Investor ID]],LS[[#This Row],[Investor ID]])</f>
        <v>7</v>
      </c>
      <c r="H1240" s="101" t="str">
        <f>CONCATENATE(LS[[#This Row],[Frequency]],LS[[#This Row],[Investor ID]])</f>
        <v>7A00562</v>
      </c>
      <c r="I1240" s="75" t="str">
        <f>IF(LS[[#This Row],[B/S]]="B","BUY",(IF(LS[[#This Row],[B/S]]="S","SELL"," ")))</f>
        <v>SELL</v>
      </c>
      <c r="J1240" s="101" t="s">
        <v>1231</v>
      </c>
      <c r="K1240" s="102">
        <v>-250000</v>
      </c>
      <c r="L1240" s="99"/>
      <c r="M1240" s="103">
        <f>LS[[#This Row],[Amount]]/LS[[#This Row],[Unit]]</f>
        <v>13.233114545839509</v>
      </c>
      <c r="N1240" s="104">
        <f>LS[[#This Row],[Unit Capital]]/10</f>
        <v>-18892</v>
      </c>
      <c r="O1240" s="104">
        <f>SUMIFS(LS[[#Headers],[Unit]]:LS[[#This Row],[Unit]],LS[[#Headers],[Investor ID]]:LS[[#This Row],[Investor ID]],LS[[#This Row],[Investor ID]])</f>
        <v>654</v>
      </c>
      <c r="P1240" s="102">
        <v>-188920</v>
      </c>
      <c r="Q1240" s="102">
        <f>LS[[#This Row],[Amount]]-LS[[#This Row],[Unit Capital]]</f>
        <v>-61080</v>
      </c>
      <c r="R12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12.128006117276311</v>
      </c>
      <c r="S1240" s="103">
        <f t="shared" si="19"/>
        <v>14.224</v>
      </c>
      <c r="T1240" s="102">
        <f>IF(LS[[#This Row],[B/S]]="B",0,ABS(LS[[#This Row],[Unit]])*(LS[[#This Row],[NAV (Strike Rate)]]-INDEX(LS[NAV at Cost (Average)],MATCH(CONCATENATE(LS[[#This Row],[Frequency]]-1,LS[[#This Row],[Investor ID]]),LS[Unique Code],0),)))</f>
        <v>20877.708432415951</v>
      </c>
      <c r="U1240" s="102" cm="1">
        <f t="array" ref="U1240">IF(LS[[#This Row],[B/S]]="S",ABS(LS[[#This Row],[Unit]])*(INDEX(LS[NAV at Cost (Average)],MATCH(CONCATENATE((LS[[#This Row],[Frequency]]-1),LS[[#This Row],[Investor ID]]),LS[Unique Code],0),0)),0)</f>
        <v>229122.29156758406</v>
      </c>
      <c r="V1240" s="102">
        <f>IF(LS[[#This Row],[BO TRANSFER]]="YES",LS[[#This Row],[Unit]],)</f>
        <v>0</v>
      </c>
      <c r="W1240" s="102">
        <f>SUMIFS(LS[[#Headers],[BO UNIT TRANSFER]]:LS[[#This Row],[BO UNIT TRANSFER]],LS[[#Headers],[Investor ID]]:LS[[#This Row],[Investor ID]],LS[[#This Row],[Investor ID]])</f>
        <v>0</v>
      </c>
    </row>
    <row r="1241" spans="1:23">
      <c r="A1241" s="101">
        <v>2025</v>
      </c>
      <c r="B1241" s="101">
        <v>9</v>
      </c>
      <c r="C1241" s="101">
        <v>8</v>
      </c>
      <c r="D1241" s="98">
        <f>DATE(LS[[#This Row],[Year]],LS[[#This Row],[Month]],LS[[#This Row],[Day]])</f>
        <v>45908</v>
      </c>
      <c r="E1241" s="99" t="str" cm="1">
        <f t="array" ref="E1241">INDEX(INVESTORS_LIST[INVESTOR NAME],MATCH(LS[[#This Row],[Investor ID]],INVESTORS_LIST[INVESTOR CODE],0),)</f>
        <v>FARIHA FARZANA</v>
      </c>
      <c r="F1241" s="100" t="s">
        <v>1161</v>
      </c>
      <c r="G1241" s="101">
        <f>COUNTIF(LS[[#Headers],[Investor ID]]:LS[[#This Row],[Investor ID]],LS[[#This Row],[Investor ID]])</f>
        <v>6</v>
      </c>
      <c r="H1241" s="101" t="str">
        <f>CONCATENATE(LS[[#This Row],[Frequency]],LS[[#This Row],[Investor ID]])</f>
        <v>6A00556</v>
      </c>
      <c r="I1241" s="75" t="str">
        <f>IF(LS[[#This Row],[B/S]]="B","BUY",(IF(LS[[#This Row],[B/S]]="S","SELL"," ")))</f>
        <v>SELL</v>
      </c>
      <c r="J1241" s="101" t="s">
        <v>1231</v>
      </c>
      <c r="K1241" s="102">
        <v>-48763.61</v>
      </c>
      <c r="L1241" s="99"/>
      <c r="M1241" s="103">
        <f>LS[[#This Row],[Amount]]/LS[[#This Row],[Unit]]</f>
        <v>13.233001356852103</v>
      </c>
      <c r="N1241" s="104">
        <f>LS[[#This Row],[Unit Capital]]/10</f>
        <v>-3685</v>
      </c>
      <c r="O1241" s="104">
        <f>SUMIFS(LS[[#Headers],[Unit]]:LS[[#This Row],[Unit]],LS[[#Headers],[Investor ID]]:LS[[#This Row],[Investor ID]],LS[[#This Row],[Investor ID]])</f>
        <v>0</v>
      </c>
      <c r="P1241" s="102">
        <v>-36850</v>
      </c>
      <c r="Q1241" s="102">
        <f>LS[[#This Row],[Amount]]-LS[[#This Row],[Unit Capital]]</f>
        <v>-11913.61</v>
      </c>
      <c r="R12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41" s="103">
        <f t="shared" si="19"/>
        <v>14.224</v>
      </c>
      <c r="T1241" s="102">
        <f>IF(LS[[#This Row],[B/S]]="B",0,ABS(LS[[#This Row],[Unit]])*(LS[[#This Row],[NAV (Strike Rate)]]-INDEX(LS[NAV at Cost (Average)],MATCH(CONCATENATE(LS[[#This Row],[Frequency]]-1,LS[[#This Row],[Investor ID]]),LS[Unique Code],0),)))</f>
        <v>2998.5826775956275</v>
      </c>
      <c r="U1241" s="102" cm="1">
        <f t="array" ref="U1241">IF(LS[[#This Row],[B/S]]="S",ABS(LS[[#This Row],[Unit]])*(INDEX(LS[NAV at Cost (Average)],MATCH(CONCATENATE((LS[[#This Row],[Frequency]]-1),LS[[#This Row],[Investor ID]]),LS[Unique Code],0),0)),0)</f>
        <v>45765.02732240437</v>
      </c>
      <c r="V1241" s="102">
        <f>IF(LS[[#This Row],[BO TRANSFER]]="YES",LS[[#This Row],[Unit]],)</f>
        <v>0</v>
      </c>
      <c r="W1241" s="102">
        <f>SUMIFS(LS[[#Headers],[BO UNIT TRANSFER]]:LS[[#This Row],[BO UNIT TRANSFER]],LS[[#Headers],[Investor ID]]:LS[[#This Row],[Investor ID]],LS[[#This Row],[Investor ID]])</f>
        <v>0</v>
      </c>
    </row>
    <row r="1242" spans="1:23">
      <c r="A1242" s="101">
        <v>2025</v>
      </c>
      <c r="B1242" s="101">
        <v>9</v>
      </c>
      <c r="C1242" s="101">
        <v>8</v>
      </c>
      <c r="D1242" s="98">
        <f>DATE(LS[[#This Row],[Year]],LS[[#This Row],[Month]],LS[[#This Row],[Day]])</f>
        <v>45908</v>
      </c>
      <c r="E1242" s="99" t="str" cm="1">
        <f t="array" ref="E1242">INDEX(INVESTORS_LIST[INVESTOR NAME],MATCH(LS[[#This Row],[Investor ID]],INVESTORS_LIST[INVESTOR CODE],0),)</f>
        <v>MD AYNUL HOQUE</v>
      </c>
      <c r="F1242" s="100" t="s">
        <v>1139</v>
      </c>
      <c r="G1242" s="101">
        <f>COUNTIF(LS[[#Headers],[Investor ID]]:LS[[#This Row],[Investor ID]],LS[[#This Row],[Investor ID]])</f>
        <v>5</v>
      </c>
      <c r="H1242" s="101" t="str">
        <f>CONCATENATE(LS[[#This Row],[Frequency]],LS[[#This Row],[Investor ID]])</f>
        <v>5A00545</v>
      </c>
      <c r="I1242" s="75" t="str">
        <f>IF(LS[[#This Row],[B/S]]="B","BUY",(IF(LS[[#This Row],[B/S]]="S","SELL"," ")))</f>
        <v>SELL</v>
      </c>
      <c r="J1242" s="101" t="s">
        <v>1231</v>
      </c>
      <c r="K1242" s="102">
        <v>-520000</v>
      </c>
      <c r="L1242" s="99"/>
      <c r="M1242" s="103">
        <f>LS[[#This Row],[Amount]]/LS[[#This Row],[Unit]]</f>
        <v>13.232899022801304</v>
      </c>
      <c r="N1242" s="104">
        <f>LS[[#This Row],[Unit Capital]]/10</f>
        <v>-39296</v>
      </c>
      <c r="O1242" s="104">
        <f>SUMIFS(LS[[#Headers],[Unit]]:LS[[#This Row],[Unit]],LS[[#Headers],[Investor ID]]:LS[[#This Row],[Investor ID]],LS[[#This Row],[Investor ID]])</f>
        <v>530538</v>
      </c>
      <c r="P1242" s="102">
        <v>-392960</v>
      </c>
      <c r="Q1242" s="102">
        <f>LS[[#This Row],[Amount]]-LS[[#This Row],[Unit Capital]]</f>
        <v>-127040</v>
      </c>
      <c r="R12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11.152712499004222</v>
      </c>
      <c r="S1242" s="103">
        <f t="shared" si="19"/>
        <v>14.224</v>
      </c>
      <c r="T1242" s="102">
        <f>IF(LS[[#This Row],[B/S]]="B",0,ABS(LS[[#This Row],[Unit]])*(LS[[#This Row],[NAV (Strike Rate)]]-INDEX(LS[NAV at Cost (Average)],MATCH(CONCATENATE(LS[[#This Row],[Frequency]]-1,LS[[#This Row],[Investor ID]]),LS[Unique Code],0),)))</f>
        <v>81743.009639130119</v>
      </c>
      <c r="U1242" s="102" cm="1">
        <f t="array" ref="U1242">IF(LS[[#This Row],[B/S]]="S",ABS(LS[[#This Row],[Unit]])*(INDEX(LS[NAV at Cost (Average)],MATCH(CONCATENATE((LS[[#This Row],[Frequency]]-1),LS[[#This Row],[Investor ID]]),LS[Unique Code],0),0)),0)</f>
        <v>438256.99036086991</v>
      </c>
      <c r="V1242" s="102">
        <f>IF(LS[[#This Row],[BO TRANSFER]]="YES",LS[[#This Row],[Unit]],)</f>
        <v>0</v>
      </c>
      <c r="W1242" s="102">
        <f>SUMIFS(LS[[#Headers],[BO UNIT TRANSFER]]:LS[[#This Row],[BO UNIT TRANSFER]],LS[[#Headers],[Investor ID]]:LS[[#This Row],[Investor ID]],LS[[#This Row],[Investor ID]])</f>
        <v>0</v>
      </c>
    </row>
    <row r="1243" spans="1:23">
      <c r="A1243" s="101">
        <v>2025</v>
      </c>
      <c r="B1243" s="101">
        <v>9</v>
      </c>
      <c r="C1243" s="101">
        <v>8</v>
      </c>
      <c r="D1243" s="98">
        <f>DATE(LS[[#This Row],[Year]],LS[[#This Row],[Month]],LS[[#This Row],[Day]])</f>
        <v>45908</v>
      </c>
      <c r="E1243" s="99" t="str" cm="1">
        <f t="array" ref="E1243">INDEX(INVESTORS_LIST[INVESTOR NAME],MATCH(LS[[#This Row],[Investor ID]],INVESTORS_LIST[INVESTOR CODE],0),)</f>
        <v>MD AYNUL HOQUE</v>
      </c>
      <c r="F1243" s="100" t="s">
        <v>1139</v>
      </c>
      <c r="G1243" s="101">
        <f>COUNTIF(LS[[#Headers],[Investor ID]]:LS[[#This Row],[Investor ID]],LS[[#This Row],[Investor ID]])</f>
        <v>6</v>
      </c>
      <c r="H1243" s="101" t="str">
        <f>CONCATENATE(LS[[#This Row],[Frequency]],LS[[#This Row],[Investor ID]])</f>
        <v>6A00545</v>
      </c>
      <c r="I1243" s="75" t="str">
        <f>IF(LS[[#This Row],[B/S]]="B","BUY",(IF(LS[[#This Row],[B/S]]="S","SELL"," ")))</f>
        <v>BUY</v>
      </c>
      <c r="J1243" s="101" t="s">
        <v>1229</v>
      </c>
      <c r="K1243" s="102">
        <v>1000000</v>
      </c>
      <c r="L1243" s="99"/>
      <c r="M1243" s="103">
        <f>LS[[#This Row],[Amount]]/LS[[#This Row],[Unit]]</f>
        <v>13.232939432836217</v>
      </c>
      <c r="N1243" s="104">
        <f>LS[[#This Row],[Unit Capital]]/10</f>
        <v>75569</v>
      </c>
      <c r="O1243" s="104">
        <f>SUMIFS(LS[[#Headers],[Unit]]:LS[[#This Row],[Unit]],LS[[#Headers],[Investor ID]]:LS[[#This Row],[Investor ID]],LS[[#This Row],[Investor ID]])</f>
        <v>606107</v>
      </c>
      <c r="P1243" s="102">
        <v>755690</v>
      </c>
      <c r="Q1243" s="102">
        <f>LS[[#This Row],[Amount]]-LS[[#This Row],[Unit Capital]]</f>
        <v>244310</v>
      </c>
      <c r="R12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11.41207374901907</v>
      </c>
      <c r="S1243" s="103">
        <f t="shared" si="19"/>
        <v>14.224</v>
      </c>
      <c r="T124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3" s="102" cm="1">
        <f t="array" ref="U1243">IF(LS[[#This Row],[B/S]]="S",ABS(LS[[#This Row],[Unit]])*(INDEX(LS[NAV at Cost (Average)],MATCH(CONCATENATE((LS[[#This Row],[Frequency]]-1),LS[[#This Row],[Investor ID]]),LS[Unique Code],0),0)),0)</f>
        <v>0</v>
      </c>
      <c r="V1243" s="102">
        <f>IF(LS[[#This Row],[BO TRANSFER]]="YES",LS[[#This Row],[Unit]],)</f>
        <v>0</v>
      </c>
      <c r="W1243" s="102">
        <f>SUMIFS(LS[[#Headers],[BO UNIT TRANSFER]]:LS[[#This Row],[BO UNIT TRANSFER]],LS[[#Headers],[Investor ID]]:LS[[#This Row],[Investor ID]],LS[[#This Row],[Investor ID]])</f>
        <v>0</v>
      </c>
    </row>
    <row r="1244" spans="1:23">
      <c r="A1244" s="101">
        <v>2025</v>
      </c>
      <c r="B1244" s="101">
        <v>9</v>
      </c>
      <c r="C1244" s="101">
        <v>9</v>
      </c>
      <c r="D1244" s="98">
        <f>DATE(LS[[#This Row],[Year]],LS[[#This Row],[Month]],LS[[#This Row],[Day]])</f>
        <v>45909</v>
      </c>
      <c r="E1244" s="99" t="str" cm="1">
        <f t="array" ref="E1244">INDEX(INVESTORS_LIST[INVESTOR NAME],MATCH(LS[[#This Row],[Investor ID]],INVESTORS_LIST[INVESTOR CODE],0),)</f>
        <v>SYEDUL TANVIR HOQUE PRIYAM</v>
      </c>
      <c r="F1244" s="100" t="s">
        <v>1424</v>
      </c>
      <c r="G1244" s="101">
        <f>COUNTIF(LS[[#Headers],[Investor ID]]:LS[[#This Row],[Investor ID]],LS[[#This Row],[Investor ID]])</f>
        <v>5</v>
      </c>
      <c r="H1244" s="101" t="str">
        <f>CONCATENATE(LS[[#This Row],[Frequency]],LS[[#This Row],[Investor ID]])</f>
        <v>5A00656</v>
      </c>
      <c r="I1244" s="75" t="str">
        <f>IF(LS[[#This Row],[B/S]]="B","BUY",(IF(LS[[#This Row],[B/S]]="S","SELL"," ")))</f>
        <v>SELL</v>
      </c>
      <c r="J1244" s="101" t="s">
        <v>1231</v>
      </c>
      <c r="K1244" s="102">
        <v>-34139.61</v>
      </c>
      <c r="L1244" s="99"/>
      <c r="M1244" s="103">
        <f>LS[[#This Row],[Amount]]/LS[[#This Row],[Unit]]</f>
        <v>13.232406976744187</v>
      </c>
      <c r="N1244" s="104">
        <f>LS[[#This Row],[Unit Capital]]/10</f>
        <v>-2580</v>
      </c>
      <c r="O1244" s="104">
        <f>SUMIFS(LS[[#Headers],[Unit]]:LS[[#This Row],[Unit]],LS[[#Headers],[Investor ID]]:LS[[#This Row],[Investor ID]],LS[[#This Row],[Investor ID]])</f>
        <v>105796</v>
      </c>
      <c r="P1244" s="102">
        <v>-25800</v>
      </c>
      <c r="Q1244" s="102">
        <f>LS[[#This Row],[Amount]]-LS[[#This Row],[Unit Capital]]</f>
        <v>-8339.61</v>
      </c>
      <c r="R12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244" s="103">
        <f t="shared" si="19"/>
        <v>14.224</v>
      </c>
      <c r="T1244" s="102">
        <f>IF(LS[[#This Row],[B/S]]="B",0,ABS(LS[[#This Row],[Unit]])*(LS[[#This Row],[NAV (Strike Rate)]]-INDEX(LS[NAV at Cost (Average)],MATCH(CONCATENATE(LS[[#This Row],[Frequency]]-1,LS[[#This Row],[Investor ID]]),LS[Unique Code],0),)))</f>
        <v>811.19780541817454</v>
      </c>
      <c r="U1244" s="102" cm="1">
        <f t="array" ref="U1244">IF(LS[[#This Row],[B/S]]="S",ABS(LS[[#This Row],[Unit]])*(INDEX(LS[NAV at Cost (Average)],MATCH(CONCATENATE((LS[[#This Row],[Frequency]]-1),LS[[#This Row],[Investor ID]]),LS[Unique Code],0),0)),0)</f>
        <v>33328.412194581826</v>
      </c>
      <c r="V1244" s="102">
        <f>IF(LS[[#This Row],[BO TRANSFER]]="YES",LS[[#This Row],[Unit]],)</f>
        <v>0</v>
      </c>
      <c r="W1244" s="102">
        <f>SUMIFS(LS[[#Headers],[BO UNIT TRANSFER]]:LS[[#This Row],[BO UNIT TRANSFER]],LS[[#Headers],[Investor ID]]:LS[[#This Row],[Investor ID]],LS[[#This Row],[Investor ID]])</f>
        <v>0</v>
      </c>
    </row>
    <row r="1245" spans="1:23">
      <c r="A1245" s="101">
        <v>2025</v>
      </c>
      <c r="B1245" s="101">
        <v>9</v>
      </c>
      <c r="C1245" s="101">
        <v>10</v>
      </c>
      <c r="D1245" s="98">
        <f>DATE(LS[[#This Row],[Year]],LS[[#This Row],[Month]],LS[[#This Row],[Day]])</f>
        <v>45910</v>
      </c>
      <c r="E1245" s="99" t="str" cm="1">
        <f t="array" ref="E1245">INDEX(INVESTORS_LIST[INVESTOR NAME],MATCH(LS[[#This Row],[Investor ID]],INVESTORS_LIST[INVESTOR CODE],0),)</f>
        <v>FARZANA JITU</v>
      </c>
      <c r="F1245" s="100" t="s">
        <v>968</v>
      </c>
      <c r="G1245" s="101">
        <f>COUNTIF(LS[[#Headers],[Investor ID]]:LS[[#This Row],[Investor ID]],LS[[#This Row],[Investor ID]])</f>
        <v>35</v>
      </c>
      <c r="H1245" s="101" t="str">
        <f>CONCATENATE(LS[[#This Row],[Frequency]],LS[[#This Row],[Investor ID]])</f>
        <v>35A00461</v>
      </c>
      <c r="I1245" s="75" t="str">
        <f>IF(LS[[#This Row],[B/S]]="B","BUY",(IF(LS[[#This Row],[B/S]]="S","SELL"," ")))</f>
        <v>BUY</v>
      </c>
      <c r="J1245" s="101" t="s">
        <v>1229</v>
      </c>
      <c r="K1245" s="102">
        <v>100000</v>
      </c>
      <c r="L1245" s="88" t="s">
        <v>1230</v>
      </c>
      <c r="M1245" s="103">
        <f>LS[[#This Row],[Amount]]/LS[[#This Row],[Unit]]</f>
        <v>13.23276432446738</v>
      </c>
      <c r="N1245" s="104">
        <f>LS[[#This Row],[Unit Capital]]/10</f>
        <v>7557</v>
      </c>
      <c r="O1245" s="104">
        <f>SUMIFS(LS[[#Headers],[Unit]]:LS[[#This Row],[Unit]],LS[[#Headers],[Investor ID]]:LS[[#This Row],[Investor ID]],LS[[#This Row],[Investor ID]])</f>
        <v>117830</v>
      </c>
      <c r="P1245" s="102">
        <v>75570</v>
      </c>
      <c r="Q1245" s="102">
        <f>LS[[#This Row],[Amount]]-LS[[#This Row],[Unit Capital]]</f>
        <v>24430</v>
      </c>
      <c r="R12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12.476742794174363</v>
      </c>
      <c r="S1245" s="103">
        <f t="shared" si="19"/>
        <v>14.224</v>
      </c>
      <c r="T124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5" s="102" cm="1">
        <f t="array" ref="U1245">IF(LS[[#This Row],[B/S]]="S",ABS(LS[[#This Row],[Unit]])*(INDEX(LS[NAV at Cost (Average)],MATCH(CONCATENATE((LS[[#This Row],[Frequency]]-1),LS[[#This Row],[Investor ID]]),LS[Unique Code],0),0)),0)</f>
        <v>0</v>
      </c>
      <c r="V1245" s="102">
        <f>IF(LS[[#This Row],[BO TRANSFER]]="YES",LS[[#This Row],[Unit]],)</f>
        <v>7557</v>
      </c>
      <c r="W1245" s="102">
        <f>SUMIFS(LS[[#Headers],[BO UNIT TRANSFER]]:LS[[#This Row],[BO UNIT TRANSFER]],LS[[#Headers],[Investor ID]]:LS[[#This Row],[Investor ID]],LS[[#This Row],[Investor ID]])</f>
        <v>11992</v>
      </c>
    </row>
    <row r="1246" spans="1:23">
      <c r="A1246" s="101">
        <v>2025</v>
      </c>
      <c r="B1246" s="101">
        <v>9</v>
      </c>
      <c r="C1246" s="101">
        <v>10</v>
      </c>
      <c r="D1246" s="98">
        <f>DATE(LS[[#This Row],[Year]],LS[[#This Row],[Month]],LS[[#This Row],[Day]])</f>
        <v>45910</v>
      </c>
      <c r="E1246" s="99" t="str" cm="1">
        <f t="array" ref="E1246">INDEX(INVESTORS_LIST[INVESTOR NAME],MATCH(LS[[#This Row],[Investor ID]],INVESTORS_LIST[INVESTOR CODE],0),)</f>
        <v>SHAPNA RANI BARMAN</v>
      </c>
      <c r="F1246" s="100" t="s">
        <v>1292</v>
      </c>
      <c r="G1246" s="101">
        <f>COUNTIF(LS[[#Headers],[Investor ID]]:LS[[#This Row],[Investor ID]],LS[[#This Row],[Investor ID]])</f>
        <v>5</v>
      </c>
      <c r="H1246" s="101" t="str">
        <f>CONCATENATE(LS[[#This Row],[Frequency]],LS[[#This Row],[Investor ID]])</f>
        <v>5A00593</v>
      </c>
      <c r="I1246" s="75" t="str">
        <f>IF(LS[[#This Row],[B/S]]="B","BUY",(IF(LS[[#This Row],[B/S]]="S","SELL"," ")))</f>
        <v>BUY</v>
      </c>
      <c r="J1246" s="101" t="s">
        <v>1229</v>
      </c>
      <c r="K1246" s="102">
        <v>200000</v>
      </c>
      <c r="L1246" s="99"/>
      <c r="M1246" s="103">
        <f>LS[[#This Row],[Amount]]/LS[[#This Row],[Unit]]</f>
        <v>13.23276432446738</v>
      </c>
      <c r="N1246" s="104">
        <f>LS[[#This Row],[Unit Capital]]/10</f>
        <v>15114</v>
      </c>
      <c r="O1246" s="104">
        <f>SUMIFS(LS[[#Headers],[Unit]]:LS[[#This Row],[Unit]],LS[[#Headers],[Investor ID]]:LS[[#This Row],[Investor ID]],LS[[#This Row],[Investor ID]])</f>
        <v>18752</v>
      </c>
      <c r="P1246" s="102">
        <v>151140</v>
      </c>
      <c r="Q1246" s="102">
        <f>LS[[#This Row],[Amount]]-LS[[#This Row],[Unit Capital]]</f>
        <v>48860</v>
      </c>
      <c r="R12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12.912124164981845</v>
      </c>
      <c r="S1246" s="103">
        <f t="shared" si="19"/>
        <v>14.224</v>
      </c>
      <c r="T12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6" s="102" cm="1">
        <f t="array" ref="U1246">IF(LS[[#This Row],[B/S]]="S",ABS(LS[[#This Row],[Unit]])*(INDEX(LS[NAV at Cost (Average)],MATCH(CONCATENATE((LS[[#This Row],[Frequency]]-1),LS[[#This Row],[Investor ID]]),LS[Unique Code],0),0)),0)</f>
        <v>0</v>
      </c>
      <c r="V1246" s="102">
        <f>IF(LS[[#This Row],[BO TRANSFER]]="YES",LS[[#This Row],[Unit]],)</f>
        <v>0</v>
      </c>
      <c r="W1246" s="102">
        <f>SUMIFS(LS[[#Headers],[BO UNIT TRANSFER]]:LS[[#This Row],[BO UNIT TRANSFER]],LS[[#Headers],[Investor ID]]:LS[[#This Row],[Investor ID]],LS[[#This Row],[Investor ID]])</f>
        <v>0</v>
      </c>
    </row>
    <row r="1247" spans="1:23">
      <c r="A1247" s="101">
        <v>2025</v>
      </c>
      <c r="B1247" s="101">
        <v>9</v>
      </c>
      <c r="C1247" s="101">
        <v>10</v>
      </c>
      <c r="D1247" s="98">
        <f>DATE(LS[[#This Row],[Year]],LS[[#This Row],[Month]],LS[[#This Row],[Day]])</f>
        <v>45910</v>
      </c>
      <c r="E1247" s="99" t="str" cm="1">
        <f t="array" ref="E1247">INDEX(INVESTORS_LIST[INVESTOR NAME],MATCH(LS[[#This Row],[Investor ID]],INVESTORS_LIST[INVESTOR CODE],0),)</f>
        <v>BABITA RANI BARMAN</v>
      </c>
      <c r="F1247" s="100" t="s">
        <v>188</v>
      </c>
      <c r="G1247" s="101">
        <f>COUNTIF(LS[[#Headers],[Investor ID]]:LS[[#This Row],[Investor ID]],LS[[#This Row],[Investor ID]])</f>
        <v>8</v>
      </c>
      <c r="H1247" s="101" t="str">
        <f>CONCATENATE(LS[[#This Row],[Frequency]],LS[[#This Row],[Investor ID]])</f>
        <v>8A00070</v>
      </c>
      <c r="I1247" s="75" t="str">
        <f>IF(LS[[#This Row],[B/S]]="B","BUY",(IF(LS[[#This Row],[B/S]]="S","SELL"," ")))</f>
        <v>BUY</v>
      </c>
      <c r="J1247" s="101" t="s">
        <v>1229</v>
      </c>
      <c r="K1247" s="102">
        <v>200000</v>
      </c>
      <c r="L1247" s="99"/>
      <c r="M1247" s="103">
        <f>LS[[#This Row],[Amount]]/LS[[#This Row],[Unit]]</f>
        <v>13.23276432446738</v>
      </c>
      <c r="N1247" s="104">
        <f>LS[[#This Row],[Unit Capital]]/10</f>
        <v>15114</v>
      </c>
      <c r="O1247" s="104">
        <f>SUMIFS(LS[[#Headers],[Unit]]:LS[[#This Row],[Unit]],LS[[#Headers],[Investor ID]]:LS[[#This Row],[Investor ID]],LS[[#This Row],[Investor ID]])</f>
        <v>61735</v>
      </c>
      <c r="P1247" s="102">
        <v>151140</v>
      </c>
      <c r="Q1247" s="102">
        <f>LS[[#This Row],[Amount]]-LS[[#This Row],[Unit Capital]]</f>
        <v>48860</v>
      </c>
      <c r="R12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11.988567441515219</v>
      </c>
      <c r="S1247" s="103">
        <f t="shared" si="19"/>
        <v>14.224</v>
      </c>
      <c r="T124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7" s="102" cm="1">
        <f t="array" ref="U1247">IF(LS[[#This Row],[B/S]]="S",ABS(LS[[#This Row],[Unit]])*(INDEX(LS[NAV at Cost (Average)],MATCH(CONCATENATE((LS[[#This Row],[Frequency]]-1),LS[[#This Row],[Investor ID]]),LS[Unique Code],0),0)),0)</f>
        <v>0</v>
      </c>
      <c r="V1247" s="102">
        <f>IF(LS[[#This Row],[BO TRANSFER]]="YES",LS[[#This Row],[Unit]],)</f>
        <v>0</v>
      </c>
      <c r="W1247" s="102">
        <f>SUMIFS(LS[[#Headers],[BO UNIT TRANSFER]]:LS[[#This Row],[BO UNIT TRANSFER]],LS[[#Headers],[Investor ID]]:LS[[#This Row],[Investor ID]],LS[[#This Row],[Investor ID]])</f>
        <v>0</v>
      </c>
    </row>
    <row r="1248" spans="1:23">
      <c r="A1248" s="101">
        <v>2025</v>
      </c>
      <c r="B1248" s="101">
        <v>9</v>
      </c>
      <c r="C1248" s="101">
        <v>10</v>
      </c>
      <c r="D1248" s="98">
        <f>DATE(LS[[#This Row],[Year]],LS[[#This Row],[Month]],LS[[#This Row],[Day]])</f>
        <v>45910</v>
      </c>
      <c r="E1248" s="99" t="str" cm="1">
        <f t="array" ref="E1248">INDEX(INVESTORS_LIST[INVESTOR NAME],MATCH(LS[[#This Row],[Investor ID]],INVESTORS_LIST[INVESTOR CODE],0),)</f>
        <v>MST. GOLENUR</v>
      </c>
      <c r="F1248" s="100" t="s">
        <v>1075</v>
      </c>
      <c r="G1248" s="101">
        <f>COUNTIF(LS[[#Headers],[Investor ID]]:LS[[#This Row],[Investor ID]],LS[[#This Row],[Investor ID]])</f>
        <v>13</v>
      </c>
      <c r="H1248" s="101" t="str">
        <f>CONCATENATE(LS[[#This Row],[Frequency]],LS[[#This Row],[Investor ID]])</f>
        <v>13A00515</v>
      </c>
      <c r="I1248" s="75" t="str">
        <f>IF(LS[[#This Row],[B/S]]="B","BUY",(IF(LS[[#This Row],[B/S]]="S","SELL"," ")))</f>
        <v>BUY</v>
      </c>
      <c r="J1248" s="101" t="s">
        <v>1229</v>
      </c>
      <c r="K1248" s="102">
        <v>30000</v>
      </c>
      <c r="L1248" s="99"/>
      <c r="M1248" s="103">
        <f>LS[[#This Row],[Amount]]/LS[[#This Row],[Unit]]</f>
        <v>13.233348037053375</v>
      </c>
      <c r="N1248" s="104">
        <f>LS[[#This Row],[Unit Capital]]/10</f>
        <v>2267</v>
      </c>
      <c r="O1248" s="104">
        <f>SUMIFS(LS[[#Headers],[Unit]]:LS[[#This Row],[Unit]],LS[[#Headers],[Investor ID]]:LS[[#This Row],[Investor ID]],LS[[#This Row],[Investor ID]])</f>
        <v>4440</v>
      </c>
      <c r="P1248" s="102">
        <v>22670</v>
      </c>
      <c r="Q1248" s="102">
        <f>LS[[#This Row],[Amount]]-LS[[#This Row],[Unit Capital]]</f>
        <v>7330</v>
      </c>
      <c r="R12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12.162162162162161</v>
      </c>
      <c r="S1248" s="103">
        <f t="shared" si="19"/>
        <v>14.224</v>
      </c>
      <c r="T12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8" s="102" cm="1">
        <f t="array" ref="U1248">IF(LS[[#This Row],[B/S]]="S",ABS(LS[[#This Row],[Unit]])*(INDEX(LS[NAV at Cost (Average)],MATCH(CONCATENATE((LS[[#This Row],[Frequency]]-1),LS[[#This Row],[Investor ID]]),LS[Unique Code],0),0)),0)</f>
        <v>0</v>
      </c>
      <c r="V1248" s="102">
        <f>IF(LS[[#This Row],[BO TRANSFER]]="YES",LS[[#This Row],[Unit]],)</f>
        <v>0</v>
      </c>
      <c r="W1248" s="102">
        <f>SUMIFS(LS[[#Headers],[BO UNIT TRANSFER]]:LS[[#This Row],[BO UNIT TRANSFER]],LS[[#Headers],[Investor ID]]:LS[[#This Row],[Investor ID]],LS[[#This Row],[Investor ID]])</f>
        <v>0</v>
      </c>
    </row>
    <row r="1249" spans="1:23">
      <c r="A1249" s="101">
        <v>2025</v>
      </c>
      <c r="B1249" s="101">
        <v>9</v>
      </c>
      <c r="C1249" s="101">
        <v>10</v>
      </c>
      <c r="D1249" s="98">
        <f>DATE(LS[[#This Row],[Year]],LS[[#This Row],[Month]],LS[[#This Row],[Day]])</f>
        <v>45910</v>
      </c>
      <c r="E1249" s="99" t="str" cm="1">
        <f t="array" ref="E1249">INDEX(INVESTORS_LIST[INVESTOR NAME],MATCH(LS[[#This Row],[Investor ID]],INVESTORS_LIST[INVESTOR CODE],0),)</f>
        <v>RUMA AKTER</v>
      </c>
      <c r="F1249" s="100" t="s">
        <v>1323</v>
      </c>
      <c r="G1249" s="101">
        <f>COUNTIF(LS[[#Headers],[Investor ID]]:LS[[#This Row],[Investor ID]],LS[[#This Row],[Investor ID]])</f>
        <v>3</v>
      </c>
      <c r="H1249" s="101" t="str">
        <f>CONCATENATE(LS[[#This Row],[Frequency]],LS[[#This Row],[Investor ID]])</f>
        <v>3A00608</v>
      </c>
      <c r="I1249" s="75" t="str">
        <f>IF(LS[[#This Row],[B/S]]="B","BUY",(IF(LS[[#This Row],[B/S]]="S","SELL"," ")))</f>
        <v>BUY</v>
      </c>
      <c r="J1249" s="101" t="s">
        <v>1229</v>
      </c>
      <c r="K1249" s="102">
        <v>20000</v>
      </c>
      <c r="L1249" s="99"/>
      <c r="M1249" s="103">
        <f>LS[[#This Row],[Amount]]/LS[[#This Row],[Unit]]</f>
        <v>13.236267372600926</v>
      </c>
      <c r="N1249" s="104">
        <f>LS[[#This Row],[Unit Capital]]/10</f>
        <v>1511</v>
      </c>
      <c r="O1249" s="104">
        <f>SUMIFS(LS[[#Headers],[Unit]]:LS[[#This Row],[Unit]],LS[[#Headers],[Investor ID]]:LS[[#This Row],[Investor ID]],LS[[#This Row],[Investor ID]])</f>
        <v>2716</v>
      </c>
      <c r="P1249" s="102">
        <v>15110</v>
      </c>
      <c r="Q1249" s="102">
        <f>LS[[#This Row],[Amount]]-LS[[#This Row],[Unit Capital]]</f>
        <v>4890</v>
      </c>
      <c r="R12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12.88659793814433</v>
      </c>
      <c r="S1249" s="103">
        <f t="shared" si="19"/>
        <v>14.224</v>
      </c>
      <c r="T12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49" s="102" cm="1">
        <f t="array" ref="U1249">IF(LS[[#This Row],[B/S]]="S",ABS(LS[[#This Row],[Unit]])*(INDEX(LS[NAV at Cost (Average)],MATCH(CONCATENATE((LS[[#This Row],[Frequency]]-1),LS[[#This Row],[Investor ID]]),LS[Unique Code],0),0)),0)</f>
        <v>0</v>
      </c>
      <c r="V1249" s="102">
        <f>IF(LS[[#This Row],[BO TRANSFER]]="YES",LS[[#This Row],[Unit]],)</f>
        <v>0</v>
      </c>
      <c r="W1249" s="102">
        <f>SUMIFS(LS[[#Headers],[BO UNIT TRANSFER]]:LS[[#This Row],[BO UNIT TRANSFER]],LS[[#Headers],[Investor ID]]:LS[[#This Row],[Investor ID]],LS[[#This Row],[Investor ID]])</f>
        <v>0</v>
      </c>
    </row>
    <row r="1250" spans="1:23">
      <c r="A1250" s="101">
        <v>2025</v>
      </c>
      <c r="B1250" s="101">
        <v>9</v>
      </c>
      <c r="C1250" s="101">
        <v>11</v>
      </c>
      <c r="D1250" s="98">
        <f>DATE(LS[[#This Row],[Year]],LS[[#This Row],[Month]],LS[[#This Row],[Day]])</f>
        <v>45911</v>
      </c>
      <c r="E1250" s="99" t="str" cm="1">
        <f t="array" ref="E1250">INDEX(INVESTORS_LIST[INVESTOR NAME],MATCH(LS[[#This Row],[Investor ID]],INVESTORS_LIST[INVESTOR CODE],0),)</f>
        <v>MAYA RANI SAHA</v>
      </c>
      <c r="F1250" s="100" t="s">
        <v>224</v>
      </c>
      <c r="G1250" s="101">
        <f>COUNTIF(LS[[#Headers],[Investor ID]]:LS[[#This Row],[Investor ID]],LS[[#This Row],[Investor ID]])</f>
        <v>22</v>
      </c>
      <c r="H1250" s="101" t="str">
        <f>CONCATENATE(LS[[#This Row],[Frequency]],LS[[#This Row],[Investor ID]])</f>
        <v>22A00088</v>
      </c>
      <c r="I1250" s="75" t="str">
        <f>IF(LS[[#This Row],[B/S]]="B","BUY",(IF(LS[[#This Row],[B/S]]="S","SELL"," ")))</f>
        <v>BUY</v>
      </c>
      <c r="J1250" s="101" t="s">
        <v>1229</v>
      </c>
      <c r="K1250" s="102">
        <v>660000</v>
      </c>
      <c r="L1250" s="99"/>
      <c r="M1250" s="103">
        <f>LS[[#This Row],[Amount]]/LS[[#This Row],[Unit]]</f>
        <v>13.233082706766917</v>
      </c>
      <c r="N1250" s="104">
        <f>LS[[#This Row],[Unit Capital]]/10</f>
        <v>49875</v>
      </c>
      <c r="O1250" s="104">
        <f>SUMIFS(LS[[#Headers],[Unit]]:LS[[#This Row],[Unit]],LS[[#Headers],[Investor ID]]:LS[[#This Row],[Investor ID]],LS[[#This Row],[Investor ID]])</f>
        <v>599049</v>
      </c>
      <c r="P1250" s="102">
        <v>498750</v>
      </c>
      <c r="Q1250" s="102">
        <f>LS[[#This Row],[Amount]]-LS[[#This Row],[Unit Capital]]</f>
        <v>161250</v>
      </c>
      <c r="R12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11.358345201239386</v>
      </c>
      <c r="S1250" s="103">
        <f t="shared" si="19"/>
        <v>14.224</v>
      </c>
      <c r="T12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0" s="102" cm="1">
        <f t="array" ref="U1250">IF(LS[[#This Row],[B/S]]="S",ABS(LS[[#This Row],[Unit]])*(INDEX(LS[NAV at Cost (Average)],MATCH(CONCATENATE((LS[[#This Row],[Frequency]]-1),LS[[#This Row],[Investor ID]]),LS[Unique Code],0),0)),0)</f>
        <v>0</v>
      </c>
      <c r="V1250" s="102">
        <f>IF(LS[[#This Row],[BO TRANSFER]]="YES",LS[[#This Row],[Unit]],)</f>
        <v>0</v>
      </c>
      <c r="W1250" s="102">
        <f>SUMIFS(LS[[#Headers],[BO UNIT TRANSFER]]:LS[[#This Row],[BO UNIT TRANSFER]],LS[[#Headers],[Investor ID]]:LS[[#This Row],[Investor ID]],LS[[#This Row],[Investor ID]])</f>
        <v>0</v>
      </c>
    </row>
    <row r="1251" spans="1:23">
      <c r="A1251" s="101">
        <v>2025</v>
      </c>
      <c r="B1251" s="101">
        <v>9</v>
      </c>
      <c r="C1251" s="101">
        <v>14</v>
      </c>
      <c r="D1251" s="98">
        <f>DATE(LS[[#This Row],[Year]],LS[[#This Row],[Month]],LS[[#This Row],[Day]])</f>
        <v>45914</v>
      </c>
      <c r="E1251" t="str" cm="1">
        <f t="array" ref="E1251">INDEX(INVESTORS_LIST[INVESTOR NAME],MATCH(LS[[#This Row],[Investor ID]],INVESTORS_LIST[INVESTOR CODE],0),)</f>
        <v>EKUSH WEALTH MANAGEMENT LIMITED</v>
      </c>
      <c r="F1251" s="100" t="s">
        <v>47</v>
      </c>
      <c r="G1251" s="101">
        <f>COUNTIF(LS[[#Headers],[Investor ID]]:LS[[#This Row],[Investor ID]],LS[[#This Row],[Investor ID]])</f>
        <v>38</v>
      </c>
      <c r="H1251" s="101" t="str">
        <f>CONCATENATE(LS[[#This Row],[Frequency]],LS[[#This Row],[Investor ID]])</f>
        <v>38A00003</v>
      </c>
      <c r="I1251" s="75" t="str">
        <f>IF(LS[[#This Row],[B/S]]="B","BUY",(IF(LS[[#This Row],[B/S]]="S","SELL"," ")))</f>
        <v>SELL</v>
      </c>
      <c r="J1251" s="101" t="s">
        <v>1231</v>
      </c>
      <c r="K1251" s="102">
        <v>-65000</v>
      </c>
      <c r="L1251" s="99"/>
      <c r="M1251" s="103">
        <f>LS[[#This Row],[Amount]]/LS[[#This Row],[Unit]]</f>
        <v>13.270722743977133</v>
      </c>
      <c r="N1251" s="104">
        <f>LS[[#This Row],[Unit Capital]]/10</f>
        <v>-4898</v>
      </c>
      <c r="O1251" s="104">
        <f>SUMIFS(LS[[#Headers],[Unit]]:LS[[#This Row],[Unit]],LS[[#Headers],[Investor ID]]:LS[[#This Row],[Investor ID]],LS[[#This Row],[Investor ID]])</f>
        <v>336928</v>
      </c>
      <c r="P1251" s="102">
        <v>-48980</v>
      </c>
      <c r="Q1251" s="102">
        <f>LS[[#This Row],[Amount]]-LS[[#This Row],[Unit Capital]]</f>
        <v>-16020</v>
      </c>
      <c r="R12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51" s="103">
        <f t="shared" si="19"/>
        <v>14.224</v>
      </c>
      <c r="T1251" s="102">
        <f>IF(LS[[#This Row],[B/S]]="B",0,ABS(LS[[#This Row],[Unit]])*(LS[[#This Row],[NAV (Strike Rate)]]-INDEX(LS[NAV at Cost (Average)],MATCH(CONCATENATE(LS[[#This Row],[Frequency]]-1,LS[[#This Row],[Investor ID]]),LS[Unique Code],0),)))</f>
        <v>5925.6720069334033</v>
      </c>
      <c r="U1251" s="102" cm="1">
        <f t="array" ref="U1251">IF(LS[[#This Row],[B/S]]="S",ABS(LS[[#This Row],[Unit]])*(INDEX(LS[NAV at Cost (Average)],MATCH(CONCATENATE((LS[[#This Row],[Frequency]]-1),LS[[#This Row],[Investor ID]]),LS[Unique Code],0),0)),0)</f>
        <v>59074.327993066596</v>
      </c>
      <c r="V1251" s="102">
        <f>IF(LS[[#This Row],[BO TRANSFER]]="YES",LS[[#This Row],[Unit]],)</f>
        <v>0</v>
      </c>
      <c r="W1251" s="102">
        <f>SUMIFS(LS[[#Headers],[BO UNIT TRANSFER]]:LS[[#This Row],[BO UNIT TRANSFER]],LS[[#Headers],[Investor ID]]:LS[[#This Row],[Investor ID]],LS[[#This Row],[Investor ID]])</f>
        <v>0</v>
      </c>
    </row>
    <row r="1252" spans="1:23">
      <c r="A1252" s="101">
        <v>2025</v>
      </c>
      <c r="B1252" s="101">
        <v>9</v>
      </c>
      <c r="C1252" s="101">
        <v>14</v>
      </c>
      <c r="D1252" s="98">
        <f>DATE(LS[[#This Row],[Year]],LS[[#This Row],[Month]],LS[[#This Row],[Day]])</f>
        <v>45914</v>
      </c>
      <c r="E1252" s="99" t="str" cm="1">
        <f t="array" ref="E1252">INDEX(INVESTORS_LIST[INVESTOR NAME],MATCH(LS[[#This Row],[Investor ID]],INVESTORS_LIST[INVESTOR CODE],0),)</f>
        <v>ARIFUR RAHMAN</v>
      </c>
      <c r="F1252" s="100" t="s">
        <v>278</v>
      </c>
      <c r="G1252" s="101">
        <f>COUNTIF(LS[[#Headers],[Investor ID]]:LS[[#This Row],[Investor ID]],LS[[#This Row],[Investor ID]])</f>
        <v>13</v>
      </c>
      <c r="H1252" s="101" t="str">
        <f>CONCATENATE(LS[[#This Row],[Frequency]],LS[[#This Row],[Investor ID]])</f>
        <v>13A00115</v>
      </c>
      <c r="I1252" s="75" t="str">
        <f>IF(LS[[#This Row],[B/S]]="B","BUY",(IF(LS[[#This Row],[B/S]]="S","SELL"," ")))</f>
        <v>SELL</v>
      </c>
      <c r="J1252" s="101" t="s">
        <v>1231</v>
      </c>
      <c r="K1252" s="102">
        <v>-191858.85</v>
      </c>
      <c r="L1252" s="99"/>
      <c r="M1252" s="103">
        <f>LS[[#This Row],[Amount]]/LS[[#This Row],[Unit]]</f>
        <v>13.271000207511932</v>
      </c>
      <c r="N1252" s="104">
        <f>LS[[#This Row],[Unit Capital]]/10</f>
        <v>-14457</v>
      </c>
      <c r="O1252" s="104">
        <f>SUMIFS(LS[[#Headers],[Unit]]:LS[[#This Row],[Unit]],LS[[#Headers],[Investor ID]]:LS[[#This Row],[Investor ID]],LS[[#This Row],[Investor ID]])</f>
        <v>30141</v>
      </c>
      <c r="P1252" s="102">
        <v>-144570</v>
      </c>
      <c r="Q1252" s="102">
        <f>LS[[#This Row],[Amount]]-LS[[#This Row],[Unit Capital]]</f>
        <v>-47288.850000000006</v>
      </c>
      <c r="R12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11.46080401239105</v>
      </c>
      <c r="S1252" s="103">
        <f t="shared" si="19"/>
        <v>14.224</v>
      </c>
      <c r="T1252" s="102">
        <f>IF(LS[[#This Row],[B/S]]="B",0,ABS(LS[[#This Row],[Unit]])*(LS[[#This Row],[NAV (Strike Rate)]]-INDEX(LS[NAV at Cost (Average)],MATCH(CONCATENATE(LS[[#This Row],[Frequency]]-1,LS[[#This Row],[Investor ID]]),LS[Unique Code],0),)))</f>
        <v>26170.006392862597</v>
      </c>
      <c r="U1252" s="102" cm="1">
        <f t="array" ref="U1252">IF(LS[[#This Row],[B/S]]="S",ABS(LS[[#This Row],[Unit]])*(INDEX(LS[NAV at Cost (Average)],MATCH(CONCATENATE((LS[[#This Row],[Frequency]]-1),LS[[#This Row],[Investor ID]]),LS[Unique Code],0),0)),0)</f>
        <v>165688.84360713742</v>
      </c>
      <c r="V1252" s="102">
        <f>IF(LS[[#This Row],[BO TRANSFER]]="YES",LS[[#This Row],[Unit]],)</f>
        <v>0</v>
      </c>
      <c r="W1252" s="102">
        <f>SUMIFS(LS[[#Headers],[BO UNIT TRANSFER]]:LS[[#This Row],[BO UNIT TRANSFER]],LS[[#Headers],[Investor ID]]:LS[[#This Row],[Investor ID]],LS[[#This Row],[Investor ID]])</f>
        <v>0</v>
      </c>
    </row>
    <row r="1253" spans="1:23">
      <c r="A1253" s="101">
        <v>2025</v>
      </c>
      <c r="B1253" s="101">
        <v>9</v>
      </c>
      <c r="C1253" s="101">
        <v>14</v>
      </c>
      <c r="D1253" s="98">
        <f>DATE(LS[[#This Row],[Year]],LS[[#This Row],[Month]],LS[[#This Row],[Day]])</f>
        <v>45914</v>
      </c>
      <c r="E1253" s="99" t="str" cm="1">
        <f t="array" ref="E1253">INDEX(INVESTORS_LIST[INVESTOR NAME],MATCH(LS[[#This Row],[Investor ID]],INVESTORS_LIST[INVESTOR CODE],0),)</f>
        <v>JOY SARKAR</v>
      </c>
      <c r="F1253" s="97" t="s">
        <v>1444</v>
      </c>
      <c r="G1253" s="101">
        <f>COUNTIF(LS[[#Headers],[Investor ID]]:LS[[#This Row],[Investor ID]],LS[[#This Row],[Investor ID]])</f>
        <v>1</v>
      </c>
      <c r="H1253" s="101" t="str">
        <f>CONCATENATE(LS[[#This Row],[Frequency]],LS[[#This Row],[Investor ID]])</f>
        <v>1A00665</v>
      </c>
      <c r="I1253" s="75" t="str">
        <f>IF(LS[[#This Row],[B/S]]="B","BUY",(IF(LS[[#This Row],[B/S]]="S","SELL"," ")))</f>
        <v>BUY</v>
      </c>
      <c r="J1253" s="101" t="s">
        <v>1229</v>
      </c>
      <c r="K1253" s="102">
        <v>17000</v>
      </c>
      <c r="L1253" s="99"/>
      <c r="M1253" s="103">
        <f>LS[[#This Row],[Amount]]/LS[[#This Row],[Unit]]</f>
        <v>13.27088212334114</v>
      </c>
      <c r="N1253" s="104">
        <f>LS[[#This Row],[Unit Capital]]/10</f>
        <v>1281</v>
      </c>
      <c r="O1253" s="104">
        <f>SUMIFS(LS[[#Headers],[Unit]]:LS[[#This Row],[Unit]],LS[[#Headers],[Investor ID]]:LS[[#This Row],[Investor ID]],LS[[#This Row],[Investor ID]])</f>
        <v>1281</v>
      </c>
      <c r="P1253" s="102">
        <v>12810</v>
      </c>
      <c r="Q1253" s="102">
        <f>LS[[#This Row],[Amount]]-LS[[#This Row],[Unit Capital]]</f>
        <v>4190</v>
      </c>
      <c r="R12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13.27088212334114</v>
      </c>
      <c r="S1253" s="103">
        <f t="shared" si="19"/>
        <v>14.224</v>
      </c>
      <c r="T125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3" s="102" cm="1">
        <f t="array" ref="U1253">IF(LS[[#This Row],[B/S]]="S",ABS(LS[[#This Row],[Unit]])*(INDEX(LS[NAV at Cost (Average)],MATCH(CONCATENATE((LS[[#This Row],[Frequency]]-1),LS[[#This Row],[Investor ID]]),LS[Unique Code],0),0)),0)</f>
        <v>0</v>
      </c>
      <c r="V1253" s="102">
        <f>IF(LS[[#This Row],[BO TRANSFER]]="YES",LS[[#This Row],[Unit]],)</f>
        <v>0</v>
      </c>
      <c r="W1253" s="102">
        <f>SUMIFS(LS[[#Headers],[BO UNIT TRANSFER]]:LS[[#This Row],[BO UNIT TRANSFER]],LS[[#Headers],[Investor ID]]:LS[[#This Row],[Investor ID]],LS[[#This Row],[Investor ID]])</f>
        <v>0</v>
      </c>
    </row>
    <row r="1254" spans="1:23">
      <c r="A1254" s="101">
        <v>2025</v>
      </c>
      <c r="B1254" s="101">
        <v>9</v>
      </c>
      <c r="C1254" s="101">
        <v>15</v>
      </c>
      <c r="D1254" s="98">
        <f>DATE(LS[[#This Row],[Year]],LS[[#This Row],[Month]],LS[[#This Row],[Day]])</f>
        <v>45915</v>
      </c>
      <c r="E1254" s="99" t="str" cm="1">
        <f t="array" ref="E1254">INDEX(INVESTORS_LIST[INVESTOR NAME],MATCH(LS[[#This Row],[Investor ID]],INVESTORS_LIST[INVESTOR CODE],0),)</f>
        <v>MD. MITHU HOWLADER</v>
      </c>
      <c r="F1254" s="100" t="s">
        <v>1413</v>
      </c>
      <c r="G1254" s="101">
        <f>COUNTIF(LS[[#Headers],[Investor ID]]:LS[[#This Row],[Investor ID]],LS[[#This Row],[Investor ID]])</f>
        <v>3</v>
      </c>
      <c r="H1254" s="101" t="str">
        <f>CONCATENATE(LS[[#This Row],[Frequency]],LS[[#This Row],[Investor ID]])</f>
        <v>3A00650</v>
      </c>
      <c r="I1254" s="75" t="str">
        <f>IF(LS[[#This Row],[B/S]]="B","BUY",(IF(LS[[#This Row],[B/S]]="S","SELL"," ")))</f>
        <v>BUY</v>
      </c>
      <c r="J1254" s="101" t="s">
        <v>1229</v>
      </c>
      <c r="K1254" s="102">
        <v>4000000</v>
      </c>
      <c r="L1254" s="99"/>
      <c r="M1254" s="103">
        <f>LS[[#This Row],[Amount]]/LS[[#This Row],[Unit]]</f>
        <v>13.271003851908867</v>
      </c>
      <c r="N1254" s="104">
        <f>LS[[#This Row],[Unit Capital]]/10</f>
        <v>301409</v>
      </c>
      <c r="O1254" s="104">
        <f>SUMIFS(LS[[#Headers],[Unit]]:LS[[#This Row],[Unit]],LS[[#Headers],[Investor ID]]:LS[[#This Row],[Investor ID]],LS[[#This Row],[Investor ID]])</f>
        <v>1090052</v>
      </c>
      <c r="P1254" s="102">
        <v>3014090</v>
      </c>
      <c r="Q1254" s="102">
        <f>LS[[#This Row],[Amount]]-LS[[#This Row],[Unit Capital]]</f>
        <v>985910</v>
      </c>
      <c r="R12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12.843423983442991</v>
      </c>
      <c r="S1254" s="103">
        <f t="shared" si="19"/>
        <v>14.224</v>
      </c>
      <c r="T12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4" s="102" cm="1">
        <f t="array" ref="U1254">IF(LS[[#This Row],[B/S]]="S",ABS(LS[[#This Row],[Unit]])*(INDEX(LS[NAV at Cost (Average)],MATCH(CONCATENATE((LS[[#This Row],[Frequency]]-1),LS[[#This Row],[Investor ID]]),LS[Unique Code],0),0)),0)</f>
        <v>0</v>
      </c>
      <c r="V1254" s="102">
        <f>IF(LS[[#This Row],[BO TRANSFER]]="YES",LS[[#This Row],[Unit]],)</f>
        <v>0</v>
      </c>
      <c r="W1254" s="102">
        <f>SUMIFS(LS[[#Headers],[BO UNIT TRANSFER]]:LS[[#This Row],[BO UNIT TRANSFER]],LS[[#Headers],[Investor ID]]:LS[[#This Row],[Investor ID]],LS[[#This Row],[Investor ID]])</f>
        <v>0</v>
      </c>
    </row>
    <row r="1255" spans="1:23">
      <c r="A1255" s="101">
        <v>2025</v>
      </c>
      <c r="B1255" s="101">
        <v>9</v>
      </c>
      <c r="C1255" s="101">
        <v>15</v>
      </c>
      <c r="D1255" s="98">
        <f>DATE(LS[[#This Row],[Year]],LS[[#This Row],[Month]],LS[[#This Row],[Day]])</f>
        <v>45915</v>
      </c>
      <c r="E1255" s="99" t="str" cm="1">
        <f t="array" ref="E1255">INDEX(INVESTORS_LIST[INVESTOR NAME],MATCH(LS[[#This Row],[Investor ID]],INVESTORS_LIST[INVESTOR CODE],0),)</f>
        <v>MD. MITHU HOWLADER</v>
      </c>
      <c r="F1255" s="100" t="s">
        <v>1413</v>
      </c>
      <c r="G1255" s="101">
        <f>COUNTIF(LS[[#Headers],[Investor ID]]:LS[[#This Row],[Investor ID]],LS[[#This Row],[Investor ID]])</f>
        <v>4</v>
      </c>
      <c r="H1255" s="101" t="str">
        <f>CONCATENATE(LS[[#This Row],[Frequency]],LS[[#This Row],[Investor ID]])</f>
        <v>4A00650</v>
      </c>
      <c r="I1255" s="75" t="str">
        <f>IF(LS[[#This Row],[B/S]]="B","BUY",(IF(LS[[#This Row],[B/S]]="S","SELL"," ")))</f>
        <v>BUY</v>
      </c>
      <c r="J1255" s="101" t="s">
        <v>1229</v>
      </c>
      <c r="K1255" s="102">
        <v>3500000</v>
      </c>
      <c r="L1255" s="99"/>
      <c r="M1255" s="103">
        <f>LS[[#This Row],[Amount]]/LS[[#This Row],[Unit]]</f>
        <v>13.270997561928162</v>
      </c>
      <c r="N1255" s="104">
        <f>LS[[#This Row],[Unit Capital]]/10</f>
        <v>263733</v>
      </c>
      <c r="O1255" s="104">
        <f>SUMIFS(LS[[#Headers],[Unit]]:LS[[#This Row],[Unit]],LS[[#Headers],[Investor ID]]:LS[[#This Row],[Investor ID]],LS[[#This Row],[Investor ID]])</f>
        <v>1353785</v>
      </c>
      <c r="P1255" s="102">
        <v>2637330</v>
      </c>
      <c r="Q1255" s="102">
        <f>LS[[#This Row],[Amount]]-LS[[#This Row],[Unit Capital]]</f>
        <v>862670</v>
      </c>
      <c r="R12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12.926720269466717</v>
      </c>
      <c r="S1255" s="103">
        <f t="shared" si="19"/>
        <v>14.224</v>
      </c>
      <c r="T12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5" s="102" cm="1">
        <f t="array" ref="U1255">IF(LS[[#This Row],[B/S]]="S",ABS(LS[[#This Row],[Unit]])*(INDEX(LS[NAV at Cost (Average)],MATCH(CONCATENATE((LS[[#This Row],[Frequency]]-1),LS[[#This Row],[Investor ID]]),LS[Unique Code],0),0)),0)</f>
        <v>0</v>
      </c>
      <c r="V1255" s="102">
        <f>IF(LS[[#This Row],[BO TRANSFER]]="YES",LS[[#This Row],[Unit]],)</f>
        <v>0</v>
      </c>
      <c r="W1255" s="102">
        <f>SUMIFS(LS[[#Headers],[BO UNIT TRANSFER]]:LS[[#This Row],[BO UNIT TRANSFER]],LS[[#Headers],[Investor ID]]:LS[[#This Row],[Investor ID]],LS[[#This Row],[Investor ID]])</f>
        <v>0</v>
      </c>
    </row>
    <row r="1256" spans="1:23">
      <c r="A1256" s="101">
        <v>2025</v>
      </c>
      <c r="B1256" s="101">
        <v>9</v>
      </c>
      <c r="C1256" s="101">
        <v>15</v>
      </c>
      <c r="D1256" s="98">
        <f>DATE(LS[[#This Row],[Year]],LS[[#This Row],[Month]],LS[[#This Row],[Day]])</f>
        <v>45915</v>
      </c>
      <c r="E1256" s="99" t="str" cm="1">
        <f t="array" ref="E1256">INDEX(INVESTORS_LIST[INVESTOR NAME],MATCH(LS[[#This Row],[Investor ID]],INVESTORS_LIST[INVESTOR CODE],0),)</f>
        <v>MD. MITHU HOWLADER</v>
      </c>
      <c r="F1256" s="100" t="s">
        <v>1413</v>
      </c>
      <c r="G1256" s="101">
        <f>COUNTIF(LS[[#Headers],[Investor ID]]:LS[[#This Row],[Investor ID]],LS[[#This Row],[Investor ID]])</f>
        <v>5</v>
      </c>
      <c r="H1256" s="101" t="str">
        <f>CONCATENATE(LS[[#This Row],[Frequency]],LS[[#This Row],[Investor ID]])</f>
        <v>5A00650</v>
      </c>
      <c r="I1256" s="75" t="str">
        <f>IF(LS[[#This Row],[B/S]]="B","BUY",(IF(LS[[#This Row],[B/S]]="S","SELL"," ")))</f>
        <v>BUY</v>
      </c>
      <c r="J1256" s="101" t="s">
        <v>1229</v>
      </c>
      <c r="K1256" s="102">
        <v>2500000</v>
      </c>
      <c r="L1256" s="99"/>
      <c r="M1256" s="103">
        <f>LS[[#This Row],[Amount]]/LS[[#This Row],[Unit]]</f>
        <v>13.270977434029971</v>
      </c>
      <c r="N1256" s="104">
        <f>LS[[#This Row],[Unit Capital]]/10</f>
        <v>188381</v>
      </c>
      <c r="O1256" s="104">
        <f>SUMIFS(LS[[#Headers],[Unit]]:LS[[#This Row],[Unit]],LS[[#Headers],[Investor ID]]:LS[[#This Row],[Investor ID]],LS[[#This Row],[Investor ID]])</f>
        <v>1542166</v>
      </c>
      <c r="P1256" s="102">
        <v>1883810</v>
      </c>
      <c r="Q1256" s="102">
        <f>LS[[#This Row],[Amount]]-LS[[#This Row],[Unit Capital]]</f>
        <v>616190</v>
      </c>
      <c r="R12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12.968772492714791</v>
      </c>
      <c r="S1256" s="103">
        <f t="shared" si="19"/>
        <v>14.224</v>
      </c>
      <c r="T125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6" s="102" cm="1">
        <f t="array" ref="U1256">IF(LS[[#This Row],[B/S]]="S",ABS(LS[[#This Row],[Unit]])*(INDEX(LS[NAV at Cost (Average)],MATCH(CONCATENATE((LS[[#This Row],[Frequency]]-1),LS[[#This Row],[Investor ID]]),LS[Unique Code],0),0)),0)</f>
        <v>0</v>
      </c>
      <c r="V1256" s="102">
        <f>IF(LS[[#This Row],[BO TRANSFER]]="YES",LS[[#This Row],[Unit]],)</f>
        <v>0</v>
      </c>
      <c r="W1256" s="102">
        <f>SUMIFS(LS[[#Headers],[BO UNIT TRANSFER]]:LS[[#This Row],[BO UNIT TRANSFER]],LS[[#Headers],[Investor ID]]:LS[[#This Row],[Investor ID]],LS[[#This Row],[Investor ID]])</f>
        <v>0</v>
      </c>
    </row>
    <row r="1257" spans="1:23">
      <c r="A1257" s="101">
        <v>2025</v>
      </c>
      <c r="B1257" s="101">
        <v>9</v>
      </c>
      <c r="C1257" s="101">
        <v>15</v>
      </c>
      <c r="D1257" s="98">
        <f>DATE(LS[[#This Row],[Year]],LS[[#This Row],[Month]],LS[[#This Row],[Day]])</f>
        <v>45915</v>
      </c>
      <c r="E1257" s="99" t="str" cm="1">
        <f t="array" ref="E1257">INDEX(INVESTORS_LIST[INVESTOR NAME],MATCH(LS[[#This Row],[Investor ID]],INVESTORS_LIST[INVESTOR CODE],0),)</f>
        <v>MAYA RANI SAHA</v>
      </c>
      <c r="F1257" s="100" t="s">
        <v>224</v>
      </c>
      <c r="G1257" s="101">
        <f>COUNTIF(LS[[#Headers],[Investor ID]]:LS[[#This Row],[Investor ID]],LS[[#This Row],[Investor ID]])</f>
        <v>23</v>
      </c>
      <c r="H1257" s="101" t="str">
        <f>CONCATENATE(LS[[#This Row],[Frequency]],LS[[#This Row],[Investor ID]])</f>
        <v>23A00088</v>
      </c>
      <c r="I1257" s="75" t="str">
        <f>IF(LS[[#This Row],[B/S]]="B","BUY",(IF(LS[[#This Row],[B/S]]="S","SELL"," ")))</f>
        <v>BUY</v>
      </c>
      <c r="J1257" s="101" t="s">
        <v>1229</v>
      </c>
      <c r="K1257" s="102">
        <v>1200000</v>
      </c>
      <c r="L1257" s="99"/>
      <c r="M1257" s="103">
        <f>LS[[#This Row],[Amount]]/LS[[#This Row],[Unit]]</f>
        <v>13.270959822169138</v>
      </c>
      <c r="N1257" s="104">
        <f>LS[[#This Row],[Unit Capital]]/10</f>
        <v>90423</v>
      </c>
      <c r="O1257" s="104">
        <f>SUMIFS(LS[[#Headers],[Unit]]:LS[[#This Row],[Unit]],LS[[#Headers],[Investor ID]]:LS[[#This Row],[Investor ID]],LS[[#This Row],[Investor ID]])</f>
        <v>689472</v>
      </c>
      <c r="P1257" s="102">
        <v>904230</v>
      </c>
      <c r="Q1257" s="102">
        <f>LS[[#This Row],[Amount]]-LS[[#This Row],[Unit Capital]]</f>
        <v>295770</v>
      </c>
      <c r="R12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11.609181133472067</v>
      </c>
      <c r="S1257" s="103">
        <f t="shared" si="19"/>
        <v>14.224</v>
      </c>
      <c r="T12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7" s="102" cm="1">
        <f t="array" ref="U1257">IF(LS[[#This Row],[B/S]]="S",ABS(LS[[#This Row],[Unit]])*(INDEX(LS[NAV at Cost (Average)],MATCH(CONCATENATE((LS[[#This Row],[Frequency]]-1),LS[[#This Row],[Investor ID]]),LS[Unique Code],0),0)),0)</f>
        <v>0</v>
      </c>
      <c r="V1257" s="102">
        <f>IF(LS[[#This Row],[BO TRANSFER]]="YES",LS[[#This Row],[Unit]],)</f>
        <v>0</v>
      </c>
      <c r="W1257" s="102">
        <f>SUMIFS(LS[[#Headers],[BO UNIT TRANSFER]]:LS[[#This Row],[BO UNIT TRANSFER]],LS[[#Headers],[Investor ID]]:LS[[#This Row],[Investor ID]],LS[[#This Row],[Investor ID]])</f>
        <v>0</v>
      </c>
    </row>
    <row r="1258" spans="1:23">
      <c r="A1258" s="101">
        <v>2025</v>
      </c>
      <c r="B1258" s="101">
        <v>9</v>
      </c>
      <c r="C1258" s="101">
        <v>15</v>
      </c>
      <c r="D1258" s="98">
        <f>DATE(LS[[#This Row],[Year]],LS[[#This Row],[Month]],LS[[#This Row],[Day]])</f>
        <v>45915</v>
      </c>
      <c r="E1258" s="99" t="str" cm="1">
        <f t="array" ref="E1258">INDEX(INVESTORS_LIST[INVESTOR NAME],MATCH(LS[[#This Row],[Investor ID]],INVESTORS_LIST[INVESTOR CODE],0),)</f>
        <v>MAYMUNA AKTAR</v>
      </c>
      <c r="F1258" s="100" t="s">
        <v>1440</v>
      </c>
      <c r="G1258" s="101">
        <f>COUNTIF(LS[[#Headers],[Investor ID]]:LS[[#This Row],[Investor ID]],LS[[#This Row],[Investor ID]])</f>
        <v>1</v>
      </c>
      <c r="H1258" s="101" t="str">
        <f>CONCATENATE(LS[[#This Row],[Frequency]],LS[[#This Row],[Investor ID]])</f>
        <v>1A00663</v>
      </c>
      <c r="I1258" s="75" t="str">
        <f>IF(LS[[#This Row],[B/S]]="B","BUY",(IF(LS[[#This Row],[B/S]]="S","SELL"," ")))</f>
        <v>BUY</v>
      </c>
      <c r="J1258" s="101" t="s">
        <v>1229</v>
      </c>
      <c r="K1258" s="102">
        <v>100000</v>
      </c>
      <c r="L1258" s="99"/>
      <c r="M1258" s="103">
        <f>LS[[#This Row],[Amount]]/LS[[#This Row],[Unit]]</f>
        <v>13.271400132714001</v>
      </c>
      <c r="N1258" s="104">
        <f>LS[[#This Row],[Unit Capital]]/10</f>
        <v>7535</v>
      </c>
      <c r="O1258" s="104">
        <f>SUMIFS(LS[[#Headers],[Unit]]:LS[[#This Row],[Unit]],LS[[#Headers],[Investor ID]]:LS[[#This Row],[Investor ID]],LS[[#This Row],[Investor ID]])</f>
        <v>7535</v>
      </c>
      <c r="P1258" s="102">
        <v>75350</v>
      </c>
      <c r="Q1258" s="102">
        <f>LS[[#This Row],[Amount]]-LS[[#This Row],[Unit Capital]]</f>
        <v>24650</v>
      </c>
      <c r="R12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13.271400132714001</v>
      </c>
      <c r="S1258" s="103">
        <f t="shared" si="19"/>
        <v>14.224</v>
      </c>
      <c r="T12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8" s="102" cm="1">
        <f t="array" ref="U1258">IF(LS[[#This Row],[B/S]]="S",ABS(LS[[#This Row],[Unit]])*(INDEX(LS[NAV at Cost (Average)],MATCH(CONCATENATE((LS[[#This Row],[Frequency]]-1),LS[[#This Row],[Investor ID]]),LS[Unique Code],0),0)),0)</f>
        <v>0</v>
      </c>
      <c r="V1258" s="102">
        <f>IF(LS[[#This Row],[BO TRANSFER]]="YES",LS[[#This Row],[Unit]],)</f>
        <v>0</v>
      </c>
      <c r="W1258" s="102">
        <f>SUMIFS(LS[[#Headers],[BO UNIT TRANSFER]]:LS[[#This Row],[BO UNIT TRANSFER]],LS[[#Headers],[Investor ID]]:LS[[#This Row],[Investor ID]],LS[[#This Row],[Investor ID]])</f>
        <v>0</v>
      </c>
    </row>
    <row r="1259" spans="1:23">
      <c r="A1259" s="101">
        <v>2025</v>
      </c>
      <c r="B1259" s="101">
        <v>9</v>
      </c>
      <c r="C1259" s="101">
        <v>16</v>
      </c>
      <c r="D1259" s="98">
        <f>DATE(LS[[#This Row],[Year]],LS[[#This Row],[Month]],LS[[#This Row],[Day]])</f>
        <v>45916</v>
      </c>
      <c r="E1259" s="99" t="str" cm="1">
        <f t="array" ref="E1259">INDEX(INVESTORS_LIST[INVESTOR NAME],MATCH(LS[[#This Row],[Investor ID]],INVESTORS_LIST[INVESTOR CODE],0),)</f>
        <v>MD. RAQUIBUL ISLAM RUSSEAU</v>
      </c>
      <c r="F1259" s="100" t="s">
        <v>1274</v>
      </c>
      <c r="G1259" s="101">
        <f>COUNTIF(LS[[#Headers],[Investor ID]]:LS[[#This Row],[Investor ID]],LS[[#This Row],[Investor ID]])</f>
        <v>2</v>
      </c>
      <c r="H1259" s="101" t="str">
        <f>CONCATENATE(LS[[#This Row],[Frequency]],LS[[#This Row],[Investor ID]])</f>
        <v>2A00584</v>
      </c>
      <c r="I1259" s="75" t="str">
        <f>IF(LS[[#This Row],[B/S]]="B","BUY",(IF(LS[[#This Row],[B/S]]="S","SELL"," ")))</f>
        <v>BUY</v>
      </c>
      <c r="J1259" s="101" t="s">
        <v>1229</v>
      </c>
      <c r="K1259" s="102">
        <v>300000</v>
      </c>
      <c r="L1259" s="99"/>
      <c r="M1259" s="103">
        <f>LS[[#This Row],[Amount]]/LS[[#This Row],[Unit]]</f>
        <v>13.27081305848005</v>
      </c>
      <c r="N1259" s="104">
        <f>LS[[#This Row],[Unit Capital]]/10</f>
        <v>22606</v>
      </c>
      <c r="O1259" s="104">
        <f>SUMIFS(LS[[#Headers],[Unit]]:LS[[#This Row],[Unit]],LS[[#Headers],[Investor ID]]:LS[[#This Row],[Investor ID]],LS[[#This Row],[Investor ID]])</f>
        <v>49294</v>
      </c>
      <c r="P1259" s="102">
        <v>226060</v>
      </c>
      <c r="Q1259" s="102">
        <f>LS[[#This Row],[Amount]]-LS[[#This Row],[Unit Capital]]</f>
        <v>73940</v>
      </c>
      <c r="R12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12.171866758631882</v>
      </c>
      <c r="S1259" s="103">
        <f t="shared" si="19"/>
        <v>14.224</v>
      </c>
      <c r="T125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59" s="102" cm="1">
        <f t="array" ref="U1259">IF(LS[[#This Row],[B/S]]="S",ABS(LS[[#This Row],[Unit]])*(INDEX(LS[NAV at Cost (Average)],MATCH(CONCATENATE((LS[[#This Row],[Frequency]]-1),LS[[#This Row],[Investor ID]]),LS[Unique Code],0),0)),0)</f>
        <v>0</v>
      </c>
      <c r="V1259" s="102">
        <f>IF(LS[[#This Row],[BO TRANSFER]]="YES",LS[[#This Row],[Unit]],)</f>
        <v>0</v>
      </c>
      <c r="W1259" s="102">
        <f>SUMIFS(LS[[#Headers],[BO UNIT TRANSFER]]:LS[[#This Row],[BO UNIT TRANSFER]],LS[[#Headers],[Investor ID]]:LS[[#This Row],[Investor ID]],LS[[#This Row],[Investor ID]])</f>
        <v>0</v>
      </c>
    </row>
    <row r="1260" spans="1:23">
      <c r="A1260" s="101">
        <v>2025</v>
      </c>
      <c r="B1260" s="101">
        <v>9</v>
      </c>
      <c r="C1260" s="101">
        <v>16</v>
      </c>
      <c r="D1260" s="98">
        <f>DATE(LS[[#This Row],[Year]],LS[[#This Row],[Month]],LS[[#This Row],[Day]])</f>
        <v>45916</v>
      </c>
      <c r="E1260" s="99" t="str" cm="1">
        <f t="array" ref="E1260">INDEX(INVESTORS_LIST[INVESTOR NAME],MATCH(LS[[#This Row],[Investor ID]],INVESTORS_LIST[INVESTOR CODE],0),)</f>
        <v>MD. RAQUIBUL ISLAM RUSSEAU</v>
      </c>
      <c r="F1260" s="100" t="s">
        <v>1274</v>
      </c>
      <c r="G1260" s="101">
        <f>COUNTIF(LS[[#Headers],[Investor ID]]:LS[[#This Row],[Investor ID]],LS[[#This Row],[Investor ID]])</f>
        <v>3</v>
      </c>
      <c r="H1260" s="101" t="str">
        <f>CONCATENATE(LS[[#This Row],[Frequency]],LS[[#This Row],[Investor ID]])</f>
        <v>3A00584</v>
      </c>
      <c r="I1260" s="75" t="str">
        <f>IF(LS[[#This Row],[B/S]]="B","BUY",(IF(LS[[#This Row],[B/S]]="S","SELL"," ")))</f>
        <v>BUY</v>
      </c>
      <c r="J1260" s="101" t="s">
        <v>1229</v>
      </c>
      <c r="K1260" s="102">
        <v>200000</v>
      </c>
      <c r="L1260" s="99"/>
      <c r="M1260" s="103">
        <f>LS[[#This Row],[Amount]]/LS[[#This Row],[Unit]]</f>
        <v>13.271400132714001</v>
      </c>
      <c r="N1260" s="104">
        <f>LS[[#This Row],[Unit Capital]]/10</f>
        <v>15070</v>
      </c>
      <c r="O1260" s="104">
        <f>SUMIFS(LS[[#Headers],[Unit]]:LS[[#This Row],[Unit]],LS[[#Headers],[Investor ID]]:LS[[#This Row],[Investor ID]],LS[[#This Row],[Investor ID]])</f>
        <v>64364</v>
      </c>
      <c r="P1260" s="102">
        <v>150700</v>
      </c>
      <c r="Q1260" s="102">
        <f>LS[[#This Row],[Amount]]-LS[[#This Row],[Unit Capital]]</f>
        <v>49300</v>
      </c>
      <c r="R12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12.429308308992605</v>
      </c>
      <c r="S1260" s="103">
        <f t="shared" si="19"/>
        <v>14.224</v>
      </c>
      <c r="T126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0" s="102" cm="1">
        <f t="array" ref="U1260">IF(LS[[#This Row],[B/S]]="S",ABS(LS[[#This Row],[Unit]])*(INDEX(LS[NAV at Cost (Average)],MATCH(CONCATENATE((LS[[#This Row],[Frequency]]-1),LS[[#This Row],[Investor ID]]),LS[Unique Code],0),0)),0)</f>
        <v>0</v>
      </c>
      <c r="V1260" s="102">
        <f>IF(LS[[#This Row],[BO TRANSFER]]="YES",LS[[#This Row],[Unit]],)</f>
        <v>0</v>
      </c>
      <c r="W1260" s="102">
        <f>SUMIFS(LS[[#Headers],[BO UNIT TRANSFER]]:LS[[#This Row],[BO UNIT TRANSFER]],LS[[#Headers],[Investor ID]]:LS[[#This Row],[Investor ID]],LS[[#This Row],[Investor ID]])</f>
        <v>0</v>
      </c>
    </row>
    <row r="1261" spans="1:23">
      <c r="A1261" s="101">
        <v>2025</v>
      </c>
      <c r="B1261" s="101">
        <v>9</v>
      </c>
      <c r="C1261" s="101">
        <v>17</v>
      </c>
      <c r="D1261" s="98">
        <f>DATE(LS[[#This Row],[Year]],LS[[#This Row],[Month]],LS[[#This Row],[Day]])</f>
        <v>45917</v>
      </c>
      <c r="E1261" s="99" t="str" cm="1">
        <f t="array" ref="E1261">INDEX(INVESTORS_LIST[INVESTOR NAME],MATCH(LS[[#This Row],[Investor ID]],INVESTORS_LIST[INVESTOR CODE],0),)</f>
        <v>MD. RAQUIBUL ISLAM RUSSEAU</v>
      </c>
      <c r="F1261" s="100" t="s">
        <v>1274</v>
      </c>
      <c r="G1261" s="101">
        <f>COUNTIF(LS[[#Headers],[Investor ID]]:LS[[#This Row],[Investor ID]],LS[[#This Row],[Investor ID]])</f>
        <v>4</v>
      </c>
      <c r="H1261" s="101" t="str">
        <f>CONCATENATE(LS[[#This Row],[Frequency]],LS[[#This Row],[Investor ID]])</f>
        <v>4A00584</v>
      </c>
      <c r="I1261" s="75" t="str">
        <f>IF(LS[[#This Row],[B/S]]="B","BUY",(IF(LS[[#This Row],[B/S]]="S","SELL"," ")))</f>
        <v>BUY</v>
      </c>
      <c r="J1261" s="101" t="s">
        <v>1229</v>
      </c>
      <c r="K1261" s="102">
        <v>100000</v>
      </c>
      <c r="L1261" s="99"/>
      <c r="M1261" s="103">
        <f>LS[[#This Row],[Amount]]/LS[[#This Row],[Unit]]</f>
        <v>13.271400132714001</v>
      </c>
      <c r="N1261" s="104">
        <f>LS[[#This Row],[Unit Capital]]/10</f>
        <v>7535</v>
      </c>
      <c r="O1261" s="104">
        <f>SUMIFS(LS[[#Headers],[Unit]]:LS[[#This Row],[Unit]],LS[[#Headers],[Investor ID]]:LS[[#This Row],[Investor ID]],LS[[#This Row],[Investor ID]])</f>
        <v>71899</v>
      </c>
      <c r="P1261" s="102">
        <v>75350</v>
      </c>
      <c r="Q1261" s="102">
        <f>LS[[#This Row],[Amount]]-LS[[#This Row],[Unit Capital]]</f>
        <v>24650</v>
      </c>
      <c r="R12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12.517559354093938</v>
      </c>
      <c r="S1261" s="103">
        <f t="shared" si="19"/>
        <v>14.224</v>
      </c>
      <c r="T126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1" s="102" cm="1">
        <f t="array" ref="U1261">IF(LS[[#This Row],[B/S]]="S",ABS(LS[[#This Row],[Unit]])*(INDEX(LS[NAV at Cost (Average)],MATCH(CONCATENATE((LS[[#This Row],[Frequency]]-1),LS[[#This Row],[Investor ID]]),LS[Unique Code],0),0)),0)</f>
        <v>0</v>
      </c>
      <c r="V1261" s="102">
        <f>IF(LS[[#This Row],[BO TRANSFER]]="YES",LS[[#This Row],[Unit]],)</f>
        <v>0</v>
      </c>
      <c r="W1261" s="102">
        <f>SUMIFS(LS[[#Headers],[BO UNIT TRANSFER]]:LS[[#This Row],[BO UNIT TRANSFER]],LS[[#Headers],[Investor ID]]:LS[[#This Row],[Investor ID]],LS[[#This Row],[Investor ID]])</f>
        <v>0</v>
      </c>
    </row>
    <row r="1262" spans="1:23">
      <c r="A1262" s="101">
        <v>2025</v>
      </c>
      <c r="B1262" s="101">
        <v>9</v>
      </c>
      <c r="C1262" s="101">
        <v>17</v>
      </c>
      <c r="D1262" s="98">
        <f>DATE(LS[[#This Row],[Year]],LS[[#This Row],[Month]],LS[[#This Row],[Day]])</f>
        <v>45917</v>
      </c>
      <c r="E1262" s="99" t="str" cm="1">
        <f t="array" ref="E1262">INDEX(INVESTORS_LIST[INVESTOR NAME],MATCH(LS[[#This Row],[Investor ID]],INVESTORS_LIST[INVESTOR CODE],0),)</f>
        <v>BEAUTY BEGUM LOTA</v>
      </c>
      <c r="F1262" s="100" t="s">
        <v>1081</v>
      </c>
      <c r="G1262" s="101">
        <f>COUNTIF(LS[[#Headers],[Investor ID]]:LS[[#This Row],[Investor ID]],LS[[#This Row],[Investor ID]])</f>
        <v>16</v>
      </c>
      <c r="H1262" s="101" t="str">
        <f>CONCATENATE(LS[[#This Row],[Frequency]],LS[[#This Row],[Investor ID]])</f>
        <v>16A00518</v>
      </c>
      <c r="I1262" s="75" t="str">
        <f>IF(LS[[#This Row],[B/S]]="B","BUY",(IF(LS[[#This Row],[B/S]]="S","SELL"," ")))</f>
        <v>SELL</v>
      </c>
      <c r="J1262" s="101" t="s">
        <v>1231</v>
      </c>
      <c r="K1262" s="102">
        <v>-312691.3</v>
      </c>
      <c r="L1262" s="99"/>
      <c r="M1262" s="103">
        <f>LS[[#This Row],[Amount]]/LS[[#This Row],[Unit]]</f>
        <v>13.270999915117562</v>
      </c>
      <c r="N1262" s="104">
        <f>LS[[#This Row],[Unit Capital]]/10</f>
        <v>-23562</v>
      </c>
      <c r="O1262" s="104">
        <f>SUMIFS(LS[[#Headers],[Unit]]:LS[[#This Row],[Unit]],LS[[#Headers],[Investor ID]]:LS[[#This Row],[Investor ID]],LS[[#This Row],[Investor ID]])</f>
        <v>0</v>
      </c>
      <c r="P1262" s="102">
        <v>-235620</v>
      </c>
      <c r="Q1262" s="102">
        <f>LS[[#This Row],[Amount]]-LS[[#This Row],[Unit Capital]]</f>
        <v>-77071.299999999988</v>
      </c>
      <c r="R12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62" s="103">
        <f t="shared" si="19"/>
        <v>14.224</v>
      </c>
      <c r="T1262" s="102">
        <f>IF(LS[[#This Row],[B/S]]="B",0,ABS(LS[[#This Row],[Unit]])*(LS[[#This Row],[NAV (Strike Rate)]]-INDEX(LS[NAV at Cost (Average)],MATCH(CONCATENATE(LS[[#This Row],[Frequency]]-1,LS[[#This Row],[Investor ID]]),LS[Unique Code],0),)))</f>
        <v>9828.097454931054</v>
      </c>
      <c r="U1262" s="102" cm="1">
        <f t="array" ref="U1262">IF(LS[[#This Row],[B/S]]="S",ABS(LS[[#This Row],[Unit]])*(INDEX(LS[NAV at Cost (Average)],MATCH(CONCATENATE((LS[[#This Row],[Frequency]]-1),LS[[#This Row],[Investor ID]]),LS[Unique Code],0),0)),0)</f>
        <v>302863.20254506893</v>
      </c>
      <c r="V1262" s="102">
        <f>IF(LS[[#This Row],[BO TRANSFER]]="YES",LS[[#This Row],[Unit]],)</f>
        <v>0</v>
      </c>
      <c r="W1262" s="102">
        <f>SUMIFS(LS[[#Headers],[BO UNIT TRANSFER]]:LS[[#This Row],[BO UNIT TRANSFER]],LS[[#Headers],[Investor ID]]:LS[[#This Row],[Investor ID]],LS[[#This Row],[Investor ID]])</f>
        <v>0</v>
      </c>
    </row>
    <row r="1263" spans="1:23">
      <c r="A1263" s="101">
        <v>2025</v>
      </c>
      <c r="B1263" s="101">
        <v>9</v>
      </c>
      <c r="C1263" s="101">
        <v>17</v>
      </c>
      <c r="D1263" s="98">
        <f>DATE(LS[[#This Row],[Year]],LS[[#This Row],[Month]],LS[[#This Row],[Day]])</f>
        <v>45917</v>
      </c>
      <c r="E1263" s="99" t="str" cm="1">
        <f t="array" ref="E1263">INDEX(INVESTORS_LIST[INVESTOR NAME],MATCH(LS[[#This Row],[Investor ID]],INVESTORS_LIST[INVESTOR CODE],0),)</f>
        <v>MD. MUSTAFA KAMAL</v>
      </c>
      <c r="F1263" s="100" t="s">
        <v>1300</v>
      </c>
      <c r="G1263" s="101">
        <f>COUNTIF(LS[[#Headers],[Investor ID]]:LS[[#This Row],[Investor ID]],LS[[#This Row],[Investor ID]])</f>
        <v>20</v>
      </c>
      <c r="H1263" s="101" t="str">
        <f>CONCATENATE(LS[[#This Row],[Frequency]],LS[[#This Row],[Investor ID]])</f>
        <v>20A00597</v>
      </c>
      <c r="I1263" s="75" t="str">
        <f>IF(LS[[#This Row],[B/S]]="B","BUY",(IF(LS[[#This Row],[B/S]]="S","SELL"," ")))</f>
        <v>BUY</v>
      </c>
      <c r="J1263" s="101" t="s">
        <v>1229</v>
      </c>
      <c r="K1263" s="102">
        <v>300000</v>
      </c>
      <c r="L1263" s="99"/>
      <c r="M1263" s="103">
        <f>LS[[#This Row],[Amount]]/LS[[#This Row],[Unit]]</f>
        <v>13.27081305848005</v>
      </c>
      <c r="N1263" s="104">
        <f>LS[[#This Row],[Unit Capital]]/10</f>
        <v>22606</v>
      </c>
      <c r="O1263" s="104">
        <f>SUMIFS(LS[[#Headers],[Unit]]:LS[[#This Row],[Unit]],LS[[#Headers],[Investor ID]]:LS[[#This Row],[Investor ID]],LS[[#This Row],[Investor ID]])</f>
        <v>22606</v>
      </c>
      <c r="P1263" s="102">
        <v>226060</v>
      </c>
      <c r="Q1263" s="102">
        <f>LS[[#This Row],[Amount]]-LS[[#This Row],[Unit Capital]]</f>
        <v>73940</v>
      </c>
      <c r="R12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13.27081305848005</v>
      </c>
      <c r="S1263" s="103">
        <f t="shared" si="19"/>
        <v>14.224</v>
      </c>
      <c r="T12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3" s="102" cm="1">
        <f t="array" ref="U1263">IF(LS[[#This Row],[B/S]]="S",ABS(LS[[#This Row],[Unit]])*(INDEX(LS[NAV at Cost (Average)],MATCH(CONCATENATE((LS[[#This Row],[Frequency]]-1),LS[[#This Row],[Investor ID]]),LS[Unique Code],0),0)),0)</f>
        <v>0</v>
      </c>
      <c r="V1263" s="102">
        <f>IF(LS[[#This Row],[BO TRANSFER]]="YES",LS[[#This Row],[Unit]],)</f>
        <v>0</v>
      </c>
      <c r="W1263" s="102">
        <f>SUMIFS(LS[[#Headers],[BO UNIT TRANSFER]]:LS[[#This Row],[BO UNIT TRANSFER]],LS[[#Headers],[Investor ID]]:LS[[#This Row],[Investor ID]],LS[[#This Row],[Investor ID]])</f>
        <v>0</v>
      </c>
    </row>
    <row r="1264" spans="1:23">
      <c r="A1264" s="101">
        <v>2025</v>
      </c>
      <c r="B1264" s="101">
        <v>9</v>
      </c>
      <c r="C1264" s="101">
        <v>17</v>
      </c>
      <c r="D1264" s="98">
        <f>DATE(LS[[#This Row],[Year]],LS[[#This Row],[Month]],LS[[#This Row],[Day]])</f>
        <v>45917</v>
      </c>
      <c r="E1264" s="99" t="str" cm="1">
        <f t="array" ref="E1264">INDEX(INVESTORS_LIST[INVESTOR NAME],MATCH(LS[[#This Row],[Investor ID]],INVESTORS_LIST[INVESTOR CODE],0),)</f>
        <v>MD. MUSTAFA KAMAL</v>
      </c>
      <c r="F1264" s="100" t="s">
        <v>1300</v>
      </c>
      <c r="G1264" s="101">
        <f>COUNTIF(LS[[#Headers],[Investor ID]]:LS[[#This Row],[Investor ID]],LS[[#This Row],[Investor ID]])</f>
        <v>21</v>
      </c>
      <c r="H1264" s="101" t="str">
        <f>CONCATENATE(LS[[#This Row],[Frequency]],LS[[#This Row],[Investor ID]])</f>
        <v>21A00597</v>
      </c>
      <c r="I1264" s="75" t="str">
        <f>IF(LS[[#This Row],[B/S]]="B","BUY",(IF(LS[[#This Row],[B/S]]="S","SELL"," ")))</f>
        <v>BUY</v>
      </c>
      <c r="J1264" s="101" t="s">
        <v>1229</v>
      </c>
      <c r="K1264" s="102">
        <v>100000</v>
      </c>
      <c r="L1264" s="99"/>
      <c r="M1264" s="103">
        <f>LS[[#This Row],[Amount]]/LS[[#This Row],[Unit]]</f>
        <v>13.271400132714001</v>
      </c>
      <c r="N1264" s="104">
        <f>LS[[#This Row],[Unit Capital]]/10</f>
        <v>7535</v>
      </c>
      <c r="O1264" s="104">
        <f>SUMIFS(LS[[#Headers],[Unit]]:LS[[#This Row],[Unit]],LS[[#Headers],[Investor ID]]:LS[[#This Row],[Investor ID]],LS[[#This Row],[Investor ID]])</f>
        <v>30141</v>
      </c>
      <c r="P1264" s="102">
        <v>75350</v>
      </c>
      <c r="Q1264" s="102">
        <f>LS[[#This Row],[Amount]]-LS[[#This Row],[Unit Capital]]</f>
        <v>24650</v>
      </c>
      <c r="R12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13.270959822169138</v>
      </c>
      <c r="S1264" s="103">
        <f t="shared" si="19"/>
        <v>14.224</v>
      </c>
      <c r="T12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4" s="102" cm="1">
        <f t="array" ref="U1264">IF(LS[[#This Row],[B/S]]="S",ABS(LS[[#This Row],[Unit]])*(INDEX(LS[NAV at Cost (Average)],MATCH(CONCATENATE((LS[[#This Row],[Frequency]]-1),LS[[#This Row],[Investor ID]]),LS[Unique Code],0),0)),0)</f>
        <v>0</v>
      </c>
      <c r="V1264" s="102">
        <f>IF(LS[[#This Row],[BO TRANSFER]]="YES",LS[[#This Row],[Unit]],)</f>
        <v>0</v>
      </c>
      <c r="W1264" s="102">
        <f>SUMIFS(LS[[#Headers],[BO UNIT TRANSFER]]:LS[[#This Row],[BO UNIT TRANSFER]],LS[[#Headers],[Investor ID]]:LS[[#This Row],[Investor ID]],LS[[#This Row],[Investor ID]])</f>
        <v>0</v>
      </c>
    </row>
    <row r="1265" spans="1:23">
      <c r="A1265" s="101">
        <v>2025</v>
      </c>
      <c r="B1265" s="101">
        <v>9</v>
      </c>
      <c r="C1265" s="101">
        <v>18</v>
      </c>
      <c r="D1265" s="98">
        <f>DATE(LS[[#This Row],[Year]],LS[[#This Row],[Month]],LS[[#This Row],[Day]])</f>
        <v>45918</v>
      </c>
      <c r="E1265" s="99" t="str" cm="1">
        <f t="array" ref="E1265">INDEX(INVESTORS_LIST[INVESTOR NAME],MATCH(LS[[#This Row],[Investor ID]],INVESTORS_LIST[INVESTOR CODE],0),)</f>
        <v>ARZUN KUMAR SARKAR</v>
      </c>
      <c r="F1265" s="100" t="s">
        <v>310</v>
      </c>
      <c r="G1265" s="101">
        <f>COUNTIF(LS[[#Headers],[Investor ID]]:LS[[#This Row],[Investor ID]],LS[[#This Row],[Investor ID]])</f>
        <v>5</v>
      </c>
      <c r="H1265" s="101" t="str">
        <f>CONCATENATE(LS[[#This Row],[Frequency]],LS[[#This Row],[Investor ID]])</f>
        <v>5A00131</v>
      </c>
      <c r="I1265" s="75" t="str">
        <f>IF(LS[[#This Row],[B/S]]="B","BUY",(IF(LS[[#This Row],[B/S]]="S","SELL"," ")))</f>
        <v>SELL</v>
      </c>
      <c r="J1265" s="101" t="s">
        <v>1231</v>
      </c>
      <c r="K1265" s="102">
        <v>-30000</v>
      </c>
      <c r="L1265" s="99"/>
      <c r="M1265" s="103">
        <f>LS[[#This Row],[Amount]]/LS[[#This Row],[Unit]]</f>
        <v>13.268465280849181</v>
      </c>
      <c r="N1265" s="104">
        <f>LS[[#This Row],[Unit Capital]]/10</f>
        <v>-2261</v>
      </c>
      <c r="O1265" s="104">
        <f>SUMIFS(LS[[#Headers],[Unit]]:LS[[#This Row],[Unit]],LS[[#Headers],[Investor ID]]:LS[[#This Row],[Investor ID]],LS[[#This Row],[Investor ID]])</f>
        <v>32444</v>
      </c>
      <c r="P1265" s="102">
        <v>-22610</v>
      </c>
      <c r="Q1265" s="102">
        <f>LS[[#This Row],[Amount]]-LS[[#This Row],[Unit Capital]]</f>
        <v>-7390</v>
      </c>
      <c r="R12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11.562064017432874</v>
      </c>
      <c r="S1265" s="103">
        <f t="shared" si="19"/>
        <v>14.224</v>
      </c>
      <c r="T1265" s="102">
        <f>IF(LS[[#This Row],[B/S]]="B",0,ABS(LS[[#This Row],[Unit]])*(LS[[#This Row],[NAV (Strike Rate)]]-INDEX(LS[NAV at Cost (Average)],MATCH(CONCATENATE(LS[[#This Row],[Frequency]]-1,LS[[#This Row],[Investor ID]]),LS[Unique Code],0),)))</f>
        <v>3858.1732565842703</v>
      </c>
      <c r="U1265" s="102" cm="1">
        <f t="array" ref="U1265">IF(LS[[#This Row],[B/S]]="S",ABS(LS[[#This Row],[Unit]])*(INDEX(LS[NAV at Cost (Average)],MATCH(CONCATENATE((LS[[#This Row],[Frequency]]-1),LS[[#This Row],[Investor ID]]),LS[Unique Code],0),0)),0)</f>
        <v>26141.826743415728</v>
      </c>
      <c r="V1265" s="102">
        <f>IF(LS[[#This Row],[BO TRANSFER]]="YES",LS[[#This Row],[Unit]],)</f>
        <v>0</v>
      </c>
      <c r="W1265" s="102">
        <f>SUMIFS(LS[[#Headers],[BO UNIT TRANSFER]]:LS[[#This Row],[BO UNIT TRANSFER]],LS[[#Headers],[Investor ID]]:LS[[#This Row],[Investor ID]],LS[[#This Row],[Investor ID]])</f>
        <v>0</v>
      </c>
    </row>
    <row r="1266" spans="1:23">
      <c r="A1266" s="101">
        <v>2025</v>
      </c>
      <c r="B1266" s="101">
        <v>9</v>
      </c>
      <c r="C1266" s="101">
        <v>18</v>
      </c>
      <c r="D1266" s="98">
        <f>DATE(LS[[#This Row],[Year]],LS[[#This Row],[Month]],LS[[#This Row],[Day]])</f>
        <v>45918</v>
      </c>
      <c r="E1266" s="99" t="str" cm="1">
        <f t="array" ref="E1266">INDEX(INVESTORS_LIST[INVESTOR NAME],MATCH(LS[[#This Row],[Investor ID]],INVESTORS_LIST[INVESTOR CODE],0),)</f>
        <v>MONOARA ALAM</v>
      </c>
      <c r="F1266" s="100" t="s">
        <v>1302</v>
      </c>
      <c r="G1266" s="101">
        <f>COUNTIF(LS[[#Headers],[Investor ID]]:LS[[#This Row],[Investor ID]],LS[[#This Row],[Investor ID]])</f>
        <v>7</v>
      </c>
      <c r="H1266" s="101" t="str">
        <f>CONCATENATE(LS[[#This Row],[Frequency]],LS[[#This Row],[Investor ID]])</f>
        <v>7A00598</v>
      </c>
      <c r="I1266" s="75" t="str">
        <f>IF(LS[[#This Row],[B/S]]="B","BUY",(IF(LS[[#This Row],[B/S]]="S","SELL"," ")))</f>
        <v>SELL</v>
      </c>
      <c r="J1266" s="101" t="s">
        <v>1231</v>
      </c>
      <c r="K1266" s="102">
        <v>-13667.33</v>
      </c>
      <c r="L1266" s="99"/>
      <c r="M1266" s="103">
        <f>LS[[#This Row],[Amount]]/LS[[#This Row],[Unit]]</f>
        <v>13.269252427184465</v>
      </c>
      <c r="N1266" s="104">
        <f>LS[[#This Row],[Unit Capital]]/10</f>
        <v>-1030</v>
      </c>
      <c r="O1266" s="104">
        <f>SUMIFS(LS[[#Headers],[Unit]]:LS[[#This Row],[Unit]],LS[[#Headers],[Investor ID]]:LS[[#This Row],[Investor ID]],LS[[#This Row],[Investor ID]])</f>
        <v>37676</v>
      </c>
      <c r="P1266" s="102">
        <v>-10300</v>
      </c>
      <c r="Q1266" s="102">
        <f>LS[[#This Row],[Amount]]-LS[[#This Row],[Unit Capital]]</f>
        <v>-3367.33</v>
      </c>
      <c r="R12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11.778008103269576</v>
      </c>
      <c r="S1266" s="103">
        <f t="shared" si="19"/>
        <v>14.224</v>
      </c>
      <c r="T1266" s="102">
        <f>IF(LS[[#This Row],[B/S]]="B",0,ABS(LS[[#This Row],[Unit]])*(LS[[#This Row],[NAV (Strike Rate)]]-INDEX(LS[NAV at Cost (Average)],MATCH(CONCATENATE(LS[[#This Row],[Frequency]]-1,LS[[#This Row],[Investor ID]]),LS[Unique Code],0),)))</f>
        <v>1535.9816536323362</v>
      </c>
      <c r="U1266" s="102" cm="1">
        <f t="array" ref="U1266">IF(LS[[#This Row],[B/S]]="S",ABS(LS[[#This Row],[Unit]])*(INDEX(LS[NAV at Cost (Average)],MATCH(CONCATENATE((LS[[#This Row],[Frequency]]-1),LS[[#This Row],[Investor ID]]),LS[Unique Code],0),0)),0)</f>
        <v>12131.348346367664</v>
      </c>
      <c r="V1266" s="102">
        <f>IF(LS[[#This Row],[BO TRANSFER]]="YES",LS[[#This Row],[Unit]],)</f>
        <v>0</v>
      </c>
      <c r="W1266" s="102">
        <f>SUMIFS(LS[[#Headers],[BO UNIT TRANSFER]]:LS[[#This Row],[BO UNIT TRANSFER]],LS[[#Headers],[Investor ID]]:LS[[#This Row],[Investor ID]],LS[[#This Row],[Investor ID]])</f>
        <v>0</v>
      </c>
    </row>
    <row r="1267" spans="1:23">
      <c r="A1267" s="101">
        <v>2025</v>
      </c>
      <c r="B1267" s="101">
        <v>9</v>
      </c>
      <c r="C1267" s="101">
        <v>21</v>
      </c>
      <c r="D1267" s="248">
        <f>DATE(LS[[#This Row],[Year]],LS[[#This Row],[Month]],LS[[#This Row],[Day]])</f>
        <v>45921</v>
      </c>
      <c r="E1267" s="249" t="str" cm="1">
        <f t="array" ref="E1267">INDEX(INVESTORS_LIST[INVESTOR NAME],MATCH(LS[[#This Row],[Investor ID]],INVESTORS_LIST[INVESTOR CODE],0),)</f>
        <v>FINEDGE IT</v>
      </c>
      <c r="F1267" s="250" t="s">
        <v>1442</v>
      </c>
      <c r="G1267" s="247">
        <f>COUNTIF(LS[[#Headers],[Investor ID]]:LS[[#This Row],[Investor ID]],LS[[#This Row],[Investor ID]])</f>
        <v>1</v>
      </c>
      <c r="H1267" s="247" t="str">
        <f>CONCATENATE(LS[[#This Row],[Frequency]],LS[[#This Row],[Investor ID]])</f>
        <v>1A00664</v>
      </c>
      <c r="I1267" s="75" t="str">
        <f>IF(LS[[#This Row],[B/S]]="B","BUY",(IF(LS[[#This Row],[B/S]]="S","SELL"," ")))</f>
        <v>BUY</v>
      </c>
      <c r="J1267" s="247" t="s">
        <v>1229</v>
      </c>
      <c r="K1267" s="251">
        <v>400000</v>
      </c>
      <c r="L1267" s="249"/>
      <c r="M1267" s="252">
        <f>LS[[#This Row],[Amount]]/LS[[#This Row],[Unit]]</f>
        <v>13.270959822169138</v>
      </c>
      <c r="N1267" s="253">
        <f>LS[[#This Row],[Unit Capital]]/10</f>
        <v>30141</v>
      </c>
      <c r="O1267" s="253">
        <f>SUMIFS(LS[[#Headers],[Unit]]:LS[[#This Row],[Unit]],LS[[#Headers],[Investor ID]]:LS[[#This Row],[Investor ID]],LS[[#This Row],[Investor ID]])</f>
        <v>30141</v>
      </c>
      <c r="P1267" s="251">
        <v>301410</v>
      </c>
      <c r="Q1267" s="251">
        <f>LS[[#This Row],[Amount]]-LS[[#This Row],[Unit Capital]]</f>
        <v>98590</v>
      </c>
      <c r="R1267" s="25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13.270959822169138</v>
      </c>
      <c r="S1267" s="252">
        <f t="shared" si="19"/>
        <v>14.224</v>
      </c>
      <c r="T1267" s="251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67" s="251" cm="1">
        <f t="array" ref="U1267">IF(LS[[#This Row],[B/S]]="S",ABS(LS[[#This Row],[Unit]])*(INDEX(LS[NAV at Cost (Average)],MATCH(CONCATENATE((LS[[#This Row],[Frequency]]-1),LS[[#This Row],[Investor ID]]),LS[Unique Code],0),0)),0)</f>
        <v>0</v>
      </c>
      <c r="V1267" s="251">
        <f>IF(LS[[#This Row],[BO TRANSFER]]="YES",LS[[#This Row],[Unit]],)</f>
        <v>0</v>
      </c>
      <c r="W1267" s="251">
        <f>SUMIFS(LS[[#Headers],[BO UNIT TRANSFER]]:LS[[#This Row],[BO UNIT TRANSFER]],LS[[#Headers],[Investor ID]]:LS[[#This Row],[Investor ID]],LS[[#This Row],[Investor ID]])</f>
        <v>0</v>
      </c>
    </row>
    <row r="1268" spans="1:23">
      <c r="A1268" s="101">
        <v>2025</v>
      </c>
      <c r="B1268" s="101">
        <v>9</v>
      </c>
      <c r="C1268" s="101">
        <v>22</v>
      </c>
      <c r="D1268" s="98">
        <f>DATE(LS[[#This Row],[Year]],LS[[#This Row],[Month]],LS[[#This Row],[Day]])</f>
        <v>45922</v>
      </c>
      <c r="E1268" t="str" cm="1">
        <f t="array" ref="E1268">INDEX(INVESTORS_LIST[INVESTOR NAME],MATCH(LS[[#This Row],[Investor ID]],INVESTORS_LIST[INVESTOR CODE],0),)</f>
        <v>EKUSH WEALTH MANAGEMENT LIMITED</v>
      </c>
      <c r="F1268" s="100" t="s">
        <v>47</v>
      </c>
      <c r="G1268" s="101">
        <f>COUNTIF(LS[[#Headers],[Investor ID]]:LS[[#This Row],[Investor ID]],LS[[#This Row],[Investor ID]])</f>
        <v>39</v>
      </c>
      <c r="H1268" s="101" t="str">
        <f>CONCATENATE(LS[[#This Row],[Frequency]],LS[[#This Row],[Investor ID]])</f>
        <v>39A00003</v>
      </c>
      <c r="I1268" s="75" t="str">
        <f>IF(LS[[#This Row],[B/S]]="B","BUY",(IF(LS[[#This Row],[B/S]]="S","SELL"," ")))</f>
        <v>SELL</v>
      </c>
      <c r="J1268" s="101" t="s">
        <v>1231</v>
      </c>
      <c r="K1268" s="102">
        <v>-400000</v>
      </c>
      <c r="L1268" s="99"/>
      <c r="M1268" s="103">
        <f>LS[[#This Row],[Amount]]/LS[[#This Row],[Unit]]</f>
        <v>13.442215277077663</v>
      </c>
      <c r="N1268" s="104">
        <f>LS[[#This Row],[Unit Capital]]/10</f>
        <v>-29757</v>
      </c>
      <c r="O1268" s="104">
        <f>SUMIFS(LS[[#Headers],[Unit]]:LS[[#This Row],[Unit]],LS[[#Headers],[Investor ID]]:LS[[#This Row],[Investor ID]],LS[[#This Row],[Investor ID]])</f>
        <v>307171</v>
      </c>
      <c r="P1268" s="102">
        <v>-297570</v>
      </c>
      <c r="Q1268" s="102">
        <f>LS[[#This Row],[Amount]]-LS[[#This Row],[Unit Capital]]</f>
        <v>-102430</v>
      </c>
      <c r="R12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68" s="103">
        <f t="shared" si="19"/>
        <v>14.224</v>
      </c>
      <c r="T1268" s="102">
        <f>IF(LS[[#This Row],[B/S]]="B",0,ABS(LS[[#This Row],[Unit]])*(LS[[#This Row],[NAV (Strike Rate)]]-INDEX(LS[NAV at Cost (Average)],MATCH(CONCATENATE(LS[[#This Row],[Frequency]]-1,LS[[#This Row],[Investor ID]]),LS[Unique Code],0),)))</f>
        <v>41103.556943715274</v>
      </c>
      <c r="U1268" s="102" cm="1">
        <f t="array" ref="U1268">IF(LS[[#This Row],[B/S]]="S",ABS(LS[[#This Row],[Unit]])*(INDEX(LS[NAV at Cost (Average)],MATCH(CONCATENATE((LS[[#This Row],[Frequency]]-1),LS[[#This Row],[Investor ID]]),LS[Unique Code],0),0)),0)</f>
        <v>358896.44305628474</v>
      </c>
      <c r="V1268" s="102">
        <f>IF(LS[[#This Row],[BO TRANSFER]]="YES",LS[[#This Row],[Unit]],)</f>
        <v>0</v>
      </c>
      <c r="W1268" s="102">
        <f>SUMIFS(LS[[#Headers],[BO UNIT TRANSFER]]:LS[[#This Row],[BO UNIT TRANSFER]],LS[[#Headers],[Investor ID]]:LS[[#This Row],[Investor ID]],LS[[#This Row],[Investor ID]])</f>
        <v>0</v>
      </c>
    </row>
    <row r="1269" spans="1:23">
      <c r="A1269" s="101">
        <v>2025</v>
      </c>
      <c r="B1269" s="101">
        <v>9</v>
      </c>
      <c r="C1269" s="101">
        <v>23</v>
      </c>
      <c r="D1269" s="98">
        <f>DATE(LS[[#This Row],[Year]],LS[[#This Row],[Month]],LS[[#This Row],[Day]])</f>
        <v>45923</v>
      </c>
      <c r="E1269" s="99" t="str" cm="1">
        <f t="array" ref="E1269">INDEX(INVESTORS_LIST[INVESTOR NAME],MATCH(LS[[#This Row],[Investor ID]],INVESTORS_LIST[INVESTOR CODE],0),)</f>
        <v>SYED ADNAN HUDA</v>
      </c>
      <c r="F1269" s="100" t="s">
        <v>236</v>
      </c>
      <c r="G1269" s="101">
        <f>COUNTIF(LS[[#Headers],[Investor ID]]:LS[[#This Row],[Investor ID]],LS[[#This Row],[Investor ID]])</f>
        <v>5</v>
      </c>
      <c r="H1269" s="101" t="str">
        <f>CONCATENATE(LS[[#This Row],[Frequency]],LS[[#This Row],[Investor ID]])</f>
        <v>5A00094</v>
      </c>
      <c r="I1269" s="75" t="str">
        <f>IF(LS[[#This Row],[B/S]]="B","BUY",(IF(LS[[#This Row],[B/S]]="S","SELL"," ")))</f>
        <v>SELL</v>
      </c>
      <c r="J1269" s="101" t="s">
        <v>1231</v>
      </c>
      <c r="K1269" s="102">
        <v>-1824025.632</v>
      </c>
      <c r="L1269" s="99"/>
      <c r="M1269" s="103">
        <f>LS[[#This Row],[Amount]]/LS[[#This Row],[Unit]]</f>
        <v>13.442</v>
      </c>
      <c r="N1269" s="104">
        <f>LS[[#This Row],[Unit Capital]]/10</f>
        <v>-135696</v>
      </c>
      <c r="O1269" s="104">
        <f>SUMIFS(LS[[#Headers],[Unit]]:LS[[#This Row],[Unit]],LS[[#Headers],[Investor ID]]:LS[[#This Row],[Investor ID]],LS[[#This Row],[Investor ID]])</f>
        <v>0</v>
      </c>
      <c r="P1269" s="102">
        <v>-1356960</v>
      </c>
      <c r="Q1269" s="102">
        <f>LS[[#This Row],[Amount]]-LS[[#This Row],[Unit Capital]]</f>
        <v>-467065.63199999998</v>
      </c>
      <c r="R12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69" s="103">
        <f t="shared" si="19"/>
        <v>14.224</v>
      </c>
      <c r="T1269" s="102">
        <f>IF(LS[[#This Row],[B/S]]="B",0,ABS(LS[[#This Row],[Unit]])*(LS[[#This Row],[NAV (Strike Rate)]]-INDEX(LS[NAV at Cost (Average)],MATCH(CONCATENATE(LS[[#This Row],[Frequency]]-1,LS[[#This Row],[Investor ID]]),LS[Unique Code],0),)))</f>
        <v>324025.63200000004</v>
      </c>
      <c r="U1269" s="102" cm="1">
        <f t="array" ref="U1269">IF(LS[[#This Row],[B/S]]="S",ABS(LS[[#This Row],[Unit]])*(INDEX(LS[NAV at Cost (Average)],MATCH(CONCATENATE((LS[[#This Row],[Frequency]]-1),LS[[#This Row],[Investor ID]]),LS[Unique Code],0),0)),0)</f>
        <v>1500000</v>
      </c>
      <c r="V1269" s="102">
        <f>IF(LS[[#This Row],[BO TRANSFER]]="YES",LS[[#This Row],[Unit]],)</f>
        <v>0</v>
      </c>
      <c r="W1269" s="102">
        <f>SUMIFS(LS[[#Headers],[BO UNIT TRANSFER]]:LS[[#This Row],[BO UNIT TRANSFER]],LS[[#Headers],[Investor ID]]:LS[[#This Row],[Investor ID]],LS[[#This Row],[Investor ID]])</f>
        <v>0</v>
      </c>
    </row>
    <row r="1270" spans="1:23">
      <c r="A1270" s="101">
        <v>2025</v>
      </c>
      <c r="B1270" s="101">
        <v>9</v>
      </c>
      <c r="C1270" s="101">
        <v>24</v>
      </c>
      <c r="D1270" s="98">
        <f>DATE(LS[[#This Row],[Year]],LS[[#This Row],[Month]],LS[[#This Row],[Day]])</f>
        <v>45924</v>
      </c>
      <c r="E1270" s="99" t="str" cm="1">
        <f t="array" ref="E1270">INDEX(INVESTORS_LIST[INVESTOR NAME],MATCH(LS[[#This Row],[Investor ID]],INVESTORS_LIST[INVESTOR CODE],0),)</f>
        <v>LANKABANGLA INVESTMENTS LIMITED</v>
      </c>
      <c r="F1270" s="100" t="s">
        <v>1275</v>
      </c>
      <c r="G1270" s="101">
        <f>COUNTIF(LS[[#Headers],[Investor ID]]:LS[[#This Row],[Investor ID]],LS[[#This Row],[Investor ID]])</f>
        <v>3</v>
      </c>
      <c r="H1270" s="101" t="str">
        <f>CONCATENATE(LS[[#This Row],[Frequency]],LS[[#This Row],[Investor ID]])</f>
        <v>3A00586</v>
      </c>
      <c r="I1270" s="75" t="str">
        <f>IF(LS[[#This Row],[B/S]]="B","BUY",(IF(LS[[#This Row],[B/S]]="S","SELL"," ")))</f>
        <v>BUY</v>
      </c>
      <c r="J1270" s="247" t="s">
        <v>1229</v>
      </c>
      <c r="K1270" s="102">
        <v>998740.6</v>
      </c>
      <c r="L1270" s="99"/>
      <c r="M1270" s="103">
        <f>LS[[#This Row],[Amount]]/LS[[#This Row],[Unit]]</f>
        <v>13.442</v>
      </c>
      <c r="N1270" s="104">
        <f>LS[[#This Row],[Unit Capital]]/10</f>
        <v>74300</v>
      </c>
      <c r="O1270" s="104">
        <f>SUMIFS(LS[[#Headers],[Unit]]:LS[[#This Row],[Unit]],LS[[#Headers],[Investor ID]]:LS[[#This Row],[Investor ID]],LS[[#This Row],[Investor ID]])</f>
        <v>1970861</v>
      </c>
      <c r="P1270" s="102">
        <v>743000</v>
      </c>
      <c r="Q1270" s="102">
        <f>LS[[#This Row],[Amount]]-LS[[#This Row],[Unit Capital]]</f>
        <v>255740.59999999998</v>
      </c>
      <c r="R12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12.168580432612954</v>
      </c>
      <c r="S1270" s="103">
        <f t="shared" ref="S1270:S1282" si="20">IFERROR(NAV_MKT,0)</f>
        <v>14.224</v>
      </c>
      <c r="T127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0" s="102" cm="1">
        <f t="array" ref="U1270">IF(LS[[#This Row],[B/S]]="S",ABS(LS[[#This Row],[Unit]])*(INDEX(LS[NAV at Cost (Average)],MATCH(CONCATENATE((LS[[#This Row],[Frequency]]-1),LS[[#This Row],[Investor ID]]),LS[Unique Code],0),0)),0)</f>
        <v>0</v>
      </c>
      <c r="V1270" s="102">
        <f>IF(LS[[#This Row],[BO TRANSFER]]="YES",LS[[#This Row],[Unit]],)</f>
        <v>0</v>
      </c>
      <c r="W1270" s="102">
        <f>SUMIFS(LS[[#Headers],[BO UNIT TRANSFER]]:LS[[#This Row],[BO UNIT TRANSFER]],LS[[#Headers],[Investor ID]]:LS[[#This Row],[Investor ID]],LS[[#This Row],[Investor ID]])</f>
        <v>0</v>
      </c>
    </row>
    <row r="1271" spans="1:23">
      <c r="A1271" s="101">
        <v>2025</v>
      </c>
      <c r="B1271" s="101">
        <v>9</v>
      </c>
      <c r="C1271" s="101">
        <v>25</v>
      </c>
      <c r="D1271" s="98">
        <f>DATE(LS[[#This Row],[Year]],LS[[#This Row],[Month]],LS[[#This Row],[Day]])</f>
        <v>45925</v>
      </c>
      <c r="E1271" t="str" cm="1">
        <f t="array" ref="E1271">INDEX(INVESTORS_LIST[INVESTOR NAME],MATCH(LS[[#This Row],[Investor ID]],INVESTORS_LIST[INVESTOR CODE],0),)</f>
        <v>EKUSH WEALTH MANAGEMENT LIMITED</v>
      </c>
      <c r="F1271" s="100" t="s">
        <v>47</v>
      </c>
      <c r="G1271" s="101">
        <f>COUNTIF(LS[[#Headers],[Investor ID]]:LS[[#This Row],[Investor ID]],LS[[#This Row],[Investor ID]])</f>
        <v>40</v>
      </c>
      <c r="H1271" s="101" t="str">
        <f>CONCATENATE(LS[[#This Row],[Frequency]],LS[[#This Row],[Investor ID]])</f>
        <v>40A00003</v>
      </c>
      <c r="I1271" s="75" t="str">
        <f>IF(LS[[#This Row],[B/S]]="B","BUY",(IF(LS[[#This Row],[B/S]]="S","SELL"," ")))</f>
        <v>SELL</v>
      </c>
      <c r="J1271" s="101" t="s">
        <v>1231</v>
      </c>
      <c r="K1271" s="102">
        <v>-600000</v>
      </c>
      <c r="L1271" s="99"/>
      <c r="M1271" s="103">
        <f>LS[[#This Row],[Amount]]/LS[[#This Row],[Unit]]</f>
        <v>13.442064701138095</v>
      </c>
      <c r="N1271" s="104">
        <f>LS[[#This Row],[Unit Capital]]/10</f>
        <v>-44636</v>
      </c>
      <c r="O1271" s="104">
        <f>SUMIFS(LS[[#Headers],[Unit]]:LS[[#This Row],[Unit]],LS[[#Headers],[Investor ID]]:LS[[#This Row],[Investor ID]],LS[[#This Row],[Investor ID]])</f>
        <v>262535</v>
      </c>
      <c r="P1271" s="102">
        <v>-446360</v>
      </c>
      <c r="Q1271" s="102">
        <f>LS[[#This Row],[Amount]]-LS[[#This Row],[Unit Capital]]</f>
        <v>-153640</v>
      </c>
      <c r="R12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71" s="103">
        <f t="shared" si="20"/>
        <v>14.224</v>
      </c>
      <c r="T1271" s="102">
        <f>IF(LS[[#This Row],[B/S]]="B",0,ABS(LS[[#This Row],[Unit]])*(LS[[#This Row],[NAV (Strike Rate)]]-INDEX(LS[NAV at Cost (Average)],MATCH(CONCATENATE(LS[[#This Row],[Frequency]]-1,LS[[#This Row],[Investor ID]]),LS[Unique Code],0),)))</f>
        <v>61649.30496151073</v>
      </c>
      <c r="U1271" s="102" cm="1">
        <f t="array" ref="U1271">IF(LS[[#This Row],[B/S]]="S",ABS(LS[[#This Row],[Unit]])*(INDEX(LS[NAV at Cost (Average)],MATCH(CONCATENATE((LS[[#This Row],[Frequency]]-1),LS[[#This Row],[Investor ID]]),LS[Unique Code],0),0)),0)</f>
        <v>538350.6950384893</v>
      </c>
      <c r="V1271" s="102">
        <f>IF(LS[[#This Row],[BO TRANSFER]]="YES",LS[[#This Row],[Unit]],)</f>
        <v>0</v>
      </c>
      <c r="W1271" s="102">
        <f>SUMIFS(LS[[#Headers],[BO UNIT TRANSFER]]:LS[[#This Row],[BO UNIT TRANSFER]],LS[[#Headers],[Investor ID]]:LS[[#This Row],[Investor ID]],LS[[#This Row],[Investor ID]])</f>
        <v>0</v>
      </c>
    </row>
    <row r="1272" spans="1:23">
      <c r="A1272" s="101">
        <v>2025</v>
      </c>
      <c r="B1272" s="101">
        <v>9</v>
      </c>
      <c r="C1272" s="101">
        <v>25</v>
      </c>
      <c r="D1272" s="98">
        <f>DATE(LS[[#This Row],[Year]],LS[[#This Row],[Month]],LS[[#This Row],[Day]])</f>
        <v>45925</v>
      </c>
      <c r="E1272" s="99" t="str" cm="1">
        <f t="array" ref="E1272">INDEX(INVESTORS_LIST[INVESTOR NAME],MATCH(LS[[#This Row],[Investor ID]],INVESTORS_LIST[INVESTOR CODE],0),)</f>
        <v>MADHAB GHOSH</v>
      </c>
      <c r="F1272" s="100" t="s">
        <v>982</v>
      </c>
      <c r="G1272" s="101">
        <f>COUNTIF(LS[[#Headers],[Investor ID]]:LS[[#This Row],[Investor ID]],LS[[#This Row],[Investor ID]])</f>
        <v>10</v>
      </c>
      <c r="H1272" s="101" t="str">
        <f>CONCATENATE(LS[[#This Row],[Frequency]],LS[[#This Row],[Investor ID]])</f>
        <v>10A00468</v>
      </c>
      <c r="I1272" s="75" t="str">
        <f>IF(LS[[#This Row],[B/S]]="B","BUY",(IF(LS[[#This Row],[B/S]]="S","SELL"," ")))</f>
        <v>BUY</v>
      </c>
      <c r="J1272" s="247" t="s">
        <v>1229</v>
      </c>
      <c r="K1272" s="102">
        <v>100000</v>
      </c>
      <c r="L1272" s="99"/>
      <c r="M1272" s="103">
        <f>LS[[#This Row],[Amount]]/LS[[#This Row],[Unit]]</f>
        <v>13.442667025137787</v>
      </c>
      <c r="N1272" s="104">
        <f>LS[[#This Row],[Unit Capital]]/10</f>
        <v>7439</v>
      </c>
      <c r="O1272" s="104">
        <f>SUMIFS(LS[[#Headers],[Unit]]:LS[[#This Row],[Unit]],LS[[#Headers],[Investor ID]]:LS[[#This Row],[Investor ID]],LS[[#This Row],[Investor ID]])</f>
        <v>7439</v>
      </c>
      <c r="P1272" s="102">
        <v>74390</v>
      </c>
      <c r="Q1272" s="102">
        <f>LS[[#This Row],[Amount]]-LS[[#This Row],[Unit Capital]]</f>
        <v>25610</v>
      </c>
      <c r="R12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13.442667025137787</v>
      </c>
      <c r="S1272" s="103">
        <f t="shared" si="20"/>
        <v>14.224</v>
      </c>
      <c r="T127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2" s="102" cm="1">
        <f t="array" ref="U1272">IF(LS[[#This Row],[B/S]]="S",ABS(LS[[#This Row],[Unit]])*(INDEX(LS[NAV at Cost (Average)],MATCH(CONCATENATE((LS[[#This Row],[Frequency]]-1),LS[[#This Row],[Investor ID]]),LS[Unique Code],0),0)),0)</f>
        <v>0</v>
      </c>
      <c r="V1272" s="102">
        <f>IF(LS[[#This Row],[BO TRANSFER]]="YES",LS[[#This Row],[Unit]],)</f>
        <v>0</v>
      </c>
      <c r="W1272" s="102">
        <f>SUMIFS(LS[[#Headers],[BO UNIT TRANSFER]]:LS[[#This Row],[BO UNIT TRANSFER]],LS[[#Headers],[Investor ID]]:LS[[#This Row],[Investor ID]],LS[[#This Row],[Investor ID]])</f>
        <v>0</v>
      </c>
    </row>
    <row r="1273" spans="1:23">
      <c r="A1273" s="101">
        <v>2025</v>
      </c>
      <c r="B1273" s="101">
        <v>9</v>
      </c>
      <c r="C1273" s="101">
        <v>25</v>
      </c>
      <c r="D1273" s="98">
        <f>DATE(LS[[#This Row],[Year]],LS[[#This Row],[Month]],LS[[#This Row],[Day]])</f>
        <v>45925</v>
      </c>
      <c r="E1273" s="99" t="str" cm="1">
        <f t="array" ref="E1273">INDEX(INVESTORS_LIST[INVESTOR NAME],MATCH(LS[[#This Row],[Investor ID]],INVESTORS_LIST[INVESTOR CODE],0),)</f>
        <v>SRIJON GHOSH</v>
      </c>
      <c r="F1273" s="100" t="s">
        <v>894</v>
      </c>
      <c r="G1273" s="101">
        <f>COUNTIF(LS[[#Headers],[Investor ID]]:LS[[#This Row],[Investor ID]],LS[[#This Row],[Investor ID]])</f>
        <v>7</v>
      </c>
      <c r="H1273" s="101" t="str">
        <f>CONCATENATE(LS[[#This Row],[Frequency]],LS[[#This Row],[Investor ID]])</f>
        <v>7A00424</v>
      </c>
      <c r="I1273" s="75" t="str">
        <f>IF(LS[[#This Row],[B/S]]="B","BUY",(IF(LS[[#This Row],[B/S]]="S","SELL"," ")))</f>
        <v>BUY</v>
      </c>
      <c r="J1273" s="247" t="s">
        <v>1229</v>
      </c>
      <c r="K1273" s="102">
        <v>105000</v>
      </c>
      <c r="L1273" s="99"/>
      <c r="M1273" s="103">
        <f>LS[[#This Row],[Amount]]/LS[[#This Row],[Unit]]</f>
        <v>13.442580975547305</v>
      </c>
      <c r="N1273" s="104">
        <f>LS[[#This Row],[Unit Capital]]/10</f>
        <v>7811</v>
      </c>
      <c r="O1273" s="104">
        <f>SUMIFS(LS[[#Headers],[Unit]]:LS[[#This Row],[Unit]],LS[[#Headers],[Investor ID]]:LS[[#This Row],[Investor ID]],LS[[#This Row],[Investor ID]])</f>
        <v>7850</v>
      </c>
      <c r="P1273" s="102">
        <v>78110</v>
      </c>
      <c r="Q1273" s="102">
        <f>LS[[#This Row],[Amount]]-LS[[#This Row],[Unit Capital]]</f>
        <v>26890</v>
      </c>
      <c r="R12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13.433248407643312</v>
      </c>
      <c r="S1273" s="103">
        <f t="shared" si="20"/>
        <v>14.224</v>
      </c>
      <c r="T127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3" s="102" cm="1">
        <f t="array" ref="U1273">IF(LS[[#This Row],[B/S]]="S",ABS(LS[[#This Row],[Unit]])*(INDEX(LS[NAV at Cost (Average)],MATCH(CONCATENATE((LS[[#This Row],[Frequency]]-1),LS[[#This Row],[Investor ID]]),LS[Unique Code],0),0)),0)</f>
        <v>0</v>
      </c>
      <c r="V1273" s="102">
        <f>IF(LS[[#This Row],[BO TRANSFER]]="YES",LS[[#This Row],[Unit]],)</f>
        <v>0</v>
      </c>
      <c r="W1273" s="102">
        <f>SUMIFS(LS[[#Headers],[BO UNIT TRANSFER]]:LS[[#This Row],[BO UNIT TRANSFER]],LS[[#Headers],[Investor ID]]:LS[[#This Row],[Investor ID]],LS[[#This Row],[Investor ID]])</f>
        <v>0</v>
      </c>
    </row>
    <row r="1274" spans="1:23">
      <c r="A1274" s="101">
        <v>2025</v>
      </c>
      <c r="B1274" s="101">
        <v>9</v>
      </c>
      <c r="C1274" s="101">
        <v>25</v>
      </c>
      <c r="D1274" s="98">
        <f>DATE(LS[[#This Row],[Year]],LS[[#This Row],[Month]],LS[[#This Row],[Day]])</f>
        <v>45925</v>
      </c>
      <c r="E1274" s="99" t="str" cm="1">
        <f t="array" ref="E1274">INDEX(INVESTORS_LIST[INVESTOR NAME],MATCH(LS[[#This Row],[Investor ID]],INVESTORS_LIST[INVESTOR CODE],0),)</f>
        <v>SRIJON GHOSH</v>
      </c>
      <c r="F1274" s="100" t="s">
        <v>894</v>
      </c>
      <c r="G1274" s="101">
        <f>COUNTIF(LS[[#Headers],[Investor ID]]:LS[[#This Row],[Investor ID]],LS[[#This Row],[Investor ID]])</f>
        <v>8</v>
      </c>
      <c r="H1274" s="101" t="str">
        <f>CONCATENATE(LS[[#This Row],[Frequency]],LS[[#This Row],[Investor ID]])</f>
        <v>8A00424</v>
      </c>
      <c r="I1274" s="75" t="str">
        <f>IF(LS[[#This Row],[B/S]]="B","BUY",(IF(LS[[#This Row],[B/S]]="S","SELL"," ")))</f>
        <v>BUY</v>
      </c>
      <c r="J1274" s="247" t="s">
        <v>1229</v>
      </c>
      <c r="K1274" s="102">
        <v>50000</v>
      </c>
      <c r="L1274" s="99"/>
      <c r="M1274" s="103">
        <f>LS[[#This Row],[Amount]]/LS[[#This Row],[Unit]]</f>
        <v>13.440860215053764</v>
      </c>
      <c r="N1274" s="104">
        <f>LS[[#This Row],[Unit Capital]]/10</f>
        <v>3720</v>
      </c>
      <c r="O1274" s="104">
        <f>SUMIFS(LS[[#Headers],[Unit]]:LS[[#This Row],[Unit]],LS[[#Headers],[Investor ID]]:LS[[#This Row],[Investor ID]],LS[[#This Row],[Investor ID]])</f>
        <v>11570</v>
      </c>
      <c r="P1274" s="102">
        <v>37200</v>
      </c>
      <c r="Q1274" s="102">
        <f>LS[[#This Row],[Amount]]-LS[[#This Row],[Unit Capital]]</f>
        <v>12800</v>
      </c>
      <c r="R12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13.43569576490925</v>
      </c>
      <c r="S1274" s="103">
        <f t="shared" si="20"/>
        <v>14.224</v>
      </c>
      <c r="T12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4" s="102" cm="1">
        <f t="array" ref="U1274">IF(LS[[#This Row],[B/S]]="S",ABS(LS[[#This Row],[Unit]])*(INDEX(LS[NAV at Cost (Average)],MATCH(CONCATENATE((LS[[#This Row],[Frequency]]-1),LS[[#This Row],[Investor ID]]),LS[Unique Code],0),0)),0)</f>
        <v>0</v>
      </c>
      <c r="V1274" s="102">
        <f>IF(LS[[#This Row],[BO TRANSFER]]="YES",LS[[#This Row],[Unit]],)</f>
        <v>0</v>
      </c>
      <c r="W1274" s="102">
        <f>SUMIFS(LS[[#Headers],[BO UNIT TRANSFER]]:LS[[#This Row],[BO UNIT TRANSFER]],LS[[#Headers],[Investor ID]]:LS[[#This Row],[Investor ID]],LS[[#This Row],[Investor ID]])</f>
        <v>0</v>
      </c>
    </row>
    <row r="1275" spans="1:23">
      <c r="A1275" s="101">
        <v>2025</v>
      </c>
      <c r="B1275" s="101">
        <v>9</v>
      </c>
      <c r="C1275" s="101">
        <v>28</v>
      </c>
      <c r="D1275" s="98">
        <f>DATE(LS[[#This Row],[Year]],LS[[#This Row],[Month]],LS[[#This Row],[Day]])</f>
        <v>45928</v>
      </c>
      <c r="E1275" s="99" t="str" cm="1">
        <f t="array" ref="E1275">INDEX(INVESTORS_LIST[INVESTOR NAME],MATCH(LS[[#This Row],[Investor ID]],INVESTORS_LIST[INVESTOR CODE],0),)</f>
        <v>MAHFUZUL ISLAM &amp; HUMAIRA TABASSUM READDHE</v>
      </c>
      <c r="F1275" s="100" t="s">
        <v>1315</v>
      </c>
      <c r="G1275" s="101">
        <f>COUNTIF(LS[[#Headers],[Investor ID]]:LS[[#This Row],[Investor ID]],LS[[#This Row],[Investor ID]])</f>
        <v>5</v>
      </c>
      <c r="H1275" s="101" t="str">
        <f>CONCATENATE(LS[[#This Row],[Frequency]],LS[[#This Row],[Investor ID]])</f>
        <v>5A00605</v>
      </c>
      <c r="I1275" s="75" t="str">
        <f>IF(LS[[#This Row],[B/S]]="B","BUY",(IF(LS[[#This Row],[B/S]]="S","SELL"," ")))</f>
        <v>SELL</v>
      </c>
      <c r="J1275" s="101" t="s">
        <v>1231</v>
      </c>
      <c r="K1275" s="102">
        <v>-49983.3</v>
      </c>
      <c r="L1275" s="99"/>
      <c r="M1275" s="103">
        <f>LS[[#This Row],[Amount]]/LS[[#This Row],[Unit]]</f>
        <v>13.509</v>
      </c>
      <c r="N1275" s="104">
        <f>LS[[#This Row],[Unit Capital]]/10</f>
        <v>-3700</v>
      </c>
      <c r="O1275" s="104">
        <f>SUMIFS(LS[[#Headers],[Unit]]:LS[[#This Row],[Unit]],LS[[#Headers],[Investor ID]]:LS[[#This Row],[Investor ID]],LS[[#This Row],[Investor ID]])</f>
        <v>2490</v>
      </c>
      <c r="P1275" s="102">
        <v>-37000</v>
      </c>
      <c r="Q1275" s="102">
        <f>LS[[#This Row],[Amount]]-LS[[#This Row],[Unit Capital]]</f>
        <v>-12983.300000000003</v>
      </c>
      <c r="R12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13.088045234248789</v>
      </c>
      <c r="S1275" s="103">
        <f t="shared" si="20"/>
        <v>14.224</v>
      </c>
      <c r="T1275" s="102">
        <f>IF(LS[[#This Row],[B/S]]="B",0,ABS(LS[[#This Row],[Unit]])*(LS[[#This Row],[NAV (Strike Rate)]]-INDEX(LS[NAV at Cost (Average)],MATCH(CONCATENATE(LS[[#This Row],[Frequency]]-1,LS[[#This Row],[Investor ID]]),LS[Unique Code],0),)))</f>
        <v>1557.5326332794837</v>
      </c>
      <c r="U1275" s="102" cm="1">
        <f t="array" ref="U1275">IF(LS[[#This Row],[B/S]]="S",ABS(LS[[#This Row],[Unit]])*(INDEX(LS[NAV at Cost (Average)],MATCH(CONCATENATE((LS[[#This Row],[Frequency]]-1),LS[[#This Row],[Investor ID]]),LS[Unique Code],0),0)),0)</f>
        <v>48425.767366720516</v>
      </c>
      <c r="V1275" s="102">
        <f>IF(LS[[#This Row],[BO TRANSFER]]="YES",LS[[#This Row],[Unit]],)</f>
        <v>0</v>
      </c>
      <c r="W1275" s="102">
        <f>SUMIFS(LS[[#Headers],[BO UNIT TRANSFER]]:LS[[#This Row],[BO UNIT TRANSFER]],LS[[#Headers],[Investor ID]]:LS[[#This Row],[Investor ID]],LS[[#This Row],[Investor ID]])</f>
        <v>0</v>
      </c>
    </row>
    <row r="1276" spans="1:23">
      <c r="A1276" s="101">
        <v>2025</v>
      </c>
      <c r="B1276" s="101">
        <v>9</v>
      </c>
      <c r="C1276" s="101">
        <v>28</v>
      </c>
      <c r="D1276" s="98">
        <f>DATE(LS[[#This Row],[Year]],LS[[#This Row],[Month]],LS[[#This Row],[Day]])</f>
        <v>45928</v>
      </c>
      <c r="E1276" s="99" t="str" cm="1">
        <f t="array" ref="E1276">INDEX(INVESTORS_LIST[INVESTOR NAME],MATCH(LS[[#This Row],[Investor ID]],INVESTORS_LIST[INVESTOR CODE],0),)</f>
        <v>SYED FAZLE RABBY</v>
      </c>
      <c r="F1276" s="100" t="s">
        <v>166</v>
      </c>
      <c r="G1276" s="101">
        <f>COUNTIF(LS[[#Headers],[Investor ID]]:LS[[#This Row],[Investor ID]],LS[[#This Row],[Investor ID]])</f>
        <v>49</v>
      </c>
      <c r="H1276" s="101" t="str">
        <f>CONCATENATE(LS[[#This Row],[Frequency]],LS[[#This Row],[Investor ID]])</f>
        <v>49A00059</v>
      </c>
      <c r="I1276" s="75" t="str">
        <f>IF(LS[[#This Row],[B/S]]="B","BUY",(IF(LS[[#This Row],[B/S]]="S","SELL"," ")))</f>
        <v>SELL</v>
      </c>
      <c r="J1276" s="101" t="s">
        <v>1231</v>
      </c>
      <c r="K1276" s="102">
        <v>-293118.28000000003</v>
      </c>
      <c r="L1276" s="99"/>
      <c r="M1276" s="103">
        <f>LS[[#This Row],[Amount]]/LS[[#This Row],[Unit]]</f>
        <v>13.508999907825608</v>
      </c>
      <c r="N1276" s="104">
        <f>LS[[#This Row],[Unit Capital]]/10</f>
        <v>-21698</v>
      </c>
      <c r="O1276" s="104">
        <f>SUMIFS(LS[[#Headers],[Unit]]:LS[[#This Row],[Unit]],LS[[#Headers],[Investor ID]]:LS[[#This Row],[Investor ID]],LS[[#This Row],[Investor ID]])</f>
        <v>555000</v>
      </c>
      <c r="P1276" s="102">
        <v>-216980</v>
      </c>
      <c r="Q1276" s="102">
        <f>LS[[#This Row],[Amount]]-LS[[#This Row],[Unit Capital]]</f>
        <v>-76138.280000000028</v>
      </c>
      <c r="R12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12.414287401598994</v>
      </c>
      <c r="S1276" s="103">
        <f t="shared" si="20"/>
        <v>14.224</v>
      </c>
      <c r="T1276" s="102">
        <f>IF(LS[[#This Row],[B/S]]="B",0,ABS(LS[[#This Row],[Unit]])*(LS[[#This Row],[NAV (Strike Rate)]]-INDEX(LS[NAV at Cost (Average)],MATCH(CONCATENATE(LS[[#This Row],[Frequency]]-1,LS[[#This Row],[Investor ID]]),LS[Unique Code],0),)))</f>
        <v>23753.071960105066</v>
      </c>
      <c r="U1276" s="102" cm="1">
        <f t="array" ref="U1276">IF(LS[[#This Row],[B/S]]="S",ABS(LS[[#This Row],[Unit]])*(INDEX(LS[NAV at Cost (Average)],MATCH(CONCATENATE((LS[[#This Row],[Frequency]]-1),LS[[#This Row],[Investor ID]]),LS[Unique Code],0),0)),0)</f>
        <v>269365.20803989499</v>
      </c>
      <c r="V1276" s="102">
        <f>IF(LS[[#This Row],[BO TRANSFER]]="YES",LS[[#This Row],[Unit]],)</f>
        <v>0</v>
      </c>
      <c r="W1276" s="102">
        <f>SUMIFS(LS[[#Headers],[BO UNIT TRANSFER]]:LS[[#This Row],[BO UNIT TRANSFER]],LS[[#Headers],[Investor ID]]:LS[[#This Row],[Investor ID]],LS[[#This Row],[Investor ID]])</f>
        <v>0</v>
      </c>
    </row>
    <row r="1277" spans="1:23">
      <c r="A1277" s="101">
        <v>2025</v>
      </c>
      <c r="B1277" s="101">
        <v>9</v>
      </c>
      <c r="C1277" s="101">
        <v>28</v>
      </c>
      <c r="D1277" s="98">
        <f>DATE(LS[[#This Row],[Year]],LS[[#This Row],[Month]],LS[[#This Row],[Day]])</f>
        <v>45928</v>
      </c>
      <c r="E1277" s="99" t="str" cm="1">
        <f t="array" ref="E1277">INDEX(INVESTORS_LIST[INVESTOR NAME],MATCH(LS[[#This Row],[Investor ID]],INVESTORS_LIST[INVESTOR CODE],0),)</f>
        <v>RAIHAN FERDOUS</v>
      </c>
      <c r="F1277" s="100" t="s">
        <v>1319</v>
      </c>
      <c r="G1277" s="101">
        <f>COUNTIF(LS[[#Headers],[Investor ID]]:LS[[#This Row],[Investor ID]],LS[[#This Row],[Investor ID]])</f>
        <v>3</v>
      </c>
      <c r="H1277" s="101" t="str">
        <f>CONCATENATE(LS[[#This Row],[Frequency]],LS[[#This Row],[Investor ID]])</f>
        <v>3A00606</v>
      </c>
      <c r="I1277" s="75" t="str">
        <f>IF(LS[[#This Row],[B/S]]="B","BUY",(IF(LS[[#This Row],[B/S]]="S","SELL"," ")))</f>
        <v>SELL</v>
      </c>
      <c r="J1277" s="101" t="s">
        <v>1231</v>
      </c>
      <c r="K1277" s="102">
        <v>-10000</v>
      </c>
      <c r="L1277" s="99"/>
      <c r="M1277" s="103">
        <f>LS[[#This Row],[Amount]]/LS[[#This Row],[Unit]]</f>
        <v>13.513513513513514</v>
      </c>
      <c r="N1277" s="104">
        <f>LS[[#This Row],[Unit Capital]]/10</f>
        <v>-740</v>
      </c>
      <c r="O1277" s="104">
        <f>SUMIFS(LS[[#Headers],[Unit]]:LS[[#This Row],[Unit]],LS[[#Headers],[Investor ID]]:LS[[#This Row],[Investor ID]],LS[[#This Row],[Investor ID]])</f>
        <v>22725</v>
      </c>
      <c r="P1277" s="102">
        <v>-7400</v>
      </c>
      <c r="Q1277" s="102">
        <f>LS[[#This Row],[Amount]]-LS[[#This Row],[Unit Capital]]</f>
        <v>-2600</v>
      </c>
      <c r="R12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12.373174956693887</v>
      </c>
      <c r="S1277" s="103">
        <f t="shared" si="20"/>
        <v>14.224</v>
      </c>
      <c r="T1277" s="102">
        <f>IF(LS[[#This Row],[B/S]]="B",0,ABS(LS[[#This Row],[Unit]])*(LS[[#This Row],[NAV (Strike Rate)]]-INDEX(LS[NAV at Cost (Average)],MATCH(CONCATENATE(LS[[#This Row],[Frequency]]-1,LS[[#This Row],[Investor ID]]),LS[Unique Code],0),)))</f>
        <v>843.85053204652377</v>
      </c>
      <c r="U1277" s="102" cm="1">
        <f t="array" ref="U1277">IF(LS[[#This Row],[B/S]]="S",ABS(LS[[#This Row],[Unit]])*(INDEX(LS[NAV at Cost (Average)],MATCH(CONCATENATE((LS[[#This Row],[Frequency]]-1),LS[[#This Row],[Investor ID]]),LS[Unique Code],0),0)),0)</f>
        <v>9156.1494679534771</v>
      </c>
      <c r="V1277" s="102">
        <f>IF(LS[[#This Row],[BO TRANSFER]]="YES",LS[[#This Row],[Unit]],)</f>
        <v>0</v>
      </c>
      <c r="W1277" s="102">
        <f>SUMIFS(LS[[#Headers],[BO UNIT TRANSFER]]:LS[[#This Row],[BO UNIT TRANSFER]],LS[[#Headers],[Investor ID]]:LS[[#This Row],[Investor ID]],LS[[#This Row],[Investor ID]])</f>
        <v>0</v>
      </c>
    </row>
    <row r="1278" spans="1:23">
      <c r="A1278" s="101">
        <v>2025</v>
      </c>
      <c r="B1278" s="101">
        <v>9</v>
      </c>
      <c r="C1278" s="101">
        <v>28</v>
      </c>
      <c r="D1278" s="98">
        <f>DATE(LS[[#This Row],[Year]],LS[[#This Row],[Month]],LS[[#This Row],[Day]])</f>
        <v>45928</v>
      </c>
      <c r="E1278" s="99" t="str" cm="1">
        <f t="array" ref="E1278">INDEX(INVESTORS_LIST[INVESTOR NAME],MATCH(LS[[#This Row],[Investor ID]],INVESTORS_LIST[INVESTOR CODE],0),)</f>
        <v>MD SHAFIQUR RAHMAN MONSI</v>
      </c>
      <c r="F1278" s="100" t="s">
        <v>1034</v>
      </c>
      <c r="G1278" s="101">
        <f>COUNTIF(LS[[#Headers],[Investor ID]]:LS[[#This Row],[Investor ID]],LS[[#This Row],[Investor ID]])</f>
        <v>18</v>
      </c>
      <c r="H1278" s="101" t="str">
        <f>CONCATENATE(LS[[#This Row],[Frequency]],LS[[#This Row],[Investor ID]])</f>
        <v>18A00494</v>
      </c>
      <c r="I1278" s="75" t="str">
        <f>IF(LS[[#This Row],[B/S]]="B","BUY",(IF(LS[[#This Row],[B/S]]="S","SELL"," ")))</f>
        <v>SELL</v>
      </c>
      <c r="J1278" s="101" t="s">
        <v>1231</v>
      </c>
      <c r="K1278" s="102">
        <v>-756747.16</v>
      </c>
      <c r="L1278" s="99"/>
      <c r="M1278" s="103">
        <f>LS[[#This Row],[Amount]]/LS[[#This Row],[Unit]]</f>
        <v>13.508999964297191</v>
      </c>
      <c r="N1278" s="104">
        <f>LS[[#This Row],[Unit Capital]]/10</f>
        <v>-56018</v>
      </c>
      <c r="O1278" s="104">
        <f>SUMIFS(LS[[#Headers],[Unit]]:LS[[#This Row],[Unit]],LS[[#Headers],[Investor ID]]:LS[[#This Row],[Investor ID]],LS[[#This Row],[Investor ID]])</f>
        <v>0</v>
      </c>
      <c r="P1278" s="102">
        <v>-560180</v>
      </c>
      <c r="Q1278" s="102">
        <f>LS[[#This Row],[Amount]]-LS[[#This Row],[Unit Capital]]</f>
        <v>-196567.16000000003</v>
      </c>
      <c r="R12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78" s="103">
        <f t="shared" si="20"/>
        <v>14.224</v>
      </c>
      <c r="T1278" s="102">
        <f>IF(LS[[#This Row],[B/S]]="B",0,ABS(LS[[#This Row],[Unit]])*(LS[[#This Row],[NAV (Strike Rate)]]-INDEX(LS[NAV at Cost (Average)],MATCH(CONCATENATE(LS[[#This Row],[Frequency]]-1,LS[[#This Row],[Investor ID]]),LS[Unique Code],0),)))</f>
        <v>56747.160000000033</v>
      </c>
      <c r="U1278" s="102" cm="1">
        <f t="array" ref="U1278">IF(LS[[#This Row],[B/S]]="S",ABS(LS[[#This Row],[Unit]])*(INDEX(LS[NAV at Cost (Average)],MATCH(CONCATENATE((LS[[#This Row],[Frequency]]-1),LS[[#This Row],[Investor ID]]),LS[Unique Code],0),0)),0)</f>
        <v>700000</v>
      </c>
      <c r="V1278" s="102">
        <f>IF(LS[[#This Row],[BO TRANSFER]]="YES",LS[[#This Row],[Unit]],)</f>
        <v>0</v>
      </c>
      <c r="W1278" s="102">
        <f>SUMIFS(LS[[#Headers],[BO UNIT TRANSFER]]:LS[[#This Row],[BO UNIT TRANSFER]],LS[[#Headers],[Investor ID]]:LS[[#This Row],[Investor ID]],LS[[#This Row],[Investor ID]])</f>
        <v>0</v>
      </c>
    </row>
    <row r="1279" spans="1:23">
      <c r="A1279" s="101">
        <v>2025</v>
      </c>
      <c r="B1279" s="101">
        <v>9</v>
      </c>
      <c r="C1279" s="101">
        <v>30</v>
      </c>
      <c r="D1279" s="98">
        <f>DATE(LS[[#This Row],[Year]],LS[[#This Row],[Month]],LS[[#This Row],[Day]])</f>
        <v>45930</v>
      </c>
      <c r="E1279" s="99" t="str" cm="1">
        <f t="array" ref="E1279">INDEX(INVESTORS_LIST[INVESTOR NAME],MATCH(LS[[#This Row],[Investor ID]],INVESTORS_LIST[INVESTOR CODE],0),)</f>
        <v>MD SHAFIQUR RAHMAN MONSI</v>
      </c>
      <c r="F1279" s="100" t="s">
        <v>1034</v>
      </c>
      <c r="G1279" s="101">
        <f>COUNTIF(LS[[#Headers],[Investor ID]]:LS[[#This Row],[Investor ID]],LS[[#This Row],[Investor ID]])</f>
        <v>19</v>
      </c>
      <c r="H1279" s="101" t="str">
        <f>CONCATENATE(LS[[#This Row],[Frequency]],LS[[#This Row],[Investor ID]])</f>
        <v>19A00494</v>
      </c>
      <c r="I1279" s="75" t="str">
        <f>IF(LS[[#This Row],[B/S]]="B","BUY",(IF(LS[[#This Row],[B/S]]="S","SELL"," ")))</f>
        <v>BUY</v>
      </c>
      <c r="J1279" s="247" t="s">
        <v>1229</v>
      </c>
      <c r="K1279" s="102">
        <v>300000</v>
      </c>
      <c r="L1279" s="99"/>
      <c r="M1279" s="103">
        <f>LS[[#This Row],[Amount]]/LS[[#This Row],[Unit]]</f>
        <v>13.509253838879632</v>
      </c>
      <c r="N1279" s="104">
        <f>LS[[#This Row],[Unit Capital]]/10</f>
        <v>22207</v>
      </c>
      <c r="O1279" s="104">
        <f>SUMIFS(LS[[#Headers],[Unit]]:LS[[#This Row],[Unit]],LS[[#Headers],[Investor ID]]:LS[[#This Row],[Investor ID]],LS[[#This Row],[Investor ID]])</f>
        <v>22207</v>
      </c>
      <c r="P1279" s="102">
        <v>222070</v>
      </c>
      <c r="Q1279" s="102">
        <f>LS[[#This Row],[Amount]]-LS[[#This Row],[Unit Capital]]</f>
        <v>77930</v>
      </c>
      <c r="R12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13.509253838879632</v>
      </c>
      <c r="S1279" s="103">
        <f t="shared" si="20"/>
        <v>14.224</v>
      </c>
      <c r="T127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79" s="102" cm="1">
        <f t="array" ref="U1279">IF(LS[[#This Row],[B/S]]="S",ABS(LS[[#This Row],[Unit]])*(INDEX(LS[NAV at Cost (Average)],MATCH(CONCATENATE((LS[[#This Row],[Frequency]]-1),LS[[#This Row],[Investor ID]]),LS[Unique Code],0),0)),0)</f>
        <v>0</v>
      </c>
      <c r="V1279" s="102">
        <f>IF(LS[[#This Row],[BO TRANSFER]]="YES",LS[[#This Row],[Unit]],)</f>
        <v>0</v>
      </c>
      <c r="W1279" s="102">
        <f>SUMIFS(LS[[#Headers],[BO UNIT TRANSFER]]:LS[[#This Row],[BO UNIT TRANSFER]],LS[[#Headers],[Investor ID]]:LS[[#This Row],[Investor ID]],LS[[#This Row],[Investor ID]])</f>
        <v>0</v>
      </c>
    </row>
    <row r="1280" spans="1:23">
      <c r="A1280" s="101">
        <v>2025</v>
      </c>
      <c r="B1280" s="101">
        <v>9</v>
      </c>
      <c r="C1280" s="101">
        <v>30</v>
      </c>
      <c r="D1280" s="98">
        <f>DATE(LS[[#This Row],[Year]],LS[[#This Row],[Month]],LS[[#This Row],[Day]])</f>
        <v>45930</v>
      </c>
      <c r="E1280" s="99" t="str" cm="1">
        <f t="array" ref="E1280">INDEX(INVESTORS_LIST[INVESTOR NAME],MATCH(LS[[#This Row],[Investor ID]],INVESTORS_LIST[INVESTOR CODE],0),)</f>
        <v>MD SHAFIQUR RAHMAN MONSI</v>
      </c>
      <c r="F1280" s="100" t="s">
        <v>1034</v>
      </c>
      <c r="G1280" s="101">
        <f>COUNTIF(LS[[#Headers],[Investor ID]]:LS[[#This Row],[Investor ID]],LS[[#This Row],[Investor ID]])</f>
        <v>20</v>
      </c>
      <c r="H1280" s="101" t="str">
        <f>CONCATENATE(LS[[#This Row],[Frequency]],LS[[#This Row],[Investor ID]])</f>
        <v>20A00494</v>
      </c>
      <c r="I1280" s="75" t="str">
        <f>IF(LS[[#This Row],[B/S]]="B","BUY",(IF(LS[[#This Row],[B/S]]="S","SELL"," ")))</f>
        <v>BUY</v>
      </c>
      <c r="J1280" s="247" t="s">
        <v>1229</v>
      </c>
      <c r="K1280" s="102">
        <v>200000</v>
      </c>
      <c r="L1280" s="99"/>
      <c r="M1280" s="103">
        <f>LS[[#This Row],[Amount]]/LS[[#This Row],[Unit]]</f>
        <v>13.508949679162445</v>
      </c>
      <c r="N1280" s="104">
        <f>LS[[#This Row],[Unit Capital]]/10</f>
        <v>14805</v>
      </c>
      <c r="O1280" s="104">
        <f>SUMIFS(LS[[#Headers],[Unit]]:LS[[#This Row],[Unit]],LS[[#Headers],[Investor ID]]:LS[[#This Row],[Investor ID]],LS[[#This Row],[Investor ID]])</f>
        <v>37012</v>
      </c>
      <c r="P1280" s="102">
        <v>148050</v>
      </c>
      <c r="Q1280" s="102">
        <f>LS[[#This Row],[Amount]]-LS[[#This Row],[Unit Capital]]</f>
        <v>51950</v>
      </c>
      <c r="R12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13.509132173349183</v>
      </c>
      <c r="S1280" s="103">
        <f t="shared" si="20"/>
        <v>14.224</v>
      </c>
      <c r="T128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0" s="102" cm="1">
        <f t="array" ref="U1280">IF(LS[[#This Row],[B/S]]="S",ABS(LS[[#This Row],[Unit]])*(INDEX(LS[NAV at Cost (Average)],MATCH(CONCATENATE((LS[[#This Row],[Frequency]]-1),LS[[#This Row],[Investor ID]]),LS[Unique Code],0),0)),0)</f>
        <v>0</v>
      </c>
      <c r="V1280" s="102">
        <f>IF(LS[[#This Row],[BO TRANSFER]]="YES",LS[[#This Row],[Unit]],)</f>
        <v>0</v>
      </c>
      <c r="W1280" s="102">
        <f>SUMIFS(LS[[#Headers],[BO UNIT TRANSFER]]:LS[[#This Row],[BO UNIT TRANSFER]],LS[[#Headers],[Investor ID]]:LS[[#This Row],[Investor ID]],LS[[#This Row],[Investor ID]])</f>
        <v>0</v>
      </c>
    </row>
    <row r="1281" spans="1:23">
      <c r="A1281" s="101">
        <v>2025</v>
      </c>
      <c r="B1281" s="101">
        <v>9</v>
      </c>
      <c r="C1281" s="101">
        <v>28</v>
      </c>
      <c r="D1281" s="98">
        <f>DATE(LS[[#This Row],[Year]],LS[[#This Row],[Month]],LS[[#This Row],[Day]])</f>
        <v>45928</v>
      </c>
      <c r="E1281" s="99" t="str" cm="1">
        <f t="array" ref="E1281">INDEX(INVESTORS_LIST[INVESTOR NAME],MATCH(LS[[#This Row],[Investor ID]],INVESTORS_LIST[INVESTOR CODE],0),)</f>
        <v>MD. SAIFUL ISLAM</v>
      </c>
      <c r="F1281" s="100" t="s">
        <v>1425</v>
      </c>
      <c r="G1281" s="101">
        <f>COUNTIF(LS[[#Headers],[Investor ID]]:LS[[#This Row],[Investor ID]],LS[[#This Row],[Investor ID]])</f>
        <v>2</v>
      </c>
      <c r="H1281" s="101" t="str">
        <f>CONCATENATE(LS[[#This Row],[Frequency]],LS[[#This Row],[Investor ID]])</f>
        <v>2A00658</v>
      </c>
      <c r="I1281" s="75" t="str">
        <f>IF(LS[[#This Row],[B/S]]="B","BUY",(IF(LS[[#This Row],[B/S]]="S","SELL"," ")))</f>
        <v>BUY</v>
      </c>
      <c r="J1281" s="101" t="s">
        <v>1229</v>
      </c>
      <c r="K1281" s="102">
        <v>50000</v>
      </c>
      <c r="L1281" s="99"/>
      <c r="M1281" s="103">
        <f>LS[[#This Row],[Amount]]/LS[[#This Row],[Unit]]</f>
        <v>13.509862199405566</v>
      </c>
      <c r="N1281" s="104">
        <f>LS[[#This Row],[Unit Capital]]/10</f>
        <v>3701</v>
      </c>
      <c r="O1281" s="104">
        <f>SUMIFS(LS[[#Headers],[Unit]]:LS[[#This Row],[Unit]],LS[[#Headers],[Investor ID]]:LS[[#This Row],[Investor ID]],LS[[#This Row],[Investor ID]])</f>
        <v>15069</v>
      </c>
      <c r="P1281" s="102">
        <v>37010</v>
      </c>
      <c r="Q1281" s="102">
        <f>LS[[#This Row],[Amount]]-LS[[#This Row],[Unit Capital]]</f>
        <v>12990</v>
      </c>
      <c r="R12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13.272280841462605</v>
      </c>
      <c r="S1281" s="103">
        <f t="shared" si="20"/>
        <v>14.224</v>
      </c>
      <c r="T12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1" s="102" cm="1">
        <f t="array" ref="U1281">IF(LS[[#This Row],[B/S]]="S",ABS(LS[[#This Row],[Unit]])*(INDEX(LS[NAV at Cost (Average)],MATCH(CONCATENATE((LS[[#This Row],[Frequency]]-1),LS[[#This Row],[Investor ID]]),LS[Unique Code],0),0)),0)</f>
        <v>0</v>
      </c>
      <c r="V1281" s="102">
        <f>IF(LS[[#This Row],[BO TRANSFER]]="YES",LS[[#This Row],[Unit]],)</f>
        <v>0</v>
      </c>
      <c r="W1281" s="102">
        <f>SUMIFS(LS[[#Headers],[BO UNIT TRANSFER]]:LS[[#This Row],[BO UNIT TRANSFER]],LS[[#Headers],[Investor ID]]:LS[[#This Row],[Investor ID]],LS[[#This Row],[Investor ID]])</f>
        <v>0</v>
      </c>
    </row>
    <row r="1282" spans="1:23">
      <c r="A1282" s="101">
        <v>2025</v>
      </c>
      <c r="B1282" s="101">
        <v>9</v>
      </c>
      <c r="C1282" s="101">
        <v>30</v>
      </c>
      <c r="D1282" s="98">
        <f>DATE(LS[[#This Row],[Year]],LS[[#This Row],[Month]],LS[[#This Row],[Day]])</f>
        <v>45930</v>
      </c>
      <c r="E1282" s="99" t="str" cm="1">
        <f t="array" ref="E1282">INDEX(INVESTORS_LIST[INVESTOR NAME],MATCH(LS[[#This Row],[Investor ID]],INVESTORS_LIST[INVESTOR CODE],0),)</f>
        <v>ZIA UDDIN</v>
      </c>
      <c r="F1282" s="100" t="s">
        <v>1445</v>
      </c>
      <c r="G1282" s="101">
        <f>COUNTIF(LS[[#Headers],[Investor ID]]:LS[[#This Row],[Investor ID]],LS[[#This Row],[Investor ID]])</f>
        <v>1</v>
      </c>
      <c r="H1282" s="101" t="str">
        <f>CONCATENATE(LS[[#This Row],[Frequency]],LS[[#This Row],[Investor ID]])</f>
        <v>1A00666</v>
      </c>
      <c r="I1282" s="75" t="str">
        <f>IF(LS[[#This Row],[B/S]]="B","BUY",(IF(LS[[#This Row],[B/S]]="S","SELL"," ")))</f>
        <v>BUY</v>
      </c>
      <c r="J1282" s="101" t="s">
        <v>1229</v>
      </c>
      <c r="K1282" s="102">
        <v>500000</v>
      </c>
      <c r="L1282" s="99"/>
      <c r="M1282" s="103">
        <f>LS[[#This Row],[Amount]]/LS[[#This Row],[Unit]]</f>
        <v>13.509132173349185</v>
      </c>
      <c r="N1282" s="104">
        <f>LS[[#This Row],[Unit Capital]]/10</f>
        <v>37012</v>
      </c>
      <c r="O1282" s="104">
        <f>SUMIFS(LS[[#Headers],[Unit]]:LS[[#This Row],[Unit]],LS[[#Headers],[Investor ID]]:LS[[#This Row],[Investor ID]],LS[[#This Row],[Investor ID]])</f>
        <v>37012</v>
      </c>
      <c r="P1282" s="102">
        <v>370120</v>
      </c>
      <c r="Q1282" s="102">
        <f>LS[[#This Row],[Amount]]-LS[[#This Row],[Unit Capital]]</f>
        <v>129880</v>
      </c>
      <c r="R12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13.509132173349185</v>
      </c>
      <c r="S1282" s="103">
        <f t="shared" si="20"/>
        <v>14.224</v>
      </c>
      <c r="T12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2" s="102" cm="1">
        <f t="array" ref="U1282">IF(LS[[#This Row],[B/S]]="S",ABS(LS[[#This Row],[Unit]])*(INDEX(LS[NAV at Cost (Average)],MATCH(CONCATENATE((LS[[#This Row],[Frequency]]-1),LS[[#This Row],[Investor ID]]),LS[Unique Code],0),0)),0)</f>
        <v>0</v>
      </c>
      <c r="V1282" s="102">
        <f>IF(LS[[#This Row],[BO TRANSFER]]="YES",LS[[#This Row],[Unit]],)</f>
        <v>0</v>
      </c>
      <c r="W1282" s="102">
        <f>SUMIFS(LS[[#Headers],[BO UNIT TRANSFER]]:LS[[#This Row],[BO UNIT TRANSFER]],LS[[#Headers],[Investor ID]]:LS[[#This Row],[Investor ID]],LS[[#This Row],[Investor ID]])</f>
        <v>0</v>
      </c>
    </row>
    <row r="1283" spans="1:23">
      <c r="A1283" s="101">
        <v>2025</v>
      </c>
      <c r="B1283" s="101">
        <v>9</v>
      </c>
      <c r="C1283" s="101">
        <v>30</v>
      </c>
      <c r="D1283" s="98">
        <f>DATE(LS[[#This Row],[Year]],LS[[#This Row],[Month]],LS[[#This Row],[Day]])</f>
        <v>45930</v>
      </c>
      <c r="E1283" s="99" t="str" cm="1">
        <f t="array" ref="E1283">INDEX(INVESTORS_LIST[INVESTOR NAME],MATCH(LS[[#This Row],[Investor ID]],INVESTORS_LIST[INVESTOR CODE],0),)</f>
        <v>MAYA RANI SAHA</v>
      </c>
      <c r="F1283" s="100" t="s">
        <v>224</v>
      </c>
      <c r="G1283" s="101">
        <f>COUNTIF(LS[[#Headers],[Investor ID]]:LS[[#This Row],[Investor ID]],LS[[#This Row],[Investor ID]])</f>
        <v>24</v>
      </c>
      <c r="H1283" s="101" t="str">
        <f>CONCATENATE(LS[[#This Row],[Frequency]],LS[[#This Row],[Investor ID]])</f>
        <v>24A00088</v>
      </c>
      <c r="I1283" s="75" t="str">
        <f>IF(LS[[#This Row],[B/S]]="B","BUY",(IF(LS[[#This Row],[B/S]]="S","SELL"," ")))</f>
        <v>BUY</v>
      </c>
      <c r="J1283" s="101" t="s">
        <v>1229</v>
      </c>
      <c r="K1283" s="102">
        <v>1300000</v>
      </c>
      <c r="L1283" s="99"/>
      <c r="M1283" s="103">
        <f>LS[[#This Row],[Amount]]/LS[[#This Row],[Unit]]</f>
        <v>13.509019868650761</v>
      </c>
      <c r="N1283" s="104">
        <f>LS[[#This Row],[Unit Capital]]/10</f>
        <v>96232</v>
      </c>
      <c r="O1283" s="104">
        <f>SUMIFS(LS[[#Headers],[Unit]]:LS[[#This Row],[Unit]],LS[[#Headers],[Investor ID]]:LS[[#This Row],[Investor ID]],LS[[#This Row],[Investor ID]])</f>
        <v>785704</v>
      </c>
      <c r="P1283" s="102">
        <v>962320</v>
      </c>
      <c r="Q1283" s="102">
        <f>LS[[#This Row],[Amount]]-LS[[#This Row],[Unit Capital]]</f>
        <v>337680</v>
      </c>
      <c r="R12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11.841870901073754</v>
      </c>
      <c r="S1283" s="103">
        <f t="shared" ref="S1283:S1300" si="21">IFERROR(NAV_MKT,0)</f>
        <v>14.224</v>
      </c>
      <c r="T128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3" s="102" cm="1">
        <f t="array" ref="U1283">IF(LS[[#This Row],[B/S]]="S",ABS(LS[[#This Row],[Unit]])*(INDEX(LS[NAV at Cost (Average)],MATCH(CONCATENATE((LS[[#This Row],[Frequency]]-1),LS[[#This Row],[Investor ID]]),LS[Unique Code],0),0)),0)</f>
        <v>0</v>
      </c>
      <c r="V1283" s="102">
        <f>IF(LS[[#This Row],[BO TRANSFER]]="YES",LS[[#This Row],[Unit]],)</f>
        <v>0</v>
      </c>
      <c r="W1283" s="102">
        <f>SUMIFS(LS[[#Headers],[BO UNIT TRANSFER]]:LS[[#This Row],[BO UNIT TRANSFER]],LS[[#Headers],[Investor ID]]:LS[[#This Row],[Investor ID]],LS[[#This Row],[Investor ID]])</f>
        <v>0</v>
      </c>
    </row>
    <row r="1284" spans="1:23">
      <c r="A1284" s="101">
        <v>2025</v>
      </c>
      <c r="B1284" s="101">
        <v>10</v>
      </c>
      <c r="C1284" s="101">
        <v>5</v>
      </c>
      <c r="D1284" s="98">
        <f>DATE(LS[[#This Row],[Year]],LS[[#This Row],[Month]],LS[[#This Row],[Day]])</f>
        <v>45935</v>
      </c>
      <c r="E1284" s="99" t="str" cm="1">
        <f t="array" ref="E1284">INDEX(INVESTORS_LIST[INVESTOR NAME],MATCH(LS[[#This Row],[Investor ID]],INVESTORS_LIST[INVESTOR CODE],0),)</f>
        <v>ANJUMAN ARA BEGUM POLY</v>
      </c>
      <c r="F1284" s="100" t="s">
        <v>1415</v>
      </c>
      <c r="G1284" s="101">
        <f>COUNTIF(LS[[#Headers],[Investor ID]]:LS[[#This Row],[Investor ID]],LS[[#This Row],[Investor ID]])</f>
        <v>3</v>
      </c>
      <c r="H1284" s="101" t="str">
        <f>CONCATENATE(LS[[#This Row],[Frequency]],LS[[#This Row],[Investor ID]])</f>
        <v>3A00651</v>
      </c>
      <c r="I1284" s="75" t="str">
        <f>IF(LS[[#This Row],[B/S]]="B","BUY",(IF(LS[[#This Row],[B/S]]="S","SELL"," ")))</f>
        <v>BUY</v>
      </c>
      <c r="J1284" s="101" t="s">
        <v>1229</v>
      </c>
      <c r="K1284" s="102">
        <v>50000</v>
      </c>
      <c r="L1284" s="99"/>
      <c r="M1284" s="103">
        <f>LS[[#This Row],[Amount]]/LS[[#This Row],[Unit]]</f>
        <v>13.535462912831619</v>
      </c>
      <c r="N1284" s="104">
        <f>LS[[#This Row],[Unit Capital]]/10</f>
        <v>3694</v>
      </c>
      <c r="O1284" s="104">
        <f>SUMIFS(LS[[#Headers],[Unit]]:LS[[#This Row],[Unit]],LS[[#Headers],[Investor ID]]:LS[[#This Row],[Investor ID]],LS[[#This Row],[Investor ID]])</f>
        <v>15403</v>
      </c>
      <c r="P1284" s="102">
        <v>36940</v>
      </c>
      <c r="Q1284" s="102">
        <f>LS[[#This Row],[Amount]]-LS[[#This Row],[Unit Capital]]</f>
        <v>13060</v>
      </c>
      <c r="R12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12.984483542167112</v>
      </c>
      <c r="S1284" s="103">
        <f t="shared" si="21"/>
        <v>14.224</v>
      </c>
      <c r="T12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4" s="102" cm="1">
        <f t="array" ref="U1284">IF(LS[[#This Row],[B/S]]="S",ABS(LS[[#This Row],[Unit]])*(INDEX(LS[NAV at Cost (Average)],MATCH(CONCATENATE((LS[[#This Row],[Frequency]]-1),LS[[#This Row],[Investor ID]]),LS[Unique Code],0),0)),0)</f>
        <v>0</v>
      </c>
      <c r="V1284" s="102">
        <f>IF(LS[[#This Row],[BO TRANSFER]]="YES",LS[[#This Row],[Unit]],)</f>
        <v>0</v>
      </c>
      <c r="W1284" s="102">
        <f>SUMIFS(LS[[#Headers],[BO UNIT TRANSFER]]:LS[[#This Row],[BO UNIT TRANSFER]],LS[[#Headers],[Investor ID]]:LS[[#This Row],[Investor ID]],LS[[#This Row],[Investor ID]])</f>
        <v>0</v>
      </c>
    </row>
    <row r="1285" spans="1:23">
      <c r="A1285" s="101">
        <v>2025</v>
      </c>
      <c r="B1285" s="101">
        <v>10</v>
      </c>
      <c r="C1285" s="101">
        <v>5</v>
      </c>
      <c r="D1285" s="98">
        <f>DATE(LS[[#This Row],[Year]],LS[[#This Row],[Month]],LS[[#This Row],[Day]])</f>
        <v>45935</v>
      </c>
      <c r="E1285" s="99" t="str" cm="1">
        <f t="array" ref="E1285">INDEX(INVESTORS_LIST[INVESTOR NAME],MATCH(LS[[#This Row],[Investor ID]],INVESTORS_LIST[INVESTOR CODE],0),)</f>
        <v>MAHMUD ALI ALAMGIR</v>
      </c>
      <c r="F1285" s="100" t="s">
        <v>451</v>
      </c>
      <c r="G1285" s="101">
        <f>COUNTIF(LS[[#Headers],[Investor ID]]:LS[[#This Row],[Investor ID]],LS[[#This Row],[Investor ID]])</f>
        <v>11</v>
      </c>
      <c r="H1285" s="101" t="str">
        <f>CONCATENATE(LS[[#This Row],[Frequency]],LS[[#This Row],[Investor ID]])</f>
        <v>11A00201</v>
      </c>
      <c r="I1285" s="75" t="str">
        <f>IF(LS[[#This Row],[B/S]]="B","BUY",(IF(LS[[#This Row],[B/S]]="S","SELL"," ")))</f>
        <v>SELL</v>
      </c>
      <c r="J1285" s="101" t="s">
        <v>1231</v>
      </c>
      <c r="K1285" s="102">
        <v>-4000000</v>
      </c>
      <c r="L1285" s="99"/>
      <c r="M1285" s="103">
        <f>LS[[#This Row],[Amount]]/LS[[#This Row],[Unit]]</f>
        <v>13.537020366447141</v>
      </c>
      <c r="N1285" s="104">
        <f>LS[[#This Row],[Unit Capital]]/10</f>
        <v>-295486</v>
      </c>
      <c r="O1285" s="104">
        <f>SUMIFS(LS[[#Headers],[Unit]]:LS[[#This Row],[Unit]],LS[[#Headers],[Investor ID]]:LS[[#This Row],[Investor ID]],LS[[#This Row],[Investor ID]])</f>
        <v>55650</v>
      </c>
      <c r="P1285" s="102">
        <v>-2954860</v>
      </c>
      <c r="Q1285" s="102">
        <f>LS[[#This Row],[Amount]]-LS[[#This Row],[Unit Capital]]</f>
        <v>-1045140</v>
      </c>
      <c r="R12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11.711494689411722</v>
      </c>
      <c r="S1285" s="103">
        <f t="shared" si="21"/>
        <v>14.224</v>
      </c>
      <c r="T1285" s="102">
        <f>IF(LS[[#This Row],[B/S]]="B",0,ABS(LS[[#This Row],[Unit]])*(LS[[#This Row],[NAV (Strike Rate)]]-INDEX(LS[NAV at Cost (Average)],MATCH(CONCATENATE(LS[[#This Row],[Frequency]]-1,LS[[#This Row],[Investor ID]]),LS[Unique Code],0),)))</f>
        <v>539417.28020448773</v>
      </c>
      <c r="U1285" s="102" cm="1">
        <f t="array" ref="U1285">IF(LS[[#This Row],[B/S]]="S",ABS(LS[[#This Row],[Unit]])*(INDEX(LS[NAV at Cost (Average)],MATCH(CONCATENATE((LS[[#This Row],[Frequency]]-1),LS[[#This Row],[Investor ID]]),LS[Unique Code],0),0)),0)</f>
        <v>3460582.719795512</v>
      </c>
      <c r="V1285" s="102">
        <f>IF(LS[[#This Row],[BO TRANSFER]]="YES",LS[[#This Row],[Unit]],)</f>
        <v>0</v>
      </c>
      <c r="W1285" s="102">
        <f>SUMIFS(LS[[#Headers],[BO UNIT TRANSFER]]:LS[[#This Row],[BO UNIT TRANSFER]],LS[[#Headers],[Investor ID]]:LS[[#This Row],[Investor ID]],LS[[#This Row],[Investor ID]])</f>
        <v>0</v>
      </c>
    </row>
    <row r="1286" spans="1:23">
      <c r="A1286" s="101">
        <v>2025</v>
      </c>
      <c r="B1286" s="101">
        <v>10</v>
      </c>
      <c r="C1286" s="101">
        <v>5</v>
      </c>
      <c r="D1286" s="98">
        <f>DATE(LS[[#This Row],[Year]],LS[[#This Row],[Month]],LS[[#This Row],[Day]])</f>
        <v>45935</v>
      </c>
      <c r="E1286" s="99" t="str" cm="1">
        <f t="array" ref="E1286">INDEX(INVESTORS_LIST[INVESTOR NAME],MATCH(LS[[#This Row],[Investor ID]],INVESTORS_LIST[INVESTOR CODE],0),)</f>
        <v>TAJDIKUL ALAM</v>
      </c>
      <c r="F1286" s="100" t="s">
        <v>1099</v>
      </c>
      <c r="G1286" s="101">
        <f>COUNTIF(LS[[#Headers],[Investor ID]]:LS[[#This Row],[Investor ID]],LS[[#This Row],[Investor ID]])</f>
        <v>7</v>
      </c>
      <c r="H1286" s="101" t="str">
        <f>CONCATENATE(LS[[#This Row],[Frequency]],LS[[#This Row],[Investor ID]])</f>
        <v>7A00526</v>
      </c>
      <c r="I1286" s="75" t="str">
        <f>IF(LS[[#This Row],[B/S]]="B","BUY",(IF(LS[[#This Row],[B/S]]="S","SELL"," ")))</f>
        <v>SELL</v>
      </c>
      <c r="J1286" s="101" t="s">
        <v>1231</v>
      </c>
      <c r="K1286" s="102">
        <v>-165801.18</v>
      </c>
      <c r="L1286" s="99"/>
      <c r="M1286" s="103">
        <f>LS[[#This Row],[Amount]]/LS[[#This Row],[Unit]]</f>
        <v>13.537000326583932</v>
      </c>
      <c r="N1286" s="104">
        <f>LS[[#This Row],[Unit Capital]]/10</f>
        <v>-12248</v>
      </c>
      <c r="O1286" s="104">
        <f>SUMIFS(LS[[#Headers],[Unit]]:LS[[#This Row],[Unit]],LS[[#Headers],[Investor ID]]:LS[[#This Row],[Investor ID]],LS[[#This Row],[Investor ID]])</f>
        <v>46502</v>
      </c>
      <c r="P1286" s="102">
        <v>-122480</v>
      </c>
      <c r="Q1286" s="102">
        <f>LS[[#This Row],[Amount]]-LS[[#This Row],[Unit Capital]]</f>
        <v>-43321.179999999993</v>
      </c>
      <c r="R12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286" s="103">
        <f t="shared" si="21"/>
        <v>14.224</v>
      </c>
      <c r="T1286" s="102">
        <f>IF(LS[[#This Row],[B/S]]="B",0,ABS(LS[[#This Row],[Unit]])*(LS[[#This Row],[NAV (Strike Rate)]]-INDEX(LS[NAV at Cost (Average)],MATCH(CONCATENATE(LS[[#This Row],[Frequency]]-1,LS[[#This Row],[Investor ID]]),LS[Unique Code],0),)))</f>
        <v>28072.665943775108</v>
      </c>
      <c r="U1286" s="102" cm="1">
        <f t="array" ref="U1286">IF(LS[[#This Row],[B/S]]="S",ABS(LS[[#This Row],[Unit]])*(INDEX(LS[NAV at Cost (Average)],MATCH(CONCATENATE((LS[[#This Row],[Frequency]]-1),LS[[#This Row],[Investor ID]]),LS[Unique Code],0),0)),0)</f>
        <v>137728.5140562249</v>
      </c>
      <c r="V1286" s="102">
        <f>IF(LS[[#This Row],[BO TRANSFER]]="YES",LS[[#This Row],[Unit]],)</f>
        <v>0</v>
      </c>
      <c r="W1286" s="102">
        <f>SUMIFS(LS[[#Headers],[BO UNIT TRANSFER]]:LS[[#This Row],[BO UNIT TRANSFER]],LS[[#Headers],[Investor ID]]:LS[[#This Row],[Investor ID]],LS[[#This Row],[Investor ID]])</f>
        <v>0</v>
      </c>
    </row>
    <row r="1287" spans="1:23">
      <c r="A1287" s="101">
        <v>2025</v>
      </c>
      <c r="B1287" s="101">
        <v>10</v>
      </c>
      <c r="C1287" s="101">
        <v>5</v>
      </c>
      <c r="D1287" s="98">
        <f>DATE(LS[[#This Row],[Year]],LS[[#This Row],[Month]],LS[[#This Row],[Day]])</f>
        <v>45935</v>
      </c>
      <c r="E1287" s="99" t="str" cm="1">
        <f t="array" ref="E1287">INDEX(INVESTORS_LIST[INVESTOR NAME],MATCH(LS[[#This Row],[Investor ID]],INVESTORS_LIST[INVESTOR CODE],0),)</f>
        <v>ANONYA CHOWDHURY HIYA</v>
      </c>
      <c r="F1287" s="100" t="s">
        <v>1402</v>
      </c>
      <c r="G1287" s="101">
        <f>COUNTIF(LS[[#Headers],[Investor ID]]:LS[[#This Row],[Investor ID]],LS[[#This Row],[Investor ID]])</f>
        <v>5</v>
      </c>
      <c r="H1287" s="101" t="str">
        <f>CONCATENATE(LS[[#This Row],[Frequency]],LS[[#This Row],[Investor ID]])</f>
        <v>5A00644</v>
      </c>
      <c r="I1287" s="75" t="str">
        <f>IF(LS[[#This Row],[B/S]]="B","BUY",(IF(LS[[#This Row],[B/S]]="S","SELL"," ")))</f>
        <v>SELL</v>
      </c>
      <c r="J1287" s="101" t="s">
        <v>1231</v>
      </c>
      <c r="K1287" s="102">
        <v>-45000</v>
      </c>
      <c r="L1287" s="99"/>
      <c r="M1287" s="103">
        <f>LS[[#This Row],[Amount]]/LS[[#This Row],[Unit]]</f>
        <v>13.537906137184116</v>
      </c>
      <c r="N1287" s="104">
        <f>LS[[#This Row],[Unit Capital]]/10</f>
        <v>-3324</v>
      </c>
      <c r="O1287" s="104">
        <f>SUMIFS(LS[[#Headers],[Unit]]:LS[[#This Row],[Unit]],LS[[#Headers],[Investor ID]]:LS[[#This Row],[Investor ID]],LS[[#This Row],[Investor ID]])</f>
        <v>133102</v>
      </c>
      <c r="P1287" s="102">
        <v>-33240</v>
      </c>
      <c r="Q1287" s="102">
        <f>LS[[#This Row],[Amount]]-LS[[#This Row],[Unit Capital]]</f>
        <v>-11760</v>
      </c>
      <c r="R12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12.732407424543691</v>
      </c>
      <c r="S1287" s="103">
        <f t="shared" si="21"/>
        <v>14.224</v>
      </c>
      <c r="T1287" s="102">
        <f>IF(LS[[#This Row],[B/S]]="B",0,ABS(LS[[#This Row],[Unit]])*(LS[[#This Row],[NAV (Strike Rate)]]-INDEX(LS[NAV at Cost (Average)],MATCH(CONCATENATE(LS[[#This Row],[Frequency]]-1,LS[[#This Row],[Investor ID]]),LS[Unique Code],0),)))</f>
        <v>2677.4777208167725</v>
      </c>
      <c r="U1287" s="102" cm="1">
        <f t="array" ref="U1287">IF(LS[[#This Row],[B/S]]="S",ABS(LS[[#This Row],[Unit]])*(INDEX(LS[NAV at Cost (Average)],MATCH(CONCATENATE((LS[[#This Row],[Frequency]]-1),LS[[#This Row],[Investor ID]]),LS[Unique Code],0),0)),0)</f>
        <v>42322.522279183228</v>
      </c>
      <c r="V1287" s="102">
        <f>IF(LS[[#This Row],[BO TRANSFER]]="YES",LS[[#This Row],[Unit]],)</f>
        <v>0</v>
      </c>
      <c r="W1287" s="102">
        <f>SUMIFS(LS[[#Headers],[BO UNIT TRANSFER]]:LS[[#This Row],[BO UNIT TRANSFER]],LS[[#Headers],[Investor ID]]:LS[[#This Row],[Investor ID]],LS[[#This Row],[Investor ID]])</f>
        <v>0</v>
      </c>
    </row>
    <row r="1288" spans="1:23">
      <c r="A1288" s="101">
        <v>2025</v>
      </c>
      <c r="B1288" s="101">
        <v>10</v>
      </c>
      <c r="C1288" s="101">
        <v>5</v>
      </c>
      <c r="D1288" s="98">
        <f>DATE(LS[[#This Row],[Year]],LS[[#This Row],[Month]],LS[[#This Row],[Day]])</f>
        <v>45935</v>
      </c>
      <c r="E1288" s="99" t="str" cm="1">
        <f t="array" ref="E1288">INDEX(INVESTORS_LIST[INVESTOR NAME],MATCH(LS[[#This Row],[Investor ID]],INVESTORS_LIST[INVESTOR CODE],0),)</f>
        <v>MONOARA ALAM</v>
      </c>
      <c r="F1288" s="100" t="s">
        <v>1302</v>
      </c>
      <c r="G1288" s="101">
        <f>COUNTIF(LS[[#Headers],[Investor ID]]:LS[[#This Row],[Investor ID]],LS[[#This Row],[Investor ID]])</f>
        <v>8</v>
      </c>
      <c r="H1288" s="101" t="str">
        <f>CONCATENATE(LS[[#This Row],[Frequency]],LS[[#This Row],[Investor ID]])</f>
        <v>8A00598</v>
      </c>
      <c r="I1288" s="75" t="str">
        <f>IF(LS[[#This Row],[B/S]]="B","BUY",(IF(LS[[#This Row],[B/S]]="S","SELL"," ")))</f>
        <v>BUY</v>
      </c>
      <c r="J1288" s="101" t="s">
        <v>1229</v>
      </c>
      <c r="K1288" s="102">
        <v>100000</v>
      </c>
      <c r="L1288" s="99"/>
      <c r="M1288" s="103">
        <f>LS[[#This Row],[Amount]]/LS[[#This Row],[Unit]]</f>
        <v>13.537295248409368</v>
      </c>
      <c r="N1288" s="104">
        <f>LS[[#This Row],[Unit Capital]]/10</f>
        <v>7387</v>
      </c>
      <c r="O1288" s="104">
        <f>SUMIFS(LS[[#Headers],[Unit]]:LS[[#This Row],[Unit]],LS[[#Headers],[Investor ID]]:LS[[#This Row],[Investor ID]],LS[[#This Row],[Investor ID]])</f>
        <v>45063</v>
      </c>
      <c r="P1288" s="102">
        <v>73870</v>
      </c>
      <c r="Q1288" s="102">
        <f>LS[[#This Row],[Amount]]-LS[[#This Row],[Unit Capital]]</f>
        <v>26130</v>
      </c>
      <c r="R12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12.066401111749872</v>
      </c>
      <c r="S1288" s="103">
        <f t="shared" si="21"/>
        <v>14.224</v>
      </c>
      <c r="T128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8" s="102" cm="1">
        <f t="array" ref="U1288">IF(LS[[#This Row],[B/S]]="S",ABS(LS[[#This Row],[Unit]])*(INDEX(LS[NAV at Cost (Average)],MATCH(CONCATENATE((LS[[#This Row],[Frequency]]-1),LS[[#This Row],[Investor ID]]),LS[Unique Code],0),0)),0)</f>
        <v>0</v>
      </c>
      <c r="V1288" s="102">
        <f>IF(LS[[#This Row],[BO TRANSFER]]="YES",LS[[#This Row],[Unit]],)</f>
        <v>0</v>
      </c>
      <c r="W1288" s="102">
        <f>SUMIFS(LS[[#Headers],[BO UNIT TRANSFER]]:LS[[#This Row],[BO UNIT TRANSFER]],LS[[#Headers],[Investor ID]]:LS[[#This Row],[Investor ID]],LS[[#This Row],[Investor ID]])</f>
        <v>0</v>
      </c>
    </row>
    <row r="1289" spans="1:23">
      <c r="A1289" s="101">
        <v>2025</v>
      </c>
      <c r="B1289" s="101">
        <v>10</v>
      </c>
      <c r="C1289" s="101">
        <v>5</v>
      </c>
      <c r="D1289" s="98">
        <f>DATE(LS[[#This Row],[Year]],LS[[#This Row],[Month]],LS[[#This Row],[Day]])</f>
        <v>45935</v>
      </c>
      <c r="E1289" s="99" t="str" cm="1">
        <f t="array" ref="E1289">INDEX(INVESTORS_LIST[INVESTOR NAME],MATCH(LS[[#This Row],[Investor ID]],INVESTORS_LIST[INVESTOR CODE],0),)</f>
        <v>MD AYNUL HOQUE</v>
      </c>
      <c r="F1289" s="100" t="s">
        <v>1139</v>
      </c>
      <c r="G1289" s="101">
        <f>COUNTIF(LS[[#Headers],[Investor ID]]:LS[[#This Row],[Investor ID]],LS[[#This Row],[Investor ID]])</f>
        <v>7</v>
      </c>
      <c r="H1289" s="101" t="str">
        <f>CONCATENATE(LS[[#This Row],[Frequency]],LS[[#This Row],[Investor ID]])</f>
        <v>7A00545</v>
      </c>
      <c r="I1289" s="75" t="str">
        <f>IF(LS[[#This Row],[B/S]]="B","BUY",(IF(LS[[#This Row],[B/S]]="S","SELL"," ")))</f>
        <v>BUY</v>
      </c>
      <c r="J1289" s="101" t="s">
        <v>1229</v>
      </c>
      <c r="K1289" s="102">
        <v>2000000</v>
      </c>
      <c r="L1289" s="99"/>
      <c r="M1289" s="103">
        <f>LS[[#This Row],[Amount]]/LS[[#This Row],[Unit]]</f>
        <v>13.537020366447141</v>
      </c>
      <c r="N1289" s="104">
        <f>LS[[#This Row],[Unit Capital]]/10</f>
        <v>147743</v>
      </c>
      <c r="O1289" s="104">
        <f>SUMIFS(LS[[#Headers],[Unit]]:LS[[#This Row],[Unit]],LS[[#Headers],[Investor ID]]:LS[[#This Row],[Investor ID]],LS[[#This Row],[Investor ID]])</f>
        <v>753850</v>
      </c>
      <c r="P1289" s="102">
        <v>1477430</v>
      </c>
      <c r="Q1289" s="102">
        <f>LS[[#This Row],[Amount]]-LS[[#This Row],[Unit Capital]]</f>
        <v>522570</v>
      </c>
      <c r="R12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289" s="103">
        <f t="shared" si="21"/>
        <v>14.224</v>
      </c>
      <c r="T128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89" s="102" cm="1">
        <f t="array" ref="U1289">IF(LS[[#This Row],[B/S]]="S",ABS(LS[[#This Row],[Unit]])*(INDEX(LS[NAV at Cost (Average)],MATCH(CONCATENATE((LS[[#This Row],[Frequency]]-1),LS[[#This Row],[Investor ID]]),LS[Unique Code],0),0)),0)</f>
        <v>0</v>
      </c>
      <c r="V1289" s="102">
        <f>IF(LS[[#This Row],[BO TRANSFER]]="YES",LS[[#This Row],[Unit]],)</f>
        <v>0</v>
      </c>
      <c r="W1289" s="102">
        <f>SUMIFS(LS[[#Headers],[BO UNIT TRANSFER]]:LS[[#This Row],[BO UNIT TRANSFER]],LS[[#Headers],[Investor ID]]:LS[[#This Row],[Investor ID]],LS[[#This Row],[Investor ID]])</f>
        <v>0</v>
      </c>
    </row>
    <row r="1290" spans="1:23">
      <c r="A1290" s="101">
        <v>2025</v>
      </c>
      <c r="B1290" s="101">
        <v>10</v>
      </c>
      <c r="C1290" s="101">
        <v>5</v>
      </c>
      <c r="D1290" s="98">
        <f>DATE(LS[[#This Row],[Year]],LS[[#This Row],[Month]],LS[[#This Row],[Day]])</f>
        <v>45935</v>
      </c>
      <c r="E1290" t="str" cm="1">
        <f t="array" ref="E1290">INDEX(INVESTORS_LIST[INVESTOR NAME],MATCH(LS[[#This Row],[Investor ID]],INVESTORS_LIST[INVESTOR CODE],0),)</f>
        <v>EKUSH WEALTH MANAGEMENT LIMITED</v>
      </c>
      <c r="F1290" s="100" t="s">
        <v>47</v>
      </c>
      <c r="G1290" s="101">
        <f>COUNTIF(LS[[#Headers],[Investor ID]]:LS[[#This Row],[Investor ID]],LS[[#This Row],[Investor ID]])</f>
        <v>41</v>
      </c>
      <c r="H1290" s="101" t="str">
        <f>CONCATENATE(LS[[#This Row],[Frequency]],LS[[#This Row],[Investor ID]])</f>
        <v>41A00003</v>
      </c>
      <c r="I1290" s="75" t="str">
        <f>IF(LS[[#This Row],[B/S]]="B","BUY",(IF(LS[[#This Row],[B/S]]="S","SELL"," ")))</f>
        <v>SELL</v>
      </c>
      <c r="J1290" s="101" t="s">
        <v>1231</v>
      </c>
      <c r="K1290" s="102">
        <v>-1000000</v>
      </c>
      <c r="L1290" s="99"/>
      <c r="M1290" s="103">
        <f>LS[[#This Row],[Amount]]/LS[[#This Row],[Unit]]</f>
        <v>13.536928741607104</v>
      </c>
      <c r="N1290" s="104">
        <f>LS[[#This Row],[Unit Capital]]/10</f>
        <v>-73872</v>
      </c>
      <c r="O1290" s="104">
        <f>SUMIFS(LS[[#Headers],[Unit]]:LS[[#This Row],[Unit]],LS[[#Headers],[Investor ID]]:LS[[#This Row],[Investor ID]],LS[[#This Row],[Investor ID]])</f>
        <v>188663</v>
      </c>
      <c r="P1290" s="102">
        <v>-738720</v>
      </c>
      <c r="Q1290" s="102">
        <f>LS[[#This Row],[Amount]]-LS[[#This Row],[Unit Capital]]</f>
        <v>-261280</v>
      </c>
      <c r="R12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90" s="103">
        <f t="shared" si="21"/>
        <v>14.224</v>
      </c>
      <c r="T1290" s="102">
        <f>IF(LS[[#This Row],[B/S]]="B",0,ABS(LS[[#This Row],[Unit]])*(LS[[#This Row],[NAV (Strike Rate)]]-INDEX(LS[NAV at Cost (Average)],MATCH(CONCATENATE(LS[[#This Row],[Frequency]]-1,LS[[#This Row],[Investor ID]]),LS[Unique Code],0),)))</f>
        <v>109036.59503801234</v>
      </c>
      <c r="U1290" s="102" cm="1">
        <f t="array" ref="U1290">IF(LS[[#This Row],[B/S]]="S",ABS(LS[[#This Row],[Unit]])*(INDEX(LS[NAV at Cost (Average)],MATCH(CONCATENATE((LS[[#This Row],[Frequency]]-1),LS[[#This Row],[Investor ID]]),LS[Unique Code],0),0)),0)</f>
        <v>890963.40496198763</v>
      </c>
      <c r="V1290" s="102">
        <f>IF(LS[[#This Row],[BO TRANSFER]]="YES",LS[[#This Row],[Unit]],)</f>
        <v>0</v>
      </c>
      <c r="W1290" s="102">
        <f>SUMIFS(LS[[#Headers],[BO UNIT TRANSFER]]:LS[[#This Row],[BO UNIT TRANSFER]],LS[[#Headers],[Investor ID]]:LS[[#This Row],[Investor ID]],LS[[#This Row],[Investor ID]])</f>
        <v>0</v>
      </c>
    </row>
    <row r="1291" spans="1:23">
      <c r="A1291" s="101">
        <v>2025</v>
      </c>
      <c r="B1291" s="101">
        <v>10</v>
      </c>
      <c r="C1291" s="101">
        <v>6</v>
      </c>
      <c r="D1291" s="98">
        <f>DATE(LS[[#This Row],[Year]],LS[[#This Row],[Month]],LS[[#This Row],[Day]])</f>
        <v>45936</v>
      </c>
      <c r="E1291" s="99" t="str" cm="1">
        <f t="array" ref="E1291">INDEX(INVESTORS_LIST[INVESTOR NAME],MATCH(LS[[#This Row],[Investor ID]],INVESTORS_LIST[INVESTOR CODE],0),)</f>
        <v>ASHAK ELAHI</v>
      </c>
      <c r="F1291" s="100" t="s">
        <v>1077</v>
      </c>
      <c r="G1291" s="101">
        <f>COUNTIF(LS[[#Headers],[Investor ID]]:LS[[#This Row],[Investor ID]],LS[[#This Row],[Investor ID]])</f>
        <v>15</v>
      </c>
      <c r="H1291" s="101" t="str">
        <f>CONCATENATE(LS[[#This Row],[Frequency]],LS[[#This Row],[Investor ID]])</f>
        <v>15A00516</v>
      </c>
      <c r="I1291" s="75" t="str">
        <f>IF(LS[[#This Row],[B/S]]="B","BUY",(IF(LS[[#This Row],[B/S]]="S","SELL"," ")))</f>
        <v>SELL</v>
      </c>
      <c r="J1291" s="101" t="s">
        <v>1231</v>
      </c>
      <c r="K1291" s="102">
        <v>-280215.90000000002</v>
      </c>
      <c r="L1291" s="99"/>
      <c r="M1291" s="103">
        <f>LS[[#This Row],[Amount]]/LS[[#This Row],[Unit]]</f>
        <v>13.537000000000001</v>
      </c>
      <c r="N1291" s="104">
        <f>LS[[#This Row],[Unit Capital]]/10</f>
        <v>-20700</v>
      </c>
      <c r="O1291" s="104">
        <f>SUMIFS(LS[[#Headers],[Unit]]:LS[[#This Row],[Unit]],LS[[#Headers],[Investor ID]]:LS[[#This Row],[Investor ID]],LS[[#This Row],[Investor ID]])</f>
        <v>0</v>
      </c>
      <c r="P1291" s="102">
        <v>-207000</v>
      </c>
      <c r="Q1291" s="102">
        <f>LS[[#This Row],[Amount]]-LS[[#This Row],[Unit Capital]]</f>
        <v>-73215.900000000023</v>
      </c>
      <c r="R12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291" s="103">
        <f t="shared" si="21"/>
        <v>14.224</v>
      </c>
      <c r="T1291" s="102">
        <f>IF(LS[[#This Row],[B/S]]="B",0,ABS(LS[[#This Row],[Unit]])*(LS[[#This Row],[NAV (Strike Rate)]]-INDEX(LS[NAV at Cost (Average)],MATCH(CONCATENATE(LS[[#This Row],[Frequency]]-1,LS[[#This Row],[Investor ID]]),LS[Unique Code],0),)))</f>
        <v>26143.3</v>
      </c>
      <c r="U1291" s="102" cm="1">
        <f t="array" ref="U1291">IF(LS[[#This Row],[B/S]]="S",ABS(LS[[#This Row],[Unit]])*(INDEX(LS[NAV at Cost (Average)],MATCH(CONCATENATE((LS[[#This Row],[Frequency]]-1),LS[[#This Row],[Investor ID]]),LS[Unique Code],0),0)),0)</f>
        <v>254072.6</v>
      </c>
      <c r="V1291" s="102">
        <f>IF(LS[[#This Row],[BO TRANSFER]]="YES",LS[[#This Row],[Unit]],)</f>
        <v>0</v>
      </c>
      <c r="W1291" s="102">
        <f>SUMIFS(LS[[#Headers],[BO UNIT TRANSFER]]:LS[[#This Row],[BO UNIT TRANSFER]],LS[[#Headers],[Investor ID]]:LS[[#This Row],[Investor ID]],LS[[#This Row],[Investor ID]])</f>
        <v>0</v>
      </c>
    </row>
    <row r="1292" spans="1:23">
      <c r="A1292" s="101">
        <v>2025</v>
      </c>
      <c r="B1292" s="101">
        <v>10</v>
      </c>
      <c r="C1292" s="101">
        <v>6</v>
      </c>
      <c r="D1292" s="98">
        <f>DATE(LS[[#This Row],[Year]],LS[[#This Row],[Month]],LS[[#This Row],[Day]])</f>
        <v>45936</v>
      </c>
      <c r="E1292" s="99" t="str" cm="1">
        <f t="array" ref="E1292">INDEX(INVESTORS_LIST[INVESTOR NAME],MATCH(LS[[#This Row],[Investor ID]],INVESTORS_LIST[INVESTOR CODE],0),)</f>
        <v>SHIREEN AFROZE</v>
      </c>
      <c r="F1292" s="100" t="s">
        <v>1145</v>
      </c>
      <c r="G1292" s="101">
        <f>COUNTIF(LS[[#Headers],[Investor ID]]:LS[[#This Row],[Investor ID]],LS[[#This Row],[Investor ID]])</f>
        <v>6</v>
      </c>
      <c r="H1292" s="101" t="str">
        <f>CONCATENATE(LS[[#This Row],[Frequency]],LS[[#This Row],[Investor ID]])</f>
        <v>6A00548</v>
      </c>
      <c r="I1292" s="75" t="str">
        <f>IF(LS[[#This Row],[B/S]]="B","BUY",(IF(LS[[#This Row],[B/S]]="S","SELL"," ")))</f>
        <v>SELL</v>
      </c>
      <c r="J1292" s="101" t="s">
        <v>1231</v>
      </c>
      <c r="K1292" s="102">
        <v>-540000</v>
      </c>
      <c r="L1292" s="99"/>
      <c r="M1292" s="103">
        <f>LS[[#This Row],[Amount]]/LS[[#This Row],[Unit]]</f>
        <v>13.536888019854102</v>
      </c>
      <c r="N1292" s="104">
        <f>LS[[#This Row],[Unit Capital]]/10</f>
        <v>-39891</v>
      </c>
      <c r="O1292" s="104">
        <f>SUMIFS(LS[[#Headers],[Unit]]:LS[[#This Row],[Unit]],LS[[#Headers],[Investor ID]]:LS[[#This Row],[Investor ID]],LS[[#This Row],[Investor ID]])</f>
        <v>444</v>
      </c>
      <c r="P1292" s="102">
        <v>-398910</v>
      </c>
      <c r="Q1292" s="102">
        <f>LS[[#This Row],[Amount]]-LS[[#This Row],[Unit Capital]]</f>
        <v>-141090</v>
      </c>
      <c r="R12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11.082051509375416</v>
      </c>
      <c r="S1292" s="103">
        <f t="shared" si="21"/>
        <v>14.224</v>
      </c>
      <c r="T1292" s="102">
        <f>IF(LS[[#This Row],[B/S]]="B",0,ABS(LS[[#This Row],[Unit]])*(LS[[#This Row],[NAV (Strike Rate)]]-INDEX(LS[NAV at Cost (Average)],MATCH(CONCATENATE(LS[[#This Row],[Frequency]]-1,LS[[#This Row],[Investor ID]]),LS[Unique Code],0),)))</f>
        <v>97925.88323950523</v>
      </c>
      <c r="U1292" s="102" cm="1">
        <f t="array" ref="U1292">IF(LS[[#This Row],[B/S]]="S",ABS(LS[[#This Row],[Unit]])*(INDEX(LS[NAV at Cost (Average)],MATCH(CONCATENATE((LS[[#This Row],[Frequency]]-1),LS[[#This Row],[Investor ID]]),LS[Unique Code],0),0)),0)</f>
        <v>442074.11676049471</v>
      </c>
      <c r="V1292" s="102">
        <f>IF(LS[[#This Row],[BO TRANSFER]]="YES",LS[[#This Row],[Unit]],)</f>
        <v>0</v>
      </c>
      <c r="W1292" s="102">
        <f>SUMIFS(LS[[#Headers],[BO UNIT TRANSFER]]:LS[[#This Row],[BO UNIT TRANSFER]],LS[[#Headers],[Investor ID]]:LS[[#This Row],[Investor ID]],LS[[#This Row],[Investor ID]])</f>
        <v>0</v>
      </c>
    </row>
    <row r="1293" spans="1:23">
      <c r="A1293" s="101">
        <v>2025</v>
      </c>
      <c r="B1293" s="101">
        <v>10</v>
      </c>
      <c r="C1293" s="101">
        <v>7</v>
      </c>
      <c r="D1293" s="98">
        <f>DATE(LS[[#This Row],[Year]],LS[[#This Row],[Month]],LS[[#This Row],[Day]])</f>
        <v>45937</v>
      </c>
      <c r="E1293" s="99" t="str" cm="1">
        <f t="array" ref="E1293">INDEX(INVESTORS_LIST[INVESTOR NAME],MATCH(LS[[#This Row],[Investor ID]],INVESTORS_LIST[INVESTOR CODE],0),)</f>
        <v>NASREEN BEGUM</v>
      </c>
      <c r="F1293" s="100" t="s">
        <v>1417</v>
      </c>
      <c r="G1293" s="101">
        <f>COUNTIF(LS[[#Headers],[Investor ID]]:LS[[#This Row],[Investor ID]],LS[[#This Row],[Investor ID]])</f>
        <v>3</v>
      </c>
      <c r="H1293" s="101" t="str">
        <f>CONCATENATE(LS[[#This Row],[Frequency]],LS[[#This Row],[Investor ID]])</f>
        <v>3A00652</v>
      </c>
      <c r="I1293" s="75" t="str">
        <f>IF(LS[[#This Row],[B/S]]="B","BUY",(IF(LS[[#This Row],[B/S]]="S","SELL"," ")))</f>
        <v>SELL</v>
      </c>
      <c r="J1293" s="101" t="s">
        <v>1231</v>
      </c>
      <c r="K1293" s="102">
        <v>-10000</v>
      </c>
      <c r="L1293" s="99"/>
      <c r="M1293" s="103">
        <f>LS[[#This Row],[Amount]]/LS[[#This Row],[Unit]]</f>
        <v>13.531799729364005</v>
      </c>
      <c r="N1293" s="104">
        <f>LS[[#This Row],[Unit Capital]]/10</f>
        <v>-739</v>
      </c>
      <c r="O1293" s="104">
        <f>SUMIFS(LS[[#Headers],[Unit]]:LS[[#This Row],[Unit]],LS[[#Headers],[Investor ID]]:LS[[#This Row],[Investor ID]],LS[[#This Row],[Investor ID]])</f>
        <v>112614</v>
      </c>
      <c r="P1293" s="102">
        <v>-7390</v>
      </c>
      <c r="Q1293" s="102">
        <f>LS[[#This Row],[Amount]]-LS[[#This Row],[Unit Capital]]</f>
        <v>-2610</v>
      </c>
      <c r="R12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293" s="103">
        <f t="shared" si="21"/>
        <v>14.224</v>
      </c>
      <c r="T1293" s="102">
        <f>IF(LS[[#This Row],[B/S]]="B",0,ABS(LS[[#This Row],[Unit]])*(LS[[#This Row],[NAV (Strike Rate)]]-INDEX(LS[NAV at Cost (Average)],MATCH(CONCATENATE(LS[[#This Row],[Frequency]]-1,LS[[#This Row],[Investor ID]]),LS[Unique Code],0),)))</f>
        <v>500.87835811302881</v>
      </c>
      <c r="U1293" s="102" cm="1">
        <f t="array" ref="U1293">IF(LS[[#This Row],[B/S]]="S",ABS(LS[[#This Row],[Unit]])*(INDEX(LS[NAV at Cost (Average)],MATCH(CONCATENATE((LS[[#This Row],[Frequency]]-1),LS[[#This Row],[Investor ID]]),LS[Unique Code],0),0)),0)</f>
        <v>9499.1216418869717</v>
      </c>
      <c r="V1293" s="102">
        <f>IF(LS[[#This Row],[BO TRANSFER]]="YES",LS[[#This Row],[Unit]],)</f>
        <v>0</v>
      </c>
      <c r="W1293" s="102">
        <f>SUMIFS(LS[[#Headers],[BO UNIT TRANSFER]]:LS[[#This Row],[BO UNIT TRANSFER]],LS[[#Headers],[Investor ID]]:LS[[#This Row],[Investor ID]],LS[[#This Row],[Investor ID]])</f>
        <v>0</v>
      </c>
    </row>
    <row r="1294" spans="1:23">
      <c r="A1294" s="101">
        <v>2025</v>
      </c>
      <c r="B1294" s="101">
        <v>10</v>
      </c>
      <c r="C1294" s="101">
        <v>7</v>
      </c>
      <c r="D1294" s="98">
        <f>DATE(LS[[#This Row],[Year]],LS[[#This Row],[Month]],LS[[#This Row],[Day]])</f>
        <v>45937</v>
      </c>
      <c r="E1294" s="99" t="str" cm="1">
        <f t="array" ref="E1294">INDEX(INVESTORS_LIST[INVESTOR NAME],MATCH(LS[[#This Row],[Investor ID]],INVESTORS_LIST[INVESTOR CODE],0),)</f>
        <v>AROOBA SAMEERA CHOWDHURY</v>
      </c>
      <c r="F1294" s="100" t="s">
        <v>1418</v>
      </c>
      <c r="G1294" s="101">
        <f>COUNTIF(LS[[#Headers],[Investor ID]]:LS[[#This Row],[Investor ID]],LS[[#This Row],[Investor ID]])</f>
        <v>3</v>
      </c>
      <c r="H1294" s="101" t="str">
        <f>CONCATENATE(LS[[#This Row],[Frequency]],LS[[#This Row],[Investor ID]])</f>
        <v>3A00653</v>
      </c>
      <c r="I1294" s="75" t="str">
        <f>IF(LS[[#This Row],[B/S]]="B","BUY",(IF(LS[[#This Row],[B/S]]="S","SELL"," ")))</f>
        <v>SELL</v>
      </c>
      <c r="J1294" s="101" t="s">
        <v>1231</v>
      </c>
      <c r="K1294" s="102">
        <v>-7000</v>
      </c>
      <c r="L1294" s="99"/>
      <c r="M1294" s="103">
        <f>LS[[#This Row],[Amount]]/LS[[#This Row],[Unit]]</f>
        <v>13.539651837524177</v>
      </c>
      <c r="N1294" s="104">
        <f>LS[[#This Row],[Unit Capital]]/10</f>
        <v>-517</v>
      </c>
      <c r="O1294" s="104">
        <f>SUMIFS(LS[[#Headers],[Unit]]:LS[[#This Row],[Unit]],LS[[#Headers],[Investor ID]]:LS[[#This Row],[Investor ID]],LS[[#This Row],[Investor ID]])</f>
        <v>76751</v>
      </c>
      <c r="P1294" s="102">
        <v>-5170</v>
      </c>
      <c r="Q1294" s="102">
        <f>LS[[#This Row],[Amount]]-LS[[#This Row],[Unit Capital]]</f>
        <v>-1830</v>
      </c>
      <c r="R12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294" s="103">
        <f t="shared" si="21"/>
        <v>14.224</v>
      </c>
      <c r="T1294" s="102">
        <f>IF(LS[[#This Row],[B/S]]="B",0,ABS(LS[[#This Row],[Unit]])*(LS[[#This Row],[NAV (Strike Rate)]]-INDEX(LS[NAV at Cost (Average)],MATCH(CONCATENATE(LS[[#This Row],[Frequency]]-1,LS[[#This Row],[Investor ID]]),LS[Unique Code],0),)))</f>
        <v>354.4995308302374</v>
      </c>
      <c r="U1294" s="102" cm="1">
        <f t="array" ref="U1294">IF(LS[[#This Row],[B/S]]="S",ABS(LS[[#This Row],[Unit]])*(INDEX(LS[NAV at Cost (Average)],MATCH(CONCATENATE((LS[[#This Row],[Frequency]]-1),LS[[#This Row],[Investor ID]]),LS[Unique Code],0),0)),0)</f>
        <v>6645.5004691697623</v>
      </c>
      <c r="V1294" s="102">
        <f>IF(LS[[#This Row],[BO TRANSFER]]="YES",LS[[#This Row],[Unit]],)</f>
        <v>0</v>
      </c>
      <c r="W1294" s="102">
        <f>SUMIFS(LS[[#Headers],[BO UNIT TRANSFER]]:LS[[#This Row],[BO UNIT TRANSFER]],LS[[#Headers],[Investor ID]]:LS[[#This Row],[Investor ID]],LS[[#This Row],[Investor ID]])</f>
        <v>0</v>
      </c>
    </row>
    <row r="1295" spans="1:23">
      <c r="A1295" s="101">
        <v>2025</v>
      </c>
      <c r="B1295" s="101">
        <v>10</v>
      </c>
      <c r="C1295" s="101">
        <v>8</v>
      </c>
      <c r="D1295" s="98">
        <f>DATE(LS[[#This Row],[Year]],LS[[#This Row],[Month]],LS[[#This Row],[Day]])</f>
        <v>45938</v>
      </c>
      <c r="E1295" s="99" t="str" cm="1">
        <f t="array" ref="E1295">INDEX(INVESTORS_LIST[INVESTOR NAME],MATCH(LS[[#This Row],[Investor ID]],INVESTORS_LIST[INVESTOR CODE],0),)</f>
        <v>NAUSHEEN AHMED</v>
      </c>
      <c r="F1295" s="100" t="s">
        <v>585</v>
      </c>
      <c r="G1295" s="101">
        <f>COUNTIF(LS[[#Headers],[Investor ID]]:LS[[#This Row],[Investor ID]],LS[[#This Row],[Investor ID]])</f>
        <v>6</v>
      </c>
      <c r="H1295" s="101" t="str">
        <f>CONCATENATE(LS[[#This Row],[Frequency]],LS[[#This Row],[Investor ID]])</f>
        <v>6A00268</v>
      </c>
      <c r="I1295" s="75" t="str">
        <f>IF(LS[[#This Row],[B/S]]="B","BUY",(IF(LS[[#This Row],[B/S]]="S","SELL"," ")))</f>
        <v>BUY</v>
      </c>
      <c r="J1295" s="101" t="s">
        <v>1229</v>
      </c>
      <c r="K1295" s="102">
        <v>494100.5</v>
      </c>
      <c r="L1295" s="99"/>
      <c r="M1295" s="103">
        <f>LS[[#This Row],[Amount]]/LS[[#This Row],[Unit]]</f>
        <v>13.537000000000001</v>
      </c>
      <c r="N1295" s="104">
        <f>LS[[#This Row],[Unit Capital]]/10</f>
        <v>36500</v>
      </c>
      <c r="O1295" s="104">
        <f>SUMIFS(LS[[#Headers],[Unit]]:LS[[#This Row],[Unit]],LS[[#Headers],[Investor ID]]:LS[[#This Row],[Investor ID]],LS[[#This Row],[Investor ID]])</f>
        <v>36500</v>
      </c>
      <c r="P1295" s="102">
        <v>365000</v>
      </c>
      <c r="Q1295" s="102">
        <f>LS[[#This Row],[Amount]]-LS[[#This Row],[Unit Capital]]</f>
        <v>129100.5</v>
      </c>
      <c r="R12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13.537000000000001</v>
      </c>
      <c r="S1295" s="103">
        <f t="shared" si="21"/>
        <v>14.224</v>
      </c>
      <c r="T12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95" s="102" cm="1">
        <f t="array" ref="U1295">IF(LS[[#This Row],[B/S]]="S",ABS(LS[[#This Row],[Unit]])*(INDEX(LS[NAV at Cost (Average)],MATCH(CONCATENATE((LS[[#This Row],[Frequency]]-1),LS[[#This Row],[Investor ID]]),LS[Unique Code],0),0)),0)</f>
        <v>0</v>
      </c>
      <c r="V1295" s="102">
        <f>IF(LS[[#This Row],[BO TRANSFER]]="YES",LS[[#This Row],[Unit]],)</f>
        <v>0</v>
      </c>
      <c r="W1295" s="102">
        <f>SUMIFS(LS[[#Headers],[BO UNIT TRANSFER]]:LS[[#This Row],[BO UNIT TRANSFER]],LS[[#Headers],[Investor ID]]:LS[[#This Row],[Investor ID]],LS[[#This Row],[Investor ID]])</f>
        <v>0</v>
      </c>
    </row>
    <row r="1296" spans="1:23">
      <c r="A1296" s="101">
        <v>2025</v>
      </c>
      <c r="B1296" s="101">
        <v>10</v>
      </c>
      <c r="C1296" s="101">
        <v>8</v>
      </c>
      <c r="D1296" s="98">
        <f>DATE(LS[[#This Row],[Year]],LS[[#This Row],[Month]],LS[[#This Row],[Day]])</f>
        <v>45938</v>
      </c>
      <c r="E1296" s="99" t="str" cm="1">
        <f t="array" ref="E1296">INDEX(INVESTORS_LIST[INVESTOR NAME],MATCH(LS[[#This Row],[Investor ID]],INVESTORS_LIST[INVESTOR CODE],0),)</f>
        <v>SYEDUL TANVIR HOQUE PRIYAM</v>
      </c>
      <c r="F1296" s="100" t="s">
        <v>1424</v>
      </c>
      <c r="G1296" s="101">
        <f>COUNTIF(LS[[#Headers],[Investor ID]]:LS[[#This Row],[Investor ID]],LS[[#This Row],[Investor ID]])</f>
        <v>6</v>
      </c>
      <c r="H1296" s="101" t="str">
        <f>CONCATENATE(LS[[#This Row],[Frequency]],LS[[#This Row],[Investor ID]])</f>
        <v>6A00656</v>
      </c>
      <c r="I1296" s="75" t="str">
        <f>IF(LS[[#This Row],[B/S]]="B","BUY",(IF(LS[[#This Row],[B/S]]="S","SELL"," ")))</f>
        <v>SELL</v>
      </c>
      <c r="J1296" s="101" t="s">
        <v>1231</v>
      </c>
      <c r="K1296" s="102">
        <v>-32160.45</v>
      </c>
      <c r="L1296" s="99"/>
      <c r="M1296" s="103">
        <f>LS[[#This Row],[Amount]]/LS[[#This Row],[Unit]]</f>
        <v>13.53554292929293</v>
      </c>
      <c r="N1296" s="104">
        <f>LS[[#This Row],[Unit Capital]]/10</f>
        <v>-2376</v>
      </c>
      <c r="O1296" s="104">
        <f>SUMIFS(LS[[#Headers],[Unit]]:LS[[#This Row],[Unit]],LS[[#Headers],[Investor ID]]:LS[[#This Row],[Investor ID]],LS[[#This Row],[Investor ID]])</f>
        <v>103420</v>
      </c>
      <c r="P1296" s="102">
        <v>-23760</v>
      </c>
      <c r="Q1296" s="102">
        <f>LS[[#This Row],[Amount]]-LS[[#This Row],[Unit Capital]]</f>
        <v>-8400.4500000000007</v>
      </c>
      <c r="R12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296" s="103">
        <f t="shared" si="21"/>
        <v>14.224</v>
      </c>
      <c r="T1296" s="102">
        <f>IF(LS[[#This Row],[B/S]]="B",0,ABS(LS[[#This Row],[Unit]])*(LS[[#This Row],[NAV (Strike Rate)]]-INDEX(LS[NAV at Cost (Average)],MATCH(CONCATENATE(LS[[#This Row],[Frequency]]-1,LS[[#This Row],[Investor ID]]),LS[Unique Code],0),)))</f>
        <v>1467.3076068502257</v>
      </c>
      <c r="U1296" s="102" cm="1">
        <f t="array" ref="U1296">IF(LS[[#This Row],[B/S]]="S",ABS(LS[[#This Row],[Unit]])*(INDEX(LS[NAV at Cost (Average)],MATCH(CONCATENATE((LS[[#This Row],[Frequency]]-1),LS[[#This Row],[Investor ID]]),LS[Unique Code],0),0)),0)</f>
        <v>30693.142393149777</v>
      </c>
      <c r="V1296" s="102">
        <f>IF(LS[[#This Row],[BO TRANSFER]]="YES",LS[[#This Row],[Unit]],)</f>
        <v>0</v>
      </c>
      <c r="W1296" s="102">
        <f>SUMIFS(LS[[#Headers],[BO UNIT TRANSFER]]:LS[[#This Row],[BO UNIT TRANSFER]],LS[[#Headers],[Investor ID]]:LS[[#This Row],[Investor ID]],LS[[#This Row],[Investor ID]])</f>
        <v>0</v>
      </c>
    </row>
    <row r="1297" spans="1:23">
      <c r="A1297" s="101">
        <v>2025</v>
      </c>
      <c r="B1297" s="101">
        <v>10</v>
      </c>
      <c r="C1297" s="101">
        <v>8</v>
      </c>
      <c r="D1297" s="98">
        <f>DATE(LS[[#This Row],[Year]],LS[[#This Row],[Month]],LS[[#This Row],[Day]])</f>
        <v>45938</v>
      </c>
      <c r="E1297" s="99" t="str" cm="1">
        <f t="array" ref="E1297">INDEX(INVESTORS_LIST[INVESTOR NAME],MATCH(LS[[#This Row],[Investor ID]],INVESTORS_LIST[INVESTOR CODE],0),)</f>
        <v>NAUSHEEN AHMED</v>
      </c>
      <c r="F1297" s="100" t="s">
        <v>585</v>
      </c>
      <c r="G1297" s="101">
        <f>COUNTIF(LS[[#Headers],[Investor ID]]:LS[[#This Row],[Investor ID]],LS[[#This Row],[Investor ID]])</f>
        <v>7</v>
      </c>
      <c r="H1297" s="101" t="str">
        <f>CONCATENATE(LS[[#This Row],[Frequency]],LS[[#This Row],[Investor ID]])</f>
        <v>7A00268</v>
      </c>
      <c r="I1297" s="75" t="str">
        <f>IF(LS[[#This Row],[B/S]]="B","BUY",(IF(LS[[#This Row],[B/S]]="S","SELL"," ")))</f>
        <v>BUY</v>
      </c>
      <c r="J1297" s="101" t="s">
        <v>1229</v>
      </c>
      <c r="K1297" s="102">
        <v>494100.5</v>
      </c>
      <c r="L1297" s="99"/>
      <c r="M1297" s="103">
        <f>LS[[#This Row],[Amount]]/LS[[#This Row],[Unit]]</f>
        <v>13.537000000000001</v>
      </c>
      <c r="N1297" s="104">
        <f>LS[[#This Row],[Unit Capital]]/10</f>
        <v>36500</v>
      </c>
      <c r="O1297" s="104">
        <f>SUMIFS(LS[[#Headers],[Unit]]:LS[[#This Row],[Unit]],LS[[#Headers],[Investor ID]]:LS[[#This Row],[Investor ID]],LS[[#This Row],[Investor ID]])</f>
        <v>73000</v>
      </c>
      <c r="P1297" s="102">
        <v>365000</v>
      </c>
      <c r="Q1297" s="102">
        <f>LS[[#This Row],[Amount]]-LS[[#This Row],[Unit Capital]]</f>
        <v>129100.5</v>
      </c>
      <c r="R12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13.537000000000001</v>
      </c>
      <c r="S1297" s="103">
        <f t="shared" si="21"/>
        <v>14.224</v>
      </c>
      <c r="T129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97" s="102" cm="1">
        <f t="array" ref="U1297">IF(LS[[#This Row],[B/S]]="S",ABS(LS[[#This Row],[Unit]])*(INDEX(LS[NAV at Cost (Average)],MATCH(CONCATENATE((LS[[#This Row],[Frequency]]-1),LS[[#This Row],[Investor ID]]),LS[Unique Code],0),0)),0)</f>
        <v>0</v>
      </c>
      <c r="V1297" s="102">
        <f>IF(LS[[#This Row],[BO TRANSFER]]="YES",LS[[#This Row],[Unit]],)</f>
        <v>0</v>
      </c>
      <c r="W1297" s="102">
        <f>SUMIFS(LS[[#Headers],[BO UNIT TRANSFER]]:LS[[#This Row],[BO UNIT TRANSFER]],LS[[#Headers],[Investor ID]]:LS[[#This Row],[Investor ID]],LS[[#This Row],[Investor ID]])</f>
        <v>0</v>
      </c>
    </row>
    <row r="1298" spans="1:23">
      <c r="A1298" s="101">
        <v>2025</v>
      </c>
      <c r="B1298" s="101">
        <v>10</v>
      </c>
      <c r="C1298" s="101">
        <v>9</v>
      </c>
      <c r="D1298" s="98">
        <f>DATE(LS[[#This Row],[Year]],LS[[#This Row],[Month]],LS[[#This Row],[Day]])</f>
        <v>45939</v>
      </c>
      <c r="E1298" s="99" t="str" cm="1">
        <f t="array" ref="E1298">INDEX(INVESTORS_LIST[INVESTOR NAME],MATCH(LS[[#This Row],[Investor ID]],INVESTORS_LIST[INVESTOR CODE],0),)</f>
        <v>FARZANA JITU</v>
      </c>
      <c r="F1298" s="100" t="s">
        <v>968</v>
      </c>
      <c r="G1298" s="101">
        <f>COUNTIF(LS[[#Headers],[Investor ID]]:LS[[#This Row],[Investor ID]],LS[[#This Row],[Investor ID]])</f>
        <v>36</v>
      </c>
      <c r="H1298" s="101" t="str">
        <f>CONCATENATE(LS[[#This Row],[Frequency]],LS[[#This Row],[Investor ID]])</f>
        <v>36A00461</v>
      </c>
      <c r="I1298" s="75" t="str">
        <f>IF(LS[[#This Row],[B/S]]="B","BUY",(IF(LS[[#This Row],[B/S]]="S","SELL"," ")))</f>
        <v>BUY</v>
      </c>
      <c r="J1298" s="101" t="s">
        <v>1229</v>
      </c>
      <c r="K1298" s="102">
        <v>60000</v>
      </c>
      <c r="L1298" s="88" t="s">
        <v>1230</v>
      </c>
      <c r="M1298" s="103">
        <f>LS[[#This Row],[Amount]]/LS[[#This Row],[Unit]]</f>
        <v>13.537906137184116</v>
      </c>
      <c r="N1298" s="104">
        <f>LS[[#This Row],[Unit Capital]]/10</f>
        <v>4432</v>
      </c>
      <c r="O1298" s="104">
        <f>SUMIFS(LS[[#Headers],[Unit]]:LS[[#This Row],[Unit]],LS[[#Headers],[Investor ID]]:LS[[#This Row],[Investor ID]],LS[[#This Row],[Investor ID]])</f>
        <v>122262</v>
      </c>
      <c r="P1298" s="102">
        <v>44320</v>
      </c>
      <c r="Q1298" s="102">
        <f>LS[[#This Row],[Amount]]-LS[[#This Row],[Unit Capital]]</f>
        <v>15680</v>
      </c>
      <c r="R12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12.51520998705702</v>
      </c>
      <c r="S1298" s="103">
        <f t="shared" si="21"/>
        <v>14.224</v>
      </c>
      <c r="T129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298" s="102" cm="1">
        <f t="array" ref="U1298">IF(LS[[#This Row],[B/S]]="S",ABS(LS[[#This Row],[Unit]])*(INDEX(LS[NAV at Cost (Average)],MATCH(CONCATENATE((LS[[#This Row],[Frequency]]-1),LS[[#This Row],[Investor ID]]),LS[Unique Code],0),0)),0)</f>
        <v>0</v>
      </c>
      <c r="V1298" s="102">
        <f>IF(LS[[#This Row],[BO TRANSFER]]="YES",LS[[#This Row],[Unit]],)</f>
        <v>4432</v>
      </c>
      <c r="W1298" s="102">
        <f>SUMIFS(LS[[#Headers],[BO UNIT TRANSFER]]:LS[[#This Row],[BO UNIT TRANSFER]],LS[[#Headers],[Investor ID]]:LS[[#This Row],[Investor ID]],LS[[#This Row],[Investor ID]])</f>
        <v>16424</v>
      </c>
    </row>
    <row r="1299" spans="1:23">
      <c r="A1299" s="101">
        <v>2025</v>
      </c>
      <c r="B1299" s="101">
        <v>10</v>
      </c>
      <c r="C1299" s="101">
        <v>9</v>
      </c>
      <c r="D1299" s="98">
        <f>DATE(LS[[#This Row],[Year]],LS[[#This Row],[Month]],LS[[#This Row],[Day]])</f>
        <v>45939</v>
      </c>
      <c r="E1299" t="str" cm="1">
        <f t="array" ref="E1299">INDEX(INVESTORS_LIST[INVESTOR NAME],MATCH(LS[[#This Row],[Investor ID]],INVESTORS_LIST[INVESTOR CODE],0),)</f>
        <v>EKUSH WEALTH MANAGEMENT LIMITED</v>
      </c>
      <c r="F1299" s="100" t="s">
        <v>47</v>
      </c>
      <c r="G1299" s="101">
        <f>COUNTIF(LS[[#Headers],[Investor ID]]:LS[[#This Row],[Investor ID]],LS[[#This Row],[Investor ID]])</f>
        <v>42</v>
      </c>
      <c r="H1299" s="101" t="str">
        <f>CONCATENATE(LS[[#This Row],[Frequency]],LS[[#This Row],[Investor ID]])</f>
        <v>42A00003</v>
      </c>
      <c r="I1299" s="75" t="str">
        <f>IF(LS[[#This Row],[B/S]]="B","BUY",(IF(LS[[#This Row],[B/S]]="S","SELL"," ")))</f>
        <v>SELL</v>
      </c>
      <c r="J1299" s="101" t="s">
        <v>1231</v>
      </c>
      <c r="K1299" s="102">
        <v>-120000</v>
      </c>
      <c r="L1299" s="99"/>
      <c r="M1299" s="103">
        <f>LS[[#This Row],[Amount]]/LS[[#This Row],[Unit]]</f>
        <v>13.536379018612521</v>
      </c>
      <c r="N1299" s="104">
        <f>LS[[#This Row],[Unit Capital]]/10</f>
        <v>-8865</v>
      </c>
      <c r="O1299" s="104">
        <f>SUMIFS(LS[[#Headers],[Unit]]:LS[[#This Row],[Unit]],LS[[#Headers],[Investor ID]]:LS[[#This Row],[Investor ID]],LS[[#This Row],[Investor ID]])</f>
        <v>179798</v>
      </c>
      <c r="P1299" s="102">
        <v>-88650</v>
      </c>
      <c r="Q1299" s="102">
        <f>LS[[#This Row],[Amount]]-LS[[#This Row],[Unit Capital]]</f>
        <v>-31350</v>
      </c>
      <c r="R12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299" s="103">
        <f t="shared" si="21"/>
        <v>14.224</v>
      </c>
      <c r="T1299" s="102">
        <f>IF(LS[[#This Row],[B/S]]="B",0,ABS(LS[[#This Row],[Unit]])*(LS[[#This Row],[NAV (Strike Rate)]]-INDEX(LS[NAV at Cost (Average)],MATCH(CONCATENATE(LS[[#This Row],[Frequency]]-1,LS[[#This Row],[Investor ID]]),LS[Unique Code],0),)))</f>
        <v>13080.049477636718</v>
      </c>
      <c r="U1299" s="102" cm="1">
        <f t="array" ref="U1299">IF(LS[[#This Row],[B/S]]="S",ABS(LS[[#This Row],[Unit]])*(INDEX(LS[NAV at Cost (Average)],MATCH(CONCATENATE((LS[[#This Row],[Frequency]]-1),LS[[#This Row],[Investor ID]]),LS[Unique Code],0),0)),0)</f>
        <v>106919.95052236329</v>
      </c>
      <c r="V1299" s="102">
        <f>IF(LS[[#This Row],[BO TRANSFER]]="YES",LS[[#This Row],[Unit]],)</f>
        <v>0</v>
      </c>
      <c r="W1299" s="102">
        <f>SUMIFS(LS[[#Headers],[BO UNIT TRANSFER]]:LS[[#This Row],[BO UNIT TRANSFER]],LS[[#Headers],[Investor ID]]:LS[[#This Row],[Investor ID]],LS[[#This Row],[Investor ID]])</f>
        <v>0</v>
      </c>
    </row>
    <row r="1300" spans="1:23">
      <c r="A1300" s="101">
        <v>2025</v>
      </c>
      <c r="B1300" s="101">
        <v>10</v>
      </c>
      <c r="C1300" s="101">
        <v>9</v>
      </c>
      <c r="D1300" s="98">
        <f>DATE(LS[[#This Row],[Year]],LS[[#This Row],[Month]],LS[[#This Row],[Day]])</f>
        <v>45939</v>
      </c>
      <c r="E1300" s="99" t="str" cm="1">
        <f t="array" ref="E1300">INDEX(INVESTORS_LIST[INVESTOR NAME],MATCH(LS[[#This Row],[Investor ID]],INVESTORS_LIST[INVESTOR CODE],0),)</f>
        <v>LANKABANGLA INVESTMENTS LIMITED</v>
      </c>
      <c r="F1300" s="100" t="s">
        <v>1275</v>
      </c>
      <c r="G1300" s="101">
        <f>COUNTIF(LS[[#Headers],[Investor ID]]:LS[[#This Row],[Investor ID]],LS[[#This Row],[Investor ID]])</f>
        <v>4</v>
      </c>
      <c r="H1300" s="101" t="str">
        <f>CONCATENATE(LS[[#This Row],[Frequency]],LS[[#This Row],[Investor ID]])</f>
        <v>4A00586</v>
      </c>
      <c r="I1300" s="75" t="str">
        <f>IF(LS[[#This Row],[B/S]]="B","BUY",(IF(LS[[#This Row],[B/S]]="S","SELL"," ")))</f>
        <v>BUY</v>
      </c>
      <c r="J1300" s="101" t="s">
        <v>1229</v>
      </c>
      <c r="K1300" s="102">
        <v>399991.28</v>
      </c>
      <c r="L1300" s="99"/>
      <c r="M1300" s="103">
        <f>LS[[#This Row],[Amount]]/LS[[#This Row],[Unit]]</f>
        <v>13.537000135372953</v>
      </c>
      <c r="N1300" s="104">
        <f>LS[[#This Row],[Unit Capital]]/10</f>
        <v>29548</v>
      </c>
      <c r="O1300" s="104">
        <f>SUMIFS(LS[[#Headers],[Unit]]:LS[[#This Row],[Unit]],LS[[#Headers],[Investor ID]]:LS[[#This Row],[Investor ID]],LS[[#This Row],[Investor ID]])</f>
        <v>2000409</v>
      </c>
      <c r="P1300" s="102">
        <v>295480</v>
      </c>
      <c r="Q1300" s="102">
        <f>LS[[#This Row],[Amount]]-LS[[#This Row],[Unit Capital]]</f>
        <v>104511.28000000003</v>
      </c>
      <c r="R13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12.188793331763653</v>
      </c>
      <c r="S1300" s="103">
        <f t="shared" si="21"/>
        <v>14.224</v>
      </c>
      <c r="T13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00" s="102" cm="1">
        <f t="array" ref="U1300">IF(LS[[#This Row],[B/S]]="S",ABS(LS[[#This Row],[Unit]])*(INDEX(LS[NAV at Cost (Average)],MATCH(CONCATENATE((LS[[#This Row],[Frequency]]-1),LS[[#This Row],[Investor ID]]),LS[Unique Code],0),0)),0)</f>
        <v>0</v>
      </c>
      <c r="V1300" s="102">
        <f>IF(LS[[#This Row],[BO TRANSFER]]="YES",LS[[#This Row],[Unit]],)</f>
        <v>0</v>
      </c>
      <c r="W1300" s="102">
        <f>SUMIFS(LS[[#Headers],[BO UNIT TRANSFER]]:LS[[#This Row],[BO UNIT TRANSFER]],LS[[#Headers],[Investor ID]]:LS[[#This Row],[Investor ID]],LS[[#This Row],[Investor ID]])</f>
        <v>0</v>
      </c>
    </row>
    <row r="1301" spans="1:23">
      <c r="A1301" s="101">
        <v>2025</v>
      </c>
      <c r="B1301" s="101">
        <v>10</v>
      </c>
      <c r="C1301" s="101">
        <v>11</v>
      </c>
      <c r="D1301" s="98">
        <f>DATE(LS[[#This Row],[Year]],LS[[#This Row],[Month]],LS[[#This Row],[Day]])</f>
        <v>45941</v>
      </c>
      <c r="E1301" s="99" t="str" cm="1">
        <f t="array" ref="E1301">INDEX(INVESTORS_LIST[INVESTOR NAME],MATCH(LS[[#This Row],[Investor ID]],INVESTORS_LIST[INVESTOR CODE],0),)</f>
        <v>MADHAB GHOSH</v>
      </c>
      <c r="F1301" s="100" t="s">
        <v>982</v>
      </c>
      <c r="G1301" s="101">
        <f>COUNTIF(LS[[#Headers],[Investor ID]]:LS[[#This Row],[Investor ID]],LS[[#This Row],[Investor ID]])</f>
        <v>11</v>
      </c>
      <c r="H1301" s="101" t="str">
        <f>CONCATENATE(LS[[#This Row],[Frequency]],LS[[#This Row],[Investor ID]])</f>
        <v>11A00468</v>
      </c>
      <c r="I1301" s="75" t="str">
        <f>IF(LS[[#This Row],[B/S]]="B","BUY",(IF(LS[[#This Row],[B/S]]="S","SELL"," ")))</f>
        <v>BUY</v>
      </c>
      <c r="J1301" s="101" t="s">
        <v>1229</v>
      </c>
      <c r="K1301" s="102">
        <v>75000</v>
      </c>
      <c r="L1301" s="99"/>
      <c r="M1301" s="103">
        <f>LS[[#This Row],[Amount]]/LS[[#This Row],[Unit]]</f>
        <v>13.574660633484163</v>
      </c>
      <c r="N1301" s="104">
        <f>LS[[#This Row],[Unit Capital]]/10</f>
        <v>5525</v>
      </c>
      <c r="O1301" s="104">
        <f>SUMIFS(LS[[#Headers],[Unit]]:LS[[#This Row],[Unit]],LS[[#Headers],[Investor ID]]:LS[[#This Row],[Investor ID]],LS[[#This Row],[Investor ID]])</f>
        <v>12964</v>
      </c>
      <c r="P1301" s="102">
        <v>55250</v>
      </c>
      <c r="Q1301" s="102">
        <f>LS[[#This Row],[Amount]]-LS[[#This Row],[Unit Capital]]</f>
        <v>19750</v>
      </c>
      <c r="R13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13.498920086393088</v>
      </c>
      <c r="S1301" s="103">
        <f t="shared" ref="S1301:S1307" si="22">IFERROR(NAV_MKT,0)</f>
        <v>14.224</v>
      </c>
      <c r="T130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01" s="102" cm="1">
        <f t="array" ref="U1301">IF(LS[[#This Row],[B/S]]="S",ABS(LS[[#This Row],[Unit]])*(INDEX(LS[NAV at Cost (Average)],MATCH(CONCATENATE((LS[[#This Row],[Frequency]]-1),LS[[#This Row],[Investor ID]]),LS[Unique Code],0),0)),0)</f>
        <v>0</v>
      </c>
      <c r="V1301" s="102">
        <f>IF(LS[[#This Row],[BO TRANSFER]]="YES",LS[[#This Row],[Unit]],)</f>
        <v>0</v>
      </c>
      <c r="W1301" s="102">
        <f>SUMIFS(LS[[#Headers],[BO UNIT TRANSFER]]:LS[[#This Row],[BO UNIT TRANSFER]],LS[[#Headers],[Investor ID]]:LS[[#This Row],[Investor ID]],LS[[#This Row],[Investor ID]])</f>
        <v>0</v>
      </c>
    </row>
    <row r="1302" spans="1:23">
      <c r="A1302" s="101">
        <v>2025</v>
      </c>
      <c r="B1302" s="101">
        <v>10</v>
      </c>
      <c r="C1302" s="101">
        <v>12</v>
      </c>
      <c r="D1302" s="98">
        <f>DATE(LS[[#This Row],[Year]],LS[[#This Row],[Month]],LS[[#This Row],[Day]])</f>
        <v>45942</v>
      </c>
      <c r="E1302" s="99" t="str" cm="1">
        <f t="array" ref="E1302">INDEX(INVESTORS_LIST[INVESTOR NAME],MATCH(LS[[#This Row],[Investor ID]],INVESTORS_LIST[INVESTOR CODE],0),)</f>
        <v>BETAONE INVESTMENTS LIMITED</v>
      </c>
      <c r="F1302" s="100" t="s">
        <v>1131</v>
      </c>
      <c r="G1302" s="101">
        <f>COUNTIF(LS[[#Headers],[Investor ID]]:LS[[#This Row],[Investor ID]],LS[[#This Row],[Investor ID]])</f>
        <v>4</v>
      </c>
      <c r="H1302" s="101" t="str">
        <f>CONCATENATE(LS[[#This Row],[Frequency]],LS[[#This Row],[Investor ID]])</f>
        <v>4A00541</v>
      </c>
      <c r="I1302" s="75" t="str">
        <f>IF(LS[[#This Row],[B/S]]="B","BUY",(IF(LS[[#This Row],[B/S]]="S","SELL"," ")))</f>
        <v>SELL</v>
      </c>
      <c r="J1302" s="101" t="s">
        <v>1231</v>
      </c>
      <c r="K1302" s="102">
        <v>-7000000</v>
      </c>
      <c r="L1302" s="99"/>
      <c r="M1302" s="103">
        <f>LS[[#This Row],[Amount]]/LS[[#This Row],[Unit]]</f>
        <v>13.537007277108341</v>
      </c>
      <c r="N1302" s="104">
        <f>LS[[#This Row],[Unit Capital]]/10</f>
        <v>-517101</v>
      </c>
      <c r="O1302" s="104">
        <f>SUMIFS(LS[[#Headers],[Unit]]:LS[[#This Row],[Unit]],LS[[#Headers],[Investor ID]]:LS[[#This Row],[Investor ID]],LS[[#This Row],[Investor ID]])</f>
        <v>1118693</v>
      </c>
      <c r="P1302" s="102">
        <v>-5171010</v>
      </c>
      <c r="Q1302" s="102">
        <f>LS[[#This Row],[Amount]]-LS[[#This Row],[Unit Capital]]</f>
        <v>-1828990</v>
      </c>
      <c r="R13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12.611001140730433</v>
      </c>
      <c r="S1302" s="103">
        <f t="shared" si="22"/>
        <v>14.224</v>
      </c>
      <c r="T1302" s="102">
        <f>IF(LS[[#This Row],[B/S]]="B",0,ABS(LS[[#This Row],[Unit]])*(LS[[#This Row],[NAV (Strike Rate)]]-INDEX(LS[NAV at Cost (Average)],MATCH(CONCATENATE(LS[[#This Row],[Frequency]]-1,LS[[#This Row],[Investor ID]]),LS[Unique Code],0),)))</f>
        <v>478838.69912715221</v>
      </c>
      <c r="U1302" s="102" cm="1">
        <f t="array" ref="U1302">IF(LS[[#This Row],[B/S]]="S",ABS(LS[[#This Row],[Unit]])*(INDEX(LS[NAV at Cost (Average)],MATCH(CONCATENATE((LS[[#This Row],[Frequency]]-1),LS[[#This Row],[Investor ID]]),LS[Unique Code],0),0)),0)</f>
        <v>6521161.3008728474</v>
      </c>
      <c r="V1302" s="102">
        <f>IF(LS[[#This Row],[BO TRANSFER]]="YES",LS[[#This Row],[Unit]],)</f>
        <v>0</v>
      </c>
      <c r="W1302" s="102">
        <f>SUMIFS(LS[[#Headers],[BO UNIT TRANSFER]]:LS[[#This Row],[BO UNIT TRANSFER]],LS[[#Headers],[Investor ID]]:LS[[#This Row],[Investor ID]],LS[[#This Row],[Investor ID]])</f>
        <v>0</v>
      </c>
    </row>
    <row r="1303" spans="1:23">
      <c r="A1303" s="101">
        <v>2025</v>
      </c>
      <c r="B1303" s="101">
        <v>10</v>
      </c>
      <c r="C1303" s="101">
        <v>13</v>
      </c>
      <c r="D1303" s="98">
        <f>DATE(LS[[#This Row],[Year]],LS[[#This Row],[Month]],LS[[#This Row],[Day]])</f>
        <v>45943</v>
      </c>
      <c r="E1303" s="99" t="str" cm="1">
        <f t="array" ref="E1303">INDEX(INVESTORS_LIST[INVESTOR NAME],MATCH(LS[[#This Row],[Investor ID]],INVESTORS_LIST[INVESTOR CODE],0),)</f>
        <v>BETAONE INVESTMENTS LIMITED</v>
      </c>
      <c r="F1303" s="100" t="s">
        <v>1131</v>
      </c>
      <c r="G1303" s="101">
        <f>COUNTIF(LS[[#Headers],[Investor ID]]:LS[[#This Row],[Investor ID]],LS[[#This Row],[Investor ID]])</f>
        <v>5</v>
      </c>
      <c r="H1303" s="101" t="str">
        <f>CONCATENATE(LS[[#This Row],[Frequency]],LS[[#This Row],[Investor ID]])</f>
        <v>5A00541</v>
      </c>
      <c r="I1303" s="75" t="str">
        <f>IF(LS[[#This Row],[B/S]]="B","BUY",(IF(LS[[#This Row],[B/S]]="S","SELL"," ")))</f>
        <v>SELL</v>
      </c>
      <c r="J1303" s="101" t="s">
        <v>1231</v>
      </c>
      <c r="K1303" s="102">
        <v>-15143743.380000001</v>
      </c>
      <c r="L1303" s="99"/>
      <c r="M1303" s="103">
        <f>LS[[#This Row],[Amount]]/LS[[#This Row],[Unit]]</f>
        <v>13.536996638041</v>
      </c>
      <c r="N1303" s="104">
        <f>LS[[#This Row],[Unit Capital]]/10</f>
        <v>-1118693</v>
      </c>
      <c r="O1303" s="104">
        <f>SUMIFS(LS[[#Headers],[Unit]]:LS[[#This Row],[Unit]],LS[[#Headers],[Investor ID]]:LS[[#This Row],[Investor ID]],LS[[#This Row],[Investor ID]])</f>
        <v>0</v>
      </c>
      <c r="P1303" s="102">
        <v>-11186930</v>
      </c>
      <c r="Q1303" s="102">
        <f>LS[[#This Row],[Amount]]-LS[[#This Row],[Unit Capital]]</f>
        <v>-3956813.3800000008</v>
      </c>
      <c r="R13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03" s="103">
        <f t="shared" si="22"/>
        <v>14.224</v>
      </c>
      <c r="T1303" s="102">
        <f>IF(LS[[#This Row],[B/S]]="B",0,ABS(LS[[#This Row],[Unit]])*(LS[[#This Row],[NAV (Strike Rate)]]-INDEX(LS[NAV at Cost (Average)],MATCH(CONCATENATE(LS[[#This Row],[Frequency]]-1,LS[[#This Row],[Investor ID]]),LS[Unique Code],0),)))</f>
        <v>1035904.6808728494</v>
      </c>
      <c r="U1303" s="102" cm="1">
        <f t="array" ref="U1303">IF(LS[[#This Row],[B/S]]="S",ABS(LS[[#This Row],[Unit]])*(INDEX(LS[NAV at Cost (Average)],MATCH(CONCATENATE((LS[[#This Row],[Frequency]]-1),LS[[#This Row],[Investor ID]]),LS[Unique Code],0),0)),0)</f>
        <v>14107838.699127151</v>
      </c>
      <c r="V1303" s="102">
        <f>IF(LS[[#This Row],[BO TRANSFER]]="YES",LS[[#This Row],[Unit]],)</f>
        <v>0</v>
      </c>
      <c r="W1303" s="102">
        <f>SUMIFS(LS[[#Headers],[BO UNIT TRANSFER]]:LS[[#This Row],[BO UNIT TRANSFER]],LS[[#Headers],[Investor ID]]:LS[[#This Row],[Investor ID]],LS[[#This Row],[Investor ID]])</f>
        <v>0</v>
      </c>
    </row>
    <row r="1304" spans="1:23">
      <c r="A1304" s="101">
        <v>2025</v>
      </c>
      <c r="B1304" s="101">
        <v>10</v>
      </c>
      <c r="C1304" s="101">
        <v>13</v>
      </c>
      <c r="D1304" s="98">
        <f>DATE(LS[[#This Row],[Year]],LS[[#This Row],[Month]],LS[[#This Row],[Day]])</f>
        <v>45943</v>
      </c>
      <c r="E1304" s="99" t="str" cm="1">
        <f t="array" ref="E1304">INDEX(INVESTORS_LIST[INVESTOR NAME],MATCH(LS[[#This Row],[Investor ID]],INVESTORS_LIST[INVESTOR CODE],0),)</f>
        <v>RUKAIYA FAHMIDA</v>
      </c>
      <c r="F1304" s="100" t="s">
        <v>1190</v>
      </c>
      <c r="G1304" s="101">
        <f>COUNTIF(LS[[#Headers],[Investor ID]]:LS[[#This Row],[Investor ID]],LS[[#This Row],[Investor ID]])</f>
        <v>2</v>
      </c>
      <c r="H1304" s="101" t="str">
        <f>CONCATENATE(LS[[#This Row],[Frequency]],LS[[#This Row],[Investor ID]])</f>
        <v>2A00571</v>
      </c>
      <c r="I1304" s="75" t="str">
        <f>IF(LS[[#This Row],[B/S]]="B","BUY",(IF(LS[[#This Row],[B/S]]="S","SELL"," ")))</f>
        <v>SELL</v>
      </c>
      <c r="J1304" s="101" t="s">
        <v>1231</v>
      </c>
      <c r="K1304" s="102">
        <v>-40725</v>
      </c>
      <c r="L1304" s="99"/>
      <c r="M1304" s="103">
        <f>LS[[#This Row],[Amount]]/LS[[#This Row],[Unit]]</f>
        <v>13.574999999999999</v>
      </c>
      <c r="N1304" s="104">
        <f>LS[[#This Row],[Unit Capital]]/10</f>
        <v>-3000</v>
      </c>
      <c r="O1304" s="104">
        <f>SUMIFS(LS[[#Headers],[Unit]]:LS[[#This Row],[Unit]],LS[[#Headers],[Investor ID]]:LS[[#This Row],[Investor ID]],LS[[#This Row],[Investor ID]])</f>
        <v>138</v>
      </c>
      <c r="P1304" s="102">
        <v>-30000</v>
      </c>
      <c r="Q1304" s="102">
        <f>LS[[#This Row],[Amount]]-LS[[#This Row],[Unit Capital]]</f>
        <v>-10725</v>
      </c>
      <c r="R13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11.153601019757808</v>
      </c>
      <c r="S1304" s="103">
        <f t="shared" si="22"/>
        <v>14.224</v>
      </c>
      <c r="T1304" s="102">
        <f>IF(LS[[#This Row],[B/S]]="B",0,ABS(LS[[#This Row],[Unit]])*(LS[[#This Row],[NAV (Strike Rate)]]-INDEX(LS[NAV at Cost (Average)],MATCH(CONCATENATE(LS[[#This Row],[Frequency]]-1,LS[[#This Row],[Investor ID]]),LS[Unique Code],0),)))</f>
        <v>7264.1969407265742</v>
      </c>
      <c r="U1304" s="102" cm="1">
        <f t="array" ref="U1304">IF(LS[[#This Row],[B/S]]="S",ABS(LS[[#This Row],[Unit]])*(INDEX(LS[NAV at Cost (Average)],MATCH(CONCATENATE((LS[[#This Row],[Frequency]]-1),LS[[#This Row],[Investor ID]]),LS[Unique Code],0),0)),0)</f>
        <v>33460.803059273421</v>
      </c>
      <c r="V1304" s="102">
        <f>IF(LS[[#This Row],[BO TRANSFER]]="YES",LS[[#This Row],[Unit]],)</f>
        <v>0</v>
      </c>
      <c r="W1304" s="102">
        <f>SUMIFS(LS[[#Headers],[BO UNIT TRANSFER]]:LS[[#This Row],[BO UNIT TRANSFER]],LS[[#Headers],[Investor ID]]:LS[[#This Row],[Investor ID]],LS[[#This Row],[Investor ID]])</f>
        <v>0</v>
      </c>
    </row>
    <row r="1305" spans="1:23">
      <c r="A1305" s="101">
        <v>2025</v>
      </c>
      <c r="B1305" s="101">
        <v>10</v>
      </c>
      <c r="C1305" s="101">
        <v>14</v>
      </c>
      <c r="D1305" s="98">
        <f>DATE(LS[[#This Row],[Year]],LS[[#This Row],[Month]],LS[[#This Row],[Day]])</f>
        <v>45944</v>
      </c>
      <c r="E1305" t="str" cm="1">
        <f t="array" ref="E1305">INDEX(INVESTORS_LIST[INVESTOR NAME],MATCH(LS[[#This Row],[Investor ID]],INVESTORS_LIST[INVESTOR CODE],0),)</f>
        <v>EKUSH WEALTH MANAGEMENT LIMITED</v>
      </c>
      <c r="F1305" s="100" t="s">
        <v>47</v>
      </c>
      <c r="G1305" s="101">
        <f>COUNTIF(LS[[#Headers],[Investor ID]]:LS[[#This Row],[Investor ID]],LS[[#This Row],[Investor ID]])</f>
        <v>43</v>
      </c>
      <c r="H1305" s="101" t="str">
        <f>CONCATENATE(LS[[#This Row],[Frequency]],LS[[#This Row],[Investor ID]])</f>
        <v>43A00003</v>
      </c>
      <c r="I1305" s="75" t="str">
        <f>IF(LS[[#This Row],[B/S]]="B","BUY",(IF(LS[[#This Row],[B/S]]="S","SELL"," ")))</f>
        <v>SELL</v>
      </c>
      <c r="J1305" s="101" t="s">
        <v>1231</v>
      </c>
      <c r="K1305" s="102">
        <v>-500000</v>
      </c>
      <c r="L1305" s="99"/>
      <c r="M1305" s="103">
        <f>LS[[#This Row],[Amount]]/LS[[#This Row],[Unit]]</f>
        <v>13.575152041702868</v>
      </c>
      <c r="N1305" s="104">
        <f>LS[[#This Row],[Unit Capital]]/10</f>
        <v>-36832</v>
      </c>
      <c r="O1305" s="104">
        <f>SUMIFS(LS[[#Headers],[Unit]]:LS[[#This Row],[Unit]],LS[[#Headers],[Investor ID]]:LS[[#This Row],[Investor ID]],LS[[#This Row],[Investor ID]])</f>
        <v>142966</v>
      </c>
      <c r="P1305" s="102">
        <v>-368320</v>
      </c>
      <c r="Q1305" s="102">
        <f>LS[[#This Row],[Amount]]-LS[[#This Row],[Unit Capital]]</f>
        <v>-131680</v>
      </c>
      <c r="R13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12.06090812435006</v>
      </c>
      <c r="S1305" s="103">
        <f>IFERROR(NAV_MKT,0)</f>
        <v>14.224</v>
      </c>
      <c r="T1305" s="102">
        <f>IF(LS[[#This Row],[B/S]]="B",0,ABS(LS[[#This Row],[Unit]])*(LS[[#This Row],[NAV (Strike Rate)]]-INDEX(LS[NAV at Cost (Average)],MATCH(CONCATENATE(LS[[#This Row],[Frequency]]-1,LS[[#This Row],[Investor ID]]),LS[Unique Code],0),)))</f>
        <v>55772.631963938606</v>
      </c>
      <c r="U1305" s="102" cm="1">
        <f t="array" ref="U1305">IF(LS[[#This Row],[B/S]]="S",ABS(LS[[#This Row],[Unit]])*(INDEX(LS[NAV at Cost (Average)],MATCH(CONCATENATE((LS[[#This Row],[Frequency]]-1),LS[[#This Row],[Investor ID]]),LS[Unique Code],0),0)),0)</f>
        <v>444227.36803606141</v>
      </c>
      <c r="V1305" s="102">
        <f>IF(LS[[#This Row],[BO TRANSFER]]="YES",LS[[#This Row],[Unit]],)</f>
        <v>0</v>
      </c>
      <c r="W1305" s="102">
        <f>SUMIFS(LS[[#Headers],[BO UNIT TRANSFER]]:LS[[#This Row],[BO UNIT TRANSFER]],LS[[#Headers],[Investor ID]]:LS[[#This Row],[Investor ID]],LS[[#This Row],[Investor ID]])</f>
        <v>0</v>
      </c>
    </row>
    <row r="1306" spans="1:23">
      <c r="A1306" s="101">
        <v>2025</v>
      </c>
      <c r="B1306" s="101">
        <v>10</v>
      </c>
      <c r="C1306" s="101">
        <v>15</v>
      </c>
      <c r="D1306" s="98">
        <f>DATE(LS[[#This Row],[Year]],LS[[#This Row],[Month]],LS[[#This Row],[Day]])</f>
        <v>45945</v>
      </c>
      <c r="E1306" s="99" t="str" cm="1">
        <f t="array" ref="E1306">INDEX(INVESTORS_LIST[INVESTOR NAME],MATCH(LS[[#This Row],[Investor ID]],INVESTORS_LIST[INVESTOR CODE],0),)</f>
        <v>EVA KHANOM</v>
      </c>
      <c r="F1306" s="97" t="s">
        <v>1448</v>
      </c>
      <c r="G1306" s="101">
        <f>COUNTIF(LS[[#Headers],[Investor ID]]:LS[[#This Row],[Investor ID]],LS[[#This Row],[Investor ID]])</f>
        <v>1</v>
      </c>
      <c r="H1306" s="101" t="str">
        <f>CONCATENATE(LS[[#This Row],[Frequency]],LS[[#This Row],[Investor ID]])</f>
        <v>1A00667</v>
      </c>
      <c r="I1306" s="75" t="str">
        <f>IF(LS[[#This Row],[B/S]]="B","BUY",(IF(LS[[#This Row],[B/S]]="S","SELL"," ")))</f>
        <v>BUY</v>
      </c>
      <c r="J1306" s="101" t="s">
        <v>1229</v>
      </c>
      <c r="K1306" s="102">
        <v>300000</v>
      </c>
      <c r="L1306" s="99"/>
      <c r="M1306" s="103">
        <f>LS[[#This Row],[Amount]]/LS[[#This Row],[Unit]]</f>
        <v>13.57527489931671</v>
      </c>
      <c r="N1306" s="104">
        <f>LS[[#This Row],[Unit Capital]]/10</f>
        <v>22099</v>
      </c>
      <c r="O1306" s="104">
        <f>SUMIFS(LS[[#Headers],[Unit]]:LS[[#This Row],[Unit]],LS[[#Headers],[Investor ID]]:LS[[#This Row],[Investor ID]],LS[[#This Row],[Investor ID]])</f>
        <v>22099</v>
      </c>
      <c r="P1306" s="102">
        <v>220990</v>
      </c>
      <c r="Q1306" s="102">
        <f>LS[[#This Row],[Amount]]-LS[[#This Row],[Unit Capital]]</f>
        <v>79010</v>
      </c>
      <c r="R13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13.57527489931671</v>
      </c>
      <c r="S1306" s="103">
        <f t="shared" si="22"/>
        <v>14.224</v>
      </c>
      <c r="T130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06" s="102" cm="1">
        <f t="array" ref="U1306">IF(LS[[#This Row],[B/S]]="S",ABS(LS[[#This Row],[Unit]])*(INDEX(LS[NAV at Cost (Average)],MATCH(CONCATENATE((LS[[#This Row],[Frequency]]-1),LS[[#This Row],[Investor ID]]),LS[Unique Code],0),0)),0)</f>
        <v>0</v>
      </c>
      <c r="V1306" s="102">
        <f>IF(LS[[#This Row],[BO TRANSFER]]="YES",LS[[#This Row],[Unit]],)</f>
        <v>0</v>
      </c>
      <c r="W1306" s="102">
        <f>SUMIFS(LS[[#Headers],[BO UNIT TRANSFER]]:LS[[#This Row],[BO UNIT TRANSFER]],LS[[#Headers],[Investor ID]]:LS[[#This Row],[Investor ID]],LS[[#This Row],[Investor ID]])</f>
        <v>0</v>
      </c>
    </row>
    <row r="1307" spans="1:23">
      <c r="A1307" s="101">
        <v>2025</v>
      </c>
      <c r="B1307" s="101">
        <v>10</v>
      </c>
      <c r="C1307" s="101">
        <v>16</v>
      </c>
      <c r="D1307" s="98">
        <f>DATE(LS[[#This Row],[Year]],LS[[#This Row],[Month]],LS[[#This Row],[Day]])</f>
        <v>45946</v>
      </c>
      <c r="E1307" s="99" t="str" cm="1">
        <f t="array" ref="E1307">INDEX(INVESTORS_LIST[INVESTOR NAME],MATCH(LS[[#This Row],[Investor ID]],INVESTORS_LIST[INVESTOR CODE],0),)</f>
        <v>3A &amp; COMPANY LTD.</v>
      </c>
      <c r="F1307" s="100" t="s">
        <v>1113</v>
      </c>
      <c r="G1307" s="101">
        <f>COUNTIF(LS[[#Headers],[Investor ID]]:LS[[#This Row],[Investor ID]],LS[[#This Row],[Investor ID]])</f>
        <v>4</v>
      </c>
      <c r="H1307" s="101" t="str">
        <f>CONCATENATE(LS[[#This Row],[Frequency]],LS[[#This Row],[Investor ID]])</f>
        <v>4A00531</v>
      </c>
      <c r="I1307" s="75" t="str">
        <f>IF(LS[[#This Row],[B/S]]="B","BUY",(IF(LS[[#This Row],[B/S]]="S","SELL"," ")))</f>
        <v>SELL</v>
      </c>
      <c r="J1307" s="101" t="s">
        <v>1231</v>
      </c>
      <c r="K1307" s="102">
        <v>-5329530.4400000004</v>
      </c>
      <c r="L1307" s="99"/>
      <c r="M1307" s="103">
        <f>LS[[#This Row],[Amount]]/LS[[#This Row],[Unit]]</f>
        <v>13.537000007619996</v>
      </c>
      <c r="N1307" s="104">
        <f>LS[[#This Row],[Unit Capital]]/10</f>
        <v>-393701</v>
      </c>
      <c r="O1307" s="104">
        <f>SUMIFS(LS[[#Headers],[Unit]]:LS[[#This Row],[Unit]],LS[[#Headers],[Investor ID]]:LS[[#This Row],[Investor ID]],LS[[#This Row],[Investor ID]])</f>
        <v>0</v>
      </c>
      <c r="P1307" s="102">
        <v>-3937010</v>
      </c>
      <c r="Q1307" s="102">
        <f>LS[[#This Row],[Amount]]-LS[[#This Row],[Unit Capital]]</f>
        <v>-1392520.4400000004</v>
      </c>
      <c r="R13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07" s="103">
        <f t="shared" si="22"/>
        <v>14.224</v>
      </c>
      <c r="T1307" s="102">
        <f>IF(LS[[#This Row],[B/S]]="B",0,ABS(LS[[#This Row],[Unit]])*(LS[[#This Row],[NAV (Strike Rate)]]-INDEX(LS[NAV at Cost (Average)],MATCH(CONCATENATE(LS[[#This Row],[Frequency]]-1,LS[[#This Row],[Investor ID]]),LS[Unique Code],0),)))</f>
        <v>329530.43999999983</v>
      </c>
      <c r="U1307" s="102" cm="1">
        <f t="array" ref="U1307">IF(LS[[#This Row],[B/S]]="S",ABS(LS[[#This Row],[Unit]])*(INDEX(LS[NAV at Cost (Average)],MATCH(CONCATENATE((LS[[#This Row],[Frequency]]-1),LS[[#This Row],[Investor ID]]),LS[Unique Code],0),0)),0)</f>
        <v>5000000</v>
      </c>
      <c r="V1307" s="102">
        <f>IF(LS[[#This Row],[BO TRANSFER]]="YES",LS[[#This Row],[Unit]],)</f>
        <v>0</v>
      </c>
      <c r="W1307" s="102">
        <f>SUMIFS(LS[[#Headers],[BO UNIT TRANSFER]]:LS[[#This Row],[BO UNIT TRANSFER]],LS[[#Headers],[Investor ID]]:LS[[#This Row],[Investor ID]],LS[[#This Row],[Investor ID]])</f>
        <v>0</v>
      </c>
    </row>
    <row r="1308" spans="1:23">
      <c r="A1308" s="101">
        <v>2025</v>
      </c>
      <c r="B1308" s="101">
        <v>10</v>
      </c>
      <c r="C1308" s="101">
        <v>16</v>
      </c>
      <c r="D1308" s="98">
        <f>DATE(LS[[#This Row],[Year]],LS[[#This Row],[Month]],LS[[#This Row],[Day]])</f>
        <v>45946</v>
      </c>
      <c r="E1308" s="99" t="str" cm="1">
        <f t="array" ref="E1308">INDEX(INVESTORS_LIST[INVESTOR NAME],MATCH(LS[[#This Row],[Investor ID]],INVESTORS_LIST[INVESTOR CODE],0),)</f>
        <v>FARZANA JITU</v>
      </c>
      <c r="F1308" s="100" t="s">
        <v>968</v>
      </c>
      <c r="G1308" s="101">
        <f>COUNTIF(LS[[#Headers],[Investor ID]]:LS[[#This Row],[Investor ID]],LS[[#This Row],[Investor ID]])</f>
        <v>37</v>
      </c>
      <c r="H1308" s="101" t="str">
        <f>CONCATENATE(LS[[#This Row],[Frequency]],LS[[#This Row],[Investor ID]])</f>
        <v>37A00461</v>
      </c>
      <c r="I1308" s="75" t="str">
        <f>IF(LS[[#This Row],[B/S]]="B","BUY",(IF(LS[[#This Row],[B/S]]="S","SELL"," ")))</f>
        <v>BUY</v>
      </c>
      <c r="J1308" s="101" t="s">
        <v>1229</v>
      </c>
      <c r="K1308" s="102">
        <v>100000</v>
      </c>
      <c r="L1308" s="88" t="s">
        <v>1230</v>
      </c>
      <c r="M1308" s="103">
        <f>LS[[#This Row],[Amount]]/LS[[#This Row],[Unit]]</f>
        <v>13.575889220743958</v>
      </c>
      <c r="N1308" s="104">
        <f>LS[[#This Row],[Unit Capital]]/10</f>
        <v>7366</v>
      </c>
      <c r="O1308" s="104">
        <f>SUMIFS(LS[[#Headers],[Unit]]:LS[[#This Row],[Unit]],LS[[#Headers],[Investor ID]]:LS[[#This Row],[Investor ID]],LS[[#This Row],[Investor ID]])</f>
        <v>129628</v>
      </c>
      <c r="P1308" s="102">
        <v>73660</v>
      </c>
      <c r="Q1308" s="102">
        <f>LS[[#This Row],[Amount]]-LS[[#This Row],[Unit Capital]]</f>
        <v>26340</v>
      </c>
      <c r="R13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12.575482175437138</v>
      </c>
      <c r="S1308" s="103">
        <f t="shared" ref="S1308:S1320" si="23">IFERROR(NAV_MKT,0)</f>
        <v>14.224</v>
      </c>
      <c r="T13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08" s="102" cm="1">
        <f t="array" ref="U1308">IF(LS[[#This Row],[B/S]]="S",ABS(LS[[#This Row],[Unit]])*(INDEX(LS[NAV at Cost (Average)],MATCH(CONCATENATE((LS[[#This Row],[Frequency]]-1),LS[[#This Row],[Investor ID]]),LS[Unique Code],0),0)),0)</f>
        <v>0</v>
      </c>
      <c r="V1308" s="102">
        <f>IF(LS[[#This Row],[BO TRANSFER]]="YES",LS[[#This Row],[Unit]],)</f>
        <v>7366</v>
      </c>
      <c r="W1308" s="102">
        <f>SUMIFS(LS[[#Headers],[BO UNIT TRANSFER]]:LS[[#This Row],[BO UNIT TRANSFER]],LS[[#Headers],[Investor ID]]:LS[[#This Row],[Investor ID]],LS[[#This Row],[Investor ID]])</f>
        <v>23790</v>
      </c>
    </row>
    <row r="1309" spans="1:23">
      <c r="A1309" s="101">
        <v>2025</v>
      </c>
      <c r="B1309" s="101">
        <v>10</v>
      </c>
      <c r="C1309" s="101">
        <v>19</v>
      </c>
      <c r="D1309" s="98">
        <f>DATE(LS[[#This Row],[Year]],LS[[#This Row],[Month]],LS[[#This Row],[Day]])</f>
        <v>45949</v>
      </c>
      <c r="E1309" s="99" t="str" cm="1">
        <f t="array" ref="E1309">INDEX(INVESTORS_LIST[INVESTOR NAME],MATCH(LS[[#This Row],[Investor ID]],INVESTORS_LIST[INVESTOR CODE],0),)</f>
        <v>MD. MUSTAFA KAMAL</v>
      </c>
      <c r="F1309" s="100" t="s">
        <v>1300</v>
      </c>
      <c r="G1309" s="101">
        <f>COUNTIF(LS[[#Headers],[Investor ID]]:LS[[#This Row],[Investor ID]],LS[[#This Row],[Investor ID]])</f>
        <v>22</v>
      </c>
      <c r="H1309" s="101" t="str">
        <f>CONCATENATE(LS[[#This Row],[Frequency]],LS[[#This Row],[Investor ID]])</f>
        <v>22A00597</v>
      </c>
      <c r="I1309" s="75" t="str">
        <f>IF(LS[[#This Row],[B/S]]="B","BUY",(IF(LS[[#This Row],[B/S]]="S","SELL"," ")))</f>
        <v>SELL</v>
      </c>
      <c r="J1309" s="101" t="s">
        <v>1231</v>
      </c>
      <c r="K1309" s="102">
        <v>-411515.07</v>
      </c>
      <c r="L1309" s="99"/>
      <c r="M1309" s="103">
        <f>LS[[#This Row],[Amount]]/LS[[#This Row],[Unit]]</f>
        <v>13.652999900467801</v>
      </c>
      <c r="N1309" s="104">
        <f>LS[[#This Row],[Unit Capital]]/10</f>
        <v>-30141</v>
      </c>
      <c r="O1309" s="104">
        <f>SUMIFS(LS[[#Headers],[Unit]]:LS[[#This Row],[Unit]],LS[[#Headers],[Investor ID]]:LS[[#This Row],[Investor ID]],LS[[#This Row],[Investor ID]])</f>
        <v>0</v>
      </c>
      <c r="P1309" s="102">
        <v>-301410</v>
      </c>
      <c r="Q1309" s="102">
        <f>LS[[#This Row],[Amount]]-LS[[#This Row],[Unit Capital]]</f>
        <v>-110105.07</v>
      </c>
      <c r="R13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09" s="103">
        <f t="shared" si="23"/>
        <v>14.224</v>
      </c>
      <c r="T1309" s="102">
        <f>IF(LS[[#This Row],[B/S]]="B",0,ABS(LS[[#This Row],[Unit]])*(LS[[#This Row],[NAV (Strike Rate)]]-INDEX(LS[NAV at Cost (Average)],MATCH(CONCATENATE(LS[[#This Row],[Frequency]]-1,LS[[#This Row],[Investor ID]]),LS[Unique Code],0),)))</f>
        <v>11515.070000000016</v>
      </c>
      <c r="U1309" s="102" cm="1">
        <f t="array" ref="U1309">IF(LS[[#This Row],[B/S]]="S",ABS(LS[[#This Row],[Unit]])*(INDEX(LS[NAV at Cost (Average)],MATCH(CONCATENATE((LS[[#This Row],[Frequency]]-1),LS[[#This Row],[Investor ID]]),LS[Unique Code],0),0)),0)</f>
        <v>400000</v>
      </c>
      <c r="V1309" s="102">
        <f>IF(LS[[#This Row],[BO TRANSFER]]="YES",LS[[#This Row],[Unit]],)</f>
        <v>0</v>
      </c>
      <c r="W1309" s="102">
        <f>SUMIFS(LS[[#Headers],[BO UNIT TRANSFER]]:LS[[#This Row],[BO UNIT TRANSFER]],LS[[#Headers],[Investor ID]]:LS[[#This Row],[Investor ID]],LS[[#This Row],[Investor ID]])</f>
        <v>0</v>
      </c>
    </row>
    <row r="1310" spans="1:23">
      <c r="A1310" s="101">
        <v>2025</v>
      </c>
      <c r="B1310" s="101">
        <v>10</v>
      </c>
      <c r="C1310" s="101">
        <v>19</v>
      </c>
      <c r="D1310" s="98">
        <f>DATE(LS[[#This Row],[Year]],LS[[#This Row],[Month]],LS[[#This Row],[Day]])</f>
        <v>45949</v>
      </c>
      <c r="E1310" s="99" t="str" cm="1">
        <f t="array" ref="E1310">INDEX(INVESTORS_LIST[INVESTOR NAME],MATCH(LS[[#This Row],[Investor ID]],INVESTORS_LIST[INVESTOR CODE],0),)</f>
        <v>FAIYEAD AHMEDUL HYE</v>
      </c>
      <c r="F1310" s="100" t="s">
        <v>368</v>
      </c>
      <c r="G1310" s="101">
        <f>COUNTIF(LS[[#Headers],[Investor ID]]:LS[[#This Row],[Investor ID]],LS[[#This Row],[Investor ID]])</f>
        <v>11</v>
      </c>
      <c r="H1310" s="101" t="str">
        <f>CONCATENATE(LS[[#This Row],[Frequency]],LS[[#This Row],[Investor ID]])</f>
        <v>11A00160</v>
      </c>
      <c r="I1310" s="75" t="str">
        <f>IF(LS[[#This Row],[B/S]]="B","BUY",(IF(LS[[#This Row],[B/S]]="S","SELL"," ")))</f>
        <v>SELL</v>
      </c>
      <c r="J1310" s="101" t="s">
        <v>1231</v>
      </c>
      <c r="K1310" s="102">
        <v>-750000.25</v>
      </c>
      <c r="L1310" s="99"/>
      <c r="M1310" s="103">
        <f>LS[[#This Row],[Amount]]/LS[[#This Row],[Unit]]</f>
        <v>13.653000018203993</v>
      </c>
      <c r="N1310" s="104">
        <f>LS[[#This Row],[Unit Capital]]/10</f>
        <v>-54933</v>
      </c>
      <c r="O1310" s="104">
        <f>SUMIFS(LS[[#Headers],[Unit]]:LS[[#This Row],[Unit]],LS[[#Headers],[Investor ID]]:LS[[#This Row],[Investor ID]],LS[[#This Row],[Investor ID]])</f>
        <v>3026</v>
      </c>
      <c r="P1310" s="102">
        <v>-549330</v>
      </c>
      <c r="Q1310" s="102">
        <f>LS[[#This Row],[Amount]]-LS[[#This Row],[Unit Capital]]</f>
        <v>-200670.25</v>
      </c>
      <c r="R13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10.697216998222885</v>
      </c>
      <c r="S1310" s="103">
        <f t="shared" si="23"/>
        <v>14.224</v>
      </c>
      <c r="T1310" s="102">
        <f>IF(LS[[#This Row],[B/S]]="B",0,ABS(LS[[#This Row],[Unit]])*(LS[[#This Row],[NAV (Strike Rate)]]-INDEX(LS[NAV at Cost (Average)],MATCH(CONCATENATE(LS[[#This Row],[Frequency]]-1,LS[[#This Row],[Investor ID]]),LS[Unique Code],0),)))</f>
        <v>162370.02863662224</v>
      </c>
      <c r="U1310" s="102" cm="1">
        <f t="array" ref="U1310">IF(LS[[#This Row],[B/S]]="S",ABS(LS[[#This Row],[Unit]])*(INDEX(LS[NAV at Cost (Average)],MATCH(CONCATENATE((LS[[#This Row],[Frequency]]-1),LS[[#This Row],[Investor ID]]),LS[Unique Code],0),0)),0)</f>
        <v>587630.22136337776</v>
      </c>
      <c r="V1310" s="102">
        <f>IF(LS[[#This Row],[BO TRANSFER]]="YES",LS[[#This Row],[Unit]],)</f>
        <v>0</v>
      </c>
      <c r="W1310" s="102">
        <f>SUMIFS(LS[[#Headers],[BO UNIT TRANSFER]]:LS[[#This Row],[BO UNIT TRANSFER]],LS[[#Headers],[Investor ID]]:LS[[#This Row],[Investor ID]],LS[[#This Row],[Investor ID]])</f>
        <v>0</v>
      </c>
    </row>
    <row r="1311" spans="1:23">
      <c r="A1311" s="101">
        <v>2025</v>
      </c>
      <c r="B1311" s="101">
        <v>10</v>
      </c>
      <c r="C1311" s="101">
        <v>20</v>
      </c>
      <c r="D1311" s="98">
        <f>DATE(LS[[#This Row],[Year]],LS[[#This Row],[Month]],LS[[#This Row],[Day]])</f>
        <v>45950</v>
      </c>
      <c r="E1311" s="99" t="str" cm="1">
        <f t="array" ref="E1311">INDEX(INVESTORS_LIST[INVESTOR NAME],MATCH(LS[[#This Row],[Investor ID]],INVESTORS_LIST[INVESTOR CODE],0),)</f>
        <v>MAYA RANI SAHA</v>
      </c>
      <c r="F1311" s="100" t="s">
        <v>224</v>
      </c>
      <c r="G1311" s="101">
        <f>COUNTIF(LS[[#Headers],[Investor ID]]:LS[[#This Row],[Investor ID]],LS[[#This Row],[Investor ID]])</f>
        <v>25</v>
      </c>
      <c r="H1311" s="101" t="str">
        <f>CONCATENATE(LS[[#This Row],[Frequency]],LS[[#This Row],[Investor ID]])</f>
        <v>25A00088</v>
      </c>
      <c r="I1311" s="75" t="str">
        <f>IF(LS[[#This Row],[B/S]]="B","BUY",(IF(LS[[#This Row],[B/S]]="S","SELL"," ")))</f>
        <v>BUY</v>
      </c>
      <c r="J1311" s="101" t="s">
        <v>1229</v>
      </c>
      <c r="K1311" s="102">
        <v>500000</v>
      </c>
      <c r="L1311" s="99"/>
      <c r="M1311" s="103">
        <f>LS[[#This Row],[Amount]]/LS[[#This Row],[Unit]]</f>
        <v>13.575152041702868</v>
      </c>
      <c r="N1311" s="104">
        <f>LS[[#This Row],[Unit Capital]]/10</f>
        <v>36832</v>
      </c>
      <c r="O1311" s="104">
        <f>SUMIFS(LS[[#Headers],[Unit]]:LS[[#This Row],[Unit]],LS[[#Headers],[Investor ID]]:LS[[#This Row],[Investor ID]],LS[[#This Row],[Investor ID]])</f>
        <v>822536</v>
      </c>
      <c r="P1311" s="102">
        <v>368320</v>
      </c>
      <c r="Q1311" s="102">
        <f>LS[[#This Row],[Amount]]-LS[[#This Row],[Unit Capital]]</f>
        <v>131680</v>
      </c>
      <c r="R13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11.919484781769128</v>
      </c>
      <c r="S1311" s="103">
        <f t="shared" si="23"/>
        <v>14.224</v>
      </c>
      <c r="T13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11" s="102" cm="1">
        <f t="array" ref="U1311">IF(LS[[#This Row],[B/S]]="S",ABS(LS[[#This Row],[Unit]])*(INDEX(LS[NAV at Cost (Average)],MATCH(CONCATENATE((LS[[#This Row],[Frequency]]-1),LS[[#This Row],[Investor ID]]),LS[Unique Code],0),0)),0)</f>
        <v>0</v>
      </c>
      <c r="V1311" s="102">
        <f>IF(LS[[#This Row],[BO TRANSFER]]="YES",LS[[#This Row],[Unit]],)</f>
        <v>0</v>
      </c>
      <c r="W1311" s="102">
        <f>SUMIFS(LS[[#Headers],[BO UNIT TRANSFER]]:LS[[#This Row],[BO UNIT TRANSFER]],LS[[#Headers],[Investor ID]]:LS[[#This Row],[Investor ID]],LS[[#This Row],[Investor ID]])</f>
        <v>0</v>
      </c>
    </row>
    <row r="1312" spans="1:23">
      <c r="A1312" s="101">
        <v>2025</v>
      </c>
      <c r="B1312" s="101">
        <v>10</v>
      </c>
      <c r="C1312" s="101">
        <v>20</v>
      </c>
      <c r="D1312" s="98">
        <f>DATE(LS[[#This Row],[Year]],LS[[#This Row],[Month]],LS[[#This Row],[Day]])</f>
        <v>45950</v>
      </c>
      <c r="E1312" s="99" t="str" cm="1">
        <f t="array" ref="E1312">INDEX(INVESTORS_LIST[INVESTOR NAME],MATCH(LS[[#This Row],[Investor ID]],INVESTORS_LIST[INVESTOR CODE],0),)</f>
        <v>MAYA RANI SAHA</v>
      </c>
      <c r="F1312" s="100" t="s">
        <v>224</v>
      </c>
      <c r="G1312" s="101">
        <f>COUNTIF(LS[[#Headers],[Investor ID]]:LS[[#This Row],[Investor ID]],LS[[#This Row],[Investor ID]])</f>
        <v>26</v>
      </c>
      <c r="H1312" s="101" t="str">
        <f>CONCATENATE(LS[[#This Row],[Frequency]],LS[[#This Row],[Investor ID]])</f>
        <v>26A00088</v>
      </c>
      <c r="I1312" s="75" t="str">
        <f>IF(LS[[#This Row],[B/S]]="B","BUY",(IF(LS[[#This Row],[B/S]]="S","SELL"," ")))</f>
        <v>BUY</v>
      </c>
      <c r="J1312" s="101" t="s">
        <v>1229</v>
      </c>
      <c r="K1312" s="102">
        <v>30000</v>
      </c>
      <c r="L1312" s="99"/>
      <c r="M1312" s="103">
        <f>LS[[#This Row],[Amount]]/LS[[#This Row],[Unit]]</f>
        <v>13.574660633484163</v>
      </c>
      <c r="N1312" s="104">
        <f>LS[[#This Row],[Unit Capital]]/10</f>
        <v>2210</v>
      </c>
      <c r="O1312" s="104">
        <f>SUMIFS(LS[[#Headers],[Unit]]:LS[[#This Row],[Unit]],LS[[#Headers],[Investor ID]]:LS[[#This Row],[Investor ID]],LS[[#This Row],[Investor ID]])</f>
        <v>824746</v>
      </c>
      <c r="P1312" s="102">
        <v>22100</v>
      </c>
      <c r="Q1312" s="102">
        <f>LS[[#This Row],[Amount]]-LS[[#This Row],[Unit Capital]]</f>
        <v>7900</v>
      </c>
      <c r="R13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11.923920012291362</v>
      </c>
      <c r="S1312" s="103">
        <f t="shared" si="23"/>
        <v>14.224</v>
      </c>
      <c r="T13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12" s="102" cm="1">
        <f t="array" ref="U1312">IF(LS[[#This Row],[B/S]]="S",ABS(LS[[#This Row],[Unit]])*(INDEX(LS[NAV at Cost (Average)],MATCH(CONCATENATE((LS[[#This Row],[Frequency]]-1),LS[[#This Row],[Investor ID]]),LS[Unique Code],0),0)),0)</f>
        <v>0</v>
      </c>
      <c r="V1312" s="102">
        <f>IF(LS[[#This Row],[BO TRANSFER]]="YES",LS[[#This Row],[Unit]],)</f>
        <v>0</v>
      </c>
      <c r="W1312" s="102">
        <f>SUMIFS(LS[[#Headers],[BO UNIT TRANSFER]]:LS[[#This Row],[BO UNIT TRANSFER]],LS[[#Headers],[Investor ID]]:LS[[#This Row],[Investor ID]],LS[[#This Row],[Investor ID]])</f>
        <v>0</v>
      </c>
    </row>
    <row r="1313" spans="1:23">
      <c r="A1313" s="101">
        <v>2025</v>
      </c>
      <c r="B1313" s="101">
        <v>10</v>
      </c>
      <c r="C1313" s="101">
        <v>20</v>
      </c>
      <c r="D1313" s="98">
        <f>DATE(LS[[#This Row],[Year]],LS[[#This Row],[Month]],LS[[#This Row],[Day]])</f>
        <v>45950</v>
      </c>
      <c r="E1313" t="str" cm="1">
        <f t="array" ref="E1313">INDEX(INVESTORS_LIST[INVESTOR NAME],MATCH(LS[[#This Row],[Investor ID]],INVESTORS_LIST[INVESTOR CODE],0),)</f>
        <v>EKUSH WEALTH MANAGEMENT LIMITED</v>
      </c>
      <c r="F1313" s="100" t="s">
        <v>47</v>
      </c>
      <c r="G1313" s="101">
        <f>COUNTIF(LS[[#Headers],[Investor ID]]:LS[[#This Row],[Investor ID]],LS[[#This Row],[Investor ID]])</f>
        <v>44</v>
      </c>
      <c r="H1313" s="101" t="str">
        <f>CONCATENATE(LS[[#This Row],[Frequency]],LS[[#This Row],[Investor ID]])</f>
        <v>44A00003</v>
      </c>
      <c r="I1313" s="75" t="str">
        <f>IF(LS[[#This Row],[B/S]]="B","BUY",(IF(LS[[#This Row],[B/S]]="S","SELL"," ")))</f>
        <v>BUY</v>
      </c>
      <c r="J1313" s="101" t="s">
        <v>1229</v>
      </c>
      <c r="K1313" s="102">
        <v>600000</v>
      </c>
      <c r="L1313" s="99"/>
      <c r="M1313" s="103">
        <f>LS[[#This Row],[Amount]]/LS[[#This Row],[Unit]]</f>
        <v>13.6531197378601</v>
      </c>
      <c r="N1313" s="104">
        <f>LS[[#This Row],[Unit Capital]]/10</f>
        <v>43946</v>
      </c>
      <c r="O1313" s="104">
        <f>SUMIFS(LS[[#Headers],[Unit]]:LS[[#This Row],[Unit]],LS[[#Headers],[Investor ID]]:LS[[#This Row],[Investor ID]],LS[[#This Row],[Investor ID]])</f>
        <v>186912</v>
      </c>
      <c r="P1313" s="102">
        <v>439460</v>
      </c>
      <c r="Q1313" s="102">
        <f>LS[[#This Row],[Amount]]-LS[[#This Row],[Unit Capital]]</f>
        <v>160540</v>
      </c>
      <c r="R13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12.435262534806919</v>
      </c>
      <c r="S1313" s="103">
        <f t="shared" si="23"/>
        <v>14.224</v>
      </c>
      <c r="T131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13" s="102" cm="1">
        <f t="array" ref="U1313">IF(LS[[#This Row],[B/S]]="S",ABS(LS[[#This Row],[Unit]])*(INDEX(LS[NAV at Cost (Average)],MATCH(CONCATENATE((LS[[#This Row],[Frequency]]-1),LS[[#This Row],[Investor ID]]),LS[Unique Code],0),0)),0)</f>
        <v>0</v>
      </c>
      <c r="V1313" s="102">
        <f>IF(LS[[#This Row],[BO TRANSFER]]="YES",LS[[#This Row],[Unit]],)</f>
        <v>0</v>
      </c>
      <c r="W1313" s="102">
        <f>SUMIFS(LS[[#Headers],[BO UNIT TRANSFER]]:LS[[#This Row],[BO UNIT TRANSFER]],LS[[#Headers],[Investor ID]]:LS[[#This Row],[Investor ID]],LS[[#This Row],[Investor ID]])</f>
        <v>0</v>
      </c>
    </row>
    <row r="1314" spans="1:23">
      <c r="A1314" s="101">
        <v>2025</v>
      </c>
      <c r="B1314" s="101">
        <v>10</v>
      </c>
      <c r="C1314" s="101">
        <v>20</v>
      </c>
      <c r="D1314" s="98">
        <f>DATE(LS[[#This Row],[Year]],LS[[#This Row],[Month]],LS[[#This Row],[Day]])</f>
        <v>45950</v>
      </c>
      <c r="E1314" s="99" t="str" cm="1">
        <f t="array" ref="E1314">INDEX(INVESTORS_LIST[INVESTOR NAME],MATCH(LS[[#This Row],[Investor ID]],INVESTORS_LIST[INVESTOR CODE],0),)</f>
        <v>SRIJON GHOSH</v>
      </c>
      <c r="F1314" s="100" t="s">
        <v>894</v>
      </c>
      <c r="G1314" s="101">
        <f>COUNTIF(LS[[#Headers],[Investor ID]]:LS[[#This Row],[Investor ID]],LS[[#This Row],[Investor ID]])</f>
        <v>9</v>
      </c>
      <c r="H1314" s="101" t="str">
        <f>CONCATENATE(LS[[#This Row],[Frequency]],LS[[#This Row],[Investor ID]])</f>
        <v>9A00424</v>
      </c>
      <c r="I1314" s="75" t="str">
        <f>IF(LS[[#This Row],[B/S]]="B","BUY",(IF(LS[[#This Row],[B/S]]="S","SELL"," ")))</f>
        <v>SELL</v>
      </c>
      <c r="J1314" s="101" t="s">
        <v>1231</v>
      </c>
      <c r="K1314" s="102">
        <v>-15000</v>
      </c>
      <c r="L1314" s="99"/>
      <c r="M1314" s="103">
        <f>LS[[#This Row],[Amount]]/LS[[#This Row],[Unit]]</f>
        <v>13.64877161055505</v>
      </c>
      <c r="N1314" s="104">
        <f>LS[[#This Row],[Unit Capital]]/10</f>
        <v>-1099</v>
      </c>
      <c r="O1314" s="104">
        <f>SUMIFS(LS[[#Headers],[Unit]]:LS[[#This Row],[Unit]],LS[[#Headers],[Investor ID]]:LS[[#This Row],[Investor ID]],LS[[#This Row],[Investor ID]])</f>
        <v>10471</v>
      </c>
      <c r="P1314" s="102">
        <v>-10990</v>
      </c>
      <c r="Q1314" s="102">
        <f>LS[[#This Row],[Amount]]-LS[[#This Row],[Unit Capital]]</f>
        <v>-4010</v>
      </c>
      <c r="R13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13.43569576490925</v>
      </c>
      <c r="S1314" s="103">
        <f t="shared" si="23"/>
        <v>14.224</v>
      </c>
      <c r="T1314" s="102">
        <f>IF(LS[[#This Row],[B/S]]="B",0,ABS(LS[[#This Row],[Unit]])*(LS[[#This Row],[NAV (Strike Rate)]]-INDEX(LS[NAV at Cost (Average)],MATCH(CONCATENATE(LS[[#This Row],[Frequency]]-1,LS[[#This Row],[Investor ID]]),LS[Unique Code],0),)))</f>
        <v>234.17035436473464</v>
      </c>
      <c r="U1314" s="102" cm="1">
        <f t="array" ref="U1314">IF(LS[[#This Row],[B/S]]="S",ABS(LS[[#This Row],[Unit]])*(INDEX(LS[NAV at Cost (Average)],MATCH(CONCATENATE((LS[[#This Row],[Frequency]]-1),LS[[#This Row],[Investor ID]]),LS[Unique Code],0),0)),0)</f>
        <v>14765.829645635265</v>
      </c>
      <c r="V1314" s="102">
        <f>IF(LS[[#This Row],[BO TRANSFER]]="YES",LS[[#This Row],[Unit]],)</f>
        <v>0</v>
      </c>
      <c r="W1314" s="102">
        <f>SUMIFS(LS[[#Headers],[BO UNIT TRANSFER]]:LS[[#This Row],[BO UNIT TRANSFER]],LS[[#Headers],[Investor ID]]:LS[[#This Row],[Investor ID]],LS[[#This Row],[Investor ID]])</f>
        <v>0</v>
      </c>
    </row>
    <row r="1315" spans="1:23">
      <c r="A1315" s="101">
        <v>2025</v>
      </c>
      <c r="B1315" s="101">
        <v>10</v>
      </c>
      <c r="C1315" s="101">
        <v>21</v>
      </c>
      <c r="D1315" s="98">
        <f>DATE(LS[[#This Row],[Year]],LS[[#This Row],[Month]],LS[[#This Row],[Day]])</f>
        <v>45951</v>
      </c>
      <c r="E1315" s="99" t="str" cm="1">
        <f t="array" ref="E1315">INDEX(INVESTORS_LIST[INVESTOR NAME],MATCH(LS[[#This Row],[Investor ID]],INVESTORS_LIST[INVESTOR CODE],0),)</f>
        <v>TRIPTI BARUA</v>
      </c>
      <c r="F1315" s="100" t="s">
        <v>384</v>
      </c>
      <c r="G1315" s="101">
        <f>COUNTIF(LS[[#Headers],[Investor ID]]:LS[[#This Row],[Investor ID]],LS[[#This Row],[Investor ID]])</f>
        <v>6</v>
      </c>
      <c r="H1315" s="101" t="str">
        <f>CONCATENATE(LS[[#This Row],[Frequency]],LS[[#This Row],[Investor ID]])</f>
        <v>6A00168</v>
      </c>
      <c r="I1315" s="75" t="str">
        <f>IF(LS[[#This Row],[B/S]]="B","BUY",(IF(LS[[#This Row],[B/S]]="S","SELL"," ")))</f>
        <v>SELL</v>
      </c>
      <c r="J1315" s="101" t="s">
        <v>1231</v>
      </c>
      <c r="K1315" s="102">
        <v>-1037695.77</v>
      </c>
      <c r="L1315" s="99"/>
      <c r="M1315" s="103">
        <f>LS[[#This Row],[Amount]]/LS[[#This Row],[Unit]]</f>
        <v>13.652993487270574</v>
      </c>
      <c r="N1315" s="104">
        <f>LS[[#This Row],[Unit Capital]]/10</f>
        <v>-76005</v>
      </c>
      <c r="O1315" s="104">
        <f>SUMIFS(LS[[#Headers],[Unit]]:LS[[#This Row],[Unit]],LS[[#Headers],[Investor ID]]:LS[[#This Row],[Investor ID]],LS[[#This Row],[Investor ID]])</f>
        <v>327611</v>
      </c>
      <c r="P1315" s="102">
        <v>-760050</v>
      </c>
      <c r="Q1315" s="102">
        <f>LS[[#This Row],[Amount]]-LS[[#This Row],[Unit Capital]]</f>
        <v>-277645.77</v>
      </c>
      <c r="R13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11.082002384846914</v>
      </c>
      <c r="S1315" s="103">
        <f t="shared" si="23"/>
        <v>14.224</v>
      </c>
      <c r="T1315" s="102">
        <f>IF(LS[[#This Row],[B/S]]="B",0,ABS(LS[[#This Row],[Unit]])*(LS[[#This Row],[NAV (Strike Rate)]]-INDEX(LS[NAV at Cost (Average)],MATCH(CONCATENATE(LS[[#This Row],[Frequency]]-1,LS[[#This Row],[Investor ID]]),LS[Unique Code],0),)))</f>
        <v>195408.17873971027</v>
      </c>
      <c r="U1315" s="102" cm="1">
        <f t="array" ref="U1315">IF(LS[[#This Row],[B/S]]="S",ABS(LS[[#This Row],[Unit]])*(INDEX(LS[NAV at Cost (Average)],MATCH(CONCATENATE((LS[[#This Row],[Frequency]]-1),LS[[#This Row],[Investor ID]]),LS[Unique Code],0),0)),0)</f>
        <v>842287.59126028977</v>
      </c>
      <c r="V1315" s="102">
        <f>IF(LS[[#This Row],[BO TRANSFER]]="YES",LS[[#This Row],[Unit]],)</f>
        <v>0</v>
      </c>
      <c r="W1315" s="102">
        <f>SUMIFS(LS[[#Headers],[BO UNIT TRANSFER]]:LS[[#This Row],[BO UNIT TRANSFER]],LS[[#Headers],[Investor ID]]:LS[[#This Row],[Investor ID]],LS[[#This Row],[Investor ID]])</f>
        <v>0</v>
      </c>
    </row>
    <row r="1316" spans="1:23">
      <c r="A1316" s="101">
        <v>2025</v>
      </c>
      <c r="B1316" s="101">
        <v>10</v>
      </c>
      <c r="C1316" s="101">
        <v>22</v>
      </c>
      <c r="D1316" s="98">
        <f>DATE(LS[[#This Row],[Year]],LS[[#This Row],[Month]],LS[[#This Row],[Day]])</f>
        <v>45952</v>
      </c>
      <c r="E1316" s="99" t="str" cm="1">
        <f t="array" ref="E1316">INDEX(INVESTORS_LIST[INVESTOR NAME],MATCH(LS[[#This Row],[Investor ID]],INVESTORS_LIST[INVESTOR CODE],0),)</f>
        <v>KHAN MUHAMMAD KAWSER AHMED</v>
      </c>
      <c r="F1316" s="100" t="s">
        <v>944</v>
      </c>
      <c r="G1316" s="101">
        <f>COUNTIF(LS[[#Headers],[Investor ID]]:LS[[#This Row],[Investor ID]],LS[[#This Row],[Investor ID]])</f>
        <v>37</v>
      </c>
      <c r="H1316" s="101" t="str">
        <f>CONCATENATE(LS[[#This Row],[Frequency]],LS[[#This Row],[Investor ID]])</f>
        <v>37A00449</v>
      </c>
      <c r="I1316" s="75" t="str">
        <f>IF(LS[[#This Row],[B/S]]="B","BUY",(IF(LS[[#This Row],[B/S]]="S","SELL"," ")))</f>
        <v>SELL</v>
      </c>
      <c r="J1316" s="101" t="s">
        <v>1231</v>
      </c>
      <c r="K1316" s="102">
        <v>-1000000</v>
      </c>
      <c r="L1316" s="99"/>
      <c r="M1316" s="103">
        <f>LS[[#This Row],[Amount]]/LS[[#This Row],[Unit]]</f>
        <v>13.652995467205505</v>
      </c>
      <c r="N1316" s="104">
        <f>LS[[#This Row],[Unit Capital]]/10</f>
        <v>-73244</v>
      </c>
      <c r="O1316" s="104">
        <f>SUMIFS(LS[[#Headers],[Unit]]:LS[[#This Row],[Unit]],LS[[#Headers],[Investor ID]]:LS[[#This Row],[Investor ID]],LS[[#This Row],[Investor ID]])</f>
        <v>8970619</v>
      </c>
      <c r="P1316" s="102">
        <v>-732440</v>
      </c>
      <c r="Q1316" s="102">
        <f>LS[[#This Row],[Amount]]-LS[[#This Row],[Unit Capital]]</f>
        <v>-267560</v>
      </c>
      <c r="R13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316" s="103">
        <f t="shared" si="23"/>
        <v>14.224</v>
      </c>
      <c r="T1316" s="102">
        <f>IF(LS[[#This Row],[B/S]]="B",0,ABS(LS[[#This Row],[Unit]])*(LS[[#This Row],[NAV (Strike Rate)]]-INDEX(LS[NAV at Cost (Average)],MATCH(CONCATENATE(LS[[#This Row],[Frequency]]-1,LS[[#This Row],[Investor ID]]),LS[Unique Code],0),)))</f>
        <v>105845.09555170975</v>
      </c>
      <c r="U1316" s="102" cm="1">
        <f t="array" ref="U1316">IF(LS[[#This Row],[B/S]]="S",ABS(LS[[#This Row],[Unit]])*(INDEX(LS[NAV at Cost (Average)],MATCH(CONCATENATE((LS[[#This Row],[Frequency]]-1),LS[[#This Row],[Investor ID]]),LS[Unique Code],0),0)),0)</f>
        <v>894154.90444829024</v>
      </c>
      <c r="V1316" s="102">
        <f>IF(LS[[#This Row],[BO TRANSFER]]="YES",LS[[#This Row],[Unit]],)</f>
        <v>0</v>
      </c>
      <c r="W1316" s="102">
        <f>SUMIFS(LS[[#Headers],[BO UNIT TRANSFER]]:LS[[#This Row],[BO UNIT TRANSFER]],LS[[#Headers],[Investor ID]]:LS[[#This Row],[Investor ID]],LS[[#This Row],[Investor ID]])</f>
        <v>0</v>
      </c>
    </row>
    <row r="1317" spans="1:23">
      <c r="A1317" s="101">
        <v>2025</v>
      </c>
      <c r="B1317" s="101">
        <v>10</v>
      </c>
      <c r="C1317" s="101">
        <v>22</v>
      </c>
      <c r="D1317" s="98">
        <f>DATE(LS[[#This Row],[Year]],LS[[#This Row],[Month]],LS[[#This Row],[Day]])</f>
        <v>45952</v>
      </c>
      <c r="E1317" s="99" t="str" cm="1">
        <f t="array" ref="E1317">INDEX(INVESTORS_LIST[INVESTOR NAME],MATCH(LS[[#This Row],[Investor ID]],INVESTORS_LIST[INVESTOR CODE],0),)</f>
        <v>IFTEKHAR ALAM</v>
      </c>
      <c r="F1317" s="100" t="s">
        <v>216</v>
      </c>
      <c r="G1317" s="101">
        <f>COUNTIF(LS[[#Headers],[Investor ID]]:LS[[#This Row],[Investor ID]],LS[[#This Row],[Investor ID]])</f>
        <v>4</v>
      </c>
      <c r="H1317" s="101" t="str">
        <f>CONCATENATE(LS[[#This Row],[Frequency]],LS[[#This Row],[Investor ID]])</f>
        <v>4A00084</v>
      </c>
      <c r="I1317" s="75" t="str">
        <f>IF(LS[[#This Row],[B/S]]="B","BUY",(IF(LS[[#This Row],[B/S]]="S","SELL"," ")))</f>
        <v>SELL</v>
      </c>
      <c r="J1317" s="101" t="s">
        <v>1231</v>
      </c>
      <c r="K1317" s="102">
        <v>-1000000.33</v>
      </c>
      <c r="L1317" s="99"/>
      <c r="M1317" s="103">
        <f>LS[[#This Row],[Amount]]/LS[[#This Row],[Unit]]</f>
        <v>13.652999972694008</v>
      </c>
      <c r="N1317" s="104">
        <f>LS[[#This Row],[Unit Capital]]/10</f>
        <v>-73244</v>
      </c>
      <c r="O1317" s="104">
        <f>SUMIFS(LS[[#Headers],[Unit]]:LS[[#This Row],[Unit]],LS[[#Headers],[Investor ID]]:LS[[#This Row],[Investor ID]],LS[[#This Row],[Investor ID]])</f>
        <v>37288</v>
      </c>
      <c r="P1317" s="102">
        <v>-732440</v>
      </c>
      <c r="Q1317" s="102">
        <f>LS[[#This Row],[Amount]]-LS[[#This Row],[Unit Capital]]</f>
        <v>-267560.32999999996</v>
      </c>
      <c r="R13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10.856584518510477</v>
      </c>
      <c r="S1317" s="103">
        <f t="shared" si="23"/>
        <v>14.224</v>
      </c>
      <c r="T1317" s="102">
        <f>IF(LS[[#This Row],[B/S]]="B",0,ABS(LS[[#This Row],[Unit]])*(LS[[#This Row],[NAV (Strike Rate)]]-INDEX(LS[NAV at Cost (Average)],MATCH(CONCATENATE(LS[[#This Row],[Frequency]]-1,LS[[#This Row],[Investor ID]]),LS[Unique Code],0),)))</f>
        <v>204820.65352621858</v>
      </c>
      <c r="U1317" s="102" cm="1">
        <f t="array" ref="U1317">IF(LS[[#This Row],[B/S]]="S",ABS(LS[[#This Row],[Unit]])*(INDEX(LS[NAV at Cost (Average)],MATCH(CONCATENATE((LS[[#This Row],[Frequency]]-1),LS[[#This Row],[Investor ID]]),LS[Unique Code],0),0)),0)</f>
        <v>795179.67647378135</v>
      </c>
      <c r="V1317" s="102">
        <f>IF(LS[[#This Row],[BO TRANSFER]]="YES",LS[[#This Row],[Unit]],)</f>
        <v>0</v>
      </c>
      <c r="W1317" s="102">
        <f>SUMIFS(LS[[#Headers],[BO UNIT TRANSFER]]:LS[[#This Row],[BO UNIT TRANSFER]],LS[[#Headers],[Investor ID]]:LS[[#This Row],[Investor ID]],LS[[#This Row],[Investor ID]])</f>
        <v>0</v>
      </c>
    </row>
    <row r="1318" spans="1:23">
      <c r="A1318" s="101">
        <v>2025</v>
      </c>
      <c r="B1318" s="101">
        <v>10</v>
      </c>
      <c r="C1318" s="101">
        <v>23</v>
      </c>
      <c r="D1318" s="98">
        <f>DATE(LS[[#This Row],[Year]],LS[[#This Row],[Month]],LS[[#This Row],[Day]])</f>
        <v>45953</v>
      </c>
      <c r="E1318" s="99" t="str" cm="1">
        <f t="array" ref="E1318">INDEX(INVESTORS_LIST[INVESTOR NAME],MATCH(LS[[#This Row],[Investor ID]],INVESTORS_LIST[INVESTOR CODE],0),)</f>
        <v>FARZANA JITU</v>
      </c>
      <c r="F1318" s="100" t="s">
        <v>968</v>
      </c>
      <c r="G1318" s="101">
        <f>COUNTIF(LS[[#Headers],[Investor ID]]:LS[[#This Row],[Investor ID]],LS[[#This Row],[Investor ID]])</f>
        <v>38</v>
      </c>
      <c r="H1318" s="101" t="str">
        <f>CONCATENATE(LS[[#This Row],[Frequency]],LS[[#This Row],[Investor ID]])</f>
        <v>38A00461</v>
      </c>
      <c r="I1318" s="75" t="str">
        <f>IF(LS[[#This Row],[B/S]]="B","BUY",(IF(LS[[#This Row],[B/S]]="S","SELL"," ")))</f>
        <v>BUY</v>
      </c>
      <c r="J1318" s="101" t="s">
        <v>1229</v>
      </c>
      <c r="K1318" s="102">
        <v>100000</v>
      </c>
      <c r="L1318" s="88" t="s">
        <v>1230</v>
      </c>
      <c r="M1318" s="103">
        <f>LS[[#This Row],[Amount]]/LS[[#This Row],[Unit]]</f>
        <v>13.653741125068269</v>
      </c>
      <c r="N1318" s="104">
        <f>LS[[#This Row],[Unit Capital]]/10</f>
        <v>7324</v>
      </c>
      <c r="O1318" s="104">
        <f>SUMIFS(LS[[#Headers],[Unit]]:LS[[#This Row],[Unit]],LS[[#Headers],[Investor ID]]:LS[[#This Row],[Investor ID]],LS[[#This Row],[Investor ID]])</f>
        <v>136952</v>
      </c>
      <c r="P1318" s="102">
        <v>73240</v>
      </c>
      <c r="Q1318" s="102">
        <f>LS[[#This Row],[Amount]]-LS[[#This Row],[Unit Capital]]</f>
        <v>26760</v>
      </c>
      <c r="R13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12.633145944838814</v>
      </c>
      <c r="S1318" s="103">
        <f t="shared" si="23"/>
        <v>14.224</v>
      </c>
      <c r="T131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18" s="102" cm="1">
        <f t="array" ref="U1318">IF(LS[[#This Row],[B/S]]="S",ABS(LS[[#This Row],[Unit]])*(INDEX(LS[NAV at Cost (Average)],MATCH(CONCATENATE((LS[[#This Row],[Frequency]]-1),LS[[#This Row],[Investor ID]]),LS[Unique Code],0),0)),0)</f>
        <v>0</v>
      </c>
      <c r="V1318" s="102">
        <f>IF(LS[[#This Row],[BO TRANSFER]]="YES",LS[[#This Row],[Unit]],)</f>
        <v>7324</v>
      </c>
      <c r="W1318" s="102">
        <f>SUMIFS(LS[[#Headers],[BO UNIT TRANSFER]]:LS[[#This Row],[BO UNIT TRANSFER]],LS[[#Headers],[Investor ID]]:LS[[#This Row],[Investor ID]],LS[[#This Row],[Investor ID]])</f>
        <v>31114</v>
      </c>
    </row>
    <row r="1319" spans="1:23">
      <c r="A1319" s="101">
        <v>2025</v>
      </c>
      <c r="B1319" s="101">
        <v>10</v>
      </c>
      <c r="C1319" s="101">
        <v>23</v>
      </c>
      <c r="D1319" s="98">
        <f>DATE(LS[[#This Row],[Year]],LS[[#This Row],[Month]],LS[[#This Row],[Day]])</f>
        <v>45953</v>
      </c>
      <c r="E1319" s="99" t="str" cm="1">
        <f t="array" ref="E1319">INDEX(INVESTORS_LIST[INVESTOR NAME],MATCH(LS[[#This Row],[Investor ID]],INVESTORS_LIST[INVESTOR CODE],0),)</f>
        <v>SRIJON GHOSH</v>
      </c>
      <c r="F1319" s="100" t="s">
        <v>894</v>
      </c>
      <c r="G1319" s="101">
        <f>COUNTIF(LS[[#Headers],[Investor ID]]:LS[[#This Row],[Investor ID]],LS[[#This Row],[Investor ID]])</f>
        <v>10</v>
      </c>
      <c r="H1319" s="101" t="str">
        <f>CONCATENATE(LS[[#This Row],[Frequency]],LS[[#This Row],[Investor ID]])</f>
        <v>10A00424</v>
      </c>
      <c r="I1319" s="75" t="str">
        <f>IF(LS[[#This Row],[B/S]]="B","BUY",(IF(LS[[#This Row],[B/S]]="S","SELL"," ")))</f>
        <v>SELL</v>
      </c>
      <c r="J1319" s="101" t="s">
        <v>1231</v>
      </c>
      <c r="K1319" s="102">
        <v>-10000</v>
      </c>
      <c r="L1319" s="99"/>
      <c r="M1319" s="103">
        <f>LS[[#This Row],[Amount]]/LS[[#This Row],[Unit]]</f>
        <v>13.66120218579235</v>
      </c>
      <c r="N1319" s="104">
        <f>LS[[#This Row],[Unit Capital]]/10</f>
        <v>-732</v>
      </c>
      <c r="O1319" s="104">
        <f>SUMIFS(LS[[#Headers],[Unit]]:LS[[#This Row],[Unit]],LS[[#Headers],[Investor ID]]:LS[[#This Row],[Investor ID]],LS[[#This Row],[Investor ID]])</f>
        <v>9739</v>
      </c>
      <c r="P1319" s="102">
        <v>-7320</v>
      </c>
      <c r="Q1319" s="102">
        <f>LS[[#This Row],[Amount]]-LS[[#This Row],[Unit Capital]]</f>
        <v>-2680</v>
      </c>
      <c r="R13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13.43569576490925</v>
      </c>
      <c r="S1319" s="103">
        <f t="shared" si="23"/>
        <v>14.224</v>
      </c>
      <c r="T1319" s="102">
        <f>IF(LS[[#This Row],[B/S]]="B",0,ABS(LS[[#This Row],[Unit]])*(LS[[#This Row],[NAV (Strike Rate)]]-INDEX(LS[NAV at Cost (Average)],MATCH(CONCATENATE(LS[[#This Row],[Frequency]]-1,LS[[#This Row],[Investor ID]]),LS[Unique Code],0),)))</f>
        <v>165.0707000864293</v>
      </c>
      <c r="U1319" s="102" cm="1">
        <f t="array" ref="U1319">IF(LS[[#This Row],[B/S]]="S",ABS(LS[[#This Row],[Unit]])*(INDEX(LS[NAV at Cost (Average)],MATCH(CONCATENATE((LS[[#This Row],[Frequency]]-1),LS[[#This Row],[Investor ID]]),LS[Unique Code],0),0)),0)</f>
        <v>9834.9292999135705</v>
      </c>
      <c r="V1319" s="102">
        <f>IF(LS[[#This Row],[BO TRANSFER]]="YES",LS[[#This Row],[Unit]],)</f>
        <v>0</v>
      </c>
      <c r="W1319" s="102">
        <f>SUMIFS(LS[[#Headers],[BO UNIT TRANSFER]]:LS[[#This Row],[BO UNIT TRANSFER]],LS[[#Headers],[Investor ID]]:LS[[#This Row],[Investor ID]],LS[[#This Row],[Investor ID]])</f>
        <v>0</v>
      </c>
    </row>
    <row r="1320" spans="1:23">
      <c r="A1320" s="101">
        <v>2025</v>
      </c>
      <c r="B1320" s="101">
        <v>10</v>
      </c>
      <c r="C1320" s="101">
        <v>23</v>
      </c>
      <c r="D1320" s="98">
        <f>DATE(LS[[#This Row],[Year]],LS[[#This Row],[Month]],LS[[#This Row],[Day]])</f>
        <v>45953</v>
      </c>
      <c r="E1320" s="99" t="str" cm="1">
        <f t="array" ref="E1320">INDEX(INVESTORS_LIST[INVESTOR NAME],MATCH(LS[[#This Row],[Investor ID]],INVESTORS_LIST[INVESTOR CODE],0),)</f>
        <v>NAVID CHOWDHURY</v>
      </c>
      <c r="F1320" s="100" t="s">
        <v>1194</v>
      </c>
      <c r="G1320" s="101">
        <f>COUNTIF(LS[[#Headers],[Investor ID]]:LS[[#This Row],[Investor ID]],LS[[#This Row],[Investor ID]])</f>
        <v>3</v>
      </c>
      <c r="H1320" s="101" t="str">
        <f>CONCATENATE(LS[[#This Row],[Frequency]],LS[[#This Row],[Investor ID]])</f>
        <v>3A00573</v>
      </c>
      <c r="I1320" s="75" t="str">
        <f>IF(LS[[#This Row],[B/S]]="B","BUY",(IF(LS[[#This Row],[B/S]]="S","SELL"," ")))</f>
        <v>SELL</v>
      </c>
      <c r="J1320" s="101" t="s">
        <v>1231</v>
      </c>
      <c r="K1320" s="102">
        <v>-570913.85</v>
      </c>
      <c r="L1320" s="99"/>
      <c r="M1320" s="103">
        <f>LS[[#This Row],[Amount]]/LS[[#This Row],[Unit]]</f>
        <v>13.653000047828582</v>
      </c>
      <c r="N1320" s="104">
        <f>LS[[#This Row],[Unit Capital]]/10</f>
        <v>-41816</v>
      </c>
      <c r="O1320" s="104">
        <f>SUMIFS(LS[[#Headers],[Unit]]:LS[[#This Row],[Unit]],LS[[#Headers],[Investor ID]]:LS[[#This Row],[Investor ID]],LS[[#This Row],[Investor ID]])</f>
        <v>0</v>
      </c>
      <c r="P1320" s="102">
        <v>-418160</v>
      </c>
      <c r="Q1320" s="102">
        <f>LS[[#This Row],[Amount]]-LS[[#This Row],[Unit Capital]]</f>
        <v>-152753.84999999998</v>
      </c>
      <c r="R13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20" s="103">
        <f t="shared" si="23"/>
        <v>14.224</v>
      </c>
      <c r="T1320" s="102">
        <f>IF(LS[[#This Row],[B/S]]="B",0,ABS(LS[[#This Row],[Unit]])*(LS[[#This Row],[NAV (Strike Rate)]]-INDEX(LS[NAV at Cost (Average)],MATCH(CONCATENATE(LS[[#This Row],[Frequency]]-1,LS[[#This Row],[Investor ID]]),LS[Unique Code],0),)))</f>
        <v>70913.850000000049</v>
      </c>
      <c r="U1320" s="102" cm="1">
        <f t="array" ref="U1320">IF(LS[[#This Row],[B/S]]="S",ABS(LS[[#This Row],[Unit]])*(INDEX(LS[NAV at Cost (Average)],MATCH(CONCATENATE((LS[[#This Row],[Frequency]]-1),LS[[#This Row],[Investor ID]]),LS[Unique Code],0),0)),0)</f>
        <v>499999.99999999994</v>
      </c>
      <c r="V1320" s="102">
        <f>IF(LS[[#This Row],[BO TRANSFER]]="YES",LS[[#This Row],[Unit]],)</f>
        <v>0</v>
      </c>
      <c r="W1320" s="102">
        <f>SUMIFS(LS[[#Headers],[BO UNIT TRANSFER]]:LS[[#This Row],[BO UNIT TRANSFER]],LS[[#Headers],[Investor ID]]:LS[[#This Row],[Investor ID]],LS[[#This Row],[Investor ID]])</f>
        <v>0</v>
      </c>
    </row>
    <row r="1321" spans="1:23">
      <c r="A1321" s="101">
        <v>2025</v>
      </c>
      <c r="B1321" s="101">
        <v>10</v>
      </c>
      <c r="C1321" s="101">
        <v>23</v>
      </c>
      <c r="D1321" s="98">
        <f>DATE(LS[[#This Row],[Year]],LS[[#This Row],[Month]],LS[[#This Row],[Day]])</f>
        <v>45953</v>
      </c>
      <c r="E1321" s="99" t="str" cm="1">
        <f t="array" ref="E1321">INDEX(INVESTORS_LIST[INVESTOR NAME],MATCH(LS[[#This Row],[Investor ID]],INVESTORS_LIST[INVESTOR CODE],0),)</f>
        <v>KABIR AHMED TALUKDER</v>
      </c>
      <c r="F1321" s="100" t="s">
        <v>411</v>
      </c>
      <c r="G1321" s="101">
        <f>COUNTIF(LS[[#Headers],[Investor ID]]:LS[[#This Row],[Investor ID]],LS[[#This Row],[Investor ID]])</f>
        <v>2</v>
      </c>
      <c r="H1321" s="101" t="str">
        <f>CONCATENATE(LS[[#This Row],[Frequency]],LS[[#This Row],[Investor ID]])</f>
        <v>2A00181</v>
      </c>
      <c r="I1321" s="75" t="str">
        <f>IF(LS[[#This Row],[B/S]]="B","BUY",(IF(LS[[#This Row],[B/S]]="S","SELL"," ")))</f>
        <v>BUY</v>
      </c>
      <c r="J1321" s="101" t="s">
        <v>1229</v>
      </c>
      <c r="K1321" s="102">
        <v>250000</v>
      </c>
      <c r="L1321" s="99"/>
      <c r="M1321" s="103">
        <f>LS[[#This Row],[Amount]]/LS[[#This Row],[Unit]]</f>
        <v>13.652995467205505</v>
      </c>
      <c r="N1321" s="104">
        <f>LS[[#This Row],[Unit Capital]]/10</f>
        <v>18311</v>
      </c>
      <c r="O1321" s="104">
        <f>SUMIFS(LS[[#Headers],[Unit]]:LS[[#This Row],[Unit]],LS[[#Headers],[Investor ID]]:LS[[#This Row],[Investor ID]],LS[[#This Row],[Investor ID]])</f>
        <v>130359</v>
      </c>
      <c r="P1321" s="102">
        <v>183110</v>
      </c>
      <c r="Q1321" s="102">
        <f>LS[[#This Row],[Amount]]-LS[[#This Row],[Unit Capital]]</f>
        <v>66890</v>
      </c>
      <c r="R13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13.232688191839458</v>
      </c>
      <c r="S1321" s="103">
        <f t="shared" ref="S1321:S1326" si="24">IFERROR(NAV_MKT,0)</f>
        <v>14.224</v>
      </c>
      <c r="T13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21" s="102" cm="1">
        <f t="array" ref="U1321">IF(LS[[#This Row],[B/S]]="S",ABS(LS[[#This Row],[Unit]])*(INDEX(LS[NAV at Cost (Average)],MATCH(CONCATENATE((LS[[#This Row],[Frequency]]-1),LS[[#This Row],[Investor ID]]),LS[Unique Code],0),0)),0)</f>
        <v>0</v>
      </c>
      <c r="V1321" s="102">
        <f>IF(LS[[#This Row],[BO TRANSFER]]="YES",LS[[#This Row],[Unit]],)</f>
        <v>0</v>
      </c>
      <c r="W1321" s="102">
        <f>SUMIFS(LS[[#Headers],[BO UNIT TRANSFER]]:LS[[#This Row],[BO UNIT TRANSFER]],LS[[#Headers],[Investor ID]]:LS[[#This Row],[Investor ID]],LS[[#This Row],[Investor ID]])</f>
        <v>0</v>
      </c>
    </row>
    <row r="1322" spans="1:23">
      <c r="A1322" s="101">
        <v>2025</v>
      </c>
      <c r="B1322" s="101">
        <v>10</v>
      </c>
      <c r="C1322" s="101">
        <v>26</v>
      </c>
      <c r="D1322" s="98">
        <f>DATE(LS[[#This Row],[Year]],LS[[#This Row],[Month]],LS[[#This Row],[Day]])</f>
        <v>45956</v>
      </c>
      <c r="E1322" s="99" t="str" cm="1">
        <f t="array" ref="E1322">INDEX(INVESTORS_LIST[INVESTOR NAME],MATCH(LS[[#This Row],[Investor ID]],INVESTORS_LIST[INVESTOR CODE],0),)</f>
        <v>MAYA RANI SAHA</v>
      </c>
      <c r="F1322" s="100" t="s">
        <v>224</v>
      </c>
      <c r="G1322" s="101">
        <f>COUNTIF(LS[[#Headers],[Investor ID]]:LS[[#This Row],[Investor ID]],LS[[#This Row],[Investor ID]])</f>
        <v>27</v>
      </c>
      <c r="H1322" s="101" t="str">
        <f>CONCATENATE(LS[[#This Row],[Frequency]],LS[[#This Row],[Investor ID]])</f>
        <v>27A00088</v>
      </c>
      <c r="I1322" s="75" t="str">
        <f>IF(LS[[#This Row],[B/S]]="B","BUY",(IF(LS[[#This Row],[B/S]]="S","SELL"," ")))</f>
        <v>BUY</v>
      </c>
      <c r="J1322" s="101" t="s">
        <v>1229</v>
      </c>
      <c r="K1322" s="102">
        <v>200000</v>
      </c>
      <c r="L1322" s="99"/>
      <c r="M1322" s="103">
        <f>LS[[#This Row],[Amount]]/LS[[#This Row],[Unit]]</f>
        <v>13.65280906546522</v>
      </c>
      <c r="N1322" s="104">
        <f>LS[[#This Row],[Unit Capital]]/10</f>
        <v>14649</v>
      </c>
      <c r="O1322" s="104">
        <f>SUMIFS(LS[[#Headers],[Unit]]:LS[[#This Row],[Unit]],LS[[#Headers],[Investor ID]]:LS[[#This Row],[Investor ID]],LS[[#This Row],[Investor ID]])</f>
        <v>839395</v>
      </c>
      <c r="P1322" s="102">
        <v>146490</v>
      </c>
      <c r="Q1322" s="102">
        <f>LS[[#This Row],[Amount]]-LS[[#This Row],[Unit Capital]]</f>
        <v>53510</v>
      </c>
      <c r="R13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11.954092333713271</v>
      </c>
      <c r="S1322" s="103">
        <f t="shared" si="24"/>
        <v>14.224</v>
      </c>
      <c r="T13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22" s="102" cm="1">
        <f t="array" ref="U1322">IF(LS[[#This Row],[B/S]]="S",ABS(LS[[#This Row],[Unit]])*(INDEX(LS[NAV at Cost (Average)],MATCH(CONCATENATE((LS[[#This Row],[Frequency]]-1),LS[[#This Row],[Investor ID]]),LS[Unique Code],0),0)),0)</f>
        <v>0</v>
      </c>
      <c r="V1322" s="102">
        <f>IF(LS[[#This Row],[BO TRANSFER]]="YES",LS[[#This Row],[Unit]],)</f>
        <v>0</v>
      </c>
      <c r="W1322" s="102">
        <f>SUMIFS(LS[[#Headers],[BO UNIT TRANSFER]]:LS[[#This Row],[BO UNIT TRANSFER]],LS[[#Headers],[Investor ID]]:LS[[#This Row],[Investor ID]],LS[[#This Row],[Investor ID]])</f>
        <v>0</v>
      </c>
    </row>
    <row r="1323" spans="1:23">
      <c r="A1323" s="101">
        <v>2025</v>
      </c>
      <c r="B1323" s="101">
        <v>10</v>
      </c>
      <c r="C1323" s="101">
        <v>27</v>
      </c>
      <c r="D1323" s="98">
        <f>DATE(LS[[#This Row],[Year]],LS[[#This Row],[Month]],LS[[#This Row],[Day]])</f>
        <v>45957</v>
      </c>
      <c r="E1323" s="99" t="str" cm="1">
        <f t="array" ref="E1323">INDEX(INVESTORS_LIST[INVESTOR NAME],MATCH(LS[[#This Row],[Investor ID]],INVESTORS_LIST[INVESTOR CODE],0),)</f>
        <v>SYEDUL TANVIR HOQUE PRIYAM</v>
      </c>
      <c r="F1323" s="100" t="s">
        <v>1424</v>
      </c>
      <c r="G1323" s="101">
        <f>COUNTIF(LS[[#Headers],[Investor ID]]:LS[[#This Row],[Investor ID]],LS[[#This Row],[Investor ID]])</f>
        <v>7</v>
      </c>
      <c r="H1323" s="101" t="str">
        <f>CONCATENATE(LS[[#This Row],[Frequency]],LS[[#This Row],[Investor ID]])</f>
        <v>7A00656</v>
      </c>
      <c r="I1323" s="75" t="str">
        <f>IF(LS[[#This Row],[B/S]]="B","BUY",(IF(LS[[#This Row],[B/S]]="S","SELL"," ")))</f>
        <v>SELL</v>
      </c>
      <c r="J1323" s="101" t="s">
        <v>1231</v>
      </c>
      <c r="K1323" s="102">
        <v>-200000</v>
      </c>
      <c r="L1323" s="99"/>
      <c r="M1323" s="103">
        <f>LS[[#This Row],[Amount]]/LS[[#This Row],[Unit]]</f>
        <v>13.654673311941012</v>
      </c>
      <c r="N1323" s="104">
        <f>LS[[#This Row],[Unit Capital]]/10</f>
        <v>-14647</v>
      </c>
      <c r="O1323" s="104">
        <f>SUMIFS(LS[[#Headers],[Unit]]:LS[[#This Row],[Unit]],LS[[#Headers],[Investor ID]]:LS[[#This Row],[Investor ID]],LS[[#This Row],[Investor ID]])</f>
        <v>88773</v>
      </c>
      <c r="P1323" s="102">
        <v>-146470</v>
      </c>
      <c r="Q1323" s="102">
        <f>LS[[#This Row],[Amount]]-LS[[#This Row],[Unit Capital]]</f>
        <v>-53530</v>
      </c>
      <c r="R13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323" s="103">
        <f t="shared" si="24"/>
        <v>14.224</v>
      </c>
      <c r="T1323" s="102">
        <f>IF(LS[[#This Row],[B/S]]="B",0,ABS(LS[[#This Row],[Unit]])*(LS[[#This Row],[NAV (Strike Rate)]]-INDEX(LS[NAV at Cost (Average)],MATCH(CONCATENATE(LS[[#This Row],[Frequency]]-1,LS[[#This Row],[Investor ID]]),LS[Unique Code],0),)))</f>
        <v>10790.211855023252</v>
      </c>
      <c r="U1323" s="102" cm="1">
        <f t="array" ref="U1323">IF(LS[[#This Row],[B/S]]="S",ABS(LS[[#This Row],[Unit]])*(INDEX(LS[NAV at Cost (Average)],MATCH(CONCATENATE((LS[[#This Row],[Frequency]]-1),LS[[#This Row],[Investor ID]]),LS[Unique Code],0),0)),0)</f>
        <v>189209.78814497674</v>
      </c>
      <c r="V1323" s="102">
        <f>IF(LS[[#This Row],[BO TRANSFER]]="YES",LS[[#This Row],[Unit]],)</f>
        <v>0</v>
      </c>
      <c r="W1323" s="102">
        <f>SUMIFS(LS[[#Headers],[BO UNIT TRANSFER]]:LS[[#This Row],[BO UNIT TRANSFER]],LS[[#Headers],[Investor ID]]:LS[[#This Row],[Investor ID]],LS[[#This Row],[Investor ID]])</f>
        <v>0</v>
      </c>
    </row>
    <row r="1324" spans="1:23">
      <c r="A1324" s="101">
        <v>2025</v>
      </c>
      <c r="B1324" s="101">
        <v>10</v>
      </c>
      <c r="C1324" s="101">
        <v>28</v>
      </c>
      <c r="D1324" s="98">
        <f>DATE(LS[[#This Row],[Year]],LS[[#This Row],[Month]],LS[[#This Row],[Day]])</f>
        <v>45958</v>
      </c>
      <c r="E1324" s="99" t="str" cm="1">
        <f t="array" ref="E1324">INDEX(INVESTORS_LIST[INVESTOR NAME],MATCH(LS[[#This Row],[Investor ID]],INVESTORS_LIST[INVESTOR CODE],0),)</f>
        <v>LANKABANGLA INVESTMENTS LIMITED</v>
      </c>
      <c r="F1324" s="100" t="s">
        <v>1307</v>
      </c>
      <c r="G1324" s="101">
        <f>COUNTIF(LS[[#Headers],[Investor ID]]:LS[[#This Row],[Investor ID]],LS[[#This Row],[Investor ID]])</f>
        <v>3</v>
      </c>
      <c r="H1324" s="101" t="str">
        <f>CONCATENATE(LS[[#This Row],[Frequency]],LS[[#This Row],[Investor ID]])</f>
        <v>3A00601</v>
      </c>
      <c r="I1324" s="75" t="str">
        <f>IF(LS[[#This Row],[B/S]]="B","BUY",(IF(LS[[#This Row],[B/S]]="S","SELL"," ")))</f>
        <v>SELL</v>
      </c>
      <c r="J1324" s="101" t="s">
        <v>1231</v>
      </c>
      <c r="K1324" s="102">
        <v>-10000003.32</v>
      </c>
      <c r="L1324" s="99"/>
      <c r="M1324" s="103">
        <f>LS[[#This Row],[Amount]]/LS[[#This Row],[Unit]]</f>
        <v>13.653</v>
      </c>
      <c r="N1324" s="104">
        <f>LS[[#This Row],[Unit Capital]]/10</f>
        <v>-732440</v>
      </c>
      <c r="O1324" s="104">
        <f>SUMIFS(LS[[#Headers],[Unit]]:LS[[#This Row],[Unit]],LS[[#Headers],[Investor ID]]:LS[[#This Row],[Investor ID]],LS[[#This Row],[Investor ID]])</f>
        <v>908453</v>
      </c>
      <c r="P1324" s="102">
        <v>-7324400</v>
      </c>
      <c r="Q1324" s="102">
        <f>LS[[#This Row],[Amount]]-LS[[#This Row],[Unit Capital]]</f>
        <v>-2675603.3200000003</v>
      </c>
      <c r="R13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12.188485172403077</v>
      </c>
      <c r="S1324" s="103">
        <f t="shared" si="24"/>
        <v>14.224</v>
      </c>
      <c r="T1324" s="102">
        <f>IF(LS[[#This Row],[B/S]]="B",0,ABS(LS[[#This Row],[Unit]])*(LS[[#This Row],[NAV (Strike Rate)]]-INDEX(LS[NAV at Cost (Average)],MATCH(CONCATENATE(LS[[#This Row],[Frequency]]-1,LS[[#This Row],[Investor ID]]),LS[Unique Code],0),)))</f>
        <v>1072669.2403250909</v>
      </c>
      <c r="U1324" s="102" cm="1">
        <f t="array" ref="U1324">IF(LS[[#This Row],[B/S]]="S",ABS(LS[[#This Row],[Unit]])*(INDEX(LS[NAV at Cost (Average)],MATCH(CONCATENATE((LS[[#This Row],[Frequency]]-1),LS[[#This Row],[Investor ID]]),LS[Unique Code],0),0)),0)</f>
        <v>8927334.0796749089</v>
      </c>
      <c r="V1324" s="102">
        <f>IF(LS[[#This Row],[BO TRANSFER]]="YES",LS[[#This Row],[Unit]],)</f>
        <v>0</v>
      </c>
      <c r="W1324" s="102">
        <f>SUMIFS(LS[[#Headers],[BO UNIT TRANSFER]]:LS[[#This Row],[BO UNIT TRANSFER]],LS[[#Headers],[Investor ID]]:LS[[#This Row],[Investor ID]],LS[[#This Row],[Investor ID]])</f>
        <v>0</v>
      </c>
    </row>
    <row r="1325" spans="1:23">
      <c r="A1325" s="101">
        <v>2025</v>
      </c>
      <c r="B1325" s="101">
        <v>10</v>
      </c>
      <c r="C1325" s="101">
        <v>28</v>
      </c>
      <c r="D1325" s="98">
        <f>DATE(LS[[#This Row],[Year]],LS[[#This Row],[Month]],LS[[#This Row],[Day]])</f>
        <v>45958</v>
      </c>
      <c r="E1325" s="99" t="str" cm="1">
        <f t="array" ref="E1325">INDEX(INVESTORS_LIST[INVESTOR NAME],MATCH(LS[[#This Row],[Investor ID]],INVESTORS_LIST[INVESTOR CODE],0),)</f>
        <v>ARCHONA SAHA</v>
      </c>
      <c r="F1325" s="100" t="s">
        <v>872</v>
      </c>
      <c r="G1325" s="101">
        <f>COUNTIF(LS[[#Headers],[Investor ID]]:LS[[#This Row],[Investor ID]],LS[[#This Row],[Investor ID]])</f>
        <v>3</v>
      </c>
      <c r="H1325" s="101" t="str">
        <f>CONCATENATE(LS[[#This Row],[Frequency]],LS[[#This Row],[Investor ID]])</f>
        <v>3A00413</v>
      </c>
      <c r="I1325" s="75" t="str">
        <f>IF(LS[[#This Row],[B/S]]="B","BUY",(IF(LS[[#This Row],[B/S]]="S","SELL"," ")))</f>
        <v>SELL</v>
      </c>
      <c r="J1325" s="101" t="s">
        <v>1231</v>
      </c>
      <c r="K1325" s="102">
        <v>-10000</v>
      </c>
      <c r="L1325" s="99"/>
      <c r="M1325" s="103">
        <f>LS[[#This Row],[Amount]]/LS[[#This Row],[Unit]]</f>
        <v>13.66120218579235</v>
      </c>
      <c r="N1325" s="104">
        <f>LS[[#This Row],[Unit Capital]]/10</f>
        <v>-732</v>
      </c>
      <c r="O1325" s="104">
        <f>SUMIFS(LS[[#Headers],[Unit]]:LS[[#This Row],[Unit]],LS[[#Headers],[Investor ID]]:LS[[#This Row],[Investor ID]],LS[[#This Row],[Investor ID]])</f>
        <v>27268</v>
      </c>
      <c r="P1325" s="102">
        <v>-7320</v>
      </c>
      <c r="Q1325" s="102">
        <f>LS[[#This Row],[Amount]]-LS[[#This Row],[Unit Capital]]</f>
        <v>-2680</v>
      </c>
      <c r="R13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10.140959334753068</v>
      </c>
      <c r="S1325" s="103">
        <f t="shared" si="24"/>
        <v>14.224</v>
      </c>
      <c r="T1325" s="102">
        <f>IF(LS[[#This Row],[B/S]]="B",0,ABS(LS[[#This Row],[Unit]])*(LS[[#This Row],[NAV (Strike Rate)]]-INDEX(LS[NAV at Cost (Average)],MATCH(CONCATENATE(LS[[#This Row],[Frequency]]-1,LS[[#This Row],[Investor ID]]),LS[Unique Code],0),)))</f>
        <v>2576.8177669607539</v>
      </c>
      <c r="U1325" s="102" cm="1">
        <f t="array" ref="U1325">IF(LS[[#This Row],[B/S]]="S",ABS(LS[[#This Row],[Unit]])*(INDEX(LS[NAV at Cost (Average)],MATCH(CONCATENATE((LS[[#This Row],[Frequency]]-1),LS[[#This Row],[Investor ID]]),LS[Unique Code],0),0)),0)</f>
        <v>7423.1822330392461</v>
      </c>
      <c r="V1325" s="102">
        <f>IF(LS[[#This Row],[BO TRANSFER]]="YES",LS[[#This Row],[Unit]],)</f>
        <v>0</v>
      </c>
      <c r="W1325" s="102">
        <f>SUMIFS(LS[[#Headers],[BO UNIT TRANSFER]]:LS[[#This Row],[BO UNIT TRANSFER]],LS[[#Headers],[Investor ID]]:LS[[#This Row],[Investor ID]],LS[[#This Row],[Investor ID]])</f>
        <v>0</v>
      </c>
    </row>
    <row r="1326" spans="1:23">
      <c r="A1326" s="101">
        <v>2025</v>
      </c>
      <c r="B1326" s="101">
        <v>10</v>
      </c>
      <c r="C1326" s="101">
        <v>28</v>
      </c>
      <c r="D1326" s="98">
        <f>DATE(LS[[#This Row],[Year]],LS[[#This Row],[Month]],LS[[#This Row],[Day]])</f>
        <v>45958</v>
      </c>
      <c r="E1326" s="99" t="str" cm="1">
        <f t="array" ref="E1326">INDEX(INVESTORS_LIST[INVESTOR NAME],MATCH(LS[[#This Row],[Investor ID]],INVESTORS_LIST[INVESTOR CODE],0),)</f>
        <v>FARZANA JITU</v>
      </c>
      <c r="F1326" s="100" t="s">
        <v>968</v>
      </c>
      <c r="G1326" s="101">
        <f>COUNTIF(LS[[#Headers],[Investor ID]]:LS[[#This Row],[Investor ID]],LS[[#This Row],[Investor ID]])</f>
        <v>39</v>
      </c>
      <c r="H1326" s="101" t="str">
        <f>CONCATENATE(LS[[#This Row],[Frequency]],LS[[#This Row],[Investor ID]])</f>
        <v>39A00461</v>
      </c>
      <c r="I1326" s="75" t="str">
        <f>IF(LS[[#This Row],[B/S]]="B","BUY",(IF(LS[[#This Row],[B/S]]="S","SELL"," ")))</f>
        <v>BUY</v>
      </c>
      <c r="J1326" s="101" t="s">
        <v>1229</v>
      </c>
      <c r="K1326" s="102">
        <v>200000</v>
      </c>
      <c r="L1326" s="88" t="s">
        <v>1230</v>
      </c>
      <c r="M1326" s="103">
        <f>LS[[#This Row],[Amount]]/LS[[#This Row],[Unit]]</f>
        <v>13.654673311941012</v>
      </c>
      <c r="N1326" s="104">
        <f>LS[[#This Row],[Unit Capital]]/10</f>
        <v>14647</v>
      </c>
      <c r="O1326" s="104">
        <f>SUMIFS(LS[[#Headers],[Unit]]:LS[[#This Row],[Unit]],LS[[#Headers],[Investor ID]]:LS[[#This Row],[Investor ID]],LS[[#This Row],[Investor ID]])</f>
        <v>151599</v>
      </c>
      <c r="P1326" s="102">
        <v>146470</v>
      </c>
      <c r="Q1326" s="102">
        <f>LS[[#This Row],[Amount]]-LS[[#This Row],[Unit Capital]]</f>
        <v>53530</v>
      </c>
      <c r="R13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12.731842581003603</v>
      </c>
      <c r="S1326" s="103">
        <f t="shared" si="24"/>
        <v>14.224</v>
      </c>
      <c r="T13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26" s="102" cm="1">
        <f t="array" ref="U1326">IF(LS[[#This Row],[B/S]]="S",ABS(LS[[#This Row],[Unit]])*(INDEX(LS[NAV at Cost (Average)],MATCH(CONCATENATE((LS[[#This Row],[Frequency]]-1),LS[[#This Row],[Investor ID]]),LS[Unique Code],0),0)),0)</f>
        <v>0</v>
      </c>
      <c r="V1326" s="102">
        <f>IF(LS[[#This Row],[BO TRANSFER]]="YES",LS[[#This Row],[Unit]],)</f>
        <v>14647</v>
      </c>
      <c r="W1326" s="102">
        <f>SUMIFS(LS[[#Headers],[BO UNIT TRANSFER]]:LS[[#This Row],[BO UNIT TRANSFER]],LS[[#Headers],[Investor ID]]:LS[[#This Row],[Investor ID]],LS[[#This Row],[Investor ID]])</f>
        <v>45761</v>
      </c>
    </row>
    <row r="1327" spans="1:23">
      <c r="A1327" s="101">
        <v>2025</v>
      </c>
      <c r="B1327" s="101">
        <v>10</v>
      </c>
      <c r="C1327" s="101">
        <v>30</v>
      </c>
      <c r="D1327" s="98">
        <f>DATE(LS[[#This Row],[Year]],LS[[#This Row],[Month]],LS[[#This Row],[Day]])</f>
        <v>45960</v>
      </c>
      <c r="E1327" s="99" t="str" cm="1">
        <f t="array" ref="E1327">INDEX(INVESTORS_LIST[INVESTOR NAME],MATCH(LS[[#This Row],[Investor ID]],INVESTORS_LIST[INVESTOR CODE],0),)</f>
        <v>ROYAL CAPITAL LIMITED</v>
      </c>
      <c r="F1327" s="100" t="s">
        <v>950</v>
      </c>
      <c r="G1327" s="101">
        <f>COUNTIF(LS[[#Headers],[Investor ID]]:LS[[#This Row],[Investor ID]],LS[[#This Row],[Investor ID]])</f>
        <v>2</v>
      </c>
      <c r="H1327" s="101" t="str">
        <f>CONCATENATE(LS[[#This Row],[Frequency]],LS[[#This Row],[Investor ID]])</f>
        <v>2A00452</v>
      </c>
      <c r="I1327" s="75" t="str">
        <f>IF(LS[[#This Row],[B/S]]="B","BUY",(IF(LS[[#This Row],[B/S]]="S","SELL"," ")))</f>
        <v>SELL</v>
      </c>
      <c r="J1327" s="101" t="s">
        <v>1231</v>
      </c>
      <c r="K1327" s="102">
        <v>-2048250</v>
      </c>
      <c r="L1327" s="99"/>
      <c r="M1327" s="103">
        <f>LS[[#This Row],[Amount]]/LS[[#This Row],[Unit]]</f>
        <v>13.654999999999999</v>
      </c>
      <c r="N1327" s="104">
        <f>LS[[#This Row],[Unit Capital]]/10</f>
        <v>-150000</v>
      </c>
      <c r="O1327" s="104">
        <f>SUMIFS(LS[[#Headers],[Unit]]:LS[[#This Row],[Unit]],LS[[#Headers],[Investor ID]]:LS[[#This Row],[Investor ID]],LS[[#This Row],[Investor ID]])</f>
        <v>0</v>
      </c>
      <c r="P1327" s="102">
        <v>-1500000</v>
      </c>
      <c r="Q1327" s="102">
        <f>LS[[#This Row],[Amount]]-LS[[#This Row],[Unit Capital]]</f>
        <v>-548250</v>
      </c>
      <c r="R13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27" s="103">
        <f t="shared" ref="S1327:S1338" si="25">IFERROR(NAV_MKT,0)</f>
        <v>14.224</v>
      </c>
      <c r="T1327" s="102">
        <f>IF(LS[[#This Row],[B/S]]="B",0,ABS(LS[[#This Row],[Unit]])*(LS[[#This Row],[NAV (Strike Rate)]]-INDEX(LS[NAV at Cost (Average)],MATCH(CONCATENATE(LS[[#This Row],[Frequency]]-1,LS[[#This Row],[Investor ID]]),LS[Unique Code],0),)))</f>
        <v>548249.99999999988</v>
      </c>
      <c r="U1327" s="102" cm="1">
        <f t="array" ref="U1327">IF(LS[[#This Row],[B/S]]="S",ABS(LS[[#This Row],[Unit]])*(INDEX(LS[NAV at Cost (Average)],MATCH(CONCATENATE((LS[[#This Row],[Frequency]]-1),LS[[#This Row],[Investor ID]]),LS[Unique Code],0),0)),0)</f>
        <v>1500000</v>
      </c>
      <c r="V1327" s="102">
        <f>IF(LS[[#This Row],[BO TRANSFER]]="YES",LS[[#This Row],[Unit]],)</f>
        <v>0</v>
      </c>
      <c r="W1327" s="102">
        <f>SUMIFS(LS[[#Headers],[BO UNIT TRANSFER]]:LS[[#This Row],[BO UNIT TRANSFER]],LS[[#Headers],[Investor ID]]:LS[[#This Row],[Investor ID]],LS[[#This Row],[Investor ID]])</f>
        <v>0</v>
      </c>
    </row>
    <row r="1328" spans="1:23">
      <c r="A1328" s="101">
        <v>2025</v>
      </c>
      <c r="B1328" s="101">
        <v>10</v>
      </c>
      <c r="C1328" s="101">
        <v>30</v>
      </c>
      <c r="D1328" s="98">
        <f>DATE(LS[[#This Row],[Year]],LS[[#This Row],[Month]],LS[[#This Row],[Day]])</f>
        <v>45960</v>
      </c>
      <c r="E1328" s="99" t="str" cm="1">
        <f t="array" ref="E1328">INDEX(INVESTORS_LIST[INVESTOR NAME],MATCH(LS[[#This Row],[Investor ID]],INVESTORS_LIST[INVESTOR CODE],0),)</f>
        <v>KABIR AHMED TALUKDER</v>
      </c>
      <c r="F1328" s="100" t="s">
        <v>411</v>
      </c>
      <c r="G1328" s="101">
        <f>COUNTIF(LS[[#Headers],[Investor ID]]:LS[[#This Row],[Investor ID]],LS[[#This Row],[Investor ID]])</f>
        <v>3</v>
      </c>
      <c r="H1328" s="101" t="str">
        <f>CONCATENATE(LS[[#This Row],[Frequency]],LS[[#This Row],[Investor ID]])</f>
        <v>3A00181</v>
      </c>
      <c r="I1328" s="75" t="str">
        <f>IF(LS[[#This Row],[B/S]]="B","BUY",(IF(LS[[#This Row],[B/S]]="S","SELL"," ")))</f>
        <v>BUY</v>
      </c>
      <c r="J1328" s="101" t="s">
        <v>1229</v>
      </c>
      <c r="K1328" s="102">
        <v>200000</v>
      </c>
      <c r="L1328" s="99"/>
      <c r="M1328" s="103">
        <f>LS[[#This Row],[Amount]]/LS[[#This Row],[Unit]]</f>
        <v>13.654673311941012</v>
      </c>
      <c r="N1328" s="104">
        <f>LS[[#This Row],[Unit Capital]]/10</f>
        <v>14647</v>
      </c>
      <c r="O1328" s="104">
        <f>SUMIFS(LS[[#Headers],[Unit]]:LS[[#This Row],[Unit]],LS[[#Headers],[Investor ID]]:LS[[#This Row],[Investor ID]],LS[[#This Row],[Investor ID]])</f>
        <v>145006</v>
      </c>
      <c r="P1328" s="102">
        <v>146470</v>
      </c>
      <c r="Q1328" s="102">
        <f>LS[[#This Row],[Amount]]-LS[[#This Row],[Unit Capital]]</f>
        <v>53530</v>
      </c>
      <c r="R13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13.275312745679487</v>
      </c>
      <c r="S1328" s="103">
        <f t="shared" si="25"/>
        <v>14.224</v>
      </c>
      <c r="T132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28" s="102" cm="1">
        <f t="array" ref="U1328">IF(LS[[#This Row],[B/S]]="S",ABS(LS[[#This Row],[Unit]])*(INDEX(LS[NAV at Cost (Average)],MATCH(CONCATENATE((LS[[#This Row],[Frequency]]-1),LS[[#This Row],[Investor ID]]),LS[Unique Code],0),0)),0)</f>
        <v>0</v>
      </c>
      <c r="V1328" s="102">
        <f>IF(LS[[#This Row],[BO TRANSFER]]="YES",LS[[#This Row],[Unit]],)</f>
        <v>0</v>
      </c>
      <c r="W1328" s="102">
        <f>SUMIFS(LS[[#Headers],[BO UNIT TRANSFER]]:LS[[#This Row],[BO UNIT TRANSFER]],LS[[#Headers],[Investor ID]]:LS[[#This Row],[Investor ID]],LS[[#This Row],[Investor ID]])</f>
        <v>0</v>
      </c>
    </row>
    <row r="1329" spans="1:23">
      <c r="A1329" s="101">
        <v>2025</v>
      </c>
      <c r="B1329" s="101">
        <v>11</v>
      </c>
      <c r="C1329" s="101">
        <v>2</v>
      </c>
      <c r="D1329" s="98">
        <f>DATE(LS[[#This Row],[Year]],LS[[#This Row],[Month]],LS[[#This Row],[Day]])</f>
        <v>45963</v>
      </c>
      <c r="E1329" s="99" t="str" cm="1">
        <f t="array" ref="E1329">INDEX(INVESTORS_LIST[INVESTOR NAME],MATCH(LS[[#This Row],[Investor ID]],INVESTORS_LIST[INVESTOR CODE],0),)</f>
        <v>KHAN MUHAMMAD KAWSER AHMED</v>
      </c>
      <c r="F1329" s="100" t="s">
        <v>944</v>
      </c>
      <c r="G1329" s="101">
        <f>COUNTIF(LS[[#Headers],[Investor ID]]:LS[[#This Row],[Investor ID]],LS[[#This Row],[Investor ID]])</f>
        <v>38</v>
      </c>
      <c r="H1329" s="101" t="str">
        <f>CONCATENATE(LS[[#This Row],[Frequency]],LS[[#This Row],[Investor ID]])</f>
        <v>38A00449</v>
      </c>
      <c r="I1329" s="75" t="str">
        <f>IF(LS[[#This Row],[B/S]]="B","BUY",(IF(LS[[#This Row],[B/S]]="S","SELL"," ")))</f>
        <v>SELL</v>
      </c>
      <c r="J1329" s="101" t="s">
        <v>1231</v>
      </c>
      <c r="K1329" s="102">
        <v>-1500000</v>
      </c>
      <c r="L1329" s="99"/>
      <c r="M1329" s="103">
        <f>LS[[#This Row],[Amount]]/LS[[#This Row],[Unit]]</f>
        <v>13.660953352397952</v>
      </c>
      <c r="N1329" s="104">
        <f>LS[[#This Row],[Unit Capital]]/10</f>
        <v>-109802</v>
      </c>
      <c r="O1329" s="104">
        <f>SUMIFS(LS[[#Headers],[Unit]]:LS[[#This Row],[Unit]],LS[[#Headers],[Investor ID]]:LS[[#This Row],[Investor ID]],LS[[#This Row],[Investor ID]])</f>
        <v>8860817</v>
      </c>
      <c r="P1329" s="102">
        <v>-1098020</v>
      </c>
      <c r="Q1329" s="102">
        <f>LS[[#This Row],[Amount]]-LS[[#This Row],[Unit Capital]]</f>
        <v>-401980</v>
      </c>
      <c r="R13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329" s="103">
        <f t="shared" si="25"/>
        <v>14.224</v>
      </c>
      <c r="T1329" s="102">
        <f>IF(LS[[#This Row],[B/S]]="B",0,ABS(LS[[#This Row],[Unit]])*(LS[[#This Row],[NAV (Strike Rate)]]-INDEX(LS[NAV at Cost (Average)],MATCH(CONCATENATE(LS[[#This Row],[Frequency]]-1,LS[[#This Row],[Investor ID]]),LS[Unique Code],0),)))</f>
        <v>159548.94847043886</v>
      </c>
      <c r="U1329" s="102" cm="1">
        <f t="array" ref="U1329">IF(LS[[#This Row],[B/S]]="S",ABS(LS[[#This Row],[Unit]])*(INDEX(LS[NAV at Cost (Average)],MATCH(CONCATENATE((LS[[#This Row],[Frequency]]-1),LS[[#This Row],[Investor ID]]),LS[Unique Code],0),0)),0)</f>
        <v>1340451.0515295609</v>
      </c>
      <c r="V1329" s="102">
        <f>IF(LS[[#This Row],[BO TRANSFER]]="YES",LS[[#This Row],[Unit]],)</f>
        <v>0</v>
      </c>
      <c r="W1329" s="102">
        <f>SUMIFS(LS[[#Headers],[BO UNIT TRANSFER]]:LS[[#This Row],[BO UNIT TRANSFER]],LS[[#Headers],[Investor ID]]:LS[[#This Row],[Investor ID]],LS[[#This Row],[Investor ID]])</f>
        <v>0</v>
      </c>
    </row>
    <row r="1330" spans="1:23">
      <c r="A1330" s="101">
        <v>2025</v>
      </c>
      <c r="B1330" s="101">
        <v>11</v>
      </c>
      <c r="C1330" s="101">
        <v>3</v>
      </c>
      <c r="D1330" s="98">
        <f>DATE(LS[[#This Row],[Year]],LS[[#This Row],[Month]],LS[[#This Row],[Day]])</f>
        <v>45964</v>
      </c>
      <c r="E1330" s="99" t="str" cm="1">
        <f t="array" ref="E1330">INDEX(INVESTORS_LIST[INVESTOR NAME],MATCH(LS[[#This Row],[Investor ID]],INVESTORS_LIST[INVESTOR CODE],0),)</f>
        <v>SYEDA DIL AFROZE</v>
      </c>
      <c r="F1330" s="100" t="s">
        <v>1340</v>
      </c>
      <c r="G1330" s="101">
        <f>COUNTIF(LS[[#Headers],[Investor ID]]:LS[[#This Row],[Investor ID]],LS[[#This Row],[Investor ID]])</f>
        <v>2</v>
      </c>
      <c r="H1330" s="101" t="str">
        <f>CONCATENATE(LS[[#This Row],[Frequency]],LS[[#This Row],[Investor ID]])</f>
        <v>2A00616</v>
      </c>
      <c r="I1330" s="75" t="str">
        <f>IF(LS[[#This Row],[B/S]]="B","BUY",(IF(LS[[#This Row],[B/S]]="S","SELL"," ")))</f>
        <v>SELL</v>
      </c>
      <c r="J1330" s="101" t="s">
        <v>1231</v>
      </c>
      <c r="K1330" s="102">
        <v>-435526.23</v>
      </c>
      <c r="L1330" s="99"/>
      <c r="M1330" s="103">
        <f>LS[[#This Row],[Amount]]/LS[[#This Row],[Unit]]</f>
        <v>13.655000156764382</v>
      </c>
      <c r="N1330" s="104">
        <f>LS[[#This Row],[Unit Capital]]/10</f>
        <v>-31895</v>
      </c>
      <c r="O1330" s="104">
        <f>SUMIFS(LS[[#Headers],[Unit]]:LS[[#This Row],[Unit]],LS[[#Headers],[Investor ID]]:LS[[#This Row],[Investor ID]],LS[[#This Row],[Investor ID]])</f>
        <v>0</v>
      </c>
      <c r="P1330" s="102">
        <v>-318950</v>
      </c>
      <c r="Q1330" s="102">
        <f>LS[[#This Row],[Amount]]-LS[[#This Row],[Unit Capital]]</f>
        <v>-116576.22999999998</v>
      </c>
      <c r="R13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30" s="103">
        <f t="shared" si="25"/>
        <v>14.224</v>
      </c>
      <c r="T1330" s="102">
        <f>IF(LS[[#This Row],[B/S]]="B",0,ABS(LS[[#This Row],[Unit]])*(LS[[#This Row],[NAV (Strike Rate)]]-INDEX(LS[NAV at Cost (Average)],MATCH(CONCATENATE(LS[[#This Row],[Frequency]]-1,LS[[#This Row],[Investor ID]]),LS[Unique Code],0),)))</f>
        <v>35526.229999999974</v>
      </c>
      <c r="U1330" s="102" cm="1">
        <f t="array" ref="U1330">IF(LS[[#This Row],[B/S]]="S",ABS(LS[[#This Row],[Unit]])*(INDEX(LS[NAV at Cost (Average)],MATCH(CONCATENATE((LS[[#This Row],[Frequency]]-1),LS[[#This Row],[Investor ID]]),LS[Unique Code],0),0)),0)</f>
        <v>400000</v>
      </c>
      <c r="V1330" s="102">
        <f>IF(LS[[#This Row],[BO TRANSFER]]="YES",LS[[#This Row],[Unit]],)</f>
        <v>0</v>
      </c>
      <c r="W1330" s="102">
        <f>SUMIFS(LS[[#Headers],[BO UNIT TRANSFER]]:LS[[#This Row],[BO UNIT TRANSFER]],LS[[#Headers],[Investor ID]]:LS[[#This Row],[Investor ID]],LS[[#This Row],[Investor ID]])</f>
        <v>0</v>
      </c>
    </row>
    <row r="1331" spans="1:23">
      <c r="A1331" s="101">
        <v>2025</v>
      </c>
      <c r="B1331" s="101">
        <v>11</v>
      </c>
      <c r="C1331" s="101">
        <v>3</v>
      </c>
      <c r="D1331" s="98">
        <f>DATE(LS[[#This Row],[Year]],LS[[#This Row],[Month]],LS[[#This Row],[Day]])</f>
        <v>45964</v>
      </c>
      <c r="E1331" s="99" t="str" cm="1">
        <f t="array" ref="E1331">INDEX(INVESTORS_LIST[INVESTOR NAME],MATCH(LS[[#This Row],[Investor ID]],INVESTORS_LIST[INVESTOR CODE],0),)</f>
        <v>RAHAT-UL-AMIN</v>
      </c>
      <c r="F1331" s="100" t="s">
        <v>1331</v>
      </c>
      <c r="G1331" s="101">
        <f>COUNTIF(LS[[#Headers],[Investor ID]]:LS[[#This Row],[Investor ID]],LS[[#This Row],[Investor ID]])</f>
        <v>3</v>
      </c>
      <c r="H1331" s="101" t="str">
        <f>CONCATENATE(LS[[#This Row],[Frequency]],LS[[#This Row],[Investor ID]])</f>
        <v>3A00613</v>
      </c>
      <c r="I1331" s="75" t="str">
        <f>IF(LS[[#This Row],[B/S]]="B","BUY",(IF(LS[[#This Row],[B/S]]="S","SELL"," ")))</f>
        <v>SELL</v>
      </c>
      <c r="J1331" s="101" t="s">
        <v>1231</v>
      </c>
      <c r="K1331" s="102">
        <v>-1093123.72</v>
      </c>
      <c r="L1331" s="99"/>
      <c r="M1331" s="103">
        <f>LS[[#This Row],[Amount]]/LS[[#This Row],[Unit]]</f>
        <v>13.655000062458621</v>
      </c>
      <c r="N1331" s="104">
        <f>LS[[#This Row],[Unit Capital]]/10</f>
        <v>-80053</v>
      </c>
      <c r="O1331" s="104">
        <f>SUMIFS(LS[[#Headers],[Unit]]:LS[[#This Row],[Unit]],LS[[#Headers],[Investor ID]]:LS[[#This Row],[Investor ID]],LS[[#This Row],[Investor ID]])</f>
        <v>0</v>
      </c>
      <c r="P1331" s="102">
        <v>-800530</v>
      </c>
      <c r="Q1331" s="102">
        <f>LS[[#This Row],[Amount]]-LS[[#This Row],[Unit Capital]]</f>
        <v>-292593.71999999997</v>
      </c>
      <c r="R13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31" s="103">
        <f t="shared" si="25"/>
        <v>14.224</v>
      </c>
      <c r="T1331" s="102">
        <f>IF(LS[[#This Row],[B/S]]="B",0,ABS(LS[[#This Row],[Unit]])*(LS[[#This Row],[NAV (Strike Rate)]]-INDEX(LS[NAV at Cost (Average)],MATCH(CONCATENATE(LS[[#This Row],[Frequency]]-1,LS[[#This Row],[Investor ID]]),LS[Unique Code],0),)))</f>
        <v>93123.719999999958</v>
      </c>
      <c r="U1331" s="102" cm="1">
        <f t="array" ref="U1331">IF(LS[[#This Row],[B/S]]="S",ABS(LS[[#This Row],[Unit]])*(INDEX(LS[NAV at Cost (Average)],MATCH(CONCATENATE((LS[[#This Row],[Frequency]]-1),LS[[#This Row],[Investor ID]]),LS[Unique Code],0),0)),0)</f>
        <v>1000000</v>
      </c>
      <c r="V1331" s="102">
        <f>IF(LS[[#This Row],[BO TRANSFER]]="YES",LS[[#This Row],[Unit]],)</f>
        <v>0</v>
      </c>
      <c r="W1331" s="102">
        <f>SUMIFS(LS[[#Headers],[BO UNIT TRANSFER]]:LS[[#This Row],[BO UNIT TRANSFER]],LS[[#Headers],[Investor ID]]:LS[[#This Row],[Investor ID]],LS[[#This Row],[Investor ID]])</f>
        <v>0</v>
      </c>
    </row>
    <row r="1332" spans="1:23">
      <c r="A1332" s="101">
        <v>2025</v>
      </c>
      <c r="B1332" s="101">
        <v>11</v>
      </c>
      <c r="C1332" s="101">
        <v>3</v>
      </c>
      <c r="D1332" s="98">
        <f>DATE(LS[[#This Row],[Year]],LS[[#This Row],[Month]],LS[[#This Row],[Day]])</f>
        <v>45964</v>
      </c>
      <c r="E1332" s="99" t="str" cm="1">
        <f t="array" ref="E1332">INDEX(INVESTORS_LIST[INVESTOR NAME],MATCH(LS[[#This Row],[Investor ID]],INVESTORS_LIST[INVESTOR CODE],0),)</f>
        <v>MONOARA ALAM</v>
      </c>
      <c r="F1332" s="100" t="s">
        <v>1302</v>
      </c>
      <c r="G1332" s="101">
        <f>COUNTIF(LS[[#Headers],[Investor ID]]:LS[[#This Row],[Investor ID]],LS[[#This Row],[Investor ID]])</f>
        <v>9</v>
      </c>
      <c r="H1332" s="101" t="str">
        <f>CONCATENATE(LS[[#This Row],[Frequency]],LS[[#This Row],[Investor ID]])</f>
        <v>9A00598</v>
      </c>
      <c r="I1332" s="75" t="str">
        <f>IF(LS[[#This Row],[B/S]]="B","BUY",(IF(LS[[#This Row],[B/S]]="S","SELL"," ")))</f>
        <v>SELL</v>
      </c>
      <c r="J1332" s="101" t="s">
        <v>1231</v>
      </c>
      <c r="K1332" s="102">
        <v>-15605.64</v>
      </c>
      <c r="L1332" s="99"/>
      <c r="M1332" s="103">
        <f>LS[[#This Row],[Amount]]/LS[[#This Row],[Unit]]</f>
        <v>13.665183887915937</v>
      </c>
      <c r="N1332" s="104">
        <f>LS[[#This Row],[Unit Capital]]/10</f>
        <v>-1142</v>
      </c>
      <c r="O1332" s="104">
        <f>SUMIFS(LS[[#Headers],[Unit]]:LS[[#This Row],[Unit]],LS[[#Headers],[Investor ID]]:LS[[#This Row],[Investor ID]],LS[[#This Row],[Investor ID]])</f>
        <v>43921</v>
      </c>
      <c r="P1332" s="102">
        <v>-11420</v>
      </c>
      <c r="Q1332" s="102">
        <f>LS[[#This Row],[Amount]]-LS[[#This Row],[Unit Capital]]</f>
        <v>-4185.6399999999994</v>
      </c>
      <c r="R13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12.066401111749872</v>
      </c>
      <c r="S1332" s="103">
        <f t="shared" si="25"/>
        <v>14.224</v>
      </c>
      <c r="T1332" s="102">
        <f>IF(LS[[#This Row],[B/S]]="B",0,ABS(LS[[#This Row],[Unit]])*(LS[[#This Row],[NAV (Strike Rate)]]-INDEX(LS[NAV at Cost (Average)],MATCH(CONCATENATE(LS[[#This Row],[Frequency]]-1,LS[[#This Row],[Investor ID]]),LS[Unique Code],0),)))</f>
        <v>1825.8099303816459</v>
      </c>
      <c r="U1332" s="102" cm="1">
        <f t="array" ref="U1332">IF(LS[[#This Row],[B/S]]="S",ABS(LS[[#This Row],[Unit]])*(INDEX(LS[NAV at Cost (Average)],MATCH(CONCATENATE((LS[[#This Row],[Frequency]]-1),LS[[#This Row],[Investor ID]]),LS[Unique Code],0),0)),0)</f>
        <v>13779.830069618354</v>
      </c>
      <c r="V1332" s="102">
        <f>IF(LS[[#This Row],[BO TRANSFER]]="YES",LS[[#This Row],[Unit]],)</f>
        <v>0</v>
      </c>
      <c r="W1332" s="102">
        <f>SUMIFS(LS[[#Headers],[BO UNIT TRANSFER]]:LS[[#This Row],[BO UNIT TRANSFER]],LS[[#Headers],[Investor ID]]:LS[[#This Row],[Investor ID]],LS[[#This Row],[Investor ID]])</f>
        <v>0</v>
      </c>
    </row>
    <row r="1333" spans="1:23">
      <c r="A1333" s="101">
        <v>2025</v>
      </c>
      <c r="B1333" s="101">
        <v>11</v>
      </c>
      <c r="C1333" s="101">
        <v>5</v>
      </c>
      <c r="D1333" s="98">
        <f>DATE(LS[[#This Row],[Year]],LS[[#This Row],[Month]],LS[[#This Row],[Day]])</f>
        <v>45966</v>
      </c>
      <c r="E1333" s="99" t="str" cm="1">
        <f t="array" ref="E1333">INDEX(INVESTORS_LIST[INVESTOR NAME],MATCH(LS[[#This Row],[Investor ID]],INVESTORS_LIST[INVESTOR CODE],0),)</f>
        <v>RAIHAN FERDOUS</v>
      </c>
      <c r="F1333" s="100" t="s">
        <v>1319</v>
      </c>
      <c r="G1333" s="101">
        <f>COUNTIF(LS[[#Headers],[Investor ID]]:LS[[#This Row],[Investor ID]],LS[[#This Row],[Investor ID]])</f>
        <v>4</v>
      </c>
      <c r="H1333" s="101" t="str">
        <f>CONCATENATE(LS[[#This Row],[Frequency]],LS[[#This Row],[Investor ID]])</f>
        <v>4A00606</v>
      </c>
      <c r="I1333" s="75" t="str">
        <f>IF(LS[[#This Row],[B/S]]="B","BUY",(IF(LS[[#This Row],[B/S]]="S","SELL"," ")))</f>
        <v>SELL</v>
      </c>
      <c r="J1333" s="101" t="s">
        <v>1231</v>
      </c>
      <c r="K1333" s="102">
        <v>-10000</v>
      </c>
      <c r="L1333" s="99"/>
      <c r="M1333" s="103">
        <f>LS[[#This Row],[Amount]]/LS[[#This Row],[Unit]]</f>
        <v>13.66120218579235</v>
      </c>
      <c r="N1333" s="104">
        <f>LS[[#This Row],[Unit Capital]]/10</f>
        <v>-732</v>
      </c>
      <c r="O1333" s="104">
        <f>SUMIFS(LS[[#Headers],[Unit]]:LS[[#This Row],[Unit]],LS[[#Headers],[Investor ID]]:LS[[#This Row],[Investor ID]],LS[[#This Row],[Investor ID]])</f>
        <v>21993</v>
      </c>
      <c r="P1333" s="102">
        <v>-7320</v>
      </c>
      <c r="Q1333" s="102">
        <f>LS[[#This Row],[Amount]]-LS[[#This Row],[Unit Capital]]</f>
        <v>-2680</v>
      </c>
      <c r="R13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12.373174956693887</v>
      </c>
      <c r="S1333" s="103">
        <f t="shared" si="25"/>
        <v>14.224</v>
      </c>
      <c r="T1333" s="102">
        <f>IF(LS[[#This Row],[B/S]]="B",0,ABS(LS[[#This Row],[Unit]])*(LS[[#This Row],[NAV (Strike Rate)]]-INDEX(LS[NAV at Cost (Average)],MATCH(CONCATENATE(LS[[#This Row],[Frequency]]-1,LS[[#This Row],[Investor ID]]),LS[Unique Code],0),)))</f>
        <v>942.83593170007452</v>
      </c>
      <c r="U1333" s="102" cm="1">
        <f t="array" ref="U1333">IF(LS[[#This Row],[B/S]]="S",ABS(LS[[#This Row],[Unit]])*(INDEX(LS[NAV at Cost (Average)],MATCH(CONCATENATE((LS[[#This Row],[Frequency]]-1),LS[[#This Row],[Investor ID]]),LS[Unique Code],0),0)),0)</f>
        <v>9057.1640682999259</v>
      </c>
      <c r="V1333" s="102">
        <f>IF(LS[[#This Row],[BO TRANSFER]]="YES",LS[[#This Row],[Unit]],)</f>
        <v>0</v>
      </c>
      <c r="W1333" s="102">
        <f>SUMIFS(LS[[#Headers],[BO UNIT TRANSFER]]:LS[[#This Row],[BO UNIT TRANSFER]],LS[[#Headers],[Investor ID]]:LS[[#This Row],[Investor ID]],LS[[#This Row],[Investor ID]])</f>
        <v>0</v>
      </c>
    </row>
    <row r="1334" spans="1:23">
      <c r="A1334" s="101">
        <v>2025</v>
      </c>
      <c r="B1334" s="101">
        <v>11</v>
      </c>
      <c r="C1334" s="101">
        <v>5</v>
      </c>
      <c r="D1334" s="98">
        <f>DATE(LS[[#This Row],[Year]],LS[[#This Row],[Month]],LS[[#This Row],[Day]])</f>
        <v>45966</v>
      </c>
      <c r="E1334" s="99" t="str" cm="1">
        <f t="array" ref="E1334">INDEX(INVESTORS_LIST[INVESTOR NAME],MATCH(LS[[#This Row],[Investor ID]],INVESTORS_LIST[INVESTOR CODE],0),)</f>
        <v>TAJDIKUL ALAM</v>
      </c>
      <c r="F1334" s="100" t="s">
        <v>1099</v>
      </c>
      <c r="G1334" s="101">
        <f>COUNTIF(LS[[#Headers],[Investor ID]]:LS[[#This Row],[Investor ID]],LS[[#This Row],[Investor ID]])</f>
        <v>8</v>
      </c>
      <c r="H1334" s="101" t="str">
        <f>CONCATENATE(LS[[#This Row],[Frequency]],LS[[#This Row],[Investor ID]])</f>
        <v>8A00526</v>
      </c>
      <c r="I1334" s="75" t="str">
        <f>IF(LS[[#This Row],[B/S]]="B","BUY",(IF(LS[[#This Row],[B/S]]="S","SELL"," ")))</f>
        <v>SELL</v>
      </c>
      <c r="J1334" s="101" t="s">
        <v>1231</v>
      </c>
      <c r="K1334" s="102">
        <v>-88823.82</v>
      </c>
      <c r="L1334" s="99"/>
      <c r="M1334" s="103">
        <f>LS[[#This Row],[Amount]]/LS[[#This Row],[Unit]]</f>
        <v>13.660999692402338</v>
      </c>
      <c r="N1334" s="104">
        <f>LS[[#This Row],[Unit Capital]]/10</f>
        <v>-6502</v>
      </c>
      <c r="O1334" s="104">
        <f>SUMIFS(LS[[#Headers],[Unit]]:LS[[#This Row],[Unit]],LS[[#Headers],[Investor ID]]:LS[[#This Row],[Investor ID]],LS[[#This Row],[Investor ID]])</f>
        <v>40000</v>
      </c>
      <c r="P1334" s="102">
        <v>-65020</v>
      </c>
      <c r="Q1334" s="102">
        <f>LS[[#This Row],[Amount]]-LS[[#This Row],[Unit Capital]]</f>
        <v>-23803.820000000007</v>
      </c>
      <c r="R13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334" s="103">
        <f t="shared" si="25"/>
        <v>14.224</v>
      </c>
      <c r="T1334" s="102">
        <f>IF(LS[[#This Row],[B/S]]="B",0,ABS(LS[[#This Row],[Unit]])*(LS[[#This Row],[NAV (Strike Rate)]]-INDEX(LS[NAV at Cost (Average)],MATCH(CONCATENATE(LS[[#This Row],[Frequency]]-1,LS[[#This Row],[Investor ID]]),LS[Unique Code],0),)))</f>
        <v>15708.960562249003</v>
      </c>
      <c r="U1334" s="102" cm="1">
        <f t="array" ref="U1334">IF(LS[[#This Row],[B/S]]="S",ABS(LS[[#This Row],[Unit]])*(INDEX(LS[NAV at Cost (Average)],MATCH(CONCATENATE((LS[[#This Row],[Frequency]]-1),LS[[#This Row],[Investor ID]]),LS[Unique Code],0),0)),0)</f>
        <v>73114.859437751002</v>
      </c>
      <c r="V1334" s="102">
        <f>IF(LS[[#This Row],[BO TRANSFER]]="YES",LS[[#This Row],[Unit]],)</f>
        <v>0</v>
      </c>
      <c r="W1334" s="102">
        <f>SUMIFS(LS[[#Headers],[BO UNIT TRANSFER]]:LS[[#This Row],[BO UNIT TRANSFER]],LS[[#Headers],[Investor ID]]:LS[[#This Row],[Investor ID]],LS[[#This Row],[Investor ID]])</f>
        <v>0</v>
      </c>
    </row>
    <row r="1335" spans="1:23">
      <c r="A1335" s="101">
        <v>2025</v>
      </c>
      <c r="B1335" s="101">
        <v>11</v>
      </c>
      <c r="C1335" s="101">
        <v>5</v>
      </c>
      <c r="D1335" s="98">
        <f>DATE(LS[[#This Row],[Year]],LS[[#This Row],[Month]],LS[[#This Row],[Day]])</f>
        <v>45966</v>
      </c>
      <c r="E1335" s="99" t="str" cm="1">
        <f t="array" ref="E1335">INDEX(INVESTORS_LIST[INVESTOR NAME],MATCH(LS[[#This Row],[Investor ID]],INVESTORS_LIST[INVESTOR CODE],0),)</f>
        <v>AMIT KUMAR CHAKRABARTY</v>
      </c>
      <c r="F1335" s="100" t="s">
        <v>1306</v>
      </c>
      <c r="G1335" s="101">
        <f>COUNTIF(LS[[#Headers],[Investor ID]]:LS[[#This Row],[Investor ID]],LS[[#This Row],[Investor ID]])</f>
        <v>5</v>
      </c>
      <c r="H1335" s="101" t="str">
        <f>CONCATENATE(LS[[#This Row],[Frequency]],LS[[#This Row],[Investor ID]])</f>
        <v>5A00600</v>
      </c>
      <c r="I1335" s="75" t="str">
        <f>IF(LS[[#This Row],[B/S]]="B","BUY",(IF(LS[[#This Row],[B/S]]="S","SELL"," ")))</f>
        <v>SELL</v>
      </c>
      <c r="J1335" s="101" t="s">
        <v>1231</v>
      </c>
      <c r="K1335" s="102">
        <v>-389147.25</v>
      </c>
      <c r="L1335" s="99"/>
      <c r="M1335" s="103">
        <f>LS[[#This Row],[Amount]]/LS[[#This Row],[Unit]]</f>
        <v>13.661000140419855</v>
      </c>
      <c r="N1335" s="104">
        <f>LS[[#This Row],[Unit Capital]]/10</f>
        <v>-28486</v>
      </c>
      <c r="O1335" s="104">
        <f>SUMIFS(LS[[#Headers],[Unit]]:LS[[#This Row],[Unit]],LS[[#Headers],[Investor ID]]:LS[[#This Row],[Investor ID]],LS[[#This Row],[Investor ID]])</f>
        <v>0</v>
      </c>
      <c r="P1335" s="102">
        <v>-284860</v>
      </c>
      <c r="Q1335" s="102">
        <f>LS[[#This Row],[Amount]]-LS[[#This Row],[Unit Capital]]</f>
        <v>-104287.25</v>
      </c>
      <c r="R13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35" s="103">
        <f t="shared" si="25"/>
        <v>14.224</v>
      </c>
      <c r="T1335" s="102">
        <f>IF(LS[[#This Row],[B/S]]="B",0,ABS(LS[[#This Row],[Unit]])*(LS[[#This Row],[NAV (Strike Rate)]]-INDEX(LS[NAV at Cost (Average)],MATCH(CONCATENATE(LS[[#This Row],[Frequency]]-1,LS[[#This Row],[Investor ID]]),LS[Unique Code],0),)))</f>
        <v>36641.372014602115</v>
      </c>
      <c r="U1335" s="102" cm="1">
        <f t="array" ref="U1335">IF(LS[[#This Row],[B/S]]="S",ABS(LS[[#This Row],[Unit]])*(INDEX(LS[NAV at Cost (Average)],MATCH(CONCATENATE((LS[[#This Row],[Frequency]]-1),LS[[#This Row],[Investor ID]]),LS[Unique Code],0),0)),0)</f>
        <v>352505.87798539788</v>
      </c>
      <c r="V1335" s="102">
        <f>IF(LS[[#This Row],[BO TRANSFER]]="YES",LS[[#This Row],[Unit]],)</f>
        <v>0</v>
      </c>
      <c r="W1335" s="102">
        <f>SUMIFS(LS[[#Headers],[BO UNIT TRANSFER]]:LS[[#This Row],[BO UNIT TRANSFER]],LS[[#Headers],[Investor ID]]:LS[[#This Row],[Investor ID]],LS[[#This Row],[Investor ID]])</f>
        <v>0</v>
      </c>
    </row>
    <row r="1336" spans="1:23">
      <c r="A1336" s="101">
        <v>2025</v>
      </c>
      <c r="B1336" s="101">
        <v>11</v>
      </c>
      <c r="C1336" s="101">
        <v>5</v>
      </c>
      <c r="D1336" s="98">
        <f>DATE(LS[[#This Row],[Year]],LS[[#This Row],[Month]],LS[[#This Row],[Day]])</f>
        <v>45966</v>
      </c>
      <c r="E1336" s="99" t="str" cm="1">
        <f t="array" ref="E1336">INDEX(INVESTORS_LIST[INVESTOR NAME],MATCH(LS[[#This Row],[Investor ID]],INVESTORS_LIST[INVESTOR CODE],0),)</f>
        <v>PUJA BHATTACHARJEE</v>
      </c>
      <c r="F1336" s="100" t="s">
        <v>1286</v>
      </c>
      <c r="G1336" s="101">
        <f>COUNTIF(LS[[#Headers],[Investor ID]]:LS[[#This Row],[Investor ID]],LS[[#This Row],[Investor ID]])</f>
        <v>9</v>
      </c>
      <c r="H1336" s="101" t="str">
        <f>CONCATENATE(LS[[#This Row],[Frequency]],LS[[#This Row],[Investor ID]])</f>
        <v>9A00590</v>
      </c>
      <c r="I1336" s="75" t="str">
        <f>IF(LS[[#This Row],[B/S]]="B","BUY",(IF(LS[[#This Row],[B/S]]="S","SELL"," ")))</f>
        <v>SELL</v>
      </c>
      <c r="J1336" s="101" t="s">
        <v>1231</v>
      </c>
      <c r="K1336" s="102">
        <v>-887418.56</v>
      </c>
      <c r="L1336" s="99"/>
      <c r="M1336" s="103">
        <f>LS[[#This Row],[Amount]]/LS[[#This Row],[Unit]]</f>
        <v>13.661000000000001</v>
      </c>
      <c r="N1336" s="104">
        <f>LS[[#This Row],[Unit Capital]]/10</f>
        <v>-64960</v>
      </c>
      <c r="O1336" s="104">
        <f>SUMIFS(LS[[#Headers],[Unit]]:LS[[#This Row],[Unit]],LS[[#Headers],[Investor ID]]:LS[[#This Row],[Investor ID]],LS[[#This Row],[Investor ID]])</f>
        <v>0</v>
      </c>
      <c r="P1336" s="102">
        <v>-649600</v>
      </c>
      <c r="Q1336" s="102">
        <f>LS[[#This Row],[Amount]]-LS[[#This Row],[Unit Capital]]</f>
        <v>-237818.56000000006</v>
      </c>
      <c r="R13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36" s="103">
        <f t="shared" si="25"/>
        <v>14.224</v>
      </c>
      <c r="T1336" s="102">
        <f>IF(LS[[#This Row],[B/S]]="B",0,ABS(LS[[#This Row],[Unit]])*(LS[[#This Row],[NAV (Strike Rate)]]-INDEX(LS[NAV at Cost (Average)],MATCH(CONCATENATE(LS[[#This Row],[Frequency]]-1,LS[[#This Row],[Investor ID]]),LS[Unique Code],0),)))</f>
        <v>96106.291674078166</v>
      </c>
      <c r="U1336" s="102" cm="1">
        <f t="array" ref="U1336">IF(LS[[#This Row],[B/S]]="S",ABS(LS[[#This Row],[Unit]])*(INDEX(LS[NAV at Cost (Average)],MATCH(CONCATENATE((LS[[#This Row],[Frequency]]-1),LS[[#This Row],[Investor ID]]),LS[Unique Code],0),0)),0)</f>
        <v>791312.26832592196</v>
      </c>
      <c r="V1336" s="102">
        <f>IF(LS[[#This Row],[BO TRANSFER]]="YES",LS[[#This Row],[Unit]],)</f>
        <v>0</v>
      </c>
      <c r="W1336" s="102">
        <f>SUMIFS(LS[[#Headers],[BO UNIT TRANSFER]]:LS[[#This Row],[BO UNIT TRANSFER]],LS[[#Headers],[Investor ID]]:LS[[#This Row],[Investor ID]],LS[[#This Row],[Investor ID]])</f>
        <v>0</v>
      </c>
    </row>
    <row r="1337" spans="1:23">
      <c r="A1337" s="101">
        <v>2025</v>
      </c>
      <c r="B1337" s="101">
        <v>11</v>
      </c>
      <c r="C1337" s="101">
        <v>5</v>
      </c>
      <c r="D1337" s="98">
        <f>DATE(LS[[#This Row],[Year]],LS[[#This Row],[Month]],LS[[#This Row],[Day]])</f>
        <v>45966</v>
      </c>
      <c r="E1337" s="99" t="str" cm="1">
        <f t="array" ref="E1337">INDEX(INVESTORS_LIST[INVESTOR NAME],MATCH(LS[[#This Row],[Investor ID]],INVESTORS_LIST[INVESTOR CODE],0),)</f>
        <v>NAUSHEEN AHMED</v>
      </c>
      <c r="F1337" s="100" t="s">
        <v>585</v>
      </c>
      <c r="G1337" s="101">
        <f>COUNTIF(LS[[#Headers],[Investor ID]]:LS[[#This Row],[Investor ID]],LS[[#This Row],[Investor ID]])</f>
        <v>8</v>
      </c>
      <c r="H1337" s="101" t="str">
        <f>CONCATENATE(LS[[#This Row],[Frequency]],LS[[#This Row],[Investor ID]])</f>
        <v>8A00268</v>
      </c>
      <c r="I1337" s="75" t="str">
        <f>IF(LS[[#This Row],[B/S]]="B","BUY",(IF(LS[[#This Row],[B/S]]="S","SELL"," ")))</f>
        <v>SELL</v>
      </c>
      <c r="J1337" s="101" t="s">
        <v>1231</v>
      </c>
      <c r="K1337" s="102">
        <v>-655728</v>
      </c>
      <c r="L1337" s="99"/>
      <c r="M1337" s="103">
        <f>LS[[#This Row],[Amount]]/LS[[#This Row],[Unit]]</f>
        <v>13.661</v>
      </c>
      <c r="N1337" s="104">
        <f>LS[[#This Row],[Unit Capital]]/10</f>
        <v>-48000</v>
      </c>
      <c r="O1337" s="104">
        <f>SUMIFS(LS[[#Headers],[Unit]]:LS[[#This Row],[Unit]],LS[[#Headers],[Investor ID]]:LS[[#This Row],[Investor ID]],LS[[#This Row],[Investor ID]])</f>
        <v>25000</v>
      </c>
      <c r="P1337" s="102">
        <v>-480000</v>
      </c>
      <c r="Q1337" s="102">
        <f>LS[[#This Row],[Amount]]-LS[[#This Row],[Unit Capital]]</f>
        <v>-175728</v>
      </c>
      <c r="R13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13.537000000000001</v>
      </c>
      <c r="S1337" s="103">
        <f t="shared" si="25"/>
        <v>14.224</v>
      </c>
      <c r="T1337" s="102">
        <f>IF(LS[[#This Row],[B/S]]="B",0,ABS(LS[[#This Row],[Unit]])*(LS[[#This Row],[NAV (Strike Rate)]]-INDEX(LS[NAV at Cost (Average)],MATCH(CONCATENATE(LS[[#This Row],[Frequency]]-1,LS[[#This Row],[Investor ID]]),LS[Unique Code],0),)))</f>
        <v>5951.9999999999418</v>
      </c>
      <c r="U1337" s="102" cm="1">
        <f t="array" ref="U1337">IF(LS[[#This Row],[B/S]]="S",ABS(LS[[#This Row],[Unit]])*(INDEX(LS[NAV at Cost (Average)],MATCH(CONCATENATE((LS[[#This Row],[Frequency]]-1),LS[[#This Row],[Investor ID]]),LS[Unique Code],0),0)),0)</f>
        <v>649776</v>
      </c>
      <c r="V1337" s="102">
        <f>IF(LS[[#This Row],[BO TRANSFER]]="YES",LS[[#This Row],[Unit]],)</f>
        <v>0</v>
      </c>
      <c r="W1337" s="102">
        <f>SUMIFS(LS[[#Headers],[BO UNIT TRANSFER]]:LS[[#This Row],[BO UNIT TRANSFER]],LS[[#Headers],[Investor ID]]:LS[[#This Row],[Investor ID]],LS[[#This Row],[Investor ID]])</f>
        <v>0</v>
      </c>
    </row>
    <row r="1338" spans="1:23">
      <c r="A1338" s="101">
        <v>2025</v>
      </c>
      <c r="B1338" s="101">
        <v>11</v>
      </c>
      <c r="C1338" s="101">
        <v>5</v>
      </c>
      <c r="D1338" s="98">
        <f>DATE(LS[[#This Row],[Year]],LS[[#This Row],[Month]],LS[[#This Row],[Day]])</f>
        <v>45966</v>
      </c>
      <c r="E1338" s="99" t="str" cm="1">
        <f t="array" ref="E1338">INDEX(INVESTORS_LIST[INVESTOR NAME],MATCH(LS[[#This Row],[Investor ID]],INVESTORS_LIST[INVESTOR CODE],0),)</f>
        <v>IMRANUL GANI FIRA</v>
      </c>
      <c r="F1338" s="100" t="s">
        <v>1531</v>
      </c>
      <c r="G1338" s="101">
        <f>COUNTIF(LS[[#Headers],[Investor ID]]:LS[[#This Row],[Investor ID]],LS[[#This Row],[Investor ID]])</f>
        <v>1</v>
      </c>
      <c r="H1338" s="101" t="str">
        <f>CONCATENATE(LS[[#This Row],[Frequency]],LS[[#This Row],[Investor ID]])</f>
        <v>1BR0005</v>
      </c>
      <c r="I1338" s="75" t="str">
        <f>IF(LS[[#This Row],[B/S]]="B","BUY",(IF(LS[[#This Row],[B/S]]="S","SELL"," ")))</f>
        <v>BUY</v>
      </c>
      <c r="J1338" s="101" t="s">
        <v>1229</v>
      </c>
      <c r="K1338" s="102">
        <v>25000</v>
      </c>
      <c r="L1338" s="99" t="s">
        <v>1230</v>
      </c>
      <c r="M1338" s="103">
        <f>LS[[#This Row],[Amount]]/LS[[#This Row],[Unit]]</f>
        <v>13.66120218579235</v>
      </c>
      <c r="N1338" s="104">
        <f>LS[[#This Row],[Unit Capital]]/10</f>
        <v>1830</v>
      </c>
      <c r="O1338" s="104">
        <f>SUMIFS(LS[[#Headers],[Unit]]:LS[[#This Row],[Unit]],LS[[#Headers],[Investor ID]]:LS[[#This Row],[Investor ID]],LS[[#This Row],[Investor ID]])</f>
        <v>1830</v>
      </c>
      <c r="P1338" s="102">
        <v>18300</v>
      </c>
      <c r="Q1338" s="102">
        <f>LS[[#This Row],[Amount]]-LS[[#This Row],[Unit Capital]]</f>
        <v>6700</v>
      </c>
      <c r="R13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13.66120218579235</v>
      </c>
      <c r="S1338" s="103">
        <f t="shared" si="25"/>
        <v>14.224</v>
      </c>
      <c r="T133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38" s="102" cm="1">
        <f t="array" ref="U1338">IF(LS[[#This Row],[B/S]]="S",ABS(LS[[#This Row],[Unit]])*(INDEX(LS[NAV at Cost (Average)],MATCH(CONCATENATE((LS[[#This Row],[Frequency]]-1),LS[[#This Row],[Investor ID]]),LS[Unique Code],0),0)),0)</f>
        <v>0</v>
      </c>
      <c r="V1338" s="102">
        <f>IF(LS[[#This Row],[BO TRANSFER]]="YES",LS[[#This Row],[Unit]],)</f>
        <v>1830</v>
      </c>
      <c r="W1338" s="102">
        <f>SUMIFS(LS[[#Headers],[BO UNIT TRANSFER]]:LS[[#This Row],[BO UNIT TRANSFER]],LS[[#Headers],[Investor ID]]:LS[[#This Row],[Investor ID]],LS[[#This Row],[Investor ID]])</f>
        <v>1830</v>
      </c>
    </row>
    <row r="1339" spans="1:23">
      <c r="A1339" s="101">
        <v>2025</v>
      </c>
      <c r="B1339" s="101">
        <v>11</v>
      </c>
      <c r="C1339" s="101">
        <v>9</v>
      </c>
      <c r="D1339" s="98">
        <f>DATE(LS[[#This Row],[Year]],LS[[#This Row],[Month]],LS[[#This Row],[Day]])</f>
        <v>45970</v>
      </c>
      <c r="E1339" s="99" t="str" cm="1">
        <f t="array" ref="E1339">INDEX(INVESTORS_LIST[INVESTOR NAME],MATCH(LS[[#This Row],[Investor ID]],INVESTORS_LIST[INVESTOR CODE],0),)</f>
        <v>SYED FAZLE RABBY</v>
      </c>
      <c r="F1339" s="100" t="s">
        <v>166</v>
      </c>
      <c r="G1339" s="101">
        <f>COUNTIF(LS[[#Headers],[Investor ID]]:LS[[#This Row],[Investor ID]],LS[[#This Row],[Investor ID]])</f>
        <v>50</v>
      </c>
      <c r="H1339" s="101" t="str">
        <f>CONCATENATE(LS[[#This Row],[Frequency]],LS[[#This Row],[Investor ID]])</f>
        <v>50A00059</v>
      </c>
      <c r="I1339" s="75" t="str">
        <f>IF(LS[[#This Row],[B/S]]="B","BUY",(IF(LS[[#This Row],[B/S]]="S","SELL"," ")))</f>
        <v>SELL</v>
      </c>
      <c r="J1339" s="101" t="s">
        <v>1231</v>
      </c>
      <c r="K1339" s="102">
        <v>-204915</v>
      </c>
      <c r="L1339" s="99"/>
      <c r="M1339" s="103">
        <f>LS[[#This Row],[Amount]]/LS[[#This Row],[Unit]]</f>
        <v>13.661</v>
      </c>
      <c r="N1339" s="104">
        <f>LS[[#This Row],[Unit Capital]]/10</f>
        <v>-15000</v>
      </c>
      <c r="O1339" s="104">
        <f>SUMIFS(LS[[#Headers],[Unit]]:LS[[#This Row],[Unit]],LS[[#Headers],[Investor ID]]:LS[[#This Row],[Investor ID]],LS[[#This Row],[Investor ID]])</f>
        <v>540000</v>
      </c>
      <c r="P1339" s="102">
        <v>-150000</v>
      </c>
      <c r="Q1339" s="102">
        <f>LS[[#This Row],[Amount]]-LS[[#This Row],[Unit Capital]]</f>
        <v>-54915</v>
      </c>
      <c r="R13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12.414287401598994</v>
      </c>
      <c r="S1339" s="103">
        <f t="shared" ref="S1339:S1354" si="26">IFERROR(NAV_MKT,0)</f>
        <v>14.224</v>
      </c>
      <c r="T1339" s="102">
        <f>IF(LS[[#This Row],[B/S]]="B",0,ABS(LS[[#This Row],[Unit]])*(LS[[#This Row],[NAV (Strike Rate)]]-INDEX(LS[NAV at Cost (Average)],MATCH(CONCATENATE(LS[[#This Row],[Frequency]]-1,LS[[#This Row],[Investor ID]]),LS[Unique Code],0),)))</f>
        <v>18700.688976015084</v>
      </c>
      <c r="U1339" s="102" cm="1">
        <f t="array" ref="U1339">IF(LS[[#This Row],[B/S]]="S",ABS(LS[[#This Row],[Unit]])*(INDEX(LS[NAV at Cost (Average)],MATCH(CONCATENATE((LS[[#This Row],[Frequency]]-1),LS[[#This Row],[Investor ID]]),LS[Unique Code],0),0)),0)</f>
        <v>186214.31102398492</v>
      </c>
      <c r="V1339" s="102">
        <f>IF(LS[[#This Row],[BO TRANSFER]]="YES",LS[[#This Row],[Unit]],)</f>
        <v>0</v>
      </c>
      <c r="W1339" s="102">
        <f>SUMIFS(LS[[#Headers],[BO UNIT TRANSFER]]:LS[[#This Row],[BO UNIT TRANSFER]],LS[[#Headers],[Investor ID]]:LS[[#This Row],[Investor ID]],LS[[#This Row],[Investor ID]])</f>
        <v>0</v>
      </c>
    </row>
    <row r="1340" spans="1:23">
      <c r="A1340" s="101">
        <v>2025</v>
      </c>
      <c r="B1340" s="101">
        <v>11</v>
      </c>
      <c r="C1340" s="101">
        <v>9</v>
      </c>
      <c r="D1340" s="98">
        <f>DATE(LS[[#This Row],[Year]],LS[[#This Row],[Month]],LS[[#This Row],[Day]])</f>
        <v>45970</v>
      </c>
      <c r="E1340" s="99" t="str" cm="1">
        <f t="array" ref="E1340">INDEX(INVESTORS_LIST[INVESTOR NAME],MATCH(LS[[#This Row],[Investor ID]],INVESTORS_LIST[INVESTOR CODE],0),)</f>
        <v>IFTEKHAR ALAM</v>
      </c>
      <c r="F1340" s="100" t="s">
        <v>216</v>
      </c>
      <c r="G1340" s="101">
        <f>COUNTIF(LS[[#Headers],[Investor ID]]:LS[[#This Row],[Investor ID]],LS[[#This Row],[Investor ID]])</f>
        <v>5</v>
      </c>
      <c r="H1340" s="101" t="str">
        <f>CONCATENATE(LS[[#This Row],[Frequency]],LS[[#This Row],[Investor ID]])</f>
        <v>5A00084</v>
      </c>
      <c r="I1340" s="75" t="str">
        <f>IF(LS[[#This Row],[B/S]]="B","BUY",(IF(LS[[#This Row],[B/S]]="S","SELL"," ")))</f>
        <v>SELL</v>
      </c>
      <c r="J1340" s="101" t="s">
        <v>1231</v>
      </c>
      <c r="K1340" s="102">
        <v>-509391.37</v>
      </c>
      <c r="L1340" s="99"/>
      <c r="M1340" s="103">
        <f>LS[[#This Row],[Amount]]/LS[[#This Row],[Unit]]</f>
        <v>13.661000053636558</v>
      </c>
      <c r="N1340" s="104">
        <f>LS[[#This Row],[Unit Capital]]/10</f>
        <v>-37288</v>
      </c>
      <c r="O1340" s="104">
        <f>SUMIFS(LS[[#Headers],[Unit]]:LS[[#This Row],[Unit]],LS[[#Headers],[Investor ID]]:LS[[#This Row],[Investor ID]],LS[[#This Row],[Investor ID]])</f>
        <v>0</v>
      </c>
      <c r="P1340" s="102">
        <v>-372880</v>
      </c>
      <c r="Q1340" s="102">
        <f>LS[[#This Row],[Amount]]-LS[[#This Row],[Unit Capital]]</f>
        <v>-136511.37</v>
      </c>
      <c r="R13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40" s="103">
        <f t="shared" si="26"/>
        <v>14.224</v>
      </c>
      <c r="T1340" s="102">
        <f>IF(LS[[#This Row],[B/S]]="B",0,ABS(LS[[#This Row],[Unit]])*(LS[[#This Row],[NAV (Strike Rate)]]-INDEX(LS[NAV at Cost (Average)],MATCH(CONCATENATE(LS[[#This Row],[Frequency]]-1,LS[[#This Row],[Investor ID]]),LS[Unique Code],0),)))</f>
        <v>104571.0464737813</v>
      </c>
      <c r="U1340" s="102" cm="1">
        <f t="array" ref="U1340">IF(LS[[#This Row],[B/S]]="S",ABS(LS[[#This Row],[Unit]])*(INDEX(LS[NAV at Cost (Average)],MATCH(CONCATENATE((LS[[#This Row],[Frequency]]-1),LS[[#This Row],[Investor ID]]),LS[Unique Code],0),0)),0)</f>
        <v>404820.32352621865</v>
      </c>
      <c r="V1340" s="102">
        <f>IF(LS[[#This Row],[BO TRANSFER]]="YES",LS[[#This Row],[Unit]],)</f>
        <v>0</v>
      </c>
      <c r="W1340" s="102">
        <f>SUMIFS(LS[[#Headers],[BO UNIT TRANSFER]]:LS[[#This Row],[BO UNIT TRANSFER]],LS[[#Headers],[Investor ID]]:LS[[#This Row],[Investor ID]],LS[[#This Row],[Investor ID]])</f>
        <v>0</v>
      </c>
    </row>
    <row r="1341" spans="1:23">
      <c r="A1341" s="101">
        <v>2025</v>
      </c>
      <c r="B1341" s="101">
        <v>11</v>
      </c>
      <c r="C1341" s="101">
        <v>9</v>
      </c>
      <c r="D1341" s="98">
        <f>DATE(LS[[#This Row],[Year]],LS[[#This Row],[Month]],LS[[#This Row],[Day]])</f>
        <v>45970</v>
      </c>
      <c r="E1341" s="99" t="str" cm="1">
        <f t="array" ref="E1341">INDEX(INVESTORS_LIST[INVESTOR NAME],MATCH(LS[[#This Row],[Investor ID]],INVESTORS_LIST[INVESTOR CODE],0),)</f>
        <v>TAJDIKUL ALAM</v>
      </c>
      <c r="F1341" s="100" t="s">
        <v>1099</v>
      </c>
      <c r="G1341" s="101">
        <f>COUNTIF(LS[[#Headers],[Investor ID]]:LS[[#This Row],[Investor ID]],LS[[#This Row],[Investor ID]])</f>
        <v>9</v>
      </c>
      <c r="H1341" s="101" t="str">
        <f>CONCATENATE(LS[[#This Row],[Frequency]],LS[[#This Row],[Investor ID]])</f>
        <v>9A00526</v>
      </c>
      <c r="I1341" s="75" t="str">
        <f>IF(LS[[#This Row],[B/S]]="B","BUY",(IF(LS[[#This Row],[B/S]]="S","SELL"," ")))</f>
        <v>SELL</v>
      </c>
      <c r="J1341" s="101" t="s">
        <v>1231</v>
      </c>
      <c r="K1341" s="102">
        <v>-109288</v>
      </c>
      <c r="L1341" s="99"/>
      <c r="M1341" s="103">
        <f>LS[[#This Row],[Amount]]/LS[[#This Row],[Unit]]</f>
        <v>13.661</v>
      </c>
      <c r="N1341" s="104">
        <f>LS[[#This Row],[Unit Capital]]/10</f>
        <v>-8000</v>
      </c>
      <c r="O1341" s="104">
        <f>SUMIFS(LS[[#Headers],[Unit]]:LS[[#This Row],[Unit]],LS[[#Headers],[Investor ID]]:LS[[#This Row],[Investor ID]],LS[[#This Row],[Investor ID]])</f>
        <v>32000</v>
      </c>
      <c r="P1341" s="102">
        <v>-80000</v>
      </c>
      <c r="Q1341" s="102">
        <f>LS[[#This Row],[Amount]]-LS[[#This Row],[Unit Capital]]</f>
        <v>-29288</v>
      </c>
      <c r="R13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341" s="103">
        <f t="shared" si="26"/>
        <v>14.224</v>
      </c>
      <c r="T1341" s="102">
        <f>IF(LS[[#This Row],[B/S]]="B",0,ABS(LS[[#This Row],[Unit]])*(LS[[#This Row],[NAV (Strike Rate)]]-INDEX(LS[NAV at Cost (Average)],MATCH(CONCATENATE(LS[[#This Row],[Frequency]]-1,LS[[#This Row],[Investor ID]]),LS[Unique Code],0),)))</f>
        <v>19328.160642570281</v>
      </c>
      <c r="U1341" s="102" cm="1">
        <f t="array" ref="U1341">IF(LS[[#This Row],[B/S]]="S",ABS(LS[[#This Row],[Unit]])*(INDEX(LS[NAV at Cost (Average)],MATCH(CONCATENATE((LS[[#This Row],[Frequency]]-1),LS[[#This Row],[Investor ID]]),LS[Unique Code],0),0)),0)</f>
        <v>89959.839357429708</v>
      </c>
      <c r="V1341" s="102">
        <f>IF(LS[[#This Row],[BO TRANSFER]]="YES",LS[[#This Row],[Unit]],)</f>
        <v>0</v>
      </c>
      <c r="W1341" s="102">
        <f>SUMIFS(LS[[#Headers],[BO UNIT TRANSFER]]:LS[[#This Row],[BO UNIT TRANSFER]],LS[[#Headers],[Investor ID]]:LS[[#This Row],[Investor ID]],LS[[#This Row],[Investor ID]])</f>
        <v>0</v>
      </c>
    </row>
    <row r="1342" spans="1:23">
      <c r="A1342" s="101">
        <v>2025</v>
      </c>
      <c r="B1342" s="101">
        <v>11</v>
      </c>
      <c r="C1342" s="101">
        <v>9</v>
      </c>
      <c r="D1342" s="98">
        <f>DATE(LS[[#This Row],[Year]],LS[[#This Row],[Month]],LS[[#This Row],[Day]])</f>
        <v>45970</v>
      </c>
      <c r="E1342" s="99" t="str" cm="1">
        <f t="array" ref="E1342">INDEX(INVESTORS_LIST[INVESTOR NAME],MATCH(LS[[#This Row],[Investor ID]],INVESTORS_LIST[INVESTOR CODE],0),)</f>
        <v>SRIJON GHOSH</v>
      </c>
      <c r="F1342" s="100" t="s">
        <v>894</v>
      </c>
      <c r="G1342" s="101">
        <f>COUNTIF(LS[[#Headers],[Investor ID]]:LS[[#This Row],[Investor ID]],LS[[#This Row],[Investor ID]])</f>
        <v>11</v>
      </c>
      <c r="H1342" s="101" t="str">
        <f>CONCATENATE(LS[[#This Row],[Frequency]],LS[[#This Row],[Investor ID]])</f>
        <v>11A00424</v>
      </c>
      <c r="I1342" s="75" t="str">
        <f>IF(LS[[#This Row],[B/S]]="B","BUY",(IF(LS[[#This Row],[B/S]]="S","SELL"," ")))</f>
        <v>SELL</v>
      </c>
      <c r="J1342" s="101" t="s">
        <v>1231</v>
      </c>
      <c r="K1342" s="102">
        <v>-20000</v>
      </c>
      <c r="L1342" s="99"/>
      <c r="M1342" s="103">
        <f>LS[[#This Row],[Amount]]/LS[[#This Row],[Unit]]</f>
        <v>13.66120218579235</v>
      </c>
      <c r="N1342" s="104">
        <f>LS[[#This Row],[Unit Capital]]/10</f>
        <v>-1464</v>
      </c>
      <c r="O1342" s="104">
        <f>SUMIFS(LS[[#Headers],[Unit]]:LS[[#This Row],[Unit]],LS[[#Headers],[Investor ID]]:LS[[#This Row],[Investor ID]],LS[[#This Row],[Investor ID]])</f>
        <v>8275</v>
      </c>
      <c r="P1342" s="102">
        <v>-14640</v>
      </c>
      <c r="Q1342" s="102">
        <f>LS[[#This Row],[Amount]]-LS[[#This Row],[Unit Capital]]</f>
        <v>-5360</v>
      </c>
      <c r="R13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13.43569576490925</v>
      </c>
      <c r="S1342" s="103">
        <f t="shared" si="26"/>
        <v>14.224</v>
      </c>
      <c r="T1342" s="102">
        <f>IF(LS[[#This Row],[B/S]]="B",0,ABS(LS[[#This Row],[Unit]])*(LS[[#This Row],[NAV (Strike Rate)]]-INDEX(LS[NAV at Cost (Average)],MATCH(CONCATENATE(LS[[#This Row],[Frequency]]-1,LS[[#This Row],[Investor ID]]),LS[Unique Code],0),)))</f>
        <v>330.1414001728586</v>
      </c>
      <c r="U1342" s="102" cm="1">
        <f t="array" ref="U1342">IF(LS[[#This Row],[B/S]]="S",ABS(LS[[#This Row],[Unit]])*(INDEX(LS[NAV at Cost (Average)],MATCH(CONCATENATE((LS[[#This Row],[Frequency]]-1),LS[[#This Row],[Investor ID]]),LS[Unique Code],0),0)),0)</f>
        <v>19669.858599827141</v>
      </c>
      <c r="V1342" s="102">
        <f>IF(LS[[#This Row],[BO TRANSFER]]="YES",LS[[#This Row],[Unit]],)</f>
        <v>0</v>
      </c>
      <c r="W1342" s="102">
        <f>SUMIFS(LS[[#Headers],[BO UNIT TRANSFER]]:LS[[#This Row],[BO UNIT TRANSFER]],LS[[#Headers],[Investor ID]]:LS[[#This Row],[Investor ID]],LS[[#This Row],[Investor ID]])</f>
        <v>0</v>
      </c>
    </row>
    <row r="1343" spans="1:23">
      <c r="A1343" s="101">
        <v>2025</v>
      </c>
      <c r="B1343" s="101">
        <v>11</v>
      </c>
      <c r="C1343" s="101">
        <v>9</v>
      </c>
      <c r="D1343" s="98">
        <f>DATE(LS[[#This Row],[Year]],LS[[#This Row],[Month]],LS[[#This Row],[Day]])</f>
        <v>45970</v>
      </c>
      <c r="E1343" s="99" t="str" cm="1">
        <f t="array" ref="E1343">INDEX(INVESTORS_LIST[INVESTOR NAME],MATCH(LS[[#This Row],[Investor ID]],INVESTORS_LIST[INVESTOR CODE],0),)</f>
        <v>MD AYNUL HOQUE</v>
      </c>
      <c r="F1343" s="100" t="s">
        <v>1139</v>
      </c>
      <c r="G1343" s="101">
        <f>COUNTIF(LS[[#Headers],[Investor ID]]:LS[[#This Row],[Investor ID]],LS[[#This Row],[Investor ID]])</f>
        <v>8</v>
      </c>
      <c r="H1343" s="101" t="str">
        <f>CONCATENATE(LS[[#This Row],[Frequency]],LS[[#This Row],[Investor ID]])</f>
        <v>8A00545</v>
      </c>
      <c r="I1343" s="75" t="str">
        <f>IF(LS[[#This Row],[B/S]]="B","BUY",(IF(LS[[#This Row],[B/S]]="S","SELL"," ")))</f>
        <v>SELL</v>
      </c>
      <c r="J1343" s="101" t="s">
        <v>1231</v>
      </c>
      <c r="K1343" s="102">
        <v>-70000</v>
      </c>
      <c r="L1343" s="99"/>
      <c r="M1343" s="103">
        <f>LS[[#This Row],[Amount]]/LS[[#This Row],[Unit]]</f>
        <v>13.66120218579235</v>
      </c>
      <c r="N1343" s="104">
        <f>LS[[#This Row],[Unit Capital]]/10</f>
        <v>-5124</v>
      </c>
      <c r="O1343" s="104">
        <f>SUMIFS(LS[[#Headers],[Unit]]:LS[[#This Row],[Unit]],LS[[#Headers],[Investor ID]]:LS[[#This Row],[Investor ID]],LS[[#This Row],[Investor ID]])</f>
        <v>748726</v>
      </c>
      <c r="P1343" s="102">
        <v>-51240</v>
      </c>
      <c r="Q1343" s="102">
        <f>LS[[#This Row],[Amount]]-LS[[#This Row],[Unit Capital]]</f>
        <v>-18760</v>
      </c>
      <c r="R13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343" s="103">
        <f t="shared" si="26"/>
        <v>14.224</v>
      </c>
      <c r="T1343" s="102">
        <f>IF(LS[[#This Row],[B/S]]="B",0,ABS(LS[[#This Row],[Unit]])*(LS[[#This Row],[NAV (Strike Rate)]]-INDEX(LS[NAV at Cost (Average)],MATCH(CONCATENATE(LS[[#This Row],[Frequency]]-1,LS[[#This Row],[Investor ID]]),LS[Unique Code],0),)))</f>
        <v>9390.6092668643651</v>
      </c>
      <c r="U1343" s="102" cm="1">
        <f t="array" ref="U1343">IF(LS[[#This Row],[B/S]]="S",ABS(LS[[#This Row],[Unit]])*(INDEX(LS[NAV at Cost (Average)],MATCH(CONCATENATE((LS[[#This Row],[Frequency]]-1),LS[[#This Row],[Investor ID]]),LS[Unique Code],0),0)),0)</f>
        <v>60609.390733135639</v>
      </c>
      <c r="V1343" s="102">
        <f>IF(LS[[#This Row],[BO TRANSFER]]="YES",LS[[#This Row],[Unit]],)</f>
        <v>0</v>
      </c>
      <c r="W1343" s="102">
        <f>SUMIFS(LS[[#Headers],[BO UNIT TRANSFER]]:LS[[#This Row],[BO UNIT TRANSFER]],LS[[#Headers],[Investor ID]]:LS[[#This Row],[Investor ID]],LS[[#This Row],[Investor ID]])</f>
        <v>0</v>
      </c>
    </row>
    <row r="1344" spans="1:23">
      <c r="A1344" s="101">
        <v>2025</v>
      </c>
      <c r="B1344" s="101">
        <v>11</v>
      </c>
      <c r="C1344" s="101">
        <v>9</v>
      </c>
      <c r="D1344" s="98">
        <f>DATE(LS[[#This Row],[Year]],LS[[#This Row],[Month]],LS[[#This Row],[Day]])</f>
        <v>45970</v>
      </c>
      <c r="E1344" s="99" t="str" cm="1">
        <f t="array" ref="E1344">INDEX(INVESTORS_LIST[INVESTOR NAME],MATCH(LS[[#This Row],[Investor ID]],INVESTORS_LIST[INVESTOR CODE],0),)</f>
        <v>NASREEN BEGUM</v>
      </c>
      <c r="F1344" s="100" t="s">
        <v>1417</v>
      </c>
      <c r="G1344" s="101">
        <f>COUNTIF(LS[[#Headers],[Investor ID]]:LS[[#This Row],[Investor ID]],LS[[#This Row],[Investor ID]])</f>
        <v>4</v>
      </c>
      <c r="H1344" s="101" t="str">
        <f>CONCATENATE(LS[[#This Row],[Frequency]],LS[[#This Row],[Investor ID]])</f>
        <v>4A00652</v>
      </c>
      <c r="I1344" s="75" t="str">
        <f>IF(LS[[#This Row],[B/S]]="B","BUY",(IF(LS[[#This Row],[B/S]]="S","SELL"," ")))</f>
        <v>SELL</v>
      </c>
      <c r="J1344" s="101" t="s">
        <v>1231</v>
      </c>
      <c r="K1344" s="102">
        <v>-10000</v>
      </c>
      <c r="L1344" s="99"/>
      <c r="M1344" s="103">
        <f>LS[[#This Row],[Amount]]/LS[[#This Row],[Unit]]</f>
        <v>13.66120218579235</v>
      </c>
      <c r="N1344" s="104">
        <f>LS[[#This Row],[Unit Capital]]/10</f>
        <v>-732</v>
      </c>
      <c r="O1344" s="104">
        <f>SUMIFS(LS[[#Headers],[Unit]]:LS[[#This Row],[Unit]],LS[[#Headers],[Investor ID]]:LS[[#This Row],[Investor ID]],LS[[#This Row],[Investor ID]])</f>
        <v>111882</v>
      </c>
      <c r="P1344" s="102">
        <v>-7320</v>
      </c>
      <c r="Q1344" s="102">
        <f>LS[[#This Row],[Amount]]-LS[[#This Row],[Unit Capital]]</f>
        <v>-2680</v>
      </c>
      <c r="R13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344" s="103">
        <f t="shared" si="26"/>
        <v>14.224</v>
      </c>
      <c r="T1344" s="102">
        <f>IF(LS[[#This Row],[B/S]]="B",0,ABS(LS[[#This Row],[Unit]])*(LS[[#This Row],[NAV (Strike Rate)]]-INDEX(LS[NAV at Cost (Average)],MATCH(CONCATENATE(LS[[#This Row],[Frequency]]-1,LS[[#This Row],[Investor ID]]),LS[Unique Code],0),)))</f>
        <v>590.85650627704638</v>
      </c>
      <c r="U1344" s="102" cm="1">
        <f t="array" ref="U1344">IF(LS[[#This Row],[B/S]]="S",ABS(LS[[#This Row],[Unit]])*(INDEX(LS[NAV at Cost (Average)],MATCH(CONCATENATE((LS[[#This Row],[Frequency]]-1),LS[[#This Row],[Investor ID]]),LS[Unique Code],0),0)),0)</f>
        <v>9409.1434937229533</v>
      </c>
      <c r="V1344" s="102">
        <f>IF(LS[[#This Row],[BO TRANSFER]]="YES",LS[[#This Row],[Unit]],)</f>
        <v>0</v>
      </c>
      <c r="W1344" s="102">
        <f>SUMIFS(LS[[#Headers],[BO UNIT TRANSFER]]:LS[[#This Row],[BO UNIT TRANSFER]],LS[[#Headers],[Investor ID]]:LS[[#This Row],[Investor ID]],LS[[#This Row],[Investor ID]])</f>
        <v>0</v>
      </c>
    </row>
    <row r="1345" spans="1:23">
      <c r="A1345" s="101">
        <v>2025</v>
      </c>
      <c r="B1345" s="101">
        <v>11</v>
      </c>
      <c r="C1345" s="101">
        <v>9</v>
      </c>
      <c r="D1345" s="98">
        <f>DATE(LS[[#This Row],[Year]],LS[[#This Row],[Month]],LS[[#This Row],[Day]])</f>
        <v>45970</v>
      </c>
      <c r="E1345" s="99" t="str" cm="1">
        <f t="array" ref="E1345">INDEX(INVESTORS_LIST[INVESTOR NAME],MATCH(LS[[#This Row],[Investor ID]],INVESTORS_LIST[INVESTOR CODE],0),)</f>
        <v>AROOBA SAMEERA CHOWDHURY</v>
      </c>
      <c r="F1345" s="100" t="s">
        <v>1418</v>
      </c>
      <c r="G1345" s="101">
        <f>COUNTIF(LS[[#Headers],[Investor ID]]:LS[[#This Row],[Investor ID]],LS[[#This Row],[Investor ID]])</f>
        <v>4</v>
      </c>
      <c r="H1345" s="101" t="str">
        <f>CONCATENATE(LS[[#This Row],[Frequency]],LS[[#This Row],[Investor ID]])</f>
        <v>4A00653</v>
      </c>
      <c r="I1345" s="75" t="str">
        <f>IF(LS[[#This Row],[B/S]]="B","BUY",(IF(LS[[#This Row],[B/S]]="S","SELL"," ")))</f>
        <v>SELL</v>
      </c>
      <c r="J1345" s="101" t="s">
        <v>1231</v>
      </c>
      <c r="K1345" s="102">
        <v>-7000</v>
      </c>
      <c r="L1345" s="99"/>
      <c r="M1345" s="103">
        <f>LS[[#This Row],[Amount]]/LS[[#This Row],[Unit]]</f>
        <v>13.671875</v>
      </c>
      <c r="N1345" s="104">
        <f>LS[[#This Row],[Unit Capital]]/10</f>
        <v>-512</v>
      </c>
      <c r="O1345" s="104">
        <f>SUMIFS(LS[[#Headers],[Unit]]:LS[[#This Row],[Unit]],LS[[#Headers],[Investor ID]]:LS[[#This Row],[Investor ID]],LS[[#This Row],[Investor ID]])</f>
        <v>76239</v>
      </c>
      <c r="P1345" s="102">
        <v>-5120</v>
      </c>
      <c r="Q1345" s="102">
        <f>LS[[#This Row],[Amount]]-LS[[#This Row],[Unit Capital]]</f>
        <v>-1880</v>
      </c>
      <c r="R13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345" s="103">
        <f t="shared" si="26"/>
        <v>14.224</v>
      </c>
      <c r="T1345" s="102">
        <f>IF(LS[[#This Row],[B/S]]="B",0,ABS(LS[[#This Row],[Unit]])*(LS[[#This Row],[NAV (Strike Rate)]]-INDEX(LS[NAV at Cost (Average)],MATCH(CONCATENATE(LS[[#This Row],[Frequency]]-1,LS[[#This Row],[Investor ID]]),LS[Unique Code],0),)))</f>
        <v>418.76936128642501</v>
      </c>
      <c r="U1345" s="102" cm="1">
        <f t="array" ref="U1345">IF(LS[[#This Row],[B/S]]="S",ABS(LS[[#This Row],[Unit]])*(INDEX(LS[NAV at Cost (Average)],MATCH(CONCATENATE((LS[[#This Row],[Frequency]]-1),LS[[#This Row],[Investor ID]]),LS[Unique Code],0),0)),0)</f>
        <v>6581.230638713575</v>
      </c>
      <c r="V1345" s="102">
        <f>IF(LS[[#This Row],[BO TRANSFER]]="YES",LS[[#This Row],[Unit]],)</f>
        <v>0</v>
      </c>
      <c r="W1345" s="102">
        <f>SUMIFS(LS[[#Headers],[BO UNIT TRANSFER]]:LS[[#This Row],[BO UNIT TRANSFER]],LS[[#Headers],[Investor ID]]:LS[[#This Row],[Investor ID]],LS[[#This Row],[Investor ID]])</f>
        <v>0</v>
      </c>
    </row>
    <row r="1346" spans="1:23">
      <c r="A1346" s="101">
        <v>2025</v>
      </c>
      <c r="B1346" s="101">
        <v>11</v>
      </c>
      <c r="C1346" s="101">
        <v>10</v>
      </c>
      <c r="D1346" s="98">
        <f>DATE(LS[[#This Row],[Year]],LS[[#This Row],[Month]],LS[[#This Row],[Day]])</f>
        <v>45971</v>
      </c>
      <c r="E1346" s="99" t="str" cm="1">
        <f t="array" ref="E1346">INDEX(INVESTORS_LIST[INVESTOR NAME],MATCH(LS[[#This Row],[Investor ID]],INVESTORS_LIST[INVESTOR CODE],0),)</f>
        <v>NAUSHEEN AHMED</v>
      </c>
      <c r="F1346" s="100" t="s">
        <v>585</v>
      </c>
      <c r="G1346" s="101">
        <f>COUNTIF(LS[[#Headers],[Investor ID]]:LS[[#This Row],[Investor ID]],LS[[#This Row],[Investor ID]])</f>
        <v>9</v>
      </c>
      <c r="H1346" s="101" t="str">
        <f>CONCATENATE(LS[[#This Row],[Frequency]],LS[[#This Row],[Investor ID]])</f>
        <v>9A00268</v>
      </c>
      <c r="I1346" s="75" t="str">
        <f>IF(LS[[#This Row],[B/S]]="B","BUY",(IF(LS[[#This Row],[B/S]]="S","SELL"," ")))</f>
        <v>SELL</v>
      </c>
      <c r="J1346" s="101" t="s">
        <v>1231</v>
      </c>
      <c r="K1346" s="102">
        <v>-341500</v>
      </c>
      <c r="L1346" s="99"/>
      <c r="M1346" s="103">
        <f>LS[[#This Row],[Amount]]/LS[[#This Row],[Unit]]</f>
        <v>13.66</v>
      </c>
      <c r="N1346" s="104">
        <f>LS[[#This Row],[Unit Capital]]/10</f>
        <v>-25000</v>
      </c>
      <c r="O1346" s="104">
        <f>SUMIFS(LS[[#Headers],[Unit]]:LS[[#This Row],[Unit]],LS[[#Headers],[Investor ID]]:LS[[#This Row],[Investor ID]],LS[[#This Row],[Investor ID]])</f>
        <v>0</v>
      </c>
      <c r="P1346" s="102">
        <v>-250000</v>
      </c>
      <c r="Q1346" s="102">
        <f>LS[[#This Row],[Amount]]-LS[[#This Row],[Unit Capital]]</f>
        <v>-91500</v>
      </c>
      <c r="R13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46" s="103">
        <f t="shared" si="26"/>
        <v>14.224</v>
      </c>
      <c r="T1346" s="102">
        <f>IF(LS[[#This Row],[B/S]]="B",0,ABS(LS[[#This Row],[Unit]])*(LS[[#This Row],[NAV (Strike Rate)]]-INDEX(LS[NAV at Cost (Average)],MATCH(CONCATENATE(LS[[#This Row],[Frequency]]-1,LS[[#This Row],[Investor ID]]),LS[Unique Code],0),)))</f>
        <v>3074.9999999999832</v>
      </c>
      <c r="U1346" s="102" cm="1">
        <f t="array" ref="U1346">IF(LS[[#This Row],[B/S]]="S",ABS(LS[[#This Row],[Unit]])*(INDEX(LS[NAV at Cost (Average)],MATCH(CONCATENATE((LS[[#This Row],[Frequency]]-1),LS[[#This Row],[Investor ID]]),LS[Unique Code],0),0)),0)</f>
        <v>338425</v>
      </c>
      <c r="V1346" s="102">
        <f>IF(LS[[#This Row],[BO TRANSFER]]="YES",LS[[#This Row],[Unit]],)</f>
        <v>0</v>
      </c>
      <c r="W1346" s="102">
        <f>SUMIFS(LS[[#Headers],[BO UNIT TRANSFER]]:LS[[#This Row],[BO UNIT TRANSFER]],LS[[#Headers],[Investor ID]]:LS[[#This Row],[Investor ID]],LS[[#This Row],[Investor ID]])</f>
        <v>0</v>
      </c>
    </row>
    <row r="1347" spans="1:23">
      <c r="A1347" s="101">
        <v>2025</v>
      </c>
      <c r="B1347" s="101">
        <v>11</v>
      </c>
      <c r="C1347" s="101">
        <v>10</v>
      </c>
      <c r="D1347" s="98">
        <f>DATE(LS[[#This Row],[Year]],LS[[#This Row],[Month]],LS[[#This Row],[Day]])</f>
        <v>45971</v>
      </c>
      <c r="E1347" s="99" t="str" cm="1">
        <f t="array" ref="E1347">INDEX(INVESTORS_LIST[INVESTOR NAME],MATCH(LS[[#This Row],[Investor ID]],INVESTORS_LIST[INVESTOR CODE],0),)</f>
        <v>MYAT MOE KHAING</v>
      </c>
      <c r="F1347" s="100" t="s">
        <v>892</v>
      </c>
      <c r="G1347" s="101">
        <f>COUNTIF(LS[[#Headers],[Investor ID]]:LS[[#This Row],[Investor ID]],LS[[#This Row],[Investor ID]])</f>
        <v>1</v>
      </c>
      <c r="H1347" s="101" t="str">
        <f>CONCATENATE(LS[[#This Row],[Frequency]],LS[[#This Row],[Investor ID]])</f>
        <v>1A00423</v>
      </c>
      <c r="I1347" s="75" t="str">
        <f>IF(LS[[#This Row],[B/S]]="B","BUY",(IF(LS[[#This Row],[B/S]]="S","SELL"," ")))</f>
        <v>BUY</v>
      </c>
      <c r="J1347" s="101" t="s">
        <v>1229</v>
      </c>
      <c r="K1347" s="102">
        <v>1000000</v>
      </c>
      <c r="L1347" s="99"/>
      <c r="M1347" s="103">
        <f>LS[[#This Row],[Amount]]/LS[[#This Row],[Unit]]</f>
        <v>13.660082506898341</v>
      </c>
      <c r="N1347" s="104">
        <f>LS[[#This Row],[Unit Capital]]/10</f>
        <v>73206</v>
      </c>
      <c r="O1347" s="104">
        <f>SUMIFS(LS[[#Headers],[Unit]]:LS[[#This Row],[Unit]],LS[[#Headers],[Investor ID]]:LS[[#This Row],[Investor ID]],LS[[#This Row],[Investor ID]])</f>
        <v>73206</v>
      </c>
      <c r="P1347" s="102">
        <v>732060</v>
      </c>
      <c r="Q1347" s="102">
        <f>LS[[#This Row],[Amount]]-LS[[#This Row],[Unit Capital]]</f>
        <v>267940</v>
      </c>
      <c r="R13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13.660082506898341</v>
      </c>
      <c r="S1347" s="103">
        <f t="shared" si="26"/>
        <v>14.224</v>
      </c>
      <c r="T134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47" s="102" cm="1">
        <f t="array" ref="U1347">IF(LS[[#This Row],[B/S]]="S",ABS(LS[[#This Row],[Unit]])*(INDEX(LS[NAV at Cost (Average)],MATCH(CONCATENATE((LS[[#This Row],[Frequency]]-1),LS[[#This Row],[Investor ID]]),LS[Unique Code],0),0)),0)</f>
        <v>0</v>
      </c>
      <c r="V1347" s="102">
        <f>IF(LS[[#This Row],[BO TRANSFER]]="YES",LS[[#This Row],[Unit]],)</f>
        <v>0</v>
      </c>
      <c r="W1347" s="102">
        <f>SUMIFS(LS[[#Headers],[BO UNIT TRANSFER]]:LS[[#This Row],[BO UNIT TRANSFER]],LS[[#Headers],[Investor ID]]:LS[[#This Row],[Investor ID]],LS[[#This Row],[Investor ID]])</f>
        <v>0</v>
      </c>
    </row>
    <row r="1348" spans="1:23">
      <c r="A1348" s="101">
        <v>2025</v>
      </c>
      <c r="B1348" s="101">
        <v>11</v>
      </c>
      <c r="C1348" s="101">
        <v>10</v>
      </c>
      <c r="D1348" s="98">
        <f>DATE(LS[[#This Row],[Year]],LS[[#This Row],[Month]],LS[[#This Row],[Day]])</f>
        <v>45971</v>
      </c>
      <c r="E1348" s="99" t="str" cm="1">
        <f t="array" ref="E1348">INDEX(INVESTORS_LIST[INVESTOR NAME],MATCH(LS[[#This Row],[Investor ID]],INVESTORS_LIST[INVESTOR CODE],0),)</f>
        <v>SYEDUL TANVIR HOQUE PRIYAM</v>
      </c>
      <c r="F1348" s="100" t="s">
        <v>1424</v>
      </c>
      <c r="G1348" s="101">
        <f>COUNTIF(LS[[#Headers],[Investor ID]]:LS[[#This Row],[Investor ID]],LS[[#This Row],[Investor ID]])</f>
        <v>8</v>
      </c>
      <c r="H1348" s="101" t="str">
        <f>CONCATENATE(LS[[#This Row],[Frequency]],LS[[#This Row],[Investor ID]])</f>
        <v>8A00656</v>
      </c>
      <c r="I1348" s="75" t="str">
        <f>IF(LS[[#This Row],[B/S]]="B","BUY",(IF(LS[[#This Row],[B/S]]="S","SELL"," ")))</f>
        <v>SELL</v>
      </c>
      <c r="J1348" s="101" t="s">
        <v>1231</v>
      </c>
      <c r="K1348" s="102">
        <v>-12639.18</v>
      </c>
      <c r="L1348" s="99"/>
      <c r="M1348" s="103">
        <f>LS[[#This Row],[Amount]]/LS[[#This Row],[Unit]]</f>
        <v>13.663978378378379</v>
      </c>
      <c r="N1348" s="104">
        <f>LS[[#This Row],[Unit Capital]]/10</f>
        <v>-925</v>
      </c>
      <c r="O1348" s="104">
        <f>SUMIFS(LS[[#Headers],[Unit]]:LS[[#This Row],[Unit]],LS[[#Headers],[Investor ID]]:LS[[#This Row],[Investor ID]],LS[[#This Row],[Investor ID]])</f>
        <v>87848</v>
      </c>
      <c r="P1348" s="102">
        <v>-9250</v>
      </c>
      <c r="Q1348" s="102">
        <f>LS[[#This Row],[Amount]]-LS[[#This Row],[Unit Capital]]</f>
        <v>-3389.1800000000003</v>
      </c>
      <c r="R13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348" s="103">
        <f t="shared" si="26"/>
        <v>14.224</v>
      </c>
      <c r="T1348" s="102">
        <f>IF(LS[[#This Row],[B/S]]="B",0,ABS(LS[[#This Row],[Unit]])*(LS[[#This Row],[NAV (Strike Rate)]]-INDEX(LS[NAV at Cost (Average)],MATCH(CONCATENATE(LS[[#This Row],[Frequency]]-1,LS[[#This Row],[Investor ID]]),LS[Unique Code],0),)))</f>
        <v>690.03996899682636</v>
      </c>
      <c r="U1348" s="102" cm="1">
        <f t="array" ref="U1348">IF(LS[[#This Row],[B/S]]="S",ABS(LS[[#This Row],[Unit]])*(INDEX(LS[NAV at Cost (Average)],MATCH(CONCATENATE((LS[[#This Row],[Frequency]]-1),LS[[#This Row],[Investor ID]]),LS[Unique Code],0),0)),0)</f>
        <v>11949.140031003175</v>
      </c>
      <c r="V1348" s="102">
        <f>IF(LS[[#This Row],[BO TRANSFER]]="YES",LS[[#This Row],[Unit]],)</f>
        <v>0</v>
      </c>
      <c r="W1348" s="102">
        <f>SUMIFS(LS[[#Headers],[BO UNIT TRANSFER]]:LS[[#This Row],[BO UNIT TRANSFER]],LS[[#Headers],[Investor ID]]:LS[[#This Row],[Investor ID]],LS[[#This Row],[Investor ID]])</f>
        <v>0</v>
      </c>
    </row>
    <row r="1349" spans="1:23">
      <c r="A1349" s="101">
        <v>2025</v>
      </c>
      <c r="B1349" s="101">
        <v>11</v>
      </c>
      <c r="C1349" s="101">
        <v>10</v>
      </c>
      <c r="D1349" s="98">
        <f>DATE(LS[[#This Row],[Year]],LS[[#This Row],[Month]],LS[[#This Row],[Day]])</f>
        <v>45971</v>
      </c>
      <c r="E1349" s="99" t="str" cm="1">
        <f t="array" ref="E1349">INDEX(INVESTORS_LIST[INVESTOR NAME],MATCH(LS[[#This Row],[Investor ID]],INVESTORS_LIST[INVESTOR CODE],0),)</f>
        <v>RAJIV HASSAN</v>
      </c>
      <c r="F1349" s="100" t="s">
        <v>1038</v>
      </c>
      <c r="G1349" s="101">
        <f>COUNTIF(LS[[#Headers],[Investor ID]]:LS[[#This Row],[Investor ID]],LS[[#This Row],[Investor ID]])</f>
        <v>10</v>
      </c>
      <c r="H1349" s="101" t="str">
        <f>CONCATENATE(LS[[#This Row],[Frequency]],LS[[#This Row],[Investor ID]])</f>
        <v>10A00496</v>
      </c>
      <c r="I1349" s="75" t="str">
        <f>IF(LS[[#This Row],[B/S]]="B","BUY",(IF(LS[[#This Row],[B/S]]="S","SELL"," ")))</f>
        <v>BUY</v>
      </c>
      <c r="J1349" s="101" t="s">
        <v>1229</v>
      </c>
      <c r="K1349" s="102">
        <v>2000000</v>
      </c>
      <c r="L1349" s="99"/>
      <c r="M1349" s="103">
        <f>LS[[#This Row],[Amount]]/LS[[#This Row],[Unit]]</f>
        <v>13.633265167007499</v>
      </c>
      <c r="N1349" s="104">
        <f>LS[[#This Row],[Unit Capital]]/10</f>
        <v>146700</v>
      </c>
      <c r="O1349" s="104">
        <f>SUMIFS(LS[[#Headers],[Unit]]:LS[[#This Row],[Unit]],LS[[#Headers],[Investor ID]]:LS[[#This Row],[Investor ID]],LS[[#This Row],[Investor ID]])</f>
        <v>226302</v>
      </c>
      <c r="P1349" s="102">
        <v>1467000</v>
      </c>
      <c r="Q1349" s="102">
        <f>LS[[#This Row],[Amount]]-LS[[#This Row],[Unit Capital]]</f>
        <v>533000</v>
      </c>
      <c r="R13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13.256621682530426</v>
      </c>
      <c r="S1349" s="103">
        <f t="shared" si="26"/>
        <v>14.224</v>
      </c>
      <c r="T134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49" s="102" cm="1">
        <f t="array" ref="U1349">IF(LS[[#This Row],[B/S]]="S",ABS(LS[[#This Row],[Unit]])*(INDEX(LS[NAV at Cost (Average)],MATCH(CONCATENATE((LS[[#This Row],[Frequency]]-1),LS[[#This Row],[Investor ID]]),LS[Unique Code],0),0)),0)</f>
        <v>0</v>
      </c>
      <c r="V1349" s="102">
        <f>IF(LS[[#This Row],[BO TRANSFER]]="YES",LS[[#This Row],[Unit]],)</f>
        <v>0</v>
      </c>
      <c r="W1349" s="102">
        <f>SUMIFS(LS[[#Headers],[BO UNIT TRANSFER]]:LS[[#This Row],[BO UNIT TRANSFER]],LS[[#Headers],[Investor ID]]:LS[[#This Row],[Investor ID]],LS[[#This Row],[Investor ID]])</f>
        <v>0</v>
      </c>
    </row>
    <row r="1350" spans="1:23">
      <c r="A1350" s="101">
        <v>2025</v>
      </c>
      <c r="B1350" s="101">
        <v>11</v>
      </c>
      <c r="C1350" s="101">
        <v>11</v>
      </c>
      <c r="D1350" s="98">
        <f>DATE(LS[[#This Row],[Year]],LS[[#This Row],[Month]],LS[[#This Row],[Day]])</f>
        <v>45972</v>
      </c>
      <c r="E1350" s="99" t="str" cm="1">
        <f t="array" ref="E1350">INDEX(INVESTORS_LIST[INVESTOR NAME],MATCH(LS[[#This Row],[Investor ID]],INVESTORS_LIST[INVESTOR CODE],0),)</f>
        <v>FARZANA JITU</v>
      </c>
      <c r="F1350" s="100" t="s">
        <v>968</v>
      </c>
      <c r="G1350" s="101">
        <f>COUNTIF(LS[[#Headers],[Investor ID]]:LS[[#This Row],[Investor ID]],LS[[#This Row],[Investor ID]])</f>
        <v>40</v>
      </c>
      <c r="H1350" s="101" t="str">
        <f>CONCATENATE(LS[[#This Row],[Frequency]],LS[[#This Row],[Investor ID]])</f>
        <v>40A00461</v>
      </c>
      <c r="I1350" s="75" t="str">
        <f>IF(LS[[#This Row],[B/S]]="B","BUY",(IF(LS[[#This Row],[B/S]]="S","SELL"," ")))</f>
        <v>BUY</v>
      </c>
      <c r="J1350" s="101" t="s">
        <v>1229</v>
      </c>
      <c r="K1350" s="102">
        <v>120000</v>
      </c>
      <c r="L1350" s="88" t="s">
        <v>1230</v>
      </c>
      <c r="M1350" s="103">
        <f>LS[[#This Row],[Amount]]/LS[[#This Row],[Unit]]</f>
        <v>13.659647125782584</v>
      </c>
      <c r="N1350" s="104">
        <f>LS[[#This Row],[Unit Capital]]/10</f>
        <v>8785</v>
      </c>
      <c r="O1350" s="104">
        <f>SUMIFS(LS[[#Headers],[Unit]]:LS[[#This Row],[Unit]],LS[[#Headers],[Investor ID]]:LS[[#This Row],[Investor ID]],LS[[#This Row],[Investor ID]])</f>
        <v>160384</v>
      </c>
      <c r="P1350" s="102">
        <v>87850</v>
      </c>
      <c r="Q1350" s="102">
        <f>LS[[#This Row],[Amount]]-LS[[#This Row],[Unit Capital]]</f>
        <v>32150</v>
      </c>
      <c r="R13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12.782662880571412</v>
      </c>
      <c r="S1350" s="103">
        <f t="shared" si="26"/>
        <v>14.224</v>
      </c>
      <c r="T135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50" s="102" cm="1">
        <f t="array" ref="U1350">IF(LS[[#This Row],[B/S]]="S",ABS(LS[[#This Row],[Unit]])*(INDEX(LS[NAV at Cost (Average)],MATCH(CONCATENATE((LS[[#This Row],[Frequency]]-1),LS[[#This Row],[Investor ID]]),LS[Unique Code],0),0)),0)</f>
        <v>0</v>
      </c>
      <c r="V1350" s="102">
        <f>IF(LS[[#This Row],[BO TRANSFER]]="YES",LS[[#This Row],[Unit]],)</f>
        <v>8785</v>
      </c>
      <c r="W1350" s="102">
        <f>SUMIFS(LS[[#Headers],[BO UNIT TRANSFER]]:LS[[#This Row],[BO UNIT TRANSFER]],LS[[#Headers],[Investor ID]]:LS[[#This Row],[Investor ID]],LS[[#This Row],[Investor ID]])</f>
        <v>54546</v>
      </c>
    </row>
    <row r="1351" spans="1:23">
      <c r="A1351" s="101">
        <v>2025</v>
      </c>
      <c r="B1351" s="101">
        <v>11</v>
      </c>
      <c r="C1351" s="101">
        <v>11</v>
      </c>
      <c r="D1351" s="98">
        <f>DATE(LS[[#This Row],[Year]],LS[[#This Row],[Month]],LS[[#This Row],[Day]])</f>
        <v>45972</v>
      </c>
      <c r="E1351" s="99" t="str" cm="1">
        <f t="array" ref="E1351">INDEX(INVESTORS_LIST[INVESTOR NAME],MATCH(LS[[#This Row],[Investor ID]],INVESTORS_LIST[INVESTOR CODE],0),)</f>
        <v>KHAN MUHAMMAD KAWSER AHMED</v>
      </c>
      <c r="F1351" s="100" t="s">
        <v>944</v>
      </c>
      <c r="G1351" s="101">
        <f>COUNTIF(LS[[#Headers],[Investor ID]]:LS[[#This Row],[Investor ID]],LS[[#This Row],[Investor ID]])</f>
        <v>39</v>
      </c>
      <c r="H1351" s="101" t="str">
        <f>CONCATENATE(LS[[#This Row],[Frequency]],LS[[#This Row],[Investor ID]])</f>
        <v>39A00449</v>
      </c>
      <c r="I1351" s="75" t="str">
        <f>IF(LS[[#This Row],[B/S]]="B","BUY",(IF(LS[[#This Row],[B/S]]="S","SELL"," ")))</f>
        <v>SELL</v>
      </c>
      <c r="J1351" s="101" t="s">
        <v>1231</v>
      </c>
      <c r="K1351" s="102">
        <v>-500000</v>
      </c>
      <c r="L1351" s="99"/>
      <c r="M1351" s="103">
        <f>LS[[#This Row],[Amount]]/LS[[#This Row],[Unit]]</f>
        <v>13.660082506898341</v>
      </c>
      <c r="N1351" s="104">
        <f>LS[[#This Row],[Unit Capital]]/10</f>
        <v>-36603</v>
      </c>
      <c r="O1351" s="104">
        <f>SUMIFS(LS[[#Headers],[Unit]]:LS[[#This Row],[Unit]],LS[[#Headers],[Investor ID]]:LS[[#This Row],[Investor ID]],LS[[#This Row],[Investor ID]])</f>
        <v>8824214</v>
      </c>
      <c r="P1351" s="102">
        <v>-366030</v>
      </c>
      <c r="Q1351" s="102">
        <f>LS[[#This Row],[Amount]]-LS[[#This Row],[Unit Capital]]</f>
        <v>-133970</v>
      </c>
      <c r="R13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351" s="103">
        <f t="shared" si="26"/>
        <v>14.224</v>
      </c>
      <c r="T1351" s="102">
        <f>IF(LS[[#This Row],[B/S]]="B",0,ABS(LS[[#This Row],[Unit]])*(LS[[#This Row],[NAV (Strike Rate)]]-INDEX(LS[NAV at Cost (Average)],MATCH(CONCATENATE(LS[[#This Row],[Frequency]]-1,LS[[#This Row],[Investor ID]]),LS[Unique Code],0),)))</f>
        <v>53154.497740145671</v>
      </c>
      <c r="U1351" s="102" cm="1">
        <f t="array" ref="U1351">IF(LS[[#This Row],[B/S]]="S",ABS(LS[[#This Row],[Unit]])*(INDEX(LS[NAV at Cost (Average)],MATCH(CONCATENATE((LS[[#This Row],[Frequency]]-1),LS[[#This Row],[Investor ID]]),LS[Unique Code],0),0)),0)</f>
        <v>446845.50225985429</v>
      </c>
      <c r="V1351" s="102">
        <f>IF(LS[[#This Row],[BO TRANSFER]]="YES",LS[[#This Row],[Unit]],)</f>
        <v>0</v>
      </c>
      <c r="W1351" s="102">
        <f>SUMIFS(LS[[#Headers],[BO UNIT TRANSFER]]:LS[[#This Row],[BO UNIT TRANSFER]],LS[[#Headers],[Investor ID]]:LS[[#This Row],[Investor ID]],LS[[#This Row],[Investor ID]])</f>
        <v>0</v>
      </c>
    </row>
    <row r="1352" spans="1:23">
      <c r="A1352" s="101">
        <v>2025</v>
      </c>
      <c r="B1352" s="101">
        <v>11</v>
      </c>
      <c r="C1352" s="101">
        <v>11</v>
      </c>
      <c r="D1352" s="98">
        <f>DATE(LS[[#This Row],[Year]],LS[[#This Row],[Month]],LS[[#This Row],[Day]])</f>
        <v>45972</v>
      </c>
      <c r="E1352" s="99" t="str" cm="1">
        <f t="array" ref="E1352">INDEX(INVESTORS_LIST[INVESTOR NAME],MATCH(LS[[#This Row],[Investor ID]],INVESTORS_LIST[INVESTOR CODE],0),)</f>
        <v>A.N.M. GOLAM SHABBIR</v>
      </c>
      <c r="F1352" s="100" t="s">
        <v>1056</v>
      </c>
      <c r="G1352" s="101">
        <f>COUNTIF(LS[[#Headers],[Investor ID]]:LS[[#This Row],[Investor ID]],LS[[#This Row],[Investor ID]])</f>
        <v>3</v>
      </c>
      <c r="H1352" s="101" t="str">
        <f>CONCATENATE(LS[[#This Row],[Frequency]],LS[[#This Row],[Investor ID]])</f>
        <v>3A00505</v>
      </c>
      <c r="I1352" s="75" t="str">
        <f>IF(LS[[#This Row],[B/S]]="B","BUY",(IF(LS[[#This Row],[B/S]]="S","SELL"," ")))</f>
        <v>SELL</v>
      </c>
      <c r="J1352" s="101" t="s">
        <v>1231</v>
      </c>
      <c r="K1352" s="102">
        <v>-1340496.78</v>
      </c>
      <c r="L1352" s="99"/>
      <c r="M1352" s="103">
        <f>LS[[#This Row],[Amount]]/LS[[#This Row],[Unit]]</f>
        <v>13.66</v>
      </c>
      <c r="N1352" s="104">
        <f>LS[[#This Row],[Unit Capital]]/10</f>
        <v>-98133</v>
      </c>
      <c r="O1352" s="104">
        <f>SUMIFS(LS[[#Headers],[Unit]]:LS[[#This Row],[Unit]],LS[[#Headers],[Investor ID]]:LS[[#This Row],[Investor ID]],LS[[#This Row],[Investor ID]])</f>
        <v>0</v>
      </c>
      <c r="P1352" s="102">
        <v>-981330</v>
      </c>
      <c r="Q1352" s="102">
        <f>LS[[#This Row],[Amount]]-LS[[#This Row],[Unit Capital]]</f>
        <v>-359166.78</v>
      </c>
      <c r="R13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52" s="103">
        <f t="shared" si="26"/>
        <v>14.224</v>
      </c>
      <c r="T1352" s="102">
        <f>IF(LS[[#This Row],[B/S]]="B",0,ABS(LS[[#This Row],[Unit]])*(LS[[#This Row],[NAV (Strike Rate)]]-INDEX(LS[NAV at Cost (Average)],MATCH(CONCATENATE(LS[[#This Row],[Frequency]]-1,LS[[#This Row],[Investor ID]]),LS[Unique Code],0),)))</f>
        <v>240496.77999999991</v>
      </c>
      <c r="U1352" s="102" cm="1">
        <f t="array" ref="U1352">IF(LS[[#This Row],[B/S]]="S",ABS(LS[[#This Row],[Unit]])*(INDEX(LS[NAV at Cost (Average)],MATCH(CONCATENATE((LS[[#This Row],[Frequency]]-1),LS[[#This Row],[Investor ID]]),LS[Unique Code],0),0)),0)</f>
        <v>1100000</v>
      </c>
      <c r="V1352" s="102">
        <f>IF(LS[[#This Row],[BO TRANSFER]]="YES",LS[[#This Row],[Unit]],)</f>
        <v>0</v>
      </c>
      <c r="W1352" s="102">
        <f>SUMIFS(LS[[#Headers],[BO UNIT TRANSFER]]:LS[[#This Row],[BO UNIT TRANSFER]],LS[[#Headers],[Investor ID]]:LS[[#This Row],[Investor ID]],LS[[#This Row],[Investor ID]])</f>
        <v>0</v>
      </c>
    </row>
    <row r="1353" spans="1:23">
      <c r="A1353" s="101">
        <v>2025</v>
      </c>
      <c r="B1353" s="101">
        <v>11</v>
      </c>
      <c r="C1353" s="101">
        <v>11</v>
      </c>
      <c r="D1353" s="98">
        <f>DATE(LS[[#This Row],[Year]],LS[[#This Row],[Month]],LS[[#This Row],[Day]])</f>
        <v>45972</v>
      </c>
      <c r="E1353" s="99" t="str" cm="1">
        <f t="array" ref="E1353">INDEX(INVESTORS_LIST[INVESTOR NAME],MATCH(LS[[#This Row],[Investor ID]],INVESTORS_LIST[INVESTOR CODE],0),)</f>
        <v>SAYEED NASIR</v>
      </c>
      <c r="F1353" s="100" t="s">
        <v>1356</v>
      </c>
      <c r="G1353" s="101">
        <f>COUNTIF(LS[[#Headers],[Investor ID]]:LS[[#This Row],[Investor ID]],LS[[#This Row],[Investor ID]])</f>
        <v>2</v>
      </c>
      <c r="H1353" s="101" t="str">
        <f>CONCATENATE(LS[[#This Row],[Frequency]],LS[[#This Row],[Investor ID]])</f>
        <v>2A00624</v>
      </c>
      <c r="I1353" s="75" t="str">
        <f>IF(LS[[#This Row],[B/S]]="B","BUY",(IF(LS[[#This Row],[B/S]]="S","SELL"," ")))</f>
        <v>SELL</v>
      </c>
      <c r="J1353" s="101" t="s">
        <v>1231</v>
      </c>
      <c r="K1353" s="102">
        <v>-544610.54</v>
      </c>
      <c r="L1353" s="99"/>
      <c r="M1353" s="103">
        <f>LS[[#This Row],[Amount]]/LS[[#This Row],[Unit]]</f>
        <v>13.66</v>
      </c>
      <c r="N1353" s="104">
        <f>LS[[#This Row],[Unit Capital]]/10</f>
        <v>-39869</v>
      </c>
      <c r="O1353" s="104">
        <f>SUMIFS(LS[[#Headers],[Unit]]:LS[[#This Row],[Unit]],LS[[#Headers],[Investor ID]]:LS[[#This Row],[Investor ID]],LS[[#This Row],[Investor ID]])</f>
        <v>0</v>
      </c>
      <c r="P1353" s="102">
        <v>-398690</v>
      </c>
      <c r="Q1353" s="102">
        <f>LS[[#This Row],[Amount]]-LS[[#This Row],[Unit Capital]]</f>
        <v>-145920.54000000004</v>
      </c>
      <c r="R13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53" s="103">
        <f t="shared" si="26"/>
        <v>14.224</v>
      </c>
      <c r="T1353" s="102">
        <f>IF(LS[[#This Row],[B/S]]="B",0,ABS(LS[[#This Row],[Unit]])*(LS[[#This Row],[NAV (Strike Rate)]]-INDEX(LS[NAV at Cost (Average)],MATCH(CONCATENATE(LS[[#This Row],[Frequency]]-1,LS[[#This Row],[Investor ID]]),LS[Unique Code],0),)))</f>
        <v>44610.539999999979</v>
      </c>
      <c r="U1353" s="102" cm="1">
        <f t="array" ref="U1353">IF(LS[[#This Row],[B/S]]="S",ABS(LS[[#This Row],[Unit]])*(INDEX(LS[NAV at Cost (Average)],MATCH(CONCATENATE((LS[[#This Row],[Frequency]]-1),LS[[#This Row],[Investor ID]]),LS[Unique Code],0),0)),0)</f>
        <v>500000.00000000006</v>
      </c>
      <c r="V1353" s="102">
        <f>IF(LS[[#This Row],[BO TRANSFER]]="YES",LS[[#This Row],[Unit]],)</f>
        <v>0</v>
      </c>
      <c r="W1353" s="102">
        <f>SUMIFS(LS[[#Headers],[BO UNIT TRANSFER]]:LS[[#This Row],[BO UNIT TRANSFER]],LS[[#Headers],[Investor ID]]:LS[[#This Row],[Investor ID]],LS[[#This Row],[Investor ID]])</f>
        <v>0</v>
      </c>
    </row>
    <row r="1354" spans="1:23">
      <c r="A1354" s="101">
        <v>2025</v>
      </c>
      <c r="B1354" s="101">
        <v>11</v>
      </c>
      <c r="C1354" s="101">
        <v>11</v>
      </c>
      <c r="D1354" s="98">
        <f>DATE(LS[[#This Row],[Year]],LS[[#This Row],[Month]],LS[[#This Row],[Day]])</f>
        <v>45972</v>
      </c>
      <c r="E1354" s="99" t="str" cm="1">
        <f t="array" ref="E1354">INDEX(INVESTORS_LIST[INVESTOR NAME],MATCH(LS[[#This Row],[Investor ID]],INVESTORS_LIST[INVESTOR CODE],0),)</f>
        <v>KABIR AHMED TALUKDER</v>
      </c>
      <c r="F1354" s="100" t="s">
        <v>411</v>
      </c>
      <c r="G1354" s="101">
        <f>COUNTIF(LS[[#Headers],[Investor ID]]:LS[[#This Row],[Investor ID]],LS[[#This Row],[Investor ID]])</f>
        <v>4</v>
      </c>
      <c r="H1354" s="101" t="str">
        <f>CONCATENATE(LS[[#This Row],[Frequency]],LS[[#This Row],[Investor ID]])</f>
        <v>4A00181</v>
      </c>
      <c r="I1354" s="75" t="str">
        <f>IF(LS[[#This Row],[B/S]]="B","BUY",(IF(LS[[#This Row],[B/S]]="S","SELL"," ")))</f>
        <v>BUY</v>
      </c>
      <c r="J1354" s="101" t="s">
        <v>1229</v>
      </c>
      <c r="K1354" s="102">
        <v>200000</v>
      </c>
      <c r="L1354" s="99"/>
      <c r="M1354" s="103">
        <f>LS[[#This Row],[Amount]]/LS[[#This Row],[Unit]]</f>
        <v>13.660269107301414</v>
      </c>
      <c r="N1354" s="104">
        <f>LS[[#This Row],[Unit Capital]]/10</f>
        <v>14641</v>
      </c>
      <c r="O1354" s="104">
        <f>SUMIFS(LS[[#Headers],[Unit]]:LS[[#This Row],[Unit]],LS[[#Headers],[Investor ID]]:LS[[#This Row],[Investor ID]],LS[[#This Row],[Investor ID]])</f>
        <v>159647</v>
      </c>
      <c r="P1354" s="102">
        <v>146410</v>
      </c>
      <c r="Q1354" s="102">
        <f>LS[[#This Row],[Amount]]-LS[[#This Row],[Unit Capital]]</f>
        <v>53590</v>
      </c>
      <c r="R13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13.310616547758492</v>
      </c>
      <c r="S1354" s="103">
        <f t="shared" si="26"/>
        <v>14.224</v>
      </c>
      <c r="T135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54" s="102" cm="1">
        <f t="array" ref="U1354">IF(LS[[#This Row],[B/S]]="S",ABS(LS[[#This Row],[Unit]])*(INDEX(LS[NAV at Cost (Average)],MATCH(CONCATENATE((LS[[#This Row],[Frequency]]-1),LS[[#This Row],[Investor ID]]),LS[Unique Code],0),0)),0)</f>
        <v>0</v>
      </c>
      <c r="V1354" s="102">
        <f>IF(LS[[#This Row],[BO TRANSFER]]="YES",LS[[#This Row],[Unit]],)</f>
        <v>0</v>
      </c>
      <c r="W1354" s="102">
        <f>SUMIFS(LS[[#Headers],[BO UNIT TRANSFER]]:LS[[#This Row],[BO UNIT TRANSFER]],LS[[#Headers],[Investor ID]]:LS[[#This Row],[Investor ID]],LS[[#This Row],[Investor ID]])</f>
        <v>0</v>
      </c>
    </row>
    <row r="1355" spans="1:23">
      <c r="A1355" s="101">
        <v>2025</v>
      </c>
      <c r="B1355" s="101">
        <v>11</v>
      </c>
      <c r="C1355" s="101">
        <v>13</v>
      </c>
      <c r="D1355" s="98">
        <f>DATE(LS[[#This Row],[Year]],LS[[#This Row],[Month]],LS[[#This Row],[Day]])</f>
        <v>45974</v>
      </c>
      <c r="E1355" s="99" t="str" cm="1">
        <f t="array" ref="E1355">INDEX(INVESTORS_LIST[INVESTOR NAME],MATCH(LS[[#This Row],[Investor ID]],INVESTORS_LIST[INVESTOR CODE],0),)</f>
        <v>MD. WALID - AL - ZUBAYER</v>
      </c>
      <c r="F1355" s="97" t="s">
        <v>565</v>
      </c>
      <c r="G1355" s="101">
        <f>COUNTIF(LS[[#Headers],[Investor ID]]:LS[[#This Row],[Investor ID]],LS[[#This Row],[Investor ID]])</f>
        <v>14</v>
      </c>
      <c r="H1355" s="101" t="str">
        <f>CONCATENATE(LS[[#This Row],[Frequency]],LS[[#This Row],[Investor ID]])</f>
        <v>14A00258</v>
      </c>
      <c r="I1355" s="75" t="str">
        <f>IF(LS[[#This Row],[B/S]]="B","BUY",(IF(LS[[#This Row],[B/S]]="S","SELL"," ")))</f>
        <v>BUY</v>
      </c>
      <c r="J1355" s="101" t="s">
        <v>1229</v>
      </c>
      <c r="K1355" s="102">
        <v>286860</v>
      </c>
      <c r="L1355" s="99"/>
      <c r="M1355" s="103">
        <f>LS[[#This Row],[Amount]]/LS[[#This Row],[Unit]]</f>
        <v>13.66</v>
      </c>
      <c r="N1355" s="104">
        <f>LS[[#This Row],[Unit Capital]]/10</f>
        <v>21000</v>
      </c>
      <c r="O1355" s="104">
        <f>SUMIFS(LS[[#Headers],[Unit]]:LS[[#This Row],[Unit]],LS[[#Headers],[Investor ID]]:LS[[#This Row],[Investor ID]],LS[[#This Row],[Investor ID]])</f>
        <v>21000</v>
      </c>
      <c r="P1355" s="102">
        <v>210000</v>
      </c>
      <c r="Q1355" s="102">
        <f>LS[[#This Row],[Amount]]-LS[[#This Row],[Unit Capital]]</f>
        <v>76860</v>
      </c>
      <c r="R13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13.66</v>
      </c>
      <c r="S1355" s="103">
        <f t="shared" ref="S1355:S1364" si="27">IFERROR(NAV_MKT,0)</f>
        <v>14.224</v>
      </c>
      <c r="T135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55" s="102" cm="1">
        <f t="array" ref="U1355">IF(LS[[#This Row],[B/S]]="S",ABS(LS[[#This Row],[Unit]])*(INDEX(LS[NAV at Cost (Average)],MATCH(CONCATENATE((LS[[#This Row],[Frequency]]-1),LS[[#This Row],[Investor ID]]),LS[Unique Code],0),0)),0)</f>
        <v>0</v>
      </c>
      <c r="V1355" s="102">
        <f>IF(LS[[#This Row],[BO TRANSFER]]="YES",LS[[#This Row],[Unit]],)</f>
        <v>0</v>
      </c>
      <c r="W1355" s="102">
        <f>SUMIFS(LS[[#Headers],[BO UNIT TRANSFER]]:LS[[#This Row],[BO UNIT TRANSFER]],LS[[#Headers],[Investor ID]]:LS[[#This Row],[Investor ID]],LS[[#This Row],[Investor ID]])</f>
        <v>0</v>
      </c>
    </row>
    <row r="1356" spans="1:23">
      <c r="A1356" s="101">
        <v>2025</v>
      </c>
      <c r="B1356" s="101">
        <v>11</v>
      </c>
      <c r="C1356" s="101">
        <v>16</v>
      </c>
      <c r="D1356" s="98">
        <f>DATE(LS[[#This Row],[Year]],LS[[#This Row],[Month]],LS[[#This Row],[Day]])</f>
        <v>45977</v>
      </c>
      <c r="E1356" s="99" t="str" cm="1">
        <f t="array" ref="E1356">INDEX(INVESTORS_LIST[INVESTOR NAME],MATCH(LS[[#This Row],[Investor ID]],INVESTORS_LIST[INVESTOR CODE],0),)</f>
        <v>MIR ARIFUL ISLAM</v>
      </c>
      <c r="F1356" s="100" t="s">
        <v>853</v>
      </c>
      <c r="G1356" s="101">
        <f>COUNTIF(LS[[#Headers],[Investor ID]]:LS[[#This Row],[Investor ID]],LS[[#This Row],[Investor ID]])</f>
        <v>3</v>
      </c>
      <c r="H1356" s="101" t="str">
        <f>CONCATENATE(LS[[#This Row],[Frequency]],LS[[#This Row],[Investor ID]])</f>
        <v>3A00403</v>
      </c>
      <c r="I1356" s="75" t="str">
        <f>IF(LS[[#This Row],[B/S]]="B","BUY",(IF(LS[[#This Row],[B/S]]="S","SELL"," ")))</f>
        <v>SELL</v>
      </c>
      <c r="J1356" s="101" t="s">
        <v>1231</v>
      </c>
      <c r="K1356" s="102">
        <v>-1726375</v>
      </c>
      <c r="L1356" s="99"/>
      <c r="M1356" s="103">
        <f>LS[[#This Row],[Amount]]/LS[[#This Row],[Unit]]</f>
        <v>13.811</v>
      </c>
      <c r="N1356" s="104">
        <f>LS[[#This Row],[Unit Capital]]/10</f>
        <v>-125000</v>
      </c>
      <c r="O1356" s="104">
        <f>SUMIFS(LS[[#Headers],[Unit]]:LS[[#This Row],[Unit]],LS[[#Headers],[Investor ID]]:LS[[#This Row],[Investor ID]],LS[[#This Row],[Investor ID]])</f>
        <v>0</v>
      </c>
      <c r="P1356" s="102">
        <v>-1250000</v>
      </c>
      <c r="Q1356" s="102">
        <f>LS[[#This Row],[Amount]]-LS[[#This Row],[Unit Capital]]</f>
        <v>-476375</v>
      </c>
      <c r="R13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56" s="103">
        <f t="shared" si="27"/>
        <v>14.224</v>
      </c>
      <c r="T1356" s="102">
        <f>IF(LS[[#This Row],[B/S]]="B",0,ABS(LS[[#This Row],[Unit]])*(LS[[#This Row],[NAV (Strike Rate)]]-INDEX(LS[NAV at Cost (Average)],MATCH(CONCATENATE(LS[[#This Row],[Frequency]]-1,LS[[#This Row],[Investor ID]]),LS[Unique Code],0),)))</f>
        <v>186125.00000000009</v>
      </c>
      <c r="U1356" s="102" cm="1">
        <f t="array" ref="U1356">IF(LS[[#This Row],[B/S]]="S",ABS(LS[[#This Row],[Unit]])*(INDEX(LS[NAV at Cost (Average)],MATCH(CONCATENATE((LS[[#This Row],[Frequency]]-1),LS[[#This Row],[Investor ID]]),LS[Unique Code],0),0)),0)</f>
        <v>1540250</v>
      </c>
      <c r="V1356" s="102">
        <f>IF(LS[[#This Row],[BO TRANSFER]]="YES",LS[[#This Row],[Unit]],)</f>
        <v>0</v>
      </c>
      <c r="W1356" s="102">
        <f>SUMIFS(LS[[#Headers],[BO UNIT TRANSFER]]:LS[[#This Row],[BO UNIT TRANSFER]],LS[[#Headers],[Investor ID]]:LS[[#This Row],[Investor ID]],LS[[#This Row],[Investor ID]])</f>
        <v>0</v>
      </c>
    </row>
    <row r="1357" spans="1:23">
      <c r="A1357" s="101">
        <v>2025</v>
      </c>
      <c r="B1357" s="101">
        <v>11</v>
      </c>
      <c r="C1357" s="101">
        <v>17</v>
      </c>
      <c r="D1357" s="98">
        <f>DATE(LS[[#This Row],[Year]],LS[[#This Row],[Month]],LS[[#This Row],[Day]])</f>
        <v>45978</v>
      </c>
      <c r="E1357" s="99" t="str" cm="1">
        <f t="array" ref="E1357">INDEX(INVESTORS_LIST[INVESTOR NAME],MATCH(LS[[#This Row],[Investor ID]],INVESTORS_LIST[INVESTOR CODE],0),)</f>
        <v>KABIR AHMED TALUKDER</v>
      </c>
      <c r="F1357" s="100" t="s">
        <v>411</v>
      </c>
      <c r="G1357" s="101">
        <f>COUNTIF(LS[[#Headers],[Investor ID]]:LS[[#This Row],[Investor ID]],LS[[#This Row],[Investor ID]])</f>
        <v>5</v>
      </c>
      <c r="H1357" s="101" t="str">
        <f>CONCATENATE(LS[[#This Row],[Frequency]],LS[[#This Row],[Investor ID]])</f>
        <v>5A00181</v>
      </c>
      <c r="I1357" s="75" t="str">
        <f>IF(LS[[#This Row],[B/S]]="B","BUY",(IF(LS[[#This Row],[B/S]]="S","SELL"," ")))</f>
        <v>BUY</v>
      </c>
      <c r="J1357" s="101" t="s">
        <v>1229</v>
      </c>
      <c r="K1357" s="102">
        <v>200000</v>
      </c>
      <c r="L1357" s="99"/>
      <c r="M1357" s="103">
        <f>LS[[#This Row],[Amount]]/LS[[#This Row],[Unit]]</f>
        <v>13.811200883916857</v>
      </c>
      <c r="N1357" s="104">
        <f>LS[[#This Row],[Unit Capital]]/10</f>
        <v>14481</v>
      </c>
      <c r="O1357" s="104">
        <f>SUMIFS(LS[[#Headers],[Unit]]:LS[[#This Row],[Unit]],LS[[#Headers],[Investor ID]]:LS[[#This Row],[Investor ID]],LS[[#This Row],[Investor ID]])</f>
        <v>174128</v>
      </c>
      <c r="P1357" s="102">
        <v>144810</v>
      </c>
      <c r="Q1357" s="102">
        <f>LS[[#This Row],[Amount]]-LS[[#This Row],[Unit Capital]]</f>
        <v>55190</v>
      </c>
      <c r="R13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13.352246623173757</v>
      </c>
      <c r="S1357" s="103">
        <f t="shared" si="27"/>
        <v>14.224</v>
      </c>
      <c r="T135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57" s="102" cm="1">
        <f t="array" ref="U1357">IF(LS[[#This Row],[B/S]]="S",ABS(LS[[#This Row],[Unit]])*(INDEX(LS[NAV at Cost (Average)],MATCH(CONCATENATE((LS[[#This Row],[Frequency]]-1),LS[[#This Row],[Investor ID]]),LS[Unique Code],0),0)),0)</f>
        <v>0</v>
      </c>
      <c r="V1357" s="102">
        <f>IF(LS[[#This Row],[BO TRANSFER]]="YES",LS[[#This Row],[Unit]],)</f>
        <v>0</v>
      </c>
      <c r="W1357" s="102">
        <f>SUMIFS(LS[[#Headers],[BO UNIT TRANSFER]]:LS[[#This Row],[BO UNIT TRANSFER]],LS[[#Headers],[Investor ID]]:LS[[#This Row],[Investor ID]],LS[[#This Row],[Investor ID]])</f>
        <v>0</v>
      </c>
    </row>
    <row r="1358" spans="1:23">
      <c r="A1358" s="101">
        <v>2025</v>
      </c>
      <c r="B1358" s="101">
        <v>11</v>
      </c>
      <c r="C1358" s="101">
        <v>17</v>
      </c>
      <c r="D1358" s="98">
        <f>DATE(LS[[#This Row],[Year]],LS[[#This Row],[Month]],LS[[#This Row],[Day]])</f>
        <v>45978</v>
      </c>
      <c r="E1358" s="99" t="str" cm="1">
        <f t="array" ref="E1358">INDEX(INVESTORS_LIST[INVESTOR NAME],MATCH(LS[[#This Row],[Investor ID]],INVESTORS_LIST[INVESTOR CODE],0),)</f>
        <v>RITU SWARNA ROY</v>
      </c>
      <c r="F1358" s="100" t="s">
        <v>1135</v>
      </c>
      <c r="G1358" s="101">
        <f>COUNTIF(LS[[#Headers],[Investor ID]]:LS[[#This Row],[Investor ID]],LS[[#This Row],[Investor ID]])</f>
        <v>2</v>
      </c>
      <c r="H1358" s="101" t="str">
        <f>CONCATENATE(LS[[#This Row],[Frequency]],LS[[#This Row],[Investor ID]])</f>
        <v>2A00543</v>
      </c>
      <c r="I1358" s="75" t="str">
        <f>IF(LS[[#This Row],[B/S]]="B","BUY",(IF(LS[[#This Row],[B/S]]="S","SELL"," ")))</f>
        <v>SELL</v>
      </c>
      <c r="J1358" s="101" t="s">
        <v>1231</v>
      </c>
      <c r="K1358" s="102">
        <v>-373104.17</v>
      </c>
      <c r="L1358" s="99"/>
      <c r="M1358" s="103">
        <f>LS[[#This Row],[Amount]]/LS[[#This Row],[Unit]]</f>
        <v>13.811000185082362</v>
      </c>
      <c r="N1358" s="104">
        <f>LS[[#This Row],[Unit Capital]]/10</f>
        <v>-27015</v>
      </c>
      <c r="O1358" s="104">
        <f>SUMIFS(LS[[#Headers],[Unit]]:LS[[#This Row],[Unit]],LS[[#Headers],[Investor ID]]:LS[[#This Row],[Investor ID]],LS[[#This Row],[Investor ID]])</f>
        <v>0</v>
      </c>
      <c r="P1358" s="102">
        <v>-270150</v>
      </c>
      <c r="Q1358" s="102">
        <f>LS[[#This Row],[Amount]]-LS[[#This Row],[Unit Capital]]</f>
        <v>-102954.16999999998</v>
      </c>
      <c r="R13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58" s="103">
        <f t="shared" si="27"/>
        <v>14.224</v>
      </c>
      <c r="T1358" s="102">
        <f>IF(LS[[#This Row],[B/S]]="B",0,ABS(LS[[#This Row],[Unit]])*(LS[[#This Row],[NAV (Strike Rate)]]-INDEX(LS[NAV at Cost (Average)],MATCH(CONCATENATE(LS[[#This Row],[Frequency]]-1,LS[[#This Row],[Investor ID]]),LS[Unique Code],0),)))</f>
        <v>73104.169999999984</v>
      </c>
      <c r="U1358" s="102" cm="1">
        <f t="array" ref="U1358">IF(LS[[#This Row],[B/S]]="S",ABS(LS[[#This Row],[Unit]])*(INDEX(LS[NAV at Cost (Average)],MATCH(CONCATENATE((LS[[#This Row],[Frequency]]-1),LS[[#This Row],[Investor ID]]),LS[Unique Code],0),0)),0)</f>
        <v>300000</v>
      </c>
      <c r="V1358" s="102">
        <f>IF(LS[[#This Row],[BO TRANSFER]]="YES",LS[[#This Row],[Unit]],)</f>
        <v>0</v>
      </c>
      <c r="W1358" s="102">
        <f>SUMIFS(LS[[#Headers],[BO UNIT TRANSFER]]:LS[[#This Row],[BO UNIT TRANSFER]],LS[[#Headers],[Investor ID]]:LS[[#This Row],[Investor ID]],LS[[#This Row],[Investor ID]])</f>
        <v>0</v>
      </c>
    </row>
    <row r="1359" spans="1:23">
      <c r="A1359" s="101">
        <v>2025</v>
      </c>
      <c r="B1359" s="101">
        <v>11</v>
      </c>
      <c r="C1359" s="101">
        <v>17</v>
      </c>
      <c r="D1359" s="98">
        <f>DATE(LS[[#This Row],[Year]],LS[[#This Row],[Month]],LS[[#This Row],[Day]])</f>
        <v>45978</v>
      </c>
      <c r="E1359" s="99" t="str" cm="1">
        <f t="array" ref="E1359">INDEX(INVESTORS_LIST[INVESTOR NAME],MATCH(LS[[#This Row],[Investor ID]],INVESTORS_LIST[INVESTOR CODE],0),)</f>
        <v>NANDINI SAHA</v>
      </c>
      <c r="F1359" s="100" t="s">
        <v>242</v>
      </c>
      <c r="G1359" s="101">
        <f>COUNTIF(LS[[#Headers],[Investor ID]]:LS[[#This Row],[Investor ID]],LS[[#This Row],[Investor ID]])</f>
        <v>11</v>
      </c>
      <c r="H1359" s="101" t="str">
        <f>CONCATENATE(LS[[#This Row],[Frequency]],LS[[#This Row],[Investor ID]])</f>
        <v>11A00097</v>
      </c>
      <c r="I1359" s="75" t="str">
        <f>IF(LS[[#This Row],[B/S]]="B","BUY",(IF(LS[[#This Row],[B/S]]="S","SELL"," ")))</f>
        <v>SELL</v>
      </c>
      <c r="J1359" s="101" t="s">
        <v>1231</v>
      </c>
      <c r="K1359" s="102">
        <v>-3224150.3280000002</v>
      </c>
      <c r="L1359" s="99"/>
      <c r="M1359" s="103">
        <f>LS[[#This Row],[Amount]]/LS[[#This Row],[Unit]]</f>
        <v>13.811000000000002</v>
      </c>
      <c r="N1359" s="104">
        <f>LS[[#This Row],[Unit Capital]]/10</f>
        <v>-233448</v>
      </c>
      <c r="O1359" s="104">
        <f>SUMIFS(LS[[#Headers],[Unit]]:LS[[#This Row],[Unit]],LS[[#Headers],[Investor ID]]:LS[[#This Row],[Investor ID]],LS[[#This Row],[Investor ID]])</f>
        <v>0</v>
      </c>
      <c r="P1359" s="102">
        <v>-2334480</v>
      </c>
      <c r="Q1359" s="102">
        <f>LS[[#This Row],[Amount]]-LS[[#This Row],[Unit Capital]]</f>
        <v>-889670.32800000021</v>
      </c>
      <c r="R13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59" s="103">
        <f t="shared" si="27"/>
        <v>14.224</v>
      </c>
      <c r="T1359" s="102">
        <f>IF(LS[[#This Row],[B/S]]="B",0,ABS(LS[[#This Row],[Unit]])*(LS[[#This Row],[NAV (Strike Rate)]]-INDEX(LS[NAV at Cost (Average)],MATCH(CONCATENATE(LS[[#This Row],[Frequency]]-1,LS[[#This Row],[Investor ID]]),LS[Unique Code],0),)))</f>
        <v>527778.11241310637</v>
      </c>
      <c r="U1359" s="102" cm="1">
        <f t="array" ref="U1359">IF(LS[[#This Row],[B/S]]="S",ABS(LS[[#This Row],[Unit]])*(INDEX(LS[NAV at Cost (Average)],MATCH(CONCATENATE((LS[[#This Row],[Frequency]]-1),LS[[#This Row],[Investor ID]]),LS[Unique Code],0),0)),0)</f>
        <v>2696372.2155868942</v>
      </c>
      <c r="V1359" s="102">
        <f>IF(LS[[#This Row],[BO TRANSFER]]="YES",LS[[#This Row],[Unit]],)</f>
        <v>0</v>
      </c>
      <c r="W1359" s="102">
        <f>SUMIFS(LS[[#Headers],[BO UNIT TRANSFER]]:LS[[#This Row],[BO UNIT TRANSFER]],LS[[#Headers],[Investor ID]]:LS[[#This Row],[Investor ID]],LS[[#This Row],[Investor ID]])</f>
        <v>0</v>
      </c>
    </row>
    <row r="1360" spans="1:23">
      <c r="A1360" s="101">
        <v>2025</v>
      </c>
      <c r="B1360" s="101">
        <v>11</v>
      </c>
      <c r="C1360" s="101">
        <v>18</v>
      </c>
      <c r="D1360" s="98">
        <f>DATE(LS[[#This Row],[Year]],LS[[#This Row],[Month]],LS[[#This Row],[Day]])</f>
        <v>45979</v>
      </c>
      <c r="E1360" s="99" t="str" cm="1">
        <f t="array" ref="E1360">INDEX(INVESTORS_LIST[INVESTOR NAME],MATCH(LS[[#This Row],[Investor ID]],INVESTORS_LIST[INVESTOR CODE],0),)</f>
        <v>MADHAB GHOSH</v>
      </c>
      <c r="F1360" s="100" t="s">
        <v>982</v>
      </c>
      <c r="G1360" s="101">
        <f>COUNTIF(LS[[#Headers],[Investor ID]]:LS[[#This Row],[Investor ID]],LS[[#This Row],[Investor ID]])</f>
        <v>12</v>
      </c>
      <c r="H1360" s="101" t="str">
        <f>CONCATENATE(LS[[#This Row],[Frequency]],LS[[#This Row],[Investor ID]])</f>
        <v>12A00468</v>
      </c>
      <c r="I1360" s="75" t="str">
        <f>IF(LS[[#This Row],[B/S]]="B","BUY",(IF(LS[[#This Row],[B/S]]="S","SELL"," ")))</f>
        <v>SELL</v>
      </c>
      <c r="J1360" s="101" t="s">
        <v>1231</v>
      </c>
      <c r="K1360" s="102">
        <v>-179045.8</v>
      </c>
      <c r="L1360" s="99"/>
      <c r="M1360" s="103">
        <f>LS[[#This Row],[Amount]]/LS[[#This Row],[Unit]]</f>
        <v>13.810999691453254</v>
      </c>
      <c r="N1360" s="104">
        <f>LS[[#This Row],[Unit Capital]]/10</f>
        <v>-12964</v>
      </c>
      <c r="O1360" s="104">
        <f>SUMIFS(LS[[#Headers],[Unit]]:LS[[#This Row],[Unit]],LS[[#Headers],[Investor ID]]:LS[[#This Row],[Investor ID]],LS[[#This Row],[Investor ID]])</f>
        <v>0</v>
      </c>
      <c r="P1360" s="102">
        <v>-129640</v>
      </c>
      <c r="Q1360" s="102">
        <f>LS[[#This Row],[Amount]]-LS[[#This Row],[Unit Capital]]</f>
        <v>-49405.799999999988</v>
      </c>
      <c r="R13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60" s="103">
        <f t="shared" si="27"/>
        <v>14.224</v>
      </c>
      <c r="T1360" s="102">
        <f>IF(LS[[#This Row],[B/S]]="B",0,ABS(LS[[#This Row],[Unit]])*(LS[[#This Row],[NAV (Strike Rate)]]-INDEX(LS[NAV at Cost (Average)],MATCH(CONCATENATE(LS[[#This Row],[Frequency]]-1,LS[[#This Row],[Investor ID]]),LS[Unique Code],0),)))</f>
        <v>4045.7999999999943</v>
      </c>
      <c r="U1360" s="102" cm="1">
        <f t="array" ref="U1360">IF(LS[[#This Row],[B/S]]="S",ABS(LS[[#This Row],[Unit]])*(INDEX(LS[NAV at Cost (Average)],MATCH(CONCATENATE((LS[[#This Row],[Frequency]]-1),LS[[#This Row],[Investor ID]]),LS[Unique Code],0),0)),0)</f>
        <v>175000</v>
      </c>
      <c r="V1360" s="102">
        <f>IF(LS[[#This Row],[BO TRANSFER]]="YES",LS[[#This Row],[Unit]],)</f>
        <v>0</v>
      </c>
      <c r="W1360" s="102">
        <f>SUMIFS(LS[[#Headers],[BO UNIT TRANSFER]]:LS[[#This Row],[BO UNIT TRANSFER]],LS[[#Headers],[Investor ID]]:LS[[#This Row],[Investor ID]],LS[[#This Row],[Investor ID]])</f>
        <v>0</v>
      </c>
    </row>
    <row r="1361" spans="1:23">
      <c r="A1361" s="101">
        <v>2025</v>
      </c>
      <c r="B1361" s="101">
        <v>11</v>
      </c>
      <c r="C1361" s="101">
        <v>18</v>
      </c>
      <c r="D1361" s="98">
        <f>DATE(LS[[#This Row],[Year]],LS[[#This Row],[Month]],LS[[#This Row],[Day]])</f>
        <v>45979</v>
      </c>
      <c r="E1361" s="99" t="str" cm="1">
        <f t="array" ref="E1361">INDEX(INVESTORS_LIST[INVESTOR NAME],MATCH(LS[[#This Row],[Investor ID]],INVESTORS_LIST[INVESTOR CODE],0),)</f>
        <v>SRIJON GHOSH</v>
      </c>
      <c r="F1361" s="100" t="s">
        <v>894</v>
      </c>
      <c r="G1361" s="101">
        <f>COUNTIF(LS[[#Headers],[Investor ID]]:LS[[#This Row],[Investor ID]],LS[[#This Row],[Investor ID]])</f>
        <v>12</v>
      </c>
      <c r="H1361" s="101" t="str">
        <f>CONCATENATE(LS[[#This Row],[Frequency]],LS[[#This Row],[Investor ID]])</f>
        <v>12A00424</v>
      </c>
      <c r="I1361" s="75" t="str">
        <f>IF(LS[[#This Row],[B/S]]="B","BUY",(IF(LS[[#This Row],[B/S]]="S","SELL"," ")))</f>
        <v>SELL</v>
      </c>
      <c r="J1361" s="101" t="s">
        <v>1231</v>
      </c>
      <c r="K1361" s="102">
        <v>-114286.03</v>
      </c>
      <c r="L1361" s="99"/>
      <c r="M1361" s="103">
        <f>LS[[#This Row],[Amount]]/LS[[#This Row],[Unit]]</f>
        <v>13.811000604229607</v>
      </c>
      <c r="N1361" s="104">
        <f>LS[[#This Row],[Unit Capital]]/10</f>
        <v>-8275</v>
      </c>
      <c r="O1361" s="104">
        <f>SUMIFS(LS[[#Headers],[Unit]]:LS[[#This Row],[Unit]],LS[[#Headers],[Investor ID]]:LS[[#This Row],[Investor ID]],LS[[#This Row],[Investor ID]])</f>
        <v>0</v>
      </c>
      <c r="P1361" s="102">
        <v>-82750</v>
      </c>
      <c r="Q1361" s="102">
        <f>LS[[#This Row],[Amount]]-LS[[#This Row],[Unit Capital]]</f>
        <v>-31536.03</v>
      </c>
      <c r="R13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61" s="103">
        <f t="shared" si="27"/>
        <v>14.224</v>
      </c>
      <c r="T1361" s="102">
        <f>IF(LS[[#This Row],[B/S]]="B",0,ABS(LS[[#This Row],[Unit]])*(LS[[#This Row],[NAV (Strike Rate)]]-INDEX(LS[NAV at Cost (Average)],MATCH(CONCATENATE(LS[[#This Row],[Frequency]]-1,LS[[#This Row],[Investor ID]]),LS[Unique Code],0),)))</f>
        <v>3105.6475453759549</v>
      </c>
      <c r="U1361" s="102" cm="1">
        <f t="array" ref="U1361">IF(LS[[#This Row],[B/S]]="S",ABS(LS[[#This Row],[Unit]])*(INDEX(LS[NAV at Cost (Average)],MATCH(CONCATENATE((LS[[#This Row],[Frequency]]-1),LS[[#This Row],[Investor ID]]),LS[Unique Code],0),0)),0)</f>
        <v>111180.38245462404</v>
      </c>
      <c r="V1361" s="102">
        <f>IF(LS[[#This Row],[BO TRANSFER]]="YES",LS[[#This Row],[Unit]],)</f>
        <v>0</v>
      </c>
      <c r="W1361" s="102">
        <f>SUMIFS(LS[[#Headers],[BO UNIT TRANSFER]]:LS[[#This Row],[BO UNIT TRANSFER]],LS[[#Headers],[Investor ID]]:LS[[#This Row],[Investor ID]],LS[[#This Row],[Investor ID]])</f>
        <v>0</v>
      </c>
    </row>
    <row r="1362" spans="1:23">
      <c r="A1362" s="101">
        <v>2025</v>
      </c>
      <c r="B1362" s="101">
        <v>11</v>
      </c>
      <c r="C1362" s="101">
        <v>18</v>
      </c>
      <c r="D1362" s="98">
        <f>DATE(LS[[#This Row],[Year]],LS[[#This Row],[Month]],LS[[#This Row],[Day]])</f>
        <v>45979</v>
      </c>
      <c r="E1362" s="99" t="str" cm="1">
        <f t="array" ref="E1362">INDEX(INVESTORS_LIST[INVESTOR NAME],MATCH(LS[[#This Row],[Investor ID]],INVESTORS_LIST[INVESTOR CODE],0),)</f>
        <v>ZIA UDDIN</v>
      </c>
      <c r="F1362" s="100" t="s">
        <v>1445</v>
      </c>
      <c r="G1362" s="101">
        <f>COUNTIF(LS[[#Headers],[Investor ID]]:LS[[#This Row],[Investor ID]],LS[[#This Row],[Investor ID]])</f>
        <v>2</v>
      </c>
      <c r="H1362" s="101" t="str">
        <f>CONCATENATE(LS[[#This Row],[Frequency]],LS[[#This Row],[Investor ID]])</f>
        <v>2A00666</v>
      </c>
      <c r="I1362" s="75" t="str">
        <f>IF(LS[[#This Row],[B/S]]="B","BUY",(IF(LS[[#This Row],[B/S]]="S","SELL"," ")))</f>
        <v>BUY</v>
      </c>
      <c r="J1362" s="101" t="s">
        <v>1229</v>
      </c>
      <c r="K1362" s="102">
        <v>1500000</v>
      </c>
      <c r="L1362" s="99"/>
      <c r="M1362" s="103">
        <f>LS[[#This Row],[Amount]]/LS[[#This Row],[Unit]]</f>
        <v>13.811010137281441</v>
      </c>
      <c r="N1362" s="104">
        <f>LS[[#This Row],[Unit Capital]]/10</f>
        <v>108609</v>
      </c>
      <c r="O1362" s="104">
        <f>SUMIFS(LS[[#Headers],[Unit]]:LS[[#This Row],[Unit]],LS[[#Headers],[Investor ID]]:LS[[#This Row],[Investor ID]],LS[[#This Row],[Investor ID]])</f>
        <v>145621</v>
      </c>
      <c r="P1362" s="102">
        <v>1086090</v>
      </c>
      <c r="Q1362" s="102">
        <f>LS[[#This Row],[Amount]]-LS[[#This Row],[Unit Capital]]</f>
        <v>413910</v>
      </c>
      <c r="R13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13.73428283008632</v>
      </c>
      <c r="S1362" s="103">
        <f t="shared" si="27"/>
        <v>14.224</v>
      </c>
      <c r="T13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62" s="102" cm="1">
        <f t="array" ref="U1362">IF(LS[[#This Row],[B/S]]="S",ABS(LS[[#This Row],[Unit]])*(INDEX(LS[NAV at Cost (Average)],MATCH(CONCATENATE((LS[[#This Row],[Frequency]]-1),LS[[#This Row],[Investor ID]]),LS[Unique Code],0),0)),0)</f>
        <v>0</v>
      </c>
      <c r="V1362" s="102">
        <f>IF(LS[[#This Row],[BO TRANSFER]]="YES",LS[[#This Row],[Unit]],)</f>
        <v>0</v>
      </c>
      <c r="W1362" s="102">
        <f>SUMIFS(LS[[#Headers],[BO UNIT TRANSFER]]:LS[[#This Row],[BO UNIT TRANSFER]],LS[[#Headers],[Investor ID]]:LS[[#This Row],[Investor ID]],LS[[#This Row],[Investor ID]])</f>
        <v>0</v>
      </c>
    </row>
    <row r="1363" spans="1:23">
      <c r="A1363" s="101">
        <v>2025</v>
      </c>
      <c r="B1363" s="101">
        <v>11</v>
      </c>
      <c r="C1363" s="101">
        <v>18</v>
      </c>
      <c r="D1363" s="98">
        <f>DATE(LS[[#This Row],[Year]],LS[[#This Row],[Month]],LS[[#This Row],[Day]])</f>
        <v>45979</v>
      </c>
      <c r="E1363" s="99" t="str" cm="1">
        <f t="array" ref="E1363">INDEX(INVESTORS_LIST[INVESTOR NAME],MATCH(LS[[#This Row],[Investor ID]],INVESTORS_LIST[INVESTOR CODE],0),)</f>
        <v>MD. SAIFUL ISLAM</v>
      </c>
      <c r="F1363" s="100" t="s">
        <v>1425</v>
      </c>
      <c r="G1363" s="101">
        <f>COUNTIF(LS[[#Headers],[Investor ID]]:LS[[#This Row],[Investor ID]],LS[[#This Row],[Investor ID]])</f>
        <v>3</v>
      </c>
      <c r="H1363" s="101" t="str">
        <f>CONCATENATE(LS[[#This Row],[Frequency]],LS[[#This Row],[Investor ID]])</f>
        <v>3A00658</v>
      </c>
      <c r="I1363" s="75" t="str">
        <f>IF(LS[[#This Row],[B/S]]="B","BUY",(IF(LS[[#This Row],[B/S]]="S","SELL"," ")))</f>
        <v>BUY</v>
      </c>
      <c r="J1363" s="101" t="s">
        <v>1229</v>
      </c>
      <c r="K1363" s="102">
        <v>300000</v>
      </c>
      <c r="L1363" s="99"/>
      <c r="M1363" s="103">
        <f>LS[[#This Row],[Amount]]/LS[[#This Row],[Unit]]</f>
        <v>13.810882975784919</v>
      </c>
      <c r="N1363" s="104">
        <f>LS[[#This Row],[Unit Capital]]/10</f>
        <v>21722</v>
      </c>
      <c r="O1363" s="104">
        <f>SUMIFS(LS[[#Headers],[Unit]]:LS[[#This Row],[Unit]],LS[[#Headers],[Investor ID]]:LS[[#This Row],[Investor ID]],LS[[#This Row],[Investor ID]])</f>
        <v>36791</v>
      </c>
      <c r="P1363" s="102">
        <v>217220</v>
      </c>
      <c r="Q1363" s="102">
        <f>LS[[#This Row],[Amount]]-LS[[#This Row],[Unit Capital]]</f>
        <v>82780</v>
      </c>
      <c r="R13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13.590280231578376</v>
      </c>
      <c r="S1363" s="103">
        <f t="shared" si="27"/>
        <v>14.224</v>
      </c>
      <c r="T136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63" s="102" cm="1">
        <f t="array" ref="U1363">IF(LS[[#This Row],[B/S]]="S",ABS(LS[[#This Row],[Unit]])*(INDEX(LS[NAV at Cost (Average)],MATCH(CONCATENATE((LS[[#This Row],[Frequency]]-1),LS[[#This Row],[Investor ID]]),LS[Unique Code],0),0)),0)</f>
        <v>0</v>
      </c>
      <c r="V1363" s="102">
        <f>IF(LS[[#This Row],[BO TRANSFER]]="YES",LS[[#This Row],[Unit]],)</f>
        <v>0</v>
      </c>
      <c r="W1363" s="102">
        <f>SUMIFS(LS[[#Headers],[BO UNIT TRANSFER]]:LS[[#This Row],[BO UNIT TRANSFER]],LS[[#Headers],[Investor ID]]:LS[[#This Row],[Investor ID]],LS[[#This Row],[Investor ID]])</f>
        <v>0</v>
      </c>
    </row>
    <row r="1364" spans="1:23">
      <c r="A1364" s="101">
        <v>2025</v>
      </c>
      <c r="B1364" s="101">
        <v>11</v>
      </c>
      <c r="C1364" s="101">
        <v>18</v>
      </c>
      <c r="D1364" s="98">
        <f>DATE(LS[[#This Row],[Year]],LS[[#This Row],[Month]],LS[[#This Row],[Day]])</f>
        <v>45979</v>
      </c>
      <c r="E1364" s="99" t="str" cm="1">
        <f t="array" ref="E1364">INDEX(INVESTORS_LIST[INVESTOR NAME],MATCH(LS[[#This Row],[Investor ID]],INVESTORS_LIST[INVESTOR CODE],0),)</f>
        <v>MAYMUNA AKTAR</v>
      </c>
      <c r="F1364" s="100" t="s">
        <v>1440</v>
      </c>
      <c r="G1364" s="101">
        <f>COUNTIF(LS[[#Headers],[Investor ID]]:LS[[#This Row],[Investor ID]],LS[[#This Row],[Investor ID]])</f>
        <v>2</v>
      </c>
      <c r="H1364" s="101" t="str">
        <f>CONCATENATE(LS[[#This Row],[Frequency]],LS[[#This Row],[Investor ID]])</f>
        <v>2A00663</v>
      </c>
      <c r="I1364" s="75" t="str">
        <f>IF(LS[[#This Row],[B/S]]="B","BUY",(IF(LS[[#This Row],[B/S]]="S","SELL"," ")))</f>
        <v>BUY</v>
      </c>
      <c r="J1364" s="101" t="s">
        <v>1229</v>
      </c>
      <c r="K1364" s="102">
        <v>150000</v>
      </c>
      <c r="L1364" s="99"/>
      <c r="M1364" s="103">
        <f>LS[[#This Row],[Amount]]/LS[[#This Row],[Unit]]</f>
        <v>13.810882975784919</v>
      </c>
      <c r="N1364" s="104">
        <f>LS[[#This Row],[Unit Capital]]/10</f>
        <v>10861</v>
      </c>
      <c r="O1364" s="104">
        <f>SUMIFS(LS[[#Headers],[Unit]]:LS[[#This Row],[Unit]],LS[[#Headers],[Investor ID]]:LS[[#This Row],[Investor ID]],LS[[#This Row],[Investor ID]])</f>
        <v>18396</v>
      </c>
      <c r="P1364" s="102">
        <v>108610</v>
      </c>
      <c r="Q1364" s="102">
        <f>LS[[#This Row],[Amount]]-LS[[#This Row],[Unit Capital]]</f>
        <v>41390</v>
      </c>
      <c r="R13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13.589910850184822</v>
      </c>
      <c r="S1364" s="103">
        <f t="shared" si="27"/>
        <v>14.224</v>
      </c>
      <c r="T136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64" s="102" cm="1">
        <f t="array" ref="U1364">IF(LS[[#This Row],[B/S]]="S",ABS(LS[[#This Row],[Unit]])*(INDEX(LS[NAV at Cost (Average)],MATCH(CONCATENATE((LS[[#This Row],[Frequency]]-1),LS[[#This Row],[Investor ID]]),LS[Unique Code],0),0)),0)</f>
        <v>0</v>
      </c>
      <c r="V1364" s="102">
        <f>IF(LS[[#This Row],[BO TRANSFER]]="YES",LS[[#This Row],[Unit]],)</f>
        <v>0</v>
      </c>
      <c r="W1364" s="102">
        <f>SUMIFS(LS[[#Headers],[BO UNIT TRANSFER]]:LS[[#This Row],[BO UNIT TRANSFER]],LS[[#Headers],[Investor ID]]:LS[[#This Row],[Investor ID]],LS[[#This Row],[Investor ID]])</f>
        <v>0</v>
      </c>
    </row>
    <row r="1365" spans="1:23">
      <c r="A1365" s="101">
        <v>2025</v>
      </c>
      <c r="B1365" s="101">
        <v>11</v>
      </c>
      <c r="C1365" s="101">
        <v>19</v>
      </c>
      <c r="D1365" s="98">
        <f>DATE(LS[[#This Row],[Year]],LS[[#This Row],[Month]],LS[[#This Row],[Day]])</f>
        <v>45980</v>
      </c>
      <c r="E1365" s="99" t="str" cm="1">
        <f t="array" ref="E1365">INDEX(INVESTORS_LIST[INVESTOR NAME],MATCH(LS[[#This Row],[Investor ID]],INVESTORS_LIST[INVESTOR CODE],0),)</f>
        <v>KHAN MUHAMMAD KAWSER AHMED</v>
      </c>
      <c r="F1365" s="100" t="s">
        <v>944</v>
      </c>
      <c r="G1365" s="101">
        <f>COUNTIF(LS[[#Headers],[Investor ID]]:LS[[#This Row],[Investor ID]],LS[[#This Row],[Investor ID]])</f>
        <v>40</v>
      </c>
      <c r="H1365" s="101" t="str">
        <f>CONCATENATE(LS[[#This Row],[Frequency]],LS[[#This Row],[Investor ID]])</f>
        <v>40A00449</v>
      </c>
      <c r="I1365" s="75" t="str">
        <f>IF(LS[[#This Row],[B/S]]="B","BUY",(IF(LS[[#This Row],[B/S]]="S","SELL"," ")))</f>
        <v>SELL</v>
      </c>
      <c r="J1365" s="101" t="s">
        <v>1231</v>
      </c>
      <c r="K1365" s="102">
        <v>-15000000</v>
      </c>
      <c r="L1365" s="99"/>
      <c r="M1365" s="103">
        <f>LS[[#This Row],[Amount]]/LS[[#This Row],[Unit]]</f>
        <v>13.810997421026414</v>
      </c>
      <c r="N1365" s="104">
        <f>LS[[#This Row],[Unit Capital]]/10</f>
        <v>-1086091</v>
      </c>
      <c r="O1365" s="104">
        <f>SUMIFS(LS[[#Headers],[Unit]]:LS[[#This Row],[Unit]],LS[[#Headers],[Investor ID]]:LS[[#This Row],[Investor ID]],LS[[#This Row],[Investor ID]])</f>
        <v>7738123</v>
      </c>
      <c r="P1365" s="102">
        <v>-10860910</v>
      </c>
      <c r="Q1365" s="102">
        <f>LS[[#This Row],[Amount]]-LS[[#This Row],[Unit Capital]]</f>
        <v>-4139090</v>
      </c>
      <c r="R13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12.207892857412078</v>
      </c>
      <c r="S1365" s="103">
        <f t="shared" ref="S1365:S1376" si="28">IFERROR(NAV_MKT,0)</f>
        <v>14.224</v>
      </c>
      <c r="T1365" s="102">
        <f>IF(LS[[#This Row],[B/S]]="B",0,ABS(LS[[#This Row],[Unit]])*(LS[[#This Row],[NAV (Strike Rate)]]-INDEX(LS[NAV at Cost (Average)],MATCH(CONCATENATE(LS[[#This Row],[Frequency]]-1,LS[[#This Row],[Investor ID]]),LS[Unique Code],0),)))</f>
        <v>1741117.4386004575</v>
      </c>
      <c r="U1365" s="102" cm="1">
        <f t="array" ref="U1365">IF(LS[[#This Row],[B/S]]="S",ABS(LS[[#This Row],[Unit]])*(INDEX(LS[NAV at Cost (Average)],MATCH(CONCATENATE((LS[[#This Row],[Frequency]]-1),LS[[#This Row],[Investor ID]]),LS[Unique Code],0),0)),0)</f>
        <v>13258882.561399542</v>
      </c>
      <c r="V1365" s="102">
        <f>IF(LS[[#This Row],[BO TRANSFER]]="YES",LS[[#This Row],[Unit]],)</f>
        <v>0</v>
      </c>
      <c r="W1365" s="102">
        <f>SUMIFS(LS[[#Headers],[BO UNIT TRANSFER]]:LS[[#This Row],[BO UNIT TRANSFER]],LS[[#Headers],[Investor ID]]:LS[[#This Row],[Investor ID]],LS[[#This Row],[Investor ID]])</f>
        <v>0</v>
      </c>
    </row>
    <row r="1366" spans="1:23">
      <c r="A1366" s="101">
        <v>2025</v>
      </c>
      <c r="B1366" s="101">
        <v>11</v>
      </c>
      <c r="C1366" s="101">
        <v>19</v>
      </c>
      <c r="D1366" s="98">
        <f>DATE(LS[[#This Row],[Year]],LS[[#This Row],[Month]],LS[[#This Row],[Day]])</f>
        <v>45980</v>
      </c>
      <c r="E1366" s="99" t="str" cm="1">
        <f t="array" ref="E1366">INDEX(INVESTORS_LIST[INVESTOR NAME],MATCH(LS[[#This Row],[Investor ID]],INVESTORS_LIST[INVESTOR CODE],0),)</f>
        <v>N M AL HOSSAIN</v>
      </c>
      <c r="F1366" s="100" t="s">
        <v>280</v>
      </c>
      <c r="G1366" s="101">
        <f>COUNTIF(LS[[#Headers],[Investor ID]]:LS[[#This Row],[Investor ID]],LS[[#This Row],[Investor ID]])</f>
        <v>9</v>
      </c>
      <c r="H1366" s="101" t="str">
        <f>CONCATENATE(LS[[#This Row],[Frequency]],LS[[#This Row],[Investor ID]])</f>
        <v>9A00116</v>
      </c>
      <c r="I1366" s="75" t="str">
        <f>IF(LS[[#This Row],[B/S]]="B","BUY",(IF(LS[[#This Row],[B/S]]="S","SELL"," ")))</f>
        <v>SELL</v>
      </c>
      <c r="J1366" s="101" t="s">
        <v>1231</v>
      </c>
      <c r="K1366" s="102">
        <v>-2000000</v>
      </c>
      <c r="L1366" s="99"/>
      <c r="M1366" s="103">
        <f>LS[[#This Row],[Amount]]/LS[[#This Row],[Unit]]</f>
        <v>13.811010137281441</v>
      </c>
      <c r="N1366" s="104">
        <f>LS[[#This Row],[Unit Capital]]/10</f>
        <v>-144812</v>
      </c>
      <c r="O1366" s="104">
        <f>SUMIFS(LS[[#Headers],[Unit]]:LS[[#This Row],[Unit]],LS[[#Headers],[Investor ID]]:LS[[#This Row],[Investor ID]],LS[[#This Row],[Investor ID]])</f>
        <v>830986</v>
      </c>
      <c r="P1366" s="102">
        <v>-1448120</v>
      </c>
      <c r="Q1366" s="102">
        <f>LS[[#This Row],[Amount]]-LS[[#This Row],[Unit Capital]]</f>
        <v>-551880</v>
      </c>
      <c r="R13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1366" s="103">
        <f t="shared" si="28"/>
        <v>14.224</v>
      </c>
      <c r="T1366" s="102">
        <f>IF(LS[[#This Row],[B/S]]="B",0,ABS(LS[[#This Row],[Unit]])*(LS[[#This Row],[NAV (Strike Rate)]]-INDEX(LS[NAV at Cost (Average)],MATCH(CONCATENATE(LS[[#This Row],[Frequency]]-1,LS[[#This Row],[Investor ID]]),LS[Unique Code],0),)))</f>
        <v>455355.14287847606</v>
      </c>
      <c r="U1366" s="102" cm="1">
        <f t="array" ref="U1366">IF(LS[[#This Row],[B/S]]="S",ABS(LS[[#This Row],[Unit]])*(INDEX(LS[NAV at Cost (Average)],MATCH(CONCATENATE((LS[[#This Row],[Frequency]]-1),LS[[#This Row],[Investor ID]]),LS[Unique Code],0),0)),0)</f>
        <v>1544644.8571215239</v>
      </c>
      <c r="V1366" s="102">
        <f>IF(LS[[#This Row],[BO TRANSFER]]="YES",LS[[#This Row],[Unit]],)</f>
        <v>0</v>
      </c>
      <c r="W1366" s="102">
        <f>SUMIFS(LS[[#Headers],[BO UNIT TRANSFER]]:LS[[#This Row],[BO UNIT TRANSFER]],LS[[#Headers],[Investor ID]]:LS[[#This Row],[Investor ID]],LS[[#This Row],[Investor ID]])</f>
        <v>0</v>
      </c>
    </row>
    <row r="1367" spans="1:23">
      <c r="A1367" s="101">
        <v>2025</v>
      </c>
      <c r="B1367" s="101">
        <v>11</v>
      </c>
      <c r="C1367" s="101">
        <v>20</v>
      </c>
      <c r="D1367" s="98">
        <f>DATE(LS[[#This Row],[Year]],LS[[#This Row],[Month]],LS[[#This Row],[Day]])</f>
        <v>45981</v>
      </c>
      <c r="E1367" s="99" t="str" cm="1">
        <f t="array" ref="E1367">INDEX(INVESTORS_LIST[INVESTOR NAME],MATCH(LS[[#This Row],[Investor ID]],INVESTORS_LIST[INVESTOR CODE],0),)</f>
        <v>MD. WALID - AL - ZUBAYER</v>
      </c>
      <c r="F1367" s="100" t="s">
        <v>565</v>
      </c>
      <c r="G1367" s="101">
        <f>COUNTIF(LS[[#Headers],[Investor ID]]:LS[[#This Row],[Investor ID]],LS[[#This Row],[Investor ID]])</f>
        <v>15</v>
      </c>
      <c r="H1367" s="101" t="str">
        <f>CONCATENATE(LS[[#This Row],[Frequency]],LS[[#This Row],[Investor ID]])</f>
        <v>15A00258</v>
      </c>
      <c r="I1367" s="75" t="str">
        <f>IF(LS[[#This Row],[B/S]]="B","BUY",(IF(LS[[#This Row],[B/S]]="S","SELL"," ")))</f>
        <v>SELL</v>
      </c>
      <c r="J1367" s="101" t="s">
        <v>1231</v>
      </c>
      <c r="K1367" s="102">
        <v>-290031</v>
      </c>
      <c r="L1367" s="99"/>
      <c r="M1367" s="103">
        <f>LS[[#This Row],[Amount]]/LS[[#This Row],[Unit]]</f>
        <v>13.811</v>
      </c>
      <c r="N1367" s="104">
        <f>LS[[#This Row],[Unit Capital]]/10</f>
        <v>-21000</v>
      </c>
      <c r="O1367" s="104">
        <f>SUMIFS(LS[[#Headers],[Unit]]:LS[[#This Row],[Unit]],LS[[#Headers],[Investor ID]]:LS[[#This Row],[Investor ID]],LS[[#This Row],[Investor ID]])</f>
        <v>0</v>
      </c>
      <c r="P1367" s="102">
        <v>-210000</v>
      </c>
      <c r="Q1367" s="102">
        <f>LS[[#This Row],[Amount]]-LS[[#This Row],[Unit Capital]]</f>
        <v>-80031</v>
      </c>
      <c r="R13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67" s="103">
        <f t="shared" si="28"/>
        <v>14.224</v>
      </c>
      <c r="T1367" s="102">
        <f>IF(LS[[#This Row],[B/S]]="B",0,ABS(LS[[#This Row],[Unit]])*(LS[[#This Row],[NAV (Strike Rate)]]-INDEX(LS[NAV at Cost (Average)],MATCH(CONCATENATE(LS[[#This Row],[Frequency]]-1,LS[[#This Row],[Investor ID]]),LS[Unique Code],0),)))</f>
        <v>3170.9999999999959</v>
      </c>
      <c r="U1367" s="102" cm="1">
        <f t="array" ref="U1367">IF(LS[[#This Row],[B/S]]="S",ABS(LS[[#This Row],[Unit]])*(INDEX(LS[NAV at Cost (Average)],MATCH(CONCATENATE((LS[[#This Row],[Frequency]]-1),LS[[#This Row],[Investor ID]]),LS[Unique Code],0),0)),0)</f>
        <v>286860</v>
      </c>
      <c r="V1367" s="102">
        <f>IF(LS[[#This Row],[BO TRANSFER]]="YES",LS[[#This Row],[Unit]],)</f>
        <v>0</v>
      </c>
      <c r="W1367" s="102">
        <f>SUMIFS(LS[[#Headers],[BO UNIT TRANSFER]]:LS[[#This Row],[BO UNIT TRANSFER]],LS[[#Headers],[Investor ID]]:LS[[#This Row],[Investor ID]],LS[[#This Row],[Investor ID]])</f>
        <v>0</v>
      </c>
    </row>
    <row r="1368" spans="1:23">
      <c r="A1368" s="101">
        <v>2025</v>
      </c>
      <c r="B1368" s="101">
        <v>11</v>
      </c>
      <c r="C1368" s="101">
        <v>20</v>
      </c>
      <c r="D1368" s="98">
        <f>DATE(LS[[#This Row],[Year]],LS[[#This Row],[Month]],LS[[#This Row],[Day]])</f>
        <v>45981</v>
      </c>
      <c r="E1368" s="99" t="str" cm="1">
        <f t="array" ref="E1368">INDEX(INVESTORS_LIST[INVESTOR NAME],MATCH(LS[[#This Row],[Investor ID]],INVESTORS_LIST[INVESTOR CODE],0),)</f>
        <v>SUHAIEB CHOWDHURY</v>
      </c>
      <c r="F1368" s="100" t="s">
        <v>288</v>
      </c>
      <c r="G1368" s="101">
        <f>COUNTIF(LS[[#Headers],[Investor ID]]:LS[[#This Row],[Investor ID]],LS[[#This Row],[Investor ID]])</f>
        <v>2</v>
      </c>
      <c r="H1368" s="101" t="str">
        <f>CONCATENATE(LS[[#This Row],[Frequency]],LS[[#This Row],[Investor ID]])</f>
        <v>2A00120</v>
      </c>
      <c r="I1368" s="75" t="str">
        <f>IF(LS[[#This Row],[B/S]]="B","BUY",(IF(LS[[#This Row],[B/S]]="S","SELL"," ")))</f>
        <v>SELL</v>
      </c>
      <c r="J1368" s="101" t="s">
        <v>1231</v>
      </c>
      <c r="K1368" s="102">
        <v>-3452750</v>
      </c>
      <c r="L1368" s="99"/>
      <c r="M1368" s="103">
        <f>LS[[#This Row],[Amount]]/LS[[#This Row],[Unit]]</f>
        <v>13.811</v>
      </c>
      <c r="N1368" s="104">
        <f>LS[[#This Row],[Unit Capital]]/10</f>
        <v>-250000</v>
      </c>
      <c r="O1368" s="104">
        <f>SUMIFS(LS[[#Headers],[Unit]]:LS[[#This Row],[Unit]],LS[[#Headers],[Investor ID]]:LS[[#This Row],[Investor ID]],LS[[#This Row],[Investor ID]])</f>
        <v>0</v>
      </c>
      <c r="P1368" s="102">
        <v>-2500000</v>
      </c>
      <c r="Q1368" s="102">
        <f>LS[[#This Row],[Amount]]-LS[[#This Row],[Unit Capital]]</f>
        <v>-952750</v>
      </c>
      <c r="R13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68" s="103">
        <f t="shared" si="28"/>
        <v>14.224</v>
      </c>
      <c r="T1368" s="102">
        <f>IF(LS[[#This Row],[B/S]]="B",0,ABS(LS[[#This Row],[Unit]])*(LS[[#This Row],[NAV (Strike Rate)]]-INDEX(LS[NAV at Cost (Average)],MATCH(CONCATENATE(LS[[#This Row],[Frequency]]-1,LS[[#This Row],[Investor ID]]),LS[Unique Code],0),)))</f>
        <v>737000.00000000012</v>
      </c>
      <c r="U1368" s="102" cm="1">
        <f t="array" ref="U1368">IF(LS[[#This Row],[B/S]]="S",ABS(LS[[#This Row],[Unit]])*(INDEX(LS[NAV at Cost (Average)],MATCH(CONCATENATE((LS[[#This Row],[Frequency]]-1),LS[[#This Row],[Investor ID]]),LS[Unique Code],0),0)),0)</f>
        <v>2715750</v>
      </c>
      <c r="V1368" s="102">
        <f>IF(LS[[#This Row],[BO TRANSFER]]="YES",LS[[#This Row],[Unit]],)</f>
        <v>0</v>
      </c>
      <c r="W1368" s="102">
        <f>SUMIFS(LS[[#Headers],[BO UNIT TRANSFER]]:LS[[#This Row],[BO UNIT TRANSFER]],LS[[#Headers],[Investor ID]]:LS[[#This Row],[Investor ID]],LS[[#This Row],[Investor ID]])</f>
        <v>0</v>
      </c>
    </row>
    <row r="1369" spans="1:23">
      <c r="A1369" s="101">
        <v>2025</v>
      </c>
      <c r="B1369" s="101">
        <v>11</v>
      </c>
      <c r="C1369" s="101">
        <v>20</v>
      </c>
      <c r="D1369" s="98">
        <f>DATE(LS[[#This Row],[Year]],LS[[#This Row],[Month]],LS[[#This Row],[Day]])</f>
        <v>45981</v>
      </c>
      <c r="E1369" s="99" t="str" cm="1">
        <f t="array" ref="E1369">INDEX(INVESTORS_LIST[INVESTOR NAME],MATCH(LS[[#This Row],[Investor ID]],INVESTORS_LIST[INVESTOR CODE],0),)</f>
        <v>KHAN MUHAMMAD KAWSER AHMED</v>
      </c>
      <c r="F1369" s="100" t="s">
        <v>944</v>
      </c>
      <c r="G1369" s="101">
        <f>COUNTIF(LS[[#Headers],[Investor ID]]:LS[[#This Row],[Investor ID]],LS[[#This Row],[Investor ID]])</f>
        <v>41</v>
      </c>
      <c r="H1369" s="101" t="str">
        <f>CONCATENATE(LS[[#This Row],[Frequency]],LS[[#This Row],[Investor ID]])</f>
        <v>41A00449</v>
      </c>
      <c r="I1369" s="75" t="str">
        <f>IF(LS[[#This Row],[B/S]]="B","BUY",(IF(LS[[#This Row],[B/S]]="S","SELL"," ")))</f>
        <v>BUY</v>
      </c>
      <c r="J1369" s="101" t="s">
        <v>1229</v>
      </c>
      <c r="K1369" s="102">
        <v>5000000</v>
      </c>
      <c r="L1369" s="99"/>
      <c r="M1369" s="103">
        <f>LS[[#This Row],[Amount]]/LS[[#This Row],[Unit]]</f>
        <v>13.811010137281441</v>
      </c>
      <c r="N1369" s="104">
        <f>LS[[#This Row],[Unit Capital]]/10</f>
        <v>362030</v>
      </c>
      <c r="O1369" s="104">
        <f>SUMIFS(LS[[#Headers],[Unit]]:LS[[#This Row],[Unit]],LS[[#Headers],[Investor ID]]:LS[[#This Row],[Investor ID]],LS[[#This Row],[Investor ID]])</f>
        <v>8100153</v>
      </c>
      <c r="P1369" s="102">
        <v>3620300</v>
      </c>
      <c r="Q1369" s="102">
        <f>LS[[#This Row],[Amount]]-LS[[#This Row],[Unit Capital]]</f>
        <v>1379700</v>
      </c>
      <c r="R13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12.279542929803441</v>
      </c>
      <c r="S1369" s="103">
        <f t="shared" si="28"/>
        <v>14.224</v>
      </c>
      <c r="T136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69" s="102" cm="1">
        <f t="array" ref="U1369">IF(LS[[#This Row],[B/S]]="S",ABS(LS[[#This Row],[Unit]])*(INDEX(LS[NAV at Cost (Average)],MATCH(CONCATENATE((LS[[#This Row],[Frequency]]-1),LS[[#This Row],[Investor ID]]),LS[Unique Code],0),0)),0)</f>
        <v>0</v>
      </c>
      <c r="V1369" s="102">
        <f>IF(LS[[#This Row],[BO TRANSFER]]="YES",LS[[#This Row],[Unit]],)</f>
        <v>0</v>
      </c>
      <c r="W1369" s="102">
        <f>SUMIFS(LS[[#Headers],[BO UNIT TRANSFER]]:LS[[#This Row],[BO UNIT TRANSFER]],LS[[#Headers],[Investor ID]]:LS[[#This Row],[Investor ID]],LS[[#This Row],[Investor ID]])</f>
        <v>0</v>
      </c>
    </row>
    <row r="1370" spans="1:23">
      <c r="A1370" s="101">
        <v>2025</v>
      </c>
      <c r="B1370" s="101">
        <v>11</v>
      </c>
      <c r="C1370" s="101">
        <v>24</v>
      </c>
      <c r="D1370" s="98">
        <f>DATE(LS[[#This Row],[Year]],LS[[#This Row],[Month]],LS[[#This Row],[Day]])</f>
        <v>45985</v>
      </c>
      <c r="E1370" s="99" t="str" cm="1">
        <f t="array" ref="E1370">INDEX(INVESTORS_LIST[INVESTOR NAME],MATCH(LS[[#This Row],[Investor ID]],INVESTORS_LIST[INVESTOR CODE],0),)</f>
        <v>ARZUN KUMAR SARKAR</v>
      </c>
      <c r="F1370" s="100" t="s">
        <v>310</v>
      </c>
      <c r="G1370" s="101">
        <f>COUNTIF(LS[[#Headers],[Investor ID]]:LS[[#This Row],[Investor ID]],LS[[#This Row],[Investor ID]])</f>
        <v>6</v>
      </c>
      <c r="H1370" s="101" t="str">
        <f>CONCATENATE(LS[[#This Row],[Frequency]],LS[[#This Row],[Investor ID]])</f>
        <v>6A00131</v>
      </c>
      <c r="I1370" s="75" t="str">
        <f>IF(LS[[#This Row],[B/S]]="B","BUY",(IF(LS[[#This Row],[B/S]]="S","SELL"," ")))</f>
        <v>SELL</v>
      </c>
      <c r="J1370" s="101" t="s">
        <v>1231</v>
      </c>
      <c r="K1370" s="102">
        <v>-148000</v>
      </c>
      <c r="L1370" s="99"/>
      <c r="M1370" s="103">
        <f>LS[[#This Row],[Amount]]/LS[[#This Row],[Unit]]</f>
        <v>13.778977748812959</v>
      </c>
      <c r="N1370" s="104">
        <f>LS[[#This Row],[Unit Capital]]/10</f>
        <v>-10741</v>
      </c>
      <c r="O1370" s="104">
        <f>SUMIFS(LS[[#Headers],[Unit]]:LS[[#This Row],[Unit]],LS[[#Headers],[Investor ID]]:LS[[#This Row],[Investor ID]],LS[[#This Row],[Investor ID]])</f>
        <v>21703</v>
      </c>
      <c r="P1370" s="102">
        <v>-107410</v>
      </c>
      <c r="Q1370" s="102">
        <f>LS[[#This Row],[Amount]]-LS[[#This Row],[Unit Capital]]</f>
        <v>-40590</v>
      </c>
      <c r="R13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11.562064017432874</v>
      </c>
      <c r="S1370" s="103">
        <f t="shared" si="28"/>
        <v>14.224</v>
      </c>
      <c r="T1370" s="102">
        <f>IF(LS[[#This Row],[B/S]]="B",0,ABS(LS[[#This Row],[Unit]])*(LS[[#This Row],[NAV (Strike Rate)]]-INDEX(LS[NAV at Cost (Average)],MATCH(CONCATENATE(LS[[#This Row],[Frequency]]-1,LS[[#This Row],[Investor ID]]),LS[Unique Code],0),)))</f>
        <v>23811.870388753498</v>
      </c>
      <c r="U1370" s="102" cm="1">
        <f t="array" ref="U1370">IF(LS[[#This Row],[B/S]]="S",ABS(LS[[#This Row],[Unit]])*(INDEX(LS[NAV at Cost (Average)],MATCH(CONCATENATE((LS[[#This Row],[Frequency]]-1),LS[[#This Row],[Investor ID]]),LS[Unique Code],0),0)),0)</f>
        <v>124188.12961124651</v>
      </c>
      <c r="V1370" s="102">
        <f>IF(LS[[#This Row],[BO TRANSFER]]="YES",LS[[#This Row],[Unit]],)</f>
        <v>0</v>
      </c>
      <c r="W1370" s="102">
        <f>SUMIFS(LS[[#Headers],[BO UNIT TRANSFER]]:LS[[#This Row],[BO UNIT TRANSFER]],LS[[#Headers],[Investor ID]]:LS[[#This Row],[Investor ID]],LS[[#This Row],[Investor ID]])</f>
        <v>0</v>
      </c>
    </row>
    <row r="1371" spans="1:23">
      <c r="A1371" s="101">
        <v>2025</v>
      </c>
      <c r="B1371" s="101">
        <v>11</v>
      </c>
      <c r="C1371" s="101">
        <v>24</v>
      </c>
      <c r="D1371" s="98">
        <f>DATE(LS[[#This Row],[Year]],LS[[#This Row],[Month]],LS[[#This Row],[Day]])</f>
        <v>45985</v>
      </c>
      <c r="E1371" t="str" cm="1">
        <f t="array" ref="E1371">INDEX(INVESTORS_LIST[INVESTOR NAME],MATCH(LS[[#This Row],[Investor ID]],INVESTORS_LIST[INVESTOR CODE],0),)</f>
        <v>EKUSH WEALTH MANAGEMENT LIMITED</v>
      </c>
      <c r="F1371" s="100" t="s">
        <v>47</v>
      </c>
      <c r="G1371" s="101">
        <f>COUNTIF(LS[[#Headers],[Investor ID]]:LS[[#This Row],[Investor ID]],LS[[#This Row],[Investor ID]])</f>
        <v>45</v>
      </c>
      <c r="H1371" s="101" t="str">
        <f>CONCATENATE(LS[[#This Row],[Frequency]],LS[[#This Row],[Investor ID]])</f>
        <v>45A00003</v>
      </c>
      <c r="I1371" s="75" t="str">
        <f>IF(LS[[#This Row],[B/S]]="B","BUY",(IF(LS[[#This Row],[B/S]]="S","SELL"," ")))</f>
        <v>BUY</v>
      </c>
      <c r="J1371" s="101" t="s">
        <v>1229</v>
      </c>
      <c r="K1371" s="102">
        <v>870000</v>
      </c>
      <c r="L1371" s="99"/>
      <c r="M1371" s="103">
        <f>LS[[#This Row],[Amount]]/LS[[#This Row],[Unit]]</f>
        <v>13.778904022806461</v>
      </c>
      <c r="N1371" s="104">
        <f>LS[[#This Row],[Unit Capital]]/10</f>
        <v>63140</v>
      </c>
      <c r="O1371" s="104">
        <f>SUMIFS(LS[[#Headers],[Unit]]:LS[[#This Row],[Unit]],LS[[#Headers],[Investor ID]]:LS[[#This Row],[Investor ID]],LS[[#This Row],[Investor ID]])</f>
        <v>250052</v>
      </c>
      <c r="P1371" s="102">
        <v>631400</v>
      </c>
      <c r="Q1371" s="102">
        <f>LS[[#This Row],[Amount]]-LS[[#This Row],[Unit Capital]]</f>
        <v>238600</v>
      </c>
      <c r="R13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12.774542058875078</v>
      </c>
      <c r="S1371" s="103">
        <f t="shared" si="28"/>
        <v>14.224</v>
      </c>
      <c r="T13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1" s="102" cm="1">
        <f t="array" ref="U1371">IF(LS[[#This Row],[B/S]]="S",ABS(LS[[#This Row],[Unit]])*(INDEX(LS[NAV at Cost (Average)],MATCH(CONCATENATE((LS[[#This Row],[Frequency]]-1),LS[[#This Row],[Investor ID]]),LS[Unique Code],0),0)),0)</f>
        <v>0</v>
      </c>
      <c r="V1371" s="102">
        <f>IF(LS[[#This Row],[BO TRANSFER]]="YES",LS[[#This Row],[Unit]],)</f>
        <v>0</v>
      </c>
      <c r="W1371" s="102">
        <f>SUMIFS(LS[[#Headers],[BO UNIT TRANSFER]]:LS[[#This Row],[BO UNIT TRANSFER]],LS[[#Headers],[Investor ID]]:LS[[#This Row],[Investor ID]],LS[[#This Row],[Investor ID]])</f>
        <v>0</v>
      </c>
    </row>
    <row r="1372" spans="1:23">
      <c r="A1372" s="101">
        <v>2025</v>
      </c>
      <c r="B1372" s="101">
        <v>11</v>
      </c>
      <c r="C1372" s="101">
        <v>25</v>
      </c>
      <c r="D1372" s="98">
        <f>DATE(LS[[#This Row],[Year]],LS[[#This Row],[Month]],LS[[#This Row],[Day]])</f>
        <v>45986</v>
      </c>
      <c r="E1372" s="99" t="str" cm="1">
        <f t="array" ref="E1372">INDEX(INVESTORS_LIST[INVESTOR NAME],MATCH(LS[[#This Row],[Investor ID]],INVESTORS_LIST[INVESTOR CODE],0),)</f>
        <v>UMME SALMA KATHA</v>
      </c>
      <c r="F1372" s="100" t="s">
        <v>616</v>
      </c>
      <c r="G1372" s="101">
        <f>COUNTIF(LS[[#Headers],[Investor ID]]:LS[[#This Row],[Investor ID]],LS[[#This Row],[Investor ID]])</f>
        <v>2</v>
      </c>
      <c r="H1372" s="101" t="str">
        <f>CONCATENATE(LS[[#This Row],[Frequency]],LS[[#This Row],[Investor ID]])</f>
        <v>2A00284</v>
      </c>
      <c r="I1372" s="75" t="str">
        <f>IF(LS[[#This Row],[B/S]]="B","BUY",(IF(LS[[#This Row],[B/S]]="S","SELL"," ")))</f>
        <v>SELL</v>
      </c>
      <c r="J1372" s="101" t="s">
        <v>1231</v>
      </c>
      <c r="K1372" s="102">
        <v>-955850</v>
      </c>
      <c r="L1372" s="99"/>
      <c r="M1372" s="103">
        <f>LS[[#This Row],[Amount]]/LS[[#This Row],[Unit]]</f>
        <v>13.654999999999999</v>
      </c>
      <c r="N1372" s="104">
        <f>LS[[#This Row],[Unit Capital]]/10</f>
        <v>-70000</v>
      </c>
      <c r="O1372" s="104">
        <f>SUMIFS(LS[[#Headers],[Unit]]:LS[[#This Row],[Unit]],LS[[#Headers],[Investor ID]]:LS[[#This Row],[Investor ID]],LS[[#This Row],[Investor ID]])</f>
        <v>0</v>
      </c>
      <c r="P1372" s="102">
        <v>-700000</v>
      </c>
      <c r="Q1372" s="102">
        <f>LS[[#This Row],[Amount]]-LS[[#This Row],[Unit Capital]]</f>
        <v>-255850</v>
      </c>
      <c r="R13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72" s="103">
        <f t="shared" si="28"/>
        <v>14.224</v>
      </c>
      <c r="T1372" s="102">
        <f>IF(LS[[#This Row],[B/S]]="B",0,ABS(LS[[#This Row],[Unit]])*(LS[[#This Row],[NAV (Strike Rate)]]-INDEX(LS[NAV at Cost (Average)],MATCH(CONCATENATE(LS[[#This Row],[Frequency]]-1,LS[[#This Row],[Investor ID]]),LS[Unique Code],0),)))</f>
        <v>73079.999999999913</v>
      </c>
      <c r="U1372" s="102" cm="1">
        <f t="array" ref="U1372">IF(LS[[#This Row],[B/S]]="S",ABS(LS[[#This Row],[Unit]])*(INDEX(LS[NAV at Cost (Average)],MATCH(CONCATENATE((LS[[#This Row],[Frequency]]-1),LS[[#This Row],[Investor ID]]),LS[Unique Code],0),0)),0)</f>
        <v>882770</v>
      </c>
      <c r="V1372" s="102">
        <f>IF(LS[[#This Row],[BO TRANSFER]]="YES",LS[[#This Row],[Unit]],)</f>
        <v>0</v>
      </c>
      <c r="W1372" s="102">
        <f>SUMIFS(LS[[#Headers],[BO UNIT TRANSFER]]:LS[[#This Row],[BO UNIT TRANSFER]],LS[[#Headers],[Investor ID]]:LS[[#This Row],[Investor ID]],LS[[#This Row],[Investor ID]])</f>
        <v>0</v>
      </c>
    </row>
    <row r="1373" spans="1:23">
      <c r="A1373" s="101">
        <v>2025</v>
      </c>
      <c r="B1373" s="101">
        <v>11</v>
      </c>
      <c r="C1373" s="101">
        <v>25</v>
      </c>
      <c r="D1373" s="98">
        <f>DATE(LS[[#This Row],[Year]],LS[[#This Row],[Month]],LS[[#This Row],[Day]])</f>
        <v>45986</v>
      </c>
      <c r="E1373" s="99" t="str" cm="1">
        <f t="array" ref="E1373">INDEX(INVESTORS_LIST[INVESTOR NAME],MATCH(LS[[#This Row],[Investor ID]],INVESTORS_LIST[INVESTOR CODE],0),)</f>
        <v>FARZANA MOSTAFA TITHE</v>
      </c>
      <c r="F1373" s="100" t="s">
        <v>1079</v>
      </c>
      <c r="G1373" s="101">
        <f>COUNTIF(LS[[#Headers],[Investor ID]]:LS[[#This Row],[Investor ID]],LS[[#This Row],[Investor ID]])</f>
        <v>2</v>
      </c>
      <c r="H1373" s="101" t="str">
        <f>CONCATENATE(LS[[#This Row],[Frequency]],LS[[#This Row],[Investor ID]])</f>
        <v>2A00517</v>
      </c>
      <c r="I1373" s="75" t="str">
        <f>IF(LS[[#This Row],[B/S]]="B","BUY",(IF(LS[[#This Row],[B/S]]="S","SELL"," ")))</f>
        <v>SELL</v>
      </c>
      <c r="J1373" s="101" t="s">
        <v>1231</v>
      </c>
      <c r="K1373" s="102">
        <v>-2755800</v>
      </c>
      <c r="L1373" s="99"/>
      <c r="M1373" s="103">
        <f>LS[[#This Row],[Amount]]/LS[[#This Row],[Unit]]</f>
        <v>13.779</v>
      </c>
      <c r="N1373" s="104">
        <f>LS[[#This Row],[Unit Capital]]/10</f>
        <v>-200000</v>
      </c>
      <c r="O1373" s="104">
        <f>SUMIFS(LS[[#Headers],[Unit]]:LS[[#This Row],[Unit]],LS[[#Headers],[Investor ID]]:LS[[#This Row],[Investor ID]],LS[[#This Row],[Investor ID]])</f>
        <v>0</v>
      </c>
      <c r="P1373" s="102">
        <v>-2000000</v>
      </c>
      <c r="Q1373" s="102">
        <f>LS[[#This Row],[Amount]]-LS[[#This Row],[Unit Capital]]</f>
        <v>-755800</v>
      </c>
      <c r="R13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73" s="103">
        <f t="shared" si="28"/>
        <v>14.224</v>
      </c>
      <c r="T1373" s="102">
        <f>IF(LS[[#This Row],[B/S]]="B",0,ABS(LS[[#This Row],[Unit]])*(LS[[#This Row],[NAV (Strike Rate)]]-INDEX(LS[NAV at Cost (Average)],MATCH(CONCATENATE(LS[[#This Row],[Frequency]]-1,LS[[#This Row],[Investor ID]]),LS[Unique Code],0),)))</f>
        <v>630399.99999999988</v>
      </c>
      <c r="U1373" s="102" cm="1">
        <f t="array" ref="U1373">IF(LS[[#This Row],[B/S]]="S",ABS(LS[[#This Row],[Unit]])*(INDEX(LS[NAV at Cost (Average)],MATCH(CONCATENATE((LS[[#This Row],[Frequency]]-1),LS[[#This Row],[Investor ID]]),LS[Unique Code],0),0)),0)</f>
        <v>2125400</v>
      </c>
      <c r="V1373" s="102">
        <f>IF(LS[[#This Row],[BO TRANSFER]]="YES",LS[[#This Row],[Unit]],)</f>
        <v>0</v>
      </c>
      <c r="W1373" s="102">
        <f>SUMIFS(LS[[#Headers],[BO UNIT TRANSFER]]:LS[[#This Row],[BO UNIT TRANSFER]],LS[[#Headers],[Investor ID]]:LS[[#This Row],[Investor ID]],LS[[#This Row],[Investor ID]])</f>
        <v>0</v>
      </c>
    </row>
    <row r="1374" spans="1:23">
      <c r="A1374" s="101">
        <v>2025</v>
      </c>
      <c r="B1374" s="101">
        <v>11</v>
      </c>
      <c r="C1374" s="101">
        <v>25</v>
      </c>
      <c r="D1374" s="98">
        <f>DATE(LS[[#This Row],[Year]],LS[[#This Row],[Month]],LS[[#This Row],[Day]])</f>
        <v>45986</v>
      </c>
      <c r="E1374" s="99" t="str" cm="1">
        <f t="array" ref="E1374">INDEX(INVESTORS_LIST[INVESTOR NAME],MATCH(LS[[#This Row],[Investor ID]],INVESTORS_LIST[INVESTOR CODE],0),)</f>
        <v>MD MEHEDI HASAN</v>
      </c>
      <c r="F1374" s="100" t="s">
        <v>1460</v>
      </c>
      <c r="G1374" s="101">
        <f>COUNTIF(LS[[#Headers],[Investor ID]]:LS[[#This Row],[Investor ID]],LS[[#This Row],[Investor ID]])</f>
        <v>1</v>
      </c>
      <c r="H1374" s="101" t="str">
        <f>CONCATENATE(LS[[#This Row],[Frequency]],LS[[#This Row],[Investor ID]])</f>
        <v>1A00675</v>
      </c>
      <c r="I1374" s="75" t="str">
        <f>IF(LS[[#This Row],[B/S]]="B","BUY",(IF(LS[[#This Row],[B/S]]="S","SELL"," ")))</f>
        <v>BUY</v>
      </c>
      <c r="J1374" s="101" t="s">
        <v>1229</v>
      </c>
      <c r="K1374" s="102">
        <v>300000</v>
      </c>
      <c r="L1374" s="99" t="s">
        <v>1230</v>
      </c>
      <c r="M1374" s="103">
        <f>LS[[#This Row],[Amount]]/LS[[#This Row],[Unit]]</f>
        <v>13.77916590115745</v>
      </c>
      <c r="N1374" s="104">
        <f>LS[[#This Row],[Unit Capital]]/10</f>
        <v>21772</v>
      </c>
      <c r="O1374" s="104">
        <f>SUMIFS(LS[[#Headers],[Unit]]:LS[[#This Row],[Unit]],LS[[#Headers],[Investor ID]]:LS[[#This Row],[Investor ID]],LS[[#This Row],[Investor ID]])</f>
        <v>21772</v>
      </c>
      <c r="P1374" s="102">
        <v>217720</v>
      </c>
      <c r="Q1374" s="102">
        <f>LS[[#This Row],[Amount]]-LS[[#This Row],[Unit Capital]]</f>
        <v>82280</v>
      </c>
      <c r="R13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13.77916590115745</v>
      </c>
      <c r="S1374" s="103">
        <f t="shared" si="28"/>
        <v>14.224</v>
      </c>
      <c r="T137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4" s="102" cm="1">
        <f t="array" ref="U1374">IF(LS[[#This Row],[B/S]]="S",ABS(LS[[#This Row],[Unit]])*(INDEX(LS[NAV at Cost (Average)],MATCH(CONCATENATE((LS[[#This Row],[Frequency]]-1),LS[[#This Row],[Investor ID]]),LS[Unique Code],0),0)),0)</f>
        <v>0</v>
      </c>
      <c r="V1374" s="102">
        <f>IF(LS[[#This Row],[BO TRANSFER]]="YES",LS[[#This Row],[Unit]],)</f>
        <v>21772</v>
      </c>
      <c r="W1374" s="102">
        <f>SUMIFS(LS[[#Headers],[BO UNIT TRANSFER]]:LS[[#This Row],[BO UNIT TRANSFER]],LS[[#Headers],[Investor ID]]:LS[[#This Row],[Investor ID]],LS[[#This Row],[Investor ID]])</f>
        <v>21772</v>
      </c>
    </row>
    <row r="1375" spans="1:23">
      <c r="A1375" s="101">
        <v>2025</v>
      </c>
      <c r="B1375" s="101">
        <v>11</v>
      </c>
      <c r="C1375" s="101">
        <v>25</v>
      </c>
      <c r="D1375" s="98">
        <f>DATE(LS[[#This Row],[Year]],LS[[#This Row],[Month]],LS[[#This Row],[Day]])</f>
        <v>45986</v>
      </c>
      <c r="E1375" s="99" t="str" cm="1">
        <f t="array" ref="E1375">INDEX(INVESTORS_LIST[INVESTOR NAME],MATCH(LS[[#This Row],[Investor ID]],INVESTORS_LIST[INVESTOR CODE],0),)</f>
        <v>MD MEHEDI HASAN</v>
      </c>
      <c r="F1375" s="100" t="s">
        <v>1460</v>
      </c>
      <c r="G1375" s="101">
        <f>COUNTIF(LS[[#Headers],[Investor ID]]:LS[[#This Row],[Investor ID]],LS[[#This Row],[Investor ID]])</f>
        <v>2</v>
      </c>
      <c r="H1375" s="101" t="str">
        <f>CONCATENATE(LS[[#This Row],[Frequency]],LS[[#This Row],[Investor ID]])</f>
        <v>2A00675</v>
      </c>
      <c r="I1375" s="75" t="str">
        <f>IF(LS[[#This Row],[B/S]]="B","BUY",(IF(LS[[#This Row],[B/S]]="S","SELL"," ")))</f>
        <v>BUY</v>
      </c>
      <c r="J1375" s="101" t="s">
        <v>1229</v>
      </c>
      <c r="K1375" s="102">
        <v>13000</v>
      </c>
      <c r="L1375" s="99" t="s">
        <v>1230</v>
      </c>
      <c r="M1375" s="103">
        <f>LS[[#This Row],[Amount]]/LS[[#This Row],[Unit]]</f>
        <v>13.785790031813361</v>
      </c>
      <c r="N1375" s="104">
        <f>LS[[#This Row],[Unit Capital]]/10</f>
        <v>943</v>
      </c>
      <c r="O1375" s="104">
        <f>SUMIFS(LS[[#Headers],[Unit]]:LS[[#This Row],[Unit]],LS[[#Headers],[Investor ID]]:LS[[#This Row],[Investor ID]],LS[[#This Row],[Investor ID]])</f>
        <v>22715</v>
      </c>
      <c r="P1375" s="102">
        <v>9430</v>
      </c>
      <c r="Q1375" s="102">
        <f>LS[[#This Row],[Amount]]-LS[[#This Row],[Unit Capital]]</f>
        <v>3570</v>
      </c>
      <c r="R13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13.779440898084964</v>
      </c>
      <c r="S1375" s="103">
        <f t="shared" si="28"/>
        <v>14.224</v>
      </c>
      <c r="T137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5" s="102" cm="1">
        <f t="array" ref="U1375">IF(LS[[#This Row],[B/S]]="S",ABS(LS[[#This Row],[Unit]])*(INDEX(LS[NAV at Cost (Average)],MATCH(CONCATENATE((LS[[#This Row],[Frequency]]-1),LS[[#This Row],[Investor ID]]),LS[Unique Code],0),0)),0)</f>
        <v>0</v>
      </c>
      <c r="V1375" s="102">
        <f>IF(LS[[#This Row],[BO TRANSFER]]="YES",LS[[#This Row],[Unit]],)</f>
        <v>943</v>
      </c>
      <c r="W1375" s="102">
        <f>SUMIFS(LS[[#Headers],[BO UNIT TRANSFER]]:LS[[#This Row],[BO UNIT TRANSFER]],LS[[#Headers],[Investor ID]]:LS[[#This Row],[Investor ID]],LS[[#This Row],[Investor ID]])</f>
        <v>22715</v>
      </c>
    </row>
    <row r="1376" spans="1:23">
      <c r="A1376" s="101">
        <v>2025</v>
      </c>
      <c r="B1376" s="101">
        <v>11</v>
      </c>
      <c r="C1376" s="101">
        <v>25</v>
      </c>
      <c r="D1376" s="98">
        <f>DATE(LS[[#This Row],[Year]],LS[[#This Row],[Month]],LS[[#This Row],[Day]])</f>
        <v>45986</v>
      </c>
      <c r="E1376" s="99" t="str" cm="1">
        <f t="array" ref="E1376">INDEX(INVESTORS_LIST[INVESTOR NAME],MATCH(LS[[#This Row],[Investor ID]],INVESTORS_LIST[INVESTOR CODE],0),)</f>
        <v>MD. RASEL RANA</v>
      </c>
      <c r="F1376" s="100" t="s">
        <v>1324</v>
      </c>
      <c r="G1376" s="101">
        <f>COUNTIF(LS[[#Headers],[Investor ID]]:LS[[#This Row],[Investor ID]],LS[[#This Row],[Investor ID]])</f>
        <v>3</v>
      </c>
      <c r="H1376" s="101" t="str">
        <f>CONCATENATE(LS[[#This Row],[Frequency]],LS[[#This Row],[Investor ID]])</f>
        <v>3A00609</v>
      </c>
      <c r="I1376" s="75" t="str">
        <f>IF(LS[[#This Row],[B/S]]="B","BUY",(IF(LS[[#This Row],[B/S]]="S","SELL"," ")))</f>
        <v>SELL</v>
      </c>
      <c r="J1376" s="101" t="s">
        <v>1231</v>
      </c>
      <c r="K1376" s="102">
        <v>-15000</v>
      </c>
      <c r="L1376" s="99"/>
      <c r="M1376" s="103">
        <f>LS[[#This Row],[Amount]]/LS[[#This Row],[Unit]]</f>
        <v>13.774104683195592</v>
      </c>
      <c r="N1376" s="104">
        <f>LS[[#This Row],[Unit Capital]]/10</f>
        <v>-1089</v>
      </c>
      <c r="O1376" s="104">
        <f>SUMIFS(LS[[#Headers],[Unit]]:LS[[#This Row],[Unit]],LS[[#Headers],[Investor ID]]:LS[[#This Row],[Investor ID]],LS[[#This Row],[Investor ID]])</f>
        <v>3765</v>
      </c>
      <c r="P1376" s="102">
        <v>-10890</v>
      </c>
      <c r="Q1376" s="102">
        <f>LS[[#This Row],[Amount]]-LS[[#This Row],[Unit Capital]]</f>
        <v>-4110</v>
      </c>
      <c r="R13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12.360939431396785</v>
      </c>
      <c r="S1376" s="103">
        <f t="shared" si="28"/>
        <v>14.224</v>
      </c>
      <c r="T1376" s="102">
        <f>IF(LS[[#This Row],[B/S]]="B",0,ABS(LS[[#This Row],[Unit]])*(LS[[#This Row],[NAV (Strike Rate)]]-INDEX(LS[NAV at Cost (Average)],MATCH(CONCATENATE(LS[[#This Row],[Frequency]]-1,LS[[#This Row],[Investor ID]]),LS[Unique Code],0),)))</f>
        <v>1538.9369592089008</v>
      </c>
      <c r="U1376" s="102" cm="1">
        <f t="array" ref="U1376">IF(LS[[#This Row],[B/S]]="S",ABS(LS[[#This Row],[Unit]])*(INDEX(LS[NAV at Cost (Average)],MATCH(CONCATENATE((LS[[#This Row],[Frequency]]-1),LS[[#This Row],[Investor ID]]),LS[Unique Code],0),0)),0)</f>
        <v>13461.063040791099</v>
      </c>
      <c r="V1376" s="102">
        <f>IF(LS[[#This Row],[BO TRANSFER]]="YES",LS[[#This Row],[Unit]],)</f>
        <v>0</v>
      </c>
      <c r="W1376" s="102">
        <f>SUMIFS(LS[[#Headers],[BO UNIT TRANSFER]]:LS[[#This Row],[BO UNIT TRANSFER]],LS[[#Headers],[Investor ID]]:LS[[#This Row],[Investor ID]],LS[[#This Row],[Investor ID]])</f>
        <v>0</v>
      </c>
    </row>
    <row r="1377" spans="1:23">
      <c r="A1377" s="101">
        <v>2025</v>
      </c>
      <c r="B1377" s="101">
        <v>11</v>
      </c>
      <c r="C1377" s="101">
        <v>25</v>
      </c>
      <c r="D1377" s="98">
        <f>DATE(LS[[#This Row],[Year]],LS[[#This Row],[Month]],LS[[#This Row],[Day]])</f>
        <v>45986</v>
      </c>
      <c r="E1377" s="99" t="str" cm="1">
        <f t="array" ref="E1377">INDEX(INVESTORS_LIST[INVESTOR NAME],MATCH(LS[[#This Row],[Investor ID]],INVESTORS_LIST[INVESTOR CODE],0),)</f>
        <v>MAYA RANI SAHA</v>
      </c>
      <c r="F1377" s="100" t="s">
        <v>224</v>
      </c>
      <c r="G1377" s="101">
        <f>COUNTIF(LS[[#Headers],[Investor ID]]:LS[[#This Row],[Investor ID]],LS[[#This Row],[Investor ID]])</f>
        <v>28</v>
      </c>
      <c r="H1377" s="101" t="str">
        <f>CONCATENATE(LS[[#This Row],[Frequency]],LS[[#This Row],[Investor ID]])</f>
        <v>28A00088</v>
      </c>
      <c r="I1377" s="75" t="str">
        <f>IF(LS[[#This Row],[B/S]]="B","BUY",(IF(LS[[#This Row],[B/S]]="S","SELL"," ")))</f>
        <v>BUY</v>
      </c>
      <c r="J1377" s="101" t="s">
        <v>1229</v>
      </c>
      <c r="K1377" s="102">
        <v>150000</v>
      </c>
      <c r="L1377" s="99"/>
      <c r="M1377" s="103">
        <f>LS[[#This Row],[Amount]]/LS[[#This Row],[Unit]]</f>
        <v>13.766519823788546</v>
      </c>
      <c r="N1377" s="104">
        <f>LS[[#This Row],[Unit Capital]]/10</f>
        <v>10896</v>
      </c>
      <c r="O1377" s="104">
        <f>SUMIFS(LS[[#Headers],[Unit]]:LS[[#This Row],[Unit]],LS[[#Headers],[Investor ID]]:LS[[#This Row],[Investor ID]],LS[[#This Row],[Investor ID]])</f>
        <v>850291</v>
      </c>
      <c r="P1377" s="102">
        <v>108960</v>
      </c>
      <c r="Q1377" s="102">
        <f>LS[[#This Row],[Amount]]-LS[[#This Row],[Unit Capital]]</f>
        <v>41040</v>
      </c>
      <c r="R13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11.97731757064023</v>
      </c>
      <c r="S1377" s="103">
        <f t="shared" ref="S1377:S1383" si="29">IFERROR(NAV_MKT,0)</f>
        <v>14.224</v>
      </c>
      <c r="T13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7" s="102" cm="1">
        <f t="array" ref="U1377">IF(LS[[#This Row],[B/S]]="S",ABS(LS[[#This Row],[Unit]])*(INDEX(LS[NAV at Cost (Average)],MATCH(CONCATENATE((LS[[#This Row],[Frequency]]-1),LS[[#This Row],[Investor ID]]),LS[Unique Code],0),0)),0)</f>
        <v>0</v>
      </c>
      <c r="V1377" s="102">
        <f>IF(LS[[#This Row],[BO TRANSFER]]="YES",LS[[#This Row],[Unit]],)</f>
        <v>0</v>
      </c>
      <c r="W1377" s="102">
        <f>SUMIFS(LS[[#Headers],[BO UNIT TRANSFER]]:LS[[#This Row],[BO UNIT TRANSFER]],LS[[#Headers],[Investor ID]]:LS[[#This Row],[Investor ID]],LS[[#This Row],[Investor ID]])</f>
        <v>0</v>
      </c>
    </row>
    <row r="1378" spans="1:23">
      <c r="A1378" s="101">
        <v>2025</v>
      </c>
      <c r="B1378" s="101">
        <v>11</v>
      </c>
      <c r="C1378" s="101">
        <v>26</v>
      </c>
      <c r="D1378" s="98">
        <f>DATE(LS[[#This Row],[Year]],LS[[#This Row],[Month]],LS[[#This Row],[Day]])</f>
        <v>45987</v>
      </c>
      <c r="E1378" s="99" t="str" cm="1">
        <f t="array" ref="E1378">INDEX(INVESTORS_LIST[INVESTOR NAME],MATCH(LS[[#This Row],[Investor ID]],INVESTORS_LIST[INVESTOR CODE],0),)</f>
        <v>KABIR AHMED TALUKDER</v>
      </c>
      <c r="F1378" s="100" t="s">
        <v>411</v>
      </c>
      <c r="G1378" s="101">
        <f>COUNTIF(LS[[#Headers],[Investor ID]]:LS[[#This Row],[Investor ID]],LS[[#This Row],[Investor ID]])</f>
        <v>6</v>
      </c>
      <c r="H1378" s="101" t="str">
        <f>CONCATENATE(LS[[#This Row],[Frequency]],LS[[#This Row],[Investor ID]])</f>
        <v>6A00181</v>
      </c>
      <c r="I1378" s="75" t="str">
        <f>IF(LS[[#This Row],[B/S]]="B","BUY",(IF(LS[[#This Row],[B/S]]="S","SELL"," ")))</f>
        <v>BUY</v>
      </c>
      <c r="J1378" s="101" t="s">
        <v>1229</v>
      </c>
      <c r="K1378" s="102">
        <v>200000</v>
      </c>
      <c r="L1378" s="99"/>
      <c r="M1378" s="103">
        <f>LS[[#This Row],[Amount]]/LS[[#This Row],[Unit]]</f>
        <v>13.778849466069584</v>
      </c>
      <c r="N1378" s="104">
        <f>LS[[#This Row],[Unit Capital]]/10</f>
        <v>14515</v>
      </c>
      <c r="O1378" s="104">
        <f>SUMIFS(LS[[#Headers],[Unit]]:LS[[#This Row],[Unit]],LS[[#Headers],[Investor ID]]:LS[[#This Row],[Investor ID]],LS[[#This Row],[Investor ID]])</f>
        <v>188643</v>
      </c>
      <c r="P1378" s="102">
        <v>145150</v>
      </c>
      <c r="Q1378" s="102">
        <f>LS[[#This Row],[Amount]]-LS[[#This Row],[Unit Capital]]</f>
        <v>54850</v>
      </c>
      <c r="R13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13.385071272191389</v>
      </c>
      <c r="S1378" s="103">
        <f t="shared" si="29"/>
        <v>14.224</v>
      </c>
      <c r="T13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78" s="102" cm="1">
        <f t="array" ref="U1378">IF(LS[[#This Row],[B/S]]="S",ABS(LS[[#This Row],[Unit]])*(INDEX(LS[NAV at Cost (Average)],MATCH(CONCATENATE((LS[[#This Row],[Frequency]]-1),LS[[#This Row],[Investor ID]]),LS[Unique Code],0),0)),0)</f>
        <v>0</v>
      </c>
      <c r="V1378" s="102">
        <f>IF(LS[[#This Row],[BO TRANSFER]]="YES",LS[[#This Row],[Unit]],)</f>
        <v>0</v>
      </c>
      <c r="W1378" s="102">
        <f>SUMIFS(LS[[#Headers],[BO UNIT TRANSFER]]:LS[[#This Row],[BO UNIT TRANSFER]],LS[[#Headers],[Investor ID]]:LS[[#This Row],[Investor ID]],LS[[#This Row],[Investor ID]])</f>
        <v>0</v>
      </c>
    </row>
    <row r="1379" spans="1:23">
      <c r="A1379" s="101">
        <v>2025</v>
      </c>
      <c r="B1379" s="101">
        <v>11</v>
      </c>
      <c r="C1379" s="101">
        <v>27</v>
      </c>
      <c r="D1379" s="98">
        <f>DATE(LS[[#This Row],[Year]],LS[[#This Row],[Month]],LS[[#This Row],[Day]])</f>
        <v>45988</v>
      </c>
      <c r="E1379" s="99" t="str" cm="1">
        <f t="array" ref="E1379">INDEX(INVESTORS_LIST[INVESTOR NAME],MATCH(LS[[#This Row],[Investor ID]],INVESTORS_LIST[INVESTOR CODE],0),)</f>
        <v>KHAN MUHAMMAD KAWSER AHMED</v>
      </c>
      <c r="F1379" s="100" t="s">
        <v>944</v>
      </c>
      <c r="G1379" s="101">
        <f>COUNTIF(LS[[#Headers],[Investor ID]]:LS[[#This Row],[Investor ID]],LS[[#This Row],[Investor ID]])</f>
        <v>42</v>
      </c>
      <c r="H1379" s="101" t="str">
        <f>CONCATENATE(LS[[#This Row],[Frequency]],LS[[#This Row],[Investor ID]])</f>
        <v>42A00449</v>
      </c>
      <c r="I1379" s="75" t="str">
        <f>IF(LS[[#This Row],[B/S]]="B","BUY",(IF(LS[[#This Row],[B/S]]="S","SELL"," ")))</f>
        <v>SELL</v>
      </c>
      <c r="J1379" s="101" t="s">
        <v>1231</v>
      </c>
      <c r="K1379" s="102">
        <v>-1500000</v>
      </c>
      <c r="L1379" s="99"/>
      <c r="M1379" s="103">
        <f>LS[[#This Row],[Amount]]/LS[[#This Row],[Unit]]</f>
        <v>13.779039325378236</v>
      </c>
      <c r="N1379" s="104">
        <f>LS[[#This Row],[Unit Capital]]/10</f>
        <v>-108861</v>
      </c>
      <c r="O1379" s="104">
        <f>SUMIFS(LS[[#Headers],[Unit]]:LS[[#This Row],[Unit]],LS[[#Headers],[Investor ID]]:LS[[#This Row],[Investor ID]],LS[[#This Row],[Investor ID]])</f>
        <v>7991292</v>
      </c>
      <c r="P1379" s="102">
        <v>-1088610</v>
      </c>
      <c r="Q1379" s="102">
        <f>LS[[#This Row],[Amount]]-LS[[#This Row],[Unit Capital]]</f>
        <v>-411390</v>
      </c>
      <c r="R13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12.279542929803441</v>
      </c>
      <c r="S1379" s="103">
        <f t="shared" si="29"/>
        <v>14.224</v>
      </c>
      <c r="T1379" s="102">
        <f>IF(LS[[#This Row],[B/S]]="B",0,ABS(LS[[#This Row],[Unit]])*(LS[[#This Row],[NAV (Strike Rate)]]-INDEX(LS[NAV at Cost (Average)],MATCH(CONCATENATE(LS[[#This Row],[Frequency]]-1,LS[[#This Row],[Investor ID]]),LS[Unique Code],0),)))</f>
        <v>163236.67711866775</v>
      </c>
      <c r="U1379" s="102" cm="1">
        <f t="array" ref="U1379">IF(LS[[#This Row],[B/S]]="S",ABS(LS[[#This Row],[Unit]])*(INDEX(LS[NAV at Cost (Average)],MATCH(CONCATENATE((LS[[#This Row],[Frequency]]-1),LS[[#This Row],[Investor ID]]),LS[Unique Code],0),0)),0)</f>
        <v>1336763.3228813324</v>
      </c>
      <c r="V1379" s="102">
        <f>IF(LS[[#This Row],[BO TRANSFER]]="YES",LS[[#This Row],[Unit]],)</f>
        <v>0</v>
      </c>
      <c r="W1379" s="102">
        <f>SUMIFS(LS[[#Headers],[BO UNIT TRANSFER]]:LS[[#This Row],[BO UNIT TRANSFER]],LS[[#Headers],[Investor ID]]:LS[[#This Row],[Investor ID]],LS[[#This Row],[Investor ID]])</f>
        <v>0</v>
      </c>
    </row>
    <row r="1380" spans="1:23">
      <c r="A1380" s="101">
        <v>2025</v>
      </c>
      <c r="B1380" s="101">
        <v>11</v>
      </c>
      <c r="C1380" s="101">
        <v>30</v>
      </c>
      <c r="D1380" s="98">
        <f>DATE(LS[[#This Row],[Year]],LS[[#This Row],[Month]],LS[[#This Row],[Day]])</f>
        <v>45991</v>
      </c>
      <c r="E1380" s="99" t="str" cm="1">
        <f t="array" ref="E1380">INDEX(INVESTORS_LIST[INVESTOR NAME],MATCH(LS[[#This Row],[Investor ID]],INVESTORS_LIST[INVESTOR CODE],0),)</f>
        <v>KAZI MINUDDIN MAMUN</v>
      </c>
      <c r="F1380" s="100" t="s">
        <v>1137</v>
      </c>
      <c r="G1380" s="101">
        <f>COUNTIF(LS[[#Headers],[Investor ID]]:LS[[#This Row],[Investor ID]],LS[[#This Row],[Investor ID]])</f>
        <v>3</v>
      </c>
      <c r="H1380" s="101" t="str">
        <f>CONCATENATE(LS[[#This Row],[Frequency]],LS[[#This Row],[Investor ID]])</f>
        <v>3A00544</v>
      </c>
      <c r="I1380" s="75" t="str">
        <f>IF(LS[[#This Row],[B/S]]="B","BUY",(IF(LS[[#This Row],[B/S]]="S","SELL"," ")))</f>
        <v>SELL</v>
      </c>
      <c r="J1380" s="101" t="s">
        <v>1231</v>
      </c>
      <c r="K1380" s="102">
        <v>-750000</v>
      </c>
      <c r="L1380" s="99"/>
      <c r="M1380" s="103">
        <f>LS[[#This Row],[Amount]]/LS[[#This Row],[Unit]]</f>
        <v>13.76601446349253</v>
      </c>
      <c r="N1380" s="104">
        <f>LS[[#This Row],[Unit Capital]]/10</f>
        <v>-54482</v>
      </c>
      <c r="O1380" s="104">
        <f>SUMIFS(LS[[#Headers],[Unit]]:LS[[#This Row],[Unit]],LS[[#Headers],[Investor ID]]:LS[[#This Row],[Investor ID]],LS[[#This Row],[Investor ID]])</f>
        <v>215625</v>
      </c>
      <c r="P1380" s="102">
        <v>-544820</v>
      </c>
      <c r="Q1380" s="102">
        <f>LS[[#This Row],[Amount]]-LS[[#This Row],[Unit Capital]]</f>
        <v>-205180</v>
      </c>
      <c r="R13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11.106709563247158</v>
      </c>
      <c r="S1380" s="103">
        <f t="shared" si="29"/>
        <v>14.224</v>
      </c>
      <c r="T1380" s="102">
        <f>IF(LS[[#This Row],[B/S]]="B",0,ABS(LS[[#This Row],[Unit]])*(LS[[#This Row],[NAV (Strike Rate)]]-INDEX(LS[NAV at Cost (Average)],MATCH(CONCATENATE(LS[[#This Row],[Frequency]]-1,LS[[#This Row],[Investor ID]]),LS[Unique Code],0),)))</f>
        <v>144884.24957516836</v>
      </c>
      <c r="U1380" s="102" cm="1">
        <f t="array" ref="U1380">IF(LS[[#This Row],[B/S]]="S",ABS(LS[[#This Row],[Unit]])*(INDEX(LS[NAV at Cost (Average)],MATCH(CONCATENATE((LS[[#This Row],[Frequency]]-1),LS[[#This Row],[Investor ID]]),LS[Unique Code],0),0)),0)</f>
        <v>605115.75042483164</v>
      </c>
      <c r="V1380" s="102">
        <f>IF(LS[[#This Row],[BO TRANSFER]]="YES",LS[[#This Row],[Unit]],)</f>
        <v>0</v>
      </c>
      <c r="W1380" s="102">
        <f>SUMIFS(LS[[#Headers],[BO UNIT TRANSFER]]:LS[[#This Row],[BO UNIT TRANSFER]],LS[[#Headers],[Investor ID]]:LS[[#This Row],[Investor ID]],LS[[#This Row],[Investor ID]])</f>
        <v>0</v>
      </c>
    </row>
    <row r="1381" spans="1:23">
      <c r="A1381" s="101">
        <v>2025</v>
      </c>
      <c r="B1381" s="101">
        <v>11</v>
      </c>
      <c r="C1381" s="101">
        <v>30</v>
      </c>
      <c r="D1381" s="98">
        <f>DATE(LS[[#This Row],[Year]],LS[[#This Row],[Month]],LS[[#This Row],[Day]])</f>
        <v>45991</v>
      </c>
      <c r="E1381" s="99" t="str" cm="1">
        <f t="array" ref="E1381">INDEX(INVESTORS_LIST[INVESTOR NAME],MATCH(LS[[#This Row],[Investor ID]],INVESTORS_LIST[INVESTOR CODE],0),)</f>
        <v>MD JAHANGIR ALAM</v>
      </c>
      <c r="F1381" s="100" t="s">
        <v>1467</v>
      </c>
      <c r="G1381" s="101">
        <f>COUNTIF(LS[[#Headers],[Investor ID]]:LS[[#This Row],[Investor ID]],LS[[#This Row],[Investor ID]])</f>
        <v>1</v>
      </c>
      <c r="H1381" s="101" t="str">
        <f>CONCATENATE(LS[[#This Row],[Frequency]],LS[[#This Row],[Investor ID]])</f>
        <v>1A00677</v>
      </c>
      <c r="I1381" s="75" t="str">
        <f>IF(LS[[#This Row],[B/S]]="B","BUY",(IF(LS[[#This Row],[B/S]]="S","SELL"," ")))</f>
        <v>BUY</v>
      </c>
      <c r="J1381" s="101" t="s">
        <v>1229</v>
      </c>
      <c r="K1381" s="102">
        <v>1000000</v>
      </c>
      <c r="L1381" s="99"/>
      <c r="M1381" s="103">
        <f>LS[[#This Row],[Amount]]/LS[[#This Row],[Unit]]</f>
        <v>13.720055977828389</v>
      </c>
      <c r="N1381" s="104">
        <f>LS[[#This Row],[Unit Capital]]/10</f>
        <v>72886</v>
      </c>
      <c r="O1381" s="104">
        <f>SUMIFS(LS[[#Headers],[Unit]]:LS[[#This Row],[Unit]],LS[[#Headers],[Investor ID]]:LS[[#This Row],[Investor ID]],LS[[#This Row],[Investor ID]])</f>
        <v>72886</v>
      </c>
      <c r="P1381" s="102">
        <v>728860</v>
      </c>
      <c r="Q1381" s="102">
        <f>LS[[#This Row],[Amount]]-LS[[#This Row],[Unit Capital]]</f>
        <v>271140</v>
      </c>
      <c r="R138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13.720055977828389</v>
      </c>
      <c r="S1381" s="103">
        <f t="shared" si="29"/>
        <v>14.224</v>
      </c>
      <c r="T138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81" s="102" cm="1">
        <f t="array" ref="U1381">IF(LS[[#This Row],[B/S]]="S",ABS(LS[[#This Row],[Unit]])*(INDEX(LS[NAV at Cost (Average)],MATCH(CONCATENATE((LS[[#This Row],[Frequency]]-1),LS[[#This Row],[Investor ID]]),LS[Unique Code],0),0)),0)</f>
        <v>0</v>
      </c>
      <c r="V1381" s="102">
        <f>IF(LS[[#This Row],[BO TRANSFER]]="YES",LS[[#This Row],[Unit]],)</f>
        <v>0</v>
      </c>
      <c r="W1381" s="102">
        <f>SUMIFS(LS[[#Headers],[BO UNIT TRANSFER]]:LS[[#This Row],[BO UNIT TRANSFER]],LS[[#Headers],[Investor ID]]:LS[[#This Row],[Investor ID]],LS[[#This Row],[Investor ID]])</f>
        <v>0</v>
      </c>
    </row>
    <row r="1382" spans="1:23">
      <c r="A1382" s="101">
        <v>2025</v>
      </c>
      <c r="B1382" s="101">
        <v>12</v>
      </c>
      <c r="C1382" s="101">
        <v>1</v>
      </c>
      <c r="D1382" s="98">
        <f>DATE(LS[[#This Row],[Year]],LS[[#This Row],[Month]],LS[[#This Row],[Day]])</f>
        <v>45992</v>
      </c>
      <c r="E1382" s="99" t="str" cm="1">
        <f t="array" ref="E1382">INDEX(INVESTORS_LIST[INVESTOR NAME],MATCH(LS[[#This Row],[Investor ID]],INVESTORS_LIST[INVESTOR CODE],0),)</f>
        <v>MST. GOLENUR</v>
      </c>
      <c r="F1382" s="100" t="s">
        <v>1075</v>
      </c>
      <c r="G1382" s="101">
        <f>COUNTIF(LS[[#Headers],[Investor ID]]:LS[[#This Row],[Investor ID]],LS[[#This Row],[Investor ID]])</f>
        <v>14</v>
      </c>
      <c r="H1382" s="101" t="str">
        <f>CONCATENATE(LS[[#This Row],[Frequency]],LS[[#This Row],[Investor ID]])</f>
        <v>14A00515</v>
      </c>
      <c r="I1382" s="75" t="str">
        <f>IF(LS[[#This Row],[B/S]]="B","BUY",(IF(LS[[#This Row],[B/S]]="S","SELL"," ")))</f>
        <v>SELL</v>
      </c>
      <c r="J1382" s="101" t="s">
        <v>1231</v>
      </c>
      <c r="K1382" s="102">
        <v>-40000</v>
      </c>
      <c r="L1382" s="99"/>
      <c r="M1382" s="103">
        <f>LS[[#This Row],[Amount]]/LS[[#This Row],[Unit]]</f>
        <v>13.764624913971094</v>
      </c>
      <c r="N1382" s="104">
        <f>LS[[#This Row],[Unit Capital]]/10</f>
        <v>-2906</v>
      </c>
      <c r="O1382" s="104">
        <f>SUMIFS(LS[[#Headers],[Unit]]:LS[[#This Row],[Unit]],LS[[#Headers],[Investor ID]]:LS[[#This Row],[Investor ID]],LS[[#This Row],[Investor ID]])</f>
        <v>1534</v>
      </c>
      <c r="P1382" s="102">
        <v>-29060</v>
      </c>
      <c r="Q1382" s="102">
        <f>LS[[#This Row],[Amount]]-LS[[#This Row],[Unit Capital]]</f>
        <v>-10940</v>
      </c>
      <c r="R13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12.162162162162161</v>
      </c>
      <c r="S1382" s="103">
        <f t="shared" si="29"/>
        <v>14.224</v>
      </c>
      <c r="T1382" s="102">
        <f>IF(LS[[#This Row],[B/S]]="B",0,ABS(LS[[#This Row],[Unit]])*(LS[[#This Row],[NAV (Strike Rate)]]-INDEX(LS[NAV at Cost (Average)],MATCH(CONCATENATE(LS[[#This Row],[Frequency]]-1,LS[[#This Row],[Investor ID]]),LS[Unique Code],0),)))</f>
        <v>4656.7567567567576</v>
      </c>
      <c r="U1382" s="102" cm="1">
        <f t="array" ref="U1382">IF(LS[[#This Row],[B/S]]="S",ABS(LS[[#This Row],[Unit]])*(INDEX(LS[NAV at Cost (Average)],MATCH(CONCATENATE((LS[[#This Row],[Frequency]]-1),LS[[#This Row],[Investor ID]]),LS[Unique Code],0),0)),0)</f>
        <v>35343.24324324324</v>
      </c>
      <c r="V1382" s="102">
        <f>IF(LS[[#This Row],[BO TRANSFER]]="YES",LS[[#This Row],[Unit]],)</f>
        <v>0</v>
      </c>
      <c r="W1382" s="102">
        <f>SUMIFS(LS[[#Headers],[BO UNIT TRANSFER]]:LS[[#This Row],[BO UNIT TRANSFER]],LS[[#Headers],[Investor ID]]:LS[[#This Row],[Investor ID]],LS[[#This Row],[Investor ID]])</f>
        <v>0</v>
      </c>
    </row>
    <row r="1383" spans="1:23">
      <c r="A1383" s="101">
        <v>2025</v>
      </c>
      <c r="B1383" s="101">
        <v>12</v>
      </c>
      <c r="C1383" s="101">
        <v>1</v>
      </c>
      <c r="D1383" s="98">
        <f>DATE(LS[[#This Row],[Year]],LS[[#This Row],[Month]],LS[[#This Row],[Day]])</f>
        <v>45992</v>
      </c>
      <c r="E1383" s="99" t="str" cm="1">
        <f t="array" ref="E1383">INDEX(INVESTORS_LIST[INVESTOR NAME],MATCH(LS[[#This Row],[Investor ID]],INVESTORS_LIST[INVESTOR CODE],0),)</f>
        <v>ROBIUL KHAN</v>
      </c>
      <c r="F1383" s="100" t="s">
        <v>1308</v>
      </c>
      <c r="G1383" s="101">
        <f>COUNTIF(LS[[#Headers],[Investor ID]]:LS[[#This Row],[Investor ID]],LS[[#This Row],[Investor ID]])</f>
        <v>2</v>
      </c>
      <c r="H1383" s="101" t="str">
        <f>CONCATENATE(LS[[#This Row],[Frequency]],LS[[#This Row],[Investor ID]])</f>
        <v>2A00603</v>
      </c>
      <c r="I1383" s="75" t="str">
        <f>IF(LS[[#This Row],[B/S]]="B","BUY",(IF(LS[[#This Row],[B/S]]="S","SELL"," ")))</f>
        <v>SELL</v>
      </c>
      <c r="J1383" s="101" t="s">
        <v>1231</v>
      </c>
      <c r="K1383" s="102">
        <v>-222637.52</v>
      </c>
      <c r="L1383" s="99"/>
      <c r="M1383" s="103">
        <f>LS[[#This Row],[Amount]]/LS[[#This Row],[Unit]]</f>
        <v>13.766000123662895</v>
      </c>
      <c r="N1383" s="104">
        <f>LS[[#This Row],[Unit Capital]]/10</f>
        <v>-16173</v>
      </c>
      <c r="O1383" s="104">
        <f>SUMIFS(LS[[#Headers],[Unit]]:LS[[#This Row],[Unit]],LS[[#Headers],[Investor ID]]:LS[[#This Row],[Investor ID]],LS[[#This Row],[Investor ID]])</f>
        <v>0</v>
      </c>
      <c r="P1383" s="102">
        <v>-161730</v>
      </c>
      <c r="Q1383" s="102">
        <f>LS[[#This Row],[Amount]]-LS[[#This Row],[Unit Capital]]</f>
        <v>-60907.51999999999</v>
      </c>
      <c r="R13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83" s="103">
        <f t="shared" si="29"/>
        <v>14.224</v>
      </c>
      <c r="T1383" s="102">
        <f>IF(LS[[#This Row],[B/S]]="B",0,ABS(LS[[#This Row],[Unit]])*(LS[[#This Row],[NAV (Strike Rate)]]-INDEX(LS[NAV at Cost (Average)],MATCH(CONCATENATE(LS[[#This Row],[Frequency]]-1,LS[[#This Row],[Investor ID]]),LS[Unique Code],0),)))</f>
        <v>22637.519999999997</v>
      </c>
      <c r="U1383" s="102" cm="1">
        <f t="array" ref="U1383">IF(LS[[#This Row],[B/S]]="S",ABS(LS[[#This Row],[Unit]])*(INDEX(LS[NAV at Cost (Average)],MATCH(CONCATENATE((LS[[#This Row],[Frequency]]-1),LS[[#This Row],[Investor ID]]),LS[Unique Code],0),0)),0)</f>
        <v>200000</v>
      </c>
      <c r="V1383" s="102">
        <f>IF(LS[[#This Row],[BO TRANSFER]]="YES",LS[[#This Row],[Unit]],)</f>
        <v>0</v>
      </c>
      <c r="W1383" s="102">
        <f>SUMIFS(LS[[#Headers],[BO UNIT TRANSFER]]:LS[[#This Row],[BO UNIT TRANSFER]],LS[[#Headers],[Investor ID]]:LS[[#This Row],[Investor ID]],LS[[#This Row],[Investor ID]])</f>
        <v>0</v>
      </c>
    </row>
    <row r="1384" spans="1:23">
      <c r="A1384" s="101">
        <v>2025</v>
      </c>
      <c r="B1384" s="101">
        <v>12</v>
      </c>
      <c r="C1384" s="101">
        <v>3</v>
      </c>
      <c r="D1384" s="98">
        <f>DATE(LS[[#This Row],[Year]],LS[[#This Row],[Month]],LS[[#This Row],[Day]])</f>
        <v>45994</v>
      </c>
      <c r="E1384" s="99" t="str" cm="1">
        <f t="array" ref="E1384">INDEX(INVESTORS_LIST[INVESTOR NAME],MATCH(LS[[#This Row],[Investor ID]],INVESTORS_LIST[INVESTOR CODE],0),)</f>
        <v>MD JAHANGIR ALAM</v>
      </c>
      <c r="F1384" s="100" t="s">
        <v>1467</v>
      </c>
      <c r="G1384" s="101">
        <f>COUNTIF(LS[[#Headers],[Investor ID]]:LS[[#This Row],[Investor ID]],LS[[#This Row],[Investor ID]])</f>
        <v>2</v>
      </c>
      <c r="H1384" s="101" t="str">
        <f>CONCATENATE(LS[[#This Row],[Frequency]],LS[[#This Row],[Investor ID]])</f>
        <v>2A00677</v>
      </c>
      <c r="I1384" s="75" t="str">
        <f>IF(LS[[#This Row],[B/S]]="B","BUY",(IF(LS[[#This Row],[B/S]]="S","SELL"," ")))</f>
        <v>BUY</v>
      </c>
      <c r="J1384" s="101" t="s">
        <v>1229</v>
      </c>
      <c r="K1384" s="102">
        <v>500000</v>
      </c>
      <c r="L1384" s="99"/>
      <c r="M1384" s="103">
        <f>LS[[#This Row],[Amount]]/LS[[#This Row],[Unit]]</f>
        <v>13.720055977828389</v>
      </c>
      <c r="N1384" s="104">
        <f>LS[[#This Row],[Unit Capital]]/10</f>
        <v>36443</v>
      </c>
      <c r="O1384" s="104">
        <f>SUMIFS(LS[[#Headers],[Unit]]:LS[[#This Row],[Unit]],LS[[#Headers],[Investor ID]]:LS[[#This Row],[Investor ID]],LS[[#This Row],[Investor ID]])</f>
        <v>109329</v>
      </c>
      <c r="P1384" s="102">
        <v>364430</v>
      </c>
      <c r="Q1384" s="102">
        <f>LS[[#This Row],[Amount]]-LS[[#This Row],[Unit Capital]]</f>
        <v>135570</v>
      </c>
      <c r="R13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13.720055977828387</v>
      </c>
      <c r="S1384" s="103">
        <f t="shared" ref="S1384:S1390" si="30">IFERROR(NAV_MKT,0)</f>
        <v>14.224</v>
      </c>
      <c r="T138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84" s="102" cm="1">
        <f t="array" ref="U1384">IF(LS[[#This Row],[B/S]]="S",ABS(LS[[#This Row],[Unit]])*(INDEX(LS[NAV at Cost (Average)],MATCH(CONCATENATE((LS[[#This Row],[Frequency]]-1),LS[[#This Row],[Investor ID]]),LS[Unique Code],0),0)),0)</f>
        <v>0</v>
      </c>
      <c r="V1384" s="102">
        <f>IF(LS[[#This Row],[BO TRANSFER]]="YES",LS[[#This Row],[Unit]],)</f>
        <v>0</v>
      </c>
      <c r="W1384" s="102">
        <f>SUMIFS(LS[[#Headers],[BO UNIT TRANSFER]]:LS[[#This Row],[BO UNIT TRANSFER]],LS[[#Headers],[Investor ID]]:LS[[#This Row],[Investor ID]],LS[[#This Row],[Investor ID]])</f>
        <v>0</v>
      </c>
    </row>
    <row r="1385" spans="1:23">
      <c r="A1385" s="101">
        <v>2025</v>
      </c>
      <c r="B1385" s="101">
        <v>12</v>
      </c>
      <c r="C1385" s="101">
        <v>4</v>
      </c>
      <c r="D1385" s="98">
        <f>DATE(LS[[#This Row],[Year]],LS[[#This Row],[Month]],LS[[#This Row],[Day]])</f>
        <v>45995</v>
      </c>
      <c r="E1385" s="99" t="str" cm="1">
        <f t="array" ref="E1385">INDEX(INVESTORS_LIST[INVESTOR NAME],MATCH(LS[[#This Row],[Investor ID]],INVESTORS_LIST[INVESTOR CODE],0),)</f>
        <v>MD MEHEDI HASAN</v>
      </c>
      <c r="F1385" s="100" t="s">
        <v>1460</v>
      </c>
      <c r="G1385" s="101">
        <f>COUNTIF(LS[[#Headers],[Investor ID]]:LS[[#This Row],[Investor ID]],LS[[#This Row],[Investor ID]])</f>
        <v>3</v>
      </c>
      <c r="H1385" s="101" t="str">
        <f>CONCATENATE(LS[[#This Row],[Frequency]],LS[[#This Row],[Investor ID]])</f>
        <v>3A00675</v>
      </c>
      <c r="I1385" s="75" t="str">
        <f>IF(LS[[#This Row],[B/S]]="B","BUY",(IF(LS[[#This Row],[B/S]]="S","SELL"," ")))</f>
        <v>BUY</v>
      </c>
      <c r="J1385" s="101" t="s">
        <v>1229</v>
      </c>
      <c r="K1385" s="102">
        <v>57006</v>
      </c>
      <c r="L1385" s="99" t="s">
        <v>1230</v>
      </c>
      <c r="M1385" s="103">
        <f>LS[[#This Row],[Amount]]/LS[[#This Row],[Unit]]</f>
        <v>13.76624003863801</v>
      </c>
      <c r="N1385" s="104">
        <f>LS[[#This Row],[Unit Capital]]/10</f>
        <v>4141</v>
      </c>
      <c r="O1385" s="104">
        <f>SUMIFS(LS[[#Headers],[Unit]]:LS[[#This Row],[Unit]],LS[[#Headers],[Investor ID]]:LS[[#This Row],[Investor ID]],LS[[#This Row],[Investor ID]])</f>
        <v>26856</v>
      </c>
      <c r="P1385" s="102">
        <v>41410</v>
      </c>
      <c r="Q1385" s="102">
        <f>LS[[#This Row],[Amount]]-LS[[#This Row],[Unit Capital]]</f>
        <v>15596</v>
      </c>
      <c r="R13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13.777405421507297</v>
      </c>
      <c r="S1385" s="103">
        <f t="shared" si="30"/>
        <v>14.224</v>
      </c>
      <c r="T138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85" s="102" cm="1">
        <f t="array" ref="U1385">IF(LS[[#This Row],[B/S]]="S",ABS(LS[[#This Row],[Unit]])*(INDEX(LS[NAV at Cost (Average)],MATCH(CONCATENATE((LS[[#This Row],[Frequency]]-1),LS[[#This Row],[Investor ID]]),LS[Unique Code],0),0)),0)</f>
        <v>0</v>
      </c>
      <c r="V1385" s="102">
        <f>IF(LS[[#This Row],[BO TRANSFER]]="YES",LS[[#This Row],[Unit]],)</f>
        <v>4141</v>
      </c>
      <c r="W1385" s="102">
        <f>SUMIFS(LS[[#Headers],[BO UNIT TRANSFER]]:LS[[#This Row],[BO UNIT TRANSFER]],LS[[#Headers],[Investor ID]]:LS[[#This Row],[Investor ID]],LS[[#This Row],[Investor ID]])</f>
        <v>26856</v>
      </c>
    </row>
    <row r="1386" spans="1:23">
      <c r="A1386" s="101">
        <v>2025</v>
      </c>
      <c r="B1386" s="101">
        <v>12</v>
      </c>
      <c r="C1386" s="101">
        <v>4</v>
      </c>
      <c r="D1386" s="98">
        <f>DATE(LS[[#This Row],[Year]],LS[[#This Row],[Month]],LS[[#This Row],[Day]])</f>
        <v>45995</v>
      </c>
      <c r="E1386" s="99" t="str" cm="1">
        <f t="array" ref="E1386">INDEX(INVESTORS_LIST[INVESTOR NAME],MATCH(LS[[#This Row],[Investor ID]],INVESTORS_LIST[INVESTOR CODE],0),)</f>
        <v>MAYA RANI SAHA</v>
      </c>
      <c r="F1386" s="100" t="s">
        <v>224</v>
      </c>
      <c r="G1386" s="101">
        <f>COUNTIF(LS[[#Headers],[Investor ID]]:LS[[#This Row],[Investor ID]],LS[[#This Row],[Investor ID]])</f>
        <v>29</v>
      </c>
      <c r="H1386" s="101" t="str">
        <f>CONCATENATE(LS[[#This Row],[Frequency]],LS[[#This Row],[Investor ID]])</f>
        <v>29A00088</v>
      </c>
      <c r="I1386" s="75" t="str">
        <f>IF(LS[[#This Row],[B/S]]="B","BUY",(IF(LS[[#This Row],[B/S]]="S","SELL"," ")))</f>
        <v>BUY</v>
      </c>
      <c r="J1386" s="101" t="s">
        <v>1229</v>
      </c>
      <c r="K1386" s="102">
        <v>30000</v>
      </c>
      <c r="L1386" s="99"/>
      <c r="M1386" s="103">
        <f>LS[[#This Row],[Amount]]/LS[[#This Row],[Unit]]</f>
        <v>13.767783386874713</v>
      </c>
      <c r="N1386" s="104">
        <f>LS[[#This Row],[Unit Capital]]/10</f>
        <v>2179</v>
      </c>
      <c r="O1386" s="104">
        <f>SUMIFS(LS[[#Headers],[Unit]]:LS[[#This Row],[Unit]],LS[[#Headers],[Investor ID]]:LS[[#This Row],[Investor ID]],LS[[#This Row],[Investor ID]])</f>
        <v>852470</v>
      </c>
      <c r="P1386" s="102">
        <v>21790</v>
      </c>
      <c r="Q1386" s="102">
        <f>LS[[#This Row],[Amount]]-LS[[#This Row],[Unit Capital]]</f>
        <v>8210</v>
      </c>
      <c r="R13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11.981894183322876</v>
      </c>
      <c r="S1386" s="103">
        <f t="shared" si="30"/>
        <v>14.224</v>
      </c>
      <c r="T138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86" s="102" cm="1">
        <f t="array" ref="U1386">IF(LS[[#This Row],[B/S]]="S",ABS(LS[[#This Row],[Unit]])*(INDEX(LS[NAV at Cost (Average)],MATCH(CONCATENATE((LS[[#This Row],[Frequency]]-1),LS[[#This Row],[Investor ID]]),LS[Unique Code],0),0)),0)</f>
        <v>0</v>
      </c>
      <c r="V1386" s="102">
        <f>IF(LS[[#This Row],[BO TRANSFER]]="YES",LS[[#This Row],[Unit]],)</f>
        <v>0</v>
      </c>
      <c r="W1386" s="102">
        <f>SUMIFS(LS[[#Headers],[BO UNIT TRANSFER]]:LS[[#This Row],[BO UNIT TRANSFER]],LS[[#Headers],[Investor ID]]:LS[[#This Row],[Investor ID]],LS[[#This Row],[Investor ID]])</f>
        <v>0</v>
      </c>
    </row>
    <row r="1387" spans="1:23">
      <c r="A1387" s="101">
        <v>2025</v>
      </c>
      <c r="B1387" s="101">
        <v>12</v>
      </c>
      <c r="C1387" s="101">
        <v>8</v>
      </c>
      <c r="D1387" s="98">
        <f>DATE(LS[[#This Row],[Year]],LS[[#This Row],[Month]],LS[[#This Row],[Day]])</f>
        <v>45999</v>
      </c>
      <c r="E1387" s="99" t="str" cm="1">
        <f t="array" ref="E1387">INDEX(INVESTORS_LIST[INVESTOR NAME],MATCH(LS[[#This Row],[Investor ID]],INVESTORS_LIST[INVESTOR CODE],0),)</f>
        <v>SYEDUL TANVIR HOQUE PRIYAM</v>
      </c>
      <c r="F1387" s="224" t="s">
        <v>1424</v>
      </c>
      <c r="G1387" s="101">
        <f>COUNTIF(LS[[#Headers],[Investor ID]]:LS[[#This Row],[Investor ID]],LS[[#This Row],[Investor ID]])</f>
        <v>9</v>
      </c>
      <c r="H1387" s="101" t="str">
        <f>CONCATENATE(LS[[#This Row],[Frequency]],LS[[#This Row],[Investor ID]])</f>
        <v>9A00656</v>
      </c>
      <c r="I1387" s="75" t="str">
        <f>IF(LS[[#This Row],[B/S]]="B","BUY",(IF(LS[[#This Row],[B/S]]="S","SELL"," ")))</f>
        <v>SELL</v>
      </c>
      <c r="J1387" s="101" t="s">
        <v>1231</v>
      </c>
      <c r="K1387" s="102">
        <v>-9403.42</v>
      </c>
      <c r="L1387" s="99"/>
      <c r="M1387" s="103">
        <f>LS[[#This Row],[Amount]]/LS[[#This Row],[Unit]]</f>
        <v>13.767818448023426</v>
      </c>
      <c r="N1387" s="104">
        <f>LS[[#This Row],[Unit Capital]]/10</f>
        <v>-683</v>
      </c>
      <c r="O1387" s="104">
        <f>SUMIFS(LS[[#Headers],[Unit]]:LS[[#This Row],[Unit]],LS[[#Headers],[Investor ID]]:LS[[#This Row],[Investor ID]],LS[[#This Row],[Investor ID]])</f>
        <v>87165</v>
      </c>
      <c r="P1387" s="102">
        <v>-6830</v>
      </c>
      <c r="Q1387" s="102">
        <f>LS[[#This Row],[Amount]]-LS[[#This Row],[Unit Capital]]</f>
        <v>-2573.42</v>
      </c>
      <c r="R13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387" s="103">
        <f t="shared" si="30"/>
        <v>14.224</v>
      </c>
      <c r="T1387" s="102">
        <f>IF(LS[[#This Row],[B/S]]="B",0,ABS(LS[[#This Row],[Unit]])*(LS[[#This Row],[NAV (Strike Rate)]]-INDEX(LS[NAV at Cost (Average)],MATCH(CONCATENATE(LS[[#This Row],[Frequency]]-1,LS[[#This Row],[Investor ID]]),LS[Unique Code],0),)))</f>
        <v>580.43336089171021</v>
      </c>
      <c r="U1387" s="102" cm="1">
        <f t="array" ref="U1387">IF(LS[[#This Row],[B/S]]="S",ABS(LS[[#This Row],[Unit]])*(INDEX(LS[NAV at Cost (Average)],MATCH(CONCATENATE((LS[[#This Row],[Frequency]]-1),LS[[#This Row],[Investor ID]]),LS[Unique Code],0),0)),0)</f>
        <v>8822.9866391082905</v>
      </c>
      <c r="V1387" s="102">
        <f>IF(LS[[#This Row],[BO TRANSFER]]="YES",LS[[#This Row],[Unit]],)</f>
        <v>0</v>
      </c>
      <c r="W1387" s="102">
        <f>SUMIFS(LS[[#Headers],[BO UNIT TRANSFER]]:LS[[#This Row],[BO UNIT TRANSFER]],LS[[#Headers],[Investor ID]]:LS[[#This Row],[Investor ID]],LS[[#This Row],[Investor ID]])</f>
        <v>0</v>
      </c>
    </row>
    <row r="1388" spans="1:23">
      <c r="A1388" s="101">
        <v>2025</v>
      </c>
      <c r="B1388" s="101">
        <v>12</v>
      </c>
      <c r="C1388" s="101">
        <v>8</v>
      </c>
      <c r="D1388" s="98">
        <f>DATE(LS[[#This Row],[Year]],LS[[#This Row],[Month]],LS[[#This Row],[Day]])</f>
        <v>45999</v>
      </c>
      <c r="E1388" s="99" t="str" cm="1">
        <f t="array" ref="E1388">INDEX(INVESTORS_LIST[INVESTOR NAME],MATCH(LS[[#This Row],[Investor ID]],INVESTORS_LIST[INVESTOR CODE],0),)</f>
        <v>AROOBA SAMEERA CHOWDHURY</v>
      </c>
      <c r="F1388" s="97" t="s">
        <v>1418</v>
      </c>
      <c r="G1388" s="101">
        <f>COUNTIF(LS[[#Headers],[Investor ID]]:LS[[#This Row],[Investor ID]],LS[[#This Row],[Investor ID]])</f>
        <v>5</v>
      </c>
      <c r="H1388" s="101" t="str">
        <f>CONCATENATE(LS[[#This Row],[Frequency]],LS[[#This Row],[Investor ID]])</f>
        <v>5A00653</v>
      </c>
      <c r="I1388" s="75" t="str">
        <f>IF(LS[[#This Row],[B/S]]="B","BUY",(IF(LS[[#This Row],[B/S]]="S","SELL"," ")))</f>
        <v>SELL</v>
      </c>
      <c r="J1388" s="101" t="s">
        <v>1231</v>
      </c>
      <c r="K1388" s="102">
        <v>-7000</v>
      </c>
      <c r="L1388" s="99"/>
      <c r="M1388" s="103">
        <f>LS[[#This Row],[Amount]]/LS[[#This Row],[Unit]]</f>
        <v>13.779527559055119</v>
      </c>
      <c r="N1388" s="104">
        <f>LS[[#This Row],[Unit Capital]]/10</f>
        <v>-508</v>
      </c>
      <c r="O1388" s="104">
        <f>SUMIFS(LS[[#Headers],[Unit]]:LS[[#This Row],[Unit]],LS[[#Headers],[Investor ID]]:LS[[#This Row],[Investor ID]],LS[[#This Row],[Investor ID]])</f>
        <v>75731</v>
      </c>
      <c r="P1388" s="102">
        <v>-5080</v>
      </c>
      <c r="Q1388" s="102">
        <f>LS[[#This Row],[Amount]]-LS[[#This Row],[Unit Capital]]</f>
        <v>-1920</v>
      </c>
      <c r="R13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388" s="103">
        <f t="shared" si="30"/>
        <v>14.224</v>
      </c>
      <c r="T1388" s="102">
        <f>IF(LS[[#This Row],[B/S]]="B",0,ABS(LS[[#This Row],[Unit]])*(LS[[#This Row],[NAV (Strike Rate)]]-INDEX(LS[NAV at Cost (Average)],MATCH(CONCATENATE(LS[[#This Row],[Frequency]]-1,LS[[#This Row],[Investor ID]]),LS[Unique Code],0),)))</f>
        <v>470.18522565137499</v>
      </c>
      <c r="U1388" s="102" cm="1">
        <f t="array" ref="U1388">IF(LS[[#This Row],[B/S]]="S",ABS(LS[[#This Row],[Unit]])*(INDEX(LS[NAV at Cost (Average)],MATCH(CONCATENATE((LS[[#This Row],[Frequency]]-1),LS[[#This Row],[Investor ID]]),LS[Unique Code],0),0)),0)</f>
        <v>6529.8147743486252</v>
      </c>
      <c r="V1388" s="102">
        <f>IF(LS[[#This Row],[BO TRANSFER]]="YES",LS[[#This Row],[Unit]],)</f>
        <v>0</v>
      </c>
      <c r="W1388" s="102">
        <f>SUMIFS(LS[[#Headers],[BO UNIT TRANSFER]]:LS[[#This Row],[BO UNIT TRANSFER]],LS[[#Headers],[Investor ID]]:LS[[#This Row],[Investor ID]],LS[[#This Row],[Investor ID]])</f>
        <v>0</v>
      </c>
    </row>
    <row r="1389" spans="1:23">
      <c r="A1389" s="101">
        <v>2025</v>
      </c>
      <c r="B1389" s="101">
        <v>12</v>
      </c>
      <c r="C1389" s="101">
        <v>8</v>
      </c>
      <c r="D1389" s="98">
        <f>DATE(LS[[#This Row],[Year]],LS[[#This Row],[Month]],LS[[#This Row],[Day]])</f>
        <v>45999</v>
      </c>
      <c r="E1389" s="99" t="str" cm="1">
        <f t="array" ref="E1389">INDEX(INVESTORS_LIST[INVESTOR NAME],MATCH(LS[[#This Row],[Investor ID]],INVESTORS_LIST[INVESTOR CODE],0),)</f>
        <v>MD AYNUL HOQUE</v>
      </c>
      <c r="F1389" s="97" t="s">
        <v>1139</v>
      </c>
      <c r="G1389" s="101">
        <f>COUNTIF(LS[[#Headers],[Investor ID]]:LS[[#This Row],[Investor ID]],LS[[#This Row],[Investor ID]])</f>
        <v>9</v>
      </c>
      <c r="H1389" s="101" t="str">
        <f>CONCATENATE(LS[[#This Row],[Frequency]],LS[[#This Row],[Investor ID]])</f>
        <v>9A00545</v>
      </c>
      <c r="I1389" s="75" t="str">
        <f>IF(LS[[#This Row],[B/S]]="B","BUY",(IF(LS[[#This Row],[B/S]]="S","SELL"," ")))</f>
        <v>SELL</v>
      </c>
      <c r="J1389" s="101" t="s">
        <v>1231</v>
      </c>
      <c r="K1389" s="102">
        <v>-70000</v>
      </c>
      <c r="L1389" s="99"/>
      <c r="M1389" s="103">
        <f>LS[[#This Row],[Amount]]/LS[[#This Row],[Unit]]</f>
        <v>13.765978367748279</v>
      </c>
      <c r="N1389" s="104">
        <f>LS[[#This Row],[Unit Capital]]/10</f>
        <v>-5085</v>
      </c>
      <c r="O1389" s="104">
        <f>SUMIFS(LS[[#Headers],[Unit]]:LS[[#This Row],[Unit]],LS[[#Headers],[Investor ID]]:LS[[#This Row],[Investor ID]],LS[[#This Row],[Investor ID]])</f>
        <v>743641</v>
      </c>
      <c r="P1389" s="102">
        <v>-50850</v>
      </c>
      <c r="Q1389" s="102">
        <f>LS[[#This Row],[Amount]]-LS[[#This Row],[Unit Capital]]</f>
        <v>-19150</v>
      </c>
      <c r="R13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389" s="103">
        <f t="shared" si="30"/>
        <v>14.224</v>
      </c>
      <c r="T1389" s="102">
        <f>IF(LS[[#This Row],[B/S]]="B",0,ABS(LS[[#This Row],[Unit]])*(LS[[#This Row],[NAV (Strike Rate)]]-INDEX(LS[NAV at Cost (Average)],MATCH(CONCATENATE(LS[[#This Row],[Frequency]]-1,LS[[#This Row],[Investor ID]]),LS[Unique Code],0),)))</f>
        <v>9851.9219597980627</v>
      </c>
      <c r="U1389" s="102" cm="1">
        <f t="array" ref="U1389">IF(LS[[#This Row],[B/S]]="S",ABS(LS[[#This Row],[Unit]])*(INDEX(LS[NAV at Cost (Average)],MATCH(CONCATENATE((LS[[#This Row],[Frequency]]-1),LS[[#This Row],[Investor ID]]),LS[Unique Code],0),0)),0)</f>
        <v>60148.07804020193</v>
      </c>
      <c r="V1389" s="102">
        <f>IF(LS[[#This Row],[BO TRANSFER]]="YES",LS[[#This Row],[Unit]],)</f>
        <v>0</v>
      </c>
      <c r="W1389" s="102">
        <f>SUMIFS(LS[[#Headers],[BO UNIT TRANSFER]]:LS[[#This Row],[BO UNIT TRANSFER]],LS[[#Headers],[Investor ID]]:LS[[#This Row],[Investor ID]],LS[[#This Row],[Investor ID]])</f>
        <v>0</v>
      </c>
    </row>
    <row r="1390" spans="1:23">
      <c r="A1390" s="101">
        <v>2025</v>
      </c>
      <c r="B1390" s="101">
        <v>12</v>
      </c>
      <c r="C1390" s="101">
        <v>8</v>
      </c>
      <c r="D1390" s="98">
        <f>DATE(LS[[#This Row],[Year]],LS[[#This Row],[Month]],LS[[#This Row],[Day]])</f>
        <v>45999</v>
      </c>
      <c r="E1390" s="99" t="str" cm="1">
        <f t="array" ref="E1390">INDEX(INVESTORS_LIST[INVESTOR NAME],MATCH(LS[[#This Row],[Investor ID]],INVESTORS_LIST[INVESTOR CODE],0),)</f>
        <v>NASREEN BEGUM</v>
      </c>
      <c r="F1390" s="97" t="s">
        <v>1417</v>
      </c>
      <c r="G1390" s="101">
        <f>COUNTIF(LS[[#Headers],[Investor ID]]:LS[[#This Row],[Investor ID]],LS[[#This Row],[Investor ID]])</f>
        <v>5</v>
      </c>
      <c r="H1390" s="101" t="str">
        <f>CONCATENATE(LS[[#This Row],[Frequency]],LS[[#This Row],[Investor ID]])</f>
        <v>5A00652</v>
      </c>
      <c r="I1390" s="75" t="str">
        <f>IF(LS[[#This Row],[B/S]]="B","BUY",(IF(LS[[#This Row],[B/S]]="S","SELL"," ")))</f>
        <v>SELL</v>
      </c>
      <c r="J1390" s="101" t="s">
        <v>1231</v>
      </c>
      <c r="K1390" s="102">
        <v>-10000</v>
      </c>
      <c r="L1390" s="99"/>
      <c r="M1390" s="103">
        <f>LS[[#This Row],[Amount]]/LS[[#This Row],[Unit]]</f>
        <v>13.774104683195592</v>
      </c>
      <c r="N1390" s="104">
        <f>LS[[#This Row],[Unit Capital]]/10</f>
        <v>-726</v>
      </c>
      <c r="O1390" s="104">
        <f>SUMIFS(LS[[#Headers],[Unit]]:LS[[#This Row],[Unit]],LS[[#Headers],[Investor ID]]:LS[[#This Row],[Investor ID]],LS[[#This Row],[Investor ID]])</f>
        <v>111156</v>
      </c>
      <c r="P1390" s="102">
        <v>-7260</v>
      </c>
      <c r="Q1390" s="102">
        <f>LS[[#This Row],[Amount]]-LS[[#This Row],[Unit Capital]]</f>
        <v>-2740</v>
      </c>
      <c r="R13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390" s="103">
        <f t="shared" si="30"/>
        <v>14.224</v>
      </c>
      <c r="T1390" s="102">
        <f>IF(LS[[#This Row],[B/S]]="B",0,ABS(LS[[#This Row],[Unit]])*(LS[[#This Row],[NAV (Strike Rate)]]-INDEX(LS[NAV at Cost (Average)],MATCH(CONCATENATE(LS[[#This Row],[Frequency]]-1,LS[[#This Row],[Investor ID]]),LS[Unique Code],0),)))</f>
        <v>667.9806332747753</v>
      </c>
      <c r="U1390" s="102" cm="1">
        <f t="array" ref="U1390">IF(LS[[#This Row],[B/S]]="S",ABS(LS[[#This Row],[Unit]])*(INDEX(LS[NAV at Cost (Average)],MATCH(CONCATENATE((LS[[#This Row],[Frequency]]-1),LS[[#This Row],[Investor ID]]),LS[Unique Code],0),0)),0)</f>
        <v>9332.0193667252242</v>
      </c>
      <c r="V1390" s="102">
        <f>IF(LS[[#This Row],[BO TRANSFER]]="YES",LS[[#This Row],[Unit]],)</f>
        <v>0</v>
      </c>
      <c r="W1390" s="102">
        <f>SUMIFS(LS[[#Headers],[BO UNIT TRANSFER]]:LS[[#This Row],[BO UNIT TRANSFER]],LS[[#Headers],[Investor ID]]:LS[[#This Row],[Investor ID]],LS[[#This Row],[Investor ID]])</f>
        <v>0</v>
      </c>
    </row>
    <row r="1391" spans="1:23">
      <c r="A1391" s="101">
        <v>2025</v>
      </c>
      <c r="B1391" s="101">
        <v>12</v>
      </c>
      <c r="C1391" s="101">
        <v>9</v>
      </c>
      <c r="D1391" s="98">
        <f>DATE(LS[[#This Row],[Year]],LS[[#This Row],[Month]],LS[[#This Row],[Day]])</f>
        <v>46000</v>
      </c>
      <c r="E1391" s="99" t="str" cm="1">
        <f t="array" ref="E1391">INDEX(INVESTORS_LIST[INVESTOR NAME],MATCH(LS[[#This Row],[Investor ID]],INVESTORS_LIST[INVESTOR CODE],0),)</f>
        <v>KABIR AHMED TALUKDER</v>
      </c>
      <c r="F1391" s="100" t="s">
        <v>411</v>
      </c>
      <c r="G1391" s="101">
        <f>COUNTIF(LS[[#Headers],[Investor ID]]:LS[[#This Row],[Investor ID]],LS[[#This Row],[Investor ID]])</f>
        <v>7</v>
      </c>
      <c r="H1391" s="101" t="str">
        <f>CONCATENATE(LS[[#This Row],[Frequency]],LS[[#This Row],[Investor ID]])</f>
        <v>7A00181</v>
      </c>
      <c r="I1391" s="75" t="str">
        <f>IF(LS[[#This Row],[B/S]]="B","BUY",(IF(LS[[#This Row],[B/S]]="S","SELL"," ")))</f>
        <v>BUY</v>
      </c>
      <c r="J1391" s="101" t="s">
        <v>1229</v>
      </c>
      <c r="K1391" s="102">
        <v>200000</v>
      </c>
      <c r="L1391" s="99"/>
      <c r="M1391" s="103">
        <f>LS[[#This Row],[Amount]]/LS[[#This Row],[Unit]]</f>
        <v>13.767467474358092</v>
      </c>
      <c r="N1391" s="104">
        <f>LS[[#This Row],[Unit Capital]]/10</f>
        <v>14527</v>
      </c>
      <c r="O1391" s="104">
        <f>SUMIFS(LS[[#Headers],[Unit]]:LS[[#This Row],[Unit]],LS[[#Headers],[Investor ID]]:LS[[#This Row],[Investor ID]],LS[[#This Row],[Investor ID]])</f>
        <v>203170</v>
      </c>
      <c r="P1391" s="102">
        <v>145270</v>
      </c>
      <c r="Q1391" s="102">
        <f>LS[[#This Row],[Amount]]-LS[[#This Row],[Unit Capital]]</f>
        <v>54730</v>
      </c>
      <c r="R13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13.412413249987695</v>
      </c>
      <c r="S1391" s="103">
        <f t="shared" ref="S1391:S1396" si="31">IFERROR(NAV_MKT,0)</f>
        <v>14.224</v>
      </c>
      <c r="T139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1" s="102" cm="1">
        <f t="array" ref="U1391">IF(LS[[#This Row],[B/S]]="S",ABS(LS[[#This Row],[Unit]])*(INDEX(LS[NAV at Cost (Average)],MATCH(CONCATENATE((LS[[#This Row],[Frequency]]-1),LS[[#This Row],[Investor ID]]),LS[Unique Code],0),0)),0)</f>
        <v>0</v>
      </c>
      <c r="V1391" s="102">
        <f>IF(LS[[#This Row],[BO TRANSFER]]="YES",LS[[#This Row],[Unit]],)</f>
        <v>0</v>
      </c>
      <c r="W1391" s="102">
        <f>SUMIFS(LS[[#Headers],[BO UNIT TRANSFER]]:LS[[#This Row],[BO UNIT TRANSFER]],LS[[#Headers],[Investor ID]]:LS[[#This Row],[Investor ID]],LS[[#This Row],[Investor ID]])</f>
        <v>0</v>
      </c>
    </row>
    <row r="1392" spans="1:23">
      <c r="A1392" s="101">
        <v>2025</v>
      </c>
      <c r="B1392" s="101">
        <v>12</v>
      </c>
      <c r="C1392" s="101">
        <v>11</v>
      </c>
      <c r="D1392" s="98">
        <f>DATE(LS[[#This Row],[Year]],LS[[#This Row],[Month]],LS[[#This Row],[Day]])</f>
        <v>46002</v>
      </c>
      <c r="E1392" s="99" t="str" cm="1">
        <f t="array" ref="E1392">INDEX(INVESTORS_LIST[INVESTOR NAME],MATCH(LS[[#This Row],[Investor ID]],INVESTORS_LIST[INVESTOR CODE],0),)</f>
        <v>MUHAMMAD TANVIR ARAFAT</v>
      </c>
      <c r="F1392" s="100" t="s">
        <v>441</v>
      </c>
      <c r="G1392" s="101">
        <f>COUNTIF(LS[[#Headers],[Investor ID]]:LS[[#This Row],[Investor ID]],LS[[#This Row],[Investor ID]])</f>
        <v>1</v>
      </c>
      <c r="H1392" s="101" t="str">
        <f>CONCATENATE(LS[[#This Row],[Frequency]],LS[[#This Row],[Investor ID]])</f>
        <v>1A00196</v>
      </c>
      <c r="I1392" s="75" t="str">
        <f>IF(LS[[#This Row],[B/S]]="B","BUY",(IF(LS[[#This Row],[B/S]]="S","SELL"," ")))</f>
        <v>BUY</v>
      </c>
      <c r="J1392" s="101" t="s">
        <v>1229</v>
      </c>
      <c r="K1392" s="102">
        <v>100000</v>
      </c>
      <c r="L1392" s="99"/>
      <c r="M1392" s="103">
        <f>LS[[#This Row],[Amount]]/LS[[#This Row],[Unit]]</f>
        <v>13.743815283122595</v>
      </c>
      <c r="N1392" s="104">
        <f>LS[[#This Row],[Unit Capital]]/10</f>
        <v>7276</v>
      </c>
      <c r="O1392" s="104">
        <f>SUMIFS(LS[[#Headers],[Unit]]:LS[[#This Row],[Unit]],LS[[#Headers],[Investor ID]]:LS[[#This Row],[Investor ID]],LS[[#This Row],[Investor ID]])</f>
        <v>7276</v>
      </c>
      <c r="P1392" s="102">
        <v>72760</v>
      </c>
      <c r="Q1392" s="102">
        <f>LS[[#This Row],[Amount]]-LS[[#This Row],[Unit Capital]]</f>
        <v>27240</v>
      </c>
      <c r="R13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13.743815283122595</v>
      </c>
      <c r="S1392" s="103">
        <f t="shared" si="31"/>
        <v>14.224</v>
      </c>
      <c r="T13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2" s="102" cm="1">
        <f t="array" ref="U1392">IF(LS[[#This Row],[B/S]]="S",ABS(LS[[#This Row],[Unit]])*(INDEX(LS[NAV at Cost (Average)],MATCH(CONCATENATE((LS[[#This Row],[Frequency]]-1),LS[[#This Row],[Investor ID]]),LS[Unique Code],0),0)),0)</f>
        <v>0</v>
      </c>
      <c r="V1392" s="102">
        <f>IF(LS[[#This Row],[BO TRANSFER]]="YES",LS[[#This Row],[Unit]],)</f>
        <v>0</v>
      </c>
      <c r="W1392" s="102">
        <f>SUMIFS(LS[[#Headers],[BO UNIT TRANSFER]]:LS[[#This Row],[BO UNIT TRANSFER]],LS[[#Headers],[Investor ID]]:LS[[#This Row],[Investor ID]],LS[[#This Row],[Investor ID]])</f>
        <v>0</v>
      </c>
    </row>
    <row r="1393" spans="1:23">
      <c r="A1393" s="101">
        <v>2025</v>
      </c>
      <c r="B1393" s="101">
        <v>12</v>
      </c>
      <c r="C1393" s="101">
        <v>14</v>
      </c>
      <c r="D1393" s="98">
        <f>DATE(LS[[#This Row],[Year]],LS[[#This Row],[Month]],LS[[#This Row],[Day]])</f>
        <v>46005</v>
      </c>
      <c r="E1393" s="99" t="str" cm="1">
        <f t="array" ref="E1393">INDEX(INVESTORS_LIST[INVESTOR NAME],MATCH(LS[[#This Row],[Investor ID]],INVESTORS_LIST[INVESTOR CODE],0),)</f>
        <v>ZIA UDDIN</v>
      </c>
      <c r="F1393" s="100" t="s">
        <v>1445</v>
      </c>
      <c r="G1393" s="101">
        <f>COUNTIF(LS[[#Headers],[Investor ID]]:LS[[#This Row],[Investor ID]],LS[[#This Row],[Investor ID]])</f>
        <v>3</v>
      </c>
      <c r="H1393" s="101" t="str">
        <f>CONCATENATE(LS[[#This Row],[Frequency]],LS[[#This Row],[Investor ID]])</f>
        <v>3A00666</v>
      </c>
      <c r="I1393" s="75" t="str">
        <f>IF(LS[[#This Row],[B/S]]="B","BUY",(IF(LS[[#This Row],[B/S]]="S","SELL"," ")))</f>
        <v>SELL</v>
      </c>
      <c r="J1393" s="101" t="s">
        <v>1231</v>
      </c>
      <c r="K1393" s="102">
        <v>-1999822.56</v>
      </c>
      <c r="L1393" s="99"/>
      <c r="M1393" s="103">
        <f>LS[[#This Row],[Amount]]/LS[[#This Row],[Unit]]</f>
        <v>13.767383276652577</v>
      </c>
      <c r="N1393" s="104">
        <f>LS[[#This Row],[Unit Capital]]/10</f>
        <v>-145258</v>
      </c>
      <c r="O1393" s="104">
        <f>SUMIFS(LS[[#Headers],[Unit]]:LS[[#This Row],[Unit]],LS[[#Headers],[Investor ID]]:LS[[#This Row],[Investor ID]],LS[[#This Row],[Investor ID]])</f>
        <v>363</v>
      </c>
      <c r="P1393" s="102">
        <v>-1452580</v>
      </c>
      <c r="Q1393" s="102">
        <f>LS[[#This Row],[Amount]]-LS[[#This Row],[Unit Capital]]</f>
        <v>-547242.56000000006</v>
      </c>
      <c r="R13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13.73428283008632</v>
      </c>
      <c r="S1393" s="103">
        <f t="shared" si="31"/>
        <v>14.224</v>
      </c>
      <c r="T1393" s="102">
        <f>IF(LS[[#This Row],[B/S]]="B",0,ABS(LS[[#This Row],[Unit]])*(LS[[#This Row],[NAV (Strike Rate)]]-INDEX(LS[NAV at Cost (Average)],MATCH(CONCATENATE(LS[[#This Row],[Frequency]]-1,LS[[#This Row],[Investor ID]]),LS[Unique Code],0),)))</f>
        <v>4808.1046673213577</v>
      </c>
      <c r="U1393" s="102" cm="1">
        <f t="array" ref="U1393">IF(LS[[#This Row],[B/S]]="S",ABS(LS[[#This Row],[Unit]])*(INDEX(LS[NAV at Cost (Average)],MATCH(CONCATENATE((LS[[#This Row],[Frequency]]-1),LS[[#This Row],[Investor ID]]),LS[Unique Code],0),0)),0)</f>
        <v>1995014.4553326787</v>
      </c>
      <c r="V1393" s="102">
        <f>IF(LS[[#This Row],[BO TRANSFER]]="YES",LS[[#This Row],[Unit]],)</f>
        <v>0</v>
      </c>
      <c r="W1393" s="102">
        <f>SUMIFS(LS[[#Headers],[BO UNIT TRANSFER]]:LS[[#This Row],[BO UNIT TRANSFER]],LS[[#Headers],[Investor ID]]:LS[[#This Row],[Investor ID]],LS[[#This Row],[Investor ID]])</f>
        <v>0</v>
      </c>
    </row>
    <row r="1394" spans="1:23">
      <c r="A1394" s="101">
        <v>2025</v>
      </c>
      <c r="B1394" s="101">
        <v>12</v>
      </c>
      <c r="C1394" s="101">
        <v>14</v>
      </c>
      <c r="D1394" s="98">
        <f>DATE(LS[[#This Row],[Year]],LS[[#This Row],[Month]],LS[[#This Row],[Day]])</f>
        <v>46005</v>
      </c>
      <c r="E1394" s="99" t="str" cm="1">
        <f t="array" ref="E1394">INDEX(INVESTORS_LIST[INVESTOR NAME],MATCH(LS[[#This Row],[Investor ID]],INVESTORS_LIST[INVESTOR CODE],0),)</f>
        <v>MONOARA ALAM</v>
      </c>
      <c r="F1394" s="100" t="s">
        <v>1302</v>
      </c>
      <c r="G1394" s="101">
        <f>COUNTIF(LS[[#Headers],[Investor ID]]:LS[[#This Row],[Investor ID]],LS[[#This Row],[Investor ID]])</f>
        <v>10</v>
      </c>
      <c r="H1394" s="101" t="str">
        <f>CONCATENATE(LS[[#This Row],[Frequency]],LS[[#This Row],[Investor ID]])</f>
        <v>10A00598</v>
      </c>
      <c r="I1394" s="75" t="str">
        <f>IF(LS[[#This Row],[B/S]]="B","BUY",(IF(LS[[#This Row],[B/S]]="S","SELL"," ")))</f>
        <v>BUY</v>
      </c>
      <c r="J1394" s="101" t="s">
        <v>1229</v>
      </c>
      <c r="K1394" s="102">
        <v>100000</v>
      </c>
      <c r="L1394" s="99"/>
      <c r="M1394" s="103">
        <f>LS[[#This Row],[Amount]]/LS[[#This Row],[Unit]]</f>
        <v>13.766519823788546</v>
      </c>
      <c r="N1394" s="104">
        <f>LS[[#This Row],[Unit Capital]]/10</f>
        <v>7264</v>
      </c>
      <c r="O1394" s="104">
        <f>SUMIFS(LS[[#Headers],[Unit]]:LS[[#This Row],[Unit]],LS[[#Headers],[Investor ID]]:LS[[#This Row],[Investor ID]],LS[[#This Row],[Investor ID]])</f>
        <v>51185</v>
      </c>
      <c r="P1394" s="102">
        <v>72640</v>
      </c>
      <c r="Q1394" s="102">
        <f>LS[[#This Row],[Amount]]-LS[[#This Row],[Unit Capital]]</f>
        <v>27360</v>
      </c>
      <c r="R13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12.30767614006381</v>
      </c>
      <c r="S1394" s="103">
        <f t="shared" si="31"/>
        <v>14.224</v>
      </c>
      <c r="T13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4" s="102" cm="1">
        <f t="array" ref="U1394">IF(LS[[#This Row],[B/S]]="S",ABS(LS[[#This Row],[Unit]])*(INDEX(LS[NAV at Cost (Average)],MATCH(CONCATENATE((LS[[#This Row],[Frequency]]-1),LS[[#This Row],[Investor ID]]),LS[Unique Code],0),0)),0)</f>
        <v>0</v>
      </c>
      <c r="V1394" s="102">
        <f>IF(LS[[#This Row],[BO TRANSFER]]="YES",LS[[#This Row],[Unit]],)</f>
        <v>0</v>
      </c>
      <c r="W1394" s="102">
        <f>SUMIFS(LS[[#Headers],[BO UNIT TRANSFER]]:LS[[#This Row],[BO UNIT TRANSFER]],LS[[#Headers],[Investor ID]]:LS[[#This Row],[Investor ID]],LS[[#This Row],[Investor ID]])</f>
        <v>0</v>
      </c>
    </row>
    <row r="1395" spans="1:23">
      <c r="A1395" s="101">
        <v>2025</v>
      </c>
      <c r="B1395" s="101">
        <v>12</v>
      </c>
      <c r="C1395" s="101">
        <v>14</v>
      </c>
      <c r="D1395" s="98">
        <f>DATE(LS[[#This Row],[Year]],LS[[#This Row],[Month]],LS[[#This Row],[Day]])</f>
        <v>46005</v>
      </c>
      <c r="E1395" s="99" t="str" cm="1">
        <f t="array" ref="E1395">INDEX(INVESTORS_LIST[INVESTOR NAME],MATCH(LS[[#This Row],[Investor ID]],INVESTORS_LIST[INVESTOR CODE],0),)</f>
        <v xml:space="preserve">JOBAIDA KHANOM </v>
      </c>
      <c r="F1395" s="100" t="s">
        <v>1309</v>
      </c>
      <c r="G1395" s="101">
        <f>COUNTIF(LS[[#Headers],[Investor ID]]:LS[[#This Row],[Investor ID]],LS[[#This Row],[Investor ID]])</f>
        <v>2</v>
      </c>
      <c r="H1395" s="101" t="str">
        <f>CONCATENATE(LS[[#This Row],[Frequency]],LS[[#This Row],[Investor ID]])</f>
        <v>2A00602</v>
      </c>
      <c r="I1395" s="75" t="str">
        <f>IF(LS[[#This Row],[B/S]]="B","BUY",(IF(LS[[#This Row],[B/S]]="S","SELL"," ")))</f>
        <v>BUY</v>
      </c>
      <c r="J1395" s="101" t="s">
        <v>1229</v>
      </c>
      <c r="K1395" s="102">
        <v>500000</v>
      </c>
      <c r="L1395" s="99" t="s">
        <v>1230</v>
      </c>
      <c r="M1395" s="103">
        <f>LS[[#This Row],[Amount]]/LS[[#This Row],[Unit]]</f>
        <v>13.767277933806927</v>
      </c>
      <c r="N1395" s="104">
        <f>LS[[#This Row],[Unit Capital]]/10</f>
        <v>36318</v>
      </c>
      <c r="O1395" s="104">
        <f>SUMIFS(LS[[#Headers],[Unit]]:LS[[#This Row],[Unit]],LS[[#Headers],[Investor ID]]:LS[[#This Row],[Investor ID]],LS[[#This Row],[Investor ID]])</f>
        <v>238485</v>
      </c>
      <c r="P1395" s="102">
        <v>363180</v>
      </c>
      <c r="Q1395" s="102">
        <f>LS[[#This Row],[Amount]]-LS[[#This Row],[Unit Capital]]</f>
        <v>136820</v>
      </c>
      <c r="R13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12.579407509906282</v>
      </c>
      <c r="S1395" s="103">
        <f t="shared" si="31"/>
        <v>14.224</v>
      </c>
      <c r="T139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5" s="102" cm="1">
        <f t="array" ref="U1395">IF(LS[[#This Row],[B/S]]="S",ABS(LS[[#This Row],[Unit]])*(INDEX(LS[NAV at Cost (Average)],MATCH(CONCATENATE((LS[[#This Row],[Frequency]]-1),LS[[#This Row],[Investor ID]]),LS[Unique Code],0),0)),0)</f>
        <v>0</v>
      </c>
      <c r="V1395" s="102">
        <f>IF(LS[[#This Row],[BO TRANSFER]]="YES",LS[[#This Row],[Unit]],)</f>
        <v>36318</v>
      </c>
      <c r="W1395" s="102">
        <f>SUMIFS(LS[[#Headers],[BO UNIT TRANSFER]]:LS[[#This Row],[BO UNIT TRANSFER]],LS[[#Headers],[Investor ID]]:LS[[#This Row],[Investor ID]],LS[[#This Row],[Investor ID]])</f>
        <v>36318</v>
      </c>
    </row>
    <row r="1396" spans="1:23">
      <c r="A1396" s="101">
        <v>2025</v>
      </c>
      <c r="B1396" s="101">
        <v>12</v>
      </c>
      <c r="C1396" s="101">
        <v>15</v>
      </c>
      <c r="D1396" s="98">
        <f>DATE(LS[[#This Row],[Year]],LS[[#This Row],[Month]],LS[[#This Row],[Day]])</f>
        <v>46006</v>
      </c>
      <c r="E1396" s="99" t="str" cm="1">
        <f t="array" ref="E1396">INDEX(INVESTORS_LIST[INVESTOR NAME],MATCH(LS[[#This Row],[Investor ID]],INVESTORS_LIST[INVESTOR CODE],0),)</f>
        <v>SYEDUL TANVIR HOQUE PRIYAM</v>
      </c>
      <c r="F1396" s="100" t="s">
        <v>1424</v>
      </c>
      <c r="G1396" s="101">
        <f>COUNTIF(LS[[#Headers],[Investor ID]]:LS[[#This Row],[Investor ID]],LS[[#This Row],[Investor ID]])</f>
        <v>10</v>
      </c>
      <c r="H1396" s="101" t="str">
        <f>CONCATENATE(LS[[#This Row],[Frequency]],LS[[#This Row],[Investor ID]])</f>
        <v>10A00656</v>
      </c>
      <c r="I1396" s="75" t="str">
        <f>IF(LS[[#This Row],[B/S]]="B","BUY",(IF(LS[[#This Row],[B/S]]="S","SELL"," ")))</f>
        <v>SELL</v>
      </c>
      <c r="J1396" s="101" t="s">
        <v>1231</v>
      </c>
      <c r="K1396" s="102">
        <v>-500000</v>
      </c>
      <c r="L1396" s="99"/>
      <c r="M1396" s="103">
        <f>LS[[#This Row],[Amount]]/LS[[#This Row],[Unit]]</f>
        <v>13.767277933806927</v>
      </c>
      <c r="N1396" s="104">
        <f>LS[[#This Row],[Unit Capital]]/10</f>
        <v>-36318</v>
      </c>
      <c r="O1396" s="104">
        <f>SUMIFS(LS[[#Headers],[Unit]]:LS[[#This Row],[Unit]],LS[[#Headers],[Investor ID]]:LS[[#This Row],[Investor ID]],LS[[#This Row],[Investor ID]])</f>
        <v>50847</v>
      </c>
      <c r="P1396" s="102">
        <v>-363180</v>
      </c>
      <c r="Q1396" s="102">
        <f>LS[[#This Row],[Amount]]-LS[[#This Row],[Unit Capital]]</f>
        <v>-136820</v>
      </c>
      <c r="R13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396" s="103">
        <f t="shared" si="31"/>
        <v>14.224</v>
      </c>
      <c r="T1396" s="102">
        <f>IF(LS[[#This Row],[B/S]]="B",0,ABS(LS[[#This Row],[Unit]])*(LS[[#This Row],[NAV (Strike Rate)]]-INDEX(LS[NAV at Cost (Average)],MATCH(CONCATENATE(LS[[#This Row],[Frequency]]-1,LS[[#This Row],[Investor ID]]),LS[Unique Code],0),)))</f>
        <v>30844.467409758567</v>
      </c>
      <c r="U1396" s="102" cm="1">
        <f t="array" ref="U1396">IF(LS[[#This Row],[B/S]]="S",ABS(LS[[#This Row],[Unit]])*(INDEX(LS[NAV at Cost (Average)],MATCH(CONCATENATE((LS[[#This Row],[Frequency]]-1),LS[[#This Row],[Investor ID]]),LS[Unique Code],0),0)),0)</f>
        <v>469155.5325902414</v>
      </c>
      <c r="V1396" s="102">
        <f>IF(LS[[#This Row],[BO TRANSFER]]="YES",LS[[#This Row],[Unit]],)</f>
        <v>0</v>
      </c>
      <c r="W1396" s="102">
        <f>SUMIFS(LS[[#Headers],[BO UNIT TRANSFER]]:LS[[#This Row],[BO UNIT TRANSFER]],LS[[#Headers],[Investor ID]]:LS[[#This Row],[Investor ID]],LS[[#This Row],[Investor ID]])</f>
        <v>0</v>
      </c>
    </row>
    <row r="1397" spans="1:23">
      <c r="A1397" s="101">
        <v>2025</v>
      </c>
      <c r="B1397" s="101">
        <v>12</v>
      </c>
      <c r="C1397" s="101">
        <v>15</v>
      </c>
      <c r="D1397" s="98">
        <f>DATE(LS[[#This Row],[Year]],LS[[#This Row],[Month]],LS[[#This Row],[Day]])</f>
        <v>46006</v>
      </c>
      <c r="E1397" s="99" t="str" cm="1">
        <f t="array" ref="E1397">INDEX(INVESTORS_LIST[INVESTOR NAME],MATCH(LS[[#This Row],[Investor ID]],INVESTORS_LIST[INVESTOR CODE],0),)</f>
        <v xml:space="preserve">JOBAIDA KHANOM </v>
      </c>
      <c r="F1397" s="100" t="s">
        <v>1309</v>
      </c>
      <c r="G1397" s="101">
        <f>COUNTIF(LS[[#Headers],[Investor ID]]:LS[[#This Row],[Investor ID]],LS[[#This Row],[Investor ID]])</f>
        <v>3</v>
      </c>
      <c r="H1397" s="101" t="str">
        <f>CONCATENATE(LS[[#This Row],[Frequency]],LS[[#This Row],[Investor ID]])</f>
        <v>3A00602</v>
      </c>
      <c r="I1397" s="75" t="str">
        <f>IF(LS[[#This Row],[B/S]]="B","BUY",(IF(LS[[#This Row],[B/S]]="S","SELL"," ")))</f>
        <v>BUY</v>
      </c>
      <c r="J1397" s="101" t="s">
        <v>1229</v>
      </c>
      <c r="K1397" s="102">
        <v>1000000</v>
      </c>
      <c r="L1397" s="99" t="s">
        <v>1230</v>
      </c>
      <c r="M1397" s="103">
        <f>LS[[#This Row],[Amount]]/LS[[#This Row],[Unit]]</f>
        <v>13.754968982544945</v>
      </c>
      <c r="N1397" s="104">
        <f>LS[[#This Row],[Unit Capital]]/10</f>
        <v>72701</v>
      </c>
      <c r="O1397" s="104">
        <f>SUMIFS(LS[[#Headers],[Unit]]:LS[[#This Row],[Unit]],LS[[#Headers],[Investor ID]]:LS[[#This Row],[Investor ID]],LS[[#This Row],[Investor ID]])</f>
        <v>311186</v>
      </c>
      <c r="P1397" s="102">
        <v>727010</v>
      </c>
      <c r="Q1397" s="102">
        <f>LS[[#This Row],[Amount]]-LS[[#This Row],[Unit Capital]]</f>
        <v>272990</v>
      </c>
      <c r="R13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12.854048703990539</v>
      </c>
      <c r="S1397" s="103">
        <f t="shared" ref="S1397:S1405" si="32">IFERROR(NAV_MKT,0)</f>
        <v>14.224</v>
      </c>
      <c r="T139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7" s="102" cm="1">
        <f t="array" ref="U1397">IF(LS[[#This Row],[B/S]]="S",ABS(LS[[#This Row],[Unit]])*(INDEX(LS[NAV at Cost (Average)],MATCH(CONCATENATE((LS[[#This Row],[Frequency]]-1),LS[[#This Row],[Investor ID]]),LS[Unique Code],0),0)),0)</f>
        <v>0</v>
      </c>
      <c r="V1397" s="102">
        <f>IF(LS[[#This Row],[BO TRANSFER]]="YES",LS[[#This Row],[Unit]],)</f>
        <v>72701</v>
      </c>
      <c r="W1397" s="102">
        <f>SUMIFS(LS[[#Headers],[BO UNIT TRANSFER]]:LS[[#This Row],[BO UNIT TRANSFER]],LS[[#Headers],[Investor ID]]:LS[[#This Row],[Investor ID]],LS[[#This Row],[Investor ID]])</f>
        <v>109019</v>
      </c>
    </row>
    <row r="1398" spans="1:23">
      <c r="A1398" s="101">
        <v>2025</v>
      </c>
      <c r="B1398" s="101">
        <v>12</v>
      </c>
      <c r="C1398" s="101">
        <v>17</v>
      </c>
      <c r="D1398" s="98">
        <f>DATE(LS[[#This Row],[Year]],LS[[#This Row],[Month]],LS[[#This Row],[Day]])</f>
        <v>46008</v>
      </c>
      <c r="E1398" s="99" t="str" cm="1">
        <f t="array" ref="E1398">INDEX(INVESTORS_LIST[INVESTOR NAME],MATCH(LS[[#This Row],[Investor ID]],INVESTORS_LIST[INVESTOR CODE],0),)</f>
        <v>SAKIBUL HUQ</v>
      </c>
      <c r="F1398" s="100" t="s">
        <v>1471</v>
      </c>
      <c r="G1398" s="101">
        <f>COUNTIF(LS[[#Headers],[Investor ID]]:LS[[#This Row],[Investor ID]],LS[[#This Row],[Investor ID]])</f>
        <v>1</v>
      </c>
      <c r="H1398" s="101" t="str">
        <f>CONCATENATE(LS[[#This Row],[Frequency]],LS[[#This Row],[Investor ID]])</f>
        <v>1A00678</v>
      </c>
      <c r="I1398" s="75" t="str">
        <f>IF(LS[[#This Row],[B/S]]="B","BUY",(IF(LS[[#This Row],[B/S]]="S","SELL"," ")))</f>
        <v>BUY</v>
      </c>
      <c r="J1398" s="101" t="s">
        <v>1229</v>
      </c>
      <c r="K1398" s="102">
        <v>300000</v>
      </c>
      <c r="L1398" s="99" t="s">
        <v>1230</v>
      </c>
      <c r="M1398" s="103">
        <f>LS[[#This Row],[Amount]]/LS[[#This Row],[Unit]]</f>
        <v>13.75894331315355</v>
      </c>
      <c r="N1398" s="104">
        <f>LS[[#This Row],[Unit Capital]]/10</f>
        <v>21804</v>
      </c>
      <c r="O1398" s="104">
        <f>SUMIFS(LS[[#Headers],[Unit]]:LS[[#This Row],[Unit]],LS[[#Headers],[Investor ID]]:LS[[#This Row],[Investor ID]],LS[[#This Row],[Investor ID]])</f>
        <v>21804</v>
      </c>
      <c r="P1398" s="102">
        <v>218040</v>
      </c>
      <c r="Q1398" s="102">
        <f>LS[[#This Row],[Amount]]-LS[[#This Row],[Unit Capital]]</f>
        <v>81960</v>
      </c>
      <c r="R13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13.75894331315355</v>
      </c>
      <c r="S1398" s="103">
        <f t="shared" si="32"/>
        <v>14.224</v>
      </c>
      <c r="T139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398" s="102" cm="1">
        <f t="array" ref="U1398">IF(LS[[#This Row],[B/S]]="S",ABS(LS[[#This Row],[Unit]])*(INDEX(LS[NAV at Cost (Average)],MATCH(CONCATENATE((LS[[#This Row],[Frequency]]-1),LS[[#This Row],[Investor ID]]),LS[Unique Code],0),0)),0)</f>
        <v>0</v>
      </c>
      <c r="V1398" s="102">
        <f>IF(LS[[#This Row],[BO TRANSFER]]="YES",LS[[#This Row],[Unit]],)</f>
        <v>21804</v>
      </c>
      <c r="W1398" s="102">
        <f>SUMIFS(LS[[#Headers],[BO UNIT TRANSFER]]:LS[[#This Row],[BO UNIT TRANSFER]],LS[[#Headers],[Investor ID]]:LS[[#This Row],[Investor ID]],LS[[#This Row],[Investor ID]])</f>
        <v>21804</v>
      </c>
    </row>
    <row r="1399" spans="1:23">
      <c r="A1399" s="101">
        <v>2025</v>
      </c>
      <c r="B1399" s="101">
        <v>12</v>
      </c>
      <c r="C1399" s="101">
        <v>18</v>
      </c>
      <c r="D1399" s="98">
        <f>DATE(LS[[#This Row],[Year]],LS[[#This Row],[Month]],LS[[#This Row],[Day]])</f>
        <v>46009</v>
      </c>
      <c r="E1399" s="99" t="str" cm="1">
        <f t="array" ref="E1399">INDEX(INVESTORS_LIST[INVESTOR NAME],MATCH(LS[[#This Row],[Investor ID]],INVESTORS_LIST[INVESTOR CODE],0),)</f>
        <v>ARIFUR RAHMAN</v>
      </c>
      <c r="F1399" s="100" t="s">
        <v>278</v>
      </c>
      <c r="G1399" s="101">
        <f>COUNTIF(LS[[#Headers],[Investor ID]]:LS[[#This Row],[Investor ID]],LS[[#This Row],[Investor ID]])</f>
        <v>14</v>
      </c>
      <c r="H1399" s="101" t="str">
        <f>CONCATENATE(LS[[#This Row],[Frequency]],LS[[#This Row],[Investor ID]])</f>
        <v>14A00115</v>
      </c>
      <c r="I1399" s="75" t="str">
        <f>IF(LS[[#This Row],[B/S]]="B","BUY",(IF(LS[[#This Row],[B/S]]="S","SELL"," ")))</f>
        <v>SELL</v>
      </c>
      <c r="J1399" s="101" t="s">
        <v>1231</v>
      </c>
      <c r="K1399" s="102">
        <v>-414963.20000000001</v>
      </c>
      <c r="L1399" s="99"/>
      <c r="M1399" s="103">
        <f>LS[[#This Row],[Amount]]/LS[[#This Row],[Unit]]</f>
        <v>13.767399887196841</v>
      </c>
      <c r="N1399" s="104">
        <f>LS[[#This Row],[Unit Capital]]/10</f>
        <v>-30141</v>
      </c>
      <c r="O1399" s="104">
        <f>SUMIFS(LS[[#Headers],[Unit]]:LS[[#This Row],[Unit]],LS[[#Headers],[Investor ID]]:LS[[#This Row],[Investor ID]],LS[[#This Row],[Investor ID]])</f>
        <v>0</v>
      </c>
      <c r="P1399" s="102">
        <v>-301410</v>
      </c>
      <c r="Q1399" s="102">
        <f>LS[[#This Row],[Amount]]-LS[[#This Row],[Unit Capital]]</f>
        <v>-113553.20000000001</v>
      </c>
      <c r="R139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399" s="103">
        <f t="shared" si="32"/>
        <v>14.224</v>
      </c>
      <c r="T1399" s="102">
        <f>IF(LS[[#This Row],[B/S]]="B",0,ABS(LS[[#This Row],[Unit]])*(LS[[#This Row],[NAV (Strike Rate)]]-INDEX(LS[NAV at Cost (Average)],MATCH(CONCATENATE(LS[[#This Row],[Frequency]]-1,LS[[#This Row],[Investor ID]]),LS[Unique Code],0),)))</f>
        <v>69523.106262521382</v>
      </c>
      <c r="U1399" s="102" cm="1">
        <f t="array" ref="U1399">IF(LS[[#This Row],[B/S]]="S",ABS(LS[[#This Row],[Unit]])*(INDEX(LS[NAV at Cost (Average)],MATCH(CONCATENATE((LS[[#This Row],[Frequency]]-1),LS[[#This Row],[Investor ID]]),LS[Unique Code],0),0)),0)</f>
        <v>345440.0937374786</v>
      </c>
      <c r="V1399" s="102">
        <f>IF(LS[[#This Row],[BO TRANSFER]]="YES",LS[[#This Row],[Unit]],)</f>
        <v>0</v>
      </c>
      <c r="W1399" s="102">
        <f>SUMIFS(LS[[#Headers],[BO UNIT TRANSFER]]:LS[[#This Row],[BO UNIT TRANSFER]],LS[[#Headers],[Investor ID]]:LS[[#This Row],[Investor ID]],LS[[#This Row],[Investor ID]])</f>
        <v>0</v>
      </c>
    </row>
    <row r="1400" spans="1:23">
      <c r="A1400" s="101">
        <v>2025</v>
      </c>
      <c r="B1400" s="101">
        <v>12</v>
      </c>
      <c r="C1400" s="101">
        <v>18</v>
      </c>
      <c r="D1400" s="98">
        <f>DATE(LS[[#This Row],[Year]],LS[[#This Row],[Month]],LS[[#This Row],[Day]])</f>
        <v>46009</v>
      </c>
      <c r="E1400" s="99" t="str" cm="1">
        <f t="array" ref="E1400">INDEX(INVESTORS_LIST[INVESTOR NAME],MATCH(LS[[#This Row],[Investor ID]],INVESTORS_LIST[INVESTOR CODE],0),)</f>
        <v>SYED FAZLE RABBY</v>
      </c>
      <c r="F1400" s="100" t="s">
        <v>166</v>
      </c>
      <c r="G1400" s="101">
        <f>COUNTIF(LS[[#Headers],[Investor ID]]:LS[[#This Row],[Investor ID]],LS[[#This Row],[Investor ID]])</f>
        <v>51</v>
      </c>
      <c r="H1400" s="101" t="str">
        <f>CONCATENATE(LS[[#This Row],[Frequency]],LS[[#This Row],[Investor ID]])</f>
        <v>51A00059</v>
      </c>
      <c r="I1400" s="75" t="str">
        <f>IF(LS[[#This Row],[B/S]]="B","BUY",(IF(LS[[#This Row],[B/S]]="S","SELL"," ")))</f>
        <v>BUY</v>
      </c>
      <c r="J1400" s="101" t="s">
        <v>1229</v>
      </c>
      <c r="K1400" s="102">
        <v>300000</v>
      </c>
      <c r="L1400" s="99"/>
      <c r="M1400" s="103">
        <f>LS[[#This Row],[Amount]]/LS[[#This Row],[Unit]]</f>
        <v>13.767151576338856</v>
      </c>
      <c r="N1400" s="104">
        <f>LS[[#This Row],[Unit Capital]]/10</f>
        <v>21791</v>
      </c>
      <c r="O1400" s="104">
        <f>SUMIFS(LS[[#Headers],[Unit]]:LS[[#This Row],[Unit]],LS[[#Headers],[Investor ID]]:LS[[#This Row],[Investor ID]],LS[[#This Row],[Investor ID]])</f>
        <v>561791</v>
      </c>
      <c r="P1400" s="102">
        <v>217910</v>
      </c>
      <c r="Q1400" s="102">
        <f>LS[[#This Row],[Amount]]-LS[[#This Row],[Unit Capital]]</f>
        <v>82090</v>
      </c>
      <c r="R14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12.466762900907021</v>
      </c>
      <c r="S1400" s="103">
        <f t="shared" si="32"/>
        <v>14.224</v>
      </c>
      <c r="T140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00" s="102" cm="1">
        <f t="array" ref="U1400">IF(LS[[#This Row],[B/S]]="S",ABS(LS[[#This Row],[Unit]])*(INDEX(LS[NAV at Cost (Average)],MATCH(CONCATENATE((LS[[#This Row],[Frequency]]-1),LS[[#This Row],[Investor ID]]),LS[Unique Code],0),0)),0)</f>
        <v>0</v>
      </c>
      <c r="V1400" s="102">
        <f>IF(LS[[#This Row],[BO TRANSFER]]="YES",LS[[#This Row],[Unit]],)</f>
        <v>0</v>
      </c>
      <c r="W1400" s="102">
        <f>SUMIFS(LS[[#Headers],[BO UNIT TRANSFER]]:LS[[#This Row],[BO UNIT TRANSFER]],LS[[#Headers],[Investor ID]]:LS[[#This Row],[Investor ID]],LS[[#This Row],[Investor ID]])</f>
        <v>0</v>
      </c>
    </row>
    <row r="1401" spans="1:23">
      <c r="A1401" s="101">
        <v>2025</v>
      </c>
      <c r="B1401" s="101">
        <v>12</v>
      </c>
      <c r="C1401" s="101">
        <v>21</v>
      </c>
      <c r="D1401" s="98">
        <f>DATE(LS[[#This Row],[Year]],LS[[#This Row],[Month]],LS[[#This Row],[Day]])</f>
        <v>46012</v>
      </c>
      <c r="E1401" s="99" t="str" cm="1">
        <f t="array" ref="E1401">INDEX(INVESTORS_LIST[INVESTOR NAME],MATCH(LS[[#This Row],[Investor ID]],INVESTORS_LIST[INVESTOR CODE],0),)</f>
        <v>MD. RAQUIBUL ISLAM RUSSEAU</v>
      </c>
      <c r="F1401" s="100" t="s">
        <v>1274</v>
      </c>
      <c r="G1401" s="101">
        <f>COUNTIF(LS[[#Headers],[Investor ID]]:LS[[#This Row],[Investor ID]],LS[[#This Row],[Investor ID]])</f>
        <v>5</v>
      </c>
      <c r="H1401" s="101" t="str">
        <f>CONCATENATE(LS[[#This Row],[Frequency]],LS[[#This Row],[Investor ID]])</f>
        <v>5A00584</v>
      </c>
      <c r="I1401" s="75" t="str">
        <f>IF(LS[[#This Row],[B/S]]="B","BUY",(IF(LS[[#This Row],[B/S]]="S","SELL"," ")))</f>
        <v>SELL</v>
      </c>
      <c r="J1401" s="101" t="s">
        <v>1231</v>
      </c>
      <c r="K1401" s="102">
        <v>-500000</v>
      </c>
      <c r="L1401" s="99"/>
      <c r="M1401" s="103">
        <f>LS[[#This Row],[Amount]]/LS[[#This Row],[Unit]]</f>
        <v>13.767277933806927</v>
      </c>
      <c r="N1401" s="104">
        <f>LS[[#This Row],[Unit Capital]]/10</f>
        <v>-36318</v>
      </c>
      <c r="O1401" s="104">
        <f>SUMIFS(LS[[#Headers],[Unit]]:LS[[#This Row],[Unit]],LS[[#Headers],[Investor ID]]:LS[[#This Row],[Investor ID]],LS[[#This Row],[Investor ID]])</f>
        <v>35581</v>
      </c>
      <c r="P1401" s="102">
        <v>-363180</v>
      </c>
      <c r="Q1401" s="102">
        <f>LS[[#This Row],[Amount]]-LS[[#This Row],[Unit Capital]]</f>
        <v>-136820</v>
      </c>
      <c r="R14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12.517559354093938</v>
      </c>
      <c r="S1401" s="103">
        <f t="shared" si="32"/>
        <v>14.224</v>
      </c>
      <c r="T1401" s="102">
        <f>IF(LS[[#This Row],[B/S]]="B",0,ABS(LS[[#This Row],[Unit]])*(LS[[#This Row],[NAV (Strike Rate)]]-INDEX(LS[NAV at Cost (Average)],MATCH(CONCATENATE(LS[[#This Row],[Frequency]]-1,LS[[#This Row],[Investor ID]]),LS[Unique Code],0),)))</f>
        <v>45387.279378016312</v>
      </c>
      <c r="U1401" s="102" cm="1">
        <f t="array" ref="U1401">IF(LS[[#This Row],[B/S]]="S",ABS(LS[[#This Row],[Unit]])*(INDEX(LS[NAV at Cost (Average)],MATCH(CONCATENATE((LS[[#This Row],[Frequency]]-1),LS[[#This Row],[Investor ID]]),LS[Unique Code],0),0)),0)</f>
        <v>454612.72062198364</v>
      </c>
      <c r="V1401" s="102">
        <f>IF(LS[[#This Row],[BO TRANSFER]]="YES",LS[[#This Row],[Unit]],)</f>
        <v>0</v>
      </c>
      <c r="W1401" s="102">
        <f>SUMIFS(LS[[#Headers],[BO UNIT TRANSFER]]:LS[[#This Row],[BO UNIT TRANSFER]],LS[[#Headers],[Investor ID]]:LS[[#This Row],[Investor ID]],LS[[#This Row],[Investor ID]])</f>
        <v>0</v>
      </c>
    </row>
    <row r="1402" spans="1:23">
      <c r="A1402" s="101">
        <v>2025</v>
      </c>
      <c r="B1402" s="101">
        <v>12</v>
      </c>
      <c r="C1402" s="101">
        <v>22</v>
      </c>
      <c r="D1402" s="98">
        <f>DATE(LS[[#This Row],[Year]],LS[[#This Row],[Month]],LS[[#This Row],[Day]])</f>
        <v>46013</v>
      </c>
      <c r="E1402" s="99" t="str" cm="1">
        <f t="array" ref="E1402">INDEX(INVESTORS_LIST[INVESTOR NAME],MATCH(LS[[#This Row],[Investor ID]],INVESTORS_LIST[INVESTOR CODE],0),)</f>
        <v>EKUSH WEALTH MANAGEMENT LIMITED EMPLOYEES CONTRIBUTORY PROVIDENT FUND</v>
      </c>
      <c r="F1402" s="100" t="s">
        <v>831</v>
      </c>
      <c r="G1402" s="101">
        <f>COUNTIF(LS[[#Headers],[Investor ID]]:LS[[#This Row],[Investor ID]],LS[[#This Row],[Investor ID]])</f>
        <v>2</v>
      </c>
      <c r="H1402" s="101" t="str">
        <f>CONCATENATE(LS[[#This Row],[Frequency]],LS[[#This Row],[Investor ID]])</f>
        <v>2A00392</v>
      </c>
      <c r="I1402" s="75" t="str">
        <f>IF(LS[[#This Row],[B/S]]="B","BUY",(IF(LS[[#This Row],[B/S]]="S","SELL"," ")))</f>
        <v>SELL</v>
      </c>
      <c r="J1402" s="101" t="s">
        <v>1231</v>
      </c>
      <c r="K1402" s="102">
        <v>-120203.1694</v>
      </c>
      <c r="L1402" s="99"/>
      <c r="M1402" s="103">
        <f>LS[[#This Row],[Amount]]/LS[[#This Row],[Unit]]</f>
        <v>13.7674</v>
      </c>
      <c r="N1402" s="104">
        <f>LS[[#This Row],[Unit Capital]]/10</f>
        <v>-8731</v>
      </c>
      <c r="O1402" s="104">
        <f>SUMIFS(LS[[#Headers],[Unit]]:LS[[#This Row],[Unit]],LS[[#Headers],[Investor ID]]:LS[[#This Row],[Investor ID]],LS[[#This Row],[Investor ID]])</f>
        <v>0</v>
      </c>
      <c r="P1402" s="102">
        <v>-87310</v>
      </c>
      <c r="Q1402" s="102">
        <f>LS[[#This Row],[Amount]]-LS[[#This Row],[Unit Capital]]</f>
        <v>-32893.169399999999</v>
      </c>
      <c r="R14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02" s="103">
        <f t="shared" si="32"/>
        <v>14.224</v>
      </c>
      <c r="T1402" s="102">
        <f>IF(LS[[#This Row],[B/S]]="B",0,ABS(LS[[#This Row],[Unit]])*(LS[[#This Row],[NAV (Strike Rate)]]-INDEX(LS[NAV at Cost (Average)],MATCH(CONCATENATE(LS[[#This Row],[Frequency]]-1,LS[[#This Row],[Investor ID]]),LS[Unique Code],0),)))</f>
        <v>32203.169400000002</v>
      </c>
      <c r="U1402" s="102" cm="1">
        <f t="array" ref="U1402">IF(LS[[#This Row],[B/S]]="S",ABS(LS[[#This Row],[Unit]])*(INDEX(LS[NAV at Cost (Average)],MATCH(CONCATENATE((LS[[#This Row],[Frequency]]-1),LS[[#This Row],[Investor ID]]),LS[Unique Code],0),0)),0)</f>
        <v>88000</v>
      </c>
      <c r="V1402" s="102">
        <f>IF(LS[[#This Row],[BO TRANSFER]]="YES",LS[[#This Row],[Unit]],)</f>
        <v>0</v>
      </c>
      <c r="W1402" s="102">
        <f>SUMIFS(LS[[#Headers],[BO UNIT TRANSFER]]:LS[[#This Row],[BO UNIT TRANSFER]],LS[[#Headers],[Investor ID]]:LS[[#This Row],[Investor ID]],LS[[#This Row],[Investor ID]])</f>
        <v>0</v>
      </c>
    </row>
    <row r="1403" spans="1:23">
      <c r="A1403" s="101">
        <v>2025</v>
      </c>
      <c r="B1403" s="101">
        <v>12</v>
      </c>
      <c r="C1403" s="101">
        <v>22</v>
      </c>
      <c r="D1403" s="98">
        <f>DATE(LS[[#This Row],[Year]],LS[[#This Row],[Month]],LS[[#This Row],[Day]])</f>
        <v>46013</v>
      </c>
      <c r="E1403" s="99" t="str" cm="1">
        <f t="array" ref="E1403">INDEX(INVESTORS_LIST[INVESTOR NAME],MATCH(LS[[#This Row],[Investor ID]],INVESTORS_LIST[INVESTOR CODE],0),)</f>
        <v>CHAONIKA SAHA</v>
      </c>
      <c r="F1403" s="100" t="s">
        <v>238</v>
      </c>
      <c r="G1403" s="101">
        <f>COUNTIF(LS[[#Headers],[Investor ID]]:LS[[#This Row],[Investor ID]],LS[[#This Row],[Investor ID]])</f>
        <v>8</v>
      </c>
      <c r="H1403" s="101" t="str">
        <f>CONCATENATE(LS[[#This Row],[Frequency]],LS[[#This Row],[Investor ID]])</f>
        <v>8A00095</v>
      </c>
      <c r="I1403" s="75" t="str">
        <f>IF(LS[[#This Row],[B/S]]="B","BUY",(IF(LS[[#This Row],[B/S]]="S","SELL"," ")))</f>
        <v>SELL</v>
      </c>
      <c r="J1403" s="101" t="s">
        <v>1231</v>
      </c>
      <c r="K1403" s="102">
        <v>-127210.776</v>
      </c>
      <c r="L1403" s="99"/>
      <c r="M1403" s="103">
        <f>LS[[#This Row],[Amount]]/LS[[#This Row],[Unit]]</f>
        <v>13.7674</v>
      </c>
      <c r="N1403" s="104">
        <f>LS[[#This Row],[Unit Capital]]/10</f>
        <v>-9240</v>
      </c>
      <c r="O1403" s="104">
        <f>SUMIFS(LS[[#Headers],[Unit]]:LS[[#This Row],[Unit]],LS[[#Headers],[Investor ID]]:LS[[#This Row],[Investor ID]],LS[[#This Row],[Investor ID]])</f>
        <v>0</v>
      </c>
      <c r="P1403" s="102">
        <v>-92400</v>
      </c>
      <c r="Q1403" s="102">
        <f>LS[[#This Row],[Amount]]-LS[[#This Row],[Unit Capital]]</f>
        <v>-34810.775999999998</v>
      </c>
      <c r="R14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03" s="103">
        <f t="shared" si="32"/>
        <v>14.224</v>
      </c>
      <c r="T1403" s="102">
        <f>IF(LS[[#This Row],[B/S]]="B",0,ABS(LS[[#This Row],[Unit]])*(LS[[#This Row],[NAV (Strike Rate)]]-INDEX(LS[NAV at Cost (Average)],MATCH(CONCATENATE(LS[[#This Row],[Frequency]]-1,LS[[#This Row],[Investor ID]]),LS[Unique Code],0),)))</f>
        <v>30623.675401907429</v>
      </c>
      <c r="U1403" s="102" cm="1">
        <f t="array" ref="U1403">IF(LS[[#This Row],[B/S]]="S",ABS(LS[[#This Row],[Unit]])*(INDEX(LS[NAV at Cost (Average)],MATCH(CONCATENATE((LS[[#This Row],[Frequency]]-1),LS[[#This Row],[Investor ID]]),LS[Unique Code],0),0)),0)</f>
        <v>96587.100598092569</v>
      </c>
      <c r="V1403" s="102">
        <f>IF(LS[[#This Row],[BO TRANSFER]]="YES",LS[[#This Row],[Unit]],)</f>
        <v>0</v>
      </c>
      <c r="W1403" s="102">
        <f>SUMIFS(LS[[#Headers],[BO UNIT TRANSFER]]:LS[[#This Row],[BO UNIT TRANSFER]],LS[[#Headers],[Investor ID]]:LS[[#This Row],[Investor ID]],LS[[#This Row],[Investor ID]])</f>
        <v>0</v>
      </c>
    </row>
    <row r="1404" spans="1:23">
      <c r="A1404" s="101">
        <v>2025</v>
      </c>
      <c r="B1404" s="101">
        <v>12</v>
      </c>
      <c r="C1404" s="101">
        <v>22</v>
      </c>
      <c r="D1404" s="98">
        <f>DATE(LS[[#This Row],[Year]],LS[[#This Row],[Month]],LS[[#This Row],[Day]])</f>
        <v>46013</v>
      </c>
      <c r="E1404" s="99" t="str" cm="1">
        <f t="array" ref="E1404">INDEX(INVESTORS_LIST[INVESTOR NAME],MATCH(LS[[#This Row],[Investor ID]],INVESTORS_LIST[INVESTOR CODE],0),)</f>
        <v>PUJA GHOSH</v>
      </c>
      <c r="F1404" s="100" t="s">
        <v>1397</v>
      </c>
      <c r="G1404" s="101">
        <f>COUNTIF(LS[[#Headers],[Investor ID]]:LS[[#This Row],[Investor ID]],LS[[#This Row],[Investor ID]])</f>
        <v>3</v>
      </c>
      <c r="H1404" s="101" t="str">
        <f>CONCATENATE(LS[[#This Row],[Frequency]],LS[[#This Row],[Investor ID]])</f>
        <v>3A00642</v>
      </c>
      <c r="I1404" s="75" t="str">
        <f>IF(LS[[#This Row],[B/S]]="B","BUY",(IF(LS[[#This Row],[B/S]]="S","SELL"," ")))</f>
        <v>SELL</v>
      </c>
      <c r="J1404" s="101" t="s">
        <v>1231</v>
      </c>
      <c r="K1404" s="102">
        <v>-88207.73</v>
      </c>
      <c r="L1404" s="99"/>
      <c r="M1404" s="103">
        <f>LS[[#This Row],[Amount]]/LS[[#This Row],[Unit]]</f>
        <v>13.767399719057281</v>
      </c>
      <c r="N1404" s="104">
        <f>LS[[#This Row],[Unit Capital]]/10</f>
        <v>-6407</v>
      </c>
      <c r="O1404" s="104">
        <f>SUMIFS(LS[[#Headers],[Unit]]:LS[[#This Row],[Unit]],LS[[#Headers],[Investor ID]]:LS[[#This Row],[Investor ID]],LS[[#This Row],[Investor ID]])</f>
        <v>0</v>
      </c>
      <c r="P1404" s="102">
        <v>-64070</v>
      </c>
      <c r="Q1404" s="102">
        <f>LS[[#This Row],[Amount]]-LS[[#This Row],[Unit Capital]]</f>
        <v>-24137.729999999996</v>
      </c>
      <c r="R14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04" s="103">
        <f t="shared" si="32"/>
        <v>14.224</v>
      </c>
      <c r="T1404" s="102">
        <f>IF(LS[[#This Row],[B/S]]="B",0,ABS(LS[[#This Row],[Unit]])*(LS[[#This Row],[NAV (Strike Rate)]]-INDEX(LS[NAV at Cost (Average)],MATCH(CONCATENATE(LS[[#This Row],[Frequency]]-1,LS[[#This Row],[Investor ID]]),LS[Unique Code],0),)))</f>
        <v>6071.7299999999886</v>
      </c>
      <c r="U1404" s="102" cm="1">
        <f t="array" ref="U1404">IF(LS[[#This Row],[B/S]]="S",ABS(LS[[#This Row],[Unit]])*(INDEX(LS[NAV at Cost (Average)],MATCH(CONCATENATE((LS[[#This Row],[Frequency]]-1),LS[[#This Row],[Investor ID]]),LS[Unique Code],0),0)),0)</f>
        <v>82136.000000000015</v>
      </c>
      <c r="V1404" s="102">
        <f>IF(LS[[#This Row],[BO TRANSFER]]="YES",LS[[#This Row],[Unit]],)</f>
        <v>0</v>
      </c>
      <c r="W1404" s="102">
        <f>SUMIFS(LS[[#Headers],[BO UNIT TRANSFER]]:LS[[#This Row],[BO UNIT TRANSFER]],LS[[#Headers],[Investor ID]]:LS[[#This Row],[Investor ID]],LS[[#This Row],[Investor ID]])</f>
        <v>0</v>
      </c>
    </row>
    <row r="1405" spans="1:23">
      <c r="A1405" s="101">
        <v>2025</v>
      </c>
      <c r="B1405" s="101">
        <v>12</v>
      </c>
      <c r="C1405" s="101">
        <v>22</v>
      </c>
      <c r="D1405" s="98">
        <f>DATE(LS[[#This Row],[Year]],LS[[#This Row],[Month]],LS[[#This Row],[Day]])</f>
        <v>46013</v>
      </c>
      <c r="E1405" s="99" t="str" cm="1">
        <f t="array" ref="E1405">INDEX(INVESTORS_LIST[INVESTOR NAME],MATCH(LS[[#This Row],[Investor ID]],INVESTORS_LIST[INVESTOR CODE],0),)</f>
        <v>ARCHONA SAHA</v>
      </c>
      <c r="F1405" s="100" t="s">
        <v>872</v>
      </c>
      <c r="G1405" s="101">
        <f>COUNTIF(LS[[#Headers],[Investor ID]]:LS[[#This Row],[Investor ID]],LS[[#This Row],[Investor ID]])</f>
        <v>4</v>
      </c>
      <c r="H1405" s="101" t="str">
        <f>CONCATENATE(LS[[#This Row],[Frequency]],LS[[#This Row],[Investor ID]])</f>
        <v>4A00413</v>
      </c>
      <c r="I1405" s="75" t="str">
        <f>IF(LS[[#This Row],[B/S]]="B","BUY",(IF(LS[[#This Row],[B/S]]="S","SELL"," ")))</f>
        <v>SELL</v>
      </c>
      <c r="J1405" s="101" t="s">
        <v>1231</v>
      </c>
      <c r="K1405" s="102">
        <v>-375409.46169999999</v>
      </c>
      <c r="L1405" s="99"/>
      <c r="M1405" s="103">
        <f>LS[[#This Row],[Amount]]/LS[[#This Row],[Unit]]</f>
        <v>13.767399944990464</v>
      </c>
      <c r="N1405" s="104">
        <f>LS[[#This Row],[Unit Capital]]/10</f>
        <v>-27268</v>
      </c>
      <c r="O1405" s="104">
        <f>SUMIFS(LS[[#Headers],[Unit]]:LS[[#This Row],[Unit]],LS[[#Headers],[Investor ID]]:LS[[#This Row],[Investor ID]],LS[[#This Row],[Investor ID]])</f>
        <v>0</v>
      </c>
      <c r="P1405" s="102">
        <v>-272680</v>
      </c>
      <c r="Q1405" s="102">
        <f>LS[[#This Row],[Amount]]-LS[[#This Row],[Unit Capital]]</f>
        <v>-102729.46169999999</v>
      </c>
      <c r="R140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05" s="103">
        <f t="shared" si="32"/>
        <v>14.224</v>
      </c>
      <c r="T1405" s="102">
        <f>IF(LS[[#This Row],[B/S]]="B",0,ABS(LS[[#This Row],[Unit]])*(LS[[#This Row],[NAV (Strike Rate)]]-INDEX(LS[NAV at Cost (Average)],MATCH(CONCATENATE(LS[[#This Row],[Frequency]]-1,LS[[#This Row],[Investor ID]]),LS[Unique Code],0),)))</f>
        <v>98885.782559953295</v>
      </c>
      <c r="U1405" s="102" cm="1">
        <f t="array" ref="U1405">IF(LS[[#This Row],[B/S]]="S",ABS(LS[[#This Row],[Unit]])*(INDEX(LS[NAV at Cost (Average)],MATCH(CONCATENATE((LS[[#This Row],[Frequency]]-1),LS[[#This Row],[Investor ID]]),LS[Unique Code],0),0)),0)</f>
        <v>276523.67914004665</v>
      </c>
      <c r="V1405" s="102">
        <f>IF(LS[[#This Row],[BO TRANSFER]]="YES",LS[[#This Row],[Unit]],)</f>
        <v>0</v>
      </c>
      <c r="W1405" s="102">
        <f>SUMIFS(LS[[#Headers],[BO UNIT TRANSFER]]:LS[[#This Row],[BO UNIT TRANSFER]],LS[[#Headers],[Investor ID]]:LS[[#This Row],[Investor ID]],LS[[#This Row],[Investor ID]])</f>
        <v>0</v>
      </c>
    </row>
    <row r="1406" spans="1:23">
      <c r="A1406" s="101">
        <v>2025</v>
      </c>
      <c r="B1406" s="101">
        <v>12</v>
      </c>
      <c r="C1406" s="101">
        <v>22</v>
      </c>
      <c r="D1406" s="98">
        <f>DATE(LS[[#This Row],[Year]],LS[[#This Row],[Month]],LS[[#This Row],[Day]])</f>
        <v>46013</v>
      </c>
      <c r="E1406" s="99" t="str" cm="1">
        <f t="array" ref="E1406">INDEX(INVESTORS_LIST[INVESTOR NAME],MATCH(LS[[#This Row],[Investor ID]],INVESTORS_LIST[INVESTOR CODE],0),)</f>
        <v>MUHAMMAD SHOHIDUZZAMAN</v>
      </c>
      <c r="F1406" s="100" t="s">
        <v>986</v>
      </c>
      <c r="G1406" s="101">
        <f>COUNTIF(LS[[#Headers],[Investor ID]]:LS[[#This Row],[Investor ID]],LS[[#This Row],[Investor ID]])</f>
        <v>14</v>
      </c>
      <c r="H1406" s="101" t="str">
        <f>CONCATENATE(LS[[#This Row],[Frequency]],LS[[#This Row],[Investor ID]])</f>
        <v>14A00470</v>
      </c>
      <c r="I1406" s="75" t="str">
        <f>IF(LS[[#This Row],[B/S]]="B","BUY",(IF(LS[[#This Row],[B/S]]="S","SELL"," ")))</f>
        <v>SELL</v>
      </c>
      <c r="J1406" s="101" t="s">
        <v>1231</v>
      </c>
      <c r="K1406" s="102">
        <v>-6500000</v>
      </c>
      <c r="L1406" s="99" t="s">
        <v>1230</v>
      </c>
      <c r="M1406" s="103">
        <f>LS[[#This Row],[Amount]]/LS[[#This Row],[Unit]]</f>
        <v>13.710997485614</v>
      </c>
      <c r="N1406" s="104">
        <f>LS[[#This Row],[Unit Capital]]/10</f>
        <v>-474072</v>
      </c>
      <c r="O1406" s="104">
        <f>SUMIFS(LS[[#Headers],[Unit]]:LS[[#This Row],[Unit]],LS[[#Headers],[Investor ID]]:LS[[#This Row],[Investor ID]],LS[[#This Row],[Investor ID]])</f>
        <v>788818</v>
      </c>
      <c r="P1406" s="102">
        <v>-4740720</v>
      </c>
      <c r="Q1406" s="102">
        <f>LS[[#This Row],[Amount]]-LS[[#This Row],[Unit Capital]]</f>
        <v>-1759280</v>
      </c>
      <c r="R140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12.563472416368917</v>
      </c>
      <c r="S1406" s="103">
        <f t="shared" ref="S1406:S1412" si="33">IFERROR(NAV_MKT,0)</f>
        <v>14.224</v>
      </c>
      <c r="T1406" s="102">
        <f>IF(LS[[#This Row],[B/S]]="B",0,ABS(LS[[#This Row],[Unit]])*(LS[[#This Row],[NAV (Strike Rate)]]-INDEX(LS[NAV at Cost (Average)],MATCH(CONCATENATE(LS[[#This Row],[Frequency]]-1,LS[[#This Row],[Investor ID]]),LS[Unique Code],0),)))</f>
        <v>544009.50462715479</v>
      </c>
      <c r="U1406" s="102" cm="1">
        <f t="array" ref="U1406">IF(LS[[#This Row],[B/S]]="S",ABS(LS[[#This Row],[Unit]])*(INDEX(LS[NAV at Cost (Average)],MATCH(CONCATENATE((LS[[#This Row],[Frequency]]-1),LS[[#This Row],[Investor ID]]),LS[Unique Code],0),0)),0)</f>
        <v>5955990.4953728449</v>
      </c>
      <c r="V1406" s="102">
        <f>IF(LS[[#This Row],[BO TRANSFER]]="YES",LS[[#This Row],[Unit]],)</f>
        <v>-474072</v>
      </c>
      <c r="W1406" s="102">
        <f>SUMIFS(LS[[#Headers],[BO UNIT TRANSFER]]:LS[[#This Row],[BO UNIT TRANSFER]],LS[[#Headers],[Investor ID]]:LS[[#This Row],[Investor ID]],LS[[#This Row],[Investor ID]])</f>
        <v>340367</v>
      </c>
    </row>
    <row r="1407" spans="1:23">
      <c r="A1407" s="101">
        <v>2025</v>
      </c>
      <c r="B1407" s="101">
        <v>12</v>
      </c>
      <c r="C1407" s="101">
        <v>28</v>
      </c>
      <c r="D1407" s="98">
        <f>DATE(LS[[#This Row],[Year]],LS[[#This Row],[Month]],LS[[#This Row],[Day]])</f>
        <v>46019</v>
      </c>
      <c r="E1407" s="99" t="str" cm="1">
        <f t="array" ref="E1407">INDEX(INVESTORS_LIST[INVESTOR NAME],MATCH(LS[[#This Row],[Investor ID]],INVESTORS_LIST[INVESTOR CODE],0),)</f>
        <v>ANONYA CHOWDHURY HIYA</v>
      </c>
      <c r="F1407" s="100" t="s">
        <v>1402</v>
      </c>
      <c r="G1407" s="101">
        <f>COUNTIF(LS[[#Headers],[Investor ID]]:LS[[#This Row],[Investor ID]],LS[[#This Row],[Investor ID]])</f>
        <v>6</v>
      </c>
      <c r="H1407" s="101" t="str">
        <f>CONCATENATE(LS[[#This Row],[Frequency]],LS[[#This Row],[Investor ID]])</f>
        <v>6A00644</v>
      </c>
      <c r="I1407" s="75" t="str">
        <f>IF(LS[[#This Row],[B/S]]="B","BUY",(IF(LS[[#This Row],[B/S]]="S","SELL"," ")))</f>
        <v>SELL</v>
      </c>
      <c r="J1407" s="101" t="s">
        <v>1231</v>
      </c>
      <c r="K1407" s="102">
        <v>-1000000</v>
      </c>
      <c r="L1407" s="99"/>
      <c r="M1407" s="103">
        <f>LS[[#This Row],[Amount]]/LS[[#This Row],[Unit]]</f>
        <v>13.711966433106172</v>
      </c>
      <c r="N1407" s="104">
        <f>LS[[#This Row],[Unit Capital]]/10</f>
        <v>-72929</v>
      </c>
      <c r="O1407" s="104">
        <f>SUMIFS(LS[[#Headers],[Unit]]:LS[[#This Row],[Unit]],LS[[#Headers],[Investor ID]]:LS[[#This Row],[Investor ID]],LS[[#This Row],[Investor ID]])</f>
        <v>60173</v>
      </c>
      <c r="P1407" s="102">
        <v>-729290</v>
      </c>
      <c r="Q1407" s="102">
        <f>LS[[#This Row],[Amount]]-LS[[#This Row],[Unit Capital]]</f>
        <v>-270710</v>
      </c>
      <c r="R14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12.732407424543691</v>
      </c>
      <c r="S1407" s="103">
        <f t="shared" si="33"/>
        <v>14.224</v>
      </c>
      <c r="T1407" s="102">
        <f>IF(LS[[#This Row],[B/S]]="B",0,ABS(LS[[#This Row],[Unit]])*(LS[[#This Row],[NAV (Strike Rate)]]-INDEX(LS[NAV at Cost (Average)],MATCH(CONCATENATE(LS[[#This Row],[Frequency]]-1,LS[[#This Row],[Investor ID]]),LS[Unique Code],0),)))</f>
        <v>71438.258935453152</v>
      </c>
      <c r="U1407" s="102" cm="1">
        <f t="array" ref="U1407">IF(LS[[#This Row],[B/S]]="S",ABS(LS[[#This Row],[Unit]])*(INDEX(LS[NAV at Cost (Average)],MATCH(CONCATENATE((LS[[#This Row],[Frequency]]-1),LS[[#This Row],[Investor ID]]),LS[Unique Code],0),0)),0)</f>
        <v>928561.74106454686</v>
      </c>
      <c r="V1407" s="102">
        <f>IF(LS[[#This Row],[BO TRANSFER]]="YES",LS[[#This Row],[Unit]],)</f>
        <v>0</v>
      </c>
      <c r="W1407" s="102">
        <f>SUMIFS(LS[[#Headers],[BO UNIT TRANSFER]]:LS[[#This Row],[BO UNIT TRANSFER]],LS[[#Headers],[Investor ID]]:LS[[#This Row],[Investor ID]],LS[[#This Row],[Investor ID]])</f>
        <v>0</v>
      </c>
    </row>
    <row r="1408" spans="1:23">
      <c r="A1408" s="101">
        <v>2025</v>
      </c>
      <c r="B1408" s="101">
        <v>12</v>
      </c>
      <c r="C1408" s="101">
        <v>29</v>
      </c>
      <c r="D1408" s="98">
        <f>DATE(LS[[#This Row],[Year]],LS[[#This Row],[Month]],LS[[#This Row],[Day]])</f>
        <v>46020</v>
      </c>
      <c r="E1408" s="99" t="str" cm="1">
        <f t="array" ref="E1408">INDEX(INVESTORS_LIST[INVESTOR NAME],MATCH(LS[[#This Row],[Investor ID]],INVESTORS_LIST[INVESTOR CODE],0),)</f>
        <v>BABITA RANI BARMAN</v>
      </c>
      <c r="F1408" s="100" t="s">
        <v>188</v>
      </c>
      <c r="G1408" s="101">
        <f>COUNTIF(LS[[#Headers],[Investor ID]]:LS[[#This Row],[Investor ID]],LS[[#This Row],[Investor ID]])</f>
        <v>9</v>
      </c>
      <c r="H1408" s="101" t="str">
        <f>CONCATENATE(LS[[#This Row],[Frequency]],LS[[#This Row],[Investor ID]])</f>
        <v>9A00070</v>
      </c>
      <c r="I1408" s="75" t="str">
        <f>IF(LS[[#This Row],[B/S]]="B","BUY",(IF(LS[[#This Row],[B/S]]="S","SELL"," ")))</f>
        <v>BUY</v>
      </c>
      <c r="J1408" s="101" t="s">
        <v>1229</v>
      </c>
      <c r="K1408" s="102">
        <v>50000</v>
      </c>
      <c r="L1408" s="99"/>
      <c r="M1408" s="103">
        <f>LS[[#This Row],[Amount]]/LS[[#This Row],[Unit]]</f>
        <v>13.766519823788546</v>
      </c>
      <c r="N1408" s="104">
        <f>LS[[#This Row],[Unit Capital]]/10</f>
        <v>3632</v>
      </c>
      <c r="O1408" s="104">
        <f>SUMIFS(LS[[#Headers],[Unit]]:LS[[#This Row],[Unit]],LS[[#Headers],[Investor ID]]:LS[[#This Row],[Investor ID]],LS[[#This Row],[Investor ID]])</f>
        <v>65367</v>
      </c>
      <c r="P1408" s="102">
        <v>36320</v>
      </c>
      <c r="Q1408" s="102">
        <f>LS[[#This Row],[Amount]]-LS[[#This Row],[Unit Capital]]</f>
        <v>13680</v>
      </c>
      <c r="R140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12.087356173634129</v>
      </c>
      <c r="S1408" s="103">
        <f t="shared" si="33"/>
        <v>14.224</v>
      </c>
      <c r="T140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08" s="102" cm="1">
        <f t="array" ref="U1408">IF(LS[[#This Row],[B/S]]="S",ABS(LS[[#This Row],[Unit]])*(INDEX(LS[NAV at Cost (Average)],MATCH(CONCATENATE((LS[[#This Row],[Frequency]]-1),LS[[#This Row],[Investor ID]]),LS[Unique Code],0),0)),0)</f>
        <v>0</v>
      </c>
      <c r="V1408" s="102">
        <f>IF(LS[[#This Row],[BO TRANSFER]]="YES",LS[[#This Row],[Unit]],)</f>
        <v>0</v>
      </c>
      <c r="W1408" s="102">
        <f>SUMIFS(LS[[#Headers],[BO UNIT TRANSFER]]:LS[[#This Row],[BO UNIT TRANSFER]],LS[[#Headers],[Investor ID]]:LS[[#This Row],[Investor ID]],LS[[#This Row],[Investor ID]])</f>
        <v>0</v>
      </c>
    </row>
    <row r="1409" spans="1:23">
      <c r="A1409" s="101">
        <v>2026</v>
      </c>
      <c r="B1409" s="101">
        <v>1</v>
      </c>
      <c r="C1409" s="101">
        <v>4</v>
      </c>
      <c r="D1409" s="98">
        <f>DATE(LS[[#This Row],[Year]],LS[[#This Row],[Month]],LS[[#This Row],[Day]])</f>
        <v>46026</v>
      </c>
      <c r="E1409" s="99" t="str" cm="1">
        <f t="array" ref="E1409">INDEX(INVESTORS_LIST[INVESTOR NAME],MATCH(LS[[#This Row],[Investor ID]],INVESTORS_LIST[INVESTOR CODE],0),)</f>
        <v>KHAN MUHAMMAD KAWSER AHMED</v>
      </c>
      <c r="F1409" s="100" t="s">
        <v>944</v>
      </c>
      <c r="G1409" s="101">
        <f>COUNTIF(LS[[#Headers],[Investor ID]]:LS[[#This Row],[Investor ID]],LS[[#This Row],[Investor ID]])</f>
        <v>43</v>
      </c>
      <c r="H1409" s="101" t="str">
        <f>CONCATENATE(LS[[#This Row],[Frequency]],LS[[#This Row],[Investor ID]])</f>
        <v>43A00449</v>
      </c>
      <c r="I1409" s="75" t="str">
        <f>IF(LS[[#This Row],[B/S]]="B","BUY",(IF(LS[[#This Row],[B/S]]="S","SELL"," ")))</f>
        <v>SELL</v>
      </c>
      <c r="J1409" s="101" t="s">
        <v>1231</v>
      </c>
      <c r="K1409" s="102">
        <v>-2000000</v>
      </c>
      <c r="L1409" s="99"/>
      <c r="M1409" s="103">
        <f>LS[[#This Row],[Amount]]/LS[[#This Row],[Unit]]</f>
        <v>13.770026782702093</v>
      </c>
      <c r="N1409" s="104">
        <f>LS[[#This Row],[Unit Capital]]/10</f>
        <v>-145243</v>
      </c>
      <c r="O1409" s="104">
        <f>SUMIFS(LS[[#Headers],[Unit]]:LS[[#This Row],[Unit]],LS[[#Headers],[Investor ID]]:LS[[#This Row],[Investor ID]],LS[[#This Row],[Investor ID]])</f>
        <v>7846049</v>
      </c>
      <c r="P1409" s="102">
        <v>-1452430</v>
      </c>
      <c r="Q1409" s="102">
        <f>LS[[#This Row],[Amount]]-LS[[#This Row],[Unit Capital]]</f>
        <v>-547570</v>
      </c>
      <c r="R140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12.279542929803441</v>
      </c>
      <c r="S1409" s="103">
        <f t="shared" si="33"/>
        <v>14.224</v>
      </c>
      <c r="T1409" s="102">
        <f>IF(LS[[#This Row],[B/S]]="B",0,ABS(LS[[#This Row],[Unit]])*(LS[[#This Row],[NAV (Strike Rate)]]-INDEX(LS[NAV at Cost (Average)],MATCH(CONCATENATE(LS[[#This Row],[Frequency]]-1,LS[[#This Row],[Investor ID]]),LS[Unique Code],0),)))</f>
        <v>216482.34624655897</v>
      </c>
      <c r="U1409" s="102" cm="1">
        <f t="array" ref="U1409">IF(LS[[#This Row],[B/S]]="S",ABS(LS[[#This Row],[Unit]])*(INDEX(LS[NAV at Cost (Average)],MATCH(CONCATENATE((LS[[#This Row],[Frequency]]-1),LS[[#This Row],[Investor ID]]),LS[Unique Code],0),0)),0)</f>
        <v>1783517.6537534411</v>
      </c>
      <c r="V1409" s="102">
        <f>IF(LS[[#This Row],[BO TRANSFER]]="YES",LS[[#This Row],[Unit]],)</f>
        <v>0</v>
      </c>
      <c r="W1409" s="102">
        <f>SUMIFS(LS[[#Headers],[BO UNIT TRANSFER]]:LS[[#This Row],[BO UNIT TRANSFER]],LS[[#Headers],[Investor ID]]:LS[[#This Row],[Investor ID]],LS[[#This Row],[Investor ID]])</f>
        <v>0</v>
      </c>
    </row>
    <row r="1410" spans="1:23">
      <c r="A1410" s="101">
        <v>2026</v>
      </c>
      <c r="B1410" s="101">
        <v>1</v>
      </c>
      <c r="C1410" s="101">
        <v>5</v>
      </c>
      <c r="D1410" s="98">
        <f>DATE(LS[[#This Row],[Year]],LS[[#This Row],[Month]],LS[[#This Row],[Day]])</f>
        <v>46027</v>
      </c>
      <c r="E1410" s="99" t="str" cm="1">
        <f t="array" ref="E1410">INDEX(INVESTORS_LIST[INVESTOR NAME],MATCH(LS[[#This Row],[Investor ID]],INVESTORS_LIST[INVESTOR CODE],0),)</f>
        <v>RAIHAN FERDOUS</v>
      </c>
      <c r="F1410" s="100" t="s">
        <v>1319</v>
      </c>
      <c r="G1410" s="101">
        <f>COUNTIF(LS[[#Headers],[Investor ID]]:LS[[#This Row],[Investor ID]],LS[[#This Row],[Investor ID]])</f>
        <v>5</v>
      </c>
      <c r="H1410" s="101" t="str">
        <f>CONCATENATE(LS[[#This Row],[Frequency]],LS[[#This Row],[Investor ID]])</f>
        <v>5A00606</v>
      </c>
      <c r="I1410" s="75" t="str">
        <f>IF(LS[[#This Row],[B/S]]="B","BUY",(IF(LS[[#This Row],[B/S]]="S","SELL"," ")))</f>
        <v>BUY</v>
      </c>
      <c r="J1410" s="101" t="s">
        <v>1229</v>
      </c>
      <c r="K1410" s="102">
        <v>3000000</v>
      </c>
      <c r="L1410" s="99"/>
      <c r="M1410" s="103">
        <f>LS[[#This Row],[Amount]]/LS[[#This Row],[Unit]]</f>
        <v>13.754968982544945</v>
      </c>
      <c r="N1410" s="104">
        <f>LS[[#This Row],[Unit Capital]]/10</f>
        <v>218103</v>
      </c>
      <c r="O1410" s="104">
        <f>SUMIFS(LS[[#Headers],[Unit]]:LS[[#This Row],[Unit]],LS[[#Headers],[Investor ID]]:LS[[#This Row],[Investor ID]],LS[[#This Row],[Investor ID]])</f>
        <v>240096</v>
      </c>
      <c r="P1410" s="102">
        <v>2181030</v>
      </c>
      <c r="Q1410" s="102">
        <f>LS[[#This Row],[Amount]]-LS[[#This Row],[Unit Capital]]</f>
        <v>818970</v>
      </c>
      <c r="R141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13.628395461909273</v>
      </c>
      <c r="S1410" s="103">
        <f t="shared" si="33"/>
        <v>14.224</v>
      </c>
      <c r="T141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10" s="102" cm="1">
        <f t="array" ref="U1410">IF(LS[[#This Row],[B/S]]="S",ABS(LS[[#This Row],[Unit]])*(INDEX(LS[NAV at Cost (Average)],MATCH(CONCATENATE((LS[[#This Row],[Frequency]]-1),LS[[#This Row],[Investor ID]]),LS[Unique Code],0),0)),0)</f>
        <v>0</v>
      </c>
      <c r="V1410" s="102">
        <f>IF(LS[[#This Row],[BO TRANSFER]]="YES",LS[[#This Row],[Unit]],)</f>
        <v>0</v>
      </c>
      <c r="W1410" s="102">
        <f>SUMIFS(LS[[#Headers],[BO UNIT TRANSFER]]:LS[[#This Row],[BO UNIT TRANSFER]],LS[[#Headers],[Investor ID]]:LS[[#This Row],[Investor ID]],LS[[#This Row],[Investor ID]])</f>
        <v>0</v>
      </c>
    </row>
    <row r="1411" spans="1:23">
      <c r="A1411" s="101">
        <v>2026</v>
      </c>
      <c r="B1411" s="101">
        <v>1</v>
      </c>
      <c r="C1411" s="101">
        <v>8</v>
      </c>
      <c r="D1411" s="98">
        <f>DATE(LS[[#This Row],[Year]],LS[[#This Row],[Month]],LS[[#This Row],[Day]])</f>
        <v>46030</v>
      </c>
      <c r="E1411" s="99" t="str" cm="1">
        <f t="array" ref="E1411">INDEX(INVESTORS_LIST[INVESTOR NAME],MATCH(LS[[#This Row],[Investor ID]],INVESTORS_LIST[INVESTOR CODE],0),)</f>
        <v>CHAONIKA SAHA</v>
      </c>
      <c r="F1411" s="171" t="s">
        <v>238</v>
      </c>
      <c r="G1411" s="101">
        <f>COUNTIF(LS[[#Headers],[Investor ID]]:LS[[#This Row],[Investor ID]],LS[[#This Row],[Investor ID]])</f>
        <v>9</v>
      </c>
      <c r="H1411" s="101" t="str">
        <f>CONCATENATE(LS[[#This Row],[Frequency]],LS[[#This Row],[Investor ID]])</f>
        <v>9A00095</v>
      </c>
      <c r="I1411" s="75" t="str">
        <f>IF(LS[[#This Row],[B/S]]="B","BUY",(IF(LS[[#This Row],[B/S]]="S","SELL"," ")))</f>
        <v>BUY</v>
      </c>
      <c r="J1411" s="101" t="s">
        <v>1229</v>
      </c>
      <c r="K1411" s="102">
        <v>20000</v>
      </c>
      <c r="L1411" s="99"/>
      <c r="M1411" s="103">
        <f>LS[[#This Row],[Amount]]/LS[[#This Row],[Unit]]</f>
        <v>13.774104683195592</v>
      </c>
      <c r="N1411" s="104">
        <f>LS[[#This Row],[Unit Capital]]/10</f>
        <v>1452</v>
      </c>
      <c r="O1411" s="104">
        <f>SUMIFS(LS[[#Headers],[Unit]]:LS[[#This Row],[Unit]],LS[[#Headers],[Investor ID]]:LS[[#This Row],[Investor ID]],LS[[#This Row],[Investor ID]])</f>
        <v>1452</v>
      </c>
      <c r="P1411" s="102">
        <v>14520</v>
      </c>
      <c r="Q1411" s="102">
        <f>LS[[#This Row],[Amount]]-LS[[#This Row],[Unit Capital]]</f>
        <v>5480</v>
      </c>
      <c r="R141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13.774104683195592</v>
      </c>
      <c r="S1411" s="103">
        <f t="shared" si="33"/>
        <v>14.224</v>
      </c>
      <c r="T14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11" s="102" cm="1">
        <f t="array" ref="U1411">IF(LS[[#This Row],[B/S]]="S",ABS(LS[[#This Row],[Unit]])*(INDEX(LS[NAV at Cost (Average)],MATCH(CONCATENATE((LS[[#This Row],[Frequency]]-1),LS[[#This Row],[Investor ID]]),LS[Unique Code],0),0)),0)</f>
        <v>0</v>
      </c>
      <c r="V1411" s="102">
        <f>IF(LS[[#This Row],[BO TRANSFER]]="YES",LS[[#This Row],[Unit]],)</f>
        <v>0</v>
      </c>
      <c r="W1411" s="102">
        <f>SUMIFS(LS[[#Headers],[BO UNIT TRANSFER]]:LS[[#This Row],[BO UNIT TRANSFER]],LS[[#Headers],[Investor ID]]:LS[[#This Row],[Investor ID]],LS[[#This Row],[Investor ID]])</f>
        <v>0</v>
      </c>
    </row>
    <row r="1412" spans="1:23">
      <c r="A1412" s="101">
        <v>2026</v>
      </c>
      <c r="B1412" s="101">
        <v>1</v>
      </c>
      <c r="C1412" s="101">
        <v>8</v>
      </c>
      <c r="D1412" s="98">
        <f>DATE(LS[[#This Row],[Year]],LS[[#This Row],[Month]],LS[[#This Row],[Day]])</f>
        <v>46030</v>
      </c>
      <c r="E1412" s="99" t="str" cm="1">
        <f t="array" ref="E1412">INDEX(INVESTORS_LIST[INVESTOR NAME],MATCH(LS[[#This Row],[Investor ID]],INVESTORS_LIST[INVESTOR CODE],0),)</f>
        <v>SYED FAZLE RABBY</v>
      </c>
      <c r="F1412" s="100" t="s">
        <v>166</v>
      </c>
      <c r="G1412" s="101">
        <f>COUNTIF(LS[[#Headers],[Investor ID]]:LS[[#This Row],[Investor ID]],LS[[#This Row],[Investor ID]])</f>
        <v>52</v>
      </c>
      <c r="H1412" s="101" t="str">
        <f>CONCATENATE(LS[[#This Row],[Frequency]],LS[[#This Row],[Investor ID]])</f>
        <v>52A00059</v>
      </c>
      <c r="I1412" s="75" t="str">
        <f>IF(LS[[#This Row],[B/S]]="B","BUY",(IF(LS[[#This Row],[B/S]]="S","SELL"," ")))</f>
        <v>SELL</v>
      </c>
      <c r="J1412" s="101" t="s">
        <v>1231</v>
      </c>
      <c r="K1412" s="102">
        <v>-2727787</v>
      </c>
      <c r="L1412" s="99"/>
      <c r="M1412" s="103">
        <f>LS[[#This Row],[Amount]]/LS[[#This Row],[Unit]]</f>
        <v>13.742000000000001</v>
      </c>
      <c r="N1412" s="104">
        <f>LS[[#This Row],[Unit Capital]]/10</f>
        <v>-198500</v>
      </c>
      <c r="O1412" s="104">
        <f>SUMIFS(LS[[#Headers],[Unit]]:LS[[#This Row],[Unit]],LS[[#Headers],[Investor ID]]:LS[[#This Row],[Investor ID]],LS[[#This Row],[Investor ID]])</f>
        <v>363291</v>
      </c>
      <c r="P1412" s="102">
        <v>-1985000</v>
      </c>
      <c r="Q1412" s="102">
        <f>LS[[#This Row],[Amount]]-LS[[#This Row],[Unit Capital]]</f>
        <v>-742787</v>
      </c>
      <c r="R141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12.466762900907021</v>
      </c>
      <c r="S1412" s="103">
        <f t="shared" si="33"/>
        <v>14.224</v>
      </c>
      <c r="T1412" s="102">
        <f>IF(LS[[#This Row],[B/S]]="B",0,ABS(LS[[#This Row],[Unit]])*(LS[[#This Row],[NAV (Strike Rate)]]-INDEX(LS[NAV at Cost (Average)],MATCH(CONCATENATE(LS[[#This Row],[Frequency]]-1,LS[[#This Row],[Investor ID]]),LS[Unique Code],0),)))</f>
        <v>253134.56416995649</v>
      </c>
      <c r="U1412" s="102" cm="1">
        <f t="array" ref="U1412">IF(LS[[#This Row],[B/S]]="S",ABS(LS[[#This Row],[Unit]])*(INDEX(LS[NAV at Cost (Average)],MATCH(CONCATENATE((LS[[#This Row],[Frequency]]-1),LS[[#This Row],[Investor ID]]),LS[Unique Code],0),0)),0)</f>
        <v>2474652.4358300436</v>
      </c>
      <c r="V1412" s="102">
        <f>IF(LS[[#This Row],[BO TRANSFER]]="YES",LS[[#This Row],[Unit]],)</f>
        <v>0</v>
      </c>
      <c r="W1412" s="102">
        <f>SUMIFS(LS[[#Headers],[BO UNIT TRANSFER]]:LS[[#This Row],[BO UNIT TRANSFER]],LS[[#Headers],[Investor ID]]:LS[[#This Row],[Investor ID]],LS[[#This Row],[Investor ID]])</f>
        <v>0</v>
      </c>
    </row>
    <row r="1413" spans="1:23">
      <c r="A1413" s="101">
        <v>2026</v>
      </c>
      <c r="B1413" s="101">
        <v>1</v>
      </c>
      <c r="C1413" s="101">
        <v>12</v>
      </c>
      <c r="D1413" s="98">
        <f>DATE(LS[[#This Row],[Year]],LS[[#This Row],[Month]],LS[[#This Row],[Day]])</f>
        <v>46034</v>
      </c>
      <c r="E1413" s="99" t="str" cm="1">
        <f t="array" ref="E1413">INDEX(INVESTORS_LIST[INVESTOR NAME],MATCH(LS[[#This Row],[Investor ID]],INVESTORS_LIST[INVESTOR CODE],0),)</f>
        <v>AROOBA SAMEERA CHOWDHURY</v>
      </c>
      <c r="F1413" s="171" t="s">
        <v>1418</v>
      </c>
      <c r="G1413" s="101">
        <f>COUNTIF(LS[[#Headers],[Investor ID]]:LS[[#This Row],[Investor ID]],LS[[#This Row],[Investor ID]])</f>
        <v>6</v>
      </c>
      <c r="H1413" s="101" t="str">
        <f>CONCATENATE(LS[[#This Row],[Frequency]],LS[[#This Row],[Investor ID]])</f>
        <v>6A00653</v>
      </c>
      <c r="I1413" s="75" t="str">
        <f>IF(LS[[#This Row],[B/S]]="B","BUY",(IF(LS[[#This Row],[B/S]]="S","SELL"," ")))</f>
        <v>SELL</v>
      </c>
      <c r="J1413" s="101" t="s">
        <v>1231</v>
      </c>
      <c r="K1413" s="102">
        <v>-7000</v>
      </c>
      <c r="L1413" s="99"/>
      <c r="M1413" s="103">
        <f>LS[[#This Row],[Amount]]/LS[[#This Row],[Unit]]</f>
        <v>13.806706114398422</v>
      </c>
      <c r="N1413" s="104">
        <f>LS[[#This Row],[Unit Capital]]/10</f>
        <v>-507</v>
      </c>
      <c r="O1413" s="104">
        <f>SUMIFS(LS[[#Headers],[Unit]]:LS[[#This Row],[Unit]],LS[[#Headers],[Investor ID]]:LS[[#This Row],[Investor ID]],LS[[#This Row],[Investor ID]])</f>
        <v>75224</v>
      </c>
      <c r="P1413" s="102">
        <v>-5070</v>
      </c>
      <c r="Q1413" s="102">
        <f>LS[[#This Row],[Amount]]-LS[[#This Row],[Unit Capital]]</f>
        <v>-1930</v>
      </c>
      <c r="R141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413" s="103">
        <f t="shared" ref="S1413:S1418" si="34">IFERROR(NAV_MKT,0)</f>
        <v>14.224</v>
      </c>
      <c r="T1413" s="102">
        <f>IF(LS[[#This Row],[B/S]]="B",0,ABS(LS[[#This Row],[Unit]])*(LS[[#This Row],[NAV (Strike Rate)]]-INDEX(LS[NAV at Cost (Average)],MATCH(CONCATENATE(LS[[#This Row],[Frequency]]-1,LS[[#This Row],[Investor ID]]),LS[Unique Code],0),)))</f>
        <v>483.03919174261199</v>
      </c>
      <c r="U1413" s="102" cm="1">
        <f t="array" ref="U1413">IF(LS[[#This Row],[B/S]]="S",ABS(LS[[#This Row],[Unit]])*(INDEX(LS[NAV at Cost (Average)],MATCH(CONCATENATE((LS[[#This Row],[Frequency]]-1),LS[[#This Row],[Investor ID]]),LS[Unique Code],0),0)),0)</f>
        <v>6516.9608082573877</v>
      </c>
      <c r="V1413" s="102">
        <f>IF(LS[[#This Row],[BO TRANSFER]]="YES",LS[[#This Row],[Unit]],)</f>
        <v>0</v>
      </c>
      <c r="W1413" s="102">
        <f>SUMIFS(LS[[#Headers],[BO UNIT TRANSFER]]:LS[[#This Row],[BO UNIT TRANSFER]],LS[[#Headers],[Investor ID]]:LS[[#This Row],[Investor ID]],LS[[#This Row],[Investor ID]])</f>
        <v>0</v>
      </c>
    </row>
    <row r="1414" spans="1:23">
      <c r="A1414" s="101">
        <v>2026</v>
      </c>
      <c r="B1414" s="101">
        <v>1</v>
      </c>
      <c r="C1414" s="101">
        <v>12</v>
      </c>
      <c r="D1414" s="98">
        <f>DATE(LS[[#This Row],[Year]],LS[[#This Row],[Month]],LS[[#This Row],[Day]])</f>
        <v>46034</v>
      </c>
      <c r="E1414" s="99" t="str" cm="1">
        <f t="array" ref="E1414">INDEX(INVESTORS_LIST[INVESTOR NAME],MATCH(LS[[#This Row],[Investor ID]],INVESTORS_LIST[INVESTOR CODE],0),)</f>
        <v>MD AYNUL HOQUE</v>
      </c>
      <c r="F1414" s="171" t="s">
        <v>1139</v>
      </c>
      <c r="G1414" s="101">
        <f>COUNTIF(LS[[#Headers],[Investor ID]]:LS[[#This Row],[Investor ID]],LS[[#This Row],[Investor ID]])</f>
        <v>10</v>
      </c>
      <c r="H1414" s="101" t="str">
        <f>CONCATENATE(LS[[#This Row],[Frequency]],LS[[#This Row],[Investor ID]])</f>
        <v>10A00545</v>
      </c>
      <c r="I1414" s="75" t="str">
        <f>IF(LS[[#This Row],[B/S]]="B","BUY",(IF(LS[[#This Row],[B/S]]="S","SELL"," ")))</f>
        <v>SELL</v>
      </c>
      <c r="J1414" s="101" t="s">
        <v>1231</v>
      </c>
      <c r="K1414" s="102">
        <v>-70000</v>
      </c>
      <c r="L1414" s="99"/>
      <c r="M1414" s="103">
        <f>LS[[#This Row],[Amount]]/LS[[#This Row],[Unit]]</f>
        <v>13.795821836815136</v>
      </c>
      <c r="N1414" s="104">
        <f>LS[[#This Row],[Unit Capital]]/10</f>
        <v>-5074</v>
      </c>
      <c r="O1414" s="104">
        <f>SUMIFS(LS[[#Headers],[Unit]]:LS[[#This Row],[Unit]],LS[[#Headers],[Investor ID]]:LS[[#This Row],[Investor ID]],LS[[#This Row],[Investor ID]])</f>
        <v>738567</v>
      </c>
      <c r="P1414" s="102">
        <v>-50740</v>
      </c>
      <c r="Q1414" s="102">
        <f>LS[[#This Row],[Amount]]-LS[[#This Row],[Unit Capital]]</f>
        <v>-19260</v>
      </c>
      <c r="R141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414" s="103">
        <f t="shared" si="34"/>
        <v>14.224</v>
      </c>
      <c r="T1414" s="102">
        <f>IF(LS[[#This Row],[B/S]]="B",0,ABS(LS[[#This Row],[Unit]])*(LS[[#This Row],[NAV (Strike Rate)]]-INDEX(LS[NAV at Cost (Average)],MATCH(CONCATENATE(LS[[#This Row],[Frequency]]-1,LS[[#This Row],[Investor ID]]),LS[Unique Code],0),)))</f>
        <v>9982.0357962665494</v>
      </c>
      <c r="U1414" s="102" cm="1">
        <f t="array" ref="U1414">IF(LS[[#This Row],[B/S]]="S",ABS(LS[[#This Row],[Unit]])*(INDEX(LS[NAV at Cost (Average)],MATCH(CONCATENATE((LS[[#This Row],[Frequency]]-1),LS[[#This Row],[Investor ID]]),LS[Unique Code],0),0)),0)</f>
        <v>60017.964203733456</v>
      </c>
      <c r="V1414" s="102">
        <f>IF(LS[[#This Row],[BO TRANSFER]]="YES",LS[[#This Row],[Unit]],)</f>
        <v>0</v>
      </c>
      <c r="W1414" s="102">
        <f>SUMIFS(LS[[#Headers],[BO UNIT TRANSFER]]:LS[[#This Row],[BO UNIT TRANSFER]],LS[[#Headers],[Investor ID]]:LS[[#This Row],[Investor ID]],LS[[#This Row],[Investor ID]])</f>
        <v>0</v>
      </c>
    </row>
    <row r="1415" spans="1:23">
      <c r="A1415" s="101">
        <v>2026</v>
      </c>
      <c r="B1415" s="101">
        <v>1</v>
      </c>
      <c r="C1415" s="101">
        <v>12</v>
      </c>
      <c r="D1415" s="98">
        <f>DATE(LS[[#This Row],[Year]],LS[[#This Row],[Month]],LS[[#This Row],[Day]])</f>
        <v>46034</v>
      </c>
      <c r="E1415" s="99" t="str" cm="1">
        <f t="array" ref="E1415">INDEX(INVESTORS_LIST[INVESTOR NAME],MATCH(LS[[#This Row],[Investor ID]],INVESTORS_LIST[INVESTOR CODE],0),)</f>
        <v>NASREEN BEGUM</v>
      </c>
      <c r="F1415" s="171" t="s">
        <v>1417</v>
      </c>
      <c r="G1415" s="101">
        <f>COUNTIF(LS[[#Headers],[Investor ID]]:LS[[#This Row],[Investor ID]],LS[[#This Row],[Investor ID]])</f>
        <v>6</v>
      </c>
      <c r="H1415" s="101" t="str">
        <f>CONCATENATE(LS[[#This Row],[Frequency]],LS[[#This Row],[Investor ID]])</f>
        <v>6A00652</v>
      </c>
      <c r="I1415" s="75" t="str">
        <f>IF(LS[[#This Row],[B/S]]="B","BUY",(IF(LS[[#This Row],[B/S]]="S","SELL"," ")))</f>
        <v>SELL</v>
      </c>
      <c r="J1415" s="101" t="s">
        <v>1231</v>
      </c>
      <c r="K1415" s="102">
        <v>-10000</v>
      </c>
      <c r="L1415" s="99"/>
      <c r="M1415" s="103">
        <f>LS[[#This Row],[Amount]]/LS[[#This Row],[Unit]]</f>
        <v>13.793103448275861</v>
      </c>
      <c r="N1415" s="104">
        <f>LS[[#This Row],[Unit Capital]]/10</f>
        <v>-725</v>
      </c>
      <c r="O1415" s="104">
        <f>SUMIFS(LS[[#Headers],[Unit]]:LS[[#This Row],[Unit]],LS[[#Headers],[Investor ID]]:LS[[#This Row],[Investor ID]],LS[[#This Row],[Investor ID]])</f>
        <v>110431</v>
      </c>
      <c r="P1415" s="102">
        <v>-7250</v>
      </c>
      <c r="Q1415" s="102">
        <f>LS[[#This Row],[Amount]]-LS[[#This Row],[Unit Capital]]</f>
        <v>-2750</v>
      </c>
      <c r="R141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415" s="103">
        <f t="shared" si="34"/>
        <v>14.224</v>
      </c>
      <c r="T1415" s="102">
        <f>IF(LS[[#This Row],[B/S]]="B",0,ABS(LS[[#This Row],[Unit]])*(LS[[#This Row],[NAV (Strike Rate)]]-INDEX(LS[NAV at Cost (Average)],MATCH(CONCATENATE(LS[[#This Row],[Frequency]]-1,LS[[#This Row],[Investor ID]]),LS[Unique Code],0),)))</f>
        <v>680.83465444106309</v>
      </c>
      <c r="U1415" s="102" cm="1">
        <f t="array" ref="U1415">IF(LS[[#This Row],[B/S]]="S",ABS(LS[[#This Row],[Unit]])*(INDEX(LS[NAV at Cost (Average)],MATCH(CONCATENATE((LS[[#This Row],[Frequency]]-1),LS[[#This Row],[Investor ID]]),LS[Unique Code],0),0)),0)</f>
        <v>9319.1653455589367</v>
      </c>
      <c r="V1415" s="102">
        <f>IF(LS[[#This Row],[BO TRANSFER]]="YES",LS[[#This Row],[Unit]],)</f>
        <v>0</v>
      </c>
      <c r="W1415" s="102">
        <f>SUMIFS(LS[[#Headers],[BO UNIT TRANSFER]]:LS[[#This Row],[BO UNIT TRANSFER]],LS[[#Headers],[Investor ID]]:LS[[#This Row],[Investor ID]],LS[[#This Row],[Investor ID]])</f>
        <v>0</v>
      </c>
    </row>
    <row r="1416" spans="1:23">
      <c r="A1416" s="101">
        <v>2026</v>
      </c>
      <c r="B1416" s="101">
        <v>1</v>
      </c>
      <c r="C1416" s="101">
        <v>12</v>
      </c>
      <c r="D1416" s="98">
        <f>DATE(LS[[#This Row],[Year]],LS[[#This Row],[Month]],LS[[#This Row],[Day]])</f>
        <v>46034</v>
      </c>
      <c r="E1416" s="99" t="str" cm="1">
        <f t="array" ref="E1416">INDEX(INVESTORS_LIST[INVESTOR NAME],MATCH(LS[[#This Row],[Investor ID]],INVESTORS_LIST[INVESTOR CODE],0),)</f>
        <v>SYEDUL TANVIR HOQUE PRIYAM</v>
      </c>
      <c r="F1416" s="171" t="s">
        <v>1424</v>
      </c>
      <c r="G1416" s="101">
        <f>COUNTIF(LS[[#Headers],[Investor ID]]:LS[[#This Row],[Investor ID]],LS[[#This Row],[Investor ID]])</f>
        <v>11</v>
      </c>
      <c r="H1416" s="101" t="str">
        <f>CONCATENATE(LS[[#This Row],[Frequency]],LS[[#This Row],[Investor ID]])</f>
        <v>11A00656</v>
      </c>
      <c r="I1416" s="75" t="str">
        <f>IF(LS[[#This Row],[B/S]]="B","BUY",(IF(LS[[#This Row],[B/S]]="S","SELL"," ")))</f>
        <v>SELL</v>
      </c>
      <c r="J1416" s="101" t="s">
        <v>1231</v>
      </c>
      <c r="K1416" s="102">
        <v>-1485.21</v>
      </c>
      <c r="L1416" s="99"/>
      <c r="M1416" s="103">
        <f>LS[[#This Row],[Amount]]/LS[[#This Row],[Unit]]</f>
        <v>13.751944444444446</v>
      </c>
      <c r="N1416" s="104">
        <f>LS[[#This Row],[Unit Capital]]/10</f>
        <v>-108</v>
      </c>
      <c r="O1416" s="104">
        <f>SUMIFS(LS[[#Headers],[Unit]]:LS[[#This Row],[Unit]],LS[[#Headers],[Investor ID]]:LS[[#This Row],[Investor ID]],LS[[#This Row],[Investor ID]])</f>
        <v>50739</v>
      </c>
      <c r="P1416" s="102">
        <v>-1080</v>
      </c>
      <c r="Q1416" s="102">
        <f>LS[[#This Row],[Amount]]-LS[[#This Row],[Unit Capital]]</f>
        <v>-405.21000000000004</v>
      </c>
      <c r="R141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416" s="103">
        <f t="shared" si="34"/>
        <v>14.224</v>
      </c>
      <c r="T1416" s="102">
        <f>IF(LS[[#This Row],[B/S]]="B",0,ABS(LS[[#This Row],[Unit]])*(LS[[#This Row],[NAV (Strike Rate)]]-INDEX(LS[NAV at Cost (Average)],MATCH(CONCATENATE(LS[[#This Row],[Frequency]]-1,LS[[#This Row],[Investor ID]]),LS[Unique Code],0),)))</f>
        <v>90.067163947737569</v>
      </c>
      <c r="U1416" s="102" cm="1">
        <f t="array" ref="U1416">IF(LS[[#This Row],[B/S]]="S",ABS(LS[[#This Row],[Unit]])*(INDEX(LS[NAV at Cost (Average)],MATCH(CONCATENATE((LS[[#This Row],[Frequency]]-1),LS[[#This Row],[Investor ID]]),LS[Unique Code],0),0)),0)</f>
        <v>1395.1428360522625</v>
      </c>
      <c r="V1416" s="102">
        <f>IF(LS[[#This Row],[BO TRANSFER]]="YES",LS[[#This Row],[Unit]],)</f>
        <v>0</v>
      </c>
      <c r="W1416" s="102">
        <f>SUMIFS(LS[[#Headers],[BO UNIT TRANSFER]]:LS[[#This Row],[BO UNIT TRANSFER]],LS[[#Headers],[Investor ID]]:LS[[#This Row],[Investor ID]],LS[[#This Row],[Investor ID]])</f>
        <v>0</v>
      </c>
    </row>
    <row r="1417" spans="1:23">
      <c r="A1417" s="101">
        <v>2026</v>
      </c>
      <c r="B1417" s="101">
        <v>1</v>
      </c>
      <c r="C1417" s="101">
        <v>13</v>
      </c>
      <c r="D1417" s="98">
        <f>DATE(LS[[#This Row],[Year]],LS[[#This Row],[Month]],LS[[#This Row],[Day]])</f>
        <v>46035</v>
      </c>
      <c r="E1417" s="99" t="str" cm="1">
        <f t="array" ref="E1417">INDEX(INVESTORS_LIST[INVESTOR NAME],MATCH(LS[[#This Row],[Investor ID]],INVESTORS_LIST[INVESTOR CODE],0),)</f>
        <v>SYED FAZLE RABBY</v>
      </c>
      <c r="F1417" s="100" t="s">
        <v>166</v>
      </c>
      <c r="G1417" s="101">
        <f>COUNTIF(LS[[#Headers],[Investor ID]]:LS[[#This Row],[Investor ID]],LS[[#This Row],[Investor ID]])</f>
        <v>53</v>
      </c>
      <c r="H1417" s="101" t="str">
        <f>CONCATENATE(LS[[#This Row],[Frequency]],LS[[#This Row],[Investor ID]])</f>
        <v>53A00059</v>
      </c>
      <c r="I1417" s="75" t="str">
        <f>IF(LS[[#This Row],[B/S]]="B","BUY",(IF(LS[[#This Row],[B/S]]="S","SELL"," ")))</f>
        <v>SELL</v>
      </c>
      <c r="J1417" s="101" t="s">
        <v>1231</v>
      </c>
      <c r="K1417" s="102">
        <v>-230000</v>
      </c>
      <c r="L1417" s="99"/>
      <c r="M1417" s="103">
        <f>LS[[#This Row],[Amount]]/LS[[#This Row],[Unit]]</f>
        <v>13.796412932637514</v>
      </c>
      <c r="N1417" s="104">
        <f>LS[[#This Row],[Unit Capital]]/10</f>
        <v>-16671</v>
      </c>
      <c r="O1417" s="104">
        <f>SUMIFS(LS[[#Headers],[Unit]]:LS[[#This Row],[Unit]],LS[[#Headers],[Investor ID]]:LS[[#This Row],[Investor ID]],LS[[#This Row],[Investor ID]])</f>
        <v>346620</v>
      </c>
      <c r="P1417" s="102">
        <v>-166710</v>
      </c>
      <c r="Q1417" s="102">
        <f>LS[[#This Row],[Amount]]-LS[[#This Row],[Unit Capital]]</f>
        <v>-63290</v>
      </c>
      <c r="R141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12.466762900907021</v>
      </c>
      <c r="S1417" s="103">
        <f t="shared" si="34"/>
        <v>14.224</v>
      </c>
      <c r="T1417" s="102">
        <f>IF(LS[[#This Row],[B/S]]="B",0,ABS(LS[[#This Row],[Unit]])*(LS[[#This Row],[NAV (Strike Rate)]]-INDEX(LS[NAV at Cost (Average)],MATCH(CONCATENATE(LS[[#This Row],[Frequency]]-1,LS[[#This Row],[Investor ID]]),LS[Unique Code],0),)))</f>
        <v>22166.595678979047</v>
      </c>
      <c r="U1417" s="102" cm="1">
        <f t="array" ref="U1417">IF(LS[[#This Row],[B/S]]="S",ABS(LS[[#This Row],[Unit]])*(INDEX(LS[NAV at Cost (Average)],MATCH(CONCATENATE((LS[[#This Row],[Frequency]]-1),LS[[#This Row],[Investor ID]]),LS[Unique Code],0),0)),0)</f>
        <v>207833.40432102093</v>
      </c>
      <c r="V1417" s="102">
        <f>IF(LS[[#This Row],[BO TRANSFER]]="YES",LS[[#This Row],[Unit]],)</f>
        <v>0</v>
      </c>
      <c r="W1417" s="102">
        <f>SUMIFS(LS[[#Headers],[BO UNIT TRANSFER]]:LS[[#This Row],[BO UNIT TRANSFER]],LS[[#Headers],[Investor ID]]:LS[[#This Row],[Investor ID]],LS[[#This Row],[Investor ID]])</f>
        <v>0</v>
      </c>
    </row>
    <row r="1418" spans="1:23">
      <c r="A1418" s="101">
        <v>2026</v>
      </c>
      <c r="B1418" s="101">
        <v>1</v>
      </c>
      <c r="C1418" s="101">
        <v>13</v>
      </c>
      <c r="D1418" s="98">
        <f>DATE(LS[[#This Row],[Year]],LS[[#This Row],[Month]],LS[[#This Row],[Day]])</f>
        <v>46035</v>
      </c>
      <c r="E1418" s="99" t="str" cm="1">
        <f t="array" ref="E1418">INDEX(INVESTORS_LIST[INVESTOR NAME],MATCH(LS[[#This Row],[Investor ID]],INVESTORS_LIST[INVESTOR CODE],0),)</f>
        <v>SYED FAZLE RABBY</v>
      </c>
      <c r="F1418" s="100" t="s">
        <v>166</v>
      </c>
      <c r="G1418" s="101">
        <f>COUNTIF(LS[[#Headers],[Investor ID]]:LS[[#This Row],[Investor ID]],LS[[#This Row],[Investor ID]])</f>
        <v>54</v>
      </c>
      <c r="H1418" s="101" t="str">
        <f>CONCATENATE(LS[[#This Row],[Frequency]],LS[[#This Row],[Investor ID]])</f>
        <v>54A00059</v>
      </c>
      <c r="I1418" s="75" t="str">
        <f>IF(LS[[#This Row],[B/S]]="B","BUY",(IF(LS[[#This Row],[B/S]]="S","SELL"," ")))</f>
        <v>SELL</v>
      </c>
      <c r="J1418" s="101" t="s">
        <v>1231</v>
      </c>
      <c r="K1418" s="102">
        <v>-670000</v>
      </c>
      <c r="L1418" s="99"/>
      <c r="M1418" s="103">
        <f>LS[[#This Row],[Amount]]/LS[[#This Row],[Unit]]</f>
        <v>13.795943580768043</v>
      </c>
      <c r="N1418" s="104">
        <f>LS[[#This Row],[Unit Capital]]/10</f>
        <v>-48565</v>
      </c>
      <c r="O1418" s="104">
        <f>SUMIFS(LS[[#Headers],[Unit]]:LS[[#This Row],[Unit]],LS[[#Headers],[Investor ID]]:LS[[#This Row],[Investor ID]],LS[[#This Row],[Investor ID]])</f>
        <v>298055</v>
      </c>
      <c r="P1418" s="102">
        <v>-485650</v>
      </c>
      <c r="Q1418" s="102">
        <f>LS[[#This Row],[Amount]]-LS[[#This Row],[Unit Capital]]</f>
        <v>-184350</v>
      </c>
      <c r="R141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12.466762900907021</v>
      </c>
      <c r="S1418" s="103">
        <f t="shared" si="34"/>
        <v>14.224</v>
      </c>
      <c r="T1418" s="102">
        <f>IF(LS[[#This Row],[B/S]]="B",0,ABS(LS[[#This Row],[Unit]])*(LS[[#This Row],[NAV (Strike Rate)]]-INDEX(LS[NAV at Cost (Average)],MATCH(CONCATENATE(LS[[#This Row],[Frequency]]-1,LS[[#This Row],[Investor ID]]),LS[Unique Code],0),)))</f>
        <v>64551.659717450522</v>
      </c>
      <c r="U1418" s="102" cm="1">
        <f t="array" ref="U1418">IF(LS[[#This Row],[B/S]]="S",ABS(LS[[#This Row],[Unit]])*(INDEX(LS[NAV at Cost (Average)],MATCH(CONCATENATE((LS[[#This Row],[Frequency]]-1),LS[[#This Row],[Investor ID]]),LS[Unique Code],0),0)),0)</f>
        <v>605448.3402825495</v>
      </c>
      <c r="V1418" s="102">
        <f>IF(LS[[#This Row],[BO TRANSFER]]="YES",LS[[#This Row],[Unit]],)</f>
        <v>0</v>
      </c>
      <c r="W1418" s="102">
        <f>SUMIFS(LS[[#Headers],[BO UNIT TRANSFER]]:LS[[#This Row],[BO UNIT TRANSFER]],LS[[#Headers],[Investor ID]]:LS[[#This Row],[Investor ID]],LS[[#This Row],[Investor ID]])</f>
        <v>0</v>
      </c>
    </row>
    <row r="1419" spans="1:23">
      <c r="A1419" s="101">
        <v>2026</v>
      </c>
      <c r="B1419" s="101">
        <v>1</v>
      </c>
      <c r="C1419" s="101">
        <v>14</v>
      </c>
      <c r="D1419" s="98">
        <f>DATE(LS[[#This Row],[Year]],LS[[#This Row],[Month]],LS[[#This Row],[Day]])</f>
        <v>46036</v>
      </c>
      <c r="E1419" s="99" t="str" cm="1">
        <f t="array" ref="E1419">INDEX(INVESTORS_LIST[INVESTOR NAME],MATCH(LS[[#This Row],[Investor ID]],INVESTORS_LIST[INVESTOR CODE],0),)</f>
        <v>SHARMIN AKTER</v>
      </c>
      <c r="F1419" s="100" t="s">
        <v>1342</v>
      </c>
      <c r="G1419" s="101">
        <f>COUNTIF(LS[[#Headers],[Investor ID]]:LS[[#This Row],[Investor ID]],LS[[#This Row],[Investor ID]])</f>
        <v>4</v>
      </c>
      <c r="H1419" s="101" t="str">
        <f>CONCATENATE(LS[[#This Row],[Frequency]],LS[[#This Row],[Investor ID]])</f>
        <v>4A00617</v>
      </c>
      <c r="I1419" s="75" t="str">
        <f>IF(LS[[#This Row],[B/S]]="B","BUY",(IF(LS[[#This Row],[B/S]]="S","SELL"," ")))</f>
        <v>BUY</v>
      </c>
      <c r="J1419" s="101" t="s">
        <v>1229</v>
      </c>
      <c r="K1419" s="102">
        <v>100000</v>
      </c>
      <c r="L1419" s="99"/>
      <c r="M1419" s="103">
        <f>LS[[#This Row],[Amount]]/LS[[#This Row],[Unit]]</f>
        <v>13.796909492273731</v>
      </c>
      <c r="N1419" s="104">
        <f>LS[[#This Row],[Unit Capital]]/10</f>
        <v>7248</v>
      </c>
      <c r="O1419" s="104">
        <f>SUMIFS(LS[[#Headers],[Unit]]:LS[[#This Row],[Unit]],LS[[#Headers],[Investor ID]]:LS[[#This Row],[Investor ID]],LS[[#This Row],[Investor ID]])</f>
        <v>58129</v>
      </c>
      <c r="P1419" s="102">
        <v>72480</v>
      </c>
      <c r="Q1419" s="102">
        <f>LS[[#This Row],[Amount]]-LS[[#This Row],[Unit Capital]]</f>
        <v>27520</v>
      </c>
      <c r="R141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12.902337903628139</v>
      </c>
      <c r="S1419" s="103">
        <f t="shared" ref="S1419:S1425" si="35">IFERROR(NAV_MKT,0)</f>
        <v>14.224</v>
      </c>
      <c r="T141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19" s="102" cm="1">
        <f t="array" ref="U1419">IF(LS[[#This Row],[B/S]]="S",ABS(LS[[#This Row],[Unit]])*(INDEX(LS[NAV at Cost (Average)],MATCH(CONCATENATE((LS[[#This Row],[Frequency]]-1),LS[[#This Row],[Investor ID]]),LS[Unique Code],0),0)),0)</f>
        <v>0</v>
      </c>
      <c r="V1419" s="102">
        <f>IF(LS[[#This Row],[BO TRANSFER]]="YES",LS[[#This Row],[Unit]],)</f>
        <v>0</v>
      </c>
      <c r="W1419" s="102">
        <f>SUMIFS(LS[[#Headers],[BO UNIT TRANSFER]]:LS[[#This Row],[BO UNIT TRANSFER]],LS[[#Headers],[Investor ID]]:LS[[#This Row],[Investor ID]],LS[[#This Row],[Investor ID]])</f>
        <v>0</v>
      </c>
    </row>
    <row r="1420" spans="1:23">
      <c r="A1420" s="101">
        <v>2026</v>
      </c>
      <c r="B1420" s="101">
        <v>1</v>
      </c>
      <c r="C1420" s="101">
        <v>14</v>
      </c>
      <c r="D1420" s="98">
        <f>DATE(LS[[#This Row],[Year]],LS[[#This Row],[Month]],LS[[#This Row],[Day]])</f>
        <v>46036</v>
      </c>
      <c r="E1420" s="99" t="str" cm="1">
        <f t="array" ref="E1420">INDEX(INVESTORS_LIST[INVESTOR NAME],MATCH(LS[[#This Row],[Investor ID]],INVESTORS_LIST[INVESTOR CODE],0),)</f>
        <v>ROKSABA KASEM</v>
      </c>
      <c r="F1420" s="100" t="s">
        <v>900</v>
      </c>
      <c r="G1420" s="101">
        <f>COUNTIF(LS[[#Headers],[Investor ID]]:LS[[#This Row],[Investor ID]],LS[[#This Row],[Investor ID]])</f>
        <v>2</v>
      </c>
      <c r="H1420" s="101" t="str">
        <f>CONCATENATE(LS[[#This Row],[Frequency]],LS[[#This Row],[Investor ID]])</f>
        <v>2A00427</v>
      </c>
      <c r="I1420" s="75" t="str">
        <f>IF(LS[[#This Row],[B/S]]="B","BUY",(IF(LS[[#This Row],[B/S]]="S","SELL"," ")))</f>
        <v>BUY</v>
      </c>
      <c r="J1420" s="101" t="s">
        <v>1229</v>
      </c>
      <c r="K1420" s="102">
        <v>1500000</v>
      </c>
      <c r="L1420" s="99" t="s">
        <v>1230</v>
      </c>
      <c r="M1420" s="103">
        <f>LS[[#This Row],[Amount]]/LS[[#This Row],[Unit]]</f>
        <v>13.796021227477995</v>
      </c>
      <c r="N1420" s="104">
        <f>LS[[#This Row],[Unit Capital]]/10</f>
        <v>108727</v>
      </c>
      <c r="O1420" s="104">
        <f>SUMIFS(LS[[#Headers],[Unit]]:LS[[#This Row],[Unit]],LS[[#Headers],[Investor ID]]:LS[[#This Row],[Investor ID]],LS[[#This Row],[Investor ID]])</f>
        <v>148530</v>
      </c>
      <c r="P1420" s="102">
        <v>1087270</v>
      </c>
      <c r="Q1420" s="102">
        <f>LS[[#This Row],[Amount]]-LS[[#This Row],[Unit Capital]]</f>
        <v>412730</v>
      </c>
      <c r="R142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13.465293206759577</v>
      </c>
      <c r="S1420" s="103">
        <f t="shared" si="35"/>
        <v>14.224</v>
      </c>
      <c r="T142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0" s="102" cm="1">
        <f t="array" ref="U1420">IF(LS[[#This Row],[B/S]]="S",ABS(LS[[#This Row],[Unit]])*(INDEX(LS[NAV at Cost (Average)],MATCH(CONCATENATE((LS[[#This Row],[Frequency]]-1),LS[[#This Row],[Investor ID]]),LS[Unique Code],0),0)),0)</f>
        <v>0</v>
      </c>
      <c r="V1420" s="102">
        <f>IF(LS[[#This Row],[BO TRANSFER]]="YES",LS[[#This Row],[Unit]],)</f>
        <v>108727</v>
      </c>
      <c r="W1420" s="102">
        <f>SUMIFS(LS[[#Headers],[BO UNIT TRANSFER]]:LS[[#This Row],[BO UNIT TRANSFER]],LS[[#Headers],[Investor ID]]:LS[[#This Row],[Investor ID]],LS[[#This Row],[Investor ID]])</f>
        <v>148530</v>
      </c>
    </row>
    <row r="1421" spans="1:23">
      <c r="A1421" s="101">
        <v>2026</v>
      </c>
      <c r="B1421" s="101">
        <v>1</v>
      </c>
      <c r="C1421" s="101">
        <v>14</v>
      </c>
      <c r="D1421" s="98">
        <f>DATE(LS[[#This Row],[Year]],LS[[#This Row],[Month]],LS[[#This Row],[Day]])</f>
        <v>46036</v>
      </c>
      <c r="E1421" s="99" t="str" cm="1">
        <f t="array" ref="E1421">INDEX(INVESTORS_LIST[INVESTOR NAME],MATCH(LS[[#This Row],[Investor ID]],INVESTORS_LIST[INVESTOR CODE],0),)</f>
        <v>AMIT KANTI SARKER</v>
      </c>
      <c r="F1421" s="100" t="s">
        <v>364</v>
      </c>
      <c r="G1421" s="101">
        <f>COUNTIF(LS[[#Headers],[Investor ID]]:LS[[#This Row],[Investor ID]],LS[[#This Row],[Investor ID]])</f>
        <v>6</v>
      </c>
      <c r="H1421" s="101" t="str">
        <f>CONCATENATE(LS[[#This Row],[Frequency]],LS[[#This Row],[Investor ID]])</f>
        <v>6A00158</v>
      </c>
      <c r="I1421" s="75" t="str">
        <f>IF(LS[[#This Row],[B/S]]="B","BUY",(IF(LS[[#This Row],[B/S]]="S","SELL"," ")))</f>
        <v>BUY</v>
      </c>
      <c r="J1421" s="101" t="s">
        <v>1229</v>
      </c>
      <c r="K1421" s="102">
        <v>400000</v>
      </c>
      <c r="L1421" s="99"/>
      <c r="M1421" s="103">
        <f>LS[[#This Row],[Amount]]/LS[[#This Row],[Unit]]</f>
        <v>13.795957784369179</v>
      </c>
      <c r="N1421" s="104">
        <f>LS[[#This Row],[Unit Capital]]/10</f>
        <v>28994</v>
      </c>
      <c r="O1421" s="104">
        <f>SUMIFS(LS[[#Headers],[Unit]]:LS[[#This Row],[Unit]],LS[[#Headers],[Investor ID]]:LS[[#This Row],[Investor ID]],LS[[#This Row],[Investor ID]])</f>
        <v>187846</v>
      </c>
      <c r="P1421" s="102">
        <v>289940</v>
      </c>
      <c r="Q1421" s="102">
        <f>LS[[#This Row],[Amount]]-LS[[#This Row],[Unit Capital]]</f>
        <v>110060</v>
      </c>
      <c r="R142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11.179370335274641</v>
      </c>
      <c r="S1421" s="103">
        <f t="shared" si="35"/>
        <v>14.224</v>
      </c>
      <c r="T142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1" s="102" cm="1">
        <f t="array" ref="U1421">IF(LS[[#This Row],[B/S]]="S",ABS(LS[[#This Row],[Unit]])*(INDEX(LS[NAV at Cost (Average)],MATCH(CONCATENATE((LS[[#This Row],[Frequency]]-1),LS[[#This Row],[Investor ID]]),LS[Unique Code],0),0)),0)</f>
        <v>0</v>
      </c>
      <c r="V1421" s="102">
        <f>IF(LS[[#This Row],[BO TRANSFER]]="YES",LS[[#This Row],[Unit]],)</f>
        <v>0</v>
      </c>
      <c r="W1421" s="102">
        <f>SUMIFS(LS[[#Headers],[BO UNIT TRANSFER]]:LS[[#This Row],[BO UNIT TRANSFER]],LS[[#Headers],[Investor ID]]:LS[[#This Row],[Investor ID]],LS[[#This Row],[Investor ID]])</f>
        <v>0</v>
      </c>
    </row>
    <row r="1422" spans="1:23">
      <c r="A1422" s="101">
        <v>2026</v>
      </c>
      <c r="B1422" s="101">
        <v>1</v>
      </c>
      <c r="C1422" s="101">
        <v>18</v>
      </c>
      <c r="D1422" s="98">
        <f>DATE(LS[[#This Row],[Year]],LS[[#This Row],[Month]],LS[[#This Row],[Day]])</f>
        <v>46040</v>
      </c>
      <c r="E1422" s="99" t="str" cm="1">
        <f t="array" ref="E1422">INDEX(INVESTORS_LIST[INVESTOR NAME],MATCH(LS[[#This Row],[Investor ID]],INVESTORS_LIST[INVESTOR CODE],0),)</f>
        <v>A.N.M. GOLAM SHABBIR</v>
      </c>
      <c r="F1422" s="100" t="s">
        <v>1056</v>
      </c>
      <c r="G1422" s="101">
        <f>COUNTIF(LS[[#Headers],[Investor ID]]:LS[[#This Row],[Investor ID]],LS[[#This Row],[Investor ID]])</f>
        <v>4</v>
      </c>
      <c r="H1422" s="101" t="str">
        <f>CONCATENATE(LS[[#This Row],[Frequency]],LS[[#This Row],[Investor ID]])</f>
        <v>4A00505</v>
      </c>
      <c r="I1422" s="75" t="str">
        <f>IF(LS[[#This Row],[B/S]]="B","BUY",(IF(LS[[#This Row],[B/S]]="S","SELL"," ")))</f>
        <v>BUY</v>
      </c>
      <c r="J1422" s="101" t="s">
        <v>1229</v>
      </c>
      <c r="K1422" s="152">
        <v>2500000</v>
      </c>
      <c r="L1422" s="99"/>
      <c r="M1422" s="103">
        <f>LS[[#This Row],[Amount]]/LS[[#This Row],[Unit]]</f>
        <v>13.795995850164449</v>
      </c>
      <c r="N1422" s="104">
        <f>LS[[#This Row],[Unit Capital]]/10</f>
        <v>181212</v>
      </c>
      <c r="O1422" s="104">
        <f>SUMIFS(LS[[#Headers],[Unit]]:LS[[#This Row],[Unit]],LS[[#Headers],[Investor ID]]:LS[[#This Row],[Investor ID]],LS[[#This Row],[Investor ID]])</f>
        <v>181212</v>
      </c>
      <c r="P1422" s="102">
        <v>1812120</v>
      </c>
      <c r="Q1422" s="102">
        <f>LS[[#This Row],[Amount]]-LS[[#This Row],[Unit Capital]]</f>
        <v>687880</v>
      </c>
      <c r="R142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13.795995850164449</v>
      </c>
      <c r="S1422" s="103">
        <f t="shared" si="35"/>
        <v>14.224</v>
      </c>
      <c r="T142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2" s="102" cm="1">
        <f t="array" ref="U1422">IF(LS[[#This Row],[B/S]]="S",ABS(LS[[#This Row],[Unit]])*(INDEX(LS[NAV at Cost (Average)],MATCH(CONCATENATE((LS[[#This Row],[Frequency]]-1),LS[[#This Row],[Investor ID]]),LS[Unique Code],0),0)),0)</f>
        <v>0</v>
      </c>
      <c r="V1422" s="102">
        <f>IF(LS[[#This Row],[BO TRANSFER]]="YES",LS[[#This Row],[Unit]],)</f>
        <v>0</v>
      </c>
      <c r="W1422" s="102">
        <f>SUMIFS(LS[[#Headers],[BO UNIT TRANSFER]]:LS[[#This Row],[BO UNIT TRANSFER]],LS[[#Headers],[Investor ID]]:LS[[#This Row],[Investor ID]],LS[[#This Row],[Investor ID]])</f>
        <v>0</v>
      </c>
    </row>
    <row r="1423" spans="1:23">
      <c r="A1423" s="101">
        <v>2026</v>
      </c>
      <c r="B1423" s="101">
        <v>1</v>
      </c>
      <c r="C1423" s="101">
        <v>18</v>
      </c>
      <c r="D1423" s="98">
        <f>DATE(LS[[#This Row],[Year]],LS[[#This Row],[Month]],LS[[#This Row],[Day]])</f>
        <v>46040</v>
      </c>
      <c r="E1423" s="99" t="str" cm="1">
        <f t="array" ref="E1423">INDEX(INVESTORS_LIST[INVESTOR NAME],MATCH(LS[[#This Row],[Investor ID]],INVESTORS_LIST[INVESTOR CODE],0),)</f>
        <v>TASNIM NOORIN</v>
      </c>
      <c r="F1423" s="97" t="s">
        <v>1495</v>
      </c>
      <c r="G1423" s="101">
        <f>COUNTIF(LS[[#Headers],[Investor ID]]:LS[[#This Row],[Investor ID]],LS[[#This Row],[Investor ID]])</f>
        <v>1</v>
      </c>
      <c r="H1423" s="101" t="str">
        <f>CONCATENATE(LS[[#This Row],[Frequency]],LS[[#This Row],[Investor ID]])</f>
        <v>1A00689</v>
      </c>
      <c r="I1423" s="75" t="str">
        <f>IF(LS[[#This Row],[B/S]]="B","BUY",(IF(LS[[#This Row],[B/S]]="S","SELL"," ")))</f>
        <v>BUY</v>
      </c>
      <c r="J1423" s="101" t="s">
        <v>1229</v>
      </c>
      <c r="K1423" s="151">
        <v>500000</v>
      </c>
      <c r="L1423" s="99"/>
      <c r="M1423" s="103">
        <f>LS[[#This Row],[Amount]]/LS[[#This Row],[Unit]]</f>
        <v>13.793103448275861</v>
      </c>
      <c r="N1423" s="104">
        <f>LS[[#This Row],[Unit Capital]]/10</f>
        <v>36250</v>
      </c>
      <c r="O1423" s="104">
        <f>SUMIFS(LS[[#Headers],[Unit]]:LS[[#This Row],[Unit]],LS[[#Headers],[Investor ID]]:LS[[#This Row],[Investor ID]],LS[[#This Row],[Investor ID]])</f>
        <v>36250</v>
      </c>
      <c r="P1423" s="102">
        <v>362500</v>
      </c>
      <c r="Q1423" s="102">
        <f>LS[[#This Row],[Amount]]-LS[[#This Row],[Unit Capital]]</f>
        <v>137500</v>
      </c>
      <c r="R142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13.793103448275861</v>
      </c>
      <c r="S1423" s="103">
        <f t="shared" si="35"/>
        <v>14.224</v>
      </c>
      <c r="T142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3" s="102" cm="1">
        <f t="array" ref="U1423">IF(LS[[#This Row],[B/S]]="S",ABS(LS[[#This Row],[Unit]])*(INDEX(LS[NAV at Cost (Average)],MATCH(CONCATENATE((LS[[#This Row],[Frequency]]-1),LS[[#This Row],[Investor ID]]),LS[Unique Code],0),0)),0)</f>
        <v>0</v>
      </c>
      <c r="V1423" s="102">
        <f>IF(LS[[#This Row],[BO TRANSFER]]="YES",LS[[#This Row],[Unit]],)</f>
        <v>0</v>
      </c>
      <c r="W1423" s="102">
        <f>SUMIFS(LS[[#Headers],[BO UNIT TRANSFER]]:LS[[#This Row],[BO UNIT TRANSFER]],LS[[#Headers],[Investor ID]]:LS[[#This Row],[Investor ID]],LS[[#This Row],[Investor ID]])</f>
        <v>0</v>
      </c>
    </row>
    <row r="1424" spans="1:23">
      <c r="A1424" s="101">
        <v>2026</v>
      </c>
      <c r="B1424" s="101">
        <v>1</v>
      </c>
      <c r="C1424" s="101">
        <v>18</v>
      </c>
      <c r="D1424" s="98">
        <f>DATE(LS[[#This Row],[Year]],LS[[#This Row],[Month]],LS[[#This Row],[Day]])</f>
        <v>46040</v>
      </c>
      <c r="E1424" s="99" t="str" cm="1">
        <f t="array" ref="E1424">INDEX(INVESTORS_LIST[INVESTOR NAME],MATCH(LS[[#This Row],[Investor ID]],INVESTORS_LIST[INVESTOR CODE],0),)</f>
        <v>MD. MASUM BILLAH</v>
      </c>
      <c r="F1424" s="100" t="s">
        <v>1364</v>
      </c>
      <c r="G1424" s="101">
        <f>COUNTIF(LS[[#Headers],[Investor ID]]:LS[[#This Row],[Investor ID]],LS[[#This Row],[Investor ID]])</f>
        <v>2</v>
      </c>
      <c r="H1424" s="101" t="str">
        <f>CONCATENATE(LS[[#This Row],[Frequency]],LS[[#This Row],[Investor ID]])</f>
        <v>2A00628</v>
      </c>
      <c r="I1424" s="75" t="str">
        <f>IF(LS[[#This Row],[B/S]]="B","BUY",(IF(LS[[#This Row],[B/S]]="S","SELL"," ")))</f>
        <v>SELL</v>
      </c>
      <c r="J1424" s="101" t="s">
        <v>1231</v>
      </c>
      <c r="K1424" s="102">
        <v>-110148.4</v>
      </c>
      <c r="L1424" s="99"/>
      <c r="M1424" s="103">
        <f>LS[[#This Row],[Amount]]/LS[[#This Row],[Unit]]</f>
        <v>13.836000502449441</v>
      </c>
      <c r="N1424" s="104">
        <f>LS[[#This Row],[Unit Capital]]/10</f>
        <v>-7961</v>
      </c>
      <c r="O1424" s="104">
        <f>SUMIFS(LS[[#Headers],[Unit]]:LS[[#This Row],[Unit]],LS[[#Headers],[Investor ID]]:LS[[#This Row],[Investor ID]],LS[[#This Row],[Investor ID]])</f>
        <v>0</v>
      </c>
      <c r="P1424" s="102">
        <v>-79610</v>
      </c>
      <c r="Q1424" s="102">
        <f>LS[[#This Row],[Amount]]-LS[[#This Row],[Unit Capital]]</f>
        <v>-30538.399999999994</v>
      </c>
      <c r="R142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24" s="103">
        <f t="shared" si="35"/>
        <v>14.224</v>
      </c>
      <c r="T1424" s="102">
        <f>IF(LS[[#This Row],[B/S]]="B",0,ABS(LS[[#This Row],[Unit]])*(LS[[#This Row],[NAV (Strike Rate)]]-INDEX(LS[NAV at Cost (Average)],MATCH(CONCATENATE(LS[[#This Row],[Frequency]]-1,LS[[#This Row],[Investor ID]]),LS[Unique Code],0),)))</f>
        <v>10148.399999999994</v>
      </c>
      <c r="U1424" s="102" cm="1">
        <f t="array" ref="U1424">IF(LS[[#This Row],[B/S]]="S",ABS(LS[[#This Row],[Unit]])*(INDEX(LS[NAV at Cost (Average)],MATCH(CONCATENATE((LS[[#This Row],[Frequency]]-1),LS[[#This Row],[Investor ID]]),LS[Unique Code],0),0)),0)</f>
        <v>100000</v>
      </c>
      <c r="V1424" s="102">
        <f>IF(LS[[#This Row],[BO TRANSFER]]="YES",LS[[#This Row],[Unit]],)</f>
        <v>0</v>
      </c>
      <c r="W1424" s="102">
        <f>SUMIFS(LS[[#Headers],[BO UNIT TRANSFER]]:LS[[#This Row],[BO UNIT TRANSFER]],LS[[#Headers],[Investor ID]]:LS[[#This Row],[Investor ID]],LS[[#This Row],[Investor ID]])</f>
        <v>0</v>
      </c>
    </row>
    <row r="1425" spans="1:23">
      <c r="A1425" s="101">
        <v>2026</v>
      </c>
      <c r="B1425" s="101">
        <v>1</v>
      </c>
      <c r="C1425" s="101">
        <v>18</v>
      </c>
      <c r="D1425" s="98">
        <f>DATE(LS[[#This Row],[Year]],LS[[#This Row],[Month]],LS[[#This Row],[Day]])</f>
        <v>46040</v>
      </c>
      <c r="E1425" s="99" t="str" cm="1">
        <f t="array" ref="E1425">INDEX(INVESTORS_LIST[INVESTOR NAME],MATCH(LS[[#This Row],[Investor ID]],INVESTORS_LIST[INVESTOR CODE],0),)</f>
        <v>TAJDIKUL ALAM</v>
      </c>
      <c r="F1425" s="100" t="s">
        <v>1099</v>
      </c>
      <c r="G1425" s="101">
        <f>COUNTIF(LS[[#Headers],[Investor ID]]:LS[[#This Row],[Investor ID]],LS[[#This Row],[Investor ID]])</f>
        <v>10</v>
      </c>
      <c r="H1425" s="101" t="str">
        <f>CONCATENATE(LS[[#This Row],[Frequency]],LS[[#This Row],[Investor ID]])</f>
        <v>10A00526</v>
      </c>
      <c r="I1425" s="75" t="str">
        <f>IF(LS[[#This Row],[B/S]]="B","BUY",(IF(LS[[#This Row],[B/S]]="S","SELL"," ")))</f>
        <v>SELL</v>
      </c>
      <c r="J1425" s="101" t="s">
        <v>1231</v>
      </c>
      <c r="K1425" s="102">
        <v>-359736</v>
      </c>
      <c r="L1425" s="99"/>
      <c r="M1425" s="103">
        <f>LS[[#This Row],[Amount]]/LS[[#This Row],[Unit]]</f>
        <v>13.836</v>
      </c>
      <c r="N1425" s="104">
        <f>LS[[#This Row],[Unit Capital]]/10</f>
        <v>-26000</v>
      </c>
      <c r="O1425" s="104">
        <f>SUMIFS(LS[[#Headers],[Unit]]:LS[[#This Row],[Unit]],LS[[#Headers],[Investor ID]]:LS[[#This Row],[Investor ID]],LS[[#This Row],[Investor ID]])</f>
        <v>6000</v>
      </c>
      <c r="P1425" s="102">
        <v>-260000</v>
      </c>
      <c r="Q1425" s="102">
        <f>LS[[#This Row],[Amount]]-LS[[#This Row],[Unit Capital]]</f>
        <v>-99736</v>
      </c>
      <c r="R142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425" s="103">
        <f t="shared" si="35"/>
        <v>14.224</v>
      </c>
      <c r="T1425" s="102">
        <f>IF(LS[[#This Row],[B/S]]="B",0,ABS(LS[[#This Row],[Unit]])*(LS[[#This Row],[NAV (Strike Rate)]]-INDEX(LS[NAV at Cost (Average)],MATCH(CONCATENATE(LS[[#This Row],[Frequency]]-1,LS[[#This Row],[Investor ID]]),LS[Unique Code],0),)))</f>
        <v>67366.522088353435</v>
      </c>
      <c r="U1425" s="102" cm="1">
        <f t="array" ref="U1425">IF(LS[[#This Row],[B/S]]="S",ABS(LS[[#This Row],[Unit]])*(INDEX(LS[NAV at Cost (Average)],MATCH(CONCATENATE((LS[[#This Row],[Frequency]]-1),LS[[#This Row],[Investor ID]]),LS[Unique Code],0),0)),0)</f>
        <v>292369.47791164659</v>
      </c>
      <c r="V1425" s="102">
        <f>IF(LS[[#This Row],[BO TRANSFER]]="YES",LS[[#This Row],[Unit]],)</f>
        <v>0</v>
      </c>
      <c r="W1425" s="102">
        <f>SUMIFS(LS[[#Headers],[BO UNIT TRANSFER]]:LS[[#This Row],[BO UNIT TRANSFER]],LS[[#Headers],[Investor ID]]:LS[[#This Row],[Investor ID]],LS[[#This Row],[Investor ID]])</f>
        <v>0</v>
      </c>
    </row>
    <row r="1426" spans="1:23">
      <c r="A1426" s="101">
        <v>2026</v>
      </c>
      <c r="B1426" s="101">
        <v>1</v>
      </c>
      <c r="C1426" s="101">
        <v>20</v>
      </c>
      <c r="D1426" s="98">
        <f>DATE(LS[[#This Row],[Year]],LS[[#This Row],[Month]],LS[[#This Row],[Day]])</f>
        <v>46042</v>
      </c>
      <c r="E1426" s="99" t="str" cm="1">
        <f t="array" ref="E1426">INDEX(INVESTORS_LIST[INVESTOR NAME],MATCH(LS[[#This Row],[Investor ID]],INVESTORS_LIST[INVESTOR CODE],0),)</f>
        <v>MD. MAHMUD IBNE KASHEM</v>
      </c>
      <c r="F1426" s="100" t="s">
        <v>1504</v>
      </c>
      <c r="G1426" s="101">
        <f>COUNTIF(LS[[#Headers],[Investor ID]]:LS[[#This Row],[Investor ID]],LS[[#This Row],[Investor ID]])</f>
        <v>1</v>
      </c>
      <c r="H1426" s="101" t="str">
        <f>CONCATENATE(LS[[#This Row],[Frequency]],LS[[#This Row],[Investor ID]])</f>
        <v>1A00692</v>
      </c>
      <c r="I1426" s="75" t="str">
        <f>IF(LS[[#This Row],[B/S]]="B","BUY",(IF(LS[[#This Row],[B/S]]="S","SELL"," ")))</f>
        <v>BUY</v>
      </c>
      <c r="J1426" s="101" t="s">
        <v>1229</v>
      </c>
      <c r="K1426" s="102">
        <v>100000</v>
      </c>
      <c r="L1426" s="99"/>
      <c r="M1426" s="103">
        <f>LS[[#This Row],[Amount]]/LS[[#This Row],[Unit]]</f>
        <v>13.835085777531821</v>
      </c>
      <c r="N1426" s="104">
        <f>LS[[#This Row],[Unit Capital]]/10</f>
        <v>7228</v>
      </c>
      <c r="O1426" s="104">
        <f>SUMIFS(LS[[#Headers],[Unit]]:LS[[#This Row],[Unit]],LS[[#Headers],[Investor ID]]:LS[[#This Row],[Investor ID]],LS[[#This Row],[Investor ID]])</f>
        <v>7228</v>
      </c>
      <c r="P1426" s="102">
        <v>72280</v>
      </c>
      <c r="Q1426" s="102">
        <f>LS[[#This Row],[Amount]]-LS[[#This Row],[Unit Capital]]</f>
        <v>27720</v>
      </c>
      <c r="R142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13.835085777531821</v>
      </c>
      <c r="S1426" s="103">
        <f t="shared" ref="S1426:S1433" si="36">IFERROR(NAV_MKT,0)</f>
        <v>14.224</v>
      </c>
      <c r="T142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6" s="102" cm="1">
        <f t="array" ref="U1426">IF(LS[[#This Row],[B/S]]="S",ABS(LS[[#This Row],[Unit]])*(INDEX(LS[NAV at Cost (Average)],MATCH(CONCATENATE((LS[[#This Row],[Frequency]]-1),LS[[#This Row],[Investor ID]]),LS[Unique Code],0),0)),0)</f>
        <v>0</v>
      </c>
      <c r="V1426" s="102">
        <f>IF(LS[[#This Row],[BO TRANSFER]]="YES",LS[[#This Row],[Unit]],)</f>
        <v>0</v>
      </c>
      <c r="W1426" s="102">
        <f>SUMIFS(LS[[#Headers],[BO UNIT TRANSFER]]:LS[[#This Row],[BO UNIT TRANSFER]],LS[[#Headers],[Investor ID]]:LS[[#This Row],[Investor ID]],LS[[#This Row],[Investor ID]])</f>
        <v>0</v>
      </c>
    </row>
    <row r="1427" spans="1:23">
      <c r="A1427" s="101">
        <v>2026</v>
      </c>
      <c r="B1427" s="101">
        <v>1</v>
      </c>
      <c r="C1427" s="101">
        <v>20</v>
      </c>
      <c r="D1427" s="98">
        <f>DATE(LS[[#This Row],[Year]],LS[[#This Row],[Month]],LS[[#This Row],[Day]])</f>
        <v>46042</v>
      </c>
      <c r="E1427" s="99" t="str" cm="1">
        <f t="array" ref="E1427">INDEX(INVESTORS_LIST[INVESTOR NAME],MATCH(LS[[#This Row],[Investor ID]],INVESTORS_LIST[INVESTOR CODE],0),)</f>
        <v>TAPAN KUMAR KHAN</v>
      </c>
      <c r="F1427" s="100" t="s">
        <v>1483</v>
      </c>
      <c r="G1427" s="101">
        <f>COUNTIF(LS[[#Headers],[Investor ID]]:LS[[#This Row],[Investor ID]],LS[[#This Row],[Investor ID]])</f>
        <v>1</v>
      </c>
      <c r="H1427" s="101" t="str">
        <f>CONCATENATE(LS[[#This Row],[Frequency]],LS[[#This Row],[Investor ID]])</f>
        <v>1A00688</v>
      </c>
      <c r="I1427" s="75" t="str">
        <f>IF(LS[[#This Row],[B/S]]="B","BUY",(IF(LS[[#This Row],[B/S]]="S","SELL"," ")))</f>
        <v>BUY</v>
      </c>
      <c r="J1427" s="101" t="s">
        <v>1229</v>
      </c>
      <c r="K1427" s="102">
        <v>20000</v>
      </c>
      <c r="L1427" s="99" t="s">
        <v>1230</v>
      </c>
      <c r="M1427" s="103">
        <f>LS[[#This Row],[Amount]]/LS[[#This Row],[Unit]]</f>
        <v>13.86001386001386</v>
      </c>
      <c r="N1427" s="104">
        <f>LS[[#This Row],[Unit Capital]]/10</f>
        <v>1443</v>
      </c>
      <c r="O1427" s="104">
        <f>SUMIFS(LS[[#Headers],[Unit]]:LS[[#This Row],[Unit]],LS[[#Headers],[Investor ID]]:LS[[#This Row],[Investor ID]],LS[[#This Row],[Investor ID]])</f>
        <v>1443</v>
      </c>
      <c r="P1427" s="102">
        <v>14430</v>
      </c>
      <c r="Q1427" s="102">
        <f>LS[[#This Row],[Amount]]-LS[[#This Row],[Unit Capital]]</f>
        <v>5570</v>
      </c>
      <c r="R142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13.86001386001386</v>
      </c>
      <c r="S1427" s="103">
        <f t="shared" si="36"/>
        <v>14.224</v>
      </c>
      <c r="T142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7" s="102" cm="1">
        <f t="array" ref="U1427">IF(LS[[#This Row],[B/S]]="S",ABS(LS[[#This Row],[Unit]])*(INDEX(LS[NAV at Cost (Average)],MATCH(CONCATENATE((LS[[#This Row],[Frequency]]-1),LS[[#This Row],[Investor ID]]),LS[Unique Code],0),0)),0)</f>
        <v>0</v>
      </c>
      <c r="V1427" s="102">
        <f>IF(LS[[#This Row],[BO TRANSFER]]="YES",LS[[#This Row],[Unit]],)</f>
        <v>1443</v>
      </c>
      <c r="W1427" s="102">
        <f>SUMIFS(LS[[#Headers],[BO UNIT TRANSFER]]:LS[[#This Row],[BO UNIT TRANSFER]],LS[[#Headers],[Investor ID]]:LS[[#This Row],[Investor ID]],LS[[#This Row],[Investor ID]])</f>
        <v>1443</v>
      </c>
    </row>
    <row r="1428" spans="1:23">
      <c r="A1428" s="101">
        <v>2026</v>
      </c>
      <c r="B1428" s="101">
        <v>1</v>
      </c>
      <c r="C1428" s="101">
        <v>20</v>
      </c>
      <c r="D1428" s="98">
        <f>DATE(LS[[#This Row],[Year]],LS[[#This Row],[Month]],LS[[#This Row],[Day]])</f>
        <v>46042</v>
      </c>
      <c r="E1428" s="99" t="str" cm="1">
        <f t="array" ref="E1428">INDEX(INVESTORS_LIST[INVESTOR NAME],MATCH(LS[[#This Row],[Investor ID]],INVESTORS_LIST[INVESTOR CODE],0),)</f>
        <v>MD. RASEL RANA</v>
      </c>
      <c r="F1428" s="100" t="s">
        <v>1324</v>
      </c>
      <c r="G1428" s="101">
        <f>COUNTIF(LS[[#Headers],[Investor ID]]:LS[[#This Row],[Investor ID]],LS[[#This Row],[Investor ID]])</f>
        <v>4</v>
      </c>
      <c r="H1428" s="101" t="str">
        <f>CONCATENATE(LS[[#This Row],[Frequency]],LS[[#This Row],[Investor ID]])</f>
        <v>4A00609</v>
      </c>
      <c r="I1428" s="75" t="str">
        <f>IF(LS[[#This Row],[B/S]]="B","BUY",(IF(LS[[#This Row],[B/S]]="S","SELL"," ")))</f>
        <v>SELL</v>
      </c>
      <c r="J1428" s="101" t="s">
        <v>1231</v>
      </c>
      <c r="K1428" s="102">
        <v>-20000</v>
      </c>
      <c r="L1428" s="99"/>
      <c r="M1428" s="103">
        <f>LS[[#This Row],[Amount]]/LS[[#This Row],[Unit]]</f>
        <v>13.86001386001386</v>
      </c>
      <c r="N1428" s="104">
        <f>LS[[#This Row],[Unit Capital]]/10</f>
        <v>-1443</v>
      </c>
      <c r="O1428" s="104">
        <f>SUMIFS(LS[[#Headers],[Unit]]:LS[[#This Row],[Unit]],LS[[#Headers],[Investor ID]]:LS[[#This Row],[Investor ID]],LS[[#This Row],[Investor ID]])</f>
        <v>2322</v>
      </c>
      <c r="P1428" s="102">
        <v>-14430</v>
      </c>
      <c r="Q1428" s="102">
        <f>LS[[#This Row],[Amount]]-LS[[#This Row],[Unit Capital]]</f>
        <v>-5570</v>
      </c>
      <c r="R142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12.360939431396785</v>
      </c>
      <c r="S1428" s="103">
        <f>IFERROR(NAV_MKT,0)</f>
        <v>14.224</v>
      </c>
      <c r="T1428" s="102">
        <f>IF(LS[[#This Row],[B/S]]="B",0,ABS(LS[[#This Row],[Unit]])*(LS[[#This Row],[NAV (Strike Rate)]]-INDEX(LS[NAV at Cost (Average)],MATCH(CONCATENATE(LS[[#This Row],[Frequency]]-1,LS[[#This Row],[Investor ID]]),LS[Unique Code],0),)))</f>
        <v>2163.1644004944387</v>
      </c>
      <c r="U1428" s="102" cm="1">
        <f t="array" ref="U1428">IF(LS[[#This Row],[B/S]]="S",ABS(LS[[#This Row],[Unit]])*(INDEX(LS[NAV at Cost (Average)],MATCH(CONCATENATE((LS[[#This Row],[Frequency]]-1),LS[[#This Row],[Investor ID]]),LS[Unique Code],0),0)),0)</f>
        <v>17836.835599505561</v>
      </c>
      <c r="V1428" s="102">
        <f>IF(LS[[#This Row],[BO TRANSFER]]="YES",LS[[#This Row],[Unit]],)</f>
        <v>0</v>
      </c>
      <c r="W1428" s="102">
        <f>SUMIFS(LS[[#Headers],[BO UNIT TRANSFER]]:LS[[#This Row],[BO UNIT TRANSFER]],LS[[#Headers],[Investor ID]]:LS[[#This Row],[Investor ID]],LS[[#This Row],[Investor ID]])</f>
        <v>0</v>
      </c>
    </row>
    <row r="1429" spans="1:23">
      <c r="A1429" s="101">
        <v>2026</v>
      </c>
      <c r="B1429" s="101">
        <v>1</v>
      </c>
      <c r="C1429" s="101">
        <v>21</v>
      </c>
      <c r="D1429" s="98">
        <f>DATE(LS[[#This Row],[Year]],LS[[#This Row],[Month]],LS[[#This Row],[Day]])</f>
        <v>46043</v>
      </c>
      <c r="E1429" s="99" t="str" cm="1">
        <f t="array" ref="E1429">INDEX(INVESTORS_LIST[INVESTOR NAME],MATCH(LS[[#This Row],[Investor ID]],INVESTORS_LIST[INVESTOR CODE],0),)</f>
        <v>KHAN MUHAMMAD KAWSER AHMED</v>
      </c>
      <c r="F1429" s="100" t="s">
        <v>944</v>
      </c>
      <c r="G1429" s="101">
        <f>COUNTIF(LS[[#Headers],[Investor ID]]:LS[[#This Row],[Investor ID]],LS[[#This Row],[Investor ID]])</f>
        <v>44</v>
      </c>
      <c r="H1429" s="101" t="str">
        <f>CONCATENATE(LS[[#This Row],[Frequency]],LS[[#This Row],[Investor ID]])</f>
        <v>44A00449</v>
      </c>
      <c r="I1429" s="75" t="str">
        <f>IF(LS[[#This Row],[B/S]]="B","BUY",(IF(LS[[#This Row],[B/S]]="S","SELL"," ")))</f>
        <v>BUY</v>
      </c>
      <c r="J1429" s="101" t="s">
        <v>1229</v>
      </c>
      <c r="K1429" s="102">
        <v>7500000</v>
      </c>
      <c r="L1429" s="99"/>
      <c r="M1429" s="103">
        <f>LS[[#This Row],[Amount]]/LS[[#This Row],[Unit]]</f>
        <v>13.90598810389071</v>
      </c>
      <c r="N1429" s="104">
        <f>LS[[#This Row],[Unit Capital]]/10</f>
        <v>539336</v>
      </c>
      <c r="O1429" s="104">
        <f>SUMIFS(LS[[#Headers],[Unit]]:LS[[#This Row],[Unit]],LS[[#Headers],[Investor ID]]:LS[[#This Row],[Investor ID]],LS[[#This Row],[Investor ID]])</f>
        <v>8385385</v>
      </c>
      <c r="P1429" s="102">
        <v>5393360</v>
      </c>
      <c r="Q1429" s="102">
        <f>LS[[#This Row],[Amount]]-LS[[#This Row],[Unit Capital]]</f>
        <v>2106640</v>
      </c>
      <c r="R142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29" s="103">
        <f t="shared" si="36"/>
        <v>14.224</v>
      </c>
      <c r="T142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29" s="102" cm="1">
        <f t="array" ref="U1429">IF(LS[[#This Row],[B/S]]="S",ABS(LS[[#This Row],[Unit]])*(INDEX(LS[NAV at Cost (Average)],MATCH(CONCATENATE((LS[[#This Row],[Frequency]]-1),LS[[#This Row],[Investor ID]]),LS[Unique Code],0),0)),0)</f>
        <v>0</v>
      </c>
      <c r="V1429" s="102">
        <f>IF(LS[[#This Row],[BO TRANSFER]]="YES",LS[[#This Row],[Unit]],)</f>
        <v>0</v>
      </c>
      <c r="W1429" s="102">
        <f>SUMIFS(LS[[#Headers],[BO UNIT TRANSFER]]:LS[[#This Row],[BO UNIT TRANSFER]],LS[[#Headers],[Investor ID]]:LS[[#This Row],[Investor ID]],LS[[#This Row],[Investor ID]])</f>
        <v>0</v>
      </c>
    </row>
    <row r="1430" spans="1:23">
      <c r="A1430" s="101">
        <v>2026</v>
      </c>
      <c r="B1430" s="101">
        <v>1</v>
      </c>
      <c r="C1430" s="101">
        <v>21</v>
      </c>
      <c r="D1430" s="98">
        <f>DATE(LS[[#This Row],[Year]],LS[[#This Row],[Month]],LS[[#This Row],[Day]])</f>
        <v>46043</v>
      </c>
      <c r="E1430" s="99" t="str" cm="1">
        <f t="array" ref="E1430">INDEX(INVESTORS_LIST[INVESTOR NAME],MATCH(LS[[#This Row],[Investor ID]],INVESTORS_LIST[INVESTOR CODE],0),)</f>
        <v>KHAN MUHAMMAD KAWSER AHMED</v>
      </c>
      <c r="F1430" s="100" t="s">
        <v>944</v>
      </c>
      <c r="G1430" s="101">
        <f>COUNTIF(LS[[#Headers],[Investor ID]]:LS[[#This Row],[Investor ID]],LS[[#This Row],[Investor ID]])</f>
        <v>45</v>
      </c>
      <c r="H1430" s="101" t="str">
        <f>CONCATENATE(LS[[#This Row],[Frequency]],LS[[#This Row],[Investor ID]])</f>
        <v>45A00449</v>
      </c>
      <c r="I1430" s="75" t="str">
        <f>IF(LS[[#This Row],[B/S]]="B","BUY",(IF(LS[[#This Row],[B/S]]="S","SELL"," ")))</f>
        <v>SELL</v>
      </c>
      <c r="J1430" s="101" t="s">
        <v>1231</v>
      </c>
      <c r="K1430" s="102">
        <v>-7500000</v>
      </c>
      <c r="L1430" s="99"/>
      <c r="M1430" s="103">
        <f>LS[[#This Row],[Amount]]/LS[[#This Row],[Unit]]</f>
        <v>13.90598810389071</v>
      </c>
      <c r="N1430" s="104">
        <f>LS[[#This Row],[Unit Capital]]/10</f>
        <v>-539336</v>
      </c>
      <c r="O1430" s="104">
        <f>SUMIFS(LS[[#Headers],[Unit]]:LS[[#This Row],[Unit]],LS[[#Headers],[Investor ID]]:LS[[#This Row],[Investor ID]],LS[[#This Row],[Investor ID]])</f>
        <v>7846049</v>
      </c>
      <c r="P1430" s="102">
        <v>-5393360</v>
      </c>
      <c r="Q1430" s="102">
        <f>LS[[#This Row],[Amount]]-LS[[#This Row],[Unit Capital]]</f>
        <v>-2106640</v>
      </c>
      <c r="R143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30" s="103">
        <f t="shared" si="36"/>
        <v>14.224</v>
      </c>
      <c r="T1430" s="102">
        <f>IF(LS[[#This Row],[B/S]]="B",0,ABS(LS[[#This Row],[Unit]])*(LS[[#This Row],[NAV (Strike Rate)]]-INDEX(LS[NAV at Cost (Average)],MATCH(CONCATENATE(LS[[#This Row],[Frequency]]-1,LS[[#This Row],[Investor ID]]),LS[Unique Code],0),)))</f>
        <v>820780.15394810832</v>
      </c>
      <c r="U1430" s="102" cm="1">
        <f t="array" ref="U1430">IF(LS[[#This Row],[B/S]]="S",ABS(LS[[#This Row],[Unit]])*(INDEX(LS[NAV at Cost (Average)],MATCH(CONCATENATE((LS[[#This Row],[Frequency]]-1),LS[[#This Row],[Investor ID]]),LS[Unique Code],0),0)),0)</f>
        <v>6679219.8460518913</v>
      </c>
      <c r="V1430" s="102">
        <f>IF(LS[[#This Row],[BO TRANSFER]]="YES",LS[[#This Row],[Unit]],)</f>
        <v>0</v>
      </c>
      <c r="W1430" s="102">
        <f>SUMIFS(LS[[#Headers],[BO UNIT TRANSFER]]:LS[[#This Row],[BO UNIT TRANSFER]],LS[[#Headers],[Investor ID]]:LS[[#This Row],[Investor ID]],LS[[#This Row],[Investor ID]])</f>
        <v>0</v>
      </c>
    </row>
    <row r="1431" spans="1:23">
      <c r="A1431" s="101">
        <v>2026</v>
      </c>
      <c r="B1431" s="101">
        <v>1</v>
      </c>
      <c r="C1431" s="101">
        <v>21</v>
      </c>
      <c r="D1431" s="98">
        <f>DATE(LS[[#This Row],[Year]],LS[[#This Row],[Month]],LS[[#This Row],[Day]])</f>
        <v>46043</v>
      </c>
      <c r="E1431" s="99" t="str" cm="1">
        <f t="array" ref="E1431">INDEX(INVESTORS_LIST[INVESTOR NAME],MATCH(LS[[#This Row],[Investor ID]],INVESTORS_LIST[INVESTOR CODE],0),)</f>
        <v>TAJDIKUL ALAM</v>
      </c>
      <c r="F1431" s="100" t="s">
        <v>1099</v>
      </c>
      <c r="G1431" s="101">
        <f>COUNTIF(LS[[#Headers],[Investor ID]]:LS[[#This Row],[Investor ID]],LS[[#This Row],[Investor ID]])</f>
        <v>11</v>
      </c>
      <c r="H1431" s="101" t="str">
        <f>CONCATENATE(LS[[#This Row],[Frequency]],LS[[#This Row],[Investor ID]])</f>
        <v>11A00526</v>
      </c>
      <c r="I1431" s="75" t="str">
        <f>IF(LS[[#This Row],[B/S]]="B","BUY",(IF(LS[[#This Row],[B/S]]="S","SELL"," ")))</f>
        <v>SELL</v>
      </c>
      <c r="J1431" s="101" t="s">
        <v>1231</v>
      </c>
      <c r="K1431" s="102">
        <v>-76098</v>
      </c>
      <c r="L1431" s="99"/>
      <c r="M1431" s="103">
        <f>LS[[#This Row],[Amount]]/LS[[#This Row],[Unit]]</f>
        <v>13.906798245614034</v>
      </c>
      <c r="N1431" s="104">
        <f>LS[[#This Row],[Unit Capital]]/10</f>
        <v>-5472</v>
      </c>
      <c r="O1431" s="104">
        <f>SUMIFS(LS[[#Headers],[Unit]]:LS[[#This Row],[Unit]],LS[[#Headers],[Investor ID]]:LS[[#This Row],[Investor ID]],LS[[#This Row],[Investor ID]])</f>
        <v>528</v>
      </c>
      <c r="P1431" s="102">
        <v>-54720</v>
      </c>
      <c r="Q1431" s="102">
        <f>LS[[#This Row],[Amount]]-LS[[#This Row],[Unit Capital]]</f>
        <v>-21378</v>
      </c>
      <c r="R143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11.244979919678714</v>
      </c>
      <c r="S1431" s="103">
        <f t="shared" si="36"/>
        <v>14.224</v>
      </c>
      <c r="T1431" s="102">
        <f>IF(LS[[#This Row],[B/S]]="B",0,ABS(LS[[#This Row],[Unit]])*(LS[[#This Row],[NAV (Strike Rate)]]-INDEX(LS[NAV at Cost (Average)],MATCH(CONCATENATE(LS[[#This Row],[Frequency]]-1,LS[[#This Row],[Investor ID]]),LS[Unique Code],0),)))</f>
        <v>14565.46987951807</v>
      </c>
      <c r="U1431" s="102" cm="1">
        <f t="array" ref="U1431">IF(LS[[#This Row],[B/S]]="S",ABS(LS[[#This Row],[Unit]])*(INDEX(LS[NAV at Cost (Average)],MATCH(CONCATENATE((LS[[#This Row],[Frequency]]-1),LS[[#This Row],[Investor ID]]),LS[Unique Code],0),0)),0)</f>
        <v>61532.530120481926</v>
      </c>
      <c r="V1431" s="102">
        <f>IF(LS[[#This Row],[BO TRANSFER]]="YES",LS[[#This Row],[Unit]],)</f>
        <v>0</v>
      </c>
      <c r="W1431" s="102">
        <f>SUMIFS(LS[[#Headers],[BO UNIT TRANSFER]]:LS[[#This Row],[BO UNIT TRANSFER]],LS[[#Headers],[Investor ID]]:LS[[#This Row],[Investor ID]],LS[[#This Row],[Investor ID]])</f>
        <v>0</v>
      </c>
    </row>
    <row r="1432" spans="1:23">
      <c r="A1432" s="101">
        <v>2026</v>
      </c>
      <c r="B1432" s="101">
        <v>1</v>
      </c>
      <c r="C1432" s="101">
        <v>27</v>
      </c>
      <c r="D1432" s="98">
        <f>DATE(LS[[#This Row],[Year]],LS[[#This Row],[Month]],LS[[#This Row],[Day]])</f>
        <v>46049</v>
      </c>
      <c r="E1432" s="99" t="str" cm="1">
        <f t="array" ref="E1432">INDEX(INVESTORS_LIST[INVESTOR NAME],MATCH(LS[[#This Row],[Investor ID]],INVESTORS_LIST[INVESTOR CODE],0),)</f>
        <v>SHAPNA RANI BARMAN</v>
      </c>
      <c r="F1432" s="100" t="s">
        <v>1292</v>
      </c>
      <c r="G1432" s="101">
        <f>COUNTIF(LS[[#Headers],[Investor ID]]:LS[[#This Row],[Investor ID]],LS[[#This Row],[Investor ID]])</f>
        <v>6</v>
      </c>
      <c r="H1432" s="101" t="str">
        <f>CONCATENATE(LS[[#This Row],[Frequency]],LS[[#This Row],[Investor ID]])</f>
        <v>6A00593</v>
      </c>
      <c r="I1432" s="75" t="str">
        <f>IF(LS[[#This Row],[B/S]]="B","BUY",(IF(LS[[#This Row],[B/S]]="S","SELL"," ")))</f>
        <v>BUY</v>
      </c>
      <c r="J1432" s="101" t="s">
        <v>1229</v>
      </c>
      <c r="K1432" s="102">
        <v>120000</v>
      </c>
      <c r="L1432" s="99"/>
      <c r="M1432" s="103">
        <f>LS[[#This Row],[Amount]]/LS[[#This Row],[Unit]]</f>
        <v>13.934045517882025</v>
      </c>
      <c r="N1432" s="104">
        <f>LS[[#This Row],[Unit Capital]]/10</f>
        <v>8612</v>
      </c>
      <c r="O1432" s="104">
        <f>SUMIFS(LS[[#Headers],[Unit]]:LS[[#This Row],[Unit]],LS[[#Headers],[Investor ID]]:LS[[#This Row],[Investor ID]],LS[[#This Row],[Investor ID]])</f>
        <v>27364</v>
      </c>
      <c r="P1432" s="102">
        <v>86120</v>
      </c>
      <c r="Q1432" s="102">
        <f>LS[[#This Row],[Amount]]-LS[[#This Row],[Unit Capital]]</f>
        <v>33880</v>
      </c>
      <c r="R143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13.233743324869888</v>
      </c>
      <c r="S1432" s="103">
        <f t="shared" si="36"/>
        <v>14.224</v>
      </c>
      <c r="T143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32" s="102" cm="1">
        <f t="array" ref="U1432">IF(LS[[#This Row],[B/S]]="S",ABS(LS[[#This Row],[Unit]])*(INDEX(LS[NAV at Cost (Average)],MATCH(CONCATENATE((LS[[#This Row],[Frequency]]-1),LS[[#This Row],[Investor ID]]),LS[Unique Code],0),0)),0)</f>
        <v>0</v>
      </c>
      <c r="V1432" s="102">
        <f>IF(LS[[#This Row],[BO TRANSFER]]="YES",LS[[#This Row],[Unit]],)</f>
        <v>0</v>
      </c>
      <c r="W1432" s="102">
        <f>SUMIFS(LS[[#Headers],[BO UNIT TRANSFER]]:LS[[#This Row],[BO UNIT TRANSFER]],LS[[#Headers],[Investor ID]]:LS[[#This Row],[Investor ID]],LS[[#This Row],[Investor ID]])</f>
        <v>0</v>
      </c>
    </row>
    <row r="1433" spans="1:23">
      <c r="A1433" s="101">
        <v>2026</v>
      </c>
      <c r="B1433" s="101">
        <v>1</v>
      </c>
      <c r="C1433" s="101">
        <v>27</v>
      </c>
      <c r="D1433" s="98">
        <f>DATE(LS[[#This Row],[Year]],LS[[#This Row],[Month]],LS[[#This Row],[Day]])</f>
        <v>46049</v>
      </c>
      <c r="E1433" s="99" t="str" cm="1">
        <f t="array" ref="E1433">INDEX(INVESTORS_LIST[INVESTOR NAME],MATCH(LS[[#This Row],[Investor ID]],INVESTORS_LIST[INVESTOR CODE],0),)</f>
        <v>BABITA RANI BARMAN</v>
      </c>
      <c r="F1433" s="100" t="s">
        <v>188</v>
      </c>
      <c r="G1433" s="101">
        <f>COUNTIF(LS[[#Headers],[Investor ID]]:LS[[#This Row],[Investor ID]],LS[[#This Row],[Investor ID]])</f>
        <v>10</v>
      </c>
      <c r="H1433" s="101" t="str">
        <f>CONCATENATE(LS[[#This Row],[Frequency]],LS[[#This Row],[Investor ID]])</f>
        <v>10A00070</v>
      </c>
      <c r="I1433" s="75" t="str">
        <f>IF(LS[[#This Row],[B/S]]="B","BUY",(IF(LS[[#This Row],[B/S]]="S","SELL"," ")))</f>
        <v>BUY</v>
      </c>
      <c r="J1433" s="101" t="s">
        <v>1229</v>
      </c>
      <c r="K1433" s="102">
        <v>50000</v>
      </c>
      <c r="L1433" s="99"/>
      <c r="M1433" s="103">
        <f>LS[[#This Row],[Amount]]/LS[[#This Row],[Unit]]</f>
        <v>13.935340022296543</v>
      </c>
      <c r="N1433" s="104">
        <f>LS[[#This Row],[Unit Capital]]/10</f>
        <v>3588</v>
      </c>
      <c r="O1433" s="104">
        <f>SUMIFS(LS[[#Headers],[Unit]]:LS[[#This Row],[Unit]],LS[[#Headers],[Investor ID]]:LS[[#This Row],[Investor ID]],LS[[#This Row],[Investor ID]])</f>
        <v>68955</v>
      </c>
      <c r="P1433" s="102">
        <v>35880</v>
      </c>
      <c r="Q1433" s="102">
        <f>LS[[#This Row],[Amount]]-LS[[#This Row],[Unit Capital]]</f>
        <v>14120</v>
      </c>
      <c r="R143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12.183514045420086</v>
      </c>
      <c r="S1433" s="103">
        <f t="shared" si="36"/>
        <v>14.224</v>
      </c>
      <c r="T143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33" s="102" cm="1">
        <f t="array" ref="U1433">IF(LS[[#This Row],[B/S]]="S",ABS(LS[[#This Row],[Unit]])*(INDEX(LS[NAV at Cost (Average)],MATCH(CONCATENATE((LS[[#This Row],[Frequency]]-1),LS[[#This Row],[Investor ID]]),LS[Unique Code],0),0)),0)</f>
        <v>0</v>
      </c>
      <c r="V1433" s="102">
        <f>IF(LS[[#This Row],[BO TRANSFER]]="YES",LS[[#This Row],[Unit]],)</f>
        <v>0</v>
      </c>
      <c r="W1433" s="102">
        <f>SUMIFS(LS[[#Headers],[BO UNIT TRANSFER]]:LS[[#This Row],[BO UNIT TRANSFER]],LS[[#Headers],[Investor ID]]:LS[[#This Row],[Investor ID]],LS[[#This Row],[Investor ID]])</f>
        <v>0</v>
      </c>
    </row>
    <row r="1434" spans="1:23">
      <c r="A1434" s="101">
        <v>2026</v>
      </c>
      <c r="B1434" s="101">
        <v>1</v>
      </c>
      <c r="C1434" s="101">
        <v>28</v>
      </c>
      <c r="D1434" s="98">
        <f>DATE(LS[[#This Row],[Year]],LS[[#This Row],[Month]],LS[[#This Row],[Day]])</f>
        <v>46050</v>
      </c>
      <c r="E1434" s="99" t="str" cm="1">
        <f t="array" ref="E1434">INDEX(INVESTORS_LIST[INVESTOR NAME],MATCH(LS[[#This Row],[Investor ID]],INVESTORS_LIST[INVESTOR CODE],0),)</f>
        <v>MUHAMMAD TANVIR ARAFAT</v>
      </c>
      <c r="F1434" s="100" t="s">
        <v>441</v>
      </c>
      <c r="G1434" s="101">
        <f>COUNTIF(LS[[#Headers],[Investor ID]]:LS[[#This Row],[Investor ID]],LS[[#This Row],[Investor ID]])</f>
        <v>2</v>
      </c>
      <c r="H1434" s="101" t="str">
        <f>CONCATENATE(LS[[#This Row],[Frequency]],LS[[#This Row],[Investor ID]])</f>
        <v>2A00196</v>
      </c>
      <c r="I1434" s="75" t="str">
        <f>IF(LS[[#This Row],[B/S]]="B","BUY",(IF(LS[[#This Row],[B/S]]="S","SELL"," ")))</f>
        <v>BUY</v>
      </c>
      <c r="J1434" s="101" t="s">
        <v>1229</v>
      </c>
      <c r="K1434" s="102">
        <v>200000</v>
      </c>
      <c r="L1434" s="99"/>
      <c r="M1434" s="103">
        <f>LS[[#This Row],[Amount]]/LS[[#This Row],[Unit]]</f>
        <v>13.937282229965156</v>
      </c>
      <c r="N1434" s="104">
        <f>LS[[#This Row],[Unit Capital]]/10</f>
        <v>14350</v>
      </c>
      <c r="O1434" s="104">
        <f>SUMIFS(LS[[#Headers],[Unit]]:LS[[#This Row],[Unit]],LS[[#Headers],[Investor ID]]:LS[[#This Row],[Investor ID]],LS[[#This Row],[Investor ID]])</f>
        <v>21626</v>
      </c>
      <c r="P1434" s="102">
        <v>143500</v>
      </c>
      <c r="Q1434" s="102">
        <f>LS[[#This Row],[Amount]]-LS[[#This Row],[Unit Capital]]</f>
        <v>56500</v>
      </c>
      <c r="R143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13.872190881346526</v>
      </c>
      <c r="S1434" s="103">
        <f t="shared" ref="S1434:S1446" si="37">IFERROR(NAV_MKT,0)</f>
        <v>14.224</v>
      </c>
      <c r="T143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34" s="102" cm="1">
        <f t="array" ref="U1434">IF(LS[[#This Row],[B/S]]="S",ABS(LS[[#This Row],[Unit]])*(INDEX(LS[NAV at Cost (Average)],MATCH(CONCATENATE((LS[[#This Row],[Frequency]]-1),LS[[#This Row],[Investor ID]]),LS[Unique Code],0),0)),0)</f>
        <v>0</v>
      </c>
      <c r="V1434" s="102">
        <f>IF(LS[[#This Row],[BO TRANSFER]]="YES",LS[[#This Row],[Unit]],)</f>
        <v>0</v>
      </c>
      <c r="W1434" s="102">
        <f>SUMIFS(LS[[#Headers],[BO UNIT TRANSFER]]:LS[[#This Row],[BO UNIT TRANSFER]],LS[[#Headers],[Investor ID]]:LS[[#This Row],[Investor ID]],LS[[#This Row],[Investor ID]])</f>
        <v>0</v>
      </c>
    </row>
    <row r="1435" spans="1:23">
      <c r="A1435" s="101">
        <v>2026</v>
      </c>
      <c r="B1435" s="101">
        <v>2</v>
      </c>
      <c r="C1435" s="101">
        <v>1</v>
      </c>
      <c r="D1435" s="98">
        <f>DATE(LS[[#This Row],[Year]],LS[[#This Row],[Month]],LS[[#This Row],[Day]])</f>
        <v>46054</v>
      </c>
      <c r="E1435" s="99" t="str" cm="1">
        <f t="array" ref="E1435">INDEX(INVESTORS_LIST[INVESTOR NAME],MATCH(LS[[#This Row],[Investor ID]],INVESTORS_LIST[INVESTOR CODE],0),)</f>
        <v>KHAN MUHAMMAD KAWSER AHMED</v>
      </c>
      <c r="F1435" s="100" t="s">
        <v>944</v>
      </c>
      <c r="G1435" s="101">
        <f>COUNTIF(LS[[#Headers],[Investor ID]]:LS[[#This Row],[Investor ID]],LS[[#This Row],[Investor ID]])</f>
        <v>46</v>
      </c>
      <c r="H1435" s="101" t="str">
        <f>CONCATENATE(LS[[#This Row],[Frequency]],LS[[#This Row],[Investor ID]])</f>
        <v>46A00449</v>
      </c>
      <c r="I1435" s="75" t="str">
        <f>IF(LS[[#This Row],[B/S]]="B","BUY",(IF(LS[[#This Row],[B/S]]="S","SELL"," ")))</f>
        <v>SELL</v>
      </c>
      <c r="J1435" s="101" t="s">
        <v>1231</v>
      </c>
      <c r="K1435" s="102">
        <v>-2000000</v>
      </c>
      <c r="L1435" s="99"/>
      <c r="M1435" s="103">
        <f>LS[[#This Row],[Amount]]/LS[[#This Row],[Unit]]</f>
        <v>13.943987004204113</v>
      </c>
      <c r="N1435" s="104">
        <f>LS[[#This Row],[Unit Capital]]/10</f>
        <v>-143431</v>
      </c>
      <c r="O1435" s="104">
        <f>SUMIFS(LS[[#Headers],[Unit]]:LS[[#This Row],[Unit]],LS[[#Headers],[Investor ID]]:LS[[#This Row],[Investor ID]],LS[[#This Row],[Investor ID]])</f>
        <v>7702618</v>
      </c>
      <c r="P1435" s="102">
        <v>-1434310</v>
      </c>
      <c r="Q1435" s="102">
        <f>LS[[#This Row],[Amount]]-LS[[#This Row],[Unit Capital]]</f>
        <v>-565690</v>
      </c>
      <c r="R143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35" s="103">
        <f t="shared" si="37"/>
        <v>14.224</v>
      </c>
      <c r="T1435" s="102">
        <f>IF(LS[[#This Row],[B/S]]="B",0,ABS(LS[[#This Row],[Unit]])*(LS[[#This Row],[NAV (Strike Rate)]]-INDEX(LS[NAV at Cost (Average)],MATCH(CONCATENATE(LS[[#This Row],[Frequency]]-1,LS[[#This Row],[Investor ID]]),LS[Unique Code],0),)))</f>
        <v>223728.47030595245</v>
      </c>
      <c r="U1435" s="102" cm="1">
        <f t="array" ref="U1435">IF(LS[[#This Row],[B/S]]="S",ABS(LS[[#This Row],[Unit]])*(INDEX(LS[NAV at Cost (Average)],MATCH(CONCATENATE((LS[[#This Row],[Frequency]]-1),LS[[#This Row],[Investor ID]]),LS[Unique Code],0),0)),0)</f>
        <v>1776271.5296940475</v>
      </c>
      <c r="V1435" s="102">
        <f>IF(LS[[#This Row],[BO TRANSFER]]="YES",LS[[#This Row],[Unit]],)</f>
        <v>0</v>
      </c>
      <c r="W1435" s="102">
        <f>SUMIFS(LS[[#Headers],[BO UNIT TRANSFER]]:LS[[#This Row],[BO UNIT TRANSFER]],LS[[#Headers],[Investor ID]]:LS[[#This Row],[Investor ID]],LS[[#This Row],[Investor ID]])</f>
        <v>0</v>
      </c>
    </row>
    <row r="1436" spans="1:23">
      <c r="A1436" s="101">
        <v>2026</v>
      </c>
      <c r="B1436" s="101">
        <v>2</v>
      </c>
      <c r="C1436" s="101">
        <v>1</v>
      </c>
      <c r="D1436" s="98">
        <f>DATE(LS[[#This Row],[Year]],LS[[#This Row],[Month]],LS[[#This Row],[Day]])</f>
        <v>46054</v>
      </c>
      <c r="E1436" s="99" t="str" cm="1">
        <f t="array" ref="E1436">INDEX(INVESTORS_LIST[INVESTOR NAME],MATCH(LS[[#This Row],[Investor ID]],INVESTORS_LIST[INVESTOR CODE],0),)</f>
        <v>MD AYNUL HOQUE</v>
      </c>
      <c r="F1436" s="100" t="s">
        <v>1139</v>
      </c>
      <c r="G1436" s="101">
        <f>COUNTIF(LS[[#Headers],[Investor ID]]:LS[[#This Row],[Investor ID]],LS[[#This Row],[Investor ID]])</f>
        <v>11</v>
      </c>
      <c r="H1436" s="101" t="str">
        <f>CONCATENATE(LS[[#This Row],[Frequency]],LS[[#This Row],[Investor ID]])</f>
        <v>11A00545</v>
      </c>
      <c r="I1436" s="75" t="str">
        <f>IF(LS[[#This Row],[B/S]]="B","BUY",(IF(LS[[#This Row],[B/S]]="S","SELL"," ")))</f>
        <v>SELL</v>
      </c>
      <c r="J1436" s="101" t="s">
        <v>1231</v>
      </c>
      <c r="K1436" s="102">
        <v>-70000</v>
      </c>
      <c r="L1436" s="99"/>
      <c r="M1436" s="103">
        <f>LS[[#This Row],[Amount]]/LS[[#This Row],[Unit]]</f>
        <v>13.944223107569721</v>
      </c>
      <c r="N1436" s="104">
        <f>LS[[#This Row],[Unit Capital]]/10</f>
        <v>-5020</v>
      </c>
      <c r="O1436" s="104">
        <f>SUMIFS(LS[[#Headers],[Unit]]:LS[[#This Row],[Unit]],LS[[#Headers],[Investor ID]]:LS[[#This Row],[Investor ID]],LS[[#This Row],[Investor ID]])</f>
        <v>733547</v>
      </c>
      <c r="P1436" s="102">
        <v>-50200</v>
      </c>
      <c r="Q1436" s="102">
        <f>LS[[#This Row],[Amount]]-LS[[#This Row],[Unit Capital]]</f>
        <v>-19800</v>
      </c>
      <c r="R143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436" s="103">
        <f t="shared" si="37"/>
        <v>14.224</v>
      </c>
      <c r="T1436" s="102">
        <f>IF(LS[[#This Row],[B/S]]="B",0,ABS(LS[[#This Row],[Unit]])*(LS[[#This Row],[NAV (Strike Rate)]]-INDEX(LS[NAV at Cost (Average)],MATCH(CONCATENATE(LS[[#This Row],[Frequency]]-1,LS[[#This Row],[Investor ID]]),LS[Unique Code],0),)))</f>
        <v>10620.776448020904</v>
      </c>
      <c r="U1436" s="102" cm="1">
        <f t="array" ref="U1436">IF(LS[[#This Row],[B/S]]="S",ABS(LS[[#This Row],[Unit]])*(INDEX(LS[NAV at Cost (Average)],MATCH(CONCATENATE((LS[[#This Row],[Frequency]]-1),LS[[#This Row],[Investor ID]]),LS[Unique Code],0),0)),0)</f>
        <v>59379.223551979099</v>
      </c>
      <c r="V1436" s="102">
        <f>IF(LS[[#This Row],[BO TRANSFER]]="YES",LS[[#This Row],[Unit]],)</f>
        <v>0</v>
      </c>
      <c r="W1436" s="102">
        <f>SUMIFS(LS[[#Headers],[BO UNIT TRANSFER]]:LS[[#This Row],[BO UNIT TRANSFER]],LS[[#Headers],[Investor ID]]:LS[[#This Row],[Investor ID]],LS[[#This Row],[Investor ID]])</f>
        <v>0</v>
      </c>
    </row>
    <row r="1437" spans="1:23">
      <c r="A1437" s="101">
        <v>2026</v>
      </c>
      <c r="B1437" s="101">
        <v>2</v>
      </c>
      <c r="C1437" s="101">
        <v>1</v>
      </c>
      <c r="D1437" s="98">
        <f>DATE(LS[[#This Row],[Year]],LS[[#This Row],[Month]],LS[[#This Row],[Day]])</f>
        <v>46054</v>
      </c>
      <c r="E1437" s="99" t="str" cm="1">
        <f t="array" ref="E1437">INDEX(INVESTORS_LIST[INVESTOR NAME],MATCH(LS[[#This Row],[Investor ID]],INVESTORS_LIST[INVESTOR CODE],0),)</f>
        <v>MD. SAIFUL ISLAM</v>
      </c>
      <c r="F1437" s="100" t="s">
        <v>1425</v>
      </c>
      <c r="G1437" s="101">
        <f>COUNTIF(LS[[#Headers],[Investor ID]]:LS[[#This Row],[Investor ID]],LS[[#This Row],[Investor ID]])</f>
        <v>4</v>
      </c>
      <c r="H1437" s="101" t="str">
        <f>CONCATENATE(LS[[#This Row],[Frequency]],LS[[#This Row],[Investor ID]])</f>
        <v>4A00658</v>
      </c>
      <c r="I1437" s="75" t="str">
        <f>IF(LS[[#This Row],[B/S]]="B","BUY",(IF(LS[[#This Row],[B/S]]="S","SELL"," ")))</f>
        <v>SELL</v>
      </c>
      <c r="J1437" s="101" t="s">
        <v>1231</v>
      </c>
      <c r="K1437" s="102">
        <v>-100000</v>
      </c>
      <c r="L1437" s="99"/>
      <c r="M1437" s="103">
        <f>LS[[#This Row],[Amount]]/LS[[#This Row],[Unit]]</f>
        <v>13.943112102621305</v>
      </c>
      <c r="N1437" s="104">
        <f>LS[[#This Row],[Unit Capital]]/10</f>
        <v>-7172</v>
      </c>
      <c r="O1437" s="104">
        <f>SUMIFS(LS[[#Headers],[Unit]]:LS[[#This Row],[Unit]],LS[[#Headers],[Investor ID]]:LS[[#This Row],[Investor ID]],LS[[#This Row],[Investor ID]])</f>
        <v>29619</v>
      </c>
      <c r="P1437" s="102">
        <v>-71720</v>
      </c>
      <c r="Q1437" s="102">
        <f>LS[[#This Row],[Amount]]-LS[[#This Row],[Unit Capital]]</f>
        <v>-28280</v>
      </c>
      <c r="R143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13.590280231578376</v>
      </c>
      <c r="S1437" s="103">
        <f t="shared" si="37"/>
        <v>14.224</v>
      </c>
      <c r="T1437" s="102">
        <f>IF(LS[[#This Row],[B/S]]="B",0,ABS(LS[[#This Row],[Unit]])*(LS[[#This Row],[NAV (Strike Rate)]]-INDEX(LS[NAV at Cost (Average)],MATCH(CONCATENATE(LS[[#This Row],[Frequency]]-1,LS[[#This Row],[Investor ID]]),LS[Unique Code],0),)))</f>
        <v>2530.5101791198836</v>
      </c>
      <c r="U1437" s="102" cm="1">
        <f t="array" ref="U1437">IF(LS[[#This Row],[B/S]]="S",ABS(LS[[#This Row],[Unit]])*(INDEX(LS[NAV at Cost (Average)],MATCH(CONCATENATE((LS[[#This Row],[Frequency]]-1),LS[[#This Row],[Investor ID]]),LS[Unique Code],0),0)),0)</f>
        <v>97469.489820880117</v>
      </c>
      <c r="V1437" s="102">
        <f>IF(LS[[#This Row],[BO TRANSFER]]="YES",LS[[#This Row],[Unit]],)</f>
        <v>0</v>
      </c>
      <c r="W1437" s="102">
        <f>SUMIFS(LS[[#Headers],[BO UNIT TRANSFER]]:LS[[#This Row],[BO UNIT TRANSFER]],LS[[#Headers],[Investor ID]]:LS[[#This Row],[Investor ID]],LS[[#This Row],[Investor ID]])</f>
        <v>0</v>
      </c>
    </row>
    <row r="1438" spans="1:23">
      <c r="A1438" s="101">
        <v>2026</v>
      </c>
      <c r="B1438" s="101">
        <v>2</v>
      </c>
      <c r="C1438" s="101">
        <v>1</v>
      </c>
      <c r="D1438" s="98">
        <f>DATE(LS[[#This Row],[Year]],LS[[#This Row],[Month]],LS[[#This Row],[Day]])</f>
        <v>46054</v>
      </c>
      <c r="E1438" s="99" t="str" cm="1">
        <f t="array" ref="E1438">INDEX(INVESTORS_LIST[INVESTOR NAME],MATCH(LS[[#This Row],[Investor ID]],INVESTORS_LIST[INVESTOR CODE],0),)</f>
        <v>NASREEN BEGUM</v>
      </c>
      <c r="F1438" s="100" t="s">
        <v>1417</v>
      </c>
      <c r="G1438" s="101">
        <f>COUNTIF(LS[[#Headers],[Investor ID]]:LS[[#This Row],[Investor ID]],LS[[#This Row],[Investor ID]])</f>
        <v>7</v>
      </c>
      <c r="H1438" s="101" t="str">
        <f>CONCATENATE(LS[[#This Row],[Frequency]],LS[[#This Row],[Investor ID]])</f>
        <v>7A00652</v>
      </c>
      <c r="I1438" s="75" t="str">
        <f>IF(LS[[#This Row],[B/S]]="B","BUY",(IF(LS[[#This Row],[B/S]]="S","SELL"," ")))</f>
        <v>SELL</v>
      </c>
      <c r="J1438" s="101" t="s">
        <v>1231</v>
      </c>
      <c r="K1438" s="102">
        <v>-10000</v>
      </c>
      <c r="L1438" s="99"/>
      <c r="M1438" s="103">
        <f>LS[[#This Row],[Amount]]/LS[[#This Row],[Unit]]</f>
        <v>13.947001394700139</v>
      </c>
      <c r="N1438" s="104">
        <f>LS[[#This Row],[Unit Capital]]/10</f>
        <v>-717</v>
      </c>
      <c r="O1438" s="104">
        <f>SUMIFS(LS[[#Headers],[Unit]]:LS[[#This Row],[Unit]],LS[[#Headers],[Investor ID]]:LS[[#This Row],[Investor ID]],LS[[#This Row],[Investor ID]])</f>
        <v>109714</v>
      </c>
      <c r="P1438" s="102">
        <v>-7170</v>
      </c>
      <c r="Q1438" s="102">
        <f>LS[[#This Row],[Amount]]-LS[[#This Row],[Unit Capital]]</f>
        <v>-2830</v>
      </c>
      <c r="R143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438" s="103">
        <f t="shared" si="37"/>
        <v>14.224</v>
      </c>
      <c r="T1438" s="102">
        <f>IF(LS[[#This Row],[B/S]]="B",0,ABS(LS[[#This Row],[Unit]])*(LS[[#This Row],[NAV (Strike Rate)]]-INDEX(LS[NAV at Cost (Average)],MATCH(CONCATENATE(LS[[#This Row],[Frequency]]-1,LS[[#This Row],[Investor ID]]),LS[Unique Code],0),)))</f>
        <v>783.6668237713692</v>
      </c>
      <c r="U1438" s="102" cm="1">
        <f t="array" ref="U1438">IF(LS[[#This Row],[B/S]]="S",ABS(LS[[#This Row],[Unit]])*(INDEX(LS[NAV at Cost (Average)],MATCH(CONCATENATE((LS[[#This Row],[Frequency]]-1),LS[[#This Row],[Investor ID]]),LS[Unique Code],0),0)),0)</f>
        <v>9216.3331762286307</v>
      </c>
      <c r="V1438" s="102">
        <f>IF(LS[[#This Row],[BO TRANSFER]]="YES",LS[[#This Row],[Unit]],)</f>
        <v>0</v>
      </c>
      <c r="W1438" s="102">
        <f>SUMIFS(LS[[#Headers],[BO UNIT TRANSFER]]:LS[[#This Row],[BO UNIT TRANSFER]],LS[[#Headers],[Investor ID]]:LS[[#This Row],[Investor ID]],LS[[#This Row],[Investor ID]])</f>
        <v>0</v>
      </c>
    </row>
    <row r="1439" spans="1:23">
      <c r="A1439" s="101">
        <v>2026</v>
      </c>
      <c r="B1439" s="101">
        <v>2</v>
      </c>
      <c r="C1439" s="101">
        <v>1</v>
      </c>
      <c r="D1439" s="98">
        <f>DATE(LS[[#This Row],[Year]],LS[[#This Row],[Month]],LS[[#This Row],[Day]])</f>
        <v>46054</v>
      </c>
      <c r="E1439" s="99" t="str" cm="1">
        <f t="array" ref="E1439">INDEX(INVESTORS_LIST[INVESTOR NAME],MATCH(LS[[#This Row],[Investor ID]],INVESTORS_LIST[INVESTOR CODE],0),)</f>
        <v>AROOBA SAMEERA CHOWDHURY</v>
      </c>
      <c r="F1439" s="100" t="s">
        <v>1418</v>
      </c>
      <c r="G1439" s="101">
        <f>COUNTIF(LS[[#Headers],[Investor ID]]:LS[[#This Row],[Investor ID]],LS[[#This Row],[Investor ID]])</f>
        <v>7</v>
      </c>
      <c r="H1439" s="101" t="str">
        <f>CONCATENATE(LS[[#This Row],[Frequency]],LS[[#This Row],[Investor ID]])</f>
        <v>7A00653</v>
      </c>
      <c r="I1439" s="75" t="str">
        <f>IF(LS[[#This Row],[B/S]]="B","BUY",(IF(LS[[#This Row],[B/S]]="S","SELL"," ")))</f>
        <v>SELL</v>
      </c>
      <c r="J1439" s="101" t="s">
        <v>1231</v>
      </c>
      <c r="K1439" s="102">
        <v>-7000</v>
      </c>
      <c r="L1439" s="99"/>
      <c r="M1439" s="103">
        <f>LS[[#This Row],[Amount]]/LS[[#This Row],[Unit]]</f>
        <v>13.944223107569721</v>
      </c>
      <c r="N1439" s="104">
        <f>LS[[#This Row],[Unit Capital]]/10</f>
        <v>-502</v>
      </c>
      <c r="O1439" s="104">
        <f>SUMIFS(LS[[#Headers],[Unit]]:LS[[#This Row],[Unit]],LS[[#Headers],[Investor ID]]:LS[[#This Row],[Investor ID]],LS[[#This Row],[Investor ID]])</f>
        <v>74722</v>
      </c>
      <c r="P1439" s="102">
        <v>-5020</v>
      </c>
      <c r="Q1439" s="102">
        <f>LS[[#This Row],[Amount]]-LS[[#This Row],[Unit Capital]]</f>
        <v>-1980</v>
      </c>
      <c r="R143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439" s="103">
        <f t="shared" si="37"/>
        <v>14.224</v>
      </c>
      <c r="T1439" s="102">
        <f>IF(LS[[#This Row],[B/S]]="B",0,ABS(LS[[#This Row],[Unit]])*(LS[[#This Row],[NAV (Strike Rate)]]-INDEX(LS[NAV at Cost (Average)],MATCH(CONCATENATE(LS[[#This Row],[Frequency]]-1,LS[[#This Row],[Investor ID]]),LS[Unique Code],0),)))</f>
        <v>547.30902219879954</v>
      </c>
      <c r="U1439" s="102" cm="1">
        <f t="array" ref="U1439">IF(LS[[#This Row],[B/S]]="S",ABS(LS[[#This Row],[Unit]])*(INDEX(LS[NAV at Cost (Average)],MATCH(CONCATENATE((LS[[#This Row],[Frequency]]-1),LS[[#This Row],[Investor ID]]),LS[Unique Code],0),0)),0)</f>
        <v>6452.6909778012005</v>
      </c>
      <c r="V1439" s="102">
        <f>IF(LS[[#This Row],[BO TRANSFER]]="YES",LS[[#This Row],[Unit]],)</f>
        <v>0</v>
      </c>
      <c r="W1439" s="102">
        <f>SUMIFS(LS[[#Headers],[BO UNIT TRANSFER]]:LS[[#This Row],[BO UNIT TRANSFER]],LS[[#Headers],[Investor ID]]:LS[[#This Row],[Investor ID]],LS[[#This Row],[Investor ID]])</f>
        <v>0</v>
      </c>
    </row>
    <row r="1440" spans="1:23">
      <c r="A1440" s="101">
        <v>2026</v>
      </c>
      <c r="B1440" s="101">
        <v>2</v>
      </c>
      <c r="C1440" s="101">
        <v>1</v>
      </c>
      <c r="D1440" s="98">
        <f>DATE(LS[[#This Row],[Year]],LS[[#This Row],[Month]],LS[[#This Row],[Day]])</f>
        <v>46054</v>
      </c>
      <c r="E1440" s="99" t="str" cm="1">
        <f t="array" ref="E1440">INDEX(INVESTORS_LIST[INVESTOR NAME],MATCH(LS[[#This Row],[Investor ID]],INVESTORS_LIST[INVESTOR CODE],0),)</f>
        <v>MONOARA ALAM</v>
      </c>
      <c r="F1440" s="100" t="s">
        <v>1302</v>
      </c>
      <c r="G1440" s="101">
        <f>COUNTIF(LS[[#Headers],[Investor ID]]:LS[[#This Row],[Investor ID]],LS[[#This Row],[Investor ID]])</f>
        <v>11</v>
      </c>
      <c r="H1440" s="101" t="str">
        <f>CONCATENATE(LS[[#This Row],[Frequency]],LS[[#This Row],[Investor ID]])</f>
        <v>11A00598</v>
      </c>
      <c r="I1440" s="75" t="str">
        <f>IF(LS[[#This Row],[B/S]]="B","BUY",(IF(LS[[#This Row],[B/S]]="S","SELL"," ")))</f>
        <v>SELL</v>
      </c>
      <c r="J1440" s="101" t="s">
        <v>1231</v>
      </c>
      <c r="K1440" s="102">
        <v>-13723.64</v>
      </c>
      <c r="L1440" s="99"/>
      <c r="M1440" s="103">
        <f>LS[[#This Row],[Amount]]/LS[[#This Row],[Unit]]</f>
        <v>13.946788617886178</v>
      </c>
      <c r="N1440" s="104">
        <f>LS[[#This Row],[Unit Capital]]/10</f>
        <v>-984</v>
      </c>
      <c r="O1440" s="104">
        <f>SUMIFS(LS[[#Headers],[Unit]]:LS[[#This Row],[Unit]],LS[[#Headers],[Investor ID]]:LS[[#This Row],[Investor ID]],LS[[#This Row],[Investor ID]])</f>
        <v>50201</v>
      </c>
      <c r="P1440" s="102">
        <v>-9840</v>
      </c>
      <c r="Q1440" s="102">
        <f>LS[[#This Row],[Amount]]-LS[[#This Row],[Unit Capital]]</f>
        <v>-3883.6399999999994</v>
      </c>
      <c r="R144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12.30767614006381</v>
      </c>
      <c r="S1440" s="103">
        <f t="shared" si="37"/>
        <v>14.224</v>
      </c>
      <c r="T1440" s="102">
        <f>IF(LS[[#This Row],[B/S]]="B",0,ABS(LS[[#This Row],[Unit]])*(LS[[#This Row],[NAV (Strike Rate)]]-INDEX(LS[NAV at Cost (Average)],MATCH(CONCATENATE(LS[[#This Row],[Frequency]]-1,LS[[#This Row],[Investor ID]]),LS[Unique Code],0),)))</f>
        <v>1612.8866781772094</v>
      </c>
      <c r="U1440" s="102" cm="1">
        <f t="array" ref="U1440">IF(LS[[#This Row],[B/S]]="S",ABS(LS[[#This Row],[Unit]])*(INDEX(LS[NAV at Cost (Average)],MATCH(CONCATENATE((LS[[#This Row],[Frequency]]-1),LS[[#This Row],[Investor ID]]),LS[Unique Code],0),0)),0)</f>
        <v>12110.753321822789</v>
      </c>
      <c r="V1440" s="102">
        <f>IF(LS[[#This Row],[BO TRANSFER]]="YES",LS[[#This Row],[Unit]],)</f>
        <v>0</v>
      </c>
      <c r="W1440" s="102">
        <f>SUMIFS(LS[[#Headers],[BO UNIT TRANSFER]]:LS[[#This Row],[BO UNIT TRANSFER]],LS[[#Headers],[Investor ID]]:LS[[#This Row],[Investor ID]],LS[[#This Row],[Investor ID]])</f>
        <v>0</v>
      </c>
    </row>
    <row r="1441" spans="1:23">
      <c r="A1441" s="101">
        <v>2026</v>
      </c>
      <c r="B1441" s="101">
        <v>2</v>
      </c>
      <c r="C1441" s="101">
        <v>1</v>
      </c>
      <c r="D1441" s="98">
        <f>DATE(LS[[#This Row],[Year]],LS[[#This Row],[Month]],LS[[#This Row],[Day]])</f>
        <v>46054</v>
      </c>
      <c r="E1441" s="99" t="str" cm="1">
        <f t="array" ref="E1441">INDEX(INVESTORS_LIST[INVESTOR NAME],MATCH(LS[[#This Row],[Investor ID]],INVESTORS_LIST[INVESTOR CODE],0),)</f>
        <v>MOHAMMAD JAHANGIR HOSSAIN</v>
      </c>
      <c r="F1441" s="100" t="s">
        <v>1263</v>
      </c>
      <c r="G1441" s="101">
        <f>COUNTIF(LS[[#Headers],[Investor ID]]:LS[[#This Row],[Investor ID]],LS[[#This Row],[Investor ID]])</f>
        <v>4</v>
      </c>
      <c r="H1441" s="101" t="str">
        <f>CONCATENATE(LS[[#This Row],[Frequency]],LS[[#This Row],[Investor ID]])</f>
        <v>4A00581</v>
      </c>
      <c r="I1441" s="75" t="str">
        <f>IF(LS[[#This Row],[B/S]]="B","BUY",(IF(LS[[#This Row],[B/S]]="S","SELL"," ")))</f>
        <v>SELL</v>
      </c>
      <c r="J1441" s="101" t="s">
        <v>1231</v>
      </c>
      <c r="K1441" s="102">
        <v>-150000</v>
      </c>
      <c r="L1441" s="99"/>
      <c r="M1441" s="103">
        <f>LS[[#This Row],[Amount]]/LS[[#This Row],[Unit]]</f>
        <v>13.944408292274797</v>
      </c>
      <c r="N1441" s="104">
        <f>LS[[#This Row],[Unit Capital]]/10</f>
        <v>-10757</v>
      </c>
      <c r="O1441" s="104">
        <f>SUMIFS(LS[[#Headers],[Unit]]:LS[[#This Row],[Unit]],LS[[#Headers],[Investor ID]]:LS[[#This Row],[Investor ID]],LS[[#This Row],[Investor ID]])</f>
        <v>12367</v>
      </c>
      <c r="P1441" s="102">
        <v>-107570</v>
      </c>
      <c r="Q1441" s="102">
        <f>LS[[#This Row],[Amount]]-LS[[#This Row],[Unit Capital]]</f>
        <v>-42430</v>
      </c>
      <c r="R144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12.541082857637088</v>
      </c>
      <c r="S1441" s="103">
        <f t="shared" si="37"/>
        <v>14.224</v>
      </c>
      <c r="T1441" s="102">
        <f>IF(LS[[#This Row],[B/S]]="B",0,ABS(LS[[#This Row],[Unit]])*(LS[[#This Row],[NAV (Strike Rate)]]-INDEX(LS[NAV at Cost (Average)],MATCH(CONCATENATE(LS[[#This Row],[Frequency]]-1,LS[[#This Row],[Investor ID]]),LS[Unique Code],0),)))</f>
        <v>15095.571700397841</v>
      </c>
      <c r="U1441" s="102" cm="1">
        <f t="array" ref="U1441">IF(LS[[#This Row],[B/S]]="S",ABS(LS[[#This Row],[Unit]])*(INDEX(LS[NAV at Cost (Average)],MATCH(CONCATENATE((LS[[#This Row],[Frequency]]-1),LS[[#This Row],[Investor ID]]),LS[Unique Code],0),0)),0)</f>
        <v>134904.42829960215</v>
      </c>
      <c r="V1441" s="102">
        <f>IF(LS[[#This Row],[BO TRANSFER]]="YES",LS[[#This Row],[Unit]],)</f>
        <v>0</v>
      </c>
      <c r="W1441" s="102">
        <f>SUMIFS(LS[[#Headers],[BO UNIT TRANSFER]]:LS[[#This Row],[BO UNIT TRANSFER]],LS[[#Headers],[Investor ID]]:LS[[#This Row],[Investor ID]],LS[[#This Row],[Investor ID]])</f>
        <v>0</v>
      </c>
    </row>
    <row r="1442" spans="1:23">
      <c r="A1442" s="101">
        <v>2026</v>
      </c>
      <c r="B1442" s="101">
        <v>2</v>
      </c>
      <c r="C1442" s="101">
        <v>1</v>
      </c>
      <c r="D1442" s="98">
        <f>DATE(LS[[#This Row],[Year]],LS[[#This Row],[Month]],LS[[#This Row],[Day]])</f>
        <v>46054</v>
      </c>
      <c r="E1442" s="99" t="str" cm="1">
        <f t="array" ref="E1442">INDEX(INVESTORS_LIST[INVESTOR NAME],MATCH(LS[[#This Row],[Investor ID]],INVESTORS_LIST[INVESTOR CODE],0),)</f>
        <v>SYEDUL TANVIR HOQUE PRIYAM</v>
      </c>
      <c r="F1442" s="100" t="s">
        <v>1424</v>
      </c>
      <c r="G1442" s="101">
        <f>COUNTIF(LS[[#Headers],[Investor ID]]:LS[[#This Row],[Investor ID]],LS[[#This Row],[Investor ID]])</f>
        <v>12</v>
      </c>
      <c r="H1442" s="101" t="str">
        <f>CONCATENATE(LS[[#This Row],[Frequency]],LS[[#This Row],[Investor ID]])</f>
        <v>12A00656</v>
      </c>
      <c r="I1442" s="75" t="str">
        <f>IF(LS[[#This Row],[B/S]]="B","BUY",(IF(LS[[#This Row],[B/S]]="S","SELL"," ")))</f>
        <v>SELL</v>
      </c>
      <c r="J1442" s="101" t="s">
        <v>1231</v>
      </c>
      <c r="K1442" s="102">
        <v>-7504.62</v>
      </c>
      <c r="L1442" s="99"/>
      <c r="M1442" s="103">
        <f>LS[[#This Row],[Amount]]/LS[[#This Row],[Unit]]</f>
        <v>13.949107806691449</v>
      </c>
      <c r="N1442" s="104">
        <f>LS[[#This Row],[Unit Capital]]/10</f>
        <v>-538</v>
      </c>
      <c r="O1442" s="104">
        <f>SUMIFS(LS[[#Headers],[Unit]]:LS[[#This Row],[Unit]],LS[[#Headers],[Investor ID]]:LS[[#This Row],[Investor ID]],LS[[#This Row],[Investor ID]])</f>
        <v>50201</v>
      </c>
      <c r="P1442" s="102">
        <v>-5380</v>
      </c>
      <c r="Q1442" s="102">
        <f>LS[[#This Row],[Amount]]-LS[[#This Row],[Unit Capital]]</f>
        <v>-2124.62</v>
      </c>
      <c r="R144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442" s="103">
        <f t="shared" si="37"/>
        <v>14.224</v>
      </c>
      <c r="T1442" s="102">
        <f>IF(LS[[#This Row],[B/S]]="B",0,ABS(LS[[#This Row],[Unit]])*(LS[[#This Row],[NAV (Strike Rate)]]-INDEX(LS[NAV at Cost (Average)],MATCH(CONCATENATE(LS[[#This Row],[Frequency]]-1,LS[[#This Row],[Investor ID]]),LS[Unique Code],0),)))</f>
        <v>554.74179818409925</v>
      </c>
      <c r="U1442" s="102" cm="1">
        <f t="array" ref="U1442">IF(LS[[#This Row],[B/S]]="S",ABS(LS[[#This Row],[Unit]])*(INDEX(LS[NAV at Cost (Average)],MATCH(CONCATENATE((LS[[#This Row],[Frequency]]-1),LS[[#This Row],[Investor ID]]),LS[Unique Code],0),0)),0)</f>
        <v>6949.8782018159009</v>
      </c>
      <c r="V1442" s="102">
        <f>IF(LS[[#This Row],[BO TRANSFER]]="YES",LS[[#This Row],[Unit]],)</f>
        <v>0</v>
      </c>
      <c r="W1442" s="102">
        <f>SUMIFS(LS[[#Headers],[BO UNIT TRANSFER]]:LS[[#This Row],[BO UNIT TRANSFER]],LS[[#Headers],[Investor ID]]:LS[[#This Row],[Investor ID]],LS[[#This Row],[Investor ID]])</f>
        <v>0</v>
      </c>
    </row>
    <row r="1443" spans="1:23">
      <c r="A1443" s="101">
        <v>2026</v>
      </c>
      <c r="B1443" s="101">
        <v>2</v>
      </c>
      <c r="C1443" s="101">
        <v>2</v>
      </c>
      <c r="D1443" s="98">
        <f>DATE(LS[[#This Row],[Year]],LS[[#This Row],[Month]],LS[[#This Row],[Day]])</f>
        <v>46055</v>
      </c>
      <c r="E1443" s="99" t="str" cm="1">
        <f t="array" ref="E1443">INDEX(INVESTORS_LIST[INVESTOR NAME],MATCH(LS[[#This Row],[Investor ID]],INVESTORS_LIST[INVESTOR CODE],0),)</f>
        <v>JNANDIP PAUL</v>
      </c>
      <c r="F1443" s="100" t="s">
        <v>230</v>
      </c>
      <c r="G1443" s="101">
        <f>COUNTIF(LS[[#Headers],[Investor ID]]:LS[[#This Row],[Investor ID]],LS[[#This Row],[Investor ID]])</f>
        <v>7</v>
      </c>
      <c r="H1443" s="101" t="str">
        <f>CONCATENATE(LS[[#This Row],[Frequency]],LS[[#This Row],[Investor ID]])</f>
        <v>7A00091</v>
      </c>
      <c r="I1443" s="75" t="str">
        <f>IF(LS[[#This Row],[B/S]]="B","BUY",(IF(LS[[#This Row],[B/S]]="S","SELL"," ")))</f>
        <v>SELL</v>
      </c>
      <c r="J1443" s="101" t="s">
        <v>1231</v>
      </c>
      <c r="K1443" s="102">
        <v>-140834.4</v>
      </c>
      <c r="L1443" s="99"/>
      <c r="M1443" s="103">
        <f>LS[[#This Row],[Amount]]/LS[[#This Row],[Unit]]</f>
        <v>13.943999999999999</v>
      </c>
      <c r="N1443" s="104">
        <f>LS[[#This Row],[Unit Capital]]/10</f>
        <v>-10100</v>
      </c>
      <c r="O1443" s="104">
        <f>SUMIFS(LS[[#Headers],[Unit]]:LS[[#This Row],[Unit]],LS[[#Headers],[Investor ID]]:LS[[#This Row],[Investor ID]],LS[[#This Row],[Investor ID]])</f>
        <v>0</v>
      </c>
      <c r="P1443" s="102">
        <v>-101000</v>
      </c>
      <c r="Q1443" s="102">
        <f>LS[[#This Row],[Amount]]-LS[[#This Row],[Unit Capital]]</f>
        <v>-39834.399999999994</v>
      </c>
      <c r="R144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43" s="103">
        <f t="shared" si="37"/>
        <v>14.224</v>
      </c>
      <c r="T1443" s="102">
        <f>IF(LS[[#This Row],[B/S]]="B",0,ABS(LS[[#This Row],[Unit]])*(LS[[#This Row],[NAV (Strike Rate)]]-INDEX(LS[NAV at Cost (Average)],MATCH(CONCATENATE(LS[[#This Row],[Frequency]]-1,LS[[#This Row],[Investor ID]]),LS[Unique Code],0),)))</f>
        <v>33824.916617210678</v>
      </c>
      <c r="U1443" s="102" cm="1">
        <f t="array" ref="U1443">IF(LS[[#This Row],[B/S]]="S",ABS(LS[[#This Row],[Unit]])*(INDEX(LS[NAV at Cost (Average)],MATCH(CONCATENATE((LS[[#This Row],[Frequency]]-1),LS[[#This Row],[Investor ID]]),LS[Unique Code],0),0)),0)</f>
        <v>107009.48338278932</v>
      </c>
      <c r="V1443" s="102">
        <f>IF(LS[[#This Row],[BO TRANSFER]]="YES",LS[[#This Row],[Unit]],)</f>
        <v>0</v>
      </c>
      <c r="W1443" s="102">
        <f>SUMIFS(LS[[#Headers],[BO UNIT TRANSFER]]:LS[[#This Row],[BO UNIT TRANSFER]],LS[[#Headers],[Investor ID]]:LS[[#This Row],[Investor ID]],LS[[#This Row],[Investor ID]])</f>
        <v>0</v>
      </c>
    </row>
    <row r="1444" spans="1:23">
      <c r="A1444" s="101">
        <v>2026</v>
      </c>
      <c r="B1444" s="101">
        <v>2</v>
      </c>
      <c r="C1444" s="101">
        <v>2</v>
      </c>
      <c r="D1444" s="98">
        <f>DATE(LS[[#This Row],[Year]],LS[[#This Row],[Month]],LS[[#This Row],[Day]])</f>
        <v>46055</v>
      </c>
      <c r="E1444" s="99" t="str" cm="1">
        <f t="array" ref="E1444">INDEX(INVESTORS_LIST[INVESTOR NAME],MATCH(LS[[#This Row],[Investor ID]],INVESTORS_LIST[INVESTOR CODE],0),)</f>
        <v>KABIR AHMED TALUKDER</v>
      </c>
      <c r="F1444" s="100" t="s">
        <v>411</v>
      </c>
      <c r="G1444" s="101">
        <f>COUNTIF(LS[[#Headers],[Investor ID]]:LS[[#This Row],[Investor ID]],LS[[#This Row],[Investor ID]])</f>
        <v>8</v>
      </c>
      <c r="H1444" s="101" t="str">
        <f>CONCATENATE(LS[[#This Row],[Frequency]],LS[[#This Row],[Investor ID]])</f>
        <v>8A00181</v>
      </c>
      <c r="I1444" s="75" t="str">
        <f>IF(LS[[#This Row],[B/S]]="B","BUY",(IF(LS[[#This Row],[B/S]]="S","SELL"," ")))</f>
        <v>SELL</v>
      </c>
      <c r="J1444" s="101" t="s">
        <v>1231</v>
      </c>
      <c r="K1444" s="102">
        <v>-830000</v>
      </c>
      <c r="L1444" s="99"/>
      <c r="M1444" s="103">
        <f>LS[[#This Row],[Amount]]/LS[[#This Row],[Unit]]</f>
        <v>13.943955379342786</v>
      </c>
      <c r="N1444" s="104">
        <f>LS[[#This Row],[Unit Capital]]/10</f>
        <v>-59524</v>
      </c>
      <c r="O1444" s="104">
        <f>SUMIFS(LS[[#Headers],[Unit]]:LS[[#This Row],[Unit]],LS[[#Headers],[Investor ID]]:LS[[#This Row],[Investor ID]],LS[[#This Row],[Investor ID]])</f>
        <v>143646</v>
      </c>
      <c r="P1444" s="102">
        <v>-595240</v>
      </c>
      <c r="Q1444" s="102">
        <f>LS[[#This Row],[Amount]]-LS[[#This Row],[Unit Capital]]</f>
        <v>-234760</v>
      </c>
      <c r="R144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13.412413249987695</v>
      </c>
      <c r="S1444" s="103">
        <f t="shared" si="37"/>
        <v>14.224</v>
      </c>
      <c r="T1444" s="102">
        <f>IF(LS[[#This Row],[B/S]]="B",0,ABS(LS[[#This Row],[Unit]])*(LS[[#This Row],[NAV (Strike Rate)]]-INDEX(LS[NAV at Cost (Average)],MATCH(CONCATENATE(LS[[#This Row],[Frequency]]-1,LS[[#This Row],[Investor ID]]),LS[Unique Code],0),)))</f>
        <v>31639.513707732385</v>
      </c>
      <c r="U1444" s="102" cm="1">
        <f t="array" ref="U1444">IF(LS[[#This Row],[B/S]]="S",ABS(LS[[#This Row],[Unit]])*(INDEX(LS[NAV at Cost (Average)],MATCH(CONCATENATE((LS[[#This Row],[Frequency]]-1),LS[[#This Row],[Investor ID]]),LS[Unique Code],0),0)),0)</f>
        <v>798360.48629226757</v>
      </c>
      <c r="V1444" s="102">
        <f>IF(LS[[#This Row],[BO TRANSFER]]="YES",LS[[#This Row],[Unit]],)</f>
        <v>0</v>
      </c>
      <c r="W1444" s="102">
        <f>SUMIFS(LS[[#Headers],[BO UNIT TRANSFER]]:LS[[#This Row],[BO UNIT TRANSFER]],LS[[#Headers],[Investor ID]]:LS[[#This Row],[Investor ID]],LS[[#This Row],[Investor ID]])</f>
        <v>0</v>
      </c>
    </row>
    <row r="1445" spans="1:23">
      <c r="A1445" s="101">
        <v>2026</v>
      </c>
      <c r="B1445" s="101">
        <v>2</v>
      </c>
      <c r="C1445" s="101">
        <v>2</v>
      </c>
      <c r="D1445" s="98">
        <f>DATE(LS[[#This Row],[Year]],LS[[#This Row],[Month]],LS[[#This Row],[Day]])</f>
        <v>46055</v>
      </c>
      <c r="E1445" s="99" t="str" cm="1">
        <f t="array" ref="E1445">INDEX(INVESTORS_LIST[INVESTOR NAME],MATCH(LS[[#This Row],[Investor ID]],INVESTORS_LIST[INVESTOR CODE],0),)</f>
        <v>SHILA SAHA</v>
      </c>
      <c r="F1445" s="100" t="s">
        <v>1507</v>
      </c>
      <c r="G1445" s="101">
        <f>COUNTIF(LS[[#Headers],[Investor ID]]:LS[[#This Row],[Investor ID]],LS[[#This Row],[Investor ID]])</f>
        <v>1</v>
      </c>
      <c r="H1445" s="101" t="str">
        <f>CONCATENATE(LS[[#This Row],[Frequency]],LS[[#This Row],[Investor ID]])</f>
        <v>1A00695</v>
      </c>
      <c r="I1445" s="75" t="str">
        <f>IF(LS[[#This Row],[B/S]]="B","BUY",(IF(LS[[#This Row],[B/S]]="S","SELL"," ")))</f>
        <v>BUY</v>
      </c>
      <c r="J1445" s="101" t="s">
        <v>1229</v>
      </c>
      <c r="K1445" s="102">
        <v>450000</v>
      </c>
      <c r="L1445" s="99"/>
      <c r="M1445" s="103">
        <f>LS[[#This Row],[Amount]]/LS[[#This Row],[Unit]]</f>
        <v>13.950027900055801</v>
      </c>
      <c r="N1445" s="104">
        <f>LS[[#This Row],[Unit Capital]]/10</f>
        <v>32258</v>
      </c>
      <c r="O1445" s="104">
        <f>SUMIFS(LS[[#Headers],[Unit]]:LS[[#This Row],[Unit]],LS[[#Headers],[Investor ID]]:LS[[#This Row],[Investor ID]],LS[[#This Row],[Investor ID]])</f>
        <v>32258</v>
      </c>
      <c r="P1445" s="102">
        <v>322580</v>
      </c>
      <c r="Q1445" s="102">
        <f>LS[[#This Row],[Amount]]-LS[[#This Row],[Unit Capital]]</f>
        <v>127420</v>
      </c>
      <c r="R144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13.950027900055801</v>
      </c>
      <c r="S1445" s="103">
        <f t="shared" si="37"/>
        <v>14.224</v>
      </c>
      <c r="T144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45" s="102" cm="1">
        <f t="array" ref="U1445">IF(LS[[#This Row],[B/S]]="S",ABS(LS[[#This Row],[Unit]])*(INDEX(LS[NAV at Cost (Average)],MATCH(CONCATENATE((LS[[#This Row],[Frequency]]-1),LS[[#This Row],[Investor ID]]),LS[Unique Code],0),0)),0)</f>
        <v>0</v>
      </c>
      <c r="V1445" s="102">
        <f>IF(LS[[#This Row],[BO TRANSFER]]="YES",LS[[#This Row],[Unit]],)</f>
        <v>0</v>
      </c>
      <c r="W1445" s="102">
        <f>SUMIFS(LS[[#Headers],[BO UNIT TRANSFER]]:LS[[#This Row],[BO UNIT TRANSFER]],LS[[#Headers],[Investor ID]]:LS[[#This Row],[Investor ID]],LS[[#This Row],[Investor ID]])</f>
        <v>0</v>
      </c>
    </row>
    <row r="1446" spans="1:23">
      <c r="A1446" s="101">
        <v>2026</v>
      </c>
      <c r="B1446" s="101">
        <v>2</v>
      </c>
      <c r="C1446" s="101">
        <v>2</v>
      </c>
      <c r="D1446" s="98">
        <f>DATE(LS[[#This Row],[Year]],LS[[#This Row],[Month]],LS[[#This Row],[Day]])</f>
        <v>46055</v>
      </c>
      <c r="E1446" s="99" t="str" cm="1">
        <f t="array" ref="E1446">INDEX(INVESTORS_LIST[INVESTOR NAME],MATCH(LS[[#This Row],[Investor ID]],INVESTORS_LIST[INVESTOR CODE],0),)</f>
        <v>SHILA SAHA</v>
      </c>
      <c r="F1446" s="100" t="s">
        <v>1507</v>
      </c>
      <c r="G1446" s="101">
        <f>COUNTIF(LS[[#Headers],[Investor ID]]:LS[[#This Row],[Investor ID]],LS[[#This Row],[Investor ID]])</f>
        <v>2</v>
      </c>
      <c r="H1446" s="101" t="str">
        <f>CONCATENATE(LS[[#This Row],[Frequency]],LS[[#This Row],[Investor ID]])</f>
        <v>2A00695</v>
      </c>
      <c r="I1446" s="75" t="str">
        <f>IF(LS[[#This Row],[B/S]]="B","BUY",(IF(LS[[#This Row],[B/S]]="S","SELL"," ")))</f>
        <v>BUY</v>
      </c>
      <c r="J1446" s="101" t="s">
        <v>1229</v>
      </c>
      <c r="K1446" s="102">
        <v>450000</v>
      </c>
      <c r="L1446" s="99"/>
      <c r="M1446" s="103">
        <f>LS[[#This Row],[Amount]]/LS[[#This Row],[Unit]]</f>
        <v>13.950027900055801</v>
      </c>
      <c r="N1446" s="104">
        <f>LS[[#This Row],[Unit Capital]]/10</f>
        <v>32258</v>
      </c>
      <c r="O1446" s="104">
        <f>SUMIFS(LS[[#Headers],[Unit]]:LS[[#This Row],[Unit]],LS[[#Headers],[Investor ID]]:LS[[#This Row],[Investor ID]],LS[[#This Row],[Investor ID]])</f>
        <v>64516</v>
      </c>
      <c r="P1446" s="102">
        <v>322580</v>
      </c>
      <c r="Q1446" s="102">
        <f>LS[[#This Row],[Amount]]-LS[[#This Row],[Unit Capital]]</f>
        <v>127420</v>
      </c>
      <c r="R144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13.950027900055801</v>
      </c>
      <c r="S1446" s="103">
        <f t="shared" si="37"/>
        <v>14.224</v>
      </c>
      <c r="T144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46" s="102" cm="1">
        <f t="array" ref="U1446">IF(LS[[#This Row],[B/S]]="S",ABS(LS[[#This Row],[Unit]])*(INDEX(LS[NAV at Cost (Average)],MATCH(CONCATENATE((LS[[#This Row],[Frequency]]-1),LS[[#This Row],[Investor ID]]),LS[Unique Code],0),0)),0)</f>
        <v>0</v>
      </c>
      <c r="V1446" s="102">
        <f>IF(LS[[#This Row],[BO TRANSFER]]="YES",LS[[#This Row],[Unit]],)</f>
        <v>0</v>
      </c>
      <c r="W1446" s="102">
        <f>SUMIFS(LS[[#Headers],[BO UNIT TRANSFER]]:LS[[#This Row],[BO UNIT TRANSFER]],LS[[#Headers],[Investor ID]]:LS[[#This Row],[Investor ID]],LS[[#This Row],[Investor ID]])</f>
        <v>0</v>
      </c>
    </row>
    <row r="1447" spans="1:23">
      <c r="A1447" s="101">
        <v>2026</v>
      </c>
      <c r="B1447" s="101">
        <v>2</v>
      </c>
      <c r="C1447" s="101">
        <v>5</v>
      </c>
      <c r="D1447" s="98">
        <f>DATE(LS[[#This Row],[Year]],LS[[#This Row],[Month]],LS[[#This Row],[Day]])</f>
        <v>46058</v>
      </c>
      <c r="E1447" s="99" t="str" cm="1">
        <f t="array" ref="E1447">INDEX(INVESTORS_LIST[INVESTOR NAME],MATCH(LS[[#This Row],[Investor ID]],INVESTORS_LIST[INVESTOR CODE],0),)</f>
        <v>A.T.M. MORSHED KAMAL</v>
      </c>
      <c r="F1447" s="100" t="s">
        <v>652</v>
      </c>
      <c r="G1447" s="101">
        <f>COUNTIF(LS[[#Headers],[Investor ID]]:LS[[#This Row],[Investor ID]],LS[[#This Row],[Investor ID]])</f>
        <v>6</v>
      </c>
      <c r="H1447" s="101" t="str">
        <f>CONCATENATE(LS[[#This Row],[Frequency]],LS[[#This Row],[Investor ID]])</f>
        <v>6A00302</v>
      </c>
      <c r="I1447" s="75" t="str">
        <f>IF(LS[[#This Row],[B/S]]="B","BUY",(IF(LS[[#This Row],[B/S]]="S","SELL"," ")))</f>
        <v>SELL</v>
      </c>
      <c r="J1447" s="101" t="s">
        <v>1231</v>
      </c>
      <c r="K1447" s="102">
        <v>-469773.36</v>
      </c>
      <c r="L1447" s="99"/>
      <c r="M1447" s="103">
        <f>LS[[#This Row],[Amount]]/LS[[#This Row],[Unit]]</f>
        <v>13.955184029943855</v>
      </c>
      <c r="N1447" s="104">
        <f>LS[[#This Row],[Unit Capital]]/10</f>
        <v>-33663</v>
      </c>
      <c r="O1447" s="104">
        <f>SUMIFS(LS[[#Headers],[Unit]]:LS[[#This Row],[Unit]],LS[[#Headers],[Investor ID]]:LS[[#This Row],[Investor ID]],LS[[#This Row],[Investor ID]])</f>
        <v>27</v>
      </c>
      <c r="P1447" s="102">
        <v>-336630</v>
      </c>
      <c r="Q1447" s="102">
        <f>LS[[#This Row],[Amount]]-LS[[#This Row],[Unit Capital]]</f>
        <v>-133143.35999999999</v>
      </c>
      <c r="R144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12.361128484900625</v>
      </c>
      <c r="S1447" s="103">
        <f t="shared" ref="S1447:S1451" si="38">IFERROR(NAV_MKT,0)</f>
        <v>14.224</v>
      </c>
      <c r="T1447" s="102">
        <f>IF(LS[[#This Row],[B/S]]="B",0,ABS(LS[[#This Row],[Unit]])*(LS[[#This Row],[NAV (Strike Rate)]]-INDEX(LS[NAV at Cost (Average)],MATCH(CONCATENATE(LS[[#This Row],[Frequency]]-1,LS[[#This Row],[Investor ID]]),LS[Unique Code],0),)))</f>
        <v>53660.691812790225</v>
      </c>
      <c r="U1447" s="102" cm="1">
        <f t="array" ref="U1447">IF(LS[[#This Row],[B/S]]="S",ABS(LS[[#This Row],[Unit]])*(INDEX(LS[NAV at Cost (Average)],MATCH(CONCATENATE((LS[[#This Row],[Frequency]]-1),LS[[#This Row],[Investor ID]]),LS[Unique Code],0),0)),0)</f>
        <v>416112.66818720975</v>
      </c>
      <c r="V1447" s="102">
        <f>IF(LS[[#This Row],[BO TRANSFER]]="YES",LS[[#This Row],[Unit]],)</f>
        <v>0</v>
      </c>
      <c r="W1447" s="102">
        <f>SUMIFS(LS[[#Headers],[BO UNIT TRANSFER]]:LS[[#This Row],[BO UNIT TRANSFER]],LS[[#Headers],[Investor ID]]:LS[[#This Row],[Investor ID]],LS[[#This Row],[Investor ID]])</f>
        <v>0</v>
      </c>
    </row>
    <row r="1448" spans="1:23">
      <c r="A1448" s="101">
        <v>2026</v>
      </c>
      <c r="B1448" s="101">
        <v>2</v>
      </c>
      <c r="C1448" s="101">
        <v>9</v>
      </c>
      <c r="D1448" s="98">
        <f>DATE(LS[[#This Row],[Year]],LS[[#This Row],[Month]],LS[[#This Row],[Day]])</f>
        <v>46062</v>
      </c>
      <c r="E1448" s="99" t="str" cm="1">
        <f t="array" ref="E1448">INDEX(INVESTORS_LIST[INVESTOR NAME],MATCH(LS[[#This Row],[Investor ID]],INVESTORS_LIST[INVESTOR CODE],0),)</f>
        <v>MUHAMMAD SHOHIDUZZAMAN</v>
      </c>
      <c r="F1448" s="100" t="s">
        <v>986</v>
      </c>
      <c r="G1448" s="101">
        <f>COUNTIF(LS[[#Headers],[Investor ID]]:LS[[#This Row],[Investor ID]],LS[[#This Row],[Investor ID]])</f>
        <v>15</v>
      </c>
      <c r="H1448" s="101" t="str">
        <f>CONCATENATE(LS[[#This Row],[Frequency]],LS[[#This Row],[Investor ID]])</f>
        <v>15A00470</v>
      </c>
      <c r="I1448" s="75" t="str">
        <f>IF(LS[[#This Row],[B/S]]="B","BUY",(IF(LS[[#This Row],[B/S]]="S","SELL"," ")))</f>
        <v>BUY</v>
      </c>
      <c r="J1448" s="101" t="s">
        <v>1229</v>
      </c>
      <c r="K1448" s="102">
        <v>1550000</v>
      </c>
      <c r="L1448" s="99" t="s">
        <v>1230</v>
      </c>
      <c r="M1448" s="103">
        <f>LS[[#This Row],[Amount]]/LS[[#This Row],[Unit]]</f>
        <v>13.976051359734544</v>
      </c>
      <c r="N1448" s="104">
        <f>LS[[#This Row],[Unit Capital]]/10</f>
        <v>110904</v>
      </c>
      <c r="O1448" s="104">
        <f>SUMIFS(LS[[#Headers],[Unit]]:LS[[#This Row],[Unit]],LS[[#Headers],[Investor ID]]:LS[[#This Row],[Investor ID]],LS[[#This Row],[Investor ID]])</f>
        <v>899722</v>
      </c>
      <c r="P1448" s="102">
        <v>1109040</v>
      </c>
      <c r="Q1448" s="102">
        <f>LS[[#This Row],[Amount]]-LS[[#This Row],[Unit Capital]]</f>
        <v>440960</v>
      </c>
      <c r="R144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12.737593595060805</v>
      </c>
      <c r="S1448" s="103">
        <f t="shared" si="38"/>
        <v>14.224</v>
      </c>
      <c r="T144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48" s="102" cm="1">
        <f t="array" ref="U1448">IF(LS[[#This Row],[B/S]]="S",ABS(LS[[#This Row],[Unit]])*(INDEX(LS[NAV at Cost (Average)],MATCH(CONCATENATE((LS[[#This Row],[Frequency]]-1),LS[[#This Row],[Investor ID]]),LS[Unique Code],0),0)),0)</f>
        <v>0</v>
      </c>
      <c r="V1448" s="102">
        <f>IF(LS[[#This Row],[BO TRANSFER]]="YES",LS[[#This Row],[Unit]],)</f>
        <v>110904</v>
      </c>
      <c r="W1448" s="102">
        <f>SUMIFS(LS[[#Headers],[BO UNIT TRANSFER]]:LS[[#This Row],[BO UNIT TRANSFER]],LS[[#Headers],[Investor ID]]:LS[[#This Row],[Investor ID]],LS[[#This Row],[Investor ID]])</f>
        <v>451271</v>
      </c>
    </row>
    <row r="1449" spans="1:23">
      <c r="A1449" s="101">
        <v>2026</v>
      </c>
      <c r="B1449" s="101">
        <v>2</v>
      </c>
      <c r="C1449" s="101">
        <v>10</v>
      </c>
      <c r="D1449" s="98">
        <f>DATE(LS[[#This Row],[Year]],LS[[#This Row],[Month]],LS[[#This Row],[Day]])</f>
        <v>46063</v>
      </c>
      <c r="E1449" s="99" t="str" cm="1">
        <f t="array" ref="E1449">INDEX(INVESTORS_LIST[INVESTOR NAME],MATCH(LS[[#This Row],[Investor ID]],INVESTORS_LIST[INVESTOR CODE],0),)</f>
        <v>ARZUN KUMAR SARKAR</v>
      </c>
      <c r="F1449" s="100" t="s">
        <v>310</v>
      </c>
      <c r="G1449" s="101">
        <f>COUNTIF(LS[[#Headers],[Investor ID]]:LS[[#This Row],[Investor ID]],LS[[#This Row],[Investor ID]])</f>
        <v>7</v>
      </c>
      <c r="H1449" s="101" t="str">
        <f>CONCATENATE(LS[[#This Row],[Frequency]],LS[[#This Row],[Investor ID]])</f>
        <v>7A00131</v>
      </c>
      <c r="I1449" s="75" t="str">
        <f>IF(LS[[#This Row],[B/S]]="B","BUY",(IF(LS[[#This Row],[B/S]]="S","SELL"," ")))</f>
        <v>SELL</v>
      </c>
      <c r="J1449" s="101" t="s">
        <v>1231</v>
      </c>
      <c r="K1449" s="102">
        <v>-25000</v>
      </c>
      <c r="L1449" s="99"/>
      <c r="M1449" s="103">
        <f>LS[[#This Row],[Amount]]/LS[[#This Row],[Unit]]</f>
        <v>13.997760358342665</v>
      </c>
      <c r="N1449" s="104">
        <f>LS[[#This Row],[Unit Capital]]/10</f>
        <v>-1786</v>
      </c>
      <c r="O1449" s="104">
        <f>SUMIFS(LS[[#Headers],[Unit]]:LS[[#This Row],[Unit]],LS[[#Headers],[Investor ID]]:LS[[#This Row],[Investor ID]],LS[[#This Row],[Investor ID]])</f>
        <v>19917</v>
      </c>
      <c r="P1449" s="102">
        <v>-17860</v>
      </c>
      <c r="Q1449" s="102">
        <f>LS[[#This Row],[Amount]]-LS[[#This Row],[Unit Capital]]</f>
        <v>-7140</v>
      </c>
      <c r="R144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11.562064017432874</v>
      </c>
      <c r="S1449" s="103">
        <f t="shared" si="38"/>
        <v>14.224</v>
      </c>
      <c r="T1449" s="102">
        <f>IF(LS[[#This Row],[B/S]]="B",0,ABS(LS[[#This Row],[Unit]])*(LS[[#This Row],[NAV (Strike Rate)]]-INDEX(LS[NAV at Cost (Average)],MATCH(CONCATENATE(LS[[#This Row],[Frequency]]-1,LS[[#This Row],[Investor ID]]),LS[Unique Code],0),)))</f>
        <v>4350.1536648648871</v>
      </c>
      <c r="U1449" s="102" cm="1">
        <f t="array" ref="U1449">IF(LS[[#This Row],[B/S]]="S",ABS(LS[[#This Row],[Unit]])*(INDEX(LS[NAV at Cost (Average)],MATCH(CONCATENATE((LS[[#This Row],[Frequency]]-1),LS[[#This Row],[Investor ID]]),LS[Unique Code],0),0)),0)</f>
        <v>20649.846335135113</v>
      </c>
      <c r="V1449" s="102">
        <f>IF(LS[[#This Row],[BO TRANSFER]]="YES",LS[[#This Row],[Unit]],)</f>
        <v>0</v>
      </c>
      <c r="W1449" s="102">
        <f>SUMIFS(LS[[#Headers],[BO UNIT TRANSFER]]:LS[[#This Row],[BO UNIT TRANSFER]],LS[[#Headers],[Investor ID]]:LS[[#This Row],[Investor ID]],LS[[#This Row],[Investor ID]])</f>
        <v>0</v>
      </c>
    </row>
    <row r="1450" spans="1:23">
      <c r="A1450" s="101">
        <v>2026</v>
      </c>
      <c r="B1450" s="101">
        <v>2</v>
      </c>
      <c r="C1450" s="101">
        <v>10</v>
      </c>
      <c r="D1450" s="98">
        <f>DATE(LS[[#This Row],[Year]],LS[[#This Row],[Month]],LS[[#This Row],[Day]])</f>
        <v>46063</v>
      </c>
      <c r="E1450" s="99" t="str" cm="1">
        <f t="array" ref="E1450">INDEX(INVESTORS_LIST[INVESTOR NAME],MATCH(LS[[#This Row],[Investor ID]],INVESTORS_LIST[INVESTOR CODE],0),)</f>
        <v>KHAN MUHAMMAD KAWSER AHMED</v>
      </c>
      <c r="F1450" s="100" t="s">
        <v>944</v>
      </c>
      <c r="G1450" s="101">
        <f>COUNTIF(LS[[#Headers],[Investor ID]]:LS[[#This Row],[Investor ID]],LS[[#This Row],[Investor ID]])</f>
        <v>47</v>
      </c>
      <c r="H1450" s="101" t="str">
        <f>CONCATENATE(LS[[#This Row],[Frequency]],LS[[#This Row],[Investor ID]])</f>
        <v>47A00449</v>
      </c>
      <c r="I1450" s="75" t="str">
        <f>IF(LS[[#This Row],[B/S]]="B","BUY",(IF(LS[[#This Row],[B/S]]="S","SELL"," ")))</f>
        <v>SELL</v>
      </c>
      <c r="J1450" s="101" t="s">
        <v>1231</v>
      </c>
      <c r="K1450" s="102">
        <v>-10000000</v>
      </c>
      <c r="L1450" s="99"/>
      <c r="M1450" s="103">
        <f>LS[[#This Row],[Amount]]/LS[[#This Row],[Unit]]</f>
        <v>14.000994070579011</v>
      </c>
      <c r="N1450" s="104">
        <f>LS[[#This Row],[Unit Capital]]/10</f>
        <v>-714235</v>
      </c>
      <c r="O1450" s="104">
        <f>SUMIFS(LS[[#Headers],[Unit]]:LS[[#This Row],[Unit]],LS[[#Headers],[Investor ID]]:LS[[#This Row],[Investor ID]],LS[[#This Row],[Investor ID]])</f>
        <v>6988383</v>
      </c>
      <c r="P1450" s="102">
        <v>-7142350</v>
      </c>
      <c r="Q1450" s="102">
        <f>LS[[#This Row],[Amount]]-LS[[#This Row],[Unit Capital]]</f>
        <v>-2857650</v>
      </c>
      <c r="R145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50" s="103">
        <f t="shared" si="38"/>
        <v>14.224</v>
      </c>
      <c r="T1450" s="102">
        <f>IF(LS[[#This Row],[B/S]]="B",0,ABS(LS[[#This Row],[Unit]])*(LS[[#This Row],[NAV (Strike Rate)]]-INDEX(LS[NAV at Cost (Average)],MATCH(CONCATENATE(LS[[#This Row],[Frequency]]-1,LS[[#This Row],[Investor ID]]),LS[Unique Code],0),)))</f>
        <v>1154804.0799337099</v>
      </c>
      <c r="U1450" s="102" cm="1">
        <f t="array" ref="U1450">IF(LS[[#This Row],[B/S]]="S",ABS(LS[[#This Row],[Unit]])*(INDEX(LS[NAV at Cost (Average)],MATCH(CONCATENATE((LS[[#This Row],[Frequency]]-1),LS[[#This Row],[Investor ID]]),LS[Unique Code],0),0)),0)</f>
        <v>8845195.9200662896</v>
      </c>
      <c r="V1450" s="102">
        <f>IF(LS[[#This Row],[BO TRANSFER]]="YES",LS[[#This Row],[Unit]],)</f>
        <v>0</v>
      </c>
      <c r="W1450" s="102">
        <f>SUMIFS(LS[[#Headers],[BO UNIT TRANSFER]]:LS[[#This Row],[BO UNIT TRANSFER]],LS[[#Headers],[Investor ID]]:LS[[#This Row],[Investor ID]],LS[[#This Row],[Investor ID]])</f>
        <v>0</v>
      </c>
    </row>
    <row r="1451" spans="1:23">
      <c r="A1451" s="101">
        <v>2026</v>
      </c>
      <c r="B1451" s="101">
        <v>2</v>
      </c>
      <c r="C1451" s="101">
        <v>10</v>
      </c>
      <c r="D1451" s="98">
        <f>DATE(LS[[#This Row],[Year]],LS[[#This Row],[Month]],LS[[#This Row],[Day]])</f>
        <v>46063</v>
      </c>
      <c r="E1451" s="99" t="str" cm="1">
        <f t="array" ref="E1451">INDEX(INVESTORS_LIST[INVESTOR NAME],MATCH(LS[[#This Row],[Investor ID]],INVESTORS_LIST[INVESTOR CODE],0),)</f>
        <v>ISRAT JAHAN BRISTY</v>
      </c>
      <c r="F1451" s="100" t="s">
        <v>1552</v>
      </c>
      <c r="G1451" s="101">
        <f>COUNTIF(LS[[#Headers],[Investor ID]]:LS[[#This Row],[Investor ID]],LS[[#This Row],[Investor ID]])</f>
        <v>1</v>
      </c>
      <c r="H1451" s="101" t="str">
        <f>CONCATENATE(LS[[#This Row],[Frequency]],LS[[#This Row],[Investor ID]])</f>
        <v>1A00706</v>
      </c>
      <c r="I1451" s="75" t="str">
        <f>IF(LS[[#This Row],[B/S]]="B","BUY",(IF(LS[[#This Row],[B/S]]="S","SELL"," ")))</f>
        <v>BUY</v>
      </c>
      <c r="J1451" s="101" t="s">
        <v>1229</v>
      </c>
      <c r="K1451" s="102">
        <v>1000000</v>
      </c>
      <c r="L1451" s="99"/>
      <c r="M1451" s="103">
        <f>LS[[#This Row],[Amount]]/LS[[#This Row],[Unit]]</f>
        <v>14.001092085182645</v>
      </c>
      <c r="N1451" s="104">
        <f>LS[[#This Row],[Unit Capital]]/10</f>
        <v>71423</v>
      </c>
      <c r="O1451" s="104">
        <f>SUMIFS(LS[[#Headers],[Unit]]:LS[[#This Row],[Unit]],LS[[#Headers],[Investor ID]]:LS[[#This Row],[Investor ID]],LS[[#This Row],[Investor ID]])</f>
        <v>71423</v>
      </c>
      <c r="P1451" s="102">
        <v>714230</v>
      </c>
      <c r="Q1451" s="102">
        <f>LS[[#This Row],[Amount]]-LS[[#This Row],[Unit Capital]]</f>
        <v>285770</v>
      </c>
      <c r="R145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14.001092085182645</v>
      </c>
      <c r="S1451" s="103">
        <f t="shared" si="38"/>
        <v>14.224</v>
      </c>
      <c r="T145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51" s="102" cm="1">
        <f t="array" ref="U1451">IF(LS[[#This Row],[B/S]]="S",ABS(LS[[#This Row],[Unit]])*(INDEX(LS[NAV at Cost (Average)],MATCH(CONCATENATE((LS[[#This Row],[Frequency]]-1),LS[[#This Row],[Investor ID]]),LS[Unique Code],0),0)),0)</f>
        <v>0</v>
      </c>
      <c r="V1451" s="102">
        <f>IF(LS[[#This Row],[BO TRANSFER]]="YES",LS[[#This Row],[Unit]],)</f>
        <v>0</v>
      </c>
      <c r="W1451" s="102">
        <f>SUMIFS(LS[[#Headers],[BO UNIT TRANSFER]]:LS[[#This Row],[BO UNIT TRANSFER]],LS[[#Headers],[Investor ID]]:LS[[#This Row],[Investor ID]],LS[[#This Row],[Investor ID]])</f>
        <v>0</v>
      </c>
    </row>
    <row r="1452" spans="1:23">
      <c r="A1452" s="101">
        <v>2026</v>
      </c>
      <c r="B1452" s="101">
        <v>2</v>
      </c>
      <c r="C1452" s="101">
        <v>16</v>
      </c>
      <c r="D1452" s="98">
        <f>DATE(LS[[#This Row],[Year]],LS[[#This Row],[Month]],LS[[#This Row],[Day]])</f>
        <v>46069</v>
      </c>
      <c r="E1452" s="99" t="str" cm="1">
        <f t="array" ref="E1452">INDEX(INVESTORS_LIST[INVESTOR NAME],MATCH(LS[[#This Row],[Investor ID]],INVESTORS_LIST[INVESTOR CODE],0),)</f>
        <v>KHAN MUHAMMAD KAWSER AHMED</v>
      </c>
      <c r="F1452" s="100" t="s">
        <v>944</v>
      </c>
      <c r="G1452" s="101">
        <f>COUNTIF(LS[[#Headers],[Investor ID]]:LS[[#This Row],[Investor ID]],LS[[#This Row],[Investor ID]])</f>
        <v>48</v>
      </c>
      <c r="H1452" s="101" t="str">
        <f>CONCATENATE(LS[[#This Row],[Frequency]],LS[[#This Row],[Investor ID]])</f>
        <v>48A00449</v>
      </c>
      <c r="I1452" s="75" t="str">
        <f>IF(LS[[#This Row],[B/S]]="B","BUY",(IF(LS[[#This Row],[B/S]]="S","SELL"," ")))</f>
        <v>SELL</v>
      </c>
      <c r="J1452" s="101" t="s">
        <v>1231</v>
      </c>
      <c r="K1452" s="102">
        <v>-5000000</v>
      </c>
      <c r="L1452" s="99"/>
      <c r="M1452" s="103">
        <f>LS[[#This Row],[Amount]]/LS[[#This Row],[Unit]]</f>
        <v>14.020997846374732</v>
      </c>
      <c r="N1452" s="104">
        <f>LS[[#This Row],[Unit Capital]]/10</f>
        <v>-356608</v>
      </c>
      <c r="O1452" s="104">
        <f>SUMIFS(LS[[#Headers],[Unit]]:LS[[#This Row],[Unit]],LS[[#Headers],[Investor ID]]:LS[[#This Row],[Investor ID]],LS[[#This Row],[Investor ID]])</f>
        <v>6631775</v>
      </c>
      <c r="P1452" s="153">
        <v>-3566080</v>
      </c>
      <c r="Q1452" s="102">
        <f>LS[[#This Row],[Amount]]-LS[[#This Row],[Unit Capital]]</f>
        <v>-1433920</v>
      </c>
      <c r="R145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52" s="103">
        <f t="shared" ref="S1452:S1458" si="39">IFERROR(NAV_MKT,0)</f>
        <v>14.224</v>
      </c>
      <c r="T1452" s="102">
        <f>IF(LS[[#This Row],[B/S]]="B",0,ABS(LS[[#This Row],[Unit]])*(LS[[#This Row],[NAV (Strike Rate)]]-INDEX(LS[NAV at Cost (Average)],MATCH(CONCATENATE(LS[[#This Row],[Frequency]]-1,LS[[#This Row],[Investor ID]]),LS[Unique Code],0),)))</f>
        <v>583711.76620720141</v>
      </c>
      <c r="U1452" s="102" cm="1">
        <f t="array" ref="U1452">IF(LS[[#This Row],[B/S]]="S",ABS(LS[[#This Row],[Unit]])*(INDEX(LS[NAV at Cost (Average)],MATCH(CONCATENATE((LS[[#This Row],[Frequency]]-1),LS[[#This Row],[Investor ID]]),LS[Unique Code],0),0)),0)</f>
        <v>4416288.2337927986</v>
      </c>
      <c r="V1452" s="102">
        <f>IF(LS[[#This Row],[BO TRANSFER]]="YES",LS[[#This Row],[Unit]],)</f>
        <v>0</v>
      </c>
      <c r="W1452" s="102">
        <f>SUMIFS(LS[[#Headers],[BO UNIT TRANSFER]]:LS[[#This Row],[BO UNIT TRANSFER]],LS[[#Headers],[Investor ID]]:LS[[#This Row],[Investor ID]],LS[[#This Row],[Investor ID]])</f>
        <v>0</v>
      </c>
    </row>
    <row r="1453" spans="1:23">
      <c r="A1453" s="101">
        <v>2026</v>
      </c>
      <c r="B1453" s="101">
        <v>2</v>
      </c>
      <c r="C1453" s="101">
        <v>16</v>
      </c>
      <c r="D1453" s="98">
        <f>DATE(LS[[#This Row],[Year]],LS[[#This Row],[Month]],LS[[#This Row],[Day]])</f>
        <v>46069</v>
      </c>
      <c r="E1453" s="99" t="str" cm="1">
        <f t="array" ref="E1453">INDEX(INVESTORS_LIST[INVESTOR NAME],MATCH(LS[[#This Row],[Investor ID]],INVESTORS_LIST[INVESTOR CODE],0),)</f>
        <v>N M AL HOSSAIN</v>
      </c>
      <c r="F1453" s="100" t="s">
        <v>280</v>
      </c>
      <c r="G1453" s="101">
        <f>COUNTIF(LS[[#Headers],[Investor ID]]:LS[[#This Row],[Investor ID]],LS[[#This Row],[Investor ID]])</f>
        <v>10</v>
      </c>
      <c r="H1453" s="101" t="str">
        <f>CONCATENATE(LS[[#This Row],[Frequency]],LS[[#This Row],[Investor ID]])</f>
        <v>10A00116</v>
      </c>
      <c r="I1453" s="75" t="str">
        <f>IF(LS[[#This Row],[B/S]]="B","BUY",(IF(LS[[#This Row],[B/S]]="S","SELL"," ")))</f>
        <v>SELL</v>
      </c>
      <c r="J1453" s="101" t="s">
        <v>1231</v>
      </c>
      <c r="K1453" s="102">
        <v>-500000</v>
      </c>
      <c r="L1453" s="99"/>
      <c r="M1453" s="103">
        <f>LS[[#This Row],[Amount]]/LS[[#This Row],[Unit]]</f>
        <v>14.020919211463504</v>
      </c>
      <c r="N1453" s="104">
        <f>LS[[#This Row],[Unit Capital]]/10</f>
        <v>-35661</v>
      </c>
      <c r="O1453" s="104">
        <f>SUMIFS(LS[[#Headers],[Unit]]:LS[[#This Row],[Unit]],LS[[#Headers],[Investor ID]]:LS[[#This Row],[Investor ID]],LS[[#This Row],[Investor ID]])</f>
        <v>795325</v>
      </c>
      <c r="P1453" s="153">
        <v>-356610</v>
      </c>
      <c r="Q1453" s="102">
        <f>LS[[#This Row],[Amount]]-LS[[#This Row],[Unit Capital]]</f>
        <v>-143390</v>
      </c>
      <c r="R145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1453" s="103">
        <f t="shared" si="39"/>
        <v>14.224</v>
      </c>
      <c r="T1453" s="102">
        <f>IF(LS[[#This Row],[B/S]]="B",0,ABS(LS[[#This Row],[Unit]])*(LS[[#This Row],[NAV (Strike Rate)]]-INDEX(LS[NAV at Cost (Average)],MATCH(CONCATENATE(LS[[#This Row],[Frequency]]-1,LS[[#This Row],[Investor ID]]),LS[Unique Code],0),)))</f>
        <v>119620.05738605458</v>
      </c>
      <c r="U1453" s="102" cm="1">
        <f t="array" ref="U1453">IF(LS[[#This Row],[B/S]]="S",ABS(LS[[#This Row],[Unit]])*(INDEX(LS[NAV at Cost (Average)],MATCH(CONCATENATE((LS[[#This Row],[Frequency]]-1),LS[[#This Row],[Investor ID]]),LS[Unique Code],0),0)),0)</f>
        <v>380379.9426139454</v>
      </c>
      <c r="V1453" s="102">
        <f>IF(LS[[#This Row],[BO TRANSFER]]="YES",LS[[#This Row],[Unit]],)</f>
        <v>0</v>
      </c>
      <c r="W1453" s="102">
        <f>SUMIFS(LS[[#Headers],[BO UNIT TRANSFER]]:LS[[#This Row],[BO UNIT TRANSFER]],LS[[#Headers],[Investor ID]]:LS[[#This Row],[Investor ID]],LS[[#This Row],[Investor ID]])</f>
        <v>0</v>
      </c>
    </row>
    <row r="1454" spans="1:23">
      <c r="A1454" s="101">
        <v>2026</v>
      </c>
      <c r="B1454" s="101">
        <v>2</v>
      </c>
      <c r="C1454" s="101">
        <v>17</v>
      </c>
      <c r="D1454" s="98">
        <f>DATE(LS[[#This Row],[Year]],LS[[#This Row],[Month]],LS[[#This Row],[Day]])</f>
        <v>46070</v>
      </c>
      <c r="E1454" s="99" t="str" cm="1">
        <f t="array" ref="E1454">INDEX(INVESTORS_LIST[INVESTOR NAME],MATCH(LS[[#This Row],[Investor ID]],INVESTORS_LIST[INVESTOR CODE],0),)</f>
        <v>SHARMIN AKTER</v>
      </c>
      <c r="F1454" s="100" t="s">
        <v>1342</v>
      </c>
      <c r="G1454" s="101">
        <f>COUNTIF(LS[[#Headers],[Investor ID]]:LS[[#This Row],[Investor ID]],LS[[#This Row],[Investor ID]])</f>
        <v>5</v>
      </c>
      <c r="H1454" s="101" t="str">
        <f>CONCATENATE(LS[[#This Row],[Frequency]],LS[[#This Row],[Investor ID]])</f>
        <v>5A00617</v>
      </c>
      <c r="I1454" s="75" t="str">
        <f>IF(LS[[#This Row],[B/S]]="B","BUY",(IF(LS[[#This Row],[B/S]]="S","SELL"," ")))</f>
        <v>SELL</v>
      </c>
      <c r="J1454" s="101" t="s">
        <v>1231</v>
      </c>
      <c r="K1454" s="102">
        <v>-500000</v>
      </c>
      <c r="L1454" s="99"/>
      <c r="M1454" s="103">
        <f>LS[[#This Row],[Amount]]/LS[[#This Row],[Unit]]</f>
        <v>14.026032315978457</v>
      </c>
      <c r="N1454" s="104">
        <f>LS[[#This Row],[Unit Capital]]/10</f>
        <v>-35648</v>
      </c>
      <c r="O1454" s="104">
        <f>SUMIFS(LS[[#Headers],[Unit]]:LS[[#This Row],[Unit]],LS[[#Headers],[Investor ID]]:LS[[#This Row],[Investor ID]],LS[[#This Row],[Investor ID]])</f>
        <v>22481</v>
      </c>
      <c r="P1454" s="102">
        <v>-356480</v>
      </c>
      <c r="Q1454" s="102">
        <f>LS[[#This Row],[Amount]]-LS[[#This Row],[Unit Capital]]</f>
        <v>-143520</v>
      </c>
      <c r="R145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12.902337903628139</v>
      </c>
      <c r="S1454" s="103">
        <f t="shared" si="39"/>
        <v>14.224</v>
      </c>
      <c r="T1454" s="102">
        <f>IF(LS[[#This Row],[B/S]]="B",0,ABS(LS[[#This Row],[Unit]])*(LS[[#This Row],[NAV (Strike Rate)]]-INDEX(LS[NAV at Cost (Average)],MATCH(CONCATENATE(LS[[#This Row],[Frequency]]-1,LS[[#This Row],[Investor ID]]),LS[Unique Code],0),)))</f>
        <v>40057.458411464133</v>
      </c>
      <c r="U1454" s="102" cm="1">
        <f t="array" ref="U1454">IF(LS[[#This Row],[B/S]]="S",ABS(LS[[#This Row],[Unit]])*(INDEX(LS[NAV at Cost (Average)],MATCH(CONCATENATE((LS[[#This Row],[Frequency]]-1),LS[[#This Row],[Investor ID]]),LS[Unique Code],0),0)),0)</f>
        <v>459942.54158853588</v>
      </c>
      <c r="V1454" s="102">
        <f>IF(LS[[#This Row],[BO TRANSFER]]="YES",LS[[#This Row],[Unit]],)</f>
        <v>0</v>
      </c>
      <c r="W1454" s="102">
        <f>SUMIFS(LS[[#Headers],[BO UNIT TRANSFER]]:LS[[#This Row],[BO UNIT TRANSFER]],LS[[#Headers],[Investor ID]]:LS[[#This Row],[Investor ID]],LS[[#This Row],[Investor ID]])</f>
        <v>0</v>
      </c>
    </row>
    <row r="1455" spans="1:23">
      <c r="A1455" s="101">
        <v>2026</v>
      </c>
      <c r="B1455" s="101">
        <v>2</v>
      </c>
      <c r="C1455" s="101">
        <v>17</v>
      </c>
      <c r="D1455" s="98">
        <f>DATE(LS[[#This Row],[Year]],LS[[#This Row],[Month]],LS[[#This Row],[Day]])</f>
        <v>46070</v>
      </c>
      <c r="E1455" s="99" t="str" cm="1">
        <f t="array" ref="E1455">INDEX(INVESTORS_LIST[INVESTOR NAME],MATCH(LS[[#This Row],[Investor ID]],INVESTORS_LIST[INVESTOR CODE],0),)</f>
        <v>ELORA SHAHAB SHARMEE</v>
      </c>
      <c r="F1455" s="100" t="s">
        <v>1385</v>
      </c>
      <c r="G1455" s="101">
        <f>COUNTIF(LS[[#Headers],[Investor ID]]:LS[[#This Row],[Investor ID]],LS[[#This Row],[Investor ID]])</f>
        <v>2</v>
      </c>
      <c r="H1455" s="101" t="str">
        <f>CONCATENATE(LS[[#This Row],[Frequency]],LS[[#This Row],[Investor ID]])</f>
        <v>2A00637</v>
      </c>
      <c r="I1455" s="75" t="str">
        <f>IF(LS[[#This Row],[B/S]]="B","BUY",(IF(LS[[#This Row],[B/S]]="S","SELL"," ")))</f>
        <v>SELL</v>
      </c>
      <c r="J1455" s="101" t="s">
        <v>1231</v>
      </c>
      <c r="K1455" s="102">
        <v>-222909.92</v>
      </c>
      <c r="L1455" s="99"/>
      <c r="M1455" s="103">
        <f>LS[[#This Row],[Amount]]/LS[[#This Row],[Unit]]</f>
        <v>14.000999937189876</v>
      </c>
      <c r="N1455" s="104">
        <f>LS[[#This Row],[Unit Capital]]/10</f>
        <v>-15921</v>
      </c>
      <c r="O1455" s="104">
        <f>SUMIFS(LS[[#Headers],[Unit]]:LS[[#This Row],[Unit]],LS[[#Headers],[Investor ID]]:LS[[#This Row],[Investor ID]],LS[[#This Row],[Investor ID]])</f>
        <v>0</v>
      </c>
      <c r="P1455" s="102">
        <v>-159210</v>
      </c>
      <c r="Q1455" s="102">
        <f>LS[[#This Row],[Amount]]-LS[[#This Row],[Unit Capital]]</f>
        <v>-63699.920000000013</v>
      </c>
      <c r="R145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55" s="103">
        <f t="shared" si="39"/>
        <v>14.224</v>
      </c>
      <c r="T1455" s="102">
        <f>IF(LS[[#This Row],[B/S]]="B",0,ABS(LS[[#This Row],[Unit]])*(LS[[#This Row],[NAV (Strike Rate)]]-INDEX(LS[NAV at Cost (Average)],MATCH(CONCATENATE(LS[[#This Row],[Frequency]]-1,LS[[#This Row],[Investor ID]]),LS[Unique Code],0),)))</f>
        <v>22909.920000000016</v>
      </c>
      <c r="U1455" s="102" cm="1">
        <f t="array" ref="U1455">IF(LS[[#This Row],[B/S]]="S",ABS(LS[[#This Row],[Unit]])*(INDEX(LS[NAV at Cost (Average)],MATCH(CONCATENATE((LS[[#This Row],[Frequency]]-1),LS[[#This Row],[Investor ID]]),LS[Unique Code],0),0)),0)</f>
        <v>200000</v>
      </c>
      <c r="V1455" s="102">
        <f>IF(LS[[#This Row],[BO TRANSFER]]="YES",LS[[#This Row],[Unit]],)</f>
        <v>0</v>
      </c>
      <c r="W1455" s="102">
        <f>SUMIFS(LS[[#Headers],[BO UNIT TRANSFER]]:LS[[#This Row],[BO UNIT TRANSFER]],LS[[#Headers],[Investor ID]]:LS[[#This Row],[Investor ID]],LS[[#This Row],[Investor ID]])</f>
        <v>0</v>
      </c>
    </row>
    <row r="1456" spans="1:23">
      <c r="A1456" s="101">
        <v>2026</v>
      </c>
      <c r="B1456" s="101">
        <v>2</v>
      </c>
      <c r="C1456" s="101">
        <v>17</v>
      </c>
      <c r="D1456" s="98">
        <f>DATE(LS[[#This Row],[Year]],LS[[#This Row],[Month]],LS[[#This Row],[Day]])</f>
        <v>46070</v>
      </c>
      <c r="E1456" s="99" t="str" cm="1">
        <f t="array" ref="E1456">INDEX(INVESTORS_LIST[INVESTOR NAME],MATCH(LS[[#This Row],[Investor ID]],INVESTORS_LIST[INVESTOR CODE],0),)</f>
        <v>MOHAMMAD JAHANGIR HOSSAIN</v>
      </c>
      <c r="F1456" s="100" t="s">
        <v>1263</v>
      </c>
      <c r="G1456" s="101">
        <f>COUNTIF(LS[[#Headers],[Investor ID]]:LS[[#This Row],[Investor ID]],LS[[#This Row],[Investor ID]])</f>
        <v>5</v>
      </c>
      <c r="H1456" s="101" t="str">
        <f>CONCATENATE(LS[[#This Row],[Frequency]],LS[[#This Row],[Investor ID]])</f>
        <v>5A00581</v>
      </c>
      <c r="I1456" s="75" t="str">
        <f>IF(LS[[#This Row],[B/S]]="B","BUY",(IF(LS[[#This Row],[B/S]]="S","SELL"," ")))</f>
        <v>SELL</v>
      </c>
      <c r="J1456" s="101" t="s">
        <v>1231</v>
      </c>
      <c r="K1456" s="102">
        <v>-173460</v>
      </c>
      <c r="L1456" s="99"/>
      <c r="M1456" s="103">
        <f>LS[[#This Row],[Amount]]/LS[[#This Row],[Unit]]</f>
        <v>14.02603703404221</v>
      </c>
      <c r="N1456" s="104">
        <f>LS[[#This Row],[Unit Capital]]/10</f>
        <v>-12367</v>
      </c>
      <c r="O1456" s="104">
        <f>SUMIFS(LS[[#Headers],[Unit]]:LS[[#This Row],[Unit]],LS[[#Headers],[Investor ID]]:LS[[#This Row],[Investor ID]],LS[[#This Row],[Investor ID]])</f>
        <v>0</v>
      </c>
      <c r="P1456" s="102">
        <v>-123670</v>
      </c>
      <c r="Q1456" s="102">
        <f>LS[[#This Row],[Amount]]-LS[[#This Row],[Unit Capital]]</f>
        <v>-49790</v>
      </c>
      <c r="R145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56" s="103">
        <f t="shared" si="39"/>
        <v>14.224</v>
      </c>
      <c r="T1456" s="102">
        <f>IF(LS[[#This Row],[B/S]]="B",0,ABS(LS[[#This Row],[Unit]])*(LS[[#This Row],[NAV (Strike Rate)]]-INDEX(LS[NAV at Cost (Average)],MATCH(CONCATENATE(LS[[#This Row],[Frequency]]-1,LS[[#This Row],[Investor ID]]),LS[Unique Code],0),)))</f>
        <v>18364.428299602139</v>
      </c>
      <c r="U1456" s="102" cm="1">
        <f t="array" ref="U1456">IF(LS[[#This Row],[B/S]]="S",ABS(LS[[#This Row],[Unit]])*(INDEX(LS[NAV at Cost (Average)],MATCH(CONCATENATE((LS[[#This Row],[Frequency]]-1),LS[[#This Row],[Investor ID]]),LS[Unique Code],0),0)),0)</f>
        <v>155095.57170039788</v>
      </c>
      <c r="V1456" s="102">
        <f>IF(LS[[#This Row],[BO TRANSFER]]="YES",LS[[#This Row],[Unit]],)</f>
        <v>0</v>
      </c>
      <c r="W1456" s="102">
        <f>SUMIFS(LS[[#Headers],[BO UNIT TRANSFER]]:LS[[#This Row],[BO UNIT TRANSFER]],LS[[#Headers],[Investor ID]]:LS[[#This Row],[Investor ID]],LS[[#This Row],[Investor ID]])</f>
        <v>0</v>
      </c>
    </row>
    <row r="1457" spans="1:23">
      <c r="A1457" s="101">
        <v>2026</v>
      </c>
      <c r="B1457" s="101">
        <v>2</v>
      </c>
      <c r="C1457" s="101">
        <v>18</v>
      </c>
      <c r="D1457" s="98">
        <f>DATE(LS[[#This Row],[Year]],LS[[#This Row],[Month]],LS[[#This Row],[Day]])</f>
        <v>46071</v>
      </c>
      <c r="E1457" s="99" t="str" cm="1">
        <f t="array" ref="E1457">INDEX(INVESTORS_LIST[INVESTOR NAME],MATCH(LS[[#This Row],[Investor ID]],INVESTORS_LIST[INVESTOR CODE],0),)</f>
        <v>MUHAMMAD SHOHIDUZZAMAN</v>
      </c>
      <c r="F1457" s="100" t="s">
        <v>986</v>
      </c>
      <c r="G1457" s="101">
        <f>COUNTIF(LS[[#Headers],[Investor ID]]:LS[[#This Row],[Investor ID]],LS[[#This Row],[Investor ID]])</f>
        <v>16</v>
      </c>
      <c r="H1457" s="101" t="str">
        <f>CONCATENATE(LS[[#This Row],[Frequency]],LS[[#This Row],[Investor ID]])</f>
        <v>16A00470</v>
      </c>
      <c r="I1457" s="75" t="str">
        <f>IF(LS[[#This Row],[B/S]]="B","BUY",(IF(LS[[#This Row],[B/S]]="S","SELL"," ")))</f>
        <v>SELL</v>
      </c>
      <c r="J1457" s="101" t="s">
        <v>1231</v>
      </c>
      <c r="K1457" s="102">
        <v>-1300000</v>
      </c>
      <c r="L1457" s="99" t="s">
        <v>1230</v>
      </c>
      <c r="M1457" s="103">
        <f>LS[[#This Row],[Amount]]/LS[[#This Row],[Unit]]</f>
        <v>14.030997711868066</v>
      </c>
      <c r="N1457" s="104">
        <f>LS[[#This Row],[Unit Capital]]/10</f>
        <v>-92652</v>
      </c>
      <c r="O1457" s="104">
        <f>SUMIFS(LS[[#Headers],[Unit]]:LS[[#This Row],[Unit]],LS[[#Headers],[Investor ID]]:LS[[#This Row],[Investor ID]],LS[[#This Row],[Investor ID]])</f>
        <v>807070</v>
      </c>
      <c r="P1457" s="102">
        <v>-926520</v>
      </c>
      <c r="Q1457" s="102">
        <f>LS[[#This Row],[Amount]]-LS[[#This Row],[Unit Capital]]</f>
        <v>-373480</v>
      </c>
      <c r="R145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12.737593595060805</v>
      </c>
      <c r="S1457" s="103">
        <f t="shared" si="39"/>
        <v>14.224</v>
      </c>
      <c r="T1457" s="102">
        <f>IF(LS[[#This Row],[B/S]]="B",0,ABS(LS[[#This Row],[Unit]])*(LS[[#This Row],[NAV (Strike Rate)]]-INDEX(LS[NAV at Cost (Average)],MATCH(CONCATENATE(LS[[#This Row],[Frequency]]-1,LS[[#This Row],[Investor ID]]),LS[Unique Code],0),)))</f>
        <v>119836.47823042638</v>
      </c>
      <c r="U1457" s="102" cm="1">
        <f t="array" ref="U1457">IF(LS[[#This Row],[B/S]]="S",ABS(LS[[#This Row],[Unit]])*(INDEX(LS[NAV at Cost (Average)],MATCH(CONCATENATE((LS[[#This Row],[Frequency]]-1),LS[[#This Row],[Investor ID]]),LS[Unique Code],0),0)),0)</f>
        <v>1180163.5217695737</v>
      </c>
      <c r="V1457" s="102">
        <f>IF(LS[[#This Row],[BO TRANSFER]]="YES",LS[[#This Row],[Unit]],)</f>
        <v>-92652</v>
      </c>
      <c r="W1457" s="102">
        <f>SUMIFS(LS[[#Headers],[BO UNIT TRANSFER]]:LS[[#This Row],[BO UNIT TRANSFER]],LS[[#Headers],[Investor ID]]:LS[[#This Row],[Investor ID]],LS[[#This Row],[Investor ID]])</f>
        <v>358619</v>
      </c>
    </row>
    <row r="1458" spans="1:23">
      <c r="A1458" s="101">
        <v>2026</v>
      </c>
      <c r="B1458" s="101">
        <v>2</v>
      </c>
      <c r="C1458" s="101">
        <v>18</v>
      </c>
      <c r="D1458" s="98">
        <f>DATE(LS[[#This Row],[Year]],LS[[#This Row],[Month]],LS[[#This Row],[Day]])</f>
        <v>46071</v>
      </c>
      <c r="E1458" s="99" t="str" cm="1">
        <f t="array" ref="E1458">INDEX(INVESTORS_LIST[INVESTOR NAME],MATCH(LS[[#This Row],[Investor ID]],INVESTORS_LIST[INVESTOR CODE],0),)</f>
        <v>A.K.M. FAHIM MASHROOR</v>
      </c>
      <c r="F1458" s="100" t="s">
        <v>1530</v>
      </c>
      <c r="G1458" s="101">
        <f>COUNTIF(LS[[#Headers],[Investor ID]]:LS[[#This Row],[Investor ID]],LS[[#This Row],[Investor ID]])</f>
        <v>1</v>
      </c>
      <c r="H1458" s="101" t="str">
        <f>CONCATENATE(LS[[#This Row],[Frequency]],LS[[#This Row],[Investor ID]])</f>
        <v>1A00699</v>
      </c>
      <c r="I1458" s="75" t="str">
        <f>IF(LS[[#This Row],[B/S]]="B","BUY",(IF(LS[[#This Row],[B/S]]="S","SELL"," ")))</f>
        <v>BUY</v>
      </c>
      <c r="J1458" s="101" t="s">
        <v>1229</v>
      </c>
      <c r="K1458" s="102">
        <v>7500000</v>
      </c>
      <c r="L1458" s="99" t="s">
        <v>1230</v>
      </c>
      <c r="M1458" s="103">
        <f>LS[[#This Row],[Amount]]/LS[[#This Row],[Unit]]</f>
        <v>14.030991654366163</v>
      </c>
      <c r="N1458" s="104">
        <f>LS[[#This Row],[Unit Capital]]/10</f>
        <v>534531</v>
      </c>
      <c r="O1458" s="104">
        <f>SUMIFS(LS[[#Headers],[Unit]]:LS[[#This Row],[Unit]],LS[[#Headers],[Investor ID]]:LS[[#This Row],[Investor ID]],LS[[#This Row],[Investor ID]])</f>
        <v>534531</v>
      </c>
      <c r="P1458" s="102">
        <v>5345310</v>
      </c>
      <c r="Q1458" s="102">
        <f>LS[[#This Row],[Amount]]-LS[[#This Row],[Unit Capital]]</f>
        <v>2154690</v>
      </c>
      <c r="R145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14.030991654366163</v>
      </c>
      <c r="S1458" s="103">
        <f t="shared" si="39"/>
        <v>14.224</v>
      </c>
      <c r="T145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58" s="102" cm="1">
        <f t="array" ref="U1458">IF(LS[[#This Row],[B/S]]="S",ABS(LS[[#This Row],[Unit]])*(INDEX(LS[NAV at Cost (Average)],MATCH(CONCATENATE((LS[[#This Row],[Frequency]]-1),LS[[#This Row],[Investor ID]]),LS[Unique Code],0),0)),0)</f>
        <v>0</v>
      </c>
      <c r="V1458" s="102">
        <f>IF(LS[[#This Row],[BO TRANSFER]]="YES",LS[[#This Row],[Unit]],)</f>
        <v>534531</v>
      </c>
      <c r="W1458" s="102">
        <f>SUMIFS(LS[[#Headers],[BO UNIT TRANSFER]]:LS[[#This Row],[BO UNIT TRANSFER]],LS[[#Headers],[Investor ID]]:LS[[#This Row],[Investor ID]],LS[[#This Row],[Investor ID]])</f>
        <v>534531</v>
      </c>
    </row>
    <row r="1459" spans="1:23">
      <c r="A1459" s="101">
        <v>2026</v>
      </c>
      <c r="B1459" s="101">
        <v>2</v>
      </c>
      <c r="C1459" s="101">
        <v>19</v>
      </c>
      <c r="D1459" s="98">
        <f>DATE(LS[[#This Row],[Year]],LS[[#This Row],[Month]],LS[[#This Row],[Day]])</f>
        <v>46072</v>
      </c>
      <c r="E1459" s="99" t="str" cm="1">
        <f t="array" ref="E1459">INDEX(INVESTORS_LIST[INVESTOR NAME],MATCH(LS[[#This Row],[Investor ID]],INVESTORS_LIST[INVESTOR CODE],0),)</f>
        <v>MD. SAIFUL ISLAM</v>
      </c>
      <c r="F1459" s="100" t="s">
        <v>1425</v>
      </c>
      <c r="G1459" s="101">
        <f>COUNTIF(LS[[#Headers],[Investor ID]]:LS[[#This Row],[Investor ID]],LS[[#This Row],[Investor ID]])</f>
        <v>5</v>
      </c>
      <c r="H1459" s="101" t="str">
        <f>CONCATENATE(LS[[#This Row],[Frequency]],LS[[#This Row],[Investor ID]])</f>
        <v>5A00658</v>
      </c>
      <c r="I1459" s="75" t="str">
        <f>IF(LS[[#This Row],[B/S]]="B","BUY",(IF(LS[[#This Row],[B/S]]="S","SELL"," ")))</f>
        <v>SELL</v>
      </c>
      <c r="J1459" s="101" t="s">
        <v>1231</v>
      </c>
      <c r="K1459" s="102">
        <v>-100000</v>
      </c>
      <c r="L1459" s="99"/>
      <c r="M1459" s="103">
        <f>LS[[#This Row],[Amount]]/LS[[#This Row],[Unit]]</f>
        <v>14.042971492767869</v>
      </c>
      <c r="N1459" s="104">
        <f>LS[[#This Row],[Unit Capital]]/10</f>
        <v>-7121</v>
      </c>
      <c r="O1459" s="104">
        <f>SUMIFS(LS[[#Headers],[Unit]]:LS[[#This Row],[Unit]],LS[[#Headers],[Investor ID]]:LS[[#This Row],[Investor ID]],LS[[#This Row],[Investor ID]])</f>
        <v>22498</v>
      </c>
      <c r="P1459" s="102">
        <v>-71210</v>
      </c>
      <c r="Q1459" s="102">
        <f>LS[[#This Row],[Amount]]-LS[[#This Row],[Unit Capital]]</f>
        <v>-28790</v>
      </c>
      <c r="R145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13.590280231578376</v>
      </c>
      <c r="S1459" s="103">
        <f t="shared" ref="S1459:S1465" si="40">IFERROR(NAV_MKT,0)</f>
        <v>14.224</v>
      </c>
      <c r="T1459" s="102">
        <f>IF(LS[[#This Row],[B/S]]="B",0,ABS(LS[[#This Row],[Unit]])*(LS[[#This Row],[NAV (Strike Rate)]]-INDEX(LS[NAV at Cost (Average)],MATCH(CONCATENATE(LS[[#This Row],[Frequency]]-1,LS[[#This Row],[Investor ID]]),LS[Unique Code],0),)))</f>
        <v>3223.614470930379</v>
      </c>
      <c r="U1459" s="102" cm="1">
        <f t="array" ref="U1459">IF(LS[[#This Row],[B/S]]="S",ABS(LS[[#This Row],[Unit]])*(INDEX(LS[NAV at Cost (Average)],MATCH(CONCATENATE((LS[[#This Row],[Frequency]]-1),LS[[#This Row],[Investor ID]]),LS[Unique Code],0),0)),0)</f>
        <v>96776.385529069608</v>
      </c>
      <c r="V1459" s="102">
        <f>IF(LS[[#This Row],[BO TRANSFER]]="YES",LS[[#This Row],[Unit]],)</f>
        <v>0</v>
      </c>
      <c r="W1459" s="102">
        <f>SUMIFS(LS[[#Headers],[BO UNIT TRANSFER]]:LS[[#This Row],[BO UNIT TRANSFER]],LS[[#Headers],[Investor ID]]:LS[[#This Row],[Investor ID]],LS[[#This Row],[Investor ID]])</f>
        <v>0</v>
      </c>
    </row>
    <row r="1460" spans="1:23">
      <c r="A1460" s="101">
        <v>2026</v>
      </c>
      <c r="B1460" s="101">
        <v>2</v>
      </c>
      <c r="C1460" s="101">
        <v>19</v>
      </c>
      <c r="D1460" s="98">
        <f>DATE(LS[[#This Row],[Year]],LS[[#This Row],[Month]],LS[[#This Row],[Day]])</f>
        <v>46072</v>
      </c>
      <c r="E1460" s="99" t="str" cm="1">
        <f t="array" ref="E1460">INDEX(INVESTORS_LIST[INVESTOR NAME],MATCH(LS[[#This Row],[Investor ID]],INVESTORS_LIST[INVESTOR CODE],0),)</f>
        <v>ARZUN KUMAR SARKAR</v>
      </c>
      <c r="F1460" s="100" t="s">
        <v>310</v>
      </c>
      <c r="G1460" s="101">
        <f>COUNTIF(LS[[#Headers],[Investor ID]]:LS[[#This Row],[Investor ID]],LS[[#This Row],[Investor ID]])</f>
        <v>8</v>
      </c>
      <c r="H1460" s="101" t="str">
        <f>CONCATENATE(LS[[#This Row],[Frequency]],LS[[#This Row],[Investor ID]])</f>
        <v>8A00131</v>
      </c>
      <c r="I1460" s="75" t="str">
        <f>IF(LS[[#This Row],[B/S]]="B","BUY",(IF(LS[[#This Row],[B/S]]="S","SELL"," ")))</f>
        <v>SELL</v>
      </c>
      <c r="J1460" s="101" t="s">
        <v>1231</v>
      </c>
      <c r="K1460" s="102">
        <v>-278857.92</v>
      </c>
      <c r="L1460" s="99"/>
      <c r="M1460" s="103">
        <f>LS[[#This Row],[Amount]]/LS[[#This Row],[Unit]]</f>
        <v>14.001000150625094</v>
      </c>
      <c r="N1460" s="104">
        <f>LS[[#This Row],[Unit Capital]]/10</f>
        <v>-19917</v>
      </c>
      <c r="O1460" s="104">
        <f>SUMIFS(LS[[#Headers],[Unit]]:LS[[#This Row],[Unit]],LS[[#Headers],[Investor ID]]:LS[[#This Row],[Investor ID]],LS[[#This Row],[Investor ID]])</f>
        <v>0</v>
      </c>
      <c r="P1460" s="102">
        <v>-199170</v>
      </c>
      <c r="Q1460" s="102">
        <f>LS[[#This Row],[Amount]]-LS[[#This Row],[Unit Capital]]</f>
        <v>-79687.919999999984</v>
      </c>
      <c r="R146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60" s="103">
        <f t="shared" si="40"/>
        <v>14.224</v>
      </c>
      <c r="T1460" s="102">
        <f>IF(LS[[#This Row],[B/S]]="B",0,ABS(LS[[#This Row],[Unit]])*(LS[[#This Row],[NAV (Strike Rate)]]-INDEX(LS[NAV at Cost (Average)],MATCH(CONCATENATE(LS[[#This Row],[Frequency]]-1,LS[[#This Row],[Investor ID]]),LS[Unique Code],0),)))</f>
        <v>48576.290964789441</v>
      </c>
      <c r="U1460" s="102" cm="1">
        <f t="array" ref="U1460">IF(LS[[#This Row],[B/S]]="S",ABS(LS[[#This Row],[Unit]])*(INDEX(LS[NAV at Cost (Average)],MATCH(CONCATENATE((LS[[#This Row],[Frequency]]-1),LS[[#This Row],[Investor ID]]),LS[Unique Code],0),0)),0)</f>
        <v>230281.62903521056</v>
      </c>
      <c r="V1460" s="102">
        <f>IF(LS[[#This Row],[BO TRANSFER]]="YES",LS[[#This Row],[Unit]],)</f>
        <v>0</v>
      </c>
      <c r="W1460" s="102">
        <f>SUMIFS(LS[[#Headers],[BO UNIT TRANSFER]]:LS[[#This Row],[BO UNIT TRANSFER]],LS[[#Headers],[Investor ID]]:LS[[#This Row],[Investor ID]],LS[[#This Row],[Investor ID]])</f>
        <v>0</v>
      </c>
    </row>
    <row r="1461" spans="1:23">
      <c r="A1461" s="101">
        <v>2026</v>
      </c>
      <c r="B1461" s="101">
        <v>2</v>
      </c>
      <c r="C1461" s="101">
        <v>19</v>
      </c>
      <c r="D1461" s="98">
        <f>DATE(LS[[#This Row],[Year]],LS[[#This Row],[Month]],LS[[#This Row],[Day]])</f>
        <v>46072</v>
      </c>
      <c r="E1461" s="99" t="str" cm="1">
        <f t="array" ref="E1461">INDEX(INVESTORS_LIST[INVESTOR NAME],MATCH(LS[[#This Row],[Investor ID]],INVESTORS_LIST[INVESTOR CODE],0),)</f>
        <v>SHILA SAHA</v>
      </c>
      <c r="F1461" s="100" t="s">
        <v>1507</v>
      </c>
      <c r="G1461" s="101">
        <f>COUNTIF(LS[[#Headers],[Investor ID]]:LS[[#This Row],[Investor ID]],LS[[#This Row],[Investor ID]])</f>
        <v>3</v>
      </c>
      <c r="H1461" s="101" t="str">
        <f>CONCATENATE(LS[[#This Row],[Frequency]],LS[[#This Row],[Investor ID]])</f>
        <v>3A00695</v>
      </c>
      <c r="I1461" s="75" t="str">
        <f>IF(LS[[#This Row],[B/S]]="B","BUY",(IF(LS[[#This Row],[B/S]]="S","SELL"," ")))</f>
        <v>BUY</v>
      </c>
      <c r="J1461" s="101" t="s">
        <v>1229</v>
      </c>
      <c r="K1461" s="102">
        <v>450000</v>
      </c>
      <c r="L1461" s="99"/>
      <c r="M1461" s="103">
        <f>LS[[#This Row],[Amount]]/LS[[#This Row],[Unit]]</f>
        <v>14.043190612907253</v>
      </c>
      <c r="N1461" s="104">
        <f>LS[[#This Row],[Unit Capital]]/10</f>
        <v>32044</v>
      </c>
      <c r="O1461" s="104">
        <f>SUMIFS(LS[[#Headers],[Unit]]:LS[[#This Row],[Unit]],LS[[#Headers],[Investor ID]]:LS[[#This Row],[Investor ID]],LS[[#This Row],[Investor ID]])</f>
        <v>96560</v>
      </c>
      <c r="P1461" s="102">
        <v>320440</v>
      </c>
      <c r="Q1461" s="102">
        <f>LS[[#This Row],[Amount]]-LS[[#This Row],[Unit Capital]]</f>
        <v>129560</v>
      </c>
      <c r="R146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13.980944490472247</v>
      </c>
      <c r="S1461" s="103">
        <f t="shared" si="40"/>
        <v>14.224</v>
      </c>
      <c r="T146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61" s="102" cm="1">
        <f t="array" ref="U1461">IF(LS[[#This Row],[B/S]]="S",ABS(LS[[#This Row],[Unit]])*(INDEX(LS[NAV at Cost (Average)],MATCH(CONCATENATE((LS[[#This Row],[Frequency]]-1),LS[[#This Row],[Investor ID]]),LS[Unique Code],0),0)),0)</f>
        <v>0</v>
      </c>
      <c r="V1461" s="102">
        <f>IF(LS[[#This Row],[BO TRANSFER]]="YES",LS[[#This Row],[Unit]],)</f>
        <v>0</v>
      </c>
      <c r="W1461" s="102">
        <f>SUMIFS(LS[[#Headers],[BO UNIT TRANSFER]]:LS[[#This Row],[BO UNIT TRANSFER]],LS[[#Headers],[Investor ID]]:LS[[#This Row],[Investor ID]],LS[[#This Row],[Investor ID]])</f>
        <v>0</v>
      </c>
    </row>
    <row r="1462" spans="1:23">
      <c r="A1462" s="101">
        <v>2026</v>
      </c>
      <c r="B1462" s="101">
        <v>2</v>
      </c>
      <c r="C1462" s="101">
        <v>19</v>
      </c>
      <c r="D1462" s="98">
        <f>DATE(LS[[#This Row],[Year]],LS[[#This Row],[Month]],LS[[#This Row],[Day]])</f>
        <v>46072</v>
      </c>
      <c r="E1462" s="99" t="str" cm="1">
        <f t="array" ref="E1462">INDEX(INVESTORS_LIST[INVESTOR NAME],MATCH(LS[[#This Row],[Investor ID]],INVESTORS_LIST[INVESTOR CODE],0),)</f>
        <v>SHILA SAHA</v>
      </c>
      <c r="F1462" s="100" t="s">
        <v>1507</v>
      </c>
      <c r="G1462" s="101">
        <f>COUNTIF(LS[[#Headers],[Investor ID]]:LS[[#This Row],[Investor ID]],LS[[#This Row],[Investor ID]])</f>
        <v>4</v>
      </c>
      <c r="H1462" s="101" t="str">
        <f>CONCATENATE(LS[[#This Row],[Frequency]],LS[[#This Row],[Investor ID]])</f>
        <v>4A00695</v>
      </c>
      <c r="I1462" s="75" t="str">
        <f>IF(LS[[#This Row],[B/S]]="B","BUY",(IF(LS[[#This Row],[B/S]]="S","SELL"," ")))</f>
        <v>BUY</v>
      </c>
      <c r="J1462" s="101" t="s">
        <v>1229</v>
      </c>
      <c r="K1462" s="102">
        <v>450000</v>
      </c>
      <c r="L1462" s="99"/>
      <c r="M1462" s="103">
        <f>LS[[#This Row],[Amount]]/LS[[#This Row],[Unit]]</f>
        <v>14.043190612907253</v>
      </c>
      <c r="N1462" s="104">
        <f>LS[[#This Row],[Unit Capital]]/10</f>
        <v>32044</v>
      </c>
      <c r="O1462" s="104">
        <f>SUMIFS(LS[[#Headers],[Unit]]:LS[[#This Row],[Unit]],LS[[#Headers],[Investor ID]]:LS[[#This Row],[Investor ID]],LS[[#This Row],[Investor ID]])</f>
        <v>128604</v>
      </c>
      <c r="P1462" s="102">
        <v>320440</v>
      </c>
      <c r="Q1462" s="102">
        <f>LS[[#This Row],[Amount]]-LS[[#This Row],[Unit Capital]]</f>
        <v>129560</v>
      </c>
      <c r="R146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13.996454231594663</v>
      </c>
      <c r="S1462" s="103">
        <f t="shared" si="40"/>
        <v>14.224</v>
      </c>
      <c r="T146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62" s="102" cm="1">
        <f t="array" ref="U1462">IF(LS[[#This Row],[B/S]]="S",ABS(LS[[#This Row],[Unit]])*(INDEX(LS[NAV at Cost (Average)],MATCH(CONCATENATE((LS[[#This Row],[Frequency]]-1),LS[[#This Row],[Investor ID]]),LS[Unique Code],0),0)),0)</f>
        <v>0</v>
      </c>
      <c r="V1462" s="102">
        <f>IF(LS[[#This Row],[BO TRANSFER]]="YES",LS[[#This Row],[Unit]],)</f>
        <v>0</v>
      </c>
      <c r="W1462" s="102">
        <f>SUMIFS(LS[[#Headers],[BO UNIT TRANSFER]]:LS[[#This Row],[BO UNIT TRANSFER]],LS[[#Headers],[Investor ID]]:LS[[#This Row],[Investor ID]],LS[[#This Row],[Investor ID]])</f>
        <v>0</v>
      </c>
    </row>
    <row r="1463" spans="1:23">
      <c r="A1463" s="101">
        <v>2026</v>
      </c>
      <c r="B1463" s="101">
        <v>2</v>
      </c>
      <c r="C1463" s="101">
        <v>22</v>
      </c>
      <c r="D1463" s="98">
        <f>DATE(LS[[#This Row],[Year]],LS[[#This Row],[Month]],LS[[#This Row],[Day]])</f>
        <v>46075</v>
      </c>
      <c r="E1463" s="99" t="str" cm="1">
        <f t="array" ref="E1463">INDEX(INVESTORS_LIST[INVESTOR NAME],MATCH(LS[[#This Row],[Investor ID]],INVESTORS_LIST[INVESTOR CODE],0),)</f>
        <v>ASMA UL HUSNA</v>
      </c>
      <c r="F1463" s="100" t="s">
        <v>324</v>
      </c>
      <c r="G1463" s="101">
        <f>COUNTIF(LS[[#Headers],[Investor ID]]:LS[[#This Row],[Investor ID]],LS[[#This Row],[Investor ID]])</f>
        <v>5</v>
      </c>
      <c r="H1463" s="101" t="str">
        <f>CONCATENATE(LS[[#This Row],[Frequency]],LS[[#This Row],[Investor ID]])</f>
        <v>5A00138</v>
      </c>
      <c r="I1463" s="75" t="str">
        <f>IF(LS[[#This Row],[B/S]]="B","BUY",(IF(LS[[#This Row],[B/S]]="S","SELL"," ")))</f>
        <v>SELL</v>
      </c>
      <c r="J1463" s="101" t="s">
        <v>1231</v>
      </c>
      <c r="K1463" s="102">
        <v>-300000</v>
      </c>
      <c r="L1463" s="99"/>
      <c r="M1463" s="103">
        <f>LS[[#This Row],[Amount]]/LS[[#This Row],[Unit]]</f>
        <v>14.062719729995781</v>
      </c>
      <c r="N1463" s="104">
        <f>LS[[#This Row],[Unit Capital]]/10</f>
        <v>-21333</v>
      </c>
      <c r="O1463" s="104">
        <f>SUMIFS(LS[[#Headers],[Unit]]:LS[[#This Row],[Unit]],LS[[#Headers],[Investor ID]]:LS[[#This Row],[Investor ID]],LS[[#This Row],[Investor ID]])</f>
        <v>69292</v>
      </c>
      <c r="P1463" s="102">
        <v>-213330</v>
      </c>
      <c r="Q1463" s="102">
        <f>LS[[#This Row],[Amount]]-LS[[#This Row],[Unit Capital]]</f>
        <v>-86670</v>
      </c>
      <c r="R146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10.176318100991924</v>
      </c>
      <c r="S1463" s="103">
        <f t="shared" si="40"/>
        <v>14.224</v>
      </c>
      <c r="T1463" s="102">
        <f>IF(LS[[#This Row],[B/S]]="B",0,ABS(LS[[#This Row],[Unit]])*(LS[[#This Row],[NAV (Strike Rate)]]-INDEX(LS[NAV at Cost (Average)],MATCH(CONCATENATE(LS[[#This Row],[Frequency]]-1,LS[[#This Row],[Investor ID]]),LS[Unique Code],0),)))</f>
        <v>82908.60595153927</v>
      </c>
      <c r="U1463" s="102" cm="1">
        <f t="array" ref="U1463">IF(LS[[#This Row],[B/S]]="S",ABS(LS[[#This Row],[Unit]])*(INDEX(LS[NAV at Cost (Average)],MATCH(CONCATENATE((LS[[#This Row],[Frequency]]-1),LS[[#This Row],[Investor ID]]),LS[Unique Code],0),0)),0)</f>
        <v>217091.39404846073</v>
      </c>
      <c r="V1463" s="102">
        <f>IF(LS[[#This Row],[BO TRANSFER]]="YES",LS[[#This Row],[Unit]],)</f>
        <v>0</v>
      </c>
      <c r="W1463" s="102">
        <f>SUMIFS(LS[[#Headers],[BO UNIT TRANSFER]]:LS[[#This Row],[BO UNIT TRANSFER]],LS[[#Headers],[Investor ID]]:LS[[#This Row],[Investor ID]],LS[[#This Row],[Investor ID]])</f>
        <v>0</v>
      </c>
    </row>
    <row r="1464" spans="1:23">
      <c r="A1464" s="101">
        <v>2026</v>
      </c>
      <c r="B1464" s="101">
        <v>2</v>
      </c>
      <c r="C1464" s="101">
        <v>22</v>
      </c>
      <c r="D1464" s="98">
        <f>DATE(LS[[#This Row],[Year]],LS[[#This Row],[Month]],LS[[#This Row],[Day]])</f>
        <v>46075</v>
      </c>
      <c r="E1464" s="99" t="str" cm="1">
        <f t="array" ref="E1464">INDEX(INVESTORS_LIST[INVESTOR NAME],MATCH(LS[[#This Row],[Investor ID]],INVESTORS_LIST[INVESTOR CODE],0),)</f>
        <v>SYED FAZLE RABBY</v>
      </c>
      <c r="F1464" s="100" t="s">
        <v>166</v>
      </c>
      <c r="G1464" s="101">
        <f>COUNTIF(LS[[#Headers],[Investor ID]]:LS[[#This Row],[Investor ID]],LS[[#This Row],[Investor ID]])</f>
        <v>55</v>
      </c>
      <c r="H1464" s="101" t="str">
        <f>CONCATENATE(LS[[#This Row],[Frequency]],LS[[#This Row],[Investor ID]])</f>
        <v>55A00059</v>
      </c>
      <c r="I1464" s="75" t="str">
        <f>IF(LS[[#This Row],[B/S]]="B","BUY",(IF(LS[[#This Row],[B/S]]="S","SELL"," ")))</f>
        <v>SELL</v>
      </c>
      <c r="J1464" s="101" t="s">
        <v>1231</v>
      </c>
      <c r="K1464" s="102">
        <v>-56252</v>
      </c>
      <c r="L1464" s="99"/>
      <c r="M1464" s="103">
        <f>LS[[#This Row],[Amount]]/LS[[#This Row],[Unit]]</f>
        <v>14.063000000000001</v>
      </c>
      <c r="N1464" s="104">
        <f>LS[[#This Row],[Unit Capital]]/10</f>
        <v>-4000</v>
      </c>
      <c r="O1464" s="104">
        <f>SUMIFS(LS[[#Headers],[Unit]]:LS[[#This Row],[Unit]],LS[[#Headers],[Investor ID]]:LS[[#This Row],[Investor ID]],LS[[#This Row],[Investor ID]])</f>
        <v>294055</v>
      </c>
      <c r="P1464" s="102">
        <v>-40000</v>
      </c>
      <c r="Q1464" s="102">
        <f>LS[[#This Row],[Amount]]-LS[[#This Row],[Unit Capital]]</f>
        <v>-16252</v>
      </c>
      <c r="R146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12.466762900907021</v>
      </c>
      <c r="S1464" s="103">
        <f t="shared" si="40"/>
        <v>14.224</v>
      </c>
      <c r="T1464" s="102">
        <f>IF(LS[[#This Row],[B/S]]="B",0,ABS(LS[[#This Row],[Unit]])*(LS[[#This Row],[NAV (Strike Rate)]]-INDEX(LS[NAV at Cost (Average)],MATCH(CONCATENATE(LS[[#This Row],[Frequency]]-1,LS[[#This Row],[Investor ID]]),LS[Unique Code],0),)))</f>
        <v>6384.9483963719176</v>
      </c>
      <c r="U1464" s="102" cm="1">
        <f t="array" ref="U1464">IF(LS[[#This Row],[B/S]]="S",ABS(LS[[#This Row],[Unit]])*(INDEX(LS[NAV at Cost (Average)],MATCH(CONCATENATE((LS[[#This Row],[Frequency]]-1),LS[[#This Row],[Investor ID]]),LS[Unique Code],0),0)),0)</f>
        <v>49867.051603628082</v>
      </c>
      <c r="V1464" s="102">
        <f>IF(LS[[#This Row],[BO TRANSFER]]="YES",LS[[#This Row],[Unit]],)</f>
        <v>0</v>
      </c>
      <c r="W1464" s="102">
        <f>SUMIFS(LS[[#Headers],[BO UNIT TRANSFER]]:LS[[#This Row],[BO UNIT TRANSFER]],LS[[#Headers],[Investor ID]]:LS[[#This Row],[Investor ID]],LS[[#This Row],[Investor ID]])</f>
        <v>0</v>
      </c>
    </row>
    <row r="1465" spans="1:23">
      <c r="A1465" s="101">
        <v>2026</v>
      </c>
      <c r="B1465" s="101">
        <v>2</v>
      </c>
      <c r="C1465" s="101">
        <v>22</v>
      </c>
      <c r="D1465" s="98">
        <f>DATE(LS[[#This Row],[Year]],LS[[#This Row],[Month]],LS[[#This Row],[Day]])</f>
        <v>46075</v>
      </c>
      <c r="E1465" s="99" t="str" cm="1">
        <f t="array" ref="E1465">INDEX(INVESTORS_LIST[INVESTOR NAME],MATCH(LS[[#This Row],[Investor ID]],INVESTORS_LIST[INVESTOR CODE],0),)</f>
        <v>FAIYEAD AHMEDUL HYE</v>
      </c>
      <c r="F1465" s="100" t="s">
        <v>368</v>
      </c>
      <c r="G1465" s="101">
        <f>COUNTIF(LS[[#Headers],[Investor ID]]:LS[[#This Row],[Investor ID]],LS[[#This Row],[Investor ID]])</f>
        <v>12</v>
      </c>
      <c r="H1465" s="101" t="str">
        <f>CONCATENATE(LS[[#This Row],[Frequency]],LS[[#This Row],[Investor ID]])</f>
        <v>12A00160</v>
      </c>
      <c r="I1465" s="75" t="str">
        <f>IF(LS[[#This Row],[B/S]]="B","BUY",(IF(LS[[#This Row],[B/S]]="S","SELL"," ")))</f>
        <v>SELL</v>
      </c>
      <c r="J1465" s="101" t="s">
        <v>1231</v>
      </c>
      <c r="K1465" s="102">
        <v>-42554.64</v>
      </c>
      <c r="L1465" s="99"/>
      <c r="M1465" s="103">
        <f>LS[[#This Row],[Amount]]/LS[[#This Row],[Unit]]</f>
        <v>14.063000660938533</v>
      </c>
      <c r="N1465" s="104">
        <f>LS[[#This Row],[Unit Capital]]/10</f>
        <v>-3026</v>
      </c>
      <c r="O1465" s="104">
        <f>SUMIFS(LS[[#Headers],[Unit]]:LS[[#This Row],[Unit]],LS[[#Headers],[Investor ID]]:LS[[#This Row],[Investor ID]],LS[[#This Row],[Investor ID]])</f>
        <v>0</v>
      </c>
      <c r="P1465" s="102">
        <v>-30260</v>
      </c>
      <c r="Q1465" s="102">
        <f>LS[[#This Row],[Amount]]-LS[[#This Row],[Unit Capital]]</f>
        <v>-12294.64</v>
      </c>
      <c r="R146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65" s="103">
        <f t="shared" si="40"/>
        <v>14.224</v>
      </c>
      <c r="T1465" s="102">
        <f>IF(LS[[#This Row],[B/S]]="B",0,ABS(LS[[#This Row],[Unit]])*(LS[[#This Row],[NAV (Strike Rate)]]-INDEX(LS[NAV at Cost (Average)],MATCH(CONCATENATE(LS[[#This Row],[Frequency]]-1,LS[[#This Row],[Investor ID]]),LS[Unique Code],0),)))</f>
        <v>10184.861363377551</v>
      </c>
      <c r="U1465" s="102" cm="1">
        <f t="array" ref="U1465">IF(LS[[#This Row],[B/S]]="S",ABS(LS[[#This Row],[Unit]])*(INDEX(LS[NAV at Cost (Average)],MATCH(CONCATENATE((LS[[#This Row],[Frequency]]-1),LS[[#This Row],[Investor ID]]),LS[Unique Code],0),0)),0)</f>
        <v>32369.77863662245</v>
      </c>
      <c r="V1465" s="102">
        <f>IF(LS[[#This Row],[BO TRANSFER]]="YES",LS[[#This Row],[Unit]],)</f>
        <v>0</v>
      </c>
      <c r="W1465" s="102">
        <f>SUMIFS(LS[[#Headers],[BO UNIT TRANSFER]]:LS[[#This Row],[BO UNIT TRANSFER]],LS[[#Headers],[Investor ID]]:LS[[#This Row],[Investor ID]],LS[[#This Row],[Investor ID]])</f>
        <v>0</v>
      </c>
    </row>
    <row r="1466" spans="1:23">
      <c r="A1466" s="101">
        <v>2026</v>
      </c>
      <c r="B1466" s="101">
        <v>2</v>
      </c>
      <c r="C1466" s="101">
        <v>22</v>
      </c>
      <c r="D1466" s="98">
        <f>DATE(LS[[#This Row],[Year]],LS[[#This Row],[Month]],LS[[#This Row],[Day]])</f>
        <v>46075</v>
      </c>
      <c r="E1466" s="99" t="str" cm="1">
        <f t="array" ref="E1466">INDEX(INVESTORS_LIST[INVESTOR NAME],MATCH(LS[[#This Row],[Investor ID]],INVESTORS_LIST[INVESTOR CODE],0),)</f>
        <v>MD SHAHIDUZZAMAN</v>
      </c>
      <c r="F1466" s="100" t="s">
        <v>1433</v>
      </c>
      <c r="G1466" s="101">
        <f>COUNTIF(LS[[#Headers],[Investor ID]]:LS[[#This Row],[Investor ID]],LS[[#This Row],[Investor ID]])</f>
        <v>1</v>
      </c>
      <c r="H1466" s="101" t="str">
        <f>CONCATENATE(LS[[#This Row],[Frequency]],LS[[#This Row],[Investor ID]])</f>
        <v>1A00660</v>
      </c>
      <c r="I1466" s="75" t="str">
        <f>IF(LS[[#This Row],[B/S]]="B","BUY",(IF(LS[[#This Row],[B/S]]="S","SELL"," ")))</f>
        <v>BUY</v>
      </c>
      <c r="J1466" s="101" t="s">
        <v>1229</v>
      </c>
      <c r="K1466" s="102">
        <v>800000</v>
      </c>
      <c r="L1466" s="99"/>
      <c r="M1466" s="103">
        <f>LS[[#This Row],[Amount]]/LS[[#This Row],[Unit]]</f>
        <v>14.070882068419664</v>
      </c>
      <c r="N1466" s="104">
        <f>LS[[#This Row],[Unit Capital]]/10</f>
        <v>56855</v>
      </c>
      <c r="O1466" s="104">
        <f>SUMIFS(LS[[#Headers],[Unit]]:LS[[#This Row],[Unit]],LS[[#Headers],[Investor ID]]:LS[[#This Row],[Investor ID]],LS[[#This Row],[Investor ID]])</f>
        <v>56855</v>
      </c>
      <c r="P1466" s="102">
        <v>568550</v>
      </c>
      <c r="Q1466" s="102">
        <f>LS[[#This Row],[Amount]]-LS[[#This Row],[Unit Capital]]</f>
        <v>231450</v>
      </c>
      <c r="R146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14.070882068419664</v>
      </c>
      <c r="S1466" s="103">
        <f t="shared" ref="S1466:S1471" si="41">IFERROR(NAV_MKT,0)</f>
        <v>14.224</v>
      </c>
      <c r="T146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66" s="102" cm="1">
        <f t="array" ref="U1466">IF(LS[[#This Row],[B/S]]="S",ABS(LS[[#This Row],[Unit]])*(INDEX(LS[NAV at Cost (Average)],MATCH(CONCATENATE((LS[[#This Row],[Frequency]]-1),LS[[#This Row],[Investor ID]]),LS[Unique Code],0),0)),0)</f>
        <v>0</v>
      </c>
      <c r="V1466" s="102">
        <f>IF(LS[[#This Row],[BO TRANSFER]]="YES",LS[[#This Row],[Unit]],)</f>
        <v>0</v>
      </c>
      <c r="W1466" s="102">
        <f>SUMIFS(LS[[#Headers],[BO UNIT TRANSFER]]:LS[[#This Row],[BO UNIT TRANSFER]],LS[[#Headers],[Investor ID]]:LS[[#This Row],[Investor ID]],LS[[#This Row],[Investor ID]])</f>
        <v>0</v>
      </c>
    </row>
    <row r="1467" spans="1:23">
      <c r="A1467" s="101">
        <v>2026</v>
      </c>
      <c r="B1467" s="101">
        <v>2</v>
      </c>
      <c r="C1467" s="101">
        <v>25</v>
      </c>
      <c r="D1467" s="98">
        <f>DATE(LS[[#This Row],[Year]],LS[[#This Row],[Month]],LS[[#This Row],[Day]])</f>
        <v>46078</v>
      </c>
      <c r="E1467" s="99" t="str" cm="1">
        <f t="array" ref="E1467">INDEX(INVESTORS_LIST[INVESTOR NAME],MATCH(LS[[#This Row],[Investor ID]],INVESTORS_LIST[INVESTOR CODE],0),)</f>
        <v>MUHAMMAD SHOHIDUZZAMAN</v>
      </c>
      <c r="F1467" s="100" t="s">
        <v>986</v>
      </c>
      <c r="G1467" s="101">
        <f>COUNTIF(LS[[#Headers],[Investor ID]]:LS[[#This Row],[Investor ID]],LS[[#This Row],[Investor ID]])</f>
        <v>17</v>
      </c>
      <c r="H1467" s="101" t="str">
        <f>CONCATENATE(LS[[#This Row],[Frequency]],LS[[#This Row],[Investor ID]])</f>
        <v>17A00470</v>
      </c>
      <c r="I1467" s="75" t="str">
        <f>IF(LS[[#This Row],[B/S]]="B","BUY",(IF(LS[[#This Row],[B/S]]="S","SELL"," ")))</f>
        <v>BUY</v>
      </c>
      <c r="J1467" s="101" t="s">
        <v>1229</v>
      </c>
      <c r="K1467" s="102">
        <v>3500000</v>
      </c>
      <c r="L1467" s="99"/>
      <c r="M1467" s="103">
        <f>LS[[#This Row],[Amount]]/LS[[#This Row],[Unit]]</f>
        <v>14.082976899894177</v>
      </c>
      <c r="N1467" s="104">
        <f>LS[[#This Row],[Unit Capital]]/10</f>
        <v>248527</v>
      </c>
      <c r="O1467" s="104">
        <f>SUMIFS(LS[[#Headers],[Unit]]:LS[[#This Row],[Unit]],LS[[#Headers],[Investor ID]]:LS[[#This Row],[Investor ID]],LS[[#This Row],[Investor ID]])</f>
        <v>1055597</v>
      </c>
      <c r="P1467" s="102">
        <v>2485270</v>
      </c>
      <c r="Q1467" s="102">
        <f>LS[[#This Row],[Amount]]-LS[[#This Row],[Unit Capital]]</f>
        <v>1014730</v>
      </c>
      <c r="R146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13.054347125622492</v>
      </c>
      <c r="S1467" s="103">
        <f t="shared" si="41"/>
        <v>14.224</v>
      </c>
      <c r="T146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67" s="102" cm="1">
        <f t="array" ref="U1467">IF(LS[[#This Row],[B/S]]="S",ABS(LS[[#This Row],[Unit]])*(INDEX(LS[NAV at Cost (Average)],MATCH(CONCATENATE((LS[[#This Row],[Frequency]]-1),LS[[#This Row],[Investor ID]]),LS[Unique Code],0),0)),0)</f>
        <v>0</v>
      </c>
      <c r="V1467" s="102">
        <f>IF(LS[[#This Row],[BO TRANSFER]]="YES",LS[[#This Row],[Unit]],)</f>
        <v>0</v>
      </c>
      <c r="W1467" s="102">
        <f>SUMIFS(LS[[#Headers],[BO UNIT TRANSFER]]:LS[[#This Row],[BO UNIT TRANSFER]],LS[[#Headers],[Investor ID]]:LS[[#This Row],[Investor ID]],LS[[#This Row],[Investor ID]])</f>
        <v>358619</v>
      </c>
    </row>
    <row r="1468" spans="1:23">
      <c r="A1468" s="101">
        <v>2026</v>
      </c>
      <c r="B1468" s="101">
        <v>3</v>
      </c>
      <c r="C1468" s="101">
        <v>1</v>
      </c>
      <c r="D1468" s="98">
        <f>DATE(LS[[#This Row],[Year]],LS[[#This Row],[Month]],LS[[#This Row],[Day]])</f>
        <v>46082</v>
      </c>
      <c r="E1468" s="99" t="str" cm="1">
        <f t="array" ref="E1468">INDEX(INVESTORS_LIST[INVESTOR NAME],MATCH(LS[[#This Row],[Investor ID]],INVESTORS_LIST[INVESTOR CODE],0),)</f>
        <v>MUHAMMAD SHOHIDUZZAMAN</v>
      </c>
      <c r="F1468" s="100" t="s">
        <v>986</v>
      </c>
      <c r="G1468" s="101">
        <f>COUNTIF(LS[[#Headers],[Investor ID]]:LS[[#This Row],[Investor ID]],LS[[#This Row],[Investor ID]])</f>
        <v>18</v>
      </c>
      <c r="H1468" s="101" t="str">
        <f>CONCATENATE(LS[[#This Row],[Frequency]],LS[[#This Row],[Investor ID]])</f>
        <v>18A00470</v>
      </c>
      <c r="I1468" s="75" t="str">
        <f>IF(LS[[#This Row],[B/S]]="B","BUY",(IF(LS[[#This Row],[B/S]]="S","SELL"," ")))</f>
        <v>SELL</v>
      </c>
      <c r="J1468" s="101" t="s">
        <v>1231</v>
      </c>
      <c r="K1468" s="102">
        <v>-3000000</v>
      </c>
      <c r="L1468" s="99"/>
      <c r="M1468" s="103">
        <f>LS[[#This Row],[Amount]]/LS[[#This Row],[Unit]]</f>
        <v>14.098009361078216</v>
      </c>
      <c r="N1468" s="104">
        <f>LS[[#This Row],[Unit Capital]]/10</f>
        <v>-212796</v>
      </c>
      <c r="O1468" s="104">
        <f>SUMIFS(LS[[#Headers],[Unit]]:LS[[#This Row],[Unit]],LS[[#Headers],[Investor ID]]:LS[[#This Row],[Investor ID]],LS[[#This Row],[Investor ID]])</f>
        <v>842801</v>
      </c>
      <c r="P1468" s="102">
        <v>-2127960</v>
      </c>
      <c r="Q1468" s="102">
        <f>LS[[#This Row],[Amount]]-LS[[#This Row],[Unit Capital]]</f>
        <v>-872040</v>
      </c>
      <c r="R146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13.054347125622492</v>
      </c>
      <c r="S1468" s="103">
        <f t="shared" si="41"/>
        <v>14.224</v>
      </c>
      <c r="T1468" s="102">
        <f>IF(LS[[#This Row],[B/S]]="B",0,ABS(LS[[#This Row],[Unit]])*(LS[[#This Row],[NAV (Strike Rate)]]-INDEX(LS[NAV at Cost (Average)],MATCH(CONCATENATE(LS[[#This Row],[Frequency]]-1,LS[[#This Row],[Investor ID]]),LS[Unique Code],0),)))</f>
        <v>222087.14905603617</v>
      </c>
      <c r="U1468" s="102" cm="1">
        <f t="array" ref="U1468">IF(LS[[#This Row],[B/S]]="S",ABS(LS[[#This Row],[Unit]])*(INDEX(LS[NAV at Cost (Average)],MATCH(CONCATENATE((LS[[#This Row],[Frequency]]-1),LS[[#This Row],[Investor ID]]),LS[Unique Code],0),0)),0)</f>
        <v>2777912.850943964</v>
      </c>
      <c r="V1468" s="102">
        <f>IF(LS[[#This Row],[BO TRANSFER]]="YES",LS[[#This Row],[Unit]],)</f>
        <v>0</v>
      </c>
      <c r="W1468" s="102">
        <f>SUMIFS(LS[[#Headers],[BO UNIT TRANSFER]]:LS[[#This Row],[BO UNIT TRANSFER]],LS[[#Headers],[Investor ID]]:LS[[#This Row],[Investor ID]],LS[[#This Row],[Investor ID]])</f>
        <v>358619</v>
      </c>
    </row>
    <row r="1469" spans="1:23">
      <c r="A1469" s="101">
        <v>2026</v>
      </c>
      <c r="B1469" s="101">
        <v>3</v>
      </c>
      <c r="C1469" s="101">
        <v>1</v>
      </c>
      <c r="D1469" s="98">
        <f>DATE(LS[[#This Row],[Year]],LS[[#This Row],[Month]],LS[[#This Row],[Day]])</f>
        <v>46082</v>
      </c>
      <c r="E1469" s="99" t="str" cm="1">
        <f t="array" ref="E1469">INDEX(INVESTORS_LIST[INVESTOR NAME],MATCH(LS[[#This Row],[Investor ID]],INVESTORS_LIST[INVESTOR CODE],0),)</f>
        <v>KHAN MUHAMMAD KAWSER AHMED</v>
      </c>
      <c r="F1469" s="100" t="s">
        <v>944</v>
      </c>
      <c r="G1469" s="101">
        <f>COUNTIF(LS[[#Headers],[Investor ID]]:LS[[#This Row],[Investor ID]],LS[[#This Row],[Investor ID]])</f>
        <v>49</v>
      </c>
      <c r="H1469" s="101" t="str">
        <f>CONCATENATE(LS[[#This Row],[Frequency]],LS[[#This Row],[Investor ID]])</f>
        <v>49A00449</v>
      </c>
      <c r="I1469" s="75" t="str">
        <f>IF(LS[[#This Row],[B/S]]="B","BUY",(IF(LS[[#This Row],[B/S]]="S","SELL"," ")))</f>
        <v>SELL</v>
      </c>
      <c r="J1469" s="101" t="s">
        <v>1231</v>
      </c>
      <c r="K1469" s="102">
        <v>-2500000</v>
      </c>
      <c r="L1469" s="99"/>
      <c r="M1469" s="103">
        <f>LS[[#This Row],[Amount]]/LS[[#This Row],[Unit]]</f>
        <v>14.098009361078216</v>
      </c>
      <c r="N1469" s="104">
        <f>LS[[#This Row],[Unit Capital]]/10</f>
        <v>-177330</v>
      </c>
      <c r="O1469" s="104">
        <f>SUMIFS(LS[[#Headers],[Unit]]:LS[[#This Row],[Unit]],LS[[#Headers],[Investor ID]]:LS[[#This Row],[Investor ID]],LS[[#This Row],[Investor ID]])</f>
        <v>6454445</v>
      </c>
      <c r="P1469" s="102">
        <v>-1773300</v>
      </c>
      <c r="Q1469" s="102">
        <f>LS[[#This Row],[Amount]]-LS[[#This Row],[Unit Capital]]</f>
        <v>-726700</v>
      </c>
      <c r="R146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69" s="103">
        <f t="shared" si="41"/>
        <v>14.224</v>
      </c>
      <c r="T1469" s="102">
        <f>IF(LS[[#This Row],[B/S]]="B",0,ABS(LS[[#This Row],[Unit]])*(LS[[#This Row],[NAV (Strike Rate)]]-INDEX(LS[NAV at Cost (Average)],MATCH(CONCATENATE(LS[[#This Row],[Frequency]]-1,LS[[#This Row],[Investor ID]]),LS[Unique Code],0),)))</f>
        <v>303918.0486739584</v>
      </c>
      <c r="U1469" s="102" cm="1">
        <f t="array" ref="U1469">IF(LS[[#This Row],[B/S]]="S",ABS(LS[[#This Row],[Unit]])*(INDEX(LS[NAV at Cost (Average)],MATCH(CONCATENATE((LS[[#This Row],[Frequency]]-1),LS[[#This Row],[Investor ID]]),LS[Unique Code],0),0)),0)</f>
        <v>2196081.9513260415</v>
      </c>
      <c r="V1469" s="102">
        <f>IF(LS[[#This Row],[BO TRANSFER]]="YES",LS[[#This Row],[Unit]],)</f>
        <v>0</v>
      </c>
      <c r="W1469" s="102">
        <f>SUMIFS(LS[[#Headers],[BO UNIT TRANSFER]]:LS[[#This Row],[BO UNIT TRANSFER]],LS[[#Headers],[Investor ID]]:LS[[#This Row],[Investor ID]],LS[[#This Row],[Investor ID]])</f>
        <v>0</v>
      </c>
    </row>
    <row r="1470" spans="1:23">
      <c r="A1470" s="101">
        <v>2026</v>
      </c>
      <c r="B1470" s="101">
        <v>3</v>
      </c>
      <c r="C1470" s="101">
        <v>1</v>
      </c>
      <c r="D1470" s="98">
        <f>DATE(LS[[#This Row],[Year]],LS[[#This Row],[Month]],LS[[#This Row],[Day]])</f>
        <v>46082</v>
      </c>
      <c r="E1470" s="99" t="str" cm="1">
        <f t="array" ref="E1470">INDEX(INVESTORS_LIST[INVESTOR NAME],MATCH(LS[[#This Row],[Investor ID]],INVESTORS_LIST[INVESTOR CODE],0),)</f>
        <v>RAIHAN FERDOUS</v>
      </c>
      <c r="F1470" s="100" t="s">
        <v>1319</v>
      </c>
      <c r="G1470" s="101">
        <f>COUNTIF(LS[[#Headers],[Investor ID]]:LS[[#This Row],[Investor ID]],LS[[#This Row],[Investor ID]])</f>
        <v>6</v>
      </c>
      <c r="H1470" s="101" t="str">
        <f>CONCATENATE(LS[[#This Row],[Frequency]],LS[[#This Row],[Investor ID]])</f>
        <v>6A00606</v>
      </c>
      <c r="I1470" s="75" t="str">
        <f>IF(LS[[#This Row],[B/S]]="B","BUY",(IF(LS[[#This Row],[B/S]]="S","SELL"," ")))</f>
        <v>BUY</v>
      </c>
      <c r="J1470" s="101" t="s">
        <v>1229</v>
      </c>
      <c r="K1470" s="102">
        <v>300000</v>
      </c>
      <c r="L1470" s="99"/>
      <c r="M1470" s="103">
        <f>LS[[#This Row],[Amount]]/LS[[#This Row],[Unit]]</f>
        <v>14.097744360902256</v>
      </c>
      <c r="N1470" s="104">
        <f>LS[[#This Row],[Unit Capital]]/10</f>
        <v>21280</v>
      </c>
      <c r="O1470" s="104">
        <f>SUMIFS(LS[[#Headers],[Unit]]:LS[[#This Row],[Unit]],LS[[#Headers],[Investor ID]]:LS[[#This Row],[Investor ID]],LS[[#This Row],[Investor ID]])</f>
        <v>261376</v>
      </c>
      <c r="P1470" s="102">
        <v>212800</v>
      </c>
      <c r="Q1470" s="102">
        <f>LS[[#This Row],[Amount]]-LS[[#This Row],[Unit Capital]]</f>
        <v>87200</v>
      </c>
      <c r="R147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13.666607633533946</v>
      </c>
      <c r="S1470" s="103">
        <f t="shared" si="41"/>
        <v>14.224</v>
      </c>
      <c r="T147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0" s="102" cm="1">
        <f t="array" ref="U1470">IF(LS[[#This Row],[B/S]]="S",ABS(LS[[#This Row],[Unit]])*(INDEX(LS[NAV at Cost (Average)],MATCH(CONCATENATE((LS[[#This Row],[Frequency]]-1),LS[[#This Row],[Investor ID]]),LS[Unique Code],0),0)),0)</f>
        <v>0</v>
      </c>
      <c r="V1470" s="102">
        <f>IF(LS[[#This Row],[BO TRANSFER]]="YES",LS[[#This Row],[Unit]],)</f>
        <v>0</v>
      </c>
      <c r="W1470" s="102">
        <f>SUMIFS(LS[[#Headers],[BO UNIT TRANSFER]]:LS[[#This Row],[BO UNIT TRANSFER]],LS[[#Headers],[Investor ID]]:LS[[#This Row],[Investor ID]],LS[[#This Row],[Investor ID]])</f>
        <v>0</v>
      </c>
    </row>
    <row r="1471" spans="1:23">
      <c r="A1471" s="101">
        <v>2026</v>
      </c>
      <c r="B1471" s="101">
        <v>3</v>
      </c>
      <c r="C1471" s="101">
        <v>1</v>
      </c>
      <c r="D1471" s="98">
        <f>DATE(LS[[#This Row],[Year]],LS[[#This Row],[Month]],LS[[#This Row],[Day]])</f>
        <v>46082</v>
      </c>
      <c r="E1471" s="99" t="str" cm="1">
        <f t="array" ref="E1471">INDEX(INVESTORS_LIST[INVESTOR NAME],MATCH(LS[[#This Row],[Investor ID]],INVESTORS_LIST[INVESTOR CODE],0),)</f>
        <v>RAIHAN FERDOUS</v>
      </c>
      <c r="F1471" s="100" t="s">
        <v>1319</v>
      </c>
      <c r="G1471" s="101">
        <f>COUNTIF(LS[[#Headers],[Investor ID]]:LS[[#This Row],[Investor ID]],LS[[#This Row],[Investor ID]])</f>
        <v>7</v>
      </c>
      <c r="H1471" s="101" t="str">
        <f>CONCATENATE(LS[[#This Row],[Frequency]],LS[[#This Row],[Investor ID]])</f>
        <v>7A00606</v>
      </c>
      <c r="I1471" s="75" t="str">
        <f>IF(LS[[#This Row],[B/S]]="B","BUY",(IF(LS[[#This Row],[B/S]]="S","SELL"," ")))</f>
        <v>BUY</v>
      </c>
      <c r="J1471" s="101" t="s">
        <v>1229</v>
      </c>
      <c r="K1471" s="102">
        <v>400000</v>
      </c>
      <c r="L1471" s="99"/>
      <c r="M1471" s="103">
        <f>LS[[#This Row],[Amount]]/LS[[#This Row],[Unit]]</f>
        <v>14.097909984844748</v>
      </c>
      <c r="N1471" s="104">
        <f>LS[[#This Row],[Unit Capital]]/10</f>
        <v>28373</v>
      </c>
      <c r="O1471" s="104">
        <f>SUMIFS(LS[[#Headers],[Unit]]:LS[[#This Row],[Unit]],LS[[#Headers],[Investor ID]]:LS[[#This Row],[Investor ID]],LS[[#This Row],[Investor ID]])</f>
        <v>289749</v>
      </c>
      <c r="P1471" s="102">
        <v>283730</v>
      </c>
      <c r="Q1471" s="102">
        <f>LS[[#This Row],[Amount]]-LS[[#This Row],[Unit Capital]]</f>
        <v>116270</v>
      </c>
      <c r="R147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13.708841917737658</v>
      </c>
      <c r="S1471" s="103">
        <f t="shared" si="41"/>
        <v>14.224</v>
      </c>
      <c r="T147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1" s="102" cm="1">
        <f t="array" ref="U1471">IF(LS[[#This Row],[B/S]]="S",ABS(LS[[#This Row],[Unit]])*(INDEX(LS[NAV at Cost (Average)],MATCH(CONCATENATE((LS[[#This Row],[Frequency]]-1),LS[[#This Row],[Investor ID]]),LS[Unique Code],0),0)),0)</f>
        <v>0</v>
      </c>
      <c r="V1471" s="102">
        <f>IF(LS[[#This Row],[BO TRANSFER]]="YES",LS[[#This Row],[Unit]],)</f>
        <v>0</v>
      </c>
      <c r="W1471" s="102">
        <f>SUMIFS(LS[[#Headers],[BO UNIT TRANSFER]]:LS[[#This Row],[BO UNIT TRANSFER]],LS[[#Headers],[Investor ID]]:LS[[#This Row],[Investor ID]],LS[[#This Row],[Investor ID]])</f>
        <v>0</v>
      </c>
    </row>
    <row r="1472" spans="1:23">
      <c r="A1472" s="101">
        <v>2026</v>
      </c>
      <c r="B1472" s="101">
        <v>3</v>
      </c>
      <c r="C1472" s="101">
        <v>2</v>
      </c>
      <c r="D1472" s="98">
        <f>DATE(LS[[#This Row],[Year]],LS[[#This Row],[Month]],LS[[#This Row],[Day]])</f>
        <v>46083</v>
      </c>
      <c r="E1472" s="99" t="str" cm="1">
        <f t="array" ref="E1472">INDEX(INVESTORS_LIST[INVESTOR NAME],MATCH(LS[[#This Row],[Investor ID]],INVESTORS_LIST[INVESTOR CODE],0),)</f>
        <v>KHAN MUHAMMAD KAWSER AHMED</v>
      </c>
      <c r="F1472" s="100" t="s">
        <v>944</v>
      </c>
      <c r="G1472" s="101">
        <f>COUNTIF(LS[[#Headers],[Investor ID]]:LS[[#This Row],[Investor ID]],LS[[#This Row],[Investor ID]])</f>
        <v>50</v>
      </c>
      <c r="H1472" s="101" t="str">
        <f>CONCATENATE(LS[[#This Row],[Frequency]],LS[[#This Row],[Investor ID]])</f>
        <v>50A00449</v>
      </c>
      <c r="I1472" s="75" t="str">
        <f>IF(LS[[#This Row],[B/S]]="B","BUY",(IF(LS[[#This Row],[B/S]]="S","SELL"," ")))</f>
        <v>SELL</v>
      </c>
      <c r="J1472" s="101" t="s">
        <v>1231</v>
      </c>
      <c r="K1472" s="102">
        <v>-5000000</v>
      </c>
      <c r="L1472" s="99"/>
      <c r="M1472" s="103">
        <f>LS[[#This Row],[Amount]]/LS[[#This Row],[Unit]]</f>
        <v>14.104014284545668</v>
      </c>
      <c r="N1472" s="104">
        <f>LS[[#This Row],[Unit Capital]]/10</f>
        <v>-354509</v>
      </c>
      <c r="O1472" s="104">
        <f>SUMIFS(LS[[#Headers],[Unit]]:LS[[#This Row],[Unit]],LS[[#Headers],[Investor ID]]:LS[[#This Row],[Investor ID]],LS[[#This Row],[Investor ID]])</f>
        <v>6099936</v>
      </c>
      <c r="P1472" s="102">
        <v>-3545090</v>
      </c>
      <c r="Q1472" s="102">
        <f>LS[[#This Row],[Amount]]-LS[[#This Row],[Unit Capital]]</f>
        <v>-1454910</v>
      </c>
      <c r="R147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72" s="103">
        <f t="shared" ref="S1472:S1474" si="42">IFERROR(NAV_MKT,0)</f>
        <v>14.224</v>
      </c>
      <c r="T1472" s="102">
        <f>IF(LS[[#This Row],[B/S]]="B",0,ABS(LS[[#This Row],[Unit]])*(LS[[#This Row],[NAV (Strike Rate)]]-INDEX(LS[NAV at Cost (Average)],MATCH(CONCATENATE(LS[[#This Row],[Frequency]]-1,LS[[#This Row],[Investor ID]]),LS[Unique Code],0),)))</f>
        <v>609706.10453592951</v>
      </c>
      <c r="U1472" s="102" cm="1">
        <f t="array" ref="U1472">IF(LS[[#This Row],[B/S]]="S",ABS(LS[[#This Row],[Unit]])*(INDEX(LS[NAV at Cost (Average)],MATCH(CONCATENATE((LS[[#This Row],[Frequency]]-1),LS[[#This Row],[Investor ID]]),LS[Unique Code],0),0)),0)</f>
        <v>4390293.8954640711</v>
      </c>
      <c r="V1472" s="102">
        <f>IF(LS[[#This Row],[BO TRANSFER]]="YES",LS[[#This Row],[Unit]],)</f>
        <v>0</v>
      </c>
      <c r="W1472" s="102">
        <f>SUMIFS(LS[[#Headers],[BO UNIT TRANSFER]]:LS[[#This Row],[BO UNIT TRANSFER]],LS[[#Headers],[Investor ID]]:LS[[#This Row],[Investor ID]],LS[[#This Row],[Investor ID]])</f>
        <v>0</v>
      </c>
    </row>
    <row r="1473" spans="1:23">
      <c r="A1473" s="101">
        <v>2026</v>
      </c>
      <c r="B1473" s="101">
        <v>3</v>
      </c>
      <c r="C1473" s="101">
        <v>2</v>
      </c>
      <c r="D1473" s="98">
        <f>DATE(LS[[#This Row],[Year]],LS[[#This Row],[Month]],LS[[#This Row],[Day]])</f>
        <v>46083</v>
      </c>
      <c r="E1473" s="99" t="str" cm="1">
        <f t="array" ref="E1473">INDEX(INVESTORS_LIST[INVESTOR NAME],MATCH(LS[[#This Row],[Investor ID]],INVESTORS_LIST[INVESTOR CODE],0),)</f>
        <v>SHARMIN AKTER</v>
      </c>
      <c r="F1473" s="100" t="s">
        <v>1342</v>
      </c>
      <c r="G1473" s="101">
        <f>COUNTIF(LS[[#Headers],[Investor ID]]:LS[[#This Row],[Investor ID]],LS[[#This Row],[Investor ID]])</f>
        <v>6</v>
      </c>
      <c r="H1473" s="101" t="str">
        <f>CONCATENATE(LS[[#This Row],[Frequency]],LS[[#This Row],[Investor ID]])</f>
        <v>6A00617</v>
      </c>
      <c r="I1473" s="75" t="str">
        <f>IF(LS[[#This Row],[B/S]]="B","BUY",(IF(LS[[#This Row],[B/S]]="S","SELL"," ")))</f>
        <v>SELL</v>
      </c>
      <c r="J1473" s="101" t="s">
        <v>1231</v>
      </c>
      <c r="K1473" s="102">
        <v>-317072.02</v>
      </c>
      <c r="L1473" s="99"/>
      <c r="M1473" s="103">
        <f>LS[[#This Row],[Amount]]/LS[[#This Row],[Unit]]</f>
        <v>14.103999822071973</v>
      </c>
      <c r="N1473" s="104">
        <f>LS[[#This Row],[Unit Capital]]/10</f>
        <v>-22481</v>
      </c>
      <c r="O1473" s="104">
        <f>SUMIFS(LS[[#Headers],[Unit]]:LS[[#This Row],[Unit]],LS[[#Headers],[Investor ID]]:LS[[#This Row],[Investor ID]],LS[[#This Row],[Investor ID]])</f>
        <v>0</v>
      </c>
      <c r="P1473" s="102">
        <v>-224810</v>
      </c>
      <c r="Q1473" s="102">
        <f>LS[[#This Row],[Amount]]-LS[[#This Row],[Unit Capital]]</f>
        <v>-92262.020000000019</v>
      </c>
      <c r="R147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73" s="103">
        <f t="shared" si="42"/>
        <v>14.224</v>
      </c>
      <c r="T1473" s="102">
        <f>IF(LS[[#This Row],[B/S]]="B",0,ABS(LS[[#This Row],[Unit]])*(LS[[#This Row],[NAV (Strike Rate)]]-INDEX(LS[NAV at Cost (Average)],MATCH(CONCATENATE(LS[[#This Row],[Frequency]]-1,LS[[#This Row],[Investor ID]]),LS[Unique Code],0),)))</f>
        <v>27014.561588535842</v>
      </c>
      <c r="U1473" s="102" cm="1">
        <f t="array" ref="U1473">IF(LS[[#This Row],[B/S]]="S",ABS(LS[[#This Row],[Unit]])*(INDEX(LS[NAV at Cost (Average)],MATCH(CONCATENATE((LS[[#This Row],[Frequency]]-1),LS[[#This Row],[Investor ID]]),LS[Unique Code],0),0)),0)</f>
        <v>290057.45841146418</v>
      </c>
      <c r="V1473" s="102">
        <f>IF(LS[[#This Row],[BO TRANSFER]]="YES",LS[[#This Row],[Unit]],)</f>
        <v>0</v>
      </c>
      <c r="W1473" s="102">
        <f>SUMIFS(LS[[#Headers],[BO UNIT TRANSFER]]:LS[[#This Row],[BO UNIT TRANSFER]],LS[[#Headers],[Investor ID]]:LS[[#This Row],[Investor ID]],LS[[#This Row],[Investor ID]])</f>
        <v>0</v>
      </c>
    </row>
    <row r="1474" spans="1:23">
      <c r="A1474" s="101">
        <v>2026</v>
      </c>
      <c r="B1474" s="101">
        <v>3</v>
      </c>
      <c r="C1474" s="101">
        <v>2</v>
      </c>
      <c r="D1474" s="98">
        <f>DATE(LS[[#This Row],[Year]],LS[[#This Row],[Month]],LS[[#This Row],[Day]])</f>
        <v>46083</v>
      </c>
      <c r="E1474" s="99" t="str" cm="1">
        <f t="array" ref="E1474">INDEX(INVESTORS_LIST[INVESTOR NAME],MATCH(LS[[#This Row],[Investor ID]],INVESTORS_LIST[INVESTOR CODE],0),)</f>
        <v>SHAPNA RANI BARMAN</v>
      </c>
      <c r="F1474" s="100" t="s">
        <v>1292</v>
      </c>
      <c r="G1474" s="101">
        <f>COUNTIF(LS[[#Headers],[Investor ID]]:LS[[#This Row],[Investor ID]],LS[[#This Row],[Investor ID]])</f>
        <v>7</v>
      </c>
      <c r="H1474" s="101" t="str">
        <f>CONCATENATE(LS[[#This Row],[Frequency]],LS[[#This Row],[Investor ID]])</f>
        <v>7A00593</v>
      </c>
      <c r="I1474" s="75" t="str">
        <f>IF(LS[[#This Row],[B/S]]="B","BUY",(IF(LS[[#This Row],[B/S]]="S","SELL"," ")))</f>
        <v>SELL</v>
      </c>
      <c r="J1474" s="101" t="s">
        <v>1231</v>
      </c>
      <c r="K1474" s="102">
        <v>-100000</v>
      </c>
      <c r="L1474" s="99"/>
      <c r="M1474" s="103">
        <f>LS[[#This Row],[Amount]]/LS[[#This Row],[Unit]]</f>
        <v>14.104372355430183</v>
      </c>
      <c r="N1474" s="104">
        <f>LS[[#This Row],[Unit Capital]]/10</f>
        <v>-7090</v>
      </c>
      <c r="O1474" s="104">
        <f>SUMIFS(LS[[#Headers],[Unit]]:LS[[#This Row],[Unit]],LS[[#Headers],[Investor ID]]:LS[[#This Row],[Investor ID]],LS[[#This Row],[Investor ID]])</f>
        <v>20274</v>
      </c>
      <c r="P1474" s="102">
        <v>-70900</v>
      </c>
      <c r="Q1474" s="102">
        <f>LS[[#This Row],[Amount]]-LS[[#This Row],[Unit Capital]]</f>
        <v>-29100</v>
      </c>
      <c r="R147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13.233743324869888</v>
      </c>
      <c r="S1474" s="103">
        <f t="shared" si="42"/>
        <v>14.224</v>
      </c>
      <c r="T1474" s="102">
        <f>IF(LS[[#This Row],[B/S]]="B",0,ABS(LS[[#This Row],[Unit]])*(LS[[#This Row],[NAV (Strike Rate)]]-INDEX(LS[NAV at Cost (Average)],MATCH(CONCATENATE(LS[[#This Row],[Frequency]]-1,LS[[#This Row],[Investor ID]]),LS[Unique Code],0),)))</f>
        <v>6172.7598266724908</v>
      </c>
      <c r="U1474" s="102" cm="1">
        <f t="array" ref="U1474">IF(LS[[#This Row],[B/S]]="S",ABS(LS[[#This Row],[Unit]])*(INDEX(LS[NAV at Cost (Average)],MATCH(CONCATENATE((LS[[#This Row],[Frequency]]-1),LS[[#This Row],[Investor ID]]),LS[Unique Code],0),0)),0)</f>
        <v>93827.240173327504</v>
      </c>
      <c r="V1474" s="102">
        <f>IF(LS[[#This Row],[BO TRANSFER]]="YES",LS[[#This Row],[Unit]],)</f>
        <v>0</v>
      </c>
      <c r="W1474" s="102">
        <f>SUMIFS(LS[[#Headers],[BO UNIT TRANSFER]]:LS[[#This Row],[BO UNIT TRANSFER]],LS[[#Headers],[Investor ID]]:LS[[#This Row],[Investor ID]],LS[[#This Row],[Investor ID]])</f>
        <v>0</v>
      </c>
    </row>
    <row r="1475" spans="1:23">
      <c r="A1475" s="101">
        <v>2026</v>
      </c>
      <c r="B1475" s="101">
        <v>3</v>
      </c>
      <c r="C1475" s="101">
        <v>3</v>
      </c>
      <c r="D1475" s="98">
        <f>DATE(LS[[#This Row],[Year]],LS[[#This Row],[Month]],LS[[#This Row],[Day]])</f>
        <v>46084</v>
      </c>
      <c r="E1475" s="99" t="str" cm="1">
        <f t="array" ref="E1475">INDEX(INVESTORS_LIST[INVESTOR NAME],MATCH(LS[[#This Row],[Investor ID]],INVESTORS_LIST[INVESTOR CODE],0),)</f>
        <v>SHILA SAHA</v>
      </c>
      <c r="F1475" s="100" t="s">
        <v>1507</v>
      </c>
      <c r="G1475" s="101">
        <f>COUNTIF(LS[[#Headers],[Investor ID]]:LS[[#This Row],[Investor ID]],LS[[#This Row],[Investor ID]])</f>
        <v>5</v>
      </c>
      <c r="H1475" s="101" t="str">
        <f>CONCATENATE(LS[[#This Row],[Frequency]],LS[[#This Row],[Investor ID]])</f>
        <v>5A00695</v>
      </c>
      <c r="I1475" s="75" t="str">
        <f>IF(LS[[#This Row],[B/S]]="B","BUY",(IF(LS[[#This Row],[B/S]]="S","SELL"," ")))</f>
        <v>BUY</v>
      </c>
      <c r="J1475" s="101" t="s">
        <v>1229</v>
      </c>
      <c r="K1475" s="102">
        <v>700000</v>
      </c>
      <c r="L1475" s="99"/>
      <c r="M1475" s="103">
        <f>LS[[#This Row],[Amount]]/LS[[#This Row],[Unit]]</f>
        <v>14.108067799342967</v>
      </c>
      <c r="N1475" s="104">
        <f>LS[[#This Row],[Unit Capital]]/10</f>
        <v>49617</v>
      </c>
      <c r="O1475" s="104">
        <f>SUMIFS(LS[[#Headers],[Unit]]:LS[[#This Row],[Unit]],LS[[#Headers],[Investor ID]]:LS[[#This Row],[Investor ID]],LS[[#This Row],[Investor ID]])</f>
        <v>178221</v>
      </c>
      <c r="P1475" s="102">
        <v>496170</v>
      </c>
      <c r="Q1475" s="102">
        <f>LS[[#This Row],[Amount]]-LS[[#This Row],[Unit Capital]]</f>
        <v>203830</v>
      </c>
      <c r="R147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14.027527620201884</v>
      </c>
      <c r="S1475" s="103">
        <f t="shared" ref="S1475:S1480" si="43">IFERROR(NAV_MKT,0)</f>
        <v>14.224</v>
      </c>
      <c r="T1475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5" s="102" cm="1">
        <f t="array" ref="U1475">IF(LS[[#This Row],[B/S]]="S",ABS(LS[[#This Row],[Unit]])*(INDEX(LS[NAV at Cost (Average)],MATCH(CONCATENATE((LS[[#This Row],[Frequency]]-1),LS[[#This Row],[Investor ID]]),LS[Unique Code],0),0)),0)</f>
        <v>0</v>
      </c>
      <c r="V1475" s="102">
        <f>IF(LS[[#This Row],[BO TRANSFER]]="YES",LS[[#This Row],[Unit]],)</f>
        <v>0</v>
      </c>
      <c r="W1475" s="102">
        <f>SUMIFS(LS[[#Headers],[BO UNIT TRANSFER]]:LS[[#This Row],[BO UNIT TRANSFER]],LS[[#Headers],[Investor ID]]:LS[[#This Row],[Investor ID]],LS[[#This Row],[Investor ID]])</f>
        <v>0</v>
      </c>
    </row>
    <row r="1476" spans="1:23">
      <c r="A1476" s="101">
        <v>2026</v>
      </c>
      <c r="B1476" s="101">
        <v>3</v>
      </c>
      <c r="C1476" s="101">
        <v>3</v>
      </c>
      <c r="D1476" s="98">
        <f>DATE(LS[[#This Row],[Year]],LS[[#This Row],[Month]],LS[[#This Row],[Day]])</f>
        <v>46084</v>
      </c>
      <c r="E1476" s="99" t="str" cm="1">
        <f t="array" ref="E1476">INDEX(INVESTORS_LIST[INVESTOR NAME],MATCH(LS[[#This Row],[Investor ID]],INVESTORS_LIST[INVESTOR CODE],0),)</f>
        <v>MOHAMMAD HASAN SHAHRIAR MASUD</v>
      </c>
      <c r="F1476" s="100" t="s">
        <v>954</v>
      </c>
      <c r="G1476" s="101">
        <f>COUNTIF(LS[[#Headers],[Investor ID]]:LS[[#This Row],[Investor ID]],LS[[#This Row],[Investor ID]])</f>
        <v>5</v>
      </c>
      <c r="H1476" s="101" t="str">
        <f>CONCATENATE(LS[[#This Row],[Frequency]],LS[[#This Row],[Investor ID]])</f>
        <v>5A00454</v>
      </c>
      <c r="I1476" s="75" t="str">
        <f>IF(LS[[#This Row],[B/S]]="B","BUY",(IF(LS[[#This Row],[B/S]]="S","SELL"," ")))</f>
        <v>BUY</v>
      </c>
      <c r="J1476" s="101" t="s">
        <v>1229</v>
      </c>
      <c r="K1476" s="102">
        <v>500000</v>
      </c>
      <c r="L1476" s="99"/>
      <c r="M1476" s="103">
        <f>LS[[#This Row],[Amount]]/LS[[#This Row],[Unit]]</f>
        <v>14.107954064501566</v>
      </c>
      <c r="N1476" s="104">
        <f>LS[[#This Row],[Unit Capital]]/10</f>
        <v>35441</v>
      </c>
      <c r="O1476" s="104">
        <f>SUMIFS(LS[[#Headers],[Unit]]:LS[[#This Row],[Unit]],LS[[#Headers],[Investor ID]]:LS[[#This Row],[Investor ID]],LS[[#This Row],[Investor ID]])</f>
        <v>155479</v>
      </c>
      <c r="P1476" s="102">
        <v>354410</v>
      </c>
      <c r="Q1476" s="102">
        <f>LS[[#This Row],[Amount]]-LS[[#This Row],[Unit Capital]]</f>
        <v>145590</v>
      </c>
      <c r="R147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12.863473523755619</v>
      </c>
      <c r="S1476" s="103">
        <f t="shared" si="43"/>
        <v>14.224</v>
      </c>
      <c r="T1476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6" s="102" cm="1">
        <f t="array" ref="U1476">IF(LS[[#This Row],[B/S]]="S",ABS(LS[[#This Row],[Unit]])*(INDEX(LS[NAV at Cost (Average)],MATCH(CONCATENATE((LS[[#This Row],[Frequency]]-1),LS[[#This Row],[Investor ID]]),LS[Unique Code],0),0)),0)</f>
        <v>0</v>
      </c>
      <c r="V1476" s="102">
        <f>IF(LS[[#This Row],[BO TRANSFER]]="YES",LS[[#This Row],[Unit]],)</f>
        <v>0</v>
      </c>
      <c r="W1476" s="102">
        <f>SUMIFS(LS[[#Headers],[BO UNIT TRANSFER]]:LS[[#This Row],[BO UNIT TRANSFER]],LS[[#Headers],[Investor ID]]:LS[[#This Row],[Investor ID]],LS[[#This Row],[Investor ID]])</f>
        <v>0</v>
      </c>
    </row>
    <row r="1477" spans="1:23">
      <c r="A1477" s="101">
        <v>2026</v>
      </c>
      <c r="B1477" s="101">
        <v>3</v>
      </c>
      <c r="C1477" s="101">
        <v>3</v>
      </c>
      <c r="D1477" s="98">
        <f>DATE(LS[[#This Row],[Year]],LS[[#This Row],[Month]],LS[[#This Row],[Day]])</f>
        <v>46084</v>
      </c>
      <c r="E1477" s="99" t="str" cm="1">
        <f t="array" ref="E1477">INDEX(INVESTORS_LIST[INVESTOR NAME],MATCH(LS[[#This Row],[Investor ID]],INVESTORS_LIST[INVESTOR CODE],0),)</f>
        <v>MOHAMMAD HASAN SHAHRIAR MASUD</v>
      </c>
      <c r="F1477" s="100" t="s">
        <v>954</v>
      </c>
      <c r="G1477" s="101">
        <f>COUNTIF(LS[[#Headers],[Investor ID]]:LS[[#This Row],[Investor ID]],LS[[#This Row],[Investor ID]])</f>
        <v>6</v>
      </c>
      <c r="H1477" s="101" t="str">
        <f>CONCATENATE(LS[[#This Row],[Frequency]],LS[[#This Row],[Investor ID]])</f>
        <v>6A00454</v>
      </c>
      <c r="I1477" s="75" t="str">
        <f>IF(LS[[#This Row],[B/S]]="B","BUY",(IF(LS[[#This Row],[B/S]]="S","SELL"," ")))</f>
        <v>BUY</v>
      </c>
      <c r="J1477" s="101" t="s">
        <v>1229</v>
      </c>
      <c r="K1477" s="102">
        <v>2000000</v>
      </c>
      <c r="L1477" s="99"/>
      <c r="M1477" s="103">
        <f>LS[[#This Row],[Amount]]/LS[[#This Row],[Unit]]</f>
        <v>14.107954064501566</v>
      </c>
      <c r="N1477" s="104">
        <f>LS[[#This Row],[Unit Capital]]/10</f>
        <v>141764</v>
      </c>
      <c r="O1477" s="104">
        <f>SUMIFS(LS[[#Headers],[Unit]]:LS[[#This Row],[Unit]],LS[[#Headers],[Investor ID]]:LS[[#This Row],[Investor ID]],LS[[#This Row],[Investor ID]])</f>
        <v>297243</v>
      </c>
      <c r="P1477" s="102">
        <v>1417640</v>
      </c>
      <c r="Q1477" s="102">
        <f>LS[[#This Row],[Amount]]-LS[[#This Row],[Unit Capital]]</f>
        <v>582360</v>
      </c>
      <c r="R147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13.457003192674009</v>
      </c>
      <c r="S1477" s="103">
        <f t="shared" si="43"/>
        <v>14.224</v>
      </c>
      <c r="T147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7" s="102" cm="1">
        <f t="array" ref="U1477">IF(LS[[#This Row],[B/S]]="S",ABS(LS[[#This Row],[Unit]])*(INDEX(LS[NAV at Cost (Average)],MATCH(CONCATENATE((LS[[#This Row],[Frequency]]-1),LS[[#This Row],[Investor ID]]),LS[Unique Code],0),0)),0)</f>
        <v>0</v>
      </c>
      <c r="V1477" s="102">
        <f>IF(LS[[#This Row],[BO TRANSFER]]="YES",LS[[#This Row],[Unit]],)</f>
        <v>0</v>
      </c>
      <c r="W1477" s="102">
        <f>SUMIFS(LS[[#Headers],[BO UNIT TRANSFER]]:LS[[#This Row],[BO UNIT TRANSFER]],LS[[#Headers],[Investor ID]]:LS[[#This Row],[Investor ID]],LS[[#This Row],[Investor ID]])</f>
        <v>0</v>
      </c>
    </row>
    <row r="1478" spans="1:23">
      <c r="A1478" s="101">
        <v>2026</v>
      </c>
      <c r="B1478" s="101">
        <v>3</v>
      </c>
      <c r="C1478" s="101">
        <v>3</v>
      </c>
      <c r="D1478" s="98">
        <f>DATE(LS[[#This Row],[Year]],LS[[#This Row],[Month]],LS[[#This Row],[Day]])</f>
        <v>46084</v>
      </c>
      <c r="E1478" s="99" t="str" cm="1">
        <f t="array" ref="E1478">INDEX(INVESTORS_LIST[INVESTOR NAME],MATCH(LS[[#This Row],[Investor ID]],INVESTORS_LIST[INVESTOR CODE],0),)</f>
        <v>A.K.M. FAHIM MASHROOR</v>
      </c>
      <c r="F1478" s="100" t="s">
        <v>1530</v>
      </c>
      <c r="G1478" s="101">
        <f>COUNTIF(LS[[#Headers],[Investor ID]]:LS[[#This Row],[Investor ID]],LS[[#This Row],[Investor ID]])</f>
        <v>2</v>
      </c>
      <c r="H1478" s="101" t="str">
        <f>CONCATENATE(LS[[#This Row],[Frequency]],LS[[#This Row],[Investor ID]])</f>
        <v>2A00699</v>
      </c>
      <c r="I1478" s="75" t="str">
        <f>IF(LS[[#This Row],[B/S]]="B","BUY",(IF(LS[[#This Row],[B/S]]="S","SELL"," ")))</f>
        <v>BUY</v>
      </c>
      <c r="J1478" s="101" t="s">
        <v>1229</v>
      </c>
      <c r="K1478" s="102">
        <v>15000000</v>
      </c>
      <c r="L1478" s="99" t="s">
        <v>1230</v>
      </c>
      <c r="M1478" s="103">
        <f>LS[[#This Row],[Amount]]/LS[[#This Row],[Unit]]</f>
        <v>14.107993871487462</v>
      </c>
      <c r="N1478" s="104">
        <f>LS[[#This Row],[Unit Capital]]/10</f>
        <v>1063227</v>
      </c>
      <c r="O1478" s="104">
        <f>SUMIFS(LS[[#Headers],[Unit]]:LS[[#This Row],[Unit]],LS[[#Headers],[Investor ID]]:LS[[#This Row],[Investor ID]],LS[[#This Row],[Investor ID]])</f>
        <v>1597758</v>
      </c>
      <c r="P1478" s="102">
        <v>10632270</v>
      </c>
      <c r="Q1478" s="102">
        <f>LS[[#This Row],[Amount]]-LS[[#This Row],[Unit Capital]]</f>
        <v>4367730</v>
      </c>
      <c r="R147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14.082232728610965</v>
      </c>
      <c r="S1478" s="103">
        <f t="shared" si="43"/>
        <v>14.224</v>
      </c>
      <c r="T147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78" s="102" cm="1">
        <f t="array" ref="U1478">IF(LS[[#This Row],[B/S]]="S",ABS(LS[[#This Row],[Unit]])*(INDEX(LS[NAV at Cost (Average)],MATCH(CONCATENATE((LS[[#This Row],[Frequency]]-1),LS[[#This Row],[Investor ID]]),LS[Unique Code],0),0)),0)</f>
        <v>0</v>
      </c>
      <c r="V1478" s="102">
        <f>IF(LS[[#This Row],[BO TRANSFER]]="YES",LS[[#This Row],[Unit]],)</f>
        <v>1063227</v>
      </c>
      <c r="W1478" s="102">
        <f>SUMIFS(LS[[#Headers],[BO UNIT TRANSFER]]:LS[[#This Row],[BO UNIT TRANSFER]],LS[[#Headers],[Investor ID]]:LS[[#This Row],[Investor ID]],LS[[#This Row],[Investor ID]])</f>
        <v>1597758</v>
      </c>
    </row>
    <row r="1479" spans="1:23">
      <c r="A1479" s="101">
        <v>2026</v>
      </c>
      <c r="B1479" s="101">
        <v>3</v>
      </c>
      <c r="C1479" s="101">
        <v>5</v>
      </c>
      <c r="D1479" s="98">
        <f>DATE(LS[[#This Row],[Year]],LS[[#This Row],[Month]],LS[[#This Row],[Day]])</f>
        <v>46086</v>
      </c>
      <c r="E1479" s="99" t="str" cm="1">
        <f t="array" ref="E1479">INDEX(INVESTORS_LIST[INVESTOR NAME],MATCH(LS[[#This Row],[Investor ID]],INVESTORS_LIST[INVESTOR CODE],0),)</f>
        <v>N M AL HOSSAIN</v>
      </c>
      <c r="F1479" s="100" t="s">
        <v>280</v>
      </c>
      <c r="G1479" s="101">
        <f>COUNTIF(LS[[#Headers],[Investor ID]]:LS[[#This Row],[Investor ID]],LS[[#This Row],[Investor ID]])</f>
        <v>11</v>
      </c>
      <c r="H1479" s="101" t="str">
        <f>CONCATENATE(LS[[#This Row],[Frequency]],LS[[#This Row],[Investor ID]])</f>
        <v>11A00116</v>
      </c>
      <c r="I1479" s="75" t="str">
        <f>IF(LS[[#This Row],[B/S]]="B","BUY",(IF(LS[[#This Row],[B/S]]="S","SELL"," ")))</f>
        <v>SELL</v>
      </c>
      <c r="J1479" s="101" t="s">
        <v>1231</v>
      </c>
      <c r="K1479" s="102">
        <v>-500000</v>
      </c>
      <c r="L1479" s="99"/>
      <c r="M1479" s="103">
        <f>LS[[#This Row],[Amount]]/LS[[#This Row],[Unit]]</f>
        <v>14.121102575689109</v>
      </c>
      <c r="N1479" s="104">
        <f>LS[[#This Row],[Unit Capital]]/10</f>
        <v>-35408</v>
      </c>
      <c r="O1479" s="104">
        <f>SUMIFS(LS[[#Headers],[Unit]]:LS[[#This Row],[Unit]],LS[[#Headers],[Investor ID]]:LS[[#This Row],[Investor ID]],LS[[#This Row],[Investor ID]])</f>
        <v>759917</v>
      </c>
      <c r="P1479" s="102">
        <v>-354080</v>
      </c>
      <c r="Q1479" s="102">
        <f>LS[[#This Row],[Amount]]-LS[[#This Row],[Unit Capital]]</f>
        <v>-145920</v>
      </c>
      <c r="R147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10.666552890102505</v>
      </c>
      <c r="S1479" s="103">
        <f t="shared" si="43"/>
        <v>14.224</v>
      </c>
      <c r="T1479" s="102">
        <f>IF(LS[[#This Row],[B/S]]="B",0,ABS(LS[[#This Row],[Unit]])*(LS[[#This Row],[NAV (Strike Rate)]]-INDEX(LS[NAV at Cost (Average)],MATCH(CONCATENATE(LS[[#This Row],[Frequency]]-1,LS[[#This Row],[Investor ID]]),LS[Unique Code],0),)))</f>
        <v>122318.69526725048</v>
      </c>
      <c r="U1479" s="102" cm="1">
        <f t="array" ref="U1479">IF(LS[[#This Row],[B/S]]="S",ABS(LS[[#This Row],[Unit]])*(INDEX(LS[NAV at Cost (Average)],MATCH(CONCATENATE((LS[[#This Row],[Frequency]]-1),LS[[#This Row],[Investor ID]]),LS[Unique Code],0),0)),0)</f>
        <v>377681.30473274947</v>
      </c>
      <c r="V1479" s="102">
        <f>IF(LS[[#This Row],[BO TRANSFER]]="YES",LS[[#This Row],[Unit]],)</f>
        <v>0</v>
      </c>
      <c r="W1479" s="102">
        <f>SUMIFS(LS[[#Headers],[BO UNIT TRANSFER]]:LS[[#This Row],[BO UNIT TRANSFER]],LS[[#Headers],[Investor ID]]:LS[[#This Row],[Investor ID]],LS[[#This Row],[Investor ID]])</f>
        <v>0</v>
      </c>
    </row>
    <row r="1480" spans="1:23">
      <c r="A1480" s="101">
        <v>2026</v>
      </c>
      <c r="B1480" s="101">
        <v>3</v>
      </c>
      <c r="C1480" s="101">
        <v>5</v>
      </c>
      <c r="D1480" s="98">
        <f>DATE(LS[[#This Row],[Year]],LS[[#This Row],[Month]],LS[[#This Row],[Day]])</f>
        <v>46086</v>
      </c>
      <c r="E1480" s="99" t="str" cm="1">
        <f t="array" ref="E1480">INDEX(INVESTORS_LIST[INVESTOR NAME],MATCH(LS[[#This Row],[Investor ID]],INVESTORS_LIST[INVESTOR CODE],0),)</f>
        <v>BABITA RANI BARMAN</v>
      </c>
      <c r="F1480" s="100" t="s">
        <v>188</v>
      </c>
      <c r="G1480" s="101">
        <f>COUNTIF(LS[[#Headers],[Investor ID]]:LS[[#This Row],[Investor ID]],LS[[#This Row],[Investor ID]])</f>
        <v>11</v>
      </c>
      <c r="H1480" s="101" t="str">
        <f>CONCATENATE(LS[[#This Row],[Frequency]],LS[[#This Row],[Investor ID]])</f>
        <v>11A00070</v>
      </c>
      <c r="I1480" s="75" t="str">
        <f>IF(LS[[#This Row],[B/S]]="B","BUY",(IF(LS[[#This Row],[B/S]]="S","SELL"," ")))</f>
        <v>SELL</v>
      </c>
      <c r="J1480" s="101" t="s">
        <v>1231</v>
      </c>
      <c r="K1480" s="102">
        <v>-100000</v>
      </c>
      <c r="L1480" s="99"/>
      <c r="M1480" s="103">
        <f>LS[[#This Row],[Amount]]/LS[[#This Row],[Unit]]</f>
        <v>14.120304998587969</v>
      </c>
      <c r="N1480" s="104">
        <f>LS[[#This Row],[Unit Capital]]/10</f>
        <v>-7082</v>
      </c>
      <c r="O1480" s="104">
        <f>SUMIFS(LS[[#Headers],[Unit]]:LS[[#This Row],[Unit]],LS[[#Headers],[Investor ID]]:LS[[#This Row],[Investor ID]],LS[[#This Row],[Investor ID]])</f>
        <v>61873</v>
      </c>
      <c r="P1480" s="102">
        <v>-70820</v>
      </c>
      <c r="Q1480" s="102">
        <f>LS[[#This Row],[Amount]]-LS[[#This Row],[Unit Capital]]</f>
        <v>-29180</v>
      </c>
      <c r="R148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12.183514045420086</v>
      </c>
      <c r="S1480" s="103">
        <f t="shared" si="43"/>
        <v>14.224</v>
      </c>
      <c r="T1480" s="102">
        <f>IF(LS[[#This Row],[B/S]]="B",0,ABS(LS[[#This Row],[Unit]])*(LS[[#This Row],[NAV (Strike Rate)]]-INDEX(LS[NAV at Cost (Average)],MATCH(CONCATENATE(LS[[#This Row],[Frequency]]-1,LS[[#This Row],[Investor ID]]),LS[Unique Code],0),)))</f>
        <v>13716.353530334945</v>
      </c>
      <c r="U1480" s="102" cm="1">
        <f t="array" ref="U1480">IF(LS[[#This Row],[B/S]]="S",ABS(LS[[#This Row],[Unit]])*(INDEX(LS[NAV at Cost (Average)],MATCH(CONCATENATE((LS[[#This Row],[Frequency]]-1),LS[[#This Row],[Investor ID]]),LS[Unique Code],0),0)),0)</f>
        <v>86283.646469665051</v>
      </c>
      <c r="V1480" s="102">
        <f>IF(LS[[#This Row],[BO TRANSFER]]="YES",LS[[#This Row],[Unit]],)</f>
        <v>0</v>
      </c>
      <c r="W1480" s="102">
        <f>SUMIFS(LS[[#Headers],[BO UNIT TRANSFER]]:LS[[#This Row],[BO UNIT TRANSFER]],LS[[#Headers],[Investor ID]]:LS[[#This Row],[Investor ID]],LS[[#This Row],[Investor ID]])</f>
        <v>0</v>
      </c>
    </row>
    <row r="1481" spans="1:23">
      <c r="A1481" s="101">
        <v>2026</v>
      </c>
      <c r="B1481" s="101">
        <v>3</v>
      </c>
      <c r="C1481" s="101">
        <v>5</v>
      </c>
      <c r="D1481" s="271">
        <f>DATE(LS[[#This Row],[Year]],LS[[#This Row],[Month]],LS[[#This Row],[Day]])</f>
        <v>46086</v>
      </c>
      <c r="E1481" s="269" t="str" cm="1">
        <f t="array" ref="E1481">INDEX(INVESTORS_LIST[INVESTOR NAME],MATCH(LS[[#This Row],[Investor ID]],INVESTORS_LIST[INVESTOR CODE],0),)</f>
        <v>ARPITA BARUA</v>
      </c>
      <c r="F1481" s="272" t="s">
        <v>1545</v>
      </c>
      <c r="G1481" s="270">
        <f>COUNTIF(LS[[#Headers],[Investor ID]]:LS[[#This Row],[Investor ID]],LS[[#This Row],[Investor ID]])</f>
        <v>1</v>
      </c>
      <c r="H1481" s="270" t="str">
        <f>CONCATENATE(LS[[#This Row],[Frequency]],LS[[#This Row],[Investor ID]])</f>
        <v>1A00704</v>
      </c>
      <c r="I1481" s="75" t="str">
        <f>IF(LS[[#This Row],[B/S]]="B","BUY",(IF(LS[[#This Row],[B/S]]="S","SELL"," ")))</f>
        <v>BUY</v>
      </c>
      <c r="J1481" s="270" t="s">
        <v>1229</v>
      </c>
      <c r="K1481" s="267">
        <v>1500000</v>
      </c>
      <c r="L1481" s="269"/>
      <c r="M1481" s="273">
        <f>LS[[#This Row],[Amount]]/LS[[#This Row],[Unit]]</f>
        <v>14.109944689016819</v>
      </c>
      <c r="N1481" s="268">
        <f>LS[[#This Row],[Unit Capital]]/10</f>
        <v>106308</v>
      </c>
      <c r="O1481" s="268">
        <f>SUMIFS(LS[[#Headers],[Unit]]:LS[[#This Row],[Unit]],LS[[#Headers],[Investor ID]]:LS[[#This Row],[Investor ID]],LS[[#This Row],[Investor ID]])</f>
        <v>106308</v>
      </c>
      <c r="P1481" s="267">
        <v>1063080</v>
      </c>
      <c r="Q1481" s="267">
        <f>LS[[#This Row],[Amount]]-LS[[#This Row],[Unit Capital]]</f>
        <v>436920</v>
      </c>
      <c r="R1481" s="267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14.109944689016819</v>
      </c>
      <c r="S1481" s="273">
        <f t="shared" ref="S1481:S1488" si="44">IFERROR(NAV_MKT,0)</f>
        <v>14.224</v>
      </c>
      <c r="T1481" s="267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81" s="267" cm="1">
        <f t="array" ref="U1481">IF(LS[[#This Row],[B/S]]="S",ABS(LS[[#This Row],[Unit]])*(INDEX(LS[NAV at Cost (Average)],MATCH(CONCATENATE((LS[[#This Row],[Frequency]]-1),LS[[#This Row],[Investor ID]]),LS[Unique Code],0),0)),0)</f>
        <v>0</v>
      </c>
      <c r="V1481" s="267">
        <f>IF(LS[[#This Row],[BO TRANSFER]]="YES",LS[[#This Row],[Unit]],)</f>
        <v>0</v>
      </c>
      <c r="W1481" s="267">
        <f>SUMIFS(LS[[#Headers],[BO UNIT TRANSFER]]:LS[[#This Row],[BO UNIT TRANSFER]],LS[[#Headers],[Investor ID]]:LS[[#This Row],[Investor ID]],LS[[#This Row],[Investor ID]])</f>
        <v>0</v>
      </c>
    </row>
    <row r="1482" spans="1:23">
      <c r="A1482" s="101">
        <v>2026</v>
      </c>
      <c r="B1482" s="101">
        <v>3</v>
      </c>
      <c r="C1482" s="101">
        <v>8</v>
      </c>
      <c r="D1482" s="98">
        <f>DATE(LS[[#This Row],[Year]],LS[[#This Row],[Month]],LS[[#This Row],[Day]])</f>
        <v>46089</v>
      </c>
      <c r="E1482" s="99" t="str" cm="1">
        <f t="array" ref="E1482">INDEX(INVESTORS_LIST[INVESTOR NAME],MATCH(LS[[#This Row],[Investor ID]],INVESTORS_LIST[INVESTOR CODE],0),)</f>
        <v>SHAPNA RANI BARMAN</v>
      </c>
      <c r="F1482" s="100" t="s">
        <v>1292</v>
      </c>
      <c r="G1482" s="101">
        <f>COUNTIF(LS[[#Headers],[Investor ID]]:LS[[#This Row],[Investor ID]],LS[[#This Row],[Investor ID]])</f>
        <v>8</v>
      </c>
      <c r="H1482" s="101" t="str">
        <f>CONCATENATE(LS[[#This Row],[Frequency]],LS[[#This Row],[Investor ID]])</f>
        <v>8A00593</v>
      </c>
      <c r="I1482" s="75" t="str">
        <f>IF(LS[[#This Row],[B/S]]="B","BUY",(IF(LS[[#This Row],[B/S]]="S","SELL"," ")))</f>
        <v>BUY</v>
      </c>
      <c r="J1482" s="270" t="s">
        <v>1229</v>
      </c>
      <c r="K1482" s="102">
        <v>100000</v>
      </c>
      <c r="L1482" s="99"/>
      <c r="M1482" s="103">
        <f>LS[[#This Row],[Amount]]/LS[[#This Row],[Unit]]</f>
        <v>14.124293785310735</v>
      </c>
      <c r="N1482" s="104">
        <f>LS[[#This Row],[Unit Capital]]/10</f>
        <v>7080</v>
      </c>
      <c r="O1482" s="104">
        <f>SUMIFS(LS[[#Headers],[Unit]]:LS[[#This Row],[Unit]],LS[[#Headers],[Investor ID]]:LS[[#This Row],[Investor ID]],LS[[#This Row],[Investor ID]])</f>
        <v>27354</v>
      </c>
      <c r="P1482" s="102">
        <v>70800</v>
      </c>
      <c r="Q1482" s="102">
        <f>LS[[#This Row],[Amount]]-LS[[#This Row],[Unit Capital]]</f>
        <v>29200</v>
      </c>
      <c r="R148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13.464243334372014</v>
      </c>
      <c r="S1482" s="103">
        <f t="shared" si="44"/>
        <v>14.224</v>
      </c>
      <c r="T148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82" s="102" cm="1">
        <f t="array" ref="U1482">IF(LS[[#This Row],[B/S]]="S",ABS(LS[[#This Row],[Unit]])*(INDEX(LS[NAV at Cost (Average)],MATCH(CONCATENATE((LS[[#This Row],[Frequency]]-1),LS[[#This Row],[Investor ID]]),LS[Unique Code],0),0)),0)</f>
        <v>0</v>
      </c>
      <c r="V1482" s="102">
        <f>IF(LS[[#This Row],[BO TRANSFER]]="YES",LS[[#This Row],[Unit]],)</f>
        <v>0</v>
      </c>
      <c r="W1482" s="102">
        <f>SUMIFS(LS[[#Headers],[BO UNIT TRANSFER]]:LS[[#This Row],[BO UNIT TRANSFER]],LS[[#Headers],[Investor ID]]:LS[[#This Row],[Investor ID]],LS[[#This Row],[Investor ID]])</f>
        <v>0</v>
      </c>
    </row>
    <row r="1483" spans="1:23">
      <c r="A1483" s="101">
        <v>2026</v>
      </c>
      <c r="B1483" s="101">
        <v>3</v>
      </c>
      <c r="C1483" s="101">
        <v>8</v>
      </c>
      <c r="D1483" s="98">
        <f>DATE(LS[[#This Row],[Year]],LS[[#This Row],[Month]],LS[[#This Row],[Day]])</f>
        <v>46089</v>
      </c>
      <c r="E1483" s="99" t="str" cm="1">
        <f t="array" ref="E1483">INDEX(INVESTORS_LIST[INVESTOR NAME],MATCH(LS[[#This Row],[Investor ID]],INVESTORS_LIST[INVESTOR CODE],0),)</f>
        <v>MD AYNUL HOQUE</v>
      </c>
      <c r="F1483" s="100" t="s">
        <v>1139</v>
      </c>
      <c r="G1483" s="101">
        <f>COUNTIF(LS[[#Headers],[Investor ID]]:LS[[#This Row],[Investor ID]],LS[[#This Row],[Investor ID]])</f>
        <v>12</v>
      </c>
      <c r="H1483" s="101" t="str">
        <f>CONCATENATE(LS[[#This Row],[Frequency]],LS[[#This Row],[Investor ID]])</f>
        <v>12A00545</v>
      </c>
      <c r="I1483" s="75" t="str">
        <f>IF(LS[[#This Row],[B/S]]="B","BUY",(IF(LS[[#This Row],[B/S]]="S","SELL"," ")))</f>
        <v>SELL</v>
      </c>
      <c r="J1483" s="101" t="s">
        <v>1231</v>
      </c>
      <c r="K1483" s="102">
        <v>-70000</v>
      </c>
      <c r="L1483" s="99"/>
      <c r="M1483" s="103">
        <f>LS[[#This Row],[Amount]]/LS[[#This Row],[Unit]]</f>
        <v>14.124293785310735</v>
      </c>
      <c r="N1483" s="104">
        <f>LS[[#This Row],[Unit Capital]]/10</f>
        <v>-4956</v>
      </c>
      <c r="O1483" s="104">
        <f>SUMIFS(LS[[#Headers],[Unit]]:LS[[#This Row],[Unit]],LS[[#Headers],[Investor ID]]:LS[[#This Row],[Investor ID]],LS[[#This Row],[Investor ID]])</f>
        <v>728591</v>
      </c>
      <c r="P1483" s="102">
        <v>-49560</v>
      </c>
      <c r="Q1483" s="102">
        <f>LS[[#This Row],[Amount]]-LS[[#This Row],[Unit Capital]]</f>
        <v>-20440</v>
      </c>
      <c r="R148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11.828530588043645</v>
      </c>
      <c r="S1483" s="103">
        <f t="shared" si="44"/>
        <v>14.224</v>
      </c>
      <c r="T1483" s="102">
        <f>IF(LS[[#This Row],[B/S]]="B",0,ABS(LS[[#This Row],[Unit]])*(LS[[#This Row],[NAV (Strike Rate)]]-INDEX(LS[NAV at Cost (Average)],MATCH(CONCATENATE(LS[[#This Row],[Frequency]]-1,LS[[#This Row],[Investor ID]]),LS[Unique Code],0),)))</f>
        <v>11377.802405655701</v>
      </c>
      <c r="U1483" s="102" cm="1">
        <f t="array" ref="U1483">IF(LS[[#This Row],[B/S]]="S",ABS(LS[[#This Row],[Unit]])*(INDEX(LS[NAV at Cost (Average)],MATCH(CONCATENATE((LS[[#This Row],[Frequency]]-1),LS[[#This Row],[Investor ID]]),LS[Unique Code],0),0)),0)</f>
        <v>58622.197594344303</v>
      </c>
      <c r="V1483" s="102">
        <f>IF(LS[[#This Row],[BO TRANSFER]]="YES",LS[[#This Row],[Unit]],)</f>
        <v>0</v>
      </c>
      <c r="W1483" s="102">
        <f>SUMIFS(LS[[#Headers],[BO UNIT TRANSFER]]:LS[[#This Row],[BO UNIT TRANSFER]],LS[[#Headers],[Investor ID]]:LS[[#This Row],[Investor ID]],LS[[#This Row],[Investor ID]])</f>
        <v>0</v>
      </c>
    </row>
    <row r="1484" spans="1:23">
      <c r="A1484" s="101">
        <v>2026</v>
      </c>
      <c r="B1484" s="101">
        <v>3</v>
      </c>
      <c r="C1484" s="101">
        <v>8</v>
      </c>
      <c r="D1484" s="98">
        <f>DATE(LS[[#This Row],[Year]],LS[[#This Row],[Month]],LS[[#This Row],[Day]])</f>
        <v>46089</v>
      </c>
      <c r="E1484" s="99" t="str" cm="1">
        <f t="array" ref="E1484">INDEX(INVESTORS_LIST[INVESTOR NAME],MATCH(LS[[#This Row],[Investor ID]],INVESTORS_LIST[INVESTOR CODE],0),)</f>
        <v>SYEDUL TANVIR HOQUE PRIYAM</v>
      </c>
      <c r="F1484" s="100" t="s">
        <v>1424</v>
      </c>
      <c r="G1484" s="101">
        <f>COUNTIF(LS[[#Headers],[Investor ID]]:LS[[#This Row],[Investor ID]],LS[[#This Row],[Investor ID]])</f>
        <v>13</v>
      </c>
      <c r="H1484" s="101" t="str">
        <f>CONCATENATE(LS[[#This Row],[Frequency]],LS[[#This Row],[Investor ID]])</f>
        <v>13A00656</v>
      </c>
      <c r="I1484" s="75" t="str">
        <f>IF(LS[[#This Row],[B/S]]="B","BUY",(IF(LS[[#This Row],[B/S]]="S","SELL"," ")))</f>
        <v>SELL</v>
      </c>
      <c r="J1484" s="101" t="s">
        <v>1231</v>
      </c>
      <c r="K1484" s="102">
        <v>-9089.1299999999992</v>
      </c>
      <c r="L1484" s="99"/>
      <c r="M1484" s="103">
        <f>LS[[#This Row],[Amount]]/LS[[#This Row],[Unit]]</f>
        <v>14.135505443234836</v>
      </c>
      <c r="N1484" s="104">
        <f>LS[[#This Row],[Unit Capital]]/10</f>
        <v>-643</v>
      </c>
      <c r="O1484" s="104">
        <f>SUMIFS(LS[[#Headers],[Unit]]:LS[[#This Row],[Unit]],LS[[#Headers],[Investor ID]]:LS[[#This Row],[Investor ID]],LS[[#This Row],[Investor ID]])</f>
        <v>49558</v>
      </c>
      <c r="P1484" s="102">
        <v>-6430</v>
      </c>
      <c r="Q1484" s="102">
        <f>LS[[#This Row],[Amount]]-LS[[#This Row],[Unit Capital]]</f>
        <v>-2659.1299999999992</v>
      </c>
      <c r="R148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12.917989222706135</v>
      </c>
      <c r="S1484" s="103">
        <f t="shared" si="44"/>
        <v>14.224</v>
      </c>
      <c r="T1484" s="102">
        <f>IF(LS[[#This Row],[B/S]]="B",0,ABS(LS[[#This Row],[Unit]])*(LS[[#This Row],[NAV (Strike Rate)]]-INDEX(LS[NAV at Cost (Average)],MATCH(CONCATENATE(LS[[#This Row],[Frequency]]-1,LS[[#This Row],[Investor ID]]),LS[Unique Code],0),)))</f>
        <v>782.86292979995471</v>
      </c>
      <c r="U1484" s="102" cm="1">
        <f t="array" ref="U1484">IF(LS[[#This Row],[B/S]]="S",ABS(LS[[#This Row],[Unit]])*(INDEX(LS[NAV at Cost (Average)],MATCH(CONCATENATE((LS[[#This Row],[Frequency]]-1),LS[[#This Row],[Investor ID]]),LS[Unique Code],0),0)),0)</f>
        <v>8306.2670702000451</v>
      </c>
      <c r="V1484" s="102">
        <f>IF(LS[[#This Row],[BO TRANSFER]]="YES",LS[[#This Row],[Unit]],)</f>
        <v>0</v>
      </c>
      <c r="W1484" s="102">
        <f>SUMIFS(LS[[#Headers],[BO UNIT TRANSFER]]:LS[[#This Row],[BO UNIT TRANSFER]],LS[[#Headers],[Investor ID]]:LS[[#This Row],[Investor ID]],LS[[#This Row],[Investor ID]])</f>
        <v>0</v>
      </c>
    </row>
    <row r="1485" spans="1:23">
      <c r="A1485" s="101">
        <v>2026</v>
      </c>
      <c r="B1485" s="101">
        <v>3</v>
      </c>
      <c r="C1485" s="101">
        <v>8</v>
      </c>
      <c r="D1485" s="98">
        <f>DATE(LS[[#This Row],[Year]],LS[[#This Row],[Month]],LS[[#This Row],[Day]])</f>
        <v>46089</v>
      </c>
      <c r="E1485" s="99" t="str" cm="1">
        <f t="array" ref="E1485">INDEX(INVESTORS_LIST[INVESTOR NAME],MATCH(LS[[#This Row],[Investor ID]],INVESTORS_LIST[INVESTOR CODE],0),)</f>
        <v>AROOBA SAMEERA CHOWDHURY</v>
      </c>
      <c r="F1485" s="100" t="s">
        <v>1418</v>
      </c>
      <c r="G1485" s="101">
        <f>COUNTIF(LS[[#Headers],[Investor ID]]:LS[[#This Row],[Investor ID]],LS[[#This Row],[Investor ID]])</f>
        <v>8</v>
      </c>
      <c r="H1485" s="101" t="str">
        <f>CONCATENATE(LS[[#This Row],[Frequency]],LS[[#This Row],[Investor ID]])</f>
        <v>8A00653</v>
      </c>
      <c r="I1485" s="75" t="str">
        <f>IF(LS[[#This Row],[B/S]]="B","BUY",(IF(LS[[#This Row],[B/S]]="S","SELL"," ")))</f>
        <v>SELL</v>
      </c>
      <c r="J1485" s="101" t="s">
        <v>1231</v>
      </c>
      <c r="K1485" s="102">
        <v>-7000</v>
      </c>
      <c r="L1485" s="99"/>
      <c r="M1485" s="103">
        <f>LS[[#This Row],[Amount]]/LS[[#This Row],[Unit]]</f>
        <v>14.112903225806452</v>
      </c>
      <c r="N1485" s="104">
        <f>LS[[#This Row],[Unit Capital]]/10</f>
        <v>-496</v>
      </c>
      <c r="O1485" s="104">
        <f>SUMIFS(LS[[#Headers],[Unit]]:LS[[#This Row],[Unit]],LS[[#Headers],[Investor ID]]:LS[[#This Row],[Investor ID]],LS[[#This Row],[Investor ID]])</f>
        <v>74226</v>
      </c>
      <c r="P1485" s="102">
        <v>-4960</v>
      </c>
      <c r="Q1485" s="102">
        <f>LS[[#This Row],[Amount]]-LS[[#This Row],[Unit Capital]]</f>
        <v>-2040</v>
      </c>
      <c r="R148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12.853966091237451</v>
      </c>
      <c r="S1485" s="103">
        <f t="shared" si="44"/>
        <v>14.224</v>
      </c>
      <c r="T1485" s="102">
        <f>IF(LS[[#This Row],[B/S]]="B",0,ABS(LS[[#This Row],[Unit]])*(LS[[#This Row],[NAV (Strike Rate)]]-INDEX(LS[NAV at Cost (Average)],MATCH(CONCATENATE(LS[[#This Row],[Frequency]]-1,LS[[#This Row],[Investor ID]]),LS[Unique Code],0),)))</f>
        <v>624.43281874622437</v>
      </c>
      <c r="U1485" s="102" cm="1">
        <f t="array" ref="U1485">IF(LS[[#This Row],[B/S]]="S",ABS(LS[[#This Row],[Unit]])*(INDEX(LS[NAV at Cost (Average)],MATCH(CONCATENATE((LS[[#This Row],[Frequency]]-1),LS[[#This Row],[Investor ID]]),LS[Unique Code],0),0)),0)</f>
        <v>6375.5671812537757</v>
      </c>
      <c r="V1485" s="102">
        <f>IF(LS[[#This Row],[BO TRANSFER]]="YES",LS[[#This Row],[Unit]],)</f>
        <v>0</v>
      </c>
      <c r="W1485" s="102">
        <f>SUMIFS(LS[[#Headers],[BO UNIT TRANSFER]]:LS[[#This Row],[BO UNIT TRANSFER]],LS[[#Headers],[Investor ID]]:LS[[#This Row],[Investor ID]],LS[[#This Row],[Investor ID]])</f>
        <v>0</v>
      </c>
    </row>
    <row r="1486" spans="1:23">
      <c r="A1486" s="101">
        <v>2026</v>
      </c>
      <c r="B1486" s="101">
        <v>3</v>
      </c>
      <c r="C1486" s="101">
        <v>8</v>
      </c>
      <c r="D1486" s="98">
        <f>DATE(LS[[#This Row],[Year]],LS[[#This Row],[Month]],LS[[#This Row],[Day]])</f>
        <v>46089</v>
      </c>
      <c r="E1486" s="99" t="str" cm="1">
        <f t="array" ref="E1486">INDEX(INVESTORS_LIST[INVESTOR NAME],MATCH(LS[[#This Row],[Investor ID]],INVESTORS_LIST[INVESTOR CODE],0),)</f>
        <v>NASREEN BEGUM</v>
      </c>
      <c r="F1486" s="100" t="s">
        <v>1417</v>
      </c>
      <c r="G1486" s="101">
        <f>COUNTIF(LS[[#Headers],[Investor ID]]:LS[[#This Row],[Investor ID]],LS[[#This Row],[Investor ID]])</f>
        <v>8</v>
      </c>
      <c r="H1486" s="101" t="str">
        <f>CONCATENATE(LS[[#This Row],[Frequency]],LS[[#This Row],[Investor ID]])</f>
        <v>8A00652</v>
      </c>
      <c r="I1486" s="75" t="str">
        <f>IF(LS[[#This Row],[B/S]]="B","BUY",(IF(LS[[#This Row],[B/S]]="S","SELL"," ")))</f>
        <v>SELL</v>
      </c>
      <c r="J1486" s="101" t="s">
        <v>1231</v>
      </c>
      <c r="K1486" s="102">
        <v>-10000</v>
      </c>
      <c r="L1486" s="99"/>
      <c r="M1486" s="103">
        <f>LS[[#This Row],[Amount]]/LS[[#This Row],[Unit]]</f>
        <v>14.124293785310735</v>
      </c>
      <c r="N1486" s="104">
        <f>LS[[#This Row],[Unit Capital]]/10</f>
        <v>-708</v>
      </c>
      <c r="O1486" s="104">
        <f>SUMIFS(LS[[#Headers],[Unit]]:LS[[#This Row],[Unit]],LS[[#Headers],[Investor ID]]:LS[[#This Row],[Investor ID]],LS[[#This Row],[Investor ID]])</f>
        <v>109006</v>
      </c>
      <c r="P1486" s="102">
        <v>-7080</v>
      </c>
      <c r="Q1486" s="102">
        <f>LS[[#This Row],[Amount]]-LS[[#This Row],[Unit Capital]]</f>
        <v>-2920</v>
      </c>
      <c r="R148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12.854021166288188</v>
      </c>
      <c r="S1486" s="103">
        <f t="shared" si="44"/>
        <v>14.224</v>
      </c>
      <c r="T1486" s="102">
        <f>IF(LS[[#This Row],[B/S]]="B",0,ABS(LS[[#This Row],[Unit]])*(LS[[#This Row],[NAV (Strike Rate)]]-INDEX(LS[NAV at Cost (Average)],MATCH(CONCATENATE(LS[[#This Row],[Frequency]]-1,LS[[#This Row],[Investor ID]]),LS[Unique Code],0),)))</f>
        <v>899.35301426796343</v>
      </c>
      <c r="U1486" s="102" cm="1">
        <f t="array" ref="U1486">IF(LS[[#This Row],[B/S]]="S",ABS(LS[[#This Row],[Unit]])*(INDEX(LS[NAV at Cost (Average)],MATCH(CONCATENATE((LS[[#This Row],[Frequency]]-1),LS[[#This Row],[Investor ID]]),LS[Unique Code],0),0)),0)</f>
        <v>9100.6469857320371</v>
      </c>
      <c r="V1486" s="102">
        <f>IF(LS[[#This Row],[BO TRANSFER]]="YES",LS[[#This Row],[Unit]],)</f>
        <v>0</v>
      </c>
      <c r="W1486" s="102">
        <f>SUMIFS(LS[[#Headers],[BO UNIT TRANSFER]]:LS[[#This Row],[BO UNIT TRANSFER]],LS[[#Headers],[Investor ID]]:LS[[#This Row],[Investor ID]],LS[[#This Row],[Investor ID]])</f>
        <v>0</v>
      </c>
    </row>
    <row r="1487" spans="1:23">
      <c r="A1487" s="101">
        <v>2026</v>
      </c>
      <c r="B1487" s="101">
        <v>3</v>
      </c>
      <c r="C1487" s="101">
        <v>8</v>
      </c>
      <c r="D1487" s="98">
        <f>DATE(LS[[#This Row],[Year]],LS[[#This Row],[Month]],LS[[#This Row],[Day]])</f>
        <v>46089</v>
      </c>
      <c r="E1487" s="99" t="str" cm="1">
        <f t="array" ref="E1487">INDEX(INVESTORS_LIST[INVESTOR NAME],MATCH(LS[[#This Row],[Investor ID]],INVESTORS_LIST[INVESTOR CODE],0),)</f>
        <v>ISRAT JAHAN BRISTY</v>
      </c>
      <c r="F1487" s="100" t="s">
        <v>1552</v>
      </c>
      <c r="G1487" s="101">
        <f>COUNTIF(LS[[#Headers],[Investor ID]]:LS[[#This Row],[Investor ID]],LS[[#This Row],[Investor ID]])</f>
        <v>2</v>
      </c>
      <c r="H1487" s="101" t="str">
        <f>CONCATENATE(LS[[#This Row],[Frequency]],LS[[#This Row],[Investor ID]])</f>
        <v>2A00706</v>
      </c>
      <c r="I1487" s="75" t="str">
        <f>IF(LS[[#This Row],[B/S]]="B","BUY",(IF(LS[[#This Row],[B/S]]="S","SELL"," ")))</f>
        <v>SELL</v>
      </c>
      <c r="J1487" s="101" t="s">
        <v>1231</v>
      </c>
      <c r="K1487" s="102">
        <v>-8849.8799999999992</v>
      </c>
      <c r="L1487" s="99"/>
      <c r="M1487" s="103">
        <f>LS[[#This Row],[Amount]]/LS[[#This Row],[Unit]]</f>
        <v>14.114641148325358</v>
      </c>
      <c r="N1487" s="104">
        <f>LS[[#This Row],[Unit Capital]]/10</f>
        <v>-627</v>
      </c>
      <c r="O1487" s="104">
        <f>SUMIFS(LS[[#Headers],[Unit]]:LS[[#This Row],[Unit]],LS[[#Headers],[Investor ID]]:LS[[#This Row],[Investor ID]],LS[[#This Row],[Investor ID]])</f>
        <v>70796</v>
      </c>
      <c r="P1487" s="102">
        <v>-6270</v>
      </c>
      <c r="Q1487" s="102">
        <f>LS[[#This Row],[Amount]]-LS[[#This Row],[Unit Capital]]</f>
        <v>-2579.8799999999992</v>
      </c>
      <c r="R148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14.001092085182645</v>
      </c>
      <c r="S1487" s="103">
        <f t="shared" si="44"/>
        <v>14.224</v>
      </c>
      <c r="T1487" s="102">
        <f>IF(LS[[#This Row],[B/S]]="B",0,ABS(LS[[#This Row],[Unit]])*(LS[[#This Row],[NAV (Strike Rate)]]-INDEX(LS[NAV at Cost (Average)],MATCH(CONCATENATE(LS[[#This Row],[Frequency]]-1,LS[[#This Row],[Investor ID]]),LS[Unique Code],0),)))</f>
        <v>71.195262590481164</v>
      </c>
      <c r="U1487" s="102" cm="1">
        <f t="array" ref="U1487">IF(LS[[#This Row],[B/S]]="S",ABS(LS[[#This Row],[Unit]])*(INDEX(LS[NAV at Cost (Average)],MATCH(CONCATENATE((LS[[#This Row],[Frequency]]-1),LS[[#This Row],[Investor ID]]),LS[Unique Code],0),0)),0)</f>
        <v>8778.6847374095178</v>
      </c>
      <c r="V1487" s="102">
        <f>IF(LS[[#This Row],[BO TRANSFER]]="YES",LS[[#This Row],[Unit]],)</f>
        <v>0</v>
      </c>
      <c r="W1487" s="102">
        <f>SUMIFS(LS[[#Headers],[BO UNIT TRANSFER]]:LS[[#This Row],[BO UNIT TRANSFER]],LS[[#Headers],[Investor ID]]:LS[[#This Row],[Investor ID]],LS[[#This Row],[Investor ID]])</f>
        <v>0</v>
      </c>
    </row>
    <row r="1488" spans="1:23">
      <c r="A1488" s="101">
        <v>2026</v>
      </c>
      <c r="B1488" s="101">
        <v>3</v>
      </c>
      <c r="C1488" s="101">
        <v>8</v>
      </c>
      <c r="D1488" s="98">
        <f>DATE(LS[[#This Row],[Year]],LS[[#This Row],[Month]],LS[[#This Row],[Day]])</f>
        <v>46089</v>
      </c>
      <c r="E1488" s="99" t="str" cm="1">
        <f t="array" ref="E1488">INDEX(INVESTORS_LIST[INVESTOR NAME],MATCH(LS[[#This Row],[Investor ID]],INVESTORS_LIST[INVESTOR CODE],0),)</f>
        <v>MONOARA ALAM</v>
      </c>
      <c r="F1488" s="100" t="s">
        <v>1302</v>
      </c>
      <c r="G1488" s="101">
        <f>COUNTIF(LS[[#Headers],[Investor ID]]:LS[[#This Row],[Investor ID]],LS[[#This Row],[Investor ID]])</f>
        <v>12</v>
      </c>
      <c r="H1488" s="101" t="str">
        <f>CONCATENATE(LS[[#This Row],[Frequency]],LS[[#This Row],[Investor ID]])</f>
        <v>12A00598</v>
      </c>
      <c r="I1488" s="75" t="str">
        <f>IF(LS[[#This Row],[B/S]]="B","BUY",(IF(LS[[#This Row],[B/S]]="S","SELL"," ")))</f>
        <v>SELL</v>
      </c>
      <c r="J1488" s="101" t="s">
        <v>1231</v>
      </c>
      <c r="K1488" s="102">
        <v>-9089.1299999999992</v>
      </c>
      <c r="L1488" s="99"/>
      <c r="M1488" s="103">
        <f>LS[[#This Row],[Amount]]/LS[[#This Row],[Unit]]</f>
        <v>14.135505443234836</v>
      </c>
      <c r="N1488" s="104">
        <f>LS[[#This Row],[Unit Capital]]/10</f>
        <v>-643</v>
      </c>
      <c r="O1488" s="104">
        <f>SUMIFS(LS[[#Headers],[Unit]]:LS[[#This Row],[Unit]],LS[[#Headers],[Investor ID]]:LS[[#This Row],[Investor ID]],LS[[#This Row],[Investor ID]])</f>
        <v>49558</v>
      </c>
      <c r="P1488" s="102">
        <v>-6430</v>
      </c>
      <c r="Q1488" s="102">
        <f>LS[[#This Row],[Amount]]-LS[[#This Row],[Unit Capital]]</f>
        <v>-2659.1299999999992</v>
      </c>
      <c r="R148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12.30767614006381</v>
      </c>
      <c r="S1488" s="103">
        <f t="shared" si="44"/>
        <v>14.224</v>
      </c>
      <c r="T1488" s="102">
        <f>IF(LS[[#This Row],[B/S]]="B",0,ABS(LS[[#This Row],[Unit]])*(LS[[#This Row],[NAV (Strike Rate)]]-INDEX(LS[NAV at Cost (Average)],MATCH(CONCATENATE(LS[[#This Row],[Frequency]]-1,LS[[#This Row],[Investor ID]]),LS[Unique Code],0),)))</f>
        <v>1175.2942419389694</v>
      </c>
      <c r="U1488" s="102" cm="1">
        <f t="array" ref="U1488">IF(LS[[#This Row],[B/S]]="S",ABS(LS[[#This Row],[Unit]])*(INDEX(LS[NAV at Cost (Average)],MATCH(CONCATENATE((LS[[#This Row],[Frequency]]-1),LS[[#This Row],[Investor ID]]),LS[Unique Code],0),0)),0)</f>
        <v>7913.83575806103</v>
      </c>
      <c r="V1488" s="102">
        <f>IF(LS[[#This Row],[BO TRANSFER]]="YES",LS[[#This Row],[Unit]],)</f>
        <v>0</v>
      </c>
      <c r="W1488" s="102">
        <f>SUMIFS(LS[[#Headers],[BO UNIT TRANSFER]]:LS[[#This Row],[BO UNIT TRANSFER]],LS[[#Headers],[Investor ID]]:LS[[#This Row],[Investor ID]],LS[[#This Row],[Investor ID]])</f>
        <v>0</v>
      </c>
    </row>
    <row r="1489" spans="1:23">
      <c r="A1489" s="101">
        <v>2026</v>
      </c>
      <c r="B1489" s="101">
        <v>3</v>
      </c>
      <c r="C1489" s="101">
        <v>9</v>
      </c>
      <c r="D1489" s="98">
        <f>DATE(LS[[#This Row],[Year]],LS[[#This Row],[Month]],LS[[#This Row],[Day]])</f>
        <v>46090</v>
      </c>
      <c r="E1489" s="99" t="str" cm="1">
        <f t="array" ref="E1489">INDEX(INVESTORS_LIST[INVESTOR NAME],MATCH(LS[[#This Row],[Investor ID]],INVESTORS_LIST[INVESTOR CODE],0),)</f>
        <v>MOHAMMAD HASAN IMAM</v>
      </c>
      <c r="F1489" s="100" t="s">
        <v>1122</v>
      </c>
      <c r="G1489" s="101">
        <f>COUNTIF(LS[[#Headers],[Investor ID]]:LS[[#This Row],[Investor ID]],LS[[#This Row],[Investor ID]])</f>
        <v>3</v>
      </c>
      <c r="H1489" s="101" t="str">
        <f>CONCATENATE(LS[[#This Row],[Frequency]],LS[[#This Row],[Investor ID]])</f>
        <v>3A00536</v>
      </c>
      <c r="I1489" s="75" t="str">
        <f>IF(LS[[#This Row],[B/S]]="B","BUY",(IF(LS[[#This Row],[B/S]]="S","SELL"," ")))</f>
        <v>BUY</v>
      </c>
      <c r="J1489" s="101" t="s">
        <v>1229</v>
      </c>
      <c r="K1489" s="267">
        <v>1500000</v>
      </c>
      <c r="L1489" s="99"/>
      <c r="M1489" s="103">
        <f>LS[[#This Row],[Amount]]/LS[[#This Row],[Unit]]</f>
        <v>14.136939823759484</v>
      </c>
      <c r="N1489" s="104">
        <f>LS[[#This Row],[Unit Capital]]/10</f>
        <v>106105</v>
      </c>
      <c r="O1489" s="104">
        <f>SUMIFS(LS[[#Headers],[Unit]]:LS[[#This Row],[Unit]],LS[[#Headers],[Investor ID]]:LS[[#This Row],[Investor ID]],LS[[#This Row],[Investor ID]])</f>
        <v>115889</v>
      </c>
      <c r="P1489" s="102">
        <v>1061050</v>
      </c>
      <c r="Q1489" s="102">
        <f>LS[[#This Row],[Amount]]-LS[[#This Row],[Unit Capital]]</f>
        <v>438950</v>
      </c>
      <c r="R1489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13.978893596458681</v>
      </c>
      <c r="S1489" s="103">
        <f t="shared" ref="S1489:S1494" si="45">IFERROR(NAV_MKT,0)</f>
        <v>14.224</v>
      </c>
      <c r="T1489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89" s="102" cm="1">
        <f t="array" ref="U1489">IF(LS[[#This Row],[B/S]]="S",ABS(LS[[#This Row],[Unit]])*(INDEX(LS[NAV at Cost (Average)],MATCH(CONCATENATE((LS[[#This Row],[Frequency]]-1),LS[[#This Row],[Investor ID]]),LS[Unique Code],0),0)),0)</f>
        <v>0</v>
      </c>
      <c r="V1489" s="102">
        <f>IF(LS[[#This Row],[BO TRANSFER]]="YES",LS[[#This Row],[Unit]],)</f>
        <v>0</v>
      </c>
      <c r="W1489" s="102">
        <f>SUMIFS(LS[[#Headers],[BO UNIT TRANSFER]]:LS[[#This Row],[BO UNIT TRANSFER]],LS[[#Headers],[Investor ID]]:LS[[#This Row],[Investor ID]],LS[[#This Row],[Investor ID]])</f>
        <v>0</v>
      </c>
    </row>
    <row r="1490" spans="1:23">
      <c r="A1490" s="101">
        <v>2026</v>
      </c>
      <c r="B1490" s="101">
        <v>3</v>
      </c>
      <c r="C1490" s="101">
        <v>9</v>
      </c>
      <c r="D1490" s="98">
        <f>DATE(LS[[#This Row],[Year]],LS[[#This Row],[Month]],LS[[#This Row],[Day]])</f>
        <v>46090</v>
      </c>
      <c r="E1490" s="99" t="str" cm="1">
        <f t="array" ref="E1490">INDEX(INVESTORS_LIST[INVESTOR NAME],MATCH(LS[[#This Row],[Investor ID]],INVESTORS_LIST[INVESTOR CODE],0),)</f>
        <v>CHAONIKA SAHA</v>
      </c>
      <c r="F1490" s="100" t="s">
        <v>1575</v>
      </c>
      <c r="G1490" s="101">
        <f>COUNTIF(LS[[#Headers],[Investor ID]]:LS[[#This Row],[Investor ID]],LS[[#This Row],[Investor ID]])</f>
        <v>1</v>
      </c>
      <c r="H1490" s="101" t="str">
        <f>CONCATENATE(LS[[#This Row],[Frequency]],LS[[#This Row],[Investor ID]])</f>
        <v>1A00707</v>
      </c>
      <c r="I1490" s="75" t="str">
        <f>IF(LS[[#This Row],[B/S]]="B","BUY",(IF(LS[[#This Row],[B/S]]="S","SELL"," ")))</f>
        <v>BUY</v>
      </c>
      <c r="J1490" s="101" t="s">
        <v>1229</v>
      </c>
      <c r="K1490" s="102">
        <v>180000</v>
      </c>
      <c r="L1490" s="99"/>
      <c r="M1490" s="103">
        <f>LS[[#This Row],[Amount]]/LS[[#This Row],[Unit]]</f>
        <v>14.136495719783241</v>
      </c>
      <c r="N1490" s="104">
        <f>LS[[#This Row],[Unit Capital]]/10</f>
        <v>12733</v>
      </c>
      <c r="O1490" s="104">
        <f>SUMIFS(LS[[#Headers],[Unit]]:LS[[#This Row],[Unit]],LS[[#Headers],[Investor ID]]:LS[[#This Row],[Investor ID]],LS[[#This Row],[Investor ID]])</f>
        <v>12733</v>
      </c>
      <c r="P1490" s="102">
        <v>127330</v>
      </c>
      <c r="Q1490" s="102">
        <f>LS[[#This Row],[Amount]]-LS[[#This Row],[Unit Capital]]</f>
        <v>52670</v>
      </c>
      <c r="R149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14.136495719783241</v>
      </c>
      <c r="S1490" s="103">
        <f t="shared" si="45"/>
        <v>14.224</v>
      </c>
      <c r="T1490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0" s="102" cm="1">
        <f t="array" ref="U1490">IF(LS[[#This Row],[B/S]]="S",ABS(LS[[#This Row],[Unit]])*(INDEX(LS[NAV at Cost (Average)],MATCH(CONCATENATE((LS[[#This Row],[Frequency]]-1),LS[[#This Row],[Investor ID]]),LS[Unique Code],0),0)),0)</f>
        <v>0</v>
      </c>
      <c r="V1490" s="102">
        <f>IF(LS[[#This Row],[BO TRANSFER]]="YES",LS[[#This Row],[Unit]],)</f>
        <v>0</v>
      </c>
      <c r="W1490" s="102">
        <f>SUMIFS(LS[[#Headers],[BO UNIT TRANSFER]]:LS[[#This Row],[BO UNIT TRANSFER]],LS[[#Headers],[Investor ID]]:LS[[#This Row],[Investor ID]],LS[[#This Row],[Investor ID]])</f>
        <v>0</v>
      </c>
    </row>
    <row r="1491" spans="1:23">
      <c r="A1491" s="101">
        <v>2026</v>
      </c>
      <c r="B1491" s="101">
        <v>3</v>
      </c>
      <c r="C1491" s="101">
        <v>9</v>
      </c>
      <c r="D1491" s="98">
        <f>DATE(LS[[#This Row],[Year]],LS[[#This Row],[Month]],LS[[#This Row],[Day]])</f>
        <v>46090</v>
      </c>
      <c r="E1491" s="99" t="str" cm="1">
        <f t="array" ref="E1491">INDEX(INVESTORS_LIST[INVESTOR NAME],MATCH(LS[[#This Row],[Investor ID]],INVESTORS_LIST[INVESTOR CODE],0),)</f>
        <v>LILY RANI PAUL</v>
      </c>
      <c r="F1491" s="100" t="s">
        <v>214</v>
      </c>
      <c r="G1491" s="101">
        <f>COUNTIF(LS[[#Headers],[Investor ID]]:LS[[#This Row],[Investor ID]],LS[[#This Row],[Investor ID]])</f>
        <v>7</v>
      </c>
      <c r="H1491" s="101" t="str">
        <f>CONCATENATE(LS[[#This Row],[Frequency]],LS[[#This Row],[Investor ID]])</f>
        <v>7A00083</v>
      </c>
      <c r="I1491" s="75" t="str">
        <f>IF(LS[[#This Row],[B/S]]="B","BUY",(IF(LS[[#This Row],[B/S]]="S","SELL"," ")))</f>
        <v>SELL</v>
      </c>
      <c r="J1491" s="101" t="s">
        <v>1231</v>
      </c>
      <c r="K1491" s="102">
        <v>-300000</v>
      </c>
      <c r="L1491" s="99"/>
      <c r="M1491" s="103">
        <f>LS[[#This Row],[Amount]]/LS[[#This Row],[Unit]]</f>
        <v>14.136939823759484</v>
      </c>
      <c r="N1491" s="104">
        <f>LS[[#This Row],[Unit Capital]]/10</f>
        <v>-21221</v>
      </c>
      <c r="O1491" s="104">
        <f>SUMIFS(LS[[#Headers],[Unit]]:LS[[#This Row],[Unit]],LS[[#Headers],[Investor ID]]:LS[[#This Row],[Investor ID]],LS[[#This Row],[Investor ID]])</f>
        <v>36703</v>
      </c>
      <c r="P1491" s="102">
        <v>-212210</v>
      </c>
      <c r="Q1491" s="102">
        <f>LS[[#This Row],[Amount]]-LS[[#This Row],[Unit Capital]]</f>
        <v>-87790</v>
      </c>
      <c r="R149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10.461067099766666</v>
      </c>
      <c r="S1491" s="103">
        <f t="shared" si="45"/>
        <v>14.224</v>
      </c>
      <c r="T1491" s="102">
        <f>IF(LS[[#This Row],[B/S]]="B",0,ABS(LS[[#This Row],[Unit]])*(LS[[#This Row],[NAV (Strike Rate)]]-INDEX(LS[NAV at Cost (Average)],MATCH(CONCATENATE(LS[[#This Row],[Frequency]]-1,LS[[#This Row],[Investor ID]]),LS[Unique Code],0),)))</f>
        <v>78005.695075851589</v>
      </c>
      <c r="U1491" s="102" cm="1">
        <f t="array" ref="U1491">IF(LS[[#This Row],[B/S]]="S",ABS(LS[[#This Row],[Unit]])*(INDEX(LS[NAV at Cost (Average)],MATCH(CONCATENATE((LS[[#This Row],[Frequency]]-1),LS[[#This Row],[Investor ID]]),LS[Unique Code],0),0)),0)</f>
        <v>221994.30492414843</v>
      </c>
      <c r="V1491" s="102">
        <f>IF(LS[[#This Row],[BO TRANSFER]]="YES",LS[[#This Row],[Unit]],)</f>
        <v>0</v>
      </c>
      <c r="W1491" s="102">
        <f>SUMIFS(LS[[#Headers],[BO UNIT TRANSFER]]:LS[[#This Row],[BO UNIT TRANSFER]],LS[[#Headers],[Investor ID]]:LS[[#This Row],[Investor ID]],LS[[#This Row],[Investor ID]])</f>
        <v>0</v>
      </c>
    </row>
    <row r="1492" spans="1:23">
      <c r="A1492" s="101">
        <v>2026</v>
      </c>
      <c r="B1492" s="101">
        <v>3</v>
      </c>
      <c r="C1492" s="101">
        <v>10</v>
      </c>
      <c r="D1492" s="98">
        <f>DATE(LS[[#This Row],[Year]],LS[[#This Row],[Month]],LS[[#This Row],[Day]])</f>
        <v>46091</v>
      </c>
      <c r="E1492" s="99" t="str" cm="1">
        <f t="array" ref="E1492">INDEX(INVESTORS_LIST[INVESTOR NAME],MATCH(LS[[#This Row],[Investor ID]],INVESTORS_LIST[INVESTOR CODE],0),)</f>
        <v>MOHAMMAD HASAN IMAM</v>
      </c>
      <c r="F1492" s="100" t="s">
        <v>1122</v>
      </c>
      <c r="G1492" s="101">
        <f>COUNTIF(LS[[#Headers],[Investor ID]]:LS[[#This Row],[Investor ID]],LS[[#This Row],[Investor ID]])</f>
        <v>4</v>
      </c>
      <c r="H1492" s="101" t="str">
        <f>CONCATENATE(LS[[#This Row],[Frequency]],LS[[#This Row],[Investor ID]])</f>
        <v>4A00536</v>
      </c>
      <c r="I1492" s="75" t="str">
        <f>IF(LS[[#This Row],[B/S]]="B","BUY",(IF(LS[[#This Row],[B/S]]="S","SELL"," ")))</f>
        <v>BUY</v>
      </c>
      <c r="J1492" s="101" t="s">
        <v>1229</v>
      </c>
      <c r="K1492" s="102">
        <v>550000</v>
      </c>
      <c r="L1492" s="99"/>
      <c r="M1492" s="103">
        <f>LS[[#This Row],[Amount]]/LS[[#This Row],[Unit]]</f>
        <v>14.142089429430973</v>
      </c>
      <c r="N1492" s="104">
        <f>LS[[#This Row],[Unit Capital]]/10</f>
        <v>38891</v>
      </c>
      <c r="O1492" s="104">
        <f>SUMIFS(LS[[#Headers],[Unit]]:LS[[#This Row],[Unit]],LS[[#Headers],[Investor ID]]:LS[[#This Row],[Investor ID]],LS[[#This Row],[Investor ID]])</f>
        <v>154780</v>
      </c>
      <c r="P1492" s="102">
        <v>388910</v>
      </c>
      <c r="Q1492" s="102">
        <f>LS[[#This Row],[Amount]]-LS[[#This Row],[Unit Capital]]</f>
        <v>161090</v>
      </c>
      <c r="R149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14.01989921178447</v>
      </c>
      <c r="S1492" s="103">
        <f t="shared" si="45"/>
        <v>14.224</v>
      </c>
      <c r="T149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2" s="102" cm="1">
        <f t="array" ref="U1492">IF(LS[[#This Row],[B/S]]="S",ABS(LS[[#This Row],[Unit]])*(INDEX(LS[NAV at Cost (Average)],MATCH(CONCATENATE((LS[[#This Row],[Frequency]]-1),LS[[#This Row],[Investor ID]]),LS[Unique Code],0),0)),0)</f>
        <v>0</v>
      </c>
      <c r="V1492" s="102">
        <f>IF(LS[[#This Row],[BO TRANSFER]]="YES",LS[[#This Row],[Unit]],)</f>
        <v>0</v>
      </c>
      <c r="W1492" s="102">
        <f>SUMIFS(LS[[#Headers],[BO UNIT TRANSFER]]:LS[[#This Row],[BO UNIT TRANSFER]],LS[[#Headers],[Investor ID]]:LS[[#This Row],[Investor ID]],LS[[#This Row],[Investor ID]])</f>
        <v>0</v>
      </c>
    </row>
    <row r="1493" spans="1:23">
      <c r="A1493" s="101">
        <v>2026</v>
      </c>
      <c r="B1493" s="101">
        <v>3</v>
      </c>
      <c r="C1493" s="101">
        <v>10</v>
      </c>
      <c r="D1493" s="98">
        <f>DATE(LS[[#This Row],[Year]],LS[[#This Row],[Month]],LS[[#This Row],[Day]])</f>
        <v>46091</v>
      </c>
      <c r="E1493" s="99" t="str" cm="1">
        <f t="array" ref="E1493">INDEX(INVESTORS_LIST[INVESTOR NAME],MATCH(LS[[#This Row],[Investor ID]],INVESTORS_LIST[INVESTOR CODE],0),)</f>
        <v>MOHSIN REZA</v>
      </c>
      <c r="F1493" s="100" t="s">
        <v>1143</v>
      </c>
      <c r="G1493" s="101">
        <f>COUNTIF(LS[[#Headers],[Investor ID]]:LS[[#This Row],[Investor ID]],LS[[#This Row],[Investor ID]])</f>
        <v>4</v>
      </c>
      <c r="H1493" s="101" t="str">
        <f>CONCATENATE(LS[[#This Row],[Frequency]],LS[[#This Row],[Investor ID]])</f>
        <v>4A00547</v>
      </c>
      <c r="I1493" s="75" t="str">
        <f>IF(LS[[#This Row],[B/S]]="B","BUY",(IF(LS[[#This Row],[B/S]]="S","SELL"," ")))</f>
        <v>SELL</v>
      </c>
      <c r="J1493" s="101" t="s">
        <v>1231</v>
      </c>
      <c r="K1493" s="102">
        <v>-542501.26</v>
      </c>
      <c r="L1493" s="99"/>
      <c r="M1493" s="103">
        <f>LS[[#This Row],[Amount]]/LS[[#This Row],[Unit]]</f>
        <v>14.141999947863717</v>
      </c>
      <c r="N1493" s="104">
        <f>LS[[#This Row],[Unit Capital]]/10</f>
        <v>-38361</v>
      </c>
      <c r="O1493" s="104">
        <f>SUMIFS(LS[[#Headers],[Unit]]:LS[[#This Row],[Unit]],LS[[#Headers],[Investor ID]]:LS[[#This Row],[Investor ID]],LS[[#This Row],[Investor ID]])</f>
        <v>0</v>
      </c>
      <c r="P1493" s="102">
        <v>-383610</v>
      </c>
      <c r="Q1493" s="102">
        <f>LS[[#This Row],[Amount]]-LS[[#This Row],[Unit Capital]]</f>
        <v>-158891.26</v>
      </c>
      <c r="R149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93" s="103">
        <f t="shared" si="45"/>
        <v>14.224</v>
      </c>
      <c r="T1493" s="102">
        <f>IF(LS[[#This Row],[B/S]]="B",0,ABS(LS[[#This Row],[Unit]])*(LS[[#This Row],[NAV (Strike Rate)]]-INDEX(LS[NAV at Cost (Average)],MATCH(CONCATENATE(LS[[#This Row],[Frequency]]-1,LS[[#This Row],[Investor ID]]),LS[Unique Code],0),)))</f>
        <v>107972.54095619671</v>
      </c>
      <c r="U1493" s="102" cm="1">
        <f t="array" ref="U1493">IF(LS[[#This Row],[B/S]]="S",ABS(LS[[#This Row],[Unit]])*(INDEX(LS[NAV at Cost (Average)],MATCH(CONCATENATE((LS[[#This Row],[Frequency]]-1),LS[[#This Row],[Investor ID]]),LS[Unique Code],0),0)),0)</f>
        <v>434528.71904380334</v>
      </c>
      <c r="V1493" s="102">
        <f>IF(LS[[#This Row],[BO TRANSFER]]="YES",LS[[#This Row],[Unit]],)</f>
        <v>0</v>
      </c>
      <c r="W1493" s="102">
        <f>SUMIFS(LS[[#Headers],[BO UNIT TRANSFER]]:LS[[#This Row],[BO UNIT TRANSFER]],LS[[#Headers],[Investor ID]]:LS[[#This Row],[Investor ID]],LS[[#This Row],[Investor ID]])</f>
        <v>0</v>
      </c>
    </row>
    <row r="1494" spans="1:23">
      <c r="A1494" s="101">
        <v>2026</v>
      </c>
      <c r="B1494" s="101">
        <v>3</v>
      </c>
      <c r="C1494" s="101">
        <v>11</v>
      </c>
      <c r="D1494" s="98">
        <f>DATE(LS[[#This Row],[Year]],LS[[#This Row],[Month]],LS[[#This Row],[Day]])</f>
        <v>46092</v>
      </c>
      <c r="E1494" s="99" t="str" cm="1">
        <f t="array" ref="E1494">INDEX(INVESTORS_LIST[INVESTOR NAME],MATCH(LS[[#This Row],[Investor ID]],INVESTORS_LIST[INVESTOR CODE],0),)</f>
        <v>SOURAV SAHA</v>
      </c>
      <c r="F1494" s="100" t="s">
        <v>1272</v>
      </c>
      <c r="G1494" s="101">
        <f>COUNTIF(LS[[#Headers],[Investor ID]]:LS[[#This Row],[Investor ID]],LS[[#This Row],[Investor ID]])</f>
        <v>16</v>
      </c>
      <c r="H1494" s="101" t="str">
        <f>CONCATENATE(LS[[#This Row],[Frequency]],LS[[#This Row],[Investor ID]])</f>
        <v>16A00583</v>
      </c>
      <c r="I1494" s="75" t="str">
        <f>IF(LS[[#This Row],[B/S]]="B","BUY",(IF(LS[[#This Row],[B/S]]="S","SELL"," ")))</f>
        <v>BUY</v>
      </c>
      <c r="J1494" s="101" t="s">
        <v>1229</v>
      </c>
      <c r="K1494" s="102">
        <v>500000</v>
      </c>
      <c r="L1494" s="99"/>
      <c r="M1494" s="103">
        <f>LS[[#This Row],[Amount]]/LS[[#This Row],[Unit]]</f>
        <v>14.147072970602382</v>
      </c>
      <c r="N1494" s="104">
        <f>LS[[#This Row],[Unit Capital]]/10</f>
        <v>35343</v>
      </c>
      <c r="O1494" s="104">
        <f>SUMIFS(LS[[#Headers],[Unit]]:LS[[#This Row],[Unit]],LS[[#Headers],[Investor ID]]:LS[[#This Row],[Investor ID]],LS[[#This Row],[Investor ID]])</f>
        <v>62716</v>
      </c>
      <c r="P1494" s="102">
        <v>353430</v>
      </c>
      <c r="Q1494" s="102">
        <f>LS[[#This Row],[Amount]]-LS[[#This Row],[Unit Capital]]</f>
        <v>146570</v>
      </c>
      <c r="R149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13.208773487958767</v>
      </c>
      <c r="S1494" s="103">
        <f t="shared" si="45"/>
        <v>14.224</v>
      </c>
      <c r="T149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4" s="102" cm="1">
        <f t="array" ref="U1494">IF(LS[[#This Row],[B/S]]="S",ABS(LS[[#This Row],[Unit]])*(INDEX(LS[NAV at Cost (Average)],MATCH(CONCATENATE((LS[[#This Row],[Frequency]]-1),LS[[#This Row],[Investor ID]]),LS[Unique Code],0),0)),0)</f>
        <v>0</v>
      </c>
      <c r="V1494" s="102">
        <f>IF(LS[[#This Row],[BO TRANSFER]]="YES",LS[[#This Row],[Unit]],)</f>
        <v>0</v>
      </c>
      <c r="W1494" s="102">
        <f>SUMIFS(LS[[#Headers],[BO UNIT TRANSFER]]:LS[[#This Row],[BO UNIT TRANSFER]],LS[[#Headers],[Investor ID]]:LS[[#This Row],[Investor ID]],LS[[#This Row],[Investor ID]])</f>
        <v>0</v>
      </c>
    </row>
    <row r="1495" spans="1:23">
      <c r="A1495" s="101">
        <v>2026</v>
      </c>
      <c r="B1495" s="101">
        <v>3</v>
      </c>
      <c r="C1495" s="101">
        <v>12</v>
      </c>
      <c r="D1495" s="98">
        <f>DATE(LS[[#This Row],[Year]],LS[[#This Row],[Month]],LS[[#This Row],[Day]])</f>
        <v>46093</v>
      </c>
      <c r="E1495" s="99" t="str" cm="1">
        <f t="array" ref="E1495">INDEX(INVESTORS_LIST[INVESTOR NAME],MATCH(LS[[#This Row],[Investor ID]],INVESTORS_LIST[INVESTOR CODE],0),)</f>
        <v>KHAN MUHAMMAD KAWSER AHMED</v>
      </c>
      <c r="F1495" s="100" t="s">
        <v>944</v>
      </c>
      <c r="G1495" s="101">
        <f>COUNTIF(LS[[#Headers],[Investor ID]]:LS[[#This Row],[Investor ID]],LS[[#This Row],[Investor ID]])</f>
        <v>51</v>
      </c>
      <c r="H1495" s="101" t="str">
        <f>CONCATENATE(LS[[#This Row],[Frequency]],LS[[#This Row],[Investor ID]])</f>
        <v>51A00449</v>
      </c>
      <c r="I1495" s="75" t="str">
        <f>IF(LS[[#This Row],[B/S]]="B","BUY",(IF(LS[[#This Row],[B/S]]="S","SELL"," ")))</f>
        <v>SELL</v>
      </c>
      <c r="J1495" s="101" t="s">
        <v>1231</v>
      </c>
      <c r="K1495" s="102">
        <v>-200000</v>
      </c>
      <c r="L1495" s="99"/>
      <c r="M1495" s="103">
        <f>LS[[#This Row],[Amount]]/LS[[#This Row],[Unit]]</f>
        <v>14.153280022645248</v>
      </c>
      <c r="N1495" s="104">
        <f>LS[[#This Row],[Unit Capital]]/10</f>
        <v>-14131</v>
      </c>
      <c r="O1495" s="104">
        <f>SUMIFS(LS[[#Headers],[Unit]]:LS[[#This Row],[Unit]],LS[[#Headers],[Investor ID]]:LS[[#This Row],[Investor ID]],LS[[#This Row],[Investor ID]])</f>
        <v>6085805</v>
      </c>
      <c r="P1495" s="102">
        <v>-141310</v>
      </c>
      <c r="Q1495" s="102">
        <f>LS[[#This Row],[Amount]]-LS[[#This Row],[Unit Capital]]</f>
        <v>-58690</v>
      </c>
      <c r="R1495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12.384153562995779</v>
      </c>
      <c r="S1495" s="103">
        <f t="shared" ref="S1495:S1500" si="46">IFERROR(NAV_MKT,0)</f>
        <v>14.224</v>
      </c>
      <c r="T1495" s="102">
        <f>IF(LS[[#This Row],[B/S]]="B",0,ABS(LS[[#This Row],[Unit]])*(LS[[#This Row],[NAV (Strike Rate)]]-INDEX(LS[NAV at Cost (Average)],MATCH(CONCATENATE(LS[[#This Row],[Frequency]]-1,LS[[#This Row],[Investor ID]]),LS[Unique Code],0),)))</f>
        <v>24999.526001306644</v>
      </c>
      <c r="U1495" s="102" cm="1">
        <f t="array" ref="U1495">IF(LS[[#This Row],[B/S]]="S",ABS(LS[[#This Row],[Unit]])*(INDEX(LS[NAV at Cost (Average)],MATCH(CONCATENATE((LS[[#This Row],[Frequency]]-1),LS[[#This Row],[Investor ID]]),LS[Unique Code],0),0)),0)</f>
        <v>175000.47399869337</v>
      </c>
      <c r="V1495" s="102">
        <f>IF(LS[[#This Row],[BO TRANSFER]]="YES",LS[[#This Row],[Unit]],)</f>
        <v>0</v>
      </c>
      <c r="W1495" s="102">
        <f>SUMIFS(LS[[#Headers],[BO UNIT TRANSFER]]:LS[[#This Row],[BO UNIT TRANSFER]],LS[[#Headers],[Investor ID]]:LS[[#This Row],[Investor ID]],LS[[#This Row],[Investor ID]])</f>
        <v>0</v>
      </c>
    </row>
    <row r="1496" spans="1:23">
      <c r="A1496" s="101">
        <v>2026</v>
      </c>
      <c r="B1496" s="101">
        <v>3</v>
      </c>
      <c r="C1496" s="101">
        <v>12</v>
      </c>
      <c r="D1496" s="98">
        <f>DATE(LS[[#This Row],[Year]],LS[[#This Row],[Month]],LS[[#This Row],[Day]])</f>
        <v>46093</v>
      </c>
      <c r="E1496" s="99" t="str" cm="1">
        <f t="array" ref="E1496">INDEX(INVESTORS_LIST[INVESTOR NAME],MATCH(LS[[#This Row],[Investor ID]],INVESTORS_LIST[INVESTOR CODE],0),)</f>
        <v>MD. ASIFUL HUQ</v>
      </c>
      <c r="F1496" s="100" t="s">
        <v>1354</v>
      </c>
      <c r="G1496" s="101">
        <f>COUNTIF(LS[[#Headers],[Investor ID]]:LS[[#This Row],[Investor ID]],LS[[#This Row],[Investor ID]])</f>
        <v>3</v>
      </c>
      <c r="H1496" s="101" t="str">
        <f>CONCATENATE(LS[[#This Row],[Frequency]],LS[[#This Row],[Investor ID]])</f>
        <v>3A00623</v>
      </c>
      <c r="I1496" s="75" t="str">
        <f>IF(LS[[#This Row],[B/S]]="B","BUY",(IF(LS[[#This Row],[B/S]]="S","SELL"," ")))</f>
        <v>SELL</v>
      </c>
      <c r="J1496" s="101" t="s">
        <v>1231</v>
      </c>
      <c r="K1496" s="102">
        <v>-341101.45</v>
      </c>
      <c r="L1496" s="99"/>
      <c r="M1496" s="103">
        <f>LS[[#This Row],[Amount]]/LS[[#This Row],[Unit]]</f>
        <v>14.152999875523838</v>
      </c>
      <c r="N1496" s="104">
        <f>LS[[#This Row],[Unit Capital]]/10</f>
        <v>-24101</v>
      </c>
      <c r="O1496" s="104">
        <f>SUMIFS(LS[[#Headers],[Unit]]:LS[[#This Row],[Unit]],LS[[#Headers],[Investor ID]]:LS[[#This Row],[Investor ID]],LS[[#This Row],[Investor ID]])</f>
        <v>0</v>
      </c>
      <c r="P1496" s="102">
        <v>-241010</v>
      </c>
      <c r="Q1496" s="102">
        <f>LS[[#This Row],[Amount]]-LS[[#This Row],[Unit Capital]]</f>
        <v>-100091.45000000001</v>
      </c>
      <c r="R1496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496" s="103">
        <f t="shared" si="46"/>
        <v>14.224</v>
      </c>
      <c r="T1496" s="102">
        <f>IF(LS[[#This Row],[B/S]]="B",0,ABS(LS[[#This Row],[Unit]])*(LS[[#This Row],[NAV (Strike Rate)]]-INDEX(LS[NAV at Cost (Average)],MATCH(CONCATENATE(LS[[#This Row],[Frequency]]-1,LS[[#This Row],[Investor ID]]),LS[Unique Code],0),)))</f>
        <v>38344.085512844686</v>
      </c>
      <c r="U1496" s="102" cm="1">
        <f t="array" ref="U1496">IF(LS[[#This Row],[B/S]]="S",ABS(LS[[#This Row],[Unit]])*(INDEX(LS[NAV at Cost (Average)],MATCH(CONCATENATE((LS[[#This Row],[Frequency]]-1),LS[[#This Row],[Investor ID]]),LS[Unique Code],0),0)),0)</f>
        <v>302757.36448715534</v>
      </c>
      <c r="V1496" s="102">
        <f>IF(LS[[#This Row],[BO TRANSFER]]="YES",LS[[#This Row],[Unit]],)</f>
        <v>0</v>
      </c>
      <c r="W1496" s="102">
        <f>SUMIFS(LS[[#Headers],[BO UNIT TRANSFER]]:LS[[#This Row],[BO UNIT TRANSFER]],LS[[#Headers],[Investor ID]]:LS[[#This Row],[Investor ID]],LS[[#This Row],[Investor ID]])</f>
        <v>0</v>
      </c>
    </row>
    <row r="1497" spans="1:23">
      <c r="A1497" s="101">
        <v>2026</v>
      </c>
      <c r="B1497" s="101">
        <v>3</v>
      </c>
      <c r="C1497" s="101">
        <v>12</v>
      </c>
      <c r="D1497" s="98">
        <f>DATE(LS[[#This Row],[Year]],LS[[#This Row],[Month]],LS[[#This Row],[Day]])</f>
        <v>46093</v>
      </c>
      <c r="E1497" s="99" t="str" cm="1">
        <f t="array" ref="E1497">INDEX(INVESTORS_LIST[INVESTOR NAME],MATCH(LS[[#This Row],[Investor ID]],INVESTORS_LIST[INVESTOR CODE],0),)</f>
        <v>ANINDITA SAHA</v>
      </c>
      <c r="F1497" s="100" t="s">
        <v>1141</v>
      </c>
      <c r="G1497" s="101">
        <f>COUNTIF(LS[[#Headers],[Investor ID]]:LS[[#This Row],[Investor ID]],LS[[#This Row],[Investor ID]])</f>
        <v>3</v>
      </c>
      <c r="H1497" s="101" t="str">
        <f>CONCATENATE(LS[[#This Row],[Frequency]],LS[[#This Row],[Investor ID]])</f>
        <v>3A00546</v>
      </c>
      <c r="I1497" s="75" t="str">
        <f>IF(LS[[#This Row],[B/S]]="B","BUY",(IF(LS[[#This Row],[B/S]]="S","SELL"," ")))</f>
        <v>BUY</v>
      </c>
      <c r="J1497" s="101" t="s">
        <v>1229</v>
      </c>
      <c r="K1497" s="102">
        <v>630000</v>
      </c>
      <c r="L1497" s="99"/>
      <c r="M1497" s="103">
        <f>LS[[#This Row],[Amount]]/LS[[#This Row],[Unit]]</f>
        <v>14.152850788515973</v>
      </c>
      <c r="N1497" s="104">
        <f>LS[[#This Row],[Unit Capital]]/10</f>
        <v>44514</v>
      </c>
      <c r="O1497" s="104">
        <f>SUMIFS(LS[[#Headers],[Unit]]:LS[[#This Row],[Unit]],LS[[#Headers],[Investor ID]]:LS[[#This Row],[Investor ID]],LS[[#This Row],[Investor ID]])</f>
        <v>108396</v>
      </c>
      <c r="P1497" s="102">
        <v>445140</v>
      </c>
      <c r="Q1497" s="102">
        <f>LS[[#This Row],[Amount]]-LS[[#This Row],[Unit Capital]]</f>
        <v>184860</v>
      </c>
      <c r="R149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12.326576168155002</v>
      </c>
      <c r="S1497" s="103">
        <f t="shared" si="46"/>
        <v>14.224</v>
      </c>
      <c r="T149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7" s="102" cm="1">
        <f t="array" ref="U1497">IF(LS[[#This Row],[B/S]]="S",ABS(LS[[#This Row],[Unit]])*(INDEX(LS[NAV at Cost (Average)],MATCH(CONCATENATE((LS[[#This Row],[Frequency]]-1),LS[[#This Row],[Investor ID]]),LS[Unique Code],0),0)),0)</f>
        <v>0</v>
      </c>
      <c r="V1497" s="102">
        <f>IF(LS[[#This Row],[BO TRANSFER]]="YES",LS[[#This Row],[Unit]],)</f>
        <v>0</v>
      </c>
      <c r="W1497" s="102">
        <f>SUMIFS(LS[[#Headers],[BO UNIT TRANSFER]]:LS[[#This Row],[BO UNIT TRANSFER]],LS[[#Headers],[Investor ID]]:LS[[#This Row],[Investor ID]],LS[[#This Row],[Investor ID]])</f>
        <v>0</v>
      </c>
    </row>
    <row r="1498" spans="1:23">
      <c r="A1498" s="101">
        <v>2026</v>
      </c>
      <c r="B1498" s="101">
        <v>3</v>
      </c>
      <c r="C1498" s="101">
        <v>12</v>
      </c>
      <c r="D1498" s="98">
        <f>DATE(LS[[#This Row],[Year]],LS[[#This Row],[Month]],LS[[#This Row],[Day]])</f>
        <v>46093</v>
      </c>
      <c r="E1498" s="99" t="str" cm="1">
        <f t="array" ref="E1498">INDEX(INVESTORS_LIST[INVESTOR NAME],MATCH(LS[[#This Row],[Investor ID]],INVESTORS_LIST[INVESTOR CODE],0),)</f>
        <v>SHANTA MONI SAHA</v>
      </c>
      <c r="F1498" s="100" t="s">
        <v>1455</v>
      </c>
      <c r="G1498" s="101">
        <f>COUNTIF(LS[[#Headers],[Investor ID]]:LS[[#This Row],[Investor ID]],LS[[#This Row],[Investor ID]])</f>
        <v>1</v>
      </c>
      <c r="H1498" s="101" t="str">
        <f>CONCATENATE(LS[[#This Row],[Frequency]],LS[[#This Row],[Investor ID]])</f>
        <v>1A00671</v>
      </c>
      <c r="I1498" s="75" t="str">
        <f>IF(LS[[#This Row],[B/S]]="B","BUY",(IF(LS[[#This Row],[B/S]]="S","SELL"," ")))</f>
        <v>BUY</v>
      </c>
      <c r="J1498" s="101" t="s">
        <v>1229</v>
      </c>
      <c r="K1498" s="102">
        <v>95000</v>
      </c>
      <c r="L1498" s="99"/>
      <c r="M1498" s="103">
        <f>LS[[#This Row],[Amount]]/LS[[#This Row],[Unit]]</f>
        <v>14.153754469606675</v>
      </c>
      <c r="N1498" s="104">
        <f>LS[[#This Row],[Unit Capital]]/10</f>
        <v>6712</v>
      </c>
      <c r="O1498" s="104">
        <f>SUMIFS(LS[[#Headers],[Unit]]:LS[[#This Row],[Unit]],LS[[#Headers],[Investor ID]]:LS[[#This Row],[Investor ID]],LS[[#This Row],[Investor ID]])</f>
        <v>6712</v>
      </c>
      <c r="P1498" s="102">
        <v>67120</v>
      </c>
      <c r="Q1498" s="102">
        <f>LS[[#This Row],[Amount]]-LS[[#This Row],[Unit Capital]]</f>
        <v>27880</v>
      </c>
      <c r="R1498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14.153754469606675</v>
      </c>
      <c r="S1498" s="103">
        <f t="shared" si="46"/>
        <v>14.224</v>
      </c>
      <c r="T1498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8" s="102" cm="1">
        <f t="array" ref="U1498">IF(LS[[#This Row],[B/S]]="S",ABS(LS[[#This Row],[Unit]])*(INDEX(LS[NAV at Cost (Average)],MATCH(CONCATENATE((LS[[#This Row],[Frequency]]-1),LS[[#This Row],[Investor ID]]),LS[Unique Code],0),0)),0)</f>
        <v>0</v>
      </c>
      <c r="V1498" s="102">
        <f>IF(LS[[#This Row],[BO TRANSFER]]="YES",LS[[#This Row],[Unit]],)</f>
        <v>0</v>
      </c>
      <c r="W1498" s="102">
        <f>SUMIFS(LS[[#Headers],[BO UNIT TRANSFER]]:LS[[#This Row],[BO UNIT TRANSFER]],LS[[#Headers],[Investor ID]]:LS[[#This Row],[Investor ID]],LS[[#This Row],[Investor ID]])</f>
        <v>0</v>
      </c>
    </row>
    <row r="1499" spans="1:23">
      <c r="A1499" s="101">
        <v>2026</v>
      </c>
      <c r="B1499" s="101">
        <v>3</v>
      </c>
      <c r="C1499" s="101">
        <v>12</v>
      </c>
      <c r="D1499" s="295">
        <f>DATE(LS[[#This Row],[Year]],LS[[#This Row],[Month]],LS[[#This Row],[Day]])</f>
        <v>46093</v>
      </c>
      <c r="E1499" s="293" t="str" cm="1">
        <f t="array" ref="E1499">INDEX(INVESTORS_LIST[INVESTOR NAME],MATCH(LS[[#This Row],[Investor ID]],INVESTORS_LIST[INVESTOR CODE],0),)</f>
        <v>ARCHONA SAHA</v>
      </c>
      <c r="F1499" s="296" t="s">
        <v>872</v>
      </c>
      <c r="G1499" s="294">
        <f>COUNTIF(LS[[#Headers],[Investor ID]]:LS[[#This Row],[Investor ID]],LS[[#This Row],[Investor ID]])</f>
        <v>5</v>
      </c>
      <c r="H1499" s="294" t="str">
        <f>CONCATENATE(LS[[#This Row],[Frequency]],LS[[#This Row],[Investor ID]])</f>
        <v>5A00413</v>
      </c>
      <c r="I1499" s="75" t="str">
        <f>IF(LS[[#This Row],[B/S]]="B","BUY",(IF(LS[[#This Row],[B/S]]="S","SELL"," ")))</f>
        <v>BUY</v>
      </c>
      <c r="J1499" s="294" t="s">
        <v>1229</v>
      </c>
      <c r="K1499" s="291">
        <v>500000</v>
      </c>
      <c r="L1499" s="293"/>
      <c r="M1499" s="297">
        <f>LS[[#This Row],[Amount]]/LS[[#This Row],[Unit]]</f>
        <v>14.153079710144928</v>
      </c>
      <c r="N1499" s="292">
        <f>LS[[#This Row],[Unit Capital]]/10</f>
        <v>35328</v>
      </c>
      <c r="O1499" s="292">
        <f>SUMIFS(LS[[#Headers],[Unit]]:LS[[#This Row],[Unit]],LS[[#Headers],[Investor ID]]:LS[[#This Row],[Investor ID]],LS[[#This Row],[Investor ID]])</f>
        <v>35328</v>
      </c>
      <c r="P1499" s="291">
        <f>ROUND(LS[[#This Row],[Amount]]/14.153,0)*10</f>
        <v>353280</v>
      </c>
      <c r="Q1499" s="291">
        <f>LS[[#This Row],[Amount]]-LS[[#This Row],[Unit Capital]]</f>
        <v>146720</v>
      </c>
      <c r="R1499" s="29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14.153079710144928</v>
      </c>
      <c r="S1499" s="297">
        <f t="shared" si="46"/>
        <v>14.224</v>
      </c>
      <c r="T1499" s="291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499" s="291" cm="1">
        <f t="array" ref="U1499">IF(LS[[#This Row],[B/S]]="S",ABS(LS[[#This Row],[Unit]])*(INDEX(LS[NAV at Cost (Average)],MATCH(CONCATENATE((LS[[#This Row],[Frequency]]-1),LS[[#This Row],[Investor ID]]),LS[Unique Code],0),0)),0)</f>
        <v>0</v>
      </c>
      <c r="V1499" s="291">
        <f>IF(LS[[#This Row],[BO TRANSFER]]="YES",LS[[#This Row],[Unit]],)</f>
        <v>0</v>
      </c>
      <c r="W1499" s="291">
        <f>SUMIFS(LS[[#Headers],[BO UNIT TRANSFER]]:LS[[#This Row],[BO UNIT TRANSFER]],LS[[#Headers],[Investor ID]]:LS[[#This Row],[Investor ID]],LS[[#This Row],[Investor ID]])</f>
        <v>0</v>
      </c>
    </row>
    <row r="1500" spans="1:23">
      <c r="A1500" s="101">
        <v>2026</v>
      </c>
      <c r="B1500" s="101">
        <v>3</v>
      </c>
      <c r="C1500" s="101">
        <v>15</v>
      </c>
      <c r="D1500" s="98">
        <f>DATE(LS[[#This Row],[Year]],LS[[#This Row],[Month]],LS[[#This Row],[Day]])</f>
        <v>46096</v>
      </c>
      <c r="E1500" s="99" t="str" cm="1">
        <f t="array" ref="E1500">INDEX(INVESTORS_LIST[INVESTOR NAME],MATCH(LS[[#This Row],[Investor ID]],INVESTORS_LIST[INVESTOR CODE],0),)</f>
        <v>ZIA UDDIN</v>
      </c>
      <c r="F1500" s="100" t="s">
        <v>1445</v>
      </c>
      <c r="G1500" s="101">
        <f>COUNTIF(LS[[#Headers],[Investor ID]]:LS[[#This Row],[Investor ID]],LS[[#This Row],[Investor ID]])</f>
        <v>4</v>
      </c>
      <c r="H1500" s="101" t="str">
        <f>CONCATENATE(LS[[#This Row],[Frequency]],LS[[#This Row],[Investor ID]])</f>
        <v>4A00666</v>
      </c>
      <c r="I1500" s="75" t="str">
        <f>IF(LS[[#This Row],[B/S]]="B","BUY",(IF(LS[[#This Row],[B/S]]="S","SELL"," ")))</f>
        <v>SELL</v>
      </c>
      <c r="J1500" s="101" t="s">
        <v>1231</v>
      </c>
      <c r="K1500" s="102">
        <v>-5140.08</v>
      </c>
      <c r="L1500" s="99"/>
      <c r="M1500" s="103">
        <f>LS[[#This Row],[Amount]]/LS[[#This Row],[Unit]]</f>
        <v>14.16</v>
      </c>
      <c r="N1500" s="104">
        <f>LS[[#This Row],[Unit Capital]]/10</f>
        <v>-363</v>
      </c>
      <c r="O1500" s="104">
        <f>SUMIFS(LS[[#Headers],[Unit]]:LS[[#This Row],[Unit]],LS[[#Headers],[Investor ID]]:LS[[#This Row],[Investor ID]],LS[[#This Row],[Investor ID]])</f>
        <v>0</v>
      </c>
      <c r="P1500" s="291">
        <f>ROUND(LS[[#This Row],[Amount]]/14.16,0)*10</f>
        <v>-3630</v>
      </c>
      <c r="Q1500" s="102">
        <f>LS[[#This Row],[Amount]]-LS[[#This Row],[Unit Capital]]</f>
        <v>-1510.08</v>
      </c>
      <c r="R1500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500" s="103">
        <f t="shared" si="46"/>
        <v>14.224</v>
      </c>
      <c r="T1500" s="102">
        <f>IF(LS[[#This Row],[B/S]]="B",0,ABS(LS[[#This Row],[Unit]])*(LS[[#This Row],[NAV (Strike Rate)]]-INDEX(LS[NAV at Cost (Average)],MATCH(CONCATENATE(LS[[#This Row],[Frequency]]-1,LS[[#This Row],[Investor ID]]),LS[Unique Code],0),)))</f>
        <v>154.5353326786659</v>
      </c>
      <c r="U1500" s="102" cm="1">
        <f t="array" ref="U1500">IF(LS[[#This Row],[B/S]]="S",ABS(LS[[#This Row],[Unit]])*(INDEX(LS[NAV at Cost (Average)],MATCH(CONCATENATE((LS[[#This Row],[Frequency]]-1),LS[[#This Row],[Investor ID]]),LS[Unique Code],0),0)),0)</f>
        <v>4985.5446673213346</v>
      </c>
      <c r="V1500" s="102">
        <f>IF(LS[[#This Row],[BO TRANSFER]]="YES",LS[[#This Row],[Unit]],)</f>
        <v>0</v>
      </c>
      <c r="W1500" s="102">
        <f>SUMIFS(LS[[#Headers],[BO UNIT TRANSFER]]:LS[[#This Row],[BO UNIT TRANSFER]],LS[[#Headers],[Investor ID]]:LS[[#This Row],[Investor ID]],LS[[#This Row],[Investor ID]])</f>
        <v>0</v>
      </c>
    </row>
    <row r="1501" spans="1:23">
      <c r="A1501" s="101">
        <v>2026</v>
      </c>
      <c r="B1501" s="101">
        <v>3</v>
      </c>
      <c r="C1501" s="101">
        <v>15</v>
      </c>
      <c r="D1501" s="98">
        <f>DATE(LS[[#This Row],[Year]],LS[[#This Row],[Month]],LS[[#This Row],[Day]])</f>
        <v>46096</v>
      </c>
      <c r="E1501" s="99" t="str" cm="1">
        <f t="array" ref="E1501">INDEX(INVESTORS_LIST[INVESTOR NAME],MATCH(LS[[#This Row],[Investor ID]],INVESTORS_LIST[INVESTOR CODE],0),)</f>
        <v>AFRINA AKTER MISHU</v>
      </c>
      <c r="F1501" s="100" t="s">
        <v>1180</v>
      </c>
      <c r="G1501" s="101">
        <f>COUNTIF(LS[[#Headers],[Investor ID]]:LS[[#This Row],[Investor ID]],LS[[#This Row],[Investor ID]])</f>
        <v>3</v>
      </c>
      <c r="H1501" s="101" t="str">
        <f>CONCATENATE(LS[[#This Row],[Frequency]],LS[[#This Row],[Investor ID]])</f>
        <v>3A00566</v>
      </c>
      <c r="I1501" s="75" t="str">
        <f>IF(LS[[#This Row],[B/S]]="B","BUY",(IF(LS[[#This Row],[B/S]]="S","SELL"," ")))</f>
        <v>SELL</v>
      </c>
      <c r="J1501" s="101" t="s">
        <v>1231</v>
      </c>
      <c r="K1501" s="102">
        <v>-1865070.24</v>
      </c>
      <c r="L1501" s="99"/>
      <c r="M1501" s="103">
        <f>LS[[#This Row],[Amount]]/LS[[#This Row],[Unit]]</f>
        <v>14.16</v>
      </c>
      <c r="N1501" s="104">
        <f>LS[[#This Row],[Unit Capital]]/10</f>
        <v>-131714</v>
      </c>
      <c r="O1501" s="104">
        <f>SUMIFS(LS[[#Headers],[Unit]]:LS[[#This Row],[Unit]],LS[[#Headers],[Investor ID]]:LS[[#This Row],[Investor ID]],LS[[#This Row],[Investor ID]])</f>
        <v>0</v>
      </c>
      <c r="P1501" s="102">
        <v>-1317140</v>
      </c>
      <c r="Q1501" s="102">
        <f>LS[[#This Row],[Amount]]-LS[[#This Row],[Unit Capital]]</f>
        <v>-547930.24</v>
      </c>
      <c r="R1501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S1501" s="103">
        <f t="shared" ref="S1501:S1506" si="47">IFERROR(NAV_MKT,0)</f>
        <v>14.224</v>
      </c>
      <c r="T1501" s="102">
        <f>IF(LS[[#This Row],[B/S]]="B",0,ABS(LS[[#This Row],[Unit]])*(LS[[#This Row],[NAV (Strike Rate)]]-INDEX(LS[NAV at Cost (Average)],MATCH(CONCATENATE(LS[[#This Row],[Frequency]]-1,LS[[#This Row],[Investor ID]]),LS[Unique Code],0),)))</f>
        <v>365070.23999999982</v>
      </c>
      <c r="U1501" s="102" cm="1">
        <f t="array" ref="U1501">IF(LS[[#This Row],[B/S]]="S",ABS(LS[[#This Row],[Unit]])*(INDEX(LS[NAV at Cost (Average)],MATCH(CONCATENATE((LS[[#This Row],[Frequency]]-1),LS[[#This Row],[Investor ID]]),LS[Unique Code],0),0)),0)</f>
        <v>1500000.0000000002</v>
      </c>
      <c r="V1501" s="102">
        <f>IF(LS[[#This Row],[BO TRANSFER]]="YES",LS[[#This Row],[Unit]],)</f>
        <v>0</v>
      </c>
      <c r="W1501" s="102">
        <f>SUMIFS(LS[[#Headers],[BO UNIT TRANSFER]]:LS[[#This Row],[BO UNIT TRANSFER]],LS[[#Headers],[Investor ID]]:LS[[#This Row],[Investor ID]],LS[[#This Row],[Investor ID]])</f>
        <v>0</v>
      </c>
    </row>
    <row r="1502" spans="1:23">
      <c r="A1502" s="101">
        <v>2026</v>
      </c>
      <c r="B1502" s="101">
        <v>3</v>
      </c>
      <c r="C1502" s="101">
        <v>15</v>
      </c>
      <c r="D1502" s="98">
        <f>DATE(LS[[#This Row],[Year]],LS[[#This Row],[Month]],LS[[#This Row],[Day]])</f>
        <v>46096</v>
      </c>
      <c r="E1502" s="99" t="str" cm="1">
        <f t="array" ref="E1502">INDEX(INVESTORS_LIST[INVESTOR NAME],MATCH(LS[[#This Row],[Investor ID]],INVESTORS_LIST[INVESTOR CODE],0),)</f>
        <v>MOHAMMAD HUMAYAN RASHID</v>
      </c>
      <c r="F1502" s="100" t="s">
        <v>974</v>
      </c>
      <c r="G1502" s="101">
        <f>COUNTIF(LS[[#Headers],[Investor ID]]:LS[[#This Row],[Investor ID]],LS[[#This Row],[Investor ID]])</f>
        <v>8</v>
      </c>
      <c r="H1502" s="101" t="str">
        <f>CONCATENATE(LS[[#This Row],[Frequency]],LS[[#This Row],[Investor ID]])</f>
        <v>8A00464</v>
      </c>
      <c r="I1502" s="75" t="str">
        <f>IF(LS[[#This Row],[B/S]]="B","BUY",(IF(LS[[#This Row],[B/S]]="S","SELL"," ")))</f>
        <v>BUY</v>
      </c>
      <c r="J1502" s="101" t="s">
        <v>1229</v>
      </c>
      <c r="K1502" s="102">
        <v>1865070.24</v>
      </c>
      <c r="L1502" s="99"/>
      <c r="M1502" s="103">
        <f>LS[[#This Row],[Amount]]/LS[[#This Row],[Unit]]</f>
        <v>14.16</v>
      </c>
      <c r="N1502" s="104">
        <f>LS[[#This Row],[Unit Capital]]/10</f>
        <v>131714</v>
      </c>
      <c r="O1502" s="104">
        <f>SUMIFS(LS[[#Headers],[Unit]]:LS[[#This Row],[Unit]],LS[[#Headers],[Investor ID]]:LS[[#This Row],[Investor ID]],LS[[#This Row],[Investor ID]])</f>
        <v>902924</v>
      </c>
      <c r="P1502" s="102">
        <v>1317140</v>
      </c>
      <c r="Q1502" s="102">
        <f>LS[[#This Row],[Amount]]-LS[[#This Row],[Unit Capital]]</f>
        <v>547930.24</v>
      </c>
      <c r="R1502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10.925692793634902</v>
      </c>
      <c r="S1502" s="103">
        <f t="shared" si="47"/>
        <v>14.224</v>
      </c>
      <c r="T150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2" s="102" cm="1">
        <f t="array" ref="U1502">IF(LS[[#This Row],[B/S]]="S",ABS(LS[[#This Row],[Unit]])*(INDEX(LS[NAV at Cost (Average)],MATCH(CONCATENATE((LS[[#This Row],[Frequency]]-1),LS[[#This Row],[Investor ID]]),LS[Unique Code],0),0)),0)</f>
        <v>0</v>
      </c>
      <c r="V1502" s="102">
        <f>IF(LS[[#This Row],[BO TRANSFER]]="YES",LS[[#This Row],[Unit]],)</f>
        <v>0</v>
      </c>
      <c r="W1502" s="102">
        <f>SUMIFS(LS[[#Headers],[BO UNIT TRANSFER]]:LS[[#This Row],[BO UNIT TRANSFER]],LS[[#Headers],[Investor ID]]:LS[[#This Row],[Investor ID]],LS[[#This Row],[Investor ID]])</f>
        <v>0</v>
      </c>
    </row>
    <row r="1503" spans="1:23">
      <c r="A1503" s="101">
        <v>2026</v>
      </c>
      <c r="B1503" s="101">
        <v>3</v>
      </c>
      <c r="C1503" s="101">
        <v>15</v>
      </c>
      <c r="D1503" s="98">
        <f>DATE(LS[[#This Row],[Year]],LS[[#This Row],[Month]],LS[[#This Row],[Day]])</f>
        <v>46096</v>
      </c>
      <c r="E1503" s="99" t="str" cm="1">
        <f t="array" ref="E1503">INDEX(INVESTORS_LIST[INVESTOR NAME],MATCH(LS[[#This Row],[Investor ID]],INVESTORS_LIST[INVESTOR CODE],0),)</f>
        <v>MD. ASIFUL HUQ</v>
      </c>
      <c r="F1503" s="100" t="s">
        <v>1354</v>
      </c>
      <c r="G1503" s="101">
        <f>COUNTIF(LS[[#Headers],[Investor ID]]:LS[[#This Row],[Investor ID]],LS[[#This Row],[Investor ID]])</f>
        <v>4</v>
      </c>
      <c r="H1503" s="101" t="str">
        <f>CONCATENATE(LS[[#This Row],[Frequency]],LS[[#This Row],[Investor ID]])</f>
        <v>4A00623</v>
      </c>
      <c r="I1503" s="75" t="str">
        <f>IF(LS[[#This Row],[B/S]]="B","BUY",(IF(LS[[#This Row],[B/S]]="S","SELL"," ")))</f>
        <v>BUY</v>
      </c>
      <c r="J1503" s="101" t="s">
        <v>1229</v>
      </c>
      <c r="K1503" s="102">
        <v>500000</v>
      </c>
      <c r="L1503" s="99"/>
      <c r="M1503" s="103">
        <f>LS[[#This Row],[Amount]]/LS[[#This Row],[Unit]]</f>
        <v>14.159893517600748</v>
      </c>
      <c r="N1503" s="104">
        <f>LS[[#This Row],[Unit Capital]]/10</f>
        <v>35311</v>
      </c>
      <c r="O1503" s="104">
        <f>SUMIFS(LS[[#Headers],[Unit]]:LS[[#This Row],[Unit]],LS[[#Headers],[Investor ID]]:LS[[#This Row],[Investor ID]],LS[[#This Row],[Investor ID]])</f>
        <v>35311</v>
      </c>
      <c r="P1503" s="102">
        <f>ROUND(LS[[#This Row],[Amount]]/14.16,0)*10</f>
        <v>353110</v>
      </c>
      <c r="Q1503" s="102">
        <f>LS[[#This Row],[Amount]]-LS[[#This Row],[Unit Capital]]</f>
        <v>146890</v>
      </c>
      <c r="R1503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14.159893517600748</v>
      </c>
      <c r="S1503" s="103">
        <f t="shared" si="47"/>
        <v>14.224</v>
      </c>
      <c r="T1503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3" s="102" cm="1">
        <f t="array" ref="U1503">IF(LS[[#This Row],[B/S]]="S",ABS(LS[[#This Row],[Unit]])*(INDEX(LS[NAV at Cost (Average)],MATCH(CONCATENATE((LS[[#This Row],[Frequency]]-1),LS[[#This Row],[Investor ID]]),LS[Unique Code],0),0)),0)</f>
        <v>0</v>
      </c>
      <c r="V1503" s="102">
        <f>IF(LS[[#This Row],[BO TRANSFER]]="YES",LS[[#This Row],[Unit]],)</f>
        <v>0</v>
      </c>
      <c r="W1503" s="102">
        <f>SUMIFS(LS[[#Headers],[BO UNIT TRANSFER]]:LS[[#This Row],[BO UNIT TRANSFER]],LS[[#Headers],[Investor ID]]:LS[[#This Row],[Investor ID]],LS[[#This Row],[Investor ID]])</f>
        <v>0</v>
      </c>
    </row>
    <row r="1504" spans="1:23">
      <c r="A1504" s="101">
        <v>2026</v>
      </c>
      <c r="B1504" s="101">
        <v>3</v>
      </c>
      <c r="C1504" s="101">
        <v>16</v>
      </c>
      <c r="D1504" s="98">
        <f>DATE(LS[[#This Row],[Year]],LS[[#This Row],[Month]],LS[[#This Row],[Day]])</f>
        <v>46097</v>
      </c>
      <c r="E1504" s="99" t="str" cm="1">
        <f t="array" ref="E1504">INDEX(INVESTORS_LIST[INVESTOR NAME],MATCH(LS[[#This Row],[Investor ID]],INVESTORS_LIST[INVESTOR CODE],0),)</f>
        <v>SYEDUL TANVIR HOQUE PRIYAM</v>
      </c>
      <c r="F1504" s="100" t="s">
        <v>1424</v>
      </c>
      <c r="G1504" s="101">
        <f>COUNTIF(LS[[#Headers],[Investor ID]]:LS[[#This Row],[Investor ID]],LS[[#This Row],[Investor ID]])</f>
        <v>14</v>
      </c>
      <c r="H1504" s="101" t="str">
        <f>CONCATENATE(LS[[#This Row],[Frequency]],LS[[#This Row],[Investor ID]])</f>
        <v>14A00656</v>
      </c>
      <c r="I1504" s="75" t="str">
        <f>IF(LS[[#This Row],[B/S]]="B","BUY",(IF(LS[[#This Row],[B/S]]="S","SELL"," ")))</f>
        <v>BUY</v>
      </c>
      <c r="J1504" s="101" t="s">
        <v>1229</v>
      </c>
      <c r="K1504" s="102">
        <v>300000</v>
      </c>
      <c r="L1504" s="99"/>
      <c r="M1504" s="103">
        <f>LS[[#This Row],[Amount]]/LS[[#This Row],[Unit]]</f>
        <v>14.173005149525205</v>
      </c>
      <c r="N1504" s="104">
        <f>LS[[#This Row],[Unit Capital]]/10</f>
        <v>21167</v>
      </c>
      <c r="O1504" s="104">
        <f>SUMIFS(LS[[#Headers],[Unit]]:LS[[#This Row],[Unit]],LS[[#Headers],[Investor ID]]:LS[[#This Row],[Investor ID]],LS[[#This Row],[Investor ID]])</f>
        <v>70725</v>
      </c>
      <c r="P1504" s="102">
        <f>ROUND(LS[[#This Row],[Amount]]/14.173,0)*10</f>
        <v>211670</v>
      </c>
      <c r="Q1504" s="102">
        <f>LS[[#This Row],[Amount]]-LS[[#This Row],[Unit Capital]]</f>
        <v>88330</v>
      </c>
      <c r="R1504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13.293597877679328</v>
      </c>
      <c r="S1504" s="103">
        <f t="shared" si="47"/>
        <v>14.224</v>
      </c>
      <c r="T1504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4" s="102" cm="1">
        <f t="array" ref="U1504">IF(LS[[#This Row],[B/S]]="S",ABS(LS[[#This Row],[Unit]])*(INDEX(LS[NAV at Cost (Average)],MATCH(CONCATENATE((LS[[#This Row],[Frequency]]-1),LS[[#This Row],[Investor ID]]),LS[Unique Code],0),0)),0)</f>
        <v>0</v>
      </c>
      <c r="V1504" s="102">
        <f>IF(LS[[#This Row],[BO TRANSFER]]="YES",LS[[#This Row],[Unit]],)</f>
        <v>0</v>
      </c>
      <c r="W1504" s="102">
        <f>SUMIFS(LS[[#Headers],[BO UNIT TRANSFER]]:LS[[#This Row],[BO UNIT TRANSFER]],LS[[#Headers],[Investor ID]]:LS[[#This Row],[Investor ID]],LS[[#This Row],[Investor ID]])</f>
        <v>0</v>
      </c>
    </row>
    <row r="1505" spans="1:23">
      <c r="A1505" s="101">
        <v>2026</v>
      </c>
      <c r="B1505" s="101">
        <v>3</v>
      </c>
      <c r="C1505" s="101">
        <v>16</v>
      </c>
      <c r="D1505" s="299">
        <f>DATE(LS[[#This Row],[Year]],LS[[#This Row],[Month]],LS[[#This Row],[Day]])</f>
        <v>46097</v>
      </c>
      <c r="E1505" s="300" t="str" cm="1">
        <f t="array" ref="E1505">INDEX(INVESTORS_LIST[INVESTOR NAME],MATCH(LS[[#This Row],[Investor ID]],INVESTORS_LIST[INVESTOR CODE],0),)</f>
        <v>S.M. AFZAL REZA</v>
      </c>
      <c r="F1505" s="301" t="s">
        <v>1404</v>
      </c>
      <c r="G1505" s="298">
        <f>COUNTIF(LS[[#Headers],[Investor ID]]:LS[[#This Row],[Investor ID]],LS[[#This Row],[Investor ID]])</f>
        <v>4</v>
      </c>
      <c r="H1505" s="298" t="str">
        <f>CONCATENATE(LS[[#This Row],[Frequency]],LS[[#This Row],[Investor ID]])</f>
        <v>4A00645</v>
      </c>
      <c r="I1505" s="75" t="str">
        <f>IF(LS[[#This Row],[B/S]]="B","BUY",(IF(LS[[#This Row],[B/S]]="S","SELL"," ")))</f>
        <v>BUY</v>
      </c>
      <c r="J1505" s="298" t="s">
        <v>1229</v>
      </c>
      <c r="K1505" s="302">
        <v>2000000</v>
      </c>
      <c r="L1505" s="300"/>
      <c r="M1505" s="303">
        <f>LS[[#This Row],[Amount]]/LS[[#This Row],[Unit]]</f>
        <v>14.173038628616782</v>
      </c>
      <c r="N1505" s="304">
        <f>LS[[#This Row],[Unit Capital]]/10</f>
        <v>141113</v>
      </c>
      <c r="O1505" s="304">
        <f>SUMIFS(LS[[#Headers],[Unit]]:LS[[#This Row],[Unit]],LS[[#Headers],[Investor ID]]:LS[[#This Row],[Investor ID]],LS[[#This Row],[Investor ID]])</f>
        <v>141113</v>
      </c>
      <c r="P1505" s="302">
        <f>ROUND(LS[[#This Row],[Amount]]/14.173,0)*10</f>
        <v>1411130</v>
      </c>
      <c r="Q1505" s="302">
        <f>LS[[#This Row],[Amount]]-LS[[#This Row],[Unit Capital]]</f>
        <v>588870</v>
      </c>
      <c r="R1505" s="3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14.173038628616782</v>
      </c>
      <c r="S1505" s="303">
        <f t="shared" si="47"/>
        <v>14.224</v>
      </c>
      <c r="T1505" s="3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5" s="302" cm="1">
        <f t="array" ref="U1505">IF(LS[[#This Row],[B/S]]="S",ABS(LS[[#This Row],[Unit]])*(INDEX(LS[NAV at Cost (Average)],MATCH(CONCATENATE((LS[[#This Row],[Frequency]]-1),LS[[#This Row],[Investor ID]]),LS[Unique Code],0),0)),0)</f>
        <v>0</v>
      </c>
      <c r="V1505" s="302">
        <f>IF(LS[[#This Row],[BO TRANSFER]]="YES",LS[[#This Row],[Unit]],)</f>
        <v>0</v>
      </c>
      <c r="W1505" s="302">
        <f>SUMIFS(LS[[#Headers],[BO UNIT TRANSFER]]:LS[[#This Row],[BO UNIT TRANSFER]],LS[[#Headers],[Investor ID]]:LS[[#This Row],[Investor ID]],LS[[#This Row],[Investor ID]])</f>
        <v>0</v>
      </c>
    </row>
    <row r="1506" spans="1:23">
      <c r="A1506" s="101">
        <v>2026</v>
      </c>
      <c r="B1506" s="101">
        <v>3</v>
      </c>
      <c r="C1506" s="101">
        <v>16</v>
      </c>
      <c r="D1506" s="299">
        <f>DATE(LS[[#This Row],[Year]],LS[[#This Row],[Month]],LS[[#This Row],[Day]])</f>
        <v>46097</v>
      </c>
      <c r="E1506" s="300" t="str" cm="1">
        <f t="array" ref="E1506">INDEX(INVESTORS_LIST[INVESTOR NAME],MATCH(LS[[#This Row],[Investor ID]],INVESTORS_LIST[INVESTOR CODE],0),)</f>
        <v>A.K.M. FAHIM MASHROOR</v>
      </c>
      <c r="F1506" s="100" t="s">
        <v>1530</v>
      </c>
      <c r="G1506" s="298">
        <f>COUNTIF(LS[[#Headers],[Investor ID]]:LS[[#This Row],[Investor ID]],LS[[#This Row],[Investor ID]])</f>
        <v>3</v>
      </c>
      <c r="H1506" s="298" t="str">
        <f>CONCATENATE(LS[[#This Row],[Frequency]],LS[[#This Row],[Investor ID]])</f>
        <v>3A00699</v>
      </c>
      <c r="I1506" s="75" t="str">
        <f>IF(LS[[#This Row],[B/S]]="B","BUY",(IF(LS[[#This Row],[B/S]]="S","SELL"," ")))</f>
        <v>BUY</v>
      </c>
      <c r="J1506" s="298" t="s">
        <v>1229</v>
      </c>
      <c r="K1506" s="302">
        <v>20000000</v>
      </c>
      <c r="L1506" s="300"/>
      <c r="M1506" s="303">
        <f>LS[[#This Row],[Amount]]/LS[[#This Row],[Unit]]</f>
        <v>14.172998453725869</v>
      </c>
      <c r="N1506" s="304">
        <f>LS[[#This Row],[Unit Capital]]/10</f>
        <v>1411134</v>
      </c>
      <c r="O1506" s="304">
        <f>SUMIFS(LS[[#Headers],[Unit]]:LS[[#This Row],[Unit]],LS[[#Headers],[Investor ID]]:LS[[#This Row],[Investor ID]],LS[[#This Row],[Investor ID]])</f>
        <v>3008892</v>
      </c>
      <c r="P1506" s="302">
        <f>ROUND(LS[[#This Row],[Amount]]/14.173,0)*10</f>
        <v>14111340</v>
      </c>
      <c r="Q1506" s="302">
        <f>LS[[#This Row],[Amount]]-LS[[#This Row],[Unit Capital]]</f>
        <v>5888660</v>
      </c>
      <c r="R1506" s="3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14.12480075722226</v>
      </c>
      <c r="S1506" s="303">
        <f t="shared" si="47"/>
        <v>14.224</v>
      </c>
      <c r="T1506" s="3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6" s="302" cm="1">
        <f t="array" ref="U1506">IF(LS[[#This Row],[B/S]]="S",ABS(LS[[#This Row],[Unit]])*(INDEX(LS[NAV at Cost (Average)],MATCH(CONCATENATE((LS[[#This Row],[Frequency]]-1),LS[[#This Row],[Investor ID]]),LS[Unique Code],0),0)),0)</f>
        <v>0</v>
      </c>
      <c r="V1506" s="302">
        <f>IF(LS[[#This Row],[BO TRANSFER]]="YES",LS[[#This Row],[Unit]],)</f>
        <v>0</v>
      </c>
      <c r="W1506" s="302">
        <f>SUMIFS(LS[[#Headers],[BO UNIT TRANSFER]]:LS[[#This Row],[BO UNIT TRANSFER]],LS[[#Headers],[Investor ID]]:LS[[#This Row],[Investor ID]],LS[[#This Row],[Investor ID]])</f>
        <v>1597758</v>
      </c>
    </row>
    <row r="1507" spans="1:23">
      <c r="A1507" s="101">
        <v>2026</v>
      </c>
      <c r="B1507" s="101">
        <v>3</v>
      </c>
      <c r="C1507" s="101">
        <v>24</v>
      </c>
      <c r="D1507" s="98">
        <f>DATE(LS[[#This Row],[Year]],LS[[#This Row],[Month]],LS[[#This Row],[Day]])</f>
        <v>46105</v>
      </c>
      <c r="E1507" s="99" t="str" cm="1">
        <f t="array" ref="E1507">INDEX(INVESTORS_LIST[INVESTOR NAME],MATCH(LS[[#This Row],[Investor ID]],INVESTORS_LIST[INVESTOR CODE],0),)</f>
        <v>MAHFUZUL ISLAM &amp; HUMAIRA TABASSUM READDHE</v>
      </c>
      <c r="F1507" s="100" t="s">
        <v>1315</v>
      </c>
      <c r="G1507" s="101">
        <f>COUNTIF(LS[[#Headers],[Investor ID]]:LS[[#This Row],[Investor ID]],LS[[#This Row],[Investor ID]])</f>
        <v>6</v>
      </c>
      <c r="H1507" s="101" t="str">
        <f>CONCATENATE(LS[[#This Row],[Frequency]],LS[[#This Row],[Investor ID]])</f>
        <v>6A00605</v>
      </c>
      <c r="I1507" s="75" t="str">
        <f>IF(LS[[#This Row],[B/S]]="B","BUY",(IF(LS[[#This Row],[B/S]]="S","SELL"," ")))</f>
        <v>BUY</v>
      </c>
      <c r="J1507" s="101" t="s">
        <v>1229</v>
      </c>
      <c r="K1507" s="102">
        <v>91586</v>
      </c>
      <c r="L1507" s="99"/>
      <c r="M1507" s="103">
        <f>LS[[#This Row],[Amount]]/LS[[#This Row],[Unit]]</f>
        <v>14.205987280905848</v>
      </c>
      <c r="N1507" s="104">
        <f>LS[[#This Row],[Unit Capital]]/10</f>
        <v>6447</v>
      </c>
      <c r="O1507" s="104">
        <f>SUMIFS(LS[[#Headers],[Unit]]:LS[[#This Row],[Unit]],LS[[#Headers],[Investor ID]]:LS[[#This Row],[Investor ID]],LS[[#This Row],[Investor ID]])</f>
        <v>8937</v>
      </c>
      <c r="P1507" s="102">
        <f>ROUND(LS[[#This Row],[Amount]]/14.206,0)*10</f>
        <v>64470</v>
      </c>
      <c r="Q1507" s="102">
        <f>LS[[#This Row],[Amount]]-LS[[#This Row],[Unit Capital]]</f>
        <v>27116</v>
      </c>
      <c r="R1507" s="10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13.894509637829191</v>
      </c>
      <c r="S1507" s="103">
        <f>IFERROR(NAV_MKT,0)</f>
        <v>14.224</v>
      </c>
      <c r="T1507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U1507" s="102" cm="1">
        <f t="array" ref="U1507">IF(LS[[#This Row],[B/S]]="S",ABS(LS[[#This Row],[Unit]])*(INDEX(LS[NAV at Cost (Average)],MATCH(CONCATENATE((LS[[#This Row],[Frequency]]-1),LS[[#This Row],[Investor ID]]),LS[Unique Code],0),0)),0)</f>
        <v>0</v>
      </c>
      <c r="V1507" s="102">
        <f>IF(LS[[#This Row],[BO TRANSFER]]="YES",LS[[#This Row],[Unit]],)</f>
        <v>0</v>
      </c>
      <c r="W1507" s="102">
        <f>SUMIFS(LS[[#Headers],[BO UNIT TRANSFER]]:LS[[#This Row],[BO UNIT TRANSFER]],LS[[#Headers],[Investor ID]]:LS[[#This Row],[Investor ID]],LS[[#This Row],[Investor ID]])</f>
        <v>0</v>
      </c>
    </row>
  </sheetData>
  <phoneticPr fontId="46" type="noConversion"/>
  <dataValidations count="1">
    <dataValidation type="list" allowBlank="1" showInputMessage="1" showErrorMessage="1" sqref="L3:L76 L78:L1048576" xr:uid="{00000000-0002-0000-0200-000000000000}">
      <formula1>$X$3</formula1>
    </dataValidation>
  </dataValidations>
  <pageMargins left="0.7" right="0.7" top="0.75" bottom="0.75" header="0.3" footer="0.3"/>
  <pageSetup scale="29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878"/>
  <sheetViews>
    <sheetView showGridLines="0" zoomScaleNormal="100" workbookViewId="0">
      <pane ySplit="2" topLeftCell="A1864" activePane="bottomLeft" state="frozen"/>
      <selection pane="bottomLeft" activeCell="Q1869" sqref="Q1869:Q1878"/>
    </sheetView>
  </sheetViews>
  <sheetFormatPr defaultColWidth="9.140625" defaultRowHeight="15" customHeight="1"/>
  <cols>
    <col min="1" max="1" width="7.140625" style="46" customWidth="1"/>
    <col min="2" max="2" width="9.140625" style="46" customWidth="1"/>
    <col min="3" max="3" width="6.42578125" style="46" customWidth="1"/>
    <col min="4" max="4" width="19" style="46" customWidth="1"/>
    <col min="5" max="5" width="31" style="46" customWidth="1"/>
    <col min="6" max="6" width="12.7109375" style="46" customWidth="1"/>
    <col min="7" max="7" width="12.42578125" style="46" hidden="1" customWidth="1"/>
    <col min="8" max="9" width="14.7109375" style="46" hidden="1" customWidth="1"/>
    <col min="10" max="10" width="6.140625" style="46" customWidth="1"/>
    <col min="11" max="11" width="15.28515625" style="68" customWidth="1"/>
    <col min="12" max="12" width="7.42578125" style="46" customWidth="1"/>
    <col min="13" max="13" width="13.140625" style="46" customWidth="1"/>
    <col min="14" max="14" width="11.5703125" style="46" customWidth="1"/>
    <col min="15" max="15" width="17.5703125" style="46" customWidth="1"/>
    <col min="16" max="16" width="15.85546875" style="68" customWidth="1"/>
    <col min="17" max="17" width="16.140625" style="46" customWidth="1"/>
    <col min="18" max="18" width="12" style="46" customWidth="1"/>
    <col min="19" max="19" width="11.7109375" style="46" customWidth="1"/>
    <col min="20" max="20" width="13.5703125" style="46" customWidth="1"/>
    <col min="21" max="21" width="13.7109375" style="46" customWidth="1"/>
    <col min="22" max="22" width="14.7109375" style="46" customWidth="1"/>
    <col min="23" max="23" width="13.5703125" style="46" bestFit="1" customWidth="1"/>
    <col min="24" max="16384" width="9.140625" style="46"/>
  </cols>
  <sheetData>
    <row r="1" spans="1:23" ht="15" customHeight="1">
      <c r="K1" s="68">
        <f>SUBTOTAL(9,SIP[Amount])</f>
        <v>10546482.444000006</v>
      </c>
      <c r="L1" s="68"/>
      <c r="P1" s="68">
        <f>SUBTOTAL(9,SIP[Unit Capital])</f>
        <v>9483160</v>
      </c>
      <c r="Q1" s="68">
        <f>SUBTOTAL(9,SIP[Unit Premium Reserve])</f>
        <v>1063322.4440000006</v>
      </c>
      <c r="V1" s="74"/>
    </row>
    <row r="2" spans="1:23" ht="45" customHeight="1">
      <c r="A2" s="63" t="s">
        <v>1232</v>
      </c>
      <c r="B2" s="63" t="s">
        <v>1207</v>
      </c>
      <c r="C2" s="63" t="s">
        <v>1208</v>
      </c>
      <c r="D2" s="64" t="s">
        <v>1209</v>
      </c>
      <c r="E2" s="64" t="s">
        <v>1210</v>
      </c>
      <c r="F2" s="63" t="s">
        <v>1211</v>
      </c>
      <c r="G2" s="63" t="s">
        <v>1212</v>
      </c>
      <c r="H2" s="63" t="s">
        <v>1213</v>
      </c>
      <c r="I2" s="63" t="s">
        <v>1214</v>
      </c>
      <c r="J2" s="63" t="s">
        <v>1215</v>
      </c>
      <c r="K2" s="63" t="s">
        <v>1216</v>
      </c>
      <c r="L2" s="63" t="s">
        <v>1217</v>
      </c>
      <c r="M2" s="64" t="s">
        <v>1218</v>
      </c>
      <c r="N2" s="64" t="s">
        <v>1219</v>
      </c>
      <c r="O2" s="64" t="s">
        <v>1220</v>
      </c>
      <c r="P2" s="63" t="s">
        <v>1221</v>
      </c>
      <c r="Q2" s="64" t="s">
        <v>1222</v>
      </c>
      <c r="R2" s="64" t="s">
        <v>1223</v>
      </c>
      <c r="S2" s="46" t="s">
        <v>1224</v>
      </c>
      <c r="T2" s="46" t="s">
        <v>1225</v>
      </c>
      <c r="U2" s="46" t="s">
        <v>1226</v>
      </c>
      <c r="V2" s="46" t="s">
        <v>1227</v>
      </c>
      <c r="W2" s="46" t="s">
        <v>1228</v>
      </c>
    </row>
    <row r="3" spans="1:23" ht="15" customHeight="1">
      <c r="A3" s="46">
        <v>2023</v>
      </c>
      <c r="B3" s="46">
        <v>4</v>
      </c>
      <c r="C3" s="46">
        <v>5</v>
      </c>
      <c r="D3" s="65">
        <f>DATE(SIP[[#This Row],[Year]],SIP[[#This Row],[Month]],SIP[[#This Row],[Day]])</f>
        <v>45021</v>
      </c>
      <c r="E3" s="66" t="str" cm="1">
        <f t="array" ref="E3">INDEX(INVESTORS_LIST[INVESTOR NAME],MATCH(SIP[[#This Row],[Investor ID]],INVESTORS_LIST[INVESTOR CODE],0),)</f>
        <v>ANJAN MALLIK</v>
      </c>
      <c r="F3" s="46" t="s">
        <v>546</v>
      </c>
      <c r="G3" s="46">
        <f>COUNTIF(SIP[[#Headers],[Investor ID]]:SIP[[#This Row],[Investor ID]],SIP[[#This Row],[Investor ID]])</f>
        <v>1</v>
      </c>
      <c r="H3" s="46" t="str">
        <f>CONCATENATE(SIP[[#This Row],[Frequency]],SIP[[#This Row],[Investor ID]])</f>
        <v>1A00248</v>
      </c>
      <c r="I3" s="46" t="str">
        <f>IF(SIP[[#This Row],[B/S]]="B","BUY",(IF(SIP[[#This Row],[B/S]]="S","SELL"," ")))</f>
        <v>BUY</v>
      </c>
      <c r="J3" s="46" t="s">
        <v>1229</v>
      </c>
      <c r="K3" s="69">
        <v>50000</v>
      </c>
      <c r="L3" s="69"/>
      <c r="M3" s="70">
        <f>SIP[[#This Row],[Amount]]/SIP[[#This Row],[Unit]]</f>
        <v>10.090817356205852</v>
      </c>
      <c r="N3" s="71">
        <f>SIP[[#This Row],[Unit Capital]]/10</f>
        <v>4955</v>
      </c>
      <c r="O3" s="72">
        <f>SUMIFS(SIP[[#Headers],[Unit]]:SIP[[#This Row],[Unit]],SIP[[#Headers],[Investor ID]]:SIP[[#This Row],[Investor ID]],SIP[[#This Row],[Investor ID]])</f>
        <v>4955</v>
      </c>
      <c r="P3" s="73">
        <v>49550</v>
      </c>
      <c r="Q3" s="74">
        <f>SIP[[#This Row],[Amount]]-SIP[[#This Row],[Unit Capital]]</f>
        <v>450</v>
      </c>
      <c r="R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10.090817356205852</v>
      </c>
      <c r="S3" s="68">
        <f t="shared" ref="S3:S34" si="0">NAV_MKT</f>
        <v>14.224</v>
      </c>
      <c r="T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" s="68" cm="1">
        <f t="array" ref="U3">IF(SIP[[#This Row],[B/S]]="S",ABS(SIP[[#This Row],[Unit]])*(INDEX(SIP[NAV at Cost (Average)],MATCH(CONCATENATE((SIP[[#This Row],[Frequency]]-1),SIP[[#This Row],[Investor ID]]),SIP[Unique Code],0),0)),0)</f>
        <v>0</v>
      </c>
      <c r="V3" s="74">
        <f>IF(SIP[[#This Row],[BO TRANSFER]]="YES",SIP[[#This Row],[Unit]],)</f>
        <v>0</v>
      </c>
      <c r="W3" s="74">
        <f>SUMIFS(SIP[[#Headers],[BO UNIT TRANSFER]]:SIP[[#This Row],[BO UNIT TRANSFER]],SIP[[#Headers],[Investor ID]]:SIP[[#This Row],[Investor ID]],SIP[[#This Row],[Investor ID]])</f>
        <v>0</v>
      </c>
    </row>
    <row r="4" spans="1:23" ht="15" customHeight="1">
      <c r="A4" s="46">
        <v>2023</v>
      </c>
      <c r="B4" s="46">
        <v>4</v>
      </c>
      <c r="C4" s="46">
        <v>5</v>
      </c>
      <c r="D4" s="65">
        <f>DATE(SIP[[#This Row],[Year]],SIP[[#This Row],[Month]],SIP[[#This Row],[Day]])</f>
        <v>45021</v>
      </c>
      <c r="E4" s="66" t="str" cm="1">
        <f t="array" ref="E4">INDEX(INVESTORS_LIST[INVESTOR NAME],MATCH(SIP[[#This Row],[Investor ID]],INVESTORS_LIST[INVESTOR CODE],0),)</f>
        <v>SHANTA PAUL</v>
      </c>
      <c r="F4" s="46" t="s">
        <v>544</v>
      </c>
      <c r="G4" s="46">
        <f>COUNTIF(SIP[[#Headers],[Investor ID]]:SIP[[#This Row],[Investor ID]],SIP[[#This Row],[Investor ID]])</f>
        <v>1</v>
      </c>
      <c r="H4" s="46" t="str">
        <f>CONCATENATE(SIP[[#This Row],[Frequency]],SIP[[#This Row],[Investor ID]])</f>
        <v>1A00247</v>
      </c>
      <c r="I4" s="46" t="str">
        <f>IF(SIP[[#This Row],[B/S]]="B","BUY",(IF(SIP[[#This Row],[B/S]]="S","SELL"," ")))</f>
        <v>BUY</v>
      </c>
      <c r="J4" s="46" t="s">
        <v>1229</v>
      </c>
      <c r="K4" s="69">
        <v>20000</v>
      </c>
      <c r="L4" s="69"/>
      <c r="M4" s="70">
        <f>SIP[[#This Row],[Amount]]/SIP[[#This Row],[Unit]]</f>
        <v>10.090817356205852</v>
      </c>
      <c r="N4" s="71">
        <f>SIP[[#This Row],[Unit Capital]]/10</f>
        <v>1982</v>
      </c>
      <c r="O4" s="72">
        <f>SUMIFS(SIP[[#Headers],[Unit]]:SIP[[#This Row],[Unit]],SIP[[#Headers],[Investor ID]]:SIP[[#This Row],[Investor ID]],SIP[[#This Row],[Investor ID]])</f>
        <v>1982</v>
      </c>
      <c r="P4" s="73">
        <v>19820</v>
      </c>
      <c r="Q4" s="74">
        <f>SIP[[#This Row],[Amount]]-SIP[[#This Row],[Unit Capital]]</f>
        <v>180</v>
      </c>
      <c r="R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10.090817356205852</v>
      </c>
      <c r="S4" s="68">
        <f t="shared" si="0"/>
        <v>14.224</v>
      </c>
      <c r="T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" s="74" cm="1">
        <f t="array" ref="U4">IF(SIP[[#This Row],[B/S]]="S",ABS(SIP[[#This Row],[Unit]])*(INDEX(SIP[NAV at Cost (Average)],MATCH(CONCATENATE((SIP[[#This Row],[Frequency]]-1),SIP[[#This Row],[Investor ID]]),SIP[Unique Code],0),0)),0)</f>
        <v>0</v>
      </c>
      <c r="V4" s="74">
        <f>IF(SIP[[#This Row],[BO TRANSFER]]="YES",SIP[[#This Row],[Unit]],)</f>
        <v>0</v>
      </c>
      <c r="W4" s="74">
        <f>SUMIFS(SIP[[#Headers],[BO UNIT TRANSFER]]:SIP[[#This Row],[BO UNIT TRANSFER]],SIP[[#Headers],[Investor ID]]:SIP[[#This Row],[Investor ID]],SIP[[#This Row],[Investor ID]])</f>
        <v>0</v>
      </c>
    </row>
    <row r="5" spans="1:23" ht="15" customHeight="1">
      <c r="A5" s="46">
        <v>2023</v>
      </c>
      <c r="B5" s="46">
        <v>4</v>
      </c>
      <c r="C5" s="46">
        <v>5</v>
      </c>
      <c r="D5" s="65">
        <f>DATE(SIP[[#This Row],[Year]],SIP[[#This Row],[Month]],SIP[[#This Row],[Day]])</f>
        <v>45021</v>
      </c>
      <c r="E5" s="66" t="str" cm="1">
        <f t="array" ref="E5">INDEX(INVESTORS_LIST[INVESTOR NAME],MATCH(SIP[[#This Row],[Investor ID]],INVESTORS_LIST[INVESTOR CODE],0),)</f>
        <v>SRIJON GHOSH</v>
      </c>
      <c r="F5" s="67" t="s">
        <v>894</v>
      </c>
      <c r="G5" s="46">
        <f>COUNTIF(SIP[[#Headers],[Investor ID]]:SIP[[#This Row],[Investor ID]],SIP[[#This Row],[Investor ID]])</f>
        <v>1</v>
      </c>
      <c r="H5" s="46" t="str">
        <f>CONCATENATE(SIP[[#This Row],[Frequency]],SIP[[#This Row],[Investor ID]])</f>
        <v>1A00424</v>
      </c>
      <c r="I5" s="46" t="str">
        <f>IF(SIP[[#This Row],[B/S]]="B","BUY",(IF(SIP[[#This Row],[B/S]]="S","SELL"," ")))</f>
        <v>BUY</v>
      </c>
      <c r="J5" s="46" t="s">
        <v>1229</v>
      </c>
      <c r="K5" s="285">
        <v>15000</v>
      </c>
      <c r="L5" s="69"/>
      <c r="M5" s="70">
        <f>SIP[[#This Row],[Amount]]/SIP[[#This Row],[Unit]]</f>
        <v>10.087424344317418</v>
      </c>
      <c r="N5" s="71">
        <f>SIP[[#This Row],[Unit Capital]]/10</f>
        <v>1487</v>
      </c>
      <c r="O5" s="72">
        <f>SUMIFS(SIP[[#Headers],[Unit]]:SIP[[#This Row],[Unit]],SIP[[#Headers],[Investor ID]]:SIP[[#This Row],[Investor ID]],SIP[[#This Row],[Investor ID]])</f>
        <v>1487</v>
      </c>
      <c r="P5" s="73">
        <v>14870</v>
      </c>
      <c r="Q5" s="74">
        <f>SIP[[#This Row],[Amount]]-SIP[[#This Row],[Unit Capital]]</f>
        <v>130</v>
      </c>
      <c r="R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10.087424344317418</v>
      </c>
      <c r="S5" s="68">
        <f t="shared" si="0"/>
        <v>14.224</v>
      </c>
      <c r="T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" s="74" cm="1">
        <f t="array" ref="U5">IF(SIP[[#This Row],[B/S]]="S",ABS(SIP[[#This Row],[Unit]])*(INDEX(SIP[NAV at Cost (Average)],MATCH(CONCATENATE((SIP[[#This Row],[Frequency]]-1),SIP[[#This Row],[Investor ID]]),SIP[Unique Code],0),0)),0)</f>
        <v>0</v>
      </c>
      <c r="V5" s="74">
        <f>IF(SIP[[#This Row],[BO TRANSFER]]="YES",SIP[[#This Row],[Unit]],)</f>
        <v>0</v>
      </c>
      <c r="W5" s="74">
        <f>SUMIFS(SIP[[#Headers],[BO UNIT TRANSFER]]:SIP[[#This Row],[BO UNIT TRANSFER]],SIP[[#Headers],[Investor ID]]:SIP[[#This Row],[Investor ID]],SIP[[#This Row],[Investor ID]])</f>
        <v>0</v>
      </c>
    </row>
    <row r="6" spans="1:23" ht="15" customHeight="1">
      <c r="A6" s="46">
        <v>2023</v>
      </c>
      <c r="B6" s="46">
        <v>4</v>
      </c>
      <c r="C6" s="46">
        <v>26</v>
      </c>
      <c r="D6" s="65">
        <f>DATE(SIP[[#This Row],[Year]],SIP[[#This Row],[Month]],SIP[[#This Row],[Day]])</f>
        <v>45042</v>
      </c>
      <c r="E6" s="66" t="str" cm="1">
        <f t="array" ref="E6">INDEX(INVESTORS_LIST[INVESTOR NAME],MATCH(SIP[[#This Row],[Investor ID]],INVESTORS_LIST[INVESTOR CODE],0),)</f>
        <v>SABIRA SALAM RIDI</v>
      </c>
      <c r="F6" s="46" t="s">
        <v>988</v>
      </c>
      <c r="G6" s="46">
        <f>COUNTIF(SIP[[#Headers],[Investor ID]]:SIP[[#This Row],[Investor ID]],SIP[[#This Row],[Investor ID]])</f>
        <v>1</v>
      </c>
      <c r="H6" s="46" t="str">
        <f>CONCATENATE(SIP[[#This Row],[Frequency]],SIP[[#This Row],[Investor ID]])</f>
        <v>1A00471</v>
      </c>
      <c r="I6" s="46" t="str">
        <f>IF(SIP[[#This Row],[B/S]]="B","BUY",(IF(SIP[[#This Row],[B/S]]="S","SELL"," ")))</f>
        <v>BUY</v>
      </c>
      <c r="J6" s="46" t="s">
        <v>1229</v>
      </c>
      <c r="K6" s="69">
        <v>1000</v>
      </c>
      <c r="L6" s="69"/>
      <c r="M6" s="70">
        <f>SIP[[#This Row],[Amount]]/SIP[[#This Row],[Unit]]</f>
        <v>10.1010101010101</v>
      </c>
      <c r="N6" s="71">
        <f>SIP[[#This Row],[Unit Capital]]/10</f>
        <v>99</v>
      </c>
      <c r="O6" s="72">
        <f>SUMIFS(SIP[[#Headers],[Unit]]:SIP[[#This Row],[Unit]],SIP[[#Headers],[Investor ID]]:SIP[[#This Row],[Investor ID]],SIP[[#This Row],[Investor ID]])</f>
        <v>99</v>
      </c>
      <c r="P6" s="73">
        <v>990</v>
      </c>
      <c r="Q6" s="74">
        <f>SIP[[#This Row],[Amount]]-SIP[[#This Row],[Unit Capital]]</f>
        <v>10</v>
      </c>
      <c r="R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10.1010101010101</v>
      </c>
      <c r="S6" s="68">
        <f t="shared" si="0"/>
        <v>14.224</v>
      </c>
      <c r="T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" s="74" cm="1">
        <f t="array" ref="U6">IF(SIP[[#This Row],[B/S]]="S",ABS(SIP[[#This Row],[Unit]])*(INDEX(SIP[NAV at Cost (Average)],MATCH(CONCATENATE((SIP[[#This Row],[Frequency]]-1),SIP[[#This Row],[Investor ID]]),SIP[Unique Code],0),0)),0)</f>
        <v>0</v>
      </c>
      <c r="V6" s="74">
        <f>IF(SIP[[#This Row],[BO TRANSFER]]="YES",SIP[[#This Row],[Unit]],)</f>
        <v>0</v>
      </c>
      <c r="W6" s="74">
        <f>SUMIFS(SIP[[#Headers],[BO UNIT TRANSFER]]:SIP[[#This Row],[BO UNIT TRANSFER]],SIP[[#Headers],[Investor ID]]:SIP[[#This Row],[Investor ID]],SIP[[#This Row],[Investor ID]])</f>
        <v>0</v>
      </c>
    </row>
    <row r="7" spans="1:23" ht="15" customHeight="1">
      <c r="A7" s="46">
        <v>2023</v>
      </c>
      <c r="B7" s="46">
        <v>4</v>
      </c>
      <c r="C7" s="46">
        <v>26</v>
      </c>
      <c r="D7" s="65">
        <f>DATE(SIP[[#This Row],[Year]],SIP[[#This Row],[Month]],SIP[[#This Row],[Day]])</f>
        <v>45042</v>
      </c>
      <c r="E7" s="66" t="str" cm="1">
        <f t="array" ref="E7">INDEX(INVESTORS_LIST[INVESTOR NAME],MATCH(SIP[[#This Row],[Investor ID]],INVESTORS_LIST[INVESTOR CODE],0),)</f>
        <v>ABIR SAHA</v>
      </c>
      <c r="F7" s="46" t="s">
        <v>990</v>
      </c>
      <c r="G7" s="46">
        <f>COUNTIF(SIP[[#Headers],[Investor ID]]:SIP[[#This Row],[Investor ID]],SIP[[#This Row],[Investor ID]])</f>
        <v>1</v>
      </c>
      <c r="H7" s="46" t="str">
        <f>CONCATENATE(SIP[[#This Row],[Frequency]],SIP[[#This Row],[Investor ID]])</f>
        <v>1A00472</v>
      </c>
      <c r="I7" s="46" t="str">
        <f>IF(SIP[[#This Row],[B/S]]="B","BUY",(IF(SIP[[#This Row],[B/S]]="S","SELL"," ")))</f>
        <v>BUY</v>
      </c>
      <c r="J7" s="46" t="s">
        <v>1229</v>
      </c>
      <c r="K7" s="69">
        <v>1000</v>
      </c>
      <c r="L7" s="69"/>
      <c r="M7" s="70">
        <f>SIP[[#This Row],[Amount]]/SIP[[#This Row],[Unit]]</f>
        <v>10.1010101010101</v>
      </c>
      <c r="N7" s="71">
        <f>SIP[[#This Row],[Unit Capital]]/10</f>
        <v>99</v>
      </c>
      <c r="O7" s="72">
        <f>SUMIFS(SIP[[#Headers],[Unit]]:SIP[[#This Row],[Unit]],SIP[[#Headers],[Investor ID]]:SIP[[#This Row],[Investor ID]],SIP[[#This Row],[Investor ID]])</f>
        <v>99</v>
      </c>
      <c r="P7" s="73">
        <v>990</v>
      </c>
      <c r="Q7" s="74">
        <f>SIP[[#This Row],[Amount]]-SIP[[#This Row],[Unit Capital]]</f>
        <v>10</v>
      </c>
      <c r="R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10.1010101010101</v>
      </c>
      <c r="S7" s="68">
        <f t="shared" si="0"/>
        <v>14.224</v>
      </c>
      <c r="T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" s="74" cm="1">
        <f t="array" ref="U7">IF(SIP[[#This Row],[B/S]]="S",ABS(SIP[[#This Row],[Unit]])*(INDEX(SIP[NAV at Cost (Average)],MATCH(CONCATENATE((SIP[[#This Row],[Frequency]]-1),SIP[[#This Row],[Investor ID]]),SIP[Unique Code],0),0)),0)</f>
        <v>0</v>
      </c>
      <c r="V7" s="74">
        <f>IF(SIP[[#This Row],[BO TRANSFER]]="YES",SIP[[#This Row],[Unit]],)</f>
        <v>0</v>
      </c>
      <c r="W7" s="74">
        <f>SUMIFS(SIP[[#Headers],[BO UNIT TRANSFER]]:SIP[[#This Row],[BO UNIT TRANSFER]],SIP[[#Headers],[Investor ID]]:SIP[[#This Row],[Investor ID]],SIP[[#This Row],[Investor ID]])</f>
        <v>0</v>
      </c>
    </row>
    <row r="8" spans="1:23" ht="15" customHeight="1">
      <c r="A8" s="46">
        <v>2023</v>
      </c>
      <c r="B8" s="46">
        <v>4</v>
      </c>
      <c r="C8" s="46">
        <v>26</v>
      </c>
      <c r="D8" s="65">
        <f>DATE(SIP[[#This Row],[Year]],SIP[[#This Row],[Month]],SIP[[#This Row],[Day]])</f>
        <v>45042</v>
      </c>
      <c r="E8" s="66" t="str" cm="1">
        <f t="array" ref="E8">INDEX(INVESTORS_LIST[INVESTOR NAME],MATCH(SIP[[#This Row],[Investor ID]],INVESTORS_LIST[INVESTOR CODE],0),)</f>
        <v>SRIJON GHOSH</v>
      </c>
      <c r="F8" s="67" t="s">
        <v>894</v>
      </c>
      <c r="G8" s="46">
        <f>COUNTIF(SIP[[#Headers],[Investor ID]]:SIP[[#This Row],[Investor ID]],SIP[[#This Row],[Investor ID]])</f>
        <v>2</v>
      </c>
      <c r="H8" s="46" t="str">
        <f>CONCATENATE(SIP[[#This Row],[Frequency]],SIP[[#This Row],[Investor ID]])</f>
        <v>2A00424</v>
      </c>
      <c r="I8" s="46" t="str">
        <f>IF(SIP[[#This Row],[B/S]]="B","BUY",(IF(SIP[[#This Row],[B/S]]="S","SELL"," ")))</f>
        <v>BUY</v>
      </c>
      <c r="J8" s="46" t="s">
        <v>1229</v>
      </c>
      <c r="K8" s="69">
        <v>15000</v>
      </c>
      <c r="L8" s="69"/>
      <c r="M8" s="70">
        <f>SIP[[#This Row],[Amount]]/SIP[[#This Row],[Unit]]</f>
        <v>10.107816711590296</v>
      </c>
      <c r="N8" s="71">
        <f>SIP[[#This Row],[Unit Capital]]/10</f>
        <v>1484</v>
      </c>
      <c r="O8" s="72">
        <f>SUMIFS(SIP[[#Headers],[Unit]]:SIP[[#This Row],[Unit]],SIP[[#Headers],[Investor ID]]:SIP[[#This Row],[Investor ID]],SIP[[#This Row],[Investor ID]])</f>
        <v>2971</v>
      </c>
      <c r="P8" s="73">
        <v>14840</v>
      </c>
      <c r="Q8" s="74">
        <f>SIP[[#This Row],[Amount]]-SIP[[#This Row],[Unit Capital]]</f>
        <v>160</v>
      </c>
      <c r="R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10.097610232245035</v>
      </c>
      <c r="S8" s="68">
        <f t="shared" si="0"/>
        <v>14.224</v>
      </c>
      <c r="T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" s="74" cm="1">
        <f t="array" ref="U8">IF(SIP[[#This Row],[B/S]]="S",ABS(SIP[[#This Row],[Unit]])*(INDEX(SIP[NAV at Cost (Average)],MATCH(CONCATENATE((SIP[[#This Row],[Frequency]]-1),SIP[[#This Row],[Investor ID]]),SIP[Unique Code],0),0)),0)</f>
        <v>0</v>
      </c>
      <c r="V8" s="74">
        <f>IF(SIP[[#This Row],[BO TRANSFER]]="YES",SIP[[#This Row],[Unit]],)</f>
        <v>0</v>
      </c>
      <c r="W8" s="74">
        <f>SUMIFS(SIP[[#Headers],[BO UNIT TRANSFER]]:SIP[[#This Row],[BO UNIT TRANSFER]],SIP[[#Headers],[Investor ID]]:SIP[[#This Row],[Investor ID]],SIP[[#This Row],[Investor ID]])</f>
        <v>0</v>
      </c>
    </row>
    <row r="9" spans="1:23" ht="15" customHeight="1">
      <c r="A9" s="46">
        <v>2023</v>
      </c>
      <c r="B9" s="46">
        <v>5</v>
      </c>
      <c r="C9" s="46">
        <v>5</v>
      </c>
      <c r="D9" s="65">
        <f>DATE(SIP[[#This Row],[Year]],SIP[[#This Row],[Month]],SIP[[#This Row],[Day]])</f>
        <v>45051</v>
      </c>
      <c r="E9" s="66" t="str" cm="1">
        <f t="array" ref="E9">INDEX(INVESTORS_LIST[INVESTOR NAME],MATCH(SIP[[#This Row],[Investor ID]],INVESTORS_LIST[INVESTOR CODE],0),)</f>
        <v>SHUVA SAHA</v>
      </c>
      <c r="F9" s="46" t="s">
        <v>154</v>
      </c>
      <c r="G9" s="46">
        <f>COUNTIF(SIP[[#Headers],[Investor ID]]:SIP[[#This Row],[Investor ID]],SIP[[#This Row],[Investor ID]])</f>
        <v>1</v>
      </c>
      <c r="H9" s="46" t="str">
        <f>CONCATENATE(SIP[[#This Row],[Frequency]],SIP[[#This Row],[Investor ID]])</f>
        <v>1A00053</v>
      </c>
      <c r="I9" s="46" t="str">
        <f>IF(SIP[[#This Row],[B/S]]="B","BUY",(IF(SIP[[#This Row],[B/S]]="S","SELL"," ")))</f>
        <v>BUY</v>
      </c>
      <c r="J9" s="46" t="s">
        <v>1229</v>
      </c>
      <c r="K9" s="69">
        <v>70000</v>
      </c>
      <c r="L9" s="69"/>
      <c r="M9" s="70">
        <f>SIP[[#This Row],[Amount]]/SIP[[#This Row],[Unit]]</f>
        <v>10.125849848112253</v>
      </c>
      <c r="N9" s="71">
        <f>SIP[[#This Row],[Unit Capital]]/10</f>
        <v>6913</v>
      </c>
      <c r="O9" s="72">
        <f>SUMIFS(SIP[[#Headers],[Unit]]:SIP[[#This Row],[Unit]],SIP[[#Headers],[Investor ID]]:SIP[[#This Row],[Investor ID]],SIP[[#This Row],[Investor ID]])</f>
        <v>6913</v>
      </c>
      <c r="P9" s="73">
        <v>69130</v>
      </c>
      <c r="Q9" s="74">
        <f>SIP[[#This Row],[Amount]]-SIP[[#This Row],[Unit Capital]]</f>
        <v>870</v>
      </c>
      <c r="R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10.125849848112253</v>
      </c>
      <c r="S9" s="68">
        <f t="shared" si="0"/>
        <v>14.224</v>
      </c>
      <c r="T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" s="74" cm="1">
        <f t="array" ref="U9">IF(SIP[[#This Row],[B/S]]="S",ABS(SIP[[#This Row],[Unit]])*(INDEX(SIP[NAV at Cost (Average)],MATCH(CONCATENATE((SIP[[#This Row],[Frequency]]-1),SIP[[#This Row],[Investor ID]]),SIP[Unique Code],0),0)),0)</f>
        <v>0</v>
      </c>
      <c r="V9" s="74">
        <f>IF(SIP[[#This Row],[BO TRANSFER]]="YES",SIP[[#This Row],[Unit]],)</f>
        <v>0</v>
      </c>
      <c r="W9" s="74">
        <f>SUMIFS(SIP[[#Headers],[BO UNIT TRANSFER]]:SIP[[#This Row],[BO UNIT TRANSFER]],SIP[[#Headers],[Investor ID]]:SIP[[#This Row],[Investor ID]],SIP[[#This Row],[Investor ID]])</f>
        <v>0</v>
      </c>
    </row>
    <row r="10" spans="1:23" ht="15" customHeight="1">
      <c r="A10" s="46">
        <v>2023</v>
      </c>
      <c r="B10" s="46">
        <v>5</v>
      </c>
      <c r="C10" s="46">
        <v>5</v>
      </c>
      <c r="D10" s="65">
        <f>DATE(SIP[[#This Row],[Year]],SIP[[#This Row],[Month]],SIP[[#This Row],[Day]])</f>
        <v>45051</v>
      </c>
      <c r="E10" s="66" t="str" cm="1">
        <f t="array" ref="E10">INDEX(INVESTORS_LIST[INVESTOR NAME],MATCH(SIP[[#This Row],[Investor ID]],INVESTORS_LIST[INVESTOR CODE],0),)</f>
        <v>ANJAN MALLIK</v>
      </c>
      <c r="F10" s="46" t="s">
        <v>546</v>
      </c>
      <c r="G10" s="46">
        <f>COUNTIF(SIP[[#Headers],[Investor ID]]:SIP[[#This Row],[Investor ID]],SIP[[#This Row],[Investor ID]])</f>
        <v>2</v>
      </c>
      <c r="H10" s="46" t="str">
        <f>CONCATENATE(SIP[[#This Row],[Frequency]],SIP[[#This Row],[Investor ID]])</f>
        <v>2A00248</v>
      </c>
      <c r="I10" s="46" t="str">
        <f>IF(SIP[[#This Row],[B/S]]="B","BUY",(IF(SIP[[#This Row],[B/S]]="S","SELL"," ")))</f>
        <v>BUY</v>
      </c>
      <c r="J10" s="46" t="s">
        <v>1229</v>
      </c>
      <c r="K10" s="69">
        <v>50000</v>
      </c>
      <c r="L10" s="69"/>
      <c r="M10" s="70">
        <f>SIP[[#This Row],[Amount]]/SIP[[#This Row],[Unit]]</f>
        <v>10.125556905629809</v>
      </c>
      <c r="N10" s="71">
        <f>SIP[[#This Row],[Unit Capital]]/10</f>
        <v>4938</v>
      </c>
      <c r="O10" s="72">
        <f>SUMIFS(SIP[[#Headers],[Unit]]:SIP[[#This Row],[Unit]],SIP[[#Headers],[Investor ID]]:SIP[[#This Row],[Investor ID]],SIP[[#This Row],[Investor ID]])</f>
        <v>9893</v>
      </c>
      <c r="P10" s="73">
        <v>49380</v>
      </c>
      <c r="Q10" s="74">
        <f>SIP[[#This Row],[Amount]]-SIP[[#This Row],[Unit Capital]]</f>
        <v>620</v>
      </c>
      <c r="R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10.108157282927321</v>
      </c>
      <c r="S10" s="68">
        <f t="shared" si="0"/>
        <v>14.224</v>
      </c>
      <c r="T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" s="74" cm="1">
        <f t="array" ref="U10">IF(SIP[[#This Row],[B/S]]="S",ABS(SIP[[#This Row],[Unit]])*(INDEX(SIP[NAV at Cost (Average)],MATCH(CONCATENATE((SIP[[#This Row],[Frequency]]-1),SIP[[#This Row],[Investor ID]]),SIP[Unique Code],0),0)),0)</f>
        <v>0</v>
      </c>
      <c r="V10" s="74">
        <f>IF(SIP[[#This Row],[BO TRANSFER]]="YES",SIP[[#This Row],[Unit]],)</f>
        <v>0</v>
      </c>
      <c r="W10" s="74">
        <f>SUMIFS(SIP[[#Headers],[BO UNIT TRANSFER]]:SIP[[#This Row],[BO UNIT TRANSFER]],SIP[[#Headers],[Investor ID]]:SIP[[#This Row],[Investor ID]],SIP[[#This Row],[Investor ID]])</f>
        <v>0</v>
      </c>
    </row>
    <row r="11" spans="1:23" ht="15" customHeight="1">
      <c r="A11" s="46">
        <v>2023</v>
      </c>
      <c r="B11" s="46">
        <v>5</v>
      </c>
      <c r="C11" s="46">
        <v>5</v>
      </c>
      <c r="D11" s="65">
        <f>DATE(SIP[[#This Row],[Year]],SIP[[#This Row],[Month]],SIP[[#This Row],[Day]])</f>
        <v>45051</v>
      </c>
      <c r="E11" s="66" t="str" cm="1">
        <f t="array" ref="E11">INDEX(INVESTORS_LIST[INVESTOR NAME],MATCH(SIP[[#This Row],[Investor ID]],INVESTORS_LIST[INVESTOR CODE],0),)</f>
        <v>NANDINI SAHA</v>
      </c>
      <c r="F11" s="46" t="s">
        <v>242</v>
      </c>
      <c r="G11" s="46">
        <f>COUNTIF(SIP[[#Headers],[Investor ID]]:SIP[[#This Row],[Investor ID]],SIP[[#This Row],[Investor ID]])</f>
        <v>1</v>
      </c>
      <c r="H11" s="46" t="str">
        <f>CONCATENATE(SIP[[#This Row],[Frequency]],SIP[[#This Row],[Investor ID]])</f>
        <v>1A00097</v>
      </c>
      <c r="I11" s="46" t="str">
        <f>IF(SIP[[#This Row],[B/S]]="B","BUY",(IF(SIP[[#This Row],[B/S]]="S","SELL"," ")))</f>
        <v>BUY</v>
      </c>
      <c r="J11" s="46" t="s">
        <v>1229</v>
      </c>
      <c r="K11" s="69">
        <v>30000</v>
      </c>
      <c r="L11" s="69"/>
      <c r="M11" s="70">
        <f>SIP[[#This Row],[Amount]]/SIP[[#This Row],[Unit]]</f>
        <v>10.124873439082011</v>
      </c>
      <c r="N11" s="71">
        <f>SIP[[#This Row],[Unit Capital]]/10</f>
        <v>2963</v>
      </c>
      <c r="O11" s="72">
        <f>SUMIFS(SIP[[#Headers],[Unit]]:SIP[[#This Row],[Unit]],SIP[[#Headers],[Investor ID]]:SIP[[#This Row],[Investor ID]],SIP[[#This Row],[Investor ID]])</f>
        <v>2963</v>
      </c>
      <c r="P11" s="73">
        <v>29630</v>
      </c>
      <c r="Q11" s="74">
        <f>SIP[[#This Row],[Amount]]-SIP[[#This Row],[Unit Capital]]</f>
        <v>370</v>
      </c>
      <c r="R1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10.124873439082011</v>
      </c>
      <c r="S11" s="68">
        <f t="shared" si="0"/>
        <v>14.224</v>
      </c>
      <c r="T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" s="74" cm="1">
        <f t="array" ref="U11">IF(SIP[[#This Row],[B/S]]="S",ABS(SIP[[#This Row],[Unit]])*(INDEX(SIP[NAV at Cost (Average)],MATCH(CONCATENATE((SIP[[#This Row],[Frequency]]-1),SIP[[#This Row],[Investor ID]]),SIP[Unique Code],0),0)),0)</f>
        <v>0</v>
      </c>
      <c r="V11" s="74">
        <f>IF(SIP[[#This Row],[BO TRANSFER]]="YES",SIP[[#This Row],[Unit]],)</f>
        <v>0</v>
      </c>
      <c r="W11" s="74">
        <f>SUMIFS(SIP[[#Headers],[BO UNIT TRANSFER]]:SIP[[#This Row],[BO UNIT TRANSFER]],SIP[[#Headers],[Investor ID]]:SIP[[#This Row],[Investor ID]],SIP[[#This Row],[Investor ID]])</f>
        <v>0</v>
      </c>
    </row>
    <row r="12" spans="1:23" ht="15" customHeight="1">
      <c r="A12" s="46">
        <v>2023</v>
      </c>
      <c r="B12" s="46">
        <v>5</v>
      </c>
      <c r="C12" s="46">
        <v>5</v>
      </c>
      <c r="D12" s="65">
        <f>DATE(SIP[[#This Row],[Year]],SIP[[#This Row],[Month]],SIP[[#This Row],[Day]])</f>
        <v>45051</v>
      </c>
      <c r="E12" s="66" t="str" cm="1">
        <f t="array" ref="E12">INDEX(INVESTORS_LIST[INVESTOR NAME],MATCH(SIP[[#This Row],[Investor ID]],INVESTORS_LIST[INVESTOR CODE],0),)</f>
        <v>SHANTA PAUL</v>
      </c>
      <c r="F12" s="46" t="s">
        <v>544</v>
      </c>
      <c r="G12" s="46">
        <f>COUNTIF(SIP[[#Headers],[Investor ID]]:SIP[[#This Row],[Investor ID]],SIP[[#This Row],[Investor ID]])</f>
        <v>2</v>
      </c>
      <c r="H12" s="46" t="str">
        <f>CONCATENATE(SIP[[#This Row],[Frequency]],SIP[[#This Row],[Investor ID]])</f>
        <v>2A00247</v>
      </c>
      <c r="I12" s="46" t="str">
        <f>IF(SIP[[#This Row],[B/S]]="B","BUY",(IF(SIP[[#This Row],[B/S]]="S","SELL"," ")))</f>
        <v>BUY</v>
      </c>
      <c r="J12" s="46" t="s">
        <v>1229</v>
      </c>
      <c r="K12" s="69">
        <v>20000</v>
      </c>
      <c r="L12" s="69"/>
      <c r="M12" s="70">
        <f>SIP[[#This Row],[Amount]]/SIP[[#This Row],[Unit]]</f>
        <v>10.126582278481013</v>
      </c>
      <c r="N12" s="71">
        <f>SIP[[#This Row],[Unit Capital]]/10</f>
        <v>1975</v>
      </c>
      <c r="O12" s="72">
        <f>SUMIFS(SIP[[#Headers],[Unit]]:SIP[[#This Row],[Unit]],SIP[[#Headers],[Investor ID]]:SIP[[#This Row],[Investor ID]],SIP[[#This Row],[Investor ID]])</f>
        <v>3957</v>
      </c>
      <c r="P12" s="73">
        <v>19750</v>
      </c>
      <c r="Q12" s="74">
        <f>SIP[[#This Row],[Amount]]-SIP[[#This Row],[Unit Capital]]</f>
        <v>250</v>
      </c>
      <c r="R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10.108668182966895</v>
      </c>
      <c r="S12" s="68">
        <f t="shared" si="0"/>
        <v>14.224</v>
      </c>
      <c r="T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" s="74" cm="1">
        <f t="array" ref="U12">IF(SIP[[#This Row],[B/S]]="S",ABS(SIP[[#This Row],[Unit]])*(INDEX(SIP[NAV at Cost (Average)],MATCH(CONCATENATE((SIP[[#This Row],[Frequency]]-1),SIP[[#This Row],[Investor ID]]),SIP[Unique Code],0),0)),0)</f>
        <v>0</v>
      </c>
      <c r="V12" s="74">
        <f>IF(SIP[[#This Row],[BO TRANSFER]]="YES",SIP[[#This Row],[Unit]],)</f>
        <v>0</v>
      </c>
      <c r="W12" s="74">
        <f>SUMIFS(SIP[[#Headers],[BO UNIT TRANSFER]]:SIP[[#This Row],[BO UNIT TRANSFER]],SIP[[#Headers],[Investor ID]]:SIP[[#This Row],[Investor ID]],SIP[[#This Row],[Investor ID]])</f>
        <v>0</v>
      </c>
    </row>
    <row r="13" spans="1:23" ht="15" customHeight="1">
      <c r="A13" s="46">
        <v>2023</v>
      </c>
      <c r="B13" s="46">
        <v>5</v>
      </c>
      <c r="C13" s="46">
        <v>5</v>
      </c>
      <c r="D13" s="65">
        <f>DATE(SIP[[#This Row],[Year]],SIP[[#This Row],[Month]],SIP[[#This Row],[Day]])</f>
        <v>45051</v>
      </c>
      <c r="E13" s="66" t="str" cm="1">
        <f t="array" ref="E13">INDEX(INVESTORS_LIST[INVESTOR NAME],MATCH(SIP[[#This Row],[Investor ID]],INVESTORS_LIST[INVESTOR CODE],0),)</f>
        <v>MD. MONIRUL ISLAM</v>
      </c>
      <c r="F13" s="46" t="s">
        <v>996</v>
      </c>
      <c r="G13" s="46">
        <f>COUNTIF(SIP[[#Headers],[Investor ID]]:SIP[[#This Row],[Investor ID]],SIP[[#This Row],[Investor ID]])</f>
        <v>1</v>
      </c>
      <c r="H13" s="46" t="str">
        <f>CONCATENATE(SIP[[#This Row],[Frequency]],SIP[[#This Row],[Investor ID]])</f>
        <v>1A00475</v>
      </c>
      <c r="I13" s="46" t="str">
        <f>IF(SIP[[#This Row],[B/S]]="B","BUY",(IF(SIP[[#This Row],[B/S]]="S","SELL"," ")))</f>
        <v>BUY</v>
      </c>
      <c r="J13" s="46" t="s">
        <v>1229</v>
      </c>
      <c r="K13" s="69">
        <v>10000</v>
      </c>
      <c r="L13" s="69"/>
      <c r="M13" s="70">
        <f>SIP[[#This Row],[Amount]]/SIP[[#This Row],[Unit]]</f>
        <v>10.121457489878543</v>
      </c>
      <c r="N13" s="71">
        <f>SIP[[#This Row],[Unit Capital]]/10</f>
        <v>988</v>
      </c>
      <c r="O13" s="72">
        <f>SUMIFS(SIP[[#Headers],[Unit]]:SIP[[#This Row],[Unit]],SIP[[#Headers],[Investor ID]]:SIP[[#This Row],[Investor ID]],SIP[[#This Row],[Investor ID]])</f>
        <v>988</v>
      </c>
      <c r="P13" s="73">
        <v>9880</v>
      </c>
      <c r="Q13" s="74">
        <f>SIP[[#This Row],[Amount]]-SIP[[#This Row],[Unit Capital]]</f>
        <v>120</v>
      </c>
      <c r="R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10.121457489878543</v>
      </c>
      <c r="S13" s="68">
        <f t="shared" si="0"/>
        <v>14.224</v>
      </c>
      <c r="T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" s="74" cm="1">
        <f t="array" ref="U13">IF(SIP[[#This Row],[B/S]]="S",ABS(SIP[[#This Row],[Unit]])*(INDEX(SIP[NAV at Cost (Average)],MATCH(CONCATENATE((SIP[[#This Row],[Frequency]]-1),SIP[[#This Row],[Investor ID]]),SIP[Unique Code],0),0)),0)</f>
        <v>0</v>
      </c>
      <c r="V13" s="74">
        <f>IF(SIP[[#This Row],[BO TRANSFER]]="YES",SIP[[#This Row],[Unit]],)</f>
        <v>0</v>
      </c>
      <c r="W13" s="74">
        <f>SUMIFS(SIP[[#Headers],[BO UNIT TRANSFER]]:SIP[[#This Row],[BO UNIT TRANSFER]],SIP[[#Headers],[Investor ID]]:SIP[[#This Row],[Investor ID]],SIP[[#This Row],[Investor ID]])</f>
        <v>0</v>
      </c>
    </row>
    <row r="14" spans="1:23" ht="15" customHeight="1">
      <c r="A14" s="46">
        <v>2023</v>
      </c>
      <c r="B14" s="46">
        <v>5</v>
      </c>
      <c r="C14" s="46">
        <v>5</v>
      </c>
      <c r="D14" s="65">
        <f>DATE(SIP[[#This Row],[Year]],SIP[[#This Row],[Month]],SIP[[#This Row],[Day]])</f>
        <v>45051</v>
      </c>
      <c r="E14" s="66" t="str" cm="1">
        <f t="array" ref="E14">INDEX(INVESTORS_LIST[INVESTOR NAME],MATCH(SIP[[#This Row],[Investor ID]],INVESTORS_LIST[INVESTOR CODE],0),)</f>
        <v>KAZI AHSAN MARUF</v>
      </c>
      <c r="F14" s="46" t="s">
        <v>158</v>
      </c>
      <c r="G14" s="46">
        <f>COUNTIF(SIP[[#Headers],[Investor ID]]:SIP[[#This Row],[Investor ID]],SIP[[#This Row],[Investor ID]])</f>
        <v>1</v>
      </c>
      <c r="H14" s="46" t="str">
        <f>CONCATENATE(SIP[[#This Row],[Frequency]],SIP[[#This Row],[Investor ID]])</f>
        <v>1A00055</v>
      </c>
      <c r="I14" s="46" t="str">
        <f>IF(SIP[[#This Row],[B/S]]="B","BUY",(IF(SIP[[#This Row],[B/S]]="S","SELL"," ")))</f>
        <v>BUY</v>
      </c>
      <c r="J14" s="46" t="s">
        <v>1229</v>
      </c>
      <c r="K14" s="69">
        <v>50000</v>
      </c>
      <c r="L14" s="69"/>
      <c r="M14" s="70">
        <f>SIP[[#This Row],[Amount]]/SIP[[#This Row],[Unit]]</f>
        <v>10.125556905629809</v>
      </c>
      <c r="N14" s="71">
        <f>SIP[[#This Row],[Unit Capital]]/10</f>
        <v>4938</v>
      </c>
      <c r="O14" s="72">
        <f>SUMIFS(SIP[[#Headers],[Unit]]:SIP[[#This Row],[Unit]],SIP[[#Headers],[Investor ID]]:SIP[[#This Row],[Investor ID]],SIP[[#This Row],[Investor ID]])</f>
        <v>4938</v>
      </c>
      <c r="P14" s="73">
        <v>49380</v>
      </c>
      <c r="Q14" s="74">
        <f>SIP[[#This Row],[Amount]]-SIP[[#This Row],[Unit Capital]]</f>
        <v>620</v>
      </c>
      <c r="R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10.125556905629809</v>
      </c>
      <c r="S14" s="68">
        <f t="shared" si="0"/>
        <v>14.224</v>
      </c>
      <c r="T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" s="74" cm="1">
        <f t="array" ref="U14">IF(SIP[[#This Row],[B/S]]="S",ABS(SIP[[#This Row],[Unit]])*(INDEX(SIP[NAV at Cost (Average)],MATCH(CONCATENATE((SIP[[#This Row],[Frequency]]-1),SIP[[#This Row],[Investor ID]]),SIP[Unique Code],0),0)),0)</f>
        <v>0</v>
      </c>
      <c r="V14" s="74">
        <f>IF(SIP[[#This Row],[BO TRANSFER]]="YES",SIP[[#This Row],[Unit]],)</f>
        <v>0</v>
      </c>
      <c r="W14" s="74">
        <f>SUMIFS(SIP[[#Headers],[BO UNIT TRANSFER]]:SIP[[#This Row],[BO UNIT TRANSFER]],SIP[[#Headers],[Investor ID]]:SIP[[#This Row],[Investor ID]],SIP[[#This Row],[Investor ID]])</f>
        <v>0</v>
      </c>
    </row>
    <row r="15" spans="1:23" ht="15" customHeight="1">
      <c r="A15" s="46">
        <v>2023</v>
      </c>
      <c r="B15" s="46">
        <v>5</v>
      </c>
      <c r="C15" s="46">
        <v>5</v>
      </c>
      <c r="D15" s="65">
        <f>DATE(SIP[[#This Row],[Year]],SIP[[#This Row],[Month]],SIP[[#This Row],[Day]])</f>
        <v>45051</v>
      </c>
      <c r="E15" s="66" t="str" cm="1">
        <f t="array" ref="E15">INDEX(INVESTORS_LIST[INVESTOR NAME],MATCH(SIP[[#This Row],[Investor ID]],INVESTORS_LIST[INVESTOR CODE],0),)</f>
        <v>SHUVA SAHA</v>
      </c>
      <c r="F15" s="46" t="s">
        <v>154</v>
      </c>
      <c r="G15" s="46">
        <f>COUNTIF(SIP[[#Headers],[Investor ID]]:SIP[[#This Row],[Investor ID]],SIP[[#This Row],[Investor ID]])</f>
        <v>2</v>
      </c>
      <c r="H15" s="46" t="str">
        <f>CONCATENATE(SIP[[#This Row],[Frequency]],SIP[[#This Row],[Investor ID]])</f>
        <v>2A00053</v>
      </c>
      <c r="I15" s="46" t="str">
        <f>IF(SIP[[#This Row],[B/S]]="B","BUY",(IF(SIP[[#This Row],[B/S]]="S","SELL"," ")))</f>
        <v>BUY</v>
      </c>
      <c r="J15" s="46" t="s">
        <v>1229</v>
      </c>
      <c r="K15" s="69">
        <v>50000</v>
      </c>
      <c r="L15" s="69"/>
      <c r="M15" s="70">
        <f>SIP[[#This Row],[Amount]]/SIP[[#This Row],[Unit]]</f>
        <v>10.125556905629809</v>
      </c>
      <c r="N15" s="71">
        <f>SIP[[#This Row],[Unit Capital]]/10</f>
        <v>4938</v>
      </c>
      <c r="O15" s="72">
        <f>SUMIFS(SIP[[#Headers],[Unit]]:SIP[[#This Row],[Unit]],SIP[[#Headers],[Investor ID]]:SIP[[#This Row],[Investor ID]],SIP[[#This Row],[Investor ID]])</f>
        <v>11851</v>
      </c>
      <c r="P15" s="73">
        <v>49380</v>
      </c>
      <c r="Q15" s="74">
        <f>SIP[[#This Row],[Amount]]-SIP[[#This Row],[Unit Capital]]</f>
        <v>620</v>
      </c>
      <c r="R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10.125727786684667</v>
      </c>
      <c r="S15" s="68">
        <f t="shared" si="0"/>
        <v>14.224</v>
      </c>
      <c r="T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" s="74" cm="1">
        <f t="array" ref="U15">IF(SIP[[#This Row],[B/S]]="S",ABS(SIP[[#This Row],[Unit]])*(INDEX(SIP[NAV at Cost (Average)],MATCH(CONCATENATE((SIP[[#This Row],[Frequency]]-1),SIP[[#This Row],[Investor ID]]),SIP[Unique Code],0),0)),0)</f>
        <v>0</v>
      </c>
      <c r="V15" s="74">
        <f>IF(SIP[[#This Row],[BO TRANSFER]]="YES",SIP[[#This Row],[Unit]],)</f>
        <v>0</v>
      </c>
      <c r="W15" s="74">
        <f>SUMIFS(SIP[[#Headers],[BO UNIT TRANSFER]]:SIP[[#This Row],[BO UNIT TRANSFER]],SIP[[#Headers],[Investor ID]]:SIP[[#This Row],[Investor ID]],SIP[[#This Row],[Investor ID]])</f>
        <v>0</v>
      </c>
    </row>
    <row r="16" spans="1:23" ht="15" customHeight="1">
      <c r="A16" s="46">
        <v>2023</v>
      </c>
      <c r="B16" s="46">
        <v>5</v>
      </c>
      <c r="C16" s="46">
        <v>26</v>
      </c>
      <c r="D16" s="65">
        <f>DATE(SIP[[#This Row],[Year]],SIP[[#This Row],[Month]],SIP[[#This Row],[Day]])</f>
        <v>45072</v>
      </c>
      <c r="E16" s="66" t="str" cm="1">
        <f t="array" ref="E16">INDEX(INVESTORS_LIST[INVESTOR NAME],MATCH(SIP[[#This Row],[Investor ID]],INVESTORS_LIST[INVESTOR CODE],0),)</f>
        <v>MD. MOHIBULLAH CHOWDHURY</v>
      </c>
      <c r="F16" s="46" t="s">
        <v>1006</v>
      </c>
      <c r="G16" s="46">
        <f>COUNTIF(SIP[[#Headers],[Investor ID]]:SIP[[#This Row],[Investor ID]],SIP[[#This Row],[Investor ID]])</f>
        <v>1</v>
      </c>
      <c r="H16" s="46" t="str">
        <f>CONCATENATE(SIP[[#This Row],[Frequency]],SIP[[#This Row],[Investor ID]])</f>
        <v>1A00480</v>
      </c>
      <c r="I16" s="46" t="str">
        <f>IF(SIP[[#This Row],[B/S]]="B","BUY",(IF(SIP[[#This Row],[B/S]]="S","SELL"," ")))</f>
        <v>BUY</v>
      </c>
      <c r="J16" s="46" t="s">
        <v>1229</v>
      </c>
      <c r="K16" s="69">
        <v>10000</v>
      </c>
      <c r="L16" s="69"/>
      <c r="M16" s="70">
        <f>SIP[[#This Row],[Amount]]/SIP[[#This Row],[Unit]]</f>
        <v>10.172939979654121</v>
      </c>
      <c r="N16" s="71">
        <f>SIP[[#This Row],[Unit Capital]]/10</f>
        <v>983</v>
      </c>
      <c r="O16" s="72">
        <f>SUMIFS(SIP[[#Headers],[Unit]]:SIP[[#This Row],[Unit]],SIP[[#Headers],[Investor ID]]:SIP[[#This Row],[Investor ID]],SIP[[#This Row],[Investor ID]])</f>
        <v>983</v>
      </c>
      <c r="P16" s="73">
        <v>9830</v>
      </c>
      <c r="Q16" s="74">
        <f>SIP[[#This Row],[Amount]]-SIP[[#This Row],[Unit Capital]]</f>
        <v>170</v>
      </c>
      <c r="R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10.172939979654121</v>
      </c>
      <c r="S16" s="68">
        <f t="shared" si="0"/>
        <v>14.224</v>
      </c>
      <c r="T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" s="74" cm="1">
        <f t="array" ref="U16">IF(SIP[[#This Row],[B/S]]="S",ABS(SIP[[#This Row],[Unit]])*(INDEX(SIP[NAV at Cost (Average)],MATCH(CONCATENATE((SIP[[#This Row],[Frequency]]-1),SIP[[#This Row],[Investor ID]]),SIP[Unique Code],0),0)),0)</f>
        <v>0</v>
      </c>
      <c r="V16" s="74">
        <f>IF(SIP[[#This Row],[BO TRANSFER]]="YES",SIP[[#This Row],[Unit]],)</f>
        <v>0</v>
      </c>
      <c r="W16" s="74">
        <f>SUMIFS(SIP[[#Headers],[BO UNIT TRANSFER]]:SIP[[#This Row],[BO UNIT TRANSFER]],SIP[[#Headers],[Investor ID]]:SIP[[#This Row],[Investor ID]],SIP[[#This Row],[Investor ID]])</f>
        <v>0</v>
      </c>
    </row>
    <row r="17" spans="1:23" ht="15" customHeight="1">
      <c r="A17" s="46">
        <v>2023</v>
      </c>
      <c r="B17" s="46">
        <v>5</v>
      </c>
      <c r="C17" s="46">
        <v>26</v>
      </c>
      <c r="D17" s="65">
        <f>DATE(SIP[[#This Row],[Year]],SIP[[#This Row],[Month]],SIP[[#This Row],[Day]])</f>
        <v>45072</v>
      </c>
      <c r="E17" s="66" t="str" cm="1">
        <f t="array" ref="E17">INDEX(INVESTORS_LIST[INVESTOR NAME],MATCH(SIP[[#This Row],[Investor ID]],INVESTORS_LIST[INVESTOR CODE],0),)</f>
        <v>KHAN MUHAMMAD FAISOL</v>
      </c>
      <c r="F17" s="46" t="s">
        <v>930</v>
      </c>
      <c r="G17" s="46">
        <f>COUNTIF(SIP[[#Headers],[Investor ID]]:SIP[[#This Row],[Investor ID]],SIP[[#This Row],[Investor ID]])</f>
        <v>1</v>
      </c>
      <c r="H17" s="46" t="str">
        <f>CONCATENATE(SIP[[#This Row],[Frequency]],SIP[[#This Row],[Investor ID]])</f>
        <v>1A00442</v>
      </c>
      <c r="I17" s="46" t="str">
        <f>IF(SIP[[#This Row],[B/S]]="B","BUY",(IF(SIP[[#This Row],[B/S]]="S","SELL"," ")))</f>
        <v>BUY</v>
      </c>
      <c r="J17" s="46" t="s">
        <v>1229</v>
      </c>
      <c r="K17" s="69">
        <v>1000</v>
      </c>
      <c r="L17" s="69"/>
      <c r="M17" s="70">
        <f>SIP[[#This Row],[Amount]]/SIP[[#This Row],[Unit]]</f>
        <v>10.204081632653061</v>
      </c>
      <c r="N17" s="71">
        <f>SIP[[#This Row],[Unit Capital]]/10</f>
        <v>98</v>
      </c>
      <c r="O17" s="72">
        <f>SUMIFS(SIP[[#Headers],[Unit]]:SIP[[#This Row],[Unit]],SIP[[#Headers],[Investor ID]]:SIP[[#This Row],[Investor ID]],SIP[[#This Row],[Investor ID]])</f>
        <v>98</v>
      </c>
      <c r="P17" s="73">
        <v>980</v>
      </c>
      <c r="Q17" s="74">
        <f>SIP[[#This Row],[Amount]]-SIP[[#This Row],[Unit Capital]]</f>
        <v>20</v>
      </c>
      <c r="R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10.204081632653061</v>
      </c>
      <c r="S17" s="68">
        <f t="shared" si="0"/>
        <v>14.224</v>
      </c>
      <c r="T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" s="74" cm="1">
        <f t="array" ref="U17">IF(SIP[[#This Row],[B/S]]="S",ABS(SIP[[#This Row],[Unit]])*(INDEX(SIP[NAV at Cost (Average)],MATCH(CONCATENATE((SIP[[#This Row],[Frequency]]-1),SIP[[#This Row],[Investor ID]]),SIP[Unique Code],0),0)),0)</f>
        <v>0</v>
      </c>
      <c r="V17" s="74">
        <f>IF(SIP[[#This Row],[BO TRANSFER]]="YES",SIP[[#This Row],[Unit]],)</f>
        <v>0</v>
      </c>
      <c r="W17" s="74">
        <f>SUMIFS(SIP[[#Headers],[BO UNIT TRANSFER]]:SIP[[#This Row],[BO UNIT TRANSFER]],SIP[[#Headers],[Investor ID]]:SIP[[#This Row],[Investor ID]],SIP[[#This Row],[Investor ID]])</f>
        <v>0</v>
      </c>
    </row>
    <row r="18" spans="1:23" ht="15" customHeight="1">
      <c r="A18" s="46">
        <v>2023</v>
      </c>
      <c r="B18" s="46">
        <v>5</v>
      </c>
      <c r="C18" s="46">
        <v>26</v>
      </c>
      <c r="D18" s="65">
        <f>DATE(SIP[[#This Row],[Year]],SIP[[#This Row],[Month]],SIP[[#This Row],[Day]])</f>
        <v>45072</v>
      </c>
      <c r="E18" s="66" t="str" cm="1">
        <f t="array" ref="E18">INDEX(INVESTORS_LIST[INVESTOR NAME],MATCH(SIP[[#This Row],[Investor ID]],INVESTORS_LIST[INVESTOR CODE],0),)</f>
        <v>MD. WALI ULLAH</v>
      </c>
      <c r="F18" s="46" t="s">
        <v>443</v>
      </c>
      <c r="G18" s="46">
        <f>COUNTIF(SIP[[#Headers],[Investor ID]]:SIP[[#This Row],[Investor ID]],SIP[[#This Row],[Investor ID]])</f>
        <v>1</v>
      </c>
      <c r="H18" s="46" t="str">
        <f>CONCATENATE(SIP[[#This Row],[Frequency]],SIP[[#This Row],[Investor ID]])</f>
        <v>1A00197</v>
      </c>
      <c r="I18" s="46" t="str">
        <f>IF(SIP[[#This Row],[B/S]]="B","BUY",(IF(SIP[[#This Row],[B/S]]="S","SELL"," ")))</f>
        <v>BUY</v>
      </c>
      <c r="J18" s="46" t="s">
        <v>1229</v>
      </c>
      <c r="K18" s="69">
        <v>15000</v>
      </c>
      <c r="L18" s="69"/>
      <c r="M18" s="70">
        <f>SIP[[#This Row],[Amount]]/SIP[[#This Row],[Unit]]</f>
        <v>10.169491525423728</v>
      </c>
      <c r="N18" s="71">
        <f>SIP[[#This Row],[Unit Capital]]/10</f>
        <v>1475</v>
      </c>
      <c r="O18" s="72">
        <f>SUMIFS(SIP[[#Headers],[Unit]]:SIP[[#This Row],[Unit]],SIP[[#Headers],[Investor ID]]:SIP[[#This Row],[Investor ID]],SIP[[#This Row],[Investor ID]])</f>
        <v>1475</v>
      </c>
      <c r="P18" s="73">
        <v>14750</v>
      </c>
      <c r="Q18" s="74">
        <f>SIP[[#This Row],[Amount]]-SIP[[#This Row],[Unit Capital]]</f>
        <v>250</v>
      </c>
      <c r="R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10.169491525423728</v>
      </c>
      <c r="S18" s="68">
        <f t="shared" si="0"/>
        <v>14.224</v>
      </c>
      <c r="T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" s="74" cm="1">
        <f t="array" ref="U18">IF(SIP[[#This Row],[B/S]]="S",ABS(SIP[[#This Row],[Unit]])*(INDEX(SIP[NAV at Cost (Average)],MATCH(CONCATENATE((SIP[[#This Row],[Frequency]]-1),SIP[[#This Row],[Investor ID]]),SIP[Unique Code],0),0)),0)</f>
        <v>0</v>
      </c>
      <c r="V18" s="74">
        <f>IF(SIP[[#This Row],[BO TRANSFER]]="YES",SIP[[#This Row],[Unit]],)</f>
        <v>0</v>
      </c>
      <c r="W18" s="74">
        <f>SUMIFS(SIP[[#Headers],[BO UNIT TRANSFER]]:SIP[[#This Row],[BO UNIT TRANSFER]],SIP[[#Headers],[Investor ID]]:SIP[[#This Row],[Investor ID]],SIP[[#This Row],[Investor ID]])</f>
        <v>0</v>
      </c>
    </row>
    <row r="19" spans="1:23" ht="15" customHeight="1">
      <c r="A19" s="46">
        <v>2023</v>
      </c>
      <c r="B19" s="46">
        <v>5</v>
      </c>
      <c r="C19" s="46">
        <v>26</v>
      </c>
      <c r="D19" s="65">
        <f>DATE(SIP[[#This Row],[Year]],SIP[[#This Row],[Month]],SIP[[#This Row],[Day]])</f>
        <v>45072</v>
      </c>
      <c r="E19" s="66" t="str" cm="1">
        <f t="array" ref="E19">INDEX(INVESTORS_LIST[INVESTOR NAME],MATCH(SIP[[#This Row],[Investor ID]],INVESTORS_LIST[INVESTOR CODE],0),)</f>
        <v>SABIRA SALAM RIDI</v>
      </c>
      <c r="F19" s="46" t="s">
        <v>988</v>
      </c>
      <c r="G19" s="46">
        <f>COUNTIF(SIP[[#Headers],[Investor ID]]:SIP[[#This Row],[Investor ID]],SIP[[#This Row],[Investor ID]])</f>
        <v>2</v>
      </c>
      <c r="H19" s="46" t="str">
        <f>CONCATENATE(SIP[[#This Row],[Frequency]],SIP[[#This Row],[Investor ID]])</f>
        <v>2A00471</v>
      </c>
      <c r="I19" s="46" t="str">
        <f>IF(SIP[[#This Row],[B/S]]="B","BUY",(IF(SIP[[#This Row],[B/S]]="S","SELL"," ")))</f>
        <v>BUY</v>
      </c>
      <c r="J19" s="46" t="s">
        <v>1229</v>
      </c>
      <c r="K19" s="69">
        <v>1000</v>
      </c>
      <c r="L19" s="69"/>
      <c r="M19" s="70">
        <f>SIP[[#This Row],[Amount]]/SIP[[#This Row],[Unit]]</f>
        <v>10.204081632653061</v>
      </c>
      <c r="N19" s="71">
        <f>SIP[[#This Row],[Unit Capital]]/10</f>
        <v>98</v>
      </c>
      <c r="O19" s="72">
        <f>SUMIFS(SIP[[#Headers],[Unit]]:SIP[[#This Row],[Unit]],SIP[[#Headers],[Investor ID]]:SIP[[#This Row],[Investor ID]],SIP[[#This Row],[Investor ID]])</f>
        <v>197</v>
      </c>
      <c r="P19" s="73">
        <v>980</v>
      </c>
      <c r="Q19" s="74">
        <f>SIP[[#This Row],[Amount]]-SIP[[#This Row],[Unit Capital]]</f>
        <v>20</v>
      </c>
      <c r="R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10.152284263959391</v>
      </c>
      <c r="S19" s="68">
        <f t="shared" si="0"/>
        <v>14.224</v>
      </c>
      <c r="T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" s="74" cm="1">
        <f t="array" ref="U19">IF(SIP[[#This Row],[B/S]]="S",ABS(SIP[[#This Row],[Unit]])*(INDEX(SIP[NAV at Cost (Average)],MATCH(CONCATENATE((SIP[[#This Row],[Frequency]]-1),SIP[[#This Row],[Investor ID]]),SIP[Unique Code],0),0)),0)</f>
        <v>0</v>
      </c>
      <c r="V19" s="74">
        <f>IF(SIP[[#This Row],[BO TRANSFER]]="YES",SIP[[#This Row],[Unit]],)</f>
        <v>0</v>
      </c>
      <c r="W19" s="74">
        <f>SUMIFS(SIP[[#Headers],[BO UNIT TRANSFER]]:SIP[[#This Row],[BO UNIT TRANSFER]],SIP[[#Headers],[Investor ID]]:SIP[[#This Row],[Investor ID]],SIP[[#This Row],[Investor ID]])</f>
        <v>0</v>
      </c>
    </row>
    <row r="20" spans="1:23" ht="15" customHeight="1">
      <c r="A20" s="46">
        <v>2023</v>
      </c>
      <c r="B20" s="46">
        <v>5</v>
      </c>
      <c r="C20" s="46">
        <v>26</v>
      </c>
      <c r="D20" s="65">
        <f>DATE(SIP[[#This Row],[Year]],SIP[[#This Row],[Month]],SIP[[#This Row],[Day]])</f>
        <v>45072</v>
      </c>
      <c r="E20" s="66" t="str" cm="1">
        <f t="array" ref="E20">INDEX(INVESTORS_LIST[INVESTOR NAME],MATCH(SIP[[#This Row],[Investor ID]],INVESTORS_LIST[INVESTOR CODE],0),)</f>
        <v>SAJJAD CHOWDHURY</v>
      </c>
      <c r="F20" s="46" t="s">
        <v>461</v>
      </c>
      <c r="G20" s="46">
        <f>COUNTIF(SIP[[#Headers],[Investor ID]]:SIP[[#This Row],[Investor ID]],SIP[[#This Row],[Investor ID]])</f>
        <v>1</v>
      </c>
      <c r="H20" s="46" t="str">
        <f>CONCATENATE(SIP[[#This Row],[Frequency]],SIP[[#This Row],[Investor ID]])</f>
        <v>1A00206</v>
      </c>
      <c r="I20" s="46" t="str">
        <f>IF(SIP[[#This Row],[B/S]]="B","BUY",(IF(SIP[[#This Row],[B/S]]="S","SELL"," ")))</f>
        <v>BUY</v>
      </c>
      <c r="J20" s="46" t="s">
        <v>1229</v>
      </c>
      <c r="K20" s="69">
        <v>7500</v>
      </c>
      <c r="L20" s="69"/>
      <c r="M20" s="70">
        <f>SIP[[#This Row],[Amount]]/SIP[[#This Row],[Unit]]</f>
        <v>10.176390773405698</v>
      </c>
      <c r="N20" s="71">
        <f>SIP[[#This Row],[Unit Capital]]/10</f>
        <v>737</v>
      </c>
      <c r="O20" s="72">
        <f>SUMIFS(SIP[[#Headers],[Unit]]:SIP[[#This Row],[Unit]],SIP[[#Headers],[Investor ID]]:SIP[[#This Row],[Investor ID]],SIP[[#This Row],[Investor ID]])</f>
        <v>737</v>
      </c>
      <c r="P20" s="73">
        <v>7370</v>
      </c>
      <c r="Q20" s="74">
        <f>SIP[[#This Row],[Amount]]-SIP[[#This Row],[Unit Capital]]</f>
        <v>130</v>
      </c>
      <c r="R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10.176390773405698</v>
      </c>
      <c r="S20" s="68">
        <f t="shared" si="0"/>
        <v>14.224</v>
      </c>
      <c r="T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" s="74" cm="1">
        <f t="array" ref="U20">IF(SIP[[#This Row],[B/S]]="S",ABS(SIP[[#This Row],[Unit]])*(INDEX(SIP[NAV at Cost (Average)],MATCH(CONCATENATE((SIP[[#This Row],[Frequency]]-1),SIP[[#This Row],[Investor ID]]),SIP[Unique Code],0),0)),0)</f>
        <v>0</v>
      </c>
      <c r="V20" s="74">
        <f>IF(SIP[[#This Row],[BO TRANSFER]]="YES",SIP[[#This Row],[Unit]],)</f>
        <v>0</v>
      </c>
      <c r="W20" s="74">
        <f>SUMIFS(SIP[[#Headers],[BO UNIT TRANSFER]]:SIP[[#This Row],[BO UNIT TRANSFER]],SIP[[#Headers],[Investor ID]]:SIP[[#This Row],[Investor ID]],SIP[[#This Row],[Investor ID]])</f>
        <v>0</v>
      </c>
    </row>
    <row r="21" spans="1:23" ht="15" customHeight="1">
      <c r="A21" s="46">
        <v>2023</v>
      </c>
      <c r="B21" s="46">
        <v>5</v>
      </c>
      <c r="C21" s="46">
        <v>26</v>
      </c>
      <c r="D21" s="65">
        <f>DATE(SIP[[#This Row],[Year]],SIP[[#This Row],[Month]],SIP[[#This Row],[Day]])</f>
        <v>45072</v>
      </c>
      <c r="E21" s="66" t="str" cm="1">
        <f t="array" ref="E21">INDEX(INVESTORS_LIST[INVESTOR NAME],MATCH(SIP[[#This Row],[Investor ID]],INVESTORS_LIST[INVESTOR CODE],0),)</f>
        <v>EKUSH WEALTH MANAGEMENT LIMITED EMPLOYEES CONTRIBUTORY PROVIDENT FUND</v>
      </c>
      <c r="F21" s="46" t="s">
        <v>831</v>
      </c>
      <c r="G21" s="46">
        <f>COUNTIF(SIP[[#Headers],[Investor ID]]:SIP[[#This Row],[Investor ID]],SIP[[#This Row],[Investor ID]])</f>
        <v>1</v>
      </c>
      <c r="H21" s="46" t="str">
        <f>CONCATENATE(SIP[[#This Row],[Frequency]],SIP[[#This Row],[Investor ID]])</f>
        <v>1A00392</v>
      </c>
      <c r="I21" s="46" t="str">
        <f>IF(SIP[[#This Row],[B/S]]="B","BUY",(IF(SIP[[#This Row],[B/S]]="S","SELL"," ")))</f>
        <v>BUY</v>
      </c>
      <c r="J21" s="46" t="s">
        <v>1229</v>
      </c>
      <c r="K21" s="69">
        <v>22040</v>
      </c>
      <c r="L21" s="69"/>
      <c r="M21" s="70">
        <f>SIP[[#This Row],[Amount]]/SIP[[#This Row],[Unit]]</f>
        <v>10.170742962621135</v>
      </c>
      <c r="N21" s="71">
        <f>SIP[[#This Row],[Unit Capital]]/10</f>
        <v>2167</v>
      </c>
      <c r="O21" s="72">
        <f>SUMIFS(SIP[[#Headers],[Unit]]:SIP[[#This Row],[Unit]],SIP[[#Headers],[Investor ID]]:SIP[[#This Row],[Investor ID]],SIP[[#This Row],[Investor ID]])</f>
        <v>2167</v>
      </c>
      <c r="P21" s="73">
        <v>21670</v>
      </c>
      <c r="Q21" s="74">
        <f>SIP[[#This Row],[Amount]]-SIP[[#This Row],[Unit Capital]]</f>
        <v>370</v>
      </c>
      <c r="R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10.170742962621135</v>
      </c>
      <c r="S21" s="68">
        <f t="shared" si="0"/>
        <v>14.224</v>
      </c>
      <c r="T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" s="74" cm="1">
        <f t="array" ref="U21">IF(SIP[[#This Row],[B/S]]="S",ABS(SIP[[#This Row],[Unit]])*(INDEX(SIP[NAV at Cost (Average)],MATCH(CONCATENATE((SIP[[#This Row],[Frequency]]-1),SIP[[#This Row],[Investor ID]]),SIP[Unique Code],0),0)),0)</f>
        <v>0</v>
      </c>
      <c r="V21" s="74">
        <f>IF(SIP[[#This Row],[BO TRANSFER]]="YES",SIP[[#This Row],[Unit]],)</f>
        <v>0</v>
      </c>
      <c r="W21" s="74">
        <f>SUMIFS(SIP[[#Headers],[BO UNIT TRANSFER]]:SIP[[#This Row],[BO UNIT TRANSFER]],SIP[[#Headers],[Investor ID]]:SIP[[#This Row],[Investor ID]],SIP[[#This Row],[Investor ID]])</f>
        <v>0</v>
      </c>
    </row>
    <row r="22" spans="1:23" ht="15" customHeight="1">
      <c r="A22" s="46">
        <v>2023</v>
      </c>
      <c r="B22" s="46">
        <v>5</v>
      </c>
      <c r="C22" s="46">
        <v>26</v>
      </c>
      <c r="D22" s="65">
        <f>DATE(SIP[[#This Row],[Year]],SIP[[#This Row],[Month]],SIP[[#This Row],[Day]])</f>
        <v>45072</v>
      </c>
      <c r="E22" s="66" t="str" cm="1">
        <f t="array" ref="E22">INDEX(INVESTORS_LIST[INVESTOR NAME],MATCH(SIP[[#This Row],[Investor ID]],INVESTORS_LIST[INVESTOR CODE],0),)</f>
        <v>S.M. SAIFUL ISLAM</v>
      </c>
      <c r="F22" s="46" t="s">
        <v>1002</v>
      </c>
      <c r="G22" s="46">
        <f>COUNTIF(SIP[[#Headers],[Investor ID]]:SIP[[#This Row],[Investor ID]],SIP[[#This Row],[Investor ID]])</f>
        <v>1</v>
      </c>
      <c r="H22" s="46" t="str">
        <f>CONCATENATE(SIP[[#This Row],[Frequency]],SIP[[#This Row],[Investor ID]])</f>
        <v>1A00478</v>
      </c>
      <c r="I22" s="46" t="str">
        <f>IF(SIP[[#This Row],[B/S]]="B","BUY",(IF(SIP[[#This Row],[B/S]]="S","SELL"," ")))</f>
        <v>BUY</v>
      </c>
      <c r="J22" s="46" t="s">
        <v>1229</v>
      </c>
      <c r="K22" s="69">
        <v>10000</v>
      </c>
      <c r="L22" s="69"/>
      <c r="M22" s="70">
        <f>SIP[[#This Row],[Amount]]/SIP[[#This Row],[Unit]]</f>
        <v>10.172939979654121</v>
      </c>
      <c r="N22" s="71">
        <f>SIP[[#This Row],[Unit Capital]]/10</f>
        <v>983</v>
      </c>
      <c r="O22" s="72">
        <f>SUMIFS(SIP[[#Headers],[Unit]]:SIP[[#This Row],[Unit]],SIP[[#Headers],[Investor ID]]:SIP[[#This Row],[Investor ID]],SIP[[#This Row],[Investor ID]])</f>
        <v>983</v>
      </c>
      <c r="P22" s="73">
        <v>9830</v>
      </c>
      <c r="Q22" s="74">
        <f>SIP[[#This Row],[Amount]]-SIP[[#This Row],[Unit Capital]]</f>
        <v>170</v>
      </c>
      <c r="R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10.172939979654121</v>
      </c>
      <c r="S22" s="68">
        <f t="shared" si="0"/>
        <v>14.224</v>
      </c>
      <c r="T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" s="74" cm="1">
        <f t="array" ref="U22">IF(SIP[[#This Row],[B/S]]="S",ABS(SIP[[#This Row],[Unit]])*(INDEX(SIP[NAV at Cost (Average)],MATCH(CONCATENATE((SIP[[#This Row],[Frequency]]-1),SIP[[#This Row],[Investor ID]]),SIP[Unique Code],0),0)),0)</f>
        <v>0</v>
      </c>
      <c r="V22" s="74">
        <f>IF(SIP[[#This Row],[BO TRANSFER]]="YES",SIP[[#This Row],[Unit]],)</f>
        <v>0</v>
      </c>
      <c r="W22" s="74">
        <f>SUMIFS(SIP[[#Headers],[BO UNIT TRANSFER]]:SIP[[#This Row],[BO UNIT TRANSFER]],SIP[[#Headers],[Investor ID]]:SIP[[#This Row],[Investor ID]],SIP[[#This Row],[Investor ID]])</f>
        <v>0</v>
      </c>
    </row>
    <row r="23" spans="1:23" ht="15" customHeight="1">
      <c r="A23" s="46">
        <v>2023</v>
      </c>
      <c r="B23" s="46">
        <v>5</v>
      </c>
      <c r="C23" s="46">
        <v>26</v>
      </c>
      <c r="D23" s="65">
        <f>DATE(SIP[[#This Row],[Year]],SIP[[#This Row],[Month]],SIP[[#This Row],[Day]])</f>
        <v>45072</v>
      </c>
      <c r="E23" s="66" t="str" cm="1">
        <f t="array" ref="E23">INDEX(INVESTORS_LIST[INVESTOR NAME],MATCH(SIP[[#This Row],[Investor ID]],INVESTORS_LIST[INVESTOR CODE],0),)</f>
        <v>ABIR SAHA</v>
      </c>
      <c r="F23" s="46" t="s">
        <v>990</v>
      </c>
      <c r="G23" s="46">
        <f>COUNTIF(SIP[[#Headers],[Investor ID]]:SIP[[#This Row],[Investor ID]],SIP[[#This Row],[Investor ID]])</f>
        <v>2</v>
      </c>
      <c r="H23" s="46" t="str">
        <f>CONCATENATE(SIP[[#This Row],[Frequency]],SIP[[#This Row],[Investor ID]])</f>
        <v>2A00472</v>
      </c>
      <c r="I23" s="46" t="str">
        <f>IF(SIP[[#This Row],[B/S]]="B","BUY",(IF(SIP[[#This Row],[B/S]]="S","SELL"," ")))</f>
        <v>BUY</v>
      </c>
      <c r="J23" s="46" t="s">
        <v>1229</v>
      </c>
      <c r="K23" s="69">
        <v>1000</v>
      </c>
      <c r="L23" s="69"/>
      <c r="M23" s="70">
        <f>SIP[[#This Row],[Amount]]/SIP[[#This Row],[Unit]]</f>
        <v>10.204081632653061</v>
      </c>
      <c r="N23" s="71">
        <f>SIP[[#This Row],[Unit Capital]]/10</f>
        <v>98</v>
      </c>
      <c r="O23" s="72">
        <f>SUMIFS(SIP[[#Headers],[Unit]]:SIP[[#This Row],[Unit]],SIP[[#Headers],[Investor ID]]:SIP[[#This Row],[Investor ID]],SIP[[#This Row],[Investor ID]])</f>
        <v>197</v>
      </c>
      <c r="P23" s="73">
        <v>980</v>
      </c>
      <c r="Q23" s="74">
        <f>SIP[[#This Row],[Amount]]-SIP[[#This Row],[Unit Capital]]</f>
        <v>20</v>
      </c>
      <c r="R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10.152284263959391</v>
      </c>
      <c r="S23" s="68">
        <f t="shared" si="0"/>
        <v>14.224</v>
      </c>
      <c r="T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" s="74" cm="1">
        <f t="array" ref="U23">IF(SIP[[#This Row],[B/S]]="S",ABS(SIP[[#This Row],[Unit]])*(INDEX(SIP[NAV at Cost (Average)],MATCH(CONCATENATE((SIP[[#This Row],[Frequency]]-1),SIP[[#This Row],[Investor ID]]),SIP[Unique Code],0),0)),0)</f>
        <v>0</v>
      </c>
      <c r="V23" s="74">
        <f>IF(SIP[[#This Row],[BO TRANSFER]]="YES",SIP[[#This Row],[Unit]],)</f>
        <v>0</v>
      </c>
      <c r="W23" s="74">
        <f>SUMIFS(SIP[[#Headers],[BO UNIT TRANSFER]]:SIP[[#This Row],[BO UNIT TRANSFER]],SIP[[#Headers],[Investor ID]]:SIP[[#This Row],[Investor ID]],SIP[[#This Row],[Investor ID]])</f>
        <v>0</v>
      </c>
    </row>
    <row r="24" spans="1:23" ht="15" customHeight="1">
      <c r="A24" s="46">
        <v>2023</v>
      </c>
      <c r="B24" s="46">
        <v>5</v>
      </c>
      <c r="C24" s="46">
        <v>26</v>
      </c>
      <c r="D24" s="65">
        <f>DATE(SIP[[#This Row],[Year]],SIP[[#This Row],[Month]],SIP[[#This Row],[Day]])</f>
        <v>45072</v>
      </c>
      <c r="E24" s="66" t="str" cm="1">
        <f t="array" ref="E24">INDEX(INVESTORS_LIST[INVESTOR NAME],MATCH(SIP[[#This Row],[Investor ID]],INVESTORS_LIST[INVESTOR CODE],0),)</f>
        <v>SRIJON GHOSH</v>
      </c>
      <c r="F24" s="67" t="s">
        <v>894</v>
      </c>
      <c r="G24" s="46">
        <f>COUNTIF(SIP[[#Headers],[Investor ID]]:SIP[[#This Row],[Investor ID]],SIP[[#This Row],[Investor ID]])</f>
        <v>3</v>
      </c>
      <c r="H24" s="46" t="str">
        <f>CONCATENATE(SIP[[#This Row],[Frequency]],SIP[[#This Row],[Investor ID]])</f>
        <v>3A00424</v>
      </c>
      <c r="I24" s="46" t="str">
        <f>IF(SIP[[#This Row],[B/S]]="B","BUY",(IF(SIP[[#This Row],[B/S]]="S","SELL"," ")))</f>
        <v>BUY</v>
      </c>
      <c r="J24" s="46" t="s">
        <v>1229</v>
      </c>
      <c r="K24" s="69">
        <v>15000</v>
      </c>
      <c r="L24" s="69"/>
      <c r="M24" s="70">
        <f>SIP[[#This Row],[Amount]]/SIP[[#This Row],[Unit]]</f>
        <v>10.169491525423728</v>
      </c>
      <c r="N24" s="71">
        <f>SIP[[#This Row],[Unit Capital]]/10</f>
        <v>1475</v>
      </c>
      <c r="O24" s="72">
        <f>SUMIFS(SIP[[#Headers],[Unit]]:SIP[[#This Row],[Unit]],SIP[[#Headers],[Investor ID]]:SIP[[#This Row],[Investor ID]],SIP[[#This Row],[Investor ID]])</f>
        <v>4446</v>
      </c>
      <c r="P24" s="73">
        <v>14750</v>
      </c>
      <c r="Q24" s="74">
        <f>SIP[[#This Row],[Amount]]-SIP[[#This Row],[Unit Capital]]</f>
        <v>250</v>
      </c>
      <c r="R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10.121457489878543</v>
      </c>
      <c r="S24" s="68">
        <f t="shared" si="0"/>
        <v>14.224</v>
      </c>
      <c r="T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" s="74" cm="1">
        <f t="array" ref="U24">IF(SIP[[#This Row],[B/S]]="S",ABS(SIP[[#This Row],[Unit]])*(INDEX(SIP[NAV at Cost (Average)],MATCH(CONCATENATE((SIP[[#This Row],[Frequency]]-1),SIP[[#This Row],[Investor ID]]),SIP[Unique Code],0),0)),0)</f>
        <v>0</v>
      </c>
      <c r="V24" s="74">
        <f>IF(SIP[[#This Row],[BO TRANSFER]]="YES",SIP[[#This Row],[Unit]],)</f>
        <v>0</v>
      </c>
      <c r="W24" s="74">
        <f>SUMIFS(SIP[[#Headers],[BO UNIT TRANSFER]]:SIP[[#This Row],[BO UNIT TRANSFER]],SIP[[#Headers],[Investor ID]]:SIP[[#This Row],[Investor ID]],SIP[[#This Row],[Investor ID]])</f>
        <v>0</v>
      </c>
    </row>
    <row r="25" spans="1:23" ht="15" customHeight="1">
      <c r="A25" s="46">
        <v>2023</v>
      </c>
      <c r="B25" s="46">
        <v>6</v>
      </c>
      <c r="C25" s="46">
        <v>5</v>
      </c>
      <c r="D25" s="65">
        <f>DATE(SIP[[#This Row],[Year]],SIP[[#This Row],[Month]],SIP[[#This Row],[Day]])</f>
        <v>45082</v>
      </c>
      <c r="E25" s="66" t="str" cm="1">
        <f t="array" ref="E25">INDEX(INVESTORS_LIST[INVESTOR NAME],MATCH(SIP[[#This Row],[Investor ID]],INVESTORS_LIST[INVESTOR CODE],0),)</f>
        <v>SHUVA SAHA</v>
      </c>
      <c r="F25" s="46" t="s">
        <v>154</v>
      </c>
      <c r="G25" s="46">
        <f>COUNTIF(SIP[[#Headers],[Investor ID]]:SIP[[#This Row],[Investor ID]],SIP[[#This Row],[Investor ID]])</f>
        <v>3</v>
      </c>
      <c r="H25" s="46" t="str">
        <f>CONCATENATE(SIP[[#This Row],[Frequency]],SIP[[#This Row],[Investor ID]])</f>
        <v>3A00053</v>
      </c>
      <c r="I25" s="46" t="str">
        <f>IF(SIP[[#This Row],[B/S]]="B","BUY",(IF(SIP[[#This Row],[B/S]]="S","SELL"," ")))</f>
        <v>BUY</v>
      </c>
      <c r="J25" s="46" t="s">
        <v>1229</v>
      </c>
      <c r="K25" s="69">
        <v>70000</v>
      </c>
      <c r="L25" s="69"/>
      <c r="M25" s="70">
        <f>SIP[[#This Row],[Amount]]/SIP[[#This Row],[Unit]]</f>
        <v>10.193679918450561</v>
      </c>
      <c r="N25" s="71">
        <f>SIP[[#This Row],[Unit Capital]]/10</f>
        <v>6867</v>
      </c>
      <c r="O25" s="72">
        <f>SUMIFS(SIP[[#Headers],[Unit]]:SIP[[#This Row],[Unit]],SIP[[#Headers],[Investor ID]]:SIP[[#This Row],[Investor ID]],SIP[[#This Row],[Investor ID]])</f>
        <v>18718</v>
      </c>
      <c r="P25" s="73">
        <v>68670</v>
      </c>
      <c r="Q25" s="74">
        <f>SIP[[#This Row],[Amount]]-SIP[[#This Row],[Unit Capital]]</f>
        <v>1330</v>
      </c>
      <c r="R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10.150657121487338</v>
      </c>
      <c r="S25" s="68">
        <f t="shared" si="0"/>
        <v>14.224</v>
      </c>
      <c r="T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" s="74" cm="1">
        <f t="array" ref="U25">IF(SIP[[#This Row],[B/S]]="S",ABS(SIP[[#This Row],[Unit]])*(INDEX(SIP[NAV at Cost (Average)],MATCH(CONCATENATE((SIP[[#This Row],[Frequency]]-1),SIP[[#This Row],[Investor ID]]),SIP[Unique Code],0),0)),0)</f>
        <v>0</v>
      </c>
      <c r="V25" s="74">
        <f>IF(SIP[[#This Row],[BO TRANSFER]]="YES",SIP[[#This Row],[Unit]],)</f>
        <v>0</v>
      </c>
      <c r="W25" s="74">
        <f>SUMIFS(SIP[[#Headers],[BO UNIT TRANSFER]]:SIP[[#This Row],[BO UNIT TRANSFER]],SIP[[#Headers],[Investor ID]]:SIP[[#This Row],[Investor ID]],SIP[[#This Row],[Investor ID]])</f>
        <v>0</v>
      </c>
    </row>
    <row r="26" spans="1:23" ht="15" customHeight="1">
      <c r="A26" s="46">
        <v>2023</v>
      </c>
      <c r="B26" s="46">
        <v>6</v>
      </c>
      <c r="C26" s="46">
        <v>5</v>
      </c>
      <c r="D26" s="65">
        <f>DATE(SIP[[#This Row],[Year]],SIP[[#This Row],[Month]],SIP[[#This Row],[Day]])</f>
        <v>45082</v>
      </c>
      <c r="E26" s="66" t="str" cm="1">
        <f t="array" ref="E26">INDEX(INVESTORS_LIST[INVESTOR NAME],MATCH(SIP[[#This Row],[Investor ID]],INVESTORS_LIST[INVESTOR CODE],0),)</f>
        <v>KAZI AHSAN MARUF</v>
      </c>
      <c r="F26" s="46" t="s">
        <v>158</v>
      </c>
      <c r="G26" s="46">
        <f>COUNTIF(SIP[[#Headers],[Investor ID]]:SIP[[#This Row],[Investor ID]],SIP[[#This Row],[Investor ID]])</f>
        <v>2</v>
      </c>
      <c r="H26" s="46" t="str">
        <f>CONCATENATE(SIP[[#This Row],[Frequency]],SIP[[#This Row],[Investor ID]])</f>
        <v>2A00055</v>
      </c>
      <c r="I26" s="46" t="str">
        <f>IF(SIP[[#This Row],[B/S]]="B","BUY",(IF(SIP[[#This Row],[B/S]]="S","SELL"," ")))</f>
        <v>BUY</v>
      </c>
      <c r="J26" s="46" t="s">
        <v>1229</v>
      </c>
      <c r="K26" s="69">
        <v>50000</v>
      </c>
      <c r="L26" s="69"/>
      <c r="M26" s="70">
        <f>SIP[[#This Row],[Amount]]/SIP[[#This Row],[Unit]]</f>
        <v>10.193679918450561</v>
      </c>
      <c r="N26" s="71">
        <f>SIP[[#This Row],[Unit Capital]]/10</f>
        <v>4905</v>
      </c>
      <c r="O26" s="72">
        <f>SUMIFS(SIP[[#Headers],[Unit]]:SIP[[#This Row],[Unit]],SIP[[#Headers],[Investor ID]]:SIP[[#This Row],[Investor ID]],SIP[[#This Row],[Investor ID]])</f>
        <v>9843</v>
      </c>
      <c r="P26" s="73">
        <v>49050</v>
      </c>
      <c r="Q26" s="74">
        <f>SIP[[#This Row],[Amount]]-SIP[[#This Row],[Unit Capital]]</f>
        <v>950</v>
      </c>
      <c r="R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10.15950421619425</v>
      </c>
      <c r="S26" s="68">
        <f t="shared" si="0"/>
        <v>14.224</v>
      </c>
      <c r="T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" s="74" cm="1">
        <f t="array" ref="U26">IF(SIP[[#This Row],[B/S]]="S",ABS(SIP[[#This Row],[Unit]])*(INDEX(SIP[NAV at Cost (Average)],MATCH(CONCATENATE((SIP[[#This Row],[Frequency]]-1),SIP[[#This Row],[Investor ID]]),SIP[Unique Code],0),0)),0)</f>
        <v>0</v>
      </c>
      <c r="V26" s="74">
        <f>IF(SIP[[#This Row],[BO TRANSFER]]="YES",SIP[[#This Row],[Unit]],)</f>
        <v>0</v>
      </c>
      <c r="W26" s="74">
        <f>SUMIFS(SIP[[#Headers],[BO UNIT TRANSFER]]:SIP[[#This Row],[BO UNIT TRANSFER]],SIP[[#Headers],[Investor ID]]:SIP[[#This Row],[Investor ID]],SIP[[#This Row],[Investor ID]])</f>
        <v>0</v>
      </c>
    </row>
    <row r="27" spans="1:23" ht="15" customHeight="1">
      <c r="A27" s="46">
        <v>2023</v>
      </c>
      <c r="B27" s="46">
        <v>6</v>
      </c>
      <c r="C27" s="46">
        <v>5</v>
      </c>
      <c r="D27" s="65">
        <f>DATE(SIP[[#This Row],[Year]],SIP[[#This Row],[Month]],SIP[[#This Row],[Day]])</f>
        <v>45082</v>
      </c>
      <c r="E27" s="66" t="str" cm="1">
        <f t="array" ref="E27">INDEX(INVESTORS_LIST[INVESTOR NAME],MATCH(SIP[[#This Row],[Investor ID]],INVESTORS_LIST[INVESTOR CODE],0),)</f>
        <v>FAIYEAD AHMEDUL HYE</v>
      </c>
      <c r="F27" s="46" t="s">
        <v>368</v>
      </c>
      <c r="G27" s="46">
        <f>COUNTIF(SIP[[#Headers],[Investor ID]]:SIP[[#This Row],[Investor ID]],SIP[[#This Row],[Investor ID]])</f>
        <v>1</v>
      </c>
      <c r="H27" s="46" t="str">
        <f>CONCATENATE(SIP[[#This Row],[Frequency]],SIP[[#This Row],[Investor ID]])</f>
        <v>1A00160</v>
      </c>
      <c r="I27" s="46" t="str">
        <f>IF(SIP[[#This Row],[B/S]]="B","BUY",(IF(SIP[[#This Row],[B/S]]="S","SELL"," ")))</f>
        <v>BUY</v>
      </c>
      <c r="J27" s="46" t="s">
        <v>1229</v>
      </c>
      <c r="K27" s="69">
        <v>15000</v>
      </c>
      <c r="L27" s="69"/>
      <c r="M27" s="70">
        <f>SIP[[#This Row],[Amount]]/SIP[[#This Row],[Unit]]</f>
        <v>10.190217391304348</v>
      </c>
      <c r="N27" s="71">
        <f>SIP[[#This Row],[Unit Capital]]/10</f>
        <v>1472</v>
      </c>
      <c r="O27" s="72">
        <f>SUMIFS(SIP[[#Headers],[Unit]]:SIP[[#This Row],[Unit]],SIP[[#Headers],[Investor ID]]:SIP[[#This Row],[Investor ID]],SIP[[#This Row],[Investor ID]])</f>
        <v>1472</v>
      </c>
      <c r="P27" s="73">
        <v>14720</v>
      </c>
      <c r="Q27" s="74">
        <f>SIP[[#This Row],[Amount]]-SIP[[#This Row],[Unit Capital]]</f>
        <v>280</v>
      </c>
      <c r="R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10.190217391304348</v>
      </c>
      <c r="S27" s="68">
        <f t="shared" si="0"/>
        <v>14.224</v>
      </c>
      <c r="T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" s="74" cm="1">
        <f t="array" ref="U27">IF(SIP[[#This Row],[B/S]]="S",ABS(SIP[[#This Row],[Unit]])*(INDEX(SIP[NAV at Cost (Average)],MATCH(CONCATENATE((SIP[[#This Row],[Frequency]]-1),SIP[[#This Row],[Investor ID]]),SIP[Unique Code],0),0)),0)</f>
        <v>0</v>
      </c>
      <c r="V27" s="74">
        <f>IF(SIP[[#This Row],[BO TRANSFER]]="YES",SIP[[#This Row],[Unit]],)</f>
        <v>0</v>
      </c>
      <c r="W27" s="74">
        <f>SUMIFS(SIP[[#Headers],[BO UNIT TRANSFER]]:SIP[[#This Row],[BO UNIT TRANSFER]],SIP[[#Headers],[Investor ID]]:SIP[[#This Row],[Investor ID]],SIP[[#This Row],[Investor ID]])</f>
        <v>0</v>
      </c>
    </row>
    <row r="28" spans="1:23" ht="15" customHeight="1">
      <c r="A28" s="46">
        <v>2023</v>
      </c>
      <c r="B28" s="46">
        <v>6</v>
      </c>
      <c r="C28" s="46">
        <v>5</v>
      </c>
      <c r="D28" s="65">
        <f>DATE(SIP[[#This Row],[Year]],SIP[[#This Row],[Month]],SIP[[#This Row],[Day]])</f>
        <v>45082</v>
      </c>
      <c r="E28" s="66" t="str" cm="1">
        <f t="array" ref="E28">INDEX(INVESTORS_LIST[INVESTOR NAME],MATCH(SIP[[#This Row],[Investor ID]],INVESTORS_LIST[INVESTOR CODE],0),)</f>
        <v>ANJAN MALLIK</v>
      </c>
      <c r="F28" s="46" t="s">
        <v>546</v>
      </c>
      <c r="G28" s="46">
        <f>COUNTIF(SIP[[#Headers],[Investor ID]]:SIP[[#This Row],[Investor ID]],SIP[[#This Row],[Investor ID]])</f>
        <v>3</v>
      </c>
      <c r="H28" s="46" t="str">
        <f>CONCATENATE(SIP[[#This Row],[Frequency]],SIP[[#This Row],[Investor ID]])</f>
        <v>3A00248</v>
      </c>
      <c r="I28" s="46" t="str">
        <f>IF(SIP[[#This Row],[B/S]]="B","BUY",(IF(SIP[[#This Row],[B/S]]="S","SELL"," ")))</f>
        <v>BUY</v>
      </c>
      <c r="J28" s="46" t="s">
        <v>1229</v>
      </c>
      <c r="K28" s="69">
        <v>50000</v>
      </c>
      <c r="L28" s="69"/>
      <c r="M28" s="70">
        <f>SIP[[#This Row],[Amount]]/SIP[[#This Row],[Unit]]</f>
        <v>10.193679918450561</v>
      </c>
      <c r="N28" s="71">
        <f>SIP[[#This Row],[Unit Capital]]/10</f>
        <v>4905</v>
      </c>
      <c r="O28" s="72">
        <f>SUMIFS(SIP[[#Headers],[Unit]]:SIP[[#This Row],[Unit]],SIP[[#Headers],[Investor ID]]:SIP[[#This Row],[Investor ID]],SIP[[#This Row],[Investor ID]])</f>
        <v>14798</v>
      </c>
      <c r="P28" s="73">
        <v>49050</v>
      </c>
      <c r="Q28" s="74">
        <f>SIP[[#This Row],[Amount]]-SIP[[#This Row],[Unit Capital]]</f>
        <v>950</v>
      </c>
      <c r="R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10.136504933099067</v>
      </c>
      <c r="S28" s="68">
        <f t="shared" si="0"/>
        <v>14.224</v>
      </c>
      <c r="T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" s="74" cm="1">
        <f t="array" ref="U28">IF(SIP[[#This Row],[B/S]]="S",ABS(SIP[[#This Row],[Unit]])*(INDEX(SIP[NAV at Cost (Average)],MATCH(CONCATENATE((SIP[[#This Row],[Frequency]]-1),SIP[[#This Row],[Investor ID]]),SIP[Unique Code],0),0)),0)</f>
        <v>0</v>
      </c>
      <c r="V28" s="74">
        <f>IF(SIP[[#This Row],[BO TRANSFER]]="YES",SIP[[#This Row],[Unit]],)</f>
        <v>0</v>
      </c>
      <c r="W28" s="74">
        <f>SUMIFS(SIP[[#Headers],[BO UNIT TRANSFER]]:SIP[[#This Row],[BO UNIT TRANSFER]],SIP[[#Headers],[Investor ID]]:SIP[[#This Row],[Investor ID]],SIP[[#This Row],[Investor ID]])</f>
        <v>0</v>
      </c>
    </row>
    <row r="29" spans="1:23" ht="15" customHeight="1">
      <c r="A29" s="46">
        <v>2023</v>
      </c>
      <c r="B29" s="46">
        <v>6</v>
      </c>
      <c r="C29" s="46">
        <v>5</v>
      </c>
      <c r="D29" s="65">
        <f>DATE(SIP[[#This Row],[Year]],SIP[[#This Row],[Month]],SIP[[#This Row],[Day]])</f>
        <v>45082</v>
      </c>
      <c r="E29" s="66" t="str" cm="1">
        <f t="array" ref="E29">INDEX(INVESTORS_LIST[INVESTOR NAME],MATCH(SIP[[#This Row],[Investor ID]],INVESTORS_LIST[INVESTOR CODE],0),)</f>
        <v>NAYEEM JAHANGIR</v>
      </c>
      <c r="F29" s="46" t="s">
        <v>1000</v>
      </c>
      <c r="G29" s="46">
        <f>COUNTIF(SIP[[#Headers],[Investor ID]]:SIP[[#This Row],[Investor ID]],SIP[[#This Row],[Investor ID]])</f>
        <v>1</v>
      </c>
      <c r="H29" s="46" t="str">
        <f>CONCATENATE(SIP[[#This Row],[Frequency]],SIP[[#This Row],[Investor ID]])</f>
        <v>1A00477</v>
      </c>
      <c r="I29" s="46" t="str">
        <f>IF(SIP[[#This Row],[B/S]]="B","BUY",(IF(SIP[[#This Row],[B/S]]="S","SELL"," ")))</f>
        <v>BUY</v>
      </c>
      <c r="J29" s="46" t="s">
        <v>1229</v>
      </c>
      <c r="K29" s="69">
        <v>5000</v>
      </c>
      <c r="L29" s="69"/>
      <c r="M29" s="70">
        <f>SIP[[#This Row],[Amount]]/SIP[[#This Row],[Unit]]</f>
        <v>10.183299389002036</v>
      </c>
      <c r="N29" s="71">
        <f>SIP[[#This Row],[Unit Capital]]/10</f>
        <v>491</v>
      </c>
      <c r="O29" s="72">
        <f>SUMIFS(SIP[[#Headers],[Unit]]:SIP[[#This Row],[Unit]],SIP[[#Headers],[Investor ID]]:SIP[[#This Row],[Investor ID]],SIP[[#This Row],[Investor ID]])</f>
        <v>491</v>
      </c>
      <c r="P29" s="73">
        <v>4910</v>
      </c>
      <c r="Q29" s="74">
        <f>SIP[[#This Row],[Amount]]-SIP[[#This Row],[Unit Capital]]</f>
        <v>90</v>
      </c>
      <c r="R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10.183299389002036</v>
      </c>
      <c r="S29" s="68">
        <f t="shared" si="0"/>
        <v>14.224</v>
      </c>
      <c r="T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" s="74" cm="1">
        <f t="array" ref="U29">IF(SIP[[#This Row],[B/S]]="S",ABS(SIP[[#This Row],[Unit]])*(INDEX(SIP[NAV at Cost (Average)],MATCH(CONCATENATE((SIP[[#This Row],[Frequency]]-1),SIP[[#This Row],[Investor ID]]),SIP[Unique Code],0),0)),0)</f>
        <v>0</v>
      </c>
      <c r="V29" s="74">
        <f>IF(SIP[[#This Row],[BO TRANSFER]]="YES",SIP[[#This Row],[Unit]],)</f>
        <v>0</v>
      </c>
      <c r="W29" s="74">
        <f>SUMIFS(SIP[[#Headers],[BO UNIT TRANSFER]]:SIP[[#This Row],[BO UNIT TRANSFER]],SIP[[#Headers],[Investor ID]]:SIP[[#This Row],[Investor ID]],SIP[[#This Row],[Investor ID]])</f>
        <v>0</v>
      </c>
    </row>
    <row r="30" spans="1:23" ht="15" customHeight="1">
      <c r="A30" s="46">
        <v>2023</v>
      </c>
      <c r="B30" s="46">
        <v>6</v>
      </c>
      <c r="C30" s="46">
        <v>5</v>
      </c>
      <c r="D30" s="65">
        <f>DATE(SIP[[#This Row],[Year]],SIP[[#This Row],[Month]],SIP[[#This Row],[Day]])</f>
        <v>45082</v>
      </c>
      <c r="E30" s="66" t="str" cm="1">
        <f t="array" ref="E30">INDEX(INVESTORS_LIST[INVESTOR NAME],MATCH(SIP[[#This Row],[Investor ID]],INVESTORS_LIST[INVESTOR CODE],0),)</f>
        <v>MONIR AHMED</v>
      </c>
      <c r="F30" s="46" t="s">
        <v>125</v>
      </c>
      <c r="G30" s="46">
        <f>COUNTIF(SIP[[#Headers],[Investor ID]]:SIP[[#This Row],[Investor ID]],SIP[[#This Row],[Investor ID]])</f>
        <v>1</v>
      </c>
      <c r="H30" s="46" t="str">
        <f>CONCATENATE(SIP[[#This Row],[Frequency]],SIP[[#This Row],[Investor ID]])</f>
        <v>1A00039</v>
      </c>
      <c r="I30" s="46" t="str">
        <f>IF(SIP[[#This Row],[B/S]]="B","BUY",(IF(SIP[[#This Row],[B/S]]="S","SELL"," ")))</f>
        <v>BUY</v>
      </c>
      <c r="J30" s="46" t="s">
        <v>1229</v>
      </c>
      <c r="K30" s="69">
        <v>5000</v>
      </c>
      <c r="L30" s="69"/>
      <c r="M30" s="70">
        <f>SIP[[#This Row],[Amount]]/SIP[[#This Row],[Unit]]</f>
        <v>10.183299389002036</v>
      </c>
      <c r="N30" s="71">
        <f>SIP[[#This Row],[Unit Capital]]/10</f>
        <v>491</v>
      </c>
      <c r="O30" s="72">
        <f>SUMIFS(SIP[[#Headers],[Unit]]:SIP[[#This Row],[Unit]],SIP[[#Headers],[Investor ID]]:SIP[[#This Row],[Investor ID]],SIP[[#This Row],[Investor ID]])</f>
        <v>491</v>
      </c>
      <c r="P30" s="73">
        <v>4910</v>
      </c>
      <c r="Q30" s="74">
        <f>SIP[[#This Row],[Amount]]-SIP[[#This Row],[Unit Capital]]</f>
        <v>90</v>
      </c>
      <c r="R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10.183299389002036</v>
      </c>
      <c r="S30" s="68">
        <f t="shared" si="0"/>
        <v>14.224</v>
      </c>
      <c r="T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" s="74" cm="1">
        <f t="array" ref="U30">IF(SIP[[#This Row],[B/S]]="S",ABS(SIP[[#This Row],[Unit]])*(INDEX(SIP[NAV at Cost (Average)],MATCH(CONCATENATE((SIP[[#This Row],[Frequency]]-1),SIP[[#This Row],[Investor ID]]),SIP[Unique Code],0),0)),0)</f>
        <v>0</v>
      </c>
      <c r="V30" s="74">
        <f>IF(SIP[[#This Row],[BO TRANSFER]]="YES",SIP[[#This Row],[Unit]],)</f>
        <v>0</v>
      </c>
      <c r="W30" s="74">
        <f>SUMIFS(SIP[[#Headers],[BO UNIT TRANSFER]]:SIP[[#This Row],[BO UNIT TRANSFER]],SIP[[#Headers],[Investor ID]]:SIP[[#This Row],[Investor ID]],SIP[[#This Row],[Investor ID]])</f>
        <v>0</v>
      </c>
    </row>
    <row r="31" spans="1:23" ht="15" customHeight="1">
      <c r="A31" s="46">
        <v>2023</v>
      </c>
      <c r="B31" s="46">
        <v>6</v>
      </c>
      <c r="C31" s="46">
        <v>5</v>
      </c>
      <c r="D31" s="65">
        <f>DATE(SIP[[#This Row],[Year]],SIP[[#This Row],[Month]],SIP[[#This Row],[Day]])</f>
        <v>45082</v>
      </c>
      <c r="E31" s="66" t="str" cm="1">
        <f t="array" ref="E31">INDEX(INVESTORS_LIST[INVESTOR NAME],MATCH(SIP[[#This Row],[Investor ID]],INVESTORS_LIST[INVESTOR CODE],0),)</f>
        <v>NANDINI SAHA</v>
      </c>
      <c r="F31" s="46" t="s">
        <v>242</v>
      </c>
      <c r="G31" s="46">
        <f>COUNTIF(SIP[[#Headers],[Investor ID]]:SIP[[#This Row],[Investor ID]],SIP[[#This Row],[Investor ID]])</f>
        <v>2</v>
      </c>
      <c r="H31" s="46" t="str">
        <f>CONCATENATE(SIP[[#This Row],[Frequency]],SIP[[#This Row],[Investor ID]])</f>
        <v>2A00097</v>
      </c>
      <c r="I31" s="46" t="str">
        <f>IF(SIP[[#This Row],[B/S]]="B","BUY",(IF(SIP[[#This Row],[B/S]]="S","SELL"," ")))</f>
        <v>BUY</v>
      </c>
      <c r="J31" s="46" t="s">
        <v>1229</v>
      </c>
      <c r="K31" s="69">
        <v>30000</v>
      </c>
      <c r="L31" s="69"/>
      <c r="M31" s="70">
        <f>SIP[[#This Row],[Amount]]/SIP[[#This Row],[Unit]]</f>
        <v>10.193679918450561</v>
      </c>
      <c r="N31" s="71">
        <f>SIP[[#This Row],[Unit Capital]]/10</f>
        <v>2943</v>
      </c>
      <c r="O31" s="72">
        <f>SUMIFS(SIP[[#Headers],[Unit]]:SIP[[#This Row],[Unit]],SIP[[#Headers],[Investor ID]]:SIP[[#This Row],[Investor ID]],SIP[[#This Row],[Investor ID]])</f>
        <v>5906</v>
      </c>
      <c r="P31" s="73">
        <v>29430</v>
      </c>
      <c r="Q31" s="74">
        <f>SIP[[#This Row],[Amount]]-SIP[[#This Row],[Unit Capital]]</f>
        <v>570</v>
      </c>
      <c r="R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10.15916017609211</v>
      </c>
      <c r="S31" s="68">
        <f t="shared" si="0"/>
        <v>14.224</v>
      </c>
      <c r="T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" s="74" cm="1">
        <f t="array" ref="U31">IF(SIP[[#This Row],[B/S]]="S",ABS(SIP[[#This Row],[Unit]])*(INDEX(SIP[NAV at Cost (Average)],MATCH(CONCATENATE((SIP[[#This Row],[Frequency]]-1),SIP[[#This Row],[Investor ID]]),SIP[Unique Code],0),0)),0)</f>
        <v>0</v>
      </c>
      <c r="V31" s="74">
        <f>IF(SIP[[#This Row],[BO TRANSFER]]="YES",SIP[[#This Row],[Unit]],)</f>
        <v>0</v>
      </c>
      <c r="W31" s="74">
        <f>SUMIFS(SIP[[#Headers],[BO UNIT TRANSFER]]:SIP[[#This Row],[BO UNIT TRANSFER]],SIP[[#Headers],[Investor ID]]:SIP[[#This Row],[Investor ID]],SIP[[#This Row],[Investor ID]])</f>
        <v>0</v>
      </c>
    </row>
    <row r="32" spans="1:23" ht="15" customHeight="1">
      <c r="A32" s="46">
        <v>2023</v>
      </c>
      <c r="B32" s="46">
        <v>6</v>
      </c>
      <c r="C32" s="46">
        <v>5</v>
      </c>
      <c r="D32" s="65">
        <f>DATE(SIP[[#This Row],[Year]],SIP[[#This Row],[Month]],SIP[[#This Row],[Day]])</f>
        <v>45082</v>
      </c>
      <c r="E32" s="66" t="str" cm="1">
        <f t="array" ref="E32">INDEX(INVESTORS_LIST[INVESTOR NAME],MATCH(SIP[[#This Row],[Investor ID]],INVESTORS_LIST[INVESTOR CODE],0),)</f>
        <v>SHANTA PAUL</v>
      </c>
      <c r="F32" s="46" t="s">
        <v>544</v>
      </c>
      <c r="G32" s="46">
        <f>COUNTIF(SIP[[#Headers],[Investor ID]]:SIP[[#This Row],[Investor ID]],SIP[[#This Row],[Investor ID]])</f>
        <v>3</v>
      </c>
      <c r="H32" s="46" t="str">
        <f>CONCATENATE(SIP[[#This Row],[Frequency]],SIP[[#This Row],[Investor ID]])</f>
        <v>3A00247</v>
      </c>
      <c r="I32" s="46" t="str">
        <f>IF(SIP[[#This Row],[B/S]]="B","BUY",(IF(SIP[[#This Row],[B/S]]="S","SELL"," ")))</f>
        <v>BUY</v>
      </c>
      <c r="J32" s="46" t="s">
        <v>1229</v>
      </c>
      <c r="K32" s="69">
        <v>20000</v>
      </c>
      <c r="L32" s="69"/>
      <c r="M32" s="70">
        <f>SIP[[#This Row],[Amount]]/SIP[[#This Row],[Unit]]</f>
        <v>10.193679918450561</v>
      </c>
      <c r="N32" s="71">
        <f>SIP[[#This Row],[Unit Capital]]/10</f>
        <v>1962</v>
      </c>
      <c r="O32" s="72">
        <f>SUMIFS(SIP[[#Headers],[Unit]]:SIP[[#This Row],[Unit]],SIP[[#Headers],[Investor ID]]:SIP[[#This Row],[Investor ID]],SIP[[#This Row],[Investor ID]])</f>
        <v>5919</v>
      </c>
      <c r="P32" s="73">
        <v>19620</v>
      </c>
      <c r="Q32" s="74">
        <f>SIP[[#This Row],[Amount]]-SIP[[#This Row],[Unit Capital]]</f>
        <v>380</v>
      </c>
      <c r="R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10.136847440446022</v>
      </c>
      <c r="S32" s="68">
        <f t="shared" si="0"/>
        <v>14.224</v>
      </c>
      <c r="T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" s="74" cm="1">
        <f t="array" ref="U32">IF(SIP[[#This Row],[B/S]]="S",ABS(SIP[[#This Row],[Unit]])*(INDEX(SIP[NAV at Cost (Average)],MATCH(CONCATENATE((SIP[[#This Row],[Frequency]]-1),SIP[[#This Row],[Investor ID]]),SIP[Unique Code],0),0)),0)</f>
        <v>0</v>
      </c>
      <c r="V32" s="74">
        <f>IF(SIP[[#This Row],[BO TRANSFER]]="YES",SIP[[#This Row],[Unit]],)</f>
        <v>0</v>
      </c>
      <c r="W32" s="74">
        <f>SUMIFS(SIP[[#Headers],[BO UNIT TRANSFER]]:SIP[[#This Row],[BO UNIT TRANSFER]],SIP[[#Headers],[Investor ID]]:SIP[[#This Row],[Investor ID]],SIP[[#This Row],[Investor ID]])</f>
        <v>0</v>
      </c>
    </row>
    <row r="33" spans="1:23" ht="15" customHeight="1">
      <c r="A33" s="46">
        <v>2023</v>
      </c>
      <c r="B33" s="46">
        <v>6</v>
      </c>
      <c r="C33" s="46">
        <v>5</v>
      </c>
      <c r="D33" s="65">
        <f>DATE(SIP[[#This Row],[Year]],SIP[[#This Row],[Month]],SIP[[#This Row],[Day]])</f>
        <v>45082</v>
      </c>
      <c r="E33" s="66" t="str" cm="1">
        <f t="array" ref="E33">INDEX(INVESTORS_LIST[INVESTOR NAME],MATCH(SIP[[#This Row],[Investor ID]],INVESTORS_LIST[INVESTOR CODE],0),)</f>
        <v>ROKSABA KASEM</v>
      </c>
      <c r="F33" s="46" t="s">
        <v>900</v>
      </c>
      <c r="G33" s="46">
        <f>COUNTIF(SIP[[#Headers],[Investor ID]]:SIP[[#This Row],[Investor ID]],SIP[[#This Row],[Investor ID]])</f>
        <v>1</v>
      </c>
      <c r="H33" s="46" t="str">
        <f>CONCATENATE(SIP[[#This Row],[Frequency]],SIP[[#This Row],[Investor ID]])</f>
        <v>1A00427</v>
      </c>
      <c r="I33" s="46" t="str">
        <f>IF(SIP[[#This Row],[B/S]]="B","BUY",(IF(SIP[[#This Row],[B/S]]="S","SELL"," ")))</f>
        <v>BUY</v>
      </c>
      <c r="J33" s="46" t="s">
        <v>1229</v>
      </c>
      <c r="K33" s="69">
        <v>20000</v>
      </c>
      <c r="L33" s="122"/>
      <c r="M33" s="70">
        <f>SIP[[#This Row],[Amount]]/SIP[[#This Row],[Unit]]</f>
        <v>10.193679918450561</v>
      </c>
      <c r="N33" s="71">
        <f>SIP[[#This Row],[Unit Capital]]/10</f>
        <v>1962</v>
      </c>
      <c r="O33" s="72">
        <f>SUMIFS(SIP[[#Headers],[Unit]]:SIP[[#This Row],[Unit]],SIP[[#Headers],[Investor ID]]:SIP[[#This Row],[Investor ID]],SIP[[#This Row],[Investor ID]])</f>
        <v>1962</v>
      </c>
      <c r="P33" s="73">
        <v>19620</v>
      </c>
      <c r="Q33" s="74">
        <f>SIP[[#This Row],[Amount]]-SIP[[#This Row],[Unit Capital]]</f>
        <v>380</v>
      </c>
      <c r="R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10.193679918450561</v>
      </c>
      <c r="S33" s="68">
        <f t="shared" si="0"/>
        <v>14.224</v>
      </c>
      <c r="T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" s="74" cm="1">
        <f t="array" ref="U33">IF(SIP[[#This Row],[B/S]]="S",ABS(SIP[[#This Row],[Unit]])*(INDEX(SIP[NAV at Cost (Average)],MATCH(CONCATENATE((SIP[[#This Row],[Frequency]]-1),SIP[[#This Row],[Investor ID]]),SIP[Unique Code],0),0)),0)</f>
        <v>0</v>
      </c>
      <c r="V33" s="74">
        <f>IF(SIP[[#This Row],[BO TRANSFER]]="YES",SIP[[#This Row],[Unit]],)</f>
        <v>0</v>
      </c>
      <c r="W33" s="74">
        <f>SUMIFS(SIP[[#Headers],[BO UNIT TRANSFER]]:SIP[[#This Row],[BO UNIT TRANSFER]],SIP[[#Headers],[Investor ID]]:SIP[[#This Row],[Investor ID]],SIP[[#This Row],[Investor ID]])</f>
        <v>0</v>
      </c>
    </row>
    <row r="34" spans="1:23" ht="15" customHeight="1">
      <c r="A34" s="46">
        <v>2023</v>
      </c>
      <c r="B34" s="46">
        <v>6</v>
      </c>
      <c r="C34" s="46">
        <v>5</v>
      </c>
      <c r="D34" s="65">
        <f>DATE(SIP[[#This Row],[Year]],SIP[[#This Row],[Month]],SIP[[#This Row],[Day]])</f>
        <v>45082</v>
      </c>
      <c r="E34" s="66" t="str" cm="1">
        <f t="array" ref="E34">INDEX(INVESTORS_LIST[INVESTOR NAME],MATCH(SIP[[#This Row],[Investor ID]],INVESTORS_LIST[INVESTOR CODE],0),)</f>
        <v>MD. MONIRUL ISLAM</v>
      </c>
      <c r="F34" s="46" t="s">
        <v>996</v>
      </c>
      <c r="G34" s="46">
        <f>COUNTIF(SIP[[#Headers],[Investor ID]]:SIP[[#This Row],[Investor ID]],SIP[[#This Row],[Investor ID]])</f>
        <v>2</v>
      </c>
      <c r="H34" s="46" t="str">
        <f>CONCATENATE(SIP[[#This Row],[Frequency]],SIP[[#This Row],[Investor ID]])</f>
        <v>2A00475</v>
      </c>
      <c r="I34" s="46" t="str">
        <f>IF(SIP[[#This Row],[B/S]]="B","BUY",(IF(SIP[[#This Row],[B/S]]="S","SELL"," ")))</f>
        <v>BUY</v>
      </c>
      <c r="J34" s="46" t="s">
        <v>1229</v>
      </c>
      <c r="K34" s="69">
        <v>10000</v>
      </c>
      <c r="L34" s="69"/>
      <c r="M34" s="70">
        <f>SIP[[#This Row],[Amount]]/SIP[[#This Row],[Unit]]</f>
        <v>10.193679918450561</v>
      </c>
      <c r="N34" s="71">
        <f>SIP[[#This Row],[Unit Capital]]/10</f>
        <v>981</v>
      </c>
      <c r="O34" s="72">
        <f>SUMIFS(SIP[[#Headers],[Unit]]:SIP[[#This Row],[Unit]],SIP[[#Headers],[Investor ID]]:SIP[[#This Row],[Investor ID]],SIP[[#This Row],[Investor ID]])</f>
        <v>1969</v>
      </c>
      <c r="P34" s="73">
        <v>9810</v>
      </c>
      <c r="Q34" s="74">
        <f>SIP[[#This Row],[Amount]]-SIP[[#This Row],[Unit Capital]]</f>
        <v>190</v>
      </c>
      <c r="R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10.15744032503809</v>
      </c>
      <c r="S34" s="68">
        <f t="shared" si="0"/>
        <v>14.224</v>
      </c>
      <c r="T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" s="74" cm="1">
        <f t="array" ref="U34">IF(SIP[[#This Row],[B/S]]="S",ABS(SIP[[#This Row],[Unit]])*(INDEX(SIP[NAV at Cost (Average)],MATCH(CONCATENATE((SIP[[#This Row],[Frequency]]-1),SIP[[#This Row],[Investor ID]]),SIP[Unique Code],0),0)),0)</f>
        <v>0</v>
      </c>
      <c r="V34" s="74">
        <f>IF(SIP[[#This Row],[BO TRANSFER]]="YES",SIP[[#This Row],[Unit]],)</f>
        <v>0</v>
      </c>
      <c r="W34" s="74">
        <f>SUMIFS(SIP[[#Headers],[BO UNIT TRANSFER]]:SIP[[#This Row],[BO UNIT TRANSFER]],SIP[[#Headers],[Investor ID]]:SIP[[#This Row],[Investor ID]],SIP[[#This Row],[Investor ID]])</f>
        <v>0</v>
      </c>
    </row>
    <row r="35" spans="1:23" ht="15" customHeight="1">
      <c r="A35" s="46">
        <v>2023</v>
      </c>
      <c r="B35" s="46">
        <v>6</v>
      </c>
      <c r="C35" s="46">
        <v>5</v>
      </c>
      <c r="D35" s="65">
        <f>DATE(SIP[[#This Row],[Year]],SIP[[#This Row],[Month]],SIP[[#This Row],[Day]])</f>
        <v>45082</v>
      </c>
      <c r="E35" s="66" t="str" cm="1">
        <f t="array" ref="E35">INDEX(INVESTORS_LIST[INVESTOR NAME],MATCH(SIP[[#This Row],[Investor ID]],INVESTORS_LIST[INVESTOR CODE],0),)</f>
        <v>MD. ARIFUL ISLAM</v>
      </c>
      <c r="F35" s="46" t="s">
        <v>222</v>
      </c>
      <c r="G35" s="46">
        <f>COUNTIF(SIP[[#Headers],[Investor ID]]:SIP[[#This Row],[Investor ID]],SIP[[#This Row],[Investor ID]])</f>
        <v>1</v>
      </c>
      <c r="H35" s="46" t="str">
        <f>CONCATENATE(SIP[[#This Row],[Frequency]],SIP[[#This Row],[Investor ID]])</f>
        <v>1A00087</v>
      </c>
      <c r="I35" s="46" t="str">
        <f>IF(SIP[[#This Row],[B/S]]="B","BUY",(IF(SIP[[#This Row],[B/S]]="S","SELL"," ")))</f>
        <v>BUY</v>
      </c>
      <c r="J35" s="46" t="s">
        <v>1229</v>
      </c>
      <c r="K35" s="69">
        <v>10000</v>
      </c>
      <c r="L35" s="69"/>
      <c r="M35" s="70">
        <f>SIP[[#This Row],[Amount]]/SIP[[#This Row],[Unit]]</f>
        <v>10.193679918450561</v>
      </c>
      <c r="N35" s="71">
        <f>SIP[[#This Row],[Unit Capital]]/10</f>
        <v>981</v>
      </c>
      <c r="O35" s="72">
        <f>SUMIFS(SIP[[#Headers],[Unit]]:SIP[[#This Row],[Unit]],SIP[[#Headers],[Investor ID]]:SIP[[#This Row],[Investor ID]],SIP[[#This Row],[Investor ID]])</f>
        <v>981</v>
      </c>
      <c r="P35" s="73">
        <v>9810</v>
      </c>
      <c r="Q35" s="74">
        <f>SIP[[#This Row],[Amount]]-SIP[[#This Row],[Unit Capital]]</f>
        <v>190</v>
      </c>
      <c r="R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10.193679918450561</v>
      </c>
      <c r="S35" s="68">
        <f t="shared" ref="S35:S66" si="1">NAV_MKT</f>
        <v>14.224</v>
      </c>
      <c r="T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" s="74" cm="1">
        <f t="array" ref="U35">IF(SIP[[#This Row],[B/S]]="S",ABS(SIP[[#This Row],[Unit]])*(INDEX(SIP[NAV at Cost (Average)],MATCH(CONCATENATE((SIP[[#This Row],[Frequency]]-1),SIP[[#This Row],[Investor ID]]),SIP[Unique Code],0),0)),0)</f>
        <v>0</v>
      </c>
      <c r="V35" s="74">
        <f>IF(SIP[[#This Row],[BO TRANSFER]]="YES",SIP[[#This Row],[Unit]],)</f>
        <v>0</v>
      </c>
      <c r="W35" s="74">
        <f>SUMIFS(SIP[[#Headers],[BO UNIT TRANSFER]]:SIP[[#This Row],[BO UNIT TRANSFER]],SIP[[#Headers],[Investor ID]]:SIP[[#This Row],[Investor ID]],SIP[[#This Row],[Investor ID]])</f>
        <v>0</v>
      </c>
    </row>
    <row r="36" spans="1:23" ht="15" customHeight="1">
      <c r="A36" s="46">
        <v>2023</v>
      </c>
      <c r="B36" s="46">
        <v>6</v>
      </c>
      <c r="C36" s="46">
        <v>5</v>
      </c>
      <c r="D36" s="65">
        <f>DATE(SIP[[#This Row],[Year]],SIP[[#This Row],[Month]],SIP[[#This Row],[Day]])</f>
        <v>45082</v>
      </c>
      <c r="E36" s="66" t="str" cm="1">
        <f t="array" ref="E36">INDEX(INVESTORS_LIST[INVESTOR NAME],MATCH(SIP[[#This Row],[Investor ID]],INVESTORS_LIST[INVESTOR CODE],0),)</f>
        <v>SADIA PARVIN</v>
      </c>
      <c r="F36" s="46" t="s">
        <v>1018</v>
      </c>
      <c r="G36" s="46">
        <f>COUNTIF(SIP[[#Headers],[Investor ID]]:SIP[[#This Row],[Investor ID]],SIP[[#This Row],[Investor ID]])</f>
        <v>1</v>
      </c>
      <c r="H36" s="46" t="str">
        <f>CONCATENATE(SIP[[#This Row],[Frequency]],SIP[[#This Row],[Investor ID]])</f>
        <v>1A00486</v>
      </c>
      <c r="I36" s="46" t="str">
        <f>IF(SIP[[#This Row],[B/S]]="B","BUY",(IF(SIP[[#This Row],[B/S]]="S","SELL"," ")))</f>
        <v>BUY</v>
      </c>
      <c r="J36" s="46" t="s">
        <v>1229</v>
      </c>
      <c r="K36" s="69">
        <v>5000</v>
      </c>
      <c r="L36" s="69"/>
      <c r="M36" s="70">
        <f>SIP[[#This Row],[Amount]]/SIP[[#This Row],[Unit]]</f>
        <v>10.224948875255624</v>
      </c>
      <c r="N36" s="71">
        <f>SIP[[#This Row],[Unit Capital]]/10</f>
        <v>489</v>
      </c>
      <c r="O36" s="72">
        <f>SUMIFS(SIP[[#Headers],[Unit]]:SIP[[#This Row],[Unit]],SIP[[#Headers],[Investor ID]]:SIP[[#This Row],[Investor ID]],SIP[[#This Row],[Investor ID]])</f>
        <v>489</v>
      </c>
      <c r="P36" s="73">
        <v>4890</v>
      </c>
      <c r="Q36" s="74">
        <f>SIP[[#This Row],[Amount]]-SIP[[#This Row],[Unit Capital]]</f>
        <v>110</v>
      </c>
      <c r="R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10.224948875255624</v>
      </c>
      <c r="S36" s="68">
        <f t="shared" si="1"/>
        <v>14.224</v>
      </c>
      <c r="T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" s="74" cm="1">
        <f t="array" ref="U36">IF(SIP[[#This Row],[B/S]]="S",ABS(SIP[[#This Row],[Unit]])*(INDEX(SIP[NAV at Cost (Average)],MATCH(CONCATENATE((SIP[[#This Row],[Frequency]]-1),SIP[[#This Row],[Investor ID]]),SIP[Unique Code],0),0)),0)</f>
        <v>0</v>
      </c>
      <c r="V36" s="74">
        <f>IF(SIP[[#This Row],[BO TRANSFER]]="YES",SIP[[#This Row],[Unit]],)</f>
        <v>0</v>
      </c>
      <c r="W36" s="74">
        <f>SUMIFS(SIP[[#Headers],[BO UNIT TRANSFER]]:SIP[[#This Row],[BO UNIT TRANSFER]],SIP[[#Headers],[Investor ID]]:SIP[[#This Row],[Investor ID]],SIP[[#This Row],[Investor ID]])</f>
        <v>0</v>
      </c>
    </row>
    <row r="37" spans="1:23" ht="15" customHeight="1">
      <c r="A37" s="46">
        <v>2023</v>
      </c>
      <c r="B37" s="46">
        <v>6</v>
      </c>
      <c r="C37" s="46">
        <v>15</v>
      </c>
      <c r="D37" s="65">
        <f>DATE(SIP[[#This Row],[Year]],SIP[[#This Row],[Month]],SIP[[#This Row],[Day]])</f>
        <v>45092</v>
      </c>
      <c r="E37" s="66" t="str" cm="1">
        <f t="array" ref="E37">INDEX(INVESTORS_LIST[INVESTOR NAME],MATCH(SIP[[#This Row],[Investor ID]],INVESTORS_LIST[INVESTOR CODE],0),)</f>
        <v>SYED FAZLE RABBY</v>
      </c>
      <c r="F37" s="67" t="s">
        <v>166</v>
      </c>
      <c r="G37" s="46">
        <f>COUNTIF(SIP[[#Headers],[Investor ID]]:SIP[[#This Row],[Investor ID]],SIP[[#This Row],[Investor ID]])</f>
        <v>1</v>
      </c>
      <c r="H37" s="46" t="str">
        <f>CONCATENATE(SIP[[#This Row],[Frequency]],SIP[[#This Row],[Investor ID]])</f>
        <v>1A00059</v>
      </c>
      <c r="I37" s="46" t="str">
        <f>IF(SIP[[#This Row],[B/S]]="B","BUY",(IF(SIP[[#This Row],[B/S]]="S","SELL"," ")))</f>
        <v>BUY</v>
      </c>
      <c r="J37" s="46" t="s">
        <v>1229</v>
      </c>
      <c r="K37" s="285">
        <v>10000</v>
      </c>
      <c r="L37" s="69"/>
      <c r="M37" s="70">
        <f>SIP[[#This Row],[Amount]]/SIP[[#This Row],[Unit]]</f>
        <v>10.235414534288639</v>
      </c>
      <c r="N37" s="71">
        <f>SIP[[#This Row],[Unit Capital]]/10</f>
        <v>977</v>
      </c>
      <c r="O37" s="72">
        <f>SUMIFS(SIP[[#Headers],[Unit]]:SIP[[#This Row],[Unit]],SIP[[#Headers],[Investor ID]]:SIP[[#This Row],[Investor ID]],SIP[[#This Row],[Investor ID]])</f>
        <v>977</v>
      </c>
      <c r="P37" s="73">
        <v>9770</v>
      </c>
      <c r="Q37" s="74">
        <f>SIP[[#This Row],[Amount]]-SIP[[#This Row],[Unit Capital]]</f>
        <v>230</v>
      </c>
      <c r="R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10.235414534288639</v>
      </c>
      <c r="S37" s="68">
        <f t="shared" si="1"/>
        <v>14.224</v>
      </c>
      <c r="T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" s="74" cm="1">
        <f t="array" ref="U37">IF(SIP[[#This Row],[B/S]]="S",ABS(SIP[[#This Row],[Unit]])*(INDEX(SIP[NAV at Cost (Average)],MATCH(CONCATENATE((SIP[[#This Row],[Frequency]]-1),SIP[[#This Row],[Investor ID]]),SIP[Unique Code],0),0)),0)</f>
        <v>0</v>
      </c>
      <c r="V37" s="74">
        <f>IF(SIP[[#This Row],[BO TRANSFER]]="YES",SIP[[#This Row],[Unit]],)</f>
        <v>0</v>
      </c>
      <c r="W37" s="74">
        <f>SUMIFS(SIP[[#Headers],[BO UNIT TRANSFER]]:SIP[[#This Row],[BO UNIT TRANSFER]],SIP[[#Headers],[Investor ID]]:SIP[[#This Row],[Investor ID]],SIP[[#This Row],[Investor ID]])</f>
        <v>0</v>
      </c>
    </row>
    <row r="38" spans="1:23" ht="15" customHeight="1">
      <c r="A38" s="46">
        <v>2023</v>
      </c>
      <c r="B38" s="46">
        <v>6</v>
      </c>
      <c r="C38" s="46">
        <v>15</v>
      </c>
      <c r="D38" s="65">
        <f>DATE(SIP[[#This Row],[Year]],SIP[[#This Row],[Month]],SIP[[#This Row],[Day]])</f>
        <v>45092</v>
      </c>
      <c r="E38" s="66" t="str" cm="1">
        <f t="array" ref="E38">INDEX(INVESTORS_LIST[INVESTOR NAME],MATCH(SIP[[#This Row],[Investor ID]],INVESTORS_LIST[INVESTOR CODE],0),)</f>
        <v>SANJIB KUMAR ROY</v>
      </c>
      <c r="F38" s="46" t="s">
        <v>1020</v>
      </c>
      <c r="G38" s="46">
        <f>COUNTIF(SIP[[#Headers],[Investor ID]]:SIP[[#This Row],[Investor ID]],SIP[[#This Row],[Investor ID]])</f>
        <v>1</v>
      </c>
      <c r="H38" s="46" t="str">
        <f>CONCATENATE(SIP[[#This Row],[Frequency]],SIP[[#This Row],[Investor ID]])</f>
        <v>1A00487</v>
      </c>
      <c r="I38" s="46" t="str">
        <f>IF(SIP[[#This Row],[B/S]]="B","BUY",(IF(SIP[[#This Row],[B/S]]="S","SELL"," ")))</f>
        <v>BUY</v>
      </c>
      <c r="J38" s="46" t="s">
        <v>1229</v>
      </c>
      <c r="K38" s="69">
        <v>5000</v>
      </c>
      <c r="L38" s="69"/>
      <c r="M38" s="70">
        <f>SIP[[#This Row],[Amount]]/SIP[[#This Row],[Unit]]</f>
        <v>10.224948875255624</v>
      </c>
      <c r="N38" s="71">
        <f>SIP[[#This Row],[Unit Capital]]/10</f>
        <v>489</v>
      </c>
      <c r="O38" s="72">
        <f>SUMIFS(SIP[[#Headers],[Unit]]:SIP[[#This Row],[Unit]],SIP[[#Headers],[Investor ID]]:SIP[[#This Row],[Investor ID]],SIP[[#This Row],[Investor ID]])</f>
        <v>489</v>
      </c>
      <c r="P38" s="73">
        <v>4890</v>
      </c>
      <c r="Q38" s="74">
        <f>SIP[[#This Row],[Amount]]-SIP[[#This Row],[Unit Capital]]</f>
        <v>110</v>
      </c>
      <c r="R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10.224948875255624</v>
      </c>
      <c r="S38" s="68">
        <f t="shared" si="1"/>
        <v>14.224</v>
      </c>
      <c r="T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" s="74" cm="1">
        <f t="array" ref="U38">IF(SIP[[#This Row],[B/S]]="S",ABS(SIP[[#This Row],[Unit]])*(INDEX(SIP[NAV at Cost (Average)],MATCH(CONCATENATE((SIP[[#This Row],[Frequency]]-1),SIP[[#This Row],[Investor ID]]),SIP[Unique Code],0),0)),0)</f>
        <v>0</v>
      </c>
      <c r="V38" s="74">
        <f>IF(SIP[[#This Row],[BO TRANSFER]]="YES",SIP[[#This Row],[Unit]],)</f>
        <v>0</v>
      </c>
      <c r="W38" s="74">
        <f>SUMIFS(SIP[[#Headers],[BO UNIT TRANSFER]]:SIP[[#This Row],[BO UNIT TRANSFER]],SIP[[#Headers],[Investor ID]]:SIP[[#This Row],[Investor ID]],SIP[[#This Row],[Investor ID]])</f>
        <v>0</v>
      </c>
    </row>
    <row r="39" spans="1:23" ht="15" customHeight="1">
      <c r="A39" s="46">
        <v>2023</v>
      </c>
      <c r="B39" s="46">
        <v>6</v>
      </c>
      <c r="C39" s="46">
        <v>26</v>
      </c>
      <c r="D39" s="65">
        <f>DATE(SIP[[#This Row],[Year]],SIP[[#This Row],[Month]],SIP[[#This Row],[Day]])</f>
        <v>45103</v>
      </c>
      <c r="E39" s="66" t="str" cm="1">
        <f t="array" ref="E39">INDEX(INVESTORS_LIST[INVESTOR NAME],MATCH(SIP[[#This Row],[Investor ID]],INVESTORS_LIST[INVESTOR CODE],0),)</f>
        <v>SRIJON GHOSH</v>
      </c>
      <c r="F39" s="46" t="s">
        <v>894</v>
      </c>
      <c r="G39" s="46">
        <f>COUNTIF(SIP[[#Headers],[Investor ID]]:SIP[[#This Row],[Investor ID]],SIP[[#This Row],[Investor ID]])</f>
        <v>4</v>
      </c>
      <c r="H39" s="46" t="str">
        <f>CONCATENATE(SIP[[#This Row],[Frequency]],SIP[[#This Row],[Investor ID]])</f>
        <v>4A00424</v>
      </c>
      <c r="I39" s="46" t="str">
        <f>IF(SIP[[#This Row],[B/S]]="B","BUY",(IF(SIP[[#This Row],[B/S]]="S","SELL"," ")))</f>
        <v>BUY</v>
      </c>
      <c r="J39" s="46" t="s">
        <v>1229</v>
      </c>
      <c r="K39" s="69">
        <v>50000</v>
      </c>
      <c r="L39" s="69"/>
      <c r="M39" s="70">
        <f>SIP[[#This Row],[Amount]]/SIP[[#This Row],[Unit]]</f>
        <v>10.25430680885972</v>
      </c>
      <c r="N39" s="71">
        <f>SIP[[#This Row],[Unit Capital]]/10</f>
        <v>4876</v>
      </c>
      <c r="O39" s="72">
        <f>SUMIFS(SIP[[#Headers],[Unit]]:SIP[[#This Row],[Unit]],SIP[[#Headers],[Investor ID]]:SIP[[#This Row],[Investor ID]],SIP[[#This Row],[Investor ID]])</f>
        <v>9322</v>
      </c>
      <c r="P39" s="73">
        <v>48760</v>
      </c>
      <c r="Q39" s="74">
        <f>SIP[[#This Row],[Amount]]-SIP[[#This Row],[Unit Capital]]</f>
        <v>1240</v>
      </c>
      <c r="R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10.190946148895087</v>
      </c>
      <c r="S39" s="68">
        <f t="shared" si="1"/>
        <v>14.224</v>
      </c>
      <c r="T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" s="74" cm="1">
        <f t="array" ref="U39">IF(SIP[[#This Row],[B/S]]="S",ABS(SIP[[#This Row],[Unit]])*(INDEX(SIP[NAV at Cost (Average)],MATCH(CONCATENATE((SIP[[#This Row],[Frequency]]-1),SIP[[#This Row],[Investor ID]]),SIP[Unique Code],0),0)),0)</f>
        <v>0</v>
      </c>
      <c r="V39" s="74">
        <f>IF(SIP[[#This Row],[BO TRANSFER]]="YES",SIP[[#This Row],[Unit]],)</f>
        <v>0</v>
      </c>
      <c r="W39" s="74">
        <f>SUMIFS(SIP[[#Headers],[BO UNIT TRANSFER]]:SIP[[#This Row],[BO UNIT TRANSFER]],SIP[[#Headers],[Investor ID]]:SIP[[#This Row],[Investor ID]],SIP[[#This Row],[Investor ID]])</f>
        <v>0</v>
      </c>
    </row>
    <row r="40" spans="1:23" ht="15" customHeight="1">
      <c r="A40" s="46">
        <v>2023</v>
      </c>
      <c r="B40" s="46">
        <v>6</v>
      </c>
      <c r="C40" s="46">
        <v>26</v>
      </c>
      <c r="D40" s="65">
        <f>DATE(SIP[[#This Row],[Year]],SIP[[#This Row],[Month]],SIP[[#This Row],[Day]])</f>
        <v>45103</v>
      </c>
      <c r="E40" s="66" t="str" cm="1">
        <f t="array" ref="E40">INDEX(INVESTORS_LIST[INVESTOR NAME],MATCH(SIP[[#This Row],[Investor ID]],INVESTORS_LIST[INVESTOR CODE],0),)</f>
        <v>KHALED HOSSAIN</v>
      </c>
      <c r="F40" s="46" t="s">
        <v>1050</v>
      </c>
      <c r="G40" s="46">
        <f>COUNTIF(SIP[[#Headers],[Investor ID]]:SIP[[#This Row],[Investor ID]],SIP[[#This Row],[Investor ID]])</f>
        <v>1</v>
      </c>
      <c r="H40" s="46" t="str">
        <f>CONCATENATE(SIP[[#This Row],[Frequency]],SIP[[#This Row],[Investor ID]])</f>
        <v>1A00502</v>
      </c>
      <c r="I40" s="46" t="str">
        <f>IF(SIP[[#This Row],[B/S]]="B","BUY",(IF(SIP[[#This Row],[B/S]]="S","SELL"," ")))</f>
        <v>BUY</v>
      </c>
      <c r="J40" s="46" t="s">
        <v>1229</v>
      </c>
      <c r="K40" s="69">
        <v>10000</v>
      </c>
      <c r="L40" s="69"/>
      <c r="M40" s="70">
        <f>SIP[[#This Row],[Amount]]/SIP[[#This Row],[Unit]]</f>
        <v>10.256410256410257</v>
      </c>
      <c r="N40" s="71">
        <f>SIP[[#This Row],[Unit Capital]]/10</f>
        <v>975</v>
      </c>
      <c r="O40" s="72">
        <f>SUMIFS(SIP[[#Headers],[Unit]]:SIP[[#This Row],[Unit]],SIP[[#Headers],[Investor ID]]:SIP[[#This Row],[Investor ID]],SIP[[#This Row],[Investor ID]])</f>
        <v>975</v>
      </c>
      <c r="P40" s="73">
        <v>9750</v>
      </c>
      <c r="Q40" s="74">
        <f>SIP[[#This Row],[Amount]]-SIP[[#This Row],[Unit Capital]]</f>
        <v>250</v>
      </c>
      <c r="R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10.256410256410257</v>
      </c>
      <c r="S40" s="68">
        <f t="shared" si="1"/>
        <v>14.224</v>
      </c>
      <c r="T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" s="74" cm="1">
        <f t="array" ref="U40">IF(SIP[[#This Row],[B/S]]="S",ABS(SIP[[#This Row],[Unit]])*(INDEX(SIP[NAV at Cost (Average)],MATCH(CONCATENATE((SIP[[#This Row],[Frequency]]-1),SIP[[#This Row],[Investor ID]]),SIP[Unique Code],0),0)),0)</f>
        <v>0</v>
      </c>
      <c r="V40" s="74">
        <f>IF(SIP[[#This Row],[BO TRANSFER]]="YES",SIP[[#This Row],[Unit]],)</f>
        <v>0</v>
      </c>
      <c r="W40" s="74">
        <f>SUMIFS(SIP[[#Headers],[BO UNIT TRANSFER]]:SIP[[#This Row],[BO UNIT TRANSFER]],SIP[[#Headers],[Investor ID]]:SIP[[#This Row],[Investor ID]],SIP[[#This Row],[Investor ID]])</f>
        <v>0</v>
      </c>
    </row>
    <row r="41" spans="1:23" ht="15" customHeight="1">
      <c r="A41" s="46">
        <v>2023</v>
      </c>
      <c r="B41" s="46">
        <v>6</v>
      </c>
      <c r="C41" s="46">
        <v>26</v>
      </c>
      <c r="D41" s="65">
        <f>DATE(SIP[[#This Row],[Year]],SIP[[#This Row],[Month]],SIP[[#This Row],[Day]])</f>
        <v>45103</v>
      </c>
      <c r="E41" s="66" t="str" cm="1">
        <f t="array" ref="E41">INDEX(INVESTORS_LIST[INVESTOR NAME],MATCH(SIP[[#This Row],[Investor ID]],INVESTORS_LIST[INVESTOR CODE],0),)</f>
        <v>MD. MOHIBULLAH CHOWDHURY</v>
      </c>
      <c r="F41" s="46" t="s">
        <v>1006</v>
      </c>
      <c r="G41" s="46">
        <f>COUNTIF(SIP[[#Headers],[Investor ID]]:SIP[[#This Row],[Investor ID]],SIP[[#This Row],[Investor ID]])</f>
        <v>2</v>
      </c>
      <c r="H41" s="46" t="str">
        <f>CONCATENATE(SIP[[#This Row],[Frequency]],SIP[[#This Row],[Investor ID]])</f>
        <v>2A00480</v>
      </c>
      <c r="I41" s="46" t="str">
        <f>IF(SIP[[#This Row],[B/S]]="B","BUY",(IF(SIP[[#This Row],[B/S]]="S","SELL"," ")))</f>
        <v>BUY</v>
      </c>
      <c r="J41" s="46" t="s">
        <v>1229</v>
      </c>
      <c r="K41" s="69">
        <v>10000</v>
      </c>
      <c r="L41" s="69"/>
      <c r="M41" s="70">
        <f>SIP[[#This Row],[Amount]]/SIP[[#This Row],[Unit]]</f>
        <v>10.266940451745381</v>
      </c>
      <c r="N41" s="71">
        <f>SIP[[#This Row],[Unit Capital]]/10</f>
        <v>974</v>
      </c>
      <c r="O41" s="72">
        <f>SUMIFS(SIP[[#Headers],[Unit]]:SIP[[#This Row],[Unit]],SIP[[#Headers],[Investor ID]]:SIP[[#This Row],[Investor ID]],SIP[[#This Row],[Investor ID]])</f>
        <v>1957</v>
      </c>
      <c r="P41" s="73">
        <v>9740</v>
      </c>
      <c r="Q41" s="74">
        <f>SIP[[#This Row],[Amount]]-SIP[[#This Row],[Unit Capital]]</f>
        <v>260</v>
      </c>
      <c r="R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10.21972406745018</v>
      </c>
      <c r="S41" s="68">
        <f t="shared" si="1"/>
        <v>14.224</v>
      </c>
      <c r="T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" s="74" cm="1">
        <f t="array" ref="U41">IF(SIP[[#This Row],[B/S]]="S",ABS(SIP[[#This Row],[Unit]])*(INDEX(SIP[NAV at Cost (Average)],MATCH(CONCATENATE((SIP[[#This Row],[Frequency]]-1),SIP[[#This Row],[Investor ID]]),SIP[Unique Code],0),0)),0)</f>
        <v>0</v>
      </c>
      <c r="V41" s="74">
        <f>IF(SIP[[#This Row],[BO TRANSFER]]="YES",SIP[[#This Row],[Unit]],)</f>
        <v>0</v>
      </c>
      <c r="W41" s="74">
        <f>SUMIFS(SIP[[#Headers],[BO UNIT TRANSFER]]:SIP[[#This Row],[BO UNIT TRANSFER]],SIP[[#Headers],[Investor ID]]:SIP[[#This Row],[Investor ID]],SIP[[#This Row],[Investor ID]])</f>
        <v>0</v>
      </c>
    </row>
    <row r="42" spans="1:23" ht="15" customHeight="1">
      <c r="A42" s="46">
        <v>2023</v>
      </c>
      <c r="B42" s="46">
        <v>6</v>
      </c>
      <c r="C42" s="46">
        <v>26</v>
      </c>
      <c r="D42" s="65">
        <f>DATE(SIP[[#This Row],[Year]],SIP[[#This Row],[Month]],SIP[[#This Row],[Day]])</f>
        <v>45103</v>
      </c>
      <c r="E42" s="66" t="str" cm="1">
        <f t="array" ref="E42">INDEX(INVESTORS_LIST[INVESTOR NAME],MATCH(SIP[[#This Row],[Investor ID]],INVESTORS_LIST[INVESTOR CODE],0),)</f>
        <v>KHAN MUHAMMAD FAISOL</v>
      </c>
      <c r="F42" s="46" t="s">
        <v>930</v>
      </c>
      <c r="G42" s="46">
        <f>COUNTIF(SIP[[#Headers],[Investor ID]]:SIP[[#This Row],[Investor ID]],SIP[[#This Row],[Investor ID]])</f>
        <v>2</v>
      </c>
      <c r="H42" s="46" t="str">
        <f>CONCATENATE(SIP[[#This Row],[Frequency]],SIP[[#This Row],[Investor ID]])</f>
        <v>2A00442</v>
      </c>
      <c r="I42" s="46" t="str">
        <f>IF(SIP[[#This Row],[B/S]]="B","BUY",(IF(SIP[[#This Row],[B/S]]="S","SELL"," ")))</f>
        <v>BUY</v>
      </c>
      <c r="J42" s="46" t="s">
        <v>1229</v>
      </c>
      <c r="K42" s="69">
        <v>1000</v>
      </c>
      <c r="L42" s="69"/>
      <c r="M42" s="70">
        <f>SIP[[#This Row],[Amount]]/SIP[[#This Row],[Unit]]</f>
        <v>10.309278350515465</v>
      </c>
      <c r="N42" s="71">
        <f>SIP[[#This Row],[Unit Capital]]/10</f>
        <v>97</v>
      </c>
      <c r="O42" s="72">
        <f>SUMIFS(SIP[[#Headers],[Unit]]:SIP[[#This Row],[Unit]],SIP[[#Headers],[Investor ID]]:SIP[[#This Row],[Investor ID]],SIP[[#This Row],[Investor ID]])</f>
        <v>195</v>
      </c>
      <c r="P42" s="73">
        <v>970</v>
      </c>
      <c r="Q42" s="74">
        <f>SIP[[#This Row],[Amount]]-SIP[[#This Row],[Unit Capital]]</f>
        <v>30</v>
      </c>
      <c r="R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10.256410256410255</v>
      </c>
      <c r="S42" s="68">
        <f t="shared" si="1"/>
        <v>14.224</v>
      </c>
      <c r="T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" s="74" cm="1">
        <f t="array" ref="U42">IF(SIP[[#This Row],[B/S]]="S",ABS(SIP[[#This Row],[Unit]])*(INDEX(SIP[NAV at Cost (Average)],MATCH(CONCATENATE((SIP[[#This Row],[Frequency]]-1),SIP[[#This Row],[Investor ID]]),SIP[Unique Code],0),0)),0)</f>
        <v>0</v>
      </c>
      <c r="V42" s="74">
        <f>IF(SIP[[#This Row],[BO TRANSFER]]="YES",SIP[[#This Row],[Unit]],)</f>
        <v>0</v>
      </c>
      <c r="W42" s="74">
        <f>SUMIFS(SIP[[#Headers],[BO UNIT TRANSFER]]:SIP[[#This Row],[BO UNIT TRANSFER]],SIP[[#Headers],[Investor ID]]:SIP[[#This Row],[Investor ID]],SIP[[#This Row],[Investor ID]])</f>
        <v>0</v>
      </c>
    </row>
    <row r="43" spans="1:23" ht="15" customHeight="1">
      <c r="A43" s="46">
        <v>2023</v>
      </c>
      <c r="B43" s="46">
        <v>6</v>
      </c>
      <c r="C43" s="46">
        <v>26</v>
      </c>
      <c r="D43" s="65">
        <f>DATE(SIP[[#This Row],[Year]],SIP[[#This Row],[Month]],SIP[[#This Row],[Day]])</f>
        <v>45103</v>
      </c>
      <c r="E43" s="66" t="str" cm="1">
        <f t="array" ref="E43">INDEX(INVESTORS_LIST[INVESTOR NAME],MATCH(SIP[[#This Row],[Investor ID]],INVESTORS_LIST[INVESTOR CODE],0),)</f>
        <v>MD. ARIFUL ISLAM</v>
      </c>
      <c r="F43" s="46" t="s">
        <v>222</v>
      </c>
      <c r="G43" s="46">
        <f>COUNTIF(SIP[[#Headers],[Investor ID]]:SIP[[#This Row],[Investor ID]],SIP[[#This Row],[Investor ID]])</f>
        <v>2</v>
      </c>
      <c r="H43" s="46" t="str">
        <f>CONCATENATE(SIP[[#This Row],[Frequency]],SIP[[#This Row],[Investor ID]])</f>
        <v>2A00087</v>
      </c>
      <c r="I43" s="46" t="str">
        <f>IF(SIP[[#This Row],[B/S]]="B","BUY",(IF(SIP[[#This Row],[B/S]]="S","SELL"," ")))</f>
        <v>BUY</v>
      </c>
      <c r="J43" s="46" t="s">
        <v>1229</v>
      </c>
      <c r="K43" s="69">
        <v>10000</v>
      </c>
      <c r="L43" s="69"/>
      <c r="M43" s="70">
        <f>SIP[[#This Row],[Amount]]/SIP[[#This Row],[Unit]]</f>
        <v>10.266940451745381</v>
      </c>
      <c r="N43" s="71">
        <f>SIP[[#This Row],[Unit Capital]]/10</f>
        <v>974</v>
      </c>
      <c r="O43" s="72">
        <f>SUMIFS(SIP[[#Headers],[Unit]]:SIP[[#This Row],[Unit]],SIP[[#Headers],[Investor ID]]:SIP[[#This Row],[Investor ID]],SIP[[#This Row],[Investor ID]])</f>
        <v>1955</v>
      </c>
      <c r="P43" s="73">
        <v>9740</v>
      </c>
      <c r="Q43" s="74">
        <f>SIP[[#This Row],[Amount]]-SIP[[#This Row],[Unit Capital]]</f>
        <v>260</v>
      </c>
      <c r="R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10.230179028132994</v>
      </c>
      <c r="S43" s="68">
        <f t="shared" si="1"/>
        <v>14.224</v>
      </c>
      <c r="T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" s="74" cm="1">
        <f t="array" ref="U43">IF(SIP[[#This Row],[B/S]]="S",ABS(SIP[[#This Row],[Unit]])*(INDEX(SIP[NAV at Cost (Average)],MATCH(CONCATENATE((SIP[[#This Row],[Frequency]]-1),SIP[[#This Row],[Investor ID]]),SIP[Unique Code],0),0)),0)</f>
        <v>0</v>
      </c>
      <c r="V43" s="74">
        <f>IF(SIP[[#This Row],[BO TRANSFER]]="YES",SIP[[#This Row],[Unit]],)</f>
        <v>0</v>
      </c>
      <c r="W43" s="74">
        <f>SUMIFS(SIP[[#Headers],[BO UNIT TRANSFER]]:SIP[[#This Row],[BO UNIT TRANSFER]],SIP[[#Headers],[Investor ID]]:SIP[[#This Row],[Investor ID]],SIP[[#This Row],[Investor ID]])</f>
        <v>0</v>
      </c>
    </row>
    <row r="44" spans="1:23" ht="15" customHeight="1">
      <c r="A44" s="46">
        <v>2023</v>
      </c>
      <c r="B44" s="46">
        <v>6</v>
      </c>
      <c r="C44" s="46">
        <v>26</v>
      </c>
      <c r="D44" s="65">
        <f>DATE(SIP[[#This Row],[Year]],SIP[[#This Row],[Month]],SIP[[#This Row],[Day]])</f>
        <v>45103</v>
      </c>
      <c r="E44" s="66" t="str" cm="1">
        <f t="array" ref="E44">INDEX(INVESTORS_LIST[INVESTOR NAME],MATCH(SIP[[#This Row],[Investor ID]],INVESTORS_LIST[INVESTOR CODE],0),)</f>
        <v>S.M. SAIFUL ISLAM</v>
      </c>
      <c r="F44" s="46" t="s">
        <v>1002</v>
      </c>
      <c r="G44" s="46">
        <f>COUNTIF(SIP[[#Headers],[Investor ID]]:SIP[[#This Row],[Investor ID]],SIP[[#This Row],[Investor ID]])</f>
        <v>2</v>
      </c>
      <c r="H44" s="46" t="str">
        <f>CONCATENATE(SIP[[#This Row],[Frequency]],SIP[[#This Row],[Investor ID]])</f>
        <v>2A00478</v>
      </c>
      <c r="I44" s="46" t="str">
        <f>IF(SIP[[#This Row],[B/S]]="B","BUY",(IF(SIP[[#This Row],[B/S]]="S","SELL"," ")))</f>
        <v>BUY</v>
      </c>
      <c r="J44" s="46" t="s">
        <v>1229</v>
      </c>
      <c r="K44" s="69">
        <v>10000</v>
      </c>
      <c r="L44" s="69"/>
      <c r="M44" s="70">
        <f>SIP[[#This Row],[Amount]]/SIP[[#This Row],[Unit]]</f>
        <v>10.266940451745381</v>
      </c>
      <c r="N44" s="71">
        <f>SIP[[#This Row],[Unit Capital]]/10</f>
        <v>974</v>
      </c>
      <c r="O44" s="72">
        <f>SUMIFS(SIP[[#Headers],[Unit]]:SIP[[#This Row],[Unit]],SIP[[#Headers],[Investor ID]]:SIP[[#This Row],[Investor ID]],SIP[[#This Row],[Investor ID]])</f>
        <v>1957</v>
      </c>
      <c r="P44" s="73">
        <v>9740</v>
      </c>
      <c r="Q44" s="74">
        <f>SIP[[#This Row],[Amount]]-SIP[[#This Row],[Unit Capital]]</f>
        <v>260</v>
      </c>
      <c r="R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10.21972406745018</v>
      </c>
      <c r="S44" s="68">
        <f t="shared" si="1"/>
        <v>14.224</v>
      </c>
      <c r="T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" s="74" cm="1">
        <f t="array" ref="U44">IF(SIP[[#This Row],[B/S]]="S",ABS(SIP[[#This Row],[Unit]])*(INDEX(SIP[NAV at Cost (Average)],MATCH(CONCATENATE((SIP[[#This Row],[Frequency]]-1),SIP[[#This Row],[Investor ID]]),SIP[Unique Code],0),0)),0)</f>
        <v>0</v>
      </c>
      <c r="V44" s="74">
        <f>IF(SIP[[#This Row],[BO TRANSFER]]="YES",SIP[[#This Row],[Unit]],)</f>
        <v>0</v>
      </c>
      <c r="W44" s="74">
        <f>SUMIFS(SIP[[#Headers],[BO UNIT TRANSFER]]:SIP[[#This Row],[BO UNIT TRANSFER]],SIP[[#Headers],[Investor ID]]:SIP[[#This Row],[Investor ID]],SIP[[#This Row],[Investor ID]])</f>
        <v>0</v>
      </c>
    </row>
    <row r="45" spans="1:23" ht="15" customHeight="1">
      <c r="A45" s="46">
        <v>2023</v>
      </c>
      <c r="B45" s="46">
        <v>6</v>
      </c>
      <c r="C45" s="46">
        <v>26</v>
      </c>
      <c r="D45" s="65">
        <f>DATE(SIP[[#This Row],[Year]],SIP[[#This Row],[Month]],SIP[[#This Row],[Day]])</f>
        <v>45103</v>
      </c>
      <c r="E45" s="66" t="str" cm="1">
        <f t="array" ref="E45">INDEX(INVESTORS_LIST[INVESTOR NAME],MATCH(SIP[[#This Row],[Investor ID]],INVESTORS_LIST[INVESTOR CODE],0),)</f>
        <v>SIKDER FAZLE RABBI</v>
      </c>
      <c r="F45" s="46" t="s">
        <v>1032</v>
      </c>
      <c r="G45" s="46">
        <f>COUNTIF(SIP[[#Headers],[Investor ID]]:SIP[[#This Row],[Investor ID]],SIP[[#This Row],[Investor ID]])</f>
        <v>1</v>
      </c>
      <c r="H45" s="46" t="str">
        <f>CONCATENATE(SIP[[#This Row],[Frequency]],SIP[[#This Row],[Investor ID]])</f>
        <v>1A00493</v>
      </c>
      <c r="I45" s="46" t="str">
        <f>IF(SIP[[#This Row],[B/S]]="B","BUY",(IF(SIP[[#This Row],[B/S]]="S","SELL"," ")))</f>
        <v>BUY</v>
      </c>
      <c r="J45" s="46" t="s">
        <v>1229</v>
      </c>
      <c r="K45" s="69">
        <v>5000</v>
      </c>
      <c r="L45" s="69"/>
      <c r="M45" s="70">
        <f>SIP[[#This Row],[Amount]]/SIP[[#This Row],[Unit]]</f>
        <v>10.266940451745381</v>
      </c>
      <c r="N45" s="71">
        <f>SIP[[#This Row],[Unit Capital]]/10</f>
        <v>487</v>
      </c>
      <c r="O45" s="72">
        <f>SUMIFS(SIP[[#Headers],[Unit]]:SIP[[#This Row],[Unit]],SIP[[#Headers],[Investor ID]]:SIP[[#This Row],[Investor ID]],SIP[[#This Row],[Investor ID]])</f>
        <v>487</v>
      </c>
      <c r="P45" s="73">
        <v>4870</v>
      </c>
      <c r="Q45" s="74">
        <f>SIP[[#This Row],[Amount]]-SIP[[#This Row],[Unit Capital]]</f>
        <v>130</v>
      </c>
      <c r="R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45" s="68">
        <f t="shared" si="1"/>
        <v>14.224</v>
      </c>
      <c r="T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" s="74" cm="1">
        <f t="array" ref="U45">IF(SIP[[#This Row],[B/S]]="S",ABS(SIP[[#This Row],[Unit]])*(INDEX(SIP[NAV at Cost (Average)],MATCH(CONCATENATE((SIP[[#This Row],[Frequency]]-1),SIP[[#This Row],[Investor ID]]),SIP[Unique Code],0),0)),0)</f>
        <v>0</v>
      </c>
      <c r="V45" s="74">
        <f>IF(SIP[[#This Row],[BO TRANSFER]]="YES",SIP[[#This Row],[Unit]],)</f>
        <v>0</v>
      </c>
      <c r="W45" s="74">
        <f>SUMIFS(SIP[[#Headers],[BO UNIT TRANSFER]]:SIP[[#This Row],[BO UNIT TRANSFER]],SIP[[#Headers],[Investor ID]]:SIP[[#This Row],[Investor ID]],SIP[[#This Row],[Investor ID]])</f>
        <v>0</v>
      </c>
    </row>
    <row r="46" spans="1:23" ht="15" customHeight="1">
      <c r="A46" s="46">
        <v>2023</v>
      </c>
      <c r="B46" s="46">
        <v>6</v>
      </c>
      <c r="C46" s="46">
        <v>26</v>
      </c>
      <c r="D46" s="65">
        <f>DATE(SIP[[#This Row],[Year]],SIP[[#This Row],[Month]],SIP[[#This Row],[Day]])</f>
        <v>45103</v>
      </c>
      <c r="E46" s="66" t="str" cm="1">
        <f t="array" ref="E46">INDEX(INVESTORS_LIST[INVESTOR NAME],MATCH(SIP[[#This Row],[Investor ID]],INVESTORS_LIST[INVESTOR CODE],0),)</f>
        <v>MOHAMMED SHARIFUL ISLAM</v>
      </c>
      <c r="F46" s="46" t="s">
        <v>1028</v>
      </c>
      <c r="G46" s="46">
        <f>COUNTIF(SIP[[#Headers],[Investor ID]]:SIP[[#This Row],[Investor ID]],SIP[[#This Row],[Investor ID]])</f>
        <v>1</v>
      </c>
      <c r="H46" s="46" t="str">
        <f>CONCATENATE(SIP[[#This Row],[Frequency]],SIP[[#This Row],[Investor ID]])</f>
        <v>1A00491</v>
      </c>
      <c r="I46" s="46" t="str">
        <f>IF(SIP[[#This Row],[B/S]]="B","BUY",(IF(SIP[[#This Row],[B/S]]="S","SELL"," ")))</f>
        <v>BUY</v>
      </c>
      <c r="J46" s="46" t="s">
        <v>1229</v>
      </c>
      <c r="K46" s="69">
        <v>5000</v>
      </c>
      <c r="L46" s="69"/>
      <c r="M46" s="70">
        <f>SIP[[#This Row],[Amount]]/SIP[[#This Row],[Unit]]</f>
        <v>10.266940451745381</v>
      </c>
      <c r="N46" s="71">
        <f>SIP[[#This Row],[Unit Capital]]/10</f>
        <v>487</v>
      </c>
      <c r="O46" s="72">
        <f>SUMIFS(SIP[[#Headers],[Unit]]:SIP[[#This Row],[Unit]],SIP[[#Headers],[Investor ID]]:SIP[[#This Row],[Investor ID]],SIP[[#This Row],[Investor ID]])</f>
        <v>487</v>
      </c>
      <c r="P46" s="73">
        <v>4870</v>
      </c>
      <c r="Q46" s="74">
        <f>SIP[[#This Row],[Amount]]-SIP[[#This Row],[Unit Capital]]</f>
        <v>130</v>
      </c>
      <c r="R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46" s="68">
        <f t="shared" si="1"/>
        <v>14.224</v>
      </c>
      <c r="T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" s="74" cm="1">
        <f t="array" ref="U46">IF(SIP[[#This Row],[B/S]]="S",ABS(SIP[[#This Row],[Unit]])*(INDEX(SIP[NAV at Cost (Average)],MATCH(CONCATENATE((SIP[[#This Row],[Frequency]]-1),SIP[[#This Row],[Investor ID]]),SIP[Unique Code],0),0)),0)</f>
        <v>0</v>
      </c>
      <c r="V46" s="74">
        <f>IF(SIP[[#This Row],[BO TRANSFER]]="YES",SIP[[#This Row],[Unit]],)</f>
        <v>0</v>
      </c>
      <c r="W46" s="74">
        <f>SUMIFS(SIP[[#Headers],[BO UNIT TRANSFER]]:SIP[[#This Row],[BO UNIT TRANSFER]],SIP[[#Headers],[Investor ID]]:SIP[[#This Row],[Investor ID]],SIP[[#This Row],[Investor ID]])</f>
        <v>0</v>
      </c>
    </row>
    <row r="47" spans="1:23" ht="15" customHeight="1">
      <c r="A47" s="46">
        <v>2023</v>
      </c>
      <c r="B47" s="46">
        <v>6</v>
      </c>
      <c r="C47" s="46">
        <v>26</v>
      </c>
      <c r="D47" s="65">
        <f>DATE(SIP[[#This Row],[Year]],SIP[[#This Row],[Month]],SIP[[#This Row],[Day]])</f>
        <v>45103</v>
      </c>
      <c r="E47" s="66" t="str" cm="1">
        <f t="array" ref="E47">INDEX(INVESTORS_LIST[INVESTOR NAME],MATCH(SIP[[#This Row],[Investor ID]],INVESTORS_LIST[INVESTOR CODE],0),)</f>
        <v>ASHIK IQBAL CHOWDHURY</v>
      </c>
      <c r="F47" s="46" t="s">
        <v>1016</v>
      </c>
      <c r="G47" s="46">
        <f>COUNTIF(SIP[[#Headers],[Investor ID]]:SIP[[#This Row],[Investor ID]],SIP[[#This Row],[Investor ID]])</f>
        <v>1</v>
      </c>
      <c r="H47" s="46" t="str">
        <f>CONCATENATE(SIP[[#This Row],[Frequency]],SIP[[#This Row],[Investor ID]])</f>
        <v>1A00485</v>
      </c>
      <c r="I47" s="46" t="str">
        <f>IF(SIP[[#This Row],[B/S]]="B","BUY",(IF(SIP[[#This Row],[B/S]]="S","SELL"," ")))</f>
        <v>BUY</v>
      </c>
      <c r="J47" s="46" t="s">
        <v>1229</v>
      </c>
      <c r="K47" s="69">
        <v>5000</v>
      </c>
      <c r="L47" s="69"/>
      <c r="M47" s="70">
        <f>SIP[[#This Row],[Amount]]/SIP[[#This Row],[Unit]]</f>
        <v>10.266940451745381</v>
      </c>
      <c r="N47" s="71">
        <f>SIP[[#This Row],[Unit Capital]]/10</f>
        <v>487</v>
      </c>
      <c r="O47" s="72">
        <f>SUMIFS(SIP[[#Headers],[Unit]]:SIP[[#This Row],[Unit]],SIP[[#Headers],[Investor ID]]:SIP[[#This Row],[Investor ID]],SIP[[#This Row],[Investor ID]])</f>
        <v>487</v>
      </c>
      <c r="P47" s="73">
        <v>4870</v>
      </c>
      <c r="Q47" s="74">
        <f>SIP[[#This Row],[Amount]]-SIP[[#This Row],[Unit Capital]]</f>
        <v>130</v>
      </c>
      <c r="R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47" s="68">
        <f t="shared" si="1"/>
        <v>14.224</v>
      </c>
      <c r="T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" s="74" cm="1">
        <f t="array" ref="U47">IF(SIP[[#This Row],[B/S]]="S",ABS(SIP[[#This Row],[Unit]])*(INDEX(SIP[NAV at Cost (Average)],MATCH(CONCATENATE((SIP[[#This Row],[Frequency]]-1),SIP[[#This Row],[Investor ID]]),SIP[Unique Code],0),0)),0)</f>
        <v>0</v>
      </c>
      <c r="V47" s="74">
        <f>IF(SIP[[#This Row],[BO TRANSFER]]="YES",SIP[[#This Row],[Unit]],)</f>
        <v>0</v>
      </c>
      <c r="W47" s="74">
        <f>SUMIFS(SIP[[#Headers],[BO UNIT TRANSFER]]:SIP[[#This Row],[BO UNIT TRANSFER]],SIP[[#Headers],[Investor ID]]:SIP[[#This Row],[Investor ID]],SIP[[#This Row],[Investor ID]])</f>
        <v>0</v>
      </c>
    </row>
    <row r="48" spans="1:23" ht="15" customHeight="1">
      <c r="A48" s="46">
        <v>2023</v>
      </c>
      <c r="B48" s="46">
        <v>6</v>
      </c>
      <c r="C48" s="46">
        <v>26</v>
      </c>
      <c r="D48" s="65">
        <f>DATE(SIP[[#This Row],[Year]],SIP[[#This Row],[Month]],SIP[[#This Row],[Day]])</f>
        <v>45103</v>
      </c>
      <c r="E48" s="66" t="str" cm="1">
        <f t="array" ref="E48">INDEX(INVESTORS_LIST[INVESTOR NAME],MATCH(SIP[[#This Row],[Investor ID]],INVESTORS_LIST[INVESTOR CODE],0),)</f>
        <v>MD. WALI ULLAH</v>
      </c>
      <c r="F48" s="46" t="s">
        <v>443</v>
      </c>
      <c r="G48" s="46">
        <f>COUNTIF(SIP[[#Headers],[Investor ID]]:SIP[[#This Row],[Investor ID]],SIP[[#This Row],[Investor ID]])</f>
        <v>2</v>
      </c>
      <c r="H48" s="46" t="str">
        <f>CONCATENATE(SIP[[#This Row],[Frequency]],SIP[[#This Row],[Investor ID]])</f>
        <v>2A00197</v>
      </c>
      <c r="I48" s="46" t="str">
        <f>IF(SIP[[#This Row],[B/S]]="B","BUY",(IF(SIP[[#This Row],[B/S]]="S","SELL"," ")))</f>
        <v>BUY</v>
      </c>
      <c r="J48" s="46" t="s">
        <v>1229</v>
      </c>
      <c r="K48" s="69">
        <v>15000</v>
      </c>
      <c r="L48" s="69"/>
      <c r="M48" s="70">
        <f>SIP[[#This Row],[Amount]]/SIP[[#This Row],[Unit]]</f>
        <v>10.273972602739725</v>
      </c>
      <c r="N48" s="71">
        <f>SIP[[#This Row],[Unit Capital]]/10</f>
        <v>1460</v>
      </c>
      <c r="O48" s="72">
        <f>SUMIFS(SIP[[#Headers],[Unit]]:SIP[[#This Row],[Unit]],SIP[[#Headers],[Investor ID]]:SIP[[#This Row],[Investor ID]],SIP[[#This Row],[Investor ID]])</f>
        <v>2935</v>
      </c>
      <c r="P48" s="73">
        <v>14600</v>
      </c>
      <c r="Q48" s="74">
        <f>SIP[[#This Row],[Amount]]-SIP[[#This Row],[Unit Capital]]</f>
        <v>400</v>
      </c>
      <c r="R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10.221465076660987</v>
      </c>
      <c r="S48" s="68">
        <f t="shared" si="1"/>
        <v>14.224</v>
      </c>
      <c r="T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" s="74" cm="1">
        <f t="array" ref="U48">IF(SIP[[#This Row],[B/S]]="S",ABS(SIP[[#This Row],[Unit]])*(INDEX(SIP[NAV at Cost (Average)],MATCH(CONCATENATE((SIP[[#This Row],[Frequency]]-1),SIP[[#This Row],[Investor ID]]),SIP[Unique Code],0),0)),0)</f>
        <v>0</v>
      </c>
      <c r="V48" s="74">
        <f>IF(SIP[[#This Row],[BO TRANSFER]]="YES",SIP[[#This Row],[Unit]],)</f>
        <v>0</v>
      </c>
      <c r="W48" s="74">
        <f>SUMIFS(SIP[[#Headers],[BO UNIT TRANSFER]]:SIP[[#This Row],[BO UNIT TRANSFER]],SIP[[#Headers],[Investor ID]]:SIP[[#This Row],[Investor ID]],SIP[[#This Row],[Investor ID]])</f>
        <v>0</v>
      </c>
    </row>
    <row r="49" spans="1:23" ht="15" customHeight="1">
      <c r="A49" s="46">
        <v>2023</v>
      </c>
      <c r="B49" s="46">
        <v>6</v>
      </c>
      <c r="C49" s="46">
        <v>26</v>
      </c>
      <c r="D49" s="65">
        <f>DATE(SIP[[#This Row],[Year]],SIP[[#This Row],[Month]],SIP[[#This Row],[Day]])</f>
        <v>45103</v>
      </c>
      <c r="E49" s="66" t="str" cm="1">
        <f t="array" ref="E49">INDEX(INVESTORS_LIST[INVESTOR NAME],MATCH(SIP[[#This Row],[Investor ID]],INVESTORS_LIST[INVESTOR CODE],0),)</f>
        <v>SABIRA SALAM RIDI</v>
      </c>
      <c r="F49" s="46" t="s">
        <v>988</v>
      </c>
      <c r="G49" s="46">
        <f>COUNTIF(SIP[[#Headers],[Investor ID]]:SIP[[#This Row],[Investor ID]],SIP[[#This Row],[Investor ID]])</f>
        <v>3</v>
      </c>
      <c r="H49" s="46" t="str">
        <f>CONCATENATE(SIP[[#This Row],[Frequency]],SIP[[#This Row],[Investor ID]])</f>
        <v>3A00471</v>
      </c>
      <c r="I49" s="46" t="str">
        <f>IF(SIP[[#This Row],[B/S]]="B","BUY",(IF(SIP[[#This Row],[B/S]]="S","SELL"," ")))</f>
        <v>BUY</v>
      </c>
      <c r="J49" s="46" t="s">
        <v>1229</v>
      </c>
      <c r="K49" s="69">
        <v>1000</v>
      </c>
      <c r="L49" s="69"/>
      <c r="M49" s="70">
        <f>SIP[[#This Row],[Amount]]/SIP[[#This Row],[Unit]]</f>
        <v>10.309278350515465</v>
      </c>
      <c r="N49" s="71">
        <f>SIP[[#This Row],[Unit Capital]]/10</f>
        <v>97</v>
      </c>
      <c r="O49" s="72">
        <f>SUMIFS(SIP[[#Headers],[Unit]]:SIP[[#This Row],[Unit]],SIP[[#Headers],[Investor ID]]:SIP[[#This Row],[Investor ID]],SIP[[#This Row],[Investor ID]])</f>
        <v>294</v>
      </c>
      <c r="P49" s="73">
        <v>970</v>
      </c>
      <c r="Q49" s="74">
        <f>SIP[[#This Row],[Amount]]-SIP[[#This Row],[Unit Capital]]</f>
        <v>30</v>
      </c>
      <c r="R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10.204081632653061</v>
      </c>
      <c r="S49" s="68">
        <f t="shared" si="1"/>
        <v>14.224</v>
      </c>
      <c r="T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" s="74" cm="1">
        <f t="array" ref="U49">IF(SIP[[#This Row],[B/S]]="S",ABS(SIP[[#This Row],[Unit]])*(INDEX(SIP[NAV at Cost (Average)],MATCH(CONCATENATE((SIP[[#This Row],[Frequency]]-1),SIP[[#This Row],[Investor ID]]),SIP[Unique Code],0),0)),0)</f>
        <v>0</v>
      </c>
      <c r="V49" s="74">
        <f>IF(SIP[[#This Row],[BO TRANSFER]]="YES",SIP[[#This Row],[Unit]],)</f>
        <v>0</v>
      </c>
      <c r="W49" s="74">
        <f>SUMIFS(SIP[[#Headers],[BO UNIT TRANSFER]]:SIP[[#This Row],[BO UNIT TRANSFER]],SIP[[#Headers],[Investor ID]]:SIP[[#This Row],[Investor ID]],SIP[[#This Row],[Investor ID]])</f>
        <v>0</v>
      </c>
    </row>
    <row r="50" spans="1:23" ht="15" customHeight="1">
      <c r="A50" s="46">
        <v>2023</v>
      </c>
      <c r="B50" s="46">
        <v>6</v>
      </c>
      <c r="C50" s="46">
        <v>26</v>
      </c>
      <c r="D50" s="65">
        <f>DATE(SIP[[#This Row],[Year]],SIP[[#This Row],[Month]],SIP[[#This Row],[Day]])</f>
        <v>45103</v>
      </c>
      <c r="E50" s="66" t="str" cm="1">
        <f t="array" ref="E50">INDEX(INVESTORS_LIST[INVESTOR NAME],MATCH(SIP[[#This Row],[Investor ID]],INVESTORS_LIST[INVESTOR CODE],0),)</f>
        <v>SAJJAD CHOWDHURY</v>
      </c>
      <c r="F50" s="46" t="s">
        <v>461</v>
      </c>
      <c r="G50" s="46">
        <f>COUNTIF(SIP[[#Headers],[Investor ID]]:SIP[[#This Row],[Investor ID]],SIP[[#This Row],[Investor ID]])</f>
        <v>2</v>
      </c>
      <c r="H50" s="46" t="str">
        <f>CONCATENATE(SIP[[#This Row],[Frequency]],SIP[[#This Row],[Investor ID]])</f>
        <v>2A00206</v>
      </c>
      <c r="I50" s="46" t="str">
        <f>IF(SIP[[#This Row],[B/S]]="B","BUY",(IF(SIP[[#This Row],[B/S]]="S","SELL"," ")))</f>
        <v>BUY</v>
      </c>
      <c r="J50" s="46" t="s">
        <v>1229</v>
      </c>
      <c r="K50" s="69">
        <v>7500</v>
      </c>
      <c r="L50" s="69"/>
      <c r="M50" s="70">
        <f>SIP[[#This Row],[Amount]]/SIP[[#This Row],[Unit]]</f>
        <v>10.273972602739725</v>
      </c>
      <c r="N50" s="71">
        <f>SIP[[#This Row],[Unit Capital]]/10</f>
        <v>730</v>
      </c>
      <c r="O50" s="72">
        <f>SUMIFS(SIP[[#Headers],[Unit]]:SIP[[#This Row],[Unit]],SIP[[#Headers],[Investor ID]]:SIP[[#This Row],[Investor ID]],SIP[[#This Row],[Investor ID]])</f>
        <v>1467</v>
      </c>
      <c r="P50" s="73">
        <v>7300</v>
      </c>
      <c r="Q50" s="74">
        <f>SIP[[#This Row],[Amount]]-SIP[[#This Row],[Unit Capital]]</f>
        <v>200</v>
      </c>
      <c r="R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10.224948875255622</v>
      </c>
      <c r="S50" s="68">
        <f t="shared" si="1"/>
        <v>14.224</v>
      </c>
      <c r="T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" s="74" cm="1">
        <f t="array" ref="U50">IF(SIP[[#This Row],[B/S]]="S",ABS(SIP[[#This Row],[Unit]])*(INDEX(SIP[NAV at Cost (Average)],MATCH(CONCATENATE((SIP[[#This Row],[Frequency]]-1),SIP[[#This Row],[Investor ID]]),SIP[Unique Code],0),0)),0)</f>
        <v>0</v>
      </c>
      <c r="V50" s="74">
        <f>IF(SIP[[#This Row],[BO TRANSFER]]="YES",SIP[[#This Row],[Unit]],)</f>
        <v>0</v>
      </c>
      <c r="W50" s="74">
        <f>SUMIFS(SIP[[#Headers],[BO UNIT TRANSFER]]:SIP[[#This Row],[BO UNIT TRANSFER]],SIP[[#Headers],[Investor ID]]:SIP[[#This Row],[Investor ID]],SIP[[#This Row],[Investor ID]])</f>
        <v>0</v>
      </c>
    </row>
    <row r="51" spans="1:23" ht="15" customHeight="1">
      <c r="A51" s="46">
        <v>2023</v>
      </c>
      <c r="B51" s="46">
        <v>6</v>
      </c>
      <c r="C51" s="46">
        <v>26</v>
      </c>
      <c r="D51" s="65">
        <f>DATE(SIP[[#This Row],[Year]],SIP[[#This Row],[Month]],SIP[[#This Row],[Day]])</f>
        <v>45103</v>
      </c>
      <c r="E51" s="66" t="str" cm="1">
        <f t="array" ref="E51">INDEX(INVESTORS_LIST[INVESTOR NAME],MATCH(SIP[[#This Row],[Investor ID]],INVESTORS_LIST[INVESTOR CODE],0),)</f>
        <v>EKUSH WEALTH MANAGEMENT LIMITED EMPLOYEES CONTRIBUTORY PROVIDENT FUND</v>
      </c>
      <c r="F51" s="46" t="s">
        <v>831</v>
      </c>
      <c r="G51" s="46">
        <f>COUNTIF(SIP[[#Headers],[Investor ID]]:SIP[[#This Row],[Investor ID]],SIP[[#This Row],[Investor ID]])</f>
        <v>2</v>
      </c>
      <c r="H51" s="46" t="str">
        <f>CONCATENATE(SIP[[#This Row],[Frequency]],SIP[[#This Row],[Investor ID]])</f>
        <v>2A00392</v>
      </c>
      <c r="I51" s="46" t="str">
        <f>IF(SIP[[#This Row],[B/S]]="B","BUY",(IF(SIP[[#This Row],[B/S]]="S","SELL"," ")))</f>
        <v>BUY</v>
      </c>
      <c r="J51" s="46" t="s">
        <v>1229</v>
      </c>
      <c r="K51" s="69">
        <v>22040</v>
      </c>
      <c r="L51" s="69"/>
      <c r="M51" s="70">
        <f>SIP[[#This Row],[Amount]]/SIP[[#This Row],[Unit]]</f>
        <v>10.27027027027027</v>
      </c>
      <c r="N51" s="71">
        <f>SIP[[#This Row],[Unit Capital]]/10</f>
        <v>2146</v>
      </c>
      <c r="O51" s="72">
        <f>SUMIFS(SIP[[#Headers],[Unit]]:SIP[[#This Row],[Unit]],SIP[[#Headers],[Investor ID]]:SIP[[#This Row],[Investor ID]],SIP[[#This Row],[Investor ID]])</f>
        <v>4313</v>
      </c>
      <c r="P51" s="73">
        <v>21460</v>
      </c>
      <c r="Q51" s="74">
        <f>SIP[[#This Row],[Amount]]-SIP[[#This Row],[Unit Capital]]</f>
        <v>580</v>
      </c>
      <c r="R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10.220264317180618</v>
      </c>
      <c r="S51" s="68">
        <f t="shared" si="1"/>
        <v>14.224</v>
      </c>
      <c r="T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" s="74" cm="1">
        <f t="array" ref="U51">IF(SIP[[#This Row],[B/S]]="S",ABS(SIP[[#This Row],[Unit]])*(INDEX(SIP[NAV at Cost (Average)],MATCH(CONCATENATE((SIP[[#This Row],[Frequency]]-1),SIP[[#This Row],[Investor ID]]),SIP[Unique Code],0),0)),0)</f>
        <v>0</v>
      </c>
      <c r="V51" s="74">
        <f>IF(SIP[[#This Row],[BO TRANSFER]]="YES",SIP[[#This Row],[Unit]],)</f>
        <v>0</v>
      </c>
      <c r="W51" s="74">
        <f>SUMIFS(SIP[[#Headers],[BO UNIT TRANSFER]]:SIP[[#This Row],[BO UNIT TRANSFER]],SIP[[#Headers],[Investor ID]]:SIP[[#This Row],[Investor ID]],SIP[[#This Row],[Investor ID]])</f>
        <v>0</v>
      </c>
    </row>
    <row r="52" spans="1:23" ht="15" customHeight="1">
      <c r="A52" s="46">
        <v>2023</v>
      </c>
      <c r="B52" s="46">
        <v>6</v>
      </c>
      <c r="C52" s="46">
        <v>26</v>
      </c>
      <c r="D52" s="65">
        <f>DATE(SIP[[#This Row],[Year]],SIP[[#This Row],[Month]],SIP[[#This Row],[Day]])</f>
        <v>45103</v>
      </c>
      <c r="E52" s="66" t="str" cm="1">
        <f t="array" ref="E52">INDEX(INVESTORS_LIST[INVESTOR NAME],MATCH(SIP[[#This Row],[Investor ID]],INVESTORS_LIST[INVESTOR CODE],0),)</f>
        <v>MOHAMMED SELIM</v>
      </c>
      <c r="F52" s="46" t="s">
        <v>113</v>
      </c>
      <c r="G52" s="46">
        <f>COUNTIF(SIP[[#Headers],[Investor ID]]:SIP[[#This Row],[Investor ID]],SIP[[#This Row],[Investor ID]])</f>
        <v>1</v>
      </c>
      <c r="H52" s="46" t="str">
        <f>CONCATENATE(SIP[[#This Row],[Frequency]],SIP[[#This Row],[Investor ID]])</f>
        <v>1A00033</v>
      </c>
      <c r="I52" s="46" t="str">
        <f>IF(SIP[[#This Row],[B/S]]="B","BUY",(IF(SIP[[#This Row],[B/S]]="S","SELL"," ")))</f>
        <v>BUY</v>
      </c>
      <c r="J52" s="46" t="s">
        <v>1229</v>
      </c>
      <c r="K52" s="69">
        <v>5000</v>
      </c>
      <c r="L52" s="69"/>
      <c r="M52" s="70">
        <f>SIP[[#This Row],[Amount]]/SIP[[#This Row],[Unit]]</f>
        <v>10.266940451745381</v>
      </c>
      <c r="N52" s="71">
        <f>SIP[[#This Row],[Unit Capital]]/10</f>
        <v>487</v>
      </c>
      <c r="O52" s="72">
        <f>SUMIFS(SIP[[#Headers],[Unit]]:SIP[[#This Row],[Unit]],SIP[[#Headers],[Investor ID]]:SIP[[#This Row],[Investor ID]],SIP[[#This Row],[Investor ID]])</f>
        <v>487</v>
      </c>
      <c r="P52" s="73">
        <v>4870</v>
      </c>
      <c r="Q52" s="74">
        <f>SIP[[#This Row],[Amount]]-SIP[[#This Row],[Unit Capital]]</f>
        <v>130</v>
      </c>
      <c r="R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2" s="68">
        <f t="shared" si="1"/>
        <v>14.224</v>
      </c>
      <c r="T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" s="74" cm="1">
        <f t="array" ref="U52">IF(SIP[[#This Row],[B/S]]="S",ABS(SIP[[#This Row],[Unit]])*(INDEX(SIP[NAV at Cost (Average)],MATCH(CONCATENATE((SIP[[#This Row],[Frequency]]-1),SIP[[#This Row],[Investor ID]]),SIP[Unique Code],0),0)),0)</f>
        <v>0</v>
      </c>
      <c r="V52" s="74">
        <f>IF(SIP[[#This Row],[BO TRANSFER]]="YES",SIP[[#This Row],[Unit]],)</f>
        <v>0</v>
      </c>
      <c r="W52" s="74">
        <f>SUMIFS(SIP[[#Headers],[BO UNIT TRANSFER]]:SIP[[#This Row],[BO UNIT TRANSFER]],SIP[[#Headers],[Investor ID]]:SIP[[#This Row],[Investor ID]],SIP[[#This Row],[Investor ID]])</f>
        <v>0</v>
      </c>
    </row>
    <row r="53" spans="1:23" ht="15" customHeight="1">
      <c r="A53" s="46">
        <v>2023</v>
      </c>
      <c r="B53" s="46">
        <v>6</v>
      </c>
      <c r="C53" s="46">
        <v>26</v>
      </c>
      <c r="D53" s="65">
        <f>DATE(SIP[[#This Row],[Year]],SIP[[#This Row],[Month]],SIP[[#This Row],[Day]])</f>
        <v>45103</v>
      </c>
      <c r="E53" s="66" t="str" cm="1">
        <f t="array" ref="E53">INDEX(INVESTORS_LIST[INVESTOR NAME],MATCH(SIP[[#This Row],[Investor ID]],INVESTORS_LIST[INVESTOR CODE],0),)</f>
        <v>ABIR SAHA</v>
      </c>
      <c r="F53" s="46" t="s">
        <v>990</v>
      </c>
      <c r="G53" s="46">
        <f>COUNTIF(SIP[[#Headers],[Investor ID]]:SIP[[#This Row],[Investor ID]],SIP[[#This Row],[Investor ID]])</f>
        <v>3</v>
      </c>
      <c r="H53" s="46" t="str">
        <f>CONCATENATE(SIP[[#This Row],[Frequency]],SIP[[#This Row],[Investor ID]])</f>
        <v>3A00472</v>
      </c>
      <c r="I53" s="46" t="str">
        <f>IF(SIP[[#This Row],[B/S]]="B","BUY",(IF(SIP[[#This Row],[B/S]]="S","SELL"," ")))</f>
        <v>BUY</v>
      </c>
      <c r="J53" s="46" t="s">
        <v>1229</v>
      </c>
      <c r="K53" s="69">
        <v>1000</v>
      </c>
      <c r="L53" s="69"/>
      <c r="M53" s="70">
        <f>SIP[[#This Row],[Amount]]/SIP[[#This Row],[Unit]]</f>
        <v>10.309278350515465</v>
      </c>
      <c r="N53" s="71">
        <f>SIP[[#This Row],[Unit Capital]]/10</f>
        <v>97</v>
      </c>
      <c r="O53" s="72">
        <f>SUMIFS(SIP[[#Headers],[Unit]]:SIP[[#This Row],[Unit]],SIP[[#Headers],[Investor ID]]:SIP[[#This Row],[Investor ID]],SIP[[#This Row],[Investor ID]])</f>
        <v>294</v>
      </c>
      <c r="P53" s="73">
        <v>970</v>
      </c>
      <c r="Q53" s="74">
        <f>SIP[[#This Row],[Amount]]-SIP[[#This Row],[Unit Capital]]</f>
        <v>30</v>
      </c>
      <c r="R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10.204081632653061</v>
      </c>
      <c r="S53" s="68">
        <f t="shared" si="1"/>
        <v>14.224</v>
      </c>
      <c r="T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" s="74" cm="1">
        <f t="array" ref="U53">IF(SIP[[#This Row],[B/S]]="S",ABS(SIP[[#This Row],[Unit]])*(INDEX(SIP[NAV at Cost (Average)],MATCH(CONCATENATE((SIP[[#This Row],[Frequency]]-1),SIP[[#This Row],[Investor ID]]),SIP[Unique Code],0),0)),0)</f>
        <v>0</v>
      </c>
      <c r="V53" s="74">
        <f>IF(SIP[[#This Row],[BO TRANSFER]]="YES",SIP[[#This Row],[Unit]],)</f>
        <v>0</v>
      </c>
      <c r="W53" s="74">
        <f>SUMIFS(SIP[[#Headers],[BO UNIT TRANSFER]]:SIP[[#This Row],[BO UNIT TRANSFER]],SIP[[#Headers],[Investor ID]]:SIP[[#This Row],[Investor ID]],SIP[[#This Row],[Investor ID]])</f>
        <v>0</v>
      </c>
    </row>
    <row r="54" spans="1:23" ht="15" customHeight="1">
      <c r="A54" s="46">
        <v>2023</v>
      </c>
      <c r="B54" s="46">
        <v>6</v>
      </c>
      <c r="C54" s="46">
        <v>26</v>
      </c>
      <c r="D54" s="65">
        <f>DATE(SIP[[#This Row],[Year]],SIP[[#This Row],[Month]],SIP[[#This Row],[Day]])</f>
        <v>45103</v>
      </c>
      <c r="E54" s="66" t="str" cm="1">
        <f t="array" ref="E54">INDEX(INVESTORS_LIST[INVESTOR NAME],MATCH(SIP[[#This Row],[Investor ID]],INVESTORS_LIST[INVESTOR CODE],0),)</f>
        <v>SADIA PARVIN</v>
      </c>
      <c r="F54" s="46" t="s">
        <v>1018</v>
      </c>
      <c r="G54" s="46">
        <f>COUNTIF(SIP[[#Headers],[Investor ID]]:SIP[[#This Row],[Investor ID]],SIP[[#This Row],[Investor ID]])</f>
        <v>2</v>
      </c>
      <c r="H54" s="46" t="str">
        <f>CONCATENATE(SIP[[#This Row],[Frequency]],SIP[[#This Row],[Investor ID]])</f>
        <v>2A00486</v>
      </c>
      <c r="I54" s="46" t="str">
        <f>IF(SIP[[#This Row],[B/S]]="B","BUY",(IF(SIP[[#This Row],[B/S]]="S","SELL"," ")))</f>
        <v>BUY</v>
      </c>
      <c r="J54" s="46" t="s">
        <v>1229</v>
      </c>
      <c r="K54" s="69">
        <v>5000</v>
      </c>
      <c r="L54" s="69"/>
      <c r="M54" s="70">
        <f>SIP[[#This Row],[Amount]]/SIP[[#This Row],[Unit]]</f>
        <v>10.266940451745381</v>
      </c>
      <c r="N54" s="71">
        <f>SIP[[#This Row],[Unit Capital]]/10</f>
        <v>487</v>
      </c>
      <c r="O54" s="72">
        <f>SUMIFS(SIP[[#Headers],[Unit]]:SIP[[#This Row],[Unit]],SIP[[#Headers],[Investor ID]]:SIP[[#This Row],[Investor ID]],SIP[[#This Row],[Investor ID]])</f>
        <v>976</v>
      </c>
      <c r="P54" s="73">
        <v>4870</v>
      </c>
      <c r="Q54" s="74">
        <f>SIP[[#This Row],[Amount]]-SIP[[#This Row],[Unit Capital]]</f>
        <v>130</v>
      </c>
      <c r="R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10.245901639344263</v>
      </c>
      <c r="S54" s="68">
        <f t="shared" si="1"/>
        <v>14.224</v>
      </c>
      <c r="T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" s="74" cm="1">
        <f t="array" ref="U54">IF(SIP[[#This Row],[B/S]]="S",ABS(SIP[[#This Row],[Unit]])*(INDEX(SIP[NAV at Cost (Average)],MATCH(CONCATENATE((SIP[[#This Row],[Frequency]]-1),SIP[[#This Row],[Investor ID]]),SIP[Unique Code],0),0)),0)</f>
        <v>0</v>
      </c>
      <c r="V54" s="74">
        <f>IF(SIP[[#This Row],[BO TRANSFER]]="YES",SIP[[#This Row],[Unit]],)</f>
        <v>0</v>
      </c>
      <c r="W54" s="74">
        <f>SUMIFS(SIP[[#Headers],[BO UNIT TRANSFER]]:SIP[[#This Row],[BO UNIT TRANSFER]],SIP[[#Headers],[Investor ID]]:SIP[[#This Row],[Investor ID]],SIP[[#This Row],[Investor ID]])</f>
        <v>0</v>
      </c>
    </row>
    <row r="55" spans="1:23" ht="15" customHeight="1">
      <c r="A55" s="46">
        <v>2023</v>
      </c>
      <c r="B55" s="46">
        <v>6</v>
      </c>
      <c r="C55" s="46">
        <v>26</v>
      </c>
      <c r="D55" s="65">
        <f>DATE(SIP[[#This Row],[Year]],SIP[[#This Row],[Month]],SIP[[#This Row],[Day]])</f>
        <v>45103</v>
      </c>
      <c r="E55" s="66" t="str" cm="1">
        <f t="array" ref="E55">INDEX(INVESTORS_LIST[INVESTOR NAME],MATCH(SIP[[#This Row],[Investor ID]],INVESTORS_LIST[INVESTOR CODE],0),)</f>
        <v>MOHAMMAD HASAN</v>
      </c>
      <c r="F55" s="46" t="s">
        <v>1010</v>
      </c>
      <c r="G55" s="46">
        <f>COUNTIF(SIP[[#Headers],[Investor ID]]:SIP[[#This Row],[Investor ID]],SIP[[#This Row],[Investor ID]])</f>
        <v>1</v>
      </c>
      <c r="H55" s="46" t="str">
        <f>CONCATENATE(SIP[[#This Row],[Frequency]],SIP[[#This Row],[Investor ID]])</f>
        <v>1A00482</v>
      </c>
      <c r="I55" s="46" t="str">
        <f>IF(SIP[[#This Row],[B/S]]="B","BUY",(IF(SIP[[#This Row],[B/S]]="S","SELL"," ")))</f>
        <v>BUY</v>
      </c>
      <c r="J55" s="46" t="s">
        <v>1229</v>
      </c>
      <c r="K55" s="69">
        <v>5000</v>
      </c>
      <c r="L55" s="69"/>
      <c r="M55" s="70">
        <f>SIP[[#This Row],[Amount]]/SIP[[#This Row],[Unit]]</f>
        <v>10.266940451745381</v>
      </c>
      <c r="N55" s="71">
        <f>SIP[[#This Row],[Unit Capital]]/10</f>
        <v>487</v>
      </c>
      <c r="O55" s="72">
        <f>SUMIFS(SIP[[#Headers],[Unit]]:SIP[[#This Row],[Unit]],SIP[[#Headers],[Investor ID]]:SIP[[#This Row],[Investor ID]],SIP[[#This Row],[Investor ID]])</f>
        <v>487</v>
      </c>
      <c r="P55" s="73">
        <v>4870</v>
      </c>
      <c r="Q55" s="74">
        <f>SIP[[#This Row],[Amount]]-SIP[[#This Row],[Unit Capital]]</f>
        <v>130</v>
      </c>
      <c r="R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5" s="68">
        <f t="shared" si="1"/>
        <v>14.224</v>
      </c>
      <c r="T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" s="74" cm="1">
        <f t="array" ref="U55">IF(SIP[[#This Row],[B/S]]="S",ABS(SIP[[#This Row],[Unit]])*(INDEX(SIP[NAV at Cost (Average)],MATCH(CONCATENATE((SIP[[#This Row],[Frequency]]-1),SIP[[#This Row],[Investor ID]]),SIP[Unique Code],0),0)),0)</f>
        <v>0</v>
      </c>
      <c r="V55" s="74">
        <f>IF(SIP[[#This Row],[BO TRANSFER]]="YES",SIP[[#This Row],[Unit]],)</f>
        <v>0</v>
      </c>
      <c r="W55" s="74">
        <f>SUMIFS(SIP[[#Headers],[BO UNIT TRANSFER]]:SIP[[#This Row],[BO UNIT TRANSFER]],SIP[[#Headers],[Investor ID]]:SIP[[#This Row],[Investor ID]],SIP[[#This Row],[Investor ID]])</f>
        <v>0</v>
      </c>
    </row>
    <row r="56" spans="1:23" ht="15" customHeight="1">
      <c r="A56" s="46">
        <v>2023</v>
      </c>
      <c r="B56" s="46">
        <v>6</v>
      </c>
      <c r="C56" s="46">
        <v>26</v>
      </c>
      <c r="D56" s="65">
        <f>DATE(SIP[[#This Row],[Year]],SIP[[#This Row],[Month]],SIP[[#This Row],[Day]])</f>
        <v>45103</v>
      </c>
      <c r="E56" s="66" t="str" cm="1">
        <f t="array" ref="E56">INDEX(INVESTORS_LIST[INVESTOR NAME],MATCH(SIP[[#This Row],[Investor ID]],INVESTORS_LIST[INVESTOR CODE],0),)</f>
        <v>ABU MUSA MIRZA KAMRUZZAMAN SHAHEE</v>
      </c>
      <c r="F56" s="46" t="s">
        <v>1012</v>
      </c>
      <c r="G56" s="46">
        <f>COUNTIF(SIP[[#Headers],[Investor ID]]:SIP[[#This Row],[Investor ID]],SIP[[#This Row],[Investor ID]])</f>
        <v>1</v>
      </c>
      <c r="H56" s="46" t="str">
        <f>CONCATENATE(SIP[[#This Row],[Frequency]],SIP[[#This Row],[Investor ID]])</f>
        <v>1A00483</v>
      </c>
      <c r="I56" s="46" t="str">
        <f>IF(SIP[[#This Row],[B/S]]="B","BUY",(IF(SIP[[#This Row],[B/S]]="S","SELL"," ")))</f>
        <v>BUY</v>
      </c>
      <c r="J56" s="46" t="s">
        <v>1229</v>
      </c>
      <c r="K56" s="69">
        <v>5000</v>
      </c>
      <c r="L56" s="69"/>
      <c r="M56" s="70">
        <f>SIP[[#This Row],[Amount]]/SIP[[#This Row],[Unit]]</f>
        <v>10.266940451745381</v>
      </c>
      <c r="N56" s="71">
        <f>SIP[[#This Row],[Unit Capital]]/10</f>
        <v>487</v>
      </c>
      <c r="O56" s="72">
        <f>SUMIFS(SIP[[#Headers],[Unit]]:SIP[[#This Row],[Unit]],SIP[[#Headers],[Investor ID]]:SIP[[#This Row],[Investor ID]],SIP[[#This Row],[Investor ID]])</f>
        <v>487</v>
      </c>
      <c r="P56" s="73">
        <v>4870</v>
      </c>
      <c r="Q56" s="74">
        <f>SIP[[#This Row],[Amount]]-SIP[[#This Row],[Unit Capital]]</f>
        <v>130</v>
      </c>
      <c r="R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6" s="68">
        <f t="shared" si="1"/>
        <v>14.224</v>
      </c>
      <c r="T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" s="74" cm="1">
        <f t="array" ref="U56">IF(SIP[[#This Row],[B/S]]="S",ABS(SIP[[#This Row],[Unit]])*(INDEX(SIP[NAV at Cost (Average)],MATCH(CONCATENATE((SIP[[#This Row],[Frequency]]-1),SIP[[#This Row],[Investor ID]]),SIP[Unique Code],0),0)),0)</f>
        <v>0</v>
      </c>
      <c r="V56" s="74">
        <f>IF(SIP[[#This Row],[BO TRANSFER]]="YES",SIP[[#This Row],[Unit]],)</f>
        <v>0</v>
      </c>
      <c r="W56" s="74">
        <f>SUMIFS(SIP[[#Headers],[BO UNIT TRANSFER]]:SIP[[#This Row],[BO UNIT TRANSFER]],SIP[[#Headers],[Investor ID]]:SIP[[#This Row],[Investor ID]],SIP[[#This Row],[Investor ID]])</f>
        <v>0</v>
      </c>
    </row>
    <row r="57" spans="1:23" ht="15" customHeight="1">
      <c r="A57" s="46">
        <v>2023</v>
      </c>
      <c r="B57" s="46">
        <v>6</v>
      </c>
      <c r="C57" s="46">
        <v>26</v>
      </c>
      <c r="D57" s="65">
        <f>DATE(SIP[[#This Row],[Year]],SIP[[#This Row],[Month]],SIP[[#This Row],[Day]])</f>
        <v>45103</v>
      </c>
      <c r="E57" s="66" t="str" cm="1">
        <f t="array" ref="E57">INDEX(INVESTORS_LIST[INVESTOR NAME],MATCH(SIP[[#This Row],[Investor ID]],INVESTORS_LIST[INVESTOR CODE],0),)</f>
        <v>MOHAMMED MUQEET HALIM</v>
      </c>
      <c r="F57" s="46" t="s">
        <v>1014</v>
      </c>
      <c r="G57" s="46">
        <f>COUNTIF(SIP[[#Headers],[Investor ID]]:SIP[[#This Row],[Investor ID]],SIP[[#This Row],[Investor ID]])</f>
        <v>1</v>
      </c>
      <c r="H57" s="46" t="str">
        <f>CONCATENATE(SIP[[#This Row],[Frequency]],SIP[[#This Row],[Investor ID]])</f>
        <v>1A00484</v>
      </c>
      <c r="I57" s="46" t="str">
        <f>IF(SIP[[#This Row],[B/S]]="B","BUY",(IF(SIP[[#This Row],[B/S]]="S","SELL"," ")))</f>
        <v>BUY</v>
      </c>
      <c r="J57" s="46" t="s">
        <v>1229</v>
      </c>
      <c r="K57" s="69">
        <v>5000</v>
      </c>
      <c r="L57" s="69"/>
      <c r="M57" s="70">
        <f>SIP[[#This Row],[Amount]]/SIP[[#This Row],[Unit]]</f>
        <v>10.266940451745381</v>
      </c>
      <c r="N57" s="71">
        <f>SIP[[#This Row],[Unit Capital]]/10</f>
        <v>487</v>
      </c>
      <c r="O57" s="72">
        <f>SUMIFS(SIP[[#Headers],[Unit]]:SIP[[#This Row],[Unit]],SIP[[#Headers],[Investor ID]]:SIP[[#This Row],[Investor ID]],SIP[[#This Row],[Investor ID]])</f>
        <v>487</v>
      </c>
      <c r="P57" s="73">
        <v>4870</v>
      </c>
      <c r="Q57" s="74">
        <f>SIP[[#This Row],[Amount]]-SIP[[#This Row],[Unit Capital]]</f>
        <v>130</v>
      </c>
      <c r="R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7" s="68">
        <f t="shared" si="1"/>
        <v>14.224</v>
      </c>
      <c r="T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" s="74" cm="1">
        <f t="array" ref="U57">IF(SIP[[#This Row],[B/S]]="S",ABS(SIP[[#This Row],[Unit]])*(INDEX(SIP[NAV at Cost (Average)],MATCH(CONCATENATE((SIP[[#This Row],[Frequency]]-1),SIP[[#This Row],[Investor ID]]),SIP[Unique Code],0),0)),0)</f>
        <v>0</v>
      </c>
      <c r="V57" s="74">
        <f>IF(SIP[[#This Row],[BO TRANSFER]]="YES",SIP[[#This Row],[Unit]],)</f>
        <v>0</v>
      </c>
      <c r="W57" s="74">
        <f>SUMIFS(SIP[[#Headers],[BO UNIT TRANSFER]]:SIP[[#This Row],[BO UNIT TRANSFER]],SIP[[#Headers],[Investor ID]]:SIP[[#This Row],[Investor ID]],SIP[[#This Row],[Investor ID]])</f>
        <v>0</v>
      </c>
    </row>
    <row r="58" spans="1:23" ht="15" customHeight="1">
      <c r="A58" s="46">
        <v>2023</v>
      </c>
      <c r="B58" s="46">
        <v>6</v>
      </c>
      <c r="C58" s="46">
        <v>26</v>
      </c>
      <c r="D58" s="65">
        <f>DATE(SIP[[#This Row],[Year]],SIP[[#This Row],[Month]],SIP[[#This Row],[Day]])</f>
        <v>45103</v>
      </c>
      <c r="E58" s="66" t="str" cm="1">
        <f t="array" ref="E58">INDEX(INVESTORS_LIST[INVESTOR NAME],MATCH(SIP[[#This Row],[Investor ID]],INVESTORS_LIST[INVESTOR CODE],0),)</f>
        <v>SUMAN SAHA</v>
      </c>
      <c r="F58" s="46" t="s">
        <v>1022</v>
      </c>
      <c r="G58" s="46">
        <f>COUNTIF(SIP[[#Headers],[Investor ID]]:SIP[[#This Row],[Investor ID]],SIP[[#This Row],[Investor ID]])</f>
        <v>1</v>
      </c>
      <c r="H58" s="46" t="str">
        <f>CONCATENATE(SIP[[#This Row],[Frequency]],SIP[[#This Row],[Investor ID]])</f>
        <v>1A00488</v>
      </c>
      <c r="I58" s="46" t="str">
        <f>IF(SIP[[#This Row],[B/S]]="B","BUY",(IF(SIP[[#This Row],[B/S]]="S","SELL"," ")))</f>
        <v>BUY</v>
      </c>
      <c r="J58" s="46" t="s">
        <v>1229</v>
      </c>
      <c r="K58" s="69">
        <v>5000</v>
      </c>
      <c r="L58" s="69"/>
      <c r="M58" s="70">
        <f>SIP[[#This Row],[Amount]]/SIP[[#This Row],[Unit]]</f>
        <v>10.266940451745381</v>
      </c>
      <c r="N58" s="71">
        <f>SIP[[#This Row],[Unit Capital]]/10</f>
        <v>487</v>
      </c>
      <c r="O58" s="72">
        <f>SUMIFS(SIP[[#Headers],[Unit]]:SIP[[#This Row],[Unit]],SIP[[#Headers],[Investor ID]]:SIP[[#This Row],[Investor ID]],SIP[[#This Row],[Investor ID]])</f>
        <v>487</v>
      </c>
      <c r="P58" s="73">
        <v>4870</v>
      </c>
      <c r="Q58" s="74">
        <f>SIP[[#This Row],[Amount]]-SIP[[#This Row],[Unit Capital]]</f>
        <v>130</v>
      </c>
      <c r="R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8" s="68">
        <f t="shared" si="1"/>
        <v>14.224</v>
      </c>
      <c r="T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" s="74" cm="1">
        <f t="array" ref="U58">IF(SIP[[#This Row],[B/S]]="S",ABS(SIP[[#This Row],[Unit]])*(INDEX(SIP[NAV at Cost (Average)],MATCH(CONCATENATE((SIP[[#This Row],[Frequency]]-1),SIP[[#This Row],[Investor ID]]),SIP[Unique Code],0),0)),0)</f>
        <v>0</v>
      </c>
      <c r="V58" s="74">
        <f>IF(SIP[[#This Row],[BO TRANSFER]]="YES",SIP[[#This Row],[Unit]],)</f>
        <v>0</v>
      </c>
      <c r="W58" s="74">
        <f>SUMIFS(SIP[[#Headers],[BO UNIT TRANSFER]]:SIP[[#This Row],[BO UNIT TRANSFER]],SIP[[#Headers],[Investor ID]]:SIP[[#This Row],[Investor ID]],SIP[[#This Row],[Investor ID]])</f>
        <v>0</v>
      </c>
    </row>
    <row r="59" spans="1:23" ht="15" customHeight="1">
      <c r="A59" s="46">
        <v>2023</v>
      </c>
      <c r="B59" s="46">
        <v>6</v>
      </c>
      <c r="C59" s="46">
        <v>26</v>
      </c>
      <c r="D59" s="65">
        <f>DATE(SIP[[#This Row],[Year]],SIP[[#This Row],[Month]],SIP[[#This Row],[Day]])</f>
        <v>45103</v>
      </c>
      <c r="E59" s="66" t="str" cm="1">
        <f t="array" ref="E59">INDEX(INVESTORS_LIST[INVESTOR NAME],MATCH(SIP[[#This Row],[Investor ID]],INVESTORS_LIST[INVESTOR CODE],0),)</f>
        <v>AKASH DEEP PAUL</v>
      </c>
      <c r="F59" s="46" t="s">
        <v>286</v>
      </c>
      <c r="G59" s="46">
        <f>COUNTIF(SIP[[#Headers],[Investor ID]]:SIP[[#This Row],[Investor ID]],SIP[[#This Row],[Investor ID]])</f>
        <v>1</v>
      </c>
      <c r="H59" s="46" t="str">
        <f>CONCATENATE(SIP[[#This Row],[Frequency]],SIP[[#This Row],[Investor ID]])</f>
        <v>1A00119</v>
      </c>
      <c r="I59" s="46" t="str">
        <f>IF(SIP[[#This Row],[B/S]]="B","BUY",(IF(SIP[[#This Row],[B/S]]="S","SELL"," ")))</f>
        <v>BUY</v>
      </c>
      <c r="J59" s="46" t="s">
        <v>1229</v>
      </c>
      <c r="K59" s="69">
        <v>5000</v>
      </c>
      <c r="L59" s="69"/>
      <c r="M59" s="70">
        <f>SIP[[#This Row],[Amount]]/SIP[[#This Row],[Unit]]</f>
        <v>10.266940451745381</v>
      </c>
      <c r="N59" s="71">
        <f>SIP[[#This Row],[Unit Capital]]/10</f>
        <v>487</v>
      </c>
      <c r="O59" s="72">
        <f>SUMIFS(SIP[[#Headers],[Unit]]:SIP[[#This Row],[Unit]],SIP[[#Headers],[Investor ID]]:SIP[[#This Row],[Investor ID]],SIP[[#This Row],[Investor ID]])</f>
        <v>487</v>
      </c>
      <c r="P59" s="73">
        <v>4870</v>
      </c>
      <c r="Q59" s="74">
        <f>SIP[[#This Row],[Amount]]-SIP[[#This Row],[Unit Capital]]</f>
        <v>130</v>
      </c>
      <c r="R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59" s="68">
        <f t="shared" si="1"/>
        <v>14.224</v>
      </c>
      <c r="T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" s="74" cm="1">
        <f t="array" ref="U59">IF(SIP[[#This Row],[B/S]]="S",ABS(SIP[[#This Row],[Unit]])*(INDEX(SIP[NAV at Cost (Average)],MATCH(CONCATENATE((SIP[[#This Row],[Frequency]]-1),SIP[[#This Row],[Investor ID]]),SIP[Unique Code],0),0)),0)</f>
        <v>0</v>
      </c>
      <c r="V59" s="74">
        <f>IF(SIP[[#This Row],[BO TRANSFER]]="YES",SIP[[#This Row],[Unit]],)</f>
        <v>0</v>
      </c>
      <c r="W59" s="74">
        <f>SUMIFS(SIP[[#Headers],[BO UNIT TRANSFER]]:SIP[[#This Row],[BO UNIT TRANSFER]],SIP[[#Headers],[Investor ID]]:SIP[[#This Row],[Investor ID]],SIP[[#This Row],[Investor ID]])</f>
        <v>0</v>
      </c>
    </row>
    <row r="60" spans="1:23" ht="15" customHeight="1">
      <c r="A60" s="46">
        <v>2023</v>
      </c>
      <c r="B60" s="46">
        <v>7</v>
      </c>
      <c r="C60" s="46">
        <v>5</v>
      </c>
      <c r="D60" s="65">
        <f>DATE(SIP[[#This Row],[Year]],SIP[[#This Row],[Month]],SIP[[#This Row],[Day]])</f>
        <v>45112</v>
      </c>
      <c r="E60" s="66" t="str" cm="1">
        <f t="array" ref="E60">INDEX(INVESTORS_LIST[INVESTOR NAME],MATCH(SIP[[#This Row],[Investor ID]],INVESTORS_LIST[INVESTOR CODE],0),)</f>
        <v>KAZI AHSAN MARUF</v>
      </c>
      <c r="F60" s="46" t="s">
        <v>158</v>
      </c>
      <c r="G60" s="46">
        <f>COUNTIF(SIP[[#Headers],[Investor ID]]:SIP[[#This Row],[Investor ID]],SIP[[#This Row],[Investor ID]])</f>
        <v>3</v>
      </c>
      <c r="H60" s="46" t="str">
        <f>CONCATENATE(SIP[[#This Row],[Frequency]],SIP[[#This Row],[Investor ID]])</f>
        <v>3A00055</v>
      </c>
      <c r="I60" s="46" t="str">
        <f>IF(SIP[[#This Row],[B/S]]="B","BUY",(IF(SIP[[#This Row],[B/S]]="S","SELL"," ")))</f>
        <v>BUY</v>
      </c>
      <c r="J60" s="46" t="s">
        <v>1229</v>
      </c>
      <c r="K60" s="69">
        <v>50000</v>
      </c>
      <c r="L60" s="69"/>
      <c r="M60" s="70">
        <f>SIP[[#This Row],[Amount]]/SIP[[#This Row],[Unit]]</f>
        <v>10.271158586688578</v>
      </c>
      <c r="N60" s="71">
        <f>SIP[[#This Row],[Unit Capital]]/10</f>
        <v>4868</v>
      </c>
      <c r="O60" s="72">
        <f>SUMIFS(SIP[[#Headers],[Unit]]:SIP[[#This Row],[Unit]],SIP[[#Headers],[Investor ID]]:SIP[[#This Row],[Investor ID]],SIP[[#This Row],[Investor ID]])</f>
        <v>14711</v>
      </c>
      <c r="P60" s="73">
        <v>48680</v>
      </c>
      <c r="Q60" s="74">
        <f>SIP[[#This Row],[Amount]]-SIP[[#This Row],[Unit Capital]]</f>
        <v>1320</v>
      </c>
      <c r="R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10.196451634831078</v>
      </c>
      <c r="S60" s="68">
        <f t="shared" si="1"/>
        <v>14.224</v>
      </c>
      <c r="T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" s="74" cm="1">
        <f t="array" ref="U60">IF(SIP[[#This Row],[B/S]]="S",ABS(SIP[[#This Row],[Unit]])*(INDEX(SIP[NAV at Cost (Average)],MATCH(CONCATENATE((SIP[[#This Row],[Frequency]]-1),SIP[[#This Row],[Investor ID]]),SIP[Unique Code],0),0)),0)</f>
        <v>0</v>
      </c>
      <c r="V60" s="74">
        <f>IF(SIP[[#This Row],[BO TRANSFER]]="YES",SIP[[#This Row],[Unit]],)</f>
        <v>0</v>
      </c>
      <c r="W60" s="74">
        <f>SUMIFS(SIP[[#Headers],[BO UNIT TRANSFER]]:SIP[[#This Row],[BO UNIT TRANSFER]],SIP[[#Headers],[Investor ID]]:SIP[[#This Row],[Investor ID]],SIP[[#This Row],[Investor ID]])</f>
        <v>0</v>
      </c>
    </row>
    <row r="61" spans="1:23" ht="15" customHeight="1">
      <c r="A61" s="46">
        <v>2023</v>
      </c>
      <c r="B61" s="46">
        <v>7</v>
      </c>
      <c r="C61" s="46">
        <v>5</v>
      </c>
      <c r="D61" s="65">
        <f>DATE(SIP[[#This Row],[Year]],SIP[[#This Row],[Month]],SIP[[#This Row],[Day]])</f>
        <v>45112</v>
      </c>
      <c r="E61" s="66" t="str" cm="1">
        <f t="array" ref="E61">INDEX(INVESTORS_LIST[INVESTOR NAME],MATCH(SIP[[#This Row],[Investor ID]],INVESTORS_LIST[INVESTOR CODE],0),)</f>
        <v>SHUVA SAHA</v>
      </c>
      <c r="F61" s="46" t="s">
        <v>154</v>
      </c>
      <c r="G61" s="46">
        <f>COUNTIF(SIP[[#Headers],[Investor ID]]:SIP[[#This Row],[Investor ID]],SIP[[#This Row],[Investor ID]])</f>
        <v>4</v>
      </c>
      <c r="H61" s="46" t="str">
        <f>CONCATENATE(SIP[[#This Row],[Frequency]],SIP[[#This Row],[Investor ID]])</f>
        <v>4A00053</v>
      </c>
      <c r="I61" s="46" t="str">
        <f>IF(SIP[[#This Row],[B/S]]="B","BUY",(IF(SIP[[#This Row],[B/S]]="S","SELL"," ")))</f>
        <v>BUY</v>
      </c>
      <c r="J61" s="46" t="s">
        <v>1229</v>
      </c>
      <c r="K61" s="69">
        <v>70000</v>
      </c>
      <c r="L61" s="69"/>
      <c r="M61" s="70">
        <f>SIP[[#This Row],[Amount]]/SIP[[#This Row],[Unit]]</f>
        <v>10.271460014673515</v>
      </c>
      <c r="N61" s="71">
        <f>SIP[[#This Row],[Unit Capital]]/10</f>
        <v>6815</v>
      </c>
      <c r="O61" s="72">
        <f>SUMIFS(SIP[[#Headers],[Unit]]:SIP[[#This Row],[Unit]],SIP[[#Headers],[Investor ID]]:SIP[[#This Row],[Investor ID]],SIP[[#This Row],[Investor ID]])</f>
        <v>25533</v>
      </c>
      <c r="P61" s="73">
        <v>68150</v>
      </c>
      <c r="Q61" s="74">
        <f>SIP[[#This Row],[Amount]]-SIP[[#This Row],[Unit Capital]]</f>
        <v>1850</v>
      </c>
      <c r="R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10.182900560059531</v>
      </c>
      <c r="S61" s="68">
        <f t="shared" si="1"/>
        <v>14.224</v>
      </c>
      <c r="T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" s="74" cm="1">
        <f t="array" ref="U61">IF(SIP[[#This Row],[B/S]]="S",ABS(SIP[[#This Row],[Unit]])*(INDEX(SIP[NAV at Cost (Average)],MATCH(CONCATENATE((SIP[[#This Row],[Frequency]]-1),SIP[[#This Row],[Investor ID]]),SIP[Unique Code],0),0)),0)</f>
        <v>0</v>
      </c>
      <c r="V61" s="74">
        <f>IF(SIP[[#This Row],[BO TRANSFER]]="YES",SIP[[#This Row],[Unit]],)</f>
        <v>0</v>
      </c>
      <c r="W61" s="74">
        <f>SUMIFS(SIP[[#Headers],[BO UNIT TRANSFER]]:SIP[[#This Row],[BO UNIT TRANSFER]],SIP[[#Headers],[Investor ID]]:SIP[[#This Row],[Investor ID]],SIP[[#This Row],[Investor ID]])</f>
        <v>0</v>
      </c>
    </row>
    <row r="62" spans="1:23" ht="15" customHeight="1">
      <c r="A62" s="46">
        <v>2023</v>
      </c>
      <c r="B62" s="46">
        <v>7</v>
      </c>
      <c r="C62" s="46">
        <v>5</v>
      </c>
      <c r="D62" s="65">
        <f>DATE(SIP[[#This Row],[Year]],SIP[[#This Row],[Month]],SIP[[#This Row],[Day]])</f>
        <v>45112</v>
      </c>
      <c r="E62" s="66" t="str" cm="1">
        <f t="array" ref="E62">INDEX(INVESTORS_LIST[INVESTOR NAME],MATCH(SIP[[#This Row],[Investor ID]],INVESTORS_LIST[INVESTOR CODE],0),)</f>
        <v>FAIYEAD AHMEDUL HYE</v>
      </c>
      <c r="F62" s="46" t="s">
        <v>368</v>
      </c>
      <c r="G62" s="46">
        <f>COUNTIF(SIP[[#Headers],[Investor ID]]:SIP[[#This Row],[Investor ID]],SIP[[#This Row],[Investor ID]])</f>
        <v>2</v>
      </c>
      <c r="H62" s="46" t="str">
        <f>CONCATENATE(SIP[[#This Row],[Frequency]],SIP[[#This Row],[Investor ID]])</f>
        <v>2A00160</v>
      </c>
      <c r="I62" s="46" t="str">
        <f>IF(SIP[[#This Row],[B/S]]="B","BUY",(IF(SIP[[#This Row],[B/S]]="S","SELL"," ")))</f>
        <v>BUY</v>
      </c>
      <c r="J62" s="46" t="s">
        <v>1229</v>
      </c>
      <c r="K62" s="69">
        <v>15000</v>
      </c>
      <c r="L62" s="69"/>
      <c r="M62" s="70">
        <f>SIP[[#This Row],[Amount]]/SIP[[#This Row],[Unit]]</f>
        <v>10.273972602739725</v>
      </c>
      <c r="N62" s="71">
        <f>SIP[[#This Row],[Unit Capital]]/10</f>
        <v>1460</v>
      </c>
      <c r="O62" s="72">
        <f>SUMIFS(SIP[[#Headers],[Unit]]:SIP[[#This Row],[Unit]],SIP[[#Headers],[Investor ID]]:SIP[[#This Row],[Investor ID]],SIP[[#This Row],[Investor ID]])</f>
        <v>2932</v>
      </c>
      <c r="P62" s="73">
        <v>14600</v>
      </c>
      <c r="Q62" s="74">
        <f>SIP[[#This Row],[Amount]]-SIP[[#This Row],[Unit Capital]]</f>
        <v>400</v>
      </c>
      <c r="R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10.231923601637106</v>
      </c>
      <c r="S62" s="68">
        <f t="shared" si="1"/>
        <v>14.224</v>
      </c>
      <c r="T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" s="74" cm="1">
        <f t="array" ref="U62">IF(SIP[[#This Row],[B/S]]="S",ABS(SIP[[#This Row],[Unit]])*(INDEX(SIP[NAV at Cost (Average)],MATCH(CONCATENATE((SIP[[#This Row],[Frequency]]-1),SIP[[#This Row],[Investor ID]]),SIP[Unique Code],0),0)),0)</f>
        <v>0</v>
      </c>
      <c r="V62" s="74">
        <f>IF(SIP[[#This Row],[BO TRANSFER]]="YES",SIP[[#This Row],[Unit]],)</f>
        <v>0</v>
      </c>
      <c r="W62" s="74">
        <f>SUMIFS(SIP[[#Headers],[BO UNIT TRANSFER]]:SIP[[#This Row],[BO UNIT TRANSFER]],SIP[[#Headers],[Investor ID]]:SIP[[#This Row],[Investor ID]],SIP[[#This Row],[Investor ID]])</f>
        <v>0</v>
      </c>
    </row>
    <row r="63" spans="1:23" ht="15" customHeight="1">
      <c r="A63" s="46">
        <v>2023</v>
      </c>
      <c r="B63" s="46">
        <v>7</v>
      </c>
      <c r="C63" s="46">
        <v>5</v>
      </c>
      <c r="D63" s="65">
        <f>DATE(SIP[[#This Row],[Year]],SIP[[#This Row],[Month]],SIP[[#This Row],[Day]])</f>
        <v>45112</v>
      </c>
      <c r="E63" s="66" t="str" cm="1">
        <f t="array" ref="E63">INDEX(INVESTORS_LIST[INVESTOR NAME],MATCH(SIP[[#This Row],[Investor ID]],INVESTORS_LIST[INVESTOR CODE],0),)</f>
        <v>ANJAN MALLIK</v>
      </c>
      <c r="F63" s="46" t="s">
        <v>546</v>
      </c>
      <c r="G63" s="46">
        <f>COUNTIF(SIP[[#Headers],[Investor ID]]:SIP[[#This Row],[Investor ID]],SIP[[#This Row],[Investor ID]])</f>
        <v>4</v>
      </c>
      <c r="H63" s="46" t="str">
        <f>CONCATENATE(SIP[[#This Row],[Frequency]],SIP[[#This Row],[Investor ID]])</f>
        <v>4A00248</v>
      </c>
      <c r="I63" s="46" t="str">
        <f>IF(SIP[[#This Row],[B/S]]="B","BUY",(IF(SIP[[#This Row],[B/S]]="S","SELL"," ")))</f>
        <v>BUY</v>
      </c>
      <c r="J63" s="46" t="s">
        <v>1229</v>
      </c>
      <c r="K63" s="69">
        <v>50000</v>
      </c>
      <c r="L63" s="69"/>
      <c r="M63" s="70">
        <f>SIP[[#This Row],[Amount]]/SIP[[#This Row],[Unit]]</f>
        <v>10.271158586688578</v>
      </c>
      <c r="N63" s="71">
        <f>SIP[[#This Row],[Unit Capital]]/10</f>
        <v>4868</v>
      </c>
      <c r="O63" s="72">
        <f>SUMIFS(SIP[[#Headers],[Unit]]:SIP[[#This Row],[Unit]],SIP[[#Headers],[Investor ID]]:SIP[[#This Row],[Investor ID]],SIP[[#This Row],[Investor ID]])</f>
        <v>19666</v>
      </c>
      <c r="P63" s="73">
        <v>48680</v>
      </c>
      <c r="Q63" s="74">
        <f>SIP[[#This Row],[Amount]]-SIP[[#This Row],[Unit Capital]]</f>
        <v>1320</v>
      </c>
      <c r="R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10.169836265636123</v>
      </c>
      <c r="S63" s="68">
        <f t="shared" si="1"/>
        <v>14.224</v>
      </c>
      <c r="T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" s="74" cm="1">
        <f t="array" ref="U63">IF(SIP[[#This Row],[B/S]]="S",ABS(SIP[[#This Row],[Unit]])*(INDEX(SIP[NAV at Cost (Average)],MATCH(CONCATENATE((SIP[[#This Row],[Frequency]]-1),SIP[[#This Row],[Investor ID]]),SIP[Unique Code],0),0)),0)</f>
        <v>0</v>
      </c>
      <c r="V63" s="74">
        <f>IF(SIP[[#This Row],[BO TRANSFER]]="YES",SIP[[#This Row],[Unit]],)</f>
        <v>0</v>
      </c>
      <c r="W63" s="74">
        <f>SUMIFS(SIP[[#Headers],[BO UNIT TRANSFER]]:SIP[[#This Row],[BO UNIT TRANSFER]],SIP[[#Headers],[Investor ID]]:SIP[[#This Row],[Investor ID]],SIP[[#This Row],[Investor ID]])</f>
        <v>0</v>
      </c>
    </row>
    <row r="64" spans="1:23" ht="15" customHeight="1">
      <c r="A64" s="46">
        <v>2023</v>
      </c>
      <c r="B64" s="46">
        <v>7</v>
      </c>
      <c r="C64" s="46">
        <v>5</v>
      </c>
      <c r="D64" s="65">
        <f>DATE(SIP[[#This Row],[Year]],SIP[[#This Row],[Month]],SIP[[#This Row],[Day]])</f>
        <v>45112</v>
      </c>
      <c r="E64" s="66" t="str" cm="1">
        <f t="array" ref="E64">INDEX(INVESTORS_LIST[INVESTOR NAME],MATCH(SIP[[#This Row],[Investor ID]],INVESTORS_LIST[INVESTOR CODE],0),)</f>
        <v>MONIR AHMED</v>
      </c>
      <c r="F64" s="46" t="s">
        <v>125</v>
      </c>
      <c r="G64" s="46">
        <f>COUNTIF(SIP[[#Headers],[Investor ID]]:SIP[[#This Row],[Investor ID]],SIP[[#This Row],[Investor ID]])</f>
        <v>2</v>
      </c>
      <c r="H64" s="46" t="str">
        <f>CONCATENATE(SIP[[#This Row],[Frequency]],SIP[[#This Row],[Investor ID]])</f>
        <v>2A00039</v>
      </c>
      <c r="I64" s="46" t="str">
        <f>IF(SIP[[#This Row],[B/S]]="B","BUY",(IF(SIP[[#This Row],[B/S]]="S","SELL"," ")))</f>
        <v>BUY</v>
      </c>
      <c r="J64" s="46" t="s">
        <v>1229</v>
      </c>
      <c r="K64" s="69">
        <v>5000</v>
      </c>
      <c r="L64" s="69"/>
      <c r="M64" s="70">
        <f>SIP[[#This Row],[Amount]]/SIP[[#This Row],[Unit]]</f>
        <v>10.266940451745381</v>
      </c>
      <c r="N64" s="71">
        <f>SIP[[#This Row],[Unit Capital]]/10</f>
        <v>487</v>
      </c>
      <c r="O64" s="72">
        <f>SUMIFS(SIP[[#Headers],[Unit]]:SIP[[#This Row],[Unit]],SIP[[#Headers],[Investor ID]]:SIP[[#This Row],[Investor ID]],SIP[[#This Row],[Investor ID]])</f>
        <v>978</v>
      </c>
      <c r="P64" s="73">
        <v>4870</v>
      </c>
      <c r="Q64" s="74">
        <f>SIP[[#This Row],[Amount]]-SIP[[#This Row],[Unit Capital]]</f>
        <v>130</v>
      </c>
      <c r="R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10.224948875255624</v>
      </c>
      <c r="S64" s="68">
        <f t="shared" si="1"/>
        <v>14.224</v>
      </c>
      <c r="T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" s="74" cm="1">
        <f t="array" ref="U64">IF(SIP[[#This Row],[B/S]]="S",ABS(SIP[[#This Row],[Unit]])*(INDEX(SIP[NAV at Cost (Average)],MATCH(CONCATENATE((SIP[[#This Row],[Frequency]]-1),SIP[[#This Row],[Investor ID]]),SIP[Unique Code],0),0)),0)</f>
        <v>0</v>
      </c>
      <c r="V64" s="74">
        <f>IF(SIP[[#This Row],[BO TRANSFER]]="YES",SIP[[#This Row],[Unit]],)</f>
        <v>0</v>
      </c>
      <c r="W64" s="74">
        <f>SUMIFS(SIP[[#Headers],[BO UNIT TRANSFER]]:SIP[[#This Row],[BO UNIT TRANSFER]],SIP[[#Headers],[Investor ID]]:SIP[[#This Row],[Investor ID]],SIP[[#This Row],[Investor ID]])</f>
        <v>0</v>
      </c>
    </row>
    <row r="65" spans="1:23" ht="15" customHeight="1">
      <c r="A65" s="46">
        <v>2023</v>
      </c>
      <c r="B65" s="46">
        <v>7</v>
      </c>
      <c r="C65" s="46">
        <v>5</v>
      </c>
      <c r="D65" s="65">
        <f>DATE(SIP[[#This Row],[Year]],SIP[[#This Row],[Month]],SIP[[#This Row],[Day]])</f>
        <v>45112</v>
      </c>
      <c r="E65" s="66" t="str" cm="1">
        <f t="array" ref="E65">INDEX(INVESTORS_LIST[INVESTOR NAME],MATCH(SIP[[#This Row],[Investor ID]],INVESTORS_LIST[INVESTOR CODE],0),)</f>
        <v>NANDINI SAHA</v>
      </c>
      <c r="F65" s="46" t="s">
        <v>242</v>
      </c>
      <c r="G65" s="46">
        <f>COUNTIF(SIP[[#Headers],[Investor ID]]:SIP[[#This Row],[Investor ID]],SIP[[#This Row],[Investor ID]])</f>
        <v>3</v>
      </c>
      <c r="H65" s="46" t="str">
        <f>CONCATENATE(SIP[[#This Row],[Frequency]],SIP[[#This Row],[Investor ID]])</f>
        <v>3A00097</v>
      </c>
      <c r="I65" s="46" t="str">
        <f>IF(SIP[[#This Row],[B/S]]="B","BUY",(IF(SIP[[#This Row],[B/S]]="S","SELL"," ")))</f>
        <v>BUY</v>
      </c>
      <c r="J65" s="46" t="s">
        <v>1229</v>
      </c>
      <c r="K65" s="69">
        <v>30000</v>
      </c>
      <c r="L65" s="69"/>
      <c r="M65" s="70">
        <f>SIP[[#This Row],[Amount]]/SIP[[#This Row],[Unit]]</f>
        <v>10.270455323519343</v>
      </c>
      <c r="N65" s="71">
        <f>SIP[[#This Row],[Unit Capital]]/10</f>
        <v>2921</v>
      </c>
      <c r="O65" s="72">
        <f>SUMIFS(SIP[[#Headers],[Unit]]:SIP[[#This Row],[Unit]],SIP[[#Headers],[Investor ID]]:SIP[[#This Row],[Investor ID]],SIP[[#This Row],[Investor ID]])</f>
        <v>8827</v>
      </c>
      <c r="P65" s="73">
        <v>29210</v>
      </c>
      <c r="Q65" s="74">
        <f>SIP[[#This Row],[Amount]]-SIP[[#This Row],[Unit Capital]]</f>
        <v>790</v>
      </c>
      <c r="R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10.195989577432876</v>
      </c>
      <c r="S65" s="68">
        <f t="shared" si="1"/>
        <v>14.224</v>
      </c>
      <c r="T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" s="74" cm="1">
        <f t="array" ref="U65">IF(SIP[[#This Row],[B/S]]="S",ABS(SIP[[#This Row],[Unit]])*(INDEX(SIP[NAV at Cost (Average)],MATCH(CONCATENATE((SIP[[#This Row],[Frequency]]-1),SIP[[#This Row],[Investor ID]]),SIP[Unique Code],0),0)),0)</f>
        <v>0</v>
      </c>
      <c r="V65" s="74">
        <f>IF(SIP[[#This Row],[BO TRANSFER]]="YES",SIP[[#This Row],[Unit]],)</f>
        <v>0</v>
      </c>
      <c r="W65" s="74">
        <f>SUMIFS(SIP[[#Headers],[BO UNIT TRANSFER]]:SIP[[#This Row],[BO UNIT TRANSFER]],SIP[[#Headers],[Investor ID]]:SIP[[#This Row],[Investor ID]],SIP[[#This Row],[Investor ID]])</f>
        <v>0</v>
      </c>
    </row>
    <row r="66" spans="1:23" ht="15" customHeight="1">
      <c r="A66" s="46">
        <v>2023</v>
      </c>
      <c r="B66" s="46">
        <v>7</v>
      </c>
      <c r="C66" s="46">
        <v>5</v>
      </c>
      <c r="D66" s="65">
        <f>DATE(SIP[[#This Row],[Year]],SIP[[#This Row],[Month]],SIP[[#This Row],[Day]])</f>
        <v>45112</v>
      </c>
      <c r="E66" s="66" t="str" cm="1">
        <f t="array" ref="E66">INDEX(INVESTORS_LIST[INVESTOR NAME],MATCH(SIP[[#This Row],[Investor ID]],INVESTORS_LIST[INVESTOR CODE],0),)</f>
        <v>SHANTA PAUL</v>
      </c>
      <c r="F66" s="46" t="s">
        <v>544</v>
      </c>
      <c r="G66" s="46">
        <f>COUNTIF(SIP[[#Headers],[Investor ID]]:SIP[[#This Row],[Investor ID]],SIP[[#This Row],[Investor ID]])</f>
        <v>4</v>
      </c>
      <c r="H66" s="46" t="str">
        <f>CONCATENATE(SIP[[#This Row],[Frequency]],SIP[[#This Row],[Investor ID]])</f>
        <v>4A00247</v>
      </c>
      <c r="I66" s="46" t="str">
        <f>IF(SIP[[#This Row],[B/S]]="B","BUY",(IF(SIP[[#This Row],[B/S]]="S","SELL"," ")))</f>
        <v>BUY</v>
      </c>
      <c r="J66" s="46" t="s">
        <v>1229</v>
      </c>
      <c r="K66" s="69">
        <v>20000</v>
      </c>
      <c r="L66" s="69"/>
      <c r="M66" s="70">
        <f>SIP[[#This Row],[Amount]]/SIP[[#This Row],[Unit]]</f>
        <v>10.272213662044171</v>
      </c>
      <c r="N66" s="71">
        <f>SIP[[#This Row],[Unit Capital]]/10</f>
        <v>1947</v>
      </c>
      <c r="O66" s="72">
        <f>SUMIFS(SIP[[#Headers],[Unit]]:SIP[[#This Row],[Unit]],SIP[[#Headers],[Investor ID]]:SIP[[#This Row],[Investor ID]],SIP[[#This Row],[Investor ID]])</f>
        <v>7866</v>
      </c>
      <c r="P66" s="73">
        <v>19470</v>
      </c>
      <c r="Q66" s="74">
        <f>SIP[[#This Row],[Amount]]-SIP[[#This Row],[Unit Capital]]</f>
        <v>530</v>
      </c>
      <c r="R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10.170353419781339</v>
      </c>
      <c r="S66" s="68">
        <f t="shared" si="1"/>
        <v>14.224</v>
      </c>
      <c r="T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" s="74" cm="1">
        <f t="array" ref="U66">IF(SIP[[#This Row],[B/S]]="S",ABS(SIP[[#This Row],[Unit]])*(INDEX(SIP[NAV at Cost (Average)],MATCH(CONCATENATE((SIP[[#This Row],[Frequency]]-1),SIP[[#This Row],[Investor ID]]),SIP[Unique Code],0),0)),0)</f>
        <v>0</v>
      </c>
      <c r="V66" s="74">
        <f>IF(SIP[[#This Row],[BO TRANSFER]]="YES",SIP[[#This Row],[Unit]],)</f>
        <v>0</v>
      </c>
      <c r="W66" s="74">
        <f>SUMIFS(SIP[[#Headers],[BO UNIT TRANSFER]]:SIP[[#This Row],[BO UNIT TRANSFER]],SIP[[#Headers],[Investor ID]]:SIP[[#This Row],[Investor ID]],SIP[[#This Row],[Investor ID]])</f>
        <v>0</v>
      </c>
    </row>
    <row r="67" spans="1:23" ht="15" customHeight="1">
      <c r="A67" s="46">
        <v>2023</v>
      </c>
      <c r="B67" s="46">
        <v>7</v>
      </c>
      <c r="C67" s="46">
        <v>5</v>
      </c>
      <c r="D67" s="65">
        <f>DATE(SIP[[#This Row],[Year]],SIP[[#This Row],[Month]],SIP[[#This Row],[Day]])</f>
        <v>45112</v>
      </c>
      <c r="E67" s="66" t="str" cm="1">
        <f t="array" ref="E67">INDEX(INVESTORS_LIST[INVESTOR NAME],MATCH(SIP[[#This Row],[Investor ID]],INVESTORS_LIST[INVESTOR CODE],0),)</f>
        <v>FAKARUDDIN ALI AHMED</v>
      </c>
      <c r="F67" s="46" t="s">
        <v>228</v>
      </c>
      <c r="G67" s="46">
        <f>COUNTIF(SIP[[#Headers],[Investor ID]]:SIP[[#This Row],[Investor ID]],SIP[[#This Row],[Investor ID]])</f>
        <v>1</v>
      </c>
      <c r="H67" s="46" t="str">
        <f>CONCATENATE(SIP[[#This Row],[Frequency]],SIP[[#This Row],[Investor ID]])</f>
        <v>1A00090</v>
      </c>
      <c r="I67" s="46" t="str">
        <f>IF(SIP[[#This Row],[B/S]]="B","BUY",(IF(SIP[[#This Row],[B/S]]="S","SELL"," ")))</f>
        <v>BUY</v>
      </c>
      <c r="J67" s="46" t="s">
        <v>1229</v>
      </c>
      <c r="K67" s="69">
        <v>10000</v>
      </c>
      <c r="L67" s="69"/>
      <c r="M67" s="70">
        <f>SIP[[#This Row],[Amount]]/SIP[[#This Row],[Unit]]</f>
        <v>10.266940451745381</v>
      </c>
      <c r="N67" s="71">
        <f>SIP[[#This Row],[Unit Capital]]/10</f>
        <v>974</v>
      </c>
      <c r="O67" s="72">
        <f>SUMIFS(SIP[[#Headers],[Unit]]:SIP[[#This Row],[Unit]],SIP[[#Headers],[Investor ID]]:SIP[[#This Row],[Investor ID]],SIP[[#This Row],[Investor ID]])</f>
        <v>974</v>
      </c>
      <c r="P67" s="73">
        <v>9740</v>
      </c>
      <c r="Q67" s="74">
        <f>SIP[[#This Row],[Amount]]-SIP[[#This Row],[Unit Capital]]</f>
        <v>260</v>
      </c>
      <c r="R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67" s="68">
        <f t="shared" ref="S67:S98" si="2">NAV_MKT</f>
        <v>14.224</v>
      </c>
      <c r="T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" s="74" cm="1">
        <f t="array" ref="U67">IF(SIP[[#This Row],[B/S]]="S",ABS(SIP[[#This Row],[Unit]])*(INDEX(SIP[NAV at Cost (Average)],MATCH(CONCATENATE((SIP[[#This Row],[Frequency]]-1),SIP[[#This Row],[Investor ID]]),SIP[Unique Code],0),0)),0)</f>
        <v>0</v>
      </c>
      <c r="V67" s="74">
        <f>IF(SIP[[#This Row],[BO TRANSFER]]="YES",SIP[[#This Row],[Unit]],)</f>
        <v>0</v>
      </c>
      <c r="W67" s="74">
        <f>SUMIFS(SIP[[#Headers],[BO UNIT TRANSFER]]:SIP[[#This Row],[BO UNIT TRANSFER]],SIP[[#Headers],[Investor ID]]:SIP[[#This Row],[Investor ID]],SIP[[#This Row],[Investor ID]])</f>
        <v>0</v>
      </c>
    </row>
    <row r="68" spans="1:23" ht="15" customHeight="1">
      <c r="A68" s="46">
        <v>2023</v>
      </c>
      <c r="B68" s="46">
        <v>7</v>
      </c>
      <c r="C68" s="46">
        <v>5</v>
      </c>
      <c r="D68" s="65">
        <f>DATE(SIP[[#This Row],[Year]],SIP[[#This Row],[Month]],SIP[[#This Row],[Day]])</f>
        <v>45112</v>
      </c>
      <c r="E68" s="66" t="str" cm="1">
        <f t="array" ref="E68">INDEX(INVESTORS_LIST[INVESTOR NAME],MATCH(SIP[[#This Row],[Investor ID]],INVESTORS_LIST[INVESTOR CODE],0),)</f>
        <v>ROKSABA KASEM</v>
      </c>
      <c r="F68" s="46" t="s">
        <v>900</v>
      </c>
      <c r="G68" s="46">
        <f>COUNTIF(SIP[[#Headers],[Investor ID]]:SIP[[#This Row],[Investor ID]],SIP[[#This Row],[Investor ID]])</f>
        <v>2</v>
      </c>
      <c r="H68" s="46" t="str">
        <f>CONCATENATE(SIP[[#This Row],[Frequency]],SIP[[#This Row],[Investor ID]])</f>
        <v>2A00427</v>
      </c>
      <c r="I68" s="46" t="str">
        <f>IF(SIP[[#This Row],[B/S]]="B","BUY",(IF(SIP[[#This Row],[B/S]]="S","SELL"," ")))</f>
        <v>BUY</v>
      </c>
      <c r="J68" s="46" t="s">
        <v>1229</v>
      </c>
      <c r="K68" s="69">
        <v>20000</v>
      </c>
      <c r="L68" s="122"/>
      <c r="M68" s="70">
        <f>SIP[[#This Row],[Amount]]/SIP[[#This Row],[Unit]]</f>
        <v>10.272213662044171</v>
      </c>
      <c r="N68" s="71">
        <f>SIP[[#This Row],[Unit Capital]]/10</f>
        <v>1947</v>
      </c>
      <c r="O68" s="72">
        <f>SUMIFS(SIP[[#Headers],[Unit]]:SIP[[#This Row],[Unit]],SIP[[#Headers],[Investor ID]]:SIP[[#This Row],[Investor ID]],SIP[[#This Row],[Investor ID]])</f>
        <v>3909</v>
      </c>
      <c r="P68" s="73">
        <v>19470</v>
      </c>
      <c r="Q68" s="74">
        <f>SIP[[#This Row],[Amount]]-SIP[[#This Row],[Unit Capital]]</f>
        <v>530</v>
      </c>
      <c r="R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10.232796111537478</v>
      </c>
      <c r="S68" s="68">
        <f t="shared" si="2"/>
        <v>14.224</v>
      </c>
      <c r="T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" s="74" cm="1">
        <f t="array" ref="U68">IF(SIP[[#This Row],[B/S]]="S",ABS(SIP[[#This Row],[Unit]])*(INDEX(SIP[NAV at Cost (Average)],MATCH(CONCATENATE((SIP[[#This Row],[Frequency]]-1),SIP[[#This Row],[Investor ID]]),SIP[Unique Code],0),0)),0)</f>
        <v>0</v>
      </c>
      <c r="V68" s="74">
        <f>IF(SIP[[#This Row],[BO TRANSFER]]="YES",SIP[[#This Row],[Unit]],)</f>
        <v>0</v>
      </c>
      <c r="W68" s="74">
        <f>SUMIFS(SIP[[#Headers],[BO UNIT TRANSFER]]:SIP[[#This Row],[BO UNIT TRANSFER]],SIP[[#Headers],[Investor ID]]:SIP[[#This Row],[Investor ID]],SIP[[#This Row],[Investor ID]])</f>
        <v>0</v>
      </c>
    </row>
    <row r="69" spans="1:23" ht="15" customHeight="1">
      <c r="A69" s="46">
        <v>2023</v>
      </c>
      <c r="B69" s="46">
        <v>7</v>
      </c>
      <c r="C69" s="46">
        <v>5</v>
      </c>
      <c r="D69" s="65">
        <f>DATE(SIP[[#This Row],[Year]],SIP[[#This Row],[Month]],SIP[[#This Row],[Day]])</f>
        <v>45112</v>
      </c>
      <c r="E69" s="66" t="str" cm="1">
        <f t="array" ref="E69">INDEX(INVESTORS_LIST[INVESTOR NAME],MATCH(SIP[[#This Row],[Investor ID]],INVESTORS_LIST[INVESTOR CODE],0),)</f>
        <v>MD. MONIRUL ISLAM</v>
      </c>
      <c r="F69" s="46" t="s">
        <v>996</v>
      </c>
      <c r="G69" s="46">
        <f>COUNTIF(SIP[[#Headers],[Investor ID]]:SIP[[#This Row],[Investor ID]],SIP[[#This Row],[Investor ID]])</f>
        <v>3</v>
      </c>
      <c r="H69" s="46" t="str">
        <f>CONCATENATE(SIP[[#This Row],[Frequency]],SIP[[#This Row],[Investor ID]])</f>
        <v>3A00475</v>
      </c>
      <c r="I69" s="46" t="str">
        <f>IF(SIP[[#This Row],[B/S]]="B","BUY",(IF(SIP[[#This Row],[B/S]]="S","SELL"," ")))</f>
        <v>BUY</v>
      </c>
      <c r="J69" s="46" t="s">
        <v>1229</v>
      </c>
      <c r="K69" s="69">
        <v>10000</v>
      </c>
      <c r="L69" s="69"/>
      <c r="M69" s="70">
        <f>SIP[[#This Row],[Amount]]/SIP[[#This Row],[Unit]]</f>
        <v>10.266940451745381</v>
      </c>
      <c r="N69" s="71">
        <f>SIP[[#This Row],[Unit Capital]]/10</f>
        <v>974</v>
      </c>
      <c r="O69" s="72">
        <f>SUMIFS(SIP[[#Headers],[Unit]]:SIP[[#This Row],[Unit]],SIP[[#Headers],[Investor ID]]:SIP[[#This Row],[Investor ID]],SIP[[#This Row],[Investor ID]])</f>
        <v>2943</v>
      </c>
      <c r="P69" s="73">
        <v>9740</v>
      </c>
      <c r="Q69" s="74">
        <f>SIP[[#This Row],[Amount]]-SIP[[#This Row],[Unit Capital]]</f>
        <v>260</v>
      </c>
      <c r="R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10.193679918450561</v>
      </c>
      <c r="S69" s="68">
        <f t="shared" si="2"/>
        <v>14.224</v>
      </c>
      <c r="T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" s="74" cm="1">
        <f t="array" ref="U69">IF(SIP[[#This Row],[B/S]]="S",ABS(SIP[[#This Row],[Unit]])*(INDEX(SIP[NAV at Cost (Average)],MATCH(CONCATENATE((SIP[[#This Row],[Frequency]]-1),SIP[[#This Row],[Investor ID]]),SIP[Unique Code],0),0)),0)</f>
        <v>0</v>
      </c>
      <c r="V69" s="74">
        <f>IF(SIP[[#This Row],[BO TRANSFER]]="YES",SIP[[#This Row],[Unit]],)</f>
        <v>0</v>
      </c>
      <c r="W69" s="74">
        <f>SUMIFS(SIP[[#Headers],[BO UNIT TRANSFER]]:SIP[[#This Row],[BO UNIT TRANSFER]],SIP[[#Headers],[Investor ID]]:SIP[[#This Row],[Investor ID]],SIP[[#This Row],[Investor ID]])</f>
        <v>0</v>
      </c>
    </row>
    <row r="70" spans="1:23" ht="15" customHeight="1">
      <c r="A70" s="46">
        <v>2023</v>
      </c>
      <c r="B70" s="46">
        <v>7</v>
      </c>
      <c r="C70" s="46">
        <v>15</v>
      </c>
      <c r="D70" s="65">
        <f>DATE(SIP[[#This Row],[Year]],SIP[[#This Row],[Month]],SIP[[#This Row],[Day]])</f>
        <v>45122</v>
      </c>
      <c r="E70" s="66" t="str" cm="1">
        <f t="array" ref="E70">INDEX(INVESTORS_LIST[INVESTOR NAME],MATCH(SIP[[#This Row],[Investor ID]],INVESTORS_LIST[INVESTOR CODE],0),)</f>
        <v>SANJIB KUMAR ROY</v>
      </c>
      <c r="F70" s="46" t="s">
        <v>1020</v>
      </c>
      <c r="G70" s="46">
        <f>COUNTIF(SIP[[#Headers],[Investor ID]]:SIP[[#This Row],[Investor ID]],SIP[[#This Row],[Investor ID]])</f>
        <v>2</v>
      </c>
      <c r="H70" s="46" t="str">
        <f>CONCATENATE(SIP[[#This Row],[Frequency]],SIP[[#This Row],[Investor ID]])</f>
        <v>2A00487</v>
      </c>
      <c r="I70" s="46" t="str">
        <f>IF(SIP[[#This Row],[B/S]]="B","BUY",(IF(SIP[[#This Row],[B/S]]="S","SELL"," ")))</f>
        <v>BUY</v>
      </c>
      <c r="J70" s="46" t="s">
        <v>1229</v>
      </c>
      <c r="K70" s="69">
        <v>5000</v>
      </c>
      <c r="L70" s="69"/>
      <c r="M70" s="70">
        <f>SIP[[#This Row],[Amount]]/SIP[[#This Row],[Unit]]</f>
        <v>10.309278350515465</v>
      </c>
      <c r="N70" s="71">
        <f>SIP[[#This Row],[Unit Capital]]/10</f>
        <v>485</v>
      </c>
      <c r="O70" s="72">
        <f>SUMIFS(SIP[[#Headers],[Unit]]:SIP[[#This Row],[Unit]],SIP[[#Headers],[Investor ID]]:SIP[[#This Row],[Investor ID]],SIP[[#This Row],[Investor ID]])</f>
        <v>974</v>
      </c>
      <c r="P70" s="73">
        <v>4850</v>
      </c>
      <c r="Q70" s="74">
        <f>SIP[[#This Row],[Amount]]-SIP[[#This Row],[Unit Capital]]</f>
        <v>150</v>
      </c>
      <c r="R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10.266940451745381</v>
      </c>
      <c r="S70" s="68">
        <f t="shared" si="2"/>
        <v>14.224</v>
      </c>
      <c r="T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" s="74" cm="1">
        <f t="array" ref="U70">IF(SIP[[#This Row],[B/S]]="S",ABS(SIP[[#This Row],[Unit]])*(INDEX(SIP[NAV at Cost (Average)],MATCH(CONCATENATE((SIP[[#This Row],[Frequency]]-1),SIP[[#This Row],[Investor ID]]),SIP[Unique Code],0),0)),0)</f>
        <v>0</v>
      </c>
      <c r="V70" s="74">
        <f>IF(SIP[[#This Row],[BO TRANSFER]]="YES",SIP[[#This Row],[Unit]],)</f>
        <v>0</v>
      </c>
      <c r="W70" s="74">
        <f>SUMIFS(SIP[[#Headers],[BO UNIT TRANSFER]]:SIP[[#This Row],[BO UNIT TRANSFER]],SIP[[#Headers],[Investor ID]]:SIP[[#This Row],[Investor ID]],SIP[[#This Row],[Investor ID]])</f>
        <v>0</v>
      </c>
    </row>
    <row r="71" spans="1:23" ht="15" customHeight="1">
      <c r="A71" s="46">
        <v>2023</v>
      </c>
      <c r="B71" s="46">
        <v>7</v>
      </c>
      <c r="C71" s="46">
        <v>15</v>
      </c>
      <c r="D71" s="65">
        <f>DATE(SIP[[#This Row],[Year]],SIP[[#This Row],[Month]],SIP[[#This Row],[Day]])</f>
        <v>45122</v>
      </c>
      <c r="E71" s="66" t="str" cm="1">
        <f t="array" ref="E71">INDEX(INVESTORS_LIST[INVESTOR NAME],MATCH(SIP[[#This Row],[Investor ID]],INVESTORS_LIST[INVESTOR CODE],0),)</f>
        <v>SYED FAZLE RABBY</v>
      </c>
      <c r="F71" s="46" t="s">
        <v>166</v>
      </c>
      <c r="G71" s="46">
        <f>COUNTIF(SIP[[#Headers],[Investor ID]]:SIP[[#This Row],[Investor ID]],SIP[[#This Row],[Investor ID]])</f>
        <v>2</v>
      </c>
      <c r="H71" s="46" t="str">
        <f>CONCATENATE(SIP[[#This Row],[Frequency]],SIP[[#This Row],[Investor ID]])</f>
        <v>2A00059</v>
      </c>
      <c r="I71" s="46" t="str">
        <f>IF(SIP[[#This Row],[B/S]]="B","BUY",(IF(SIP[[#This Row],[B/S]]="S","SELL"," ")))</f>
        <v>BUY</v>
      </c>
      <c r="J71" s="46" t="s">
        <v>1229</v>
      </c>
      <c r="K71" s="69">
        <v>10000</v>
      </c>
      <c r="L71" s="69"/>
      <c r="M71" s="70">
        <f>SIP[[#This Row],[Amount]]/SIP[[#This Row],[Unit]]</f>
        <v>10.309278350515465</v>
      </c>
      <c r="N71" s="71">
        <f>SIP[[#This Row],[Unit Capital]]/10</f>
        <v>970</v>
      </c>
      <c r="O71" s="72">
        <f>SUMIFS(SIP[[#Headers],[Unit]]:SIP[[#This Row],[Unit]],SIP[[#Headers],[Investor ID]]:SIP[[#This Row],[Investor ID]],SIP[[#This Row],[Investor ID]])</f>
        <v>1947</v>
      </c>
      <c r="P71" s="73">
        <v>9700</v>
      </c>
      <c r="Q71" s="74">
        <f>SIP[[#This Row],[Amount]]-SIP[[#This Row],[Unit Capital]]</f>
        <v>300</v>
      </c>
      <c r="R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10.27221366204417</v>
      </c>
      <c r="S71" s="68">
        <f t="shared" si="2"/>
        <v>14.224</v>
      </c>
      <c r="T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" s="74" cm="1">
        <f t="array" ref="U71">IF(SIP[[#This Row],[B/S]]="S",ABS(SIP[[#This Row],[Unit]])*(INDEX(SIP[NAV at Cost (Average)],MATCH(CONCATENATE((SIP[[#This Row],[Frequency]]-1),SIP[[#This Row],[Investor ID]]),SIP[Unique Code],0),0)),0)</f>
        <v>0</v>
      </c>
      <c r="V71" s="74">
        <f>IF(SIP[[#This Row],[BO TRANSFER]]="YES",SIP[[#This Row],[Unit]],)</f>
        <v>0</v>
      </c>
      <c r="W71" s="74">
        <f>SUMIFS(SIP[[#Headers],[BO UNIT TRANSFER]]:SIP[[#This Row],[BO UNIT TRANSFER]],SIP[[#Headers],[Investor ID]]:SIP[[#This Row],[Investor ID]],SIP[[#This Row],[Investor ID]])</f>
        <v>0</v>
      </c>
    </row>
    <row r="72" spans="1:23" ht="15" customHeight="1">
      <c r="A72" s="46">
        <v>2023</v>
      </c>
      <c r="B72" s="46">
        <v>7</v>
      </c>
      <c r="C72" s="46">
        <v>20</v>
      </c>
      <c r="D72" s="65">
        <f>DATE(SIP[[#This Row],[Year]],SIP[[#This Row],[Month]],SIP[[#This Row],[Day]])</f>
        <v>45127</v>
      </c>
      <c r="E72" s="66" t="str" cm="1">
        <f t="array" ref="E72">INDEX(INVESTORS_LIST[INVESTOR NAME],MATCH(SIP[[#This Row],[Investor ID]],INVESTORS_LIST[INVESTOR CODE],0),)</f>
        <v>MOHAMMED SELIM</v>
      </c>
      <c r="F72" s="46" t="s">
        <v>113</v>
      </c>
      <c r="G72" s="46">
        <f>COUNTIF(SIP[[#Headers],[Investor ID]]:SIP[[#This Row],[Investor ID]],SIP[[#This Row],[Investor ID]])</f>
        <v>2</v>
      </c>
      <c r="H72" s="46" t="str">
        <f>CONCATENATE(SIP[[#This Row],[Frequency]],SIP[[#This Row],[Investor ID]])</f>
        <v>2A00033</v>
      </c>
      <c r="I72" s="46" t="str">
        <f>IF(SIP[[#This Row],[B/S]]="B","BUY",(IF(SIP[[#This Row],[B/S]]="S","SELL"," ")))</f>
        <v>SELL</v>
      </c>
      <c r="J72" s="46" t="s">
        <v>1231</v>
      </c>
      <c r="K72" s="69">
        <v>-5020.97</v>
      </c>
      <c r="L72" s="69"/>
      <c r="M72" s="70">
        <f>SIP[[#This Row],[Amount]]/SIP[[#This Row],[Unit]]</f>
        <v>10.31</v>
      </c>
      <c r="N72" s="71">
        <f>SIP[[#This Row],[Unit Capital]]/10</f>
        <v>-487</v>
      </c>
      <c r="O72" s="72">
        <f>SUMIFS(SIP[[#Headers],[Unit]]:SIP[[#This Row],[Unit]],SIP[[#Headers],[Investor ID]]:SIP[[#This Row],[Investor ID]],SIP[[#This Row],[Investor ID]])</f>
        <v>0</v>
      </c>
      <c r="P72" s="73">
        <v>-4870</v>
      </c>
      <c r="Q72" s="74">
        <f>SIP[[#This Row],[Amount]]-SIP[[#This Row],[Unit Capital]]</f>
        <v>-150.97000000000025</v>
      </c>
      <c r="R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72" s="68">
        <f t="shared" si="2"/>
        <v>14.224</v>
      </c>
      <c r="T72" s="74">
        <f>IF(SIP[[#This Row],[B/S]]="B",0,ABS(SIP[[#This Row],[Unit]])*(SIP[[#This Row],[NAV (Strike Rate)]]-INDEX(SIP[NAV at Cost (Average)],MATCH(CONCATENATE(SIP[[#This Row],[Frequency]]-1,SIP[[#This Row],[Investor ID]]),SIP[Unique Code],0),)))</f>
        <v>20.969999999999885</v>
      </c>
      <c r="U72" s="74" cm="1">
        <f t="array" ref="U72">IF(SIP[[#This Row],[B/S]]="S",ABS(SIP[[#This Row],[Unit]])*(INDEX(SIP[NAV at Cost (Average)],MATCH(CONCATENATE((SIP[[#This Row],[Frequency]]-1),SIP[[#This Row],[Investor ID]]),SIP[Unique Code],0),0)),0)</f>
        <v>5000</v>
      </c>
      <c r="V72" s="74">
        <f>IF(SIP[[#This Row],[BO TRANSFER]]="YES",SIP[[#This Row],[Unit]],)</f>
        <v>0</v>
      </c>
      <c r="W72" s="74">
        <f>SUMIFS(SIP[[#Headers],[BO UNIT TRANSFER]]:SIP[[#This Row],[BO UNIT TRANSFER]],SIP[[#Headers],[Investor ID]]:SIP[[#This Row],[Investor ID]],SIP[[#This Row],[Investor ID]])</f>
        <v>0</v>
      </c>
    </row>
    <row r="73" spans="1:23" ht="15" customHeight="1">
      <c r="A73" s="46">
        <v>2023</v>
      </c>
      <c r="B73" s="46">
        <v>7</v>
      </c>
      <c r="C73" s="46">
        <v>25</v>
      </c>
      <c r="D73" s="65">
        <f>DATE(SIP[[#This Row],[Year]],SIP[[#This Row],[Month]],SIP[[#This Row],[Day]])</f>
        <v>45132</v>
      </c>
      <c r="E73" s="66" t="str" cm="1">
        <f t="array" ref="E73">INDEX(INVESTORS_LIST[INVESTOR NAME],MATCH(SIP[[#This Row],[Investor ID]],INVESTORS_LIST[INVESTOR CODE],0),)</f>
        <v>FAKARUDDIN ALI AHMED</v>
      </c>
      <c r="F73" s="46" t="s">
        <v>228</v>
      </c>
      <c r="G73" s="46">
        <f>COUNTIF(SIP[[#Headers],[Investor ID]]:SIP[[#This Row],[Investor ID]],SIP[[#This Row],[Investor ID]])</f>
        <v>2</v>
      </c>
      <c r="H73" s="46" t="str">
        <f>CONCATENATE(SIP[[#This Row],[Frequency]],SIP[[#This Row],[Investor ID]])</f>
        <v>2A00090</v>
      </c>
      <c r="I73" s="46" t="str">
        <f>IF(SIP[[#This Row],[B/S]]="B","BUY",(IF(SIP[[#This Row],[B/S]]="S","SELL"," ")))</f>
        <v>SELL</v>
      </c>
      <c r="J73" s="46" t="s">
        <v>1231</v>
      </c>
      <c r="K73" s="69">
        <v>-10085.77</v>
      </c>
      <c r="L73" s="69"/>
      <c r="M73" s="70">
        <f>SIP[[#This Row],[Amount]]/SIP[[#This Row],[Unit]]</f>
        <v>10.355</v>
      </c>
      <c r="N73" s="71">
        <f>SIP[[#This Row],[Unit Capital]]/10</f>
        <v>-974</v>
      </c>
      <c r="O73" s="72">
        <f>SUMIFS(SIP[[#Headers],[Unit]]:SIP[[#This Row],[Unit]],SIP[[#Headers],[Investor ID]]:SIP[[#This Row],[Investor ID]],SIP[[#This Row],[Investor ID]])</f>
        <v>0</v>
      </c>
      <c r="P73" s="73">
        <v>-9740</v>
      </c>
      <c r="Q73" s="74">
        <f>SIP[[#This Row],[Amount]]-SIP[[#This Row],[Unit Capital]]</f>
        <v>-345.77000000000044</v>
      </c>
      <c r="R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73" s="68">
        <f t="shared" si="2"/>
        <v>14.224</v>
      </c>
      <c r="T73" s="74">
        <f>IF(SIP[[#This Row],[B/S]]="B",0,ABS(SIP[[#This Row],[Unit]])*(SIP[[#This Row],[NAV (Strike Rate)]]-INDEX(SIP[NAV at Cost (Average)],MATCH(CONCATENATE(SIP[[#This Row],[Frequency]]-1,SIP[[#This Row],[Investor ID]]),SIP[Unique Code],0),)))</f>
        <v>85.769999999999698</v>
      </c>
      <c r="U73" s="74" cm="1">
        <f t="array" ref="U73">IF(SIP[[#This Row],[B/S]]="S",ABS(SIP[[#This Row],[Unit]])*(INDEX(SIP[NAV at Cost (Average)],MATCH(CONCATENATE((SIP[[#This Row],[Frequency]]-1),SIP[[#This Row],[Investor ID]]),SIP[Unique Code],0),0)),0)</f>
        <v>10000</v>
      </c>
      <c r="V73" s="74">
        <f>IF(SIP[[#This Row],[BO TRANSFER]]="YES",SIP[[#This Row],[Unit]],)</f>
        <v>0</v>
      </c>
      <c r="W73" s="74">
        <f>SUMIFS(SIP[[#Headers],[BO UNIT TRANSFER]]:SIP[[#This Row],[BO UNIT TRANSFER]],SIP[[#Headers],[Investor ID]]:SIP[[#This Row],[Investor ID]],SIP[[#This Row],[Investor ID]])</f>
        <v>0</v>
      </c>
    </row>
    <row r="74" spans="1:23" ht="15" customHeight="1">
      <c r="A74" s="46">
        <v>2023</v>
      </c>
      <c r="B74" s="46">
        <v>7</v>
      </c>
      <c r="C74" s="46">
        <v>26</v>
      </c>
      <c r="D74" s="65">
        <f>DATE(SIP[[#This Row],[Year]],SIP[[#This Row],[Month]],SIP[[#This Row],[Day]])</f>
        <v>45133</v>
      </c>
      <c r="E74" s="66" t="str" cm="1">
        <f t="array" ref="E74">INDEX(INVESTORS_LIST[INVESTOR NAME],MATCH(SIP[[#This Row],[Investor ID]],INVESTORS_LIST[INVESTOR CODE],0),)</f>
        <v>SRIJON GHOSH</v>
      </c>
      <c r="F74" s="46" t="s">
        <v>894</v>
      </c>
      <c r="G74" s="46">
        <f>COUNTIF(SIP[[#Headers],[Investor ID]]:SIP[[#This Row],[Investor ID]],SIP[[#This Row],[Investor ID]])</f>
        <v>5</v>
      </c>
      <c r="H74" s="46" t="str">
        <f>CONCATENATE(SIP[[#This Row],[Frequency]],SIP[[#This Row],[Investor ID]])</f>
        <v>5A00424</v>
      </c>
      <c r="I74" s="46" t="str">
        <f>IF(SIP[[#This Row],[B/S]]="B","BUY",(IF(SIP[[#This Row],[B/S]]="S","SELL"," ")))</f>
        <v>BUY</v>
      </c>
      <c r="J74" s="46" t="s">
        <v>1229</v>
      </c>
      <c r="K74" s="69">
        <v>15000</v>
      </c>
      <c r="L74" s="69"/>
      <c r="M74" s="70">
        <f>SIP[[#This Row],[Amount]]/SIP[[#This Row],[Unit]]</f>
        <v>10.351966873706004</v>
      </c>
      <c r="N74" s="71">
        <f>SIP[[#This Row],[Unit Capital]]/10</f>
        <v>1449</v>
      </c>
      <c r="O74" s="72">
        <f>SUMIFS(SIP[[#Headers],[Unit]]:SIP[[#This Row],[Unit]],SIP[[#Headers],[Investor ID]]:SIP[[#This Row],[Investor ID]],SIP[[#This Row],[Investor ID]])</f>
        <v>10771</v>
      </c>
      <c r="P74" s="73">
        <v>14490</v>
      </c>
      <c r="Q74" s="74">
        <f>SIP[[#This Row],[Amount]]-SIP[[#This Row],[Unit Capital]]</f>
        <v>510</v>
      </c>
      <c r="R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10.212607928697429</v>
      </c>
      <c r="S74" s="68">
        <f t="shared" si="2"/>
        <v>14.224</v>
      </c>
      <c r="T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" s="74" cm="1">
        <f t="array" ref="U74">IF(SIP[[#This Row],[B/S]]="S",ABS(SIP[[#This Row],[Unit]])*(INDEX(SIP[NAV at Cost (Average)],MATCH(CONCATENATE((SIP[[#This Row],[Frequency]]-1),SIP[[#This Row],[Investor ID]]),SIP[Unique Code],0),0)),0)</f>
        <v>0</v>
      </c>
      <c r="V74" s="74">
        <f>IF(SIP[[#This Row],[BO TRANSFER]]="YES",SIP[[#This Row],[Unit]],)</f>
        <v>0</v>
      </c>
      <c r="W74" s="74">
        <f>SUMIFS(SIP[[#Headers],[BO UNIT TRANSFER]]:SIP[[#This Row],[BO UNIT TRANSFER]],SIP[[#Headers],[Investor ID]]:SIP[[#This Row],[Investor ID]],SIP[[#This Row],[Investor ID]])</f>
        <v>0</v>
      </c>
    </row>
    <row r="75" spans="1:23" ht="15" customHeight="1">
      <c r="A75" s="46">
        <v>2023</v>
      </c>
      <c r="B75" s="46">
        <v>7</v>
      </c>
      <c r="C75" s="46">
        <v>26</v>
      </c>
      <c r="D75" s="65">
        <f>DATE(SIP[[#This Row],[Year]],SIP[[#This Row],[Month]],SIP[[#This Row],[Day]])</f>
        <v>45133</v>
      </c>
      <c r="E75" s="66" t="str" cm="1">
        <f t="array" ref="E75">INDEX(INVESTORS_LIST[INVESTOR NAME],MATCH(SIP[[#This Row],[Investor ID]],INVESTORS_LIST[INVESTOR CODE],0),)</f>
        <v>MD. MOHIBULLAH CHOWDHURY</v>
      </c>
      <c r="F75" s="46" t="s">
        <v>1006</v>
      </c>
      <c r="G75" s="46">
        <f>COUNTIF(SIP[[#Headers],[Investor ID]]:SIP[[#This Row],[Investor ID]],SIP[[#This Row],[Investor ID]])</f>
        <v>3</v>
      </c>
      <c r="H75" s="46" t="str">
        <f>CONCATENATE(SIP[[#This Row],[Frequency]],SIP[[#This Row],[Investor ID]])</f>
        <v>3A00480</v>
      </c>
      <c r="I75" s="46" t="str">
        <f>IF(SIP[[#This Row],[B/S]]="B","BUY",(IF(SIP[[#This Row],[B/S]]="S","SELL"," ")))</f>
        <v>BUY</v>
      </c>
      <c r="J75" s="46" t="s">
        <v>1229</v>
      </c>
      <c r="K75" s="69">
        <v>10000</v>
      </c>
      <c r="L75" s="69"/>
      <c r="M75" s="70">
        <f>SIP[[#This Row],[Amount]]/SIP[[#This Row],[Unit]]</f>
        <v>10.351966873706004</v>
      </c>
      <c r="N75" s="71">
        <f>SIP[[#This Row],[Unit Capital]]/10</f>
        <v>966</v>
      </c>
      <c r="O75" s="72">
        <f>SUMIFS(SIP[[#Headers],[Unit]]:SIP[[#This Row],[Unit]],SIP[[#Headers],[Investor ID]]:SIP[[#This Row],[Investor ID]],SIP[[#This Row],[Investor ID]])</f>
        <v>2923</v>
      </c>
      <c r="P75" s="73">
        <v>9660</v>
      </c>
      <c r="Q75" s="74">
        <f>SIP[[#This Row],[Amount]]-SIP[[#This Row],[Unit Capital]]</f>
        <v>340</v>
      </c>
      <c r="R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10.263427984946974</v>
      </c>
      <c r="S75" s="68">
        <f t="shared" si="2"/>
        <v>14.224</v>
      </c>
      <c r="T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" s="74" cm="1">
        <f t="array" ref="U75">IF(SIP[[#This Row],[B/S]]="S",ABS(SIP[[#This Row],[Unit]])*(INDEX(SIP[NAV at Cost (Average)],MATCH(CONCATENATE((SIP[[#This Row],[Frequency]]-1),SIP[[#This Row],[Investor ID]]),SIP[Unique Code],0),0)),0)</f>
        <v>0</v>
      </c>
      <c r="V75" s="74">
        <f>IF(SIP[[#This Row],[BO TRANSFER]]="YES",SIP[[#This Row],[Unit]],)</f>
        <v>0</v>
      </c>
      <c r="W75" s="74">
        <f>SUMIFS(SIP[[#Headers],[BO UNIT TRANSFER]]:SIP[[#This Row],[BO UNIT TRANSFER]],SIP[[#Headers],[Investor ID]]:SIP[[#This Row],[Investor ID]],SIP[[#This Row],[Investor ID]])</f>
        <v>0</v>
      </c>
    </row>
    <row r="76" spans="1:23" ht="15" customHeight="1">
      <c r="A76" s="46">
        <v>2023</v>
      </c>
      <c r="B76" s="46">
        <v>7</v>
      </c>
      <c r="C76" s="46">
        <v>26</v>
      </c>
      <c r="D76" s="65">
        <f>DATE(SIP[[#This Row],[Year]],SIP[[#This Row],[Month]],SIP[[#This Row],[Day]])</f>
        <v>45133</v>
      </c>
      <c r="E76" s="66" t="str" cm="1">
        <f t="array" ref="E76">INDEX(INVESTORS_LIST[INVESTOR NAME],MATCH(SIP[[#This Row],[Investor ID]],INVESTORS_LIST[INVESTOR CODE],0),)</f>
        <v>KHAN MUHAMMAD FAISOL</v>
      </c>
      <c r="F76" s="46" t="s">
        <v>930</v>
      </c>
      <c r="G76" s="46">
        <f>COUNTIF(SIP[[#Headers],[Investor ID]]:SIP[[#This Row],[Investor ID]],SIP[[#This Row],[Investor ID]])</f>
        <v>3</v>
      </c>
      <c r="H76" s="46" t="str">
        <f>CONCATENATE(SIP[[#This Row],[Frequency]],SIP[[#This Row],[Investor ID]])</f>
        <v>3A00442</v>
      </c>
      <c r="I76" s="46" t="str">
        <f>IF(SIP[[#This Row],[B/S]]="B","BUY",(IF(SIP[[#This Row],[B/S]]="S","SELL"," ")))</f>
        <v>BUY</v>
      </c>
      <c r="J76" s="46" t="s">
        <v>1229</v>
      </c>
      <c r="K76" s="69">
        <v>1000</v>
      </c>
      <c r="L76" s="69"/>
      <c r="M76" s="70">
        <f>SIP[[#This Row],[Amount]]/SIP[[#This Row],[Unit]]</f>
        <v>10.309278350515465</v>
      </c>
      <c r="N76" s="71">
        <f>SIP[[#This Row],[Unit Capital]]/10</f>
        <v>97</v>
      </c>
      <c r="O76" s="72">
        <f>SUMIFS(SIP[[#Headers],[Unit]]:SIP[[#This Row],[Unit]],SIP[[#Headers],[Investor ID]]:SIP[[#This Row],[Investor ID]],SIP[[#This Row],[Investor ID]])</f>
        <v>292</v>
      </c>
      <c r="P76" s="73">
        <v>970</v>
      </c>
      <c r="Q76" s="74">
        <f>SIP[[#This Row],[Amount]]-SIP[[#This Row],[Unit Capital]]</f>
        <v>30</v>
      </c>
      <c r="R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10.273972602739725</v>
      </c>
      <c r="S76" s="68">
        <f t="shared" si="2"/>
        <v>14.224</v>
      </c>
      <c r="T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" s="74" cm="1">
        <f t="array" ref="U76">IF(SIP[[#This Row],[B/S]]="S",ABS(SIP[[#This Row],[Unit]])*(INDEX(SIP[NAV at Cost (Average)],MATCH(CONCATENATE((SIP[[#This Row],[Frequency]]-1),SIP[[#This Row],[Investor ID]]),SIP[Unique Code],0),0)),0)</f>
        <v>0</v>
      </c>
      <c r="V76" s="74">
        <f>IF(SIP[[#This Row],[BO TRANSFER]]="YES",SIP[[#This Row],[Unit]],)</f>
        <v>0</v>
      </c>
      <c r="W76" s="74">
        <f>SUMIFS(SIP[[#Headers],[BO UNIT TRANSFER]]:SIP[[#This Row],[BO UNIT TRANSFER]],SIP[[#Headers],[Investor ID]]:SIP[[#This Row],[Investor ID]],SIP[[#This Row],[Investor ID]])</f>
        <v>0</v>
      </c>
    </row>
    <row r="77" spans="1:23" ht="15" customHeight="1">
      <c r="A77" s="46">
        <v>2023</v>
      </c>
      <c r="B77" s="46">
        <v>7</v>
      </c>
      <c r="C77" s="46">
        <v>26</v>
      </c>
      <c r="D77" s="65">
        <f>DATE(SIP[[#This Row],[Year]],SIP[[#This Row],[Month]],SIP[[#This Row],[Day]])</f>
        <v>45133</v>
      </c>
      <c r="E77" s="66" t="str" cm="1">
        <f t="array" ref="E77">INDEX(INVESTORS_LIST[INVESTOR NAME],MATCH(SIP[[#This Row],[Investor ID]],INVESTORS_LIST[INVESTOR CODE],0),)</f>
        <v>MD. ARIFUL ISLAM</v>
      </c>
      <c r="F77" s="46" t="s">
        <v>222</v>
      </c>
      <c r="G77" s="46">
        <f>COUNTIF(SIP[[#Headers],[Investor ID]]:SIP[[#This Row],[Investor ID]],SIP[[#This Row],[Investor ID]])</f>
        <v>3</v>
      </c>
      <c r="H77" s="46" t="str">
        <f>CONCATENATE(SIP[[#This Row],[Frequency]],SIP[[#This Row],[Investor ID]])</f>
        <v>3A00087</v>
      </c>
      <c r="I77" s="46" t="str">
        <f>IF(SIP[[#This Row],[B/S]]="B","BUY",(IF(SIP[[#This Row],[B/S]]="S","SELL"," ")))</f>
        <v>BUY</v>
      </c>
      <c r="J77" s="46" t="s">
        <v>1229</v>
      </c>
      <c r="K77" s="69">
        <v>10000</v>
      </c>
      <c r="L77" s="69"/>
      <c r="M77" s="70">
        <f>SIP[[#This Row],[Amount]]/SIP[[#This Row],[Unit]]</f>
        <v>10.351966873706004</v>
      </c>
      <c r="N77" s="71">
        <f>SIP[[#This Row],[Unit Capital]]/10</f>
        <v>966</v>
      </c>
      <c r="O77" s="72">
        <f>SUMIFS(SIP[[#Headers],[Unit]]:SIP[[#This Row],[Unit]],SIP[[#Headers],[Investor ID]]:SIP[[#This Row],[Investor ID]],SIP[[#This Row],[Investor ID]])</f>
        <v>2921</v>
      </c>
      <c r="P77" s="73">
        <v>9660</v>
      </c>
      <c r="Q77" s="74">
        <f>SIP[[#This Row],[Amount]]-SIP[[#This Row],[Unit Capital]]</f>
        <v>340</v>
      </c>
      <c r="R7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10.270455323519345</v>
      </c>
      <c r="S77" s="68">
        <f t="shared" si="2"/>
        <v>14.224</v>
      </c>
      <c r="T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" s="74" cm="1">
        <f t="array" ref="U77">IF(SIP[[#This Row],[B/S]]="S",ABS(SIP[[#This Row],[Unit]])*(INDEX(SIP[NAV at Cost (Average)],MATCH(CONCATENATE((SIP[[#This Row],[Frequency]]-1),SIP[[#This Row],[Investor ID]]),SIP[Unique Code],0),0)),0)</f>
        <v>0</v>
      </c>
      <c r="V77" s="74">
        <f>IF(SIP[[#This Row],[BO TRANSFER]]="YES",SIP[[#This Row],[Unit]],)</f>
        <v>0</v>
      </c>
      <c r="W77" s="74">
        <f>SUMIFS(SIP[[#Headers],[BO UNIT TRANSFER]]:SIP[[#This Row],[BO UNIT TRANSFER]],SIP[[#Headers],[Investor ID]]:SIP[[#This Row],[Investor ID]],SIP[[#This Row],[Investor ID]])</f>
        <v>0</v>
      </c>
    </row>
    <row r="78" spans="1:23" ht="15" customHeight="1">
      <c r="A78" s="46">
        <v>2023</v>
      </c>
      <c r="B78" s="46">
        <v>7</v>
      </c>
      <c r="C78" s="46">
        <v>26</v>
      </c>
      <c r="D78" s="65">
        <f>DATE(SIP[[#This Row],[Year]],SIP[[#This Row],[Month]],SIP[[#This Row],[Day]])</f>
        <v>45133</v>
      </c>
      <c r="E78" s="66" t="str" cm="1">
        <f t="array" ref="E78">INDEX(INVESTORS_LIST[INVESTOR NAME],MATCH(SIP[[#This Row],[Investor ID]],INVESTORS_LIST[INVESTOR CODE],0),)</f>
        <v>SADIA PARVIN</v>
      </c>
      <c r="F78" s="46" t="s">
        <v>1018</v>
      </c>
      <c r="G78" s="46">
        <f>COUNTIF(SIP[[#Headers],[Investor ID]]:SIP[[#This Row],[Investor ID]],SIP[[#This Row],[Investor ID]])</f>
        <v>3</v>
      </c>
      <c r="H78" s="46" t="str">
        <f>CONCATENATE(SIP[[#This Row],[Frequency]],SIP[[#This Row],[Investor ID]])</f>
        <v>3A00486</v>
      </c>
      <c r="I78" s="46" t="str">
        <f>IF(SIP[[#This Row],[B/S]]="B","BUY",(IF(SIP[[#This Row],[B/S]]="S","SELL"," ")))</f>
        <v>BUY</v>
      </c>
      <c r="J78" s="46" t="s">
        <v>1229</v>
      </c>
      <c r="K78" s="69">
        <v>5000</v>
      </c>
      <c r="L78" s="69"/>
      <c r="M78" s="70">
        <f>SIP[[#This Row],[Amount]]/SIP[[#This Row],[Unit]]</f>
        <v>10.351966873706004</v>
      </c>
      <c r="N78" s="71">
        <f>SIP[[#This Row],[Unit Capital]]/10</f>
        <v>483</v>
      </c>
      <c r="O78" s="72">
        <f>SUMIFS(SIP[[#Headers],[Unit]]:SIP[[#This Row],[Unit]],SIP[[#Headers],[Investor ID]]:SIP[[#This Row],[Investor ID]],SIP[[#This Row],[Investor ID]])</f>
        <v>1459</v>
      </c>
      <c r="P78" s="73">
        <v>4830</v>
      </c>
      <c r="Q78" s="74">
        <f>SIP[[#This Row],[Amount]]-SIP[[#This Row],[Unit Capital]]</f>
        <v>170</v>
      </c>
      <c r="R7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10.281014393420151</v>
      </c>
      <c r="S78" s="68">
        <f t="shared" si="2"/>
        <v>14.224</v>
      </c>
      <c r="T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" s="74" cm="1">
        <f t="array" ref="U78">IF(SIP[[#This Row],[B/S]]="S",ABS(SIP[[#This Row],[Unit]])*(INDEX(SIP[NAV at Cost (Average)],MATCH(CONCATENATE((SIP[[#This Row],[Frequency]]-1),SIP[[#This Row],[Investor ID]]),SIP[Unique Code],0),0)),0)</f>
        <v>0</v>
      </c>
      <c r="V78" s="74">
        <f>IF(SIP[[#This Row],[BO TRANSFER]]="YES",SIP[[#This Row],[Unit]],)</f>
        <v>0</v>
      </c>
      <c r="W78" s="74">
        <f>SUMIFS(SIP[[#Headers],[BO UNIT TRANSFER]]:SIP[[#This Row],[BO UNIT TRANSFER]],SIP[[#Headers],[Investor ID]]:SIP[[#This Row],[Investor ID]],SIP[[#This Row],[Investor ID]])</f>
        <v>0</v>
      </c>
    </row>
    <row r="79" spans="1:23" ht="15" customHeight="1">
      <c r="A79" s="46">
        <v>2023</v>
      </c>
      <c r="B79" s="46">
        <v>7</v>
      </c>
      <c r="C79" s="46">
        <v>26</v>
      </c>
      <c r="D79" s="65">
        <f>DATE(SIP[[#This Row],[Year]],SIP[[#This Row],[Month]],SIP[[#This Row],[Day]])</f>
        <v>45133</v>
      </c>
      <c r="E79" s="66" t="str" cm="1">
        <f t="array" ref="E79">INDEX(INVESTORS_LIST[INVESTOR NAME],MATCH(SIP[[#This Row],[Investor ID]],INVESTORS_LIST[INVESTOR CODE],0),)</f>
        <v>MD. WALI ULLAH</v>
      </c>
      <c r="F79" s="46" t="s">
        <v>443</v>
      </c>
      <c r="G79" s="46">
        <f>COUNTIF(SIP[[#Headers],[Investor ID]]:SIP[[#This Row],[Investor ID]],SIP[[#This Row],[Investor ID]])</f>
        <v>3</v>
      </c>
      <c r="H79" s="46" t="str">
        <f>CONCATENATE(SIP[[#This Row],[Frequency]],SIP[[#This Row],[Investor ID]])</f>
        <v>3A00197</v>
      </c>
      <c r="I79" s="46" t="str">
        <f>IF(SIP[[#This Row],[B/S]]="B","BUY",(IF(SIP[[#This Row],[B/S]]="S","SELL"," ")))</f>
        <v>BUY</v>
      </c>
      <c r="J79" s="46" t="s">
        <v>1229</v>
      </c>
      <c r="K79" s="69">
        <v>15000</v>
      </c>
      <c r="L79" s="69"/>
      <c r="M79" s="70">
        <f>SIP[[#This Row],[Amount]]/SIP[[#This Row],[Unit]]</f>
        <v>10.351966873706004</v>
      </c>
      <c r="N79" s="71">
        <f>SIP[[#This Row],[Unit Capital]]/10</f>
        <v>1449</v>
      </c>
      <c r="O79" s="72">
        <f>SUMIFS(SIP[[#Headers],[Unit]]:SIP[[#This Row],[Unit]],SIP[[#Headers],[Investor ID]]:SIP[[#This Row],[Investor ID]],SIP[[#This Row],[Investor ID]])</f>
        <v>4384</v>
      </c>
      <c r="P79" s="73">
        <v>14490</v>
      </c>
      <c r="Q79" s="74">
        <f>SIP[[#This Row],[Amount]]-SIP[[#This Row],[Unit Capital]]</f>
        <v>510</v>
      </c>
      <c r="R7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10.264598540145986</v>
      </c>
      <c r="S79" s="68">
        <f t="shared" si="2"/>
        <v>14.224</v>
      </c>
      <c r="T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" s="74" cm="1">
        <f t="array" ref="U79">IF(SIP[[#This Row],[B/S]]="S",ABS(SIP[[#This Row],[Unit]])*(INDEX(SIP[NAV at Cost (Average)],MATCH(CONCATENATE((SIP[[#This Row],[Frequency]]-1),SIP[[#This Row],[Investor ID]]),SIP[Unique Code],0),0)),0)</f>
        <v>0</v>
      </c>
      <c r="V79" s="74">
        <f>IF(SIP[[#This Row],[BO TRANSFER]]="YES",SIP[[#This Row],[Unit]],)</f>
        <v>0</v>
      </c>
      <c r="W79" s="74">
        <f>SUMIFS(SIP[[#Headers],[BO UNIT TRANSFER]]:SIP[[#This Row],[BO UNIT TRANSFER]],SIP[[#Headers],[Investor ID]]:SIP[[#This Row],[Investor ID]],SIP[[#This Row],[Investor ID]])</f>
        <v>0</v>
      </c>
    </row>
    <row r="80" spans="1:23" ht="15" customHeight="1">
      <c r="A80" s="46">
        <v>2023</v>
      </c>
      <c r="B80" s="46">
        <v>7</v>
      </c>
      <c r="C80" s="46">
        <v>26</v>
      </c>
      <c r="D80" s="65">
        <f>DATE(SIP[[#This Row],[Year]],SIP[[#This Row],[Month]],SIP[[#This Row],[Day]])</f>
        <v>45133</v>
      </c>
      <c r="E80" s="66" t="str" cm="1">
        <f t="array" ref="E80">INDEX(INVESTORS_LIST[INVESTOR NAME],MATCH(SIP[[#This Row],[Investor ID]],INVESTORS_LIST[INVESTOR CODE],0),)</f>
        <v>SABIRA SALAM RIDI</v>
      </c>
      <c r="F80" s="46" t="s">
        <v>988</v>
      </c>
      <c r="G80" s="46">
        <f>COUNTIF(SIP[[#Headers],[Investor ID]]:SIP[[#This Row],[Investor ID]],SIP[[#This Row],[Investor ID]])</f>
        <v>4</v>
      </c>
      <c r="H80" s="46" t="str">
        <f>CONCATENATE(SIP[[#This Row],[Frequency]],SIP[[#This Row],[Investor ID]])</f>
        <v>4A00471</v>
      </c>
      <c r="I80" s="46" t="str">
        <f>IF(SIP[[#This Row],[B/S]]="B","BUY",(IF(SIP[[#This Row],[B/S]]="S","SELL"," ")))</f>
        <v>BUY</v>
      </c>
      <c r="J80" s="46" t="s">
        <v>1229</v>
      </c>
      <c r="K80" s="69">
        <v>1000</v>
      </c>
      <c r="L80" s="69"/>
      <c r="M80" s="70">
        <f>SIP[[#This Row],[Amount]]/SIP[[#This Row],[Unit]]</f>
        <v>10.309278350515465</v>
      </c>
      <c r="N80" s="71">
        <f>SIP[[#This Row],[Unit Capital]]/10</f>
        <v>97</v>
      </c>
      <c r="O80" s="72">
        <f>SUMIFS(SIP[[#Headers],[Unit]]:SIP[[#This Row],[Unit]],SIP[[#Headers],[Investor ID]]:SIP[[#This Row],[Investor ID]],SIP[[#This Row],[Investor ID]])</f>
        <v>391</v>
      </c>
      <c r="P80" s="73">
        <v>970</v>
      </c>
      <c r="Q80" s="74">
        <f>SIP[[#This Row],[Amount]]-SIP[[#This Row],[Unit Capital]]</f>
        <v>30</v>
      </c>
      <c r="R8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10.230179028132993</v>
      </c>
      <c r="S80" s="68">
        <f t="shared" si="2"/>
        <v>14.224</v>
      </c>
      <c r="T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" s="74" cm="1">
        <f t="array" ref="U80">IF(SIP[[#This Row],[B/S]]="S",ABS(SIP[[#This Row],[Unit]])*(INDEX(SIP[NAV at Cost (Average)],MATCH(CONCATENATE((SIP[[#This Row],[Frequency]]-1),SIP[[#This Row],[Investor ID]]),SIP[Unique Code],0),0)),0)</f>
        <v>0</v>
      </c>
      <c r="V80" s="74">
        <f>IF(SIP[[#This Row],[BO TRANSFER]]="YES",SIP[[#This Row],[Unit]],)</f>
        <v>0</v>
      </c>
      <c r="W80" s="74">
        <f>SUMIFS(SIP[[#Headers],[BO UNIT TRANSFER]]:SIP[[#This Row],[BO UNIT TRANSFER]],SIP[[#Headers],[Investor ID]]:SIP[[#This Row],[Investor ID]],SIP[[#This Row],[Investor ID]])</f>
        <v>0</v>
      </c>
    </row>
    <row r="81" spans="1:23" ht="15" customHeight="1">
      <c r="A81" s="46">
        <v>2023</v>
      </c>
      <c r="B81" s="46">
        <v>7</v>
      </c>
      <c r="C81" s="46">
        <v>26</v>
      </c>
      <c r="D81" s="65">
        <f>DATE(SIP[[#This Row],[Year]],SIP[[#This Row],[Month]],SIP[[#This Row],[Day]])</f>
        <v>45133</v>
      </c>
      <c r="E81" s="66" t="str" cm="1">
        <f t="array" ref="E81">INDEX(INVESTORS_LIST[INVESTOR NAME],MATCH(SIP[[#This Row],[Investor ID]],INVESTORS_LIST[INVESTOR CODE],0),)</f>
        <v>MOHAMMAD HASAN</v>
      </c>
      <c r="F81" s="46" t="s">
        <v>1010</v>
      </c>
      <c r="G81" s="46">
        <f>COUNTIF(SIP[[#Headers],[Investor ID]]:SIP[[#This Row],[Investor ID]],SIP[[#This Row],[Investor ID]])</f>
        <v>2</v>
      </c>
      <c r="H81" s="46" t="str">
        <f>CONCATENATE(SIP[[#This Row],[Frequency]],SIP[[#This Row],[Investor ID]])</f>
        <v>2A00482</v>
      </c>
      <c r="I81" s="46" t="str">
        <f>IF(SIP[[#This Row],[B/S]]="B","BUY",(IF(SIP[[#This Row],[B/S]]="S","SELL"," ")))</f>
        <v>BUY</v>
      </c>
      <c r="J81" s="46" t="s">
        <v>1229</v>
      </c>
      <c r="K81" s="69">
        <v>5000</v>
      </c>
      <c r="L81" s="69"/>
      <c r="M81" s="70">
        <f>SIP[[#This Row],[Amount]]/SIP[[#This Row],[Unit]]</f>
        <v>10.351966873706004</v>
      </c>
      <c r="N81" s="71">
        <f>SIP[[#This Row],[Unit Capital]]/10</f>
        <v>483</v>
      </c>
      <c r="O81" s="72">
        <f>SUMIFS(SIP[[#Headers],[Unit]]:SIP[[#This Row],[Unit]],SIP[[#Headers],[Investor ID]]:SIP[[#This Row],[Investor ID]],SIP[[#This Row],[Investor ID]])</f>
        <v>970</v>
      </c>
      <c r="P81" s="73">
        <v>4830</v>
      </c>
      <c r="Q81" s="74">
        <f>SIP[[#This Row],[Amount]]-SIP[[#This Row],[Unit Capital]]</f>
        <v>170</v>
      </c>
      <c r="R8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81" s="68">
        <f t="shared" si="2"/>
        <v>14.224</v>
      </c>
      <c r="T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" s="74" cm="1">
        <f t="array" ref="U81">IF(SIP[[#This Row],[B/S]]="S",ABS(SIP[[#This Row],[Unit]])*(INDEX(SIP[NAV at Cost (Average)],MATCH(CONCATENATE((SIP[[#This Row],[Frequency]]-1),SIP[[#This Row],[Investor ID]]),SIP[Unique Code],0),0)),0)</f>
        <v>0</v>
      </c>
      <c r="V81" s="74">
        <f>IF(SIP[[#This Row],[BO TRANSFER]]="YES",SIP[[#This Row],[Unit]],)</f>
        <v>0</v>
      </c>
      <c r="W81" s="74">
        <f>SUMIFS(SIP[[#Headers],[BO UNIT TRANSFER]]:SIP[[#This Row],[BO UNIT TRANSFER]],SIP[[#Headers],[Investor ID]]:SIP[[#This Row],[Investor ID]],SIP[[#This Row],[Investor ID]])</f>
        <v>0</v>
      </c>
    </row>
    <row r="82" spans="1:23" ht="15" customHeight="1">
      <c r="A82" s="46">
        <v>2023</v>
      </c>
      <c r="B82" s="46">
        <v>7</v>
      </c>
      <c r="C82" s="46">
        <v>26</v>
      </c>
      <c r="D82" s="65">
        <f>DATE(SIP[[#This Row],[Year]],SIP[[#This Row],[Month]],SIP[[#This Row],[Day]])</f>
        <v>45133</v>
      </c>
      <c r="E82" s="66" t="str" cm="1">
        <f t="array" ref="E82">INDEX(INVESTORS_LIST[INVESTOR NAME],MATCH(SIP[[#This Row],[Investor ID]],INVESTORS_LIST[INVESTOR CODE],0),)</f>
        <v>SAJJAD CHOWDHURY</v>
      </c>
      <c r="F82" s="46" t="s">
        <v>461</v>
      </c>
      <c r="G82" s="46">
        <f>COUNTIF(SIP[[#Headers],[Investor ID]]:SIP[[#This Row],[Investor ID]],SIP[[#This Row],[Investor ID]])</f>
        <v>3</v>
      </c>
      <c r="H82" s="46" t="str">
        <f>CONCATENATE(SIP[[#This Row],[Frequency]],SIP[[#This Row],[Investor ID]])</f>
        <v>3A00206</v>
      </c>
      <c r="I82" s="46" t="str">
        <f>IF(SIP[[#This Row],[B/S]]="B","BUY",(IF(SIP[[#This Row],[B/S]]="S","SELL"," ")))</f>
        <v>BUY</v>
      </c>
      <c r="J82" s="46" t="s">
        <v>1229</v>
      </c>
      <c r="K82" s="69">
        <v>7500</v>
      </c>
      <c r="L82" s="69"/>
      <c r="M82" s="70">
        <f>SIP[[#This Row],[Amount]]/SIP[[#This Row],[Unit]]</f>
        <v>10.359116022099448</v>
      </c>
      <c r="N82" s="71">
        <f>SIP[[#This Row],[Unit Capital]]/10</f>
        <v>724</v>
      </c>
      <c r="O82" s="72">
        <f>SUMIFS(SIP[[#Headers],[Unit]]:SIP[[#This Row],[Unit]],SIP[[#Headers],[Investor ID]]:SIP[[#This Row],[Investor ID]],SIP[[#This Row],[Investor ID]])</f>
        <v>2191</v>
      </c>
      <c r="P82" s="73">
        <v>7240</v>
      </c>
      <c r="Q82" s="74">
        <f>SIP[[#This Row],[Amount]]-SIP[[#This Row],[Unit Capital]]</f>
        <v>260</v>
      </c>
      <c r="R8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10.269283432222728</v>
      </c>
      <c r="S82" s="68">
        <f t="shared" si="2"/>
        <v>14.224</v>
      </c>
      <c r="T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" s="74" cm="1">
        <f t="array" ref="U82">IF(SIP[[#This Row],[B/S]]="S",ABS(SIP[[#This Row],[Unit]])*(INDEX(SIP[NAV at Cost (Average)],MATCH(CONCATENATE((SIP[[#This Row],[Frequency]]-1),SIP[[#This Row],[Investor ID]]),SIP[Unique Code],0),0)),0)</f>
        <v>0</v>
      </c>
      <c r="V82" s="74">
        <f>IF(SIP[[#This Row],[BO TRANSFER]]="YES",SIP[[#This Row],[Unit]],)</f>
        <v>0</v>
      </c>
      <c r="W82" s="74">
        <f>SUMIFS(SIP[[#Headers],[BO UNIT TRANSFER]]:SIP[[#This Row],[BO UNIT TRANSFER]],SIP[[#Headers],[Investor ID]]:SIP[[#This Row],[Investor ID]],SIP[[#This Row],[Investor ID]])</f>
        <v>0</v>
      </c>
    </row>
    <row r="83" spans="1:23" ht="15" customHeight="1">
      <c r="A83" s="46">
        <v>2023</v>
      </c>
      <c r="B83" s="46">
        <v>7</v>
      </c>
      <c r="C83" s="46">
        <v>26</v>
      </c>
      <c r="D83" s="65">
        <f>DATE(SIP[[#This Row],[Year]],SIP[[#This Row],[Month]],SIP[[#This Row],[Day]])</f>
        <v>45133</v>
      </c>
      <c r="E83" s="66" t="str" cm="1">
        <f t="array" ref="E83">INDEX(INVESTORS_LIST[INVESTOR NAME],MATCH(SIP[[#This Row],[Investor ID]],INVESTORS_LIST[INVESTOR CODE],0),)</f>
        <v>EKUSH WEALTH MANAGEMENT LIMITED EMPLOYEES CONTRIBUTORY PROVIDENT FUND</v>
      </c>
      <c r="F83" s="46" t="s">
        <v>831</v>
      </c>
      <c r="G83" s="46">
        <f>COUNTIF(SIP[[#Headers],[Investor ID]]:SIP[[#This Row],[Investor ID]],SIP[[#This Row],[Investor ID]])</f>
        <v>3</v>
      </c>
      <c r="H83" s="46" t="str">
        <f>CONCATENATE(SIP[[#This Row],[Frequency]],SIP[[#This Row],[Investor ID]])</f>
        <v>3A00392</v>
      </c>
      <c r="I83" s="46" t="str">
        <f>IF(SIP[[#This Row],[B/S]]="B","BUY",(IF(SIP[[#This Row],[B/S]]="S","SELL"," ")))</f>
        <v>BUY</v>
      </c>
      <c r="J83" s="46" t="s">
        <v>1229</v>
      </c>
      <c r="K83" s="69">
        <v>22040</v>
      </c>
      <c r="L83" s="69"/>
      <c r="M83" s="70">
        <f>SIP[[#This Row],[Amount]]/SIP[[#This Row],[Unit]]</f>
        <v>10.357142857142858</v>
      </c>
      <c r="N83" s="71">
        <f>SIP[[#This Row],[Unit Capital]]/10</f>
        <v>2128</v>
      </c>
      <c r="O83" s="72">
        <f>SUMIFS(SIP[[#Headers],[Unit]]:SIP[[#This Row],[Unit]],SIP[[#Headers],[Investor ID]]:SIP[[#This Row],[Investor ID]],SIP[[#This Row],[Investor ID]])</f>
        <v>6441</v>
      </c>
      <c r="P83" s="73">
        <v>21280</v>
      </c>
      <c r="Q83" s="74">
        <f>SIP[[#This Row],[Amount]]-SIP[[#This Row],[Unit Capital]]</f>
        <v>760</v>
      </c>
      <c r="R8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10.265486725663717</v>
      </c>
      <c r="S83" s="68">
        <f t="shared" si="2"/>
        <v>14.224</v>
      </c>
      <c r="T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" s="74" cm="1">
        <f t="array" ref="U83">IF(SIP[[#This Row],[B/S]]="S",ABS(SIP[[#This Row],[Unit]])*(INDEX(SIP[NAV at Cost (Average)],MATCH(CONCATENATE((SIP[[#This Row],[Frequency]]-1),SIP[[#This Row],[Investor ID]]),SIP[Unique Code],0),0)),0)</f>
        <v>0</v>
      </c>
      <c r="V83" s="74">
        <f>IF(SIP[[#This Row],[BO TRANSFER]]="YES",SIP[[#This Row],[Unit]],)</f>
        <v>0</v>
      </c>
      <c r="W83" s="74">
        <f>SUMIFS(SIP[[#Headers],[BO UNIT TRANSFER]]:SIP[[#This Row],[BO UNIT TRANSFER]],SIP[[#Headers],[Investor ID]]:SIP[[#This Row],[Investor ID]],SIP[[#This Row],[Investor ID]])</f>
        <v>0</v>
      </c>
    </row>
    <row r="84" spans="1:23" ht="15" customHeight="1">
      <c r="A84" s="46">
        <v>2023</v>
      </c>
      <c r="B84" s="46">
        <v>7</v>
      </c>
      <c r="C84" s="46">
        <v>26</v>
      </c>
      <c r="D84" s="65">
        <f>DATE(SIP[[#This Row],[Year]],SIP[[#This Row],[Month]],SIP[[#This Row],[Day]])</f>
        <v>45133</v>
      </c>
      <c r="E84" s="66" t="str" cm="1">
        <f t="array" ref="E84">INDEX(INVESTORS_LIST[INVESTOR NAME],MATCH(SIP[[#This Row],[Investor ID]],INVESTORS_LIST[INVESTOR CODE],0),)</f>
        <v>MOHAMMED SELIM</v>
      </c>
      <c r="F84" s="46" t="s">
        <v>113</v>
      </c>
      <c r="G84" s="46">
        <f>COUNTIF(SIP[[#Headers],[Investor ID]]:SIP[[#This Row],[Investor ID]],SIP[[#This Row],[Investor ID]])</f>
        <v>3</v>
      </c>
      <c r="H84" s="46" t="str">
        <f>CONCATENATE(SIP[[#This Row],[Frequency]],SIP[[#This Row],[Investor ID]])</f>
        <v>3A00033</v>
      </c>
      <c r="I84" s="46" t="str">
        <f>IF(SIP[[#This Row],[B/S]]="B","BUY",(IF(SIP[[#This Row],[B/S]]="S","SELL"," ")))</f>
        <v>BUY</v>
      </c>
      <c r="J84" s="46" t="s">
        <v>1229</v>
      </c>
      <c r="K84" s="69">
        <v>5000</v>
      </c>
      <c r="L84" s="69"/>
      <c r="M84" s="70">
        <f>SIP[[#This Row],[Amount]]/SIP[[#This Row],[Unit]]</f>
        <v>10.351966873706004</v>
      </c>
      <c r="N84" s="71">
        <f>SIP[[#This Row],[Unit Capital]]/10</f>
        <v>483</v>
      </c>
      <c r="O84" s="72">
        <f>SUMIFS(SIP[[#Headers],[Unit]]:SIP[[#This Row],[Unit]],SIP[[#Headers],[Investor ID]]:SIP[[#This Row],[Investor ID]],SIP[[#This Row],[Investor ID]])</f>
        <v>483</v>
      </c>
      <c r="P84" s="73">
        <v>4830</v>
      </c>
      <c r="Q84" s="74">
        <f>SIP[[#This Row],[Amount]]-SIP[[#This Row],[Unit Capital]]</f>
        <v>170</v>
      </c>
      <c r="R8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10.351966873706004</v>
      </c>
      <c r="S84" s="68">
        <f t="shared" si="2"/>
        <v>14.224</v>
      </c>
      <c r="T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" s="74" cm="1">
        <f t="array" ref="U84">IF(SIP[[#This Row],[B/S]]="S",ABS(SIP[[#This Row],[Unit]])*(INDEX(SIP[NAV at Cost (Average)],MATCH(CONCATENATE((SIP[[#This Row],[Frequency]]-1),SIP[[#This Row],[Investor ID]]),SIP[Unique Code],0),0)),0)</f>
        <v>0</v>
      </c>
      <c r="V84" s="74">
        <f>IF(SIP[[#This Row],[BO TRANSFER]]="YES",SIP[[#This Row],[Unit]],)</f>
        <v>0</v>
      </c>
      <c r="W84" s="74">
        <f>SUMIFS(SIP[[#Headers],[BO UNIT TRANSFER]]:SIP[[#This Row],[BO UNIT TRANSFER]],SIP[[#Headers],[Investor ID]]:SIP[[#This Row],[Investor ID]],SIP[[#This Row],[Investor ID]])</f>
        <v>0</v>
      </c>
    </row>
    <row r="85" spans="1:23" ht="15" customHeight="1">
      <c r="A85" s="46">
        <v>2023</v>
      </c>
      <c r="B85" s="46">
        <v>7</v>
      </c>
      <c r="C85" s="46">
        <v>26</v>
      </c>
      <c r="D85" s="65">
        <f>DATE(SIP[[#This Row],[Year]],SIP[[#This Row],[Month]],SIP[[#This Row],[Day]])</f>
        <v>45133</v>
      </c>
      <c r="E85" s="66" t="str" cm="1">
        <f t="array" ref="E85">INDEX(INVESTORS_LIST[INVESTOR NAME],MATCH(SIP[[#This Row],[Investor ID]],INVESTORS_LIST[INVESTOR CODE],0),)</f>
        <v>S.M. SAIFUL ISLAM</v>
      </c>
      <c r="F85" s="46" t="s">
        <v>1002</v>
      </c>
      <c r="G85" s="46">
        <f>COUNTIF(SIP[[#Headers],[Investor ID]]:SIP[[#This Row],[Investor ID]],SIP[[#This Row],[Investor ID]])</f>
        <v>3</v>
      </c>
      <c r="H85" s="46" t="str">
        <f>CONCATENATE(SIP[[#This Row],[Frequency]],SIP[[#This Row],[Investor ID]])</f>
        <v>3A00478</v>
      </c>
      <c r="I85" s="46" t="str">
        <f>IF(SIP[[#This Row],[B/S]]="B","BUY",(IF(SIP[[#This Row],[B/S]]="S","SELL"," ")))</f>
        <v>BUY</v>
      </c>
      <c r="J85" s="46" t="s">
        <v>1229</v>
      </c>
      <c r="K85" s="69">
        <v>10000</v>
      </c>
      <c r="L85" s="69"/>
      <c r="M85" s="70">
        <f>SIP[[#This Row],[Amount]]/SIP[[#This Row],[Unit]]</f>
        <v>10.351966873706004</v>
      </c>
      <c r="N85" s="71">
        <f>SIP[[#This Row],[Unit Capital]]/10</f>
        <v>966</v>
      </c>
      <c r="O85" s="72">
        <f>SUMIFS(SIP[[#Headers],[Unit]]:SIP[[#This Row],[Unit]],SIP[[#Headers],[Investor ID]]:SIP[[#This Row],[Investor ID]],SIP[[#This Row],[Investor ID]])</f>
        <v>2923</v>
      </c>
      <c r="P85" s="73">
        <v>9660</v>
      </c>
      <c r="Q85" s="74">
        <f>SIP[[#This Row],[Amount]]-SIP[[#This Row],[Unit Capital]]</f>
        <v>340</v>
      </c>
      <c r="R8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10.263427984946974</v>
      </c>
      <c r="S85" s="68">
        <f t="shared" si="2"/>
        <v>14.224</v>
      </c>
      <c r="T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" s="74" cm="1">
        <f t="array" ref="U85">IF(SIP[[#This Row],[B/S]]="S",ABS(SIP[[#This Row],[Unit]])*(INDEX(SIP[NAV at Cost (Average)],MATCH(CONCATENATE((SIP[[#This Row],[Frequency]]-1),SIP[[#This Row],[Investor ID]]),SIP[Unique Code],0),0)),0)</f>
        <v>0</v>
      </c>
      <c r="V85" s="74">
        <f>IF(SIP[[#This Row],[BO TRANSFER]]="YES",SIP[[#This Row],[Unit]],)</f>
        <v>0</v>
      </c>
      <c r="W85" s="74">
        <f>SUMIFS(SIP[[#Headers],[BO UNIT TRANSFER]]:SIP[[#This Row],[BO UNIT TRANSFER]],SIP[[#Headers],[Investor ID]]:SIP[[#This Row],[Investor ID]],SIP[[#This Row],[Investor ID]])</f>
        <v>0</v>
      </c>
    </row>
    <row r="86" spans="1:23" ht="15" customHeight="1">
      <c r="A86" s="46">
        <v>2023</v>
      </c>
      <c r="B86" s="46">
        <v>7</v>
      </c>
      <c r="C86" s="46">
        <v>26</v>
      </c>
      <c r="D86" s="65">
        <f>DATE(SIP[[#This Row],[Year]],SIP[[#This Row],[Month]],SIP[[#This Row],[Day]])</f>
        <v>45133</v>
      </c>
      <c r="E86" s="66" t="str" cm="1">
        <f t="array" ref="E86">INDEX(INVESTORS_LIST[INVESTOR NAME],MATCH(SIP[[#This Row],[Investor ID]],INVESTORS_LIST[INVESTOR CODE],0),)</f>
        <v>ABU MUSA MIRZA KAMRUZZAMAN SHAHEE</v>
      </c>
      <c r="F86" s="46" t="s">
        <v>1012</v>
      </c>
      <c r="G86" s="46">
        <f>COUNTIF(SIP[[#Headers],[Investor ID]]:SIP[[#This Row],[Investor ID]],SIP[[#This Row],[Investor ID]])</f>
        <v>2</v>
      </c>
      <c r="H86" s="46" t="str">
        <f>CONCATENATE(SIP[[#This Row],[Frequency]],SIP[[#This Row],[Investor ID]])</f>
        <v>2A00483</v>
      </c>
      <c r="I86" s="46" t="str">
        <f>IF(SIP[[#This Row],[B/S]]="B","BUY",(IF(SIP[[#This Row],[B/S]]="S","SELL"," ")))</f>
        <v>BUY</v>
      </c>
      <c r="J86" s="46" t="s">
        <v>1229</v>
      </c>
      <c r="K86" s="69">
        <v>5000</v>
      </c>
      <c r="L86" s="69"/>
      <c r="M86" s="70">
        <f>SIP[[#This Row],[Amount]]/SIP[[#This Row],[Unit]]</f>
        <v>10.351966873706004</v>
      </c>
      <c r="N86" s="71">
        <f>SIP[[#This Row],[Unit Capital]]/10</f>
        <v>483</v>
      </c>
      <c r="O86" s="72">
        <f>SUMIFS(SIP[[#Headers],[Unit]]:SIP[[#This Row],[Unit]],SIP[[#Headers],[Investor ID]]:SIP[[#This Row],[Investor ID]],SIP[[#This Row],[Investor ID]])</f>
        <v>970</v>
      </c>
      <c r="P86" s="73">
        <v>4830</v>
      </c>
      <c r="Q86" s="74">
        <f>SIP[[#This Row],[Amount]]-SIP[[#This Row],[Unit Capital]]</f>
        <v>170</v>
      </c>
      <c r="R8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86" s="68">
        <f t="shared" si="2"/>
        <v>14.224</v>
      </c>
      <c r="T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" s="74" cm="1">
        <f t="array" ref="U86">IF(SIP[[#This Row],[B/S]]="S",ABS(SIP[[#This Row],[Unit]])*(INDEX(SIP[NAV at Cost (Average)],MATCH(CONCATENATE((SIP[[#This Row],[Frequency]]-1),SIP[[#This Row],[Investor ID]]),SIP[Unique Code],0),0)),0)</f>
        <v>0</v>
      </c>
      <c r="V86" s="74">
        <f>IF(SIP[[#This Row],[BO TRANSFER]]="YES",SIP[[#This Row],[Unit]],)</f>
        <v>0</v>
      </c>
      <c r="W86" s="74">
        <f>SUMIFS(SIP[[#Headers],[BO UNIT TRANSFER]]:SIP[[#This Row],[BO UNIT TRANSFER]],SIP[[#Headers],[Investor ID]]:SIP[[#This Row],[Investor ID]],SIP[[#This Row],[Investor ID]])</f>
        <v>0</v>
      </c>
    </row>
    <row r="87" spans="1:23" ht="15" customHeight="1">
      <c r="A87" s="46">
        <v>2023</v>
      </c>
      <c r="B87" s="46">
        <v>7</v>
      </c>
      <c r="C87" s="46">
        <v>26</v>
      </c>
      <c r="D87" s="65">
        <f>DATE(SIP[[#This Row],[Year]],SIP[[#This Row],[Month]],SIP[[#This Row],[Day]])</f>
        <v>45133</v>
      </c>
      <c r="E87" s="66" t="str" cm="1">
        <f t="array" ref="E87">INDEX(INVESTORS_LIST[INVESTOR NAME],MATCH(SIP[[#This Row],[Investor ID]],INVESTORS_LIST[INVESTOR CODE],0),)</f>
        <v>ASHIK IQBAL CHOWDHURY</v>
      </c>
      <c r="F87" s="46" t="s">
        <v>1016</v>
      </c>
      <c r="G87" s="46">
        <f>COUNTIF(SIP[[#Headers],[Investor ID]]:SIP[[#This Row],[Investor ID]],SIP[[#This Row],[Investor ID]])</f>
        <v>2</v>
      </c>
      <c r="H87" s="46" t="str">
        <f>CONCATENATE(SIP[[#This Row],[Frequency]],SIP[[#This Row],[Investor ID]])</f>
        <v>2A00485</v>
      </c>
      <c r="I87" s="46" t="str">
        <f>IF(SIP[[#This Row],[B/S]]="B","BUY",(IF(SIP[[#This Row],[B/S]]="S","SELL"," ")))</f>
        <v>BUY</v>
      </c>
      <c r="J87" s="46" t="s">
        <v>1229</v>
      </c>
      <c r="K87" s="69">
        <v>5000</v>
      </c>
      <c r="L87" s="69"/>
      <c r="M87" s="70">
        <f>SIP[[#This Row],[Amount]]/SIP[[#This Row],[Unit]]</f>
        <v>10.351966873706004</v>
      </c>
      <c r="N87" s="71">
        <f>SIP[[#This Row],[Unit Capital]]/10</f>
        <v>483</v>
      </c>
      <c r="O87" s="72">
        <f>SUMIFS(SIP[[#Headers],[Unit]]:SIP[[#This Row],[Unit]],SIP[[#Headers],[Investor ID]]:SIP[[#This Row],[Investor ID]],SIP[[#This Row],[Investor ID]])</f>
        <v>970</v>
      </c>
      <c r="P87" s="73">
        <v>4830</v>
      </c>
      <c r="Q87" s="74">
        <f>SIP[[#This Row],[Amount]]-SIP[[#This Row],[Unit Capital]]</f>
        <v>170</v>
      </c>
      <c r="R8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87" s="68">
        <f t="shared" si="2"/>
        <v>14.224</v>
      </c>
      <c r="T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" s="74" cm="1">
        <f t="array" ref="U87">IF(SIP[[#This Row],[B/S]]="S",ABS(SIP[[#This Row],[Unit]])*(INDEX(SIP[NAV at Cost (Average)],MATCH(CONCATENATE((SIP[[#This Row],[Frequency]]-1),SIP[[#This Row],[Investor ID]]),SIP[Unique Code],0),0)),0)</f>
        <v>0</v>
      </c>
      <c r="V87" s="74">
        <f>IF(SIP[[#This Row],[BO TRANSFER]]="YES",SIP[[#This Row],[Unit]],)</f>
        <v>0</v>
      </c>
      <c r="W87" s="74">
        <f>SUMIFS(SIP[[#Headers],[BO UNIT TRANSFER]]:SIP[[#This Row],[BO UNIT TRANSFER]],SIP[[#Headers],[Investor ID]]:SIP[[#This Row],[Investor ID]],SIP[[#This Row],[Investor ID]])</f>
        <v>0</v>
      </c>
    </row>
    <row r="88" spans="1:23" ht="15" customHeight="1">
      <c r="A88" s="46">
        <v>2023</v>
      </c>
      <c r="B88" s="46">
        <v>7</v>
      </c>
      <c r="C88" s="46">
        <v>26</v>
      </c>
      <c r="D88" s="65">
        <f>DATE(SIP[[#This Row],[Year]],SIP[[#This Row],[Month]],SIP[[#This Row],[Day]])</f>
        <v>45133</v>
      </c>
      <c r="E88" s="66" t="str" cm="1">
        <f t="array" ref="E88">INDEX(INVESTORS_LIST[INVESTOR NAME],MATCH(SIP[[#This Row],[Investor ID]],INVESTORS_LIST[INVESTOR CODE],0),)</f>
        <v>ABIR SAHA</v>
      </c>
      <c r="F88" s="46" t="s">
        <v>990</v>
      </c>
      <c r="G88" s="46">
        <f>COUNTIF(SIP[[#Headers],[Investor ID]]:SIP[[#This Row],[Investor ID]],SIP[[#This Row],[Investor ID]])</f>
        <v>4</v>
      </c>
      <c r="H88" s="46" t="str">
        <f>CONCATENATE(SIP[[#This Row],[Frequency]],SIP[[#This Row],[Investor ID]])</f>
        <v>4A00472</v>
      </c>
      <c r="I88" s="46" t="str">
        <f>IF(SIP[[#This Row],[B/S]]="B","BUY",(IF(SIP[[#This Row],[B/S]]="S","SELL"," ")))</f>
        <v>BUY</v>
      </c>
      <c r="J88" s="46" t="s">
        <v>1229</v>
      </c>
      <c r="K88" s="69">
        <v>1000</v>
      </c>
      <c r="L88" s="69"/>
      <c r="M88" s="70">
        <f>SIP[[#This Row],[Amount]]/SIP[[#This Row],[Unit]]</f>
        <v>10.309278350515465</v>
      </c>
      <c r="N88" s="71">
        <f>SIP[[#This Row],[Unit Capital]]/10</f>
        <v>97</v>
      </c>
      <c r="O88" s="72">
        <f>SUMIFS(SIP[[#Headers],[Unit]]:SIP[[#This Row],[Unit]],SIP[[#Headers],[Investor ID]]:SIP[[#This Row],[Investor ID]],SIP[[#This Row],[Investor ID]])</f>
        <v>391</v>
      </c>
      <c r="P88" s="73">
        <v>970</v>
      </c>
      <c r="Q88" s="74">
        <f>SIP[[#This Row],[Amount]]-SIP[[#This Row],[Unit Capital]]</f>
        <v>30</v>
      </c>
      <c r="R8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10.230179028132993</v>
      </c>
      <c r="S88" s="68">
        <f t="shared" si="2"/>
        <v>14.224</v>
      </c>
      <c r="T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" s="74" cm="1">
        <f t="array" ref="U88">IF(SIP[[#This Row],[B/S]]="S",ABS(SIP[[#This Row],[Unit]])*(INDEX(SIP[NAV at Cost (Average)],MATCH(CONCATENATE((SIP[[#This Row],[Frequency]]-1),SIP[[#This Row],[Investor ID]]),SIP[Unique Code],0),0)),0)</f>
        <v>0</v>
      </c>
      <c r="V88" s="74">
        <f>IF(SIP[[#This Row],[BO TRANSFER]]="YES",SIP[[#This Row],[Unit]],)</f>
        <v>0</v>
      </c>
      <c r="W88" s="74">
        <f>SUMIFS(SIP[[#Headers],[BO UNIT TRANSFER]]:SIP[[#This Row],[BO UNIT TRANSFER]],SIP[[#Headers],[Investor ID]]:SIP[[#This Row],[Investor ID]],SIP[[#This Row],[Investor ID]])</f>
        <v>0</v>
      </c>
    </row>
    <row r="89" spans="1:23" ht="15" customHeight="1">
      <c r="A89" s="46">
        <v>2023</v>
      </c>
      <c r="B89" s="46">
        <v>7</v>
      </c>
      <c r="C89" s="46">
        <v>26</v>
      </c>
      <c r="D89" s="65">
        <f>DATE(SIP[[#This Row],[Year]],SIP[[#This Row],[Month]],SIP[[#This Row],[Day]])</f>
        <v>45133</v>
      </c>
      <c r="E89" s="66" t="str" cm="1">
        <f t="array" ref="E89">INDEX(INVESTORS_LIST[INVESTOR NAME],MATCH(SIP[[#This Row],[Investor ID]],INVESTORS_LIST[INVESTOR CODE],0),)</f>
        <v>SIKDER FAZLE RABBI</v>
      </c>
      <c r="F89" s="46" t="s">
        <v>1032</v>
      </c>
      <c r="G89" s="46">
        <f>COUNTIF(SIP[[#Headers],[Investor ID]]:SIP[[#This Row],[Investor ID]],SIP[[#This Row],[Investor ID]])</f>
        <v>2</v>
      </c>
      <c r="H89" s="46" t="str">
        <f>CONCATENATE(SIP[[#This Row],[Frequency]],SIP[[#This Row],[Investor ID]])</f>
        <v>2A00493</v>
      </c>
      <c r="I89" s="46" t="str">
        <f>IF(SIP[[#This Row],[B/S]]="B","BUY",(IF(SIP[[#This Row],[B/S]]="S","SELL"," ")))</f>
        <v>BUY</v>
      </c>
      <c r="J89" s="46" t="s">
        <v>1229</v>
      </c>
      <c r="K89" s="69">
        <v>5000</v>
      </c>
      <c r="L89" s="69"/>
      <c r="M89" s="70">
        <f>SIP[[#This Row],[Amount]]/SIP[[#This Row],[Unit]]</f>
        <v>10.351966873706004</v>
      </c>
      <c r="N89" s="71">
        <f>SIP[[#This Row],[Unit Capital]]/10</f>
        <v>483</v>
      </c>
      <c r="O89" s="72">
        <f>SUMIFS(SIP[[#Headers],[Unit]]:SIP[[#This Row],[Unit]],SIP[[#Headers],[Investor ID]]:SIP[[#This Row],[Investor ID]],SIP[[#This Row],[Investor ID]])</f>
        <v>970</v>
      </c>
      <c r="P89" s="73">
        <v>4830</v>
      </c>
      <c r="Q89" s="74">
        <f>SIP[[#This Row],[Amount]]-SIP[[#This Row],[Unit Capital]]</f>
        <v>170</v>
      </c>
      <c r="R8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89" s="68">
        <f t="shared" si="2"/>
        <v>14.224</v>
      </c>
      <c r="T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" s="74" cm="1">
        <f t="array" ref="U89">IF(SIP[[#This Row],[B/S]]="S",ABS(SIP[[#This Row],[Unit]])*(INDEX(SIP[NAV at Cost (Average)],MATCH(CONCATENATE((SIP[[#This Row],[Frequency]]-1),SIP[[#This Row],[Investor ID]]),SIP[Unique Code],0),0)),0)</f>
        <v>0</v>
      </c>
      <c r="V89" s="74">
        <f>IF(SIP[[#This Row],[BO TRANSFER]]="YES",SIP[[#This Row],[Unit]],)</f>
        <v>0</v>
      </c>
      <c r="W89" s="74">
        <f>SUMIFS(SIP[[#Headers],[BO UNIT TRANSFER]]:SIP[[#This Row],[BO UNIT TRANSFER]],SIP[[#Headers],[Investor ID]]:SIP[[#This Row],[Investor ID]],SIP[[#This Row],[Investor ID]])</f>
        <v>0</v>
      </c>
    </row>
    <row r="90" spans="1:23" ht="15" customHeight="1">
      <c r="A90" s="46">
        <v>2023</v>
      </c>
      <c r="B90" s="46">
        <v>7</v>
      </c>
      <c r="C90" s="46">
        <v>26</v>
      </c>
      <c r="D90" s="65">
        <f>DATE(SIP[[#This Row],[Year]],SIP[[#This Row],[Month]],SIP[[#This Row],[Day]])</f>
        <v>45133</v>
      </c>
      <c r="E90" s="66" t="str" cm="1">
        <f t="array" ref="E90">INDEX(INVESTORS_LIST[INVESTOR NAME],MATCH(SIP[[#This Row],[Investor ID]],INVESTORS_LIST[INVESTOR CODE],0),)</f>
        <v>KHALED HOSSAIN</v>
      </c>
      <c r="F90" s="46" t="s">
        <v>1050</v>
      </c>
      <c r="G90" s="46">
        <f>COUNTIF(SIP[[#Headers],[Investor ID]]:SIP[[#This Row],[Investor ID]],SIP[[#This Row],[Investor ID]])</f>
        <v>2</v>
      </c>
      <c r="H90" s="46" t="str">
        <f>CONCATENATE(SIP[[#This Row],[Frequency]],SIP[[#This Row],[Investor ID]])</f>
        <v>2A00502</v>
      </c>
      <c r="I90" s="46" t="str">
        <f>IF(SIP[[#This Row],[B/S]]="B","BUY",(IF(SIP[[#This Row],[B/S]]="S","SELL"," ")))</f>
        <v>BUY</v>
      </c>
      <c r="J90" s="46" t="s">
        <v>1229</v>
      </c>
      <c r="K90" s="69">
        <v>10000</v>
      </c>
      <c r="L90" s="69"/>
      <c r="M90" s="70">
        <f>SIP[[#This Row],[Amount]]/SIP[[#This Row],[Unit]]</f>
        <v>10.351966873706004</v>
      </c>
      <c r="N90" s="71">
        <f>SIP[[#This Row],[Unit Capital]]/10</f>
        <v>966</v>
      </c>
      <c r="O90" s="72">
        <f>SUMIFS(SIP[[#Headers],[Unit]]:SIP[[#This Row],[Unit]],SIP[[#Headers],[Investor ID]]:SIP[[#This Row],[Investor ID]],SIP[[#This Row],[Investor ID]])</f>
        <v>1941</v>
      </c>
      <c r="P90" s="73">
        <v>9660</v>
      </c>
      <c r="Q90" s="74">
        <f>SIP[[#This Row],[Amount]]-SIP[[#This Row],[Unit Capital]]</f>
        <v>340</v>
      </c>
      <c r="R9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10.303967027305514</v>
      </c>
      <c r="S90" s="68">
        <f t="shared" si="2"/>
        <v>14.224</v>
      </c>
      <c r="T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" s="74" cm="1">
        <f t="array" ref="U90">IF(SIP[[#This Row],[B/S]]="S",ABS(SIP[[#This Row],[Unit]])*(INDEX(SIP[NAV at Cost (Average)],MATCH(CONCATENATE((SIP[[#This Row],[Frequency]]-1),SIP[[#This Row],[Investor ID]]),SIP[Unique Code],0),0)),0)</f>
        <v>0</v>
      </c>
      <c r="V90" s="74">
        <f>IF(SIP[[#This Row],[BO TRANSFER]]="YES",SIP[[#This Row],[Unit]],)</f>
        <v>0</v>
      </c>
      <c r="W90" s="74">
        <f>SUMIFS(SIP[[#Headers],[BO UNIT TRANSFER]]:SIP[[#This Row],[BO UNIT TRANSFER]],SIP[[#Headers],[Investor ID]]:SIP[[#This Row],[Investor ID]],SIP[[#This Row],[Investor ID]])</f>
        <v>0</v>
      </c>
    </row>
    <row r="91" spans="1:23" ht="15" customHeight="1">
      <c r="A91" s="46">
        <v>2023</v>
      </c>
      <c r="B91" s="46">
        <v>7</v>
      </c>
      <c r="C91" s="46">
        <v>26</v>
      </c>
      <c r="D91" s="65">
        <f>DATE(SIP[[#This Row],[Year]],SIP[[#This Row],[Month]],SIP[[#This Row],[Day]])</f>
        <v>45133</v>
      </c>
      <c r="E91" s="66" t="str" cm="1">
        <f t="array" ref="E91">INDEX(INVESTORS_LIST[INVESTOR NAME],MATCH(SIP[[#This Row],[Investor ID]],INVESTORS_LIST[INVESTOR CODE],0),)</f>
        <v>MOHAMMED SHARIFUL ISLAM</v>
      </c>
      <c r="F91" s="46" t="s">
        <v>1028</v>
      </c>
      <c r="G91" s="46">
        <f>COUNTIF(SIP[[#Headers],[Investor ID]]:SIP[[#This Row],[Investor ID]],SIP[[#This Row],[Investor ID]])</f>
        <v>2</v>
      </c>
      <c r="H91" s="46" t="str">
        <f>CONCATENATE(SIP[[#This Row],[Frequency]],SIP[[#This Row],[Investor ID]])</f>
        <v>2A00491</v>
      </c>
      <c r="I91" s="46" t="str">
        <f>IF(SIP[[#This Row],[B/S]]="B","BUY",(IF(SIP[[#This Row],[B/S]]="S","SELL"," ")))</f>
        <v>BUY</v>
      </c>
      <c r="J91" s="46" t="s">
        <v>1229</v>
      </c>
      <c r="K91" s="69">
        <v>5000</v>
      </c>
      <c r="L91" s="69"/>
      <c r="M91" s="70">
        <f>SIP[[#This Row],[Amount]]/SIP[[#This Row],[Unit]]</f>
        <v>10.351966873706004</v>
      </c>
      <c r="N91" s="71">
        <f>SIP[[#This Row],[Unit Capital]]/10</f>
        <v>483</v>
      </c>
      <c r="O91" s="72">
        <f>SUMIFS(SIP[[#Headers],[Unit]]:SIP[[#This Row],[Unit]],SIP[[#Headers],[Investor ID]]:SIP[[#This Row],[Investor ID]],SIP[[#This Row],[Investor ID]])</f>
        <v>970</v>
      </c>
      <c r="P91" s="73">
        <v>4830</v>
      </c>
      <c r="Q91" s="74">
        <f>SIP[[#This Row],[Amount]]-SIP[[#This Row],[Unit Capital]]</f>
        <v>170</v>
      </c>
      <c r="R9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91" s="68">
        <f t="shared" si="2"/>
        <v>14.224</v>
      </c>
      <c r="T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" s="74" cm="1">
        <f t="array" ref="U91">IF(SIP[[#This Row],[B/S]]="S",ABS(SIP[[#This Row],[Unit]])*(INDEX(SIP[NAV at Cost (Average)],MATCH(CONCATENATE((SIP[[#This Row],[Frequency]]-1),SIP[[#This Row],[Investor ID]]),SIP[Unique Code],0),0)),0)</f>
        <v>0</v>
      </c>
      <c r="V91" s="74">
        <f>IF(SIP[[#This Row],[BO TRANSFER]]="YES",SIP[[#This Row],[Unit]],)</f>
        <v>0</v>
      </c>
      <c r="W91" s="74">
        <f>SUMIFS(SIP[[#Headers],[BO UNIT TRANSFER]]:SIP[[#This Row],[BO UNIT TRANSFER]],SIP[[#Headers],[Investor ID]]:SIP[[#This Row],[Investor ID]],SIP[[#This Row],[Investor ID]])</f>
        <v>0</v>
      </c>
    </row>
    <row r="92" spans="1:23" ht="15" customHeight="1">
      <c r="A92" s="46">
        <v>2023</v>
      </c>
      <c r="B92" s="46">
        <v>7</v>
      </c>
      <c r="C92" s="46">
        <v>26</v>
      </c>
      <c r="D92" s="65">
        <f>DATE(SIP[[#This Row],[Year]],SIP[[#This Row],[Month]],SIP[[#This Row],[Day]])</f>
        <v>45133</v>
      </c>
      <c r="E92" s="66" t="str" cm="1">
        <f t="array" ref="E92">INDEX(INVESTORS_LIST[INVESTOR NAME],MATCH(SIP[[#This Row],[Investor ID]],INVESTORS_LIST[INVESTOR CODE],0),)</f>
        <v>SUMAN SAHA</v>
      </c>
      <c r="F92" s="46" t="s">
        <v>1022</v>
      </c>
      <c r="G92" s="46">
        <f>COUNTIF(SIP[[#Headers],[Investor ID]]:SIP[[#This Row],[Investor ID]],SIP[[#This Row],[Investor ID]])</f>
        <v>2</v>
      </c>
      <c r="H92" s="46" t="str">
        <f>CONCATENATE(SIP[[#This Row],[Frequency]],SIP[[#This Row],[Investor ID]])</f>
        <v>2A00488</v>
      </c>
      <c r="I92" s="46" t="str">
        <f>IF(SIP[[#This Row],[B/S]]="B","BUY",(IF(SIP[[#This Row],[B/S]]="S","SELL"," ")))</f>
        <v>BUY</v>
      </c>
      <c r="J92" s="46" t="s">
        <v>1229</v>
      </c>
      <c r="K92" s="69">
        <v>5000</v>
      </c>
      <c r="L92" s="69"/>
      <c r="M92" s="70">
        <f>SIP[[#This Row],[Amount]]/SIP[[#This Row],[Unit]]</f>
        <v>10.351966873706004</v>
      </c>
      <c r="N92" s="71">
        <f>SIP[[#This Row],[Unit Capital]]/10</f>
        <v>483</v>
      </c>
      <c r="O92" s="72">
        <f>SUMIFS(SIP[[#Headers],[Unit]]:SIP[[#This Row],[Unit]],SIP[[#Headers],[Investor ID]]:SIP[[#This Row],[Investor ID]],SIP[[#This Row],[Investor ID]])</f>
        <v>970</v>
      </c>
      <c r="P92" s="73">
        <v>4830</v>
      </c>
      <c r="Q92" s="74">
        <f>SIP[[#This Row],[Amount]]-SIP[[#This Row],[Unit Capital]]</f>
        <v>170</v>
      </c>
      <c r="R9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92" s="68">
        <f t="shared" si="2"/>
        <v>14.224</v>
      </c>
      <c r="T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" s="74" cm="1">
        <f t="array" ref="U92">IF(SIP[[#This Row],[B/S]]="S",ABS(SIP[[#This Row],[Unit]])*(INDEX(SIP[NAV at Cost (Average)],MATCH(CONCATENATE((SIP[[#This Row],[Frequency]]-1),SIP[[#This Row],[Investor ID]]),SIP[Unique Code],0),0)),0)</f>
        <v>0</v>
      </c>
      <c r="V92" s="74">
        <f>IF(SIP[[#This Row],[BO TRANSFER]]="YES",SIP[[#This Row],[Unit]],)</f>
        <v>0</v>
      </c>
      <c r="W92" s="74">
        <f>SUMIFS(SIP[[#Headers],[BO UNIT TRANSFER]]:SIP[[#This Row],[BO UNIT TRANSFER]],SIP[[#Headers],[Investor ID]]:SIP[[#This Row],[Investor ID]],SIP[[#This Row],[Investor ID]])</f>
        <v>0</v>
      </c>
    </row>
    <row r="93" spans="1:23" ht="15" customHeight="1">
      <c r="A93" s="46">
        <v>2023</v>
      </c>
      <c r="B93" s="46">
        <v>7</v>
      </c>
      <c r="C93" s="46">
        <v>26</v>
      </c>
      <c r="D93" s="65">
        <f>DATE(SIP[[#This Row],[Year]],SIP[[#This Row],[Month]],SIP[[#This Row],[Day]])</f>
        <v>45133</v>
      </c>
      <c r="E93" s="66" t="str" cm="1">
        <f t="array" ref="E93">INDEX(INVESTORS_LIST[INVESTOR NAME],MATCH(SIP[[#This Row],[Investor ID]],INVESTORS_LIST[INVESTOR CODE],0),)</f>
        <v>AKASH DEEP PAUL</v>
      </c>
      <c r="F93" s="46" t="s">
        <v>286</v>
      </c>
      <c r="G93" s="46">
        <f>COUNTIF(SIP[[#Headers],[Investor ID]]:SIP[[#This Row],[Investor ID]],SIP[[#This Row],[Investor ID]])</f>
        <v>2</v>
      </c>
      <c r="H93" s="46" t="str">
        <f>CONCATENATE(SIP[[#This Row],[Frequency]],SIP[[#This Row],[Investor ID]])</f>
        <v>2A00119</v>
      </c>
      <c r="I93" s="46" t="str">
        <f>IF(SIP[[#This Row],[B/S]]="B","BUY",(IF(SIP[[#This Row],[B/S]]="S","SELL"," ")))</f>
        <v>BUY</v>
      </c>
      <c r="J93" s="46" t="s">
        <v>1229</v>
      </c>
      <c r="K93" s="69">
        <v>5000</v>
      </c>
      <c r="L93" s="69"/>
      <c r="M93" s="70">
        <f>SIP[[#This Row],[Amount]]/SIP[[#This Row],[Unit]]</f>
        <v>10.351966873706004</v>
      </c>
      <c r="N93" s="71">
        <f>SIP[[#This Row],[Unit Capital]]/10</f>
        <v>483</v>
      </c>
      <c r="O93" s="72">
        <f>SUMIFS(SIP[[#Headers],[Unit]]:SIP[[#This Row],[Unit]],SIP[[#Headers],[Investor ID]]:SIP[[#This Row],[Investor ID]],SIP[[#This Row],[Investor ID]])</f>
        <v>970</v>
      </c>
      <c r="P93" s="73">
        <v>4830</v>
      </c>
      <c r="Q93" s="74">
        <f>SIP[[#This Row],[Amount]]-SIP[[#This Row],[Unit Capital]]</f>
        <v>170</v>
      </c>
      <c r="R9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93" s="68">
        <f t="shared" si="2"/>
        <v>14.224</v>
      </c>
      <c r="T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" s="74" cm="1">
        <f t="array" ref="U93">IF(SIP[[#This Row],[B/S]]="S",ABS(SIP[[#This Row],[Unit]])*(INDEX(SIP[NAV at Cost (Average)],MATCH(CONCATENATE((SIP[[#This Row],[Frequency]]-1),SIP[[#This Row],[Investor ID]]),SIP[Unique Code],0),0)),0)</f>
        <v>0</v>
      </c>
      <c r="V93" s="74">
        <f>IF(SIP[[#This Row],[BO TRANSFER]]="YES",SIP[[#This Row],[Unit]],)</f>
        <v>0</v>
      </c>
      <c r="W93" s="74">
        <f>SUMIFS(SIP[[#Headers],[BO UNIT TRANSFER]]:SIP[[#This Row],[BO UNIT TRANSFER]],SIP[[#Headers],[Investor ID]]:SIP[[#This Row],[Investor ID]],SIP[[#This Row],[Investor ID]])</f>
        <v>0</v>
      </c>
    </row>
    <row r="94" spans="1:23" ht="15" customHeight="1">
      <c r="A94" s="46">
        <v>2023</v>
      </c>
      <c r="B94" s="46">
        <v>8</v>
      </c>
      <c r="C94" s="46">
        <v>5</v>
      </c>
      <c r="D94" s="65">
        <f>DATE(SIP[[#This Row],[Year]],SIP[[#This Row],[Month]],SIP[[#This Row],[Day]])</f>
        <v>45143</v>
      </c>
      <c r="E94" s="66" t="str" cm="1">
        <f t="array" ref="E94">INDEX(INVESTORS_LIST[INVESTOR NAME],MATCH(SIP[[#This Row],[Investor ID]],INVESTORS_LIST[INVESTOR CODE],0),)</f>
        <v>SHUVA SAHA</v>
      </c>
      <c r="F94" s="46" t="s">
        <v>154</v>
      </c>
      <c r="G94" s="46">
        <f>COUNTIF(SIP[[#Headers],[Investor ID]]:SIP[[#This Row],[Investor ID]],SIP[[#This Row],[Investor ID]])</f>
        <v>5</v>
      </c>
      <c r="H94" s="46" t="str">
        <f>CONCATENATE(SIP[[#This Row],[Frequency]],SIP[[#This Row],[Investor ID]])</f>
        <v>5A00053</v>
      </c>
      <c r="I94" s="46" t="str">
        <f>IF(SIP[[#This Row],[B/S]]="B","BUY",(IF(SIP[[#This Row],[B/S]]="S","SELL"," ")))</f>
        <v>BUY</v>
      </c>
      <c r="J94" s="46" t="s">
        <v>1229</v>
      </c>
      <c r="K94" s="69">
        <v>70000</v>
      </c>
      <c r="L94" s="69"/>
      <c r="M94" s="70">
        <f>SIP[[#This Row],[Amount]]/SIP[[#This Row],[Unit]]</f>
        <v>10.382675763868288</v>
      </c>
      <c r="N94" s="71">
        <f>SIP[[#This Row],[Unit Capital]]/10</f>
        <v>6742</v>
      </c>
      <c r="O94" s="72">
        <f>SUMIFS(SIP[[#Headers],[Unit]]:SIP[[#This Row],[Unit]],SIP[[#Headers],[Investor ID]]:SIP[[#This Row],[Investor ID]],SIP[[#This Row],[Investor ID]])</f>
        <v>32275</v>
      </c>
      <c r="P94" s="73">
        <v>67420</v>
      </c>
      <c r="Q94" s="74">
        <f>SIP[[#This Row],[Amount]]-SIP[[#This Row],[Unit Capital]]</f>
        <v>2580</v>
      </c>
      <c r="R9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10.224632068164215</v>
      </c>
      <c r="S94" s="68">
        <f t="shared" si="2"/>
        <v>14.224</v>
      </c>
      <c r="T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" s="74" cm="1">
        <f t="array" ref="U94">IF(SIP[[#This Row],[B/S]]="S",ABS(SIP[[#This Row],[Unit]])*(INDEX(SIP[NAV at Cost (Average)],MATCH(CONCATENATE((SIP[[#This Row],[Frequency]]-1),SIP[[#This Row],[Investor ID]]),SIP[Unique Code],0),0)),0)</f>
        <v>0</v>
      </c>
      <c r="V94" s="74">
        <f>IF(SIP[[#This Row],[BO TRANSFER]]="YES",SIP[[#This Row],[Unit]],)</f>
        <v>0</v>
      </c>
      <c r="W94" s="74">
        <f>SUMIFS(SIP[[#Headers],[BO UNIT TRANSFER]]:SIP[[#This Row],[BO UNIT TRANSFER]],SIP[[#Headers],[Investor ID]]:SIP[[#This Row],[Investor ID]],SIP[[#This Row],[Investor ID]])</f>
        <v>0</v>
      </c>
    </row>
    <row r="95" spans="1:23" ht="15" customHeight="1">
      <c r="A95" s="46">
        <v>2023</v>
      </c>
      <c r="B95" s="46">
        <v>8</v>
      </c>
      <c r="C95" s="46">
        <v>5</v>
      </c>
      <c r="D95" s="65">
        <f>DATE(SIP[[#This Row],[Year]],SIP[[#This Row],[Month]],SIP[[#This Row],[Day]])</f>
        <v>45143</v>
      </c>
      <c r="E95" s="66" t="str" cm="1">
        <f t="array" ref="E95">INDEX(INVESTORS_LIST[INVESTOR NAME],MATCH(SIP[[#This Row],[Investor ID]],INVESTORS_LIST[INVESTOR CODE],0),)</f>
        <v>FAIYEAD AHMEDUL HYE</v>
      </c>
      <c r="F95" s="46" t="s">
        <v>368</v>
      </c>
      <c r="G95" s="46">
        <f>COUNTIF(SIP[[#Headers],[Investor ID]]:SIP[[#This Row],[Investor ID]],SIP[[#This Row],[Investor ID]])</f>
        <v>3</v>
      </c>
      <c r="H95" s="46" t="str">
        <f>CONCATENATE(SIP[[#This Row],[Frequency]],SIP[[#This Row],[Investor ID]])</f>
        <v>3A00160</v>
      </c>
      <c r="I95" s="46" t="str">
        <f>IF(SIP[[#This Row],[B/S]]="B","BUY",(IF(SIP[[#This Row],[B/S]]="S","SELL"," ")))</f>
        <v>BUY</v>
      </c>
      <c r="J95" s="46" t="s">
        <v>1229</v>
      </c>
      <c r="K95" s="69">
        <v>15000</v>
      </c>
      <c r="L95" s="69"/>
      <c r="M95" s="70">
        <f>SIP[[#This Row],[Amount]]/SIP[[#This Row],[Unit]]</f>
        <v>10.380622837370241</v>
      </c>
      <c r="N95" s="71">
        <f>SIP[[#This Row],[Unit Capital]]/10</f>
        <v>1445</v>
      </c>
      <c r="O95" s="72">
        <f>SUMIFS(SIP[[#Headers],[Unit]]:SIP[[#This Row],[Unit]],SIP[[#Headers],[Investor ID]]:SIP[[#This Row],[Investor ID]],SIP[[#This Row],[Investor ID]])</f>
        <v>4377</v>
      </c>
      <c r="P95" s="73">
        <v>14450</v>
      </c>
      <c r="Q95" s="74">
        <f>SIP[[#This Row],[Amount]]-SIP[[#This Row],[Unit Capital]]</f>
        <v>550</v>
      </c>
      <c r="R9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10.281014393420149</v>
      </c>
      <c r="S95" s="68">
        <f t="shared" si="2"/>
        <v>14.224</v>
      </c>
      <c r="T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" s="74" cm="1">
        <f t="array" ref="U95">IF(SIP[[#This Row],[B/S]]="S",ABS(SIP[[#This Row],[Unit]])*(INDEX(SIP[NAV at Cost (Average)],MATCH(CONCATENATE((SIP[[#This Row],[Frequency]]-1),SIP[[#This Row],[Investor ID]]),SIP[Unique Code],0),0)),0)</f>
        <v>0</v>
      </c>
      <c r="V95" s="74">
        <f>IF(SIP[[#This Row],[BO TRANSFER]]="YES",SIP[[#This Row],[Unit]],)</f>
        <v>0</v>
      </c>
      <c r="W95" s="74">
        <f>SUMIFS(SIP[[#Headers],[BO UNIT TRANSFER]]:SIP[[#This Row],[BO UNIT TRANSFER]],SIP[[#Headers],[Investor ID]]:SIP[[#This Row],[Investor ID]],SIP[[#This Row],[Investor ID]])</f>
        <v>0</v>
      </c>
    </row>
    <row r="96" spans="1:23" ht="15" customHeight="1">
      <c r="A96" s="46">
        <v>2023</v>
      </c>
      <c r="B96" s="46">
        <v>8</v>
      </c>
      <c r="C96" s="46">
        <v>5</v>
      </c>
      <c r="D96" s="65">
        <f>DATE(SIP[[#This Row],[Year]],SIP[[#This Row],[Month]],SIP[[#This Row],[Day]])</f>
        <v>45143</v>
      </c>
      <c r="E96" s="66" t="str" cm="1">
        <f t="array" ref="E96">INDEX(INVESTORS_LIST[INVESTOR NAME],MATCH(SIP[[#This Row],[Investor ID]],INVESTORS_LIST[INVESTOR CODE],0),)</f>
        <v>KAZI AHSAN MARUF</v>
      </c>
      <c r="F96" s="46" t="s">
        <v>158</v>
      </c>
      <c r="G96" s="46">
        <f>COUNTIF(SIP[[#Headers],[Investor ID]]:SIP[[#This Row],[Investor ID]],SIP[[#This Row],[Investor ID]])</f>
        <v>4</v>
      </c>
      <c r="H96" s="46" t="str">
        <f>CONCATENATE(SIP[[#This Row],[Frequency]],SIP[[#This Row],[Investor ID]])</f>
        <v>4A00055</v>
      </c>
      <c r="I96" s="46" t="str">
        <f>IF(SIP[[#This Row],[B/S]]="B","BUY",(IF(SIP[[#This Row],[B/S]]="S","SELL"," ")))</f>
        <v>BUY</v>
      </c>
      <c r="J96" s="46" t="s">
        <v>1229</v>
      </c>
      <c r="K96" s="69">
        <v>50000</v>
      </c>
      <c r="L96" s="69"/>
      <c r="M96" s="70">
        <f>SIP[[#This Row],[Amount]]/SIP[[#This Row],[Unit]]</f>
        <v>10.382059800664452</v>
      </c>
      <c r="N96" s="71">
        <f>SIP[[#This Row],[Unit Capital]]/10</f>
        <v>4816</v>
      </c>
      <c r="O96" s="72">
        <f>SUMIFS(SIP[[#Headers],[Unit]]:SIP[[#This Row],[Unit]],SIP[[#Headers],[Investor ID]]:SIP[[#This Row],[Investor ID]],SIP[[#This Row],[Investor ID]])</f>
        <v>19527</v>
      </c>
      <c r="P96" s="73">
        <v>48160</v>
      </c>
      <c r="Q96" s="74">
        <f>SIP[[#This Row],[Amount]]-SIP[[#This Row],[Unit Capital]]</f>
        <v>1840</v>
      </c>
      <c r="R9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10.242228708967071</v>
      </c>
      <c r="S96" s="68">
        <f t="shared" si="2"/>
        <v>14.224</v>
      </c>
      <c r="T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" s="74" cm="1">
        <f t="array" ref="U96">IF(SIP[[#This Row],[B/S]]="S",ABS(SIP[[#This Row],[Unit]])*(INDEX(SIP[NAV at Cost (Average)],MATCH(CONCATENATE((SIP[[#This Row],[Frequency]]-1),SIP[[#This Row],[Investor ID]]),SIP[Unique Code],0),0)),0)</f>
        <v>0</v>
      </c>
      <c r="V96" s="74">
        <f>IF(SIP[[#This Row],[BO TRANSFER]]="YES",SIP[[#This Row],[Unit]],)</f>
        <v>0</v>
      </c>
      <c r="W96" s="74">
        <f>SUMIFS(SIP[[#Headers],[BO UNIT TRANSFER]]:SIP[[#This Row],[BO UNIT TRANSFER]],SIP[[#Headers],[Investor ID]]:SIP[[#This Row],[Investor ID]],SIP[[#This Row],[Investor ID]])</f>
        <v>0</v>
      </c>
    </row>
    <row r="97" spans="1:23" ht="15" customHeight="1">
      <c r="A97" s="46">
        <v>2023</v>
      </c>
      <c r="B97" s="46">
        <v>8</v>
      </c>
      <c r="C97" s="46">
        <v>5</v>
      </c>
      <c r="D97" s="65">
        <f>DATE(SIP[[#This Row],[Year]],SIP[[#This Row],[Month]],SIP[[#This Row],[Day]])</f>
        <v>45143</v>
      </c>
      <c r="E97" s="66" t="str" cm="1">
        <f t="array" ref="E97">INDEX(INVESTORS_LIST[INVESTOR NAME],MATCH(SIP[[#This Row],[Investor ID]],INVESTORS_LIST[INVESTOR CODE],0),)</f>
        <v>ANJAN MALLIK</v>
      </c>
      <c r="F97" s="46" t="s">
        <v>546</v>
      </c>
      <c r="G97" s="46">
        <f>COUNTIF(SIP[[#Headers],[Investor ID]]:SIP[[#This Row],[Investor ID]],SIP[[#This Row],[Investor ID]])</f>
        <v>5</v>
      </c>
      <c r="H97" s="46" t="str">
        <f>CONCATENATE(SIP[[#This Row],[Frequency]],SIP[[#This Row],[Investor ID]])</f>
        <v>5A00248</v>
      </c>
      <c r="I97" s="46" t="str">
        <f>IF(SIP[[#This Row],[B/S]]="B","BUY",(IF(SIP[[#This Row],[B/S]]="S","SELL"," ")))</f>
        <v>BUY</v>
      </c>
      <c r="J97" s="46" t="s">
        <v>1229</v>
      </c>
      <c r="K97" s="69">
        <v>50000</v>
      </c>
      <c r="L97" s="69"/>
      <c r="M97" s="70">
        <f>SIP[[#This Row],[Amount]]/SIP[[#This Row],[Unit]]</f>
        <v>10.382059800664452</v>
      </c>
      <c r="N97" s="71">
        <f>SIP[[#This Row],[Unit Capital]]/10</f>
        <v>4816</v>
      </c>
      <c r="O97" s="72">
        <f>SUMIFS(SIP[[#Headers],[Unit]]:SIP[[#This Row],[Unit]],SIP[[#Headers],[Investor ID]]:SIP[[#This Row],[Investor ID]],SIP[[#This Row],[Investor ID]])</f>
        <v>24482</v>
      </c>
      <c r="P97" s="73">
        <v>48160</v>
      </c>
      <c r="Q97" s="74">
        <f>SIP[[#This Row],[Amount]]-SIP[[#This Row],[Unit Capital]]</f>
        <v>1840</v>
      </c>
      <c r="R9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10.211584020913325</v>
      </c>
      <c r="S97" s="68">
        <f t="shared" si="2"/>
        <v>14.224</v>
      </c>
      <c r="T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" s="74" cm="1">
        <f t="array" ref="U97">IF(SIP[[#This Row],[B/S]]="S",ABS(SIP[[#This Row],[Unit]])*(INDEX(SIP[NAV at Cost (Average)],MATCH(CONCATENATE((SIP[[#This Row],[Frequency]]-1),SIP[[#This Row],[Investor ID]]),SIP[Unique Code],0),0)),0)</f>
        <v>0</v>
      </c>
      <c r="V97" s="74">
        <f>IF(SIP[[#This Row],[BO TRANSFER]]="YES",SIP[[#This Row],[Unit]],)</f>
        <v>0</v>
      </c>
      <c r="W97" s="74">
        <f>SUMIFS(SIP[[#Headers],[BO UNIT TRANSFER]]:SIP[[#This Row],[BO UNIT TRANSFER]],SIP[[#Headers],[Investor ID]]:SIP[[#This Row],[Investor ID]],SIP[[#This Row],[Investor ID]])</f>
        <v>0</v>
      </c>
    </row>
    <row r="98" spans="1:23" ht="15" customHeight="1">
      <c r="A98" s="46">
        <v>2023</v>
      </c>
      <c r="B98" s="46">
        <v>8</v>
      </c>
      <c r="C98" s="46">
        <v>5</v>
      </c>
      <c r="D98" s="65">
        <f>DATE(SIP[[#This Row],[Year]],SIP[[#This Row],[Month]],SIP[[#This Row],[Day]])</f>
        <v>45143</v>
      </c>
      <c r="E98" s="66" t="str" cm="1">
        <f t="array" ref="E98">INDEX(INVESTORS_LIST[INVESTOR NAME],MATCH(SIP[[#This Row],[Investor ID]],INVESTORS_LIST[INVESTOR CODE],0),)</f>
        <v>NANDINI SAHA</v>
      </c>
      <c r="F98" s="46" t="s">
        <v>242</v>
      </c>
      <c r="G98" s="46">
        <f>COUNTIF(SIP[[#Headers],[Investor ID]]:SIP[[#This Row],[Investor ID]],SIP[[#This Row],[Investor ID]])</f>
        <v>4</v>
      </c>
      <c r="H98" s="46" t="str">
        <f>CONCATENATE(SIP[[#This Row],[Frequency]],SIP[[#This Row],[Investor ID]])</f>
        <v>4A00097</v>
      </c>
      <c r="I98" s="46" t="str">
        <f>IF(SIP[[#This Row],[B/S]]="B","BUY",(IF(SIP[[#This Row],[B/S]]="S","SELL"," ")))</f>
        <v>BUY</v>
      </c>
      <c r="J98" s="46" t="s">
        <v>1229</v>
      </c>
      <c r="K98" s="69">
        <v>30000</v>
      </c>
      <c r="L98" s="69"/>
      <c r="M98" s="70">
        <f>SIP[[#This Row],[Amount]]/SIP[[#This Row],[Unit]]</f>
        <v>10.380622837370241</v>
      </c>
      <c r="N98" s="71">
        <f>SIP[[#This Row],[Unit Capital]]/10</f>
        <v>2890</v>
      </c>
      <c r="O98" s="72">
        <f>SUMIFS(SIP[[#Headers],[Unit]]:SIP[[#This Row],[Unit]],SIP[[#Headers],[Investor ID]]:SIP[[#This Row],[Investor ID]],SIP[[#This Row],[Investor ID]])</f>
        <v>11717</v>
      </c>
      <c r="P98" s="73">
        <v>28900</v>
      </c>
      <c r="Q98" s="74">
        <f>SIP[[#This Row],[Amount]]-SIP[[#This Row],[Unit Capital]]</f>
        <v>1100</v>
      </c>
      <c r="R9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10.241529401723989</v>
      </c>
      <c r="S98" s="68">
        <f t="shared" si="2"/>
        <v>14.224</v>
      </c>
      <c r="T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" s="74" cm="1">
        <f t="array" ref="U98">IF(SIP[[#This Row],[B/S]]="S",ABS(SIP[[#This Row],[Unit]])*(INDEX(SIP[NAV at Cost (Average)],MATCH(CONCATENATE((SIP[[#This Row],[Frequency]]-1),SIP[[#This Row],[Investor ID]]),SIP[Unique Code],0),0)),0)</f>
        <v>0</v>
      </c>
      <c r="V98" s="74">
        <f>IF(SIP[[#This Row],[BO TRANSFER]]="YES",SIP[[#This Row],[Unit]],)</f>
        <v>0</v>
      </c>
      <c r="W98" s="74">
        <f>SUMIFS(SIP[[#Headers],[BO UNIT TRANSFER]]:SIP[[#This Row],[BO UNIT TRANSFER]],SIP[[#Headers],[Investor ID]]:SIP[[#This Row],[Investor ID]],SIP[[#This Row],[Investor ID]])</f>
        <v>0</v>
      </c>
    </row>
    <row r="99" spans="1:23" ht="15" customHeight="1">
      <c r="A99" s="46">
        <v>2023</v>
      </c>
      <c r="B99" s="46">
        <v>8</v>
      </c>
      <c r="C99" s="46">
        <v>5</v>
      </c>
      <c r="D99" s="65">
        <f>DATE(SIP[[#This Row],[Year]],SIP[[#This Row],[Month]],SIP[[#This Row],[Day]])</f>
        <v>45143</v>
      </c>
      <c r="E99" s="66" t="str" cm="1">
        <f t="array" ref="E99">INDEX(INVESTORS_LIST[INVESTOR NAME],MATCH(SIP[[#This Row],[Investor ID]],INVESTORS_LIST[INVESTOR CODE],0),)</f>
        <v>SHANTA PAUL</v>
      </c>
      <c r="F99" s="46" t="s">
        <v>544</v>
      </c>
      <c r="G99" s="46">
        <f>COUNTIF(SIP[[#Headers],[Investor ID]]:SIP[[#This Row],[Investor ID]],SIP[[#This Row],[Investor ID]])</f>
        <v>5</v>
      </c>
      <c r="H99" s="46" t="str">
        <f>CONCATENATE(SIP[[#This Row],[Frequency]],SIP[[#This Row],[Investor ID]])</f>
        <v>5A00247</v>
      </c>
      <c r="I99" s="46" t="str">
        <f>IF(SIP[[#This Row],[B/S]]="B","BUY",(IF(SIP[[#This Row],[B/S]]="S","SELL"," ")))</f>
        <v>BUY</v>
      </c>
      <c r="J99" s="46" t="s">
        <v>1229</v>
      </c>
      <c r="K99" s="69">
        <v>20000</v>
      </c>
      <c r="L99" s="69"/>
      <c r="M99" s="70">
        <f>SIP[[#This Row],[Amount]]/SIP[[#This Row],[Unit]]</f>
        <v>10.384215991692628</v>
      </c>
      <c r="N99" s="71">
        <f>SIP[[#This Row],[Unit Capital]]/10</f>
        <v>1926</v>
      </c>
      <c r="O99" s="72">
        <f>SUMIFS(SIP[[#Headers],[Unit]]:SIP[[#This Row],[Unit]],SIP[[#Headers],[Investor ID]]:SIP[[#This Row],[Investor ID]],SIP[[#This Row],[Investor ID]])</f>
        <v>9792</v>
      </c>
      <c r="P99" s="73">
        <v>19260</v>
      </c>
      <c r="Q99" s="74">
        <f>SIP[[#This Row],[Amount]]-SIP[[#This Row],[Unit Capital]]</f>
        <v>740</v>
      </c>
      <c r="R9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10.212418300653596</v>
      </c>
      <c r="S99" s="68">
        <f t="shared" ref="S99:S135" si="3">NAV_MKT</f>
        <v>14.224</v>
      </c>
      <c r="T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" s="74" cm="1">
        <f t="array" ref="U99">IF(SIP[[#This Row],[B/S]]="S",ABS(SIP[[#This Row],[Unit]])*(INDEX(SIP[NAV at Cost (Average)],MATCH(CONCATENATE((SIP[[#This Row],[Frequency]]-1),SIP[[#This Row],[Investor ID]]),SIP[Unique Code],0),0)),0)</f>
        <v>0</v>
      </c>
      <c r="V99" s="74">
        <f>IF(SIP[[#This Row],[BO TRANSFER]]="YES",SIP[[#This Row],[Unit]],)</f>
        <v>0</v>
      </c>
      <c r="W99" s="74">
        <f>SUMIFS(SIP[[#Headers],[BO UNIT TRANSFER]]:SIP[[#This Row],[BO UNIT TRANSFER]],SIP[[#Headers],[Investor ID]]:SIP[[#This Row],[Investor ID]],SIP[[#This Row],[Investor ID]])</f>
        <v>0</v>
      </c>
    </row>
    <row r="100" spans="1:23" ht="15" customHeight="1">
      <c r="A100" s="46">
        <v>2023</v>
      </c>
      <c r="B100" s="46">
        <v>8</v>
      </c>
      <c r="C100" s="46">
        <v>5</v>
      </c>
      <c r="D100" s="65">
        <f>DATE(SIP[[#This Row],[Year]],SIP[[#This Row],[Month]],SIP[[#This Row],[Day]])</f>
        <v>45143</v>
      </c>
      <c r="E100" s="66" t="str" cm="1">
        <f t="array" ref="E100">INDEX(INVESTORS_LIST[INVESTOR NAME],MATCH(SIP[[#This Row],[Investor ID]],INVESTORS_LIST[INVESTOR CODE],0),)</f>
        <v>ROKSABA KASEM</v>
      </c>
      <c r="F100" s="46" t="s">
        <v>900</v>
      </c>
      <c r="G100" s="46">
        <f>COUNTIF(SIP[[#Headers],[Investor ID]]:SIP[[#This Row],[Investor ID]],SIP[[#This Row],[Investor ID]])</f>
        <v>3</v>
      </c>
      <c r="H100" s="46" t="str">
        <f>CONCATENATE(SIP[[#This Row],[Frequency]],SIP[[#This Row],[Investor ID]])</f>
        <v>3A00427</v>
      </c>
      <c r="I100" s="46" t="str">
        <f>IF(SIP[[#This Row],[B/S]]="B","BUY",(IF(SIP[[#This Row],[B/S]]="S","SELL"," ")))</f>
        <v>BUY</v>
      </c>
      <c r="J100" s="46" t="s">
        <v>1229</v>
      </c>
      <c r="K100" s="69">
        <v>20000</v>
      </c>
      <c r="L100" s="122"/>
      <c r="M100" s="70">
        <f>SIP[[#This Row],[Amount]]/SIP[[#This Row],[Unit]]</f>
        <v>10.384215991692628</v>
      </c>
      <c r="N100" s="71">
        <f>SIP[[#This Row],[Unit Capital]]/10</f>
        <v>1926</v>
      </c>
      <c r="O100" s="72">
        <f>SUMIFS(SIP[[#Headers],[Unit]]:SIP[[#This Row],[Unit]],SIP[[#Headers],[Investor ID]]:SIP[[#This Row],[Investor ID]],SIP[[#This Row],[Investor ID]])</f>
        <v>5835</v>
      </c>
      <c r="P100" s="73">
        <v>19260</v>
      </c>
      <c r="Q100" s="74">
        <f>SIP[[#This Row],[Amount]]-SIP[[#This Row],[Unit Capital]]</f>
        <v>740</v>
      </c>
      <c r="R10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10.282776349614396</v>
      </c>
      <c r="S100" s="68">
        <f t="shared" si="3"/>
        <v>14.224</v>
      </c>
      <c r="T1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" s="74" cm="1">
        <f t="array" ref="U100">IF(SIP[[#This Row],[B/S]]="S",ABS(SIP[[#This Row],[Unit]])*(INDEX(SIP[NAV at Cost (Average)],MATCH(CONCATENATE((SIP[[#This Row],[Frequency]]-1),SIP[[#This Row],[Investor ID]]),SIP[Unique Code],0),0)),0)</f>
        <v>0</v>
      </c>
      <c r="V100" s="74">
        <f>IF(SIP[[#This Row],[BO TRANSFER]]="YES",SIP[[#This Row],[Unit]],)</f>
        <v>0</v>
      </c>
      <c r="W100" s="74">
        <f>SUMIFS(SIP[[#Headers],[BO UNIT TRANSFER]]:SIP[[#This Row],[BO UNIT TRANSFER]],SIP[[#Headers],[Investor ID]]:SIP[[#This Row],[Investor ID]],SIP[[#This Row],[Investor ID]])</f>
        <v>0</v>
      </c>
    </row>
    <row r="101" spans="1:23" ht="15" customHeight="1">
      <c r="A101" s="46">
        <v>2023</v>
      </c>
      <c r="B101" s="46">
        <v>8</v>
      </c>
      <c r="C101" s="46">
        <v>5</v>
      </c>
      <c r="D101" s="65">
        <f>DATE(SIP[[#This Row],[Year]],SIP[[#This Row],[Month]],SIP[[#This Row],[Day]])</f>
        <v>45143</v>
      </c>
      <c r="E101" s="66" t="str" cm="1">
        <f t="array" ref="E101">INDEX(INVESTORS_LIST[INVESTOR NAME],MATCH(SIP[[#This Row],[Investor ID]],INVESTORS_LIST[INVESTOR CODE],0),)</f>
        <v>MD. MONIRUL ISLAM</v>
      </c>
      <c r="F101" s="46" t="s">
        <v>996</v>
      </c>
      <c r="G101" s="46">
        <f>COUNTIF(SIP[[#Headers],[Investor ID]]:SIP[[#This Row],[Investor ID]],SIP[[#This Row],[Investor ID]])</f>
        <v>4</v>
      </c>
      <c r="H101" s="46" t="str">
        <f>CONCATENATE(SIP[[#This Row],[Frequency]],SIP[[#This Row],[Investor ID]])</f>
        <v>4A00475</v>
      </c>
      <c r="I101" s="46" t="str">
        <f>IF(SIP[[#This Row],[B/S]]="B","BUY",(IF(SIP[[#This Row],[B/S]]="S","SELL"," ")))</f>
        <v>BUY</v>
      </c>
      <c r="J101" s="46" t="s">
        <v>1229</v>
      </c>
      <c r="K101" s="69">
        <v>10000</v>
      </c>
      <c r="L101" s="69"/>
      <c r="M101" s="70">
        <f>SIP[[#This Row],[Amount]]/SIP[[#This Row],[Unit]]</f>
        <v>10.384215991692628</v>
      </c>
      <c r="N101" s="71">
        <f>SIP[[#This Row],[Unit Capital]]/10</f>
        <v>963</v>
      </c>
      <c r="O101" s="72">
        <f>SUMIFS(SIP[[#Headers],[Unit]]:SIP[[#This Row],[Unit]],SIP[[#Headers],[Investor ID]]:SIP[[#This Row],[Investor ID]],SIP[[#This Row],[Investor ID]])</f>
        <v>3906</v>
      </c>
      <c r="P101" s="73">
        <v>9630</v>
      </c>
      <c r="Q101" s="74">
        <f>SIP[[#This Row],[Amount]]-SIP[[#This Row],[Unit Capital]]</f>
        <v>370</v>
      </c>
      <c r="R10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10.240655401945725</v>
      </c>
      <c r="S101" s="68">
        <f t="shared" si="3"/>
        <v>14.224</v>
      </c>
      <c r="T1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" s="74" cm="1">
        <f t="array" ref="U101">IF(SIP[[#This Row],[B/S]]="S",ABS(SIP[[#This Row],[Unit]])*(INDEX(SIP[NAV at Cost (Average)],MATCH(CONCATENATE((SIP[[#This Row],[Frequency]]-1),SIP[[#This Row],[Investor ID]]),SIP[Unique Code],0),0)),0)</f>
        <v>0</v>
      </c>
      <c r="V101" s="74">
        <f>IF(SIP[[#This Row],[BO TRANSFER]]="YES",SIP[[#This Row],[Unit]],)</f>
        <v>0</v>
      </c>
      <c r="W101" s="74">
        <f>SUMIFS(SIP[[#Headers],[BO UNIT TRANSFER]]:SIP[[#This Row],[BO UNIT TRANSFER]],SIP[[#Headers],[Investor ID]]:SIP[[#This Row],[Investor ID]],SIP[[#This Row],[Investor ID]])</f>
        <v>0</v>
      </c>
    </row>
    <row r="102" spans="1:23" ht="15" customHeight="1">
      <c r="A102" s="46">
        <v>2023</v>
      </c>
      <c r="B102" s="46">
        <v>8</v>
      </c>
      <c r="C102" s="46">
        <v>5</v>
      </c>
      <c r="D102" s="65">
        <f>DATE(SIP[[#This Row],[Year]],SIP[[#This Row],[Month]],SIP[[#This Row],[Day]])</f>
        <v>45143</v>
      </c>
      <c r="E102" s="66" t="str" cm="1">
        <f t="array" ref="E102">INDEX(INVESTORS_LIST[INVESTOR NAME],MATCH(SIP[[#This Row],[Investor ID]],INVESTORS_LIST[INVESTOR CODE],0),)</f>
        <v>MONIR AHMED</v>
      </c>
      <c r="F102" s="46" t="s">
        <v>125</v>
      </c>
      <c r="G102" s="46">
        <f>COUNTIF(SIP[[#Headers],[Investor ID]]:SIP[[#This Row],[Investor ID]],SIP[[#This Row],[Investor ID]])</f>
        <v>3</v>
      </c>
      <c r="H102" s="46" t="str">
        <f>CONCATENATE(SIP[[#This Row],[Frequency]],SIP[[#This Row],[Investor ID]])</f>
        <v>3A00039</v>
      </c>
      <c r="I102" s="46" t="str">
        <f>IF(SIP[[#This Row],[B/S]]="B","BUY",(IF(SIP[[#This Row],[B/S]]="S","SELL"," ")))</f>
        <v>BUY</v>
      </c>
      <c r="J102" s="46" t="s">
        <v>1229</v>
      </c>
      <c r="K102" s="69">
        <v>5000</v>
      </c>
      <c r="L102" s="69"/>
      <c r="M102" s="70">
        <f>SIP[[#This Row],[Amount]]/SIP[[#This Row],[Unit]]</f>
        <v>10.37344398340249</v>
      </c>
      <c r="N102" s="71">
        <f>SIP[[#This Row],[Unit Capital]]/10</f>
        <v>482</v>
      </c>
      <c r="O102" s="72">
        <f>SUMIFS(SIP[[#Headers],[Unit]]:SIP[[#This Row],[Unit]],SIP[[#Headers],[Investor ID]]:SIP[[#This Row],[Investor ID]],SIP[[#This Row],[Investor ID]])</f>
        <v>1460</v>
      </c>
      <c r="P102" s="73">
        <v>4820</v>
      </c>
      <c r="Q102" s="74">
        <f>SIP[[#This Row],[Amount]]-SIP[[#This Row],[Unit Capital]]</f>
        <v>180</v>
      </c>
      <c r="R10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10.273972602739725</v>
      </c>
      <c r="S102" s="68">
        <f t="shared" si="3"/>
        <v>14.224</v>
      </c>
      <c r="T1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" s="74" cm="1">
        <f t="array" ref="U102">IF(SIP[[#This Row],[B/S]]="S",ABS(SIP[[#This Row],[Unit]])*(INDEX(SIP[NAV at Cost (Average)],MATCH(CONCATENATE((SIP[[#This Row],[Frequency]]-1),SIP[[#This Row],[Investor ID]]),SIP[Unique Code],0),0)),0)</f>
        <v>0</v>
      </c>
      <c r="V102" s="74">
        <f>IF(SIP[[#This Row],[BO TRANSFER]]="YES",SIP[[#This Row],[Unit]],)</f>
        <v>0</v>
      </c>
      <c r="W102" s="74">
        <f>SUMIFS(SIP[[#Headers],[BO UNIT TRANSFER]]:SIP[[#This Row],[BO UNIT TRANSFER]],SIP[[#Headers],[Investor ID]]:SIP[[#This Row],[Investor ID]],SIP[[#This Row],[Investor ID]])</f>
        <v>0</v>
      </c>
    </row>
    <row r="103" spans="1:23" ht="15" customHeight="1">
      <c r="A103" s="46">
        <v>2023</v>
      </c>
      <c r="B103" s="46">
        <v>8</v>
      </c>
      <c r="C103" s="46">
        <v>5</v>
      </c>
      <c r="D103" s="65">
        <f>DATE(SIP[[#This Row],[Year]],SIP[[#This Row],[Month]],SIP[[#This Row],[Day]])</f>
        <v>45143</v>
      </c>
      <c r="E103" s="66" t="str" cm="1">
        <f t="array" ref="E103">INDEX(INVESTORS_LIST[INVESTOR NAME],MATCH(SIP[[#This Row],[Investor ID]],INVESTORS_LIST[INVESTOR CODE],0),)</f>
        <v>FAKARUDDIN ALI AHMED</v>
      </c>
      <c r="F103" s="46" t="s">
        <v>228</v>
      </c>
      <c r="G103" s="46">
        <f>COUNTIF(SIP[[#Headers],[Investor ID]]:SIP[[#This Row],[Investor ID]],SIP[[#This Row],[Investor ID]])</f>
        <v>3</v>
      </c>
      <c r="H103" s="46" t="str">
        <f>CONCATENATE(SIP[[#This Row],[Frequency]],SIP[[#This Row],[Investor ID]])</f>
        <v>3A00090</v>
      </c>
      <c r="I103" s="46" t="str">
        <f>IF(SIP[[#This Row],[B/S]]="B","BUY",(IF(SIP[[#This Row],[B/S]]="S","SELL"," ")))</f>
        <v>BUY</v>
      </c>
      <c r="J103" s="46" t="s">
        <v>1229</v>
      </c>
      <c r="K103" s="69">
        <v>10000</v>
      </c>
      <c r="L103" s="69"/>
      <c r="M103" s="70">
        <f>SIP[[#This Row],[Amount]]/SIP[[#This Row],[Unit]]</f>
        <v>10.384215991692628</v>
      </c>
      <c r="N103" s="71">
        <f>SIP[[#This Row],[Unit Capital]]/10</f>
        <v>963</v>
      </c>
      <c r="O103" s="72">
        <f>SUMIFS(SIP[[#Headers],[Unit]]:SIP[[#This Row],[Unit]],SIP[[#Headers],[Investor ID]]:SIP[[#This Row],[Investor ID]],SIP[[#This Row],[Investor ID]])</f>
        <v>963</v>
      </c>
      <c r="P103" s="73">
        <v>9630</v>
      </c>
      <c r="Q103" s="74">
        <f>SIP[[#This Row],[Amount]]-SIP[[#This Row],[Unit Capital]]</f>
        <v>370</v>
      </c>
      <c r="R10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10.384215991692628</v>
      </c>
      <c r="S103" s="68">
        <f t="shared" si="3"/>
        <v>14.224</v>
      </c>
      <c r="T1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" s="74" cm="1">
        <f t="array" ref="U103">IF(SIP[[#This Row],[B/S]]="S",ABS(SIP[[#This Row],[Unit]])*(INDEX(SIP[NAV at Cost (Average)],MATCH(CONCATENATE((SIP[[#This Row],[Frequency]]-1),SIP[[#This Row],[Investor ID]]),SIP[Unique Code],0),0)),0)</f>
        <v>0</v>
      </c>
      <c r="V103" s="74">
        <f>IF(SIP[[#This Row],[BO TRANSFER]]="YES",SIP[[#This Row],[Unit]],)</f>
        <v>0</v>
      </c>
      <c r="W103" s="74">
        <f>SUMIFS(SIP[[#Headers],[BO UNIT TRANSFER]]:SIP[[#This Row],[BO UNIT TRANSFER]],SIP[[#Headers],[Investor ID]]:SIP[[#This Row],[Investor ID]],SIP[[#This Row],[Investor ID]])</f>
        <v>0</v>
      </c>
    </row>
    <row r="104" spans="1:23" ht="15" customHeight="1">
      <c r="A104" s="46">
        <v>2023</v>
      </c>
      <c r="B104" s="46">
        <v>8</v>
      </c>
      <c r="C104" s="46">
        <v>5</v>
      </c>
      <c r="D104" s="65">
        <f>DATE(SIP[[#This Row],[Year]],SIP[[#This Row],[Month]],SIP[[#This Row],[Day]])</f>
        <v>45143</v>
      </c>
      <c r="E104" s="66" t="str" cm="1">
        <f t="array" ref="E104">INDEX(INVESTORS_LIST[INVESTOR NAME],MATCH(SIP[[#This Row],[Investor ID]],INVESTORS_LIST[INVESTOR CODE],0),)</f>
        <v>AHMED FARUK</v>
      </c>
      <c r="F104" s="46" t="s">
        <v>912</v>
      </c>
      <c r="G104" s="46">
        <f>COUNTIF(SIP[[#Headers],[Investor ID]]:SIP[[#This Row],[Investor ID]],SIP[[#This Row],[Investor ID]])</f>
        <v>1</v>
      </c>
      <c r="H104" s="46" t="str">
        <f>CONCATENATE(SIP[[#This Row],[Frequency]],SIP[[#This Row],[Investor ID]])</f>
        <v>1A00433</v>
      </c>
      <c r="I104" s="46" t="str">
        <f>IF(SIP[[#This Row],[B/S]]="B","BUY",(IF(SIP[[#This Row],[B/S]]="S","SELL"," ")))</f>
        <v>BUY</v>
      </c>
      <c r="J104" s="46" t="s">
        <v>1229</v>
      </c>
      <c r="K104" s="69">
        <v>5000</v>
      </c>
      <c r="L104" s="69"/>
      <c r="M104" s="70">
        <f>SIP[[#This Row],[Amount]]/SIP[[#This Row],[Unit]]</f>
        <v>10.37344398340249</v>
      </c>
      <c r="N104" s="71">
        <f>SIP[[#This Row],[Unit Capital]]/10</f>
        <v>482</v>
      </c>
      <c r="O104" s="72">
        <f>SUMIFS(SIP[[#Headers],[Unit]]:SIP[[#This Row],[Unit]],SIP[[#Headers],[Investor ID]]:SIP[[#This Row],[Investor ID]],SIP[[#This Row],[Investor ID]])</f>
        <v>482</v>
      </c>
      <c r="P104" s="73">
        <v>4820</v>
      </c>
      <c r="Q104" s="74">
        <f>SIP[[#This Row],[Amount]]-SIP[[#This Row],[Unit Capital]]</f>
        <v>180</v>
      </c>
      <c r="R10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10.37344398340249</v>
      </c>
      <c r="S104" s="68">
        <f t="shared" si="3"/>
        <v>14.224</v>
      </c>
      <c r="T1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" s="74" cm="1">
        <f t="array" ref="U104">IF(SIP[[#This Row],[B/S]]="S",ABS(SIP[[#This Row],[Unit]])*(INDEX(SIP[NAV at Cost (Average)],MATCH(CONCATENATE((SIP[[#This Row],[Frequency]]-1),SIP[[#This Row],[Investor ID]]),SIP[Unique Code],0),0)),0)</f>
        <v>0</v>
      </c>
      <c r="V104" s="74">
        <f>IF(SIP[[#This Row],[BO TRANSFER]]="YES",SIP[[#This Row],[Unit]],)</f>
        <v>0</v>
      </c>
      <c r="W104" s="74">
        <f>SUMIFS(SIP[[#Headers],[BO UNIT TRANSFER]]:SIP[[#This Row],[BO UNIT TRANSFER]],SIP[[#Headers],[Investor ID]]:SIP[[#This Row],[Investor ID]],SIP[[#This Row],[Investor ID]])</f>
        <v>0</v>
      </c>
    </row>
    <row r="105" spans="1:23" ht="15" customHeight="1">
      <c r="A105" s="46">
        <v>2023</v>
      </c>
      <c r="B105" s="46">
        <v>8</v>
      </c>
      <c r="C105" s="46">
        <v>10</v>
      </c>
      <c r="D105" s="65">
        <f>DATE(SIP[[#This Row],[Year]],SIP[[#This Row],[Month]],SIP[[#This Row],[Day]])</f>
        <v>45148</v>
      </c>
      <c r="E105" s="66" t="str" cm="1">
        <f t="array" ref="E105">INDEX(INVESTORS_LIST[INVESTOR NAME],MATCH(SIP[[#This Row],[Investor ID]],INVESTORS_LIST[INVESTOR CODE],0),)</f>
        <v>ABIR SAHA</v>
      </c>
      <c r="F105" s="46" t="s">
        <v>990</v>
      </c>
      <c r="G105" s="46">
        <f>COUNTIF(SIP[[#Headers],[Investor ID]]:SIP[[#This Row],[Investor ID]],SIP[[#This Row],[Investor ID]])</f>
        <v>5</v>
      </c>
      <c r="H105" s="46" t="str">
        <f>CONCATENATE(SIP[[#This Row],[Frequency]],SIP[[#This Row],[Investor ID]])</f>
        <v>5A00472</v>
      </c>
      <c r="I105" s="46" t="str">
        <f>IF(SIP[[#This Row],[B/S]]="B","BUY",(IF(SIP[[#This Row],[B/S]]="S","SELL"," ")))</f>
        <v>SELL</v>
      </c>
      <c r="J105" s="46" t="s">
        <v>1231</v>
      </c>
      <c r="K105" s="69">
        <v>-4059.36</v>
      </c>
      <c r="L105" s="69"/>
      <c r="M105" s="70">
        <f>SIP[[#This Row],[Amount]]/SIP[[#This Row],[Unit]]</f>
        <v>10.381994884910487</v>
      </c>
      <c r="N105" s="71">
        <f>SIP[[#This Row],[Unit Capital]]/10</f>
        <v>-391</v>
      </c>
      <c r="O105" s="72">
        <f>SUMIFS(SIP[[#Headers],[Unit]]:SIP[[#This Row],[Unit]],SIP[[#Headers],[Investor ID]]:SIP[[#This Row],[Investor ID]],SIP[[#This Row],[Investor ID]])</f>
        <v>0</v>
      </c>
      <c r="P105" s="73">
        <v>-3910</v>
      </c>
      <c r="Q105" s="74">
        <f>SIP[[#This Row],[Amount]]-SIP[[#This Row],[Unit Capital]]</f>
        <v>-149.36000000000013</v>
      </c>
      <c r="R10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5" s="68">
        <f t="shared" si="3"/>
        <v>14.224</v>
      </c>
      <c r="T105" s="74">
        <f>IF(SIP[[#This Row],[B/S]]="B",0,ABS(SIP[[#This Row],[Unit]])*(SIP[[#This Row],[NAV (Strike Rate)]]-INDEX(SIP[NAV at Cost (Average)],MATCH(CONCATENATE(SIP[[#This Row],[Frequency]]-1,SIP[[#This Row],[Investor ID]]),SIP[Unique Code],0),)))</f>
        <v>59.360000000000277</v>
      </c>
      <c r="U105" s="74" cm="1">
        <f t="array" ref="U105">IF(SIP[[#This Row],[B/S]]="S",ABS(SIP[[#This Row],[Unit]])*(INDEX(SIP[NAV at Cost (Average)],MATCH(CONCATENATE((SIP[[#This Row],[Frequency]]-1),SIP[[#This Row],[Investor ID]]),SIP[Unique Code],0),0)),0)</f>
        <v>4000</v>
      </c>
      <c r="V105" s="74">
        <f>IF(SIP[[#This Row],[BO TRANSFER]]="YES",SIP[[#This Row],[Unit]],)</f>
        <v>0</v>
      </c>
      <c r="W105" s="74">
        <f>SUMIFS(SIP[[#Headers],[BO UNIT TRANSFER]]:SIP[[#This Row],[BO UNIT TRANSFER]],SIP[[#Headers],[Investor ID]]:SIP[[#This Row],[Investor ID]],SIP[[#This Row],[Investor ID]])</f>
        <v>0</v>
      </c>
    </row>
    <row r="106" spans="1:23" ht="15" customHeight="1">
      <c r="A106" s="46">
        <v>2023</v>
      </c>
      <c r="B106" s="46">
        <v>8</v>
      </c>
      <c r="C106" s="46">
        <v>10</v>
      </c>
      <c r="D106" s="65">
        <f>DATE(SIP[[#This Row],[Year]],SIP[[#This Row],[Month]],SIP[[#This Row],[Day]])</f>
        <v>45148</v>
      </c>
      <c r="E106" s="66" t="str" cm="1">
        <f t="array" ref="E106">INDEX(INVESTORS_LIST[INVESTOR NAME],MATCH(SIP[[#This Row],[Investor ID]],INVESTORS_LIST[INVESTOR CODE],0),)</f>
        <v>SABIRA SALAM RIDI</v>
      </c>
      <c r="F106" s="46" t="s">
        <v>988</v>
      </c>
      <c r="G106" s="46">
        <f>COUNTIF(SIP[[#Headers],[Investor ID]]:SIP[[#This Row],[Investor ID]],SIP[[#This Row],[Investor ID]])</f>
        <v>5</v>
      </c>
      <c r="H106" s="46" t="str">
        <f>CONCATENATE(SIP[[#This Row],[Frequency]],SIP[[#This Row],[Investor ID]])</f>
        <v>5A00471</v>
      </c>
      <c r="I106" s="46" t="str">
        <f>IF(SIP[[#This Row],[B/S]]="B","BUY",(IF(SIP[[#This Row],[B/S]]="S","SELL"," ")))</f>
        <v>SELL</v>
      </c>
      <c r="J106" s="46" t="s">
        <v>1231</v>
      </c>
      <c r="K106" s="69">
        <v>-4059.36</v>
      </c>
      <c r="L106" s="69"/>
      <c r="M106" s="70">
        <f>SIP[[#This Row],[Amount]]/SIP[[#This Row],[Unit]]</f>
        <v>10.381994884910487</v>
      </c>
      <c r="N106" s="71">
        <f>SIP[[#This Row],[Unit Capital]]/10</f>
        <v>-391</v>
      </c>
      <c r="O106" s="72">
        <f>SUMIFS(SIP[[#Headers],[Unit]]:SIP[[#This Row],[Unit]],SIP[[#Headers],[Investor ID]]:SIP[[#This Row],[Investor ID]],SIP[[#This Row],[Investor ID]])</f>
        <v>0</v>
      </c>
      <c r="P106" s="73">
        <v>-3910</v>
      </c>
      <c r="Q106" s="74">
        <f>SIP[[#This Row],[Amount]]-SIP[[#This Row],[Unit Capital]]</f>
        <v>-149.36000000000013</v>
      </c>
      <c r="R10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6" s="68">
        <f t="shared" si="3"/>
        <v>14.224</v>
      </c>
      <c r="T106" s="74">
        <f>IF(SIP[[#This Row],[B/S]]="B",0,ABS(SIP[[#This Row],[Unit]])*(SIP[[#This Row],[NAV (Strike Rate)]]-INDEX(SIP[NAV at Cost (Average)],MATCH(CONCATENATE(SIP[[#This Row],[Frequency]]-1,SIP[[#This Row],[Investor ID]]),SIP[Unique Code],0),)))</f>
        <v>59.360000000000277</v>
      </c>
      <c r="U106" s="74" cm="1">
        <f t="array" ref="U106">IF(SIP[[#This Row],[B/S]]="S",ABS(SIP[[#This Row],[Unit]])*(INDEX(SIP[NAV at Cost (Average)],MATCH(CONCATENATE((SIP[[#This Row],[Frequency]]-1),SIP[[#This Row],[Investor ID]]),SIP[Unique Code],0),0)),0)</f>
        <v>4000</v>
      </c>
      <c r="V106" s="74">
        <f>IF(SIP[[#This Row],[BO TRANSFER]]="YES",SIP[[#This Row],[Unit]],)</f>
        <v>0</v>
      </c>
      <c r="W106" s="74">
        <f>SUMIFS(SIP[[#Headers],[BO UNIT TRANSFER]]:SIP[[#This Row],[BO UNIT TRANSFER]],SIP[[#Headers],[Investor ID]]:SIP[[#This Row],[Investor ID]],SIP[[#This Row],[Investor ID]])</f>
        <v>0</v>
      </c>
    </row>
    <row r="107" spans="1:23" ht="15" customHeight="1">
      <c r="A107" s="46">
        <v>2023</v>
      </c>
      <c r="B107" s="46">
        <v>8</v>
      </c>
      <c r="C107" s="46">
        <v>15</v>
      </c>
      <c r="D107" s="65">
        <f>DATE(SIP[[#This Row],[Year]],SIP[[#This Row],[Month]],SIP[[#This Row],[Day]])</f>
        <v>45153</v>
      </c>
      <c r="E107" s="66" t="str" cm="1">
        <f t="array" ref="E107">INDEX(INVESTORS_LIST[INVESTOR NAME],MATCH(SIP[[#This Row],[Investor ID]],INVESTORS_LIST[INVESTOR CODE],0),)</f>
        <v>SANJIB KUMAR ROY</v>
      </c>
      <c r="F107" s="46" t="s">
        <v>1020</v>
      </c>
      <c r="G107" s="46">
        <f>COUNTIF(SIP[[#Headers],[Investor ID]]:SIP[[#This Row],[Investor ID]],SIP[[#This Row],[Investor ID]])</f>
        <v>3</v>
      </c>
      <c r="H107" s="46" t="str">
        <f>CONCATENATE(SIP[[#This Row],[Frequency]],SIP[[#This Row],[Investor ID]])</f>
        <v>3A00487</v>
      </c>
      <c r="I107" s="46" t="str">
        <f>IF(SIP[[#This Row],[B/S]]="B","BUY",(IF(SIP[[#This Row],[B/S]]="S","SELL"," ")))</f>
        <v>BUY</v>
      </c>
      <c r="J107" s="46" t="s">
        <v>1229</v>
      </c>
      <c r="K107" s="69">
        <v>5000</v>
      </c>
      <c r="L107" s="69"/>
      <c r="M107" s="70">
        <f>SIP[[#This Row],[Amount]]/SIP[[#This Row],[Unit]]</f>
        <v>10.395010395010395</v>
      </c>
      <c r="N107" s="71">
        <f>SIP[[#This Row],[Unit Capital]]/10</f>
        <v>481</v>
      </c>
      <c r="O107" s="72">
        <f>SUMIFS(SIP[[#Headers],[Unit]]:SIP[[#This Row],[Unit]],SIP[[#Headers],[Investor ID]]:SIP[[#This Row],[Investor ID]],SIP[[#This Row],[Investor ID]])</f>
        <v>1455</v>
      </c>
      <c r="P107" s="73">
        <v>4810</v>
      </c>
      <c r="Q107" s="74">
        <f>SIP[[#This Row],[Amount]]-SIP[[#This Row],[Unit Capital]]</f>
        <v>190</v>
      </c>
      <c r="R10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10.309278350515465</v>
      </c>
      <c r="S107" s="68">
        <f t="shared" si="3"/>
        <v>14.224</v>
      </c>
      <c r="T1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" s="74" cm="1">
        <f t="array" ref="U107">IF(SIP[[#This Row],[B/S]]="S",ABS(SIP[[#This Row],[Unit]])*(INDEX(SIP[NAV at Cost (Average)],MATCH(CONCATENATE((SIP[[#This Row],[Frequency]]-1),SIP[[#This Row],[Investor ID]]),SIP[Unique Code],0),0)),0)</f>
        <v>0</v>
      </c>
      <c r="V107" s="74">
        <f>IF(SIP[[#This Row],[BO TRANSFER]]="YES",SIP[[#This Row],[Unit]],)</f>
        <v>0</v>
      </c>
      <c r="W107" s="74">
        <f>SUMIFS(SIP[[#Headers],[BO UNIT TRANSFER]]:SIP[[#This Row],[BO UNIT TRANSFER]],SIP[[#Headers],[Investor ID]]:SIP[[#This Row],[Investor ID]],SIP[[#This Row],[Investor ID]])</f>
        <v>0</v>
      </c>
    </row>
    <row r="108" spans="1:23" ht="15" customHeight="1">
      <c r="A108" s="46">
        <v>2023</v>
      </c>
      <c r="B108" s="46">
        <v>8</v>
      </c>
      <c r="C108" s="46">
        <v>15</v>
      </c>
      <c r="D108" s="65">
        <f>DATE(SIP[[#This Row],[Year]],SIP[[#This Row],[Month]],SIP[[#This Row],[Day]])</f>
        <v>45153</v>
      </c>
      <c r="E108" s="66" t="str" cm="1">
        <f t="array" ref="E108">INDEX(INVESTORS_LIST[INVESTOR NAME],MATCH(SIP[[#This Row],[Investor ID]],INVESTORS_LIST[INVESTOR CODE],0),)</f>
        <v>SYED FAZLE RABBY</v>
      </c>
      <c r="F108" s="46" t="s">
        <v>166</v>
      </c>
      <c r="G108" s="46">
        <f>COUNTIF(SIP[[#Headers],[Investor ID]]:SIP[[#This Row],[Investor ID]],SIP[[#This Row],[Investor ID]])</f>
        <v>3</v>
      </c>
      <c r="H108" s="46" t="str">
        <f>CONCATENATE(SIP[[#This Row],[Frequency]],SIP[[#This Row],[Investor ID]])</f>
        <v>3A00059</v>
      </c>
      <c r="I108" s="46" t="str">
        <f>IF(SIP[[#This Row],[B/S]]="B","BUY",(IF(SIP[[#This Row],[B/S]]="S","SELL"," ")))</f>
        <v>BUY</v>
      </c>
      <c r="J108" s="46" t="s">
        <v>1229</v>
      </c>
      <c r="K108" s="69">
        <v>10000</v>
      </c>
      <c r="L108" s="69"/>
      <c r="M108" s="70">
        <f>SIP[[#This Row],[Amount]]/SIP[[#This Row],[Unit]]</f>
        <v>10.395010395010395</v>
      </c>
      <c r="N108" s="71">
        <f>SIP[[#This Row],[Unit Capital]]/10</f>
        <v>962</v>
      </c>
      <c r="O108" s="72">
        <f>SUMIFS(SIP[[#Headers],[Unit]]:SIP[[#This Row],[Unit]],SIP[[#Headers],[Investor ID]]:SIP[[#This Row],[Investor ID]],SIP[[#This Row],[Investor ID]])</f>
        <v>2909</v>
      </c>
      <c r="P108" s="73">
        <v>9620</v>
      </c>
      <c r="Q108" s="74">
        <f>SIP[[#This Row],[Amount]]-SIP[[#This Row],[Unit Capital]]</f>
        <v>380</v>
      </c>
      <c r="R10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10.312822275696114</v>
      </c>
      <c r="S108" s="68">
        <f t="shared" si="3"/>
        <v>14.224</v>
      </c>
      <c r="T1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" s="74" cm="1">
        <f t="array" ref="U108">IF(SIP[[#This Row],[B/S]]="S",ABS(SIP[[#This Row],[Unit]])*(INDEX(SIP[NAV at Cost (Average)],MATCH(CONCATENATE((SIP[[#This Row],[Frequency]]-1),SIP[[#This Row],[Investor ID]]),SIP[Unique Code],0),0)),0)</f>
        <v>0</v>
      </c>
      <c r="V108" s="74">
        <f>IF(SIP[[#This Row],[BO TRANSFER]]="YES",SIP[[#This Row],[Unit]],)</f>
        <v>0</v>
      </c>
      <c r="W108" s="74">
        <f>SUMIFS(SIP[[#Headers],[BO UNIT TRANSFER]]:SIP[[#This Row],[BO UNIT TRANSFER]],SIP[[#Headers],[Investor ID]]:SIP[[#This Row],[Investor ID]],SIP[[#This Row],[Investor ID]])</f>
        <v>0</v>
      </c>
    </row>
    <row r="109" spans="1:23" ht="15" customHeight="1">
      <c r="A109" s="46">
        <v>2023</v>
      </c>
      <c r="B109" s="46">
        <v>8</v>
      </c>
      <c r="C109" s="46">
        <v>21</v>
      </c>
      <c r="D109" s="65">
        <f>DATE(SIP[[#This Row],[Year]],SIP[[#This Row],[Month]],SIP[[#This Row],[Day]])</f>
        <v>45159</v>
      </c>
      <c r="E109" s="66" t="str" cm="1">
        <f t="array" ref="E109">INDEX(INVESTORS_LIST[INVESTOR NAME],MATCH(SIP[[#This Row],[Investor ID]],INVESTORS_LIST[INVESTOR CODE],0),)</f>
        <v>MOHAMMED SELIM</v>
      </c>
      <c r="F109" s="46" t="s">
        <v>113</v>
      </c>
      <c r="G109" s="46">
        <f>COUNTIF(SIP[[#Headers],[Investor ID]]:SIP[[#This Row],[Investor ID]],SIP[[#This Row],[Investor ID]])</f>
        <v>4</v>
      </c>
      <c r="H109" s="46" t="str">
        <f>CONCATENATE(SIP[[#This Row],[Frequency]],SIP[[#This Row],[Investor ID]])</f>
        <v>4A00033</v>
      </c>
      <c r="I109" s="46" t="str">
        <f>IF(SIP[[#This Row],[B/S]]="B","BUY",(IF(SIP[[#This Row],[B/S]]="S","SELL"," ")))</f>
        <v>SELL</v>
      </c>
      <c r="J109" s="46" t="s">
        <v>1231</v>
      </c>
      <c r="K109" s="69">
        <v>-5000</v>
      </c>
      <c r="L109" s="69"/>
      <c r="M109" s="70">
        <f>SIP[[#This Row],[Amount]]/SIP[[#This Row],[Unit]]</f>
        <v>10.351966873706004</v>
      </c>
      <c r="N109" s="71">
        <f>SIP[[#This Row],[Unit Capital]]/10</f>
        <v>-483</v>
      </c>
      <c r="O109" s="72">
        <f>SUMIFS(SIP[[#Headers],[Unit]]:SIP[[#This Row],[Unit]],SIP[[#Headers],[Investor ID]]:SIP[[#This Row],[Investor ID]],SIP[[#This Row],[Investor ID]])</f>
        <v>0</v>
      </c>
      <c r="P109" s="73">
        <v>-4830</v>
      </c>
      <c r="Q109" s="74">
        <f>SIP[[#This Row],[Amount]]-SIP[[#This Row],[Unit Capital]]</f>
        <v>-170</v>
      </c>
      <c r="R10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9" s="68">
        <f t="shared" si="3"/>
        <v>14.224</v>
      </c>
      <c r="T1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" s="74" cm="1">
        <f t="array" ref="U109">IF(SIP[[#This Row],[B/S]]="S",ABS(SIP[[#This Row],[Unit]])*(INDEX(SIP[NAV at Cost (Average)],MATCH(CONCATENATE((SIP[[#This Row],[Frequency]]-1),SIP[[#This Row],[Investor ID]]),SIP[Unique Code],0),0)),0)</f>
        <v>5000</v>
      </c>
      <c r="V109" s="74">
        <f>IF(SIP[[#This Row],[BO TRANSFER]]="YES",SIP[[#This Row],[Unit]],)</f>
        <v>0</v>
      </c>
      <c r="W109" s="74">
        <f>SUMIFS(SIP[[#Headers],[BO UNIT TRANSFER]]:SIP[[#This Row],[BO UNIT TRANSFER]],SIP[[#Headers],[Investor ID]]:SIP[[#This Row],[Investor ID]],SIP[[#This Row],[Investor ID]])</f>
        <v>0</v>
      </c>
    </row>
    <row r="110" spans="1:23" ht="15" customHeight="1">
      <c r="A110" s="46">
        <v>2023</v>
      </c>
      <c r="B110" s="46">
        <v>8</v>
      </c>
      <c r="C110" s="46">
        <v>26</v>
      </c>
      <c r="D110" s="65">
        <f>DATE(SIP[[#This Row],[Year]],SIP[[#This Row],[Month]],SIP[[#This Row],[Day]])</f>
        <v>45164</v>
      </c>
      <c r="E110" s="66" t="str" cm="1">
        <f t="array" ref="E110">INDEX(INVESTORS_LIST[INVESTOR NAME],MATCH(SIP[[#This Row],[Investor ID]],INVESTORS_LIST[INVESTOR CODE],0),)</f>
        <v>SRIJON GHOSH</v>
      </c>
      <c r="F110" s="46" t="s">
        <v>894</v>
      </c>
      <c r="G110" s="46">
        <f>COUNTIF(SIP[[#Headers],[Investor ID]]:SIP[[#This Row],[Investor ID]],SIP[[#This Row],[Investor ID]])</f>
        <v>6</v>
      </c>
      <c r="H110" s="46" t="str">
        <f>CONCATENATE(SIP[[#This Row],[Frequency]],SIP[[#This Row],[Investor ID]])</f>
        <v>6A00424</v>
      </c>
      <c r="I110" s="46" t="str">
        <f>IF(SIP[[#This Row],[B/S]]="B","BUY",(IF(SIP[[#This Row],[B/S]]="S","SELL"," ")))</f>
        <v>BUY</v>
      </c>
      <c r="J110" s="46" t="s">
        <v>1229</v>
      </c>
      <c r="K110" s="69">
        <v>15000</v>
      </c>
      <c r="L110" s="69"/>
      <c r="M110" s="70">
        <f>SIP[[#This Row],[Amount]]/SIP[[#This Row],[Unit]]</f>
        <v>10.423905489923557</v>
      </c>
      <c r="N110" s="71">
        <f>SIP[[#This Row],[Unit Capital]]/10</f>
        <v>1439</v>
      </c>
      <c r="O110" s="72">
        <f>SUMIFS(SIP[[#Headers],[Unit]]:SIP[[#This Row],[Unit]],SIP[[#Headers],[Investor ID]]:SIP[[#This Row],[Investor ID]],SIP[[#This Row],[Investor ID]])</f>
        <v>12210</v>
      </c>
      <c r="P110" s="73">
        <v>14390</v>
      </c>
      <c r="Q110" s="74">
        <f>SIP[[#This Row],[Amount]]-SIP[[#This Row],[Unit Capital]]</f>
        <v>610</v>
      </c>
      <c r="R1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10.237510237510238</v>
      </c>
      <c r="S110" s="68">
        <f t="shared" si="3"/>
        <v>14.224</v>
      </c>
      <c r="T1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" s="74" cm="1">
        <f t="array" ref="U110">IF(SIP[[#This Row],[B/S]]="S",ABS(SIP[[#This Row],[Unit]])*(INDEX(SIP[NAV at Cost (Average)],MATCH(CONCATENATE((SIP[[#This Row],[Frequency]]-1),SIP[[#This Row],[Investor ID]]),SIP[Unique Code],0),0)),0)</f>
        <v>0</v>
      </c>
      <c r="V110" s="74">
        <f>IF(SIP[[#This Row],[BO TRANSFER]]="YES",SIP[[#This Row],[Unit]],)</f>
        <v>0</v>
      </c>
      <c r="W110" s="74">
        <f>SUMIFS(SIP[[#Headers],[BO UNIT TRANSFER]]:SIP[[#This Row],[BO UNIT TRANSFER]],SIP[[#Headers],[Investor ID]]:SIP[[#This Row],[Investor ID]],SIP[[#This Row],[Investor ID]])</f>
        <v>0</v>
      </c>
    </row>
    <row r="111" spans="1:23" ht="15" customHeight="1">
      <c r="A111" s="46">
        <v>2023</v>
      </c>
      <c r="B111" s="46">
        <v>8</v>
      </c>
      <c r="C111" s="46">
        <v>26</v>
      </c>
      <c r="D111" s="65">
        <f>DATE(SIP[[#This Row],[Year]],SIP[[#This Row],[Month]],SIP[[#This Row],[Day]])</f>
        <v>45164</v>
      </c>
      <c r="E111" s="66" t="str" cm="1">
        <f t="array" ref="E111">INDEX(INVESTORS_LIST[INVESTOR NAME],MATCH(SIP[[#This Row],[Investor ID]],INVESTORS_LIST[INVESTOR CODE],0),)</f>
        <v>MD. MOHIBULLAH CHOWDHURY</v>
      </c>
      <c r="F111" s="46" t="s">
        <v>1006</v>
      </c>
      <c r="G111" s="46">
        <f>COUNTIF(SIP[[#Headers],[Investor ID]]:SIP[[#This Row],[Investor ID]],SIP[[#This Row],[Investor ID]])</f>
        <v>4</v>
      </c>
      <c r="H111" s="46" t="str">
        <f>CONCATENATE(SIP[[#This Row],[Frequency]],SIP[[#This Row],[Investor ID]])</f>
        <v>4A00480</v>
      </c>
      <c r="I111" s="46" t="str">
        <f>IF(SIP[[#This Row],[B/S]]="B","BUY",(IF(SIP[[#This Row],[B/S]]="S","SELL"," ")))</f>
        <v>BUY</v>
      </c>
      <c r="J111" s="46" t="s">
        <v>1229</v>
      </c>
      <c r="K111" s="69">
        <v>10000</v>
      </c>
      <c r="L111" s="69"/>
      <c r="M111" s="70">
        <f>SIP[[#This Row],[Amount]]/SIP[[#This Row],[Unit]]</f>
        <v>10.427528675703858</v>
      </c>
      <c r="N111" s="71">
        <f>SIP[[#This Row],[Unit Capital]]/10</f>
        <v>959</v>
      </c>
      <c r="O111" s="72">
        <f>SUMIFS(SIP[[#Headers],[Unit]]:SIP[[#This Row],[Unit]],SIP[[#Headers],[Investor ID]]:SIP[[#This Row],[Investor ID]],SIP[[#This Row],[Investor ID]])</f>
        <v>3882</v>
      </c>
      <c r="P111" s="73">
        <v>9590</v>
      </c>
      <c r="Q111" s="74">
        <f>SIP[[#This Row],[Amount]]-SIP[[#This Row],[Unit Capital]]</f>
        <v>410</v>
      </c>
      <c r="R11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10.303967027305513</v>
      </c>
      <c r="S111" s="68">
        <f t="shared" si="3"/>
        <v>14.224</v>
      </c>
      <c r="T1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" s="74" cm="1">
        <f t="array" ref="U111">IF(SIP[[#This Row],[B/S]]="S",ABS(SIP[[#This Row],[Unit]])*(INDEX(SIP[NAV at Cost (Average)],MATCH(CONCATENATE((SIP[[#This Row],[Frequency]]-1),SIP[[#This Row],[Investor ID]]),SIP[Unique Code],0),0)),0)</f>
        <v>0</v>
      </c>
      <c r="V111" s="74">
        <f>IF(SIP[[#This Row],[BO TRANSFER]]="YES",SIP[[#This Row],[Unit]],)</f>
        <v>0</v>
      </c>
      <c r="W111" s="74">
        <f>SUMIFS(SIP[[#Headers],[BO UNIT TRANSFER]]:SIP[[#This Row],[BO UNIT TRANSFER]],SIP[[#Headers],[Investor ID]]:SIP[[#This Row],[Investor ID]],SIP[[#This Row],[Investor ID]])</f>
        <v>0</v>
      </c>
    </row>
    <row r="112" spans="1:23" ht="15" customHeight="1">
      <c r="A112" s="46">
        <v>2023</v>
      </c>
      <c r="B112" s="46">
        <v>8</v>
      </c>
      <c r="C112" s="46">
        <v>26</v>
      </c>
      <c r="D112" s="65">
        <f>DATE(SIP[[#This Row],[Year]],SIP[[#This Row],[Month]],SIP[[#This Row],[Day]])</f>
        <v>45164</v>
      </c>
      <c r="E112" s="66" t="str" cm="1">
        <f t="array" ref="E112">INDEX(INVESTORS_LIST[INVESTOR NAME],MATCH(SIP[[#This Row],[Investor ID]],INVESTORS_LIST[INVESTOR CODE],0),)</f>
        <v>KHAN MUHAMMAD FAISOL</v>
      </c>
      <c r="F112" s="46" t="s">
        <v>930</v>
      </c>
      <c r="G112" s="46">
        <f>COUNTIF(SIP[[#Headers],[Investor ID]]:SIP[[#This Row],[Investor ID]],SIP[[#This Row],[Investor ID]])</f>
        <v>4</v>
      </c>
      <c r="H112" s="46" t="str">
        <f>CONCATENATE(SIP[[#This Row],[Frequency]],SIP[[#This Row],[Investor ID]])</f>
        <v>4A00442</v>
      </c>
      <c r="I112" s="46" t="str">
        <f>IF(SIP[[#This Row],[B/S]]="B","BUY",(IF(SIP[[#This Row],[B/S]]="S","SELL"," ")))</f>
        <v>BUY</v>
      </c>
      <c r="J112" s="46" t="s">
        <v>1229</v>
      </c>
      <c r="K112" s="69">
        <v>1000</v>
      </c>
      <c r="L112" s="69"/>
      <c r="M112" s="70">
        <f>SIP[[#This Row],[Amount]]/SIP[[#This Row],[Unit]]</f>
        <v>10.416666666666666</v>
      </c>
      <c r="N112" s="71">
        <f>SIP[[#This Row],[Unit Capital]]/10</f>
        <v>96</v>
      </c>
      <c r="O112" s="72">
        <f>SUMIFS(SIP[[#Headers],[Unit]]:SIP[[#This Row],[Unit]],SIP[[#Headers],[Investor ID]]:SIP[[#This Row],[Investor ID]],SIP[[#This Row],[Investor ID]])</f>
        <v>388</v>
      </c>
      <c r="P112" s="73">
        <v>960</v>
      </c>
      <c r="Q112" s="74">
        <f>SIP[[#This Row],[Amount]]-SIP[[#This Row],[Unit Capital]]</f>
        <v>40</v>
      </c>
      <c r="R1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10.309278350515463</v>
      </c>
      <c r="S112" s="68">
        <f t="shared" si="3"/>
        <v>14.224</v>
      </c>
      <c r="T1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" s="74" cm="1">
        <f t="array" ref="U112">IF(SIP[[#This Row],[B/S]]="S",ABS(SIP[[#This Row],[Unit]])*(INDEX(SIP[NAV at Cost (Average)],MATCH(CONCATENATE((SIP[[#This Row],[Frequency]]-1),SIP[[#This Row],[Investor ID]]),SIP[Unique Code],0),0)),0)</f>
        <v>0</v>
      </c>
      <c r="V112" s="74">
        <f>IF(SIP[[#This Row],[BO TRANSFER]]="YES",SIP[[#This Row],[Unit]],)</f>
        <v>0</v>
      </c>
      <c r="W112" s="74">
        <f>SUMIFS(SIP[[#Headers],[BO UNIT TRANSFER]]:SIP[[#This Row],[BO UNIT TRANSFER]],SIP[[#Headers],[Investor ID]]:SIP[[#This Row],[Investor ID]],SIP[[#This Row],[Investor ID]])</f>
        <v>0</v>
      </c>
    </row>
    <row r="113" spans="1:23" ht="15" customHeight="1">
      <c r="A113" s="46">
        <v>2023</v>
      </c>
      <c r="B113" s="46">
        <v>8</v>
      </c>
      <c r="C113" s="46">
        <v>26</v>
      </c>
      <c r="D113" s="65">
        <f>DATE(SIP[[#This Row],[Year]],SIP[[#This Row],[Month]],SIP[[#This Row],[Day]])</f>
        <v>45164</v>
      </c>
      <c r="E113" s="66" t="str" cm="1">
        <f t="array" ref="E113">INDEX(INVESTORS_LIST[INVESTOR NAME],MATCH(SIP[[#This Row],[Investor ID]],INVESTORS_LIST[INVESTOR CODE],0),)</f>
        <v>MD. ARIFUL ISLAM</v>
      </c>
      <c r="F113" s="46" t="s">
        <v>222</v>
      </c>
      <c r="G113" s="46">
        <f>COUNTIF(SIP[[#Headers],[Investor ID]]:SIP[[#This Row],[Investor ID]],SIP[[#This Row],[Investor ID]])</f>
        <v>4</v>
      </c>
      <c r="H113" s="46" t="str">
        <f>CONCATENATE(SIP[[#This Row],[Frequency]],SIP[[#This Row],[Investor ID]])</f>
        <v>4A00087</v>
      </c>
      <c r="I113" s="46" t="str">
        <f>IF(SIP[[#This Row],[B/S]]="B","BUY",(IF(SIP[[#This Row],[B/S]]="S","SELL"," ")))</f>
        <v>BUY</v>
      </c>
      <c r="J113" s="46" t="s">
        <v>1229</v>
      </c>
      <c r="K113" s="69">
        <v>10000</v>
      </c>
      <c r="L113" s="69"/>
      <c r="M113" s="70">
        <f>SIP[[#This Row],[Amount]]/SIP[[#This Row],[Unit]]</f>
        <v>10.427528675703858</v>
      </c>
      <c r="N113" s="71">
        <f>SIP[[#This Row],[Unit Capital]]/10</f>
        <v>959</v>
      </c>
      <c r="O113" s="72">
        <f>SUMIFS(SIP[[#Headers],[Unit]]:SIP[[#This Row],[Unit]],SIP[[#Headers],[Investor ID]]:SIP[[#This Row],[Investor ID]],SIP[[#This Row],[Investor ID]])</f>
        <v>3880</v>
      </c>
      <c r="P113" s="73">
        <v>9590</v>
      </c>
      <c r="Q113" s="74">
        <f>SIP[[#This Row],[Amount]]-SIP[[#This Row],[Unit Capital]]</f>
        <v>410</v>
      </c>
      <c r="R1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10.309278350515466</v>
      </c>
      <c r="S113" s="68">
        <f t="shared" si="3"/>
        <v>14.224</v>
      </c>
      <c r="T1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" s="74" cm="1">
        <f t="array" ref="U113">IF(SIP[[#This Row],[B/S]]="S",ABS(SIP[[#This Row],[Unit]])*(INDEX(SIP[NAV at Cost (Average)],MATCH(CONCATENATE((SIP[[#This Row],[Frequency]]-1),SIP[[#This Row],[Investor ID]]),SIP[Unique Code],0),0)),0)</f>
        <v>0</v>
      </c>
      <c r="V113" s="74">
        <f>IF(SIP[[#This Row],[BO TRANSFER]]="YES",SIP[[#This Row],[Unit]],)</f>
        <v>0</v>
      </c>
      <c r="W113" s="74">
        <f>SUMIFS(SIP[[#Headers],[BO UNIT TRANSFER]]:SIP[[#This Row],[BO UNIT TRANSFER]],SIP[[#Headers],[Investor ID]]:SIP[[#This Row],[Investor ID]],SIP[[#This Row],[Investor ID]])</f>
        <v>0</v>
      </c>
    </row>
    <row r="114" spans="1:23" ht="15" customHeight="1">
      <c r="A114" s="46">
        <v>2023</v>
      </c>
      <c r="B114" s="46">
        <v>8</v>
      </c>
      <c r="C114" s="46">
        <v>26</v>
      </c>
      <c r="D114" s="65">
        <f>DATE(SIP[[#This Row],[Year]],SIP[[#This Row],[Month]],SIP[[#This Row],[Day]])</f>
        <v>45164</v>
      </c>
      <c r="E114" s="66" t="str" cm="1">
        <f t="array" ref="E114">INDEX(INVESTORS_LIST[INVESTOR NAME],MATCH(SIP[[#This Row],[Investor ID]],INVESTORS_LIST[INVESTOR CODE],0),)</f>
        <v>SRIJON GHOSH</v>
      </c>
      <c r="F114" s="46" t="s">
        <v>894</v>
      </c>
      <c r="G114" s="46">
        <f>COUNTIF(SIP[[#Headers],[Investor ID]]:SIP[[#This Row],[Investor ID]],SIP[[#This Row],[Investor ID]])</f>
        <v>7</v>
      </c>
      <c r="H114" s="46" t="str">
        <f>CONCATENATE(SIP[[#This Row],[Frequency]],SIP[[#This Row],[Investor ID]])</f>
        <v>7A00424</v>
      </c>
      <c r="I114" s="46" t="str">
        <f>IF(SIP[[#This Row],[B/S]]="B","BUY",(IF(SIP[[#This Row],[B/S]]="S","SELL"," ")))</f>
        <v>BUY</v>
      </c>
      <c r="J114" s="46" t="s">
        <v>1229</v>
      </c>
      <c r="K114" s="69">
        <v>5000</v>
      </c>
      <c r="L114" s="69"/>
      <c r="M114" s="70">
        <f>SIP[[#This Row],[Amount]]/SIP[[#This Row],[Unit]]</f>
        <v>10.416666666666666</v>
      </c>
      <c r="N114" s="71">
        <f>SIP[[#This Row],[Unit Capital]]/10</f>
        <v>480</v>
      </c>
      <c r="O114" s="72">
        <f>SUMIFS(SIP[[#Headers],[Unit]]:SIP[[#This Row],[Unit]],SIP[[#Headers],[Investor ID]]:SIP[[#This Row],[Investor ID]],SIP[[#This Row],[Investor ID]])</f>
        <v>12690</v>
      </c>
      <c r="P114" s="73">
        <v>4800</v>
      </c>
      <c r="Q114" s="74">
        <f>SIP[[#This Row],[Amount]]-SIP[[#This Row],[Unit Capital]]</f>
        <v>200</v>
      </c>
      <c r="R1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10.244286840031521</v>
      </c>
      <c r="S114" s="68">
        <f t="shared" si="3"/>
        <v>14.224</v>
      </c>
      <c r="T1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" s="74" cm="1">
        <f t="array" ref="U114">IF(SIP[[#This Row],[B/S]]="S",ABS(SIP[[#This Row],[Unit]])*(INDEX(SIP[NAV at Cost (Average)],MATCH(CONCATENATE((SIP[[#This Row],[Frequency]]-1),SIP[[#This Row],[Investor ID]]),SIP[Unique Code],0),0)),0)</f>
        <v>0</v>
      </c>
      <c r="V114" s="74">
        <f>IF(SIP[[#This Row],[BO TRANSFER]]="YES",SIP[[#This Row],[Unit]],)</f>
        <v>0</v>
      </c>
      <c r="W114" s="74">
        <f>SUMIFS(SIP[[#Headers],[BO UNIT TRANSFER]]:SIP[[#This Row],[BO UNIT TRANSFER]],SIP[[#Headers],[Investor ID]]:SIP[[#This Row],[Investor ID]],SIP[[#This Row],[Investor ID]])</f>
        <v>0</v>
      </c>
    </row>
    <row r="115" spans="1:23" ht="15" customHeight="1">
      <c r="A115" s="46">
        <v>2023</v>
      </c>
      <c r="B115" s="46">
        <v>8</v>
      </c>
      <c r="C115" s="46">
        <v>26</v>
      </c>
      <c r="D115" s="65">
        <f>DATE(SIP[[#This Row],[Year]],SIP[[#This Row],[Month]],SIP[[#This Row],[Day]])</f>
        <v>45164</v>
      </c>
      <c r="E115" s="66" t="str" cm="1">
        <f t="array" ref="E115">INDEX(INVESTORS_LIST[INVESTOR NAME],MATCH(SIP[[#This Row],[Investor ID]],INVESTORS_LIST[INVESTOR CODE],0),)</f>
        <v>NUSRAT JAHAN TISHA</v>
      </c>
      <c r="F115" s="46" t="s">
        <v>926</v>
      </c>
      <c r="G115" s="46">
        <f>COUNTIF(SIP[[#Headers],[Investor ID]]:SIP[[#This Row],[Investor ID]],SIP[[#This Row],[Investor ID]])</f>
        <v>1</v>
      </c>
      <c r="H115" s="46" t="str">
        <f>CONCATENATE(SIP[[#This Row],[Frequency]],SIP[[#This Row],[Investor ID]])</f>
        <v>1A00440</v>
      </c>
      <c r="I115" s="46" t="str">
        <f>IF(SIP[[#This Row],[B/S]]="B","BUY",(IF(SIP[[#This Row],[B/S]]="S","SELL"," ")))</f>
        <v>BUY</v>
      </c>
      <c r="J115" s="46" t="s">
        <v>1229</v>
      </c>
      <c r="K115" s="69">
        <v>5000</v>
      </c>
      <c r="L115" s="69"/>
      <c r="M115" s="70">
        <f>SIP[[#This Row],[Amount]]/SIP[[#This Row],[Unit]]</f>
        <v>10.416666666666666</v>
      </c>
      <c r="N115" s="71">
        <f>SIP[[#This Row],[Unit Capital]]/10</f>
        <v>480</v>
      </c>
      <c r="O115" s="72">
        <f>SUMIFS(SIP[[#Headers],[Unit]]:SIP[[#This Row],[Unit]],SIP[[#Headers],[Investor ID]]:SIP[[#This Row],[Investor ID]],SIP[[#This Row],[Investor ID]])</f>
        <v>480</v>
      </c>
      <c r="P115" s="73">
        <v>4800</v>
      </c>
      <c r="Q115" s="74">
        <f>SIP[[#This Row],[Amount]]-SIP[[#This Row],[Unit Capital]]</f>
        <v>200</v>
      </c>
      <c r="R1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10.416666666666666</v>
      </c>
      <c r="S115" s="68">
        <f t="shared" si="3"/>
        <v>14.224</v>
      </c>
      <c r="T1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" s="74" cm="1">
        <f t="array" ref="U115">IF(SIP[[#This Row],[B/S]]="S",ABS(SIP[[#This Row],[Unit]])*(INDEX(SIP[NAV at Cost (Average)],MATCH(CONCATENATE((SIP[[#This Row],[Frequency]]-1),SIP[[#This Row],[Investor ID]]),SIP[Unique Code],0),0)),0)</f>
        <v>0</v>
      </c>
      <c r="V115" s="74">
        <f>IF(SIP[[#This Row],[BO TRANSFER]]="YES",SIP[[#This Row],[Unit]],)</f>
        <v>0</v>
      </c>
      <c r="W115" s="74">
        <f>SUMIFS(SIP[[#Headers],[BO UNIT TRANSFER]]:SIP[[#This Row],[BO UNIT TRANSFER]],SIP[[#Headers],[Investor ID]]:SIP[[#This Row],[Investor ID]],SIP[[#This Row],[Investor ID]])</f>
        <v>0</v>
      </c>
    </row>
    <row r="116" spans="1:23" ht="15" customHeight="1">
      <c r="A116" s="46">
        <v>2023</v>
      </c>
      <c r="B116" s="46">
        <v>8</v>
      </c>
      <c r="C116" s="46">
        <v>26</v>
      </c>
      <c r="D116" s="65">
        <f>DATE(SIP[[#This Row],[Year]],SIP[[#This Row],[Month]],SIP[[#This Row],[Day]])</f>
        <v>45164</v>
      </c>
      <c r="E116" s="66" t="str" cm="1">
        <f t="array" ref="E116">INDEX(INVESTORS_LIST[INVESTOR NAME],MATCH(SIP[[#This Row],[Investor ID]],INVESTORS_LIST[INVESTOR CODE],0),)</f>
        <v>SADIA PARVIN</v>
      </c>
      <c r="F116" s="46" t="s">
        <v>1018</v>
      </c>
      <c r="G116" s="46">
        <f>COUNTIF(SIP[[#Headers],[Investor ID]]:SIP[[#This Row],[Investor ID]],SIP[[#This Row],[Investor ID]])</f>
        <v>4</v>
      </c>
      <c r="H116" s="46" t="str">
        <f>CONCATENATE(SIP[[#This Row],[Frequency]],SIP[[#This Row],[Investor ID]])</f>
        <v>4A00486</v>
      </c>
      <c r="I116" s="46" t="str">
        <f>IF(SIP[[#This Row],[B/S]]="B","BUY",(IF(SIP[[#This Row],[B/S]]="S","SELL"," ")))</f>
        <v>BUY</v>
      </c>
      <c r="J116" s="46" t="s">
        <v>1229</v>
      </c>
      <c r="K116" s="69">
        <v>5000</v>
      </c>
      <c r="L116" s="69"/>
      <c r="M116" s="70">
        <f>SIP[[#This Row],[Amount]]/SIP[[#This Row],[Unit]]</f>
        <v>10.416666666666666</v>
      </c>
      <c r="N116" s="71">
        <f>SIP[[#This Row],[Unit Capital]]/10</f>
        <v>480</v>
      </c>
      <c r="O116" s="72">
        <f>SUMIFS(SIP[[#Headers],[Unit]]:SIP[[#This Row],[Unit]],SIP[[#Headers],[Investor ID]]:SIP[[#This Row],[Investor ID]],SIP[[#This Row],[Investor ID]])</f>
        <v>1939</v>
      </c>
      <c r="P116" s="73">
        <v>4800</v>
      </c>
      <c r="Q116" s="74">
        <f>SIP[[#This Row],[Amount]]-SIP[[#This Row],[Unit Capital]]</f>
        <v>200</v>
      </c>
      <c r="R1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10.314595152140278</v>
      </c>
      <c r="S116" s="68">
        <f t="shared" si="3"/>
        <v>14.224</v>
      </c>
      <c r="T1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" s="74" cm="1">
        <f t="array" ref="U116">IF(SIP[[#This Row],[B/S]]="S",ABS(SIP[[#This Row],[Unit]])*(INDEX(SIP[NAV at Cost (Average)],MATCH(CONCATENATE((SIP[[#This Row],[Frequency]]-1),SIP[[#This Row],[Investor ID]]),SIP[Unique Code],0),0)),0)</f>
        <v>0</v>
      </c>
      <c r="V116" s="74">
        <f>IF(SIP[[#This Row],[BO TRANSFER]]="YES",SIP[[#This Row],[Unit]],)</f>
        <v>0</v>
      </c>
      <c r="W116" s="74">
        <f>SUMIFS(SIP[[#Headers],[BO UNIT TRANSFER]]:SIP[[#This Row],[BO UNIT TRANSFER]],SIP[[#Headers],[Investor ID]]:SIP[[#This Row],[Investor ID]],SIP[[#This Row],[Investor ID]])</f>
        <v>0</v>
      </c>
    </row>
    <row r="117" spans="1:23" ht="15" customHeight="1">
      <c r="A117" s="46">
        <v>2023</v>
      </c>
      <c r="B117" s="46">
        <v>8</v>
      </c>
      <c r="C117" s="46">
        <v>26</v>
      </c>
      <c r="D117" s="65">
        <f>DATE(SIP[[#This Row],[Year]],SIP[[#This Row],[Month]],SIP[[#This Row],[Day]])</f>
        <v>45164</v>
      </c>
      <c r="E117" s="66" t="str" cm="1">
        <f t="array" ref="E117">INDEX(INVESTORS_LIST[INVESTOR NAME],MATCH(SIP[[#This Row],[Investor ID]],INVESTORS_LIST[INVESTOR CODE],0),)</f>
        <v>MD. WALI ULLAH</v>
      </c>
      <c r="F117" s="46" t="s">
        <v>443</v>
      </c>
      <c r="G117" s="46">
        <f>COUNTIF(SIP[[#Headers],[Investor ID]]:SIP[[#This Row],[Investor ID]],SIP[[#This Row],[Investor ID]])</f>
        <v>4</v>
      </c>
      <c r="H117" s="46" t="str">
        <f>CONCATENATE(SIP[[#This Row],[Frequency]],SIP[[#This Row],[Investor ID]])</f>
        <v>4A00197</v>
      </c>
      <c r="I117" s="46" t="str">
        <f>IF(SIP[[#This Row],[B/S]]="B","BUY",(IF(SIP[[#This Row],[B/S]]="S","SELL"," ")))</f>
        <v>BUY</v>
      </c>
      <c r="J117" s="46" t="s">
        <v>1229</v>
      </c>
      <c r="K117" s="69">
        <v>15000</v>
      </c>
      <c r="L117" s="69"/>
      <c r="M117" s="70">
        <f>SIP[[#This Row],[Amount]]/SIP[[#This Row],[Unit]]</f>
        <v>10.423905489923557</v>
      </c>
      <c r="N117" s="71">
        <f>SIP[[#This Row],[Unit Capital]]/10</f>
        <v>1439</v>
      </c>
      <c r="O117" s="72">
        <f>SUMIFS(SIP[[#Headers],[Unit]]:SIP[[#This Row],[Unit]],SIP[[#Headers],[Investor ID]]:SIP[[#This Row],[Investor ID]],SIP[[#This Row],[Investor ID]])</f>
        <v>5823</v>
      </c>
      <c r="P117" s="73">
        <v>14390</v>
      </c>
      <c r="Q117" s="74">
        <f>SIP[[#This Row],[Amount]]-SIP[[#This Row],[Unit Capital]]</f>
        <v>610</v>
      </c>
      <c r="R1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10.303967027305511</v>
      </c>
      <c r="S117" s="68">
        <f t="shared" si="3"/>
        <v>14.224</v>
      </c>
      <c r="T1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" s="74" cm="1">
        <f t="array" ref="U117">IF(SIP[[#This Row],[B/S]]="S",ABS(SIP[[#This Row],[Unit]])*(INDEX(SIP[NAV at Cost (Average)],MATCH(CONCATENATE((SIP[[#This Row],[Frequency]]-1),SIP[[#This Row],[Investor ID]]),SIP[Unique Code],0),0)),0)</f>
        <v>0</v>
      </c>
      <c r="V117" s="74">
        <f>IF(SIP[[#This Row],[BO TRANSFER]]="YES",SIP[[#This Row],[Unit]],)</f>
        <v>0</v>
      </c>
      <c r="W117" s="74">
        <f>SUMIFS(SIP[[#Headers],[BO UNIT TRANSFER]]:SIP[[#This Row],[BO UNIT TRANSFER]],SIP[[#Headers],[Investor ID]]:SIP[[#This Row],[Investor ID]],SIP[[#This Row],[Investor ID]])</f>
        <v>0</v>
      </c>
    </row>
    <row r="118" spans="1:23" ht="15" customHeight="1">
      <c r="A118" s="46">
        <v>2023</v>
      </c>
      <c r="B118" s="46">
        <v>8</v>
      </c>
      <c r="C118" s="46">
        <v>26</v>
      </c>
      <c r="D118" s="65">
        <f>DATE(SIP[[#This Row],[Year]],SIP[[#This Row],[Month]],SIP[[#This Row],[Day]])</f>
        <v>45164</v>
      </c>
      <c r="E118" s="66" t="str" cm="1">
        <f t="array" ref="E118">INDEX(INVESTORS_LIST[INVESTOR NAME],MATCH(SIP[[#This Row],[Investor ID]],INVESTORS_LIST[INVESTOR CODE],0),)</f>
        <v>SIKDER FAZLE RABBI</v>
      </c>
      <c r="F118" s="46" t="s">
        <v>1032</v>
      </c>
      <c r="G118" s="46">
        <f>COUNTIF(SIP[[#Headers],[Investor ID]]:SIP[[#This Row],[Investor ID]],SIP[[#This Row],[Investor ID]])</f>
        <v>3</v>
      </c>
      <c r="H118" s="46" t="str">
        <f>CONCATENATE(SIP[[#This Row],[Frequency]],SIP[[#This Row],[Investor ID]])</f>
        <v>3A00493</v>
      </c>
      <c r="I118" s="46" t="str">
        <f>IF(SIP[[#This Row],[B/S]]="B","BUY",(IF(SIP[[#This Row],[B/S]]="S","SELL"," ")))</f>
        <v>BUY</v>
      </c>
      <c r="J118" s="46" t="s">
        <v>1229</v>
      </c>
      <c r="K118" s="69">
        <v>5000</v>
      </c>
      <c r="L118" s="69"/>
      <c r="M118" s="70">
        <f>SIP[[#This Row],[Amount]]/SIP[[#This Row],[Unit]]</f>
        <v>10.416666666666666</v>
      </c>
      <c r="N118" s="71">
        <f>SIP[[#This Row],[Unit Capital]]/10</f>
        <v>480</v>
      </c>
      <c r="O118" s="72">
        <f>SUMIFS(SIP[[#Headers],[Unit]]:SIP[[#This Row],[Unit]],SIP[[#Headers],[Investor ID]]:SIP[[#This Row],[Investor ID]],SIP[[#This Row],[Investor ID]])</f>
        <v>1450</v>
      </c>
      <c r="P118" s="73">
        <v>4800</v>
      </c>
      <c r="Q118" s="74">
        <f>SIP[[#This Row],[Amount]]-SIP[[#This Row],[Unit Capital]]</f>
        <v>200</v>
      </c>
      <c r="R1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18" s="68">
        <f t="shared" si="3"/>
        <v>14.224</v>
      </c>
      <c r="T1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" s="74" cm="1">
        <f t="array" ref="U118">IF(SIP[[#This Row],[B/S]]="S",ABS(SIP[[#This Row],[Unit]])*(INDEX(SIP[NAV at Cost (Average)],MATCH(CONCATENATE((SIP[[#This Row],[Frequency]]-1),SIP[[#This Row],[Investor ID]]),SIP[Unique Code],0),0)),0)</f>
        <v>0</v>
      </c>
      <c r="V118" s="74">
        <f>IF(SIP[[#This Row],[BO TRANSFER]]="YES",SIP[[#This Row],[Unit]],)</f>
        <v>0</v>
      </c>
      <c r="W118" s="74">
        <f>SUMIFS(SIP[[#Headers],[BO UNIT TRANSFER]]:SIP[[#This Row],[BO UNIT TRANSFER]],SIP[[#Headers],[Investor ID]]:SIP[[#This Row],[Investor ID]],SIP[[#This Row],[Investor ID]])</f>
        <v>0</v>
      </c>
    </row>
    <row r="119" spans="1:23" ht="15" customHeight="1">
      <c r="A119" s="46">
        <v>2023</v>
      </c>
      <c r="B119" s="46">
        <v>8</v>
      </c>
      <c r="C119" s="46">
        <v>26</v>
      </c>
      <c r="D119" s="65">
        <f>DATE(SIP[[#This Row],[Year]],SIP[[#This Row],[Month]],SIP[[#This Row],[Day]])</f>
        <v>45164</v>
      </c>
      <c r="E119" s="66" t="str" cm="1">
        <f t="array" ref="E119">INDEX(INVESTORS_LIST[INVESTOR NAME],MATCH(SIP[[#This Row],[Investor ID]],INVESTORS_LIST[INVESTOR CODE],0),)</f>
        <v>MOHAMMAD HASAN</v>
      </c>
      <c r="F119" s="46" t="s">
        <v>1010</v>
      </c>
      <c r="G119" s="46">
        <f>COUNTIF(SIP[[#Headers],[Investor ID]]:SIP[[#This Row],[Investor ID]],SIP[[#This Row],[Investor ID]])</f>
        <v>3</v>
      </c>
      <c r="H119" s="46" t="str">
        <f>CONCATENATE(SIP[[#This Row],[Frequency]],SIP[[#This Row],[Investor ID]])</f>
        <v>3A00482</v>
      </c>
      <c r="I119" s="46" t="str">
        <f>IF(SIP[[#This Row],[B/S]]="B","BUY",(IF(SIP[[#This Row],[B/S]]="S","SELL"," ")))</f>
        <v>BUY</v>
      </c>
      <c r="J119" s="46" t="s">
        <v>1229</v>
      </c>
      <c r="K119" s="69">
        <v>5000</v>
      </c>
      <c r="L119" s="69"/>
      <c r="M119" s="70">
        <f>SIP[[#This Row],[Amount]]/SIP[[#This Row],[Unit]]</f>
        <v>10.416666666666666</v>
      </c>
      <c r="N119" s="71">
        <f>SIP[[#This Row],[Unit Capital]]/10</f>
        <v>480</v>
      </c>
      <c r="O119" s="72">
        <f>SUMIFS(SIP[[#Headers],[Unit]]:SIP[[#This Row],[Unit]],SIP[[#Headers],[Investor ID]]:SIP[[#This Row],[Investor ID]],SIP[[#This Row],[Investor ID]])</f>
        <v>1450</v>
      </c>
      <c r="P119" s="73">
        <v>4800</v>
      </c>
      <c r="Q119" s="74">
        <f>SIP[[#This Row],[Amount]]-SIP[[#This Row],[Unit Capital]]</f>
        <v>200</v>
      </c>
      <c r="R1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19" s="68">
        <f t="shared" si="3"/>
        <v>14.224</v>
      </c>
      <c r="T1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" s="74" cm="1">
        <f t="array" ref="U119">IF(SIP[[#This Row],[B/S]]="S",ABS(SIP[[#This Row],[Unit]])*(INDEX(SIP[NAV at Cost (Average)],MATCH(CONCATENATE((SIP[[#This Row],[Frequency]]-1),SIP[[#This Row],[Investor ID]]),SIP[Unique Code],0),0)),0)</f>
        <v>0</v>
      </c>
      <c r="V119" s="74">
        <f>IF(SIP[[#This Row],[BO TRANSFER]]="YES",SIP[[#This Row],[Unit]],)</f>
        <v>0</v>
      </c>
      <c r="W119" s="74">
        <f>SUMIFS(SIP[[#Headers],[BO UNIT TRANSFER]]:SIP[[#This Row],[BO UNIT TRANSFER]],SIP[[#Headers],[Investor ID]]:SIP[[#This Row],[Investor ID]],SIP[[#This Row],[Investor ID]])</f>
        <v>0</v>
      </c>
    </row>
    <row r="120" spans="1:23" ht="15" customHeight="1">
      <c r="A120" s="46">
        <v>2023</v>
      </c>
      <c r="B120" s="46">
        <v>8</v>
      </c>
      <c r="C120" s="46">
        <v>26</v>
      </c>
      <c r="D120" s="65">
        <f>DATE(SIP[[#This Row],[Year]],SIP[[#This Row],[Month]],SIP[[#This Row],[Day]])</f>
        <v>45164</v>
      </c>
      <c r="E120" s="66" t="str" cm="1">
        <f t="array" ref="E120">INDEX(INVESTORS_LIST[INVESTOR NAME],MATCH(SIP[[#This Row],[Investor ID]],INVESTORS_LIST[INVESTOR CODE],0),)</f>
        <v>SAJJAD CHOWDHURY</v>
      </c>
      <c r="F120" s="46" t="s">
        <v>461</v>
      </c>
      <c r="G120" s="46">
        <f>COUNTIF(SIP[[#Headers],[Investor ID]]:SIP[[#This Row],[Investor ID]],SIP[[#This Row],[Investor ID]])</f>
        <v>4</v>
      </c>
      <c r="H120" s="46" t="str">
        <f>CONCATENATE(SIP[[#This Row],[Frequency]],SIP[[#This Row],[Investor ID]])</f>
        <v>4A00206</v>
      </c>
      <c r="I120" s="46" t="str">
        <f>IF(SIP[[#This Row],[B/S]]="B","BUY",(IF(SIP[[#This Row],[B/S]]="S","SELL"," ")))</f>
        <v>BUY</v>
      </c>
      <c r="J120" s="46" t="s">
        <v>1229</v>
      </c>
      <c r="K120" s="69">
        <v>7500</v>
      </c>
      <c r="L120" s="69"/>
      <c r="M120" s="70">
        <f>SIP[[#This Row],[Amount]]/SIP[[#This Row],[Unit]]</f>
        <v>10.431154381084839</v>
      </c>
      <c r="N120" s="71">
        <f>SIP[[#This Row],[Unit Capital]]/10</f>
        <v>719</v>
      </c>
      <c r="O120" s="72">
        <f>SUMIFS(SIP[[#Headers],[Unit]]:SIP[[#This Row],[Unit]],SIP[[#Headers],[Investor ID]]:SIP[[#This Row],[Investor ID]],SIP[[#This Row],[Investor ID]])</f>
        <v>2910</v>
      </c>
      <c r="P120" s="73">
        <v>7190</v>
      </c>
      <c r="Q120" s="74">
        <f>SIP[[#This Row],[Amount]]-SIP[[#This Row],[Unit Capital]]</f>
        <v>310</v>
      </c>
      <c r="R1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10.309278350515463</v>
      </c>
      <c r="S120" s="68">
        <f t="shared" si="3"/>
        <v>14.224</v>
      </c>
      <c r="T1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" s="74" cm="1">
        <f t="array" ref="U120">IF(SIP[[#This Row],[B/S]]="S",ABS(SIP[[#This Row],[Unit]])*(INDEX(SIP[NAV at Cost (Average)],MATCH(CONCATENATE((SIP[[#This Row],[Frequency]]-1),SIP[[#This Row],[Investor ID]]),SIP[Unique Code],0),0)),0)</f>
        <v>0</v>
      </c>
      <c r="V120" s="74">
        <f>IF(SIP[[#This Row],[BO TRANSFER]]="YES",SIP[[#This Row],[Unit]],)</f>
        <v>0</v>
      </c>
      <c r="W120" s="74">
        <f>SUMIFS(SIP[[#Headers],[BO UNIT TRANSFER]]:SIP[[#This Row],[BO UNIT TRANSFER]],SIP[[#Headers],[Investor ID]]:SIP[[#This Row],[Investor ID]],SIP[[#This Row],[Investor ID]])</f>
        <v>0</v>
      </c>
    </row>
    <row r="121" spans="1:23" ht="15" customHeight="1">
      <c r="A121" s="46">
        <v>2023</v>
      </c>
      <c r="B121" s="46">
        <v>8</v>
      </c>
      <c r="C121" s="46">
        <v>26</v>
      </c>
      <c r="D121" s="65">
        <f>DATE(SIP[[#This Row],[Year]],SIP[[#This Row],[Month]],SIP[[#This Row],[Day]])</f>
        <v>45164</v>
      </c>
      <c r="E121" s="66" t="str" cm="1">
        <f t="array" ref="E121">INDEX(INVESTORS_LIST[INVESTOR NAME],MATCH(SIP[[#This Row],[Investor ID]],INVESTORS_LIST[INVESTOR CODE],0),)</f>
        <v>EKUSH WEALTH MANAGEMENT LIMITED EMPLOYEES CONTRIBUTORY PROVIDENT FUND</v>
      </c>
      <c r="F121" s="46" t="s">
        <v>831</v>
      </c>
      <c r="G121" s="46">
        <f>COUNTIF(SIP[[#Headers],[Investor ID]]:SIP[[#This Row],[Investor ID]],SIP[[#This Row],[Investor ID]])</f>
        <v>4</v>
      </c>
      <c r="H121" s="46" t="str">
        <f>CONCATENATE(SIP[[#This Row],[Frequency]],SIP[[#This Row],[Investor ID]])</f>
        <v>4A00392</v>
      </c>
      <c r="I121" s="46" t="str">
        <f>IF(SIP[[#This Row],[B/S]]="B","BUY",(IF(SIP[[#This Row],[B/S]]="S","SELL"," ")))</f>
        <v>BUY</v>
      </c>
      <c r="J121" s="46" t="s">
        <v>1229</v>
      </c>
      <c r="K121" s="69">
        <v>22040</v>
      </c>
      <c r="L121" s="69"/>
      <c r="M121" s="70">
        <f>SIP[[#This Row],[Amount]]/SIP[[#This Row],[Unit]]</f>
        <v>10.425733207190161</v>
      </c>
      <c r="N121" s="71">
        <f>SIP[[#This Row],[Unit Capital]]/10</f>
        <v>2114</v>
      </c>
      <c r="O121" s="72">
        <f>SUMIFS(SIP[[#Headers],[Unit]]:SIP[[#This Row],[Unit]],SIP[[#Headers],[Investor ID]]:SIP[[#This Row],[Investor ID]],SIP[[#This Row],[Investor ID]])</f>
        <v>8555</v>
      </c>
      <c r="P121" s="73">
        <v>21140</v>
      </c>
      <c r="Q121" s="74">
        <f>SIP[[#This Row],[Amount]]-SIP[[#This Row],[Unit Capital]]</f>
        <v>900</v>
      </c>
      <c r="R1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10.305084745762713</v>
      </c>
      <c r="S121" s="68">
        <f t="shared" si="3"/>
        <v>14.224</v>
      </c>
      <c r="T1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" s="74" cm="1">
        <f t="array" ref="U121">IF(SIP[[#This Row],[B/S]]="S",ABS(SIP[[#This Row],[Unit]])*(INDEX(SIP[NAV at Cost (Average)],MATCH(CONCATENATE((SIP[[#This Row],[Frequency]]-1),SIP[[#This Row],[Investor ID]]),SIP[Unique Code],0),0)),0)</f>
        <v>0</v>
      </c>
      <c r="V121" s="74">
        <f>IF(SIP[[#This Row],[BO TRANSFER]]="YES",SIP[[#This Row],[Unit]],)</f>
        <v>0</v>
      </c>
      <c r="W121" s="74">
        <f>SUMIFS(SIP[[#Headers],[BO UNIT TRANSFER]]:SIP[[#This Row],[BO UNIT TRANSFER]],SIP[[#Headers],[Investor ID]]:SIP[[#This Row],[Investor ID]],SIP[[#This Row],[Investor ID]])</f>
        <v>0</v>
      </c>
    </row>
    <row r="122" spans="1:23" ht="15" customHeight="1">
      <c r="A122" s="46">
        <v>2023</v>
      </c>
      <c r="B122" s="46">
        <v>8</v>
      </c>
      <c r="C122" s="46">
        <v>26</v>
      </c>
      <c r="D122" s="65">
        <f>DATE(SIP[[#This Row],[Year]],SIP[[#This Row],[Month]],SIP[[#This Row],[Day]])</f>
        <v>45164</v>
      </c>
      <c r="E122" s="66" t="str" cm="1">
        <f t="array" ref="E122">INDEX(INVESTORS_LIST[INVESTOR NAME],MATCH(SIP[[#This Row],[Investor ID]],INVESTORS_LIST[INVESTOR CODE],0),)</f>
        <v>S.M. SAIFUL ISLAM</v>
      </c>
      <c r="F122" s="46" t="s">
        <v>1002</v>
      </c>
      <c r="G122" s="46">
        <f>COUNTIF(SIP[[#Headers],[Investor ID]]:SIP[[#This Row],[Investor ID]],SIP[[#This Row],[Investor ID]])</f>
        <v>4</v>
      </c>
      <c r="H122" s="46" t="str">
        <f>CONCATENATE(SIP[[#This Row],[Frequency]],SIP[[#This Row],[Investor ID]])</f>
        <v>4A00478</v>
      </c>
      <c r="I122" s="46" t="str">
        <f>IF(SIP[[#This Row],[B/S]]="B","BUY",(IF(SIP[[#This Row],[B/S]]="S","SELL"," ")))</f>
        <v>BUY</v>
      </c>
      <c r="J122" s="46" t="s">
        <v>1229</v>
      </c>
      <c r="K122" s="69">
        <v>10000</v>
      </c>
      <c r="L122" s="69"/>
      <c r="M122" s="70">
        <f>SIP[[#This Row],[Amount]]/SIP[[#This Row],[Unit]]</f>
        <v>10.427528675703858</v>
      </c>
      <c r="N122" s="71">
        <f>SIP[[#This Row],[Unit Capital]]/10</f>
        <v>959</v>
      </c>
      <c r="O122" s="72">
        <f>SUMIFS(SIP[[#Headers],[Unit]]:SIP[[#This Row],[Unit]],SIP[[#Headers],[Investor ID]]:SIP[[#This Row],[Investor ID]],SIP[[#This Row],[Investor ID]])</f>
        <v>3882</v>
      </c>
      <c r="P122" s="73">
        <v>9590</v>
      </c>
      <c r="Q122" s="74">
        <f>SIP[[#This Row],[Amount]]-SIP[[#This Row],[Unit Capital]]</f>
        <v>410</v>
      </c>
      <c r="R1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10.303967027305513</v>
      </c>
      <c r="S122" s="68">
        <f t="shared" si="3"/>
        <v>14.224</v>
      </c>
      <c r="T1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" s="74" cm="1">
        <f t="array" ref="U122">IF(SIP[[#This Row],[B/S]]="S",ABS(SIP[[#This Row],[Unit]])*(INDEX(SIP[NAV at Cost (Average)],MATCH(CONCATENATE((SIP[[#This Row],[Frequency]]-1),SIP[[#This Row],[Investor ID]]),SIP[Unique Code],0),0)),0)</f>
        <v>0</v>
      </c>
      <c r="V122" s="74">
        <f>IF(SIP[[#This Row],[BO TRANSFER]]="YES",SIP[[#This Row],[Unit]],)</f>
        <v>0</v>
      </c>
      <c r="W122" s="74">
        <f>SUMIFS(SIP[[#Headers],[BO UNIT TRANSFER]]:SIP[[#This Row],[BO UNIT TRANSFER]],SIP[[#Headers],[Investor ID]]:SIP[[#This Row],[Investor ID]],SIP[[#This Row],[Investor ID]])</f>
        <v>0</v>
      </c>
    </row>
    <row r="123" spans="1:23" ht="15" customHeight="1">
      <c r="A123" s="46">
        <v>2023</v>
      </c>
      <c r="B123" s="46">
        <v>8</v>
      </c>
      <c r="C123" s="46">
        <v>26</v>
      </c>
      <c r="D123" s="65">
        <f>DATE(SIP[[#This Row],[Year]],SIP[[#This Row],[Month]],SIP[[#This Row],[Day]])</f>
        <v>45164</v>
      </c>
      <c r="E123" s="66" t="str" cm="1">
        <f t="array" ref="E123">INDEX(INVESTORS_LIST[INVESTOR NAME],MATCH(SIP[[#This Row],[Investor ID]],INVESTORS_LIST[INVESTOR CODE],0),)</f>
        <v>MOHAMMED SHARIFUL ISLAM</v>
      </c>
      <c r="F123" s="46" t="s">
        <v>1028</v>
      </c>
      <c r="G123" s="46">
        <f>COUNTIF(SIP[[#Headers],[Investor ID]]:SIP[[#This Row],[Investor ID]],SIP[[#This Row],[Investor ID]])</f>
        <v>3</v>
      </c>
      <c r="H123" s="46" t="str">
        <f>CONCATENATE(SIP[[#This Row],[Frequency]],SIP[[#This Row],[Investor ID]])</f>
        <v>3A00491</v>
      </c>
      <c r="I123" s="46" t="str">
        <f>IF(SIP[[#This Row],[B/S]]="B","BUY",(IF(SIP[[#This Row],[B/S]]="S","SELL"," ")))</f>
        <v>BUY</v>
      </c>
      <c r="J123" s="46" t="s">
        <v>1229</v>
      </c>
      <c r="K123" s="69">
        <v>5000</v>
      </c>
      <c r="L123" s="69"/>
      <c r="M123" s="70">
        <f>SIP[[#This Row],[Amount]]/SIP[[#This Row],[Unit]]</f>
        <v>10.416666666666666</v>
      </c>
      <c r="N123" s="71">
        <f>SIP[[#This Row],[Unit Capital]]/10</f>
        <v>480</v>
      </c>
      <c r="O123" s="72">
        <f>SUMIFS(SIP[[#Headers],[Unit]]:SIP[[#This Row],[Unit]],SIP[[#Headers],[Investor ID]]:SIP[[#This Row],[Investor ID]],SIP[[#This Row],[Investor ID]])</f>
        <v>1450</v>
      </c>
      <c r="P123" s="73">
        <v>4800</v>
      </c>
      <c r="Q123" s="74">
        <f>SIP[[#This Row],[Amount]]-SIP[[#This Row],[Unit Capital]]</f>
        <v>200</v>
      </c>
      <c r="R1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23" s="68">
        <f t="shared" si="3"/>
        <v>14.224</v>
      </c>
      <c r="T1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" s="74" cm="1">
        <f t="array" ref="U123">IF(SIP[[#This Row],[B/S]]="S",ABS(SIP[[#This Row],[Unit]])*(INDEX(SIP[NAV at Cost (Average)],MATCH(CONCATENATE((SIP[[#This Row],[Frequency]]-1),SIP[[#This Row],[Investor ID]]),SIP[Unique Code],0),0)),0)</f>
        <v>0</v>
      </c>
      <c r="V123" s="74">
        <f>IF(SIP[[#This Row],[BO TRANSFER]]="YES",SIP[[#This Row],[Unit]],)</f>
        <v>0</v>
      </c>
      <c r="W123" s="74">
        <f>SUMIFS(SIP[[#Headers],[BO UNIT TRANSFER]]:SIP[[#This Row],[BO UNIT TRANSFER]],SIP[[#Headers],[Investor ID]]:SIP[[#This Row],[Investor ID]],SIP[[#This Row],[Investor ID]])</f>
        <v>0</v>
      </c>
    </row>
    <row r="124" spans="1:23" ht="15" customHeight="1">
      <c r="A124" s="46">
        <v>2023</v>
      </c>
      <c r="B124" s="46">
        <v>8</v>
      </c>
      <c r="C124" s="46">
        <v>26</v>
      </c>
      <c r="D124" s="65">
        <f>DATE(SIP[[#This Row],[Year]],SIP[[#This Row],[Month]],SIP[[#This Row],[Day]])</f>
        <v>45164</v>
      </c>
      <c r="E124" s="66" t="str" cm="1">
        <f t="array" ref="E124">INDEX(INVESTORS_LIST[INVESTOR NAME],MATCH(SIP[[#This Row],[Investor ID]],INVESTORS_LIST[INVESTOR CODE],0),)</f>
        <v>ABU MUSA MIRZA KAMRUZZAMAN SHAHEE</v>
      </c>
      <c r="F124" s="46" t="s">
        <v>1012</v>
      </c>
      <c r="G124" s="46">
        <f>COUNTIF(SIP[[#Headers],[Investor ID]]:SIP[[#This Row],[Investor ID]],SIP[[#This Row],[Investor ID]])</f>
        <v>3</v>
      </c>
      <c r="H124" s="46" t="str">
        <f>CONCATENATE(SIP[[#This Row],[Frequency]],SIP[[#This Row],[Investor ID]])</f>
        <v>3A00483</v>
      </c>
      <c r="I124" s="46" t="str">
        <f>IF(SIP[[#This Row],[B/S]]="B","BUY",(IF(SIP[[#This Row],[B/S]]="S","SELL"," ")))</f>
        <v>BUY</v>
      </c>
      <c r="J124" s="46" t="s">
        <v>1229</v>
      </c>
      <c r="K124" s="69">
        <v>5000</v>
      </c>
      <c r="L124" s="69"/>
      <c r="M124" s="70">
        <f>SIP[[#This Row],[Amount]]/SIP[[#This Row],[Unit]]</f>
        <v>10.416666666666666</v>
      </c>
      <c r="N124" s="71">
        <f>SIP[[#This Row],[Unit Capital]]/10</f>
        <v>480</v>
      </c>
      <c r="O124" s="72">
        <f>SUMIFS(SIP[[#Headers],[Unit]]:SIP[[#This Row],[Unit]],SIP[[#Headers],[Investor ID]]:SIP[[#This Row],[Investor ID]],SIP[[#This Row],[Investor ID]])</f>
        <v>1450</v>
      </c>
      <c r="P124" s="73">
        <v>4800</v>
      </c>
      <c r="Q124" s="74">
        <f>SIP[[#This Row],[Amount]]-SIP[[#This Row],[Unit Capital]]</f>
        <v>200</v>
      </c>
      <c r="R1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24" s="68">
        <f t="shared" si="3"/>
        <v>14.224</v>
      </c>
      <c r="T1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" s="74" cm="1">
        <f t="array" ref="U124">IF(SIP[[#This Row],[B/S]]="S",ABS(SIP[[#This Row],[Unit]])*(INDEX(SIP[NAV at Cost (Average)],MATCH(CONCATENATE((SIP[[#This Row],[Frequency]]-1),SIP[[#This Row],[Investor ID]]),SIP[Unique Code],0),0)),0)</f>
        <v>0</v>
      </c>
      <c r="V124" s="74">
        <f>IF(SIP[[#This Row],[BO TRANSFER]]="YES",SIP[[#This Row],[Unit]],)</f>
        <v>0</v>
      </c>
      <c r="W124" s="74">
        <f>SUMIFS(SIP[[#Headers],[BO UNIT TRANSFER]]:SIP[[#This Row],[BO UNIT TRANSFER]],SIP[[#Headers],[Investor ID]]:SIP[[#This Row],[Investor ID]],SIP[[#This Row],[Investor ID]])</f>
        <v>0</v>
      </c>
    </row>
    <row r="125" spans="1:23" ht="15" customHeight="1">
      <c r="A125" s="46">
        <v>2023</v>
      </c>
      <c r="B125" s="46">
        <v>8</v>
      </c>
      <c r="C125" s="46">
        <v>26</v>
      </c>
      <c r="D125" s="65">
        <f>DATE(SIP[[#This Row],[Year]],SIP[[#This Row],[Month]],SIP[[#This Row],[Day]])</f>
        <v>45164</v>
      </c>
      <c r="E125" s="66" t="str" cm="1">
        <f t="array" ref="E125">INDEX(INVESTORS_LIST[INVESTOR NAME],MATCH(SIP[[#This Row],[Investor ID]],INVESTORS_LIST[INVESTOR CODE],0),)</f>
        <v>ASHIK IQBAL CHOWDHURY</v>
      </c>
      <c r="F125" s="46" t="s">
        <v>1016</v>
      </c>
      <c r="G125" s="46">
        <f>COUNTIF(SIP[[#Headers],[Investor ID]]:SIP[[#This Row],[Investor ID]],SIP[[#This Row],[Investor ID]])</f>
        <v>3</v>
      </c>
      <c r="H125" s="46" t="str">
        <f>CONCATENATE(SIP[[#This Row],[Frequency]],SIP[[#This Row],[Investor ID]])</f>
        <v>3A00485</v>
      </c>
      <c r="I125" s="46" t="str">
        <f>IF(SIP[[#This Row],[B/S]]="B","BUY",(IF(SIP[[#This Row],[B/S]]="S","SELL"," ")))</f>
        <v>BUY</v>
      </c>
      <c r="J125" s="46" t="s">
        <v>1229</v>
      </c>
      <c r="K125" s="69">
        <v>5000</v>
      </c>
      <c r="L125" s="69"/>
      <c r="M125" s="70">
        <f>SIP[[#This Row],[Amount]]/SIP[[#This Row],[Unit]]</f>
        <v>10.416666666666666</v>
      </c>
      <c r="N125" s="71">
        <f>SIP[[#This Row],[Unit Capital]]/10</f>
        <v>480</v>
      </c>
      <c r="O125" s="72">
        <f>SUMIFS(SIP[[#Headers],[Unit]]:SIP[[#This Row],[Unit]],SIP[[#Headers],[Investor ID]]:SIP[[#This Row],[Investor ID]],SIP[[#This Row],[Investor ID]])</f>
        <v>1450</v>
      </c>
      <c r="P125" s="73">
        <v>4800</v>
      </c>
      <c r="Q125" s="74">
        <f>SIP[[#This Row],[Amount]]-SIP[[#This Row],[Unit Capital]]</f>
        <v>200</v>
      </c>
      <c r="R1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25" s="68">
        <f t="shared" si="3"/>
        <v>14.224</v>
      </c>
      <c r="T1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" s="74" cm="1">
        <f t="array" ref="U125">IF(SIP[[#This Row],[B/S]]="S",ABS(SIP[[#This Row],[Unit]])*(INDEX(SIP[NAV at Cost (Average)],MATCH(CONCATENATE((SIP[[#This Row],[Frequency]]-1),SIP[[#This Row],[Investor ID]]),SIP[Unique Code],0),0)),0)</f>
        <v>0</v>
      </c>
      <c r="V125" s="74">
        <f>IF(SIP[[#This Row],[BO TRANSFER]]="YES",SIP[[#This Row],[Unit]],)</f>
        <v>0</v>
      </c>
      <c r="W125" s="74">
        <f>SUMIFS(SIP[[#Headers],[BO UNIT TRANSFER]]:SIP[[#This Row],[BO UNIT TRANSFER]],SIP[[#Headers],[Investor ID]]:SIP[[#This Row],[Investor ID]],SIP[[#This Row],[Investor ID]])</f>
        <v>0</v>
      </c>
    </row>
    <row r="126" spans="1:23" ht="15" customHeight="1">
      <c r="A126" s="46">
        <v>2023</v>
      </c>
      <c r="B126" s="46">
        <v>8</v>
      </c>
      <c r="C126" s="46">
        <v>26</v>
      </c>
      <c r="D126" s="65">
        <f>DATE(SIP[[#This Row],[Year]],SIP[[#This Row],[Month]],SIP[[#This Row],[Day]])</f>
        <v>45164</v>
      </c>
      <c r="E126" s="66" t="str" cm="1">
        <f t="array" ref="E126">INDEX(INVESTORS_LIST[INVESTOR NAME],MATCH(SIP[[#This Row],[Investor ID]],INVESTORS_LIST[INVESTOR CODE],0),)</f>
        <v>AKASH DEEP PAUL</v>
      </c>
      <c r="F126" s="46" t="s">
        <v>286</v>
      </c>
      <c r="G126" s="46">
        <f>COUNTIF(SIP[[#Headers],[Investor ID]]:SIP[[#This Row],[Investor ID]],SIP[[#This Row],[Investor ID]])</f>
        <v>3</v>
      </c>
      <c r="H126" s="46" t="str">
        <f>CONCATENATE(SIP[[#This Row],[Frequency]],SIP[[#This Row],[Investor ID]])</f>
        <v>3A00119</v>
      </c>
      <c r="I126" s="46" t="str">
        <f>IF(SIP[[#This Row],[B/S]]="B","BUY",(IF(SIP[[#This Row],[B/S]]="S","SELL"," ")))</f>
        <v>BUY</v>
      </c>
      <c r="J126" s="46" t="s">
        <v>1229</v>
      </c>
      <c r="K126" s="69">
        <v>5000</v>
      </c>
      <c r="L126" s="69"/>
      <c r="M126" s="70">
        <f>SIP[[#This Row],[Amount]]/SIP[[#This Row],[Unit]]</f>
        <v>10.416666666666666</v>
      </c>
      <c r="N126" s="71">
        <f>SIP[[#This Row],[Unit Capital]]/10</f>
        <v>480</v>
      </c>
      <c r="O126" s="72">
        <f>SUMIFS(SIP[[#Headers],[Unit]]:SIP[[#This Row],[Unit]],SIP[[#Headers],[Investor ID]]:SIP[[#This Row],[Investor ID]],SIP[[#This Row],[Investor ID]])</f>
        <v>1450</v>
      </c>
      <c r="P126" s="73">
        <v>4800</v>
      </c>
      <c r="Q126" s="74">
        <f>SIP[[#This Row],[Amount]]-SIP[[#This Row],[Unit Capital]]</f>
        <v>200</v>
      </c>
      <c r="R1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26" s="68">
        <f t="shared" si="3"/>
        <v>14.224</v>
      </c>
      <c r="T1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" s="74" cm="1">
        <f t="array" ref="U126">IF(SIP[[#This Row],[B/S]]="S",ABS(SIP[[#This Row],[Unit]])*(INDEX(SIP[NAV at Cost (Average)],MATCH(CONCATENATE((SIP[[#This Row],[Frequency]]-1),SIP[[#This Row],[Investor ID]]),SIP[Unique Code],0),0)),0)</f>
        <v>0</v>
      </c>
      <c r="V126" s="74">
        <f>IF(SIP[[#This Row],[BO TRANSFER]]="YES",SIP[[#This Row],[Unit]],)</f>
        <v>0</v>
      </c>
      <c r="W126" s="74">
        <f>SUMIFS(SIP[[#Headers],[BO UNIT TRANSFER]]:SIP[[#This Row],[BO UNIT TRANSFER]],SIP[[#Headers],[Investor ID]]:SIP[[#This Row],[Investor ID]],SIP[[#This Row],[Investor ID]])</f>
        <v>0</v>
      </c>
    </row>
    <row r="127" spans="1:23" ht="15" customHeight="1">
      <c r="A127" s="46">
        <v>2023</v>
      </c>
      <c r="B127" s="46">
        <v>8</v>
      </c>
      <c r="C127" s="46">
        <v>26</v>
      </c>
      <c r="D127" s="65">
        <f>DATE(SIP[[#This Row],[Year]],SIP[[#This Row],[Month]],SIP[[#This Row],[Day]])</f>
        <v>45164</v>
      </c>
      <c r="E127" s="66" t="str" cm="1">
        <f t="array" ref="E127">INDEX(INVESTORS_LIST[INVESTOR NAME],MATCH(SIP[[#This Row],[Investor ID]],INVESTORS_LIST[INVESTOR CODE],0),)</f>
        <v>MAYA RANI SAHA</v>
      </c>
      <c r="F127" s="46" t="s">
        <v>224</v>
      </c>
      <c r="G127" s="46">
        <f>COUNTIF(SIP[[#Headers],[Investor ID]]:SIP[[#This Row],[Investor ID]],SIP[[#This Row],[Investor ID]])</f>
        <v>1</v>
      </c>
      <c r="H127" s="46" t="str">
        <f>CONCATENATE(SIP[[#This Row],[Frequency]],SIP[[#This Row],[Investor ID]])</f>
        <v>1A00088</v>
      </c>
      <c r="I127" s="46" t="str">
        <f>IF(SIP[[#This Row],[B/S]]="B","BUY",(IF(SIP[[#This Row],[B/S]]="S","SELL"," ")))</f>
        <v>BUY</v>
      </c>
      <c r="J127" s="46" t="s">
        <v>1229</v>
      </c>
      <c r="K127" s="69">
        <v>10000</v>
      </c>
      <c r="L127" s="69"/>
      <c r="M127" s="70">
        <f>SIP[[#This Row],[Amount]]/SIP[[#This Row],[Unit]]</f>
        <v>10.427528675703858</v>
      </c>
      <c r="N127" s="71">
        <f>SIP[[#This Row],[Unit Capital]]/10</f>
        <v>959</v>
      </c>
      <c r="O127" s="72">
        <f>SUMIFS(SIP[[#Headers],[Unit]]:SIP[[#This Row],[Unit]],SIP[[#Headers],[Investor ID]]:SIP[[#This Row],[Investor ID]],SIP[[#This Row],[Investor ID]])</f>
        <v>959</v>
      </c>
      <c r="P127" s="73">
        <v>9590</v>
      </c>
      <c r="Q127" s="74">
        <f>SIP[[#This Row],[Amount]]-SIP[[#This Row],[Unit Capital]]</f>
        <v>410</v>
      </c>
      <c r="R1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10.427528675703858</v>
      </c>
      <c r="S127" s="68">
        <f t="shared" si="3"/>
        <v>14.224</v>
      </c>
      <c r="T1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" s="74" cm="1">
        <f t="array" ref="U127">IF(SIP[[#This Row],[B/S]]="S",ABS(SIP[[#This Row],[Unit]])*(INDEX(SIP[NAV at Cost (Average)],MATCH(CONCATENATE((SIP[[#This Row],[Frequency]]-1),SIP[[#This Row],[Investor ID]]),SIP[Unique Code],0),0)),0)</f>
        <v>0</v>
      </c>
      <c r="V127" s="74">
        <f>IF(SIP[[#This Row],[BO TRANSFER]]="YES",SIP[[#This Row],[Unit]],)</f>
        <v>0</v>
      </c>
      <c r="W127" s="74">
        <f>SUMIFS(SIP[[#Headers],[BO UNIT TRANSFER]]:SIP[[#This Row],[BO UNIT TRANSFER]],SIP[[#Headers],[Investor ID]]:SIP[[#This Row],[Investor ID]],SIP[[#This Row],[Investor ID]])</f>
        <v>0</v>
      </c>
    </row>
    <row r="128" spans="1:23" ht="15" customHeight="1">
      <c r="A128" s="46">
        <v>2023</v>
      </c>
      <c r="B128" s="46">
        <v>8</v>
      </c>
      <c r="C128" s="46">
        <v>26</v>
      </c>
      <c r="D128" s="65">
        <f>DATE(SIP[[#This Row],[Year]],SIP[[#This Row],[Month]],SIP[[#This Row],[Day]])</f>
        <v>45164</v>
      </c>
      <c r="E128" s="66" t="str" cm="1">
        <f t="array" ref="E128">INDEX(INVESTORS_LIST[INVESTOR NAME],MATCH(SIP[[#This Row],[Investor ID]],INVESTORS_LIST[INVESTOR CODE],0),)</f>
        <v>KHALED HOSSAIN</v>
      </c>
      <c r="F128" s="46" t="s">
        <v>1050</v>
      </c>
      <c r="G128" s="46">
        <f>COUNTIF(SIP[[#Headers],[Investor ID]]:SIP[[#This Row],[Investor ID]],SIP[[#This Row],[Investor ID]])</f>
        <v>3</v>
      </c>
      <c r="H128" s="46" t="str">
        <f>CONCATENATE(SIP[[#This Row],[Frequency]],SIP[[#This Row],[Investor ID]])</f>
        <v>3A00502</v>
      </c>
      <c r="I128" s="46" t="str">
        <f>IF(SIP[[#This Row],[B/S]]="B","BUY",(IF(SIP[[#This Row],[B/S]]="S","SELL"," ")))</f>
        <v>BUY</v>
      </c>
      <c r="J128" s="46" t="s">
        <v>1229</v>
      </c>
      <c r="K128" s="69">
        <v>10000</v>
      </c>
      <c r="L128" s="69"/>
      <c r="M128" s="70">
        <f>SIP[[#This Row],[Amount]]/SIP[[#This Row],[Unit]]</f>
        <v>10.427528675703858</v>
      </c>
      <c r="N128" s="71">
        <f>SIP[[#This Row],[Unit Capital]]/10</f>
        <v>959</v>
      </c>
      <c r="O128" s="72">
        <f>SUMIFS(SIP[[#Headers],[Unit]]:SIP[[#This Row],[Unit]],SIP[[#Headers],[Investor ID]]:SIP[[#This Row],[Investor ID]],SIP[[#This Row],[Investor ID]])</f>
        <v>2900</v>
      </c>
      <c r="P128" s="73">
        <v>9590</v>
      </c>
      <c r="Q128" s="74">
        <f>SIP[[#This Row],[Amount]]-SIP[[#This Row],[Unit Capital]]</f>
        <v>410</v>
      </c>
      <c r="R1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28" s="68">
        <f t="shared" si="3"/>
        <v>14.224</v>
      </c>
      <c r="T1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" s="74" cm="1">
        <f t="array" ref="U128">IF(SIP[[#This Row],[B/S]]="S",ABS(SIP[[#This Row],[Unit]])*(INDEX(SIP[NAV at Cost (Average)],MATCH(CONCATENATE((SIP[[#This Row],[Frequency]]-1),SIP[[#This Row],[Investor ID]]),SIP[Unique Code],0),0)),0)</f>
        <v>0</v>
      </c>
      <c r="V128" s="74">
        <f>IF(SIP[[#This Row],[BO TRANSFER]]="YES",SIP[[#This Row],[Unit]],)</f>
        <v>0</v>
      </c>
      <c r="W128" s="74">
        <f>SUMIFS(SIP[[#Headers],[BO UNIT TRANSFER]]:SIP[[#This Row],[BO UNIT TRANSFER]],SIP[[#Headers],[Investor ID]]:SIP[[#This Row],[Investor ID]],SIP[[#This Row],[Investor ID]])</f>
        <v>0</v>
      </c>
    </row>
    <row r="129" spans="1:23" ht="15" customHeight="1">
      <c r="A129" s="46">
        <v>2023</v>
      </c>
      <c r="B129" s="46">
        <v>8</v>
      </c>
      <c r="C129" s="46">
        <v>26</v>
      </c>
      <c r="D129" s="65">
        <f>DATE(SIP[[#This Row],[Year]],SIP[[#This Row],[Month]],SIP[[#This Row],[Day]])</f>
        <v>45164</v>
      </c>
      <c r="E129" s="66" t="str" cm="1">
        <f t="array" ref="E129">INDEX(INVESTORS_LIST[INVESTOR NAME],MATCH(SIP[[#This Row],[Investor ID]],INVESTORS_LIST[INVESTOR CODE],0),)</f>
        <v>MOHAMMAD SAMIUL ALAM</v>
      </c>
      <c r="F129" s="46" t="s">
        <v>537</v>
      </c>
      <c r="G129" s="46">
        <f>COUNTIF(SIP[[#Headers],[Investor ID]]:SIP[[#This Row],[Investor ID]],SIP[[#This Row],[Investor ID]])</f>
        <v>1</v>
      </c>
      <c r="H129" s="46" t="str">
        <f>CONCATENATE(SIP[[#This Row],[Frequency]],SIP[[#This Row],[Investor ID]])</f>
        <v>1A00244</v>
      </c>
      <c r="I129" s="46" t="str">
        <f>IF(SIP[[#This Row],[B/S]]="B","BUY",(IF(SIP[[#This Row],[B/S]]="S","SELL"," ")))</f>
        <v>BUY</v>
      </c>
      <c r="J129" s="46" t="s">
        <v>1229</v>
      </c>
      <c r="K129" s="69">
        <v>20000</v>
      </c>
      <c r="L129" s="69"/>
      <c r="M129" s="70">
        <f>SIP[[#This Row],[Amount]]/SIP[[#This Row],[Unit]]</f>
        <v>10.427528675703858</v>
      </c>
      <c r="N129" s="71">
        <f>SIP[[#This Row],[Unit Capital]]/10</f>
        <v>1918</v>
      </c>
      <c r="O129" s="72">
        <f>SUMIFS(SIP[[#Headers],[Unit]]:SIP[[#This Row],[Unit]],SIP[[#Headers],[Investor ID]]:SIP[[#This Row],[Investor ID]],SIP[[#This Row],[Investor ID]])</f>
        <v>1918</v>
      </c>
      <c r="P129" s="73">
        <v>19180</v>
      </c>
      <c r="Q129" s="74">
        <f>SIP[[#This Row],[Amount]]-SIP[[#This Row],[Unit Capital]]</f>
        <v>820</v>
      </c>
      <c r="R1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10.427528675703858</v>
      </c>
      <c r="S129" s="68">
        <f t="shared" si="3"/>
        <v>14.224</v>
      </c>
      <c r="T1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" s="74" cm="1">
        <f t="array" ref="U129">IF(SIP[[#This Row],[B/S]]="S",ABS(SIP[[#This Row],[Unit]])*(INDEX(SIP[NAV at Cost (Average)],MATCH(CONCATENATE((SIP[[#This Row],[Frequency]]-1),SIP[[#This Row],[Investor ID]]),SIP[Unique Code],0),0)),0)</f>
        <v>0</v>
      </c>
      <c r="V129" s="74">
        <f>IF(SIP[[#This Row],[BO TRANSFER]]="YES",SIP[[#This Row],[Unit]],)</f>
        <v>0</v>
      </c>
      <c r="W129" s="74">
        <f>SUMIFS(SIP[[#Headers],[BO UNIT TRANSFER]]:SIP[[#This Row],[BO UNIT TRANSFER]],SIP[[#Headers],[Investor ID]]:SIP[[#This Row],[Investor ID]],SIP[[#This Row],[Investor ID]])</f>
        <v>0</v>
      </c>
    </row>
    <row r="130" spans="1:23" ht="15" customHeight="1">
      <c r="A130" s="46">
        <v>2023</v>
      </c>
      <c r="B130" s="46">
        <v>8</v>
      </c>
      <c r="C130" s="46">
        <v>26</v>
      </c>
      <c r="D130" s="65">
        <f>DATE(SIP[[#This Row],[Year]],SIP[[#This Row],[Month]],SIP[[#This Row],[Day]])</f>
        <v>45164</v>
      </c>
      <c r="E130" s="66" t="str" cm="1">
        <f t="array" ref="E130">INDEX(INVESTORS_LIST[INVESTOR NAME],MATCH(SIP[[#This Row],[Investor ID]],INVESTORS_LIST[INVESTOR CODE],0),)</f>
        <v>SUMAN SAHA</v>
      </c>
      <c r="F130" s="46" t="s">
        <v>1022</v>
      </c>
      <c r="G130" s="46">
        <f>COUNTIF(SIP[[#Headers],[Investor ID]]:SIP[[#This Row],[Investor ID]],SIP[[#This Row],[Investor ID]])</f>
        <v>3</v>
      </c>
      <c r="H130" s="46" t="str">
        <f>CONCATENATE(SIP[[#This Row],[Frequency]],SIP[[#This Row],[Investor ID]])</f>
        <v>3A00488</v>
      </c>
      <c r="I130" s="46" t="str">
        <f>IF(SIP[[#This Row],[B/S]]="B","BUY",(IF(SIP[[#This Row],[B/S]]="S","SELL"," ")))</f>
        <v>BUY</v>
      </c>
      <c r="J130" s="46" t="s">
        <v>1229</v>
      </c>
      <c r="K130" s="69">
        <v>5000</v>
      </c>
      <c r="L130" s="69"/>
      <c r="M130" s="70">
        <f>SIP[[#This Row],[Amount]]/SIP[[#This Row],[Unit]]</f>
        <v>10.416666666666666</v>
      </c>
      <c r="N130" s="71">
        <f>SIP[[#This Row],[Unit Capital]]/10</f>
        <v>480</v>
      </c>
      <c r="O130" s="72">
        <f>SUMIFS(SIP[[#Headers],[Unit]]:SIP[[#This Row],[Unit]],SIP[[#Headers],[Investor ID]]:SIP[[#This Row],[Investor ID]],SIP[[#This Row],[Investor ID]])</f>
        <v>1450</v>
      </c>
      <c r="P130" s="73">
        <v>4800</v>
      </c>
      <c r="Q130" s="74">
        <f>SIP[[#This Row],[Amount]]-SIP[[#This Row],[Unit Capital]]</f>
        <v>200</v>
      </c>
      <c r="R1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10.344827586206897</v>
      </c>
      <c r="S130" s="68">
        <f t="shared" si="3"/>
        <v>14.224</v>
      </c>
      <c r="T1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" s="74" cm="1">
        <f t="array" ref="U130">IF(SIP[[#This Row],[B/S]]="S",ABS(SIP[[#This Row],[Unit]])*(INDEX(SIP[NAV at Cost (Average)],MATCH(CONCATENATE((SIP[[#This Row],[Frequency]]-1),SIP[[#This Row],[Investor ID]]),SIP[Unique Code],0),0)),0)</f>
        <v>0</v>
      </c>
      <c r="V130" s="74">
        <f>IF(SIP[[#This Row],[BO TRANSFER]]="YES",SIP[[#This Row],[Unit]],)</f>
        <v>0</v>
      </c>
      <c r="W130" s="74">
        <f>SUMIFS(SIP[[#Headers],[BO UNIT TRANSFER]]:SIP[[#This Row],[BO UNIT TRANSFER]],SIP[[#Headers],[Investor ID]]:SIP[[#This Row],[Investor ID]],SIP[[#This Row],[Investor ID]])</f>
        <v>0</v>
      </c>
    </row>
    <row r="131" spans="1:23" ht="15" customHeight="1">
      <c r="A131" s="46">
        <v>2023</v>
      </c>
      <c r="B131" s="46">
        <v>8</v>
      </c>
      <c r="C131" s="46">
        <v>26</v>
      </c>
      <c r="D131" s="65">
        <f>DATE(SIP[[#This Row],[Year]],SIP[[#This Row],[Month]],SIP[[#This Row],[Day]])</f>
        <v>45164</v>
      </c>
      <c r="E131" s="66" t="str" cm="1">
        <f t="array" ref="E131">INDEX(INVESTORS_LIST[INVESTOR NAME],MATCH(SIP[[#This Row],[Investor ID]],INVESTORS_LIST[INVESTOR CODE],0),)</f>
        <v>MAYA RANI SAHA</v>
      </c>
      <c r="F131" s="46" t="s">
        <v>224</v>
      </c>
      <c r="G131" s="46">
        <f>COUNTIF(SIP[[#Headers],[Investor ID]]:SIP[[#This Row],[Investor ID]],SIP[[#This Row],[Investor ID]])</f>
        <v>2</v>
      </c>
      <c r="H131" s="46" t="str">
        <f>CONCATENATE(SIP[[#This Row],[Frequency]],SIP[[#This Row],[Investor ID]])</f>
        <v>2A00088</v>
      </c>
      <c r="I131" s="46" t="str">
        <f>IF(SIP[[#This Row],[B/S]]="B","BUY",(IF(SIP[[#This Row],[B/S]]="S","SELL"," ")))</f>
        <v>BUY</v>
      </c>
      <c r="J131" s="46" t="s">
        <v>1229</v>
      </c>
      <c r="K131" s="69">
        <v>14000</v>
      </c>
      <c r="L131" s="69"/>
      <c r="M131" s="70">
        <f>SIP[[#This Row],[Amount]]/SIP[[#This Row],[Unit]]</f>
        <v>10.424422933730455</v>
      </c>
      <c r="N131" s="71">
        <f>SIP[[#This Row],[Unit Capital]]/10</f>
        <v>1343</v>
      </c>
      <c r="O131" s="72">
        <f>SUMIFS(SIP[[#Headers],[Unit]]:SIP[[#This Row],[Unit]],SIP[[#Headers],[Investor ID]]:SIP[[#This Row],[Investor ID]],SIP[[#This Row],[Investor ID]])</f>
        <v>2302</v>
      </c>
      <c r="P131" s="73">
        <v>13430</v>
      </c>
      <c r="Q131" s="74">
        <f>SIP[[#This Row],[Amount]]-SIP[[#This Row],[Unit Capital]]</f>
        <v>570</v>
      </c>
      <c r="R1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10.425716768027801</v>
      </c>
      <c r="S131" s="68">
        <f t="shared" si="3"/>
        <v>14.224</v>
      </c>
      <c r="T1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" s="74" cm="1">
        <f t="array" ref="U131">IF(SIP[[#This Row],[B/S]]="S",ABS(SIP[[#This Row],[Unit]])*(INDEX(SIP[NAV at Cost (Average)],MATCH(CONCATENATE((SIP[[#This Row],[Frequency]]-1),SIP[[#This Row],[Investor ID]]),SIP[Unique Code],0),0)),0)</f>
        <v>0</v>
      </c>
      <c r="V131" s="74">
        <f>IF(SIP[[#This Row],[BO TRANSFER]]="YES",SIP[[#This Row],[Unit]],)</f>
        <v>0</v>
      </c>
      <c r="W131" s="74">
        <f>SUMIFS(SIP[[#Headers],[BO UNIT TRANSFER]]:SIP[[#This Row],[BO UNIT TRANSFER]],SIP[[#Headers],[Investor ID]]:SIP[[#This Row],[Investor ID]],SIP[[#This Row],[Investor ID]])</f>
        <v>0</v>
      </c>
    </row>
    <row r="132" spans="1:23" ht="15" customHeight="1">
      <c r="A132" s="46">
        <v>2023</v>
      </c>
      <c r="B132" s="46">
        <v>8</v>
      </c>
      <c r="C132" s="46">
        <v>26</v>
      </c>
      <c r="D132" s="65">
        <f>DATE(SIP[[#This Row],[Year]],SIP[[#This Row],[Month]],SIP[[#This Row],[Day]])</f>
        <v>45164</v>
      </c>
      <c r="E132" s="66" t="str" cm="1">
        <f t="array" ref="E132">INDEX(INVESTORS_LIST[INVESTOR NAME],MATCH(SIP[[#This Row],[Investor ID]],INVESTORS_LIST[INVESTOR CODE],0),)</f>
        <v>MOHAMMED ALI XAHANGIR</v>
      </c>
      <c r="F132" s="46" t="s">
        <v>312</v>
      </c>
      <c r="G132" s="46">
        <f>COUNTIF(SIP[[#Headers],[Investor ID]]:SIP[[#This Row],[Investor ID]],SIP[[#This Row],[Investor ID]])</f>
        <v>1</v>
      </c>
      <c r="H132" s="46" t="str">
        <f>CONCATENATE(SIP[[#This Row],[Frequency]],SIP[[#This Row],[Investor ID]])</f>
        <v>1A00132</v>
      </c>
      <c r="I132" s="46" t="str">
        <f>IF(SIP[[#This Row],[B/S]]="B","BUY",(IF(SIP[[#This Row],[B/S]]="S","SELL"," ")))</f>
        <v>BUY</v>
      </c>
      <c r="J132" s="46" t="s">
        <v>1229</v>
      </c>
      <c r="K132" s="69">
        <v>20000</v>
      </c>
      <c r="L132" s="69"/>
      <c r="M132" s="70">
        <f>SIP[[#This Row],[Amount]]/SIP[[#This Row],[Unit]]</f>
        <v>10.427528675703858</v>
      </c>
      <c r="N132" s="71">
        <f>SIP[[#This Row],[Unit Capital]]/10</f>
        <v>1918</v>
      </c>
      <c r="O132" s="72">
        <f>SUMIFS(SIP[[#Headers],[Unit]]:SIP[[#This Row],[Unit]],SIP[[#Headers],[Investor ID]]:SIP[[#This Row],[Investor ID]],SIP[[#This Row],[Investor ID]])</f>
        <v>1918</v>
      </c>
      <c r="P132" s="73">
        <v>19180</v>
      </c>
      <c r="Q132" s="74">
        <f>SIP[[#This Row],[Amount]]-SIP[[#This Row],[Unit Capital]]</f>
        <v>820</v>
      </c>
      <c r="R1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10.427528675703858</v>
      </c>
      <c r="S132" s="68">
        <f t="shared" si="3"/>
        <v>14.224</v>
      </c>
      <c r="T1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" s="74" cm="1">
        <f t="array" ref="U132">IF(SIP[[#This Row],[B/S]]="S",ABS(SIP[[#This Row],[Unit]])*(INDEX(SIP[NAV at Cost (Average)],MATCH(CONCATENATE((SIP[[#This Row],[Frequency]]-1),SIP[[#This Row],[Investor ID]]),SIP[Unique Code],0),0)),0)</f>
        <v>0</v>
      </c>
      <c r="V132" s="74">
        <f>IF(SIP[[#This Row],[BO TRANSFER]]="YES",SIP[[#This Row],[Unit]],)</f>
        <v>0</v>
      </c>
      <c r="W132" s="74">
        <f>SUMIFS(SIP[[#Headers],[BO UNIT TRANSFER]]:SIP[[#This Row],[BO UNIT TRANSFER]],SIP[[#Headers],[Investor ID]]:SIP[[#This Row],[Investor ID]],SIP[[#This Row],[Investor ID]])</f>
        <v>0</v>
      </c>
    </row>
    <row r="133" spans="1:23" ht="15" customHeight="1">
      <c r="A133" s="46">
        <v>2023</v>
      </c>
      <c r="B133" s="46">
        <v>8</v>
      </c>
      <c r="C133" s="46">
        <v>28</v>
      </c>
      <c r="D133" s="65">
        <f>DATE(SIP[[#This Row],[Year]],SIP[[#This Row],[Month]],SIP[[#This Row],[Day]])</f>
        <v>45166</v>
      </c>
      <c r="E133" s="66" t="str" cm="1">
        <f t="array" ref="E133">INDEX(INVESTORS_LIST[INVESTOR NAME],MATCH(SIP[[#This Row],[Investor ID]],INVESTORS_LIST[INVESTOR CODE],0),)</f>
        <v>SRIJON GHOSH</v>
      </c>
      <c r="F133" s="46" t="s">
        <v>894</v>
      </c>
      <c r="G133" s="46">
        <f>COUNTIF(SIP[[#Headers],[Investor ID]]:SIP[[#This Row],[Investor ID]],SIP[[#This Row],[Investor ID]])</f>
        <v>8</v>
      </c>
      <c r="H133" s="46" t="str">
        <f>CONCATENATE(SIP[[#This Row],[Frequency]],SIP[[#This Row],[Investor ID]])</f>
        <v>8A00424</v>
      </c>
      <c r="I133" s="46" t="str">
        <f>IF(SIP[[#This Row],[B/S]]="B","BUY",(IF(SIP[[#This Row],[B/S]]="S","SELL"," ")))</f>
        <v>SELL</v>
      </c>
      <c r="J133" s="46" t="s">
        <v>1231</v>
      </c>
      <c r="K133" s="69">
        <v>-5000</v>
      </c>
      <c r="L133" s="69"/>
      <c r="M133" s="70">
        <f>SIP[[#This Row],[Amount]]/SIP[[#This Row],[Unit]]</f>
        <v>10.416666666666666</v>
      </c>
      <c r="N133" s="71">
        <f>SIP[[#This Row],[Unit Capital]]/10</f>
        <v>-480</v>
      </c>
      <c r="O133" s="72">
        <f>SUMIFS(SIP[[#Headers],[Unit]]:SIP[[#This Row],[Unit]],SIP[[#Headers],[Investor ID]]:SIP[[#This Row],[Investor ID]],SIP[[#This Row],[Investor ID]])</f>
        <v>12210</v>
      </c>
      <c r="P133" s="73">
        <v>-4800</v>
      </c>
      <c r="Q133" s="74">
        <f>SIP[[#This Row],[Amount]]-SIP[[#This Row],[Unit Capital]]</f>
        <v>-200</v>
      </c>
      <c r="R1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10.244286840031521</v>
      </c>
      <c r="S133" s="68">
        <f t="shared" si="3"/>
        <v>14.224</v>
      </c>
      <c r="T133" s="74">
        <f>IF(SIP[[#This Row],[B/S]]="B",0,ABS(SIP[[#This Row],[Unit]])*(SIP[[#This Row],[NAV (Strike Rate)]]-INDEX(SIP[NAV at Cost (Average)],MATCH(CONCATENATE(SIP[[#This Row],[Frequency]]-1,SIP[[#This Row],[Investor ID]]),SIP[Unique Code],0),)))</f>
        <v>82.742316784869843</v>
      </c>
      <c r="U133" s="74" cm="1">
        <f t="array" ref="U133">IF(SIP[[#This Row],[B/S]]="S",ABS(SIP[[#This Row],[Unit]])*(INDEX(SIP[NAV at Cost (Average)],MATCH(CONCATENATE((SIP[[#This Row],[Frequency]]-1),SIP[[#This Row],[Investor ID]]),SIP[Unique Code],0),0)),0)</f>
        <v>4917.2576832151299</v>
      </c>
      <c r="V133" s="74">
        <f>IF(SIP[[#This Row],[BO TRANSFER]]="YES",SIP[[#This Row],[Unit]],)</f>
        <v>0</v>
      </c>
      <c r="W133" s="74">
        <f>SUMIFS(SIP[[#Headers],[BO UNIT TRANSFER]]:SIP[[#This Row],[BO UNIT TRANSFER]],SIP[[#Headers],[Investor ID]]:SIP[[#This Row],[Investor ID]],SIP[[#This Row],[Investor ID]])</f>
        <v>0</v>
      </c>
    </row>
    <row r="134" spans="1:23" ht="15" customHeight="1">
      <c r="A134" s="46">
        <v>2023</v>
      </c>
      <c r="B134" s="46">
        <v>8</v>
      </c>
      <c r="C134" s="46">
        <v>29</v>
      </c>
      <c r="D134" s="65">
        <f>DATE(SIP[[#This Row],[Year]],SIP[[#This Row],[Month]],SIP[[#This Row],[Day]])</f>
        <v>45167</v>
      </c>
      <c r="E134" s="66" t="str" cm="1">
        <f t="array" ref="E134">INDEX(INVESTORS_LIST[INVESTOR NAME],MATCH(SIP[[#This Row],[Investor ID]],INVESTORS_LIST[INVESTOR CODE],0),)</f>
        <v>MOHAMMED MUQEET HALIM</v>
      </c>
      <c r="F134" s="46" t="s">
        <v>1014</v>
      </c>
      <c r="G134" s="46">
        <f>COUNTIF(SIP[[#Headers],[Investor ID]]:SIP[[#This Row],[Investor ID]],SIP[[#This Row],[Investor ID]])</f>
        <v>2</v>
      </c>
      <c r="H134" s="46" t="str">
        <f>CONCATENATE(SIP[[#This Row],[Frequency]],SIP[[#This Row],[Investor ID]])</f>
        <v>2A00484</v>
      </c>
      <c r="I134" s="46" t="str">
        <f>IF(SIP[[#This Row],[B/S]]="B","BUY",(IF(SIP[[#This Row],[B/S]]="S","SELL"," ")))</f>
        <v>BUY</v>
      </c>
      <c r="J134" s="46" t="s">
        <v>1229</v>
      </c>
      <c r="K134" s="69">
        <v>15000</v>
      </c>
      <c r="L134" s="69"/>
      <c r="M134" s="70">
        <f>SIP[[#This Row],[Amount]]/SIP[[#This Row],[Unit]]</f>
        <v>10.423905489923557</v>
      </c>
      <c r="N134" s="71">
        <f>SIP[[#This Row],[Unit Capital]]/10</f>
        <v>1439</v>
      </c>
      <c r="O134" s="72">
        <f>SUMIFS(SIP[[#Headers],[Unit]]:SIP[[#This Row],[Unit]],SIP[[#Headers],[Investor ID]]:SIP[[#This Row],[Investor ID]],SIP[[#This Row],[Investor ID]])</f>
        <v>1926</v>
      </c>
      <c r="P134" s="73">
        <v>14390</v>
      </c>
      <c r="Q134" s="74">
        <f>SIP[[#This Row],[Amount]]-SIP[[#This Row],[Unit Capital]]</f>
        <v>610</v>
      </c>
      <c r="R1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10.384215991692628</v>
      </c>
      <c r="S134" s="68">
        <f t="shared" si="3"/>
        <v>14.224</v>
      </c>
      <c r="T1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" s="74" cm="1">
        <f t="array" ref="U134">IF(SIP[[#This Row],[B/S]]="S",ABS(SIP[[#This Row],[Unit]])*(INDEX(SIP[NAV at Cost (Average)],MATCH(CONCATENATE((SIP[[#This Row],[Frequency]]-1),SIP[[#This Row],[Investor ID]]),SIP[Unique Code],0),0)),0)</f>
        <v>0</v>
      </c>
      <c r="V134" s="74">
        <f>IF(SIP[[#This Row],[BO TRANSFER]]="YES",SIP[[#This Row],[Unit]],)</f>
        <v>0</v>
      </c>
      <c r="W134" s="74">
        <f>SUMIFS(SIP[[#Headers],[BO UNIT TRANSFER]]:SIP[[#This Row],[BO UNIT TRANSFER]],SIP[[#Headers],[Investor ID]]:SIP[[#This Row],[Investor ID]],SIP[[#This Row],[Investor ID]])</f>
        <v>0</v>
      </c>
    </row>
    <row r="135" spans="1:23" ht="15" customHeight="1">
      <c r="A135" s="46">
        <v>2023</v>
      </c>
      <c r="B135" s="46">
        <v>8</v>
      </c>
      <c r="C135" s="46">
        <v>30</v>
      </c>
      <c r="D135" s="65">
        <f>DATE(SIP[[#This Row],[Year]],SIP[[#This Row],[Month]],SIP[[#This Row],[Day]])</f>
        <v>45168</v>
      </c>
      <c r="E135" s="66" t="str" cm="1">
        <f t="array" ref="E135">INDEX(INVESTORS_LIST[INVESTOR NAME],MATCH(SIP[[#This Row],[Investor ID]],INVESTORS_LIST[INVESTOR CODE],0),)</f>
        <v>SRIJON GHOSH</v>
      </c>
      <c r="F135" s="46" t="s">
        <v>894</v>
      </c>
      <c r="G135" s="46">
        <f>COUNTIF(SIP[[#Headers],[Investor ID]]:SIP[[#This Row],[Investor ID]],SIP[[#This Row],[Investor ID]])</f>
        <v>9</v>
      </c>
      <c r="H135" s="46" t="str">
        <f>CONCATENATE(SIP[[#This Row],[Frequency]],SIP[[#This Row],[Investor ID]])</f>
        <v>9A00424</v>
      </c>
      <c r="I135" s="46" t="str">
        <f>IF(SIP[[#This Row],[B/S]]="B","BUY",(IF(SIP[[#This Row],[B/S]]="S","SELL"," ")))</f>
        <v>SELL</v>
      </c>
      <c r="J135" s="46" t="s">
        <v>1231</v>
      </c>
      <c r="K135" s="69">
        <v>-5000</v>
      </c>
      <c r="L135" s="69"/>
      <c r="M135" s="70">
        <f>SIP[[#This Row],[Amount]]/SIP[[#This Row],[Unit]]</f>
        <v>10.416666666666666</v>
      </c>
      <c r="N135" s="71">
        <f>SIP[[#This Row],[Unit Capital]]/10</f>
        <v>-480</v>
      </c>
      <c r="O135" s="72">
        <f>SUMIFS(SIP[[#Headers],[Unit]]:SIP[[#This Row],[Unit]],SIP[[#Headers],[Investor ID]]:SIP[[#This Row],[Investor ID]],SIP[[#This Row],[Investor ID]])</f>
        <v>11730</v>
      </c>
      <c r="P135" s="73">
        <v>-4800</v>
      </c>
      <c r="Q135" s="74">
        <f>SIP[[#This Row],[Amount]]-SIP[[#This Row],[Unit Capital]]</f>
        <v>-200</v>
      </c>
      <c r="R1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10.244286840031521</v>
      </c>
      <c r="S135" s="68">
        <f t="shared" si="3"/>
        <v>14.224</v>
      </c>
      <c r="T135" s="74">
        <f>IF(SIP[[#This Row],[B/S]]="B",0,ABS(SIP[[#This Row],[Unit]])*(SIP[[#This Row],[NAV (Strike Rate)]]-INDEX(SIP[NAV at Cost (Average)],MATCH(CONCATENATE(SIP[[#This Row],[Frequency]]-1,SIP[[#This Row],[Investor ID]]),SIP[Unique Code],0),)))</f>
        <v>82.742316784869843</v>
      </c>
      <c r="U135" s="74" cm="1">
        <f t="array" ref="U135">IF(SIP[[#This Row],[B/S]]="S",ABS(SIP[[#This Row],[Unit]])*(INDEX(SIP[NAV at Cost (Average)],MATCH(CONCATENATE((SIP[[#This Row],[Frequency]]-1),SIP[[#This Row],[Investor ID]]),SIP[Unique Code],0),0)),0)</f>
        <v>4917.2576832151299</v>
      </c>
      <c r="V135" s="74">
        <f>IF(SIP[[#This Row],[BO TRANSFER]]="YES",SIP[[#This Row],[Unit]],)</f>
        <v>0</v>
      </c>
      <c r="W135" s="74">
        <f>SUMIFS(SIP[[#Headers],[BO UNIT TRANSFER]]:SIP[[#This Row],[BO UNIT TRANSFER]],SIP[[#Headers],[Investor ID]]:SIP[[#This Row],[Investor ID]],SIP[[#This Row],[Investor ID]])</f>
        <v>0</v>
      </c>
    </row>
    <row r="136" spans="1:23" ht="15" customHeight="1">
      <c r="A136" s="46">
        <v>2023</v>
      </c>
      <c r="B136" s="46">
        <v>9</v>
      </c>
      <c r="C136" s="46">
        <v>5</v>
      </c>
      <c r="D136" s="65">
        <f>DATE(SIP[[#This Row],[Year]],SIP[[#This Row],[Month]],SIP[[#This Row],[Day]])</f>
        <v>45174</v>
      </c>
      <c r="E136" s="66" t="str" cm="1">
        <f t="array" ref="E136">INDEX(INVESTORS_LIST[INVESTOR NAME],MATCH(SIP[[#This Row],[Investor ID]],INVESTORS_LIST[INVESTOR CODE],0),)</f>
        <v>SHUVA SAHA</v>
      </c>
      <c r="F136" s="46" t="s">
        <v>154</v>
      </c>
      <c r="G136" s="46">
        <f>COUNTIF(SIP[[#Headers],[Investor ID]]:SIP[[#This Row],[Investor ID]],SIP[[#This Row],[Investor ID]])</f>
        <v>6</v>
      </c>
      <c r="H136" s="46" t="str">
        <f>CONCATENATE(SIP[[#This Row],[Frequency]],SIP[[#This Row],[Investor ID]])</f>
        <v>6A00053</v>
      </c>
      <c r="I136" s="46" t="str">
        <f>IF(SIP[[#This Row],[B/S]]="B","BUY",(IF(SIP[[#This Row],[B/S]]="S","SELL"," ")))</f>
        <v>BUY</v>
      </c>
      <c r="J136" s="46" t="s">
        <v>1229</v>
      </c>
      <c r="K136" s="69">
        <v>70000</v>
      </c>
      <c r="L136" s="69"/>
      <c r="M136" s="70">
        <f>SIP[[#This Row],[Amount]]/SIP[[#This Row],[Unit]]</f>
        <v>10.438413361169102</v>
      </c>
      <c r="N136" s="71">
        <f>SIP[[#This Row],[Unit Capital]]/10</f>
        <v>6706</v>
      </c>
      <c r="O136" s="72">
        <f>SUMIFS(SIP[[#Headers],[Unit]]:SIP[[#This Row],[Unit]],SIP[[#Headers],[Investor ID]]:SIP[[#This Row],[Investor ID]],SIP[[#This Row],[Investor ID]])</f>
        <v>38981</v>
      </c>
      <c r="P136" s="73">
        <v>67060</v>
      </c>
      <c r="Q136" s="74">
        <f>SIP[[#This Row],[Amount]]-SIP[[#This Row],[Unit Capital]]</f>
        <v>2940</v>
      </c>
      <c r="R1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10.261409404581721</v>
      </c>
      <c r="S136" s="68">
        <f t="shared" ref="S136:S148" si="4">NAV_MKT</f>
        <v>14.224</v>
      </c>
      <c r="T1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" s="74" cm="1">
        <f t="array" ref="U136">IF(SIP[[#This Row],[B/S]]="S",ABS(SIP[[#This Row],[Unit]])*(INDEX(SIP[NAV at Cost (Average)],MATCH(CONCATENATE((SIP[[#This Row],[Frequency]]-1),SIP[[#This Row],[Investor ID]]),SIP[Unique Code],0),0)),0)</f>
        <v>0</v>
      </c>
      <c r="V136" s="74">
        <f>IF(SIP[[#This Row],[BO TRANSFER]]="YES",SIP[[#This Row],[Unit]],)</f>
        <v>0</v>
      </c>
      <c r="W136" s="74">
        <f>SUMIFS(SIP[[#Headers],[BO UNIT TRANSFER]]:SIP[[#This Row],[BO UNIT TRANSFER]],SIP[[#Headers],[Investor ID]]:SIP[[#This Row],[Investor ID]],SIP[[#This Row],[Investor ID]])</f>
        <v>0</v>
      </c>
    </row>
    <row r="137" spans="1:23" ht="15" customHeight="1">
      <c r="A137" s="46">
        <v>2023</v>
      </c>
      <c r="B137" s="46">
        <v>9</v>
      </c>
      <c r="C137" s="46">
        <v>5</v>
      </c>
      <c r="D137" s="65">
        <f>DATE(SIP[[#This Row],[Year]],SIP[[#This Row],[Month]],SIP[[#This Row],[Day]])</f>
        <v>45174</v>
      </c>
      <c r="E137" s="66" t="str" cm="1">
        <f t="array" ref="E137">INDEX(INVESTORS_LIST[INVESTOR NAME],MATCH(SIP[[#This Row],[Investor ID]],INVESTORS_LIST[INVESTOR CODE],0),)</f>
        <v>FAIYEAD AHMEDUL HYE</v>
      </c>
      <c r="F137" s="46" t="s">
        <v>368</v>
      </c>
      <c r="G137" s="46">
        <f>COUNTIF(SIP[[#Headers],[Investor ID]]:SIP[[#This Row],[Investor ID]],SIP[[#This Row],[Investor ID]])</f>
        <v>4</v>
      </c>
      <c r="H137" s="46" t="str">
        <f>CONCATENATE(SIP[[#This Row],[Frequency]],SIP[[#This Row],[Investor ID]])</f>
        <v>4A00160</v>
      </c>
      <c r="I137" s="46" t="str">
        <f>IF(SIP[[#This Row],[B/S]]="B","BUY",(IF(SIP[[#This Row],[B/S]]="S","SELL"," ")))</f>
        <v>BUY</v>
      </c>
      <c r="J137" s="46" t="s">
        <v>1229</v>
      </c>
      <c r="K137" s="69">
        <v>15000</v>
      </c>
      <c r="L137" s="69"/>
      <c r="M137" s="70">
        <f>SIP[[#This Row],[Amount]]/SIP[[#This Row],[Unit]]</f>
        <v>10.438413361169102</v>
      </c>
      <c r="N137" s="71">
        <f>SIP[[#This Row],[Unit Capital]]/10</f>
        <v>1437</v>
      </c>
      <c r="O137" s="72">
        <f>SUMIFS(SIP[[#Headers],[Unit]]:SIP[[#This Row],[Unit]],SIP[[#Headers],[Investor ID]]:SIP[[#This Row],[Investor ID]],SIP[[#This Row],[Investor ID]])</f>
        <v>5814</v>
      </c>
      <c r="P137" s="73">
        <v>14370</v>
      </c>
      <c r="Q137" s="74">
        <f>SIP[[#This Row],[Amount]]-SIP[[#This Row],[Unit Capital]]</f>
        <v>630</v>
      </c>
      <c r="R1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10.319917440660474</v>
      </c>
      <c r="S137" s="68">
        <f t="shared" si="4"/>
        <v>14.224</v>
      </c>
      <c r="T1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" s="74" cm="1">
        <f t="array" ref="U137">IF(SIP[[#This Row],[B/S]]="S",ABS(SIP[[#This Row],[Unit]])*(INDEX(SIP[NAV at Cost (Average)],MATCH(CONCATENATE((SIP[[#This Row],[Frequency]]-1),SIP[[#This Row],[Investor ID]]),SIP[Unique Code],0),0)),0)</f>
        <v>0</v>
      </c>
      <c r="V137" s="74">
        <f>IF(SIP[[#This Row],[BO TRANSFER]]="YES",SIP[[#This Row],[Unit]],)</f>
        <v>0</v>
      </c>
      <c r="W137" s="74">
        <f>SUMIFS(SIP[[#Headers],[BO UNIT TRANSFER]]:SIP[[#This Row],[BO UNIT TRANSFER]],SIP[[#Headers],[Investor ID]]:SIP[[#This Row],[Investor ID]],SIP[[#This Row],[Investor ID]])</f>
        <v>0</v>
      </c>
    </row>
    <row r="138" spans="1:23" ht="15" customHeight="1">
      <c r="A138" s="46">
        <v>2023</v>
      </c>
      <c r="B138" s="46">
        <v>9</v>
      </c>
      <c r="C138" s="46">
        <v>5</v>
      </c>
      <c r="D138" s="65">
        <f>DATE(SIP[[#This Row],[Year]],SIP[[#This Row],[Month]],SIP[[#This Row],[Day]])</f>
        <v>45174</v>
      </c>
      <c r="E138" s="66" t="str" cm="1">
        <f t="array" ref="E138">INDEX(INVESTORS_LIST[INVESTOR NAME],MATCH(SIP[[#This Row],[Investor ID]],INVESTORS_LIST[INVESTOR CODE],0),)</f>
        <v>KAZI AHSAN MARUF</v>
      </c>
      <c r="F138" s="46" t="s">
        <v>158</v>
      </c>
      <c r="G138" s="46">
        <f>COUNTIF(SIP[[#Headers],[Investor ID]]:SIP[[#This Row],[Investor ID]],SIP[[#This Row],[Investor ID]])</f>
        <v>5</v>
      </c>
      <c r="H138" s="46" t="str">
        <f>CONCATENATE(SIP[[#This Row],[Frequency]],SIP[[#This Row],[Investor ID]])</f>
        <v>5A00055</v>
      </c>
      <c r="I138" s="46" t="str">
        <f>IF(SIP[[#This Row],[B/S]]="B","BUY",(IF(SIP[[#This Row],[B/S]]="S","SELL"," ")))</f>
        <v>BUY</v>
      </c>
      <c r="J138" s="46" t="s">
        <v>1229</v>
      </c>
      <c r="K138" s="69">
        <v>50000</v>
      </c>
      <c r="L138" s="69"/>
      <c r="M138" s="70">
        <f>SIP[[#This Row],[Amount]]/SIP[[#This Row],[Unit]]</f>
        <v>10.438413361169102</v>
      </c>
      <c r="N138" s="71">
        <f>SIP[[#This Row],[Unit Capital]]/10</f>
        <v>4790</v>
      </c>
      <c r="O138" s="72">
        <f>SUMIFS(SIP[[#Headers],[Unit]]:SIP[[#This Row],[Unit]],SIP[[#Headers],[Investor ID]]:SIP[[#This Row],[Investor ID]],SIP[[#This Row],[Investor ID]])</f>
        <v>24317</v>
      </c>
      <c r="P138" s="73">
        <v>47900</v>
      </c>
      <c r="Q138" s="74">
        <f>SIP[[#This Row],[Amount]]-SIP[[#This Row],[Unit Capital]]</f>
        <v>2100</v>
      </c>
      <c r="R1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10.280873463009417</v>
      </c>
      <c r="S138" s="68">
        <f t="shared" si="4"/>
        <v>14.224</v>
      </c>
      <c r="T1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" s="74" cm="1">
        <f t="array" ref="U138">IF(SIP[[#This Row],[B/S]]="S",ABS(SIP[[#This Row],[Unit]])*(INDEX(SIP[NAV at Cost (Average)],MATCH(CONCATENATE((SIP[[#This Row],[Frequency]]-1),SIP[[#This Row],[Investor ID]]),SIP[Unique Code],0),0)),0)</f>
        <v>0</v>
      </c>
      <c r="V138" s="74">
        <f>IF(SIP[[#This Row],[BO TRANSFER]]="YES",SIP[[#This Row],[Unit]],)</f>
        <v>0</v>
      </c>
      <c r="W138" s="74">
        <f>SUMIFS(SIP[[#Headers],[BO UNIT TRANSFER]]:SIP[[#This Row],[BO UNIT TRANSFER]],SIP[[#Headers],[Investor ID]]:SIP[[#This Row],[Investor ID]],SIP[[#This Row],[Investor ID]])</f>
        <v>0</v>
      </c>
    </row>
    <row r="139" spans="1:23" ht="15" customHeight="1">
      <c r="A139" s="46">
        <v>2023</v>
      </c>
      <c r="B139" s="46">
        <v>9</v>
      </c>
      <c r="C139" s="46">
        <v>5</v>
      </c>
      <c r="D139" s="65">
        <f>DATE(SIP[[#This Row],[Year]],SIP[[#This Row],[Month]],SIP[[#This Row],[Day]])</f>
        <v>45174</v>
      </c>
      <c r="E139" s="66" t="str" cm="1">
        <f t="array" ref="E139">INDEX(INVESTORS_LIST[INVESTOR NAME],MATCH(SIP[[#This Row],[Investor ID]],INVESTORS_LIST[INVESTOR CODE],0),)</f>
        <v>CHAONIKA SAHA</v>
      </c>
      <c r="F139" s="46" t="s">
        <v>238</v>
      </c>
      <c r="G139" s="46">
        <f>COUNTIF(SIP[[#Headers],[Investor ID]]:SIP[[#This Row],[Investor ID]],SIP[[#This Row],[Investor ID]])</f>
        <v>1</v>
      </c>
      <c r="H139" s="46" t="str">
        <f>CONCATENATE(SIP[[#This Row],[Frequency]],SIP[[#This Row],[Investor ID]])</f>
        <v>1A00095</v>
      </c>
      <c r="I139" s="46" t="str">
        <f>IF(SIP[[#This Row],[B/S]]="B","BUY",(IF(SIP[[#This Row],[B/S]]="S","SELL"," ")))</f>
        <v>BUY</v>
      </c>
      <c r="J139" s="46" t="s">
        <v>1229</v>
      </c>
      <c r="K139" s="69">
        <v>1000</v>
      </c>
      <c r="L139" s="69"/>
      <c r="M139" s="70">
        <f>SIP[[#This Row],[Amount]]/SIP[[#This Row],[Unit]]</f>
        <v>10.416666666666666</v>
      </c>
      <c r="N139" s="71">
        <f>SIP[[#This Row],[Unit Capital]]/10</f>
        <v>96</v>
      </c>
      <c r="O139" s="72">
        <f>SUMIFS(SIP[[#Headers],[Unit]]:SIP[[#This Row],[Unit]],SIP[[#Headers],[Investor ID]]:SIP[[#This Row],[Investor ID]],SIP[[#This Row],[Investor ID]])</f>
        <v>96</v>
      </c>
      <c r="P139" s="73">
        <v>960</v>
      </c>
      <c r="Q139" s="74">
        <f>SIP[[#This Row],[Amount]]-SIP[[#This Row],[Unit Capital]]</f>
        <v>40</v>
      </c>
      <c r="R1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10.416666666666666</v>
      </c>
      <c r="S139" s="68">
        <f t="shared" si="4"/>
        <v>14.224</v>
      </c>
      <c r="T1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" s="74" cm="1">
        <f t="array" ref="U139">IF(SIP[[#This Row],[B/S]]="S",ABS(SIP[[#This Row],[Unit]])*(INDEX(SIP[NAV at Cost (Average)],MATCH(CONCATENATE((SIP[[#This Row],[Frequency]]-1),SIP[[#This Row],[Investor ID]]),SIP[Unique Code],0),0)),0)</f>
        <v>0</v>
      </c>
      <c r="V139" s="74">
        <f>IF(SIP[[#This Row],[BO TRANSFER]]="YES",SIP[[#This Row],[Unit]],)</f>
        <v>0</v>
      </c>
      <c r="W139" s="74">
        <f>SUMIFS(SIP[[#Headers],[BO UNIT TRANSFER]]:SIP[[#This Row],[BO UNIT TRANSFER]],SIP[[#Headers],[Investor ID]]:SIP[[#This Row],[Investor ID]],SIP[[#This Row],[Investor ID]])</f>
        <v>0</v>
      </c>
    </row>
    <row r="140" spans="1:23" ht="15" customHeight="1">
      <c r="A140" s="46">
        <v>2023</v>
      </c>
      <c r="B140" s="46">
        <v>9</v>
      </c>
      <c r="C140" s="46">
        <v>5</v>
      </c>
      <c r="D140" s="65">
        <f>DATE(SIP[[#This Row],[Year]],SIP[[#This Row],[Month]],SIP[[#This Row],[Day]])</f>
        <v>45174</v>
      </c>
      <c r="E140" s="66" t="str" cm="1">
        <f t="array" ref="E140">INDEX(INVESTORS_LIST[INVESTOR NAME],MATCH(SIP[[#This Row],[Investor ID]],INVESTORS_LIST[INVESTOR CODE],0),)</f>
        <v>SK FEROZ ALAM</v>
      </c>
      <c r="F140" s="46" t="s">
        <v>240</v>
      </c>
      <c r="G140" s="46">
        <f>COUNTIF(SIP[[#Headers],[Investor ID]]:SIP[[#This Row],[Investor ID]],SIP[[#This Row],[Investor ID]])</f>
        <v>1</v>
      </c>
      <c r="H140" s="46" t="str">
        <f>CONCATENATE(SIP[[#This Row],[Frequency]],SIP[[#This Row],[Investor ID]])</f>
        <v>1A00096</v>
      </c>
      <c r="I140" s="46" t="str">
        <f>IF(SIP[[#This Row],[B/S]]="B","BUY",(IF(SIP[[#This Row],[B/S]]="S","SELL"," ")))</f>
        <v>BUY</v>
      </c>
      <c r="J140" s="46" t="s">
        <v>1229</v>
      </c>
      <c r="K140" s="69">
        <v>2000</v>
      </c>
      <c r="L140" s="69"/>
      <c r="M140" s="70">
        <f>SIP[[#This Row],[Amount]]/SIP[[#This Row],[Unit]]</f>
        <v>10.416666666666666</v>
      </c>
      <c r="N140" s="71">
        <f>SIP[[#This Row],[Unit Capital]]/10</f>
        <v>192</v>
      </c>
      <c r="O140" s="72">
        <f>SUMIFS(SIP[[#Headers],[Unit]]:SIP[[#This Row],[Unit]],SIP[[#Headers],[Investor ID]]:SIP[[#This Row],[Investor ID]],SIP[[#This Row],[Investor ID]])</f>
        <v>192</v>
      </c>
      <c r="P140" s="73">
        <v>1920</v>
      </c>
      <c r="Q140" s="74">
        <f>SIP[[#This Row],[Amount]]-SIP[[#This Row],[Unit Capital]]</f>
        <v>80</v>
      </c>
      <c r="R1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10.416666666666666</v>
      </c>
      <c r="S140" s="68">
        <f t="shared" si="4"/>
        <v>14.224</v>
      </c>
      <c r="T1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" s="74" cm="1">
        <f t="array" ref="U140">IF(SIP[[#This Row],[B/S]]="S",ABS(SIP[[#This Row],[Unit]])*(INDEX(SIP[NAV at Cost (Average)],MATCH(CONCATENATE((SIP[[#This Row],[Frequency]]-1),SIP[[#This Row],[Investor ID]]),SIP[Unique Code],0),0)),0)</f>
        <v>0</v>
      </c>
      <c r="V140" s="74">
        <f>IF(SIP[[#This Row],[BO TRANSFER]]="YES",SIP[[#This Row],[Unit]],)</f>
        <v>0</v>
      </c>
      <c r="W140" s="74">
        <f>SUMIFS(SIP[[#Headers],[BO UNIT TRANSFER]]:SIP[[#This Row],[BO UNIT TRANSFER]],SIP[[#Headers],[Investor ID]]:SIP[[#This Row],[Investor ID]],SIP[[#This Row],[Investor ID]])</f>
        <v>0</v>
      </c>
    </row>
    <row r="141" spans="1:23" ht="15" customHeight="1">
      <c r="A141" s="46">
        <v>2023</v>
      </c>
      <c r="B141" s="46">
        <v>9</v>
      </c>
      <c r="C141" s="46">
        <v>5</v>
      </c>
      <c r="D141" s="65">
        <f>DATE(SIP[[#This Row],[Year]],SIP[[#This Row],[Month]],SIP[[#This Row],[Day]])</f>
        <v>45174</v>
      </c>
      <c r="E141" s="66" t="str" cm="1">
        <f t="array" ref="E141">INDEX(INVESTORS_LIST[INVESTOR NAME],MATCH(SIP[[#This Row],[Investor ID]],INVESTORS_LIST[INVESTOR CODE],0),)</f>
        <v>ANJAN MALLIK</v>
      </c>
      <c r="F141" s="46" t="s">
        <v>546</v>
      </c>
      <c r="G141" s="46">
        <f>COUNTIF(SIP[[#Headers],[Investor ID]]:SIP[[#This Row],[Investor ID]],SIP[[#This Row],[Investor ID]])</f>
        <v>6</v>
      </c>
      <c r="H141" s="46" t="str">
        <f>CONCATENATE(SIP[[#This Row],[Frequency]],SIP[[#This Row],[Investor ID]])</f>
        <v>6A00248</v>
      </c>
      <c r="I141" s="46" t="str">
        <f>IF(SIP[[#This Row],[B/S]]="B","BUY",(IF(SIP[[#This Row],[B/S]]="S","SELL"," ")))</f>
        <v>BUY</v>
      </c>
      <c r="J141" s="46" t="s">
        <v>1229</v>
      </c>
      <c r="K141" s="69">
        <v>50000</v>
      </c>
      <c r="L141" s="69"/>
      <c r="M141" s="70">
        <f>SIP[[#This Row],[Amount]]/SIP[[#This Row],[Unit]]</f>
        <v>10.438413361169102</v>
      </c>
      <c r="N141" s="71">
        <f>SIP[[#This Row],[Unit Capital]]/10</f>
        <v>4790</v>
      </c>
      <c r="O141" s="72">
        <f>SUMIFS(SIP[[#Headers],[Unit]]:SIP[[#This Row],[Unit]],SIP[[#Headers],[Investor ID]]:SIP[[#This Row],[Investor ID]],SIP[[#This Row],[Investor ID]])</f>
        <v>29272</v>
      </c>
      <c r="P141" s="73">
        <v>47900</v>
      </c>
      <c r="Q141" s="74">
        <f>SIP[[#This Row],[Amount]]-SIP[[#This Row],[Unit Capital]]</f>
        <v>2100</v>
      </c>
      <c r="R1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10.248701831101394</v>
      </c>
      <c r="S141" s="68">
        <f t="shared" si="4"/>
        <v>14.224</v>
      </c>
      <c r="T1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" s="74" cm="1">
        <f t="array" ref="U141">IF(SIP[[#This Row],[B/S]]="S",ABS(SIP[[#This Row],[Unit]])*(INDEX(SIP[NAV at Cost (Average)],MATCH(CONCATENATE((SIP[[#This Row],[Frequency]]-1),SIP[[#This Row],[Investor ID]]),SIP[Unique Code],0),0)),0)</f>
        <v>0</v>
      </c>
      <c r="V141" s="74">
        <f>IF(SIP[[#This Row],[BO TRANSFER]]="YES",SIP[[#This Row],[Unit]],)</f>
        <v>0</v>
      </c>
      <c r="W141" s="74">
        <f>SUMIFS(SIP[[#Headers],[BO UNIT TRANSFER]]:SIP[[#This Row],[BO UNIT TRANSFER]],SIP[[#Headers],[Investor ID]]:SIP[[#This Row],[Investor ID]],SIP[[#This Row],[Investor ID]])</f>
        <v>0</v>
      </c>
    </row>
    <row r="142" spans="1:23" ht="15" customHeight="1">
      <c r="A142" s="46">
        <v>2023</v>
      </c>
      <c r="B142" s="46">
        <v>9</v>
      </c>
      <c r="C142" s="46">
        <v>5</v>
      </c>
      <c r="D142" s="65">
        <f>DATE(SIP[[#This Row],[Year]],SIP[[#This Row],[Month]],SIP[[#This Row],[Day]])</f>
        <v>45174</v>
      </c>
      <c r="E142" s="66" t="str" cm="1">
        <f t="array" ref="E142">INDEX(INVESTORS_LIST[INVESTOR NAME],MATCH(SIP[[#This Row],[Investor ID]],INVESTORS_LIST[INVESTOR CODE],0),)</f>
        <v>NANDINI SAHA</v>
      </c>
      <c r="F142" s="46" t="s">
        <v>242</v>
      </c>
      <c r="G142" s="46">
        <f>COUNTIF(SIP[[#Headers],[Investor ID]]:SIP[[#This Row],[Investor ID]],SIP[[#This Row],[Investor ID]])</f>
        <v>5</v>
      </c>
      <c r="H142" s="46" t="str">
        <f>CONCATENATE(SIP[[#This Row],[Frequency]],SIP[[#This Row],[Investor ID]])</f>
        <v>5A00097</v>
      </c>
      <c r="I142" s="46" t="str">
        <f>IF(SIP[[#This Row],[B/S]]="B","BUY",(IF(SIP[[#This Row],[B/S]]="S","SELL"," ")))</f>
        <v>BUY</v>
      </c>
      <c r="J142" s="46" t="s">
        <v>1229</v>
      </c>
      <c r="K142" s="69">
        <v>30000</v>
      </c>
      <c r="L142" s="69"/>
      <c r="M142" s="70">
        <f>SIP[[#This Row],[Amount]]/SIP[[#This Row],[Unit]]</f>
        <v>10.438413361169102</v>
      </c>
      <c r="N142" s="71">
        <f>SIP[[#This Row],[Unit Capital]]/10</f>
        <v>2874</v>
      </c>
      <c r="O142" s="72">
        <f>SUMIFS(SIP[[#Headers],[Unit]]:SIP[[#This Row],[Unit]],SIP[[#Headers],[Investor ID]]:SIP[[#This Row],[Investor ID]],SIP[[#This Row],[Investor ID]])</f>
        <v>14591</v>
      </c>
      <c r="P142" s="73">
        <v>28740</v>
      </c>
      <c r="Q142" s="74">
        <f>SIP[[#This Row],[Amount]]-SIP[[#This Row],[Unit Capital]]</f>
        <v>1260</v>
      </c>
      <c r="R1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10.280309780001369</v>
      </c>
      <c r="S142" s="68">
        <f t="shared" si="4"/>
        <v>14.224</v>
      </c>
      <c r="T1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" s="74" cm="1">
        <f t="array" ref="U142">IF(SIP[[#This Row],[B/S]]="S",ABS(SIP[[#This Row],[Unit]])*(INDEX(SIP[NAV at Cost (Average)],MATCH(CONCATENATE((SIP[[#This Row],[Frequency]]-1),SIP[[#This Row],[Investor ID]]),SIP[Unique Code],0),0)),0)</f>
        <v>0</v>
      </c>
      <c r="V142" s="74">
        <f>IF(SIP[[#This Row],[BO TRANSFER]]="YES",SIP[[#This Row],[Unit]],)</f>
        <v>0</v>
      </c>
      <c r="W142" s="74">
        <f>SUMIFS(SIP[[#Headers],[BO UNIT TRANSFER]]:SIP[[#This Row],[BO UNIT TRANSFER]],SIP[[#Headers],[Investor ID]]:SIP[[#This Row],[Investor ID]],SIP[[#This Row],[Investor ID]])</f>
        <v>0</v>
      </c>
    </row>
    <row r="143" spans="1:23" ht="15" customHeight="1">
      <c r="A143" s="46">
        <v>2023</v>
      </c>
      <c r="B143" s="46">
        <v>9</v>
      </c>
      <c r="C143" s="46">
        <v>5</v>
      </c>
      <c r="D143" s="65">
        <f>DATE(SIP[[#This Row],[Year]],SIP[[#This Row],[Month]],SIP[[#This Row],[Day]])</f>
        <v>45174</v>
      </c>
      <c r="E143" s="66" t="str" cm="1">
        <f t="array" ref="E143">INDEX(INVESTORS_LIST[INVESTOR NAME],MATCH(SIP[[#This Row],[Investor ID]],INVESTORS_LIST[INVESTOR CODE],0),)</f>
        <v>SHANTA PAUL</v>
      </c>
      <c r="F143" s="46" t="s">
        <v>544</v>
      </c>
      <c r="G143" s="46">
        <f>COUNTIF(SIP[[#Headers],[Investor ID]]:SIP[[#This Row],[Investor ID]],SIP[[#This Row],[Investor ID]])</f>
        <v>6</v>
      </c>
      <c r="H143" s="46" t="str">
        <f>CONCATENATE(SIP[[#This Row],[Frequency]],SIP[[#This Row],[Investor ID]])</f>
        <v>6A00247</v>
      </c>
      <c r="I143" s="46" t="str">
        <f>IF(SIP[[#This Row],[B/S]]="B","BUY",(IF(SIP[[#This Row],[B/S]]="S","SELL"," ")))</f>
        <v>BUY</v>
      </c>
      <c r="J143" s="46" t="s">
        <v>1229</v>
      </c>
      <c r="K143" s="69">
        <v>20000</v>
      </c>
      <c r="L143" s="69"/>
      <c r="M143" s="70">
        <f>SIP[[#This Row],[Amount]]/SIP[[#This Row],[Unit]]</f>
        <v>10.438413361169102</v>
      </c>
      <c r="N143" s="71">
        <f>SIP[[#This Row],[Unit Capital]]/10</f>
        <v>1916</v>
      </c>
      <c r="O143" s="72">
        <f>SUMIFS(SIP[[#Headers],[Unit]]:SIP[[#This Row],[Unit]],SIP[[#Headers],[Investor ID]]:SIP[[#This Row],[Investor ID]],SIP[[#This Row],[Investor ID]])</f>
        <v>11708</v>
      </c>
      <c r="P143" s="73">
        <v>19160</v>
      </c>
      <c r="Q143" s="74">
        <f>SIP[[#This Row],[Amount]]-SIP[[#This Row],[Unit Capital]]</f>
        <v>840</v>
      </c>
      <c r="R1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10.249402118209773</v>
      </c>
      <c r="S143" s="68">
        <f t="shared" si="4"/>
        <v>14.224</v>
      </c>
      <c r="T1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" s="74" cm="1">
        <f t="array" ref="U143">IF(SIP[[#This Row],[B/S]]="S",ABS(SIP[[#This Row],[Unit]])*(INDEX(SIP[NAV at Cost (Average)],MATCH(CONCATENATE((SIP[[#This Row],[Frequency]]-1),SIP[[#This Row],[Investor ID]]),SIP[Unique Code],0),0)),0)</f>
        <v>0</v>
      </c>
      <c r="V143" s="74">
        <f>IF(SIP[[#This Row],[BO TRANSFER]]="YES",SIP[[#This Row],[Unit]],)</f>
        <v>0</v>
      </c>
      <c r="W143" s="74">
        <f>SUMIFS(SIP[[#Headers],[BO UNIT TRANSFER]]:SIP[[#This Row],[BO UNIT TRANSFER]],SIP[[#Headers],[Investor ID]]:SIP[[#This Row],[Investor ID]],SIP[[#This Row],[Investor ID]])</f>
        <v>0</v>
      </c>
    </row>
    <row r="144" spans="1:23" ht="15" customHeight="1">
      <c r="A144" s="46">
        <v>2023</v>
      </c>
      <c r="B144" s="46">
        <v>9</v>
      </c>
      <c r="C144" s="46">
        <v>5</v>
      </c>
      <c r="D144" s="65">
        <f>DATE(SIP[[#This Row],[Year]],SIP[[#This Row],[Month]],SIP[[#This Row],[Day]])</f>
        <v>45174</v>
      </c>
      <c r="E144" s="66" t="str" cm="1">
        <f t="array" ref="E144">INDEX(INVESTORS_LIST[INVESTOR NAME],MATCH(SIP[[#This Row],[Investor ID]],INVESTORS_LIST[INVESTOR CODE],0),)</f>
        <v>ROKSABA KASEM</v>
      </c>
      <c r="F144" s="46" t="s">
        <v>900</v>
      </c>
      <c r="G144" s="46">
        <f>COUNTIF(SIP[[#Headers],[Investor ID]]:SIP[[#This Row],[Investor ID]],SIP[[#This Row],[Investor ID]])</f>
        <v>4</v>
      </c>
      <c r="H144" s="46" t="str">
        <f>CONCATENATE(SIP[[#This Row],[Frequency]],SIP[[#This Row],[Investor ID]])</f>
        <v>4A00427</v>
      </c>
      <c r="I144" s="46" t="str">
        <f>IF(SIP[[#This Row],[B/S]]="B","BUY",(IF(SIP[[#This Row],[B/S]]="S","SELL"," ")))</f>
        <v>BUY</v>
      </c>
      <c r="J144" s="46" t="s">
        <v>1229</v>
      </c>
      <c r="K144" s="69">
        <v>20000</v>
      </c>
      <c r="L144" s="122"/>
      <c r="M144" s="70">
        <f>SIP[[#This Row],[Amount]]/SIP[[#This Row],[Unit]]</f>
        <v>10.438413361169102</v>
      </c>
      <c r="N144" s="71">
        <f>SIP[[#This Row],[Unit Capital]]/10</f>
        <v>1916</v>
      </c>
      <c r="O144" s="72">
        <f>SUMIFS(SIP[[#Headers],[Unit]]:SIP[[#This Row],[Unit]],SIP[[#Headers],[Investor ID]]:SIP[[#This Row],[Investor ID]],SIP[[#This Row],[Investor ID]])</f>
        <v>7751</v>
      </c>
      <c r="P144" s="73">
        <v>19160</v>
      </c>
      <c r="Q144" s="74">
        <f>SIP[[#This Row],[Amount]]-SIP[[#This Row],[Unit Capital]]</f>
        <v>840</v>
      </c>
      <c r="R1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10.321248871113404</v>
      </c>
      <c r="S144" s="68">
        <f t="shared" si="4"/>
        <v>14.224</v>
      </c>
      <c r="T1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" s="74" cm="1">
        <f t="array" ref="U144">IF(SIP[[#This Row],[B/S]]="S",ABS(SIP[[#This Row],[Unit]])*(INDEX(SIP[NAV at Cost (Average)],MATCH(CONCATENATE((SIP[[#This Row],[Frequency]]-1),SIP[[#This Row],[Investor ID]]),SIP[Unique Code],0),0)),0)</f>
        <v>0</v>
      </c>
      <c r="V144" s="74">
        <f>IF(SIP[[#This Row],[BO TRANSFER]]="YES",SIP[[#This Row],[Unit]],)</f>
        <v>0</v>
      </c>
      <c r="W144" s="74">
        <f>SUMIFS(SIP[[#Headers],[BO UNIT TRANSFER]]:SIP[[#This Row],[BO UNIT TRANSFER]],SIP[[#Headers],[Investor ID]]:SIP[[#This Row],[Investor ID]],SIP[[#This Row],[Investor ID]])</f>
        <v>0</v>
      </c>
    </row>
    <row r="145" spans="1:23" ht="15" customHeight="1">
      <c r="A145" s="46">
        <v>2023</v>
      </c>
      <c r="B145" s="46">
        <v>9</v>
      </c>
      <c r="C145" s="46">
        <v>5</v>
      </c>
      <c r="D145" s="65">
        <f>DATE(SIP[[#This Row],[Year]],SIP[[#This Row],[Month]],SIP[[#This Row],[Day]])</f>
        <v>45174</v>
      </c>
      <c r="E145" s="66" t="str" cm="1">
        <f t="array" ref="E145">INDEX(INVESTORS_LIST[INVESTOR NAME],MATCH(SIP[[#This Row],[Investor ID]],INVESTORS_LIST[INVESTOR CODE],0),)</f>
        <v>MD. MONIRUL ISLAM</v>
      </c>
      <c r="F145" s="46" t="s">
        <v>996</v>
      </c>
      <c r="G145" s="46">
        <f>COUNTIF(SIP[[#Headers],[Investor ID]]:SIP[[#This Row],[Investor ID]],SIP[[#This Row],[Investor ID]])</f>
        <v>5</v>
      </c>
      <c r="H145" s="46" t="str">
        <f>CONCATENATE(SIP[[#This Row],[Frequency]],SIP[[#This Row],[Investor ID]])</f>
        <v>5A00475</v>
      </c>
      <c r="I145" s="46" t="str">
        <f>IF(SIP[[#This Row],[B/S]]="B","BUY",(IF(SIP[[#This Row],[B/S]]="S","SELL"," ")))</f>
        <v>BUY</v>
      </c>
      <c r="J145" s="46" t="s">
        <v>1229</v>
      </c>
      <c r="K145" s="69">
        <v>10000</v>
      </c>
      <c r="L145" s="69"/>
      <c r="M145" s="70">
        <f>SIP[[#This Row],[Amount]]/SIP[[#This Row],[Unit]]</f>
        <v>10.438413361169102</v>
      </c>
      <c r="N145" s="71">
        <f>SIP[[#This Row],[Unit Capital]]/10</f>
        <v>958</v>
      </c>
      <c r="O145" s="72">
        <f>SUMIFS(SIP[[#Headers],[Unit]]:SIP[[#This Row],[Unit]],SIP[[#Headers],[Investor ID]]:SIP[[#This Row],[Investor ID]],SIP[[#This Row],[Investor ID]])</f>
        <v>4864</v>
      </c>
      <c r="P145" s="73">
        <v>9580</v>
      </c>
      <c r="Q145" s="74">
        <f>SIP[[#This Row],[Amount]]-SIP[[#This Row],[Unit Capital]]</f>
        <v>420</v>
      </c>
      <c r="R1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10.279605263157894</v>
      </c>
      <c r="S145" s="68">
        <f t="shared" si="4"/>
        <v>14.224</v>
      </c>
      <c r="T1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" s="74" cm="1">
        <f t="array" ref="U145">IF(SIP[[#This Row],[B/S]]="S",ABS(SIP[[#This Row],[Unit]])*(INDEX(SIP[NAV at Cost (Average)],MATCH(CONCATENATE((SIP[[#This Row],[Frequency]]-1),SIP[[#This Row],[Investor ID]]),SIP[Unique Code],0),0)),0)</f>
        <v>0</v>
      </c>
      <c r="V145" s="74">
        <f>IF(SIP[[#This Row],[BO TRANSFER]]="YES",SIP[[#This Row],[Unit]],)</f>
        <v>0</v>
      </c>
      <c r="W145" s="74">
        <f>SUMIFS(SIP[[#Headers],[BO UNIT TRANSFER]]:SIP[[#This Row],[BO UNIT TRANSFER]],SIP[[#Headers],[Investor ID]]:SIP[[#This Row],[Investor ID]],SIP[[#This Row],[Investor ID]])</f>
        <v>0</v>
      </c>
    </row>
    <row r="146" spans="1:23" ht="15" customHeight="1">
      <c r="A146" s="46">
        <v>2023</v>
      </c>
      <c r="B146" s="46">
        <v>9</v>
      </c>
      <c r="C146" s="46">
        <v>5</v>
      </c>
      <c r="D146" s="65">
        <f>DATE(SIP[[#This Row],[Year]],SIP[[#This Row],[Month]],SIP[[#This Row],[Day]])</f>
        <v>45174</v>
      </c>
      <c r="E146" s="66" t="str" cm="1">
        <f t="array" ref="E146">INDEX(INVESTORS_LIST[INVESTOR NAME],MATCH(SIP[[#This Row],[Investor ID]],INVESTORS_LIST[INVESTOR CODE],0),)</f>
        <v>MONIR AHMED</v>
      </c>
      <c r="F146" s="46" t="s">
        <v>125</v>
      </c>
      <c r="G146" s="46">
        <f>COUNTIF(SIP[[#Headers],[Investor ID]]:SIP[[#This Row],[Investor ID]],SIP[[#This Row],[Investor ID]])</f>
        <v>4</v>
      </c>
      <c r="H146" s="46" t="str">
        <f>CONCATENATE(SIP[[#This Row],[Frequency]],SIP[[#This Row],[Investor ID]])</f>
        <v>4A00039</v>
      </c>
      <c r="I146" s="46" t="str">
        <f>IF(SIP[[#This Row],[B/S]]="B","BUY",(IF(SIP[[#This Row],[B/S]]="S","SELL"," ")))</f>
        <v>BUY</v>
      </c>
      <c r="J146" s="46" t="s">
        <v>1229</v>
      </c>
      <c r="K146" s="69">
        <v>5000</v>
      </c>
      <c r="L146" s="69"/>
      <c r="M146" s="70">
        <f>SIP[[#This Row],[Amount]]/SIP[[#This Row],[Unit]]</f>
        <v>10.438413361169102</v>
      </c>
      <c r="N146" s="71">
        <f>SIP[[#This Row],[Unit Capital]]/10</f>
        <v>479</v>
      </c>
      <c r="O146" s="72">
        <f>SUMIFS(SIP[[#Headers],[Unit]]:SIP[[#This Row],[Unit]],SIP[[#Headers],[Investor ID]]:SIP[[#This Row],[Investor ID]],SIP[[#This Row],[Investor ID]])</f>
        <v>1939</v>
      </c>
      <c r="P146" s="73">
        <v>4790</v>
      </c>
      <c r="Q146" s="74">
        <f>SIP[[#This Row],[Amount]]-SIP[[#This Row],[Unit Capital]]</f>
        <v>210</v>
      </c>
      <c r="R1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10.314595152140278</v>
      </c>
      <c r="S146" s="68">
        <f t="shared" si="4"/>
        <v>14.224</v>
      </c>
      <c r="T1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" s="74" cm="1">
        <f t="array" ref="U146">IF(SIP[[#This Row],[B/S]]="S",ABS(SIP[[#This Row],[Unit]])*(INDEX(SIP[NAV at Cost (Average)],MATCH(CONCATENATE((SIP[[#This Row],[Frequency]]-1),SIP[[#This Row],[Investor ID]]),SIP[Unique Code],0),0)),0)</f>
        <v>0</v>
      </c>
      <c r="V146" s="74">
        <f>IF(SIP[[#This Row],[BO TRANSFER]]="YES",SIP[[#This Row],[Unit]],)</f>
        <v>0</v>
      </c>
      <c r="W146" s="74">
        <f>SUMIFS(SIP[[#Headers],[BO UNIT TRANSFER]]:SIP[[#This Row],[BO UNIT TRANSFER]],SIP[[#Headers],[Investor ID]]:SIP[[#This Row],[Investor ID]],SIP[[#This Row],[Investor ID]])</f>
        <v>0</v>
      </c>
    </row>
    <row r="147" spans="1:23" ht="15" customHeight="1">
      <c r="A147" s="46">
        <v>2023</v>
      </c>
      <c r="B147" s="46">
        <v>9</v>
      </c>
      <c r="C147" s="46">
        <v>5</v>
      </c>
      <c r="D147" s="65">
        <f>DATE(SIP[[#This Row],[Year]],SIP[[#This Row],[Month]],SIP[[#This Row],[Day]])</f>
        <v>45174</v>
      </c>
      <c r="E147" s="66" t="str" cm="1">
        <f t="array" ref="E147">INDEX(INVESTORS_LIST[INVESTOR NAME],MATCH(SIP[[#This Row],[Investor ID]],INVESTORS_LIST[INVESTOR CODE],0),)</f>
        <v>FAKARUDDIN ALI AHMED</v>
      </c>
      <c r="F147" s="46" t="s">
        <v>228</v>
      </c>
      <c r="G147" s="46">
        <f>COUNTIF(SIP[[#Headers],[Investor ID]]:SIP[[#This Row],[Investor ID]],SIP[[#This Row],[Investor ID]])</f>
        <v>4</v>
      </c>
      <c r="H147" s="46" t="str">
        <f>CONCATENATE(SIP[[#This Row],[Frequency]],SIP[[#This Row],[Investor ID]])</f>
        <v>4A00090</v>
      </c>
      <c r="I147" s="46" t="str">
        <f>IF(SIP[[#This Row],[B/S]]="B","BUY",(IF(SIP[[#This Row],[B/S]]="S","SELL"," ")))</f>
        <v>BUY</v>
      </c>
      <c r="J147" s="46" t="s">
        <v>1229</v>
      </c>
      <c r="K147" s="69">
        <v>10000</v>
      </c>
      <c r="L147" s="69"/>
      <c r="M147" s="70">
        <f>SIP[[#This Row],[Amount]]/SIP[[#This Row],[Unit]]</f>
        <v>10.438413361169102</v>
      </c>
      <c r="N147" s="71">
        <f>SIP[[#This Row],[Unit Capital]]/10</f>
        <v>958</v>
      </c>
      <c r="O147" s="72">
        <f>SUMIFS(SIP[[#Headers],[Unit]]:SIP[[#This Row],[Unit]],SIP[[#Headers],[Investor ID]]:SIP[[#This Row],[Investor ID]],SIP[[#This Row],[Investor ID]])</f>
        <v>1921</v>
      </c>
      <c r="P147" s="73">
        <v>9580</v>
      </c>
      <c r="Q147" s="74">
        <f>SIP[[#This Row],[Amount]]-SIP[[#This Row],[Unit Capital]]</f>
        <v>420</v>
      </c>
      <c r="R1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10.411244143675169</v>
      </c>
      <c r="S147" s="68">
        <f t="shared" si="4"/>
        <v>14.224</v>
      </c>
      <c r="T1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" s="74" cm="1">
        <f t="array" ref="U147">IF(SIP[[#This Row],[B/S]]="S",ABS(SIP[[#This Row],[Unit]])*(INDEX(SIP[NAV at Cost (Average)],MATCH(CONCATENATE((SIP[[#This Row],[Frequency]]-1),SIP[[#This Row],[Investor ID]]),SIP[Unique Code],0),0)),0)</f>
        <v>0</v>
      </c>
      <c r="V147" s="74">
        <f>IF(SIP[[#This Row],[BO TRANSFER]]="YES",SIP[[#This Row],[Unit]],)</f>
        <v>0</v>
      </c>
      <c r="W147" s="74">
        <f>SUMIFS(SIP[[#Headers],[BO UNIT TRANSFER]]:SIP[[#This Row],[BO UNIT TRANSFER]],SIP[[#Headers],[Investor ID]]:SIP[[#This Row],[Investor ID]],SIP[[#This Row],[Investor ID]])</f>
        <v>0</v>
      </c>
    </row>
    <row r="148" spans="1:23" ht="15" customHeight="1">
      <c r="A148" s="46">
        <v>2023</v>
      </c>
      <c r="B148" s="46">
        <v>9</v>
      </c>
      <c r="C148" s="46">
        <v>5</v>
      </c>
      <c r="D148" s="65">
        <f>DATE(SIP[[#This Row],[Year]],SIP[[#This Row],[Month]],SIP[[#This Row],[Day]])</f>
        <v>45174</v>
      </c>
      <c r="E148" s="66" t="str" cm="1">
        <f t="array" ref="E148">INDEX(INVESTORS_LIST[INVESTOR NAME],MATCH(SIP[[#This Row],[Investor ID]],INVESTORS_LIST[INVESTOR CODE],0),)</f>
        <v>SABRIA ISLAM TALUKDER</v>
      </c>
      <c r="F148" s="46" t="s">
        <v>409</v>
      </c>
      <c r="G148" s="46">
        <f>COUNTIF(SIP[[#Headers],[Investor ID]]:SIP[[#This Row],[Investor ID]],SIP[[#This Row],[Investor ID]])</f>
        <v>1</v>
      </c>
      <c r="H148" s="46" t="str">
        <f>CONCATENATE(SIP[[#This Row],[Frequency]],SIP[[#This Row],[Investor ID]])</f>
        <v>1A00180</v>
      </c>
      <c r="I148" s="46" t="str">
        <f>IF(SIP[[#This Row],[B/S]]="B","BUY",(IF(SIP[[#This Row],[B/S]]="S","SELL"," ")))</f>
        <v>BUY</v>
      </c>
      <c r="J148" s="46" t="s">
        <v>1229</v>
      </c>
      <c r="K148" s="69">
        <v>5000</v>
      </c>
      <c r="L148" s="69"/>
      <c r="M148" s="70">
        <f>SIP[[#This Row],[Amount]]/SIP[[#This Row],[Unit]]</f>
        <v>10.438413361169102</v>
      </c>
      <c r="N148" s="71">
        <f>SIP[[#This Row],[Unit Capital]]/10</f>
        <v>479</v>
      </c>
      <c r="O148" s="72">
        <f>SUMIFS(SIP[[#Headers],[Unit]]:SIP[[#This Row],[Unit]],SIP[[#Headers],[Investor ID]]:SIP[[#This Row],[Investor ID]],SIP[[#This Row],[Investor ID]])</f>
        <v>479</v>
      </c>
      <c r="P148" s="73">
        <v>4790</v>
      </c>
      <c r="Q148" s="74">
        <f>SIP[[#This Row],[Amount]]-SIP[[#This Row],[Unit Capital]]</f>
        <v>210</v>
      </c>
      <c r="R1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10.438413361169102</v>
      </c>
      <c r="S148" s="68">
        <f t="shared" si="4"/>
        <v>14.224</v>
      </c>
      <c r="T1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" s="74" cm="1">
        <f t="array" ref="U148">IF(SIP[[#This Row],[B/S]]="S",ABS(SIP[[#This Row],[Unit]])*(INDEX(SIP[NAV at Cost (Average)],MATCH(CONCATENATE((SIP[[#This Row],[Frequency]]-1),SIP[[#This Row],[Investor ID]]),SIP[Unique Code],0),0)),0)</f>
        <v>0</v>
      </c>
      <c r="V148" s="74">
        <f>IF(SIP[[#This Row],[BO TRANSFER]]="YES",SIP[[#This Row],[Unit]],)</f>
        <v>0</v>
      </c>
      <c r="W148" s="74">
        <f>SUMIFS(SIP[[#Headers],[BO UNIT TRANSFER]]:SIP[[#This Row],[BO UNIT TRANSFER]],SIP[[#Headers],[Investor ID]]:SIP[[#This Row],[Investor ID]],SIP[[#This Row],[Investor ID]])</f>
        <v>0</v>
      </c>
    </row>
    <row r="149" spans="1:23" ht="15" customHeight="1">
      <c r="A149" s="46">
        <v>2023</v>
      </c>
      <c r="B149" s="46">
        <v>9</v>
      </c>
      <c r="C149" s="46">
        <v>15</v>
      </c>
      <c r="D149" s="65">
        <f>DATE(SIP[[#This Row],[Year]],SIP[[#This Row],[Month]],SIP[[#This Row],[Day]])</f>
        <v>45184</v>
      </c>
      <c r="E149" s="66" t="str" cm="1">
        <f t="array" ref="E149">INDEX(INVESTORS_LIST[INVESTOR NAME],MATCH(SIP[[#This Row],[Investor ID]],INVESTORS_LIST[INVESTOR CODE],0),)</f>
        <v>SANJIB KUMAR ROY</v>
      </c>
      <c r="F149" s="46" t="s">
        <v>1020</v>
      </c>
      <c r="G149" s="46">
        <f>COUNTIF(SIP[[#Headers],[Investor ID]]:SIP[[#This Row],[Investor ID]],SIP[[#This Row],[Investor ID]])</f>
        <v>4</v>
      </c>
      <c r="H149" s="46" t="str">
        <f>CONCATENATE(SIP[[#This Row],[Frequency]],SIP[[#This Row],[Investor ID]])</f>
        <v>4A00487</v>
      </c>
      <c r="I149" s="46" t="str">
        <f>IF(SIP[[#This Row],[B/S]]="B","BUY",(IF(SIP[[#This Row],[B/S]]="S","SELL"," ")))</f>
        <v>BUY</v>
      </c>
      <c r="J149" s="46" t="s">
        <v>1229</v>
      </c>
      <c r="K149" s="69">
        <v>5000</v>
      </c>
      <c r="L149" s="69"/>
      <c r="M149" s="70">
        <f>SIP[[#This Row],[Amount]]/SIP[[#This Row],[Unit]]</f>
        <v>10.460251046025105</v>
      </c>
      <c r="N149" s="71">
        <f>SIP[[#This Row],[Unit Capital]]/10</f>
        <v>478</v>
      </c>
      <c r="O149" s="72">
        <f>SUMIFS(SIP[[#Headers],[Unit]]:SIP[[#This Row],[Unit]],SIP[[#Headers],[Investor ID]]:SIP[[#This Row],[Investor ID]],SIP[[#This Row],[Investor ID]])</f>
        <v>1933</v>
      </c>
      <c r="P149" s="73">
        <v>4780</v>
      </c>
      <c r="Q149" s="74">
        <f>SIP[[#This Row],[Amount]]-SIP[[#This Row],[Unit Capital]]</f>
        <v>220</v>
      </c>
      <c r="R1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10.346611484738748</v>
      </c>
      <c r="S149" s="68">
        <f t="shared" ref="S149:S176" si="5">NAV_MKT</f>
        <v>14.224</v>
      </c>
      <c r="T1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" s="74" cm="1">
        <f t="array" ref="U149">IF(SIP[[#This Row],[B/S]]="S",ABS(SIP[[#This Row],[Unit]])*(INDEX(SIP[NAV at Cost (Average)],MATCH(CONCATENATE((SIP[[#This Row],[Frequency]]-1),SIP[[#This Row],[Investor ID]]),SIP[Unique Code],0),0)),0)</f>
        <v>0</v>
      </c>
      <c r="V149" s="74">
        <f>IF(SIP[[#This Row],[BO TRANSFER]]="YES",SIP[[#This Row],[Unit]],)</f>
        <v>0</v>
      </c>
      <c r="W149" s="74">
        <f>SUMIFS(SIP[[#Headers],[BO UNIT TRANSFER]]:SIP[[#This Row],[BO UNIT TRANSFER]],SIP[[#Headers],[Investor ID]]:SIP[[#This Row],[Investor ID]],SIP[[#This Row],[Investor ID]])</f>
        <v>0</v>
      </c>
    </row>
    <row r="150" spans="1:23" ht="15" customHeight="1">
      <c r="A150" s="46">
        <v>2023</v>
      </c>
      <c r="B150" s="46">
        <v>9</v>
      </c>
      <c r="C150" s="46">
        <v>15</v>
      </c>
      <c r="D150" s="65">
        <f>DATE(SIP[[#This Row],[Year]],SIP[[#This Row],[Month]],SIP[[#This Row],[Day]])</f>
        <v>45184</v>
      </c>
      <c r="E150" s="66" t="str" cm="1">
        <f t="array" ref="E150">INDEX(INVESTORS_LIST[INVESTOR NAME],MATCH(SIP[[#This Row],[Investor ID]],INVESTORS_LIST[INVESTOR CODE],0),)</f>
        <v>MD. RAFIQUR RAHMAN</v>
      </c>
      <c r="F150" s="46" t="s">
        <v>622</v>
      </c>
      <c r="G150" s="46">
        <f>COUNTIF(SIP[[#Headers],[Investor ID]]:SIP[[#This Row],[Investor ID]],SIP[[#This Row],[Investor ID]])</f>
        <v>1</v>
      </c>
      <c r="H150" s="46" t="str">
        <f>CONCATENATE(SIP[[#This Row],[Frequency]],SIP[[#This Row],[Investor ID]])</f>
        <v>1A00287</v>
      </c>
      <c r="I150" s="46" t="str">
        <f>IF(SIP[[#This Row],[B/S]]="B","BUY",(IF(SIP[[#This Row],[B/S]]="S","SELL"," ")))</f>
        <v>BUY</v>
      </c>
      <c r="J150" s="46" t="s">
        <v>1229</v>
      </c>
      <c r="K150" s="69">
        <v>20000</v>
      </c>
      <c r="L150" s="69"/>
      <c r="M150" s="70">
        <f>SIP[[#This Row],[Amount]]/SIP[[#This Row],[Unit]]</f>
        <v>10.465724751439037</v>
      </c>
      <c r="N150" s="71">
        <f>SIP[[#This Row],[Unit Capital]]/10</f>
        <v>1911</v>
      </c>
      <c r="O150" s="72">
        <f>SUMIFS(SIP[[#Headers],[Unit]]:SIP[[#This Row],[Unit]],SIP[[#Headers],[Investor ID]]:SIP[[#This Row],[Investor ID]],SIP[[#This Row],[Investor ID]])</f>
        <v>1911</v>
      </c>
      <c r="P150" s="73">
        <v>19110</v>
      </c>
      <c r="Q150" s="74">
        <f>SIP[[#This Row],[Amount]]-SIP[[#This Row],[Unit Capital]]</f>
        <v>890</v>
      </c>
      <c r="R1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10.465724751439037</v>
      </c>
      <c r="S150" s="68">
        <f t="shared" si="5"/>
        <v>14.224</v>
      </c>
      <c r="T1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" s="74" cm="1">
        <f t="array" ref="U150">IF(SIP[[#This Row],[B/S]]="S",ABS(SIP[[#This Row],[Unit]])*(INDEX(SIP[NAV at Cost (Average)],MATCH(CONCATENATE((SIP[[#This Row],[Frequency]]-1),SIP[[#This Row],[Investor ID]]),SIP[Unique Code],0),0)),0)</f>
        <v>0</v>
      </c>
      <c r="V150" s="74">
        <f>IF(SIP[[#This Row],[BO TRANSFER]]="YES",SIP[[#This Row],[Unit]],)</f>
        <v>0</v>
      </c>
      <c r="W150" s="74">
        <f>SUMIFS(SIP[[#Headers],[BO UNIT TRANSFER]]:SIP[[#This Row],[BO UNIT TRANSFER]],SIP[[#Headers],[Investor ID]]:SIP[[#This Row],[Investor ID]],SIP[[#This Row],[Investor ID]])</f>
        <v>0</v>
      </c>
    </row>
    <row r="151" spans="1:23" ht="15" customHeight="1">
      <c r="A151" s="46">
        <v>2023</v>
      </c>
      <c r="B151" s="46">
        <v>9</v>
      </c>
      <c r="C151" s="46">
        <v>24</v>
      </c>
      <c r="D151" s="65">
        <f>DATE(SIP[[#This Row],[Year]],SIP[[#This Row],[Month]],SIP[[#This Row],[Day]])</f>
        <v>45193</v>
      </c>
      <c r="E151" s="66" t="str" cm="1">
        <f t="array" ref="E151">INDEX(INVESTORS_LIST[INVESTOR NAME],MATCH(SIP[[#This Row],[Investor ID]],INVESTORS_LIST[INVESTOR CODE],0),)</f>
        <v>MONIR AHMED</v>
      </c>
      <c r="F151" s="67" t="s">
        <v>125</v>
      </c>
      <c r="G151" s="46">
        <f>COUNTIF(SIP[[#Headers],[Investor ID]]:SIP[[#This Row],[Investor ID]],SIP[[#This Row],[Investor ID]])</f>
        <v>5</v>
      </c>
      <c r="H151" s="46" t="str">
        <f>CONCATENATE(SIP[[#This Row],[Frequency]],SIP[[#This Row],[Investor ID]])</f>
        <v>5A00039</v>
      </c>
      <c r="I151" s="46" t="str">
        <f>IF(SIP[[#This Row],[B/S]]="B","BUY",(IF(SIP[[#This Row],[B/S]]="S","SELL"," ")))</f>
        <v>SELL</v>
      </c>
      <c r="J151" s="46" t="s">
        <v>1231</v>
      </c>
      <c r="K151" s="69">
        <v>-20295.512999999999</v>
      </c>
      <c r="L151" s="69"/>
      <c r="M151" s="70">
        <f>SIP[[#This Row],[Amount]]/SIP[[#This Row],[Unit]]</f>
        <v>10.466999999999999</v>
      </c>
      <c r="N151" s="71">
        <f>SIP[[#This Row],[Unit Capital]]/10</f>
        <v>-1939</v>
      </c>
      <c r="O151" s="72">
        <f>SUMIFS(SIP[[#Headers],[Unit]]:SIP[[#This Row],[Unit]],SIP[[#Headers],[Investor ID]]:SIP[[#This Row],[Investor ID]],SIP[[#This Row],[Investor ID]])</f>
        <v>0</v>
      </c>
      <c r="P151" s="73">
        <v>-19390</v>
      </c>
      <c r="Q151" s="74">
        <f>SIP[[#This Row],[Amount]]-SIP[[#This Row],[Unit Capital]]</f>
        <v>-905.51299999999901</v>
      </c>
      <c r="R1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51" s="68">
        <f t="shared" si="5"/>
        <v>14.224</v>
      </c>
      <c r="T151" s="74">
        <f>IF(SIP[[#This Row],[B/S]]="B",0,ABS(SIP[[#This Row],[Unit]])*(SIP[[#This Row],[NAV (Strike Rate)]]-INDEX(SIP[NAV at Cost (Average)],MATCH(CONCATENATE(SIP[[#This Row],[Frequency]]-1,SIP[[#This Row],[Investor ID]]),SIP[Unique Code],0),)))</f>
        <v>295.51299999999873</v>
      </c>
      <c r="U151" s="74" cm="1">
        <f t="array" ref="U151">IF(SIP[[#This Row],[B/S]]="S",ABS(SIP[[#This Row],[Unit]])*(INDEX(SIP[NAV at Cost (Average)],MATCH(CONCATENATE((SIP[[#This Row],[Frequency]]-1),SIP[[#This Row],[Investor ID]]),SIP[Unique Code],0),0)),0)</f>
        <v>20000</v>
      </c>
      <c r="V151" s="74">
        <f>IF(SIP[[#This Row],[BO TRANSFER]]="YES",SIP[[#This Row],[Unit]],)</f>
        <v>0</v>
      </c>
      <c r="W151" s="74">
        <f>SUMIFS(SIP[[#Headers],[BO UNIT TRANSFER]]:SIP[[#This Row],[BO UNIT TRANSFER]],SIP[[#Headers],[Investor ID]]:SIP[[#This Row],[Investor ID]],SIP[[#This Row],[Investor ID]])</f>
        <v>0</v>
      </c>
    </row>
    <row r="152" spans="1:23" ht="15" customHeight="1">
      <c r="A152" s="46">
        <v>2023</v>
      </c>
      <c r="B152" s="46">
        <v>9</v>
      </c>
      <c r="C152" s="46">
        <v>26</v>
      </c>
      <c r="D152" s="65">
        <f>DATE(SIP[[#This Row],[Year]],SIP[[#This Row],[Month]],SIP[[#This Row],[Day]])</f>
        <v>45195</v>
      </c>
      <c r="E152" s="66" t="str" cm="1">
        <f t="array" ref="E152">INDEX(INVESTORS_LIST[INVESTOR NAME],MATCH(SIP[[#This Row],[Investor ID]],INVESTORS_LIST[INVESTOR CODE],0),)</f>
        <v>SRIJON GHOSH</v>
      </c>
      <c r="F152" s="46" t="s">
        <v>894</v>
      </c>
      <c r="G152" s="46">
        <f>COUNTIF(SIP[[#Headers],[Investor ID]]:SIP[[#This Row],[Investor ID]],SIP[[#This Row],[Investor ID]])</f>
        <v>10</v>
      </c>
      <c r="H152" s="46" t="str">
        <f>CONCATENATE(SIP[[#This Row],[Frequency]],SIP[[#This Row],[Investor ID]])</f>
        <v>10A00424</v>
      </c>
      <c r="I152" s="46" t="str">
        <f>IF(SIP[[#This Row],[B/S]]="B","BUY",(IF(SIP[[#This Row],[B/S]]="S","SELL"," ")))</f>
        <v>BUY</v>
      </c>
      <c r="J152" s="46" t="s">
        <v>1229</v>
      </c>
      <c r="K152" s="69">
        <v>15000</v>
      </c>
      <c r="L152" s="69"/>
      <c r="M152" s="70">
        <f>SIP[[#This Row],[Amount]]/SIP[[#This Row],[Unit]]</f>
        <v>10.482180293501049</v>
      </c>
      <c r="N152" s="71">
        <f>SIP[[#This Row],[Unit Capital]]/10</f>
        <v>1431</v>
      </c>
      <c r="O152" s="72">
        <f>SUMIFS(SIP[[#Headers],[Unit]]:SIP[[#This Row],[Unit]],SIP[[#Headers],[Investor ID]]:SIP[[#This Row],[Investor ID]],SIP[[#This Row],[Investor ID]])</f>
        <v>13161</v>
      </c>
      <c r="P152" s="73">
        <v>14310</v>
      </c>
      <c r="Q152" s="74">
        <f>SIP[[#This Row],[Amount]]-SIP[[#This Row],[Unit Capital]]</f>
        <v>690</v>
      </c>
      <c r="R1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10.270153076025359</v>
      </c>
      <c r="S152" s="68">
        <f t="shared" si="5"/>
        <v>14.224</v>
      </c>
      <c r="T1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" s="74" cm="1">
        <f t="array" ref="U152">IF(SIP[[#This Row],[B/S]]="S",ABS(SIP[[#This Row],[Unit]])*(INDEX(SIP[NAV at Cost (Average)],MATCH(CONCATENATE((SIP[[#This Row],[Frequency]]-1),SIP[[#This Row],[Investor ID]]),SIP[Unique Code],0),0)),0)</f>
        <v>0</v>
      </c>
      <c r="V152" s="74">
        <f>IF(SIP[[#This Row],[BO TRANSFER]]="YES",SIP[[#This Row],[Unit]],)</f>
        <v>0</v>
      </c>
      <c r="W152" s="74">
        <f>SUMIFS(SIP[[#Headers],[BO UNIT TRANSFER]]:SIP[[#This Row],[BO UNIT TRANSFER]],SIP[[#Headers],[Investor ID]]:SIP[[#This Row],[Investor ID]],SIP[[#This Row],[Investor ID]])</f>
        <v>0</v>
      </c>
    </row>
    <row r="153" spans="1:23" ht="15" customHeight="1">
      <c r="A153" s="46">
        <v>2023</v>
      </c>
      <c r="B153" s="46">
        <v>9</v>
      </c>
      <c r="C153" s="46">
        <v>26</v>
      </c>
      <c r="D153" s="65">
        <f>DATE(SIP[[#This Row],[Year]],SIP[[#This Row],[Month]],SIP[[#This Row],[Day]])</f>
        <v>45195</v>
      </c>
      <c r="E153" s="66" t="str" cm="1">
        <f t="array" ref="E153">INDEX(INVESTORS_LIST[INVESTOR NAME],MATCH(SIP[[#This Row],[Investor ID]],INVESTORS_LIST[INVESTOR CODE],0),)</f>
        <v>KHAN MUHAMMAD FAISOL</v>
      </c>
      <c r="F153" s="46" t="s">
        <v>930</v>
      </c>
      <c r="G153" s="46">
        <f>COUNTIF(SIP[[#Headers],[Investor ID]]:SIP[[#This Row],[Investor ID]],SIP[[#This Row],[Investor ID]])</f>
        <v>5</v>
      </c>
      <c r="H153" s="46" t="str">
        <f>CONCATENATE(SIP[[#This Row],[Frequency]],SIP[[#This Row],[Investor ID]])</f>
        <v>5A00442</v>
      </c>
      <c r="I153" s="46" t="str">
        <f>IF(SIP[[#This Row],[B/S]]="B","BUY",(IF(SIP[[#This Row],[B/S]]="S","SELL"," ")))</f>
        <v>BUY</v>
      </c>
      <c r="J153" s="46" t="s">
        <v>1229</v>
      </c>
      <c r="K153" s="69">
        <v>1000</v>
      </c>
      <c r="L153" s="69"/>
      <c r="M153" s="70">
        <f>SIP[[#This Row],[Amount]]/SIP[[#This Row],[Unit]]</f>
        <v>10.526315789473685</v>
      </c>
      <c r="N153" s="71">
        <f>SIP[[#This Row],[Unit Capital]]/10</f>
        <v>95</v>
      </c>
      <c r="O153" s="72">
        <f>SUMIFS(SIP[[#Headers],[Unit]]:SIP[[#This Row],[Unit]],SIP[[#Headers],[Investor ID]]:SIP[[#This Row],[Investor ID]],SIP[[#This Row],[Investor ID]])</f>
        <v>483</v>
      </c>
      <c r="P153" s="73">
        <v>950</v>
      </c>
      <c r="Q153" s="74">
        <f>SIP[[#This Row],[Amount]]-SIP[[#This Row],[Unit Capital]]</f>
        <v>50</v>
      </c>
      <c r="R1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10.351966873706003</v>
      </c>
      <c r="S153" s="68">
        <f t="shared" si="5"/>
        <v>14.224</v>
      </c>
      <c r="T1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" s="74" cm="1">
        <f t="array" ref="U153">IF(SIP[[#This Row],[B/S]]="S",ABS(SIP[[#This Row],[Unit]])*(INDEX(SIP[NAV at Cost (Average)],MATCH(CONCATENATE((SIP[[#This Row],[Frequency]]-1),SIP[[#This Row],[Investor ID]]),SIP[Unique Code],0),0)),0)</f>
        <v>0</v>
      </c>
      <c r="V153" s="74">
        <f>IF(SIP[[#This Row],[BO TRANSFER]]="YES",SIP[[#This Row],[Unit]],)</f>
        <v>0</v>
      </c>
      <c r="W153" s="74">
        <f>SUMIFS(SIP[[#Headers],[BO UNIT TRANSFER]]:SIP[[#This Row],[BO UNIT TRANSFER]],SIP[[#Headers],[Investor ID]]:SIP[[#This Row],[Investor ID]],SIP[[#This Row],[Investor ID]])</f>
        <v>0</v>
      </c>
    </row>
    <row r="154" spans="1:23" ht="15" customHeight="1">
      <c r="A154" s="46">
        <v>2023</v>
      </c>
      <c r="B154" s="46">
        <v>9</v>
      </c>
      <c r="C154" s="46">
        <v>26</v>
      </c>
      <c r="D154" s="65">
        <f>DATE(SIP[[#This Row],[Year]],SIP[[#This Row],[Month]],SIP[[#This Row],[Day]])</f>
        <v>45195</v>
      </c>
      <c r="E154" s="66" t="str" cm="1">
        <f t="array" ref="E154">INDEX(INVESTORS_LIST[INVESTOR NAME],MATCH(SIP[[#This Row],[Investor ID]],INVESTORS_LIST[INVESTOR CODE],0),)</f>
        <v>MD. ARIFUL ISLAM</v>
      </c>
      <c r="F154" s="46" t="s">
        <v>222</v>
      </c>
      <c r="G154" s="46">
        <f>COUNTIF(SIP[[#Headers],[Investor ID]]:SIP[[#This Row],[Investor ID]],SIP[[#This Row],[Investor ID]])</f>
        <v>5</v>
      </c>
      <c r="H154" s="46" t="str">
        <f>CONCATENATE(SIP[[#This Row],[Frequency]],SIP[[#This Row],[Investor ID]])</f>
        <v>5A00087</v>
      </c>
      <c r="I154" s="46" t="str">
        <f>IF(SIP[[#This Row],[B/S]]="B","BUY",(IF(SIP[[#This Row],[B/S]]="S","SELL"," ")))</f>
        <v>BUY</v>
      </c>
      <c r="J154" s="46" t="s">
        <v>1229</v>
      </c>
      <c r="K154" s="69">
        <v>10000</v>
      </c>
      <c r="L154" s="69"/>
      <c r="M154" s="70">
        <f>SIP[[#This Row],[Amount]]/SIP[[#This Row],[Unit]]</f>
        <v>10.482180293501049</v>
      </c>
      <c r="N154" s="71">
        <f>SIP[[#This Row],[Unit Capital]]/10</f>
        <v>954</v>
      </c>
      <c r="O154" s="72">
        <f>SUMIFS(SIP[[#Headers],[Unit]]:SIP[[#This Row],[Unit]],SIP[[#Headers],[Investor ID]]:SIP[[#This Row],[Investor ID]],SIP[[#This Row],[Investor ID]])</f>
        <v>4834</v>
      </c>
      <c r="P154" s="73">
        <v>9540</v>
      </c>
      <c r="Q154" s="74">
        <f>SIP[[#This Row],[Amount]]-SIP[[#This Row],[Unit Capital]]</f>
        <v>460</v>
      </c>
      <c r="R1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10.343400910219282</v>
      </c>
      <c r="S154" s="68">
        <f t="shared" si="5"/>
        <v>14.224</v>
      </c>
      <c r="T1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" s="74" cm="1">
        <f t="array" ref="U154">IF(SIP[[#This Row],[B/S]]="S",ABS(SIP[[#This Row],[Unit]])*(INDEX(SIP[NAV at Cost (Average)],MATCH(CONCATENATE((SIP[[#This Row],[Frequency]]-1),SIP[[#This Row],[Investor ID]]),SIP[Unique Code],0),0)),0)</f>
        <v>0</v>
      </c>
      <c r="V154" s="74">
        <f>IF(SIP[[#This Row],[BO TRANSFER]]="YES",SIP[[#This Row],[Unit]],)</f>
        <v>0</v>
      </c>
      <c r="W154" s="74">
        <f>SUMIFS(SIP[[#Headers],[BO UNIT TRANSFER]]:SIP[[#This Row],[BO UNIT TRANSFER]],SIP[[#Headers],[Investor ID]]:SIP[[#This Row],[Investor ID]],SIP[[#This Row],[Investor ID]])</f>
        <v>0</v>
      </c>
    </row>
    <row r="155" spans="1:23" ht="15" customHeight="1">
      <c r="A155" s="46">
        <v>2023</v>
      </c>
      <c r="B155" s="46">
        <v>9</v>
      </c>
      <c r="C155" s="46">
        <v>26</v>
      </c>
      <c r="D155" s="65">
        <f>DATE(SIP[[#This Row],[Year]],SIP[[#This Row],[Month]],SIP[[#This Row],[Day]])</f>
        <v>45195</v>
      </c>
      <c r="E155" s="66" t="str" cm="1">
        <f t="array" ref="E155">INDEX(INVESTORS_LIST[INVESTOR NAME],MATCH(SIP[[#This Row],[Investor ID]],INVESTORS_LIST[INVESTOR CODE],0),)</f>
        <v>SRIJON GHOSH</v>
      </c>
      <c r="F155" s="46" t="s">
        <v>894</v>
      </c>
      <c r="G155" s="46">
        <f>COUNTIF(SIP[[#Headers],[Investor ID]]:SIP[[#This Row],[Investor ID]],SIP[[#This Row],[Investor ID]])</f>
        <v>11</v>
      </c>
      <c r="H155" s="46" t="str">
        <f>CONCATENATE(SIP[[#This Row],[Frequency]],SIP[[#This Row],[Investor ID]])</f>
        <v>11A00424</v>
      </c>
      <c r="I155" s="46" t="str">
        <f>IF(SIP[[#This Row],[B/S]]="B","BUY",(IF(SIP[[#This Row],[B/S]]="S","SELL"," ")))</f>
        <v>BUY</v>
      </c>
      <c r="J155" s="46" t="s">
        <v>1229</v>
      </c>
      <c r="K155" s="69">
        <v>5000</v>
      </c>
      <c r="L155" s="69"/>
      <c r="M155" s="70">
        <f>SIP[[#This Row],[Amount]]/SIP[[#This Row],[Unit]]</f>
        <v>10.482180293501049</v>
      </c>
      <c r="N155" s="71">
        <f>SIP[[#This Row],[Unit Capital]]/10</f>
        <v>477</v>
      </c>
      <c r="O155" s="72">
        <f>SUMIFS(SIP[[#Headers],[Unit]]:SIP[[#This Row],[Unit]],SIP[[#Headers],[Investor ID]]:SIP[[#This Row],[Investor ID]],SIP[[#This Row],[Investor ID]])</f>
        <v>13638</v>
      </c>
      <c r="P155" s="73">
        <v>4770</v>
      </c>
      <c r="Q155" s="74">
        <f>SIP[[#This Row],[Amount]]-SIP[[#This Row],[Unit Capital]]</f>
        <v>230</v>
      </c>
      <c r="R1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10.277568898193998</v>
      </c>
      <c r="S155" s="68">
        <f t="shared" si="5"/>
        <v>14.224</v>
      </c>
      <c r="T1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" s="74" cm="1">
        <f t="array" ref="U155">IF(SIP[[#This Row],[B/S]]="S",ABS(SIP[[#This Row],[Unit]])*(INDEX(SIP[NAV at Cost (Average)],MATCH(CONCATENATE((SIP[[#This Row],[Frequency]]-1),SIP[[#This Row],[Investor ID]]),SIP[Unique Code],0),0)),0)</f>
        <v>0</v>
      </c>
      <c r="V155" s="74">
        <f>IF(SIP[[#This Row],[BO TRANSFER]]="YES",SIP[[#This Row],[Unit]],)</f>
        <v>0</v>
      </c>
      <c r="W155" s="74">
        <f>SUMIFS(SIP[[#Headers],[BO UNIT TRANSFER]]:SIP[[#This Row],[BO UNIT TRANSFER]],SIP[[#Headers],[Investor ID]]:SIP[[#This Row],[Investor ID]],SIP[[#This Row],[Investor ID]])</f>
        <v>0</v>
      </c>
    </row>
    <row r="156" spans="1:23" ht="15" customHeight="1">
      <c r="A156" s="46">
        <v>2023</v>
      </c>
      <c r="B156" s="46">
        <v>9</v>
      </c>
      <c r="C156" s="46">
        <v>26</v>
      </c>
      <c r="D156" s="65">
        <f>DATE(SIP[[#This Row],[Year]],SIP[[#This Row],[Month]],SIP[[#This Row],[Day]])</f>
        <v>45195</v>
      </c>
      <c r="E156" s="66" t="str" cm="1">
        <f t="array" ref="E156">INDEX(INVESTORS_LIST[INVESTOR NAME],MATCH(SIP[[#This Row],[Investor ID]],INVESTORS_LIST[INVESTOR CODE],0),)</f>
        <v>NUSRAT JAHAN TISHA</v>
      </c>
      <c r="F156" s="46" t="s">
        <v>926</v>
      </c>
      <c r="G156" s="46">
        <f>COUNTIF(SIP[[#Headers],[Investor ID]]:SIP[[#This Row],[Investor ID]],SIP[[#This Row],[Investor ID]])</f>
        <v>2</v>
      </c>
      <c r="H156" s="46" t="str">
        <f>CONCATENATE(SIP[[#This Row],[Frequency]],SIP[[#This Row],[Investor ID]])</f>
        <v>2A00440</v>
      </c>
      <c r="I156" s="46" t="str">
        <f>IF(SIP[[#This Row],[B/S]]="B","BUY",(IF(SIP[[#This Row],[B/S]]="S","SELL"," ")))</f>
        <v>BUY</v>
      </c>
      <c r="J156" s="46" t="s">
        <v>1229</v>
      </c>
      <c r="K156" s="69">
        <v>5000</v>
      </c>
      <c r="L156" s="69"/>
      <c r="M156" s="70">
        <f>SIP[[#This Row],[Amount]]/SIP[[#This Row],[Unit]]</f>
        <v>10.482180293501049</v>
      </c>
      <c r="N156" s="71">
        <f>SIP[[#This Row],[Unit Capital]]/10</f>
        <v>477</v>
      </c>
      <c r="O156" s="72">
        <f>SUMIFS(SIP[[#Headers],[Unit]]:SIP[[#This Row],[Unit]],SIP[[#Headers],[Investor ID]]:SIP[[#This Row],[Investor ID]],SIP[[#This Row],[Investor ID]])</f>
        <v>957</v>
      </c>
      <c r="P156" s="73">
        <v>4770</v>
      </c>
      <c r="Q156" s="74">
        <f>SIP[[#This Row],[Amount]]-SIP[[#This Row],[Unit Capital]]</f>
        <v>230</v>
      </c>
      <c r="R1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10.449320794148381</v>
      </c>
      <c r="S156" s="68">
        <f t="shared" si="5"/>
        <v>14.224</v>
      </c>
      <c r="T1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" s="74" cm="1">
        <f t="array" ref="U156">IF(SIP[[#This Row],[B/S]]="S",ABS(SIP[[#This Row],[Unit]])*(INDEX(SIP[NAV at Cost (Average)],MATCH(CONCATENATE((SIP[[#This Row],[Frequency]]-1),SIP[[#This Row],[Investor ID]]),SIP[Unique Code],0),0)),0)</f>
        <v>0</v>
      </c>
      <c r="V156" s="74">
        <f>IF(SIP[[#This Row],[BO TRANSFER]]="YES",SIP[[#This Row],[Unit]],)</f>
        <v>0</v>
      </c>
      <c r="W156" s="74">
        <f>SUMIFS(SIP[[#Headers],[BO UNIT TRANSFER]]:SIP[[#This Row],[BO UNIT TRANSFER]],SIP[[#Headers],[Investor ID]]:SIP[[#This Row],[Investor ID]],SIP[[#This Row],[Investor ID]])</f>
        <v>0</v>
      </c>
    </row>
    <row r="157" spans="1:23" ht="15" customHeight="1">
      <c r="A157" s="46">
        <v>2023</v>
      </c>
      <c r="B157" s="46">
        <v>9</v>
      </c>
      <c r="C157" s="46">
        <v>26</v>
      </c>
      <c r="D157" s="65">
        <f>DATE(SIP[[#This Row],[Year]],SIP[[#This Row],[Month]],SIP[[#This Row],[Day]])</f>
        <v>45195</v>
      </c>
      <c r="E157" s="66" t="str" cm="1">
        <f t="array" ref="E157">INDEX(INVESTORS_LIST[INVESTOR NAME],MATCH(SIP[[#This Row],[Investor ID]],INVESTORS_LIST[INVESTOR CODE],0),)</f>
        <v>SADIA PARVIN</v>
      </c>
      <c r="F157" s="46" t="s">
        <v>1018</v>
      </c>
      <c r="G157" s="46">
        <f>COUNTIF(SIP[[#Headers],[Investor ID]]:SIP[[#This Row],[Investor ID]],SIP[[#This Row],[Investor ID]])</f>
        <v>5</v>
      </c>
      <c r="H157" s="46" t="str">
        <f>CONCATENATE(SIP[[#This Row],[Frequency]],SIP[[#This Row],[Investor ID]])</f>
        <v>5A00486</v>
      </c>
      <c r="I157" s="46" t="str">
        <f>IF(SIP[[#This Row],[B/S]]="B","BUY",(IF(SIP[[#This Row],[B/S]]="S","SELL"," ")))</f>
        <v>BUY</v>
      </c>
      <c r="J157" s="46" t="s">
        <v>1229</v>
      </c>
      <c r="K157" s="69">
        <v>5000</v>
      </c>
      <c r="L157" s="69"/>
      <c r="M157" s="70">
        <f>SIP[[#This Row],[Amount]]/SIP[[#This Row],[Unit]]</f>
        <v>10.482180293501049</v>
      </c>
      <c r="N157" s="71">
        <f>SIP[[#This Row],[Unit Capital]]/10</f>
        <v>477</v>
      </c>
      <c r="O157" s="72">
        <f>SUMIFS(SIP[[#Headers],[Unit]]:SIP[[#This Row],[Unit]],SIP[[#Headers],[Investor ID]]:SIP[[#This Row],[Investor ID]],SIP[[#This Row],[Investor ID]])</f>
        <v>2416</v>
      </c>
      <c r="P157" s="73">
        <v>4770</v>
      </c>
      <c r="Q157" s="74">
        <f>SIP[[#This Row],[Amount]]-SIP[[#This Row],[Unit Capital]]</f>
        <v>230</v>
      </c>
      <c r="R1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10.347682119205297</v>
      </c>
      <c r="S157" s="68">
        <f t="shared" si="5"/>
        <v>14.224</v>
      </c>
      <c r="T1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" s="74" cm="1">
        <f t="array" ref="U157">IF(SIP[[#This Row],[B/S]]="S",ABS(SIP[[#This Row],[Unit]])*(INDEX(SIP[NAV at Cost (Average)],MATCH(CONCATENATE((SIP[[#This Row],[Frequency]]-1),SIP[[#This Row],[Investor ID]]),SIP[Unique Code],0),0)),0)</f>
        <v>0</v>
      </c>
      <c r="V157" s="74">
        <f>IF(SIP[[#This Row],[BO TRANSFER]]="YES",SIP[[#This Row],[Unit]],)</f>
        <v>0</v>
      </c>
      <c r="W157" s="74">
        <f>SUMIFS(SIP[[#Headers],[BO UNIT TRANSFER]]:SIP[[#This Row],[BO UNIT TRANSFER]],SIP[[#Headers],[Investor ID]]:SIP[[#This Row],[Investor ID]],SIP[[#This Row],[Investor ID]])</f>
        <v>0</v>
      </c>
    </row>
    <row r="158" spans="1:23" ht="15" customHeight="1">
      <c r="A158" s="46">
        <v>2023</v>
      </c>
      <c r="B158" s="46">
        <v>9</v>
      </c>
      <c r="C158" s="46">
        <v>26</v>
      </c>
      <c r="D158" s="65">
        <f>DATE(SIP[[#This Row],[Year]],SIP[[#This Row],[Month]],SIP[[#This Row],[Day]])</f>
        <v>45195</v>
      </c>
      <c r="E158" s="66" t="str" cm="1">
        <f t="array" ref="E158">INDEX(INVESTORS_LIST[INVESTOR NAME],MATCH(SIP[[#This Row],[Investor ID]],INVESTORS_LIST[INVESTOR CODE],0),)</f>
        <v>MD. WALI ULLAH</v>
      </c>
      <c r="F158" s="46" t="s">
        <v>443</v>
      </c>
      <c r="G158" s="46">
        <f>COUNTIF(SIP[[#Headers],[Investor ID]]:SIP[[#This Row],[Investor ID]],SIP[[#This Row],[Investor ID]])</f>
        <v>5</v>
      </c>
      <c r="H158" s="46" t="str">
        <f>CONCATENATE(SIP[[#This Row],[Frequency]],SIP[[#This Row],[Investor ID]])</f>
        <v>5A00197</v>
      </c>
      <c r="I158" s="46" t="str">
        <f>IF(SIP[[#This Row],[B/S]]="B","BUY",(IF(SIP[[#This Row],[B/S]]="S","SELL"," ")))</f>
        <v>BUY</v>
      </c>
      <c r="J158" s="46" t="s">
        <v>1229</v>
      </c>
      <c r="K158" s="69">
        <v>15000</v>
      </c>
      <c r="L158" s="69"/>
      <c r="M158" s="70">
        <f>SIP[[#This Row],[Amount]]/SIP[[#This Row],[Unit]]</f>
        <v>10.482180293501049</v>
      </c>
      <c r="N158" s="71">
        <f>SIP[[#This Row],[Unit Capital]]/10</f>
        <v>1431</v>
      </c>
      <c r="O158" s="72">
        <f>SUMIFS(SIP[[#Headers],[Unit]]:SIP[[#This Row],[Unit]],SIP[[#Headers],[Investor ID]]:SIP[[#This Row],[Investor ID]],SIP[[#This Row],[Investor ID]])</f>
        <v>7254</v>
      </c>
      <c r="P158" s="73">
        <v>14310</v>
      </c>
      <c r="Q158" s="74">
        <f>SIP[[#This Row],[Amount]]-SIP[[#This Row],[Unit Capital]]</f>
        <v>690</v>
      </c>
      <c r="R1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10.339123242349046</v>
      </c>
      <c r="S158" s="68">
        <f t="shared" si="5"/>
        <v>14.224</v>
      </c>
      <c r="T1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" s="74" cm="1">
        <f t="array" ref="U158">IF(SIP[[#This Row],[B/S]]="S",ABS(SIP[[#This Row],[Unit]])*(INDEX(SIP[NAV at Cost (Average)],MATCH(CONCATENATE((SIP[[#This Row],[Frequency]]-1),SIP[[#This Row],[Investor ID]]),SIP[Unique Code],0),0)),0)</f>
        <v>0</v>
      </c>
      <c r="V158" s="74">
        <f>IF(SIP[[#This Row],[BO TRANSFER]]="YES",SIP[[#This Row],[Unit]],)</f>
        <v>0</v>
      </c>
      <c r="W158" s="74">
        <f>SUMIFS(SIP[[#Headers],[BO UNIT TRANSFER]]:SIP[[#This Row],[BO UNIT TRANSFER]],SIP[[#Headers],[Investor ID]]:SIP[[#This Row],[Investor ID]],SIP[[#This Row],[Investor ID]])</f>
        <v>0</v>
      </c>
    </row>
    <row r="159" spans="1:23" ht="15" customHeight="1">
      <c r="A159" s="46">
        <v>2023</v>
      </c>
      <c r="B159" s="46">
        <v>9</v>
      </c>
      <c r="C159" s="46">
        <v>26</v>
      </c>
      <c r="D159" s="65">
        <f>DATE(SIP[[#This Row],[Year]],SIP[[#This Row],[Month]],SIP[[#This Row],[Day]])</f>
        <v>45195</v>
      </c>
      <c r="E159" s="66" t="str" cm="1">
        <f t="array" ref="E159">INDEX(INVESTORS_LIST[INVESTOR NAME],MATCH(SIP[[#This Row],[Investor ID]],INVESTORS_LIST[INVESTOR CODE],0),)</f>
        <v>SIKDER FAZLE RABBI</v>
      </c>
      <c r="F159" s="46" t="s">
        <v>1032</v>
      </c>
      <c r="G159" s="46">
        <f>COUNTIF(SIP[[#Headers],[Investor ID]]:SIP[[#This Row],[Investor ID]],SIP[[#This Row],[Investor ID]])</f>
        <v>4</v>
      </c>
      <c r="H159" s="46" t="str">
        <f>CONCATENATE(SIP[[#This Row],[Frequency]],SIP[[#This Row],[Investor ID]])</f>
        <v>4A00493</v>
      </c>
      <c r="I159" s="46" t="str">
        <f>IF(SIP[[#This Row],[B/S]]="B","BUY",(IF(SIP[[#This Row],[B/S]]="S","SELL"," ")))</f>
        <v>BUY</v>
      </c>
      <c r="J159" s="46" t="s">
        <v>1229</v>
      </c>
      <c r="K159" s="69">
        <v>5000</v>
      </c>
      <c r="L159" s="69"/>
      <c r="M159" s="70">
        <f>SIP[[#This Row],[Amount]]/SIP[[#This Row],[Unit]]</f>
        <v>10.482180293501049</v>
      </c>
      <c r="N159" s="71">
        <f>SIP[[#This Row],[Unit Capital]]/10</f>
        <v>477</v>
      </c>
      <c r="O159" s="72">
        <f>SUMIFS(SIP[[#Headers],[Unit]]:SIP[[#This Row],[Unit]],SIP[[#Headers],[Investor ID]]:SIP[[#This Row],[Investor ID]],SIP[[#This Row],[Investor ID]])</f>
        <v>1927</v>
      </c>
      <c r="P159" s="73">
        <v>4770</v>
      </c>
      <c r="Q159" s="74">
        <f>SIP[[#This Row],[Amount]]-SIP[[#This Row],[Unit Capital]]</f>
        <v>230</v>
      </c>
      <c r="R1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59" s="68">
        <f t="shared" si="5"/>
        <v>14.224</v>
      </c>
      <c r="T1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" s="74" cm="1">
        <f t="array" ref="U159">IF(SIP[[#This Row],[B/S]]="S",ABS(SIP[[#This Row],[Unit]])*(INDEX(SIP[NAV at Cost (Average)],MATCH(CONCATENATE((SIP[[#This Row],[Frequency]]-1),SIP[[#This Row],[Investor ID]]),SIP[Unique Code],0),0)),0)</f>
        <v>0</v>
      </c>
      <c r="V159" s="74">
        <f>IF(SIP[[#This Row],[BO TRANSFER]]="YES",SIP[[#This Row],[Unit]],)</f>
        <v>0</v>
      </c>
      <c r="W159" s="74">
        <f>SUMIFS(SIP[[#Headers],[BO UNIT TRANSFER]]:SIP[[#This Row],[BO UNIT TRANSFER]],SIP[[#Headers],[Investor ID]]:SIP[[#This Row],[Investor ID]],SIP[[#This Row],[Investor ID]])</f>
        <v>0</v>
      </c>
    </row>
    <row r="160" spans="1:23" ht="15" customHeight="1">
      <c r="A160" s="46">
        <v>2023</v>
      </c>
      <c r="B160" s="46">
        <v>9</v>
      </c>
      <c r="C160" s="46">
        <v>26</v>
      </c>
      <c r="D160" s="65">
        <f>DATE(SIP[[#This Row],[Year]],SIP[[#This Row],[Month]],SIP[[#This Row],[Day]])</f>
        <v>45195</v>
      </c>
      <c r="E160" s="66" t="str" cm="1">
        <f t="array" ref="E160">INDEX(INVESTORS_LIST[INVESTOR NAME],MATCH(SIP[[#This Row],[Investor ID]],INVESTORS_LIST[INVESTOR CODE],0),)</f>
        <v>MOHAMMAD HASAN</v>
      </c>
      <c r="F160" s="46" t="s">
        <v>1010</v>
      </c>
      <c r="G160" s="46">
        <f>COUNTIF(SIP[[#Headers],[Investor ID]]:SIP[[#This Row],[Investor ID]],SIP[[#This Row],[Investor ID]])</f>
        <v>4</v>
      </c>
      <c r="H160" s="46" t="str">
        <f>CONCATENATE(SIP[[#This Row],[Frequency]],SIP[[#This Row],[Investor ID]])</f>
        <v>4A00482</v>
      </c>
      <c r="I160" s="46" t="str">
        <f>IF(SIP[[#This Row],[B/S]]="B","BUY",(IF(SIP[[#This Row],[B/S]]="S","SELL"," ")))</f>
        <v>BUY</v>
      </c>
      <c r="J160" s="46" t="s">
        <v>1229</v>
      </c>
      <c r="K160" s="69">
        <v>5000</v>
      </c>
      <c r="L160" s="69"/>
      <c r="M160" s="70">
        <f>SIP[[#This Row],[Amount]]/SIP[[#This Row],[Unit]]</f>
        <v>10.482180293501049</v>
      </c>
      <c r="N160" s="71">
        <f>SIP[[#This Row],[Unit Capital]]/10</f>
        <v>477</v>
      </c>
      <c r="O160" s="72">
        <f>SUMIFS(SIP[[#Headers],[Unit]]:SIP[[#This Row],[Unit]],SIP[[#Headers],[Investor ID]]:SIP[[#This Row],[Investor ID]],SIP[[#This Row],[Investor ID]])</f>
        <v>1927</v>
      </c>
      <c r="P160" s="73">
        <v>4770</v>
      </c>
      <c r="Q160" s="74">
        <f>SIP[[#This Row],[Amount]]-SIP[[#This Row],[Unit Capital]]</f>
        <v>230</v>
      </c>
      <c r="R1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60" s="68">
        <f t="shared" si="5"/>
        <v>14.224</v>
      </c>
      <c r="T1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" s="74" cm="1">
        <f t="array" ref="U160">IF(SIP[[#This Row],[B/S]]="S",ABS(SIP[[#This Row],[Unit]])*(INDEX(SIP[NAV at Cost (Average)],MATCH(CONCATENATE((SIP[[#This Row],[Frequency]]-1),SIP[[#This Row],[Investor ID]]),SIP[Unique Code],0),0)),0)</f>
        <v>0</v>
      </c>
      <c r="V160" s="74">
        <f>IF(SIP[[#This Row],[BO TRANSFER]]="YES",SIP[[#This Row],[Unit]],)</f>
        <v>0</v>
      </c>
      <c r="W160" s="74">
        <f>SUMIFS(SIP[[#Headers],[BO UNIT TRANSFER]]:SIP[[#This Row],[BO UNIT TRANSFER]],SIP[[#Headers],[Investor ID]]:SIP[[#This Row],[Investor ID]],SIP[[#This Row],[Investor ID]])</f>
        <v>0</v>
      </c>
    </row>
    <row r="161" spans="1:23" ht="15" customHeight="1">
      <c r="A161" s="46">
        <v>2023</v>
      </c>
      <c r="B161" s="46">
        <v>9</v>
      </c>
      <c r="C161" s="46">
        <v>26</v>
      </c>
      <c r="D161" s="65">
        <f>DATE(SIP[[#This Row],[Year]],SIP[[#This Row],[Month]],SIP[[#This Row],[Day]])</f>
        <v>45195</v>
      </c>
      <c r="E161" s="66" t="str" cm="1">
        <f t="array" ref="E161">INDEX(INVESTORS_LIST[INVESTOR NAME],MATCH(SIP[[#This Row],[Investor ID]],INVESTORS_LIST[INVESTOR CODE],0),)</f>
        <v>SAJJAD CHOWDHURY</v>
      </c>
      <c r="F161" s="46" t="s">
        <v>461</v>
      </c>
      <c r="G161" s="46">
        <f>COUNTIF(SIP[[#Headers],[Investor ID]]:SIP[[#This Row],[Investor ID]],SIP[[#This Row],[Investor ID]])</f>
        <v>5</v>
      </c>
      <c r="H161" s="46" t="str">
        <f>CONCATENATE(SIP[[#This Row],[Frequency]],SIP[[#This Row],[Investor ID]])</f>
        <v>5A00206</v>
      </c>
      <c r="I161" s="46" t="str">
        <f>IF(SIP[[#This Row],[B/S]]="B","BUY",(IF(SIP[[#This Row],[B/S]]="S","SELL"," ")))</f>
        <v>BUY</v>
      </c>
      <c r="J161" s="46" t="s">
        <v>1229</v>
      </c>
      <c r="K161" s="69">
        <v>7500</v>
      </c>
      <c r="L161" s="69"/>
      <c r="M161" s="70">
        <f>SIP[[#This Row],[Amount]]/SIP[[#This Row],[Unit]]</f>
        <v>10.48951048951049</v>
      </c>
      <c r="N161" s="71">
        <f>SIP[[#This Row],[Unit Capital]]/10</f>
        <v>715</v>
      </c>
      <c r="O161" s="72">
        <f>SUMIFS(SIP[[#Headers],[Unit]]:SIP[[#This Row],[Unit]],SIP[[#Headers],[Investor ID]]:SIP[[#This Row],[Investor ID]],SIP[[#This Row],[Investor ID]])</f>
        <v>3625</v>
      </c>
      <c r="P161" s="73">
        <v>7150</v>
      </c>
      <c r="Q161" s="74">
        <f>SIP[[#This Row],[Amount]]-SIP[[#This Row],[Unit Capital]]</f>
        <v>350</v>
      </c>
      <c r="R1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10.344827586206895</v>
      </c>
      <c r="S161" s="68">
        <f t="shared" si="5"/>
        <v>14.224</v>
      </c>
      <c r="T1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" s="74" cm="1">
        <f t="array" ref="U161">IF(SIP[[#This Row],[B/S]]="S",ABS(SIP[[#This Row],[Unit]])*(INDEX(SIP[NAV at Cost (Average)],MATCH(CONCATENATE((SIP[[#This Row],[Frequency]]-1),SIP[[#This Row],[Investor ID]]),SIP[Unique Code],0),0)),0)</f>
        <v>0</v>
      </c>
      <c r="V161" s="74">
        <f>IF(SIP[[#This Row],[BO TRANSFER]]="YES",SIP[[#This Row],[Unit]],)</f>
        <v>0</v>
      </c>
      <c r="W161" s="74">
        <f>SUMIFS(SIP[[#Headers],[BO UNIT TRANSFER]]:SIP[[#This Row],[BO UNIT TRANSFER]],SIP[[#Headers],[Investor ID]]:SIP[[#This Row],[Investor ID]],SIP[[#This Row],[Investor ID]])</f>
        <v>0</v>
      </c>
    </row>
    <row r="162" spans="1:23" ht="15" customHeight="1">
      <c r="A162" s="46">
        <v>2023</v>
      </c>
      <c r="B162" s="46">
        <v>9</v>
      </c>
      <c r="C162" s="46">
        <v>26</v>
      </c>
      <c r="D162" s="65">
        <f>DATE(SIP[[#This Row],[Year]],SIP[[#This Row],[Month]],SIP[[#This Row],[Day]])</f>
        <v>45195</v>
      </c>
      <c r="E162" s="66" t="str" cm="1">
        <f t="array" ref="E162">INDEX(INVESTORS_LIST[INVESTOR NAME],MATCH(SIP[[#This Row],[Investor ID]],INVESTORS_LIST[INVESTOR CODE],0),)</f>
        <v>EKUSH WEALTH MANAGEMENT LIMITED EMPLOYEES CONTRIBUTORY PROVIDENT FUND</v>
      </c>
      <c r="F162" s="46" t="s">
        <v>831</v>
      </c>
      <c r="G162" s="46">
        <f>COUNTIF(SIP[[#Headers],[Investor ID]]:SIP[[#This Row],[Investor ID]],SIP[[#This Row],[Investor ID]])</f>
        <v>5</v>
      </c>
      <c r="H162" s="46" t="str">
        <f>CONCATENATE(SIP[[#This Row],[Frequency]],SIP[[#This Row],[Investor ID]])</f>
        <v>5A00392</v>
      </c>
      <c r="I162" s="46" t="str">
        <f>IF(SIP[[#This Row],[B/S]]="B","BUY",(IF(SIP[[#This Row],[B/S]]="S","SELL"," ")))</f>
        <v>BUY</v>
      </c>
      <c r="J162" s="46" t="s">
        <v>1229</v>
      </c>
      <c r="K162" s="69">
        <v>22040</v>
      </c>
      <c r="L162" s="69"/>
      <c r="M162" s="70">
        <f>SIP[[#This Row],[Amount]]/SIP[[#This Row],[Unit]]</f>
        <v>10.485252140818268</v>
      </c>
      <c r="N162" s="71">
        <f>SIP[[#This Row],[Unit Capital]]/10</f>
        <v>2102</v>
      </c>
      <c r="O162" s="72">
        <f>SUMIFS(SIP[[#Headers],[Unit]]:SIP[[#This Row],[Unit]],SIP[[#Headers],[Investor ID]]:SIP[[#This Row],[Investor ID]],SIP[[#This Row],[Investor ID]])</f>
        <v>10657</v>
      </c>
      <c r="P162" s="73">
        <v>21020</v>
      </c>
      <c r="Q162" s="74">
        <f>SIP[[#This Row],[Amount]]-SIP[[#This Row],[Unit Capital]]</f>
        <v>1020</v>
      </c>
      <c r="R1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10.340621187951582</v>
      </c>
      <c r="S162" s="68">
        <f t="shared" si="5"/>
        <v>14.224</v>
      </c>
      <c r="T1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" s="74" cm="1">
        <f t="array" ref="U162">IF(SIP[[#This Row],[B/S]]="S",ABS(SIP[[#This Row],[Unit]])*(INDEX(SIP[NAV at Cost (Average)],MATCH(CONCATENATE((SIP[[#This Row],[Frequency]]-1),SIP[[#This Row],[Investor ID]]),SIP[Unique Code],0),0)),0)</f>
        <v>0</v>
      </c>
      <c r="V162" s="74">
        <f>IF(SIP[[#This Row],[BO TRANSFER]]="YES",SIP[[#This Row],[Unit]],)</f>
        <v>0</v>
      </c>
      <c r="W162" s="74">
        <f>SUMIFS(SIP[[#Headers],[BO UNIT TRANSFER]]:SIP[[#This Row],[BO UNIT TRANSFER]],SIP[[#Headers],[Investor ID]]:SIP[[#This Row],[Investor ID]],SIP[[#This Row],[Investor ID]])</f>
        <v>0</v>
      </c>
    </row>
    <row r="163" spans="1:23" ht="15" customHeight="1">
      <c r="A163" s="46">
        <v>2023</v>
      </c>
      <c r="B163" s="46">
        <v>9</v>
      </c>
      <c r="C163" s="46">
        <v>26</v>
      </c>
      <c r="D163" s="65">
        <f>DATE(SIP[[#This Row],[Year]],SIP[[#This Row],[Month]],SIP[[#This Row],[Day]])</f>
        <v>45195</v>
      </c>
      <c r="E163" s="66" t="str" cm="1">
        <f t="array" ref="E163">INDEX(INVESTORS_LIST[INVESTOR NAME],MATCH(SIP[[#This Row],[Investor ID]],INVESTORS_LIST[INVESTOR CODE],0),)</f>
        <v>S.M. SAIFUL ISLAM</v>
      </c>
      <c r="F163" s="46" t="s">
        <v>1002</v>
      </c>
      <c r="G163" s="46">
        <f>COUNTIF(SIP[[#Headers],[Investor ID]]:SIP[[#This Row],[Investor ID]],SIP[[#This Row],[Investor ID]])</f>
        <v>5</v>
      </c>
      <c r="H163" s="46" t="str">
        <f>CONCATENATE(SIP[[#This Row],[Frequency]],SIP[[#This Row],[Investor ID]])</f>
        <v>5A00478</v>
      </c>
      <c r="I163" s="46" t="str">
        <f>IF(SIP[[#This Row],[B/S]]="B","BUY",(IF(SIP[[#This Row],[B/S]]="S","SELL"," ")))</f>
        <v>BUY</v>
      </c>
      <c r="J163" s="46" t="s">
        <v>1229</v>
      </c>
      <c r="K163" s="69">
        <v>10000</v>
      </c>
      <c r="L163" s="69"/>
      <c r="M163" s="70">
        <f>SIP[[#This Row],[Amount]]/SIP[[#This Row],[Unit]]</f>
        <v>10.482180293501049</v>
      </c>
      <c r="N163" s="71">
        <f>SIP[[#This Row],[Unit Capital]]/10</f>
        <v>954</v>
      </c>
      <c r="O163" s="72">
        <f>SUMIFS(SIP[[#Headers],[Unit]]:SIP[[#This Row],[Unit]],SIP[[#Headers],[Investor ID]]:SIP[[#This Row],[Investor ID]],SIP[[#This Row],[Investor ID]])</f>
        <v>4836</v>
      </c>
      <c r="P163" s="73">
        <v>9540</v>
      </c>
      <c r="Q163" s="74">
        <f>SIP[[#This Row],[Amount]]-SIP[[#This Row],[Unit Capital]]</f>
        <v>460</v>
      </c>
      <c r="R1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10.339123242349048</v>
      </c>
      <c r="S163" s="68">
        <f t="shared" si="5"/>
        <v>14.224</v>
      </c>
      <c r="T1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" s="74" cm="1">
        <f t="array" ref="U163">IF(SIP[[#This Row],[B/S]]="S",ABS(SIP[[#This Row],[Unit]])*(INDEX(SIP[NAV at Cost (Average)],MATCH(CONCATENATE((SIP[[#This Row],[Frequency]]-1),SIP[[#This Row],[Investor ID]]),SIP[Unique Code],0),0)),0)</f>
        <v>0</v>
      </c>
      <c r="V163" s="74">
        <f>IF(SIP[[#This Row],[BO TRANSFER]]="YES",SIP[[#This Row],[Unit]],)</f>
        <v>0</v>
      </c>
      <c r="W163" s="74">
        <f>SUMIFS(SIP[[#Headers],[BO UNIT TRANSFER]]:SIP[[#This Row],[BO UNIT TRANSFER]],SIP[[#Headers],[Investor ID]]:SIP[[#This Row],[Investor ID]],SIP[[#This Row],[Investor ID]])</f>
        <v>0</v>
      </c>
    </row>
    <row r="164" spans="1:23" ht="15" customHeight="1">
      <c r="A164" s="46">
        <v>2023</v>
      </c>
      <c r="B164" s="46">
        <v>9</v>
      </c>
      <c r="C164" s="46">
        <v>26</v>
      </c>
      <c r="D164" s="65">
        <f>DATE(SIP[[#This Row],[Year]],SIP[[#This Row],[Month]],SIP[[#This Row],[Day]])</f>
        <v>45195</v>
      </c>
      <c r="E164" s="66" t="str" cm="1">
        <f t="array" ref="E164">INDEX(INVESTORS_LIST[INVESTOR NAME],MATCH(SIP[[#This Row],[Investor ID]],INVESTORS_LIST[INVESTOR CODE],0),)</f>
        <v>MOHAMMED SHARIFUL ISLAM</v>
      </c>
      <c r="F164" s="46" t="s">
        <v>1028</v>
      </c>
      <c r="G164" s="46">
        <f>COUNTIF(SIP[[#Headers],[Investor ID]]:SIP[[#This Row],[Investor ID]],SIP[[#This Row],[Investor ID]])</f>
        <v>4</v>
      </c>
      <c r="H164" s="46" t="str">
        <f>CONCATENATE(SIP[[#This Row],[Frequency]],SIP[[#This Row],[Investor ID]])</f>
        <v>4A00491</v>
      </c>
      <c r="I164" s="46" t="str">
        <f>IF(SIP[[#This Row],[B/S]]="B","BUY",(IF(SIP[[#This Row],[B/S]]="S","SELL"," ")))</f>
        <v>BUY</v>
      </c>
      <c r="J164" s="46" t="s">
        <v>1229</v>
      </c>
      <c r="K164" s="69">
        <v>5000</v>
      </c>
      <c r="L164" s="69"/>
      <c r="M164" s="70">
        <f>SIP[[#This Row],[Amount]]/SIP[[#This Row],[Unit]]</f>
        <v>10.482180293501049</v>
      </c>
      <c r="N164" s="71">
        <f>SIP[[#This Row],[Unit Capital]]/10</f>
        <v>477</v>
      </c>
      <c r="O164" s="72">
        <f>SUMIFS(SIP[[#Headers],[Unit]]:SIP[[#This Row],[Unit]],SIP[[#Headers],[Investor ID]]:SIP[[#This Row],[Investor ID]],SIP[[#This Row],[Investor ID]])</f>
        <v>1927</v>
      </c>
      <c r="P164" s="73">
        <v>4770</v>
      </c>
      <c r="Q164" s="74">
        <f>SIP[[#This Row],[Amount]]-SIP[[#This Row],[Unit Capital]]</f>
        <v>230</v>
      </c>
      <c r="R1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64" s="68">
        <f t="shared" si="5"/>
        <v>14.224</v>
      </c>
      <c r="T1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" s="74" cm="1">
        <f t="array" ref="U164">IF(SIP[[#This Row],[B/S]]="S",ABS(SIP[[#This Row],[Unit]])*(INDEX(SIP[NAV at Cost (Average)],MATCH(CONCATENATE((SIP[[#This Row],[Frequency]]-1),SIP[[#This Row],[Investor ID]]),SIP[Unique Code],0),0)),0)</f>
        <v>0</v>
      </c>
      <c r="V164" s="74">
        <f>IF(SIP[[#This Row],[BO TRANSFER]]="YES",SIP[[#This Row],[Unit]],)</f>
        <v>0</v>
      </c>
      <c r="W164" s="74">
        <f>SUMIFS(SIP[[#Headers],[BO UNIT TRANSFER]]:SIP[[#This Row],[BO UNIT TRANSFER]],SIP[[#Headers],[Investor ID]]:SIP[[#This Row],[Investor ID]],SIP[[#This Row],[Investor ID]])</f>
        <v>0</v>
      </c>
    </row>
    <row r="165" spans="1:23" ht="15" customHeight="1">
      <c r="A165" s="46">
        <v>2023</v>
      </c>
      <c r="B165" s="46">
        <v>9</v>
      </c>
      <c r="C165" s="46">
        <v>26</v>
      </c>
      <c r="D165" s="65">
        <f>DATE(SIP[[#This Row],[Year]],SIP[[#This Row],[Month]],SIP[[#This Row],[Day]])</f>
        <v>45195</v>
      </c>
      <c r="E165" s="66" t="str" cm="1">
        <f t="array" ref="E165">INDEX(INVESTORS_LIST[INVESTOR NAME],MATCH(SIP[[#This Row],[Investor ID]],INVESTORS_LIST[INVESTOR CODE],0),)</f>
        <v>ABU MUSA MIRZA KAMRUZZAMAN SHAHEE</v>
      </c>
      <c r="F165" s="46" t="s">
        <v>1012</v>
      </c>
      <c r="G165" s="46">
        <f>COUNTIF(SIP[[#Headers],[Investor ID]]:SIP[[#This Row],[Investor ID]],SIP[[#This Row],[Investor ID]])</f>
        <v>4</v>
      </c>
      <c r="H165" s="46" t="str">
        <f>CONCATENATE(SIP[[#This Row],[Frequency]],SIP[[#This Row],[Investor ID]])</f>
        <v>4A00483</v>
      </c>
      <c r="I165" s="46" t="str">
        <f>IF(SIP[[#This Row],[B/S]]="B","BUY",(IF(SIP[[#This Row],[B/S]]="S","SELL"," ")))</f>
        <v>BUY</v>
      </c>
      <c r="J165" s="46" t="s">
        <v>1229</v>
      </c>
      <c r="K165" s="69">
        <v>5000</v>
      </c>
      <c r="L165" s="69"/>
      <c r="M165" s="70">
        <f>SIP[[#This Row],[Amount]]/SIP[[#This Row],[Unit]]</f>
        <v>10.482180293501049</v>
      </c>
      <c r="N165" s="71">
        <f>SIP[[#This Row],[Unit Capital]]/10</f>
        <v>477</v>
      </c>
      <c r="O165" s="72">
        <f>SUMIFS(SIP[[#Headers],[Unit]]:SIP[[#This Row],[Unit]],SIP[[#Headers],[Investor ID]]:SIP[[#This Row],[Investor ID]],SIP[[#This Row],[Investor ID]])</f>
        <v>1927</v>
      </c>
      <c r="P165" s="73">
        <v>4770</v>
      </c>
      <c r="Q165" s="74">
        <f>SIP[[#This Row],[Amount]]-SIP[[#This Row],[Unit Capital]]</f>
        <v>230</v>
      </c>
      <c r="R1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65" s="68">
        <f t="shared" si="5"/>
        <v>14.224</v>
      </c>
      <c r="T1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" s="74" cm="1">
        <f t="array" ref="U165">IF(SIP[[#This Row],[B/S]]="S",ABS(SIP[[#This Row],[Unit]])*(INDEX(SIP[NAV at Cost (Average)],MATCH(CONCATENATE((SIP[[#This Row],[Frequency]]-1),SIP[[#This Row],[Investor ID]]),SIP[Unique Code],0),0)),0)</f>
        <v>0</v>
      </c>
      <c r="V165" s="74">
        <f>IF(SIP[[#This Row],[BO TRANSFER]]="YES",SIP[[#This Row],[Unit]],)</f>
        <v>0</v>
      </c>
      <c r="W165" s="74">
        <f>SUMIFS(SIP[[#Headers],[BO UNIT TRANSFER]]:SIP[[#This Row],[BO UNIT TRANSFER]],SIP[[#Headers],[Investor ID]]:SIP[[#This Row],[Investor ID]],SIP[[#This Row],[Investor ID]])</f>
        <v>0</v>
      </c>
    </row>
    <row r="166" spans="1:23" ht="15" customHeight="1">
      <c r="A166" s="46">
        <v>2023</v>
      </c>
      <c r="B166" s="46">
        <v>9</v>
      </c>
      <c r="C166" s="46">
        <v>26</v>
      </c>
      <c r="D166" s="65">
        <f>DATE(SIP[[#This Row],[Year]],SIP[[#This Row],[Month]],SIP[[#This Row],[Day]])</f>
        <v>45195</v>
      </c>
      <c r="E166" s="66" t="str" cm="1">
        <f t="array" ref="E166">INDEX(INVESTORS_LIST[INVESTOR NAME],MATCH(SIP[[#This Row],[Investor ID]],INVESTORS_LIST[INVESTOR CODE],0),)</f>
        <v>ASHIK IQBAL CHOWDHURY</v>
      </c>
      <c r="F166" s="46" t="s">
        <v>1016</v>
      </c>
      <c r="G166" s="46">
        <f>COUNTIF(SIP[[#Headers],[Investor ID]]:SIP[[#This Row],[Investor ID]],SIP[[#This Row],[Investor ID]])</f>
        <v>4</v>
      </c>
      <c r="H166" s="46" t="str">
        <f>CONCATENATE(SIP[[#This Row],[Frequency]],SIP[[#This Row],[Investor ID]])</f>
        <v>4A00485</v>
      </c>
      <c r="I166" s="46" t="str">
        <f>IF(SIP[[#This Row],[B/S]]="B","BUY",(IF(SIP[[#This Row],[B/S]]="S","SELL"," ")))</f>
        <v>BUY</v>
      </c>
      <c r="J166" s="46" t="s">
        <v>1229</v>
      </c>
      <c r="K166" s="69">
        <v>5000</v>
      </c>
      <c r="L166" s="69"/>
      <c r="M166" s="70">
        <f>SIP[[#This Row],[Amount]]/SIP[[#This Row],[Unit]]</f>
        <v>10.482180293501049</v>
      </c>
      <c r="N166" s="71">
        <f>SIP[[#This Row],[Unit Capital]]/10</f>
        <v>477</v>
      </c>
      <c r="O166" s="72">
        <f>SUMIFS(SIP[[#Headers],[Unit]]:SIP[[#This Row],[Unit]],SIP[[#Headers],[Investor ID]]:SIP[[#This Row],[Investor ID]],SIP[[#This Row],[Investor ID]])</f>
        <v>1927</v>
      </c>
      <c r="P166" s="73">
        <v>4770</v>
      </c>
      <c r="Q166" s="74">
        <f>SIP[[#This Row],[Amount]]-SIP[[#This Row],[Unit Capital]]</f>
        <v>230</v>
      </c>
      <c r="R1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66" s="68">
        <f t="shared" si="5"/>
        <v>14.224</v>
      </c>
      <c r="T1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" s="74" cm="1">
        <f t="array" ref="U166">IF(SIP[[#This Row],[B/S]]="S",ABS(SIP[[#This Row],[Unit]])*(INDEX(SIP[NAV at Cost (Average)],MATCH(CONCATENATE((SIP[[#This Row],[Frequency]]-1),SIP[[#This Row],[Investor ID]]),SIP[Unique Code],0),0)),0)</f>
        <v>0</v>
      </c>
      <c r="V166" s="74">
        <f>IF(SIP[[#This Row],[BO TRANSFER]]="YES",SIP[[#This Row],[Unit]],)</f>
        <v>0</v>
      </c>
      <c r="W166" s="74">
        <f>SUMIFS(SIP[[#Headers],[BO UNIT TRANSFER]]:SIP[[#This Row],[BO UNIT TRANSFER]],SIP[[#Headers],[Investor ID]]:SIP[[#This Row],[Investor ID]],SIP[[#This Row],[Investor ID]])</f>
        <v>0</v>
      </c>
    </row>
    <row r="167" spans="1:23" ht="15" customHeight="1">
      <c r="A167" s="46">
        <v>2023</v>
      </c>
      <c r="B167" s="46">
        <v>9</v>
      </c>
      <c r="C167" s="46">
        <v>26</v>
      </c>
      <c r="D167" s="65">
        <f>DATE(SIP[[#This Row],[Year]],SIP[[#This Row],[Month]],SIP[[#This Row],[Day]])</f>
        <v>45195</v>
      </c>
      <c r="E167" s="66" t="str" cm="1">
        <f t="array" ref="E167">INDEX(INVESTORS_LIST[INVESTOR NAME],MATCH(SIP[[#This Row],[Investor ID]],INVESTORS_LIST[INVESTOR CODE],0),)</f>
        <v>AKASH DEEP PAUL</v>
      </c>
      <c r="F167" s="46" t="s">
        <v>286</v>
      </c>
      <c r="G167" s="46">
        <f>COUNTIF(SIP[[#Headers],[Investor ID]]:SIP[[#This Row],[Investor ID]],SIP[[#This Row],[Investor ID]])</f>
        <v>4</v>
      </c>
      <c r="H167" s="46" t="str">
        <f>CONCATENATE(SIP[[#This Row],[Frequency]],SIP[[#This Row],[Investor ID]])</f>
        <v>4A00119</v>
      </c>
      <c r="I167" s="46" t="str">
        <f>IF(SIP[[#This Row],[B/S]]="B","BUY",(IF(SIP[[#This Row],[B/S]]="S","SELL"," ")))</f>
        <v>BUY</v>
      </c>
      <c r="J167" s="46" t="s">
        <v>1229</v>
      </c>
      <c r="K167" s="69">
        <v>5000</v>
      </c>
      <c r="L167" s="69"/>
      <c r="M167" s="70">
        <f>SIP[[#This Row],[Amount]]/SIP[[#This Row],[Unit]]</f>
        <v>10.482180293501049</v>
      </c>
      <c r="N167" s="71">
        <f>SIP[[#This Row],[Unit Capital]]/10</f>
        <v>477</v>
      </c>
      <c r="O167" s="72">
        <f>SUMIFS(SIP[[#Headers],[Unit]]:SIP[[#This Row],[Unit]],SIP[[#Headers],[Investor ID]]:SIP[[#This Row],[Investor ID]],SIP[[#This Row],[Investor ID]])</f>
        <v>1927</v>
      </c>
      <c r="P167" s="73">
        <v>4770</v>
      </c>
      <c r="Q167" s="74">
        <f>SIP[[#This Row],[Amount]]-SIP[[#This Row],[Unit Capital]]</f>
        <v>230</v>
      </c>
      <c r="R1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67" s="68">
        <f t="shared" si="5"/>
        <v>14.224</v>
      </c>
      <c r="T1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" s="74" cm="1">
        <f t="array" ref="U167">IF(SIP[[#This Row],[B/S]]="S",ABS(SIP[[#This Row],[Unit]])*(INDEX(SIP[NAV at Cost (Average)],MATCH(CONCATENATE((SIP[[#This Row],[Frequency]]-1),SIP[[#This Row],[Investor ID]]),SIP[Unique Code],0),0)),0)</f>
        <v>0</v>
      </c>
      <c r="V167" s="74">
        <f>IF(SIP[[#This Row],[BO TRANSFER]]="YES",SIP[[#This Row],[Unit]],)</f>
        <v>0</v>
      </c>
      <c r="W167" s="74">
        <f>SUMIFS(SIP[[#Headers],[BO UNIT TRANSFER]]:SIP[[#This Row],[BO UNIT TRANSFER]],SIP[[#Headers],[Investor ID]]:SIP[[#This Row],[Investor ID]],SIP[[#This Row],[Investor ID]])</f>
        <v>0</v>
      </c>
    </row>
    <row r="168" spans="1:23" ht="15" customHeight="1">
      <c r="A168" s="46">
        <v>2023</v>
      </c>
      <c r="B168" s="46">
        <v>9</v>
      </c>
      <c r="C168" s="46">
        <v>26</v>
      </c>
      <c r="D168" s="65">
        <f>DATE(SIP[[#This Row],[Year]],SIP[[#This Row],[Month]],SIP[[#This Row],[Day]])</f>
        <v>45195</v>
      </c>
      <c r="E168" s="66" t="str" cm="1">
        <f t="array" ref="E168">INDEX(INVESTORS_LIST[INVESTOR NAME],MATCH(SIP[[#This Row],[Investor ID]],INVESTORS_LIST[INVESTOR CODE],0),)</f>
        <v>JUBAIDA FARHANA HAQUE</v>
      </c>
      <c r="F168" s="46" t="s">
        <v>1065</v>
      </c>
      <c r="G168" s="46">
        <f>COUNTIF(SIP[[#Headers],[Investor ID]]:SIP[[#This Row],[Investor ID]],SIP[[#This Row],[Investor ID]])</f>
        <v>1</v>
      </c>
      <c r="H168" s="46" t="str">
        <f>CONCATENATE(SIP[[#This Row],[Frequency]],SIP[[#This Row],[Investor ID]])</f>
        <v>1A00510</v>
      </c>
      <c r="I168" s="46" t="str">
        <f>IF(SIP[[#This Row],[B/S]]="B","BUY",(IF(SIP[[#This Row],[B/S]]="S","SELL"," ")))</f>
        <v>BUY</v>
      </c>
      <c r="J168" s="46" t="s">
        <v>1229</v>
      </c>
      <c r="K168" s="69">
        <v>5000</v>
      </c>
      <c r="L168" s="69"/>
      <c r="M168" s="70">
        <f>SIP[[#This Row],[Amount]]/SIP[[#This Row],[Unit]]</f>
        <v>10.482180293501049</v>
      </c>
      <c r="N168" s="71">
        <f>SIP[[#This Row],[Unit Capital]]/10</f>
        <v>477</v>
      </c>
      <c r="O168" s="72">
        <f>SUMIFS(SIP[[#Headers],[Unit]]:SIP[[#This Row],[Unit]],SIP[[#Headers],[Investor ID]]:SIP[[#This Row],[Investor ID]],SIP[[#This Row],[Investor ID]])</f>
        <v>477</v>
      </c>
      <c r="P168" s="73">
        <v>4770</v>
      </c>
      <c r="Q168" s="74">
        <f>SIP[[#This Row],[Amount]]-SIP[[#This Row],[Unit Capital]]</f>
        <v>230</v>
      </c>
      <c r="R1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168" s="68">
        <f t="shared" si="5"/>
        <v>14.224</v>
      </c>
      <c r="T1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" s="74" cm="1">
        <f t="array" ref="U168">IF(SIP[[#This Row],[B/S]]="S",ABS(SIP[[#This Row],[Unit]])*(INDEX(SIP[NAV at Cost (Average)],MATCH(CONCATENATE((SIP[[#This Row],[Frequency]]-1),SIP[[#This Row],[Investor ID]]),SIP[Unique Code],0),0)),0)</f>
        <v>0</v>
      </c>
      <c r="V168" s="74">
        <f>IF(SIP[[#This Row],[BO TRANSFER]]="YES",SIP[[#This Row],[Unit]],)</f>
        <v>0</v>
      </c>
      <c r="W168" s="74">
        <f>SUMIFS(SIP[[#Headers],[BO UNIT TRANSFER]]:SIP[[#This Row],[BO UNIT TRANSFER]],SIP[[#Headers],[Investor ID]]:SIP[[#This Row],[Investor ID]],SIP[[#This Row],[Investor ID]])</f>
        <v>0</v>
      </c>
    </row>
    <row r="169" spans="1:23" ht="15" customHeight="1">
      <c r="A169" s="46">
        <v>2023</v>
      </c>
      <c r="B169" s="46">
        <v>9</v>
      </c>
      <c r="C169" s="46">
        <v>26</v>
      </c>
      <c r="D169" s="65">
        <f>DATE(SIP[[#This Row],[Year]],SIP[[#This Row],[Month]],SIP[[#This Row],[Day]])</f>
        <v>45195</v>
      </c>
      <c r="E169" s="66" t="str" cm="1">
        <f t="array" ref="E169">INDEX(INVESTORS_LIST[INVESTOR NAME],MATCH(SIP[[#This Row],[Investor ID]],INVESTORS_LIST[INVESTOR CODE],0),)</f>
        <v>TAPU GUHA</v>
      </c>
      <c r="F169" s="46" t="s">
        <v>483</v>
      </c>
      <c r="G169" s="46">
        <f>COUNTIF(SIP[[#Headers],[Investor ID]]:SIP[[#This Row],[Investor ID]],SIP[[#This Row],[Investor ID]])</f>
        <v>1</v>
      </c>
      <c r="H169" s="46" t="str">
        <f>CONCATENATE(SIP[[#This Row],[Frequency]],SIP[[#This Row],[Investor ID]])</f>
        <v>1A00217</v>
      </c>
      <c r="I169" s="46" t="str">
        <f>IF(SIP[[#This Row],[B/S]]="B","BUY",(IF(SIP[[#This Row],[B/S]]="S","SELL"," ")))</f>
        <v>BUY</v>
      </c>
      <c r="J169" s="46" t="s">
        <v>1229</v>
      </c>
      <c r="K169" s="69">
        <v>5000</v>
      </c>
      <c r="L169" s="69"/>
      <c r="M169" s="70">
        <f>SIP[[#This Row],[Amount]]/SIP[[#This Row],[Unit]]</f>
        <v>10.482180293501049</v>
      </c>
      <c r="N169" s="71">
        <f>SIP[[#This Row],[Unit Capital]]/10</f>
        <v>477</v>
      </c>
      <c r="O169" s="72">
        <f>SUMIFS(SIP[[#Headers],[Unit]]:SIP[[#This Row],[Unit]],SIP[[#Headers],[Investor ID]]:SIP[[#This Row],[Investor ID]],SIP[[#This Row],[Investor ID]])</f>
        <v>477</v>
      </c>
      <c r="P169" s="73">
        <v>4770</v>
      </c>
      <c r="Q169" s="74">
        <f>SIP[[#This Row],[Amount]]-SIP[[#This Row],[Unit Capital]]</f>
        <v>230</v>
      </c>
      <c r="R1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169" s="68">
        <f t="shared" si="5"/>
        <v>14.224</v>
      </c>
      <c r="T1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" s="74" cm="1">
        <f t="array" ref="U169">IF(SIP[[#This Row],[B/S]]="S",ABS(SIP[[#This Row],[Unit]])*(INDEX(SIP[NAV at Cost (Average)],MATCH(CONCATENATE((SIP[[#This Row],[Frequency]]-1),SIP[[#This Row],[Investor ID]]),SIP[Unique Code],0),0)),0)</f>
        <v>0</v>
      </c>
      <c r="V169" s="74">
        <f>IF(SIP[[#This Row],[BO TRANSFER]]="YES",SIP[[#This Row],[Unit]],)</f>
        <v>0</v>
      </c>
      <c r="W169" s="74">
        <f>SUMIFS(SIP[[#Headers],[BO UNIT TRANSFER]]:SIP[[#This Row],[BO UNIT TRANSFER]],SIP[[#Headers],[Investor ID]]:SIP[[#This Row],[Investor ID]],SIP[[#This Row],[Investor ID]])</f>
        <v>0</v>
      </c>
    </row>
    <row r="170" spans="1:23" ht="15" customHeight="1">
      <c r="A170" s="46">
        <v>2023</v>
      </c>
      <c r="B170" s="46">
        <v>9</v>
      </c>
      <c r="C170" s="46">
        <v>26</v>
      </c>
      <c r="D170" s="65">
        <f>DATE(SIP[[#This Row],[Year]],SIP[[#This Row],[Month]],SIP[[#This Row],[Day]])</f>
        <v>45195</v>
      </c>
      <c r="E170" s="66" t="str" cm="1">
        <f t="array" ref="E170">INDEX(INVESTORS_LIST[INVESTOR NAME],MATCH(SIP[[#This Row],[Investor ID]],INVESTORS_LIST[INVESTOR CODE],0),)</f>
        <v>TAPU GUHA</v>
      </c>
      <c r="F170" s="46" t="s">
        <v>483</v>
      </c>
      <c r="G170" s="46">
        <f>COUNTIF(SIP[[#Headers],[Investor ID]]:SIP[[#This Row],[Investor ID]],SIP[[#This Row],[Investor ID]])</f>
        <v>2</v>
      </c>
      <c r="H170" s="46" t="str">
        <f>CONCATENATE(SIP[[#This Row],[Frequency]],SIP[[#This Row],[Investor ID]])</f>
        <v>2A00217</v>
      </c>
      <c r="I170" s="46" t="str">
        <f>IF(SIP[[#This Row],[B/S]]="B","BUY",(IF(SIP[[#This Row],[B/S]]="S","SELL"," ")))</f>
        <v>BUY</v>
      </c>
      <c r="J170" s="46" t="s">
        <v>1229</v>
      </c>
      <c r="K170" s="69">
        <v>5000</v>
      </c>
      <c r="L170" s="69"/>
      <c r="M170" s="70">
        <f>SIP[[#This Row],[Amount]]/SIP[[#This Row],[Unit]]</f>
        <v>10.482180293501049</v>
      </c>
      <c r="N170" s="71">
        <f>SIP[[#This Row],[Unit Capital]]/10</f>
        <v>477</v>
      </c>
      <c r="O170" s="72">
        <f>SUMIFS(SIP[[#Headers],[Unit]]:SIP[[#This Row],[Unit]],SIP[[#Headers],[Investor ID]]:SIP[[#This Row],[Investor ID]],SIP[[#This Row],[Investor ID]])</f>
        <v>954</v>
      </c>
      <c r="P170" s="73">
        <v>4770</v>
      </c>
      <c r="Q170" s="74">
        <f>SIP[[#This Row],[Amount]]-SIP[[#This Row],[Unit Capital]]</f>
        <v>230</v>
      </c>
      <c r="R1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170" s="68">
        <f t="shared" si="5"/>
        <v>14.224</v>
      </c>
      <c r="T1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" s="74" cm="1">
        <f t="array" ref="U170">IF(SIP[[#This Row],[B/S]]="S",ABS(SIP[[#This Row],[Unit]])*(INDEX(SIP[NAV at Cost (Average)],MATCH(CONCATENATE((SIP[[#This Row],[Frequency]]-1),SIP[[#This Row],[Investor ID]]),SIP[Unique Code],0),0)),0)</f>
        <v>0</v>
      </c>
      <c r="V170" s="74">
        <f>IF(SIP[[#This Row],[BO TRANSFER]]="YES",SIP[[#This Row],[Unit]],)</f>
        <v>0</v>
      </c>
      <c r="W170" s="74">
        <f>SUMIFS(SIP[[#Headers],[BO UNIT TRANSFER]]:SIP[[#This Row],[BO UNIT TRANSFER]],SIP[[#Headers],[Investor ID]]:SIP[[#This Row],[Investor ID]],SIP[[#This Row],[Investor ID]])</f>
        <v>0</v>
      </c>
    </row>
    <row r="171" spans="1:23" ht="15" customHeight="1">
      <c r="A171" s="46">
        <v>2023</v>
      </c>
      <c r="B171" s="46">
        <v>9</v>
      </c>
      <c r="C171" s="46">
        <v>26</v>
      </c>
      <c r="D171" s="65">
        <f>DATE(SIP[[#This Row],[Year]],SIP[[#This Row],[Month]],SIP[[#This Row],[Day]])</f>
        <v>45195</v>
      </c>
      <c r="E171" s="66" t="str" cm="1">
        <f t="array" ref="E171">INDEX(INVESTORS_LIST[INVESTOR NAME],MATCH(SIP[[#This Row],[Investor ID]],INVESTORS_LIST[INVESTOR CODE],0),)</f>
        <v>MAYA RANI SAHA</v>
      </c>
      <c r="F171" s="46" t="s">
        <v>224</v>
      </c>
      <c r="G171" s="46">
        <f>COUNTIF(SIP[[#Headers],[Investor ID]]:SIP[[#This Row],[Investor ID]],SIP[[#This Row],[Investor ID]])</f>
        <v>3</v>
      </c>
      <c r="H171" s="46" t="str">
        <f>CONCATENATE(SIP[[#This Row],[Frequency]],SIP[[#This Row],[Investor ID]])</f>
        <v>3A00088</v>
      </c>
      <c r="I171" s="46" t="str">
        <f>IF(SIP[[#This Row],[B/S]]="B","BUY",(IF(SIP[[#This Row],[B/S]]="S","SELL"," ")))</f>
        <v>BUY</v>
      </c>
      <c r="J171" s="46" t="s">
        <v>1229</v>
      </c>
      <c r="K171" s="69">
        <v>14000</v>
      </c>
      <c r="L171" s="69"/>
      <c r="M171" s="70">
        <f>SIP[[#This Row],[Amount]]/SIP[[#This Row],[Unit]]</f>
        <v>10.486891385767791</v>
      </c>
      <c r="N171" s="71">
        <f>SIP[[#This Row],[Unit Capital]]/10</f>
        <v>1335</v>
      </c>
      <c r="O171" s="72">
        <f>SUMIFS(SIP[[#Headers],[Unit]]:SIP[[#This Row],[Unit]],SIP[[#Headers],[Investor ID]]:SIP[[#This Row],[Investor ID]],SIP[[#This Row],[Investor ID]])</f>
        <v>3637</v>
      </c>
      <c r="P171" s="73">
        <v>13350</v>
      </c>
      <c r="Q171" s="74">
        <f>SIP[[#This Row],[Amount]]-SIP[[#This Row],[Unit Capital]]</f>
        <v>650</v>
      </c>
      <c r="R1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10.448171569975255</v>
      </c>
      <c r="S171" s="68">
        <f t="shared" si="5"/>
        <v>14.224</v>
      </c>
      <c r="T1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" s="74" cm="1">
        <f t="array" ref="U171">IF(SIP[[#This Row],[B/S]]="S",ABS(SIP[[#This Row],[Unit]])*(INDEX(SIP[NAV at Cost (Average)],MATCH(CONCATENATE((SIP[[#This Row],[Frequency]]-1),SIP[[#This Row],[Investor ID]]),SIP[Unique Code],0),0)),0)</f>
        <v>0</v>
      </c>
      <c r="V171" s="74">
        <f>IF(SIP[[#This Row],[BO TRANSFER]]="YES",SIP[[#This Row],[Unit]],)</f>
        <v>0</v>
      </c>
      <c r="W171" s="74">
        <f>SUMIFS(SIP[[#Headers],[BO UNIT TRANSFER]]:SIP[[#This Row],[BO UNIT TRANSFER]],SIP[[#Headers],[Investor ID]]:SIP[[#This Row],[Investor ID]],SIP[[#This Row],[Investor ID]])</f>
        <v>0</v>
      </c>
    </row>
    <row r="172" spans="1:23" ht="15" customHeight="1">
      <c r="A172" s="46">
        <v>2023</v>
      </c>
      <c r="B172" s="46">
        <v>9</v>
      </c>
      <c r="C172" s="46">
        <v>26</v>
      </c>
      <c r="D172" s="65">
        <f>DATE(SIP[[#This Row],[Year]],SIP[[#This Row],[Month]],SIP[[#This Row],[Day]])</f>
        <v>45195</v>
      </c>
      <c r="E172" s="66" t="str" cm="1">
        <f t="array" ref="E172">INDEX(INVESTORS_LIST[INVESTOR NAME],MATCH(SIP[[#This Row],[Investor ID]],INVESTORS_LIST[INVESTOR CODE],0),)</f>
        <v>KHALED HOSSAIN</v>
      </c>
      <c r="F172" s="46" t="s">
        <v>1050</v>
      </c>
      <c r="G172" s="46">
        <f>COUNTIF(SIP[[#Headers],[Investor ID]]:SIP[[#This Row],[Investor ID]],SIP[[#This Row],[Investor ID]])</f>
        <v>4</v>
      </c>
      <c r="H172" s="46" t="str">
        <f>CONCATENATE(SIP[[#This Row],[Frequency]],SIP[[#This Row],[Investor ID]])</f>
        <v>4A00502</v>
      </c>
      <c r="I172" s="46" t="str">
        <f>IF(SIP[[#This Row],[B/S]]="B","BUY",(IF(SIP[[#This Row],[B/S]]="S","SELL"," ")))</f>
        <v>BUY</v>
      </c>
      <c r="J172" s="46" t="s">
        <v>1229</v>
      </c>
      <c r="K172" s="69">
        <v>10000</v>
      </c>
      <c r="L172" s="69"/>
      <c r="M172" s="70">
        <f>SIP[[#This Row],[Amount]]/SIP[[#This Row],[Unit]]</f>
        <v>10.482180293501049</v>
      </c>
      <c r="N172" s="71">
        <f>SIP[[#This Row],[Unit Capital]]/10</f>
        <v>954</v>
      </c>
      <c r="O172" s="72">
        <f>SUMIFS(SIP[[#Headers],[Unit]]:SIP[[#This Row],[Unit]],SIP[[#Headers],[Investor ID]]:SIP[[#This Row],[Investor ID]],SIP[[#This Row],[Investor ID]])</f>
        <v>3854</v>
      </c>
      <c r="P172" s="73">
        <v>9540</v>
      </c>
      <c r="Q172" s="74">
        <f>SIP[[#This Row],[Amount]]-SIP[[#This Row],[Unit Capital]]</f>
        <v>460</v>
      </c>
      <c r="R1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72" s="68">
        <f t="shared" si="5"/>
        <v>14.224</v>
      </c>
      <c r="T1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" s="74" cm="1">
        <f t="array" ref="U172">IF(SIP[[#This Row],[B/S]]="S",ABS(SIP[[#This Row],[Unit]])*(INDEX(SIP[NAV at Cost (Average)],MATCH(CONCATENATE((SIP[[#This Row],[Frequency]]-1),SIP[[#This Row],[Investor ID]]),SIP[Unique Code],0),0)),0)</f>
        <v>0</v>
      </c>
      <c r="V172" s="74">
        <f>IF(SIP[[#This Row],[BO TRANSFER]]="YES",SIP[[#This Row],[Unit]],)</f>
        <v>0</v>
      </c>
      <c r="W172" s="74">
        <f>SUMIFS(SIP[[#Headers],[BO UNIT TRANSFER]]:SIP[[#This Row],[BO UNIT TRANSFER]],SIP[[#Headers],[Investor ID]]:SIP[[#This Row],[Investor ID]],SIP[[#This Row],[Investor ID]])</f>
        <v>0</v>
      </c>
    </row>
    <row r="173" spans="1:23" ht="15" customHeight="1">
      <c r="A173" s="46">
        <v>2023</v>
      </c>
      <c r="B173" s="46">
        <v>9</v>
      </c>
      <c r="C173" s="46">
        <v>26</v>
      </c>
      <c r="D173" s="65">
        <f>DATE(SIP[[#This Row],[Year]],SIP[[#This Row],[Month]],SIP[[#This Row],[Day]])</f>
        <v>45195</v>
      </c>
      <c r="E173" s="66" t="str" cm="1">
        <f t="array" ref="E173">INDEX(INVESTORS_LIST[INVESTOR NAME],MATCH(SIP[[#This Row],[Investor ID]],INVESTORS_LIST[INVESTOR CODE],0),)</f>
        <v>MRINMOY GHOSH</v>
      </c>
      <c r="F173" s="46" t="s">
        <v>69</v>
      </c>
      <c r="G173" s="46">
        <f>COUNTIF(SIP[[#Headers],[Investor ID]]:SIP[[#This Row],[Investor ID]],SIP[[#This Row],[Investor ID]])</f>
        <v>1</v>
      </c>
      <c r="H173" s="46" t="str">
        <f>CONCATENATE(SIP[[#This Row],[Frequency]],SIP[[#This Row],[Investor ID]])</f>
        <v>1A00012</v>
      </c>
      <c r="I173" s="46" t="str">
        <f>IF(SIP[[#This Row],[B/S]]="B","BUY",(IF(SIP[[#This Row],[B/S]]="S","SELL"," ")))</f>
        <v>BUY</v>
      </c>
      <c r="J173" s="46" t="s">
        <v>1229</v>
      </c>
      <c r="K173" s="69">
        <v>10000</v>
      </c>
      <c r="L173" s="69"/>
      <c r="M173" s="70">
        <f>SIP[[#This Row],[Amount]]/SIP[[#This Row],[Unit]]</f>
        <v>10.482180293501049</v>
      </c>
      <c r="N173" s="71">
        <f>SIP[[#This Row],[Unit Capital]]/10</f>
        <v>954</v>
      </c>
      <c r="O173" s="72">
        <f>SUMIFS(SIP[[#Headers],[Unit]]:SIP[[#This Row],[Unit]],SIP[[#Headers],[Investor ID]]:SIP[[#This Row],[Investor ID]],SIP[[#This Row],[Investor ID]])</f>
        <v>954</v>
      </c>
      <c r="P173" s="73">
        <v>9540</v>
      </c>
      <c r="Q173" s="74">
        <f>SIP[[#This Row],[Amount]]-SIP[[#This Row],[Unit Capital]]</f>
        <v>460</v>
      </c>
      <c r="R1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173" s="68">
        <f t="shared" si="5"/>
        <v>14.224</v>
      </c>
      <c r="T1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" s="74" cm="1">
        <f t="array" ref="U173">IF(SIP[[#This Row],[B/S]]="S",ABS(SIP[[#This Row],[Unit]])*(INDEX(SIP[NAV at Cost (Average)],MATCH(CONCATENATE((SIP[[#This Row],[Frequency]]-1),SIP[[#This Row],[Investor ID]]),SIP[Unique Code],0),0)),0)</f>
        <v>0</v>
      </c>
      <c r="V173" s="74">
        <f>IF(SIP[[#This Row],[BO TRANSFER]]="YES",SIP[[#This Row],[Unit]],)</f>
        <v>0</v>
      </c>
      <c r="W173" s="74">
        <f>SUMIFS(SIP[[#Headers],[BO UNIT TRANSFER]]:SIP[[#This Row],[BO UNIT TRANSFER]],SIP[[#Headers],[Investor ID]]:SIP[[#This Row],[Investor ID]],SIP[[#This Row],[Investor ID]])</f>
        <v>0</v>
      </c>
    </row>
    <row r="174" spans="1:23" ht="15" customHeight="1">
      <c r="A174" s="46">
        <v>2023</v>
      </c>
      <c r="B174" s="46">
        <v>9</v>
      </c>
      <c r="C174" s="46">
        <v>26</v>
      </c>
      <c r="D174" s="65">
        <f>DATE(SIP[[#This Row],[Year]],SIP[[#This Row],[Month]],SIP[[#This Row],[Day]])</f>
        <v>45195</v>
      </c>
      <c r="E174" s="66" t="str" cm="1">
        <f t="array" ref="E174">INDEX(INVESTORS_LIST[INVESTOR NAME],MATCH(SIP[[#This Row],[Investor ID]],INVESTORS_LIST[INVESTOR CODE],0),)</f>
        <v>ADNAN RASHID</v>
      </c>
      <c r="F174" s="46" t="s">
        <v>252</v>
      </c>
      <c r="G174" s="46">
        <f>COUNTIF(SIP[[#Headers],[Investor ID]]:SIP[[#This Row],[Investor ID]],SIP[[#This Row],[Investor ID]])</f>
        <v>1</v>
      </c>
      <c r="H174" s="46" t="str">
        <f>CONCATENATE(SIP[[#This Row],[Frequency]],SIP[[#This Row],[Investor ID]])</f>
        <v>1A00102</v>
      </c>
      <c r="I174" s="46" t="str">
        <f>IF(SIP[[#This Row],[B/S]]="B","BUY",(IF(SIP[[#This Row],[B/S]]="S","SELL"," ")))</f>
        <v>BUY</v>
      </c>
      <c r="J174" s="46" t="s">
        <v>1229</v>
      </c>
      <c r="K174" s="69">
        <v>30000</v>
      </c>
      <c r="L174" s="69"/>
      <c r="M174" s="70">
        <f>SIP[[#This Row],[Amount]]/SIP[[#This Row],[Unit]]</f>
        <v>10.482180293501049</v>
      </c>
      <c r="N174" s="71">
        <f>SIP[[#This Row],[Unit Capital]]/10</f>
        <v>2862</v>
      </c>
      <c r="O174" s="72">
        <f>SUMIFS(SIP[[#Headers],[Unit]]:SIP[[#This Row],[Unit]],SIP[[#Headers],[Investor ID]]:SIP[[#This Row],[Investor ID]],SIP[[#This Row],[Investor ID]])</f>
        <v>2862</v>
      </c>
      <c r="P174" s="73">
        <v>28620</v>
      </c>
      <c r="Q174" s="74">
        <f>SIP[[#This Row],[Amount]]-SIP[[#This Row],[Unit Capital]]</f>
        <v>1380</v>
      </c>
      <c r="R1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174" s="68">
        <f t="shared" si="5"/>
        <v>14.224</v>
      </c>
      <c r="T1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" s="74" cm="1">
        <f t="array" ref="U174">IF(SIP[[#This Row],[B/S]]="S",ABS(SIP[[#This Row],[Unit]])*(INDEX(SIP[NAV at Cost (Average)],MATCH(CONCATENATE((SIP[[#This Row],[Frequency]]-1),SIP[[#This Row],[Investor ID]]),SIP[Unique Code],0),0)),0)</f>
        <v>0</v>
      </c>
      <c r="V174" s="74">
        <f>IF(SIP[[#This Row],[BO TRANSFER]]="YES",SIP[[#This Row],[Unit]],)</f>
        <v>0</v>
      </c>
      <c r="W174" s="74">
        <f>SUMIFS(SIP[[#Headers],[BO UNIT TRANSFER]]:SIP[[#This Row],[BO UNIT TRANSFER]],SIP[[#Headers],[Investor ID]]:SIP[[#This Row],[Investor ID]],SIP[[#This Row],[Investor ID]])</f>
        <v>0</v>
      </c>
    </row>
    <row r="175" spans="1:23" ht="15" customHeight="1">
      <c r="A175" s="46">
        <v>2023</v>
      </c>
      <c r="B175" s="46">
        <v>9</v>
      </c>
      <c r="C175" s="46">
        <v>26</v>
      </c>
      <c r="D175" s="65">
        <f>DATE(SIP[[#This Row],[Year]],SIP[[#This Row],[Month]],SIP[[#This Row],[Day]])</f>
        <v>45195</v>
      </c>
      <c r="E175" s="66" t="str" cm="1">
        <f t="array" ref="E175">INDEX(INVESTORS_LIST[INVESTOR NAME],MATCH(SIP[[#This Row],[Investor ID]],INVESTORS_LIST[INVESTOR CODE],0),)</f>
        <v>MOHAMMAD SAMIUL ALAM</v>
      </c>
      <c r="F175" s="46" t="s">
        <v>537</v>
      </c>
      <c r="G175" s="46">
        <f>COUNTIF(SIP[[#Headers],[Investor ID]]:SIP[[#This Row],[Investor ID]],SIP[[#This Row],[Investor ID]])</f>
        <v>2</v>
      </c>
      <c r="H175" s="46" t="str">
        <f>CONCATENATE(SIP[[#This Row],[Frequency]],SIP[[#This Row],[Investor ID]])</f>
        <v>2A00244</v>
      </c>
      <c r="I175" s="46" t="str">
        <f>IF(SIP[[#This Row],[B/S]]="B","BUY",(IF(SIP[[#This Row],[B/S]]="S","SELL"," ")))</f>
        <v>BUY</v>
      </c>
      <c r="J175" s="46" t="s">
        <v>1229</v>
      </c>
      <c r="K175" s="69">
        <v>20000</v>
      </c>
      <c r="L175" s="69"/>
      <c r="M175" s="70">
        <f>SIP[[#This Row],[Amount]]/SIP[[#This Row],[Unit]]</f>
        <v>10.482180293501049</v>
      </c>
      <c r="N175" s="71">
        <f>SIP[[#This Row],[Unit Capital]]/10</f>
        <v>1908</v>
      </c>
      <c r="O175" s="72">
        <f>SUMIFS(SIP[[#Headers],[Unit]]:SIP[[#This Row],[Unit]],SIP[[#Headers],[Investor ID]]:SIP[[#This Row],[Investor ID]],SIP[[#This Row],[Investor ID]])</f>
        <v>3826</v>
      </c>
      <c r="P175" s="73">
        <v>19080</v>
      </c>
      <c r="Q175" s="74">
        <f>SIP[[#This Row],[Amount]]-SIP[[#This Row],[Unit Capital]]</f>
        <v>920</v>
      </c>
      <c r="R1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10.454783063251439</v>
      </c>
      <c r="S175" s="68">
        <f t="shared" si="5"/>
        <v>14.224</v>
      </c>
      <c r="T1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" s="74" cm="1">
        <f t="array" ref="U175">IF(SIP[[#This Row],[B/S]]="S",ABS(SIP[[#This Row],[Unit]])*(INDEX(SIP[NAV at Cost (Average)],MATCH(CONCATENATE((SIP[[#This Row],[Frequency]]-1),SIP[[#This Row],[Investor ID]]),SIP[Unique Code],0),0)),0)</f>
        <v>0</v>
      </c>
      <c r="V175" s="74">
        <f>IF(SIP[[#This Row],[BO TRANSFER]]="YES",SIP[[#This Row],[Unit]],)</f>
        <v>0</v>
      </c>
      <c r="W175" s="74">
        <f>SUMIFS(SIP[[#Headers],[BO UNIT TRANSFER]]:SIP[[#This Row],[BO UNIT TRANSFER]],SIP[[#Headers],[Investor ID]]:SIP[[#This Row],[Investor ID]],SIP[[#This Row],[Investor ID]])</f>
        <v>0</v>
      </c>
    </row>
    <row r="176" spans="1:23" ht="15" customHeight="1">
      <c r="A176" s="46">
        <v>2023</v>
      </c>
      <c r="B176" s="46">
        <v>9</v>
      </c>
      <c r="C176" s="46">
        <v>26</v>
      </c>
      <c r="D176" s="65">
        <f>DATE(SIP[[#This Row],[Year]],SIP[[#This Row],[Month]],SIP[[#This Row],[Day]])</f>
        <v>45195</v>
      </c>
      <c r="E176" s="66" t="str" cm="1">
        <f t="array" ref="E176">INDEX(INVESTORS_LIST[INVESTOR NAME],MATCH(SIP[[#This Row],[Investor ID]],INVESTORS_LIST[INVESTOR CODE],0),)</f>
        <v>SUMAN SAHA</v>
      </c>
      <c r="F176" s="46" t="s">
        <v>1022</v>
      </c>
      <c r="G176" s="46">
        <f>COUNTIF(SIP[[#Headers],[Investor ID]]:SIP[[#This Row],[Investor ID]],SIP[[#This Row],[Investor ID]])</f>
        <v>4</v>
      </c>
      <c r="H176" s="46" t="str">
        <f>CONCATENATE(SIP[[#This Row],[Frequency]],SIP[[#This Row],[Investor ID]])</f>
        <v>4A00488</v>
      </c>
      <c r="I176" s="46" t="str">
        <f>IF(SIP[[#This Row],[B/S]]="B","BUY",(IF(SIP[[#This Row],[B/S]]="S","SELL"," ")))</f>
        <v>BUY</v>
      </c>
      <c r="J176" s="46" t="s">
        <v>1229</v>
      </c>
      <c r="K176" s="69">
        <v>5000</v>
      </c>
      <c r="L176" s="69"/>
      <c r="M176" s="70">
        <f>SIP[[#This Row],[Amount]]/SIP[[#This Row],[Unit]]</f>
        <v>10.482180293501049</v>
      </c>
      <c r="N176" s="71">
        <f>SIP[[#This Row],[Unit Capital]]/10</f>
        <v>477</v>
      </c>
      <c r="O176" s="72">
        <f>SUMIFS(SIP[[#Headers],[Unit]]:SIP[[#This Row],[Unit]],SIP[[#Headers],[Investor ID]]:SIP[[#This Row],[Investor ID]],SIP[[#This Row],[Investor ID]])</f>
        <v>1927</v>
      </c>
      <c r="P176" s="73">
        <v>4770</v>
      </c>
      <c r="Q176" s="74">
        <f>SIP[[#This Row],[Amount]]-SIP[[#This Row],[Unit Capital]]</f>
        <v>230</v>
      </c>
      <c r="R1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10.378827192527245</v>
      </c>
      <c r="S176" s="68">
        <f t="shared" si="5"/>
        <v>14.224</v>
      </c>
      <c r="T1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" s="74" cm="1">
        <f t="array" ref="U176">IF(SIP[[#This Row],[B/S]]="S",ABS(SIP[[#This Row],[Unit]])*(INDEX(SIP[NAV at Cost (Average)],MATCH(CONCATENATE((SIP[[#This Row],[Frequency]]-1),SIP[[#This Row],[Investor ID]]),SIP[Unique Code],0),0)),0)</f>
        <v>0</v>
      </c>
      <c r="V176" s="74">
        <f>IF(SIP[[#This Row],[BO TRANSFER]]="YES",SIP[[#This Row],[Unit]],)</f>
        <v>0</v>
      </c>
      <c r="W176" s="74">
        <f>SUMIFS(SIP[[#Headers],[BO UNIT TRANSFER]]:SIP[[#This Row],[BO UNIT TRANSFER]],SIP[[#Headers],[Investor ID]]:SIP[[#This Row],[Investor ID]],SIP[[#This Row],[Investor ID]])</f>
        <v>0</v>
      </c>
    </row>
    <row r="177" spans="1:23" ht="15" customHeight="1">
      <c r="A177" s="46">
        <v>2023</v>
      </c>
      <c r="B177" s="46">
        <v>10</v>
      </c>
      <c r="C177" s="46">
        <v>2</v>
      </c>
      <c r="D177" s="65">
        <f>DATE(SIP[[#This Row],[Year]],SIP[[#This Row],[Month]],SIP[[#This Row],[Day]])</f>
        <v>45201</v>
      </c>
      <c r="E177" s="66" t="str" cm="1">
        <f t="array" ref="E177">INDEX(INVESTORS_LIST[INVESTOR NAME],MATCH(SIP[[#This Row],[Investor ID]],INVESTORS_LIST[INVESTOR CODE],0),)</f>
        <v>SRIJON GHOSH</v>
      </c>
      <c r="F177" s="46" t="s">
        <v>894</v>
      </c>
      <c r="G177" s="46">
        <f>COUNTIF(SIP[[#Headers],[Investor ID]]:SIP[[#This Row],[Investor ID]],SIP[[#This Row],[Investor ID]])</f>
        <v>12</v>
      </c>
      <c r="H177" s="46" t="str">
        <f>CONCATENATE(SIP[[#This Row],[Frequency]],SIP[[#This Row],[Investor ID]])</f>
        <v>12A00424</v>
      </c>
      <c r="I177" s="46" t="str">
        <f>IF(SIP[[#This Row],[B/S]]="B","BUY",(IF(SIP[[#This Row],[B/S]]="S","SELL"," ")))</f>
        <v>SELL</v>
      </c>
      <c r="J177" s="46" t="s">
        <v>1231</v>
      </c>
      <c r="K177" s="69">
        <v>-40000</v>
      </c>
      <c r="L177" s="69"/>
      <c r="M177" s="70">
        <f>SIP[[#This Row],[Amount]]/SIP[[#This Row],[Unit]]</f>
        <v>10.498687664041995</v>
      </c>
      <c r="N177" s="71">
        <f>SIP[[#This Row],[Unit Capital]]/10</f>
        <v>-3810</v>
      </c>
      <c r="O177" s="72">
        <f>SUMIFS(SIP[[#Headers],[Unit]]:SIP[[#This Row],[Unit]],SIP[[#Headers],[Investor ID]]:SIP[[#This Row],[Investor ID]],SIP[[#This Row],[Investor ID]])</f>
        <v>9828</v>
      </c>
      <c r="P177" s="73">
        <v>-38100</v>
      </c>
      <c r="Q177" s="74">
        <f>SIP[[#This Row],[Amount]]-SIP[[#This Row],[Unit Capital]]</f>
        <v>-1900</v>
      </c>
      <c r="R17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10.277568898193998</v>
      </c>
      <c r="S177" s="68">
        <f t="shared" ref="S177:S193" si="6">NAV_MKT</f>
        <v>14.224</v>
      </c>
      <c r="T177" s="74">
        <f>IF(SIP[[#This Row],[B/S]]="B",0,ABS(SIP[[#This Row],[Unit]])*(SIP[[#This Row],[NAV (Strike Rate)]]-INDEX(SIP[NAV at Cost (Average)],MATCH(CONCATENATE(SIP[[#This Row],[Frequency]]-1,SIP[[#This Row],[Investor ID]]),SIP[Unique Code],0),)))</f>
        <v>842.46249788086925</v>
      </c>
      <c r="U177" s="74" cm="1">
        <f t="array" ref="U177">IF(SIP[[#This Row],[B/S]]="S",ABS(SIP[[#This Row],[Unit]])*(INDEX(SIP[NAV at Cost (Average)],MATCH(CONCATENATE((SIP[[#This Row],[Frequency]]-1),SIP[[#This Row],[Investor ID]]),SIP[Unique Code],0),0)),0)</f>
        <v>39157.537502119128</v>
      </c>
      <c r="V177" s="74">
        <f>IF(SIP[[#This Row],[BO TRANSFER]]="YES",SIP[[#This Row],[Unit]],)</f>
        <v>0</v>
      </c>
      <c r="W177" s="74">
        <f>SUMIFS(SIP[[#Headers],[BO UNIT TRANSFER]]:SIP[[#This Row],[BO UNIT TRANSFER]],SIP[[#Headers],[Investor ID]]:SIP[[#This Row],[Investor ID]],SIP[[#This Row],[Investor ID]])</f>
        <v>0</v>
      </c>
    </row>
    <row r="178" spans="1:23" ht="15" customHeight="1">
      <c r="A178" s="46">
        <v>2023</v>
      </c>
      <c r="B178" s="46">
        <v>10</v>
      </c>
      <c r="C178" s="46">
        <v>3</v>
      </c>
      <c r="D178" s="65">
        <f>DATE(SIP[[#This Row],[Year]],SIP[[#This Row],[Month]],SIP[[#This Row],[Day]])</f>
        <v>45202</v>
      </c>
      <c r="E178" s="66" t="str" cm="1">
        <f t="array" ref="E178">INDEX(INVESTORS_LIST[INVESTOR NAME],MATCH(SIP[[#This Row],[Investor ID]],INVESTORS_LIST[INVESTOR CODE],0),)</f>
        <v>SRIJON GHOSH</v>
      </c>
      <c r="F178" s="46" t="s">
        <v>894</v>
      </c>
      <c r="G178" s="46">
        <f>COUNTIF(SIP[[#Headers],[Investor ID]]:SIP[[#This Row],[Investor ID]],SIP[[#This Row],[Investor ID]])</f>
        <v>13</v>
      </c>
      <c r="H178" s="46" t="str">
        <f>CONCATENATE(SIP[[#This Row],[Frequency]],SIP[[#This Row],[Investor ID]])</f>
        <v>13A00424</v>
      </c>
      <c r="I178" s="46" t="str">
        <f>IF(SIP[[#This Row],[B/S]]="B","BUY",(IF(SIP[[#This Row],[B/S]]="S","SELL"," ")))</f>
        <v>BUY</v>
      </c>
      <c r="J178" s="46" t="s">
        <v>1229</v>
      </c>
      <c r="K178" s="69">
        <v>15000</v>
      </c>
      <c r="L178" s="69"/>
      <c r="M178" s="70">
        <f>SIP[[#This Row],[Amount]]/SIP[[#This Row],[Unit]]</f>
        <v>10.48951048951049</v>
      </c>
      <c r="N178" s="71">
        <f>SIP[[#This Row],[Unit Capital]]/10</f>
        <v>1430</v>
      </c>
      <c r="O178" s="72">
        <f>SUMIFS(SIP[[#Headers],[Unit]]:SIP[[#This Row],[Unit]],SIP[[#Headers],[Investor ID]]:SIP[[#This Row],[Investor ID]],SIP[[#This Row],[Investor ID]])</f>
        <v>11258</v>
      </c>
      <c r="P178" s="73">
        <v>14300</v>
      </c>
      <c r="Q178" s="74">
        <f>SIP[[#This Row],[Amount]]-SIP[[#This Row],[Unit Capital]]</f>
        <v>700</v>
      </c>
      <c r="R17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10.304489885543667</v>
      </c>
      <c r="S178" s="68">
        <f t="shared" si="6"/>
        <v>14.224</v>
      </c>
      <c r="T1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" s="74" cm="1">
        <f t="array" ref="U178">IF(SIP[[#This Row],[B/S]]="S",ABS(SIP[[#This Row],[Unit]])*(INDEX(SIP[NAV at Cost (Average)],MATCH(CONCATENATE((SIP[[#This Row],[Frequency]]-1),SIP[[#This Row],[Investor ID]]),SIP[Unique Code],0),0)),0)</f>
        <v>0</v>
      </c>
      <c r="V178" s="74">
        <f>IF(SIP[[#This Row],[BO TRANSFER]]="YES",SIP[[#This Row],[Unit]],)</f>
        <v>0</v>
      </c>
      <c r="W178" s="74">
        <f>SUMIFS(SIP[[#Headers],[BO UNIT TRANSFER]]:SIP[[#This Row],[BO UNIT TRANSFER]],SIP[[#Headers],[Investor ID]]:SIP[[#This Row],[Investor ID]],SIP[[#This Row],[Investor ID]])</f>
        <v>0</v>
      </c>
    </row>
    <row r="179" spans="1:23" ht="15" customHeight="1">
      <c r="A179" s="46">
        <v>2023</v>
      </c>
      <c r="B179" s="46">
        <v>10</v>
      </c>
      <c r="C179" s="46">
        <v>5</v>
      </c>
      <c r="D179" s="65">
        <f>DATE(SIP[[#This Row],[Year]],SIP[[#This Row],[Month]],SIP[[#This Row],[Day]])</f>
        <v>45204</v>
      </c>
      <c r="E179" s="66" t="str" cm="1">
        <f t="array" ref="E179">INDEX(INVESTORS_LIST[INVESTOR NAME],MATCH(SIP[[#This Row],[Investor ID]],INVESTORS_LIST[INVESTOR CODE],0),)</f>
        <v>SHUVA SAHA</v>
      </c>
      <c r="F179" s="46" t="s">
        <v>154</v>
      </c>
      <c r="G179" s="46">
        <f>COUNTIF(SIP[[#Headers],[Investor ID]]:SIP[[#This Row],[Investor ID]],SIP[[#This Row],[Investor ID]])</f>
        <v>7</v>
      </c>
      <c r="H179" s="46" t="str">
        <f>CONCATENATE(SIP[[#This Row],[Frequency]],SIP[[#This Row],[Investor ID]])</f>
        <v>7A00053</v>
      </c>
      <c r="I179" s="46" t="str">
        <f>IF(SIP[[#This Row],[B/S]]="B","BUY",(IF(SIP[[#This Row],[B/S]]="S","SELL"," ")))</f>
        <v>BUY</v>
      </c>
      <c r="J179" s="46" t="s">
        <v>1229</v>
      </c>
      <c r="K179" s="69">
        <v>70000</v>
      </c>
      <c r="L179" s="69"/>
      <c r="M179" s="70">
        <f>SIP[[#This Row],[Amount]]/SIP[[#This Row],[Unit]]</f>
        <v>10.512088902237574</v>
      </c>
      <c r="N179" s="71">
        <f>SIP[[#This Row],[Unit Capital]]/10</f>
        <v>6659</v>
      </c>
      <c r="O179" s="72">
        <f>SUMIFS(SIP[[#Headers],[Unit]]:SIP[[#This Row],[Unit]],SIP[[#Headers],[Investor ID]]:SIP[[#This Row],[Investor ID]],SIP[[#This Row],[Investor ID]])</f>
        <v>45640</v>
      </c>
      <c r="P179" s="73">
        <v>66590</v>
      </c>
      <c r="Q179" s="74">
        <f>SIP[[#This Row],[Amount]]-SIP[[#This Row],[Unit Capital]]</f>
        <v>3410</v>
      </c>
      <c r="R17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10.297984224364594</v>
      </c>
      <c r="S179" s="68">
        <f t="shared" si="6"/>
        <v>14.224</v>
      </c>
      <c r="T1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" s="74" cm="1">
        <f t="array" ref="U179">IF(SIP[[#This Row],[B/S]]="S",ABS(SIP[[#This Row],[Unit]])*(INDEX(SIP[NAV at Cost (Average)],MATCH(CONCATENATE((SIP[[#This Row],[Frequency]]-1),SIP[[#This Row],[Investor ID]]),SIP[Unique Code],0),0)),0)</f>
        <v>0</v>
      </c>
      <c r="V179" s="74">
        <f>IF(SIP[[#This Row],[BO TRANSFER]]="YES",SIP[[#This Row],[Unit]],)</f>
        <v>0</v>
      </c>
      <c r="W179" s="74">
        <f>SUMIFS(SIP[[#Headers],[BO UNIT TRANSFER]]:SIP[[#This Row],[BO UNIT TRANSFER]],SIP[[#Headers],[Investor ID]]:SIP[[#This Row],[Investor ID]],SIP[[#This Row],[Investor ID]])</f>
        <v>0</v>
      </c>
    </row>
    <row r="180" spans="1:23" ht="15" customHeight="1">
      <c r="A180" s="46">
        <v>2023</v>
      </c>
      <c r="B180" s="46">
        <v>10</v>
      </c>
      <c r="C180" s="46">
        <v>5</v>
      </c>
      <c r="D180" s="65">
        <f>DATE(SIP[[#This Row],[Year]],SIP[[#This Row],[Month]],SIP[[#This Row],[Day]])</f>
        <v>45204</v>
      </c>
      <c r="E180" s="66" t="str" cm="1">
        <f t="array" ref="E180">INDEX(INVESTORS_LIST[INVESTOR NAME],MATCH(SIP[[#This Row],[Investor ID]],INVESTORS_LIST[INVESTOR CODE],0),)</f>
        <v>FAIYEAD AHMEDUL HYE</v>
      </c>
      <c r="F180" s="46" t="s">
        <v>368</v>
      </c>
      <c r="G180" s="46">
        <f>COUNTIF(SIP[[#Headers],[Investor ID]]:SIP[[#This Row],[Investor ID]],SIP[[#This Row],[Investor ID]])</f>
        <v>5</v>
      </c>
      <c r="H180" s="46" t="str">
        <f>CONCATENATE(SIP[[#This Row],[Frequency]],SIP[[#This Row],[Investor ID]])</f>
        <v>5A00160</v>
      </c>
      <c r="I180" s="46" t="str">
        <f>IF(SIP[[#This Row],[B/S]]="B","BUY",(IF(SIP[[#This Row],[B/S]]="S","SELL"," ")))</f>
        <v>BUY</v>
      </c>
      <c r="J180" s="46" t="s">
        <v>1229</v>
      </c>
      <c r="K180" s="69">
        <v>15000</v>
      </c>
      <c r="L180" s="69"/>
      <c r="M180" s="70">
        <f>SIP[[#This Row],[Amount]]/SIP[[#This Row],[Unit]]</f>
        <v>10.51156271899089</v>
      </c>
      <c r="N180" s="71">
        <f>SIP[[#This Row],[Unit Capital]]/10</f>
        <v>1427</v>
      </c>
      <c r="O180" s="72">
        <f>SUMIFS(SIP[[#Headers],[Unit]]:SIP[[#This Row],[Unit]],SIP[[#Headers],[Investor ID]]:SIP[[#This Row],[Investor ID]],SIP[[#This Row],[Investor ID]])</f>
        <v>7241</v>
      </c>
      <c r="P180" s="73">
        <v>14270</v>
      </c>
      <c r="Q180" s="74">
        <f>SIP[[#This Row],[Amount]]-SIP[[#This Row],[Unit Capital]]</f>
        <v>730</v>
      </c>
      <c r="R18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10.357685402568706</v>
      </c>
      <c r="S180" s="68">
        <f t="shared" si="6"/>
        <v>14.224</v>
      </c>
      <c r="T1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" s="74" cm="1">
        <f t="array" ref="U180">IF(SIP[[#This Row],[B/S]]="S",ABS(SIP[[#This Row],[Unit]])*(INDEX(SIP[NAV at Cost (Average)],MATCH(CONCATENATE((SIP[[#This Row],[Frequency]]-1),SIP[[#This Row],[Investor ID]]),SIP[Unique Code],0),0)),0)</f>
        <v>0</v>
      </c>
      <c r="V180" s="74">
        <f>IF(SIP[[#This Row],[BO TRANSFER]]="YES",SIP[[#This Row],[Unit]],)</f>
        <v>0</v>
      </c>
      <c r="W180" s="74">
        <f>SUMIFS(SIP[[#Headers],[BO UNIT TRANSFER]]:SIP[[#This Row],[BO UNIT TRANSFER]],SIP[[#Headers],[Investor ID]]:SIP[[#This Row],[Investor ID]],SIP[[#This Row],[Investor ID]])</f>
        <v>0</v>
      </c>
    </row>
    <row r="181" spans="1:23" ht="15" customHeight="1">
      <c r="A181" s="46">
        <v>2023</v>
      </c>
      <c r="B181" s="46">
        <v>10</v>
      </c>
      <c r="C181" s="46">
        <v>5</v>
      </c>
      <c r="D181" s="65">
        <f>DATE(SIP[[#This Row],[Year]],SIP[[#This Row],[Month]],SIP[[#This Row],[Day]])</f>
        <v>45204</v>
      </c>
      <c r="E181" s="66" t="str" cm="1">
        <f t="array" ref="E181">INDEX(INVESTORS_LIST[INVESTOR NAME],MATCH(SIP[[#This Row],[Investor ID]],INVESTORS_LIST[INVESTOR CODE],0),)</f>
        <v>CHAONIKA SAHA</v>
      </c>
      <c r="F181" s="46" t="s">
        <v>238</v>
      </c>
      <c r="G181" s="46">
        <f>COUNTIF(SIP[[#Headers],[Investor ID]]:SIP[[#This Row],[Investor ID]],SIP[[#This Row],[Investor ID]])</f>
        <v>2</v>
      </c>
      <c r="H181" s="46" t="str">
        <f>CONCATENATE(SIP[[#This Row],[Frequency]],SIP[[#This Row],[Investor ID]])</f>
        <v>2A00095</v>
      </c>
      <c r="I181" s="46" t="str">
        <f>IF(SIP[[#This Row],[B/S]]="B","BUY",(IF(SIP[[#This Row],[B/S]]="S","SELL"," ")))</f>
        <v>BUY</v>
      </c>
      <c r="J181" s="46" t="s">
        <v>1229</v>
      </c>
      <c r="K181" s="69">
        <v>1000</v>
      </c>
      <c r="L181" s="69"/>
      <c r="M181" s="70">
        <f>SIP[[#This Row],[Amount]]/SIP[[#This Row],[Unit]]</f>
        <v>10.526315789473685</v>
      </c>
      <c r="N181" s="71">
        <f>SIP[[#This Row],[Unit Capital]]/10</f>
        <v>95</v>
      </c>
      <c r="O181" s="72">
        <f>SUMIFS(SIP[[#Headers],[Unit]]:SIP[[#This Row],[Unit]],SIP[[#Headers],[Investor ID]]:SIP[[#This Row],[Investor ID]],SIP[[#This Row],[Investor ID]])</f>
        <v>191</v>
      </c>
      <c r="P181" s="73">
        <v>950</v>
      </c>
      <c r="Q181" s="74">
        <f>SIP[[#This Row],[Amount]]-SIP[[#This Row],[Unit Capital]]</f>
        <v>50</v>
      </c>
      <c r="R18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10.471204188481675</v>
      </c>
      <c r="S181" s="68">
        <f t="shared" si="6"/>
        <v>14.224</v>
      </c>
      <c r="T1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" s="74" cm="1">
        <f t="array" ref="U181">IF(SIP[[#This Row],[B/S]]="S",ABS(SIP[[#This Row],[Unit]])*(INDEX(SIP[NAV at Cost (Average)],MATCH(CONCATENATE((SIP[[#This Row],[Frequency]]-1),SIP[[#This Row],[Investor ID]]),SIP[Unique Code],0),0)),0)</f>
        <v>0</v>
      </c>
      <c r="V181" s="74">
        <f>IF(SIP[[#This Row],[BO TRANSFER]]="YES",SIP[[#This Row],[Unit]],)</f>
        <v>0</v>
      </c>
      <c r="W181" s="74">
        <f>SUMIFS(SIP[[#Headers],[BO UNIT TRANSFER]]:SIP[[#This Row],[BO UNIT TRANSFER]],SIP[[#Headers],[Investor ID]]:SIP[[#This Row],[Investor ID]],SIP[[#This Row],[Investor ID]])</f>
        <v>0</v>
      </c>
    </row>
    <row r="182" spans="1:23" ht="15" customHeight="1">
      <c r="A182" s="46">
        <v>2023</v>
      </c>
      <c r="B182" s="46">
        <v>10</v>
      </c>
      <c r="C182" s="46">
        <v>5</v>
      </c>
      <c r="D182" s="65">
        <f>DATE(SIP[[#This Row],[Year]],SIP[[#This Row],[Month]],SIP[[#This Row],[Day]])</f>
        <v>45204</v>
      </c>
      <c r="E182" s="66" t="str" cm="1">
        <f t="array" ref="E182">INDEX(INVESTORS_LIST[INVESTOR NAME],MATCH(SIP[[#This Row],[Investor ID]],INVESTORS_LIST[INVESTOR CODE],0),)</f>
        <v>SK FEROZ ALAM</v>
      </c>
      <c r="F182" s="46" t="s">
        <v>240</v>
      </c>
      <c r="G182" s="46">
        <f>COUNTIF(SIP[[#Headers],[Investor ID]]:SIP[[#This Row],[Investor ID]],SIP[[#This Row],[Investor ID]])</f>
        <v>2</v>
      </c>
      <c r="H182" s="46" t="str">
        <f>CONCATENATE(SIP[[#This Row],[Frequency]],SIP[[#This Row],[Investor ID]])</f>
        <v>2A00096</v>
      </c>
      <c r="I182" s="46" t="str">
        <f>IF(SIP[[#This Row],[B/S]]="B","BUY",(IF(SIP[[#This Row],[B/S]]="S","SELL"," ")))</f>
        <v>BUY</v>
      </c>
      <c r="J182" s="46" t="s">
        <v>1229</v>
      </c>
      <c r="K182" s="69">
        <v>2000</v>
      </c>
      <c r="L182" s="69"/>
      <c r="M182" s="70">
        <f>SIP[[#This Row],[Amount]]/SIP[[#This Row],[Unit]]</f>
        <v>10.526315789473685</v>
      </c>
      <c r="N182" s="71">
        <f>SIP[[#This Row],[Unit Capital]]/10</f>
        <v>190</v>
      </c>
      <c r="O182" s="72">
        <f>SUMIFS(SIP[[#Headers],[Unit]]:SIP[[#This Row],[Unit]],SIP[[#Headers],[Investor ID]]:SIP[[#This Row],[Investor ID]],SIP[[#This Row],[Investor ID]])</f>
        <v>382</v>
      </c>
      <c r="P182" s="73">
        <v>1900</v>
      </c>
      <c r="Q182" s="74">
        <f>SIP[[#This Row],[Amount]]-SIP[[#This Row],[Unit Capital]]</f>
        <v>100</v>
      </c>
      <c r="R18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10.471204188481675</v>
      </c>
      <c r="S182" s="68">
        <f t="shared" si="6"/>
        <v>14.224</v>
      </c>
      <c r="T1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" s="74" cm="1">
        <f t="array" ref="U182">IF(SIP[[#This Row],[B/S]]="S",ABS(SIP[[#This Row],[Unit]])*(INDEX(SIP[NAV at Cost (Average)],MATCH(CONCATENATE((SIP[[#This Row],[Frequency]]-1),SIP[[#This Row],[Investor ID]]),SIP[Unique Code],0),0)),0)</f>
        <v>0</v>
      </c>
      <c r="V182" s="74">
        <f>IF(SIP[[#This Row],[BO TRANSFER]]="YES",SIP[[#This Row],[Unit]],)</f>
        <v>0</v>
      </c>
      <c r="W182" s="74">
        <f>SUMIFS(SIP[[#Headers],[BO UNIT TRANSFER]]:SIP[[#This Row],[BO UNIT TRANSFER]],SIP[[#Headers],[Investor ID]]:SIP[[#This Row],[Investor ID]],SIP[[#This Row],[Investor ID]])</f>
        <v>0</v>
      </c>
    </row>
    <row r="183" spans="1:23" ht="15" customHeight="1">
      <c r="A183" s="46">
        <v>2023</v>
      </c>
      <c r="B183" s="46">
        <v>10</v>
      </c>
      <c r="C183" s="46">
        <v>5</v>
      </c>
      <c r="D183" s="65">
        <f>DATE(SIP[[#This Row],[Year]],SIP[[#This Row],[Month]],SIP[[#This Row],[Day]])</f>
        <v>45204</v>
      </c>
      <c r="E183" s="66" t="str" cm="1">
        <f t="array" ref="E183">INDEX(INVESTORS_LIST[INVESTOR NAME],MATCH(SIP[[#This Row],[Investor ID]],INVESTORS_LIST[INVESTOR CODE],0),)</f>
        <v>MD JAMAL HOSSAIN</v>
      </c>
      <c r="F183" s="46" t="s">
        <v>952</v>
      </c>
      <c r="G183" s="46">
        <f>COUNTIF(SIP[[#Headers],[Investor ID]]:SIP[[#This Row],[Investor ID]],SIP[[#This Row],[Investor ID]])</f>
        <v>1</v>
      </c>
      <c r="H183" s="46" t="str">
        <f>CONCATENATE(SIP[[#This Row],[Frequency]],SIP[[#This Row],[Investor ID]])</f>
        <v>1A00453</v>
      </c>
      <c r="I183" s="46" t="str">
        <f>IF(SIP[[#This Row],[B/S]]="B","BUY",(IF(SIP[[#This Row],[B/S]]="S","SELL"," ")))</f>
        <v>BUY</v>
      </c>
      <c r="J183" s="46" t="s">
        <v>1229</v>
      </c>
      <c r="K183" s="69">
        <v>5000</v>
      </c>
      <c r="L183" s="69"/>
      <c r="M183" s="70">
        <f>SIP[[#This Row],[Amount]]/SIP[[#This Row],[Unit]]</f>
        <v>10.504201680672269</v>
      </c>
      <c r="N183" s="71">
        <f>SIP[[#This Row],[Unit Capital]]/10</f>
        <v>476</v>
      </c>
      <c r="O183" s="72">
        <f>SUMIFS(SIP[[#Headers],[Unit]]:SIP[[#This Row],[Unit]],SIP[[#Headers],[Investor ID]]:SIP[[#This Row],[Investor ID]],SIP[[#This Row],[Investor ID]])</f>
        <v>476</v>
      </c>
      <c r="P183" s="73">
        <v>4760</v>
      </c>
      <c r="Q183" s="74">
        <f>SIP[[#This Row],[Amount]]-SIP[[#This Row],[Unit Capital]]</f>
        <v>240</v>
      </c>
      <c r="R18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10.504201680672269</v>
      </c>
      <c r="S183" s="68">
        <f t="shared" si="6"/>
        <v>14.224</v>
      </c>
      <c r="T1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" s="74" cm="1">
        <f t="array" ref="U183">IF(SIP[[#This Row],[B/S]]="S",ABS(SIP[[#This Row],[Unit]])*(INDEX(SIP[NAV at Cost (Average)],MATCH(CONCATENATE((SIP[[#This Row],[Frequency]]-1),SIP[[#This Row],[Investor ID]]),SIP[Unique Code],0),0)),0)</f>
        <v>0</v>
      </c>
      <c r="V183" s="74">
        <f>IF(SIP[[#This Row],[BO TRANSFER]]="YES",SIP[[#This Row],[Unit]],)</f>
        <v>0</v>
      </c>
      <c r="W183" s="74">
        <f>SUMIFS(SIP[[#Headers],[BO UNIT TRANSFER]]:SIP[[#This Row],[BO UNIT TRANSFER]],SIP[[#Headers],[Investor ID]]:SIP[[#This Row],[Investor ID]],SIP[[#This Row],[Investor ID]])</f>
        <v>0</v>
      </c>
    </row>
    <row r="184" spans="1:23" ht="15" customHeight="1">
      <c r="A184" s="46">
        <v>2023</v>
      </c>
      <c r="B184" s="46">
        <v>10</v>
      </c>
      <c r="C184" s="46">
        <v>5</v>
      </c>
      <c r="D184" s="65">
        <f>DATE(SIP[[#This Row],[Year]],SIP[[#This Row],[Month]],SIP[[#This Row],[Day]])</f>
        <v>45204</v>
      </c>
      <c r="E184" s="66" t="str" cm="1">
        <f t="array" ref="E184">INDEX(INVESTORS_LIST[INVESTOR NAME],MATCH(SIP[[#This Row],[Investor ID]],INVESTORS_LIST[INVESTOR CODE],0),)</f>
        <v>KAZI AHSAN MARUF</v>
      </c>
      <c r="F184" s="46" t="s">
        <v>158</v>
      </c>
      <c r="G184" s="46">
        <f>COUNTIF(SIP[[#Headers],[Investor ID]]:SIP[[#This Row],[Investor ID]],SIP[[#This Row],[Investor ID]])</f>
        <v>6</v>
      </c>
      <c r="H184" s="46" t="str">
        <f>CONCATENATE(SIP[[#This Row],[Frequency]],SIP[[#This Row],[Investor ID]])</f>
        <v>6A00055</v>
      </c>
      <c r="I184" s="46" t="str">
        <f>IF(SIP[[#This Row],[B/S]]="B","BUY",(IF(SIP[[#This Row],[B/S]]="S","SELL"," ")))</f>
        <v>BUY</v>
      </c>
      <c r="J184" s="46" t="s">
        <v>1229</v>
      </c>
      <c r="K184" s="69">
        <v>10000</v>
      </c>
      <c r="L184" s="69"/>
      <c r="M184" s="70">
        <f>SIP[[#This Row],[Amount]]/SIP[[#This Row],[Unit]]</f>
        <v>10.515247108307046</v>
      </c>
      <c r="N184" s="71">
        <f>SIP[[#This Row],[Unit Capital]]/10</f>
        <v>951</v>
      </c>
      <c r="O184" s="72">
        <f>SUMIFS(SIP[[#Headers],[Unit]]:SIP[[#This Row],[Unit]],SIP[[#Headers],[Investor ID]]:SIP[[#This Row],[Investor ID]],SIP[[#This Row],[Investor ID]])</f>
        <v>25268</v>
      </c>
      <c r="P184" s="73">
        <v>9510</v>
      </c>
      <c r="Q184" s="74">
        <f>SIP[[#This Row],[Amount]]-SIP[[#This Row],[Unit Capital]]</f>
        <v>490</v>
      </c>
      <c r="R18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10.289694475225581</v>
      </c>
      <c r="S184" s="68">
        <f t="shared" si="6"/>
        <v>14.224</v>
      </c>
      <c r="T1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" s="74" cm="1">
        <f t="array" ref="U184">IF(SIP[[#This Row],[B/S]]="S",ABS(SIP[[#This Row],[Unit]])*(INDEX(SIP[NAV at Cost (Average)],MATCH(CONCATENATE((SIP[[#This Row],[Frequency]]-1),SIP[[#This Row],[Investor ID]]),SIP[Unique Code],0),0)),0)</f>
        <v>0</v>
      </c>
      <c r="V184" s="74">
        <f>IF(SIP[[#This Row],[BO TRANSFER]]="YES",SIP[[#This Row],[Unit]],)</f>
        <v>0</v>
      </c>
      <c r="W184" s="74">
        <f>SUMIFS(SIP[[#Headers],[BO UNIT TRANSFER]]:SIP[[#This Row],[BO UNIT TRANSFER]],SIP[[#Headers],[Investor ID]]:SIP[[#This Row],[Investor ID]],SIP[[#This Row],[Investor ID]])</f>
        <v>0</v>
      </c>
    </row>
    <row r="185" spans="1:23" ht="15" customHeight="1">
      <c r="A185" s="46">
        <v>2023</v>
      </c>
      <c r="B185" s="46">
        <v>10</v>
      </c>
      <c r="C185" s="46">
        <v>5</v>
      </c>
      <c r="D185" s="65">
        <f>DATE(SIP[[#This Row],[Year]],SIP[[#This Row],[Month]],SIP[[#This Row],[Day]])</f>
        <v>45204</v>
      </c>
      <c r="E185" s="66" t="str" cm="1">
        <f t="array" ref="E185">INDEX(INVESTORS_LIST[INVESTOR NAME],MATCH(SIP[[#This Row],[Investor ID]],INVESTORS_LIST[INVESTOR CODE],0),)</f>
        <v>AHMED FARUK</v>
      </c>
      <c r="F185" s="46" t="s">
        <v>912</v>
      </c>
      <c r="G185" s="46">
        <f>COUNTIF(SIP[[#Headers],[Investor ID]]:SIP[[#This Row],[Investor ID]],SIP[[#This Row],[Investor ID]])</f>
        <v>2</v>
      </c>
      <c r="H185" s="46" t="str">
        <f>CONCATENATE(SIP[[#This Row],[Frequency]],SIP[[#This Row],[Investor ID]])</f>
        <v>2A00433</v>
      </c>
      <c r="I185" s="46" t="str">
        <f>IF(SIP[[#This Row],[B/S]]="B","BUY",(IF(SIP[[#This Row],[B/S]]="S","SELL"," ")))</f>
        <v>BUY</v>
      </c>
      <c r="J185" s="46" t="s">
        <v>1229</v>
      </c>
      <c r="K185" s="69">
        <v>5000</v>
      </c>
      <c r="L185" s="69"/>
      <c r="M185" s="70">
        <f>SIP[[#This Row],[Amount]]/SIP[[#This Row],[Unit]]</f>
        <v>10.504201680672269</v>
      </c>
      <c r="N185" s="71">
        <f>SIP[[#This Row],[Unit Capital]]/10</f>
        <v>476</v>
      </c>
      <c r="O185" s="72">
        <f>SUMIFS(SIP[[#Headers],[Unit]]:SIP[[#This Row],[Unit]],SIP[[#Headers],[Investor ID]]:SIP[[#This Row],[Investor ID]],SIP[[#This Row],[Investor ID]])</f>
        <v>958</v>
      </c>
      <c r="P185" s="73">
        <v>4760</v>
      </c>
      <c r="Q185" s="74">
        <f>SIP[[#This Row],[Amount]]-SIP[[#This Row],[Unit Capital]]</f>
        <v>240</v>
      </c>
      <c r="R18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10.438413361169102</v>
      </c>
      <c r="S185" s="68">
        <f t="shared" si="6"/>
        <v>14.224</v>
      </c>
      <c r="T1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" s="74" cm="1">
        <f t="array" ref="U185">IF(SIP[[#This Row],[B/S]]="S",ABS(SIP[[#This Row],[Unit]])*(INDEX(SIP[NAV at Cost (Average)],MATCH(CONCATENATE((SIP[[#This Row],[Frequency]]-1),SIP[[#This Row],[Investor ID]]),SIP[Unique Code],0),0)),0)</f>
        <v>0</v>
      </c>
      <c r="V185" s="74">
        <f>IF(SIP[[#This Row],[BO TRANSFER]]="YES",SIP[[#This Row],[Unit]],)</f>
        <v>0</v>
      </c>
      <c r="W185" s="74">
        <f>SUMIFS(SIP[[#Headers],[BO UNIT TRANSFER]]:SIP[[#This Row],[BO UNIT TRANSFER]],SIP[[#Headers],[Investor ID]]:SIP[[#This Row],[Investor ID]],SIP[[#This Row],[Investor ID]])</f>
        <v>0</v>
      </c>
    </row>
    <row r="186" spans="1:23" ht="15" customHeight="1">
      <c r="A186" s="46">
        <v>2023</v>
      </c>
      <c r="B186" s="46">
        <v>10</v>
      </c>
      <c r="C186" s="46">
        <v>5</v>
      </c>
      <c r="D186" s="65">
        <f>DATE(SIP[[#This Row],[Year]],SIP[[#This Row],[Month]],SIP[[#This Row],[Day]])</f>
        <v>45204</v>
      </c>
      <c r="E186" s="66" t="str" cm="1">
        <f t="array" ref="E186">INDEX(INVESTORS_LIST[INVESTOR NAME],MATCH(SIP[[#This Row],[Investor ID]],INVESTORS_LIST[INVESTOR CODE],0),)</f>
        <v>ANJAN MALLIK</v>
      </c>
      <c r="F186" s="46" t="s">
        <v>546</v>
      </c>
      <c r="G186" s="46">
        <f>COUNTIF(SIP[[#Headers],[Investor ID]]:SIP[[#This Row],[Investor ID]],SIP[[#This Row],[Investor ID]])</f>
        <v>7</v>
      </c>
      <c r="H186" s="46" t="str">
        <f>CONCATENATE(SIP[[#This Row],[Frequency]],SIP[[#This Row],[Investor ID]])</f>
        <v>7A00248</v>
      </c>
      <c r="I186" s="46" t="str">
        <f>IF(SIP[[#This Row],[B/S]]="B","BUY",(IF(SIP[[#This Row],[B/S]]="S","SELL"," ")))</f>
        <v>BUY</v>
      </c>
      <c r="J186" s="46" t="s">
        <v>1229</v>
      </c>
      <c r="K186" s="69">
        <v>50000</v>
      </c>
      <c r="L186" s="69"/>
      <c r="M186" s="70">
        <f>SIP[[#This Row],[Amount]]/SIP[[#This Row],[Unit]]</f>
        <v>10.513036164844408</v>
      </c>
      <c r="N186" s="71">
        <f>SIP[[#This Row],[Unit Capital]]/10</f>
        <v>4756</v>
      </c>
      <c r="O186" s="72">
        <f>SUMIFS(SIP[[#Headers],[Unit]]:SIP[[#This Row],[Unit]],SIP[[#Headers],[Investor ID]]:SIP[[#This Row],[Investor ID]],SIP[[#This Row],[Investor ID]])</f>
        <v>34028</v>
      </c>
      <c r="P186" s="73">
        <v>47560</v>
      </c>
      <c r="Q186" s="74">
        <f>SIP[[#This Row],[Amount]]-SIP[[#This Row],[Unit Capital]]</f>
        <v>2440</v>
      </c>
      <c r="R18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10.285647114141296</v>
      </c>
      <c r="S186" s="68">
        <f t="shared" si="6"/>
        <v>14.224</v>
      </c>
      <c r="T1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" s="74" cm="1">
        <f t="array" ref="U186">IF(SIP[[#This Row],[B/S]]="S",ABS(SIP[[#This Row],[Unit]])*(INDEX(SIP[NAV at Cost (Average)],MATCH(CONCATENATE((SIP[[#This Row],[Frequency]]-1),SIP[[#This Row],[Investor ID]]),SIP[Unique Code],0),0)),0)</f>
        <v>0</v>
      </c>
      <c r="V186" s="74">
        <f>IF(SIP[[#This Row],[BO TRANSFER]]="YES",SIP[[#This Row],[Unit]],)</f>
        <v>0</v>
      </c>
      <c r="W186" s="74">
        <f>SUMIFS(SIP[[#Headers],[BO UNIT TRANSFER]]:SIP[[#This Row],[BO UNIT TRANSFER]],SIP[[#Headers],[Investor ID]]:SIP[[#This Row],[Investor ID]],SIP[[#This Row],[Investor ID]])</f>
        <v>0</v>
      </c>
    </row>
    <row r="187" spans="1:23" ht="15" customHeight="1">
      <c r="A187" s="46">
        <v>2023</v>
      </c>
      <c r="B187" s="46">
        <v>10</v>
      </c>
      <c r="C187" s="46">
        <v>5</v>
      </c>
      <c r="D187" s="65">
        <f>DATE(SIP[[#This Row],[Year]],SIP[[#This Row],[Month]],SIP[[#This Row],[Day]])</f>
        <v>45204</v>
      </c>
      <c r="E187" s="66" t="str" cm="1">
        <f t="array" ref="E187">INDEX(INVESTORS_LIST[INVESTOR NAME],MATCH(SIP[[#This Row],[Investor ID]],INVESTORS_LIST[INVESTOR CODE],0),)</f>
        <v>NANDINI SAHA</v>
      </c>
      <c r="F187" s="46" t="s">
        <v>242</v>
      </c>
      <c r="G187" s="46">
        <f>COUNTIF(SIP[[#Headers],[Investor ID]]:SIP[[#This Row],[Investor ID]],SIP[[#This Row],[Investor ID]])</f>
        <v>6</v>
      </c>
      <c r="H187" s="46" t="str">
        <f>CONCATENATE(SIP[[#This Row],[Frequency]],SIP[[#This Row],[Investor ID]])</f>
        <v>6A00097</v>
      </c>
      <c r="I187" s="46" t="str">
        <f>IF(SIP[[#This Row],[B/S]]="B","BUY",(IF(SIP[[#This Row],[B/S]]="S","SELL"," ")))</f>
        <v>BUY</v>
      </c>
      <c r="J187" s="46" t="s">
        <v>1229</v>
      </c>
      <c r="K187" s="69">
        <v>30000</v>
      </c>
      <c r="L187" s="69"/>
      <c r="M187" s="70">
        <f>SIP[[#This Row],[Amount]]/SIP[[#This Row],[Unit]]</f>
        <v>10.51156271899089</v>
      </c>
      <c r="N187" s="71">
        <f>SIP[[#This Row],[Unit Capital]]/10</f>
        <v>2854</v>
      </c>
      <c r="O187" s="72">
        <f>SUMIFS(SIP[[#Headers],[Unit]]:SIP[[#This Row],[Unit]],SIP[[#Headers],[Investor ID]]:SIP[[#This Row],[Investor ID]],SIP[[#This Row],[Investor ID]])</f>
        <v>17445</v>
      </c>
      <c r="P187" s="73">
        <v>28540</v>
      </c>
      <c r="Q187" s="74">
        <f>SIP[[#This Row],[Amount]]-SIP[[#This Row],[Unit Capital]]</f>
        <v>1460</v>
      </c>
      <c r="R18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10.318142734307823</v>
      </c>
      <c r="S187" s="68">
        <f t="shared" si="6"/>
        <v>14.224</v>
      </c>
      <c r="T1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" s="74" cm="1">
        <f t="array" ref="U187">IF(SIP[[#This Row],[B/S]]="S",ABS(SIP[[#This Row],[Unit]])*(INDEX(SIP[NAV at Cost (Average)],MATCH(CONCATENATE((SIP[[#This Row],[Frequency]]-1),SIP[[#This Row],[Investor ID]]),SIP[Unique Code],0),0)),0)</f>
        <v>0</v>
      </c>
      <c r="V187" s="74">
        <f>IF(SIP[[#This Row],[BO TRANSFER]]="YES",SIP[[#This Row],[Unit]],)</f>
        <v>0</v>
      </c>
      <c r="W187" s="74">
        <f>SUMIFS(SIP[[#Headers],[BO UNIT TRANSFER]]:SIP[[#This Row],[BO UNIT TRANSFER]],SIP[[#Headers],[Investor ID]]:SIP[[#This Row],[Investor ID]],SIP[[#This Row],[Investor ID]])</f>
        <v>0</v>
      </c>
    </row>
    <row r="188" spans="1:23" ht="15" customHeight="1">
      <c r="A188" s="46">
        <v>2023</v>
      </c>
      <c r="B188" s="46">
        <v>10</v>
      </c>
      <c r="C188" s="46">
        <v>5</v>
      </c>
      <c r="D188" s="65">
        <f>DATE(SIP[[#This Row],[Year]],SIP[[#This Row],[Month]],SIP[[#This Row],[Day]])</f>
        <v>45204</v>
      </c>
      <c r="E188" s="66" t="str" cm="1">
        <f t="array" ref="E188">INDEX(INVESTORS_LIST[INVESTOR NAME],MATCH(SIP[[#This Row],[Investor ID]],INVESTORS_LIST[INVESTOR CODE],0),)</f>
        <v>SHANTA PAUL</v>
      </c>
      <c r="F188" s="46" t="s">
        <v>544</v>
      </c>
      <c r="G188" s="46">
        <f>COUNTIF(SIP[[#Headers],[Investor ID]]:SIP[[#This Row],[Investor ID]],SIP[[#This Row],[Investor ID]])</f>
        <v>7</v>
      </c>
      <c r="H188" s="46" t="str">
        <f>CONCATENATE(SIP[[#This Row],[Frequency]],SIP[[#This Row],[Investor ID]])</f>
        <v>7A00247</v>
      </c>
      <c r="I188" s="46" t="str">
        <f>IF(SIP[[#This Row],[B/S]]="B","BUY",(IF(SIP[[#This Row],[B/S]]="S","SELL"," ")))</f>
        <v>BUY</v>
      </c>
      <c r="J188" s="46" t="s">
        <v>1229</v>
      </c>
      <c r="K188" s="69">
        <v>20000</v>
      </c>
      <c r="L188" s="69"/>
      <c r="M188" s="70">
        <f>SIP[[#This Row],[Amount]]/SIP[[#This Row],[Unit]]</f>
        <v>10.509721492380452</v>
      </c>
      <c r="N188" s="71">
        <f>SIP[[#This Row],[Unit Capital]]/10</f>
        <v>1903</v>
      </c>
      <c r="O188" s="72">
        <f>SUMIFS(SIP[[#Headers],[Unit]]:SIP[[#This Row],[Unit]],SIP[[#Headers],[Investor ID]]:SIP[[#This Row],[Investor ID]],SIP[[#This Row],[Investor ID]])</f>
        <v>13611</v>
      </c>
      <c r="P188" s="73">
        <v>19030</v>
      </c>
      <c r="Q188" s="74">
        <f>SIP[[#This Row],[Amount]]-SIP[[#This Row],[Unit Capital]]</f>
        <v>970</v>
      </c>
      <c r="R18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10.285798251414297</v>
      </c>
      <c r="S188" s="68">
        <f t="shared" si="6"/>
        <v>14.224</v>
      </c>
      <c r="T1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8" s="74" cm="1">
        <f t="array" ref="U188">IF(SIP[[#This Row],[B/S]]="S",ABS(SIP[[#This Row],[Unit]])*(INDEX(SIP[NAV at Cost (Average)],MATCH(CONCATENATE((SIP[[#This Row],[Frequency]]-1),SIP[[#This Row],[Investor ID]]),SIP[Unique Code],0),0)),0)</f>
        <v>0</v>
      </c>
      <c r="V188" s="74">
        <f>IF(SIP[[#This Row],[BO TRANSFER]]="YES",SIP[[#This Row],[Unit]],)</f>
        <v>0</v>
      </c>
      <c r="W188" s="74">
        <f>SUMIFS(SIP[[#Headers],[BO UNIT TRANSFER]]:SIP[[#This Row],[BO UNIT TRANSFER]],SIP[[#Headers],[Investor ID]]:SIP[[#This Row],[Investor ID]],SIP[[#This Row],[Investor ID]])</f>
        <v>0</v>
      </c>
    </row>
    <row r="189" spans="1:23" ht="15" customHeight="1">
      <c r="A189" s="46">
        <v>2023</v>
      </c>
      <c r="B189" s="46">
        <v>10</v>
      </c>
      <c r="C189" s="46">
        <v>5</v>
      </c>
      <c r="D189" s="65">
        <f>DATE(SIP[[#This Row],[Year]],SIP[[#This Row],[Month]],SIP[[#This Row],[Day]])</f>
        <v>45204</v>
      </c>
      <c r="E189" s="66" t="str" cm="1">
        <f t="array" ref="E189">INDEX(INVESTORS_LIST[INVESTOR NAME],MATCH(SIP[[#This Row],[Investor ID]],INVESTORS_LIST[INVESTOR CODE],0),)</f>
        <v>ROKSABA KASEM</v>
      </c>
      <c r="F189" s="46" t="s">
        <v>900</v>
      </c>
      <c r="G189" s="46">
        <f>COUNTIF(SIP[[#Headers],[Investor ID]]:SIP[[#This Row],[Investor ID]],SIP[[#This Row],[Investor ID]])</f>
        <v>5</v>
      </c>
      <c r="H189" s="46" t="str">
        <f>CONCATENATE(SIP[[#This Row],[Frequency]],SIP[[#This Row],[Investor ID]])</f>
        <v>5A00427</v>
      </c>
      <c r="I189" s="46" t="str">
        <f>IF(SIP[[#This Row],[B/S]]="B","BUY",(IF(SIP[[#This Row],[B/S]]="S","SELL"," ")))</f>
        <v>BUY</v>
      </c>
      <c r="J189" s="46" t="s">
        <v>1229</v>
      </c>
      <c r="K189" s="69">
        <v>20000</v>
      </c>
      <c r="L189" s="122"/>
      <c r="M189" s="70">
        <f>SIP[[#This Row],[Amount]]/SIP[[#This Row],[Unit]]</f>
        <v>10.509721492380452</v>
      </c>
      <c r="N189" s="71">
        <f>SIP[[#This Row],[Unit Capital]]/10</f>
        <v>1903</v>
      </c>
      <c r="O189" s="72">
        <f>SUMIFS(SIP[[#Headers],[Unit]]:SIP[[#This Row],[Unit]],SIP[[#Headers],[Investor ID]]:SIP[[#This Row],[Investor ID]],SIP[[#This Row],[Investor ID]])</f>
        <v>9654</v>
      </c>
      <c r="P189" s="73">
        <v>19030</v>
      </c>
      <c r="Q189" s="74">
        <f>SIP[[#This Row],[Amount]]-SIP[[#This Row],[Unit Capital]]</f>
        <v>970</v>
      </c>
      <c r="R18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10.358400662937642</v>
      </c>
      <c r="S189" s="68">
        <f t="shared" si="6"/>
        <v>14.224</v>
      </c>
      <c r="T1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9" s="74" cm="1">
        <f t="array" ref="U189">IF(SIP[[#This Row],[B/S]]="S",ABS(SIP[[#This Row],[Unit]])*(INDEX(SIP[NAV at Cost (Average)],MATCH(CONCATENATE((SIP[[#This Row],[Frequency]]-1),SIP[[#This Row],[Investor ID]]),SIP[Unique Code],0),0)),0)</f>
        <v>0</v>
      </c>
      <c r="V189" s="74">
        <f>IF(SIP[[#This Row],[BO TRANSFER]]="YES",SIP[[#This Row],[Unit]],)</f>
        <v>0</v>
      </c>
      <c r="W189" s="74">
        <f>SUMIFS(SIP[[#Headers],[BO UNIT TRANSFER]]:SIP[[#This Row],[BO UNIT TRANSFER]],SIP[[#Headers],[Investor ID]]:SIP[[#This Row],[Investor ID]],SIP[[#This Row],[Investor ID]])</f>
        <v>0</v>
      </c>
    </row>
    <row r="190" spans="1:23" ht="15" customHeight="1">
      <c r="A190" s="46">
        <v>2023</v>
      </c>
      <c r="B190" s="46">
        <v>10</v>
      </c>
      <c r="C190" s="46">
        <v>5</v>
      </c>
      <c r="D190" s="65">
        <f>DATE(SIP[[#This Row],[Year]],SIP[[#This Row],[Month]],SIP[[#This Row],[Day]])</f>
        <v>45204</v>
      </c>
      <c r="E190" s="66" t="str" cm="1">
        <f t="array" ref="E190">INDEX(INVESTORS_LIST[INVESTOR NAME],MATCH(SIP[[#This Row],[Investor ID]],INVESTORS_LIST[INVESTOR CODE],0),)</f>
        <v>MD. MONIRUL ISLAM</v>
      </c>
      <c r="F190" s="46" t="s">
        <v>996</v>
      </c>
      <c r="G190" s="46">
        <f>COUNTIF(SIP[[#Headers],[Investor ID]]:SIP[[#This Row],[Investor ID]],SIP[[#This Row],[Investor ID]])</f>
        <v>6</v>
      </c>
      <c r="H190" s="46" t="str">
        <f>CONCATENATE(SIP[[#This Row],[Frequency]],SIP[[#This Row],[Investor ID]])</f>
        <v>6A00475</v>
      </c>
      <c r="I190" s="46" t="str">
        <f>IF(SIP[[#This Row],[B/S]]="B","BUY",(IF(SIP[[#This Row],[B/S]]="S","SELL"," ")))</f>
        <v>BUY</v>
      </c>
      <c r="J190" s="46" t="s">
        <v>1229</v>
      </c>
      <c r="K190" s="69">
        <v>10000</v>
      </c>
      <c r="L190" s="69"/>
      <c r="M190" s="70">
        <f>SIP[[#This Row],[Amount]]/SIP[[#This Row],[Unit]]</f>
        <v>10.515247108307046</v>
      </c>
      <c r="N190" s="71">
        <f>SIP[[#This Row],[Unit Capital]]/10</f>
        <v>951</v>
      </c>
      <c r="O190" s="72">
        <f>SUMIFS(SIP[[#Headers],[Unit]]:SIP[[#This Row],[Unit]],SIP[[#Headers],[Investor ID]]:SIP[[#This Row],[Investor ID]],SIP[[#This Row],[Investor ID]])</f>
        <v>5815</v>
      </c>
      <c r="P190" s="73">
        <v>9510</v>
      </c>
      <c r="Q190" s="74">
        <f>SIP[[#This Row],[Amount]]-SIP[[#This Row],[Unit Capital]]</f>
        <v>490</v>
      </c>
      <c r="R19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10.318142734307823</v>
      </c>
      <c r="S190" s="68">
        <f t="shared" si="6"/>
        <v>14.224</v>
      </c>
      <c r="T1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0" s="74" cm="1">
        <f t="array" ref="U190">IF(SIP[[#This Row],[B/S]]="S",ABS(SIP[[#This Row],[Unit]])*(INDEX(SIP[NAV at Cost (Average)],MATCH(CONCATENATE((SIP[[#This Row],[Frequency]]-1),SIP[[#This Row],[Investor ID]]),SIP[Unique Code],0),0)),0)</f>
        <v>0</v>
      </c>
      <c r="V190" s="74">
        <f>IF(SIP[[#This Row],[BO TRANSFER]]="YES",SIP[[#This Row],[Unit]],)</f>
        <v>0</v>
      </c>
      <c r="W190" s="74">
        <f>SUMIFS(SIP[[#Headers],[BO UNIT TRANSFER]]:SIP[[#This Row],[BO UNIT TRANSFER]],SIP[[#Headers],[Investor ID]]:SIP[[#This Row],[Investor ID]],SIP[[#This Row],[Investor ID]])</f>
        <v>0</v>
      </c>
    </row>
    <row r="191" spans="1:23" ht="15" customHeight="1">
      <c r="A191" s="46">
        <v>2023</v>
      </c>
      <c r="B191" s="46">
        <v>10</v>
      </c>
      <c r="C191" s="46">
        <v>5</v>
      </c>
      <c r="D191" s="65">
        <f>DATE(SIP[[#This Row],[Year]],SIP[[#This Row],[Month]],SIP[[#This Row],[Day]])</f>
        <v>45204</v>
      </c>
      <c r="E191" s="66" t="str" cm="1">
        <f t="array" ref="E191">INDEX(INVESTORS_LIST[INVESTOR NAME],MATCH(SIP[[#This Row],[Investor ID]],INVESTORS_LIST[INVESTOR CODE],0),)</f>
        <v>MONIR AHMED</v>
      </c>
      <c r="F191" s="46" t="s">
        <v>125</v>
      </c>
      <c r="G191" s="46">
        <f>COUNTIF(SIP[[#Headers],[Investor ID]]:SIP[[#This Row],[Investor ID]],SIP[[#This Row],[Investor ID]])</f>
        <v>6</v>
      </c>
      <c r="H191" s="46" t="str">
        <f>CONCATENATE(SIP[[#This Row],[Frequency]],SIP[[#This Row],[Investor ID]])</f>
        <v>6A00039</v>
      </c>
      <c r="I191" s="46" t="str">
        <f>IF(SIP[[#This Row],[B/S]]="B","BUY",(IF(SIP[[#This Row],[B/S]]="S","SELL"," ")))</f>
        <v>BUY</v>
      </c>
      <c r="J191" s="46" t="s">
        <v>1229</v>
      </c>
      <c r="K191" s="69">
        <v>5000</v>
      </c>
      <c r="L191" s="69"/>
      <c r="M191" s="70">
        <f>SIP[[#This Row],[Amount]]/SIP[[#This Row],[Unit]]</f>
        <v>10.504201680672269</v>
      </c>
      <c r="N191" s="71">
        <f>SIP[[#This Row],[Unit Capital]]/10</f>
        <v>476</v>
      </c>
      <c r="O191" s="72">
        <f>SUMIFS(SIP[[#Headers],[Unit]]:SIP[[#This Row],[Unit]],SIP[[#Headers],[Investor ID]]:SIP[[#This Row],[Investor ID]],SIP[[#This Row],[Investor ID]])</f>
        <v>476</v>
      </c>
      <c r="P191" s="73">
        <v>4760</v>
      </c>
      <c r="Q191" s="74">
        <f>SIP[[#This Row],[Amount]]-SIP[[#This Row],[Unit Capital]]</f>
        <v>240</v>
      </c>
      <c r="R19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10.504201680672269</v>
      </c>
      <c r="S191" s="68">
        <f t="shared" si="6"/>
        <v>14.224</v>
      </c>
      <c r="T1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1" s="74" cm="1">
        <f t="array" ref="U191">IF(SIP[[#This Row],[B/S]]="S",ABS(SIP[[#This Row],[Unit]])*(INDEX(SIP[NAV at Cost (Average)],MATCH(CONCATENATE((SIP[[#This Row],[Frequency]]-1),SIP[[#This Row],[Investor ID]]),SIP[Unique Code],0),0)),0)</f>
        <v>0</v>
      </c>
      <c r="V191" s="74">
        <f>IF(SIP[[#This Row],[BO TRANSFER]]="YES",SIP[[#This Row],[Unit]],)</f>
        <v>0</v>
      </c>
      <c r="W191" s="74">
        <f>SUMIFS(SIP[[#Headers],[BO UNIT TRANSFER]]:SIP[[#This Row],[BO UNIT TRANSFER]],SIP[[#Headers],[Investor ID]]:SIP[[#This Row],[Investor ID]],SIP[[#This Row],[Investor ID]])</f>
        <v>0</v>
      </c>
    </row>
    <row r="192" spans="1:23" ht="15" customHeight="1">
      <c r="A192" s="46">
        <v>2023</v>
      </c>
      <c r="B192" s="46">
        <v>10</v>
      </c>
      <c r="C192" s="46">
        <v>5</v>
      </c>
      <c r="D192" s="65">
        <f>DATE(SIP[[#This Row],[Year]],SIP[[#This Row],[Month]],SIP[[#This Row],[Day]])</f>
        <v>45204</v>
      </c>
      <c r="E192" s="66" t="str" cm="1">
        <f t="array" ref="E192">INDEX(INVESTORS_LIST[INVESTOR NAME],MATCH(SIP[[#This Row],[Investor ID]],INVESTORS_LIST[INVESTOR CODE],0),)</f>
        <v>FAKARUDDIN ALI AHMED</v>
      </c>
      <c r="F192" s="46" t="s">
        <v>228</v>
      </c>
      <c r="G192" s="46">
        <f>COUNTIF(SIP[[#Headers],[Investor ID]]:SIP[[#This Row],[Investor ID]],SIP[[#This Row],[Investor ID]])</f>
        <v>5</v>
      </c>
      <c r="H192" s="46" t="str">
        <f>CONCATENATE(SIP[[#This Row],[Frequency]],SIP[[#This Row],[Investor ID]])</f>
        <v>5A00090</v>
      </c>
      <c r="I192" s="46" t="str">
        <f>IF(SIP[[#This Row],[B/S]]="B","BUY",(IF(SIP[[#This Row],[B/S]]="S","SELL"," ")))</f>
        <v>BUY</v>
      </c>
      <c r="J192" s="46" t="s">
        <v>1229</v>
      </c>
      <c r="K192" s="69">
        <v>10000</v>
      </c>
      <c r="L192" s="69"/>
      <c r="M192" s="70">
        <f>SIP[[#This Row],[Amount]]/SIP[[#This Row],[Unit]]</f>
        <v>10.515247108307046</v>
      </c>
      <c r="N192" s="71">
        <f>SIP[[#This Row],[Unit Capital]]/10</f>
        <v>951</v>
      </c>
      <c r="O192" s="72">
        <f>SUMIFS(SIP[[#Headers],[Unit]]:SIP[[#This Row],[Unit]],SIP[[#Headers],[Investor ID]]:SIP[[#This Row],[Investor ID]],SIP[[#This Row],[Investor ID]])</f>
        <v>2872</v>
      </c>
      <c r="P192" s="73">
        <v>9510</v>
      </c>
      <c r="Q192" s="74">
        <f>SIP[[#This Row],[Amount]]-SIP[[#This Row],[Unit Capital]]</f>
        <v>490</v>
      </c>
      <c r="R19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10.445682451253482</v>
      </c>
      <c r="S192" s="68">
        <f t="shared" si="6"/>
        <v>14.224</v>
      </c>
      <c r="T1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2" s="74" cm="1">
        <f t="array" ref="U192">IF(SIP[[#This Row],[B/S]]="S",ABS(SIP[[#This Row],[Unit]])*(INDEX(SIP[NAV at Cost (Average)],MATCH(CONCATENATE((SIP[[#This Row],[Frequency]]-1),SIP[[#This Row],[Investor ID]]),SIP[Unique Code],0),0)),0)</f>
        <v>0</v>
      </c>
      <c r="V192" s="74">
        <f>IF(SIP[[#This Row],[BO TRANSFER]]="YES",SIP[[#This Row],[Unit]],)</f>
        <v>0</v>
      </c>
      <c r="W192" s="74">
        <f>SUMIFS(SIP[[#Headers],[BO UNIT TRANSFER]]:SIP[[#This Row],[BO UNIT TRANSFER]],SIP[[#Headers],[Investor ID]]:SIP[[#This Row],[Investor ID]],SIP[[#This Row],[Investor ID]])</f>
        <v>0</v>
      </c>
    </row>
    <row r="193" spans="1:23" ht="15" customHeight="1">
      <c r="A193" s="46">
        <v>2023</v>
      </c>
      <c r="B193" s="46">
        <v>10</v>
      </c>
      <c r="C193" s="46">
        <v>5</v>
      </c>
      <c r="D193" s="65">
        <f>DATE(SIP[[#This Row],[Year]],SIP[[#This Row],[Month]],SIP[[#This Row],[Day]])</f>
        <v>45204</v>
      </c>
      <c r="E193" s="66" t="str" cm="1">
        <f t="array" ref="E193">INDEX(INVESTORS_LIST[INVESTOR NAME],MATCH(SIP[[#This Row],[Investor ID]],INVESTORS_LIST[INVESTOR CODE],0),)</f>
        <v>SABRIA ISLAM TALUKDER</v>
      </c>
      <c r="F193" s="46" t="s">
        <v>409</v>
      </c>
      <c r="G193" s="46">
        <f>COUNTIF(SIP[[#Headers],[Investor ID]]:SIP[[#This Row],[Investor ID]],SIP[[#This Row],[Investor ID]])</f>
        <v>2</v>
      </c>
      <c r="H193" s="46" t="str">
        <f>CONCATENATE(SIP[[#This Row],[Frequency]],SIP[[#This Row],[Investor ID]])</f>
        <v>2A00180</v>
      </c>
      <c r="I193" s="46" t="str">
        <f>IF(SIP[[#This Row],[B/S]]="B","BUY",(IF(SIP[[#This Row],[B/S]]="S","SELL"," ")))</f>
        <v>BUY</v>
      </c>
      <c r="J193" s="46" t="s">
        <v>1229</v>
      </c>
      <c r="K193" s="69">
        <v>5000</v>
      </c>
      <c r="L193" s="69"/>
      <c r="M193" s="70">
        <f>SIP[[#This Row],[Amount]]/SIP[[#This Row],[Unit]]</f>
        <v>10.504201680672269</v>
      </c>
      <c r="N193" s="71">
        <f>SIP[[#This Row],[Unit Capital]]/10</f>
        <v>476</v>
      </c>
      <c r="O193" s="72">
        <f>SUMIFS(SIP[[#Headers],[Unit]]:SIP[[#This Row],[Unit]],SIP[[#Headers],[Investor ID]]:SIP[[#This Row],[Investor ID]],SIP[[#This Row],[Investor ID]])</f>
        <v>955</v>
      </c>
      <c r="P193" s="73">
        <v>4760</v>
      </c>
      <c r="Q193" s="74">
        <f>SIP[[#This Row],[Amount]]-SIP[[#This Row],[Unit Capital]]</f>
        <v>240</v>
      </c>
      <c r="R19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10.471204188481675</v>
      </c>
      <c r="S193" s="68">
        <f t="shared" si="6"/>
        <v>14.224</v>
      </c>
      <c r="T1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3" s="74" cm="1">
        <f t="array" ref="U193">IF(SIP[[#This Row],[B/S]]="S",ABS(SIP[[#This Row],[Unit]])*(INDEX(SIP[NAV at Cost (Average)],MATCH(CONCATENATE((SIP[[#This Row],[Frequency]]-1),SIP[[#This Row],[Investor ID]]),SIP[Unique Code],0),0)),0)</f>
        <v>0</v>
      </c>
      <c r="V193" s="74">
        <f>IF(SIP[[#This Row],[BO TRANSFER]]="YES",SIP[[#This Row],[Unit]],)</f>
        <v>0</v>
      </c>
      <c r="W193" s="74">
        <f>SUMIFS(SIP[[#Headers],[BO UNIT TRANSFER]]:SIP[[#This Row],[BO UNIT TRANSFER]],SIP[[#Headers],[Investor ID]]:SIP[[#This Row],[Investor ID]],SIP[[#This Row],[Investor ID]])</f>
        <v>0</v>
      </c>
    </row>
    <row r="194" spans="1:23" ht="15" customHeight="1">
      <c r="A194" s="46">
        <v>2023</v>
      </c>
      <c r="B194" s="46">
        <v>10</v>
      </c>
      <c r="C194" s="46">
        <v>15</v>
      </c>
      <c r="D194" s="65">
        <f>DATE(SIP[[#This Row],[Year]],SIP[[#This Row],[Month]],SIP[[#This Row],[Day]])</f>
        <v>45214</v>
      </c>
      <c r="E194" s="66" t="str" cm="1">
        <f t="array" ref="E194">INDEX(INVESTORS_LIST[INVESTOR NAME],MATCH(SIP[[#This Row],[Investor ID]],INVESTORS_LIST[INVESTOR CODE],0),)</f>
        <v>SANJIB KUMAR ROY</v>
      </c>
      <c r="F194" s="46" t="s">
        <v>1020</v>
      </c>
      <c r="G194" s="46">
        <f>COUNTIF(SIP[[#Headers],[Investor ID]]:SIP[[#This Row],[Investor ID]],SIP[[#This Row],[Investor ID]])</f>
        <v>5</v>
      </c>
      <c r="H194" s="46" t="str">
        <f>CONCATENATE(SIP[[#This Row],[Frequency]],SIP[[#This Row],[Investor ID]])</f>
        <v>5A00487</v>
      </c>
      <c r="I194" s="46" t="str">
        <f>IF(SIP[[#This Row],[B/S]]="B","BUY",(IF(SIP[[#This Row],[B/S]]="S","SELL"," ")))</f>
        <v>BUY</v>
      </c>
      <c r="J194" s="46" t="s">
        <v>1229</v>
      </c>
      <c r="K194" s="69">
        <v>5000</v>
      </c>
      <c r="L194" s="69"/>
      <c r="M194" s="70">
        <f>SIP[[#This Row],[Amount]]/SIP[[#This Row],[Unit]]</f>
        <v>10.504201680672269</v>
      </c>
      <c r="N194" s="71">
        <f>SIP[[#This Row],[Unit Capital]]/10</f>
        <v>476</v>
      </c>
      <c r="O194" s="72">
        <f>SUMIFS(SIP[[#Headers],[Unit]]:SIP[[#This Row],[Unit]],SIP[[#Headers],[Investor ID]]:SIP[[#This Row],[Investor ID]],SIP[[#This Row],[Investor ID]])</f>
        <v>2409</v>
      </c>
      <c r="P194" s="73">
        <v>4760</v>
      </c>
      <c r="Q194" s="74">
        <f>SIP[[#This Row],[Amount]]-SIP[[#This Row],[Unit Capital]]</f>
        <v>240</v>
      </c>
      <c r="R19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10.377750103777501</v>
      </c>
      <c r="S194" s="68">
        <f t="shared" ref="S194:S223" si="7">NAV_MKT</f>
        <v>14.224</v>
      </c>
      <c r="T1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4" s="74" cm="1">
        <f t="array" ref="U194">IF(SIP[[#This Row],[B/S]]="S",ABS(SIP[[#This Row],[Unit]])*(INDEX(SIP[NAV at Cost (Average)],MATCH(CONCATENATE((SIP[[#This Row],[Frequency]]-1),SIP[[#This Row],[Investor ID]]),SIP[Unique Code],0),0)),0)</f>
        <v>0</v>
      </c>
      <c r="V194" s="74">
        <f>IF(SIP[[#This Row],[BO TRANSFER]]="YES",SIP[[#This Row],[Unit]],)</f>
        <v>0</v>
      </c>
      <c r="W194" s="74">
        <f>SUMIFS(SIP[[#Headers],[BO UNIT TRANSFER]]:SIP[[#This Row],[BO UNIT TRANSFER]],SIP[[#Headers],[Investor ID]]:SIP[[#This Row],[Investor ID]],SIP[[#This Row],[Investor ID]])</f>
        <v>0</v>
      </c>
    </row>
    <row r="195" spans="1:23" ht="15" customHeight="1">
      <c r="A195" s="46">
        <v>2023</v>
      </c>
      <c r="B195" s="46">
        <v>10</v>
      </c>
      <c r="C195" s="46">
        <v>15</v>
      </c>
      <c r="D195" s="65">
        <f>DATE(SIP[[#This Row],[Year]],SIP[[#This Row],[Month]],SIP[[#This Row],[Day]])</f>
        <v>45214</v>
      </c>
      <c r="E195" s="66" t="str" cm="1">
        <f t="array" ref="E195">INDEX(INVESTORS_LIST[INVESTOR NAME],MATCH(SIP[[#This Row],[Investor ID]],INVESTORS_LIST[INVESTOR CODE],0),)</f>
        <v>MD. RAFIQUR RAHMAN</v>
      </c>
      <c r="F195" s="46" t="s">
        <v>622</v>
      </c>
      <c r="G195" s="46">
        <f>COUNTIF(SIP[[#Headers],[Investor ID]]:SIP[[#This Row],[Investor ID]],SIP[[#This Row],[Investor ID]])</f>
        <v>2</v>
      </c>
      <c r="H195" s="46" t="str">
        <f>CONCATENATE(SIP[[#This Row],[Frequency]],SIP[[#This Row],[Investor ID]])</f>
        <v>2A00287</v>
      </c>
      <c r="I195" s="46" t="str">
        <f>IF(SIP[[#This Row],[B/S]]="B","BUY",(IF(SIP[[#This Row],[B/S]]="S","SELL"," ")))</f>
        <v>BUY</v>
      </c>
      <c r="J195" s="46" t="s">
        <v>1229</v>
      </c>
      <c r="K195" s="69">
        <v>20000</v>
      </c>
      <c r="L195" s="69"/>
      <c r="M195" s="70">
        <f>SIP[[#This Row],[Amount]]/SIP[[#This Row],[Unit]]</f>
        <v>10.509721492380452</v>
      </c>
      <c r="N195" s="71">
        <f>SIP[[#This Row],[Unit Capital]]/10</f>
        <v>1903</v>
      </c>
      <c r="O195" s="72">
        <f>SUMIFS(SIP[[#Headers],[Unit]]:SIP[[#This Row],[Unit]],SIP[[#Headers],[Investor ID]]:SIP[[#This Row],[Investor ID]],SIP[[#This Row],[Investor ID]])</f>
        <v>3814</v>
      </c>
      <c r="P195" s="73">
        <v>19030</v>
      </c>
      <c r="Q195" s="74">
        <f>SIP[[#This Row],[Amount]]-SIP[[#This Row],[Unit Capital]]</f>
        <v>970</v>
      </c>
      <c r="R19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10.487676979549029</v>
      </c>
      <c r="S195" s="68">
        <f t="shared" si="7"/>
        <v>14.224</v>
      </c>
      <c r="T1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5" s="74" cm="1">
        <f t="array" ref="U195">IF(SIP[[#This Row],[B/S]]="S",ABS(SIP[[#This Row],[Unit]])*(INDEX(SIP[NAV at Cost (Average)],MATCH(CONCATENATE((SIP[[#This Row],[Frequency]]-1),SIP[[#This Row],[Investor ID]]),SIP[Unique Code],0),0)),0)</f>
        <v>0</v>
      </c>
      <c r="V195" s="74">
        <f>IF(SIP[[#This Row],[BO TRANSFER]]="YES",SIP[[#This Row],[Unit]],)</f>
        <v>0</v>
      </c>
      <c r="W195" s="74">
        <f>SUMIFS(SIP[[#Headers],[BO UNIT TRANSFER]]:SIP[[#This Row],[BO UNIT TRANSFER]],SIP[[#Headers],[Investor ID]]:SIP[[#This Row],[Investor ID]],SIP[[#This Row],[Investor ID]])</f>
        <v>0</v>
      </c>
    </row>
    <row r="196" spans="1:23" ht="15" customHeight="1">
      <c r="A196" s="46">
        <v>2023</v>
      </c>
      <c r="B196" s="46">
        <v>10</v>
      </c>
      <c r="C196" s="46">
        <v>15</v>
      </c>
      <c r="D196" s="65">
        <f>DATE(SIP[[#This Row],[Year]],SIP[[#This Row],[Month]],SIP[[#This Row],[Day]])</f>
        <v>45214</v>
      </c>
      <c r="E196" s="66" t="str" cm="1">
        <f t="array" ref="E196">INDEX(INVESTORS_LIST[INVESTOR NAME],MATCH(SIP[[#This Row],[Investor ID]],INVESTORS_LIST[INVESTOR CODE],0),)</f>
        <v>CHANCHAL KUMAR SAHA</v>
      </c>
      <c r="F196" s="46" t="s">
        <v>569</v>
      </c>
      <c r="G196" s="46">
        <f>COUNTIF(SIP[[#Headers],[Investor ID]]:SIP[[#This Row],[Investor ID]],SIP[[#This Row],[Investor ID]])</f>
        <v>1</v>
      </c>
      <c r="H196" s="46" t="str">
        <f>CONCATENATE(SIP[[#This Row],[Frequency]],SIP[[#This Row],[Investor ID]])</f>
        <v>1A00260</v>
      </c>
      <c r="I196" s="46" t="str">
        <f>IF(SIP[[#This Row],[B/S]]="B","BUY",(IF(SIP[[#This Row],[B/S]]="S","SELL"," ")))</f>
        <v>BUY</v>
      </c>
      <c r="J196" s="46" t="s">
        <v>1229</v>
      </c>
      <c r="K196" s="69">
        <v>15000</v>
      </c>
      <c r="L196" s="69"/>
      <c r="M196" s="70">
        <f>SIP[[#This Row],[Amount]]/SIP[[#This Row],[Unit]]</f>
        <v>10.51156271899089</v>
      </c>
      <c r="N196" s="71">
        <f>SIP[[#This Row],[Unit Capital]]/10</f>
        <v>1427</v>
      </c>
      <c r="O196" s="72">
        <f>SUMIFS(SIP[[#Headers],[Unit]]:SIP[[#This Row],[Unit]],SIP[[#Headers],[Investor ID]]:SIP[[#This Row],[Investor ID]],SIP[[#This Row],[Investor ID]])</f>
        <v>1427</v>
      </c>
      <c r="P196" s="73">
        <v>14270</v>
      </c>
      <c r="Q196" s="74">
        <f>SIP[[#This Row],[Amount]]-SIP[[#This Row],[Unit Capital]]</f>
        <v>730</v>
      </c>
      <c r="R19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10.51156271899089</v>
      </c>
      <c r="S196" s="68">
        <f t="shared" si="7"/>
        <v>14.224</v>
      </c>
      <c r="T1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6" s="74" cm="1">
        <f t="array" ref="U196">IF(SIP[[#This Row],[B/S]]="S",ABS(SIP[[#This Row],[Unit]])*(INDEX(SIP[NAV at Cost (Average)],MATCH(CONCATENATE((SIP[[#This Row],[Frequency]]-1),SIP[[#This Row],[Investor ID]]),SIP[Unique Code],0),0)),0)</f>
        <v>0</v>
      </c>
      <c r="V196" s="74">
        <f>IF(SIP[[#This Row],[BO TRANSFER]]="YES",SIP[[#This Row],[Unit]],)</f>
        <v>0</v>
      </c>
      <c r="W196" s="74">
        <f>SUMIFS(SIP[[#Headers],[BO UNIT TRANSFER]]:SIP[[#This Row],[BO UNIT TRANSFER]],SIP[[#Headers],[Investor ID]]:SIP[[#This Row],[Investor ID]],SIP[[#This Row],[Investor ID]])</f>
        <v>0</v>
      </c>
    </row>
    <row r="197" spans="1:23" ht="15" customHeight="1">
      <c r="A197" s="46">
        <v>2023</v>
      </c>
      <c r="B197" s="46">
        <v>10</v>
      </c>
      <c r="C197" s="46">
        <v>26</v>
      </c>
      <c r="D197" s="65">
        <f>DATE(SIP[[#This Row],[Year]],SIP[[#This Row],[Month]],SIP[[#This Row],[Day]])</f>
        <v>45225</v>
      </c>
      <c r="E197" s="66" t="str" cm="1">
        <f t="array" ref="E197">INDEX(INVESTORS_LIST[INVESTOR NAME],MATCH(SIP[[#This Row],[Investor ID]],INVESTORS_LIST[INVESTOR CODE],0),)</f>
        <v>SRIJON GHOSH</v>
      </c>
      <c r="F197" s="46" t="s">
        <v>894</v>
      </c>
      <c r="G197" s="46">
        <f>COUNTIF(SIP[[#Headers],[Investor ID]]:SIP[[#This Row],[Investor ID]],SIP[[#This Row],[Investor ID]])</f>
        <v>14</v>
      </c>
      <c r="H197" s="46" t="str">
        <f>CONCATENATE(SIP[[#This Row],[Frequency]],SIP[[#This Row],[Investor ID]])</f>
        <v>14A00424</v>
      </c>
      <c r="I197" s="46" t="str">
        <f>IF(SIP[[#This Row],[B/S]]="B","BUY",(IF(SIP[[#This Row],[B/S]]="S","SELL"," ")))</f>
        <v>BUY</v>
      </c>
      <c r="J197" s="46" t="s">
        <v>1229</v>
      </c>
      <c r="K197" s="69">
        <v>15000</v>
      </c>
      <c r="L197" s="69"/>
      <c r="M197" s="70">
        <f>SIP[[#This Row],[Amount]]/SIP[[#This Row],[Unit]]</f>
        <v>10.541110330288124</v>
      </c>
      <c r="N197" s="71">
        <f>SIP[[#This Row],[Unit Capital]]/10</f>
        <v>1423</v>
      </c>
      <c r="O197" s="72">
        <f>SUMIFS(SIP[[#Headers],[Unit]]:SIP[[#This Row],[Unit]],SIP[[#Headers],[Investor ID]]:SIP[[#This Row],[Investor ID]],SIP[[#This Row],[Investor ID]])</f>
        <v>12681</v>
      </c>
      <c r="P197" s="73">
        <v>14230</v>
      </c>
      <c r="Q197" s="74">
        <f>SIP[[#This Row],[Amount]]-SIP[[#This Row],[Unit Capital]]</f>
        <v>770</v>
      </c>
      <c r="R19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10.331042278325889</v>
      </c>
      <c r="S197" s="68">
        <f t="shared" si="7"/>
        <v>14.224</v>
      </c>
      <c r="T1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7" s="74" cm="1">
        <f t="array" ref="U197">IF(SIP[[#This Row],[B/S]]="S",ABS(SIP[[#This Row],[Unit]])*(INDEX(SIP[NAV at Cost (Average)],MATCH(CONCATENATE((SIP[[#This Row],[Frequency]]-1),SIP[[#This Row],[Investor ID]]),SIP[Unique Code],0),0)),0)</f>
        <v>0</v>
      </c>
      <c r="V197" s="74">
        <f>IF(SIP[[#This Row],[BO TRANSFER]]="YES",SIP[[#This Row],[Unit]],)</f>
        <v>0</v>
      </c>
      <c r="W197" s="74">
        <f>SUMIFS(SIP[[#Headers],[BO UNIT TRANSFER]]:SIP[[#This Row],[BO UNIT TRANSFER]],SIP[[#Headers],[Investor ID]]:SIP[[#This Row],[Investor ID]],SIP[[#This Row],[Investor ID]])</f>
        <v>0</v>
      </c>
    </row>
    <row r="198" spans="1:23" ht="15" customHeight="1">
      <c r="A198" s="46">
        <v>2023</v>
      </c>
      <c r="B198" s="46">
        <v>10</v>
      </c>
      <c r="C198" s="46">
        <v>26</v>
      </c>
      <c r="D198" s="65">
        <f>DATE(SIP[[#This Row],[Year]],SIP[[#This Row],[Month]],SIP[[#This Row],[Day]])</f>
        <v>45225</v>
      </c>
      <c r="E198" s="66" t="str" cm="1">
        <f t="array" ref="E198">INDEX(INVESTORS_LIST[INVESTOR NAME],MATCH(SIP[[#This Row],[Investor ID]],INVESTORS_LIST[INVESTOR CODE],0),)</f>
        <v>KHAN MUHAMMAD FAISOL</v>
      </c>
      <c r="F198" s="46" t="s">
        <v>930</v>
      </c>
      <c r="G198" s="46">
        <f>COUNTIF(SIP[[#Headers],[Investor ID]]:SIP[[#This Row],[Investor ID]],SIP[[#This Row],[Investor ID]])</f>
        <v>6</v>
      </c>
      <c r="H198" s="46" t="str">
        <f>CONCATENATE(SIP[[#This Row],[Frequency]],SIP[[#This Row],[Investor ID]])</f>
        <v>6A00442</v>
      </c>
      <c r="I198" s="46" t="str">
        <f>IF(SIP[[#This Row],[B/S]]="B","BUY",(IF(SIP[[#This Row],[B/S]]="S","SELL"," ")))</f>
        <v>BUY</v>
      </c>
      <c r="J198" s="46" t="s">
        <v>1229</v>
      </c>
      <c r="K198" s="69">
        <v>1000</v>
      </c>
      <c r="L198" s="69"/>
      <c r="M198" s="70">
        <f>SIP[[#This Row],[Amount]]/SIP[[#This Row],[Unit]]</f>
        <v>10.526315789473685</v>
      </c>
      <c r="N198" s="71">
        <f>SIP[[#This Row],[Unit Capital]]/10</f>
        <v>95</v>
      </c>
      <c r="O198" s="72">
        <f>SUMIFS(SIP[[#Headers],[Unit]]:SIP[[#This Row],[Unit]],SIP[[#Headers],[Investor ID]]:SIP[[#This Row],[Investor ID]],SIP[[#This Row],[Investor ID]])</f>
        <v>578</v>
      </c>
      <c r="P198" s="73">
        <v>950</v>
      </c>
      <c r="Q198" s="74">
        <f>SIP[[#This Row],[Amount]]-SIP[[#This Row],[Unit Capital]]</f>
        <v>50</v>
      </c>
      <c r="R19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10.380622837370241</v>
      </c>
      <c r="S198" s="68">
        <f t="shared" si="7"/>
        <v>14.224</v>
      </c>
      <c r="T1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8" s="74" cm="1">
        <f t="array" ref="U198">IF(SIP[[#This Row],[B/S]]="S",ABS(SIP[[#This Row],[Unit]])*(INDEX(SIP[NAV at Cost (Average)],MATCH(CONCATENATE((SIP[[#This Row],[Frequency]]-1),SIP[[#This Row],[Investor ID]]),SIP[Unique Code],0),0)),0)</f>
        <v>0</v>
      </c>
      <c r="V198" s="74">
        <f>IF(SIP[[#This Row],[BO TRANSFER]]="YES",SIP[[#This Row],[Unit]],)</f>
        <v>0</v>
      </c>
      <c r="W198" s="74">
        <f>SUMIFS(SIP[[#Headers],[BO UNIT TRANSFER]]:SIP[[#This Row],[BO UNIT TRANSFER]],SIP[[#Headers],[Investor ID]]:SIP[[#This Row],[Investor ID]],SIP[[#This Row],[Investor ID]])</f>
        <v>0</v>
      </c>
    </row>
    <row r="199" spans="1:23" ht="15" customHeight="1">
      <c r="A199" s="46">
        <v>2023</v>
      </c>
      <c r="B199" s="46">
        <v>10</v>
      </c>
      <c r="C199" s="46">
        <v>26</v>
      </c>
      <c r="D199" s="65">
        <f>DATE(SIP[[#This Row],[Year]],SIP[[#This Row],[Month]],SIP[[#This Row],[Day]])</f>
        <v>45225</v>
      </c>
      <c r="E199" s="66" t="str" cm="1">
        <f t="array" ref="E199">INDEX(INVESTORS_LIST[INVESTOR NAME],MATCH(SIP[[#This Row],[Investor ID]],INVESTORS_LIST[INVESTOR CODE],0),)</f>
        <v>MD. ARIFUL ISLAM</v>
      </c>
      <c r="F199" s="46" t="s">
        <v>222</v>
      </c>
      <c r="G199" s="46">
        <f>COUNTIF(SIP[[#Headers],[Investor ID]]:SIP[[#This Row],[Investor ID]],SIP[[#This Row],[Investor ID]])</f>
        <v>6</v>
      </c>
      <c r="H199" s="46" t="str">
        <f>CONCATENATE(SIP[[#This Row],[Frequency]],SIP[[#This Row],[Investor ID]])</f>
        <v>6A00087</v>
      </c>
      <c r="I199" s="46" t="str">
        <f>IF(SIP[[#This Row],[B/S]]="B","BUY",(IF(SIP[[#This Row],[B/S]]="S","SELL"," ")))</f>
        <v>BUY</v>
      </c>
      <c r="J199" s="46" t="s">
        <v>1229</v>
      </c>
      <c r="K199" s="69">
        <v>10000</v>
      </c>
      <c r="L199" s="69"/>
      <c r="M199" s="70">
        <f>SIP[[#This Row],[Amount]]/SIP[[#This Row],[Unit]]</f>
        <v>10.537407797681769</v>
      </c>
      <c r="N199" s="71">
        <f>SIP[[#This Row],[Unit Capital]]/10</f>
        <v>949</v>
      </c>
      <c r="O199" s="72">
        <f>SUMIFS(SIP[[#Headers],[Unit]]:SIP[[#This Row],[Unit]],SIP[[#Headers],[Investor ID]]:SIP[[#This Row],[Investor ID]],SIP[[#This Row],[Investor ID]])</f>
        <v>5783</v>
      </c>
      <c r="P199" s="73">
        <v>9490</v>
      </c>
      <c r="Q199" s="74">
        <f>SIP[[#This Row],[Amount]]-SIP[[#This Row],[Unit Capital]]</f>
        <v>510</v>
      </c>
      <c r="R19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10.375237765865469</v>
      </c>
      <c r="S199" s="68">
        <f t="shared" si="7"/>
        <v>14.224</v>
      </c>
      <c r="T1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9" s="74" cm="1">
        <f t="array" ref="U199">IF(SIP[[#This Row],[B/S]]="S",ABS(SIP[[#This Row],[Unit]])*(INDEX(SIP[NAV at Cost (Average)],MATCH(CONCATENATE((SIP[[#This Row],[Frequency]]-1),SIP[[#This Row],[Investor ID]]),SIP[Unique Code],0),0)),0)</f>
        <v>0</v>
      </c>
      <c r="V199" s="74">
        <f>IF(SIP[[#This Row],[BO TRANSFER]]="YES",SIP[[#This Row],[Unit]],)</f>
        <v>0</v>
      </c>
      <c r="W199" s="74">
        <f>SUMIFS(SIP[[#Headers],[BO UNIT TRANSFER]]:SIP[[#This Row],[BO UNIT TRANSFER]],SIP[[#Headers],[Investor ID]]:SIP[[#This Row],[Investor ID]],SIP[[#This Row],[Investor ID]])</f>
        <v>0</v>
      </c>
    </row>
    <row r="200" spans="1:23" ht="15" customHeight="1">
      <c r="A200" s="46">
        <v>2023</v>
      </c>
      <c r="B200" s="46">
        <v>10</v>
      </c>
      <c r="C200" s="46">
        <v>26</v>
      </c>
      <c r="D200" s="65">
        <f>DATE(SIP[[#This Row],[Year]],SIP[[#This Row],[Month]],SIP[[#This Row],[Day]])</f>
        <v>45225</v>
      </c>
      <c r="E200" s="66" t="str" cm="1">
        <f t="array" ref="E200">INDEX(INVESTORS_LIST[INVESTOR NAME],MATCH(SIP[[#This Row],[Investor ID]],INVESTORS_LIST[INVESTOR CODE],0),)</f>
        <v>SRIJON GHOSH</v>
      </c>
      <c r="F200" s="46" t="s">
        <v>894</v>
      </c>
      <c r="G200" s="46">
        <f>COUNTIF(SIP[[#Headers],[Investor ID]]:SIP[[#This Row],[Investor ID]],SIP[[#This Row],[Investor ID]])</f>
        <v>15</v>
      </c>
      <c r="H200" s="46" t="str">
        <f>CONCATENATE(SIP[[#This Row],[Frequency]],SIP[[#This Row],[Investor ID]])</f>
        <v>15A00424</v>
      </c>
      <c r="I200" s="46" t="str">
        <f>IF(SIP[[#This Row],[B/S]]="B","BUY",(IF(SIP[[#This Row],[B/S]]="S","SELL"," ")))</f>
        <v>BUY</v>
      </c>
      <c r="J200" s="46" t="s">
        <v>1229</v>
      </c>
      <c r="K200" s="69">
        <v>5000</v>
      </c>
      <c r="L200" s="69"/>
      <c r="M200" s="70">
        <f>SIP[[#This Row],[Amount]]/SIP[[#This Row],[Unit]]</f>
        <v>10.548523206751055</v>
      </c>
      <c r="N200" s="71">
        <f>SIP[[#This Row],[Unit Capital]]/10</f>
        <v>474</v>
      </c>
      <c r="O200" s="72">
        <f>SUMIFS(SIP[[#Headers],[Unit]]:SIP[[#This Row],[Unit]],SIP[[#Headers],[Investor ID]]:SIP[[#This Row],[Investor ID]],SIP[[#This Row],[Investor ID]])</f>
        <v>13155</v>
      </c>
      <c r="P200" s="73">
        <v>4740</v>
      </c>
      <c r="Q200" s="74">
        <f>SIP[[#This Row],[Amount]]-SIP[[#This Row],[Unit Capital]]</f>
        <v>260</v>
      </c>
      <c r="R20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10.338878535268003</v>
      </c>
      <c r="S200" s="68">
        <f t="shared" si="7"/>
        <v>14.224</v>
      </c>
      <c r="T2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0" s="74" cm="1">
        <f t="array" ref="U200">IF(SIP[[#This Row],[B/S]]="S",ABS(SIP[[#This Row],[Unit]])*(INDEX(SIP[NAV at Cost (Average)],MATCH(CONCATENATE((SIP[[#This Row],[Frequency]]-1),SIP[[#This Row],[Investor ID]]),SIP[Unique Code],0),0)),0)</f>
        <v>0</v>
      </c>
      <c r="V200" s="74">
        <f>IF(SIP[[#This Row],[BO TRANSFER]]="YES",SIP[[#This Row],[Unit]],)</f>
        <v>0</v>
      </c>
      <c r="W200" s="74">
        <f>SUMIFS(SIP[[#Headers],[BO UNIT TRANSFER]]:SIP[[#This Row],[BO UNIT TRANSFER]],SIP[[#Headers],[Investor ID]]:SIP[[#This Row],[Investor ID]],SIP[[#This Row],[Investor ID]])</f>
        <v>0</v>
      </c>
    </row>
    <row r="201" spans="1:23" ht="15" customHeight="1">
      <c r="A201" s="46">
        <v>2023</v>
      </c>
      <c r="B201" s="46">
        <v>10</v>
      </c>
      <c r="C201" s="46">
        <v>26</v>
      </c>
      <c r="D201" s="65">
        <f>DATE(SIP[[#This Row],[Year]],SIP[[#This Row],[Month]],SIP[[#This Row],[Day]])</f>
        <v>45225</v>
      </c>
      <c r="E201" s="66" t="str" cm="1">
        <f t="array" ref="E201">INDEX(INVESTORS_LIST[INVESTOR NAME],MATCH(SIP[[#This Row],[Investor ID]],INVESTORS_LIST[INVESTOR CODE],0),)</f>
        <v>NUSRAT JAHAN TISHA</v>
      </c>
      <c r="F201" s="46" t="s">
        <v>926</v>
      </c>
      <c r="G201" s="46">
        <f>COUNTIF(SIP[[#Headers],[Investor ID]]:SIP[[#This Row],[Investor ID]],SIP[[#This Row],[Investor ID]])</f>
        <v>3</v>
      </c>
      <c r="H201" s="46" t="str">
        <f>CONCATENATE(SIP[[#This Row],[Frequency]],SIP[[#This Row],[Investor ID]])</f>
        <v>3A00440</v>
      </c>
      <c r="I201" s="46" t="str">
        <f>IF(SIP[[#This Row],[B/S]]="B","BUY",(IF(SIP[[#This Row],[B/S]]="S","SELL"," ")))</f>
        <v>BUY</v>
      </c>
      <c r="J201" s="46" t="s">
        <v>1229</v>
      </c>
      <c r="K201" s="69">
        <v>5000</v>
      </c>
      <c r="L201" s="69"/>
      <c r="M201" s="70">
        <f>SIP[[#This Row],[Amount]]/SIP[[#This Row],[Unit]]</f>
        <v>10.548523206751055</v>
      </c>
      <c r="N201" s="71">
        <f>SIP[[#This Row],[Unit Capital]]/10</f>
        <v>474</v>
      </c>
      <c r="O201" s="72">
        <f>SUMIFS(SIP[[#Headers],[Unit]]:SIP[[#This Row],[Unit]],SIP[[#Headers],[Investor ID]]:SIP[[#This Row],[Investor ID]],SIP[[#This Row],[Investor ID]])</f>
        <v>1431</v>
      </c>
      <c r="P201" s="73">
        <v>4740</v>
      </c>
      <c r="Q201" s="74">
        <f>SIP[[#This Row],[Amount]]-SIP[[#This Row],[Unit Capital]]</f>
        <v>260</v>
      </c>
      <c r="R20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201" s="68">
        <f t="shared" si="7"/>
        <v>14.224</v>
      </c>
      <c r="T2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1" s="74" cm="1">
        <f t="array" ref="U201">IF(SIP[[#This Row],[B/S]]="S",ABS(SIP[[#This Row],[Unit]])*(INDEX(SIP[NAV at Cost (Average)],MATCH(CONCATENATE((SIP[[#This Row],[Frequency]]-1),SIP[[#This Row],[Investor ID]]),SIP[Unique Code],0),0)),0)</f>
        <v>0</v>
      </c>
      <c r="V201" s="74">
        <f>IF(SIP[[#This Row],[BO TRANSFER]]="YES",SIP[[#This Row],[Unit]],)</f>
        <v>0</v>
      </c>
      <c r="W201" s="74">
        <f>SUMIFS(SIP[[#Headers],[BO UNIT TRANSFER]]:SIP[[#This Row],[BO UNIT TRANSFER]],SIP[[#Headers],[Investor ID]]:SIP[[#This Row],[Investor ID]],SIP[[#This Row],[Investor ID]])</f>
        <v>0</v>
      </c>
    </row>
    <row r="202" spans="1:23" ht="15" customHeight="1">
      <c r="A202" s="46">
        <v>2023</v>
      </c>
      <c r="B202" s="46">
        <v>10</v>
      </c>
      <c r="C202" s="46">
        <v>26</v>
      </c>
      <c r="D202" s="65">
        <f>DATE(SIP[[#This Row],[Year]],SIP[[#This Row],[Month]],SIP[[#This Row],[Day]])</f>
        <v>45225</v>
      </c>
      <c r="E202" s="66" t="str" cm="1">
        <f t="array" ref="E202">INDEX(INVESTORS_LIST[INVESTOR NAME],MATCH(SIP[[#This Row],[Investor ID]],INVESTORS_LIST[INVESTOR CODE],0),)</f>
        <v>SADIA PARVIN</v>
      </c>
      <c r="F202" s="46" t="s">
        <v>1018</v>
      </c>
      <c r="G202" s="46">
        <f>COUNTIF(SIP[[#Headers],[Investor ID]]:SIP[[#This Row],[Investor ID]],SIP[[#This Row],[Investor ID]])</f>
        <v>6</v>
      </c>
      <c r="H202" s="46" t="str">
        <f>CONCATENATE(SIP[[#This Row],[Frequency]],SIP[[#This Row],[Investor ID]])</f>
        <v>6A00486</v>
      </c>
      <c r="I202" s="46" t="str">
        <f>IF(SIP[[#This Row],[B/S]]="B","BUY",(IF(SIP[[#This Row],[B/S]]="S","SELL"," ")))</f>
        <v>BUY</v>
      </c>
      <c r="J202" s="46" t="s">
        <v>1229</v>
      </c>
      <c r="K202" s="69">
        <v>5000</v>
      </c>
      <c r="L202" s="69"/>
      <c r="M202" s="70">
        <f>SIP[[#This Row],[Amount]]/SIP[[#This Row],[Unit]]</f>
        <v>10.548523206751055</v>
      </c>
      <c r="N202" s="71">
        <f>SIP[[#This Row],[Unit Capital]]/10</f>
        <v>474</v>
      </c>
      <c r="O202" s="72">
        <f>SUMIFS(SIP[[#Headers],[Unit]]:SIP[[#This Row],[Unit]],SIP[[#Headers],[Investor ID]]:SIP[[#This Row],[Investor ID]],SIP[[#This Row],[Investor ID]])</f>
        <v>2890</v>
      </c>
      <c r="P202" s="73">
        <v>4740</v>
      </c>
      <c r="Q202" s="74">
        <f>SIP[[#This Row],[Amount]]-SIP[[#This Row],[Unit Capital]]</f>
        <v>260</v>
      </c>
      <c r="R20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10.380622837370243</v>
      </c>
      <c r="S202" s="68">
        <f t="shared" si="7"/>
        <v>14.224</v>
      </c>
      <c r="T2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2" s="74" cm="1">
        <f t="array" ref="U202">IF(SIP[[#This Row],[B/S]]="S",ABS(SIP[[#This Row],[Unit]])*(INDEX(SIP[NAV at Cost (Average)],MATCH(CONCATENATE((SIP[[#This Row],[Frequency]]-1),SIP[[#This Row],[Investor ID]]),SIP[Unique Code],0),0)),0)</f>
        <v>0</v>
      </c>
      <c r="V202" s="74">
        <f>IF(SIP[[#This Row],[BO TRANSFER]]="YES",SIP[[#This Row],[Unit]],)</f>
        <v>0</v>
      </c>
      <c r="W202" s="74">
        <f>SUMIFS(SIP[[#Headers],[BO UNIT TRANSFER]]:SIP[[#This Row],[BO UNIT TRANSFER]],SIP[[#Headers],[Investor ID]]:SIP[[#This Row],[Investor ID]],SIP[[#This Row],[Investor ID]])</f>
        <v>0</v>
      </c>
    </row>
    <row r="203" spans="1:23" ht="15" customHeight="1">
      <c r="A203" s="46">
        <v>2023</v>
      </c>
      <c r="B203" s="46">
        <v>10</v>
      </c>
      <c r="C203" s="46">
        <v>26</v>
      </c>
      <c r="D203" s="65">
        <f>DATE(SIP[[#This Row],[Year]],SIP[[#This Row],[Month]],SIP[[#This Row],[Day]])</f>
        <v>45225</v>
      </c>
      <c r="E203" s="66" t="str" cm="1">
        <f t="array" ref="E203">INDEX(INVESTORS_LIST[INVESTOR NAME],MATCH(SIP[[#This Row],[Investor ID]],INVESTORS_LIST[INVESTOR CODE],0),)</f>
        <v>MD. WALI ULLAH</v>
      </c>
      <c r="F203" s="46" t="s">
        <v>443</v>
      </c>
      <c r="G203" s="46">
        <f>COUNTIF(SIP[[#Headers],[Investor ID]]:SIP[[#This Row],[Investor ID]],SIP[[#This Row],[Investor ID]])</f>
        <v>6</v>
      </c>
      <c r="H203" s="46" t="str">
        <f>CONCATENATE(SIP[[#This Row],[Frequency]],SIP[[#This Row],[Investor ID]])</f>
        <v>6A00197</v>
      </c>
      <c r="I203" s="46" t="str">
        <f>IF(SIP[[#This Row],[B/S]]="B","BUY",(IF(SIP[[#This Row],[B/S]]="S","SELL"," ")))</f>
        <v>BUY</v>
      </c>
      <c r="J203" s="46" t="s">
        <v>1229</v>
      </c>
      <c r="K203" s="69">
        <v>15000</v>
      </c>
      <c r="L203" s="69"/>
      <c r="M203" s="70">
        <f>SIP[[#This Row],[Amount]]/SIP[[#This Row],[Unit]]</f>
        <v>10.541110330288124</v>
      </c>
      <c r="N203" s="71">
        <f>SIP[[#This Row],[Unit Capital]]/10</f>
        <v>1423</v>
      </c>
      <c r="O203" s="72">
        <f>SUMIFS(SIP[[#Headers],[Unit]]:SIP[[#This Row],[Unit]],SIP[[#Headers],[Investor ID]]:SIP[[#This Row],[Investor ID]],SIP[[#This Row],[Investor ID]])</f>
        <v>8677</v>
      </c>
      <c r="P203" s="73">
        <v>14230</v>
      </c>
      <c r="Q203" s="74">
        <f>SIP[[#This Row],[Amount]]-SIP[[#This Row],[Unit Capital]]</f>
        <v>770</v>
      </c>
      <c r="R20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10.372248472974528</v>
      </c>
      <c r="S203" s="68">
        <f t="shared" si="7"/>
        <v>14.224</v>
      </c>
      <c r="T2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3" s="74" cm="1">
        <f t="array" ref="U203">IF(SIP[[#This Row],[B/S]]="S",ABS(SIP[[#This Row],[Unit]])*(INDEX(SIP[NAV at Cost (Average)],MATCH(CONCATENATE((SIP[[#This Row],[Frequency]]-1),SIP[[#This Row],[Investor ID]]),SIP[Unique Code],0),0)),0)</f>
        <v>0</v>
      </c>
      <c r="V203" s="74">
        <f>IF(SIP[[#This Row],[BO TRANSFER]]="YES",SIP[[#This Row],[Unit]],)</f>
        <v>0</v>
      </c>
      <c r="W203" s="74">
        <f>SUMIFS(SIP[[#Headers],[BO UNIT TRANSFER]]:SIP[[#This Row],[BO UNIT TRANSFER]],SIP[[#Headers],[Investor ID]]:SIP[[#This Row],[Investor ID]],SIP[[#This Row],[Investor ID]])</f>
        <v>0</v>
      </c>
    </row>
    <row r="204" spans="1:23" ht="15" customHeight="1">
      <c r="A204" s="46">
        <v>2023</v>
      </c>
      <c r="B204" s="46">
        <v>10</v>
      </c>
      <c r="C204" s="46">
        <v>26</v>
      </c>
      <c r="D204" s="65">
        <f>DATE(SIP[[#This Row],[Year]],SIP[[#This Row],[Month]],SIP[[#This Row],[Day]])</f>
        <v>45225</v>
      </c>
      <c r="E204" s="66" t="str" cm="1">
        <f t="array" ref="E204">INDEX(INVESTORS_LIST[INVESTOR NAME],MATCH(SIP[[#This Row],[Investor ID]],INVESTORS_LIST[INVESTOR CODE],0),)</f>
        <v>SIKDER FAZLE RABBI</v>
      </c>
      <c r="F204" s="46" t="s">
        <v>1032</v>
      </c>
      <c r="G204" s="46">
        <f>COUNTIF(SIP[[#Headers],[Investor ID]]:SIP[[#This Row],[Investor ID]],SIP[[#This Row],[Investor ID]])</f>
        <v>5</v>
      </c>
      <c r="H204" s="46" t="str">
        <f>CONCATENATE(SIP[[#This Row],[Frequency]],SIP[[#This Row],[Investor ID]])</f>
        <v>5A00493</v>
      </c>
      <c r="I204" s="46" t="str">
        <f>IF(SIP[[#This Row],[B/S]]="B","BUY",(IF(SIP[[#This Row],[B/S]]="S","SELL"," ")))</f>
        <v>BUY</v>
      </c>
      <c r="J204" s="46" t="s">
        <v>1229</v>
      </c>
      <c r="K204" s="69">
        <v>5000</v>
      </c>
      <c r="L204" s="69"/>
      <c r="M204" s="70">
        <f>SIP[[#This Row],[Amount]]/SIP[[#This Row],[Unit]]</f>
        <v>10.548523206751055</v>
      </c>
      <c r="N204" s="71">
        <f>SIP[[#This Row],[Unit Capital]]/10</f>
        <v>474</v>
      </c>
      <c r="O204" s="72">
        <f>SUMIFS(SIP[[#Headers],[Unit]]:SIP[[#This Row],[Unit]],SIP[[#Headers],[Investor ID]]:SIP[[#This Row],[Investor ID]],SIP[[#This Row],[Investor ID]])</f>
        <v>2401</v>
      </c>
      <c r="P204" s="73">
        <v>4740</v>
      </c>
      <c r="Q204" s="74">
        <f>SIP[[#This Row],[Amount]]-SIP[[#This Row],[Unit Capital]]</f>
        <v>260</v>
      </c>
      <c r="R20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04" s="68">
        <f t="shared" si="7"/>
        <v>14.224</v>
      </c>
      <c r="T2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4" s="74" cm="1">
        <f t="array" ref="U204">IF(SIP[[#This Row],[B/S]]="S",ABS(SIP[[#This Row],[Unit]])*(INDEX(SIP[NAV at Cost (Average)],MATCH(CONCATENATE((SIP[[#This Row],[Frequency]]-1),SIP[[#This Row],[Investor ID]]),SIP[Unique Code],0),0)),0)</f>
        <v>0</v>
      </c>
      <c r="V204" s="74">
        <f>IF(SIP[[#This Row],[BO TRANSFER]]="YES",SIP[[#This Row],[Unit]],)</f>
        <v>0</v>
      </c>
      <c r="W204" s="74">
        <f>SUMIFS(SIP[[#Headers],[BO UNIT TRANSFER]]:SIP[[#This Row],[BO UNIT TRANSFER]],SIP[[#Headers],[Investor ID]]:SIP[[#This Row],[Investor ID]],SIP[[#This Row],[Investor ID]])</f>
        <v>0</v>
      </c>
    </row>
    <row r="205" spans="1:23" ht="15" customHeight="1">
      <c r="A205" s="46">
        <v>2023</v>
      </c>
      <c r="B205" s="46">
        <v>10</v>
      </c>
      <c r="C205" s="46">
        <v>26</v>
      </c>
      <c r="D205" s="65">
        <f>DATE(SIP[[#This Row],[Year]],SIP[[#This Row],[Month]],SIP[[#This Row],[Day]])</f>
        <v>45225</v>
      </c>
      <c r="E205" s="66" t="str" cm="1">
        <f t="array" ref="E205">INDEX(INVESTORS_LIST[INVESTOR NAME],MATCH(SIP[[#This Row],[Investor ID]],INVESTORS_LIST[INVESTOR CODE],0),)</f>
        <v>MOHAMMAD HASAN</v>
      </c>
      <c r="F205" s="46" t="s">
        <v>1010</v>
      </c>
      <c r="G205" s="46">
        <f>COUNTIF(SIP[[#Headers],[Investor ID]]:SIP[[#This Row],[Investor ID]],SIP[[#This Row],[Investor ID]])</f>
        <v>5</v>
      </c>
      <c r="H205" s="46" t="str">
        <f>CONCATENATE(SIP[[#This Row],[Frequency]],SIP[[#This Row],[Investor ID]])</f>
        <v>5A00482</v>
      </c>
      <c r="I205" s="46" t="str">
        <f>IF(SIP[[#This Row],[B/S]]="B","BUY",(IF(SIP[[#This Row],[B/S]]="S","SELL"," ")))</f>
        <v>BUY</v>
      </c>
      <c r="J205" s="46" t="s">
        <v>1229</v>
      </c>
      <c r="K205" s="69">
        <v>5000</v>
      </c>
      <c r="L205" s="69"/>
      <c r="M205" s="70">
        <f>SIP[[#This Row],[Amount]]/SIP[[#This Row],[Unit]]</f>
        <v>10.548523206751055</v>
      </c>
      <c r="N205" s="71">
        <f>SIP[[#This Row],[Unit Capital]]/10</f>
        <v>474</v>
      </c>
      <c r="O205" s="72">
        <f>SUMIFS(SIP[[#Headers],[Unit]]:SIP[[#This Row],[Unit]],SIP[[#Headers],[Investor ID]]:SIP[[#This Row],[Investor ID]],SIP[[#This Row],[Investor ID]])</f>
        <v>2401</v>
      </c>
      <c r="P205" s="73">
        <v>4740</v>
      </c>
      <c r="Q205" s="74">
        <f>SIP[[#This Row],[Amount]]-SIP[[#This Row],[Unit Capital]]</f>
        <v>260</v>
      </c>
      <c r="R20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05" s="68">
        <f t="shared" si="7"/>
        <v>14.224</v>
      </c>
      <c r="T2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5" s="74" cm="1">
        <f t="array" ref="U205">IF(SIP[[#This Row],[B/S]]="S",ABS(SIP[[#This Row],[Unit]])*(INDEX(SIP[NAV at Cost (Average)],MATCH(CONCATENATE((SIP[[#This Row],[Frequency]]-1),SIP[[#This Row],[Investor ID]]),SIP[Unique Code],0),0)),0)</f>
        <v>0</v>
      </c>
      <c r="V205" s="74">
        <f>IF(SIP[[#This Row],[BO TRANSFER]]="YES",SIP[[#This Row],[Unit]],)</f>
        <v>0</v>
      </c>
      <c r="W205" s="74">
        <f>SUMIFS(SIP[[#Headers],[BO UNIT TRANSFER]]:SIP[[#This Row],[BO UNIT TRANSFER]],SIP[[#Headers],[Investor ID]]:SIP[[#This Row],[Investor ID]],SIP[[#This Row],[Investor ID]])</f>
        <v>0</v>
      </c>
    </row>
    <row r="206" spans="1:23" ht="15" customHeight="1">
      <c r="A206" s="46">
        <v>2023</v>
      </c>
      <c r="B206" s="46">
        <v>10</v>
      </c>
      <c r="C206" s="46">
        <v>26</v>
      </c>
      <c r="D206" s="65">
        <f>DATE(SIP[[#This Row],[Year]],SIP[[#This Row],[Month]],SIP[[#This Row],[Day]])</f>
        <v>45225</v>
      </c>
      <c r="E206" s="66" t="str" cm="1">
        <f t="array" ref="E206">INDEX(INVESTORS_LIST[INVESTOR NAME],MATCH(SIP[[#This Row],[Investor ID]],INVESTORS_LIST[INVESTOR CODE],0),)</f>
        <v>SAJJAD CHOWDHURY</v>
      </c>
      <c r="F206" s="46" t="s">
        <v>461</v>
      </c>
      <c r="G206" s="46">
        <f>COUNTIF(SIP[[#Headers],[Investor ID]]:SIP[[#This Row],[Investor ID]],SIP[[#This Row],[Investor ID]])</f>
        <v>6</v>
      </c>
      <c r="H206" s="46" t="str">
        <f>CONCATENATE(SIP[[#This Row],[Frequency]],SIP[[#This Row],[Investor ID]])</f>
        <v>6A00206</v>
      </c>
      <c r="I206" s="46" t="str">
        <f>IF(SIP[[#This Row],[B/S]]="B","BUY",(IF(SIP[[#This Row],[B/S]]="S","SELL"," ")))</f>
        <v>BUY</v>
      </c>
      <c r="J206" s="46" t="s">
        <v>1229</v>
      </c>
      <c r="K206" s="69">
        <v>7500</v>
      </c>
      <c r="L206" s="69"/>
      <c r="M206" s="70">
        <f>SIP[[#This Row],[Amount]]/SIP[[#This Row],[Unit]]</f>
        <v>10.533707865168539</v>
      </c>
      <c r="N206" s="71">
        <f>SIP[[#This Row],[Unit Capital]]/10</f>
        <v>712</v>
      </c>
      <c r="O206" s="72">
        <f>SUMIFS(SIP[[#Headers],[Unit]]:SIP[[#This Row],[Unit]],SIP[[#Headers],[Investor ID]]:SIP[[#This Row],[Investor ID]],SIP[[#This Row],[Investor ID]])</f>
        <v>4337</v>
      </c>
      <c r="P206" s="73">
        <v>7120</v>
      </c>
      <c r="Q206" s="74">
        <f>SIP[[#This Row],[Amount]]-SIP[[#This Row],[Unit Capital]]</f>
        <v>380</v>
      </c>
      <c r="R20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10.375835831219735</v>
      </c>
      <c r="S206" s="68">
        <f t="shared" si="7"/>
        <v>14.224</v>
      </c>
      <c r="T2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6" s="74" cm="1">
        <f t="array" ref="U206">IF(SIP[[#This Row],[B/S]]="S",ABS(SIP[[#This Row],[Unit]])*(INDEX(SIP[NAV at Cost (Average)],MATCH(CONCATENATE((SIP[[#This Row],[Frequency]]-1),SIP[[#This Row],[Investor ID]]),SIP[Unique Code],0),0)),0)</f>
        <v>0</v>
      </c>
      <c r="V206" s="74">
        <f>IF(SIP[[#This Row],[BO TRANSFER]]="YES",SIP[[#This Row],[Unit]],)</f>
        <v>0</v>
      </c>
      <c r="W206" s="74">
        <f>SUMIFS(SIP[[#Headers],[BO UNIT TRANSFER]]:SIP[[#This Row],[BO UNIT TRANSFER]],SIP[[#Headers],[Investor ID]]:SIP[[#This Row],[Investor ID]],SIP[[#This Row],[Investor ID]])</f>
        <v>0</v>
      </c>
    </row>
    <row r="207" spans="1:23" ht="15" customHeight="1">
      <c r="A207" s="46">
        <v>2023</v>
      </c>
      <c r="B207" s="46">
        <v>10</v>
      </c>
      <c r="C207" s="46">
        <v>26</v>
      </c>
      <c r="D207" s="65">
        <f>DATE(SIP[[#This Row],[Year]],SIP[[#This Row],[Month]],SIP[[#This Row],[Day]])</f>
        <v>45225</v>
      </c>
      <c r="E207" s="66" t="str" cm="1">
        <f t="array" ref="E207">INDEX(INVESTORS_LIST[INVESTOR NAME],MATCH(SIP[[#This Row],[Investor ID]],INVESTORS_LIST[INVESTOR CODE],0),)</f>
        <v>EKUSH WEALTH MANAGEMENT LIMITED EMPLOYEES CONTRIBUTORY PROVIDENT FUND</v>
      </c>
      <c r="F207" s="46" t="s">
        <v>831</v>
      </c>
      <c r="G207" s="46">
        <f>COUNTIF(SIP[[#Headers],[Investor ID]]:SIP[[#This Row],[Investor ID]],SIP[[#This Row],[Investor ID]])</f>
        <v>6</v>
      </c>
      <c r="H207" s="46" t="str">
        <f>CONCATENATE(SIP[[#This Row],[Frequency]],SIP[[#This Row],[Investor ID]])</f>
        <v>6A00392</v>
      </c>
      <c r="I207" s="46" t="str">
        <f>IF(SIP[[#This Row],[B/S]]="B","BUY",(IF(SIP[[#This Row],[B/S]]="S","SELL"," ")))</f>
        <v>BUY</v>
      </c>
      <c r="J207" s="46" t="s">
        <v>1229</v>
      </c>
      <c r="K207" s="69">
        <v>22040</v>
      </c>
      <c r="L207" s="69"/>
      <c r="M207" s="70">
        <f>SIP[[#This Row],[Amount]]/SIP[[#This Row],[Unit]]</f>
        <v>10.540411286465806</v>
      </c>
      <c r="N207" s="71">
        <f>SIP[[#This Row],[Unit Capital]]/10</f>
        <v>2091</v>
      </c>
      <c r="O207" s="72">
        <f>SUMIFS(SIP[[#Headers],[Unit]]:SIP[[#This Row],[Unit]],SIP[[#Headers],[Investor ID]]:SIP[[#This Row],[Investor ID]],SIP[[#This Row],[Investor ID]])</f>
        <v>12748</v>
      </c>
      <c r="P207" s="73">
        <v>20910</v>
      </c>
      <c r="Q207" s="74">
        <f>SIP[[#This Row],[Amount]]-SIP[[#This Row],[Unit Capital]]</f>
        <v>1130</v>
      </c>
      <c r="R20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10.37339190461249</v>
      </c>
      <c r="S207" s="68">
        <f t="shared" si="7"/>
        <v>14.224</v>
      </c>
      <c r="T2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7" s="74" cm="1">
        <f t="array" ref="U207">IF(SIP[[#This Row],[B/S]]="S",ABS(SIP[[#This Row],[Unit]])*(INDEX(SIP[NAV at Cost (Average)],MATCH(CONCATENATE((SIP[[#This Row],[Frequency]]-1),SIP[[#This Row],[Investor ID]]),SIP[Unique Code],0),0)),0)</f>
        <v>0</v>
      </c>
      <c r="V207" s="74">
        <f>IF(SIP[[#This Row],[BO TRANSFER]]="YES",SIP[[#This Row],[Unit]],)</f>
        <v>0</v>
      </c>
      <c r="W207" s="74">
        <f>SUMIFS(SIP[[#Headers],[BO UNIT TRANSFER]]:SIP[[#This Row],[BO UNIT TRANSFER]],SIP[[#Headers],[Investor ID]]:SIP[[#This Row],[Investor ID]],SIP[[#This Row],[Investor ID]])</f>
        <v>0</v>
      </c>
    </row>
    <row r="208" spans="1:23" ht="15" customHeight="1">
      <c r="A208" s="46">
        <v>2023</v>
      </c>
      <c r="B208" s="46">
        <v>10</v>
      </c>
      <c r="C208" s="46">
        <v>26</v>
      </c>
      <c r="D208" s="65">
        <f>DATE(SIP[[#This Row],[Year]],SIP[[#This Row],[Month]],SIP[[#This Row],[Day]])</f>
        <v>45225</v>
      </c>
      <c r="E208" s="66" t="str" cm="1">
        <f t="array" ref="E208">INDEX(INVESTORS_LIST[INVESTOR NAME],MATCH(SIP[[#This Row],[Investor ID]],INVESTORS_LIST[INVESTOR CODE],0),)</f>
        <v>S.M. SAIFUL ISLAM</v>
      </c>
      <c r="F208" s="46" t="s">
        <v>1002</v>
      </c>
      <c r="G208" s="46">
        <f>COUNTIF(SIP[[#Headers],[Investor ID]]:SIP[[#This Row],[Investor ID]],SIP[[#This Row],[Investor ID]])</f>
        <v>6</v>
      </c>
      <c r="H208" s="46" t="str">
        <f>CONCATENATE(SIP[[#This Row],[Frequency]],SIP[[#This Row],[Investor ID]])</f>
        <v>6A00478</v>
      </c>
      <c r="I208" s="46" t="str">
        <f>IF(SIP[[#This Row],[B/S]]="B","BUY",(IF(SIP[[#This Row],[B/S]]="S","SELL"," ")))</f>
        <v>BUY</v>
      </c>
      <c r="J208" s="46" t="s">
        <v>1229</v>
      </c>
      <c r="K208" s="69">
        <v>10000</v>
      </c>
      <c r="L208" s="69"/>
      <c r="M208" s="70">
        <f>SIP[[#This Row],[Amount]]/SIP[[#This Row],[Unit]]</f>
        <v>10.537407797681769</v>
      </c>
      <c r="N208" s="71">
        <f>SIP[[#This Row],[Unit Capital]]/10</f>
        <v>949</v>
      </c>
      <c r="O208" s="72">
        <f>SUMIFS(SIP[[#Headers],[Unit]]:SIP[[#This Row],[Unit]],SIP[[#Headers],[Investor ID]]:SIP[[#This Row],[Investor ID]],SIP[[#This Row],[Investor ID]])</f>
        <v>5785</v>
      </c>
      <c r="P208" s="73">
        <v>9490</v>
      </c>
      <c r="Q208" s="74">
        <f>SIP[[#This Row],[Amount]]-SIP[[#This Row],[Unit Capital]]</f>
        <v>510</v>
      </c>
      <c r="R20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10.371650821089023</v>
      </c>
      <c r="S208" s="68">
        <f t="shared" si="7"/>
        <v>14.224</v>
      </c>
      <c r="T2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8" s="74" cm="1">
        <f t="array" ref="U208">IF(SIP[[#This Row],[B/S]]="S",ABS(SIP[[#This Row],[Unit]])*(INDEX(SIP[NAV at Cost (Average)],MATCH(CONCATENATE((SIP[[#This Row],[Frequency]]-1),SIP[[#This Row],[Investor ID]]),SIP[Unique Code],0),0)),0)</f>
        <v>0</v>
      </c>
      <c r="V208" s="74">
        <f>IF(SIP[[#This Row],[BO TRANSFER]]="YES",SIP[[#This Row],[Unit]],)</f>
        <v>0</v>
      </c>
      <c r="W208" s="74">
        <f>SUMIFS(SIP[[#Headers],[BO UNIT TRANSFER]]:SIP[[#This Row],[BO UNIT TRANSFER]],SIP[[#Headers],[Investor ID]]:SIP[[#This Row],[Investor ID]],SIP[[#This Row],[Investor ID]])</f>
        <v>0</v>
      </c>
    </row>
    <row r="209" spans="1:23" ht="15" customHeight="1">
      <c r="A209" s="46">
        <v>2023</v>
      </c>
      <c r="B209" s="46">
        <v>10</v>
      </c>
      <c r="C209" s="46">
        <v>26</v>
      </c>
      <c r="D209" s="65">
        <f>DATE(SIP[[#This Row],[Year]],SIP[[#This Row],[Month]],SIP[[#This Row],[Day]])</f>
        <v>45225</v>
      </c>
      <c r="E209" s="66" t="str" cm="1">
        <f t="array" ref="E209">INDEX(INVESTORS_LIST[INVESTOR NAME],MATCH(SIP[[#This Row],[Investor ID]],INVESTORS_LIST[INVESTOR CODE],0),)</f>
        <v>MOHAMMED SHARIFUL ISLAM</v>
      </c>
      <c r="F209" s="46" t="s">
        <v>1028</v>
      </c>
      <c r="G209" s="46">
        <f>COUNTIF(SIP[[#Headers],[Investor ID]]:SIP[[#This Row],[Investor ID]],SIP[[#This Row],[Investor ID]])</f>
        <v>5</v>
      </c>
      <c r="H209" s="46" t="str">
        <f>CONCATENATE(SIP[[#This Row],[Frequency]],SIP[[#This Row],[Investor ID]])</f>
        <v>5A00491</v>
      </c>
      <c r="I209" s="46" t="str">
        <f>IF(SIP[[#This Row],[B/S]]="B","BUY",(IF(SIP[[#This Row],[B/S]]="S","SELL"," ")))</f>
        <v>BUY</v>
      </c>
      <c r="J209" s="46" t="s">
        <v>1229</v>
      </c>
      <c r="K209" s="69">
        <v>5000</v>
      </c>
      <c r="L209" s="69"/>
      <c r="M209" s="70">
        <f>SIP[[#This Row],[Amount]]/SIP[[#This Row],[Unit]]</f>
        <v>10.548523206751055</v>
      </c>
      <c r="N209" s="71">
        <f>SIP[[#This Row],[Unit Capital]]/10</f>
        <v>474</v>
      </c>
      <c r="O209" s="72">
        <f>SUMIFS(SIP[[#Headers],[Unit]]:SIP[[#This Row],[Unit]],SIP[[#Headers],[Investor ID]]:SIP[[#This Row],[Investor ID]],SIP[[#This Row],[Investor ID]])</f>
        <v>2401</v>
      </c>
      <c r="P209" s="73">
        <v>4740</v>
      </c>
      <c r="Q209" s="74">
        <f>SIP[[#This Row],[Amount]]-SIP[[#This Row],[Unit Capital]]</f>
        <v>260</v>
      </c>
      <c r="R20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09" s="68">
        <f t="shared" si="7"/>
        <v>14.224</v>
      </c>
      <c r="T2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9" s="74" cm="1">
        <f t="array" ref="U209">IF(SIP[[#This Row],[B/S]]="S",ABS(SIP[[#This Row],[Unit]])*(INDEX(SIP[NAV at Cost (Average)],MATCH(CONCATENATE((SIP[[#This Row],[Frequency]]-1),SIP[[#This Row],[Investor ID]]),SIP[Unique Code],0),0)),0)</f>
        <v>0</v>
      </c>
      <c r="V209" s="74">
        <f>IF(SIP[[#This Row],[BO TRANSFER]]="YES",SIP[[#This Row],[Unit]],)</f>
        <v>0</v>
      </c>
      <c r="W209" s="74">
        <f>SUMIFS(SIP[[#Headers],[BO UNIT TRANSFER]]:SIP[[#This Row],[BO UNIT TRANSFER]],SIP[[#Headers],[Investor ID]]:SIP[[#This Row],[Investor ID]],SIP[[#This Row],[Investor ID]])</f>
        <v>0</v>
      </c>
    </row>
    <row r="210" spans="1:23" ht="15" customHeight="1">
      <c r="A210" s="46">
        <v>2023</v>
      </c>
      <c r="B210" s="46">
        <v>10</v>
      </c>
      <c r="C210" s="46">
        <v>26</v>
      </c>
      <c r="D210" s="65">
        <f>DATE(SIP[[#This Row],[Year]],SIP[[#This Row],[Month]],SIP[[#This Row],[Day]])</f>
        <v>45225</v>
      </c>
      <c r="E210" s="66" t="str" cm="1">
        <f t="array" ref="E210">INDEX(INVESTORS_LIST[INVESTOR NAME],MATCH(SIP[[#This Row],[Investor ID]],INVESTORS_LIST[INVESTOR CODE],0),)</f>
        <v>ABU MUSA MIRZA KAMRUZZAMAN SHAHEE</v>
      </c>
      <c r="F210" s="46" t="s">
        <v>1012</v>
      </c>
      <c r="G210" s="46">
        <f>COUNTIF(SIP[[#Headers],[Investor ID]]:SIP[[#This Row],[Investor ID]],SIP[[#This Row],[Investor ID]])</f>
        <v>5</v>
      </c>
      <c r="H210" s="46" t="str">
        <f>CONCATENATE(SIP[[#This Row],[Frequency]],SIP[[#This Row],[Investor ID]])</f>
        <v>5A00483</v>
      </c>
      <c r="I210" s="46" t="str">
        <f>IF(SIP[[#This Row],[B/S]]="B","BUY",(IF(SIP[[#This Row],[B/S]]="S","SELL"," ")))</f>
        <v>BUY</v>
      </c>
      <c r="J210" s="46" t="s">
        <v>1229</v>
      </c>
      <c r="K210" s="69">
        <v>5000</v>
      </c>
      <c r="L210" s="69"/>
      <c r="M210" s="70">
        <f>SIP[[#This Row],[Amount]]/SIP[[#This Row],[Unit]]</f>
        <v>10.548523206751055</v>
      </c>
      <c r="N210" s="71">
        <f>SIP[[#This Row],[Unit Capital]]/10</f>
        <v>474</v>
      </c>
      <c r="O210" s="72">
        <f>SUMIFS(SIP[[#Headers],[Unit]]:SIP[[#This Row],[Unit]],SIP[[#Headers],[Investor ID]]:SIP[[#This Row],[Investor ID]],SIP[[#This Row],[Investor ID]])</f>
        <v>2401</v>
      </c>
      <c r="P210" s="73">
        <v>4740</v>
      </c>
      <c r="Q210" s="74">
        <f>SIP[[#This Row],[Amount]]-SIP[[#This Row],[Unit Capital]]</f>
        <v>260</v>
      </c>
      <c r="R2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10" s="68">
        <f t="shared" si="7"/>
        <v>14.224</v>
      </c>
      <c r="T2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0" s="74" cm="1">
        <f t="array" ref="U210">IF(SIP[[#This Row],[B/S]]="S",ABS(SIP[[#This Row],[Unit]])*(INDEX(SIP[NAV at Cost (Average)],MATCH(CONCATENATE((SIP[[#This Row],[Frequency]]-1),SIP[[#This Row],[Investor ID]]),SIP[Unique Code],0),0)),0)</f>
        <v>0</v>
      </c>
      <c r="V210" s="74">
        <f>IF(SIP[[#This Row],[BO TRANSFER]]="YES",SIP[[#This Row],[Unit]],)</f>
        <v>0</v>
      </c>
      <c r="W210" s="74">
        <f>SUMIFS(SIP[[#Headers],[BO UNIT TRANSFER]]:SIP[[#This Row],[BO UNIT TRANSFER]],SIP[[#Headers],[Investor ID]]:SIP[[#This Row],[Investor ID]],SIP[[#This Row],[Investor ID]])</f>
        <v>0</v>
      </c>
    </row>
    <row r="211" spans="1:23" ht="15" customHeight="1">
      <c r="A211" s="46">
        <v>2023</v>
      </c>
      <c r="B211" s="46">
        <v>10</v>
      </c>
      <c r="C211" s="46">
        <v>26</v>
      </c>
      <c r="D211" s="65">
        <f>DATE(SIP[[#This Row],[Year]],SIP[[#This Row],[Month]],SIP[[#This Row],[Day]])</f>
        <v>45225</v>
      </c>
      <c r="E211" s="66" t="str" cm="1">
        <f t="array" ref="E211">INDEX(INVESTORS_LIST[INVESTOR NAME],MATCH(SIP[[#This Row],[Investor ID]],INVESTORS_LIST[INVESTOR CODE],0),)</f>
        <v>ASHIK IQBAL CHOWDHURY</v>
      </c>
      <c r="F211" s="46" t="s">
        <v>1016</v>
      </c>
      <c r="G211" s="46">
        <f>COUNTIF(SIP[[#Headers],[Investor ID]]:SIP[[#This Row],[Investor ID]],SIP[[#This Row],[Investor ID]])</f>
        <v>5</v>
      </c>
      <c r="H211" s="46" t="str">
        <f>CONCATENATE(SIP[[#This Row],[Frequency]],SIP[[#This Row],[Investor ID]])</f>
        <v>5A00485</v>
      </c>
      <c r="I211" s="46" t="str">
        <f>IF(SIP[[#This Row],[B/S]]="B","BUY",(IF(SIP[[#This Row],[B/S]]="S","SELL"," ")))</f>
        <v>BUY</v>
      </c>
      <c r="J211" s="46" t="s">
        <v>1229</v>
      </c>
      <c r="K211" s="69">
        <v>5000</v>
      </c>
      <c r="L211" s="69"/>
      <c r="M211" s="70">
        <f>SIP[[#This Row],[Amount]]/SIP[[#This Row],[Unit]]</f>
        <v>10.548523206751055</v>
      </c>
      <c r="N211" s="71">
        <f>SIP[[#This Row],[Unit Capital]]/10</f>
        <v>474</v>
      </c>
      <c r="O211" s="72">
        <f>SUMIFS(SIP[[#Headers],[Unit]]:SIP[[#This Row],[Unit]],SIP[[#Headers],[Investor ID]]:SIP[[#This Row],[Investor ID]],SIP[[#This Row],[Investor ID]])</f>
        <v>2401</v>
      </c>
      <c r="P211" s="73">
        <v>4740</v>
      </c>
      <c r="Q211" s="74">
        <f>SIP[[#This Row],[Amount]]-SIP[[#This Row],[Unit Capital]]</f>
        <v>260</v>
      </c>
      <c r="R21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11" s="68">
        <f t="shared" si="7"/>
        <v>14.224</v>
      </c>
      <c r="T2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1" s="74" cm="1">
        <f t="array" ref="U211">IF(SIP[[#This Row],[B/S]]="S",ABS(SIP[[#This Row],[Unit]])*(INDEX(SIP[NAV at Cost (Average)],MATCH(CONCATENATE((SIP[[#This Row],[Frequency]]-1),SIP[[#This Row],[Investor ID]]),SIP[Unique Code],0),0)),0)</f>
        <v>0</v>
      </c>
      <c r="V211" s="74">
        <f>IF(SIP[[#This Row],[BO TRANSFER]]="YES",SIP[[#This Row],[Unit]],)</f>
        <v>0</v>
      </c>
      <c r="W211" s="74">
        <f>SUMIFS(SIP[[#Headers],[BO UNIT TRANSFER]]:SIP[[#This Row],[BO UNIT TRANSFER]],SIP[[#Headers],[Investor ID]]:SIP[[#This Row],[Investor ID]],SIP[[#This Row],[Investor ID]])</f>
        <v>0</v>
      </c>
    </row>
    <row r="212" spans="1:23" ht="15" customHeight="1">
      <c r="A212" s="46">
        <v>2023</v>
      </c>
      <c r="B212" s="46">
        <v>10</v>
      </c>
      <c r="C212" s="46">
        <v>26</v>
      </c>
      <c r="D212" s="65">
        <f>DATE(SIP[[#This Row],[Year]],SIP[[#This Row],[Month]],SIP[[#This Row],[Day]])</f>
        <v>45225</v>
      </c>
      <c r="E212" s="66" t="str" cm="1">
        <f t="array" ref="E212">INDEX(INVESTORS_LIST[INVESTOR NAME],MATCH(SIP[[#This Row],[Investor ID]],INVESTORS_LIST[INVESTOR CODE],0),)</f>
        <v>SUMAN SAHA</v>
      </c>
      <c r="F212" s="46" t="s">
        <v>1022</v>
      </c>
      <c r="G212" s="46">
        <f>COUNTIF(SIP[[#Headers],[Investor ID]]:SIP[[#This Row],[Investor ID]],SIP[[#This Row],[Investor ID]])</f>
        <v>5</v>
      </c>
      <c r="H212" s="46" t="str">
        <f>CONCATENATE(SIP[[#This Row],[Frequency]],SIP[[#This Row],[Investor ID]])</f>
        <v>5A00488</v>
      </c>
      <c r="I212" s="46" t="str">
        <f>IF(SIP[[#This Row],[B/S]]="B","BUY",(IF(SIP[[#This Row],[B/S]]="S","SELL"," ")))</f>
        <v>BUY</v>
      </c>
      <c r="J212" s="46" t="s">
        <v>1229</v>
      </c>
      <c r="K212" s="69">
        <v>5000</v>
      </c>
      <c r="L212" s="69"/>
      <c r="M212" s="70">
        <f>SIP[[#This Row],[Amount]]/SIP[[#This Row],[Unit]]</f>
        <v>10.548523206751055</v>
      </c>
      <c r="N212" s="71">
        <f>SIP[[#This Row],[Unit Capital]]/10</f>
        <v>474</v>
      </c>
      <c r="O212" s="72">
        <f>SUMIFS(SIP[[#Headers],[Unit]]:SIP[[#This Row],[Unit]],SIP[[#Headers],[Investor ID]]:SIP[[#This Row],[Investor ID]],SIP[[#This Row],[Investor ID]])</f>
        <v>2401</v>
      </c>
      <c r="P212" s="73">
        <v>4740</v>
      </c>
      <c r="Q212" s="74">
        <f>SIP[[#This Row],[Amount]]-SIP[[#This Row],[Unit Capital]]</f>
        <v>260</v>
      </c>
      <c r="R2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12" s="68">
        <f t="shared" si="7"/>
        <v>14.224</v>
      </c>
      <c r="T2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2" s="74" cm="1">
        <f t="array" ref="U212">IF(SIP[[#This Row],[B/S]]="S",ABS(SIP[[#This Row],[Unit]])*(INDEX(SIP[NAV at Cost (Average)],MATCH(CONCATENATE((SIP[[#This Row],[Frequency]]-1),SIP[[#This Row],[Investor ID]]),SIP[Unique Code],0),0)),0)</f>
        <v>0</v>
      </c>
      <c r="V212" s="74">
        <f>IF(SIP[[#This Row],[BO TRANSFER]]="YES",SIP[[#This Row],[Unit]],)</f>
        <v>0</v>
      </c>
      <c r="W212" s="74">
        <f>SUMIFS(SIP[[#Headers],[BO UNIT TRANSFER]]:SIP[[#This Row],[BO UNIT TRANSFER]],SIP[[#Headers],[Investor ID]]:SIP[[#This Row],[Investor ID]],SIP[[#This Row],[Investor ID]])</f>
        <v>0</v>
      </c>
    </row>
    <row r="213" spans="1:23" ht="15" customHeight="1">
      <c r="A213" s="46">
        <v>2023</v>
      </c>
      <c r="B213" s="46">
        <v>10</v>
      </c>
      <c r="C213" s="46">
        <v>26</v>
      </c>
      <c r="D213" s="65">
        <f>DATE(SIP[[#This Row],[Year]],SIP[[#This Row],[Month]],SIP[[#This Row],[Day]])</f>
        <v>45225</v>
      </c>
      <c r="E213" s="66" t="str" cm="1">
        <f t="array" ref="E213">INDEX(INVESTORS_LIST[INVESTOR NAME],MATCH(SIP[[#This Row],[Investor ID]],INVESTORS_LIST[INVESTOR CODE],0),)</f>
        <v>AKASH DEEP PAUL</v>
      </c>
      <c r="F213" s="46" t="s">
        <v>286</v>
      </c>
      <c r="G213" s="46">
        <f>COUNTIF(SIP[[#Headers],[Investor ID]]:SIP[[#This Row],[Investor ID]],SIP[[#This Row],[Investor ID]])</f>
        <v>5</v>
      </c>
      <c r="H213" s="46" t="str">
        <f>CONCATENATE(SIP[[#This Row],[Frequency]],SIP[[#This Row],[Investor ID]])</f>
        <v>5A00119</v>
      </c>
      <c r="I213" s="46" t="str">
        <f>IF(SIP[[#This Row],[B/S]]="B","BUY",(IF(SIP[[#This Row],[B/S]]="S","SELL"," ")))</f>
        <v>BUY</v>
      </c>
      <c r="J213" s="46" t="s">
        <v>1229</v>
      </c>
      <c r="K213" s="69">
        <v>5000</v>
      </c>
      <c r="L213" s="69"/>
      <c r="M213" s="70">
        <f>SIP[[#This Row],[Amount]]/SIP[[#This Row],[Unit]]</f>
        <v>10.548523206751055</v>
      </c>
      <c r="N213" s="71">
        <f>SIP[[#This Row],[Unit Capital]]/10</f>
        <v>474</v>
      </c>
      <c r="O213" s="72">
        <f>SUMIFS(SIP[[#Headers],[Unit]]:SIP[[#This Row],[Unit]],SIP[[#Headers],[Investor ID]]:SIP[[#This Row],[Investor ID]],SIP[[#This Row],[Investor ID]])</f>
        <v>2401</v>
      </c>
      <c r="P213" s="73">
        <v>4740</v>
      </c>
      <c r="Q213" s="74">
        <f>SIP[[#This Row],[Amount]]-SIP[[#This Row],[Unit Capital]]</f>
        <v>260</v>
      </c>
      <c r="R2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10.412328196584756</v>
      </c>
      <c r="S213" s="68">
        <f t="shared" si="7"/>
        <v>14.224</v>
      </c>
      <c r="T2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3" s="74" cm="1">
        <f t="array" ref="U213">IF(SIP[[#This Row],[B/S]]="S",ABS(SIP[[#This Row],[Unit]])*(INDEX(SIP[NAV at Cost (Average)],MATCH(CONCATENATE((SIP[[#This Row],[Frequency]]-1),SIP[[#This Row],[Investor ID]]),SIP[Unique Code],0),0)),0)</f>
        <v>0</v>
      </c>
      <c r="V213" s="74">
        <f>IF(SIP[[#This Row],[BO TRANSFER]]="YES",SIP[[#This Row],[Unit]],)</f>
        <v>0</v>
      </c>
      <c r="W213" s="74">
        <f>SUMIFS(SIP[[#Headers],[BO UNIT TRANSFER]]:SIP[[#This Row],[BO UNIT TRANSFER]],SIP[[#Headers],[Investor ID]]:SIP[[#This Row],[Investor ID]],SIP[[#This Row],[Investor ID]])</f>
        <v>0</v>
      </c>
    </row>
    <row r="214" spans="1:23" ht="15" customHeight="1">
      <c r="A214" s="46">
        <v>2023</v>
      </c>
      <c r="B214" s="46">
        <v>10</v>
      </c>
      <c r="C214" s="46">
        <v>26</v>
      </c>
      <c r="D214" s="65">
        <f>DATE(SIP[[#This Row],[Year]],SIP[[#This Row],[Month]],SIP[[#This Row],[Day]])</f>
        <v>45225</v>
      </c>
      <c r="E214" s="66" t="str" cm="1">
        <f t="array" ref="E214">INDEX(INVESTORS_LIST[INVESTOR NAME],MATCH(SIP[[#This Row],[Investor ID]],INVESTORS_LIST[INVESTOR CODE],0),)</f>
        <v>NITYANANDA BISWAS</v>
      </c>
      <c r="F214" s="46" t="s">
        <v>554</v>
      </c>
      <c r="G214" s="46">
        <f>COUNTIF(SIP[[#Headers],[Investor ID]]:SIP[[#This Row],[Investor ID]],SIP[[#This Row],[Investor ID]])</f>
        <v>1</v>
      </c>
      <c r="H214" s="46" t="str">
        <f>CONCATENATE(SIP[[#This Row],[Frequency]],SIP[[#This Row],[Investor ID]])</f>
        <v>1A00252</v>
      </c>
      <c r="I214" s="46" t="str">
        <f>IF(SIP[[#This Row],[B/S]]="B","BUY",(IF(SIP[[#This Row],[B/S]]="S","SELL"," ")))</f>
        <v>BUY</v>
      </c>
      <c r="J214" s="46" t="s">
        <v>1229</v>
      </c>
      <c r="K214" s="69">
        <v>5000</v>
      </c>
      <c r="L214" s="69"/>
      <c r="M214" s="70">
        <f>SIP[[#This Row],[Amount]]/SIP[[#This Row],[Unit]]</f>
        <v>10.548523206751055</v>
      </c>
      <c r="N214" s="71">
        <f>SIP[[#This Row],[Unit Capital]]/10</f>
        <v>474</v>
      </c>
      <c r="O214" s="72">
        <f>SUMIFS(SIP[[#Headers],[Unit]]:SIP[[#This Row],[Unit]],SIP[[#Headers],[Investor ID]]:SIP[[#This Row],[Investor ID]],SIP[[#This Row],[Investor ID]])</f>
        <v>474</v>
      </c>
      <c r="P214" s="73">
        <v>4740</v>
      </c>
      <c r="Q214" s="74">
        <f>SIP[[#This Row],[Amount]]-SIP[[#This Row],[Unit Capital]]</f>
        <v>260</v>
      </c>
      <c r="R2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10.548523206751055</v>
      </c>
      <c r="S214" s="68">
        <f t="shared" si="7"/>
        <v>14.224</v>
      </c>
      <c r="T2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4" s="74" cm="1">
        <f t="array" ref="U214">IF(SIP[[#This Row],[B/S]]="S",ABS(SIP[[#This Row],[Unit]])*(INDEX(SIP[NAV at Cost (Average)],MATCH(CONCATENATE((SIP[[#This Row],[Frequency]]-1),SIP[[#This Row],[Investor ID]]),SIP[Unique Code],0),0)),0)</f>
        <v>0</v>
      </c>
      <c r="V214" s="74">
        <f>IF(SIP[[#This Row],[BO TRANSFER]]="YES",SIP[[#This Row],[Unit]],)</f>
        <v>0</v>
      </c>
      <c r="W214" s="74">
        <f>SUMIFS(SIP[[#Headers],[BO UNIT TRANSFER]]:SIP[[#This Row],[BO UNIT TRANSFER]],SIP[[#Headers],[Investor ID]]:SIP[[#This Row],[Investor ID]],SIP[[#This Row],[Investor ID]])</f>
        <v>0</v>
      </c>
    </row>
    <row r="215" spans="1:23" ht="15" customHeight="1">
      <c r="A215" s="46">
        <v>2023</v>
      </c>
      <c r="B215" s="46">
        <v>10</v>
      </c>
      <c r="C215" s="46">
        <v>26</v>
      </c>
      <c r="D215" s="65">
        <f>DATE(SIP[[#This Row],[Year]],SIP[[#This Row],[Month]],SIP[[#This Row],[Day]])</f>
        <v>45225</v>
      </c>
      <c r="E215" s="66" t="str" cm="1">
        <f t="array" ref="E215">INDEX(INVESTORS_LIST[INVESTOR NAME],MATCH(SIP[[#This Row],[Investor ID]],INVESTORS_LIST[INVESTOR CODE],0),)</f>
        <v>NITYANANDA BISWAS</v>
      </c>
      <c r="F215" s="46" t="s">
        <v>554</v>
      </c>
      <c r="G215" s="46">
        <f>COUNTIF(SIP[[#Headers],[Investor ID]]:SIP[[#This Row],[Investor ID]],SIP[[#This Row],[Investor ID]])</f>
        <v>2</v>
      </c>
      <c r="H215" s="46" t="str">
        <f>CONCATENATE(SIP[[#This Row],[Frequency]],SIP[[#This Row],[Investor ID]])</f>
        <v>2A00252</v>
      </c>
      <c r="I215" s="46" t="str">
        <f>IF(SIP[[#This Row],[B/S]]="B","BUY",(IF(SIP[[#This Row],[B/S]]="S","SELL"," ")))</f>
        <v>BUY</v>
      </c>
      <c r="J215" s="46" t="s">
        <v>1229</v>
      </c>
      <c r="K215" s="69">
        <v>5000</v>
      </c>
      <c r="L215" s="69"/>
      <c r="M215" s="70">
        <f>SIP[[#This Row],[Amount]]/SIP[[#This Row],[Unit]]</f>
        <v>10.548523206751055</v>
      </c>
      <c r="N215" s="71">
        <f>SIP[[#This Row],[Unit Capital]]/10</f>
        <v>474</v>
      </c>
      <c r="O215" s="72">
        <f>SUMIFS(SIP[[#Headers],[Unit]]:SIP[[#This Row],[Unit]],SIP[[#Headers],[Investor ID]]:SIP[[#This Row],[Investor ID]],SIP[[#This Row],[Investor ID]])</f>
        <v>948</v>
      </c>
      <c r="P215" s="73">
        <v>4740</v>
      </c>
      <c r="Q215" s="74">
        <f>SIP[[#This Row],[Amount]]-SIP[[#This Row],[Unit Capital]]</f>
        <v>260</v>
      </c>
      <c r="R2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10.548523206751055</v>
      </c>
      <c r="S215" s="68">
        <f t="shared" si="7"/>
        <v>14.224</v>
      </c>
      <c r="T2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5" s="74" cm="1">
        <f t="array" ref="U215">IF(SIP[[#This Row],[B/S]]="S",ABS(SIP[[#This Row],[Unit]])*(INDEX(SIP[NAV at Cost (Average)],MATCH(CONCATENATE((SIP[[#This Row],[Frequency]]-1),SIP[[#This Row],[Investor ID]]),SIP[Unique Code],0),0)),0)</f>
        <v>0</v>
      </c>
      <c r="V215" s="74">
        <f>IF(SIP[[#This Row],[BO TRANSFER]]="YES",SIP[[#This Row],[Unit]],)</f>
        <v>0</v>
      </c>
      <c r="W215" s="74">
        <f>SUMIFS(SIP[[#Headers],[BO UNIT TRANSFER]]:SIP[[#This Row],[BO UNIT TRANSFER]],SIP[[#Headers],[Investor ID]]:SIP[[#This Row],[Investor ID]],SIP[[#This Row],[Investor ID]])</f>
        <v>0</v>
      </c>
    </row>
    <row r="216" spans="1:23" ht="15" customHeight="1">
      <c r="A216" s="46">
        <v>2023</v>
      </c>
      <c r="B216" s="46">
        <v>10</v>
      </c>
      <c r="C216" s="46">
        <v>26</v>
      </c>
      <c r="D216" s="65">
        <f>DATE(SIP[[#This Row],[Year]],SIP[[#This Row],[Month]],SIP[[#This Row],[Day]])</f>
        <v>45225</v>
      </c>
      <c r="E216" s="66" t="str" cm="1">
        <f t="array" ref="E216">INDEX(INVESTORS_LIST[INVESTOR NAME],MATCH(SIP[[#This Row],[Investor ID]],INVESTORS_LIST[INVESTOR CODE],0),)</f>
        <v>JUBAIDA FARHANA HAQUE</v>
      </c>
      <c r="F216" s="46" t="s">
        <v>1065</v>
      </c>
      <c r="G216" s="46">
        <f>COUNTIF(SIP[[#Headers],[Investor ID]]:SIP[[#This Row],[Investor ID]],SIP[[#This Row],[Investor ID]])</f>
        <v>2</v>
      </c>
      <c r="H216" s="46" t="str">
        <f>CONCATENATE(SIP[[#This Row],[Frequency]],SIP[[#This Row],[Investor ID]])</f>
        <v>2A00510</v>
      </c>
      <c r="I216" s="46" t="str">
        <f>IF(SIP[[#This Row],[B/S]]="B","BUY",(IF(SIP[[#This Row],[B/S]]="S","SELL"," ")))</f>
        <v>BUY</v>
      </c>
      <c r="J216" s="46" t="s">
        <v>1229</v>
      </c>
      <c r="K216" s="69">
        <v>5000</v>
      </c>
      <c r="L216" s="69"/>
      <c r="M216" s="70">
        <f>SIP[[#This Row],[Amount]]/SIP[[#This Row],[Unit]]</f>
        <v>10.548523206751055</v>
      </c>
      <c r="N216" s="71">
        <f>SIP[[#This Row],[Unit Capital]]/10</f>
        <v>474</v>
      </c>
      <c r="O216" s="72">
        <f>SUMIFS(SIP[[#Headers],[Unit]]:SIP[[#This Row],[Unit]],SIP[[#Headers],[Investor ID]]:SIP[[#This Row],[Investor ID]],SIP[[#This Row],[Investor ID]])</f>
        <v>951</v>
      </c>
      <c r="P216" s="73">
        <v>4740</v>
      </c>
      <c r="Q216" s="74">
        <f>SIP[[#This Row],[Amount]]-SIP[[#This Row],[Unit Capital]]</f>
        <v>260</v>
      </c>
      <c r="R2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10.515247108307046</v>
      </c>
      <c r="S216" s="68">
        <f t="shared" si="7"/>
        <v>14.224</v>
      </c>
      <c r="T2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6" s="74" cm="1">
        <f t="array" ref="U216">IF(SIP[[#This Row],[B/S]]="S",ABS(SIP[[#This Row],[Unit]])*(INDEX(SIP[NAV at Cost (Average)],MATCH(CONCATENATE((SIP[[#This Row],[Frequency]]-1),SIP[[#This Row],[Investor ID]]),SIP[Unique Code],0),0)),0)</f>
        <v>0</v>
      </c>
      <c r="V216" s="74">
        <f>IF(SIP[[#This Row],[BO TRANSFER]]="YES",SIP[[#This Row],[Unit]],)</f>
        <v>0</v>
      </c>
      <c r="W216" s="74">
        <f>SUMIFS(SIP[[#Headers],[BO UNIT TRANSFER]]:SIP[[#This Row],[BO UNIT TRANSFER]],SIP[[#Headers],[Investor ID]]:SIP[[#This Row],[Investor ID]],SIP[[#This Row],[Investor ID]])</f>
        <v>0</v>
      </c>
    </row>
    <row r="217" spans="1:23" ht="15" customHeight="1">
      <c r="A217" s="46">
        <v>2023</v>
      </c>
      <c r="B217" s="46">
        <v>10</v>
      </c>
      <c r="C217" s="46">
        <v>26</v>
      </c>
      <c r="D217" s="65">
        <f>DATE(SIP[[#This Row],[Year]],SIP[[#This Row],[Month]],SIP[[#This Row],[Day]])</f>
        <v>45225</v>
      </c>
      <c r="E217" s="66" t="str" cm="1">
        <f t="array" ref="E217">INDEX(INVESTORS_LIST[INVESTOR NAME],MATCH(SIP[[#This Row],[Investor ID]],INVESTORS_LIST[INVESTOR CODE],0),)</f>
        <v>TAPU GUHA</v>
      </c>
      <c r="F217" s="46" t="s">
        <v>483</v>
      </c>
      <c r="G217" s="46">
        <f>COUNTIF(SIP[[#Headers],[Investor ID]]:SIP[[#This Row],[Investor ID]],SIP[[#This Row],[Investor ID]])</f>
        <v>3</v>
      </c>
      <c r="H217" s="46" t="str">
        <f>CONCATENATE(SIP[[#This Row],[Frequency]],SIP[[#This Row],[Investor ID]])</f>
        <v>3A00217</v>
      </c>
      <c r="I217" s="46" t="str">
        <f>IF(SIP[[#This Row],[B/S]]="B","BUY",(IF(SIP[[#This Row],[B/S]]="S","SELL"," ")))</f>
        <v>BUY</v>
      </c>
      <c r="J217" s="46" t="s">
        <v>1229</v>
      </c>
      <c r="K217" s="69">
        <v>5000</v>
      </c>
      <c r="L217" s="69"/>
      <c r="M217" s="70">
        <f>SIP[[#This Row],[Amount]]/SIP[[#This Row],[Unit]]</f>
        <v>10.548523206751055</v>
      </c>
      <c r="N217" s="71">
        <f>SIP[[#This Row],[Unit Capital]]/10</f>
        <v>474</v>
      </c>
      <c r="O217" s="72">
        <f>SUMIFS(SIP[[#Headers],[Unit]]:SIP[[#This Row],[Unit]],SIP[[#Headers],[Investor ID]]:SIP[[#This Row],[Investor ID]],SIP[[#This Row],[Investor ID]])</f>
        <v>1428</v>
      </c>
      <c r="P217" s="73">
        <v>4740</v>
      </c>
      <c r="Q217" s="74">
        <f>SIP[[#This Row],[Amount]]-SIP[[#This Row],[Unit Capital]]</f>
        <v>260</v>
      </c>
      <c r="R2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10.504201680672269</v>
      </c>
      <c r="S217" s="68">
        <f t="shared" si="7"/>
        <v>14.224</v>
      </c>
      <c r="T2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7" s="74" cm="1">
        <f t="array" ref="U217">IF(SIP[[#This Row],[B/S]]="S",ABS(SIP[[#This Row],[Unit]])*(INDEX(SIP[NAV at Cost (Average)],MATCH(CONCATENATE((SIP[[#This Row],[Frequency]]-1),SIP[[#This Row],[Investor ID]]),SIP[Unique Code],0),0)),0)</f>
        <v>0</v>
      </c>
      <c r="V217" s="74">
        <f>IF(SIP[[#This Row],[BO TRANSFER]]="YES",SIP[[#This Row],[Unit]],)</f>
        <v>0</v>
      </c>
      <c r="W217" s="74">
        <f>SUMIFS(SIP[[#Headers],[BO UNIT TRANSFER]]:SIP[[#This Row],[BO UNIT TRANSFER]],SIP[[#Headers],[Investor ID]]:SIP[[#This Row],[Investor ID]],SIP[[#This Row],[Investor ID]])</f>
        <v>0</v>
      </c>
    </row>
    <row r="218" spans="1:23" ht="15" customHeight="1">
      <c r="A218" s="46">
        <v>2023</v>
      </c>
      <c r="B218" s="46">
        <v>10</v>
      </c>
      <c r="C218" s="46">
        <v>26</v>
      </c>
      <c r="D218" s="65">
        <f>DATE(SIP[[#This Row],[Year]],SIP[[#This Row],[Month]],SIP[[#This Row],[Day]])</f>
        <v>45225</v>
      </c>
      <c r="E218" s="66" t="str" cm="1">
        <f t="array" ref="E218">INDEX(INVESTORS_LIST[INVESTOR NAME],MATCH(SIP[[#This Row],[Investor ID]],INVESTORS_LIST[INVESTOR CODE],0),)</f>
        <v>MAYA RANI SAHA</v>
      </c>
      <c r="F218" s="46" t="s">
        <v>224</v>
      </c>
      <c r="G218" s="46">
        <f>COUNTIF(SIP[[#Headers],[Investor ID]]:SIP[[#This Row],[Investor ID]],SIP[[#This Row],[Investor ID]])</f>
        <v>4</v>
      </c>
      <c r="H218" s="46" t="str">
        <f>CONCATENATE(SIP[[#This Row],[Frequency]],SIP[[#This Row],[Investor ID]])</f>
        <v>4A00088</v>
      </c>
      <c r="I218" s="46" t="str">
        <f>IF(SIP[[#This Row],[B/S]]="B","BUY",(IF(SIP[[#This Row],[B/S]]="S","SELL"," ")))</f>
        <v>BUY</v>
      </c>
      <c r="J218" s="46" t="s">
        <v>1229</v>
      </c>
      <c r="K218" s="69">
        <v>14000</v>
      </c>
      <c r="L218" s="69"/>
      <c r="M218" s="70">
        <f>SIP[[#This Row],[Amount]]/SIP[[#This Row],[Unit]]</f>
        <v>10.542168674698795</v>
      </c>
      <c r="N218" s="71">
        <f>SIP[[#This Row],[Unit Capital]]/10</f>
        <v>1328</v>
      </c>
      <c r="O218" s="72">
        <f>SUMIFS(SIP[[#Headers],[Unit]]:SIP[[#This Row],[Unit]],SIP[[#Headers],[Investor ID]]:SIP[[#This Row],[Investor ID]],SIP[[#This Row],[Investor ID]])</f>
        <v>4965</v>
      </c>
      <c r="P218" s="73">
        <v>13280</v>
      </c>
      <c r="Q218" s="74">
        <f>SIP[[#This Row],[Amount]]-SIP[[#This Row],[Unit Capital]]</f>
        <v>720</v>
      </c>
      <c r="R2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10.473313192346426</v>
      </c>
      <c r="S218" s="68">
        <f t="shared" si="7"/>
        <v>14.224</v>
      </c>
      <c r="T2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8" s="74" cm="1">
        <f t="array" ref="U218">IF(SIP[[#This Row],[B/S]]="S",ABS(SIP[[#This Row],[Unit]])*(INDEX(SIP[NAV at Cost (Average)],MATCH(CONCATENATE((SIP[[#This Row],[Frequency]]-1),SIP[[#This Row],[Investor ID]]),SIP[Unique Code],0),0)),0)</f>
        <v>0</v>
      </c>
      <c r="V218" s="74">
        <f>IF(SIP[[#This Row],[BO TRANSFER]]="YES",SIP[[#This Row],[Unit]],)</f>
        <v>0</v>
      </c>
      <c r="W218" s="74">
        <f>SUMIFS(SIP[[#Headers],[BO UNIT TRANSFER]]:SIP[[#This Row],[BO UNIT TRANSFER]],SIP[[#Headers],[Investor ID]]:SIP[[#This Row],[Investor ID]],SIP[[#This Row],[Investor ID]])</f>
        <v>0</v>
      </c>
    </row>
    <row r="219" spans="1:23" ht="15" customHeight="1">
      <c r="A219" s="46">
        <v>2023</v>
      </c>
      <c r="B219" s="46">
        <v>10</v>
      </c>
      <c r="C219" s="46">
        <v>26</v>
      </c>
      <c r="D219" s="65">
        <f>DATE(SIP[[#This Row],[Year]],SIP[[#This Row],[Month]],SIP[[#This Row],[Day]])</f>
        <v>45225</v>
      </c>
      <c r="E219" s="66" t="str" cm="1">
        <f t="array" ref="E219">INDEX(INVESTORS_LIST[INVESTOR NAME],MATCH(SIP[[#This Row],[Investor ID]],INVESTORS_LIST[INVESTOR CODE],0),)</f>
        <v>KHALED HOSSAIN</v>
      </c>
      <c r="F219" s="46" t="s">
        <v>1050</v>
      </c>
      <c r="G219" s="46">
        <f>COUNTIF(SIP[[#Headers],[Investor ID]]:SIP[[#This Row],[Investor ID]],SIP[[#This Row],[Investor ID]])</f>
        <v>5</v>
      </c>
      <c r="H219" s="46" t="str">
        <f>CONCATENATE(SIP[[#This Row],[Frequency]],SIP[[#This Row],[Investor ID]])</f>
        <v>5A00502</v>
      </c>
      <c r="I219" s="46" t="str">
        <f>IF(SIP[[#This Row],[B/S]]="B","BUY",(IF(SIP[[#This Row],[B/S]]="S","SELL"," ")))</f>
        <v>BUY</v>
      </c>
      <c r="J219" s="46" t="s">
        <v>1229</v>
      </c>
      <c r="K219" s="69">
        <v>10000</v>
      </c>
      <c r="L219" s="69"/>
      <c r="M219" s="70">
        <f>SIP[[#This Row],[Amount]]/SIP[[#This Row],[Unit]]</f>
        <v>10.537407797681769</v>
      </c>
      <c r="N219" s="71">
        <f>SIP[[#This Row],[Unit Capital]]/10</f>
        <v>949</v>
      </c>
      <c r="O219" s="72">
        <f>SUMIFS(SIP[[#Headers],[Unit]]:SIP[[#This Row],[Unit]],SIP[[#Headers],[Investor ID]]:SIP[[#This Row],[Investor ID]],SIP[[#This Row],[Investor ID]])</f>
        <v>4803</v>
      </c>
      <c r="P219" s="73">
        <v>9490</v>
      </c>
      <c r="Q219" s="74">
        <f>SIP[[#This Row],[Amount]]-SIP[[#This Row],[Unit Capital]]</f>
        <v>510</v>
      </c>
      <c r="R2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10.410160316468875</v>
      </c>
      <c r="S219" s="68">
        <f t="shared" si="7"/>
        <v>14.224</v>
      </c>
      <c r="T2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19" s="74" cm="1">
        <f t="array" ref="U219">IF(SIP[[#This Row],[B/S]]="S",ABS(SIP[[#This Row],[Unit]])*(INDEX(SIP[NAV at Cost (Average)],MATCH(CONCATENATE((SIP[[#This Row],[Frequency]]-1),SIP[[#This Row],[Investor ID]]),SIP[Unique Code],0),0)),0)</f>
        <v>0</v>
      </c>
      <c r="V219" s="74">
        <f>IF(SIP[[#This Row],[BO TRANSFER]]="YES",SIP[[#This Row],[Unit]],)</f>
        <v>0</v>
      </c>
      <c r="W219" s="74">
        <f>SUMIFS(SIP[[#Headers],[BO UNIT TRANSFER]]:SIP[[#This Row],[BO UNIT TRANSFER]],SIP[[#Headers],[Investor ID]]:SIP[[#This Row],[Investor ID]],SIP[[#This Row],[Investor ID]])</f>
        <v>0</v>
      </c>
    </row>
    <row r="220" spans="1:23" ht="15" customHeight="1">
      <c r="A220" s="46">
        <v>2023</v>
      </c>
      <c r="B220" s="46">
        <v>10</v>
      </c>
      <c r="C220" s="46">
        <v>26</v>
      </c>
      <c r="D220" s="65">
        <f>DATE(SIP[[#This Row],[Year]],SIP[[#This Row],[Month]],SIP[[#This Row],[Day]])</f>
        <v>45225</v>
      </c>
      <c r="E220" s="66" t="str" cm="1">
        <f t="array" ref="E220">INDEX(INVESTORS_LIST[INVESTOR NAME],MATCH(SIP[[#This Row],[Investor ID]],INVESTORS_LIST[INVESTOR CODE],0),)</f>
        <v>MOHAMMAD SAMIUL ALAM</v>
      </c>
      <c r="F220" s="46" t="s">
        <v>537</v>
      </c>
      <c r="G220" s="46">
        <f>COUNTIF(SIP[[#Headers],[Investor ID]]:SIP[[#This Row],[Investor ID]],SIP[[#This Row],[Investor ID]])</f>
        <v>3</v>
      </c>
      <c r="H220" s="46" t="str">
        <f>CONCATENATE(SIP[[#This Row],[Frequency]],SIP[[#This Row],[Investor ID]])</f>
        <v>3A00244</v>
      </c>
      <c r="I220" s="46" t="str">
        <f>IF(SIP[[#This Row],[B/S]]="B","BUY",(IF(SIP[[#This Row],[B/S]]="S","SELL"," ")))</f>
        <v>BUY</v>
      </c>
      <c r="J220" s="46" t="s">
        <v>1229</v>
      </c>
      <c r="K220" s="69">
        <v>20000</v>
      </c>
      <c r="L220" s="69"/>
      <c r="M220" s="70">
        <f>SIP[[#This Row],[Amount]]/SIP[[#This Row],[Unit]]</f>
        <v>10.537407797681769</v>
      </c>
      <c r="N220" s="71">
        <f>SIP[[#This Row],[Unit Capital]]/10</f>
        <v>1898</v>
      </c>
      <c r="O220" s="72">
        <f>SUMIFS(SIP[[#Headers],[Unit]]:SIP[[#This Row],[Unit]],SIP[[#Headers],[Investor ID]]:SIP[[#This Row],[Investor ID]],SIP[[#This Row],[Investor ID]])</f>
        <v>5724</v>
      </c>
      <c r="P220" s="73">
        <v>18980</v>
      </c>
      <c r="Q220" s="74">
        <f>SIP[[#This Row],[Amount]]-SIP[[#This Row],[Unit Capital]]</f>
        <v>1020</v>
      </c>
      <c r="R2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10.482180293501049</v>
      </c>
      <c r="S220" s="68">
        <f t="shared" si="7"/>
        <v>14.224</v>
      </c>
      <c r="T2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0" s="74" cm="1">
        <f t="array" ref="U220">IF(SIP[[#This Row],[B/S]]="S",ABS(SIP[[#This Row],[Unit]])*(INDEX(SIP[NAV at Cost (Average)],MATCH(CONCATENATE((SIP[[#This Row],[Frequency]]-1),SIP[[#This Row],[Investor ID]]),SIP[Unique Code],0),0)),0)</f>
        <v>0</v>
      </c>
      <c r="V220" s="74">
        <f>IF(SIP[[#This Row],[BO TRANSFER]]="YES",SIP[[#This Row],[Unit]],)</f>
        <v>0</v>
      </c>
      <c r="W220" s="74">
        <f>SUMIFS(SIP[[#Headers],[BO UNIT TRANSFER]]:SIP[[#This Row],[BO UNIT TRANSFER]],SIP[[#Headers],[Investor ID]]:SIP[[#This Row],[Investor ID]],SIP[[#This Row],[Investor ID]])</f>
        <v>0</v>
      </c>
    </row>
    <row r="221" spans="1:23" ht="15" customHeight="1">
      <c r="A221" s="46">
        <v>2023</v>
      </c>
      <c r="B221" s="46">
        <v>10</v>
      </c>
      <c r="C221" s="46">
        <v>26</v>
      </c>
      <c r="D221" s="65">
        <f>DATE(SIP[[#This Row],[Year]],SIP[[#This Row],[Month]],SIP[[#This Row],[Day]])</f>
        <v>45225</v>
      </c>
      <c r="E221" s="66" t="str" cm="1">
        <f t="array" ref="E221">INDEX(INVESTORS_LIST[INVESTOR NAME],MATCH(SIP[[#This Row],[Investor ID]],INVESTORS_LIST[INVESTOR CODE],0),)</f>
        <v>MRINMOY GHOSH</v>
      </c>
      <c r="F221" s="46" t="s">
        <v>69</v>
      </c>
      <c r="G221" s="46">
        <f>COUNTIF(SIP[[#Headers],[Investor ID]]:SIP[[#This Row],[Investor ID]],SIP[[#This Row],[Investor ID]])</f>
        <v>2</v>
      </c>
      <c r="H221" s="46" t="str">
        <f>CONCATENATE(SIP[[#This Row],[Frequency]],SIP[[#This Row],[Investor ID]])</f>
        <v>2A00012</v>
      </c>
      <c r="I221" s="46" t="str">
        <f>IF(SIP[[#This Row],[B/S]]="B","BUY",(IF(SIP[[#This Row],[B/S]]="S","SELL"," ")))</f>
        <v>BUY</v>
      </c>
      <c r="J221" s="46" t="s">
        <v>1229</v>
      </c>
      <c r="K221" s="69">
        <v>10000</v>
      </c>
      <c r="L221" s="69"/>
      <c r="M221" s="70">
        <f>SIP[[#This Row],[Amount]]/SIP[[#This Row],[Unit]]</f>
        <v>10.537407797681769</v>
      </c>
      <c r="N221" s="71">
        <f>SIP[[#This Row],[Unit Capital]]/10</f>
        <v>949</v>
      </c>
      <c r="O221" s="72">
        <f>SUMIFS(SIP[[#Headers],[Unit]]:SIP[[#This Row],[Unit]],SIP[[#Headers],[Investor ID]]:SIP[[#This Row],[Investor ID]],SIP[[#This Row],[Investor ID]])</f>
        <v>1903</v>
      </c>
      <c r="P221" s="73">
        <v>9490</v>
      </c>
      <c r="Q221" s="74">
        <f>SIP[[#This Row],[Amount]]-SIP[[#This Row],[Unit Capital]]</f>
        <v>510</v>
      </c>
      <c r="R2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10.509721492380452</v>
      </c>
      <c r="S221" s="68">
        <f t="shared" si="7"/>
        <v>14.224</v>
      </c>
      <c r="T2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1" s="74" cm="1">
        <f t="array" ref="U221">IF(SIP[[#This Row],[B/S]]="S",ABS(SIP[[#This Row],[Unit]])*(INDEX(SIP[NAV at Cost (Average)],MATCH(CONCATENATE((SIP[[#This Row],[Frequency]]-1),SIP[[#This Row],[Investor ID]]),SIP[Unique Code],0),0)),0)</f>
        <v>0</v>
      </c>
      <c r="V221" s="74">
        <f>IF(SIP[[#This Row],[BO TRANSFER]]="YES",SIP[[#This Row],[Unit]],)</f>
        <v>0</v>
      </c>
      <c r="W221" s="74">
        <f>SUMIFS(SIP[[#Headers],[BO UNIT TRANSFER]]:SIP[[#This Row],[BO UNIT TRANSFER]],SIP[[#Headers],[Investor ID]]:SIP[[#This Row],[Investor ID]],SIP[[#This Row],[Investor ID]])</f>
        <v>0</v>
      </c>
    </row>
    <row r="222" spans="1:23" ht="15" customHeight="1">
      <c r="A222" s="46">
        <v>2023</v>
      </c>
      <c r="B222" s="46">
        <v>10</v>
      </c>
      <c r="C222" s="46">
        <v>26</v>
      </c>
      <c r="D222" s="65">
        <f>DATE(SIP[[#This Row],[Year]],SIP[[#This Row],[Month]],SIP[[#This Row],[Day]])</f>
        <v>45225</v>
      </c>
      <c r="E222" s="66" t="str" cm="1">
        <f t="array" ref="E222">INDEX(INVESTORS_LIST[INVESTOR NAME],MATCH(SIP[[#This Row],[Investor ID]],INVESTORS_LIST[INVESTOR CODE],0),)</f>
        <v>ADNAN RASHID</v>
      </c>
      <c r="F222" s="46" t="s">
        <v>252</v>
      </c>
      <c r="G222" s="46">
        <f>COUNTIF(SIP[[#Headers],[Investor ID]]:SIP[[#This Row],[Investor ID]],SIP[[#This Row],[Investor ID]])</f>
        <v>2</v>
      </c>
      <c r="H222" s="46" t="str">
        <f>CONCATENATE(SIP[[#This Row],[Frequency]],SIP[[#This Row],[Investor ID]])</f>
        <v>2A00102</v>
      </c>
      <c r="I222" s="46" t="str">
        <f>IF(SIP[[#This Row],[B/S]]="B","BUY",(IF(SIP[[#This Row],[B/S]]="S","SELL"," ")))</f>
        <v>BUY</v>
      </c>
      <c r="J222" s="46" t="s">
        <v>1229</v>
      </c>
      <c r="K222" s="69">
        <v>30000</v>
      </c>
      <c r="L222" s="69"/>
      <c r="M222" s="70">
        <f>SIP[[#This Row],[Amount]]/SIP[[#This Row],[Unit]]</f>
        <v>10.537407797681769</v>
      </c>
      <c r="N222" s="71">
        <f>SIP[[#This Row],[Unit Capital]]/10</f>
        <v>2847</v>
      </c>
      <c r="O222" s="72">
        <f>SUMIFS(SIP[[#Headers],[Unit]]:SIP[[#This Row],[Unit]],SIP[[#Headers],[Investor ID]]:SIP[[#This Row],[Investor ID]],SIP[[#This Row],[Investor ID]])</f>
        <v>5709</v>
      </c>
      <c r="P222" s="73">
        <v>28470</v>
      </c>
      <c r="Q222" s="74">
        <f>SIP[[#This Row],[Amount]]-SIP[[#This Row],[Unit Capital]]</f>
        <v>1530</v>
      </c>
      <c r="R2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10.509721492380452</v>
      </c>
      <c r="S222" s="68">
        <f t="shared" si="7"/>
        <v>14.224</v>
      </c>
      <c r="T2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2" s="74" cm="1">
        <f t="array" ref="U222">IF(SIP[[#This Row],[B/S]]="S",ABS(SIP[[#This Row],[Unit]])*(INDEX(SIP[NAV at Cost (Average)],MATCH(CONCATENATE((SIP[[#This Row],[Frequency]]-1),SIP[[#This Row],[Investor ID]]),SIP[Unique Code],0),0)),0)</f>
        <v>0</v>
      </c>
      <c r="V222" s="74">
        <f>IF(SIP[[#This Row],[BO TRANSFER]]="YES",SIP[[#This Row],[Unit]],)</f>
        <v>0</v>
      </c>
      <c r="W222" s="74">
        <f>SUMIFS(SIP[[#Headers],[BO UNIT TRANSFER]]:SIP[[#This Row],[BO UNIT TRANSFER]],SIP[[#Headers],[Investor ID]]:SIP[[#This Row],[Investor ID]],SIP[[#This Row],[Investor ID]])</f>
        <v>0</v>
      </c>
    </row>
    <row r="223" spans="1:23" ht="15" customHeight="1">
      <c r="A223" s="46">
        <v>2023</v>
      </c>
      <c r="B223" s="46">
        <v>10</v>
      </c>
      <c r="C223" s="46">
        <v>26</v>
      </c>
      <c r="D223" s="65">
        <f>DATE(SIP[[#This Row],[Year]],SIP[[#This Row],[Month]],SIP[[#This Row],[Day]])</f>
        <v>45225</v>
      </c>
      <c r="E223" s="66" t="str" cm="1">
        <f t="array" ref="E223">INDEX(INVESTORS_LIST[INVESTOR NAME],MATCH(SIP[[#This Row],[Investor ID]],INVESTORS_LIST[INVESTOR CODE],0),)</f>
        <v>MD ABDULLAH-AL- MAMUN</v>
      </c>
      <c r="F223" s="46" t="s">
        <v>533</v>
      </c>
      <c r="G223" s="46">
        <f>COUNTIF(SIP[[#Headers],[Investor ID]]:SIP[[#This Row],[Investor ID]],SIP[[#This Row],[Investor ID]])</f>
        <v>1</v>
      </c>
      <c r="H223" s="46" t="str">
        <f>CONCATENATE(SIP[[#This Row],[Frequency]],SIP[[#This Row],[Investor ID]])</f>
        <v>1A00242</v>
      </c>
      <c r="I223" s="46" t="str">
        <f>IF(SIP[[#This Row],[B/S]]="B","BUY",(IF(SIP[[#This Row],[B/S]]="S","SELL"," ")))</f>
        <v>BUY</v>
      </c>
      <c r="J223" s="46" t="s">
        <v>1229</v>
      </c>
      <c r="K223" s="69">
        <v>15000</v>
      </c>
      <c r="L223" s="69"/>
      <c r="M223" s="70">
        <f>SIP[[#This Row],[Amount]]/SIP[[#This Row],[Unit]]</f>
        <v>10.541110330288124</v>
      </c>
      <c r="N223" s="71">
        <f>SIP[[#This Row],[Unit Capital]]/10</f>
        <v>1423</v>
      </c>
      <c r="O223" s="72">
        <f>SUMIFS(SIP[[#Headers],[Unit]]:SIP[[#This Row],[Unit]],SIP[[#Headers],[Investor ID]]:SIP[[#This Row],[Investor ID]],SIP[[#This Row],[Investor ID]])</f>
        <v>1423</v>
      </c>
      <c r="P223" s="73">
        <v>14230</v>
      </c>
      <c r="Q223" s="74">
        <f>SIP[[#This Row],[Amount]]-SIP[[#This Row],[Unit Capital]]</f>
        <v>770</v>
      </c>
      <c r="R2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223" s="68">
        <f t="shared" si="7"/>
        <v>14.224</v>
      </c>
      <c r="T2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3" s="74" cm="1">
        <f t="array" ref="U223">IF(SIP[[#This Row],[B/S]]="S",ABS(SIP[[#This Row],[Unit]])*(INDEX(SIP[NAV at Cost (Average)],MATCH(CONCATENATE((SIP[[#This Row],[Frequency]]-1),SIP[[#This Row],[Investor ID]]),SIP[Unique Code],0),0)),0)</f>
        <v>0</v>
      </c>
      <c r="V223" s="74">
        <f>IF(SIP[[#This Row],[BO TRANSFER]]="YES",SIP[[#This Row],[Unit]],)</f>
        <v>0</v>
      </c>
      <c r="W223" s="74">
        <f>SUMIFS(SIP[[#Headers],[BO UNIT TRANSFER]]:SIP[[#This Row],[BO UNIT TRANSFER]],SIP[[#Headers],[Investor ID]]:SIP[[#This Row],[Investor ID]],SIP[[#This Row],[Investor ID]])</f>
        <v>0</v>
      </c>
    </row>
    <row r="224" spans="1:23" ht="15" customHeight="1">
      <c r="A224" s="46">
        <v>2023</v>
      </c>
      <c r="B224" s="46">
        <v>11</v>
      </c>
      <c r="C224" s="46">
        <v>5</v>
      </c>
      <c r="D224" s="65">
        <f>DATE(SIP[[#This Row],[Year]],SIP[[#This Row],[Month]],SIP[[#This Row],[Day]])</f>
        <v>45235</v>
      </c>
      <c r="E224" s="66" t="str" cm="1">
        <f t="array" ref="E224">INDEX(INVESTORS_LIST[INVESTOR NAME],MATCH(SIP[[#This Row],[Investor ID]],INVESTORS_LIST[INVESTOR CODE],0),)</f>
        <v>SHUVA SAHA</v>
      </c>
      <c r="F224" s="46" t="s">
        <v>154</v>
      </c>
      <c r="G224" s="46">
        <f>COUNTIF(SIP[[#Headers],[Investor ID]]:SIP[[#This Row],[Investor ID]],SIP[[#This Row],[Investor ID]])</f>
        <v>8</v>
      </c>
      <c r="H224" s="46" t="str">
        <f>CONCATENATE(SIP[[#This Row],[Frequency]],SIP[[#This Row],[Investor ID]])</f>
        <v>8A00053</v>
      </c>
      <c r="I224" s="46" t="str">
        <f>IF(SIP[[#This Row],[B/S]]="B","BUY",(IF(SIP[[#This Row],[B/S]]="S","SELL"," ")))</f>
        <v>BUY</v>
      </c>
      <c r="J224" s="46" t="s">
        <v>1229</v>
      </c>
      <c r="K224" s="69">
        <v>70000</v>
      </c>
      <c r="L224" s="69"/>
      <c r="M224" s="70">
        <f>SIP[[#This Row],[Amount]]/SIP[[#This Row],[Unit]]</f>
        <v>10.554885404101327</v>
      </c>
      <c r="N224" s="71">
        <f>SIP[[#This Row],[Unit Capital]]/10</f>
        <v>6632</v>
      </c>
      <c r="O224" s="72">
        <f>SUMIFS(SIP[[#Headers],[Unit]]:SIP[[#This Row],[Unit]],SIP[[#Headers],[Investor ID]]:SIP[[#This Row],[Investor ID]],SIP[[#This Row],[Investor ID]])</f>
        <v>52272</v>
      </c>
      <c r="P224" s="73">
        <v>66320</v>
      </c>
      <c r="Q224" s="74">
        <f>SIP[[#This Row],[Amount]]-SIP[[#This Row],[Unit Capital]]</f>
        <v>3680</v>
      </c>
      <c r="R2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10.330578512396695</v>
      </c>
      <c r="S224" s="68">
        <f t="shared" ref="S224:S239" si="8">NAV_MKT</f>
        <v>14.224</v>
      </c>
      <c r="T2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4" s="74" cm="1">
        <f t="array" ref="U224">IF(SIP[[#This Row],[B/S]]="S",ABS(SIP[[#This Row],[Unit]])*(INDEX(SIP[NAV at Cost (Average)],MATCH(CONCATENATE((SIP[[#This Row],[Frequency]]-1),SIP[[#This Row],[Investor ID]]),SIP[Unique Code],0),0)),0)</f>
        <v>0</v>
      </c>
      <c r="V224" s="74">
        <f>IF(SIP[[#This Row],[BO TRANSFER]]="YES",SIP[[#This Row],[Unit]],)</f>
        <v>0</v>
      </c>
      <c r="W224" s="74">
        <f>SUMIFS(SIP[[#Headers],[BO UNIT TRANSFER]]:SIP[[#This Row],[BO UNIT TRANSFER]],SIP[[#Headers],[Investor ID]]:SIP[[#This Row],[Investor ID]],SIP[[#This Row],[Investor ID]])</f>
        <v>0</v>
      </c>
    </row>
    <row r="225" spans="1:23" ht="15" customHeight="1">
      <c r="A225" s="46">
        <v>2023</v>
      </c>
      <c r="B225" s="46">
        <v>11</v>
      </c>
      <c r="C225" s="46">
        <v>5</v>
      </c>
      <c r="D225" s="65">
        <f>DATE(SIP[[#This Row],[Year]],SIP[[#This Row],[Month]],SIP[[#This Row],[Day]])</f>
        <v>45235</v>
      </c>
      <c r="E225" s="66" t="str" cm="1">
        <f t="array" ref="E225">INDEX(INVESTORS_LIST[INVESTOR NAME],MATCH(SIP[[#This Row],[Investor ID]],INVESTORS_LIST[INVESTOR CODE],0),)</f>
        <v>FAIYEAD AHMEDUL HYE</v>
      </c>
      <c r="F225" s="46" t="s">
        <v>368</v>
      </c>
      <c r="G225" s="46">
        <f>COUNTIF(SIP[[#Headers],[Investor ID]]:SIP[[#This Row],[Investor ID]],SIP[[#This Row],[Investor ID]])</f>
        <v>6</v>
      </c>
      <c r="H225" s="46" t="str">
        <f>CONCATENATE(SIP[[#This Row],[Frequency]],SIP[[#This Row],[Investor ID]])</f>
        <v>6A00160</v>
      </c>
      <c r="I225" s="46" t="str">
        <f>IF(SIP[[#This Row],[B/S]]="B","BUY",(IF(SIP[[#This Row],[B/S]]="S","SELL"," ")))</f>
        <v>BUY</v>
      </c>
      <c r="J225" s="46" t="s">
        <v>1229</v>
      </c>
      <c r="K225" s="69">
        <v>15000</v>
      </c>
      <c r="L225" s="69"/>
      <c r="M225" s="70">
        <f>SIP[[#This Row],[Amount]]/SIP[[#This Row],[Unit]]</f>
        <v>10.555946516537649</v>
      </c>
      <c r="N225" s="71">
        <f>SIP[[#This Row],[Unit Capital]]/10</f>
        <v>1421</v>
      </c>
      <c r="O225" s="72">
        <f>SUMIFS(SIP[[#Headers],[Unit]]:SIP[[#This Row],[Unit]],SIP[[#Headers],[Investor ID]]:SIP[[#This Row],[Investor ID]],SIP[[#This Row],[Investor ID]])</f>
        <v>8662</v>
      </c>
      <c r="P225" s="73">
        <v>14210</v>
      </c>
      <c r="Q225" s="74">
        <f>SIP[[#This Row],[Amount]]-SIP[[#This Row],[Unit Capital]]</f>
        <v>790</v>
      </c>
      <c r="R2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10.390210113137844</v>
      </c>
      <c r="S225" s="68">
        <f t="shared" si="8"/>
        <v>14.224</v>
      </c>
      <c r="T2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5" s="74" cm="1">
        <f t="array" ref="U225">IF(SIP[[#This Row],[B/S]]="S",ABS(SIP[[#This Row],[Unit]])*(INDEX(SIP[NAV at Cost (Average)],MATCH(CONCATENATE((SIP[[#This Row],[Frequency]]-1),SIP[[#This Row],[Investor ID]]),SIP[Unique Code],0),0)),0)</f>
        <v>0</v>
      </c>
      <c r="V225" s="74">
        <f>IF(SIP[[#This Row],[BO TRANSFER]]="YES",SIP[[#This Row],[Unit]],)</f>
        <v>0</v>
      </c>
      <c r="W225" s="74">
        <f>SUMIFS(SIP[[#Headers],[BO UNIT TRANSFER]]:SIP[[#This Row],[BO UNIT TRANSFER]],SIP[[#Headers],[Investor ID]]:SIP[[#This Row],[Investor ID]],SIP[[#This Row],[Investor ID]])</f>
        <v>0</v>
      </c>
    </row>
    <row r="226" spans="1:23" ht="15" customHeight="1">
      <c r="A226" s="46">
        <v>2023</v>
      </c>
      <c r="B226" s="46">
        <v>11</v>
      </c>
      <c r="C226" s="46">
        <v>5</v>
      </c>
      <c r="D226" s="65">
        <f>DATE(SIP[[#This Row],[Year]],SIP[[#This Row],[Month]],SIP[[#This Row],[Day]])</f>
        <v>45235</v>
      </c>
      <c r="E226" s="66" t="str" cm="1">
        <f t="array" ref="E226">INDEX(INVESTORS_LIST[INVESTOR NAME],MATCH(SIP[[#This Row],[Investor ID]],INVESTORS_LIST[INVESTOR CODE],0),)</f>
        <v>CHAONIKA SAHA</v>
      </c>
      <c r="F226" s="46" t="s">
        <v>238</v>
      </c>
      <c r="G226" s="46">
        <f>COUNTIF(SIP[[#Headers],[Investor ID]]:SIP[[#This Row],[Investor ID]],SIP[[#This Row],[Investor ID]])</f>
        <v>3</v>
      </c>
      <c r="H226" s="46" t="str">
        <f>CONCATENATE(SIP[[#This Row],[Frequency]],SIP[[#This Row],[Investor ID]])</f>
        <v>3A00095</v>
      </c>
      <c r="I226" s="46" t="str">
        <f>IF(SIP[[#This Row],[B/S]]="B","BUY",(IF(SIP[[#This Row],[B/S]]="S","SELL"," ")))</f>
        <v>BUY</v>
      </c>
      <c r="J226" s="46" t="s">
        <v>1229</v>
      </c>
      <c r="K226" s="69">
        <v>1000</v>
      </c>
      <c r="L226" s="69"/>
      <c r="M226" s="70">
        <f>SIP[[#This Row],[Amount]]/SIP[[#This Row],[Unit]]</f>
        <v>10.526315789473685</v>
      </c>
      <c r="N226" s="71">
        <f>SIP[[#This Row],[Unit Capital]]/10</f>
        <v>95</v>
      </c>
      <c r="O226" s="72">
        <f>SUMIFS(SIP[[#Headers],[Unit]]:SIP[[#This Row],[Unit]],SIP[[#Headers],[Investor ID]]:SIP[[#This Row],[Investor ID]],SIP[[#This Row],[Investor ID]])</f>
        <v>286</v>
      </c>
      <c r="P226" s="73">
        <v>950</v>
      </c>
      <c r="Q226" s="74">
        <f>SIP[[#This Row],[Amount]]-SIP[[#This Row],[Unit Capital]]</f>
        <v>50</v>
      </c>
      <c r="R2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10.48951048951049</v>
      </c>
      <c r="S226" s="68">
        <f t="shared" si="8"/>
        <v>14.224</v>
      </c>
      <c r="T2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6" s="74" cm="1">
        <f t="array" ref="U226">IF(SIP[[#This Row],[B/S]]="S",ABS(SIP[[#This Row],[Unit]])*(INDEX(SIP[NAV at Cost (Average)],MATCH(CONCATENATE((SIP[[#This Row],[Frequency]]-1),SIP[[#This Row],[Investor ID]]),SIP[Unique Code],0),0)),0)</f>
        <v>0</v>
      </c>
      <c r="V226" s="74">
        <f>IF(SIP[[#This Row],[BO TRANSFER]]="YES",SIP[[#This Row],[Unit]],)</f>
        <v>0</v>
      </c>
      <c r="W226" s="74">
        <f>SUMIFS(SIP[[#Headers],[BO UNIT TRANSFER]]:SIP[[#This Row],[BO UNIT TRANSFER]],SIP[[#Headers],[Investor ID]]:SIP[[#This Row],[Investor ID]],SIP[[#This Row],[Investor ID]])</f>
        <v>0</v>
      </c>
    </row>
    <row r="227" spans="1:23" ht="15" customHeight="1">
      <c r="A227" s="46">
        <v>2023</v>
      </c>
      <c r="B227" s="46">
        <v>11</v>
      </c>
      <c r="C227" s="46">
        <v>5</v>
      </c>
      <c r="D227" s="65">
        <f>DATE(SIP[[#This Row],[Year]],SIP[[#This Row],[Month]],SIP[[#This Row],[Day]])</f>
        <v>45235</v>
      </c>
      <c r="E227" s="66" t="str" cm="1">
        <f t="array" ref="E227">INDEX(INVESTORS_LIST[INVESTOR NAME],MATCH(SIP[[#This Row],[Investor ID]],INVESTORS_LIST[INVESTOR CODE],0),)</f>
        <v>SK FEROZ ALAM</v>
      </c>
      <c r="F227" s="46" t="s">
        <v>240</v>
      </c>
      <c r="G227" s="46">
        <f>COUNTIF(SIP[[#Headers],[Investor ID]]:SIP[[#This Row],[Investor ID]],SIP[[#This Row],[Investor ID]])</f>
        <v>3</v>
      </c>
      <c r="H227" s="46" t="str">
        <f>CONCATENATE(SIP[[#This Row],[Frequency]],SIP[[#This Row],[Investor ID]])</f>
        <v>3A00096</v>
      </c>
      <c r="I227" s="46" t="str">
        <f>IF(SIP[[#This Row],[B/S]]="B","BUY",(IF(SIP[[#This Row],[B/S]]="S","SELL"," ")))</f>
        <v>BUY</v>
      </c>
      <c r="J227" s="46" t="s">
        <v>1229</v>
      </c>
      <c r="K227" s="69">
        <v>2000</v>
      </c>
      <c r="L227" s="69"/>
      <c r="M227" s="70">
        <f>SIP[[#This Row],[Amount]]/SIP[[#This Row],[Unit]]</f>
        <v>10.582010582010582</v>
      </c>
      <c r="N227" s="71">
        <f>SIP[[#This Row],[Unit Capital]]/10</f>
        <v>189</v>
      </c>
      <c r="O227" s="72">
        <f>SUMIFS(SIP[[#Headers],[Unit]]:SIP[[#This Row],[Unit]],SIP[[#Headers],[Investor ID]]:SIP[[#This Row],[Investor ID]],SIP[[#This Row],[Investor ID]])</f>
        <v>571</v>
      </c>
      <c r="P227" s="73">
        <v>1890</v>
      </c>
      <c r="Q227" s="74">
        <f>SIP[[#This Row],[Amount]]-SIP[[#This Row],[Unit Capital]]</f>
        <v>110</v>
      </c>
      <c r="R2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10.507880910683014</v>
      </c>
      <c r="S227" s="68">
        <f t="shared" si="8"/>
        <v>14.224</v>
      </c>
      <c r="T2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7" s="74" cm="1">
        <f t="array" ref="U227">IF(SIP[[#This Row],[B/S]]="S",ABS(SIP[[#This Row],[Unit]])*(INDEX(SIP[NAV at Cost (Average)],MATCH(CONCATENATE((SIP[[#This Row],[Frequency]]-1),SIP[[#This Row],[Investor ID]]),SIP[Unique Code],0),0)),0)</f>
        <v>0</v>
      </c>
      <c r="V227" s="74">
        <f>IF(SIP[[#This Row],[BO TRANSFER]]="YES",SIP[[#This Row],[Unit]],)</f>
        <v>0</v>
      </c>
      <c r="W227" s="74">
        <f>SUMIFS(SIP[[#Headers],[BO UNIT TRANSFER]]:SIP[[#This Row],[BO UNIT TRANSFER]],SIP[[#Headers],[Investor ID]]:SIP[[#This Row],[Investor ID]],SIP[[#This Row],[Investor ID]])</f>
        <v>0</v>
      </c>
    </row>
    <row r="228" spans="1:23" ht="15" customHeight="1">
      <c r="A228" s="46">
        <v>2023</v>
      </c>
      <c r="B228" s="46">
        <v>11</v>
      </c>
      <c r="C228" s="46">
        <v>5</v>
      </c>
      <c r="D228" s="65">
        <f>DATE(SIP[[#This Row],[Year]],SIP[[#This Row],[Month]],SIP[[#This Row],[Day]])</f>
        <v>45235</v>
      </c>
      <c r="E228" s="66" t="str" cm="1">
        <f t="array" ref="E228">INDEX(INVESTORS_LIST[INVESTOR NAME],MATCH(SIP[[#This Row],[Investor ID]],INVESTORS_LIST[INVESTOR CODE],0),)</f>
        <v>MD JAMAL HOSSAIN</v>
      </c>
      <c r="F228" s="46" t="s">
        <v>952</v>
      </c>
      <c r="G228" s="46">
        <f>COUNTIF(SIP[[#Headers],[Investor ID]]:SIP[[#This Row],[Investor ID]],SIP[[#This Row],[Investor ID]])</f>
        <v>2</v>
      </c>
      <c r="H228" s="46" t="str">
        <f>CONCATENATE(SIP[[#This Row],[Frequency]],SIP[[#This Row],[Investor ID]])</f>
        <v>2A00453</v>
      </c>
      <c r="I228" s="46" t="str">
        <f>IF(SIP[[#This Row],[B/S]]="B","BUY",(IF(SIP[[#This Row],[B/S]]="S","SELL"," ")))</f>
        <v>BUY</v>
      </c>
      <c r="J228" s="46" t="s">
        <v>1229</v>
      </c>
      <c r="K228" s="69">
        <v>5000</v>
      </c>
      <c r="L228" s="69"/>
      <c r="M228" s="70">
        <f>SIP[[#This Row],[Amount]]/SIP[[#This Row],[Unit]]</f>
        <v>10.548523206751055</v>
      </c>
      <c r="N228" s="71">
        <f>SIP[[#This Row],[Unit Capital]]/10</f>
        <v>474</v>
      </c>
      <c r="O228" s="72">
        <f>SUMIFS(SIP[[#Headers],[Unit]]:SIP[[#This Row],[Unit]],SIP[[#Headers],[Investor ID]]:SIP[[#This Row],[Investor ID]],SIP[[#This Row],[Investor ID]])</f>
        <v>950</v>
      </c>
      <c r="P228" s="73">
        <v>4740</v>
      </c>
      <c r="Q228" s="74">
        <f>SIP[[#This Row],[Amount]]-SIP[[#This Row],[Unit Capital]]</f>
        <v>260</v>
      </c>
      <c r="R2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10.526315789473685</v>
      </c>
      <c r="S228" s="68">
        <f t="shared" si="8"/>
        <v>14.224</v>
      </c>
      <c r="T2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8" s="74" cm="1">
        <f t="array" ref="U228">IF(SIP[[#This Row],[B/S]]="S",ABS(SIP[[#This Row],[Unit]])*(INDEX(SIP[NAV at Cost (Average)],MATCH(CONCATENATE((SIP[[#This Row],[Frequency]]-1),SIP[[#This Row],[Investor ID]]),SIP[Unique Code],0),0)),0)</f>
        <v>0</v>
      </c>
      <c r="V228" s="74">
        <f>IF(SIP[[#This Row],[BO TRANSFER]]="YES",SIP[[#This Row],[Unit]],)</f>
        <v>0</v>
      </c>
      <c r="W228" s="74">
        <f>SUMIFS(SIP[[#Headers],[BO UNIT TRANSFER]]:SIP[[#This Row],[BO UNIT TRANSFER]],SIP[[#Headers],[Investor ID]]:SIP[[#This Row],[Investor ID]],SIP[[#This Row],[Investor ID]])</f>
        <v>0</v>
      </c>
    </row>
    <row r="229" spans="1:23" ht="15" customHeight="1">
      <c r="A229" s="46">
        <v>2023</v>
      </c>
      <c r="B229" s="46">
        <v>11</v>
      </c>
      <c r="C229" s="46">
        <v>5</v>
      </c>
      <c r="D229" s="65">
        <f>DATE(SIP[[#This Row],[Year]],SIP[[#This Row],[Month]],SIP[[#This Row],[Day]])</f>
        <v>45235</v>
      </c>
      <c r="E229" s="66" t="str" cm="1">
        <f t="array" ref="E229">INDEX(INVESTORS_LIST[INVESTOR NAME],MATCH(SIP[[#This Row],[Investor ID]],INVESTORS_LIST[INVESTOR CODE],0),)</f>
        <v>KAZI AHSAN MARUF</v>
      </c>
      <c r="F229" s="46" t="s">
        <v>158</v>
      </c>
      <c r="G229" s="46">
        <f>COUNTIF(SIP[[#Headers],[Investor ID]]:SIP[[#This Row],[Investor ID]],SIP[[#This Row],[Investor ID]])</f>
        <v>7</v>
      </c>
      <c r="H229" s="46" t="str">
        <f>CONCATENATE(SIP[[#This Row],[Frequency]],SIP[[#This Row],[Investor ID]])</f>
        <v>7A00055</v>
      </c>
      <c r="I229" s="46" t="str">
        <f>IF(SIP[[#This Row],[B/S]]="B","BUY",(IF(SIP[[#This Row],[B/S]]="S","SELL"," ")))</f>
        <v>BUY</v>
      </c>
      <c r="J229" s="46" t="s">
        <v>1229</v>
      </c>
      <c r="K229" s="69">
        <v>10000</v>
      </c>
      <c r="L229" s="69"/>
      <c r="M229" s="70">
        <f>SIP[[#This Row],[Amount]]/SIP[[#This Row],[Unit]]</f>
        <v>10.559662090813093</v>
      </c>
      <c r="N229" s="71">
        <f>SIP[[#This Row],[Unit Capital]]/10</f>
        <v>947</v>
      </c>
      <c r="O229" s="72">
        <f>SUMIFS(SIP[[#Headers],[Unit]]:SIP[[#This Row],[Unit]],SIP[[#Headers],[Investor ID]]:SIP[[#This Row],[Investor ID]],SIP[[#This Row],[Investor ID]])</f>
        <v>26215</v>
      </c>
      <c r="P229" s="73">
        <v>9470</v>
      </c>
      <c r="Q229" s="74">
        <f>SIP[[#This Row],[Amount]]-SIP[[#This Row],[Unit Capital]]</f>
        <v>530</v>
      </c>
      <c r="R2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10.299446881556358</v>
      </c>
      <c r="S229" s="68">
        <f t="shared" si="8"/>
        <v>14.224</v>
      </c>
      <c r="T2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9" s="74" cm="1">
        <f t="array" ref="U229">IF(SIP[[#This Row],[B/S]]="S",ABS(SIP[[#This Row],[Unit]])*(INDEX(SIP[NAV at Cost (Average)],MATCH(CONCATENATE((SIP[[#This Row],[Frequency]]-1),SIP[[#This Row],[Investor ID]]),SIP[Unique Code],0),0)),0)</f>
        <v>0</v>
      </c>
      <c r="V229" s="74">
        <f>IF(SIP[[#This Row],[BO TRANSFER]]="YES",SIP[[#This Row],[Unit]],)</f>
        <v>0</v>
      </c>
      <c r="W229" s="74">
        <f>SUMIFS(SIP[[#Headers],[BO UNIT TRANSFER]]:SIP[[#This Row],[BO UNIT TRANSFER]],SIP[[#Headers],[Investor ID]]:SIP[[#This Row],[Investor ID]],SIP[[#This Row],[Investor ID]])</f>
        <v>0</v>
      </c>
    </row>
    <row r="230" spans="1:23" ht="15" customHeight="1">
      <c r="A230" s="46">
        <v>2023</v>
      </c>
      <c r="B230" s="46">
        <v>11</v>
      </c>
      <c r="C230" s="46">
        <v>5</v>
      </c>
      <c r="D230" s="65">
        <f>DATE(SIP[[#This Row],[Year]],SIP[[#This Row],[Month]],SIP[[#This Row],[Day]])</f>
        <v>45235</v>
      </c>
      <c r="E230" s="66" t="str" cm="1">
        <f t="array" ref="E230">INDEX(INVESTORS_LIST[INVESTOR NAME],MATCH(SIP[[#This Row],[Investor ID]],INVESTORS_LIST[INVESTOR CODE],0),)</f>
        <v>ANJAN MALLIK</v>
      </c>
      <c r="F230" s="46" t="s">
        <v>546</v>
      </c>
      <c r="G230" s="46">
        <f>COUNTIF(SIP[[#Headers],[Investor ID]]:SIP[[#This Row],[Investor ID]],SIP[[#This Row],[Investor ID]])</f>
        <v>8</v>
      </c>
      <c r="H230" s="46" t="str">
        <f>CONCATENATE(SIP[[#This Row],[Frequency]],SIP[[#This Row],[Investor ID]])</f>
        <v>8A00248</v>
      </c>
      <c r="I230" s="46" t="str">
        <f>IF(SIP[[#This Row],[B/S]]="B","BUY",(IF(SIP[[#This Row],[B/S]]="S","SELL"," ")))</f>
        <v>BUY</v>
      </c>
      <c r="J230" s="46" t="s">
        <v>1229</v>
      </c>
      <c r="K230" s="69">
        <v>50000</v>
      </c>
      <c r="L230" s="69"/>
      <c r="M230" s="70">
        <f>SIP[[#This Row],[Amount]]/SIP[[#This Row],[Unit]]</f>
        <v>10.555203715431707</v>
      </c>
      <c r="N230" s="71">
        <f>SIP[[#This Row],[Unit Capital]]/10</f>
        <v>4737</v>
      </c>
      <c r="O230" s="72">
        <f>SUMIFS(SIP[[#Headers],[Unit]]:SIP[[#This Row],[Unit]],SIP[[#Headers],[Investor ID]]:SIP[[#This Row],[Investor ID]],SIP[[#This Row],[Investor ID]])</f>
        <v>38765</v>
      </c>
      <c r="P230" s="73">
        <v>47370</v>
      </c>
      <c r="Q230" s="74">
        <f>SIP[[#This Row],[Amount]]-SIP[[#This Row],[Unit Capital]]</f>
        <v>2630</v>
      </c>
      <c r="R2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10.318586353669549</v>
      </c>
      <c r="S230" s="68">
        <f t="shared" si="8"/>
        <v>14.224</v>
      </c>
      <c r="T2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0" s="74" cm="1">
        <f t="array" ref="U230">IF(SIP[[#This Row],[B/S]]="S",ABS(SIP[[#This Row],[Unit]])*(INDEX(SIP[NAV at Cost (Average)],MATCH(CONCATENATE((SIP[[#This Row],[Frequency]]-1),SIP[[#This Row],[Investor ID]]),SIP[Unique Code],0),0)),0)</f>
        <v>0</v>
      </c>
      <c r="V230" s="74">
        <f>IF(SIP[[#This Row],[BO TRANSFER]]="YES",SIP[[#This Row],[Unit]],)</f>
        <v>0</v>
      </c>
      <c r="W230" s="74">
        <f>SUMIFS(SIP[[#Headers],[BO UNIT TRANSFER]]:SIP[[#This Row],[BO UNIT TRANSFER]],SIP[[#Headers],[Investor ID]]:SIP[[#This Row],[Investor ID]],SIP[[#This Row],[Investor ID]])</f>
        <v>0</v>
      </c>
    </row>
    <row r="231" spans="1:23" ht="15" customHeight="1">
      <c r="A231" s="46">
        <v>2023</v>
      </c>
      <c r="B231" s="46">
        <v>11</v>
      </c>
      <c r="C231" s="46">
        <v>5</v>
      </c>
      <c r="D231" s="65">
        <f>DATE(SIP[[#This Row],[Year]],SIP[[#This Row],[Month]],SIP[[#This Row],[Day]])</f>
        <v>45235</v>
      </c>
      <c r="E231" s="66" t="str" cm="1">
        <f t="array" ref="E231">INDEX(INVESTORS_LIST[INVESTOR NAME],MATCH(SIP[[#This Row],[Investor ID]],INVESTORS_LIST[INVESTOR CODE],0),)</f>
        <v>MONIR AHMED</v>
      </c>
      <c r="F231" s="46" t="s">
        <v>125</v>
      </c>
      <c r="G231" s="46">
        <f>COUNTIF(SIP[[#Headers],[Investor ID]]:SIP[[#This Row],[Investor ID]],SIP[[#This Row],[Investor ID]])</f>
        <v>7</v>
      </c>
      <c r="H231" s="46" t="str">
        <f>CONCATENATE(SIP[[#This Row],[Frequency]],SIP[[#This Row],[Investor ID]])</f>
        <v>7A00039</v>
      </c>
      <c r="I231" s="46" t="str">
        <f>IF(SIP[[#This Row],[B/S]]="B","BUY",(IF(SIP[[#This Row],[B/S]]="S","SELL"," ")))</f>
        <v>BUY</v>
      </c>
      <c r="J231" s="46" t="s">
        <v>1229</v>
      </c>
      <c r="K231" s="69">
        <v>5000</v>
      </c>
      <c r="L231" s="69"/>
      <c r="M231" s="70">
        <f>SIP[[#This Row],[Amount]]/SIP[[#This Row],[Unit]]</f>
        <v>10.548523206751055</v>
      </c>
      <c r="N231" s="71">
        <f>SIP[[#This Row],[Unit Capital]]/10</f>
        <v>474</v>
      </c>
      <c r="O231" s="72">
        <f>SUMIFS(SIP[[#Headers],[Unit]]:SIP[[#This Row],[Unit]],SIP[[#Headers],[Investor ID]]:SIP[[#This Row],[Investor ID]],SIP[[#This Row],[Investor ID]])</f>
        <v>950</v>
      </c>
      <c r="P231" s="73">
        <v>4740</v>
      </c>
      <c r="Q231" s="74">
        <f>SIP[[#This Row],[Amount]]-SIP[[#This Row],[Unit Capital]]</f>
        <v>260</v>
      </c>
      <c r="R2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10.526315789473685</v>
      </c>
      <c r="S231" s="68">
        <f t="shared" si="8"/>
        <v>14.224</v>
      </c>
      <c r="T2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1" s="74" cm="1">
        <f t="array" ref="U231">IF(SIP[[#This Row],[B/S]]="S",ABS(SIP[[#This Row],[Unit]])*(INDEX(SIP[NAV at Cost (Average)],MATCH(CONCATENATE((SIP[[#This Row],[Frequency]]-1),SIP[[#This Row],[Investor ID]]),SIP[Unique Code],0),0)),0)</f>
        <v>0</v>
      </c>
      <c r="V231" s="74">
        <f>IF(SIP[[#This Row],[BO TRANSFER]]="YES",SIP[[#This Row],[Unit]],)</f>
        <v>0</v>
      </c>
      <c r="W231" s="74">
        <f>SUMIFS(SIP[[#Headers],[BO UNIT TRANSFER]]:SIP[[#This Row],[BO UNIT TRANSFER]],SIP[[#Headers],[Investor ID]]:SIP[[#This Row],[Investor ID]],SIP[[#This Row],[Investor ID]])</f>
        <v>0</v>
      </c>
    </row>
    <row r="232" spans="1:23" ht="15" customHeight="1">
      <c r="A232" s="46">
        <v>2023</v>
      </c>
      <c r="B232" s="46">
        <v>11</v>
      </c>
      <c r="C232" s="46">
        <v>5</v>
      </c>
      <c r="D232" s="65">
        <f>DATE(SIP[[#This Row],[Year]],SIP[[#This Row],[Month]],SIP[[#This Row],[Day]])</f>
        <v>45235</v>
      </c>
      <c r="E232" s="66" t="str" cm="1">
        <f t="array" ref="E232">INDEX(INVESTORS_LIST[INVESTOR NAME],MATCH(SIP[[#This Row],[Investor ID]],INVESTORS_LIST[INVESTOR CODE],0),)</f>
        <v>NANDINI SAHA</v>
      </c>
      <c r="F232" s="46" t="s">
        <v>242</v>
      </c>
      <c r="G232" s="46">
        <f>COUNTIF(SIP[[#Headers],[Investor ID]]:SIP[[#This Row],[Investor ID]],SIP[[#This Row],[Investor ID]])</f>
        <v>7</v>
      </c>
      <c r="H232" s="46" t="str">
        <f>CONCATENATE(SIP[[#This Row],[Frequency]],SIP[[#This Row],[Investor ID]])</f>
        <v>7A00097</v>
      </c>
      <c r="I232" s="46" t="str">
        <f>IF(SIP[[#This Row],[B/S]]="B","BUY",(IF(SIP[[#This Row],[B/S]]="S","SELL"," ")))</f>
        <v>BUY</v>
      </c>
      <c r="J232" s="46" t="s">
        <v>1229</v>
      </c>
      <c r="K232" s="69">
        <v>30000</v>
      </c>
      <c r="L232" s="69"/>
      <c r="M232" s="70">
        <f>SIP[[#This Row],[Amount]]/SIP[[#This Row],[Unit]]</f>
        <v>10.555946516537649</v>
      </c>
      <c r="N232" s="71">
        <f>SIP[[#This Row],[Unit Capital]]/10</f>
        <v>2842</v>
      </c>
      <c r="O232" s="72">
        <f>SUMIFS(SIP[[#Headers],[Unit]]:SIP[[#This Row],[Unit]],SIP[[#Headers],[Investor ID]]:SIP[[#This Row],[Investor ID]],SIP[[#This Row],[Investor ID]])</f>
        <v>20287</v>
      </c>
      <c r="P232" s="73">
        <v>28420</v>
      </c>
      <c r="Q232" s="74">
        <f>SIP[[#This Row],[Amount]]-SIP[[#This Row],[Unit Capital]]</f>
        <v>1580</v>
      </c>
      <c r="R2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10.351456597821263</v>
      </c>
      <c r="S232" s="68">
        <f t="shared" si="8"/>
        <v>14.224</v>
      </c>
      <c r="T2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2" s="74" cm="1">
        <f t="array" ref="U232">IF(SIP[[#This Row],[B/S]]="S",ABS(SIP[[#This Row],[Unit]])*(INDEX(SIP[NAV at Cost (Average)],MATCH(CONCATENATE((SIP[[#This Row],[Frequency]]-1),SIP[[#This Row],[Investor ID]]),SIP[Unique Code],0),0)),0)</f>
        <v>0</v>
      </c>
      <c r="V232" s="74">
        <f>IF(SIP[[#This Row],[BO TRANSFER]]="YES",SIP[[#This Row],[Unit]],)</f>
        <v>0</v>
      </c>
      <c r="W232" s="74">
        <f>SUMIFS(SIP[[#Headers],[BO UNIT TRANSFER]]:SIP[[#This Row],[BO UNIT TRANSFER]],SIP[[#Headers],[Investor ID]]:SIP[[#This Row],[Investor ID]],SIP[[#This Row],[Investor ID]])</f>
        <v>0</v>
      </c>
    </row>
    <row r="233" spans="1:23" ht="15" customHeight="1">
      <c r="A233" s="46">
        <v>2023</v>
      </c>
      <c r="B233" s="46">
        <v>11</v>
      </c>
      <c r="C233" s="46">
        <v>5</v>
      </c>
      <c r="D233" s="65">
        <f>DATE(SIP[[#This Row],[Year]],SIP[[#This Row],[Month]],SIP[[#This Row],[Day]])</f>
        <v>45235</v>
      </c>
      <c r="E233" s="66" t="str" cm="1">
        <f t="array" ref="E233">INDEX(INVESTORS_LIST[INVESTOR NAME],MATCH(SIP[[#This Row],[Investor ID]],INVESTORS_LIST[INVESTOR CODE],0),)</f>
        <v>SHANTA PAUL</v>
      </c>
      <c r="F233" s="46" t="s">
        <v>544</v>
      </c>
      <c r="G233" s="46">
        <f>COUNTIF(SIP[[#Headers],[Investor ID]]:SIP[[#This Row],[Investor ID]],SIP[[#This Row],[Investor ID]])</f>
        <v>8</v>
      </c>
      <c r="H233" s="46" t="str">
        <f>CONCATENATE(SIP[[#This Row],[Frequency]],SIP[[#This Row],[Investor ID]])</f>
        <v>8A00247</v>
      </c>
      <c r="I233" s="46" t="str">
        <f>IF(SIP[[#This Row],[B/S]]="B","BUY",(IF(SIP[[#This Row],[B/S]]="S","SELL"," ")))</f>
        <v>BUY</v>
      </c>
      <c r="J233" s="46" t="s">
        <v>1229</v>
      </c>
      <c r="K233" s="69">
        <v>20000</v>
      </c>
      <c r="L233" s="69"/>
      <c r="M233" s="70">
        <f>SIP[[#This Row],[Amount]]/SIP[[#This Row],[Unit]]</f>
        <v>10.554089709762533</v>
      </c>
      <c r="N233" s="71">
        <f>SIP[[#This Row],[Unit Capital]]/10</f>
        <v>1895</v>
      </c>
      <c r="O233" s="72">
        <f>SUMIFS(SIP[[#Headers],[Unit]]:SIP[[#This Row],[Unit]],SIP[[#Headers],[Investor ID]]:SIP[[#This Row],[Investor ID]],SIP[[#This Row],[Investor ID]])</f>
        <v>15506</v>
      </c>
      <c r="P233" s="73">
        <v>18950</v>
      </c>
      <c r="Q233" s="74">
        <f>SIP[[#This Row],[Amount]]-SIP[[#This Row],[Unit Capital]]</f>
        <v>1050</v>
      </c>
      <c r="R2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10.318586353669547</v>
      </c>
      <c r="S233" s="68">
        <f t="shared" si="8"/>
        <v>14.224</v>
      </c>
      <c r="T2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3" s="74" cm="1">
        <f t="array" ref="U233">IF(SIP[[#This Row],[B/S]]="S",ABS(SIP[[#This Row],[Unit]])*(INDEX(SIP[NAV at Cost (Average)],MATCH(CONCATENATE((SIP[[#This Row],[Frequency]]-1),SIP[[#This Row],[Investor ID]]),SIP[Unique Code],0),0)),0)</f>
        <v>0</v>
      </c>
      <c r="V233" s="74">
        <f>IF(SIP[[#This Row],[BO TRANSFER]]="YES",SIP[[#This Row],[Unit]],)</f>
        <v>0</v>
      </c>
      <c r="W233" s="74">
        <f>SUMIFS(SIP[[#Headers],[BO UNIT TRANSFER]]:SIP[[#This Row],[BO UNIT TRANSFER]],SIP[[#Headers],[Investor ID]]:SIP[[#This Row],[Investor ID]],SIP[[#This Row],[Investor ID]])</f>
        <v>0</v>
      </c>
    </row>
    <row r="234" spans="1:23" ht="15" customHeight="1">
      <c r="A234" s="46">
        <v>2023</v>
      </c>
      <c r="B234" s="46">
        <v>11</v>
      </c>
      <c r="C234" s="46">
        <v>5</v>
      </c>
      <c r="D234" s="65">
        <f>DATE(SIP[[#This Row],[Year]],SIP[[#This Row],[Month]],SIP[[#This Row],[Day]])</f>
        <v>45235</v>
      </c>
      <c r="E234" s="66" t="str" cm="1">
        <f t="array" ref="E234">INDEX(INVESTORS_LIST[INVESTOR NAME],MATCH(SIP[[#This Row],[Investor ID]],INVESTORS_LIST[INVESTOR CODE],0),)</f>
        <v>ROKSABA KASEM</v>
      </c>
      <c r="F234" s="46" t="s">
        <v>900</v>
      </c>
      <c r="G234" s="46">
        <f>COUNTIF(SIP[[#Headers],[Investor ID]]:SIP[[#This Row],[Investor ID]],SIP[[#This Row],[Investor ID]])</f>
        <v>6</v>
      </c>
      <c r="H234" s="46" t="str">
        <f>CONCATENATE(SIP[[#This Row],[Frequency]],SIP[[#This Row],[Investor ID]])</f>
        <v>6A00427</v>
      </c>
      <c r="I234" s="46" t="str">
        <f>IF(SIP[[#This Row],[B/S]]="B","BUY",(IF(SIP[[#This Row],[B/S]]="S","SELL"," ")))</f>
        <v>BUY</v>
      </c>
      <c r="J234" s="46" t="s">
        <v>1229</v>
      </c>
      <c r="K234" s="69">
        <v>20000</v>
      </c>
      <c r="L234" s="122"/>
      <c r="M234" s="70">
        <f>SIP[[#This Row],[Amount]]/SIP[[#This Row],[Unit]]</f>
        <v>10.554089709762533</v>
      </c>
      <c r="N234" s="71">
        <f>SIP[[#This Row],[Unit Capital]]/10</f>
        <v>1895</v>
      </c>
      <c r="O234" s="72">
        <f>SUMIFS(SIP[[#Headers],[Unit]]:SIP[[#This Row],[Unit]],SIP[[#Headers],[Investor ID]]:SIP[[#This Row],[Investor ID]],SIP[[#This Row],[Investor ID]])</f>
        <v>11549</v>
      </c>
      <c r="P234" s="73">
        <v>18950</v>
      </c>
      <c r="Q234" s="74">
        <f>SIP[[#This Row],[Amount]]-SIP[[#This Row],[Unit Capital]]</f>
        <v>1050</v>
      </c>
      <c r="R2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10.390510000865875</v>
      </c>
      <c r="S234" s="68">
        <f t="shared" si="8"/>
        <v>14.224</v>
      </c>
      <c r="T2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4" s="74" cm="1">
        <f t="array" ref="U234">IF(SIP[[#This Row],[B/S]]="S",ABS(SIP[[#This Row],[Unit]])*(INDEX(SIP[NAV at Cost (Average)],MATCH(CONCATENATE((SIP[[#This Row],[Frequency]]-1),SIP[[#This Row],[Investor ID]]),SIP[Unique Code],0),0)),0)</f>
        <v>0</v>
      </c>
      <c r="V234" s="74">
        <f>IF(SIP[[#This Row],[BO TRANSFER]]="YES",SIP[[#This Row],[Unit]],)</f>
        <v>0</v>
      </c>
      <c r="W234" s="74">
        <f>SUMIFS(SIP[[#Headers],[BO UNIT TRANSFER]]:SIP[[#This Row],[BO UNIT TRANSFER]],SIP[[#Headers],[Investor ID]]:SIP[[#This Row],[Investor ID]],SIP[[#This Row],[Investor ID]])</f>
        <v>0</v>
      </c>
    </row>
    <row r="235" spans="1:23" ht="15" customHeight="1">
      <c r="A235" s="46">
        <v>2023</v>
      </c>
      <c r="B235" s="46">
        <v>11</v>
      </c>
      <c r="C235" s="46">
        <v>5</v>
      </c>
      <c r="D235" s="65">
        <f>DATE(SIP[[#This Row],[Year]],SIP[[#This Row],[Month]],SIP[[#This Row],[Day]])</f>
        <v>45235</v>
      </c>
      <c r="E235" s="66" t="str" cm="1">
        <f t="array" ref="E235">INDEX(INVESTORS_LIST[INVESTOR NAME],MATCH(SIP[[#This Row],[Investor ID]],INVESTORS_LIST[INVESTOR CODE],0),)</f>
        <v>MD. MONIRUL ISLAM</v>
      </c>
      <c r="F235" s="46" t="s">
        <v>996</v>
      </c>
      <c r="G235" s="46">
        <f>COUNTIF(SIP[[#Headers],[Investor ID]]:SIP[[#This Row],[Investor ID]],SIP[[#This Row],[Investor ID]])</f>
        <v>7</v>
      </c>
      <c r="H235" s="46" t="str">
        <f>CONCATENATE(SIP[[#This Row],[Frequency]],SIP[[#This Row],[Investor ID]])</f>
        <v>7A00475</v>
      </c>
      <c r="I235" s="46" t="str">
        <f>IF(SIP[[#This Row],[B/S]]="B","BUY",(IF(SIP[[#This Row],[B/S]]="S","SELL"," ")))</f>
        <v>BUY</v>
      </c>
      <c r="J235" s="46" t="s">
        <v>1229</v>
      </c>
      <c r="K235" s="69">
        <v>10000</v>
      </c>
      <c r="L235" s="69"/>
      <c r="M235" s="70">
        <f>SIP[[#This Row],[Amount]]/SIP[[#This Row],[Unit]]</f>
        <v>10.559662090813093</v>
      </c>
      <c r="N235" s="71">
        <f>SIP[[#This Row],[Unit Capital]]/10</f>
        <v>947</v>
      </c>
      <c r="O235" s="72">
        <f>SUMIFS(SIP[[#Headers],[Unit]]:SIP[[#This Row],[Unit]],SIP[[#Headers],[Investor ID]]:SIP[[#This Row],[Investor ID]],SIP[[#This Row],[Investor ID]])</f>
        <v>6762</v>
      </c>
      <c r="P235" s="73">
        <v>9470</v>
      </c>
      <c r="Q235" s="74">
        <f>SIP[[#This Row],[Amount]]-SIP[[#This Row],[Unit Capital]]</f>
        <v>530</v>
      </c>
      <c r="R2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10.351966873706003</v>
      </c>
      <c r="S235" s="68">
        <f t="shared" si="8"/>
        <v>14.224</v>
      </c>
      <c r="T2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5" s="74" cm="1">
        <f t="array" ref="U235">IF(SIP[[#This Row],[B/S]]="S",ABS(SIP[[#This Row],[Unit]])*(INDEX(SIP[NAV at Cost (Average)],MATCH(CONCATENATE((SIP[[#This Row],[Frequency]]-1),SIP[[#This Row],[Investor ID]]),SIP[Unique Code],0),0)),0)</f>
        <v>0</v>
      </c>
      <c r="V235" s="74">
        <f>IF(SIP[[#This Row],[BO TRANSFER]]="YES",SIP[[#This Row],[Unit]],)</f>
        <v>0</v>
      </c>
      <c r="W235" s="74">
        <f>SUMIFS(SIP[[#Headers],[BO UNIT TRANSFER]]:SIP[[#This Row],[BO UNIT TRANSFER]],SIP[[#Headers],[Investor ID]]:SIP[[#This Row],[Investor ID]],SIP[[#This Row],[Investor ID]])</f>
        <v>0</v>
      </c>
    </row>
    <row r="236" spans="1:23" ht="15" customHeight="1">
      <c r="A236" s="46">
        <v>2023</v>
      </c>
      <c r="B236" s="46">
        <v>11</v>
      </c>
      <c r="C236" s="46">
        <v>5</v>
      </c>
      <c r="D236" s="65">
        <f>DATE(SIP[[#This Row],[Year]],SIP[[#This Row],[Month]],SIP[[#This Row],[Day]])</f>
        <v>45235</v>
      </c>
      <c r="E236" s="66" t="str" cm="1">
        <f t="array" ref="E236">INDEX(INVESTORS_LIST[INVESTOR NAME],MATCH(SIP[[#This Row],[Investor ID]],INVESTORS_LIST[INVESTOR CODE],0),)</f>
        <v>FAKARUDDIN ALI AHMED</v>
      </c>
      <c r="F236" s="46" t="s">
        <v>228</v>
      </c>
      <c r="G236" s="46">
        <f>COUNTIF(SIP[[#Headers],[Investor ID]]:SIP[[#This Row],[Investor ID]],SIP[[#This Row],[Investor ID]])</f>
        <v>6</v>
      </c>
      <c r="H236" s="46" t="str">
        <f>CONCATENATE(SIP[[#This Row],[Frequency]],SIP[[#This Row],[Investor ID]])</f>
        <v>6A00090</v>
      </c>
      <c r="I236" s="46" t="str">
        <f>IF(SIP[[#This Row],[B/S]]="B","BUY",(IF(SIP[[#This Row],[B/S]]="S","SELL"," ")))</f>
        <v>BUY</v>
      </c>
      <c r="J236" s="46" t="s">
        <v>1229</v>
      </c>
      <c r="K236" s="69">
        <v>10000</v>
      </c>
      <c r="L236" s="69"/>
      <c r="M236" s="70">
        <f>SIP[[#This Row],[Amount]]/SIP[[#This Row],[Unit]]</f>
        <v>10.559662090813093</v>
      </c>
      <c r="N236" s="71">
        <f>SIP[[#This Row],[Unit Capital]]/10</f>
        <v>947</v>
      </c>
      <c r="O236" s="72">
        <f>SUMIFS(SIP[[#Headers],[Unit]]:SIP[[#This Row],[Unit]],SIP[[#Headers],[Investor ID]]:SIP[[#This Row],[Investor ID]],SIP[[#This Row],[Investor ID]])</f>
        <v>3819</v>
      </c>
      <c r="P236" s="73">
        <v>9470</v>
      </c>
      <c r="Q236" s="74">
        <f>SIP[[#This Row],[Amount]]-SIP[[#This Row],[Unit Capital]]</f>
        <v>530</v>
      </c>
      <c r="R2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10.473946059177795</v>
      </c>
      <c r="S236" s="68">
        <f t="shared" si="8"/>
        <v>14.224</v>
      </c>
      <c r="T2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6" s="74" cm="1">
        <f t="array" ref="U236">IF(SIP[[#This Row],[B/S]]="S",ABS(SIP[[#This Row],[Unit]])*(INDEX(SIP[NAV at Cost (Average)],MATCH(CONCATENATE((SIP[[#This Row],[Frequency]]-1),SIP[[#This Row],[Investor ID]]),SIP[Unique Code],0),0)),0)</f>
        <v>0</v>
      </c>
      <c r="V236" s="74">
        <f>IF(SIP[[#This Row],[BO TRANSFER]]="YES",SIP[[#This Row],[Unit]],)</f>
        <v>0</v>
      </c>
      <c r="W236" s="74">
        <f>SUMIFS(SIP[[#Headers],[BO UNIT TRANSFER]]:SIP[[#This Row],[BO UNIT TRANSFER]],SIP[[#Headers],[Investor ID]]:SIP[[#This Row],[Investor ID]],SIP[[#This Row],[Investor ID]])</f>
        <v>0</v>
      </c>
    </row>
    <row r="237" spans="1:23" ht="15" customHeight="1">
      <c r="A237" s="46">
        <v>2023</v>
      </c>
      <c r="B237" s="46">
        <v>11</v>
      </c>
      <c r="C237" s="46">
        <v>5</v>
      </c>
      <c r="D237" s="65">
        <f>DATE(SIP[[#This Row],[Year]],SIP[[#This Row],[Month]],SIP[[#This Row],[Day]])</f>
        <v>45235</v>
      </c>
      <c r="E237" s="66" t="str" cm="1">
        <f t="array" ref="E237">INDEX(INVESTORS_LIST[INVESTOR NAME],MATCH(SIP[[#This Row],[Investor ID]],INVESTORS_LIST[INVESTOR CODE],0),)</f>
        <v>AHMED FARUK</v>
      </c>
      <c r="F237" s="46" t="s">
        <v>912</v>
      </c>
      <c r="G237" s="46">
        <f>COUNTIF(SIP[[#Headers],[Investor ID]]:SIP[[#This Row],[Investor ID]],SIP[[#This Row],[Investor ID]])</f>
        <v>3</v>
      </c>
      <c r="H237" s="46" t="str">
        <f>CONCATENATE(SIP[[#This Row],[Frequency]],SIP[[#This Row],[Investor ID]])</f>
        <v>3A00433</v>
      </c>
      <c r="I237" s="46" t="str">
        <f>IF(SIP[[#This Row],[B/S]]="B","BUY",(IF(SIP[[#This Row],[B/S]]="S","SELL"," ")))</f>
        <v>BUY</v>
      </c>
      <c r="J237" s="46" t="s">
        <v>1229</v>
      </c>
      <c r="K237" s="69">
        <v>5000</v>
      </c>
      <c r="L237" s="69"/>
      <c r="M237" s="70">
        <f>SIP[[#This Row],[Amount]]/SIP[[#This Row],[Unit]]</f>
        <v>10.548523206751055</v>
      </c>
      <c r="N237" s="71">
        <f>SIP[[#This Row],[Unit Capital]]/10</f>
        <v>474</v>
      </c>
      <c r="O237" s="72">
        <f>SUMIFS(SIP[[#Headers],[Unit]]:SIP[[#This Row],[Unit]],SIP[[#Headers],[Investor ID]]:SIP[[#This Row],[Investor ID]],SIP[[#This Row],[Investor ID]])</f>
        <v>1432</v>
      </c>
      <c r="P237" s="73">
        <v>4740</v>
      </c>
      <c r="Q237" s="74">
        <f>SIP[[#This Row],[Amount]]-SIP[[#This Row],[Unit Capital]]</f>
        <v>260</v>
      </c>
      <c r="R2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10.47486033519553</v>
      </c>
      <c r="S237" s="68">
        <f t="shared" si="8"/>
        <v>14.224</v>
      </c>
      <c r="T2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7" s="74" cm="1">
        <f t="array" ref="U237">IF(SIP[[#This Row],[B/S]]="S",ABS(SIP[[#This Row],[Unit]])*(INDEX(SIP[NAV at Cost (Average)],MATCH(CONCATENATE((SIP[[#This Row],[Frequency]]-1),SIP[[#This Row],[Investor ID]]),SIP[Unique Code],0),0)),0)</f>
        <v>0</v>
      </c>
      <c r="V237" s="74">
        <f>IF(SIP[[#This Row],[BO TRANSFER]]="YES",SIP[[#This Row],[Unit]],)</f>
        <v>0</v>
      </c>
      <c r="W237" s="74">
        <f>SUMIFS(SIP[[#Headers],[BO UNIT TRANSFER]]:SIP[[#This Row],[BO UNIT TRANSFER]],SIP[[#Headers],[Investor ID]]:SIP[[#This Row],[Investor ID]],SIP[[#This Row],[Investor ID]])</f>
        <v>0</v>
      </c>
    </row>
    <row r="238" spans="1:23" ht="15" customHeight="1">
      <c r="A238" s="46">
        <v>2023</v>
      </c>
      <c r="B238" s="46">
        <v>11</v>
      </c>
      <c r="C238" s="46">
        <v>5</v>
      </c>
      <c r="D238" s="65">
        <f>DATE(SIP[[#This Row],[Year]],SIP[[#This Row],[Month]],SIP[[#This Row],[Day]])</f>
        <v>45235</v>
      </c>
      <c r="E238" s="66" t="str" cm="1">
        <f t="array" ref="E238">INDEX(INVESTORS_LIST[INVESTOR NAME],MATCH(SIP[[#This Row],[Investor ID]],INVESTORS_LIST[INVESTOR CODE],0),)</f>
        <v>SABRIA ISLAM TALUKDER</v>
      </c>
      <c r="F238" s="46" t="s">
        <v>409</v>
      </c>
      <c r="G238" s="46">
        <f>COUNTIF(SIP[[#Headers],[Investor ID]]:SIP[[#This Row],[Investor ID]],SIP[[#This Row],[Investor ID]])</f>
        <v>3</v>
      </c>
      <c r="H238" s="46" t="str">
        <f>CONCATENATE(SIP[[#This Row],[Frequency]],SIP[[#This Row],[Investor ID]])</f>
        <v>3A00180</v>
      </c>
      <c r="I238" s="46" t="str">
        <f>IF(SIP[[#This Row],[B/S]]="B","BUY",(IF(SIP[[#This Row],[B/S]]="S","SELL"," ")))</f>
        <v>BUY</v>
      </c>
      <c r="J238" s="46" t="s">
        <v>1229</v>
      </c>
      <c r="K238" s="69">
        <v>5000</v>
      </c>
      <c r="L238" s="69"/>
      <c r="M238" s="70">
        <f>SIP[[#This Row],[Amount]]/SIP[[#This Row],[Unit]]</f>
        <v>10.548523206751055</v>
      </c>
      <c r="N238" s="71">
        <f>SIP[[#This Row],[Unit Capital]]/10</f>
        <v>474</v>
      </c>
      <c r="O238" s="72">
        <f>SUMIFS(SIP[[#Headers],[Unit]]:SIP[[#This Row],[Unit]],SIP[[#Headers],[Investor ID]]:SIP[[#This Row],[Investor ID]],SIP[[#This Row],[Investor ID]])</f>
        <v>1429</v>
      </c>
      <c r="P238" s="73">
        <v>4740</v>
      </c>
      <c r="Q238" s="74">
        <f>SIP[[#This Row],[Amount]]-SIP[[#This Row],[Unit Capital]]</f>
        <v>260</v>
      </c>
      <c r="R2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10.496850944716584</v>
      </c>
      <c r="S238" s="68">
        <f t="shared" si="8"/>
        <v>14.224</v>
      </c>
      <c r="T2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8" s="74" cm="1">
        <f t="array" ref="U238">IF(SIP[[#This Row],[B/S]]="S",ABS(SIP[[#This Row],[Unit]])*(INDEX(SIP[NAV at Cost (Average)],MATCH(CONCATENATE((SIP[[#This Row],[Frequency]]-1),SIP[[#This Row],[Investor ID]]),SIP[Unique Code],0),0)),0)</f>
        <v>0</v>
      </c>
      <c r="V238" s="74">
        <f>IF(SIP[[#This Row],[BO TRANSFER]]="YES",SIP[[#This Row],[Unit]],)</f>
        <v>0</v>
      </c>
      <c r="W238" s="74">
        <f>SUMIFS(SIP[[#Headers],[BO UNIT TRANSFER]]:SIP[[#This Row],[BO UNIT TRANSFER]],SIP[[#Headers],[Investor ID]]:SIP[[#This Row],[Investor ID]],SIP[[#This Row],[Investor ID]])</f>
        <v>0</v>
      </c>
    </row>
    <row r="239" spans="1:23" ht="15" customHeight="1">
      <c r="A239" s="46">
        <v>2023</v>
      </c>
      <c r="B239" s="46">
        <v>11</v>
      </c>
      <c r="C239" s="46">
        <v>5</v>
      </c>
      <c r="D239" s="65">
        <f>DATE(SIP[[#This Row],[Year]],SIP[[#This Row],[Month]],SIP[[#This Row],[Day]])</f>
        <v>45235</v>
      </c>
      <c r="E239" s="66" t="str" cm="1">
        <f t="array" ref="E239">INDEX(INVESTORS_LIST[INVESTOR NAME],MATCH(SIP[[#This Row],[Investor ID]],INVESTORS_LIST[INVESTOR CODE],0),)</f>
        <v>NANI GOPAL DATTA</v>
      </c>
      <c r="F239" s="46" t="s">
        <v>232</v>
      </c>
      <c r="G239" s="46">
        <f>COUNTIF(SIP[[#Headers],[Investor ID]]:SIP[[#This Row],[Investor ID]],SIP[[#This Row],[Investor ID]])</f>
        <v>1</v>
      </c>
      <c r="H239" s="46" t="str">
        <f>CONCATENATE(SIP[[#This Row],[Frequency]],SIP[[#This Row],[Investor ID]])</f>
        <v>1A00092</v>
      </c>
      <c r="I239" s="46" t="str">
        <f>IF(SIP[[#This Row],[B/S]]="B","BUY",(IF(SIP[[#This Row],[B/S]]="S","SELL"," ")))</f>
        <v>BUY</v>
      </c>
      <c r="J239" s="46" t="s">
        <v>1229</v>
      </c>
      <c r="K239" s="69">
        <v>2000</v>
      </c>
      <c r="L239" s="69"/>
      <c r="M239" s="70">
        <f>SIP[[#This Row],[Amount]]/SIP[[#This Row],[Unit]]</f>
        <v>10.582010582010582</v>
      </c>
      <c r="N239" s="71">
        <f>SIP[[#This Row],[Unit Capital]]/10</f>
        <v>189</v>
      </c>
      <c r="O239" s="72">
        <f>SUMIFS(SIP[[#Headers],[Unit]]:SIP[[#This Row],[Unit]],SIP[[#Headers],[Investor ID]]:SIP[[#This Row],[Investor ID]],SIP[[#This Row],[Investor ID]])</f>
        <v>189</v>
      </c>
      <c r="P239" s="73">
        <v>1890</v>
      </c>
      <c r="Q239" s="74">
        <f>SIP[[#This Row],[Amount]]-SIP[[#This Row],[Unit Capital]]</f>
        <v>110</v>
      </c>
      <c r="R2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10.582010582010582</v>
      </c>
      <c r="S239" s="68">
        <f t="shared" si="8"/>
        <v>14.224</v>
      </c>
      <c r="T2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9" s="74" cm="1">
        <f t="array" ref="U239">IF(SIP[[#This Row],[B/S]]="S",ABS(SIP[[#This Row],[Unit]])*(INDEX(SIP[NAV at Cost (Average)],MATCH(CONCATENATE((SIP[[#This Row],[Frequency]]-1),SIP[[#This Row],[Investor ID]]),SIP[Unique Code],0),0)),0)</f>
        <v>0</v>
      </c>
      <c r="V239" s="74">
        <f>IF(SIP[[#This Row],[BO TRANSFER]]="YES",SIP[[#This Row],[Unit]],)</f>
        <v>0</v>
      </c>
      <c r="W239" s="74">
        <f>SUMIFS(SIP[[#Headers],[BO UNIT TRANSFER]]:SIP[[#This Row],[BO UNIT TRANSFER]],SIP[[#Headers],[Investor ID]]:SIP[[#This Row],[Investor ID]],SIP[[#This Row],[Investor ID]])</f>
        <v>0</v>
      </c>
    </row>
    <row r="240" spans="1:23" ht="15" customHeight="1">
      <c r="A240" s="46">
        <v>2023</v>
      </c>
      <c r="B240" s="46">
        <v>11</v>
      </c>
      <c r="C240" s="46">
        <v>13</v>
      </c>
      <c r="D240" s="65">
        <f>DATE(SIP[[#This Row],[Year]],SIP[[#This Row],[Month]],SIP[[#This Row],[Day]])</f>
        <v>45243</v>
      </c>
      <c r="E240" s="66" t="str" cm="1">
        <f t="array" ref="E240">INDEX(INVESTORS_LIST[INVESTOR NAME],MATCH(SIP[[#This Row],[Investor ID]],INVESTORS_LIST[INVESTOR CODE],0),)</f>
        <v>JUBAIDA FARHANA HAQUE</v>
      </c>
      <c r="F240" s="46" t="s">
        <v>1065</v>
      </c>
      <c r="G240" s="46">
        <f>COUNTIF(SIP[[#Headers],[Investor ID]]:SIP[[#This Row],[Investor ID]],SIP[[#This Row],[Investor ID]])</f>
        <v>3</v>
      </c>
      <c r="H240" s="46" t="str">
        <f>CONCATENATE(SIP[[#This Row],[Frequency]],SIP[[#This Row],[Investor ID]])</f>
        <v>3A00510</v>
      </c>
      <c r="I240" s="46" t="str">
        <f>IF(SIP[[#This Row],[B/S]]="B","BUY",(IF(SIP[[#This Row],[B/S]]="S","SELL"," ")))</f>
        <v>SELL</v>
      </c>
      <c r="J240" s="46" t="s">
        <v>1231</v>
      </c>
      <c r="K240" s="69">
        <v>-5000</v>
      </c>
      <c r="L240" s="69"/>
      <c r="M240" s="70">
        <f>SIP[[#This Row],[Amount]]/SIP[[#This Row],[Unit]]</f>
        <v>10.548523206751055</v>
      </c>
      <c r="N240" s="71">
        <f>SIP[[#This Row],[Unit Capital]]/10</f>
        <v>-474</v>
      </c>
      <c r="O240" s="72">
        <f>SUMIFS(SIP[[#Headers],[Unit]]:SIP[[#This Row],[Unit]],SIP[[#Headers],[Investor ID]]:SIP[[#This Row],[Investor ID]],SIP[[#This Row],[Investor ID]])</f>
        <v>477</v>
      </c>
      <c r="P240" s="73">
        <v>-4740</v>
      </c>
      <c r="Q240" s="74">
        <f>SIP[[#This Row],[Amount]]-SIP[[#This Row],[Unit Capital]]</f>
        <v>-260</v>
      </c>
      <c r="R2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10.515247108307046</v>
      </c>
      <c r="S240" s="68">
        <f t="shared" ref="S240:S264" si="9">NAV_MKT</f>
        <v>14.224</v>
      </c>
      <c r="T240" s="74">
        <f>IF(SIP[[#This Row],[B/S]]="B",0,ABS(SIP[[#This Row],[Unit]])*(SIP[[#This Row],[NAV (Strike Rate)]]-INDEX(SIP[NAV at Cost (Average)],MATCH(CONCATENATE(SIP[[#This Row],[Frequency]]-1,SIP[[#This Row],[Investor ID]]),SIP[Unique Code],0),)))</f>
        <v>15.772870662460384</v>
      </c>
      <c r="U240" s="74" cm="1">
        <f t="array" ref="U240">IF(SIP[[#This Row],[B/S]]="S",ABS(SIP[[#This Row],[Unit]])*(INDEX(SIP[NAV at Cost (Average)],MATCH(CONCATENATE((SIP[[#This Row],[Frequency]]-1),SIP[[#This Row],[Investor ID]]),SIP[Unique Code],0),0)),0)</f>
        <v>4984.2271293375397</v>
      </c>
      <c r="V240" s="74">
        <f>IF(SIP[[#This Row],[BO TRANSFER]]="YES",SIP[[#This Row],[Unit]],)</f>
        <v>0</v>
      </c>
      <c r="W240" s="74">
        <f>SUMIFS(SIP[[#Headers],[BO UNIT TRANSFER]]:SIP[[#This Row],[BO UNIT TRANSFER]],SIP[[#Headers],[Investor ID]]:SIP[[#This Row],[Investor ID]],SIP[[#This Row],[Investor ID]])</f>
        <v>0</v>
      </c>
    </row>
    <row r="241" spans="1:23" ht="15" customHeight="1">
      <c r="A241" s="46">
        <v>2023</v>
      </c>
      <c r="B241" s="46">
        <v>11</v>
      </c>
      <c r="C241" s="46">
        <v>15</v>
      </c>
      <c r="D241" s="65">
        <f>DATE(SIP[[#This Row],[Year]],SIP[[#This Row],[Month]],SIP[[#This Row],[Day]])</f>
        <v>45245</v>
      </c>
      <c r="E241" s="66" t="str" cm="1">
        <f t="array" ref="E241">INDEX(INVESTORS_LIST[INVESTOR NAME],MATCH(SIP[[#This Row],[Investor ID]],INVESTORS_LIST[INVESTOR CODE],0),)</f>
        <v>MD. RAFIQUR RAHMAN</v>
      </c>
      <c r="F241" s="46" t="s">
        <v>622</v>
      </c>
      <c r="G241" s="46">
        <f>COUNTIF(SIP[[#Headers],[Investor ID]]:SIP[[#This Row],[Investor ID]],SIP[[#This Row],[Investor ID]])</f>
        <v>3</v>
      </c>
      <c r="H241" s="46" t="str">
        <f>CONCATENATE(SIP[[#This Row],[Frequency]],SIP[[#This Row],[Investor ID]])</f>
        <v>3A00287</v>
      </c>
      <c r="I241" s="46" t="str">
        <f>IF(SIP[[#This Row],[B/S]]="B","BUY",(IF(SIP[[#This Row],[B/S]]="S","SELL"," ")))</f>
        <v>BUY</v>
      </c>
      <c r="J241" s="46" t="s">
        <v>1229</v>
      </c>
      <c r="K241" s="69">
        <v>20000</v>
      </c>
      <c r="L241" s="69"/>
      <c r="M241" s="70">
        <f>SIP[[#This Row],[Amount]]/SIP[[#This Row],[Unit]]</f>
        <v>10.565240359218173</v>
      </c>
      <c r="N241" s="71">
        <f>SIP[[#This Row],[Unit Capital]]/10</f>
        <v>1893</v>
      </c>
      <c r="O241" s="72">
        <f>SUMIFS(SIP[[#Headers],[Unit]]:SIP[[#This Row],[Unit]],SIP[[#Headers],[Investor ID]]:SIP[[#This Row],[Investor ID]],SIP[[#This Row],[Investor ID]])</f>
        <v>5707</v>
      </c>
      <c r="P241" s="73">
        <v>18930</v>
      </c>
      <c r="Q241" s="74">
        <f>SIP[[#This Row],[Amount]]-SIP[[#This Row],[Unit Capital]]</f>
        <v>1070</v>
      </c>
      <c r="R2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10.513404590853337</v>
      </c>
      <c r="S241" s="68">
        <f t="shared" si="9"/>
        <v>14.224</v>
      </c>
      <c r="T2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1" s="74" cm="1">
        <f t="array" ref="U241">IF(SIP[[#This Row],[B/S]]="S",ABS(SIP[[#This Row],[Unit]])*(INDEX(SIP[NAV at Cost (Average)],MATCH(CONCATENATE((SIP[[#This Row],[Frequency]]-1),SIP[[#This Row],[Investor ID]]),SIP[Unique Code],0),0)),0)</f>
        <v>0</v>
      </c>
      <c r="V241" s="74">
        <f>IF(SIP[[#This Row],[BO TRANSFER]]="YES",SIP[[#This Row],[Unit]],)</f>
        <v>0</v>
      </c>
      <c r="W241" s="74">
        <f>SUMIFS(SIP[[#Headers],[BO UNIT TRANSFER]]:SIP[[#This Row],[BO UNIT TRANSFER]],SIP[[#Headers],[Investor ID]]:SIP[[#This Row],[Investor ID]],SIP[[#This Row],[Investor ID]])</f>
        <v>0</v>
      </c>
    </row>
    <row r="242" spans="1:23" ht="15" customHeight="1">
      <c r="A242" s="46">
        <v>2023</v>
      </c>
      <c r="B242" s="46">
        <v>11</v>
      </c>
      <c r="C242" s="46">
        <v>15</v>
      </c>
      <c r="D242" s="65">
        <f>DATE(SIP[[#This Row],[Year]],SIP[[#This Row],[Month]],SIP[[#This Row],[Day]])</f>
        <v>45245</v>
      </c>
      <c r="E242" s="66" t="str" cm="1">
        <f t="array" ref="E242">INDEX(INVESTORS_LIST[INVESTOR NAME],MATCH(SIP[[#This Row],[Investor ID]],INVESTORS_LIST[INVESTOR CODE],0),)</f>
        <v>CHANCHAL KUMAR SAHA</v>
      </c>
      <c r="F242" s="46" t="s">
        <v>569</v>
      </c>
      <c r="G242" s="46">
        <f>COUNTIF(SIP[[#Headers],[Investor ID]]:SIP[[#This Row],[Investor ID]],SIP[[#This Row],[Investor ID]])</f>
        <v>2</v>
      </c>
      <c r="H242" s="46" t="str">
        <f>CONCATENATE(SIP[[#This Row],[Frequency]],SIP[[#This Row],[Investor ID]])</f>
        <v>2A00260</v>
      </c>
      <c r="I242" s="46" t="str">
        <f>IF(SIP[[#This Row],[B/S]]="B","BUY",(IF(SIP[[#This Row],[B/S]]="S","SELL"," ")))</f>
        <v>BUY</v>
      </c>
      <c r="J242" s="46" t="s">
        <v>1229</v>
      </c>
      <c r="K242" s="69">
        <v>15000</v>
      </c>
      <c r="L242" s="69"/>
      <c r="M242" s="70">
        <f>SIP[[#This Row],[Amount]]/SIP[[#This Row],[Unit]]</f>
        <v>10.56338028169014</v>
      </c>
      <c r="N242" s="71">
        <f>SIP[[#This Row],[Unit Capital]]/10</f>
        <v>1420</v>
      </c>
      <c r="O242" s="72">
        <f>SUMIFS(SIP[[#Headers],[Unit]]:SIP[[#This Row],[Unit]],SIP[[#Headers],[Investor ID]]:SIP[[#This Row],[Investor ID]],SIP[[#This Row],[Investor ID]])</f>
        <v>2847</v>
      </c>
      <c r="P242" s="73">
        <v>14200</v>
      </c>
      <c r="Q242" s="74">
        <f>SIP[[#This Row],[Amount]]-SIP[[#This Row],[Unit Capital]]</f>
        <v>800</v>
      </c>
      <c r="R2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10.537407797681769</v>
      </c>
      <c r="S242" s="68">
        <f t="shared" si="9"/>
        <v>14.224</v>
      </c>
      <c r="T2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2" s="74" cm="1">
        <f t="array" ref="U242">IF(SIP[[#This Row],[B/S]]="S",ABS(SIP[[#This Row],[Unit]])*(INDEX(SIP[NAV at Cost (Average)],MATCH(CONCATENATE((SIP[[#This Row],[Frequency]]-1),SIP[[#This Row],[Investor ID]]),SIP[Unique Code],0),0)),0)</f>
        <v>0</v>
      </c>
      <c r="V242" s="74">
        <f>IF(SIP[[#This Row],[BO TRANSFER]]="YES",SIP[[#This Row],[Unit]],)</f>
        <v>0</v>
      </c>
      <c r="W242" s="74">
        <f>SUMIFS(SIP[[#Headers],[BO UNIT TRANSFER]]:SIP[[#This Row],[BO UNIT TRANSFER]],SIP[[#Headers],[Investor ID]]:SIP[[#This Row],[Investor ID]],SIP[[#This Row],[Investor ID]])</f>
        <v>0</v>
      </c>
    </row>
    <row r="243" spans="1:23" ht="15" customHeight="1">
      <c r="A243" s="46">
        <v>2023</v>
      </c>
      <c r="B243" s="46">
        <v>11</v>
      </c>
      <c r="C243" s="46">
        <v>15</v>
      </c>
      <c r="D243" s="65">
        <f>DATE(SIP[[#This Row],[Year]],SIP[[#This Row],[Month]],SIP[[#This Row],[Day]])</f>
        <v>45245</v>
      </c>
      <c r="E243" s="66" t="str" cm="1">
        <f t="array" ref="E243">INDEX(INVESTORS_LIST[INVESTOR NAME],MATCH(SIP[[#This Row],[Investor ID]],INVESTORS_LIST[INVESTOR CODE],0),)</f>
        <v>SANJIB KUMAR ROY</v>
      </c>
      <c r="F243" s="46" t="s">
        <v>1020</v>
      </c>
      <c r="G243" s="46">
        <f>COUNTIF(SIP[[#Headers],[Investor ID]]:SIP[[#This Row],[Investor ID]],SIP[[#This Row],[Investor ID]])</f>
        <v>6</v>
      </c>
      <c r="H243" s="46" t="str">
        <f>CONCATENATE(SIP[[#This Row],[Frequency]],SIP[[#This Row],[Investor ID]])</f>
        <v>6A00487</v>
      </c>
      <c r="I243" s="46" t="str">
        <f>IF(SIP[[#This Row],[B/S]]="B","BUY",(IF(SIP[[#This Row],[B/S]]="S","SELL"," ")))</f>
        <v>BUY</v>
      </c>
      <c r="J243" s="46" t="s">
        <v>1229</v>
      </c>
      <c r="K243" s="69">
        <v>5000</v>
      </c>
      <c r="L243" s="69"/>
      <c r="M243" s="70">
        <f>SIP[[#This Row],[Amount]]/SIP[[#This Row],[Unit]]</f>
        <v>10.570824524312897</v>
      </c>
      <c r="N243" s="71">
        <f>SIP[[#This Row],[Unit Capital]]/10</f>
        <v>473</v>
      </c>
      <c r="O243" s="72">
        <f>SUMIFS(SIP[[#Headers],[Unit]]:SIP[[#This Row],[Unit]],SIP[[#Headers],[Investor ID]]:SIP[[#This Row],[Investor ID]],SIP[[#This Row],[Investor ID]])</f>
        <v>2882</v>
      </c>
      <c r="P243" s="73">
        <v>4730</v>
      </c>
      <c r="Q243" s="74">
        <f>SIP[[#This Row],[Amount]]-SIP[[#This Row],[Unit Capital]]</f>
        <v>270</v>
      </c>
      <c r="R2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10.409437890353921</v>
      </c>
      <c r="S243" s="68">
        <f t="shared" si="9"/>
        <v>14.224</v>
      </c>
      <c r="T2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3" s="74" cm="1">
        <f t="array" ref="U243">IF(SIP[[#This Row],[B/S]]="S",ABS(SIP[[#This Row],[Unit]])*(INDEX(SIP[NAV at Cost (Average)],MATCH(CONCATENATE((SIP[[#This Row],[Frequency]]-1),SIP[[#This Row],[Investor ID]]),SIP[Unique Code],0),0)),0)</f>
        <v>0</v>
      </c>
      <c r="V243" s="74">
        <f>IF(SIP[[#This Row],[BO TRANSFER]]="YES",SIP[[#This Row],[Unit]],)</f>
        <v>0</v>
      </c>
      <c r="W243" s="74">
        <f>SUMIFS(SIP[[#Headers],[BO UNIT TRANSFER]]:SIP[[#This Row],[BO UNIT TRANSFER]],SIP[[#Headers],[Investor ID]]:SIP[[#This Row],[Investor ID]],SIP[[#This Row],[Investor ID]])</f>
        <v>0</v>
      </c>
    </row>
    <row r="244" spans="1:23" ht="15" customHeight="1">
      <c r="A244" s="46">
        <v>2023</v>
      </c>
      <c r="B244" s="46">
        <v>11</v>
      </c>
      <c r="C244" s="46">
        <v>26</v>
      </c>
      <c r="D244" s="65">
        <f>DATE(SIP[[#This Row],[Year]],SIP[[#This Row],[Month]],SIP[[#This Row],[Day]])</f>
        <v>45256</v>
      </c>
      <c r="E244" s="66" t="str" cm="1">
        <f t="array" ref="E244">INDEX(INVESTORS_LIST[INVESTOR NAME],MATCH(SIP[[#This Row],[Investor ID]],INVESTORS_LIST[INVESTOR CODE],0),)</f>
        <v>MD. WALI ULLAH</v>
      </c>
      <c r="F244" s="46" t="s">
        <v>443</v>
      </c>
      <c r="G244" s="46">
        <f>COUNTIF(SIP[[#Headers],[Investor ID]]:SIP[[#This Row],[Investor ID]],SIP[[#This Row],[Investor ID]])</f>
        <v>7</v>
      </c>
      <c r="H244" s="46" t="str">
        <f>CONCATENATE(SIP[[#This Row],[Frequency]],SIP[[#This Row],[Investor ID]])</f>
        <v>7A00197</v>
      </c>
      <c r="I244" s="46" t="str">
        <f>IF(SIP[[#This Row],[B/S]]="B","BUY",(IF(SIP[[#This Row],[B/S]]="S","SELL"," ")))</f>
        <v>BUY</v>
      </c>
      <c r="J244" s="46" t="s">
        <v>1229</v>
      </c>
      <c r="K244" s="69">
        <v>15000</v>
      </c>
      <c r="L244" s="69"/>
      <c r="M244" s="70">
        <f>SIP[[#This Row],[Amount]]/SIP[[#This Row],[Unit]]</f>
        <v>10.59322033898305</v>
      </c>
      <c r="N244" s="71">
        <f>SIP[[#This Row],[Unit Capital]]/10</f>
        <v>1416</v>
      </c>
      <c r="O244" s="72">
        <f>SUMIFS(SIP[[#Headers],[Unit]]:SIP[[#This Row],[Unit]],SIP[[#Headers],[Investor ID]]:SIP[[#This Row],[Investor ID]],SIP[[#This Row],[Investor ID]])</f>
        <v>10093</v>
      </c>
      <c r="P244" s="73">
        <v>14160</v>
      </c>
      <c r="Q244" s="74">
        <f>SIP[[#This Row],[Amount]]-SIP[[#This Row],[Unit Capital]]</f>
        <v>840</v>
      </c>
      <c r="R2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10.403249777073217</v>
      </c>
      <c r="S244" s="68">
        <f t="shared" si="9"/>
        <v>14.224</v>
      </c>
      <c r="T2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4" s="74" cm="1">
        <f t="array" ref="U244">IF(SIP[[#This Row],[B/S]]="S",ABS(SIP[[#This Row],[Unit]])*(INDEX(SIP[NAV at Cost (Average)],MATCH(CONCATENATE((SIP[[#This Row],[Frequency]]-1),SIP[[#This Row],[Investor ID]]),SIP[Unique Code],0),0)),0)</f>
        <v>0</v>
      </c>
      <c r="V244" s="74">
        <f>IF(SIP[[#This Row],[BO TRANSFER]]="YES",SIP[[#This Row],[Unit]],)</f>
        <v>0</v>
      </c>
      <c r="W244" s="74">
        <f>SUMIFS(SIP[[#Headers],[BO UNIT TRANSFER]]:SIP[[#This Row],[BO UNIT TRANSFER]],SIP[[#Headers],[Investor ID]]:SIP[[#This Row],[Investor ID]],SIP[[#This Row],[Investor ID]])</f>
        <v>0</v>
      </c>
    </row>
    <row r="245" spans="1:23" ht="15" customHeight="1">
      <c r="A245" s="46">
        <v>2023</v>
      </c>
      <c r="B245" s="46">
        <v>11</v>
      </c>
      <c r="C245" s="46">
        <v>26</v>
      </c>
      <c r="D245" s="65">
        <f>DATE(SIP[[#This Row],[Year]],SIP[[#This Row],[Month]],SIP[[#This Row],[Day]])</f>
        <v>45256</v>
      </c>
      <c r="E245" s="66" t="str" cm="1">
        <f t="array" ref="E245">INDEX(INVESTORS_LIST[INVESTOR NAME],MATCH(SIP[[#This Row],[Investor ID]],INVESTORS_LIST[INVESTOR CODE],0),)</f>
        <v>MOHAMMAD HASAN</v>
      </c>
      <c r="F245" s="46" t="s">
        <v>1010</v>
      </c>
      <c r="G245" s="46">
        <f>COUNTIF(SIP[[#Headers],[Investor ID]]:SIP[[#This Row],[Investor ID]],SIP[[#This Row],[Investor ID]])</f>
        <v>6</v>
      </c>
      <c r="H245" s="46" t="str">
        <f>CONCATENATE(SIP[[#This Row],[Frequency]],SIP[[#This Row],[Investor ID]])</f>
        <v>6A00482</v>
      </c>
      <c r="I245" s="46" t="str">
        <f>IF(SIP[[#This Row],[B/S]]="B","BUY",(IF(SIP[[#This Row],[B/S]]="S","SELL"," ")))</f>
        <v>BUY</v>
      </c>
      <c r="J245" s="46" t="s">
        <v>1229</v>
      </c>
      <c r="K245" s="69">
        <v>5000</v>
      </c>
      <c r="L245" s="69"/>
      <c r="M245" s="70">
        <f>SIP[[#This Row],[Amount]]/SIP[[#This Row],[Unit]]</f>
        <v>10.59322033898305</v>
      </c>
      <c r="N245" s="71">
        <f>SIP[[#This Row],[Unit Capital]]/10</f>
        <v>472</v>
      </c>
      <c r="O245" s="72">
        <f>SUMIFS(SIP[[#Headers],[Unit]]:SIP[[#This Row],[Unit]],SIP[[#Headers],[Investor ID]]:SIP[[#This Row],[Investor ID]],SIP[[#This Row],[Investor ID]])</f>
        <v>2873</v>
      </c>
      <c r="P245" s="73">
        <v>4720</v>
      </c>
      <c r="Q245" s="74">
        <f>SIP[[#This Row],[Amount]]-SIP[[#This Row],[Unit Capital]]</f>
        <v>280</v>
      </c>
      <c r="R2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45" s="68">
        <f t="shared" si="9"/>
        <v>14.224</v>
      </c>
      <c r="T2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5" s="74" cm="1">
        <f t="array" ref="U245">IF(SIP[[#This Row],[B/S]]="S",ABS(SIP[[#This Row],[Unit]])*(INDEX(SIP[NAV at Cost (Average)],MATCH(CONCATENATE((SIP[[#This Row],[Frequency]]-1),SIP[[#This Row],[Investor ID]]),SIP[Unique Code],0),0)),0)</f>
        <v>0</v>
      </c>
      <c r="V245" s="74">
        <f>IF(SIP[[#This Row],[BO TRANSFER]]="YES",SIP[[#This Row],[Unit]],)</f>
        <v>0</v>
      </c>
      <c r="W245" s="74">
        <f>SUMIFS(SIP[[#Headers],[BO UNIT TRANSFER]]:SIP[[#This Row],[BO UNIT TRANSFER]],SIP[[#Headers],[Investor ID]]:SIP[[#This Row],[Investor ID]],SIP[[#This Row],[Investor ID]])</f>
        <v>0</v>
      </c>
    </row>
    <row r="246" spans="1:23" ht="15" customHeight="1">
      <c r="A246" s="46">
        <v>2023</v>
      </c>
      <c r="B246" s="46">
        <v>11</v>
      </c>
      <c r="C246" s="46">
        <v>26</v>
      </c>
      <c r="D246" s="65">
        <f>DATE(SIP[[#This Row],[Year]],SIP[[#This Row],[Month]],SIP[[#This Row],[Day]])</f>
        <v>45256</v>
      </c>
      <c r="E246" s="66" t="str" cm="1">
        <f t="array" ref="E246">INDEX(INVESTORS_LIST[INVESTOR NAME],MATCH(SIP[[#This Row],[Investor ID]],INVESTORS_LIST[INVESTOR CODE],0),)</f>
        <v>ABU MUSA MIRZA KAMRUZZAMAN SHAHEE</v>
      </c>
      <c r="F246" s="46" t="s">
        <v>1012</v>
      </c>
      <c r="G246" s="46">
        <f>COUNTIF(SIP[[#Headers],[Investor ID]]:SIP[[#This Row],[Investor ID]],SIP[[#This Row],[Investor ID]])</f>
        <v>6</v>
      </c>
      <c r="H246" s="46" t="str">
        <f>CONCATENATE(SIP[[#This Row],[Frequency]],SIP[[#This Row],[Investor ID]])</f>
        <v>6A00483</v>
      </c>
      <c r="I246" s="46" t="str">
        <f>IF(SIP[[#This Row],[B/S]]="B","BUY",(IF(SIP[[#This Row],[B/S]]="S","SELL"," ")))</f>
        <v>BUY</v>
      </c>
      <c r="J246" s="46" t="s">
        <v>1229</v>
      </c>
      <c r="K246" s="69">
        <v>5000</v>
      </c>
      <c r="L246" s="69"/>
      <c r="M246" s="70">
        <f>SIP[[#This Row],[Amount]]/SIP[[#This Row],[Unit]]</f>
        <v>10.59322033898305</v>
      </c>
      <c r="N246" s="71">
        <f>SIP[[#This Row],[Unit Capital]]/10</f>
        <v>472</v>
      </c>
      <c r="O246" s="72">
        <f>SUMIFS(SIP[[#Headers],[Unit]]:SIP[[#This Row],[Unit]],SIP[[#Headers],[Investor ID]]:SIP[[#This Row],[Investor ID]],SIP[[#This Row],[Investor ID]])</f>
        <v>2873</v>
      </c>
      <c r="P246" s="73">
        <v>4720</v>
      </c>
      <c r="Q246" s="74">
        <f>SIP[[#This Row],[Amount]]-SIP[[#This Row],[Unit Capital]]</f>
        <v>280</v>
      </c>
      <c r="R2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46" s="68">
        <f t="shared" si="9"/>
        <v>14.224</v>
      </c>
      <c r="T2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6" s="74" cm="1">
        <f t="array" ref="U246">IF(SIP[[#This Row],[B/S]]="S",ABS(SIP[[#This Row],[Unit]])*(INDEX(SIP[NAV at Cost (Average)],MATCH(CONCATENATE((SIP[[#This Row],[Frequency]]-1),SIP[[#This Row],[Investor ID]]),SIP[Unique Code],0),0)),0)</f>
        <v>0</v>
      </c>
      <c r="V246" s="74">
        <f>IF(SIP[[#This Row],[BO TRANSFER]]="YES",SIP[[#This Row],[Unit]],)</f>
        <v>0</v>
      </c>
      <c r="W246" s="74">
        <f>SUMIFS(SIP[[#Headers],[BO UNIT TRANSFER]]:SIP[[#This Row],[BO UNIT TRANSFER]],SIP[[#Headers],[Investor ID]]:SIP[[#This Row],[Investor ID]],SIP[[#This Row],[Investor ID]])</f>
        <v>0</v>
      </c>
    </row>
    <row r="247" spans="1:23" ht="15" customHeight="1">
      <c r="A247" s="46">
        <v>2023</v>
      </c>
      <c r="B247" s="46">
        <v>11</v>
      </c>
      <c r="C247" s="46">
        <v>26</v>
      </c>
      <c r="D247" s="65">
        <f>DATE(SIP[[#This Row],[Year]],SIP[[#This Row],[Month]],SIP[[#This Row],[Day]])</f>
        <v>45256</v>
      </c>
      <c r="E247" s="66" t="str" cm="1">
        <f t="array" ref="E247">INDEX(INVESTORS_LIST[INVESTOR NAME],MATCH(SIP[[#This Row],[Investor ID]],INVESTORS_LIST[INVESTOR CODE],0),)</f>
        <v>AKASH DEEP PAUL</v>
      </c>
      <c r="F247" s="46" t="s">
        <v>286</v>
      </c>
      <c r="G247" s="46">
        <f>COUNTIF(SIP[[#Headers],[Investor ID]]:SIP[[#This Row],[Investor ID]],SIP[[#This Row],[Investor ID]])</f>
        <v>6</v>
      </c>
      <c r="H247" s="46" t="str">
        <f>CONCATENATE(SIP[[#This Row],[Frequency]],SIP[[#This Row],[Investor ID]])</f>
        <v>6A00119</v>
      </c>
      <c r="I247" s="46" t="str">
        <f>IF(SIP[[#This Row],[B/S]]="B","BUY",(IF(SIP[[#This Row],[B/S]]="S","SELL"," ")))</f>
        <v>BUY</v>
      </c>
      <c r="J247" s="46" t="s">
        <v>1229</v>
      </c>
      <c r="K247" s="69">
        <v>5000</v>
      </c>
      <c r="L247" s="69"/>
      <c r="M247" s="70">
        <f>SIP[[#This Row],[Amount]]/SIP[[#This Row],[Unit]]</f>
        <v>10.59322033898305</v>
      </c>
      <c r="N247" s="71">
        <f>SIP[[#This Row],[Unit Capital]]/10</f>
        <v>472</v>
      </c>
      <c r="O247" s="72">
        <f>SUMIFS(SIP[[#Headers],[Unit]]:SIP[[#This Row],[Unit]],SIP[[#Headers],[Investor ID]]:SIP[[#This Row],[Investor ID]],SIP[[#This Row],[Investor ID]])</f>
        <v>2873</v>
      </c>
      <c r="P247" s="73">
        <v>4720</v>
      </c>
      <c r="Q247" s="74">
        <f>SIP[[#This Row],[Amount]]-SIP[[#This Row],[Unit Capital]]</f>
        <v>280</v>
      </c>
      <c r="R2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47" s="68">
        <f t="shared" si="9"/>
        <v>14.224</v>
      </c>
      <c r="T2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7" s="74" cm="1">
        <f t="array" ref="U247">IF(SIP[[#This Row],[B/S]]="S",ABS(SIP[[#This Row],[Unit]])*(INDEX(SIP[NAV at Cost (Average)],MATCH(CONCATENATE((SIP[[#This Row],[Frequency]]-1),SIP[[#This Row],[Investor ID]]),SIP[Unique Code],0),0)),0)</f>
        <v>0</v>
      </c>
      <c r="V247" s="74">
        <f>IF(SIP[[#This Row],[BO TRANSFER]]="YES",SIP[[#This Row],[Unit]],)</f>
        <v>0</v>
      </c>
      <c r="W247" s="74">
        <f>SUMIFS(SIP[[#Headers],[BO UNIT TRANSFER]]:SIP[[#This Row],[BO UNIT TRANSFER]],SIP[[#Headers],[Investor ID]]:SIP[[#This Row],[Investor ID]],SIP[[#This Row],[Investor ID]])</f>
        <v>0</v>
      </c>
    </row>
    <row r="248" spans="1:23" ht="15" customHeight="1">
      <c r="A248" s="46">
        <v>2023</v>
      </c>
      <c r="B248" s="46">
        <v>11</v>
      </c>
      <c r="C248" s="46">
        <v>26</v>
      </c>
      <c r="D248" s="65">
        <f>DATE(SIP[[#This Row],[Year]],SIP[[#This Row],[Month]],SIP[[#This Row],[Day]])</f>
        <v>45256</v>
      </c>
      <c r="E248" s="66" t="str" cm="1">
        <f t="array" ref="E248">INDEX(INVESTORS_LIST[INVESTOR NAME],MATCH(SIP[[#This Row],[Investor ID]],INVESTORS_LIST[INVESTOR CODE],0),)</f>
        <v>JUBAIDA FARHANA HAQUE</v>
      </c>
      <c r="F248" s="46" t="s">
        <v>1065</v>
      </c>
      <c r="G248" s="46">
        <f>COUNTIF(SIP[[#Headers],[Investor ID]]:SIP[[#This Row],[Investor ID]],SIP[[#This Row],[Investor ID]])</f>
        <v>4</v>
      </c>
      <c r="H248" s="46" t="str">
        <f>CONCATENATE(SIP[[#This Row],[Frequency]],SIP[[#This Row],[Investor ID]])</f>
        <v>4A00510</v>
      </c>
      <c r="I248" s="46" t="str">
        <f>IF(SIP[[#This Row],[B/S]]="B","BUY",(IF(SIP[[#This Row],[B/S]]="S","SELL"," ")))</f>
        <v>BUY</v>
      </c>
      <c r="J248" s="46" t="s">
        <v>1229</v>
      </c>
      <c r="K248" s="69">
        <v>5000</v>
      </c>
      <c r="L248" s="69"/>
      <c r="M248" s="70">
        <f>SIP[[#This Row],[Amount]]/SIP[[#This Row],[Unit]]</f>
        <v>10.59322033898305</v>
      </c>
      <c r="N248" s="71">
        <f>SIP[[#This Row],[Unit Capital]]/10</f>
        <v>472</v>
      </c>
      <c r="O248" s="72">
        <f>SUMIFS(SIP[[#Headers],[Unit]]:SIP[[#This Row],[Unit]],SIP[[#Headers],[Investor ID]]:SIP[[#This Row],[Investor ID]],SIP[[#This Row],[Investor ID]])</f>
        <v>949</v>
      </c>
      <c r="P248" s="73">
        <v>4720</v>
      </c>
      <c r="Q248" s="74">
        <f>SIP[[#This Row],[Amount]]-SIP[[#This Row],[Unit Capital]]</f>
        <v>280</v>
      </c>
      <c r="R2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10.554028314712813</v>
      </c>
      <c r="S248" s="68">
        <f t="shared" si="9"/>
        <v>14.224</v>
      </c>
      <c r="T2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8" s="74" cm="1">
        <f t="array" ref="U248">IF(SIP[[#This Row],[B/S]]="S",ABS(SIP[[#This Row],[Unit]])*(INDEX(SIP[NAV at Cost (Average)],MATCH(CONCATENATE((SIP[[#This Row],[Frequency]]-1),SIP[[#This Row],[Investor ID]]),SIP[Unique Code],0),0)),0)</f>
        <v>0</v>
      </c>
      <c r="V248" s="74">
        <f>IF(SIP[[#This Row],[BO TRANSFER]]="YES",SIP[[#This Row],[Unit]],)</f>
        <v>0</v>
      </c>
      <c r="W248" s="74">
        <f>SUMIFS(SIP[[#Headers],[BO UNIT TRANSFER]]:SIP[[#This Row],[BO UNIT TRANSFER]],SIP[[#Headers],[Investor ID]]:SIP[[#This Row],[Investor ID]],SIP[[#This Row],[Investor ID]])</f>
        <v>0</v>
      </c>
    </row>
    <row r="249" spans="1:23" ht="15" customHeight="1">
      <c r="A249" s="46">
        <v>2023</v>
      </c>
      <c r="B249" s="46">
        <v>11</v>
      </c>
      <c r="C249" s="46">
        <v>26</v>
      </c>
      <c r="D249" s="65">
        <f>DATE(SIP[[#This Row],[Year]],SIP[[#This Row],[Month]],SIP[[#This Row],[Day]])</f>
        <v>45256</v>
      </c>
      <c r="E249" s="66" t="str" cm="1">
        <f t="array" ref="E249">INDEX(INVESTORS_LIST[INVESTOR NAME],MATCH(SIP[[#This Row],[Investor ID]],INVESTORS_LIST[INVESTOR CODE],0),)</f>
        <v>KHALED HOSSAIN</v>
      </c>
      <c r="F249" s="46" t="s">
        <v>1050</v>
      </c>
      <c r="G249" s="46">
        <f>COUNTIF(SIP[[#Headers],[Investor ID]]:SIP[[#This Row],[Investor ID]],SIP[[#This Row],[Investor ID]])</f>
        <v>6</v>
      </c>
      <c r="H249" s="46" t="str">
        <f>CONCATENATE(SIP[[#This Row],[Frequency]],SIP[[#This Row],[Investor ID]])</f>
        <v>6A00502</v>
      </c>
      <c r="I249" s="46" t="str">
        <f>IF(SIP[[#This Row],[B/S]]="B","BUY",(IF(SIP[[#This Row],[B/S]]="S","SELL"," ")))</f>
        <v>BUY</v>
      </c>
      <c r="J249" s="46" t="s">
        <v>1229</v>
      </c>
      <c r="K249" s="69">
        <v>10000</v>
      </c>
      <c r="L249" s="69"/>
      <c r="M249" s="70">
        <f>SIP[[#This Row],[Amount]]/SIP[[#This Row],[Unit]]</f>
        <v>10.59322033898305</v>
      </c>
      <c r="N249" s="71">
        <f>SIP[[#This Row],[Unit Capital]]/10</f>
        <v>944</v>
      </c>
      <c r="O249" s="72">
        <f>SUMIFS(SIP[[#Headers],[Unit]]:SIP[[#This Row],[Unit]],SIP[[#Headers],[Investor ID]]:SIP[[#This Row],[Investor ID]],SIP[[#This Row],[Investor ID]])</f>
        <v>5747</v>
      </c>
      <c r="P249" s="73">
        <v>9440</v>
      </c>
      <c r="Q249" s="74">
        <f>SIP[[#This Row],[Amount]]-SIP[[#This Row],[Unit Capital]]</f>
        <v>560</v>
      </c>
      <c r="R2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10.440229685053072</v>
      </c>
      <c r="S249" s="68">
        <f t="shared" si="9"/>
        <v>14.224</v>
      </c>
      <c r="T2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9" s="74" cm="1">
        <f t="array" ref="U249">IF(SIP[[#This Row],[B/S]]="S",ABS(SIP[[#This Row],[Unit]])*(INDEX(SIP[NAV at Cost (Average)],MATCH(CONCATENATE((SIP[[#This Row],[Frequency]]-1),SIP[[#This Row],[Investor ID]]),SIP[Unique Code],0),0)),0)</f>
        <v>0</v>
      </c>
      <c r="V249" s="74">
        <f>IF(SIP[[#This Row],[BO TRANSFER]]="YES",SIP[[#This Row],[Unit]],)</f>
        <v>0</v>
      </c>
      <c r="W249" s="74">
        <f>SUMIFS(SIP[[#Headers],[BO UNIT TRANSFER]]:SIP[[#This Row],[BO UNIT TRANSFER]],SIP[[#Headers],[Investor ID]]:SIP[[#This Row],[Investor ID]],SIP[[#This Row],[Investor ID]])</f>
        <v>0</v>
      </c>
    </row>
    <row r="250" spans="1:23" ht="15" customHeight="1">
      <c r="A250" s="46">
        <v>2023</v>
      </c>
      <c r="B250" s="46">
        <v>11</v>
      </c>
      <c r="C250" s="46">
        <v>26</v>
      </c>
      <c r="D250" s="65">
        <f>DATE(SIP[[#This Row],[Year]],SIP[[#This Row],[Month]],SIP[[#This Row],[Day]])</f>
        <v>45256</v>
      </c>
      <c r="E250" s="66" t="str" cm="1">
        <f t="array" ref="E250">INDEX(INVESTORS_LIST[INVESTOR NAME],MATCH(SIP[[#This Row],[Investor ID]],INVESTORS_LIST[INVESTOR CODE],0),)</f>
        <v>ADNAN RASHID</v>
      </c>
      <c r="F250" s="46" t="s">
        <v>252</v>
      </c>
      <c r="G250" s="46">
        <f>COUNTIF(SIP[[#Headers],[Investor ID]]:SIP[[#This Row],[Investor ID]],SIP[[#This Row],[Investor ID]])</f>
        <v>3</v>
      </c>
      <c r="H250" s="46" t="str">
        <f>CONCATENATE(SIP[[#This Row],[Frequency]],SIP[[#This Row],[Investor ID]])</f>
        <v>3A00102</v>
      </c>
      <c r="I250" s="46" t="str">
        <f>IF(SIP[[#This Row],[B/S]]="B","BUY",(IF(SIP[[#This Row],[B/S]]="S","SELL"," ")))</f>
        <v>BUY</v>
      </c>
      <c r="J250" s="46" t="s">
        <v>1229</v>
      </c>
      <c r="K250" s="69">
        <v>30000</v>
      </c>
      <c r="L250" s="69"/>
      <c r="M250" s="70">
        <f>SIP[[#This Row],[Amount]]/SIP[[#This Row],[Unit]]</f>
        <v>10.59322033898305</v>
      </c>
      <c r="N250" s="71">
        <f>SIP[[#This Row],[Unit Capital]]/10</f>
        <v>2832</v>
      </c>
      <c r="O250" s="72">
        <f>SUMIFS(SIP[[#Headers],[Unit]]:SIP[[#This Row],[Unit]],SIP[[#Headers],[Investor ID]]:SIP[[#This Row],[Investor ID]],SIP[[#This Row],[Investor ID]])</f>
        <v>8541</v>
      </c>
      <c r="P250" s="73">
        <v>28320</v>
      </c>
      <c r="Q250" s="74">
        <f>SIP[[#This Row],[Amount]]-SIP[[#This Row],[Unit Capital]]</f>
        <v>1680</v>
      </c>
      <c r="R2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10.537407797681769</v>
      </c>
      <c r="S250" s="68">
        <f t="shared" si="9"/>
        <v>14.224</v>
      </c>
      <c r="T2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0" s="74" cm="1">
        <f t="array" ref="U250">IF(SIP[[#This Row],[B/S]]="S",ABS(SIP[[#This Row],[Unit]])*(INDEX(SIP[NAV at Cost (Average)],MATCH(CONCATENATE((SIP[[#This Row],[Frequency]]-1),SIP[[#This Row],[Investor ID]]),SIP[Unique Code],0),0)),0)</f>
        <v>0</v>
      </c>
      <c r="V250" s="74">
        <f>IF(SIP[[#This Row],[BO TRANSFER]]="YES",SIP[[#This Row],[Unit]],)</f>
        <v>0</v>
      </c>
      <c r="W250" s="74">
        <f>SUMIFS(SIP[[#Headers],[BO UNIT TRANSFER]]:SIP[[#This Row],[BO UNIT TRANSFER]],SIP[[#Headers],[Investor ID]]:SIP[[#This Row],[Investor ID]],SIP[[#This Row],[Investor ID]])</f>
        <v>0</v>
      </c>
    </row>
    <row r="251" spans="1:23" ht="15" customHeight="1">
      <c r="A251" s="46">
        <v>2023</v>
      </c>
      <c r="B251" s="46">
        <v>11</v>
      </c>
      <c r="C251" s="46">
        <v>26</v>
      </c>
      <c r="D251" s="65">
        <f>DATE(SIP[[#This Row],[Year]],SIP[[#This Row],[Month]],SIP[[#This Row],[Day]])</f>
        <v>45256</v>
      </c>
      <c r="E251" s="66" t="str" cm="1">
        <f t="array" ref="E251">INDEX(INVESTORS_LIST[INVESTOR NAME],MATCH(SIP[[#This Row],[Investor ID]],INVESTORS_LIST[INVESTOR CODE],0),)</f>
        <v>MD ABDULLAH-AL- MAMUN</v>
      </c>
      <c r="F251" s="46" t="s">
        <v>533</v>
      </c>
      <c r="G251" s="46">
        <f>COUNTIF(SIP[[#Headers],[Investor ID]]:SIP[[#This Row],[Investor ID]],SIP[[#This Row],[Investor ID]])</f>
        <v>2</v>
      </c>
      <c r="H251" s="46" t="str">
        <f>CONCATENATE(SIP[[#This Row],[Frequency]],SIP[[#This Row],[Investor ID]])</f>
        <v>2A00242</v>
      </c>
      <c r="I251" s="46" t="str">
        <f>IF(SIP[[#This Row],[B/S]]="B","BUY",(IF(SIP[[#This Row],[B/S]]="S","SELL"," ")))</f>
        <v>BUY</v>
      </c>
      <c r="J251" s="46" t="s">
        <v>1229</v>
      </c>
      <c r="K251" s="69">
        <v>15000</v>
      </c>
      <c r="L251" s="69"/>
      <c r="M251" s="70">
        <f>SIP[[#This Row],[Amount]]/SIP[[#This Row],[Unit]]</f>
        <v>10.59322033898305</v>
      </c>
      <c r="N251" s="71">
        <f>SIP[[#This Row],[Unit Capital]]/10</f>
        <v>1416</v>
      </c>
      <c r="O251" s="72">
        <f>SUMIFS(SIP[[#Headers],[Unit]]:SIP[[#This Row],[Unit]],SIP[[#Headers],[Investor ID]]:SIP[[#This Row],[Investor ID]],SIP[[#This Row],[Investor ID]])</f>
        <v>2839</v>
      </c>
      <c r="P251" s="73">
        <v>14160</v>
      </c>
      <c r="Q251" s="74">
        <f>SIP[[#This Row],[Amount]]-SIP[[#This Row],[Unit Capital]]</f>
        <v>840</v>
      </c>
      <c r="R2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10.567101091933779</v>
      </c>
      <c r="S251" s="68">
        <f t="shared" si="9"/>
        <v>14.224</v>
      </c>
      <c r="T2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1" s="74" cm="1">
        <f t="array" ref="U251">IF(SIP[[#This Row],[B/S]]="S",ABS(SIP[[#This Row],[Unit]])*(INDEX(SIP[NAV at Cost (Average)],MATCH(CONCATENATE((SIP[[#This Row],[Frequency]]-1),SIP[[#This Row],[Investor ID]]),SIP[Unique Code],0),0)),0)</f>
        <v>0</v>
      </c>
      <c r="V251" s="74">
        <f>IF(SIP[[#This Row],[BO TRANSFER]]="YES",SIP[[#This Row],[Unit]],)</f>
        <v>0</v>
      </c>
      <c r="W251" s="74">
        <f>SUMIFS(SIP[[#Headers],[BO UNIT TRANSFER]]:SIP[[#This Row],[BO UNIT TRANSFER]],SIP[[#Headers],[Investor ID]]:SIP[[#This Row],[Investor ID]],SIP[[#This Row],[Investor ID]])</f>
        <v>0</v>
      </c>
    </row>
    <row r="252" spans="1:23" ht="15" customHeight="1">
      <c r="A252" s="46">
        <v>2023</v>
      </c>
      <c r="B252" s="46">
        <v>11</v>
      </c>
      <c r="C252" s="46">
        <v>26</v>
      </c>
      <c r="D252" s="65">
        <f>DATE(SIP[[#This Row],[Year]],SIP[[#This Row],[Month]],SIP[[#This Row],[Day]])</f>
        <v>45256</v>
      </c>
      <c r="E252" s="66" t="str" cm="1">
        <f t="array" ref="E252">INDEX(INVESTORS_LIST[INVESTOR NAME],MATCH(SIP[[#This Row],[Investor ID]],INVESTORS_LIST[INVESTOR CODE],0),)</f>
        <v>SADIA PARVIN</v>
      </c>
      <c r="F252" s="46" t="s">
        <v>1018</v>
      </c>
      <c r="G252" s="46">
        <f>COUNTIF(SIP[[#Headers],[Investor ID]]:SIP[[#This Row],[Investor ID]],SIP[[#This Row],[Investor ID]])</f>
        <v>7</v>
      </c>
      <c r="H252" s="46" t="str">
        <f>CONCATENATE(SIP[[#This Row],[Frequency]],SIP[[#This Row],[Investor ID]])</f>
        <v>7A00486</v>
      </c>
      <c r="I252" s="46" t="str">
        <f>IF(SIP[[#This Row],[B/S]]="B","BUY",(IF(SIP[[#This Row],[B/S]]="S","SELL"," ")))</f>
        <v>BUY</v>
      </c>
      <c r="J252" s="46" t="s">
        <v>1229</v>
      </c>
      <c r="K252" s="69">
        <v>5000</v>
      </c>
      <c r="L252" s="69"/>
      <c r="M252" s="70">
        <f>SIP[[#This Row],[Amount]]/SIP[[#This Row],[Unit]]</f>
        <v>10.59322033898305</v>
      </c>
      <c r="N252" s="71">
        <f>SIP[[#This Row],[Unit Capital]]/10</f>
        <v>472</v>
      </c>
      <c r="O252" s="72">
        <f>SUMIFS(SIP[[#Headers],[Unit]]:SIP[[#This Row],[Unit]],SIP[[#Headers],[Investor ID]]:SIP[[#This Row],[Investor ID]],SIP[[#This Row],[Investor ID]])</f>
        <v>3362</v>
      </c>
      <c r="P252" s="73">
        <v>4720</v>
      </c>
      <c r="Q252" s="74">
        <f>SIP[[#This Row],[Amount]]-SIP[[#This Row],[Unit Capital]]</f>
        <v>280</v>
      </c>
      <c r="R2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10.410469958358121</v>
      </c>
      <c r="S252" s="68">
        <f t="shared" si="9"/>
        <v>14.224</v>
      </c>
      <c r="T2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2" s="74" cm="1">
        <f t="array" ref="U252">IF(SIP[[#This Row],[B/S]]="S",ABS(SIP[[#This Row],[Unit]])*(INDEX(SIP[NAV at Cost (Average)],MATCH(CONCATENATE((SIP[[#This Row],[Frequency]]-1),SIP[[#This Row],[Investor ID]]),SIP[Unique Code],0),0)),0)</f>
        <v>0</v>
      </c>
      <c r="V252" s="74">
        <f>IF(SIP[[#This Row],[BO TRANSFER]]="YES",SIP[[#This Row],[Unit]],)</f>
        <v>0</v>
      </c>
      <c r="W252" s="74">
        <f>SUMIFS(SIP[[#Headers],[BO UNIT TRANSFER]]:SIP[[#This Row],[BO UNIT TRANSFER]],SIP[[#Headers],[Investor ID]]:SIP[[#This Row],[Investor ID]],SIP[[#This Row],[Investor ID]])</f>
        <v>0</v>
      </c>
    </row>
    <row r="253" spans="1:23" ht="15" customHeight="1">
      <c r="A253" s="46">
        <v>2023</v>
      </c>
      <c r="B253" s="46">
        <v>11</v>
      </c>
      <c r="C253" s="46">
        <v>26</v>
      </c>
      <c r="D253" s="65">
        <f>DATE(SIP[[#This Row],[Year]],SIP[[#This Row],[Month]],SIP[[#This Row],[Day]])</f>
        <v>45256</v>
      </c>
      <c r="E253" s="66" t="str" cm="1">
        <f t="array" ref="E253">INDEX(INVESTORS_LIST[INVESTOR NAME],MATCH(SIP[[#This Row],[Investor ID]],INVESTORS_LIST[INVESTOR CODE],0),)</f>
        <v>SIKDER FAZLE RABBI</v>
      </c>
      <c r="F253" s="46" t="s">
        <v>1032</v>
      </c>
      <c r="G253" s="46">
        <f>COUNTIF(SIP[[#Headers],[Investor ID]]:SIP[[#This Row],[Investor ID]],SIP[[#This Row],[Investor ID]])</f>
        <v>6</v>
      </c>
      <c r="H253" s="46" t="str">
        <f>CONCATENATE(SIP[[#This Row],[Frequency]],SIP[[#This Row],[Investor ID]])</f>
        <v>6A00493</v>
      </c>
      <c r="I253" s="46" t="str">
        <f>IF(SIP[[#This Row],[B/S]]="B","BUY",(IF(SIP[[#This Row],[B/S]]="S","SELL"," ")))</f>
        <v>BUY</v>
      </c>
      <c r="J253" s="46" t="s">
        <v>1229</v>
      </c>
      <c r="K253" s="69">
        <v>5000</v>
      </c>
      <c r="L253" s="69"/>
      <c r="M253" s="70">
        <f>SIP[[#This Row],[Amount]]/SIP[[#This Row],[Unit]]</f>
        <v>10.59322033898305</v>
      </c>
      <c r="N253" s="71">
        <f>SIP[[#This Row],[Unit Capital]]/10</f>
        <v>472</v>
      </c>
      <c r="O253" s="72">
        <f>SUMIFS(SIP[[#Headers],[Unit]]:SIP[[#This Row],[Unit]],SIP[[#Headers],[Investor ID]]:SIP[[#This Row],[Investor ID]],SIP[[#This Row],[Investor ID]])</f>
        <v>2873</v>
      </c>
      <c r="P253" s="73">
        <v>4720</v>
      </c>
      <c r="Q253" s="74">
        <f>SIP[[#This Row],[Amount]]-SIP[[#This Row],[Unit Capital]]</f>
        <v>280</v>
      </c>
      <c r="R2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53" s="68">
        <f t="shared" si="9"/>
        <v>14.224</v>
      </c>
      <c r="T2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3" s="74" cm="1">
        <f t="array" ref="U253">IF(SIP[[#This Row],[B/S]]="S",ABS(SIP[[#This Row],[Unit]])*(INDEX(SIP[NAV at Cost (Average)],MATCH(CONCATENATE((SIP[[#This Row],[Frequency]]-1),SIP[[#This Row],[Investor ID]]),SIP[Unique Code],0),0)),0)</f>
        <v>0</v>
      </c>
      <c r="V253" s="74">
        <f>IF(SIP[[#This Row],[BO TRANSFER]]="YES",SIP[[#This Row],[Unit]],)</f>
        <v>0</v>
      </c>
      <c r="W253" s="74">
        <f>SUMIFS(SIP[[#Headers],[BO UNIT TRANSFER]]:SIP[[#This Row],[BO UNIT TRANSFER]],SIP[[#Headers],[Investor ID]]:SIP[[#This Row],[Investor ID]],SIP[[#This Row],[Investor ID]])</f>
        <v>0</v>
      </c>
    </row>
    <row r="254" spans="1:23" ht="15" customHeight="1">
      <c r="A254" s="46">
        <v>2023</v>
      </c>
      <c r="B254" s="46">
        <v>11</v>
      </c>
      <c r="C254" s="46">
        <v>26</v>
      </c>
      <c r="D254" s="65">
        <f>DATE(SIP[[#This Row],[Year]],SIP[[#This Row],[Month]],SIP[[#This Row],[Day]])</f>
        <v>45256</v>
      </c>
      <c r="E254" s="66" t="str" cm="1">
        <f t="array" ref="E254">INDEX(INVESTORS_LIST[INVESTOR NAME],MATCH(SIP[[#This Row],[Investor ID]],INVESTORS_LIST[INVESTOR CODE],0),)</f>
        <v>SAJJAD CHOWDHURY</v>
      </c>
      <c r="F254" s="46" t="s">
        <v>461</v>
      </c>
      <c r="G254" s="46">
        <f>COUNTIF(SIP[[#Headers],[Investor ID]]:SIP[[#This Row],[Investor ID]],SIP[[#This Row],[Investor ID]])</f>
        <v>7</v>
      </c>
      <c r="H254" s="46" t="str">
        <f>CONCATENATE(SIP[[#This Row],[Frequency]],SIP[[#This Row],[Investor ID]])</f>
        <v>7A00206</v>
      </c>
      <c r="I254" s="46" t="str">
        <f>IF(SIP[[#This Row],[B/S]]="B","BUY",(IF(SIP[[#This Row],[B/S]]="S","SELL"," ")))</f>
        <v>BUY</v>
      </c>
      <c r="J254" s="46" t="s">
        <v>1229</v>
      </c>
      <c r="K254" s="69">
        <v>7500</v>
      </c>
      <c r="L254" s="69"/>
      <c r="M254" s="70">
        <f>SIP[[#This Row],[Amount]]/SIP[[#This Row],[Unit]]</f>
        <v>10.59322033898305</v>
      </c>
      <c r="N254" s="71">
        <f>SIP[[#This Row],[Unit Capital]]/10</f>
        <v>708</v>
      </c>
      <c r="O254" s="72">
        <f>SUMIFS(SIP[[#Headers],[Unit]]:SIP[[#This Row],[Unit]],SIP[[#Headers],[Investor ID]]:SIP[[#This Row],[Investor ID]],SIP[[#This Row],[Investor ID]])</f>
        <v>5045</v>
      </c>
      <c r="P254" s="73">
        <v>7080</v>
      </c>
      <c r="Q254" s="74">
        <f>SIP[[#This Row],[Amount]]-SIP[[#This Row],[Unit Capital]]</f>
        <v>420</v>
      </c>
      <c r="R2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10.406342913776014</v>
      </c>
      <c r="S254" s="68">
        <f t="shared" si="9"/>
        <v>14.224</v>
      </c>
      <c r="T2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4" s="74" cm="1">
        <f t="array" ref="U254">IF(SIP[[#This Row],[B/S]]="S",ABS(SIP[[#This Row],[Unit]])*(INDEX(SIP[NAV at Cost (Average)],MATCH(CONCATENATE((SIP[[#This Row],[Frequency]]-1),SIP[[#This Row],[Investor ID]]),SIP[Unique Code],0),0)),0)</f>
        <v>0</v>
      </c>
      <c r="V254" s="74">
        <f>IF(SIP[[#This Row],[BO TRANSFER]]="YES",SIP[[#This Row],[Unit]],)</f>
        <v>0</v>
      </c>
      <c r="W254" s="74">
        <f>SUMIFS(SIP[[#Headers],[BO UNIT TRANSFER]]:SIP[[#This Row],[BO UNIT TRANSFER]],SIP[[#Headers],[Investor ID]]:SIP[[#This Row],[Investor ID]],SIP[[#This Row],[Investor ID]])</f>
        <v>0</v>
      </c>
    </row>
    <row r="255" spans="1:23" ht="15" customHeight="1">
      <c r="A255" s="46">
        <v>2023</v>
      </c>
      <c r="B255" s="46">
        <v>11</v>
      </c>
      <c r="C255" s="46">
        <v>26</v>
      </c>
      <c r="D255" s="65">
        <f>DATE(SIP[[#This Row],[Year]],SIP[[#This Row],[Month]],SIP[[#This Row],[Day]])</f>
        <v>45256</v>
      </c>
      <c r="E255" s="66" t="str" cm="1">
        <f t="array" ref="E255">INDEX(INVESTORS_LIST[INVESTOR NAME],MATCH(SIP[[#This Row],[Investor ID]],INVESTORS_LIST[INVESTOR CODE],0),)</f>
        <v>EKUSH WEALTH MANAGEMENT LIMITED EMPLOYEES CONTRIBUTORY PROVIDENT FUND</v>
      </c>
      <c r="F255" s="46" t="s">
        <v>831</v>
      </c>
      <c r="G255" s="46">
        <f>COUNTIF(SIP[[#Headers],[Investor ID]]:SIP[[#This Row],[Investor ID]],SIP[[#This Row],[Investor ID]])</f>
        <v>7</v>
      </c>
      <c r="H255" s="46" t="str">
        <f>CONCATENATE(SIP[[#This Row],[Frequency]],SIP[[#This Row],[Investor ID]])</f>
        <v>7A00392</v>
      </c>
      <c r="I255" s="46" t="str">
        <f>IF(SIP[[#This Row],[B/S]]="B","BUY",(IF(SIP[[#This Row],[B/S]]="S","SELL"," ")))</f>
        <v>BUY</v>
      </c>
      <c r="J255" s="46" t="s">
        <v>1229</v>
      </c>
      <c r="K255" s="69">
        <v>22040</v>
      </c>
      <c r="L255" s="69"/>
      <c r="M255" s="70">
        <f>SIP[[#This Row],[Amount]]/SIP[[#This Row],[Unit]]</f>
        <v>10.596153846153847</v>
      </c>
      <c r="N255" s="71">
        <f>SIP[[#This Row],[Unit Capital]]/10</f>
        <v>2080</v>
      </c>
      <c r="O255" s="72">
        <f>SUMIFS(SIP[[#Headers],[Unit]]:SIP[[#This Row],[Unit]],SIP[[#Headers],[Investor ID]]:SIP[[#This Row],[Investor ID]],SIP[[#This Row],[Investor ID]])</f>
        <v>14828</v>
      </c>
      <c r="P255" s="73">
        <v>20800</v>
      </c>
      <c r="Q255" s="74">
        <f>SIP[[#This Row],[Amount]]-SIP[[#This Row],[Unit Capital]]</f>
        <v>1240</v>
      </c>
      <c r="R2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10.404639870515243</v>
      </c>
      <c r="S255" s="68">
        <f t="shared" si="9"/>
        <v>14.224</v>
      </c>
      <c r="T2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5" s="74" cm="1">
        <f t="array" ref="U255">IF(SIP[[#This Row],[B/S]]="S",ABS(SIP[[#This Row],[Unit]])*(INDEX(SIP[NAV at Cost (Average)],MATCH(CONCATENATE((SIP[[#This Row],[Frequency]]-1),SIP[[#This Row],[Investor ID]]),SIP[Unique Code],0),0)),0)</f>
        <v>0</v>
      </c>
      <c r="V255" s="74">
        <f>IF(SIP[[#This Row],[BO TRANSFER]]="YES",SIP[[#This Row],[Unit]],)</f>
        <v>0</v>
      </c>
      <c r="W255" s="74">
        <f>SUMIFS(SIP[[#Headers],[BO UNIT TRANSFER]]:SIP[[#This Row],[BO UNIT TRANSFER]],SIP[[#Headers],[Investor ID]]:SIP[[#This Row],[Investor ID]],SIP[[#This Row],[Investor ID]])</f>
        <v>0</v>
      </c>
    </row>
    <row r="256" spans="1:23" ht="15" customHeight="1">
      <c r="A256" s="46">
        <v>2023</v>
      </c>
      <c r="B256" s="46">
        <v>11</v>
      </c>
      <c r="C256" s="46">
        <v>26</v>
      </c>
      <c r="D256" s="65">
        <f>DATE(SIP[[#This Row],[Year]],SIP[[#This Row],[Month]],SIP[[#This Row],[Day]])</f>
        <v>45256</v>
      </c>
      <c r="E256" s="66" t="str" cm="1">
        <f t="array" ref="E256">INDEX(INVESTORS_LIST[INVESTOR NAME],MATCH(SIP[[#This Row],[Investor ID]],INVESTORS_LIST[INVESTOR CODE],0),)</f>
        <v>S.M. SAIFUL ISLAM</v>
      </c>
      <c r="F256" s="46" t="s">
        <v>1002</v>
      </c>
      <c r="G256" s="46">
        <f>COUNTIF(SIP[[#Headers],[Investor ID]]:SIP[[#This Row],[Investor ID]],SIP[[#This Row],[Investor ID]])</f>
        <v>7</v>
      </c>
      <c r="H256" s="46" t="str">
        <f>CONCATENATE(SIP[[#This Row],[Frequency]],SIP[[#This Row],[Investor ID]])</f>
        <v>7A00478</v>
      </c>
      <c r="I256" s="46" t="str">
        <f>IF(SIP[[#This Row],[B/S]]="B","BUY",(IF(SIP[[#This Row],[B/S]]="S","SELL"," ")))</f>
        <v>BUY</v>
      </c>
      <c r="J256" s="46" t="s">
        <v>1229</v>
      </c>
      <c r="K256" s="69">
        <v>10000</v>
      </c>
      <c r="L256" s="69"/>
      <c r="M256" s="70">
        <f>SIP[[#This Row],[Amount]]/SIP[[#This Row],[Unit]]</f>
        <v>10.59322033898305</v>
      </c>
      <c r="N256" s="71">
        <f>SIP[[#This Row],[Unit Capital]]/10</f>
        <v>944</v>
      </c>
      <c r="O256" s="72">
        <f>SUMIFS(SIP[[#Headers],[Unit]]:SIP[[#This Row],[Unit]],SIP[[#Headers],[Investor ID]]:SIP[[#This Row],[Investor ID]],SIP[[#This Row],[Investor ID]])</f>
        <v>6729</v>
      </c>
      <c r="P256" s="73">
        <v>9440</v>
      </c>
      <c r="Q256" s="74">
        <f>SIP[[#This Row],[Amount]]-SIP[[#This Row],[Unit Capital]]</f>
        <v>560</v>
      </c>
      <c r="R2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10.402734433050973</v>
      </c>
      <c r="S256" s="68">
        <f t="shared" si="9"/>
        <v>14.224</v>
      </c>
      <c r="T2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6" s="74" cm="1">
        <f t="array" ref="U256">IF(SIP[[#This Row],[B/S]]="S",ABS(SIP[[#This Row],[Unit]])*(INDEX(SIP[NAV at Cost (Average)],MATCH(CONCATENATE((SIP[[#This Row],[Frequency]]-1),SIP[[#This Row],[Investor ID]]),SIP[Unique Code],0),0)),0)</f>
        <v>0</v>
      </c>
      <c r="V256" s="74">
        <f>IF(SIP[[#This Row],[BO TRANSFER]]="YES",SIP[[#This Row],[Unit]],)</f>
        <v>0</v>
      </c>
      <c r="W256" s="74">
        <f>SUMIFS(SIP[[#Headers],[BO UNIT TRANSFER]]:SIP[[#This Row],[BO UNIT TRANSFER]],SIP[[#Headers],[Investor ID]]:SIP[[#This Row],[Investor ID]],SIP[[#This Row],[Investor ID]])</f>
        <v>0</v>
      </c>
    </row>
    <row r="257" spans="1:23" ht="15" customHeight="1">
      <c r="A257" s="46">
        <v>2023</v>
      </c>
      <c r="B257" s="46">
        <v>11</v>
      </c>
      <c r="C257" s="46">
        <v>26</v>
      </c>
      <c r="D257" s="65">
        <f>DATE(SIP[[#This Row],[Year]],SIP[[#This Row],[Month]],SIP[[#This Row],[Day]])</f>
        <v>45256</v>
      </c>
      <c r="E257" s="66" t="str" cm="1">
        <f t="array" ref="E257">INDEX(INVESTORS_LIST[INVESTOR NAME],MATCH(SIP[[#This Row],[Investor ID]],INVESTORS_LIST[INVESTOR CODE],0),)</f>
        <v>MOHAMMED SHARIFUL ISLAM</v>
      </c>
      <c r="F257" s="46" t="s">
        <v>1028</v>
      </c>
      <c r="G257" s="46">
        <f>COUNTIF(SIP[[#Headers],[Investor ID]]:SIP[[#This Row],[Investor ID]],SIP[[#This Row],[Investor ID]])</f>
        <v>6</v>
      </c>
      <c r="H257" s="46" t="str">
        <f>CONCATENATE(SIP[[#This Row],[Frequency]],SIP[[#This Row],[Investor ID]])</f>
        <v>6A00491</v>
      </c>
      <c r="I257" s="46" t="str">
        <f>IF(SIP[[#This Row],[B/S]]="B","BUY",(IF(SIP[[#This Row],[B/S]]="S","SELL"," ")))</f>
        <v>BUY</v>
      </c>
      <c r="J257" s="46" t="s">
        <v>1229</v>
      </c>
      <c r="K257" s="69">
        <v>5000</v>
      </c>
      <c r="L257" s="69"/>
      <c r="M257" s="70">
        <f>SIP[[#This Row],[Amount]]/SIP[[#This Row],[Unit]]</f>
        <v>10.59322033898305</v>
      </c>
      <c r="N257" s="71">
        <f>SIP[[#This Row],[Unit Capital]]/10</f>
        <v>472</v>
      </c>
      <c r="O257" s="72">
        <f>SUMIFS(SIP[[#Headers],[Unit]]:SIP[[#This Row],[Unit]],SIP[[#Headers],[Investor ID]]:SIP[[#This Row],[Investor ID]],SIP[[#This Row],[Investor ID]])</f>
        <v>2873</v>
      </c>
      <c r="P257" s="73">
        <v>4720</v>
      </c>
      <c r="Q257" s="74">
        <f>SIP[[#This Row],[Amount]]-SIP[[#This Row],[Unit Capital]]</f>
        <v>280</v>
      </c>
      <c r="R2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57" s="68">
        <f t="shared" si="9"/>
        <v>14.224</v>
      </c>
      <c r="T2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7" s="74" cm="1">
        <f t="array" ref="U257">IF(SIP[[#This Row],[B/S]]="S",ABS(SIP[[#This Row],[Unit]])*(INDEX(SIP[NAV at Cost (Average)],MATCH(CONCATENATE((SIP[[#This Row],[Frequency]]-1),SIP[[#This Row],[Investor ID]]),SIP[Unique Code],0),0)),0)</f>
        <v>0</v>
      </c>
      <c r="V257" s="74">
        <f>IF(SIP[[#This Row],[BO TRANSFER]]="YES",SIP[[#This Row],[Unit]],)</f>
        <v>0</v>
      </c>
      <c r="W257" s="74">
        <f>SUMIFS(SIP[[#Headers],[BO UNIT TRANSFER]]:SIP[[#This Row],[BO UNIT TRANSFER]],SIP[[#Headers],[Investor ID]]:SIP[[#This Row],[Investor ID]],SIP[[#This Row],[Investor ID]])</f>
        <v>0</v>
      </c>
    </row>
    <row r="258" spans="1:23" ht="15" customHeight="1">
      <c r="A258" s="46">
        <v>2023</v>
      </c>
      <c r="B258" s="46">
        <v>11</v>
      </c>
      <c r="C258" s="46">
        <v>26</v>
      </c>
      <c r="D258" s="65">
        <f>DATE(SIP[[#This Row],[Year]],SIP[[#This Row],[Month]],SIP[[#This Row],[Day]])</f>
        <v>45256</v>
      </c>
      <c r="E258" s="66" t="str" cm="1">
        <f t="array" ref="E258">INDEX(INVESTORS_LIST[INVESTOR NAME],MATCH(SIP[[#This Row],[Investor ID]],INVESTORS_LIST[INVESTOR CODE],0),)</f>
        <v>ASHIK IQBAL CHOWDHURY</v>
      </c>
      <c r="F258" s="46" t="s">
        <v>1016</v>
      </c>
      <c r="G258" s="46">
        <f>COUNTIF(SIP[[#Headers],[Investor ID]]:SIP[[#This Row],[Investor ID]],SIP[[#This Row],[Investor ID]])</f>
        <v>6</v>
      </c>
      <c r="H258" s="46" t="str">
        <f>CONCATENATE(SIP[[#This Row],[Frequency]],SIP[[#This Row],[Investor ID]])</f>
        <v>6A00485</v>
      </c>
      <c r="I258" s="46" t="str">
        <f>IF(SIP[[#This Row],[B/S]]="B","BUY",(IF(SIP[[#This Row],[B/S]]="S","SELL"," ")))</f>
        <v>BUY</v>
      </c>
      <c r="J258" s="46" t="s">
        <v>1229</v>
      </c>
      <c r="K258" s="69">
        <v>5000</v>
      </c>
      <c r="L258" s="69"/>
      <c r="M258" s="70">
        <f>SIP[[#This Row],[Amount]]/SIP[[#This Row],[Unit]]</f>
        <v>10.59322033898305</v>
      </c>
      <c r="N258" s="71">
        <f>SIP[[#This Row],[Unit Capital]]/10</f>
        <v>472</v>
      </c>
      <c r="O258" s="72">
        <f>SUMIFS(SIP[[#Headers],[Unit]]:SIP[[#This Row],[Unit]],SIP[[#Headers],[Investor ID]]:SIP[[#This Row],[Investor ID]],SIP[[#This Row],[Investor ID]])</f>
        <v>2873</v>
      </c>
      <c r="P258" s="73">
        <v>4720</v>
      </c>
      <c r="Q258" s="74">
        <f>SIP[[#This Row],[Amount]]-SIP[[#This Row],[Unit Capital]]</f>
        <v>280</v>
      </c>
      <c r="R2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58" s="68">
        <f t="shared" si="9"/>
        <v>14.224</v>
      </c>
      <c r="T2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8" s="74" cm="1">
        <f t="array" ref="U258">IF(SIP[[#This Row],[B/S]]="S",ABS(SIP[[#This Row],[Unit]])*(INDEX(SIP[NAV at Cost (Average)],MATCH(CONCATENATE((SIP[[#This Row],[Frequency]]-1),SIP[[#This Row],[Investor ID]]),SIP[Unique Code],0),0)),0)</f>
        <v>0</v>
      </c>
      <c r="V258" s="74">
        <f>IF(SIP[[#This Row],[BO TRANSFER]]="YES",SIP[[#This Row],[Unit]],)</f>
        <v>0</v>
      </c>
      <c r="W258" s="74">
        <f>SUMIFS(SIP[[#Headers],[BO UNIT TRANSFER]]:SIP[[#This Row],[BO UNIT TRANSFER]],SIP[[#Headers],[Investor ID]]:SIP[[#This Row],[Investor ID]],SIP[[#This Row],[Investor ID]])</f>
        <v>0</v>
      </c>
    </row>
    <row r="259" spans="1:23" ht="15" customHeight="1">
      <c r="A259" s="46">
        <v>2023</v>
      </c>
      <c r="B259" s="46">
        <v>11</v>
      </c>
      <c r="C259" s="46">
        <v>26</v>
      </c>
      <c r="D259" s="65">
        <f>DATE(SIP[[#This Row],[Year]],SIP[[#This Row],[Month]],SIP[[#This Row],[Day]])</f>
        <v>45256</v>
      </c>
      <c r="E259" s="66" t="str" cm="1">
        <f t="array" ref="E259">INDEX(INVESTORS_LIST[INVESTOR NAME],MATCH(SIP[[#This Row],[Investor ID]],INVESTORS_LIST[INVESTOR CODE],0),)</f>
        <v>SUMAN SAHA</v>
      </c>
      <c r="F259" s="46" t="s">
        <v>1022</v>
      </c>
      <c r="G259" s="46">
        <f>COUNTIF(SIP[[#Headers],[Investor ID]]:SIP[[#This Row],[Investor ID]],SIP[[#This Row],[Investor ID]])</f>
        <v>6</v>
      </c>
      <c r="H259" s="46" t="str">
        <f>CONCATENATE(SIP[[#This Row],[Frequency]],SIP[[#This Row],[Investor ID]])</f>
        <v>6A00488</v>
      </c>
      <c r="I259" s="46" t="str">
        <f>IF(SIP[[#This Row],[B/S]]="B","BUY",(IF(SIP[[#This Row],[B/S]]="S","SELL"," ")))</f>
        <v>BUY</v>
      </c>
      <c r="J259" s="46" t="s">
        <v>1229</v>
      </c>
      <c r="K259" s="69">
        <v>5000</v>
      </c>
      <c r="L259" s="69"/>
      <c r="M259" s="70">
        <f>SIP[[#This Row],[Amount]]/SIP[[#This Row],[Unit]]</f>
        <v>10.59322033898305</v>
      </c>
      <c r="N259" s="71">
        <f>SIP[[#This Row],[Unit Capital]]/10</f>
        <v>472</v>
      </c>
      <c r="O259" s="72">
        <f>SUMIFS(SIP[[#Headers],[Unit]]:SIP[[#This Row],[Unit]],SIP[[#Headers],[Investor ID]]:SIP[[#This Row],[Investor ID]],SIP[[#This Row],[Investor ID]])</f>
        <v>2873</v>
      </c>
      <c r="P259" s="73">
        <v>4720</v>
      </c>
      <c r="Q259" s="74">
        <f>SIP[[#This Row],[Amount]]-SIP[[#This Row],[Unit Capital]]</f>
        <v>280</v>
      </c>
      <c r="R2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10.442046641141664</v>
      </c>
      <c r="S259" s="68">
        <f t="shared" si="9"/>
        <v>14.224</v>
      </c>
      <c r="T2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9" s="74" cm="1">
        <f t="array" ref="U259">IF(SIP[[#This Row],[B/S]]="S",ABS(SIP[[#This Row],[Unit]])*(INDEX(SIP[NAV at Cost (Average)],MATCH(CONCATENATE((SIP[[#This Row],[Frequency]]-1),SIP[[#This Row],[Investor ID]]),SIP[Unique Code],0),0)),0)</f>
        <v>0</v>
      </c>
      <c r="V259" s="74">
        <f>IF(SIP[[#This Row],[BO TRANSFER]]="YES",SIP[[#This Row],[Unit]],)</f>
        <v>0</v>
      </c>
      <c r="W259" s="74">
        <f>SUMIFS(SIP[[#Headers],[BO UNIT TRANSFER]]:SIP[[#This Row],[BO UNIT TRANSFER]],SIP[[#Headers],[Investor ID]]:SIP[[#This Row],[Investor ID]],SIP[[#This Row],[Investor ID]])</f>
        <v>0</v>
      </c>
    </row>
    <row r="260" spans="1:23" ht="15" customHeight="1">
      <c r="A260" s="46">
        <v>2023</v>
      </c>
      <c r="B260" s="46">
        <v>11</v>
      </c>
      <c r="C260" s="46">
        <v>26</v>
      </c>
      <c r="D260" s="65">
        <f>DATE(SIP[[#This Row],[Year]],SIP[[#This Row],[Month]],SIP[[#This Row],[Day]])</f>
        <v>45256</v>
      </c>
      <c r="E260" s="66" t="str" cm="1">
        <f t="array" ref="E260">INDEX(INVESTORS_LIST[INVESTOR NAME],MATCH(SIP[[#This Row],[Investor ID]],INVESTORS_LIST[INVESTOR CODE],0),)</f>
        <v>TAPU GUHA</v>
      </c>
      <c r="F260" s="46" t="s">
        <v>483</v>
      </c>
      <c r="G260" s="46">
        <f>COUNTIF(SIP[[#Headers],[Investor ID]]:SIP[[#This Row],[Investor ID]],SIP[[#This Row],[Investor ID]])</f>
        <v>4</v>
      </c>
      <c r="H260" s="46" t="str">
        <f>CONCATENATE(SIP[[#This Row],[Frequency]],SIP[[#This Row],[Investor ID]])</f>
        <v>4A00217</v>
      </c>
      <c r="I260" s="46" t="str">
        <f>IF(SIP[[#This Row],[B/S]]="B","BUY",(IF(SIP[[#This Row],[B/S]]="S","SELL"," ")))</f>
        <v>BUY</v>
      </c>
      <c r="J260" s="46" t="s">
        <v>1229</v>
      </c>
      <c r="K260" s="69">
        <v>5000</v>
      </c>
      <c r="L260" s="69"/>
      <c r="M260" s="70">
        <f>SIP[[#This Row],[Amount]]/SIP[[#This Row],[Unit]]</f>
        <v>10.59322033898305</v>
      </c>
      <c r="N260" s="71">
        <f>SIP[[#This Row],[Unit Capital]]/10</f>
        <v>472</v>
      </c>
      <c r="O260" s="72">
        <f>SUMIFS(SIP[[#Headers],[Unit]]:SIP[[#This Row],[Unit]],SIP[[#Headers],[Investor ID]]:SIP[[#This Row],[Investor ID]],SIP[[#This Row],[Investor ID]])</f>
        <v>1900</v>
      </c>
      <c r="P260" s="73">
        <v>4720</v>
      </c>
      <c r="Q260" s="74">
        <f>SIP[[#This Row],[Amount]]-SIP[[#This Row],[Unit Capital]]</f>
        <v>280</v>
      </c>
      <c r="R2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10.526315789473683</v>
      </c>
      <c r="S260" s="68">
        <f t="shared" si="9"/>
        <v>14.224</v>
      </c>
      <c r="T2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0" s="74" cm="1">
        <f t="array" ref="U260">IF(SIP[[#This Row],[B/S]]="S",ABS(SIP[[#This Row],[Unit]])*(INDEX(SIP[NAV at Cost (Average)],MATCH(CONCATENATE((SIP[[#This Row],[Frequency]]-1),SIP[[#This Row],[Investor ID]]),SIP[Unique Code],0),0)),0)</f>
        <v>0</v>
      </c>
      <c r="V260" s="74">
        <f>IF(SIP[[#This Row],[BO TRANSFER]]="YES",SIP[[#This Row],[Unit]],)</f>
        <v>0</v>
      </c>
      <c r="W260" s="74">
        <f>SUMIFS(SIP[[#Headers],[BO UNIT TRANSFER]]:SIP[[#This Row],[BO UNIT TRANSFER]],SIP[[#Headers],[Investor ID]]:SIP[[#This Row],[Investor ID]],SIP[[#This Row],[Investor ID]])</f>
        <v>0</v>
      </c>
    </row>
    <row r="261" spans="1:23" ht="15" customHeight="1">
      <c r="A261" s="46">
        <v>2023</v>
      </c>
      <c r="B261" s="46">
        <v>11</v>
      </c>
      <c r="C261" s="46">
        <v>26</v>
      </c>
      <c r="D261" s="65">
        <f>DATE(SIP[[#This Row],[Year]],SIP[[#This Row],[Month]],SIP[[#This Row],[Day]])</f>
        <v>45256</v>
      </c>
      <c r="E261" s="66" t="str" cm="1">
        <f t="array" ref="E261">INDEX(INVESTORS_LIST[INVESTOR NAME],MATCH(SIP[[#This Row],[Investor ID]],INVESTORS_LIST[INVESTOR CODE],0),)</f>
        <v>MOHAMMAD SAMIUL ALAM</v>
      </c>
      <c r="F261" s="46" t="s">
        <v>537</v>
      </c>
      <c r="G261" s="46">
        <f>COUNTIF(SIP[[#Headers],[Investor ID]]:SIP[[#This Row],[Investor ID]],SIP[[#This Row],[Investor ID]])</f>
        <v>4</v>
      </c>
      <c r="H261" s="46" t="str">
        <f>CONCATENATE(SIP[[#This Row],[Frequency]],SIP[[#This Row],[Investor ID]])</f>
        <v>4A00244</v>
      </c>
      <c r="I261" s="46" t="str">
        <f>IF(SIP[[#This Row],[B/S]]="B","BUY",(IF(SIP[[#This Row],[B/S]]="S","SELL"," ")))</f>
        <v>BUY</v>
      </c>
      <c r="J261" s="46" t="s">
        <v>1229</v>
      </c>
      <c r="K261" s="69">
        <v>20000</v>
      </c>
      <c r="L261" s="69"/>
      <c r="M261" s="70">
        <f>SIP[[#This Row],[Amount]]/SIP[[#This Row],[Unit]]</f>
        <v>10.59322033898305</v>
      </c>
      <c r="N261" s="71">
        <f>SIP[[#This Row],[Unit Capital]]/10</f>
        <v>1888</v>
      </c>
      <c r="O261" s="72">
        <f>SUMIFS(SIP[[#Headers],[Unit]]:SIP[[#This Row],[Unit]],SIP[[#Headers],[Investor ID]]:SIP[[#This Row],[Investor ID]],SIP[[#This Row],[Investor ID]])</f>
        <v>7612</v>
      </c>
      <c r="P261" s="73">
        <v>18880</v>
      </c>
      <c r="Q261" s="74">
        <f>SIP[[#This Row],[Amount]]-SIP[[#This Row],[Unit Capital]]</f>
        <v>1120</v>
      </c>
      <c r="R2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10.509721492380454</v>
      </c>
      <c r="S261" s="68">
        <f t="shared" si="9"/>
        <v>14.224</v>
      </c>
      <c r="T2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1" s="74" cm="1">
        <f t="array" ref="U261">IF(SIP[[#This Row],[B/S]]="S",ABS(SIP[[#This Row],[Unit]])*(INDEX(SIP[NAV at Cost (Average)],MATCH(CONCATENATE((SIP[[#This Row],[Frequency]]-1),SIP[[#This Row],[Investor ID]]),SIP[Unique Code],0),0)),0)</f>
        <v>0</v>
      </c>
      <c r="V261" s="74">
        <f>IF(SIP[[#This Row],[BO TRANSFER]]="YES",SIP[[#This Row],[Unit]],)</f>
        <v>0</v>
      </c>
      <c r="W261" s="74">
        <f>SUMIFS(SIP[[#Headers],[BO UNIT TRANSFER]]:SIP[[#This Row],[BO UNIT TRANSFER]],SIP[[#Headers],[Investor ID]]:SIP[[#This Row],[Investor ID]],SIP[[#This Row],[Investor ID]])</f>
        <v>0</v>
      </c>
    </row>
    <row r="262" spans="1:23" ht="15" customHeight="1">
      <c r="A262" s="46">
        <v>2023</v>
      </c>
      <c r="B262" s="46">
        <v>11</v>
      </c>
      <c r="C262" s="46">
        <v>26</v>
      </c>
      <c r="D262" s="65">
        <f>DATE(SIP[[#This Row],[Year]],SIP[[#This Row],[Month]],SIP[[#This Row],[Day]])</f>
        <v>45256</v>
      </c>
      <c r="E262" s="66" t="str" cm="1">
        <f t="array" ref="E262">INDEX(INVESTORS_LIST[INVESTOR NAME],MATCH(SIP[[#This Row],[Investor ID]],INVESTORS_LIST[INVESTOR CODE],0),)</f>
        <v>MRINMOY GHOSH</v>
      </c>
      <c r="F262" s="46" t="s">
        <v>69</v>
      </c>
      <c r="G262" s="46">
        <f>COUNTIF(SIP[[#Headers],[Investor ID]]:SIP[[#This Row],[Investor ID]],SIP[[#This Row],[Investor ID]])</f>
        <v>3</v>
      </c>
      <c r="H262" s="46" t="str">
        <f>CONCATENATE(SIP[[#This Row],[Frequency]],SIP[[#This Row],[Investor ID]])</f>
        <v>3A00012</v>
      </c>
      <c r="I262" s="46" t="str">
        <f>IF(SIP[[#This Row],[B/S]]="B","BUY",(IF(SIP[[#This Row],[B/S]]="S","SELL"," ")))</f>
        <v>BUY</v>
      </c>
      <c r="J262" s="46" t="s">
        <v>1229</v>
      </c>
      <c r="K262" s="69">
        <v>10000</v>
      </c>
      <c r="L262" s="69"/>
      <c r="M262" s="70">
        <f>SIP[[#This Row],[Amount]]/SIP[[#This Row],[Unit]]</f>
        <v>10.59322033898305</v>
      </c>
      <c r="N262" s="71">
        <f>SIP[[#This Row],[Unit Capital]]/10</f>
        <v>944</v>
      </c>
      <c r="O262" s="72">
        <f>SUMIFS(SIP[[#Headers],[Unit]]:SIP[[#This Row],[Unit]],SIP[[#Headers],[Investor ID]]:SIP[[#This Row],[Investor ID]],SIP[[#This Row],[Investor ID]])</f>
        <v>2847</v>
      </c>
      <c r="P262" s="73">
        <v>9440</v>
      </c>
      <c r="Q262" s="74">
        <f>SIP[[#This Row],[Amount]]-SIP[[#This Row],[Unit Capital]]</f>
        <v>560</v>
      </c>
      <c r="R2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10.537407797681769</v>
      </c>
      <c r="S262" s="68">
        <f t="shared" si="9"/>
        <v>14.224</v>
      </c>
      <c r="T2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2" s="74" cm="1">
        <f t="array" ref="U262">IF(SIP[[#This Row],[B/S]]="S",ABS(SIP[[#This Row],[Unit]])*(INDEX(SIP[NAV at Cost (Average)],MATCH(CONCATENATE((SIP[[#This Row],[Frequency]]-1),SIP[[#This Row],[Investor ID]]),SIP[Unique Code],0),0)),0)</f>
        <v>0</v>
      </c>
      <c r="V262" s="74">
        <f>IF(SIP[[#This Row],[BO TRANSFER]]="YES",SIP[[#This Row],[Unit]],)</f>
        <v>0</v>
      </c>
      <c r="W262" s="74">
        <f>SUMIFS(SIP[[#Headers],[BO UNIT TRANSFER]]:SIP[[#This Row],[BO UNIT TRANSFER]],SIP[[#Headers],[Investor ID]]:SIP[[#This Row],[Investor ID]],SIP[[#This Row],[Investor ID]])</f>
        <v>0</v>
      </c>
    </row>
    <row r="263" spans="1:23" ht="15" customHeight="1">
      <c r="A263" s="46">
        <v>2023</v>
      </c>
      <c r="B263" s="46">
        <v>11</v>
      </c>
      <c r="C263" s="46">
        <v>26</v>
      </c>
      <c r="D263" s="65">
        <f>DATE(SIP[[#This Row],[Year]],SIP[[#This Row],[Month]],SIP[[#This Row],[Day]])</f>
        <v>45256</v>
      </c>
      <c r="E263" s="66" t="str" cm="1">
        <f t="array" ref="E263">INDEX(INVESTORS_LIST[INVESTOR NAME],MATCH(SIP[[#This Row],[Investor ID]],INVESTORS_LIST[INVESTOR CODE],0),)</f>
        <v>KHAN MUHAMMAD FAISOL</v>
      </c>
      <c r="F263" s="46" t="s">
        <v>930</v>
      </c>
      <c r="G263" s="46">
        <f>COUNTIF(SIP[[#Headers],[Investor ID]]:SIP[[#This Row],[Investor ID]],SIP[[#This Row],[Investor ID]])</f>
        <v>7</v>
      </c>
      <c r="H263" s="46" t="str">
        <f>CONCATENATE(SIP[[#This Row],[Frequency]],SIP[[#This Row],[Investor ID]])</f>
        <v>7A00442</v>
      </c>
      <c r="I263" s="46" t="str">
        <f>IF(SIP[[#This Row],[B/S]]="B","BUY",(IF(SIP[[#This Row],[B/S]]="S","SELL"," ")))</f>
        <v>BUY</v>
      </c>
      <c r="J263" s="46" t="s">
        <v>1229</v>
      </c>
      <c r="K263" s="69">
        <v>1000</v>
      </c>
      <c r="L263" s="69"/>
      <c r="M263" s="70">
        <f>SIP[[#This Row],[Amount]]/SIP[[#This Row],[Unit]]</f>
        <v>10.638297872340425</v>
      </c>
      <c r="N263" s="71">
        <f>SIP[[#This Row],[Unit Capital]]/10</f>
        <v>94</v>
      </c>
      <c r="O263" s="72">
        <f>SUMIFS(SIP[[#Headers],[Unit]]:SIP[[#This Row],[Unit]],SIP[[#Headers],[Investor ID]]:SIP[[#This Row],[Investor ID]],SIP[[#This Row],[Investor ID]])</f>
        <v>672</v>
      </c>
      <c r="P263" s="73">
        <v>940</v>
      </c>
      <c r="Q263" s="74">
        <f>SIP[[#This Row],[Amount]]-SIP[[#This Row],[Unit Capital]]</f>
        <v>60</v>
      </c>
      <c r="R2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10.416666666666668</v>
      </c>
      <c r="S263" s="68">
        <f t="shared" si="9"/>
        <v>14.224</v>
      </c>
      <c r="T2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3" s="74" cm="1">
        <f t="array" ref="U263">IF(SIP[[#This Row],[B/S]]="S",ABS(SIP[[#This Row],[Unit]])*(INDEX(SIP[NAV at Cost (Average)],MATCH(CONCATENATE((SIP[[#This Row],[Frequency]]-1),SIP[[#This Row],[Investor ID]]),SIP[Unique Code],0),0)),0)</f>
        <v>0</v>
      </c>
      <c r="V263" s="74">
        <f>IF(SIP[[#This Row],[BO TRANSFER]]="YES",SIP[[#This Row],[Unit]],)</f>
        <v>0</v>
      </c>
      <c r="W263" s="74">
        <f>SUMIFS(SIP[[#Headers],[BO UNIT TRANSFER]]:SIP[[#This Row],[BO UNIT TRANSFER]],SIP[[#Headers],[Investor ID]]:SIP[[#This Row],[Investor ID]],SIP[[#This Row],[Investor ID]])</f>
        <v>0</v>
      </c>
    </row>
    <row r="264" spans="1:23" ht="15" customHeight="1">
      <c r="A264" s="46">
        <v>2023</v>
      </c>
      <c r="B264" s="46">
        <v>11</v>
      </c>
      <c r="C264" s="46">
        <v>26</v>
      </c>
      <c r="D264" s="65">
        <f>DATE(SIP[[#This Row],[Year]],SIP[[#This Row],[Month]],SIP[[#This Row],[Day]])</f>
        <v>45256</v>
      </c>
      <c r="E264" s="66" t="str" cm="1">
        <f t="array" ref="E264">INDEX(INVESTORS_LIST[INVESTOR NAME],MATCH(SIP[[#This Row],[Investor ID]],INVESTORS_LIST[INVESTOR CODE],0),)</f>
        <v>MD. ARIFUL ISLAM</v>
      </c>
      <c r="F264" s="46" t="s">
        <v>222</v>
      </c>
      <c r="G264" s="46">
        <f>COUNTIF(SIP[[#Headers],[Investor ID]]:SIP[[#This Row],[Investor ID]],SIP[[#This Row],[Investor ID]])</f>
        <v>7</v>
      </c>
      <c r="H264" s="46" t="str">
        <f>CONCATENATE(SIP[[#This Row],[Frequency]],SIP[[#This Row],[Investor ID]])</f>
        <v>7A00087</v>
      </c>
      <c r="I264" s="46" t="str">
        <f>IF(SIP[[#This Row],[B/S]]="B","BUY",(IF(SIP[[#This Row],[B/S]]="S","SELL"," ")))</f>
        <v>BUY</v>
      </c>
      <c r="J264" s="46" t="s">
        <v>1229</v>
      </c>
      <c r="K264" s="69">
        <v>10000</v>
      </c>
      <c r="L264" s="69"/>
      <c r="M264" s="70">
        <f>SIP[[#This Row],[Amount]]/SIP[[#This Row],[Unit]]</f>
        <v>10.59322033898305</v>
      </c>
      <c r="N264" s="71">
        <f>SIP[[#This Row],[Unit Capital]]/10</f>
        <v>944</v>
      </c>
      <c r="O264" s="72">
        <f>SUMIFS(SIP[[#Headers],[Unit]]:SIP[[#This Row],[Unit]],SIP[[#Headers],[Investor ID]]:SIP[[#This Row],[Investor ID]],SIP[[#This Row],[Investor ID]])</f>
        <v>6727</v>
      </c>
      <c r="P264" s="73">
        <v>9440</v>
      </c>
      <c r="Q264" s="74">
        <f>SIP[[#This Row],[Amount]]-SIP[[#This Row],[Unit Capital]]</f>
        <v>560</v>
      </c>
      <c r="R2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10.40582726326743</v>
      </c>
      <c r="S264" s="68">
        <f t="shared" si="9"/>
        <v>14.224</v>
      </c>
      <c r="T2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4" s="74" cm="1">
        <f t="array" ref="U264">IF(SIP[[#This Row],[B/S]]="S",ABS(SIP[[#This Row],[Unit]])*(INDEX(SIP[NAV at Cost (Average)],MATCH(CONCATENATE((SIP[[#This Row],[Frequency]]-1),SIP[[#This Row],[Investor ID]]),SIP[Unique Code],0),0)),0)</f>
        <v>0</v>
      </c>
      <c r="V264" s="74">
        <f>IF(SIP[[#This Row],[BO TRANSFER]]="YES",SIP[[#This Row],[Unit]],)</f>
        <v>0</v>
      </c>
      <c r="W264" s="74">
        <f>SUMIFS(SIP[[#Headers],[BO UNIT TRANSFER]]:SIP[[#This Row],[BO UNIT TRANSFER]],SIP[[#Headers],[Investor ID]]:SIP[[#This Row],[Investor ID]],SIP[[#This Row],[Investor ID]])</f>
        <v>0</v>
      </c>
    </row>
    <row r="265" spans="1:23" ht="15" customHeight="1">
      <c r="A265" s="46">
        <v>2023</v>
      </c>
      <c r="B265" s="46">
        <v>11</v>
      </c>
      <c r="C265" s="46">
        <v>26</v>
      </c>
      <c r="D265" s="65">
        <f>DATE(SIP[[#This Row],[Year]],SIP[[#This Row],[Month]],SIP[[#This Row],[Day]])</f>
        <v>45256</v>
      </c>
      <c r="E265" s="66" t="str" cm="1">
        <f t="array" ref="E265">INDEX(INVESTORS_LIST[INVESTOR NAME],MATCH(SIP[[#This Row],[Investor ID]],INVESTORS_LIST[INVESTOR CODE],0),)</f>
        <v>MUHAMMAD SHOHIDUZZAMAN</v>
      </c>
      <c r="F265" s="46" t="s">
        <v>986</v>
      </c>
      <c r="G265" s="46">
        <f>COUNTIF(SIP[[#Headers],[Investor ID]]:SIP[[#This Row],[Investor ID]],SIP[[#This Row],[Investor ID]])</f>
        <v>1</v>
      </c>
      <c r="H265" s="46" t="str">
        <f>CONCATENATE(SIP[[#This Row],[Frequency]],SIP[[#This Row],[Investor ID]])</f>
        <v>1A00470</v>
      </c>
      <c r="I265" s="46" t="str">
        <f>IF(SIP[[#This Row],[B/S]]="B","BUY",(IF(SIP[[#This Row],[B/S]]="S","SELL"," ")))</f>
        <v>BUY</v>
      </c>
      <c r="J265" s="46" t="s">
        <v>1229</v>
      </c>
      <c r="K265" s="69">
        <v>10000</v>
      </c>
      <c r="L265" s="122" t="s">
        <v>1230</v>
      </c>
      <c r="M265" s="70">
        <f>SIP[[#This Row],[Amount]]/SIP[[#This Row],[Unit]]</f>
        <v>10.59322033898305</v>
      </c>
      <c r="N265" s="71">
        <f>SIP[[#This Row],[Unit Capital]]/10</f>
        <v>944</v>
      </c>
      <c r="O265" s="72">
        <f>SUMIFS(SIP[[#Headers],[Unit]]:SIP[[#This Row],[Unit]],SIP[[#Headers],[Investor ID]]:SIP[[#This Row],[Investor ID]],SIP[[#This Row],[Investor ID]])</f>
        <v>944</v>
      </c>
      <c r="P265" s="73">
        <v>9440</v>
      </c>
      <c r="Q265" s="74">
        <f>SIP[[#This Row],[Amount]]-SIP[[#This Row],[Unit Capital]]</f>
        <v>560</v>
      </c>
      <c r="R2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10.59322033898305</v>
      </c>
      <c r="S265" s="68">
        <f t="shared" ref="S265:S281" si="10">NAV_MKT</f>
        <v>14.224</v>
      </c>
      <c r="T2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5" s="74" cm="1">
        <f t="array" ref="U265">IF(SIP[[#This Row],[B/S]]="S",ABS(SIP[[#This Row],[Unit]])*(INDEX(SIP[NAV at Cost (Average)],MATCH(CONCATENATE((SIP[[#This Row],[Frequency]]-1),SIP[[#This Row],[Investor ID]]),SIP[Unique Code],0),0)),0)</f>
        <v>0</v>
      </c>
      <c r="V265" s="74">
        <f>IF(SIP[[#This Row],[BO TRANSFER]]="YES",SIP[[#This Row],[Unit]],)</f>
        <v>944</v>
      </c>
      <c r="W265" s="74">
        <f>SUMIFS(SIP[[#Headers],[BO UNIT TRANSFER]]:SIP[[#This Row],[BO UNIT TRANSFER]],SIP[[#Headers],[Investor ID]]:SIP[[#This Row],[Investor ID]],SIP[[#This Row],[Investor ID]])</f>
        <v>944</v>
      </c>
    </row>
    <row r="266" spans="1:23" ht="15" customHeight="1">
      <c r="A266" s="46">
        <v>2023</v>
      </c>
      <c r="B266" s="46">
        <v>11</v>
      </c>
      <c r="C266" s="46">
        <v>26</v>
      </c>
      <c r="D266" s="65">
        <f>DATE(SIP[[#This Row],[Year]],SIP[[#This Row],[Month]],SIP[[#This Row],[Day]])</f>
        <v>45256</v>
      </c>
      <c r="E266" s="66" t="str" cm="1">
        <f t="array" ref="E266">INDEX(INVESTORS_LIST[INVESTOR NAME],MATCH(SIP[[#This Row],[Investor ID]],INVESTORS_LIST[INVESTOR CODE],0),)</f>
        <v>NUSRAT JAHAN TISHA</v>
      </c>
      <c r="F266" s="46" t="s">
        <v>926</v>
      </c>
      <c r="G266" s="46">
        <f>COUNTIF(SIP[[#Headers],[Investor ID]]:SIP[[#This Row],[Investor ID]],SIP[[#This Row],[Investor ID]])</f>
        <v>4</v>
      </c>
      <c r="H266" s="46" t="str">
        <f>CONCATENATE(SIP[[#This Row],[Frequency]],SIP[[#This Row],[Investor ID]])</f>
        <v>4A00440</v>
      </c>
      <c r="I266" s="46" t="str">
        <f>IF(SIP[[#This Row],[B/S]]="B","BUY",(IF(SIP[[#This Row],[B/S]]="S","SELL"," ")))</f>
        <v>BUY</v>
      </c>
      <c r="J266" s="46" t="s">
        <v>1229</v>
      </c>
      <c r="K266" s="69">
        <v>5000</v>
      </c>
      <c r="L266" s="69"/>
      <c r="M266" s="70">
        <f>SIP[[#This Row],[Amount]]/SIP[[#This Row],[Unit]]</f>
        <v>10.59322033898305</v>
      </c>
      <c r="N266" s="71">
        <f>SIP[[#This Row],[Unit Capital]]/10</f>
        <v>472</v>
      </c>
      <c r="O266" s="72">
        <f>SUMIFS(SIP[[#Headers],[Unit]]:SIP[[#This Row],[Unit]],SIP[[#Headers],[Investor ID]]:SIP[[#This Row],[Investor ID]],SIP[[#This Row],[Investor ID]])</f>
        <v>1903</v>
      </c>
      <c r="P266" s="73">
        <v>4720</v>
      </c>
      <c r="Q266" s="74">
        <f>SIP[[#This Row],[Amount]]-SIP[[#This Row],[Unit Capital]]</f>
        <v>280</v>
      </c>
      <c r="R2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10.509721492380454</v>
      </c>
      <c r="S266" s="68">
        <f t="shared" si="10"/>
        <v>14.224</v>
      </c>
      <c r="T2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6" s="74" cm="1">
        <f t="array" ref="U266">IF(SIP[[#This Row],[B/S]]="S",ABS(SIP[[#This Row],[Unit]])*(INDEX(SIP[NAV at Cost (Average)],MATCH(CONCATENATE((SIP[[#This Row],[Frequency]]-1),SIP[[#This Row],[Investor ID]]),SIP[Unique Code],0),0)),0)</f>
        <v>0</v>
      </c>
      <c r="V266" s="74">
        <f>IF(SIP[[#This Row],[BO TRANSFER]]="YES",SIP[[#This Row],[Unit]],)</f>
        <v>0</v>
      </c>
      <c r="W266" s="74">
        <f>SUMIFS(SIP[[#Headers],[BO UNIT TRANSFER]]:SIP[[#This Row],[BO UNIT TRANSFER]],SIP[[#Headers],[Investor ID]]:SIP[[#This Row],[Investor ID]],SIP[[#This Row],[Investor ID]])</f>
        <v>0</v>
      </c>
    </row>
    <row r="267" spans="1:23" ht="15" customHeight="1">
      <c r="A267" s="46">
        <v>2023</v>
      </c>
      <c r="B267" s="46">
        <v>11</v>
      </c>
      <c r="C267" s="46">
        <v>26</v>
      </c>
      <c r="D267" s="65">
        <f>DATE(SIP[[#This Row],[Year]],SIP[[#This Row],[Month]],SIP[[#This Row],[Day]])</f>
        <v>45256</v>
      </c>
      <c r="E267" s="66" t="str" cm="1">
        <f t="array" ref="E267">INDEX(INVESTORS_LIST[INVESTOR NAME],MATCH(SIP[[#This Row],[Investor ID]],INVESTORS_LIST[INVESTOR CODE],0),)</f>
        <v>SRIJON GHOSH</v>
      </c>
      <c r="F267" s="46" t="s">
        <v>894</v>
      </c>
      <c r="G267" s="46">
        <f>COUNTIF(SIP[[#Headers],[Investor ID]]:SIP[[#This Row],[Investor ID]],SIP[[#This Row],[Investor ID]])</f>
        <v>16</v>
      </c>
      <c r="H267" s="46" t="str">
        <f>CONCATENATE(SIP[[#This Row],[Frequency]],SIP[[#This Row],[Investor ID]])</f>
        <v>16A00424</v>
      </c>
      <c r="I267" s="46" t="str">
        <f>IF(SIP[[#This Row],[B/S]]="B","BUY",(IF(SIP[[#This Row],[B/S]]="S","SELL"," ")))</f>
        <v>BUY</v>
      </c>
      <c r="J267" s="46" t="s">
        <v>1229</v>
      </c>
      <c r="K267" s="69">
        <v>60000</v>
      </c>
      <c r="L267" s="69"/>
      <c r="M267" s="70">
        <f>SIP[[#This Row],[Amount]]/SIP[[#This Row],[Unit]]</f>
        <v>10.595090941197245</v>
      </c>
      <c r="N267" s="71">
        <f>SIP[[#This Row],[Unit Capital]]/10</f>
        <v>5663</v>
      </c>
      <c r="O267" s="72">
        <f>SUMIFS(SIP[[#Headers],[Unit]]:SIP[[#This Row],[Unit]],SIP[[#Headers],[Investor ID]]:SIP[[#This Row],[Investor ID]],SIP[[#This Row],[Investor ID]])</f>
        <v>18818</v>
      </c>
      <c r="P267" s="73">
        <v>56630</v>
      </c>
      <c r="Q267" s="74">
        <f>SIP[[#This Row],[Amount]]-SIP[[#This Row],[Unit Capital]]</f>
        <v>3370</v>
      </c>
      <c r="R2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10.415981886037335</v>
      </c>
      <c r="S267" s="68">
        <f t="shared" si="10"/>
        <v>14.224</v>
      </c>
      <c r="T2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7" s="74" cm="1">
        <f t="array" ref="U267">IF(SIP[[#This Row],[B/S]]="S",ABS(SIP[[#This Row],[Unit]])*(INDEX(SIP[NAV at Cost (Average)],MATCH(CONCATENATE((SIP[[#This Row],[Frequency]]-1),SIP[[#This Row],[Investor ID]]),SIP[Unique Code],0),0)),0)</f>
        <v>0</v>
      </c>
      <c r="V267" s="74">
        <f>IF(SIP[[#This Row],[BO TRANSFER]]="YES",SIP[[#This Row],[Unit]],)</f>
        <v>0</v>
      </c>
      <c r="W267" s="74">
        <f>SUMIFS(SIP[[#Headers],[BO UNIT TRANSFER]]:SIP[[#This Row],[BO UNIT TRANSFER]],SIP[[#Headers],[Investor ID]]:SIP[[#This Row],[Investor ID]],SIP[[#This Row],[Investor ID]])</f>
        <v>0</v>
      </c>
    </row>
    <row r="268" spans="1:23" ht="15" customHeight="1">
      <c r="A268" s="46">
        <v>2023</v>
      </c>
      <c r="B268" s="46">
        <v>12</v>
      </c>
      <c r="C268" s="46">
        <v>5</v>
      </c>
      <c r="D268" s="65">
        <f>DATE(SIP[[#This Row],[Year]],SIP[[#This Row],[Month]],SIP[[#This Row],[Day]])</f>
        <v>45265</v>
      </c>
      <c r="E268" s="66" t="str" cm="1">
        <f t="array" ref="E268">INDEX(INVESTORS_LIST[INVESTOR NAME],MATCH(SIP[[#This Row],[Investor ID]],INVESTORS_LIST[INVESTOR CODE],0),)</f>
        <v>ANJAN MALLIK</v>
      </c>
      <c r="F268" s="46" t="s">
        <v>546</v>
      </c>
      <c r="G268" s="46">
        <f>COUNTIF(SIP[[#Headers],[Investor ID]]:SIP[[#This Row],[Investor ID]],SIP[[#This Row],[Investor ID]])</f>
        <v>9</v>
      </c>
      <c r="H268" s="46" t="str">
        <f>CONCATENATE(SIP[[#This Row],[Frequency]],SIP[[#This Row],[Investor ID]])</f>
        <v>9A00248</v>
      </c>
      <c r="I268" s="46" t="str">
        <f>IF(SIP[[#This Row],[B/S]]="B","BUY",(IF(SIP[[#This Row],[B/S]]="S","SELL"," ")))</f>
        <v>BUY</v>
      </c>
      <c r="J268" s="46" t="s">
        <v>1229</v>
      </c>
      <c r="K268" s="69">
        <v>50000</v>
      </c>
      <c r="L268" s="69"/>
      <c r="M268" s="70">
        <f>SIP[[#This Row],[Amount]]/SIP[[#This Row],[Unit]]</f>
        <v>10.611205432937181</v>
      </c>
      <c r="N268" s="71">
        <f>SIP[[#This Row],[Unit Capital]]/10</f>
        <v>4712</v>
      </c>
      <c r="O268" s="72">
        <f>SUMIFS(SIP[[#Headers],[Unit]]:SIP[[#This Row],[Unit]],SIP[[#Headers],[Investor ID]]:SIP[[#This Row],[Investor ID]],SIP[[#This Row],[Investor ID]])</f>
        <v>43477</v>
      </c>
      <c r="P268" s="73">
        <v>47120</v>
      </c>
      <c r="Q268" s="74">
        <f>SIP[[#This Row],[Amount]]-SIP[[#This Row],[Unit Capital]]</f>
        <v>2880</v>
      </c>
      <c r="R2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10.350300158704604</v>
      </c>
      <c r="S268" s="68">
        <f t="shared" si="10"/>
        <v>14.224</v>
      </c>
      <c r="T2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8" s="74" cm="1">
        <f t="array" ref="U268">IF(SIP[[#This Row],[B/S]]="S",ABS(SIP[[#This Row],[Unit]])*(INDEX(SIP[NAV at Cost (Average)],MATCH(CONCATENATE((SIP[[#This Row],[Frequency]]-1),SIP[[#This Row],[Investor ID]]),SIP[Unique Code],0),0)),0)</f>
        <v>0</v>
      </c>
      <c r="V268" s="74">
        <f>IF(SIP[[#This Row],[BO TRANSFER]]="YES",SIP[[#This Row],[Unit]],)</f>
        <v>0</v>
      </c>
      <c r="W268" s="74">
        <f>SUMIFS(SIP[[#Headers],[BO UNIT TRANSFER]]:SIP[[#This Row],[BO UNIT TRANSFER]],SIP[[#Headers],[Investor ID]]:SIP[[#This Row],[Investor ID]],SIP[[#This Row],[Investor ID]])</f>
        <v>0</v>
      </c>
    </row>
    <row r="269" spans="1:23" ht="15" customHeight="1">
      <c r="A269" s="46">
        <v>2023</v>
      </c>
      <c r="B269" s="46">
        <v>12</v>
      </c>
      <c r="C269" s="46">
        <v>5</v>
      </c>
      <c r="D269" s="65">
        <f>DATE(SIP[[#This Row],[Year]],SIP[[#This Row],[Month]],SIP[[#This Row],[Day]])</f>
        <v>45265</v>
      </c>
      <c r="E269" s="66" t="str" cm="1">
        <f t="array" ref="E269">INDEX(INVESTORS_LIST[INVESTOR NAME],MATCH(SIP[[#This Row],[Investor ID]],INVESTORS_LIST[INVESTOR CODE],0),)</f>
        <v>MONIR AHMED</v>
      </c>
      <c r="F269" s="46" t="s">
        <v>125</v>
      </c>
      <c r="G269" s="46">
        <f>COUNTIF(SIP[[#Headers],[Investor ID]]:SIP[[#This Row],[Investor ID]],SIP[[#This Row],[Investor ID]])</f>
        <v>8</v>
      </c>
      <c r="H269" s="46" t="str">
        <f>CONCATENATE(SIP[[#This Row],[Frequency]],SIP[[#This Row],[Investor ID]])</f>
        <v>8A00039</v>
      </c>
      <c r="I269" s="46" t="str">
        <f>IF(SIP[[#This Row],[B/S]]="B","BUY",(IF(SIP[[#This Row],[B/S]]="S","SELL"," ")))</f>
        <v>BUY</v>
      </c>
      <c r="J269" s="46" t="s">
        <v>1229</v>
      </c>
      <c r="K269" s="69">
        <v>5000</v>
      </c>
      <c r="L269" s="69"/>
      <c r="M269" s="70">
        <f>SIP[[#This Row],[Amount]]/SIP[[#This Row],[Unit]]</f>
        <v>10.615711252653927</v>
      </c>
      <c r="N269" s="71">
        <f>SIP[[#This Row],[Unit Capital]]/10</f>
        <v>471</v>
      </c>
      <c r="O269" s="72">
        <f>SUMIFS(SIP[[#Headers],[Unit]]:SIP[[#This Row],[Unit]],SIP[[#Headers],[Investor ID]]:SIP[[#This Row],[Investor ID]],SIP[[#This Row],[Investor ID]])</f>
        <v>1421</v>
      </c>
      <c r="P269" s="73">
        <v>4710</v>
      </c>
      <c r="Q269" s="74">
        <f>SIP[[#This Row],[Amount]]-SIP[[#This Row],[Unit Capital]]</f>
        <v>290</v>
      </c>
      <c r="R2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10.555946516537649</v>
      </c>
      <c r="S269" s="68">
        <f t="shared" si="10"/>
        <v>14.224</v>
      </c>
      <c r="T2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9" s="74" cm="1">
        <f t="array" ref="U269">IF(SIP[[#This Row],[B/S]]="S",ABS(SIP[[#This Row],[Unit]])*(INDEX(SIP[NAV at Cost (Average)],MATCH(CONCATENATE((SIP[[#This Row],[Frequency]]-1),SIP[[#This Row],[Investor ID]]),SIP[Unique Code],0),0)),0)</f>
        <v>0</v>
      </c>
      <c r="V269" s="74">
        <f>IF(SIP[[#This Row],[BO TRANSFER]]="YES",SIP[[#This Row],[Unit]],)</f>
        <v>0</v>
      </c>
      <c r="W269" s="74">
        <f>SUMIFS(SIP[[#Headers],[BO UNIT TRANSFER]]:SIP[[#This Row],[BO UNIT TRANSFER]],SIP[[#Headers],[Investor ID]]:SIP[[#This Row],[Investor ID]],SIP[[#This Row],[Investor ID]])</f>
        <v>0</v>
      </c>
    </row>
    <row r="270" spans="1:23" ht="15" customHeight="1">
      <c r="A270" s="46">
        <v>2023</v>
      </c>
      <c r="B270" s="46">
        <v>12</v>
      </c>
      <c r="C270" s="46">
        <v>5</v>
      </c>
      <c r="D270" s="65">
        <f>DATE(SIP[[#This Row],[Year]],SIP[[#This Row],[Month]],SIP[[#This Row],[Day]])</f>
        <v>45265</v>
      </c>
      <c r="E270" s="66" t="str" cm="1">
        <f t="array" ref="E270">INDEX(INVESTORS_LIST[INVESTOR NAME],MATCH(SIP[[#This Row],[Investor ID]],INVESTORS_LIST[INVESTOR CODE],0),)</f>
        <v>NANDINI SAHA</v>
      </c>
      <c r="F270" s="46" t="s">
        <v>242</v>
      </c>
      <c r="G270" s="46">
        <f>COUNTIF(SIP[[#Headers],[Investor ID]]:SIP[[#This Row],[Investor ID]],SIP[[#This Row],[Investor ID]])</f>
        <v>8</v>
      </c>
      <c r="H270" s="46" t="str">
        <f>CONCATENATE(SIP[[#This Row],[Frequency]],SIP[[#This Row],[Investor ID]])</f>
        <v>8A00097</v>
      </c>
      <c r="I270" s="46" t="str">
        <f>IF(SIP[[#This Row],[B/S]]="B","BUY",(IF(SIP[[#This Row],[B/S]]="S","SELL"," ")))</f>
        <v>BUY</v>
      </c>
      <c r="J270" s="46" t="s">
        <v>1229</v>
      </c>
      <c r="K270" s="69">
        <v>30000</v>
      </c>
      <c r="L270" s="69"/>
      <c r="M270" s="70">
        <f>SIP[[#This Row],[Amount]]/SIP[[#This Row],[Unit]]</f>
        <v>10.611956137247965</v>
      </c>
      <c r="N270" s="71">
        <f>SIP[[#This Row],[Unit Capital]]/10</f>
        <v>2827</v>
      </c>
      <c r="O270" s="72">
        <f>SUMIFS(SIP[[#Headers],[Unit]]:SIP[[#This Row],[Unit]],SIP[[#Headers],[Investor ID]]:SIP[[#This Row],[Investor ID]],SIP[[#This Row],[Investor ID]])</f>
        <v>23114</v>
      </c>
      <c r="P270" s="73">
        <v>28270</v>
      </c>
      <c r="Q270" s="74">
        <f>SIP[[#This Row],[Amount]]-SIP[[#This Row],[Unit Capital]]</f>
        <v>1730</v>
      </c>
      <c r="R2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10.383317469931642</v>
      </c>
      <c r="S270" s="68">
        <f t="shared" si="10"/>
        <v>14.224</v>
      </c>
      <c r="T2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0" s="74" cm="1">
        <f t="array" ref="U270">IF(SIP[[#This Row],[B/S]]="S",ABS(SIP[[#This Row],[Unit]])*(INDEX(SIP[NAV at Cost (Average)],MATCH(CONCATENATE((SIP[[#This Row],[Frequency]]-1),SIP[[#This Row],[Investor ID]]),SIP[Unique Code],0),0)),0)</f>
        <v>0</v>
      </c>
      <c r="V270" s="74">
        <f>IF(SIP[[#This Row],[BO TRANSFER]]="YES",SIP[[#This Row],[Unit]],)</f>
        <v>0</v>
      </c>
      <c r="W270" s="74">
        <f>SUMIFS(SIP[[#Headers],[BO UNIT TRANSFER]]:SIP[[#This Row],[BO UNIT TRANSFER]],SIP[[#Headers],[Investor ID]]:SIP[[#This Row],[Investor ID]],SIP[[#This Row],[Investor ID]])</f>
        <v>0</v>
      </c>
    </row>
    <row r="271" spans="1:23" ht="15" customHeight="1">
      <c r="A271" s="46">
        <v>2023</v>
      </c>
      <c r="B271" s="46">
        <v>12</v>
      </c>
      <c r="C271" s="46">
        <v>5</v>
      </c>
      <c r="D271" s="65">
        <f>DATE(SIP[[#This Row],[Year]],SIP[[#This Row],[Month]],SIP[[#This Row],[Day]])</f>
        <v>45265</v>
      </c>
      <c r="E271" s="66" t="str" cm="1">
        <f t="array" ref="E271">INDEX(INVESTORS_LIST[INVESTOR NAME],MATCH(SIP[[#This Row],[Investor ID]],INVESTORS_LIST[INVESTOR CODE],0),)</f>
        <v>SHANTA PAUL</v>
      </c>
      <c r="F271" s="46" t="s">
        <v>544</v>
      </c>
      <c r="G271" s="46">
        <f>COUNTIF(SIP[[#Headers],[Investor ID]]:SIP[[#This Row],[Investor ID]],SIP[[#This Row],[Investor ID]])</f>
        <v>9</v>
      </c>
      <c r="H271" s="46" t="str">
        <f>CONCATENATE(SIP[[#This Row],[Frequency]],SIP[[#This Row],[Investor ID]])</f>
        <v>9A00247</v>
      </c>
      <c r="I271" s="46" t="str">
        <f>IF(SIP[[#This Row],[B/S]]="B","BUY",(IF(SIP[[#This Row],[B/S]]="S","SELL"," ")))</f>
        <v>BUY</v>
      </c>
      <c r="J271" s="46" t="s">
        <v>1229</v>
      </c>
      <c r="K271" s="69">
        <v>20000</v>
      </c>
      <c r="L271" s="69"/>
      <c r="M271" s="70">
        <f>SIP[[#This Row],[Amount]]/SIP[[#This Row],[Unit]]</f>
        <v>10.610079575596817</v>
      </c>
      <c r="N271" s="71">
        <f>SIP[[#This Row],[Unit Capital]]/10</f>
        <v>1885</v>
      </c>
      <c r="O271" s="72">
        <f>SUMIFS(SIP[[#Headers],[Unit]]:SIP[[#This Row],[Unit]],SIP[[#Headers],[Investor ID]]:SIP[[#This Row],[Investor ID]],SIP[[#This Row],[Investor ID]])</f>
        <v>17391</v>
      </c>
      <c r="P271" s="73">
        <v>18850</v>
      </c>
      <c r="Q271" s="74">
        <f>SIP[[#This Row],[Amount]]-SIP[[#This Row],[Unit Capital]]</f>
        <v>1150</v>
      </c>
      <c r="R2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10.350181128169742</v>
      </c>
      <c r="S271" s="68">
        <f t="shared" si="10"/>
        <v>14.224</v>
      </c>
      <c r="T2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1" s="74" cm="1">
        <f t="array" ref="U271">IF(SIP[[#This Row],[B/S]]="S",ABS(SIP[[#This Row],[Unit]])*(INDEX(SIP[NAV at Cost (Average)],MATCH(CONCATENATE((SIP[[#This Row],[Frequency]]-1),SIP[[#This Row],[Investor ID]]),SIP[Unique Code],0),0)),0)</f>
        <v>0</v>
      </c>
      <c r="V271" s="74">
        <f>IF(SIP[[#This Row],[BO TRANSFER]]="YES",SIP[[#This Row],[Unit]],)</f>
        <v>0</v>
      </c>
      <c r="W271" s="74">
        <f>SUMIFS(SIP[[#Headers],[BO UNIT TRANSFER]]:SIP[[#This Row],[BO UNIT TRANSFER]],SIP[[#Headers],[Investor ID]]:SIP[[#This Row],[Investor ID]],SIP[[#This Row],[Investor ID]])</f>
        <v>0</v>
      </c>
    </row>
    <row r="272" spans="1:23" ht="15" customHeight="1">
      <c r="A272" s="46">
        <v>2023</v>
      </c>
      <c r="B272" s="46">
        <v>12</v>
      </c>
      <c r="C272" s="46">
        <v>5</v>
      </c>
      <c r="D272" s="65">
        <f>DATE(SIP[[#This Row],[Year]],SIP[[#This Row],[Month]],SIP[[#This Row],[Day]])</f>
        <v>45265</v>
      </c>
      <c r="E272" s="66" t="str" cm="1">
        <f t="array" ref="E272">INDEX(INVESTORS_LIST[INVESTOR NAME],MATCH(SIP[[#This Row],[Investor ID]],INVESTORS_LIST[INVESTOR CODE],0),)</f>
        <v>FAKARUDDIN ALI AHMED</v>
      </c>
      <c r="F272" s="46" t="s">
        <v>228</v>
      </c>
      <c r="G272" s="46">
        <f>COUNTIF(SIP[[#Headers],[Investor ID]]:SIP[[#This Row],[Investor ID]],SIP[[#This Row],[Investor ID]])</f>
        <v>7</v>
      </c>
      <c r="H272" s="46" t="str">
        <f>CONCATENATE(SIP[[#This Row],[Frequency]],SIP[[#This Row],[Investor ID]])</f>
        <v>7A00090</v>
      </c>
      <c r="I272" s="46" t="str">
        <f>IF(SIP[[#This Row],[B/S]]="B","BUY",(IF(SIP[[#This Row],[B/S]]="S","SELL"," ")))</f>
        <v>BUY</v>
      </c>
      <c r="J272" s="46" t="s">
        <v>1229</v>
      </c>
      <c r="K272" s="69">
        <v>10000</v>
      </c>
      <c r="L272" s="69"/>
      <c r="M272" s="70">
        <f>SIP[[#This Row],[Amount]]/SIP[[#This Row],[Unit]]</f>
        <v>10.615711252653927</v>
      </c>
      <c r="N272" s="71">
        <f>SIP[[#This Row],[Unit Capital]]/10</f>
        <v>942</v>
      </c>
      <c r="O272" s="72">
        <f>SUMIFS(SIP[[#Headers],[Unit]]:SIP[[#This Row],[Unit]],SIP[[#Headers],[Investor ID]]:SIP[[#This Row],[Investor ID]],SIP[[#This Row],[Investor ID]])</f>
        <v>4761</v>
      </c>
      <c r="P272" s="73">
        <v>9420</v>
      </c>
      <c r="Q272" s="74">
        <f>SIP[[#This Row],[Amount]]-SIP[[#This Row],[Unit Capital]]</f>
        <v>580</v>
      </c>
      <c r="R2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10.501995379122032</v>
      </c>
      <c r="S272" s="68">
        <f t="shared" si="10"/>
        <v>14.224</v>
      </c>
      <c r="T2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2" s="74" cm="1">
        <f t="array" ref="U272">IF(SIP[[#This Row],[B/S]]="S",ABS(SIP[[#This Row],[Unit]])*(INDEX(SIP[NAV at Cost (Average)],MATCH(CONCATENATE((SIP[[#This Row],[Frequency]]-1),SIP[[#This Row],[Investor ID]]),SIP[Unique Code],0),0)),0)</f>
        <v>0</v>
      </c>
      <c r="V272" s="74">
        <f>IF(SIP[[#This Row],[BO TRANSFER]]="YES",SIP[[#This Row],[Unit]],)</f>
        <v>0</v>
      </c>
      <c r="W272" s="74">
        <f>SUMIFS(SIP[[#Headers],[BO UNIT TRANSFER]]:SIP[[#This Row],[BO UNIT TRANSFER]],SIP[[#Headers],[Investor ID]]:SIP[[#This Row],[Investor ID]],SIP[[#This Row],[Investor ID]])</f>
        <v>0</v>
      </c>
    </row>
    <row r="273" spans="1:23" ht="15" customHeight="1">
      <c r="A273" s="46">
        <v>2023</v>
      </c>
      <c r="B273" s="46">
        <v>12</v>
      </c>
      <c r="C273" s="46">
        <v>5</v>
      </c>
      <c r="D273" s="65">
        <f>DATE(SIP[[#This Row],[Year]],SIP[[#This Row],[Month]],SIP[[#This Row],[Day]])</f>
        <v>45265</v>
      </c>
      <c r="E273" s="66" t="str" cm="1">
        <f t="array" ref="E273">INDEX(INVESTORS_LIST[INVESTOR NAME],MATCH(SIP[[#This Row],[Investor ID]],INVESTORS_LIST[INVESTOR CODE],0),)</f>
        <v>ROKSABA KASEM</v>
      </c>
      <c r="F273" s="46" t="s">
        <v>900</v>
      </c>
      <c r="G273" s="46">
        <f>COUNTIF(SIP[[#Headers],[Investor ID]]:SIP[[#This Row],[Investor ID]],SIP[[#This Row],[Investor ID]])</f>
        <v>7</v>
      </c>
      <c r="H273" s="46" t="str">
        <f>CONCATENATE(SIP[[#This Row],[Frequency]],SIP[[#This Row],[Investor ID]])</f>
        <v>7A00427</v>
      </c>
      <c r="I273" s="46" t="str">
        <f>IF(SIP[[#This Row],[B/S]]="B","BUY",(IF(SIP[[#This Row],[B/S]]="S","SELL"," ")))</f>
        <v>BUY</v>
      </c>
      <c r="J273" s="46" t="s">
        <v>1229</v>
      </c>
      <c r="K273" s="69">
        <v>20000</v>
      </c>
      <c r="L273" s="122"/>
      <c r="M273" s="70">
        <f>SIP[[#This Row],[Amount]]/SIP[[#This Row],[Unit]]</f>
        <v>10.610079575596817</v>
      </c>
      <c r="N273" s="71">
        <f>SIP[[#This Row],[Unit Capital]]/10</f>
        <v>1885</v>
      </c>
      <c r="O273" s="72">
        <f>SUMIFS(SIP[[#Headers],[Unit]]:SIP[[#This Row],[Unit]],SIP[[#Headers],[Investor ID]]:SIP[[#This Row],[Investor ID]],SIP[[#This Row],[Investor ID]])</f>
        <v>13434</v>
      </c>
      <c r="P273" s="73">
        <v>18850</v>
      </c>
      <c r="Q273" s="74">
        <f>SIP[[#This Row],[Amount]]-SIP[[#This Row],[Unit Capital]]</f>
        <v>1150</v>
      </c>
      <c r="R2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10.421319041238648</v>
      </c>
      <c r="S273" s="68">
        <f t="shared" si="10"/>
        <v>14.224</v>
      </c>
      <c r="T2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3" s="74" cm="1">
        <f t="array" ref="U273">IF(SIP[[#This Row],[B/S]]="S",ABS(SIP[[#This Row],[Unit]])*(INDEX(SIP[NAV at Cost (Average)],MATCH(CONCATENATE((SIP[[#This Row],[Frequency]]-1),SIP[[#This Row],[Investor ID]]),SIP[Unique Code],0),0)),0)</f>
        <v>0</v>
      </c>
      <c r="V273" s="74">
        <f>IF(SIP[[#This Row],[BO TRANSFER]]="YES",SIP[[#This Row],[Unit]],)</f>
        <v>0</v>
      </c>
      <c r="W273" s="74">
        <f>SUMIFS(SIP[[#Headers],[BO UNIT TRANSFER]]:SIP[[#This Row],[BO UNIT TRANSFER]],SIP[[#Headers],[Investor ID]]:SIP[[#This Row],[Investor ID]],SIP[[#This Row],[Investor ID]])</f>
        <v>0</v>
      </c>
    </row>
    <row r="274" spans="1:23" ht="15" customHeight="1">
      <c r="A274" s="46">
        <v>2023</v>
      </c>
      <c r="B274" s="46">
        <v>12</v>
      </c>
      <c r="C274" s="46">
        <v>5</v>
      </c>
      <c r="D274" s="65">
        <f>DATE(SIP[[#This Row],[Year]],SIP[[#This Row],[Month]],SIP[[#This Row],[Day]])</f>
        <v>45265</v>
      </c>
      <c r="E274" s="66" t="str" cm="1">
        <f t="array" ref="E274">INDEX(INVESTORS_LIST[INVESTOR NAME],MATCH(SIP[[#This Row],[Investor ID]],INVESTORS_LIST[INVESTOR CODE],0),)</f>
        <v>MD. MONIRUL ISLAM</v>
      </c>
      <c r="F274" s="46" t="s">
        <v>996</v>
      </c>
      <c r="G274" s="46">
        <f>COUNTIF(SIP[[#Headers],[Investor ID]]:SIP[[#This Row],[Investor ID]],SIP[[#This Row],[Investor ID]])</f>
        <v>8</v>
      </c>
      <c r="H274" s="46" t="str">
        <f>CONCATENATE(SIP[[#This Row],[Frequency]],SIP[[#This Row],[Investor ID]])</f>
        <v>8A00475</v>
      </c>
      <c r="I274" s="46" t="str">
        <f>IF(SIP[[#This Row],[B/S]]="B","BUY",(IF(SIP[[#This Row],[B/S]]="S","SELL"," ")))</f>
        <v>BUY</v>
      </c>
      <c r="J274" s="46" t="s">
        <v>1229</v>
      </c>
      <c r="K274" s="69">
        <v>10000</v>
      </c>
      <c r="L274" s="69"/>
      <c r="M274" s="70">
        <f>SIP[[#This Row],[Amount]]/SIP[[#This Row],[Unit]]</f>
        <v>10.615711252653927</v>
      </c>
      <c r="N274" s="71">
        <f>SIP[[#This Row],[Unit Capital]]/10</f>
        <v>942</v>
      </c>
      <c r="O274" s="72">
        <f>SUMIFS(SIP[[#Headers],[Unit]]:SIP[[#This Row],[Unit]],SIP[[#Headers],[Investor ID]]:SIP[[#This Row],[Investor ID]],SIP[[#This Row],[Investor ID]])</f>
        <v>7704</v>
      </c>
      <c r="P274" s="73">
        <v>9420</v>
      </c>
      <c r="Q274" s="74">
        <f>SIP[[#This Row],[Amount]]-SIP[[#This Row],[Unit Capital]]</f>
        <v>580</v>
      </c>
      <c r="R2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10.384215991692626</v>
      </c>
      <c r="S274" s="68">
        <f t="shared" si="10"/>
        <v>14.224</v>
      </c>
      <c r="T2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4" s="74" cm="1">
        <f t="array" ref="U274">IF(SIP[[#This Row],[B/S]]="S",ABS(SIP[[#This Row],[Unit]])*(INDEX(SIP[NAV at Cost (Average)],MATCH(CONCATENATE((SIP[[#This Row],[Frequency]]-1),SIP[[#This Row],[Investor ID]]),SIP[Unique Code],0),0)),0)</f>
        <v>0</v>
      </c>
      <c r="V274" s="74">
        <f>IF(SIP[[#This Row],[BO TRANSFER]]="YES",SIP[[#This Row],[Unit]],)</f>
        <v>0</v>
      </c>
      <c r="W274" s="74">
        <f>SUMIFS(SIP[[#Headers],[BO UNIT TRANSFER]]:SIP[[#This Row],[BO UNIT TRANSFER]],SIP[[#Headers],[Investor ID]]:SIP[[#This Row],[Investor ID]],SIP[[#This Row],[Investor ID]])</f>
        <v>0</v>
      </c>
    </row>
    <row r="275" spans="1:23" ht="15" customHeight="1">
      <c r="A275" s="46">
        <v>2023</v>
      </c>
      <c r="B275" s="46">
        <v>12</v>
      </c>
      <c r="C275" s="46">
        <v>5</v>
      </c>
      <c r="D275" s="65">
        <f>DATE(SIP[[#This Row],[Year]],SIP[[#This Row],[Month]],SIP[[#This Row],[Day]])</f>
        <v>45265</v>
      </c>
      <c r="E275" s="66" t="str" cm="1">
        <f t="array" ref="E275">INDEX(INVESTORS_LIST[INVESTOR NAME],MATCH(SIP[[#This Row],[Investor ID]],INVESTORS_LIST[INVESTOR CODE],0),)</f>
        <v>SABRIA ISLAM TALUKDER</v>
      </c>
      <c r="F275" s="46" t="s">
        <v>409</v>
      </c>
      <c r="G275" s="46">
        <f>COUNTIF(SIP[[#Headers],[Investor ID]]:SIP[[#This Row],[Investor ID]],SIP[[#This Row],[Investor ID]])</f>
        <v>4</v>
      </c>
      <c r="H275" s="46" t="str">
        <f>CONCATENATE(SIP[[#This Row],[Frequency]],SIP[[#This Row],[Investor ID]])</f>
        <v>4A00180</v>
      </c>
      <c r="I275" s="46" t="str">
        <f>IF(SIP[[#This Row],[B/S]]="B","BUY",(IF(SIP[[#This Row],[B/S]]="S","SELL"," ")))</f>
        <v>BUY</v>
      </c>
      <c r="J275" s="46" t="s">
        <v>1229</v>
      </c>
      <c r="K275" s="69">
        <v>5000</v>
      </c>
      <c r="L275" s="69"/>
      <c r="M275" s="70">
        <f>SIP[[#This Row],[Amount]]/SIP[[#This Row],[Unit]]</f>
        <v>10.615711252653927</v>
      </c>
      <c r="N275" s="71">
        <f>SIP[[#This Row],[Unit Capital]]/10</f>
        <v>471</v>
      </c>
      <c r="O275" s="72">
        <f>SUMIFS(SIP[[#Headers],[Unit]]:SIP[[#This Row],[Unit]],SIP[[#Headers],[Investor ID]]:SIP[[#This Row],[Investor ID]],SIP[[#This Row],[Investor ID]])</f>
        <v>1900</v>
      </c>
      <c r="P275" s="73">
        <v>4710</v>
      </c>
      <c r="Q275" s="74">
        <f>SIP[[#This Row],[Amount]]-SIP[[#This Row],[Unit Capital]]</f>
        <v>290</v>
      </c>
      <c r="R2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10.526315789473683</v>
      </c>
      <c r="S275" s="68">
        <f t="shared" si="10"/>
        <v>14.224</v>
      </c>
      <c r="T2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5" s="74" cm="1">
        <f t="array" ref="U275">IF(SIP[[#This Row],[B/S]]="S",ABS(SIP[[#This Row],[Unit]])*(INDEX(SIP[NAV at Cost (Average)],MATCH(CONCATENATE((SIP[[#This Row],[Frequency]]-1),SIP[[#This Row],[Investor ID]]),SIP[Unique Code],0),0)),0)</f>
        <v>0</v>
      </c>
      <c r="V275" s="74">
        <f>IF(SIP[[#This Row],[BO TRANSFER]]="YES",SIP[[#This Row],[Unit]],)</f>
        <v>0</v>
      </c>
      <c r="W275" s="74">
        <f>SUMIFS(SIP[[#Headers],[BO UNIT TRANSFER]]:SIP[[#This Row],[BO UNIT TRANSFER]],SIP[[#Headers],[Investor ID]]:SIP[[#This Row],[Investor ID]],SIP[[#This Row],[Investor ID]])</f>
        <v>0</v>
      </c>
    </row>
    <row r="276" spans="1:23" ht="15" customHeight="1">
      <c r="A276" s="46">
        <v>2023</v>
      </c>
      <c r="B276" s="46">
        <v>12</v>
      </c>
      <c r="C276" s="46">
        <v>5</v>
      </c>
      <c r="D276" s="65">
        <f>DATE(SIP[[#This Row],[Year]],SIP[[#This Row],[Month]],SIP[[#This Row],[Day]])</f>
        <v>45265</v>
      </c>
      <c r="E276" s="66" t="str" cm="1">
        <f t="array" ref="E276">INDEX(INVESTORS_LIST[INVESTOR NAME],MATCH(SIP[[#This Row],[Investor ID]],INVESTORS_LIST[INVESTOR CODE],0),)</f>
        <v>NANI GOPAL DATTA</v>
      </c>
      <c r="F276" s="46" t="s">
        <v>232</v>
      </c>
      <c r="G276" s="46">
        <f>COUNTIF(SIP[[#Headers],[Investor ID]]:SIP[[#This Row],[Investor ID]],SIP[[#This Row],[Investor ID]])</f>
        <v>2</v>
      </c>
      <c r="H276" s="46" t="str">
        <f>CONCATENATE(SIP[[#This Row],[Frequency]],SIP[[#This Row],[Investor ID]])</f>
        <v>2A00092</v>
      </c>
      <c r="I276" s="46" t="str">
        <f>IF(SIP[[#This Row],[B/S]]="B","BUY",(IF(SIP[[#This Row],[B/S]]="S","SELL"," ")))</f>
        <v>BUY</v>
      </c>
      <c r="J276" s="46" t="s">
        <v>1229</v>
      </c>
      <c r="K276" s="69">
        <v>2000</v>
      </c>
      <c r="L276" s="69"/>
      <c r="M276" s="70">
        <f>SIP[[#This Row],[Amount]]/SIP[[#This Row],[Unit]]</f>
        <v>10.638297872340425</v>
      </c>
      <c r="N276" s="71">
        <f>SIP[[#This Row],[Unit Capital]]/10</f>
        <v>188</v>
      </c>
      <c r="O276" s="72">
        <f>SUMIFS(SIP[[#Headers],[Unit]]:SIP[[#This Row],[Unit]],SIP[[#Headers],[Investor ID]]:SIP[[#This Row],[Investor ID]],SIP[[#This Row],[Investor ID]])</f>
        <v>377</v>
      </c>
      <c r="P276" s="73">
        <v>1880</v>
      </c>
      <c r="Q276" s="74">
        <f>SIP[[#This Row],[Amount]]-SIP[[#This Row],[Unit Capital]]</f>
        <v>120</v>
      </c>
      <c r="R2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10.610079575596817</v>
      </c>
      <c r="S276" s="68">
        <f t="shared" si="10"/>
        <v>14.224</v>
      </c>
      <c r="T2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6" s="74" cm="1">
        <f t="array" ref="U276">IF(SIP[[#This Row],[B/S]]="S",ABS(SIP[[#This Row],[Unit]])*(INDEX(SIP[NAV at Cost (Average)],MATCH(CONCATENATE((SIP[[#This Row],[Frequency]]-1),SIP[[#This Row],[Investor ID]]),SIP[Unique Code],0),0)),0)</f>
        <v>0</v>
      </c>
      <c r="V276" s="74">
        <f>IF(SIP[[#This Row],[BO TRANSFER]]="YES",SIP[[#This Row],[Unit]],)</f>
        <v>0</v>
      </c>
      <c r="W276" s="74">
        <f>SUMIFS(SIP[[#Headers],[BO UNIT TRANSFER]]:SIP[[#This Row],[BO UNIT TRANSFER]],SIP[[#Headers],[Investor ID]]:SIP[[#This Row],[Investor ID]],SIP[[#This Row],[Investor ID]])</f>
        <v>0</v>
      </c>
    </row>
    <row r="277" spans="1:23" ht="15" customHeight="1">
      <c r="A277" s="46">
        <v>2023</v>
      </c>
      <c r="B277" s="46">
        <v>12</v>
      </c>
      <c r="C277" s="46">
        <v>5</v>
      </c>
      <c r="D277" s="65">
        <f>DATE(SIP[[#This Row],[Year]],SIP[[#This Row],[Month]],SIP[[#This Row],[Day]])</f>
        <v>45265</v>
      </c>
      <c r="E277" s="66" t="str" cm="1">
        <f t="array" ref="E277">INDEX(INVESTORS_LIST[INVESTOR NAME],MATCH(SIP[[#This Row],[Investor ID]],INVESTORS_LIST[INVESTOR CODE],0),)</f>
        <v>FAIYEAD AHMEDUL HYE</v>
      </c>
      <c r="F277" s="46" t="s">
        <v>368</v>
      </c>
      <c r="G277" s="46">
        <f>COUNTIF(SIP[[#Headers],[Investor ID]]:SIP[[#This Row],[Investor ID]],SIP[[#This Row],[Investor ID]])</f>
        <v>7</v>
      </c>
      <c r="H277" s="46" t="str">
        <f>CONCATENATE(SIP[[#This Row],[Frequency]],SIP[[#This Row],[Investor ID]])</f>
        <v>7A00160</v>
      </c>
      <c r="I277" s="46" t="str">
        <f>IF(SIP[[#This Row],[B/S]]="B","BUY",(IF(SIP[[#This Row],[B/S]]="S","SELL"," ")))</f>
        <v>BUY</v>
      </c>
      <c r="J277" s="46" t="s">
        <v>1229</v>
      </c>
      <c r="K277" s="69">
        <v>15000</v>
      </c>
      <c r="L277" s="69"/>
      <c r="M277" s="70">
        <f>SIP[[#This Row],[Amount]]/SIP[[#This Row],[Unit]]</f>
        <v>10.615711252653927</v>
      </c>
      <c r="N277" s="71">
        <f>SIP[[#This Row],[Unit Capital]]/10</f>
        <v>1413</v>
      </c>
      <c r="O277" s="72">
        <f>SUMIFS(SIP[[#Headers],[Unit]]:SIP[[#This Row],[Unit]],SIP[[#Headers],[Investor ID]]:SIP[[#This Row],[Investor ID]],SIP[[#This Row],[Investor ID]])</f>
        <v>10075</v>
      </c>
      <c r="P277" s="73">
        <v>14130</v>
      </c>
      <c r="Q277" s="74">
        <f>SIP[[#This Row],[Amount]]-SIP[[#This Row],[Unit Capital]]</f>
        <v>870</v>
      </c>
      <c r="R27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10.421836228287841</v>
      </c>
      <c r="S277" s="68">
        <f t="shared" si="10"/>
        <v>14.224</v>
      </c>
      <c r="T2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7" s="74" cm="1">
        <f t="array" ref="U277">IF(SIP[[#This Row],[B/S]]="S",ABS(SIP[[#This Row],[Unit]])*(INDEX(SIP[NAV at Cost (Average)],MATCH(CONCATENATE((SIP[[#This Row],[Frequency]]-1),SIP[[#This Row],[Investor ID]]),SIP[Unique Code],0),0)),0)</f>
        <v>0</v>
      </c>
      <c r="V277" s="74">
        <f>IF(SIP[[#This Row],[BO TRANSFER]]="YES",SIP[[#This Row],[Unit]],)</f>
        <v>0</v>
      </c>
      <c r="W277" s="74">
        <f>SUMIFS(SIP[[#Headers],[BO UNIT TRANSFER]]:SIP[[#This Row],[BO UNIT TRANSFER]],SIP[[#Headers],[Investor ID]]:SIP[[#This Row],[Investor ID]],SIP[[#This Row],[Investor ID]])</f>
        <v>0</v>
      </c>
    </row>
    <row r="278" spans="1:23" ht="15" customHeight="1">
      <c r="A278" s="46">
        <v>2023</v>
      </c>
      <c r="B278" s="46">
        <v>12</v>
      </c>
      <c r="C278" s="46">
        <v>5</v>
      </c>
      <c r="D278" s="65">
        <f>DATE(SIP[[#This Row],[Year]],SIP[[#This Row],[Month]],SIP[[#This Row],[Day]])</f>
        <v>45265</v>
      </c>
      <c r="E278" s="66" t="str" cm="1">
        <f t="array" ref="E278">INDEX(INVESTORS_LIST[INVESTOR NAME],MATCH(SIP[[#This Row],[Investor ID]],INVESTORS_LIST[INVESTOR CODE],0),)</f>
        <v>CHAONIKA SAHA</v>
      </c>
      <c r="F278" s="46" t="s">
        <v>238</v>
      </c>
      <c r="G278" s="46">
        <f>COUNTIF(SIP[[#Headers],[Investor ID]]:SIP[[#This Row],[Investor ID]],SIP[[#This Row],[Investor ID]])</f>
        <v>4</v>
      </c>
      <c r="H278" s="46" t="str">
        <f>CONCATENATE(SIP[[#This Row],[Frequency]],SIP[[#This Row],[Investor ID]])</f>
        <v>4A00095</v>
      </c>
      <c r="I278" s="46" t="str">
        <f>IF(SIP[[#This Row],[B/S]]="B","BUY",(IF(SIP[[#This Row],[B/S]]="S","SELL"," ")))</f>
        <v>BUY</v>
      </c>
      <c r="J278" s="46" t="s">
        <v>1229</v>
      </c>
      <c r="K278" s="69">
        <v>1000</v>
      </c>
      <c r="L278" s="69"/>
      <c r="M278" s="70">
        <f>SIP[[#This Row],[Amount]]/SIP[[#This Row],[Unit]]</f>
        <v>10.638297872340425</v>
      </c>
      <c r="N278" s="71">
        <f>SIP[[#This Row],[Unit Capital]]/10</f>
        <v>94</v>
      </c>
      <c r="O278" s="72">
        <f>SUMIFS(SIP[[#Headers],[Unit]]:SIP[[#This Row],[Unit]],SIP[[#Headers],[Investor ID]]:SIP[[#This Row],[Investor ID]],SIP[[#This Row],[Investor ID]])</f>
        <v>380</v>
      </c>
      <c r="P278" s="73">
        <v>940</v>
      </c>
      <c r="Q278" s="74">
        <f>SIP[[#This Row],[Amount]]-SIP[[#This Row],[Unit Capital]]</f>
        <v>60</v>
      </c>
      <c r="R27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10.526315789473685</v>
      </c>
      <c r="S278" s="68">
        <f t="shared" si="10"/>
        <v>14.224</v>
      </c>
      <c r="T2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8" s="74" cm="1">
        <f t="array" ref="U278">IF(SIP[[#This Row],[B/S]]="S",ABS(SIP[[#This Row],[Unit]])*(INDEX(SIP[NAV at Cost (Average)],MATCH(CONCATENATE((SIP[[#This Row],[Frequency]]-1),SIP[[#This Row],[Investor ID]]),SIP[Unique Code],0),0)),0)</f>
        <v>0</v>
      </c>
      <c r="V278" s="74">
        <f>IF(SIP[[#This Row],[BO TRANSFER]]="YES",SIP[[#This Row],[Unit]],)</f>
        <v>0</v>
      </c>
      <c r="W278" s="74">
        <f>SUMIFS(SIP[[#Headers],[BO UNIT TRANSFER]]:SIP[[#This Row],[BO UNIT TRANSFER]],SIP[[#Headers],[Investor ID]]:SIP[[#This Row],[Investor ID]],SIP[[#This Row],[Investor ID]])</f>
        <v>0</v>
      </c>
    </row>
    <row r="279" spans="1:23" ht="15" customHeight="1">
      <c r="A279" s="46">
        <v>2023</v>
      </c>
      <c r="B279" s="46">
        <v>12</v>
      </c>
      <c r="C279" s="46">
        <v>5</v>
      </c>
      <c r="D279" s="65">
        <f>DATE(SIP[[#This Row],[Year]],SIP[[#This Row],[Month]],SIP[[#This Row],[Day]])</f>
        <v>45265</v>
      </c>
      <c r="E279" s="66" t="str" cm="1">
        <f t="array" ref="E279">INDEX(INVESTORS_LIST[INVESTOR NAME],MATCH(SIP[[#This Row],[Investor ID]],INVESTORS_LIST[INVESTOR CODE],0),)</f>
        <v>MD JAMAL HOSSAIN</v>
      </c>
      <c r="F279" s="46" t="s">
        <v>952</v>
      </c>
      <c r="G279" s="46">
        <f>COUNTIF(SIP[[#Headers],[Investor ID]]:SIP[[#This Row],[Investor ID]],SIP[[#This Row],[Investor ID]])</f>
        <v>3</v>
      </c>
      <c r="H279" s="46" t="str">
        <f>CONCATENATE(SIP[[#This Row],[Frequency]],SIP[[#This Row],[Investor ID]])</f>
        <v>3A00453</v>
      </c>
      <c r="I279" s="46" t="str">
        <f>IF(SIP[[#This Row],[B/S]]="B","BUY",(IF(SIP[[#This Row],[B/S]]="S","SELL"," ")))</f>
        <v>BUY</v>
      </c>
      <c r="J279" s="46" t="s">
        <v>1229</v>
      </c>
      <c r="K279" s="69">
        <v>5000</v>
      </c>
      <c r="L279" s="69"/>
      <c r="M279" s="70">
        <f>SIP[[#This Row],[Amount]]/SIP[[#This Row],[Unit]]</f>
        <v>10.615711252653927</v>
      </c>
      <c r="N279" s="71">
        <f>SIP[[#This Row],[Unit Capital]]/10</f>
        <v>471</v>
      </c>
      <c r="O279" s="72">
        <f>SUMIFS(SIP[[#Headers],[Unit]]:SIP[[#This Row],[Unit]],SIP[[#Headers],[Investor ID]]:SIP[[#This Row],[Investor ID]],SIP[[#This Row],[Investor ID]])</f>
        <v>1421</v>
      </c>
      <c r="P279" s="73">
        <v>4710</v>
      </c>
      <c r="Q279" s="74">
        <f>SIP[[#This Row],[Amount]]-SIP[[#This Row],[Unit Capital]]</f>
        <v>290</v>
      </c>
      <c r="R27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10.555946516537649</v>
      </c>
      <c r="S279" s="68">
        <f t="shared" si="10"/>
        <v>14.224</v>
      </c>
      <c r="T2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9" s="74" cm="1">
        <f t="array" ref="U279">IF(SIP[[#This Row],[B/S]]="S",ABS(SIP[[#This Row],[Unit]])*(INDEX(SIP[NAV at Cost (Average)],MATCH(CONCATENATE((SIP[[#This Row],[Frequency]]-1),SIP[[#This Row],[Investor ID]]),SIP[Unique Code],0),0)),0)</f>
        <v>0</v>
      </c>
      <c r="V279" s="74">
        <f>IF(SIP[[#This Row],[BO TRANSFER]]="YES",SIP[[#This Row],[Unit]],)</f>
        <v>0</v>
      </c>
      <c r="W279" s="74">
        <f>SUMIFS(SIP[[#Headers],[BO UNIT TRANSFER]]:SIP[[#This Row],[BO UNIT TRANSFER]],SIP[[#Headers],[Investor ID]]:SIP[[#This Row],[Investor ID]],SIP[[#This Row],[Investor ID]])</f>
        <v>0</v>
      </c>
    </row>
    <row r="280" spans="1:23" ht="15" customHeight="1">
      <c r="A280" s="46">
        <v>2023</v>
      </c>
      <c r="B280" s="46">
        <v>12</v>
      </c>
      <c r="C280" s="46">
        <v>5</v>
      </c>
      <c r="D280" s="65">
        <f>DATE(SIP[[#This Row],[Year]],SIP[[#This Row],[Month]],SIP[[#This Row],[Day]])</f>
        <v>45265</v>
      </c>
      <c r="E280" s="66" t="str" cm="1">
        <f t="array" ref="E280">INDEX(INVESTORS_LIST[INVESTOR NAME],MATCH(SIP[[#This Row],[Investor ID]],INVESTORS_LIST[INVESTOR CODE],0),)</f>
        <v>KAZI AHSAN MARUF</v>
      </c>
      <c r="F280" s="46" t="s">
        <v>158</v>
      </c>
      <c r="G280" s="46">
        <f>COUNTIF(SIP[[#Headers],[Investor ID]]:SIP[[#This Row],[Investor ID]],SIP[[#This Row],[Investor ID]])</f>
        <v>8</v>
      </c>
      <c r="H280" s="46" t="str">
        <f>CONCATENATE(SIP[[#This Row],[Frequency]],SIP[[#This Row],[Investor ID]])</f>
        <v>8A00055</v>
      </c>
      <c r="I280" s="46" t="str">
        <f>IF(SIP[[#This Row],[B/S]]="B","BUY",(IF(SIP[[#This Row],[B/S]]="S","SELL"," ")))</f>
        <v>BUY</v>
      </c>
      <c r="J280" s="46" t="s">
        <v>1229</v>
      </c>
      <c r="K280" s="69">
        <v>10000</v>
      </c>
      <c r="L280" s="69"/>
      <c r="M280" s="70">
        <f>SIP[[#This Row],[Amount]]/SIP[[#This Row],[Unit]]</f>
        <v>10.615711252653927</v>
      </c>
      <c r="N280" s="71">
        <f>SIP[[#This Row],[Unit Capital]]/10</f>
        <v>942</v>
      </c>
      <c r="O280" s="72">
        <f>SUMIFS(SIP[[#Headers],[Unit]]:SIP[[#This Row],[Unit]],SIP[[#Headers],[Investor ID]]:SIP[[#This Row],[Investor ID]],SIP[[#This Row],[Investor ID]])</f>
        <v>27157</v>
      </c>
      <c r="P280" s="73">
        <v>9420</v>
      </c>
      <c r="Q280" s="74">
        <f>SIP[[#This Row],[Amount]]-SIP[[#This Row],[Unit Capital]]</f>
        <v>580</v>
      </c>
      <c r="R28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10.31041720366756</v>
      </c>
      <c r="S280" s="68">
        <f t="shared" si="10"/>
        <v>14.224</v>
      </c>
      <c r="T2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0" s="74" cm="1">
        <f t="array" ref="U280">IF(SIP[[#This Row],[B/S]]="S",ABS(SIP[[#This Row],[Unit]])*(INDEX(SIP[NAV at Cost (Average)],MATCH(CONCATENATE((SIP[[#This Row],[Frequency]]-1),SIP[[#This Row],[Investor ID]]),SIP[Unique Code],0),0)),0)</f>
        <v>0</v>
      </c>
      <c r="V280" s="74">
        <f>IF(SIP[[#This Row],[BO TRANSFER]]="YES",SIP[[#This Row],[Unit]],)</f>
        <v>0</v>
      </c>
      <c r="W280" s="74">
        <f>SUMIFS(SIP[[#Headers],[BO UNIT TRANSFER]]:SIP[[#This Row],[BO UNIT TRANSFER]],SIP[[#Headers],[Investor ID]]:SIP[[#This Row],[Investor ID]],SIP[[#This Row],[Investor ID]])</f>
        <v>0</v>
      </c>
    </row>
    <row r="281" spans="1:23" ht="15" customHeight="1">
      <c r="A281" s="46">
        <v>2023</v>
      </c>
      <c r="B281" s="46">
        <v>12</v>
      </c>
      <c r="C281" s="46">
        <v>5</v>
      </c>
      <c r="D281" s="65">
        <f>DATE(SIP[[#This Row],[Year]],SIP[[#This Row],[Month]],SIP[[#This Row],[Day]])</f>
        <v>45265</v>
      </c>
      <c r="E281" s="66" t="str" cm="1">
        <f t="array" ref="E281">INDEX(INVESTORS_LIST[INVESTOR NAME],MATCH(SIP[[#This Row],[Investor ID]],INVESTORS_LIST[INVESTOR CODE],0),)</f>
        <v>SHUVA SAHA</v>
      </c>
      <c r="F281" s="46" t="s">
        <v>154</v>
      </c>
      <c r="G281" s="46">
        <f>COUNTIF(SIP[[#Headers],[Investor ID]]:SIP[[#This Row],[Investor ID]],SIP[[#This Row],[Investor ID]])</f>
        <v>9</v>
      </c>
      <c r="H281" s="46" t="str">
        <f>CONCATENATE(SIP[[#This Row],[Frequency]],SIP[[#This Row],[Investor ID]])</f>
        <v>9A00053</v>
      </c>
      <c r="I281" s="46" t="str">
        <f>IF(SIP[[#This Row],[B/S]]="B","BUY",(IF(SIP[[#This Row],[B/S]]="S","SELL"," ")))</f>
        <v>BUY</v>
      </c>
      <c r="J281" s="46" t="s">
        <v>1229</v>
      </c>
      <c r="K281" s="69">
        <v>70000</v>
      </c>
      <c r="L281" s="69"/>
      <c r="M281" s="70">
        <f>SIP[[#This Row],[Amount]]/SIP[[#This Row],[Unit]]</f>
        <v>10.612492419648271</v>
      </c>
      <c r="N281" s="71">
        <f>SIP[[#This Row],[Unit Capital]]/10</f>
        <v>6596</v>
      </c>
      <c r="O281" s="72">
        <f>SUMIFS(SIP[[#Headers],[Unit]]:SIP[[#This Row],[Unit]],SIP[[#Headers],[Investor ID]]:SIP[[#This Row],[Investor ID]],SIP[[#This Row],[Investor ID]])</f>
        <v>58868</v>
      </c>
      <c r="P281" s="73">
        <v>65960</v>
      </c>
      <c r="Q281" s="74">
        <f>SIP[[#This Row],[Amount]]-SIP[[#This Row],[Unit Capital]]</f>
        <v>4040</v>
      </c>
      <c r="R28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10.362166202351023</v>
      </c>
      <c r="S281" s="68">
        <f t="shared" si="10"/>
        <v>14.224</v>
      </c>
      <c r="T2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1" s="74" cm="1">
        <f t="array" ref="U281">IF(SIP[[#This Row],[B/S]]="S",ABS(SIP[[#This Row],[Unit]])*(INDEX(SIP[NAV at Cost (Average)],MATCH(CONCATENATE((SIP[[#This Row],[Frequency]]-1),SIP[[#This Row],[Investor ID]]),SIP[Unique Code],0),0)),0)</f>
        <v>0</v>
      </c>
      <c r="V281" s="74">
        <f>IF(SIP[[#This Row],[BO TRANSFER]]="YES",SIP[[#This Row],[Unit]],)</f>
        <v>0</v>
      </c>
      <c r="W281" s="74">
        <f>SUMIFS(SIP[[#Headers],[BO UNIT TRANSFER]]:SIP[[#This Row],[BO UNIT TRANSFER]],SIP[[#Headers],[Investor ID]]:SIP[[#This Row],[Investor ID]],SIP[[#This Row],[Investor ID]])</f>
        <v>0</v>
      </c>
    </row>
    <row r="282" spans="1:23" ht="15" customHeight="1">
      <c r="A282" s="46">
        <v>2023</v>
      </c>
      <c r="B282" s="46">
        <v>12</v>
      </c>
      <c r="C282" s="46">
        <v>10</v>
      </c>
      <c r="D282" s="65">
        <f>DATE(SIP[[#This Row],[Year]],SIP[[#This Row],[Month]],SIP[[#This Row],[Day]])</f>
        <v>45270</v>
      </c>
      <c r="E282" s="66" t="str" cm="1">
        <f t="array" ref="E282">INDEX(INVESTORS_LIST[INVESTOR NAME],MATCH(SIP[[#This Row],[Investor ID]],INVESTORS_LIST[INVESTOR CODE],0),)</f>
        <v>NAYEEM JAHANGIR</v>
      </c>
      <c r="F282" s="46" t="s">
        <v>1000</v>
      </c>
      <c r="G282" s="46">
        <f>COUNTIF(SIP[[#Headers],[Investor ID]]:SIP[[#This Row],[Investor ID]],SIP[[#This Row],[Investor ID]])</f>
        <v>2</v>
      </c>
      <c r="H282" s="46" t="str">
        <f>CONCATENATE(SIP[[#This Row],[Frequency]],SIP[[#This Row],[Investor ID]])</f>
        <v>2A00477</v>
      </c>
      <c r="I282" s="46" t="str">
        <f>IF(SIP[[#This Row],[B/S]]="B","BUY",(IF(SIP[[#This Row],[B/S]]="S","SELL"," ")))</f>
        <v>SELL</v>
      </c>
      <c r="J282" s="46" t="s">
        <v>1231</v>
      </c>
      <c r="K282" s="69">
        <v>-5217.8599999999997</v>
      </c>
      <c r="L282" s="69"/>
      <c r="M282" s="70">
        <f>SIP[[#This Row],[Amount]]/SIP[[#This Row],[Unit]]</f>
        <v>10.627006109979632</v>
      </c>
      <c r="N282" s="71">
        <f>SIP[[#This Row],[Unit Capital]]/10</f>
        <v>-491</v>
      </c>
      <c r="O282" s="72">
        <f>SUMIFS(SIP[[#Headers],[Unit]]:SIP[[#This Row],[Unit]],SIP[[#Headers],[Investor ID]]:SIP[[#This Row],[Investor ID]],SIP[[#This Row],[Investor ID]])</f>
        <v>0</v>
      </c>
      <c r="P282" s="73">
        <v>-4910</v>
      </c>
      <c r="Q282" s="74">
        <f>SIP[[#This Row],[Amount]]-SIP[[#This Row],[Unit Capital]]</f>
        <v>-307.85999999999967</v>
      </c>
      <c r="R28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282" s="68">
        <f t="shared" ref="S282:S290" si="11">NAV_MKT</f>
        <v>14.224</v>
      </c>
      <c r="T282" s="74">
        <f>IF(SIP[[#This Row],[B/S]]="B",0,ABS(SIP[[#This Row],[Unit]])*(SIP[[#This Row],[NAV (Strike Rate)]]-INDEX(SIP[NAV at Cost (Average)],MATCH(CONCATENATE(SIP[[#This Row],[Frequency]]-1,SIP[[#This Row],[Investor ID]]),SIP[Unique Code],0),)))</f>
        <v>217.85999999999984</v>
      </c>
      <c r="U282" s="74" cm="1">
        <f t="array" ref="U282">IF(SIP[[#This Row],[B/S]]="S",ABS(SIP[[#This Row],[Unit]])*(INDEX(SIP[NAV at Cost (Average)],MATCH(CONCATENATE((SIP[[#This Row],[Frequency]]-1),SIP[[#This Row],[Investor ID]]),SIP[Unique Code],0),0)),0)</f>
        <v>5000</v>
      </c>
      <c r="V282" s="74">
        <f>IF(SIP[[#This Row],[BO TRANSFER]]="YES",SIP[[#This Row],[Unit]],)</f>
        <v>0</v>
      </c>
      <c r="W282" s="74">
        <f>SUMIFS(SIP[[#Headers],[BO UNIT TRANSFER]]:SIP[[#This Row],[BO UNIT TRANSFER]],SIP[[#Headers],[Investor ID]]:SIP[[#This Row],[Investor ID]],SIP[[#This Row],[Investor ID]])</f>
        <v>0</v>
      </c>
    </row>
    <row r="283" spans="1:23" ht="15" customHeight="1">
      <c r="A283" s="46">
        <v>2023</v>
      </c>
      <c r="B283" s="46">
        <v>12</v>
      </c>
      <c r="C283" s="46">
        <v>18</v>
      </c>
      <c r="D283" s="65">
        <f>DATE(SIP[[#This Row],[Year]],SIP[[#This Row],[Month]],SIP[[#This Row],[Day]])</f>
        <v>45278</v>
      </c>
      <c r="E283" s="66" t="str" cm="1">
        <f t="array" ref="E283">INDEX(INVESTORS_LIST[INVESTOR NAME],MATCH(SIP[[#This Row],[Investor ID]],INVESTORS_LIST[INVESTOR CODE],0),)</f>
        <v>MD. MOHIBULLAH CHOWDHURY</v>
      </c>
      <c r="F283" s="46" t="s">
        <v>1006</v>
      </c>
      <c r="G283" s="46">
        <f>COUNTIF(SIP[[#Headers],[Investor ID]]:SIP[[#This Row],[Investor ID]],SIP[[#This Row],[Investor ID]])</f>
        <v>5</v>
      </c>
      <c r="H283" s="46" t="str">
        <f>CONCATENATE(SIP[[#This Row],[Frequency]],SIP[[#This Row],[Investor ID]])</f>
        <v>5A00480</v>
      </c>
      <c r="I283" s="46" t="str">
        <f>IF(SIP[[#This Row],[B/S]]="B","BUY",(IF(SIP[[#This Row],[B/S]]="S","SELL"," ")))</f>
        <v>SELL</v>
      </c>
      <c r="J283" s="46" t="s">
        <v>1231</v>
      </c>
      <c r="K283" s="69">
        <v>-41312.239999999998</v>
      </c>
      <c r="L283" s="69"/>
      <c r="M283" s="70">
        <f>SIP[[#This Row],[Amount]]/SIP[[#This Row],[Unit]]</f>
        <v>10.641998969603296</v>
      </c>
      <c r="N283" s="71">
        <f>SIP[[#This Row],[Unit Capital]]/10</f>
        <v>-3882</v>
      </c>
      <c r="O283" s="72">
        <f>SUMIFS(SIP[[#Headers],[Unit]]:SIP[[#This Row],[Unit]],SIP[[#Headers],[Investor ID]]:SIP[[#This Row],[Investor ID]],SIP[[#This Row],[Investor ID]])</f>
        <v>0</v>
      </c>
      <c r="P283" s="73">
        <v>-38820</v>
      </c>
      <c r="Q283" s="74">
        <f>SIP[[#This Row],[Amount]]-SIP[[#This Row],[Unit Capital]]</f>
        <v>-2492.239999999998</v>
      </c>
      <c r="R28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283" s="68">
        <f t="shared" si="11"/>
        <v>14.224</v>
      </c>
      <c r="T283" s="74">
        <f>IF(SIP[[#This Row],[B/S]]="B",0,ABS(SIP[[#This Row],[Unit]])*(SIP[[#This Row],[NAV (Strike Rate)]]-INDEX(SIP[NAV at Cost (Average)],MATCH(CONCATENATE(SIP[[#This Row],[Frequency]]-1,SIP[[#This Row],[Investor ID]]),SIP[Unique Code],0),)))</f>
        <v>1312.2399999999966</v>
      </c>
      <c r="U283" s="74" cm="1">
        <f t="array" ref="U283">IF(SIP[[#This Row],[B/S]]="S",ABS(SIP[[#This Row],[Unit]])*(INDEX(SIP[NAV at Cost (Average)],MATCH(CONCATENATE((SIP[[#This Row],[Frequency]]-1),SIP[[#This Row],[Investor ID]]),SIP[Unique Code],0),0)),0)</f>
        <v>40000</v>
      </c>
      <c r="V283" s="74">
        <f>IF(SIP[[#This Row],[BO TRANSFER]]="YES",SIP[[#This Row],[Unit]],)</f>
        <v>0</v>
      </c>
      <c r="W283" s="74">
        <f>SUMIFS(SIP[[#Headers],[BO UNIT TRANSFER]]:SIP[[#This Row],[BO UNIT TRANSFER]],SIP[[#Headers],[Investor ID]]:SIP[[#This Row],[Investor ID]],SIP[[#This Row],[Investor ID]])</f>
        <v>0</v>
      </c>
    </row>
    <row r="284" spans="1:23" ht="15" customHeight="1">
      <c r="A284" s="46">
        <v>2023</v>
      </c>
      <c r="B284" s="46">
        <v>12</v>
      </c>
      <c r="C284" s="46">
        <v>18</v>
      </c>
      <c r="D284" s="65">
        <f>DATE(SIP[[#This Row],[Year]],SIP[[#This Row],[Month]],SIP[[#This Row],[Day]])</f>
        <v>45278</v>
      </c>
      <c r="E284" s="66" t="str" cm="1">
        <f t="array" ref="E284">INDEX(INVESTORS_LIST[INVESTOR NAME],MATCH(SIP[[#This Row],[Investor ID]],INVESTORS_LIST[INVESTOR CODE],0),)</f>
        <v>SRIJON GHOSH</v>
      </c>
      <c r="F284" s="46" t="s">
        <v>894</v>
      </c>
      <c r="G284" s="46">
        <f>COUNTIF(SIP[[#Headers],[Investor ID]]:SIP[[#This Row],[Investor ID]],SIP[[#This Row],[Investor ID]])</f>
        <v>17</v>
      </c>
      <c r="H284" s="46" t="str">
        <f>CONCATENATE(SIP[[#This Row],[Frequency]],SIP[[#This Row],[Investor ID]])</f>
        <v>17A00424</v>
      </c>
      <c r="I284" s="46" t="str">
        <f>IF(SIP[[#This Row],[B/S]]="B","BUY",(IF(SIP[[#This Row],[B/S]]="S","SELL"," ")))</f>
        <v>SELL</v>
      </c>
      <c r="J284" s="46" t="s">
        <v>1231</v>
      </c>
      <c r="K284" s="69">
        <v>-10003.48</v>
      </c>
      <c r="L284" s="69"/>
      <c r="M284" s="70">
        <f>SIP[[#This Row],[Amount]]/SIP[[#This Row],[Unit]]</f>
        <v>10.641999999999999</v>
      </c>
      <c r="N284" s="71">
        <f>SIP[[#This Row],[Unit Capital]]/10</f>
        <v>-940</v>
      </c>
      <c r="O284" s="72">
        <f>SUMIFS(SIP[[#Headers],[Unit]]:SIP[[#This Row],[Unit]],SIP[[#Headers],[Investor ID]]:SIP[[#This Row],[Investor ID]],SIP[[#This Row],[Investor ID]])</f>
        <v>17878</v>
      </c>
      <c r="P284" s="73">
        <v>-9400</v>
      </c>
      <c r="Q284" s="74">
        <f>SIP[[#This Row],[Amount]]-SIP[[#This Row],[Unit Capital]]</f>
        <v>-603.47999999999956</v>
      </c>
      <c r="R28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10.415981886037335</v>
      </c>
      <c r="S284" s="68">
        <f t="shared" si="11"/>
        <v>14.224</v>
      </c>
      <c r="T284" s="74">
        <f>IF(SIP[[#This Row],[B/S]]="B",0,ABS(SIP[[#This Row],[Unit]])*(SIP[[#This Row],[NAV (Strike Rate)]]-INDEX(SIP[NAV at Cost (Average)],MATCH(CONCATENATE(SIP[[#This Row],[Frequency]]-1,SIP[[#This Row],[Investor ID]]),SIP[Unique Code],0),)))</f>
        <v>212.45702712490501</v>
      </c>
      <c r="U284" s="74" cm="1">
        <f t="array" ref="U284">IF(SIP[[#This Row],[B/S]]="S",ABS(SIP[[#This Row],[Unit]])*(INDEX(SIP[NAV at Cost (Average)],MATCH(CONCATENATE((SIP[[#This Row],[Frequency]]-1),SIP[[#This Row],[Investor ID]]),SIP[Unique Code],0),0)),0)</f>
        <v>9791.0229728750946</v>
      </c>
      <c r="V284" s="74">
        <f>IF(SIP[[#This Row],[BO TRANSFER]]="YES",SIP[[#This Row],[Unit]],)</f>
        <v>0</v>
      </c>
      <c r="W284" s="74">
        <f>SUMIFS(SIP[[#Headers],[BO UNIT TRANSFER]]:SIP[[#This Row],[BO UNIT TRANSFER]],SIP[[#Headers],[Investor ID]]:SIP[[#This Row],[Investor ID]],SIP[[#This Row],[Investor ID]])</f>
        <v>0</v>
      </c>
    </row>
    <row r="285" spans="1:23" ht="15" customHeight="1">
      <c r="A285" s="46">
        <v>2023</v>
      </c>
      <c r="B285" s="46">
        <v>12</v>
      </c>
      <c r="C285" s="46">
        <v>15</v>
      </c>
      <c r="D285" s="65">
        <f>DATE(SIP[[#This Row],[Year]],SIP[[#This Row],[Month]],SIP[[#This Row],[Day]])</f>
        <v>45275</v>
      </c>
      <c r="E285" s="66" t="str" cm="1">
        <f t="array" ref="E285">INDEX(INVESTORS_LIST[INVESTOR NAME],MATCH(SIP[[#This Row],[Investor ID]],INVESTORS_LIST[INVESTOR CODE],0),)</f>
        <v>SANJIB KUMAR ROY</v>
      </c>
      <c r="F285" s="46" t="s">
        <v>1020</v>
      </c>
      <c r="G285" s="46">
        <f>COUNTIF(SIP[[#Headers],[Investor ID]]:SIP[[#This Row],[Investor ID]],SIP[[#This Row],[Investor ID]])</f>
        <v>7</v>
      </c>
      <c r="H285" s="46" t="str">
        <f>CONCATENATE(SIP[[#This Row],[Frequency]],SIP[[#This Row],[Investor ID]])</f>
        <v>7A00487</v>
      </c>
      <c r="I285" s="46" t="str">
        <f>IF(SIP[[#This Row],[B/S]]="B","BUY",(IF(SIP[[#This Row],[B/S]]="S","SELL"," ")))</f>
        <v>BUY</v>
      </c>
      <c r="J285" s="46" t="s">
        <v>1229</v>
      </c>
      <c r="K285" s="69">
        <v>5000</v>
      </c>
      <c r="L285" s="69"/>
      <c r="M285" s="70">
        <f>SIP[[#This Row],[Amount]]/SIP[[#This Row],[Unit]]</f>
        <v>10.638297872340425</v>
      </c>
      <c r="N285" s="71">
        <f>SIP[[#This Row],[Unit Capital]]/10</f>
        <v>470</v>
      </c>
      <c r="O285" s="72">
        <f>SUMIFS(SIP[[#Headers],[Unit]]:SIP[[#This Row],[Unit]],SIP[[#Headers],[Investor ID]]:SIP[[#This Row],[Investor ID]],SIP[[#This Row],[Investor ID]])</f>
        <v>3352</v>
      </c>
      <c r="P285" s="73">
        <v>4700</v>
      </c>
      <c r="Q285" s="74">
        <f>SIP[[#This Row],[Amount]]-SIP[[#This Row],[Unit Capital]]</f>
        <v>300</v>
      </c>
      <c r="R28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10.441527446300714</v>
      </c>
      <c r="S285" s="68">
        <f t="shared" si="11"/>
        <v>14.224</v>
      </c>
      <c r="T2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5" s="74" cm="1">
        <f t="array" ref="U285">IF(SIP[[#This Row],[B/S]]="S",ABS(SIP[[#This Row],[Unit]])*(INDEX(SIP[NAV at Cost (Average)],MATCH(CONCATENATE((SIP[[#This Row],[Frequency]]-1),SIP[[#This Row],[Investor ID]]),SIP[Unique Code],0),0)),0)</f>
        <v>0</v>
      </c>
      <c r="V285" s="74">
        <f>IF(SIP[[#This Row],[BO TRANSFER]]="YES",SIP[[#This Row],[Unit]],)</f>
        <v>0</v>
      </c>
      <c r="W285" s="74">
        <f>SUMIFS(SIP[[#Headers],[BO UNIT TRANSFER]]:SIP[[#This Row],[BO UNIT TRANSFER]],SIP[[#Headers],[Investor ID]]:SIP[[#This Row],[Investor ID]],SIP[[#This Row],[Investor ID]])</f>
        <v>0</v>
      </c>
    </row>
    <row r="286" spans="1:23" ht="15" customHeight="1">
      <c r="A286" s="46">
        <v>2023</v>
      </c>
      <c r="B286" s="46">
        <v>12</v>
      </c>
      <c r="C286" s="46">
        <v>15</v>
      </c>
      <c r="D286" s="65">
        <f>DATE(SIP[[#This Row],[Year]],SIP[[#This Row],[Month]],SIP[[#This Row],[Day]])</f>
        <v>45275</v>
      </c>
      <c r="E286" s="66" t="str" cm="1">
        <f t="array" ref="E286">INDEX(INVESTORS_LIST[INVESTOR NAME],MATCH(SIP[[#This Row],[Investor ID]],INVESTORS_LIST[INVESTOR CODE],0),)</f>
        <v>SYED FAZLE RABBY</v>
      </c>
      <c r="F286" s="46" t="s">
        <v>166</v>
      </c>
      <c r="G286" s="46">
        <f>COUNTIF(SIP[[#Headers],[Investor ID]]:SIP[[#This Row],[Investor ID]],SIP[[#This Row],[Investor ID]])</f>
        <v>4</v>
      </c>
      <c r="H286" s="46" t="str">
        <f>CONCATENATE(SIP[[#This Row],[Frequency]],SIP[[#This Row],[Investor ID]])</f>
        <v>4A00059</v>
      </c>
      <c r="I286" s="46" t="str">
        <f>IF(SIP[[#This Row],[B/S]]="B","BUY",(IF(SIP[[#This Row],[B/S]]="S","SELL"," ")))</f>
        <v>BUY</v>
      </c>
      <c r="J286" s="46" t="s">
        <v>1229</v>
      </c>
      <c r="K286" s="73">
        <v>10000</v>
      </c>
      <c r="L286" s="69"/>
      <c r="M286" s="70">
        <f>SIP[[#This Row],[Amount]]/SIP[[#This Row],[Unit]]</f>
        <v>10.638297872340425</v>
      </c>
      <c r="N286" s="71">
        <f>SIP[[#This Row],[Unit Capital]]/10</f>
        <v>940</v>
      </c>
      <c r="O286" s="72">
        <f>SUMIFS(SIP[[#Headers],[Unit]]:SIP[[#This Row],[Unit]],SIP[[#Headers],[Investor ID]]:SIP[[#This Row],[Investor ID]],SIP[[#This Row],[Investor ID]])</f>
        <v>3849</v>
      </c>
      <c r="P286" s="73">
        <v>9400</v>
      </c>
      <c r="Q286" s="74">
        <f>SIP[[#This Row],[Amount]]-SIP[[#This Row],[Unit Capital]]</f>
        <v>600</v>
      </c>
      <c r="R28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10.392309690828785</v>
      </c>
      <c r="S286" s="68">
        <f t="shared" si="11"/>
        <v>14.224</v>
      </c>
      <c r="T2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6" s="74" cm="1">
        <f t="array" ref="U286">IF(SIP[[#This Row],[B/S]]="S",ABS(SIP[[#This Row],[Unit]])*(INDEX(SIP[NAV at Cost (Average)],MATCH(CONCATENATE((SIP[[#This Row],[Frequency]]-1),SIP[[#This Row],[Investor ID]]),SIP[Unique Code],0),0)),0)</f>
        <v>0</v>
      </c>
      <c r="V286" s="74">
        <f>IF(SIP[[#This Row],[BO TRANSFER]]="YES",SIP[[#This Row],[Unit]],)</f>
        <v>0</v>
      </c>
      <c r="W286" s="74">
        <f>SUMIFS(SIP[[#Headers],[BO UNIT TRANSFER]]:SIP[[#This Row],[BO UNIT TRANSFER]],SIP[[#Headers],[Investor ID]]:SIP[[#This Row],[Investor ID]],SIP[[#This Row],[Investor ID]])</f>
        <v>0</v>
      </c>
    </row>
    <row r="287" spans="1:23" ht="15" customHeight="1">
      <c r="A287" s="46">
        <v>2023</v>
      </c>
      <c r="B287" s="46">
        <v>12</v>
      </c>
      <c r="C287" s="46">
        <v>15</v>
      </c>
      <c r="D287" s="65">
        <f>DATE(SIP[[#This Row],[Year]],SIP[[#This Row],[Month]],SIP[[#This Row],[Day]])</f>
        <v>45275</v>
      </c>
      <c r="E287" s="66" t="str" cm="1">
        <f t="array" ref="E287">INDEX(INVESTORS_LIST[INVESTOR NAME],MATCH(SIP[[#This Row],[Investor ID]],INVESTORS_LIST[INVESTOR CODE],0),)</f>
        <v>MD. RAFIQUR RAHMAN</v>
      </c>
      <c r="F287" s="46" t="s">
        <v>622</v>
      </c>
      <c r="G287" s="46">
        <f>COUNTIF(SIP[[#Headers],[Investor ID]]:SIP[[#This Row],[Investor ID]],SIP[[#This Row],[Investor ID]])</f>
        <v>4</v>
      </c>
      <c r="H287" s="46" t="str">
        <f>CONCATENATE(SIP[[#This Row],[Frequency]],SIP[[#This Row],[Investor ID]])</f>
        <v>4A00287</v>
      </c>
      <c r="I287" s="46" t="str">
        <f>IF(SIP[[#This Row],[B/S]]="B","BUY",(IF(SIP[[#This Row],[B/S]]="S","SELL"," ")))</f>
        <v>BUY</v>
      </c>
      <c r="J287" s="46" t="s">
        <v>1229</v>
      </c>
      <c r="K287" s="73">
        <v>20000</v>
      </c>
      <c r="L287" s="69"/>
      <c r="M287" s="70">
        <f>SIP[[#This Row],[Amount]]/SIP[[#This Row],[Unit]]</f>
        <v>10.643959552953699</v>
      </c>
      <c r="N287" s="71">
        <f>SIP[[#This Row],[Unit Capital]]/10</f>
        <v>1879</v>
      </c>
      <c r="O287" s="72">
        <f>SUMIFS(SIP[[#Headers],[Unit]]:SIP[[#This Row],[Unit]],SIP[[#Headers],[Investor ID]]:SIP[[#This Row],[Investor ID]],SIP[[#This Row],[Investor ID]])</f>
        <v>7586</v>
      </c>
      <c r="P287" s="73">
        <v>18790</v>
      </c>
      <c r="Q287" s="74">
        <f>SIP[[#This Row],[Amount]]-SIP[[#This Row],[Unit Capital]]</f>
        <v>1210</v>
      </c>
      <c r="R28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10.54574215660427</v>
      </c>
      <c r="S287" s="68">
        <f t="shared" si="11"/>
        <v>14.224</v>
      </c>
      <c r="T2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7" s="74" cm="1">
        <f t="array" ref="U287">IF(SIP[[#This Row],[B/S]]="S",ABS(SIP[[#This Row],[Unit]])*(INDEX(SIP[NAV at Cost (Average)],MATCH(CONCATENATE((SIP[[#This Row],[Frequency]]-1),SIP[[#This Row],[Investor ID]]),SIP[Unique Code],0),0)),0)</f>
        <v>0</v>
      </c>
      <c r="V287" s="74">
        <f>IF(SIP[[#This Row],[BO TRANSFER]]="YES",SIP[[#This Row],[Unit]],)</f>
        <v>0</v>
      </c>
      <c r="W287" s="74">
        <f>SUMIFS(SIP[[#Headers],[BO UNIT TRANSFER]]:SIP[[#This Row],[BO UNIT TRANSFER]],SIP[[#Headers],[Investor ID]]:SIP[[#This Row],[Investor ID]],SIP[[#This Row],[Investor ID]])</f>
        <v>0</v>
      </c>
    </row>
    <row r="288" spans="1:23" ht="15" customHeight="1">
      <c r="A288" s="46">
        <v>2023</v>
      </c>
      <c r="B288" s="46">
        <v>12</v>
      </c>
      <c r="C288" s="46">
        <v>19</v>
      </c>
      <c r="D288" s="65">
        <f>DATE(SIP[[#This Row],[Year]],SIP[[#This Row],[Month]],SIP[[#This Row],[Day]])</f>
        <v>45279</v>
      </c>
      <c r="E288" s="66" t="str" cm="1">
        <f t="array" ref="E288">INDEX(INVESTORS_LIST[INVESTOR NAME],MATCH(SIP[[#This Row],[Investor ID]],INVESTORS_LIST[INVESTOR CODE],0),)</f>
        <v>AHMED FARUK</v>
      </c>
      <c r="F288" s="46" t="s">
        <v>912</v>
      </c>
      <c r="G288" s="46">
        <f>COUNTIF(SIP[[#Headers],[Investor ID]]:SIP[[#This Row],[Investor ID]],SIP[[#This Row],[Investor ID]])</f>
        <v>4</v>
      </c>
      <c r="H288" s="46" t="str">
        <f>CONCATENATE(SIP[[#This Row],[Frequency]],SIP[[#This Row],[Investor ID]])</f>
        <v>4A00433</v>
      </c>
      <c r="I288" s="46" t="str">
        <f>IF(SIP[[#This Row],[B/S]]="B","BUY",(IF(SIP[[#This Row],[B/S]]="S","SELL"," ")))</f>
        <v>SELL</v>
      </c>
      <c r="J288" s="46" t="s">
        <v>1231</v>
      </c>
      <c r="K288" s="69">
        <v>-15239.34</v>
      </c>
      <c r="L288" s="69"/>
      <c r="M288" s="70">
        <f>SIP[[#This Row],[Amount]]/SIP[[#This Row],[Unit]]</f>
        <v>10.641997206703911</v>
      </c>
      <c r="N288" s="71">
        <f>SIP[[#This Row],[Unit Capital]]/10</f>
        <v>-1432</v>
      </c>
      <c r="O288" s="72">
        <f>SUMIFS(SIP[[#Headers],[Unit]]:SIP[[#This Row],[Unit]],SIP[[#Headers],[Investor ID]]:SIP[[#This Row],[Investor ID]],SIP[[#This Row],[Investor ID]])</f>
        <v>0</v>
      </c>
      <c r="P288" s="73">
        <v>-14320</v>
      </c>
      <c r="Q288" s="74">
        <f>SIP[[#This Row],[Amount]]-SIP[[#This Row],[Unit Capital]]</f>
        <v>-919.34000000000015</v>
      </c>
      <c r="R28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288" s="68">
        <f t="shared" si="11"/>
        <v>14.224</v>
      </c>
      <c r="T288" s="74">
        <f>IF(SIP[[#This Row],[B/S]]="B",0,ABS(SIP[[#This Row],[Unit]])*(SIP[[#This Row],[NAV (Strike Rate)]]-INDEX(SIP[NAV at Cost (Average)],MATCH(CONCATENATE(SIP[[#This Row],[Frequency]]-1,SIP[[#This Row],[Investor ID]]),SIP[Unique Code],0),)))</f>
        <v>239.34000000000185</v>
      </c>
      <c r="U288" s="74" cm="1">
        <f t="array" ref="U288">IF(SIP[[#This Row],[B/S]]="S",ABS(SIP[[#This Row],[Unit]])*(INDEX(SIP[NAV at Cost (Average)],MATCH(CONCATENATE((SIP[[#This Row],[Frequency]]-1),SIP[[#This Row],[Investor ID]]),SIP[Unique Code],0),0)),0)</f>
        <v>14999.999999999998</v>
      </c>
      <c r="V288" s="74">
        <f>IF(SIP[[#This Row],[BO TRANSFER]]="YES",SIP[[#This Row],[Unit]],)</f>
        <v>0</v>
      </c>
      <c r="W288" s="74">
        <f>SUMIFS(SIP[[#Headers],[BO UNIT TRANSFER]]:SIP[[#This Row],[BO UNIT TRANSFER]],SIP[[#Headers],[Investor ID]]:SIP[[#This Row],[Investor ID]],SIP[[#This Row],[Investor ID]])</f>
        <v>0</v>
      </c>
    </row>
    <row r="289" spans="1:23" ht="15" customHeight="1">
      <c r="A289" s="46">
        <v>2023</v>
      </c>
      <c r="B289" s="46">
        <v>12</v>
      </c>
      <c r="C289" s="46">
        <v>20</v>
      </c>
      <c r="D289" s="65">
        <f>DATE(SIP[[#This Row],[Year]],SIP[[#This Row],[Month]],SIP[[#This Row],[Day]])</f>
        <v>45280</v>
      </c>
      <c r="E289" s="66" t="str" cm="1">
        <f t="array" ref="E289">INDEX(INVESTORS_LIST[INVESTOR NAME],MATCH(SIP[[#This Row],[Investor ID]],INVESTORS_LIST[INVESTOR CODE],0),)</f>
        <v>AHMED FARUK</v>
      </c>
      <c r="F289" s="46" t="s">
        <v>912</v>
      </c>
      <c r="G289" s="46">
        <f>COUNTIF(SIP[[#Headers],[Investor ID]]:SIP[[#This Row],[Investor ID]],SIP[[#This Row],[Investor ID]])</f>
        <v>5</v>
      </c>
      <c r="H289" s="46" t="str">
        <f>CONCATENATE(SIP[[#This Row],[Frequency]],SIP[[#This Row],[Investor ID]])</f>
        <v>5A00433</v>
      </c>
      <c r="I289" s="46" t="str">
        <f>IF(SIP[[#This Row],[B/S]]="B","BUY",(IF(SIP[[#This Row],[B/S]]="S","SELL"," ")))</f>
        <v>BUY</v>
      </c>
      <c r="J289" s="46" t="s">
        <v>1229</v>
      </c>
      <c r="K289" s="69">
        <v>15239.34</v>
      </c>
      <c r="L289" s="69"/>
      <c r="M289" s="70">
        <f>SIP[[#This Row],[Amount]]/SIP[[#This Row],[Unit]]</f>
        <v>10.641997206703911</v>
      </c>
      <c r="N289" s="71">
        <f>SIP[[#This Row],[Unit Capital]]/10</f>
        <v>1432</v>
      </c>
      <c r="O289" s="72">
        <f>SUMIFS(SIP[[#Headers],[Unit]]:SIP[[#This Row],[Unit]],SIP[[#Headers],[Investor ID]]:SIP[[#This Row],[Investor ID]],SIP[[#This Row],[Investor ID]])</f>
        <v>1432</v>
      </c>
      <c r="P289" s="73">
        <v>14320</v>
      </c>
      <c r="Q289" s="74">
        <f>SIP[[#This Row],[Amount]]-SIP[[#This Row],[Unit Capital]]</f>
        <v>919.34000000000015</v>
      </c>
      <c r="R28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10.641997206703911</v>
      </c>
      <c r="S289" s="68">
        <f t="shared" si="11"/>
        <v>14.224</v>
      </c>
      <c r="T2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9" s="74" cm="1">
        <f t="array" ref="U289">IF(SIP[[#This Row],[B/S]]="S",ABS(SIP[[#This Row],[Unit]])*(INDEX(SIP[NAV at Cost (Average)],MATCH(CONCATENATE((SIP[[#This Row],[Frequency]]-1),SIP[[#This Row],[Investor ID]]),SIP[Unique Code],0),0)),0)</f>
        <v>0</v>
      </c>
      <c r="V289" s="74">
        <f>IF(SIP[[#This Row],[BO TRANSFER]]="YES",SIP[[#This Row],[Unit]],)</f>
        <v>0</v>
      </c>
      <c r="W289" s="74">
        <f>SUMIFS(SIP[[#Headers],[BO UNIT TRANSFER]]:SIP[[#This Row],[BO UNIT TRANSFER]],SIP[[#Headers],[Investor ID]]:SIP[[#This Row],[Investor ID]],SIP[[#This Row],[Investor ID]])</f>
        <v>0</v>
      </c>
    </row>
    <row r="290" spans="1:23" ht="15" customHeight="1">
      <c r="A290" s="46">
        <v>2023</v>
      </c>
      <c r="B290" s="46">
        <v>12</v>
      </c>
      <c r="C290" s="46">
        <v>21</v>
      </c>
      <c r="D290" s="65">
        <f>DATE(SIP[[#This Row],[Year]],SIP[[#This Row],[Month]],SIP[[#This Row],[Day]])</f>
        <v>45281</v>
      </c>
      <c r="E290" s="66" t="str" cm="1">
        <f t="array" ref="E290">INDEX(INVESTORS_LIST[INVESTOR NAME],MATCH(SIP[[#This Row],[Investor ID]],INVESTORS_LIST[INVESTOR CODE],0),)</f>
        <v>AHMED FARUK</v>
      </c>
      <c r="F290" s="46" t="s">
        <v>912</v>
      </c>
      <c r="G290" s="46">
        <f>COUNTIF(SIP[[#Headers],[Investor ID]]:SIP[[#This Row],[Investor ID]],SIP[[#This Row],[Investor ID]])</f>
        <v>6</v>
      </c>
      <c r="H290" s="46" t="str">
        <f>CONCATENATE(SIP[[#This Row],[Frequency]],SIP[[#This Row],[Investor ID]])</f>
        <v>6A00433</v>
      </c>
      <c r="I290" s="46" t="str">
        <f>IF(SIP[[#This Row],[B/S]]="B","BUY",(IF(SIP[[#This Row],[B/S]]="S","SELL"," ")))</f>
        <v>SELL</v>
      </c>
      <c r="J290" s="46" t="s">
        <v>1231</v>
      </c>
      <c r="K290" s="69">
        <v>-15239.34</v>
      </c>
      <c r="L290" s="69"/>
      <c r="M290" s="70">
        <f>SIP[[#This Row],[Amount]]/SIP[[#This Row],[Unit]]</f>
        <v>10.641997206703911</v>
      </c>
      <c r="N290" s="71">
        <f>SIP[[#This Row],[Unit Capital]]/10</f>
        <v>-1432</v>
      </c>
      <c r="O290" s="72">
        <f>SUMIFS(SIP[[#Headers],[Unit]]:SIP[[#This Row],[Unit]],SIP[[#Headers],[Investor ID]]:SIP[[#This Row],[Investor ID]],SIP[[#This Row],[Investor ID]])</f>
        <v>0</v>
      </c>
      <c r="P290" s="73">
        <v>-14320</v>
      </c>
      <c r="Q290" s="74">
        <f>SIP[[#This Row],[Amount]]-SIP[[#This Row],[Unit Capital]]</f>
        <v>-919.34000000000015</v>
      </c>
      <c r="R29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290" s="68">
        <f t="shared" si="11"/>
        <v>14.224</v>
      </c>
      <c r="T2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0" s="74" cm="1">
        <f t="array" ref="U290">IF(SIP[[#This Row],[B/S]]="S",ABS(SIP[[#This Row],[Unit]])*(INDEX(SIP[NAV at Cost (Average)],MATCH(CONCATENATE((SIP[[#This Row],[Frequency]]-1),SIP[[#This Row],[Investor ID]]),SIP[Unique Code],0),0)),0)</f>
        <v>15239.34</v>
      </c>
      <c r="V290" s="74">
        <f>IF(SIP[[#This Row],[BO TRANSFER]]="YES",SIP[[#This Row],[Unit]],)</f>
        <v>0</v>
      </c>
      <c r="W290" s="74">
        <f>SUMIFS(SIP[[#Headers],[BO UNIT TRANSFER]]:SIP[[#This Row],[BO UNIT TRANSFER]],SIP[[#Headers],[Investor ID]]:SIP[[#This Row],[Investor ID]],SIP[[#This Row],[Investor ID]])</f>
        <v>0</v>
      </c>
    </row>
    <row r="291" spans="1:23" ht="15" customHeight="1">
      <c r="A291" s="46">
        <v>2023</v>
      </c>
      <c r="B291" s="46">
        <v>12</v>
      </c>
      <c r="C291" s="46">
        <v>26</v>
      </c>
      <c r="D291" s="65">
        <f>DATE(SIP[[#This Row],[Year]],SIP[[#This Row],[Month]],SIP[[#This Row],[Day]])</f>
        <v>45286</v>
      </c>
      <c r="E291" s="66" t="str" cm="1">
        <f t="array" ref="E291">INDEX(INVESTORS_LIST[INVESTOR NAME],MATCH(SIP[[#This Row],[Investor ID]],INVESTORS_LIST[INVESTOR CODE],0),)</f>
        <v>SRIJON GHOSH</v>
      </c>
      <c r="F291" s="46" t="s">
        <v>894</v>
      </c>
      <c r="G291" s="46">
        <f>COUNTIF(SIP[[#Headers],[Investor ID]]:SIP[[#This Row],[Investor ID]],SIP[[#This Row],[Investor ID]])</f>
        <v>18</v>
      </c>
      <c r="H291" s="46" t="str">
        <f>CONCATENATE(SIP[[#This Row],[Frequency]],SIP[[#This Row],[Investor ID]])</f>
        <v>18A00424</v>
      </c>
      <c r="I291" s="46" t="str">
        <f>IF(SIP[[#This Row],[B/S]]="B","BUY",(IF(SIP[[#This Row],[B/S]]="S","SELL"," ")))</f>
        <v>SELL</v>
      </c>
      <c r="J291" s="46" t="s">
        <v>1231</v>
      </c>
      <c r="K291" s="69">
        <v>-100000</v>
      </c>
      <c r="L291" s="69"/>
      <c r="M291" s="70">
        <f>SIP[[#This Row],[Amount]]/SIP[[#This Row],[Unit]]</f>
        <v>10.659844366272253</v>
      </c>
      <c r="N291" s="71">
        <f>SIP[[#This Row],[Unit Capital]]/10</f>
        <v>-9381</v>
      </c>
      <c r="O291" s="72">
        <f>SUMIFS(SIP[[#Headers],[Unit]]:SIP[[#This Row],[Unit]],SIP[[#Headers],[Investor ID]]:SIP[[#This Row],[Investor ID]],SIP[[#This Row],[Investor ID]])</f>
        <v>8497</v>
      </c>
      <c r="P291" s="73">
        <v>-93810</v>
      </c>
      <c r="Q291" s="74">
        <f>SIP[[#This Row],[Amount]]-SIP[[#This Row],[Unit Capital]]</f>
        <v>-6190</v>
      </c>
      <c r="R29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10.415981886037335</v>
      </c>
      <c r="S291" s="68">
        <f t="shared" ref="S291:S317" si="12">NAV_MKT</f>
        <v>14.224</v>
      </c>
      <c r="T291" s="74">
        <f>IF(SIP[[#This Row],[B/S]]="B",0,ABS(SIP[[#This Row],[Unit]])*(SIP[[#This Row],[NAV (Strike Rate)]]-INDEX(SIP[NAV at Cost (Average)],MATCH(CONCATENATE(SIP[[#This Row],[Frequency]]-1,SIP[[#This Row],[Investor ID]]),SIP[Unique Code],0),)))</f>
        <v>2287.6739270837706</v>
      </c>
      <c r="U291" s="74" cm="1">
        <f t="array" ref="U291">IF(SIP[[#This Row],[B/S]]="S",ABS(SIP[[#This Row],[Unit]])*(INDEX(SIP[NAV at Cost (Average)],MATCH(CONCATENATE((SIP[[#This Row],[Frequency]]-1),SIP[[#This Row],[Investor ID]]),SIP[Unique Code],0),0)),0)</f>
        <v>97712.326072916228</v>
      </c>
      <c r="V291" s="74">
        <f>IF(SIP[[#This Row],[BO TRANSFER]]="YES",SIP[[#This Row],[Unit]],)</f>
        <v>0</v>
      </c>
      <c r="W291" s="74">
        <f>SUMIFS(SIP[[#Headers],[BO UNIT TRANSFER]]:SIP[[#This Row],[BO UNIT TRANSFER]],SIP[[#Headers],[Investor ID]]:SIP[[#This Row],[Investor ID]],SIP[[#This Row],[Investor ID]])</f>
        <v>0</v>
      </c>
    </row>
    <row r="292" spans="1:23" ht="15" customHeight="1">
      <c r="A292" s="46">
        <v>2023</v>
      </c>
      <c r="B292" s="46">
        <v>12</v>
      </c>
      <c r="C292" s="46">
        <v>26</v>
      </c>
      <c r="D292" s="65">
        <f>DATE(SIP[[#This Row],[Year]],SIP[[#This Row],[Month]],SIP[[#This Row],[Day]])</f>
        <v>45286</v>
      </c>
      <c r="E292" s="66" t="str" cm="1">
        <f t="array" ref="E292">INDEX(INVESTORS_LIST[INVESTOR NAME],MATCH(SIP[[#This Row],[Investor ID]],INVESTORS_LIST[INVESTOR CODE],0),)</f>
        <v>MOHAMMAD HASAN</v>
      </c>
      <c r="F292" s="46" t="s">
        <v>1010</v>
      </c>
      <c r="G292" s="46">
        <f>COUNTIF(SIP[[#Headers],[Investor ID]]:SIP[[#This Row],[Investor ID]],SIP[[#This Row],[Investor ID]])</f>
        <v>7</v>
      </c>
      <c r="H292" s="46" t="str">
        <f>CONCATENATE(SIP[[#This Row],[Frequency]],SIP[[#This Row],[Investor ID]])</f>
        <v>7A00482</v>
      </c>
      <c r="I292" s="46" t="str">
        <f>IF(SIP[[#This Row],[B/S]]="B","BUY",(IF(SIP[[#This Row],[B/S]]="S","SELL"," ")))</f>
        <v>BUY</v>
      </c>
      <c r="J292" s="46" t="s">
        <v>1229</v>
      </c>
      <c r="K292" s="69">
        <v>5000</v>
      </c>
      <c r="L292" s="69"/>
      <c r="M292" s="70">
        <f>SIP[[#This Row],[Amount]]/SIP[[#This Row],[Unit]]</f>
        <v>10.660980810234541</v>
      </c>
      <c r="N292" s="71">
        <f>SIP[[#This Row],[Unit Capital]]/10</f>
        <v>469</v>
      </c>
      <c r="O292" s="72">
        <f>SUMIFS(SIP[[#Headers],[Unit]]:SIP[[#This Row],[Unit]],SIP[[#Headers],[Investor ID]]:SIP[[#This Row],[Investor ID]],SIP[[#This Row],[Investor ID]])</f>
        <v>3342</v>
      </c>
      <c r="P292" s="73">
        <v>4690</v>
      </c>
      <c r="Q292" s="74">
        <f>SIP[[#This Row],[Amount]]-SIP[[#This Row],[Unit Capital]]</f>
        <v>310</v>
      </c>
      <c r="R29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292" s="68">
        <f t="shared" si="12"/>
        <v>14.224</v>
      </c>
      <c r="T2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2" s="74" cm="1">
        <f t="array" ref="U292">IF(SIP[[#This Row],[B/S]]="S",ABS(SIP[[#This Row],[Unit]])*(INDEX(SIP[NAV at Cost (Average)],MATCH(CONCATENATE((SIP[[#This Row],[Frequency]]-1),SIP[[#This Row],[Investor ID]]),SIP[Unique Code],0),0)),0)</f>
        <v>0</v>
      </c>
      <c r="V292" s="74">
        <f>IF(SIP[[#This Row],[BO TRANSFER]]="YES",SIP[[#This Row],[Unit]],)</f>
        <v>0</v>
      </c>
      <c r="W292" s="74">
        <f>SUMIFS(SIP[[#Headers],[BO UNIT TRANSFER]]:SIP[[#This Row],[BO UNIT TRANSFER]],SIP[[#Headers],[Investor ID]]:SIP[[#This Row],[Investor ID]],SIP[[#This Row],[Investor ID]])</f>
        <v>0</v>
      </c>
    </row>
    <row r="293" spans="1:23" ht="15" customHeight="1">
      <c r="A293" s="46">
        <v>2023</v>
      </c>
      <c r="B293" s="46">
        <v>12</v>
      </c>
      <c r="C293" s="46">
        <v>26</v>
      </c>
      <c r="D293" s="65">
        <f>DATE(SIP[[#This Row],[Year]],SIP[[#This Row],[Month]],SIP[[#This Row],[Day]])</f>
        <v>45286</v>
      </c>
      <c r="E293" s="66" t="str" cm="1">
        <f t="array" ref="E293">INDEX(INVESTORS_LIST[INVESTOR NAME],MATCH(SIP[[#This Row],[Investor ID]],INVESTORS_LIST[INVESTOR CODE],0),)</f>
        <v>MOHAMMED SHARIFUL ISLAM</v>
      </c>
      <c r="F293" s="46" t="s">
        <v>1028</v>
      </c>
      <c r="G293" s="46">
        <f>COUNTIF(SIP[[#Headers],[Investor ID]]:SIP[[#This Row],[Investor ID]],SIP[[#This Row],[Investor ID]])</f>
        <v>7</v>
      </c>
      <c r="H293" s="46" t="str">
        <f>CONCATENATE(SIP[[#This Row],[Frequency]],SIP[[#This Row],[Investor ID]])</f>
        <v>7A00491</v>
      </c>
      <c r="I293" s="46" t="str">
        <f>IF(SIP[[#This Row],[B/S]]="B","BUY",(IF(SIP[[#This Row],[B/S]]="S","SELL"," ")))</f>
        <v>BUY</v>
      </c>
      <c r="J293" s="46" t="s">
        <v>1229</v>
      </c>
      <c r="K293" s="69">
        <v>5000</v>
      </c>
      <c r="L293" s="69"/>
      <c r="M293" s="70">
        <f>SIP[[#This Row],[Amount]]/SIP[[#This Row],[Unit]]</f>
        <v>10.660980810234541</v>
      </c>
      <c r="N293" s="71">
        <f>SIP[[#This Row],[Unit Capital]]/10</f>
        <v>469</v>
      </c>
      <c r="O293" s="72">
        <f>SUMIFS(SIP[[#Headers],[Unit]]:SIP[[#This Row],[Unit]],SIP[[#Headers],[Investor ID]]:SIP[[#This Row],[Investor ID]],SIP[[#This Row],[Investor ID]])</f>
        <v>3342</v>
      </c>
      <c r="P293" s="73">
        <v>4690</v>
      </c>
      <c r="Q293" s="74">
        <f>SIP[[#This Row],[Amount]]-SIP[[#This Row],[Unit Capital]]</f>
        <v>310</v>
      </c>
      <c r="R29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293" s="68">
        <f t="shared" si="12"/>
        <v>14.224</v>
      </c>
      <c r="T2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3" s="74" cm="1">
        <f t="array" ref="U293">IF(SIP[[#This Row],[B/S]]="S",ABS(SIP[[#This Row],[Unit]])*(INDEX(SIP[NAV at Cost (Average)],MATCH(CONCATENATE((SIP[[#This Row],[Frequency]]-1),SIP[[#This Row],[Investor ID]]),SIP[Unique Code],0),0)),0)</f>
        <v>0</v>
      </c>
      <c r="V293" s="74">
        <f>IF(SIP[[#This Row],[BO TRANSFER]]="YES",SIP[[#This Row],[Unit]],)</f>
        <v>0</v>
      </c>
      <c r="W293" s="74">
        <f>SUMIFS(SIP[[#Headers],[BO UNIT TRANSFER]]:SIP[[#This Row],[BO UNIT TRANSFER]],SIP[[#Headers],[Investor ID]]:SIP[[#This Row],[Investor ID]],SIP[[#This Row],[Investor ID]])</f>
        <v>0</v>
      </c>
    </row>
    <row r="294" spans="1:23" ht="15" customHeight="1">
      <c r="A294" s="46">
        <v>2023</v>
      </c>
      <c r="B294" s="46">
        <v>12</v>
      </c>
      <c r="C294" s="46">
        <v>26</v>
      </c>
      <c r="D294" s="65">
        <f>DATE(SIP[[#This Row],[Year]],SIP[[#This Row],[Month]],SIP[[#This Row],[Day]])</f>
        <v>45286</v>
      </c>
      <c r="E294" s="66" t="str" cm="1">
        <f t="array" ref="E294">INDEX(INVESTORS_LIST[INVESTOR NAME],MATCH(SIP[[#This Row],[Investor ID]],INVESTORS_LIST[INVESTOR CODE],0),)</f>
        <v>SUMAN SAHA</v>
      </c>
      <c r="F294" s="46" t="s">
        <v>1022</v>
      </c>
      <c r="G294" s="46">
        <f>COUNTIF(SIP[[#Headers],[Investor ID]]:SIP[[#This Row],[Investor ID]],SIP[[#This Row],[Investor ID]])</f>
        <v>7</v>
      </c>
      <c r="H294" s="46" t="str">
        <f>CONCATENATE(SIP[[#This Row],[Frequency]],SIP[[#This Row],[Investor ID]])</f>
        <v>7A00488</v>
      </c>
      <c r="I294" s="46" t="str">
        <f>IF(SIP[[#This Row],[B/S]]="B","BUY",(IF(SIP[[#This Row],[B/S]]="S","SELL"," ")))</f>
        <v>BUY</v>
      </c>
      <c r="J294" s="46" t="s">
        <v>1229</v>
      </c>
      <c r="K294" s="69">
        <v>5000</v>
      </c>
      <c r="L294" s="69"/>
      <c r="M294" s="70">
        <f>SIP[[#This Row],[Amount]]/SIP[[#This Row],[Unit]]</f>
        <v>10.660980810234541</v>
      </c>
      <c r="N294" s="71">
        <f>SIP[[#This Row],[Unit Capital]]/10</f>
        <v>469</v>
      </c>
      <c r="O294" s="72">
        <f>SUMIFS(SIP[[#Headers],[Unit]]:SIP[[#This Row],[Unit]],SIP[[#Headers],[Investor ID]]:SIP[[#This Row],[Investor ID]],SIP[[#This Row],[Investor ID]])</f>
        <v>3342</v>
      </c>
      <c r="P294" s="73">
        <v>4690</v>
      </c>
      <c r="Q294" s="74">
        <f>SIP[[#This Row],[Amount]]-SIP[[#This Row],[Unit Capital]]</f>
        <v>310</v>
      </c>
      <c r="R29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294" s="68">
        <f t="shared" si="12"/>
        <v>14.224</v>
      </c>
      <c r="T2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4" s="74" cm="1">
        <f t="array" ref="U294">IF(SIP[[#This Row],[B/S]]="S",ABS(SIP[[#This Row],[Unit]])*(INDEX(SIP[NAV at Cost (Average)],MATCH(CONCATENATE((SIP[[#This Row],[Frequency]]-1),SIP[[#This Row],[Investor ID]]),SIP[Unique Code],0),0)),0)</f>
        <v>0</v>
      </c>
      <c r="V294" s="74">
        <f>IF(SIP[[#This Row],[BO TRANSFER]]="YES",SIP[[#This Row],[Unit]],)</f>
        <v>0</v>
      </c>
      <c r="W294" s="74">
        <f>SUMIFS(SIP[[#Headers],[BO UNIT TRANSFER]]:SIP[[#This Row],[BO UNIT TRANSFER]],SIP[[#Headers],[Investor ID]]:SIP[[#This Row],[Investor ID]],SIP[[#This Row],[Investor ID]])</f>
        <v>0</v>
      </c>
    </row>
    <row r="295" spans="1:23" ht="15" customHeight="1">
      <c r="A295" s="46">
        <v>2023</v>
      </c>
      <c r="B295" s="46">
        <v>12</v>
      </c>
      <c r="C295" s="46">
        <v>26</v>
      </c>
      <c r="D295" s="65">
        <f>DATE(SIP[[#This Row],[Year]],SIP[[#This Row],[Month]],SIP[[#This Row],[Day]])</f>
        <v>45286</v>
      </c>
      <c r="E295" s="66" t="str" cm="1">
        <f t="array" ref="E295">INDEX(INVESTORS_LIST[INVESTOR NAME],MATCH(SIP[[#This Row],[Investor ID]],INVESTORS_LIST[INVESTOR CODE],0),)</f>
        <v>SADIA PARVIN</v>
      </c>
      <c r="F295" s="46" t="s">
        <v>1018</v>
      </c>
      <c r="G295" s="46">
        <f>COUNTIF(SIP[[#Headers],[Investor ID]]:SIP[[#This Row],[Investor ID]],SIP[[#This Row],[Investor ID]])</f>
        <v>8</v>
      </c>
      <c r="H295" s="46" t="str">
        <f>CONCATENATE(SIP[[#This Row],[Frequency]],SIP[[#This Row],[Investor ID]])</f>
        <v>8A00486</v>
      </c>
      <c r="I295" s="46" t="str">
        <f>IF(SIP[[#This Row],[B/S]]="B","BUY",(IF(SIP[[#This Row],[B/S]]="S","SELL"," ")))</f>
        <v>BUY</v>
      </c>
      <c r="J295" s="46" t="s">
        <v>1229</v>
      </c>
      <c r="K295" s="69">
        <v>5000</v>
      </c>
      <c r="L295" s="69"/>
      <c r="M295" s="70">
        <f>SIP[[#This Row],[Amount]]/SIP[[#This Row],[Unit]]</f>
        <v>10.660980810234541</v>
      </c>
      <c r="N295" s="71">
        <f>SIP[[#This Row],[Unit Capital]]/10</f>
        <v>469</v>
      </c>
      <c r="O295" s="72">
        <f>SUMIFS(SIP[[#Headers],[Unit]]:SIP[[#This Row],[Unit]],SIP[[#Headers],[Investor ID]]:SIP[[#This Row],[Investor ID]],SIP[[#This Row],[Investor ID]])</f>
        <v>3831</v>
      </c>
      <c r="P295" s="73">
        <v>4690</v>
      </c>
      <c r="Q295" s="74">
        <f>SIP[[#This Row],[Amount]]-SIP[[#This Row],[Unit Capital]]</f>
        <v>310</v>
      </c>
      <c r="R29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10.441138084051161</v>
      </c>
      <c r="S295" s="68">
        <f t="shared" si="12"/>
        <v>14.224</v>
      </c>
      <c r="T2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5" s="74" cm="1">
        <f t="array" ref="U295">IF(SIP[[#This Row],[B/S]]="S",ABS(SIP[[#This Row],[Unit]])*(INDEX(SIP[NAV at Cost (Average)],MATCH(CONCATENATE((SIP[[#This Row],[Frequency]]-1),SIP[[#This Row],[Investor ID]]),SIP[Unique Code],0),0)),0)</f>
        <v>0</v>
      </c>
      <c r="V295" s="74">
        <f>IF(SIP[[#This Row],[BO TRANSFER]]="YES",SIP[[#This Row],[Unit]],)</f>
        <v>0</v>
      </c>
      <c r="W295" s="74">
        <f>SUMIFS(SIP[[#Headers],[BO UNIT TRANSFER]]:SIP[[#This Row],[BO UNIT TRANSFER]],SIP[[#Headers],[Investor ID]]:SIP[[#This Row],[Investor ID]],SIP[[#This Row],[Investor ID]])</f>
        <v>0</v>
      </c>
    </row>
    <row r="296" spans="1:23" ht="15" customHeight="1">
      <c r="A296" s="46">
        <v>2023</v>
      </c>
      <c r="B296" s="46">
        <v>12</v>
      </c>
      <c r="C296" s="46">
        <v>26</v>
      </c>
      <c r="D296" s="65">
        <f>DATE(SIP[[#This Row],[Year]],SIP[[#This Row],[Month]],SIP[[#This Row],[Day]])</f>
        <v>45286</v>
      </c>
      <c r="E296" s="66" t="str" cm="1">
        <f t="array" ref="E296">INDEX(INVESTORS_LIST[INVESTOR NAME],MATCH(SIP[[#This Row],[Investor ID]],INVESTORS_LIST[INVESTOR CODE],0),)</f>
        <v>MD. WALI ULLAH</v>
      </c>
      <c r="F296" s="46" t="s">
        <v>443</v>
      </c>
      <c r="G296" s="46">
        <f>COUNTIF(SIP[[#Headers],[Investor ID]]:SIP[[#This Row],[Investor ID]],SIP[[#This Row],[Investor ID]])</f>
        <v>8</v>
      </c>
      <c r="H296" s="46" t="str">
        <f>CONCATENATE(SIP[[#This Row],[Frequency]],SIP[[#This Row],[Investor ID]])</f>
        <v>8A00197</v>
      </c>
      <c r="I296" s="46" t="str">
        <f>IF(SIP[[#This Row],[B/S]]="B","BUY",(IF(SIP[[#This Row],[B/S]]="S","SELL"," ")))</f>
        <v>BUY</v>
      </c>
      <c r="J296" s="46" t="s">
        <v>1229</v>
      </c>
      <c r="K296" s="69">
        <v>15000</v>
      </c>
      <c r="L296" s="69"/>
      <c r="M296" s="70">
        <f>SIP[[#This Row],[Amount]]/SIP[[#This Row],[Unit]]</f>
        <v>10.660980810234541</v>
      </c>
      <c r="N296" s="71">
        <f>SIP[[#This Row],[Unit Capital]]/10</f>
        <v>1407</v>
      </c>
      <c r="O296" s="72">
        <f>SUMIFS(SIP[[#Headers],[Unit]]:SIP[[#This Row],[Unit]],SIP[[#Headers],[Investor ID]]:SIP[[#This Row],[Investor ID]],SIP[[#This Row],[Investor ID]])</f>
        <v>11500</v>
      </c>
      <c r="P296" s="73">
        <v>14070</v>
      </c>
      <c r="Q296" s="74">
        <f>SIP[[#This Row],[Amount]]-SIP[[#This Row],[Unit Capital]]</f>
        <v>930</v>
      </c>
      <c r="R29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10.434782608695651</v>
      </c>
      <c r="S296" s="68">
        <f t="shared" si="12"/>
        <v>14.224</v>
      </c>
      <c r="T2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6" s="74" cm="1">
        <f t="array" ref="U296">IF(SIP[[#This Row],[B/S]]="S",ABS(SIP[[#This Row],[Unit]])*(INDEX(SIP[NAV at Cost (Average)],MATCH(CONCATENATE((SIP[[#This Row],[Frequency]]-1),SIP[[#This Row],[Investor ID]]),SIP[Unique Code],0),0)),0)</f>
        <v>0</v>
      </c>
      <c r="V296" s="74">
        <f>IF(SIP[[#This Row],[BO TRANSFER]]="YES",SIP[[#This Row],[Unit]],)</f>
        <v>0</v>
      </c>
      <c r="W296" s="74">
        <f>SUMIFS(SIP[[#Headers],[BO UNIT TRANSFER]]:SIP[[#This Row],[BO UNIT TRANSFER]],SIP[[#Headers],[Investor ID]]:SIP[[#This Row],[Investor ID]],SIP[[#This Row],[Investor ID]])</f>
        <v>0</v>
      </c>
    </row>
    <row r="297" spans="1:23" ht="15" customHeight="1">
      <c r="A297" s="46">
        <v>2023</v>
      </c>
      <c r="B297" s="46">
        <v>12</v>
      </c>
      <c r="C297" s="46">
        <v>26</v>
      </c>
      <c r="D297" s="65">
        <f>DATE(SIP[[#This Row],[Year]],SIP[[#This Row],[Month]],SIP[[#This Row],[Day]])</f>
        <v>45286</v>
      </c>
      <c r="E297" s="66" t="str" cm="1">
        <f t="array" ref="E297">INDEX(INVESTORS_LIST[INVESTOR NAME],MATCH(SIP[[#This Row],[Investor ID]],INVESTORS_LIST[INVESTOR CODE],0),)</f>
        <v>SIKDER FAZLE RABBI</v>
      </c>
      <c r="F297" s="46" t="s">
        <v>1032</v>
      </c>
      <c r="G297" s="46">
        <f>COUNTIF(SIP[[#Headers],[Investor ID]]:SIP[[#This Row],[Investor ID]],SIP[[#This Row],[Investor ID]])</f>
        <v>7</v>
      </c>
      <c r="H297" s="46" t="str">
        <f>CONCATENATE(SIP[[#This Row],[Frequency]],SIP[[#This Row],[Investor ID]])</f>
        <v>7A00493</v>
      </c>
      <c r="I297" s="46" t="str">
        <f>IF(SIP[[#This Row],[B/S]]="B","BUY",(IF(SIP[[#This Row],[B/S]]="S","SELL"," ")))</f>
        <v>BUY</v>
      </c>
      <c r="J297" s="46" t="s">
        <v>1229</v>
      </c>
      <c r="K297" s="69">
        <v>5000</v>
      </c>
      <c r="L297" s="69"/>
      <c r="M297" s="70">
        <f>SIP[[#This Row],[Amount]]/SIP[[#This Row],[Unit]]</f>
        <v>10.660980810234541</v>
      </c>
      <c r="N297" s="71">
        <f>SIP[[#This Row],[Unit Capital]]/10</f>
        <v>469</v>
      </c>
      <c r="O297" s="72">
        <f>SUMIFS(SIP[[#Headers],[Unit]]:SIP[[#This Row],[Unit]],SIP[[#Headers],[Investor ID]]:SIP[[#This Row],[Investor ID]],SIP[[#This Row],[Investor ID]])</f>
        <v>3342</v>
      </c>
      <c r="P297" s="73">
        <v>4690</v>
      </c>
      <c r="Q297" s="74">
        <f>SIP[[#This Row],[Amount]]-SIP[[#This Row],[Unit Capital]]</f>
        <v>310</v>
      </c>
      <c r="R29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297" s="68">
        <f t="shared" si="12"/>
        <v>14.224</v>
      </c>
      <c r="T2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7" s="74" cm="1">
        <f t="array" ref="U297">IF(SIP[[#This Row],[B/S]]="S",ABS(SIP[[#This Row],[Unit]])*(INDEX(SIP[NAV at Cost (Average)],MATCH(CONCATENATE((SIP[[#This Row],[Frequency]]-1),SIP[[#This Row],[Investor ID]]),SIP[Unique Code],0),0)),0)</f>
        <v>0</v>
      </c>
      <c r="V297" s="74">
        <f>IF(SIP[[#This Row],[BO TRANSFER]]="YES",SIP[[#This Row],[Unit]],)</f>
        <v>0</v>
      </c>
      <c r="W297" s="74">
        <f>SUMIFS(SIP[[#Headers],[BO UNIT TRANSFER]]:SIP[[#This Row],[BO UNIT TRANSFER]],SIP[[#Headers],[Investor ID]]:SIP[[#This Row],[Investor ID]],SIP[[#This Row],[Investor ID]])</f>
        <v>0</v>
      </c>
    </row>
    <row r="298" spans="1:23" ht="15" customHeight="1">
      <c r="A298" s="46">
        <v>2023</v>
      </c>
      <c r="B298" s="46">
        <v>12</v>
      </c>
      <c r="C298" s="46">
        <v>26</v>
      </c>
      <c r="D298" s="65">
        <f>DATE(SIP[[#This Row],[Year]],SIP[[#This Row],[Month]],SIP[[#This Row],[Day]])</f>
        <v>45286</v>
      </c>
      <c r="E298" s="66" t="str" cm="1">
        <f t="array" ref="E298">INDEX(INVESTORS_LIST[INVESTOR NAME],MATCH(SIP[[#This Row],[Investor ID]],INVESTORS_LIST[INVESTOR CODE],0),)</f>
        <v>SAJJAD CHOWDHURY</v>
      </c>
      <c r="F298" s="46" t="s">
        <v>461</v>
      </c>
      <c r="G298" s="46">
        <f>COUNTIF(SIP[[#Headers],[Investor ID]]:SIP[[#This Row],[Investor ID]],SIP[[#This Row],[Investor ID]])</f>
        <v>8</v>
      </c>
      <c r="H298" s="46" t="str">
        <f>CONCATENATE(SIP[[#This Row],[Frequency]],SIP[[#This Row],[Investor ID]])</f>
        <v>8A00206</v>
      </c>
      <c r="I298" s="46" t="str">
        <f>IF(SIP[[#This Row],[B/S]]="B","BUY",(IF(SIP[[#This Row],[B/S]]="S","SELL"," ")))</f>
        <v>BUY</v>
      </c>
      <c r="J298" s="46" t="s">
        <v>1229</v>
      </c>
      <c r="K298" s="69">
        <v>7500</v>
      </c>
      <c r="L298" s="69"/>
      <c r="M298" s="70">
        <f>SIP[[#This Row],[Amount]]/SIP[[#This Row],[Unit]]</f>
        <v>10.653409090909092</v>
      </c>
      <c r="N298" s="71">
        <f>SIP[[#This Row],[Unit Capital]]/10</f>
        <v>704</v>
      </c>
      <c r="O298" s="72">
        <f>SUMIFS(SIP[[#Headers],[Unit]]:SIP[[#This Row],[Unit]],SIP[[#Headers],[Investor ID]]:SIP[[#This Row],[Investor ID]],SIP[[#This Row],[Investor ID]])</f>
        <v>5749</v>
      </c>
      <c r="P298" s="73">
        <v>7040</v>
      </c>
      <c r="Q298" s="74">
        <f>SIP[[#This Row],[Amount]]-SIP[[#This Row],[Unit Capital]]</f>
        <v>460</v>
      </c>
      <c r="R29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10.436597669159852</v>
      </c>
      <c r="S298" s="68">
        <f t="shared" si="12"/>
        <v>14.224</v>
      </c>
      <c r="T2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8" s="74" cm="1">
        <f t="array" ref="U298">IF(SIP[[#This Row],[B/S]]="S",ABS(SIP[[#This Row],[Unit]])*(INDEX(SIP[NAV at Cost (Average)],MATCH(CONCATENATE((SIP[[#This Row],[Frequency]]-1),SIP[[#This Row],[Investor ID]]),SIP[Unique Code],0),0)),0)</f>
        <v>0</v>
      </c>
      <c r="V298" s="74">
        <f>IF(SIP[[#This Row],[BO TRANSFER]]="YES",SIP[[#This Row],[Unit]],)</f>
        <v>0</v>
      </c>
      <c r="W298" s="74">
        <f>SUMIFS(SIP[[#Headers],[BO UNIT TRANSFER]]:SIP[[#This Row],[BO UNIT TRANSFER]],SIP[[#Headers],[Investor ID]]:SIP[[#This Row],[Investor ID]],SIP[[#This Row],[Investor ID]])</f>
        <v>0</v>
      </c>
    </row>
    <row r="299" spans="1:23" ht="15" customHeight="1">
      <c r="A299" s="46">
        <v>2023</v>
      </c>
      <c r="B299" s="46">
        <v>12</v>
      </c>
      <c r="C299" s="46">
        <v>26</v>
      </c>
      <c r="D299" s="65">
        <f>DATE(SIP[[#This Row],[Year]],SIP[[#This Row],[Month]],SIP[[#This Row],[Day]])</f>
        <v>45286</v>
      </c>
      <c r="E299" s="66" t="str" cm="1">
        <f t="array" ref="E299">INDEX(INVESTORS_LIST[INVESTOR NAME],MATCH(SIP[[#This Row],[Investor ID]],INVESTORS_LIST[INVESTOR CODE],0),)</f>
        <v>KHALED HOSSAIN</v>
      </c>
      <c r="F299" s="46" t="s">
        <v>1050</v>
      </c>
      <c r="G299" s="46">
        <f>COUNTIF(SIP[[#Headers],[Investor ID]]:SIP[[#This Row],[Investor ID]],SIP[[#This Row],[Investor ID]])</f>
        <v>7</v>
      </c>
      <c r="H299" s="46" t="str">
        <f>CONCATENATE(SIP[[#This Row],[Frequency]],SIP[[#This Row],[Investor ID]])</f>
        <v>7A00502</v>
      </c>
      <c r="I299" s="46" t="str">
        <f>IF(SIP[[#This Row],[B/S]]="B","BUY",(IF(SIP[[#This Row],[B/S]]="S","SELL"," ")))</f>
        <v>BUY</v>
      </c>
      <c r="J299" s="46" t="s">
        <v>1229</v>
      </c>
      <c r="K299" s="69">
        <v>10000</v>
      </c>
      <c r="L299" s="69"/>
      <c r="M299" s="70">
        <f>SIP[[#This Row],[Amount]]/SIP[[#This Row],[Unit]]</f>
        <v>10.660980810234541</v>
      </c>
      <c r="N299" s="71">
        <f>SIP[[#This Row],[Unit Capital]]/10</f>
        <v>938</v>
      </c>
      <c r="O299" s="72">
        <f>SUMIFS(SIP[[#Headers],[Unit]]:SIP[[#This Row],[Unit]],SIP[[#Headers],[Investor ID]]:SIP[[#This Row],[Investor ID]],SIP[[#This Row],[Investor ID]])</f>
        <v>6685</v>
      </c>
      <c r="P299" s="73">
        <v>9380</v>
      </c>
      <c r="Q299" s="74">
        <f>SIP[[#This Row],[Amount]]-SIP[[#This Row],[Unit Capital]]</f>
        <v>620</v>
      </c>
      <c r="R29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10.471204188481677</v>
      </c>
      <c r="S299" s="68">
        <f t="shared" si="12"/>
        <v>14.224</v>
      </c>
      <c r="T2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99" s="74" cm="1">
        <f t="array" ref="U299">IF(SIP[[#This Row],[B/S]]="S",ABS(SIP[[#This Row],[Unit]])*(INDEX(SIP[NAV at Cost (Average)],MATCH(CONCATENATE((SIP[[#This Row],[Frequency]]-1),SIP[[#This Row],[Investor ID]]),SIP[Unique Code],0),0)),0)</f>
        <v>0</v>
      </c>
      <c r="V299" s="74">
        <f>IF(SIP[[#This Row],[BO TRANSFER]]="YES",SIP[[#This Row],[Unit]],)</f>
        <v>0</v>
      </c>
      <c r="W299" s="74">
        <f>SUMIFS(SIP[[#Headers],[BO UNIT TRANSFER]]:SIP[[#This Row],[BO UNIT TRANSFER]],SIP[[#Headers],[Investor ID]]:SIP[[#This Row],[Investor ID]],SIP[[#This Row],[Investor ID]])</f>
        <v>0</v>
      </c>
    </row>
    <row r="300" spans="1:23" ht="15" customHeight="1">
      <c r="A300" s="46">
        <v>2023</v>
      </c>
      <c r="B300" s="46">
        <v>12</v>
      </c>
      <c r="C300" s="46">
        <v>26</v>
      </c>
      <c r="D300" s="65">
        <f>DATE(SIP[[#This Row],[Year]],SIP[[#This Row],[Month]],SIP[[#This Row],[Day]])</f>
        <v>45286</v>
      </c>
      <c r="E300" s="66" t="str" cm="1">
        <f t="array" ref="E300">INDEX(INVESTORS_LIST[INVESTOR NAME],MATCH(SIP[[#This Row],[Investor ID]],INVESTORS_LIST[INVESTOR CODE],0),)</f>
        <v>S.M. SAIFUL ISLAM</v>
      </c>
      <c r="F300" s="46" t="s">
        <v>1002</v>
      </c>
      <c r="G300" s="46">
        <f>COUNTIF(SIP[[#Headers],[Investor ID]]:SIP[[#This Row],[Investor ID]],SIP[[#This Row],[Investor ID]])</f>
        <v>8</v>
      </c>
      <c r="H300" s="46" t="str">
        <f>CONCATENATE(SIP[[#This Row],[Frequency]],SIP[[#This Row],[Investor ID]])</f>
        <v>8A00478</v>
      </c>
      <c r="I300" s="46" t="str">
        <f>IF(SIP[[#This Row],[B/S]]="B","BUY",(IF(SIP[[#This Row],[B/S]]="S","SELL"," ")))</f>
        <v>BUY</v>
      </c>
      <c r="J300" s="46" t="s">
        <v>1229</v>
      </c>
      <c r="K300" s="69">
        <v>10000</v>
      </c>
      <c r="L300" s="69"/>
      <c r="M300" s="70">
        <f>SIP[[#This Row],[Amount]]/SIP[[#This Row],[Unit]]</f>
        <v>10.660980810234541</v>
      </c>
      <c r="N300" s="71">
        <f>SIP[[#This Row],[Unit Capital]]/10</f>
        <v>938</v>
      </c>
      <c r="O300" s="72">
        <f>SUMIFS(SIP[[#Headers],[Unit]]:SIP[[#This Row],[Unit]],SIP[[#Headers],[Investor ID]]:SIP[[#This Row],[Investor ID]],SIP[[#This Row],[Investor ID]])</f>
        <v>7667</v>
      </c>
      <c r="P300" s="73">
        <v>9380</v>
      </c>
      <c r="Q300" s="74">
        <f>SIP[[#This Row],[Amount]]-SIP[[#This Row],[Unit Capital]]</f>
        <v>620</v>
      </c>
      <c r="R30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10.434328942219905</v>
      </c>
      <c r="S300" s="68">
        <f t="shared" si="12"/>
        <v>14.224</v>
      </c>
      <c r="T3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0" s="74" cm="1">
        <f t="array" ref="U300">IF(SIP[[#This Row],[B/S]]="S",ABS(SIP[[#This Row],[Unit]])*(INDEX(SIP[NAV at Cost (Average)],MATCH(CONCATENATE((SIP[[#This Row],[Frequency]]-1),SIP[[#This Row],[Investor ID]]),SIP[Unique Code],0),0)),0)</f>
        <v>0</v>
      </c>
      <c r="V300" s="74">
        <f>IF(SIP[[#This Row],[BO TRANSFER]]="YES",SIP[[#This Row],[Unit]],)</f>
        <v>0</v>
      </c>
      <c r="W300" s="74">
        <f>SUMIFS(SIP[[#Headers],[BO UNIT TRANSFER]]:SIP[[#This Row],[BO UNIT TRANSFER]],SIP[[#Headers],[Investor ID]]:SIP[[#This Row],[Investor ID]],SIP[[#This Row],[Investor ID]])</f>
        <v>0</v>
      </c>
    </row>
    <row r="301" spans="1:23" ht="15" customHeight="1">
      <c r="A301" s="46">
        <v>2023</v>
      </c>
      <c r="B301" s="46">
        <v>12</v>
      </c>
      <c r="C301" s="46">
        <v>26</v>
      </c>
      <c r="D301" s="65">
        <f>DATE(SIP[[#This Row],[Year]],SIP[[#This Row],[Month]],SIP[[#This Row],[Day]])</f>
        <v>45286</v>
      </c>
      <c r="E301" s="66" t="str" cm="1">
        <f t="array" ref="E301">INDEX(INVESTORS_LIST[INVESTOR NAME],MATCH(SIP[[#This Row],[Investor ID]],INVESTORS_LIST[INVESTOR CODE],0),)</f>
        <v>ABU MUSA MIRZA KAMRUZZAMAN SHAHEE</v>
      </c>
      <c r="F301" s="46" t="s">
        <v>1012</v>
      </c>
      <c r="G301" s="46">
        <f>COUNTIF(SIP[[#Headers],[Investor ID]]:SIP[[#This Row],[Investor ID]],SIP[[#This Row],[Investor ID]])</f>
        <v>7</v>
      </c>
      <c r="H301" s="46" t="str">
        <f>CONCATENATE(SIP[[#This Row],[Frequency]],SIP[[#This Row],[Investor ID]])</f>
        <v>7A00483</v>
      </c>
      <c r="I301" s="46" t="str">
        <f>IF(SIP[[#This Row],[B/S]]="B","BUY",(IF(SIP[[#This Row],[B/S]]="S","SELL"," ")))</f>
        <v>BUY</v>
      </c>
      <c r="J301" s="46" t="s">
        <v>1229</v>
      </c>
      <c r="K301" s="69">
        <v>5000</v>
      </c>
      <c r="L301" s="69"/>
      <c r="M301" s="70">
        <f>SIP[[#This Row],[Amount]]/SIP[[#This Row],[Unit]]</f>
        <v>10.660980810234541</v>
      </c>
      <c r="N301" s="71">
        <f>SIP[[#This Row],[Unit Capital]]/10</f>
        <v>469</v>
      </c>
      <c r="O301" s="72">
        <f>SUMIFS(SIP[[#Headers],[Unit]]:SIP[[#This Row],[Unit]],SIP[[#Headers],[Investor ID]]:SIP[[#This Row],[Investor ID]],SIP[[#This Row],[Investor ID]])</f>
        <v>3342</v>
      </c>
      <c r="P301" s="73">
        <v>4690</v>
      </c>
      <c r="Q301" s="74">
        <f>SIP[[#This Row],[Amount]]-SIP[[#This Row],[Unit Capital]]</f>
        <v>310</v>
      </c>
      <c r="R30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301" s="68">
        <f t="shared" si="12"/>
        <v>14.224</v>
      </c>
      <c r="T3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1" s="74" cm="1">
        <f t="array" ref="U301">IF(SIP[[#This Row],[B/S]]="S",ABS(SIP[[#This Row],[Unit]])*(INDEX(SIP[NAV at Cost (Average)],MATCH(CONCATENATE((SIP[[#This Row],[Frequency]]-1),SIP[[#This Row],[Investor ID]]),SIP[Unique Code],0),0)),0)</f>
        <v>0</v>
      </c>
      <c r="V301" s="74">
        <f>IF(SIP[[#This Row],[BO TRANSFER]]="YES",SIP[[#This Row],[Unit]],)</f>
        <v>0</v>
      </c>
      <c r="W301" s="74">
        <f>SUMIFS(SIP[[#Headers],[BO UNIT TRANSFER]]:SIP[[#This Row],[BO UNIT TRANSFER]],SIP[[#Headers],[Investor ID]]:SIP[[#This Row],[Investor ID]],SIP[[#This Row],[Investor ID]])</f>
        <v>0</v>
      </c>
    </row>
    <row r="302" spans="1:23" ht="15" customHeight="1">
      <c r="A302" s="46">
        <v>2023</v>
      </c>
      <c r="B302" s="46">
        <v>12</v>
      </c>
      <c r="C302" s="46">
        <v>26</v>
      </c>
      <c r="D302" s="65">
        <f>DATE(SIP[[#This Row],[Year]],SIP[[#This Row],[Month]],SIP[[#This Row],[Day]])</f>
        <v>45286</v>
      </c>
      <c r="E302" s="66" t="str" cm="1">
        <f t="array" ref="E302">INDEX(INVESTORS_LIST[INVESTOR NAME],MATCH(SIP[[#This Row],[Investor ID]],INVESTORS_LIST[INVESTOR CODE],0),)</f>
        <v>ASHIK IQBAL CHOWDHURY</v>
      </c>
      <c r="F302" s="46" t="s">
        <v>1016</v>
      </c>
      <c r="G302" s="46">
        <f>COUNTIF(SIP[[#Headers],[Investor ID]]:SIP[[#This Row],[Investor ID]],SIP[[#This Row],[Investor ID]])</f>
        <v>7</v>
      </c>
      <c r="H302" s="46" t="str">
        <f>CONCATENATE(SIP[[#This Row],[Frequency]],SIP[[#This Row],[Investor ID]])</f>
        <v>7A00485</v>
      </c>
      <c r="I302" s="46" t="str">
        <f>IF(SIP[[#This Row],[B/S]]="B","BUY",(IF(SIP[[#This Row],[B/S]]="S","SELL"," ")))</f>
        <v>BUY</v>
      </c>
      <c r="J302" s="46" t="s">
        <v>1229</v>
      </c>
      <c r="K302" s="69">
        <v>5000</v>
      </c>
      <c r="L302" s="69"/>
      <c r="M302" s="70">
        <f>SIP[[#This Row],[Amount]]/SIP[[#This Row],[Unit]]</f>
        <v>10.660980810234541</v>
      </c>
      <c r="N302" s="71">
        <f>SIP[[#This Row],[Unit Capital]]/10</f>
        <v>469</v>
      </c>
      <c r="O302" s="72">
        <f>SUMIFS(SIP[[#Headers],[Unit]]:SIP[[#This Row],[Unit]],SIP[[#Headers],[Investor ID]]:SIP[[#This Row],[Investor ID]],SIP[[#This Row],[Investor ID]])</f>
        <v>3342</v>
      </c>
      <c r="P302" s="73">
        <v>4690</v>
      </c>
      <c r="Q302" s="74">
        <f>SIP[[#This Row],[Amount]]-SIP[[#This Row],[Unit Capital]]</f>
        <v>310</v>
      </c>
      <c r="R30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302" s="68">
        <f t="shared" si="12"/>
        <v>14.224</v>
      </c>
      <c r="T3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2" s="74" cm="1">
        <f t="array" ref="U302">IF(SIP[[#This Row],[B/S]]="S",ABS(SIP[[#This Row],[Unit]])*(INDEX(SIP[NAV at Cost (Average)],MATCH(CONCATENATE((SIP[[#This Row],[Frequency]]-1),SIP[[#This Row],[Investor ID]]),SIP[Unique Code],0),0)),0)</f>
        <v>0</v>
      </c>
      <c r="V302" s="74">
        <f>IF(SIP[[#This Row],[BO TRANSFER]]="YES",SIP[[#This Row],[Unit]],)</f>
        <v>0</v>
      </c>
      <c r="W302" s="74">
        <f>SUMIFS(SIP[[#Headers],[BO UNIT TRANSFER]]:SIP[[#This Row],[BO UNIT TRANSFER]],SIP[[#Headers],[Investor ID]]:SIP[[#This Row],[Investor ID]],SIP[[#This Row],[Investor ID]])</f>
        <v>0</v>
      </c>
    </row>
    <row r="303" spans="1:23" ht="15" customHeight="1">
      <c r="A303" s="46">
        <v>2023</v>
      </c>
      <c r="B303" s="46">
        <v>12</v>
      </c>
      <c r="C303" s="46">
        <v>26</v>
      </c>
      <c r="D303" s="65">
        <f>DATE(SIP[[#This Row],[Year]],SIP[[#This Row],[Month]],SIP[[#This Row],[Day]])</f>
        <v>45286</v>
      </c>
      <c r="E303" s="66" t="str" cm="1">
        <f t="array" ref="E303">INDEX(INVESTORS_LIST[INVESTOR NAME],MATCH(SIP[[#This Row],[Investor ID]],INVESTORS_LIST[INVESTOR CODE],0),)</f>
        <v>AKASH DEEP PAUL</v>
      </c>
      <c r="F303" s="46" t="s">
        <v>286</v>
      </c>
      <c r="G303" s="46">
        <f>COUNTIF(SIP[[#Headers],[Investor ID]]:SIP[[#This Row],[Investor ID]],SIP[[#This Row],[Investor ID]])</f>
        <v>7</v>
      </c>
      <c r="H303" s="46" t="str">
        <f>CONCATENATE(SIP[[#This Row],[Frequency]],SIP[[#This Row],[Investor ID]])</f>
        <v>7A00119</v>
      </c>
      <c r="I303" s="46" t="str">
        <f>IF(SIP[[#This Row],[B/S]]="B","BUY",(IF(SIP[[#This Row],[B/S]]="S","SELL"," ")))</f>
        <v>BUY</v>
      </c>
      <c r="J303" s="46" t="s">
        <v>1229</v>
      </c>
      <c r="K303" s="69">
        <v>5000</v>
      </c>
      <c r="L303" s="69"/>
      <c r="M303" s="70">
        <f>SIP[[#This Row],[Amount]]/SIP[[#This Row],[Unit]]</f>
        <v>10.660980810234541</v>
      </c>
      <c r="N303" s="71">
        <f>SIP[[#This Row],[Unit Capital]]/10</f>
        <v>469</v>
      </c>
      <c r="O303" s="72">
        <f>SUMIFS(SIP[[#Headers],[Unit]]:SIP[[#This Row],[Unit]],SIP[[#Headers],[Investor ID]]:SIP[[#This Row],[Investor ID]],SIP[[#This Row],[Investor ID]])</f>
        <v>3342</v>
      </c>
      <c r="P303" s="73">
        <v>4690</v>
      </c>
      <c r="Q303" s="74">
        <f>SIP[[#This Row],[Amount]]-SIP[[#This Row],[Unit Capital]]</f>
        <v>310</v>
      </c>
      <c r="R30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10.472770795930579</v>
      </c>
      <c r="S303" s="68">
        <f t="shared" si="12"/>
        <v>14.224</v>
      </c>
      <c r="T3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3" s="74" cm="1">
        <f t="array" ref="U303">IF(SIP[[#This Row],[B/S]]="S",ABS(SIP[[#This Row],[Unit]])*(INDEX(SIP[NAV at Cost (Average)],MATCH(CONCATENATE((SIP[[#This Row],[Frequency]]-1),SIP[[#This Row],[Investor ID]]),SIP[Unique Code],0),0)),0)</f>
        <v>0</v>
      </c>
      <c r="V303" s="74">
        <f>IF(SIP[[#This Row],[BO TRANSFER]]="YES",SIP[[#This Row],[Unit]],)</f>
        <v>0</v>
      </c>
      <c r="W303" s="74">
        <f>SUMIFS(SIP[[#Headers],[BO UNIT TRANSFER]]:SIP[[#This Row],[BO UNIT TRANSFER]],SIP[[#Headers],[Investor ID]]:SIP[[#This Row],[Investor ID]],SIP[[#This Row],[Investor ID]])</f>
        <v>0</v>
      </c>
    </row>
    <row r="304" spans="1:23" ht="15" customHeight="1">
      <c r="A304" s="46">
        <v>2023</v>
      </c>
      <c r="B304" s="46">
        <v>12</v>
      </c>
      <c r="C304" s="46">
        <v>26</v>
      </c>
      <c r="D304" s="65">
        <f>DATE(SIP[[#This Row],[Year]],SIP[[#This Row],[Month]],SIP[[#This Row],[Day]])</f>
        <v>45286</v>
      </c>
      <c r="E304" s="66" t="str" cm="1">
        <f t="array" ref="E304">INDEX(INVESTORS_LIST[INVESTOR NAME],MATCH(SIP[[#This Row],[Investor ID]],INVESTORS_LIST[INVESTOR CODE],0),)</f>
        <v>MOHAMMED ALI XAHANGIR</v>
      </c>
      <c r="F304" s="46" t="s">
        <v>312</v>
      </c>
      <c r="G304" s="46">
        <f>COUNTIF(SIP[[#Headers],[Investor ID]]:SIP[[#This Row],[Investor ID]],SIP[[#This Row],[Investor ID]])</f>
        <v>2</v>
      </c>
      <c r="H304" s="46" t="str">
        <f>CONCATENATE(SIP[[#This Row],[Frequency]],SIP[[#This Row],[Investor ID]])</f>
        <v>2A00132</v>
      </c>
      <c r="I304" s="46" t="str">
        <f>IF(SIP[[#This Row],[B/S]]="B","BUY",(IF(SIP[[#This Row],[B/S]]="S","SELL"," ")))</f>
        <v>BUY</v>
      </c>
      <c r="J304" s="46" t="s">
        <v>1229</v>
      </c>
      <c r="K304" s="69">
        <v>20000</v>
      </c>
      <c r="L304" s="69"/>
      <c r="M304" s="70">
        <f>SIP[[#This Row],[Amount]]/SIP[[#This Row],[Unit]]</f>
        <v>10.660980810234541</v>
      </c>
      <c r="N304" s="71">
        <f>SIP[[#This Row],[Unit Capital]]/10</f>
        <v>1876</v>
      </c>
      <c r="O304" s="72">
        <f>SUMIFS(SIP[[#Headers],[Unit]]:SIP[[#This Row],[Unit]],SIP[[#Headers],[Investor ID]]:SIP[[#This Row],[Investor ID]],SIP[[#This Row],[Investor ID]])</f>
        <v>3794</v>
      </c>
      <c r="P304" s="73">
        <v>18760</v>
      </c>
      <c r="Q304" s="74">
        <f>SIP[[#This Row],[Amount]]-SIP[[#This Row],[Unit Capital]]</f>
        <v>1240</v>
      </c>
      <c r="R30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10.542962572482868</v>
      </c>
      <c r="S304" s="68">
        <f t="shared" si="12"/>
        <v>14.224</v>
      </c>
      <c r="T3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4" s="74" cm="1">
        <f t="array" ref="U304">IF(SIP[[#This Row],[B/S]]="S",ABS(SIP[[#This Row],[Unit]])*(INDEX(SIP[NAV at Cost (Average)],MATCH(CONCATENATE((SIP[[#This Row],[Frequency]]-1),SIP[[#This Row],[Investor ID]]),SIP[Unique Code],0),0)),0)</f>
        <v>0</v>
      </c>
      <c r="V304" s="74">
        <f>IF(SIP[[#This Row],[BO TRANSFER]]="YES",SIP[[#This Row],[Unit]],)</f>
        <v>0</v>
      </c>
      <c r="W304" s="74">
        <f>SUMIFS(SIP[[#Headers],[BO UNIT TRANSFER]]:SIP[[#This Row],[BO UNIT TRANSFER]],SIP[[#Headers],[Investor ID]]:SIP[[#This Row],[Investor ID]],SIP[[#This Row],[Investor ID]])</f>
        <v>0</v>
      </c>
    </row>
    <row r="305" spans="1:23" ht="15" customHeight="1">
      <c r="A305" s="46">
        <v>2023</v>
      </c>
      <c r="B305" s="46">
        <v>12</v>
      </c>
      <c r="C305" s="46">
        <v>26</v>
      </c>
      <c r="D305" s="65">
        <f>DATE(SIP[[#This Row],[Year]],SIP[[#This Row],[Month]],SIP[[#This Row],[Day]])</f>
        <v>45286</v>
      </c>
      <c r="E305" s="66" t="str" cm="1">
        <f t="array" ref="E305">INDEX(INVESTORS_LIST[INVESTOR NAME],MATCH(SIP[[#This Row],[Investor ID]],INVESTORS_LIST[INVESTOR CODE],0),)</f>
        <v>JUBAIDA FARHANA HAQUE</v>
      </c>
      <c r="F305" s="46" t="s">
        <v>1065</v>
      </c>
      <c r="G305" s="46">
        <f>COUNTIF(SIP[[#Headers],[Investor ID]]:SIP[[#This Row],[Investor ID]],SIP[[#This Row],[Investor ID]])</f>
        <v>5</v>
      </c>
      <c r="H305" s="46" t="str">
        <f>CONCATENATE(SIP[[#This Row],[Frequency]],SIP[[#This Row],[Investor ID]])</f>
        <v>5A00510</v>
      </c>
      <c r="I305" s="46" t="str">
        <f>IF(SIP[[#This Row],[B/S]]="B","BUY",(IF(SIP[[#This Row],[B/S]]="S","SELL"," ")))</f>
        <v>BUY</v>
      </c>
      <c r="J305" s="46" t="s">
        <v>1229</v>
      </c>
      <c r="K305" s="69">
        <v>5000</v>
      </c>
      <c r="L305" s="69"/>
      <c r="M305" s="70">
        <f>SIP[[#This Row],[Amount]]/SIP[[#This Row],[Unit]]</f>
        <v>10.660980810234541</v>
      </c>
      <c r="N305" s="71">
        <f>SIP[[#This Row],[Unit Capital]]/10</f>
        <v>469</v>
      </c>
      <c r="O305" s="72">
        <f>SUMIFS(SIP[[#Headers],[Unit]]:SIP[[#This Row],[Unit]],SIP[[#Headers],[Investor ID]]:SIP[[#This Row],[Investor ID]],SIP[[#This Row],[Investor ID]])</f>
        <v>1418</v>
      </c>
      <c r="P305" s="73">
        <v>4690</v>
      </c>
      <c r="Q305" s="74">
        <f>SIP[[#This Row],[Amount]]-SIP[[#This Row],[Unit Capital]]</f>
        <v>310</v>
      </c>
      <c r="R30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10.589402588619507</v>
      </c>
      <c r="S305" s="68">
        <f t="shared" si="12"/>
        <v>14.224</v>
      </c>
      <c r="T3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5" s="74" cm="1">
        <f t="array" ref="U305">IF(SIP[[#This Row],[B/S]]="S",ABS(SIP[[#This Row],[Unit]])*(INDEX(SIP[NAV at Cost (Average)],MATCH(CONCATENATE((SIP[[#This Row],[Frequency]]-1),SIP[[#This Row],[Investor ID]]),SIP[Unique Code],0),0)),0)</f>
        <v>0</v>
      </c>
      <c r="V305" s="74">
        <f>IF(SIP[[#This Row],[BO TRANSFER]]="YES",SIP[[#This Row],[Unit]],)</f>
        <v>0</v>
      </c>
      <c r="W305" s="74">
        <f>SUMIFS(SIP[[#Headers],[BO UNIT TRANSFER]]:SIP[[#This Row],[BO UNIT TRANSFER]],SIP[[#Headers],[Investor ID]]:SIP[[#This Row],[Investor ID]],SIP[[#This Row],[Investor ID]])</f>
        <v>0</v>
      </c>
    </row>
    <row r="306" spans="1:23" ht="15" customHeight="1">
      <c r="A306" s="46">
        <v>2023</v>
      </c>
      <c r="B306" s="46">
        <v>12</v>
      </c>
      <c r="C306" s="46">
        <v>26</v>
      </c>
      <c r="D306" s="65">
        <f>DATE(SIP[[#This Row],[Year]],SIP[[#This Row],[Month]],SIP[[#This Row],[Day]])</f>
        <v>45286</v>
      </c>
      <c r="E306" s="66" t="str" cm="1">
        <f t="array" ref="E306">INDEX(INVESTORS_LIST[INVESTOR NAME],MATCH(SIP[[#This Row],[Investor ID]],INVESTORS_LIST[INVESTOR CODE],0),)</f>
        <v>TAPU GUHA</v>
      </c>
      <c r="F306" s="46" t="s">
        <v>483</v>
      </c>
      <c r="G306" s="46">
        <f>COUNTIF(SIP[[#Headers],[Investor ID]]:SIP[[#This Row],[Investor ID]],SIP[[#This Row],[Investor ID]])</f>
        <v>5</v>
      </c>
      <c r="H306" s="46" t="str">
        <f>CONCATENATE(SIP[[#This Row],[Frequency]],SIP[[#This Row],[Investor ID]])</f>
        <v>5A00217</v>
      </c>
      <c r="I306" s="46" t="str">
        <f>IF(SIP[[#This Row],[B/S]]="B","BUY",(IF(SIP[[#This Row],[B/S]]="S","SELL"," ")))</f>
        <v>BUY</v>
      </c>
      <c r="J306" s="46" t="s">
        <v>1229</v>
      </c>
      <c r="K306" s="69">
        <v>5000</v>
      </c>
      <c r="L306" s="69"/>
      <c r="M306" s="70">
        <f>SIP[[#This Row],[Amount]]/SIP[[#This Row],[Unit]]</f>
        <v>10.660980810234541</v>
      </c>
      <c r="N306" s="71">
        <f>SIP[[#This Row],[Unit Capital]]/10</f>
        <v>469</v>
      </c>
      <c r="O306" s="72">
        <f>SUMIFS(SIP[[#Headers],[Unit]]:SIP[[#This Row],[Unit]],SIP[[#Headers],[Investor ID]]:SIP[[#This Row],[Investor ID]],SIP[[#This Row],[Investor ID]])</f>
        <v>2369</v>
      </c>
      <c r="P306" s="73">
        <v>4690</v>
      </c>
      <c r="Q306" s="74">
        <f>SIP[[#This Row],[Amount]]-SIP[[#This Row],[Unit Capital]]</f>
        <v>310</v>
      </c>
      <c r="R30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10.552975939214857</v>
      </c>
      <c r="S306" s="68">
        <f t="shared" si="12"/>
        <v>14.224</v>
      </c>
      <c r="T3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6" s="74" cm="1">
        <f t="array" ref="U306">IF(SIP[[#This Row],[B/S]]="S",ABS(SIP[[#This Row],[Unit]])*(INDEX(SIP[NAV at Cost (Average)],MATCH(CONCATENATE((SIP[[#This Row],[Frequency]]-1),SIP[[#This Row],[Investor ID]]),SIP[Unique Code],0),0)),0)</f>
        <v>0</v>
      </c>
      <c r="V306" s="74">
        <f>IF(SIP[[#This Row],[BO TRANSFER]]="YES",SIP[[#This Row],[Unit]],)</f>
        <v>0</v>
      </c>
      <c r="W306" s="74">
        <f>SUMIFS(SIP[[#Headers],[BO UNIT TRANSFER]]:SIP[[#This Row],[BO UNIT TRANSFER]],SIP[[#Headers],[Investor ID]]:SIP[[#This Row],[Investor ID]],SIP[[#This Row],[Investor ID]])</f>
        <v>0</v>
      </c>
    </row>
    <row r="307" spans="1:23" ht="15" customHeight="1">
      <c r="A307" s="46">
        <v>2023</v>
      </c>
      <c r="B307" s="46">
        <v>12</v>
      </c>
      <c r="C307" s="46">
        <v>26</v>
      </c>
      <c r="D307" s="65">
        <f>DATE(SIP[[#This Row],[Year]],SIP[[#This Row],[Month]],SIP[[#This Row],[Day]])</f>
        <v>45286</v>
      </c>
      <c r="E307" s="66" t="str" cm="1">
        <f t="array" ref="E307">INDEX(INVESTORS_LIST[INVESTOR NAME],MATCH(SIP[[#This Row],[Investor ID]],INVESTORS_LIST[INVESTOR CODE],0),)</f>
        <v>MAYA RANI SAHA</v>
      </c>
      <c r="F307" s="46" t="s">
        <v>224</v>
      </c>
      <c r="G307" s="46">
        <f>COUNTIF(SIP[[#Headers],[Investor ID]]:SIP[[#This Row],[Investor ID]],SIP[[#This Row],[Investor ID]])</f>
        <v>5</v>
      </c>
      <c r="H307" s="46" t="str">
        <f>CONCATENATE(SIP[[#This Row],[Frequency]],SIP[[#This Row],[Investor ID]])</f>
        <v>5A00088</v>
      </c>
      <c r="I307" s="46" t="str">
        <f>IF(SIP[[#This Row],[B/S]]="B","BUY",(IF(SIP[[#This Row],[B/S]]="S","SELL"," ")))</f>
        <v>BUY</v>
      </c>
      <c r="J307" s="46" t="s">
        <v>1229</v>
      </c>
      <c r="K307" s="69">
        <v>14000</v>
      </c>
      <c r="L307" s="69"/>
      <c r="M307" s="70">
        <f>SIP[[#This Row],[Amount]]/SIP[[#This Row],[Unit]]</f>
        <v>10.662604722010663</v>
      </c>
      <c r="N307" s="71">
        <f>SIP[[#This Row],[Unit Capital]]/10</f>
        <v>1313</v>
      </c>
      <c r="O307" s="72">
        <f>SUMIFS(SIP[[#Headers],[Unit]]:SIP[[#This Row],[Unit]],SIP[[#Headers],[Investor ID]]:SIP[[#This Row],[Investor ID]],SIP[[#This Row],[Investor ID]])</f>
        <v>6278</v>
      </c>
      <c r="P307" s="73">
        <v>13130</v>
      </c>
      <c r="Q307" s="74">
        <f>SIP[[#This Row],[Amount]]-SIP[[#This Row],[Unit Capital]]</f>
        <v>870</v>
      </c>
      <c r="R30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10.512902198152279</v>
      </c>
      <c r="S307" s="68">
        <f t="shared" si="12"/>
        <v>14.224</v>
      </c>
      <c r="T3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7" s="74" cm="1">
        <f t="array" ref="U307">IF(SIP[[#This Row],[B/S]]="S",ABS(SIP[[#This Row],[Unit]])*(INDEX(SIP[NAV at Cost (Average)],MATCH(CONCATENATE((SIP[[#This Row],[Frequency]]-1),SIP[[#This Row],[Investor ID]]),SIP[Unique Code],0),0)),0)</f>
        <v>0</v>
      </c>
      <c r="V307" s="74">
        <f>IF(SIP[[#This Row],[BO TRANSFER]]="YES",SIP[[#This Row],[Unit]],)</f>
        <v>0</v>
      </c>
      <c r="W307" s="74">
        <f>SUMIFS(SIP[[#Headers],[BO UNIT TRANSFER]]:SIP[[#This Row],[BO UNIT TRANSFER]],SIP[[#Headers],[Investor ID]]:SIP[[#This Row],[Investor ID]],SIP[[#This Row],[Investor ID]])</f>
        <v>0</v>
      </c>
    </row>
    <row r="308" spans="1:23" ht="15" customHeight="1">
      <c r="A308" s="46">
        <v>2023</v>
      </c>
      <c r="B308" s="46">
        <v>12</v>
      </c>
      <c r="C308" s="46">
        <v>26</v>
      </c>
      <c r="D308" s="65">
        <f>DATE(SIP[[#This Row],[Year]],SIP[[#This Row],[Month]],SIP[[#This Row],[Day]])</f>
        <v>45286</v>
      </c>
      <c r="E308" s="66" t="str" cm="1">
        <f t="array" ref="E308">INDEX(INVESTORS_LIST[INVESTOR NAME],MATCH(SIP[[#This Row],[Investor ID]],INVESTORS_LIST[INVESTOR CODE],0),)</f>
        <v>MUHAMMAD SHOHIDUZZAMAN</v>
      </c>
      <c r="F308" s="46" t="s">
        <v>986</v>
      </c>
      <c r="G308" s="46">
        <f>COUNTIF(SIP[[#Headers],[Investor ID]]:SIP[[#This Row],[Investor ID]],SIP[[#This Row],[Investor ID]])</f>
        <v>2</v>
      </c>
      <c r="H308" s="46" t="str">
        <f>CONCATENATE(SIP[[#This Row],[Frequency]],SIP[[#This Row],[Investor ID]])</f>
        <v>2A00470</v>
      </c>
      <c r="I308" s="46" t="str">
        <f>IF(SIP[[#This Row],[B/S]]="B","BUY",(IF(SIP[[#This Row],[B/S]]="S","SELL"," ")))</f>
        <v>BUY</v>
      </c>
      <c r="J308" s="46" t="s">
        <v>1229</v>
      </c>
      <c r="K308" s="69">
        <v>10000</v>
      </c>
      <c r="L308" s="122" t="s">
        <v>1230</v>
      </c>
      <c r="M308" s="70">
        <f>SIP[[#This Row],[Amount]]/SIP[[#This Row],[Unit]]</f>
        <v>10.660980810234541</v>
      </c>
      <c r="N308" s="71">
        <f>SIP[[#This Row],[Unit Capital]]/10</f>
        <v>938</v>
      </c>
      <c r="O308" s="72">
        <f>SUMIFS(SIP[[#Headers],[Unit]]:SIP[[#This Row],[Unit]],SIP[[#Headers],[Investor ID]]:SIP[[#This Row],[Investor ID]],SIP[[#This Row],[Investor ID]])</f>
        <v>1882</v>
      </c>
      <c r="P308" s="73">
        <v>9380</v>
      </c>
      <c r="Q308" s="74">
        <f>SIP[[#This Row],[Amount]]-SIP[[#This Row],[Unit Capital]]</f>
        <v>620</v>
      </c>
      <c r="R30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10.626992561105208</v>
      </c>
      <c r="S308" s="68">
        <f t="shared" si="12"/>
        <v>14.224</v>
      </c>
      <c r="T3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8" s="74" cm="1">
        <f t="array" ref="U308">IF(SIP[[#This Row],[B/S]]="S",ABS(SIP[[#This Row],[Unit]])*(INDEX(SIP[NAV at Cost (Average)],MATCH(CONCATENATE((SIP[[#This Row],[Frequency]]-1),SIP[[#This Row],[Investor ID]]),SIP[Unique Code],0),0)),0)</f>
        <v>0</v>
      </c>
      <c r="V308" s="74">
        <f>IF(SIP[[#This Row],[BO TRANSFER]]="YES",SIP[[#This Row],[Unit]],)</f>
        <v>938</v>
      </c>
      <c r="W308" s="74">
        <f>SUMIFS(SIP[[#Headers],[BO UNIT TRANSFER]]:SIP[[#This Row],[BO UNIT TRANSFER]],SIP[[#Headers],[Investor ID]]:SIP[[#This Row],[Investor ID]],SIP[[#This Row],[Investor ID]])</f>
        <v>1882</v>
      </c>
    </row>
    <row r="309" spans="1:23" ht="15" customHeight="1">
      <c r="A309" s="46">
        <v>2023</v>
      </c>
      <c r="B309" s="46">
        <v>12</v>
      </c>
      <c r="C309" s="46">
        <v>26</v>
      </c>
      <c r="D309" s="65">
        <f>DATE(SIP[[#This Row],[Year]],SIP[[#This Row],[Month]],SIP[[#This Row],[Day]])</f>
        <v>45286</v>
      </c>
      <c r="E309" s="66" t="str" cm="1">
        <f t="array" ref="E309">INDEX(INVESTORS_LIST[INVESTOR NAME],MATCH(SIP[[#This Row],[Investor ID]],INVESTORS_LIST[INVESTOR CODE],0),)</f>
        <v>MOHAMMAD SAMIUL ALAM</v>
      </c>
      <c r="F309" s="46" t="s">
        <v>537</v>
      </c>
      <c r="G309" s="46">
        <f>COUNTIF(SIP[[#Headers],[Investor ID]]:SIP[[#This Row],[Investor ID]],SIP[[#This Row],[Investor ID]])</f>
        <v>5</v>
      </c>
      <c r="H309" s="46" t="str">
        <f>CONCATENATE(SIP[[#This Row],[Frequency]],SIP[[#This Row],[Investor ID]])</f>
        <v>5A00244</v>
      </c>
      <c r="I309" s="46" t="str">
        <f>IF(SIP[[#This Row],[B/S]]="B","BUY",(IF(SIP[[#This Row],[B/S]]="S","SELL"," ")))</f>
        <v>BUY</v>
      </c>
      <c r="J309" s="46" t="s">
        <v>1229</v>
      </c>
      <c r="K309" s="69">
        <v>20000</v>
      </c>
      <c r="L309" s="69"/>
      <c r="M309" s="70">
        <f>SIP[[#This Row],[Amount]]/SIP[[#This Row],[Unit]]</f>
        <v>10.660980810234541</v>
      </c>
      <c r="N309" s="71">
        <f>SIP[[#This Row],[Unit Capital]]/10</f>
        <v>1876</v>
      </c>
      <c r="O309" s="72">
        <f>SUMIFS(SIP[[#Headers],[Unit]]:SIP[[#This Row],[Unit]],SIP[[#Headers],[Investor ID]]:SIP[[#This Row],[Investor ID]],SIP[[#This Row],[Investor ID]])</f>
        <v>9488</v>
      </c>
      <c r="P309" s="73">
        <v>18760</v>
      </c>
      <c r="Q309" s="74">
        <f>SIP[[#This Row],[Amount]]-SIP[[#This Row],[Unit Capital]]</f>
        <v>1240</v>
      </c>
      <c r="R30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10.539629005059023</v>
      </c>
      <c r="S309" s="68">
        <f t="shared" si="12"/>
        <v>14.224</v>
      </c>
      <c r="T3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9" s="74" cm="1">
        <f t="array" ref="U309">IF(SIP[[#This Row],[B/S]]="S",ABS(SIP[[#This Row],[Unit]])*(INDEX(SIP[NAV at Cost (Average)],MATCH(CONCATENATE((SIP[[#This Row],[Frequency]]-1),SIP[[#This Row],[Investor ID]]),SIP[Unique Code],0),0)),0)</f>
        <v>0</v>
      </c>
      <c r="V309" s="74">
        <f>IF(SIP[[#This Row],[BO TRANSFER]]="YES",SIP[[#This Row],[Unit]],)</f>
        <v>0</v>
      </c>
      <c r="W309" s="74">
        <f>SUMIFS(SIP[[#Headers],[BO UNIT TRANSFER]]:SIP[[#This Row],[BO UNIT TRANSFER]],SIP[[#Headers],[Investor ID]]:SIP[[#This Row],[Investor ID]],SIP[[#This Row],[Investor ID]])</f>
        <v>0</v>
      </c>
    </row>
    <row r="310" spans="1:23" ht="15" customHeight="1">
      <c r="A310" s="46">
        <v>2023</v>
      </c>
      <c r="B310" s="46">
        <v>12</v>
      </c>
      <c r="C310" s="46">
        <v>26</v>
      </c>
      <c r="D310" s="65">
        <f>DATE(SIP[[#This Row],[Year]],SIP[[#This Row],[Month]],SIP[[#This Row],[Day]])</f>
        <v>45286</v>
      </c>
      <c r="E310" s="66" t="str" cm="1">
        <f t="array" ref="E310">INDEX(INVESTORS_LIST[INVESTOR NAME],MATCH(SIP[[#This Row],[Investor ID]],INVESTORS_LIST[INVESTOR CODE],0),)</f>
        <v>MRINMOY GHOSH</v>
      </c>
      <c r="F310" s="46" t="s">
        <v>69</v>
      </c>
      <c r="G310" s="46">
        <f>COUNTIF(SIP[[#Headers],[Investor ID]]:SIP[[#This Row],[Investor ID]],SIP[[#This Row],[Investor ID]])</f>
        <v>4</v>
      </c>
      <c r="H310" s="46" t="str">
        <f>CONCATENATE(SIP[[#This Row],[Frequency]],SIP[[#This Row],[Investor ID]])</f>
        <v>4A00012</v>
      </c>
      <c r="I310" s="46" t="str">
        <f>IF(SIP[[#This Row],[B/S]]="B","BUY",(IF(SIP[[#This Row],[B/S]]="S","SELL"," ")))</f>
        <v>BUY</v>
      </c>
      <c r="J310" s="46" t="s">
        <v>1229</v>
      </c>
      <c r="K310" s="69">
        <v>10000</v>
      </c>
      <c r="L310" s="69"/>
      <c r="M310" s="70">
        <f>SIP[[#This Row],[Amount]]/SIP[[#This Row],[Unit]]</f>
        <v>10.660980810234541</v>
      </c>
      <c r="N310" s="71">
        <f>SIP[[#This Row],[Unit Capital]]/10</f>
        <v>938</v>
      </c>
      <c r="O310" s="72">
        <f>SUMIFS(SIP[[#Headers],[Unit]]:SIP[[#This Row],[Unit]],SIP[[#Headers],[Investor ID]]:SIP[[#This Row],[Investor ID]],SIP[[#This Row],[Investor ID]])</f>
        <v>3785</v>
      </c>
      <c r="P310" s="73">
        <v>9380</v>
      </c>
      <c r="Q310" s="74">
        <f>SIP[[#This Row],[Amount]]-SIP[[#This Row],[Unit Capital]]</f>
        <v>620</v>
      </c>
      <c r="R3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10.568031704095112</v>
      </c>
      <c r="S310" s="68">
        <f t="shared" si="12"/>
        <v>14.224</v>
      </c>
      <c r="T3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0" s="74" cm="1">
        <f t="array" ref="U310">IF(SIP[[#This Row],[B/S]]="S",ABS(SIP[[#This Row],[Unit]])*(INDEX(SIP[NAV at Cost (Average)],MATCH(CONCATENATE((SIP[[#This Row],[Frequency]]-1),SIP[[#This Row],[Investor ID]]),SIP[Unique Code],0),0)),0)</f>
        <v>0</v>
      </c>
      <c r="V310" s="74">
        <f>IF(SIP[[#This Row],[BO TRANSFER]]="YES",SIP[[#This Row],[Unit]],)</f>
        <v>0</v>
      </c>
      <c r="W310" s="74">
        <f>SUMIFS(SIP[[#Headers],[BO UNIT TRANSFER]]:SIP[[#This Row],[BO UNIT TRANSFER]],SIP[[#Headers],[Investor ID]]:SIP[[#This Row],[Investor ID]],SIP[[#This Row],[Investor ID]])</f>
        <v>0</v>
      </c>
    </row>
    <row r="311" spans="1:23" ht="15" customHeight="1">
      <c r="A311" s="46">
        <v>2023</v>
      </c>
      <c r="B311" s="46">
        <v>12</v>
      </c>
      <c r="C311" s="46">
        <v>26</v>
      </c>
      <c r="D311" s="65">
        <f>DATE(SIP[[#This Row],[Year]],SIP[[#This Row],[Month]],SIP[[#This Row],[Day]])</f>
        <v>45286</v>
      </c>
      <c r="E311" s="66" t="str" cm="1">
        <f t="array" ref="E311">INDEX(INVESTORS_LIST[INVESTOR NAME],MATCH(SIP[[#This Row],[Investor ID]],INVESTORS_LIST[INVESTOR CODE],0),)</f>
        <v>ADNAN RASHID</v>
      </c>
      <c r="F311" s="46" t="s">
        <v>252</v>
      </c>
      <c r="G311" s="46">
        <f>COUNTIF(SIP[[#Headers],[Investor ID]]:SIP[[#This Row],[Investor ID]],SIP[[#This Row],[Investor ID]])</f>
        <v>4</v>
      </c>
      <c r="H311" s="46" t="str">
        <f>CONCATENATE(SIP[[#This Row],[Frequency]],SIP[[#This Row],[Investor ID]])</f>
        <v>4A00102</v>
      </c>
      <c r="I311" s="46" t="str">
        <f>IF(SIP[[#This Row],[B/S]]="B","BUY",(IF(SIP[[#This Row],[B/S]]="S","SELL"," ")))</f>
        <v>BUY</v>
      </c>
      <c r="J311" s="46" t="s">
        <v>1229</v>
      </c>
      <c r="K311" s="69">
        <v>30000</v>
      </c>
      <c r="L311" s="69"/>
      <c r="M311" s="70">
        <f>SIP[[#This Row],[Amount]]/SIP[[#This Row],[Unit]]</f>
        <v>10.660980810234541</v>
      </c>
      <c r="N311" s="71">
        <f>SIP[[#This Row],[Unit Capital]]/10</f>
        <v>2814</v>
      </c>
      <c r="O311" s="72">
        <f>SUMIFS(SIP[[#Headers],[Unit]]:SIP[[#This Row],[Unit]],SIP[[#Headers],[Investor ID]]:SIP[[#This Row],[Investor ID]],SIP[[#This Row],[Investor ID]])</f>
        <v>11355</v>
      </c>
      <c r="P311" s="73">
        <v>28140</v>
      </c>
      <c r="Q311" s="74">
        <f>SIP[[#This Row],[Amount]]-SIP[[#This Row],[Unit Capital]]</f>
        <v>1860</v>
      </c>
      <c r="R31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10.568031704095112</v>
      </c>
      <c r="S311" s="68">
        <f t="shared" si="12"/>
        <v>14.224</v>
      </c>
      <c r="T3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1" s="74" cm="1">
        <f t="array" ref="U311">IF(SIP[[#This Row],[B/S]]="S",ABS(SIP[[#This Row],[Unit]])*(INDEX(SIP[NAV at Cost (Average)],MATCH(CONCATENATE((SIP[[#This Row],[Frequency]]-1),SIP[[#This Row],[Investor ID]]),SIP[Unique Code],0),0)),0)</f>
        <v>0</v>
      </c>
      <c r="V311" s="74">
        <f>IF(SIP[[#This Row],[BO TRANSFER]]="YES",SIP[[#This Row],[Unit]],)</f>
        <v>0</v>
      </c>
      <c r="W311" s="74">
        <f>SUMIFS(SIP[[#Headers],[BO UNIT TRANSFER]]:SIP[[#This Row],[BO UNIT TRANSFER]],SIP[[#Headers],[Investor ID]]:SIP[[#This Row],[Investor ID]],SIP[[#This Row],[Investor ID]])</f>
        <v>0</v>
      </c>
    </row>
    <row r="312" spans="1:23" ht="15" customHeight="1">
      <c r="A312" s="46">
        <v>2023</v>
      </c>
      <c r="B312" s="46">
        <v>12</v>
      </c>
      <c r="C312" s="46">
        <v>26</v>
      </c>
      <c r="D312" s="65">
        <f>DATE(SIP[[#This Row],[Year]],SIP[[#This Row],[Month]],SIP[[#This Row],[Day]])</f>
        <v>45286</v>
      </c>
      <c r="E312" s="66" t="str" cm="1">
        <f t="array" ref="E312">INDEX(INVESTORS_LIST[INVESTOR NAME],MATCH(SIP[[#This Row],[Investor ID]],INVESTORS_LIST[INVESTOR CODE],0),)</f>
        <v>MD ABDULLAH-AL- MAMUN</v>
      </c>
      <c r="F312" s="46" t="s">
        <v>533</v>
      </c>
      <c r="G312" s="46">
        <f>COUNTIF(SIP[[#Headers],[Investor ID]]:SIP[[#This Row],[Investor ID]],SIP[[#This Row],[Investor ID]])</f>
        <v>3</v>
      </c>
      <c r="H312" s="46" t="str">
        <f>CONCATENATE(SIP[[#This Row],[Frequency]],SIP[[#This Row],[Investor ID]])</f>
        <v>3A00242</v>
      </c>
      <c r="I312" s="46" t="str">
        <f>IF(SIP[[#This Row],[B/S]]="B","BUY",(IF(SIP[[#This Row],[B/S]]="S","SELL"," ")))</f>
        <v>BUY</v>
      </c>
      <c r="J312" s="46" t="s">
        <v>1229</v>
      </c>
      <c r="K312" s="69">
        <v>15000</v>
      </c>
      <c r="L312" s="69"/>
      <c r="M312" s="70">
        <f>SIP[[#This Row],[Amount]]/SIP[[#This Row],[Unit]]</f>
        <v>10.660980810234541</v>
      </c>
      <c r="N312" s="71">
        <f>SIP[[#This Row],[Unit Capital]]/10</f>
        <v>1407</v>
      </c>
      <c r="O312" s="72">
        <f>SUMIFS(SIP[[#Headers],[Unit]]:SIP[[#This Row],[Unit]],SIP[[#Headers],[Investor ID]]:SIP[[#This Row],[Investor ID]],SIP[[#This Row],[Investor ID]])</f>
        <v>4246</v>
      </c>
      <c r="P312" s="73">
        <v>14070</v>
      </c>
      <c r="Q312" s="74">
        <f>SIP[[#This Row],[Amount]]-SIP[[#This Row],[Unit Capital]]</f>
        <v>930</v>
      </c>
      <c r="R3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10.598210080075365</v>
      </c>
      <c r="S312" s="68">
        <f t="shared" si="12"/>
        <v>14.224</v>
      </c>
      <c r="T3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2" s="74" cm="1">
        <f t="array" ref="U312">IF(SIP[[#This Row],[B/S]]="S",ABS(SIP[[#This Row],[Unit]])*(INDEX(SIP[NAV at Cost (Average)],MATCH(CONCATENATE((SIP[[#This Row],[Frequency]]-1),SIP[[#This Row],[Investor ID]]),SIP[Unique Code],0),0)),0)</f>
        <v>0</v>
      </c>
      <c r="V312" s="74">
        <f>IF(SIP[[#This Row],[BO TRANSFER]]="YES",SIP[[#This Row],[Unit]],)</f>
        <v>0</v>
      </c>
      <c r="W312" s="74">
        <f>SUMIFS(SIP[[#Headers],[BO UNIT TRANSFER]]:SIP[[#This Row],[BO UNIT TRANSFER]],SIP[[#Headers],[Investor ID]]:SIP[[#This Row],[Investor ID]],SIP[[#This Row],[Investor ID]])</f>
        <v>0</v>
      </c>
    </row>
    <row r="313" spans="1:23" ht="15" customHeight="1">
      <c r="A313" s="46">
        <v>2023</v>
      </c>
      <c r="B313" s="46">
        <v>12</v>
      </c>
      <c r="C313" s="46">
        <v>26</v>
      </c>
      <c r="D313" s="65">
        <f>DATE(SIP[[#This Row],[Year]],SIP[[#This Row],[Month]],SIP[[#This Row],[Day]])</f>
        <v>45286</v>
      </c>
      <c r="E313" s="66" t="str" cm="1">
        <f t="array" ref="E313">INDEX(INVESTORS_LIST[INVESTOR NAME],MATCH(SIP[[#This Row],[Investor ID]],INVESTORS_LIST[INVESTOR CODE],0),)</f>
        <v>KHAN MUHAMMAD FAISOL</v>
      </c>
      <c r="F313" s="46" t="s">
        <v>930</v>
      </c>
      <c r="G313" s="46">
        <f>COUNTIF(SIP[[#Headers],[Investor ID]]:SIP[[#This Row],[Investor ID]],SIP[[#This Row],[Investor ID]])</f>
        <v>8</v>
      </c>
      <c r="H313" s="46" t="str">
        <f>CONCATENATE(SIP[[#This Row],[Frequency]],SIP[[#This Row],[Investor ID]])</f>
        <v>8A00442</v>
      </c>
      <c r="I313" s="46" t="str">
        <f>IF(SIP[[#This Row],[B/S]]="B","BUY",(IF(SIP[[#This Row],[B/S]]="S","SELL"," ")))</f>
        <v>BUY</v>
      </c>
      <c r="J313" s="46" t="s">
        <v>1229</v>
      </c>
      <c r="K313" s="69">
        <v>1000</v>
      </c>
      <c r="L313" s="69"/>
      <c r="M313" s="70">
        <f>SIP[[#This Row],[Amount]]/SIP[[#This Row],[Unit]]</f>
        <v>10.638297872340425</v>
      </c>
      <c r="N313" s="71">
        <f>SIP[[#This Row],[Unit Capital]]/10</f>
        <v>94</v>
      </c>
      <c r="O313" s="72">
        <f>SUMIFS(SIP[[#Headers],[Unit]]:SIP[[#This Row],[Unit]],SIP[[#Headers],[Investor ID]]:SIP[[#This Row],[Investor ID]],SIP[[#This Row],[Investor ID]])</f>
        <v>766</v>
      </c>
      <c r="P313" s="73">
        <v>940</v>
      </c>
      <c r="Q313" s="74">
        <f>SIP[[#This Row],[Amount]]-SIP[[#This Row],[Unit Capital]]</f>
        <v>60</v>
      </c>
      <c r="R3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10.443864229765014</v>
      </c>
      <c r="S313" s="68">
        <f t="shared" si="12"/>
        <v>14.224</v>
      </c>
      <c r="T3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3" s="74" cm="1">
        <f t="array" ref="U313">IF(SIP[[#This Row],[B/S]]="S",ABS(SIP[[#This Row],[Unit]])*(INDEX(SIP[NAV at Cost (Average)],MATCH(CONCATENATE((SIP[[#This Row],[Frequency]]-1),SIP[[#This Row],[Investor ID]]),SIP[Unique Code],0),0)),0)</f>
        <v>0</v>
      </c>
      <c r="V313" s="74">
        <f>IF(SIP[[#This Row],[BO TRANSFER]]="YES",SIP[[#This Row],[Unit]],)</f>
        <v>0</v>
      </c>
      <c r="W313" s="74">
        <f>SUMIFS(SIP[[#Headers],[BO UNIT TRANSFER]]:SIP[[#This Row],[BO UNIT TRANSFER]],SIP[[#Headers],[Investor ID]]:SIP[[#This Row],[Investor ID]],SIP[[#This Row],[Investor ID]])</f>
        <v>0</v>
      </c>
    </row>
    <row r="314" spans="1:23" ht="15" customHeight="1">
      <c r="A314" s="46">
        <v>2023</v>
      </c>
      <c r="B314" s="46">
        <v>12</v>
      </c>
      <c r="C314" s="46">
        <v>26</v>
      </c>
      <c r="D314" s="65">
        <f>DATE(SIP[[#This Row],[Year]],SIP[[#This Row],[Month]],SIP[[#This Row],[Day]])</f>
        <v>45286</v>
      </c>
      <c r="E314" s="66" t="str" cm="1">
        <f t="array" ref="E314">INDEX(INVESTORS_LIST[INVESTOR NAME],MATCH(SIP[[#This Row],[Investor ID]],INVESTORS_LIST[INVESTOR CODE],0),)</f>
        <v>MD. ARIFUL ISLAM</v>
      </c>
      <c r="F314" s="46" t="s">
        <v>222</v>
      </c>
      <c r="G314" s="46">
        <f>COUNTIF(SIP[[#Headers],[Investor ID]]:SIP[[#This Row],[Investor ID]],SIP[[#This Row],[Investor ID]])</f>
        <v>8</v>
      </c>
      <c r="H314" s="46" t="str">
        <f>CONCATENATE(SIP[[#This Row],[Frequency]],SIP[[#This Row],[Investor ID]])</f>
        <v>8A00087</v>
      </c>
      <c r="I314" s="46" t="str">
        <f>IF(SIP[[#This Row],[B/S]]="B","BUY",(IF(SIP[[#This Row],[B/S]]="S","SELL"," ")))</f>
        <v>BUY</v>
      </c>
      <c r="J314" s="46" t="s">
        <v>1229</v>
      </c>
      <c r="K314" s="69">
        <v>10000</v>
      </c>
      <c r="L314" s="69"/>
      <c r="M314" s="70">
        <f>SIP[[#This Row],[Amount]]/SIP[[#This Row],[Unit]]</f>
        <v>10.660980810234541</v>
      </c>
      <c r="N314" s="71">
        <f>SIP[[#This Row],[Unit Capital]]/10</f>
        <v>938</v>
      </c>
      <c r="O314" s="72">
        <f>SUMIFS(SIP[[#Headers],[Unit]]:SIP[[#This Row],[Unit]],SIP[[#Headers],[Investor ID]]:SIP[[#This Row],[Investor ID]],SIP[[#This Row],[Investor ID]])</f>
        <v>7665</v>
      </c>
      <c r="P314" s="73">
        <v>9380</v>
      </c>
      <c r="Q314" s="74">
        <f>SIP[[#This Row],[Amount]]-SIP[[#This Row],[Unit Capital]]</f>
        <v>620</v>
      </c>
      <c r="R3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10.437051532941943</v>
      </c>
      <c r="S314" s="68">
        <f t="shared" si="12"/>
        <v>14.224</v>
      </c>
      <c r="T3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4" s="74" cm="1">
        <f t="array" ref="U314">IF(SIP[[#This Row],[B/S]]="S",ABS(SIP[[#This Row],[Unit]])*(INDEX(SIP[NAV at Cost (Average)],MATCH(CONCATENATE((SIP[[#This Row],[Frequency]]-1),SIP[[#This Row],[Investor ID]]),SIP[Unique Code],0),0)),0)</f>
        <v>0</v>
      </c>
      <c r="V314" s="74">
        <f>IF(SIP[[#This Row],[BO TRANSFER]]="YES",SIP[[#This Row],[Unit]],)</f>
        <v>0</v>
      </c>
      <c r="W314" s="74">
        <f>SUMIFS(SIP[[#Headers],[BO UNIT TRANSFER]]:SIP[[#This Row],[BO UNIT TRANSFER]],SIP[[#Headers],[Investor ID]]:SIP[[#This Row],[Investor ID]],SIP[[#This Row],[Investor ID]])</f>
        <v>0</v>
      </c>
    </row>
    <row r="315" spans="1:23" ht="15" customHeight="1">
      <c r="A315" s="46">
        <v>2023</v>
      </c>
      <c r="B315" s="46">
        <v>12</v>
      </c>
      <c r="C315" s="46">
        <v>26</v>
      </c>
      <c r="D315" s="65">
        <f>DATE(SIP[[#This Row],[Year]],SIP[[#This Row],[Month]],SIP[[#This Row],[Day]])</f>
        <v>45286</v>
      </c>
      <c r="E315" s="66" t="str" cm="1">
        <f t="array" ref="E315">INDEX(INVESTORS_LIST[INVESTOR NAME],MATCH(SIP[[#This Row],[Investor ID]],INVESTORS_LIST[INVESTOR CODE],0),)</f>
        <v>SRIJON GHOSH</v>
      </c>
      <c r="F315" s="46" t="s">
        <v>894</v>
      </c>
      <c r="G315" s="46">
        <f>COUNTIF(SIP[[#Headers],[Investor ID]]:SIP[[#This Row],[Investor ID]],SIP[[#This Row],[Investor ID]])</f>
        <v>19</v>
      </c>
      <c r="H315" s="46" t="str">
        <f>CONCATENATE(SIP[[#This Row],[Frequency]],SIP[[#This Row],[Investor ID]])</f>
        <v>19A00424</v>
      </c>
      <c r="I315" s="46" t="str">
        <f>IF(SIP[[#This Row],[B/S]]="B","BUY",(IF(SIP[[#This Row],[B/S]]="S","SELL"," ")))</f>
        <v>BUY</v>
      </c>
      <c r="J315" s="46" t="s">
        <v>1229</v>
      </c>
      <c r="K315" s="69">
        <v>15000</v>
      </c>
      <c r="L315" s="69"/>
      <c r="M315" s="70">
        <f>SIP[[#This Row],[Amount]]/SIP[[#This Row],[Unit]]</f>
        <v>10.660980810234541</v>
      </c>
      <c r="N315" s="71">
        <f>SIP[[#This Row],[Unit Capital]]/10</f>
        <v>1407</v>
      </c>
      <c r="O315" s="72">
        <f>SUMIFS(SIP[[#Headers],[Unit]]:SIP[[#This Row],[Unit]],SIP[[#Headers],[Investor ID]]:SIP[[#This Row],[Investor ID]],SIP[[#This Row],[Investor ID]])</f>
        <v>9904</v>
      </c>
      <c r="P315" s="73">
        <v>14070</v>
      </c>
      <c r="Q315" s="74">
        <f>SIP[[#This Row],[Amount]]-SIP[[#This Row],[Unit Capital]]</f>
        <v>930</v>
      </c>
      <c r="R3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10.450787367291927</v>
      </c>
      <c r="S315" s="68">
        <f t="shared" si="12"/>
        <v>14.224</v>
      </c>
      <c r="T3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5" s="74" cm="1">
        <f t="array" ref="U315">IF(SIP[[#This Row],[B/S]]="S",ABS(SIP[[#This Row],[Unit]])*(INDEX(SIP[NAV at Cost (Average)],MATCH(CONCATENATE((SIP[[#This Row],[Frequency]]-1),SIP[[#This Row],[Investor ID]]),SIP[Unique Code],0),0)),0)</f>
        <v>0</v>
      </c>
      <c r="V315" s="74">
        <f>IF(SIP[[#This Row],[BO TRANSFER]]="YES",SIP[[#This Row],[Unit]],)</f>
        <v>0</v>
      </c>
      <c r="W315" s="74">
        <f>SUMIFS(SIP[[#Headers],[BO UNIT TRANSFER]]:SIP[[#This Row],[BO UNIT TRANSFER]],SIP[[#Headers],[Investor ID]]:SIP[[#This Row],[Investor ID]],SIP[[#This Row],[Investor ID]])</f>
        <v>0</v>
      </c>
    </row>
    <row r="316" spans="1:23" ht="15" customHeight="1">
      <c r="A316" s="46">
        <v>2023</v>
      </c>
      <c r="B316" s="46">
        <v>12</v>
      </c>
      <c r="C316" s="46">
        <v>26</v>
      </c>
      <c r="D316" s="65">
        <f>DATE(SIP[[#This Row],[Year]],SIP[[#This Row],[Month]],SIP[[#This Row],[Day]])</f>
        <v>45286</v>
      </c>
      <c r="E316" s="66" t="str" cm="1">
        <f t="array" ref="E316">INDEX(INVESTORS_LIST[INVESTOR NAME],MATCH(SIP[[#This Row],[Investor ID]],INVESTORS_LIST[INVESTOR CODE],0),)</f>
        <v>NUSRAT JAHAN TISHA</v>
      </c>
      <c r="F316" s="46" t="s">
        <v>926</v>
      </c>
      <c r="G316" s="46">
        <f>COUNTIF(SIP[[#Headers],[Investor ID]]:SIP[[#This Row],[Investor ID]],SIP[[#This Row],[Investor ID]])</f>
        <v>5</v>
      </c>
      <c r="H316" s="46" t="str">
        <f>CONCATENATE(SIP[[#This Row],[Frequency]],SIP[[#This Row],[Investor ID]])</f>
        <v>5A00440</v>
      </c>
      <c r="I316" s="46" t="str">
        <f>IF(SIP[[#This Row],[B/S]]="B","BUY",(IF(SIP[[#This Row],[B/S]]="S","SELL"," ")))</f>
        <v>BUY</v>
      </c>
      <c r="J316" s="46" t="s">
        <v>1229</v>
      </c>
      <c r="K316" s="69">
        <v>5000</v>
      </c>
      <c r="L316" s="69"/>
      <c r="M316" s="70">
        <f>SIP[[#This Row],[Amount]]/SIP[[#This Row],[Unit]]</f>
        <v>10.660980810234541</v>
      </c>
      <c r="N316" s="71">
        <f>SIP[[#This Row],[Unit Capital]]/10</f>
        <v>469</v>
      </c>
      <c r="O316" s="72">
        <f>SUMIFS(SIP[[#Headers],[Unit]]:SIP[[#This Row],[Unit]],SIP[[#Headers],[Investor ID]]:SIP[[#This Row],[Investor ID]],SIP[[#This Row],[Investor ID]])</f>
        <v>2372</v>
      </c>
      <c r="P316" s="73">
        <v>4690</v>
      </c>
      <c r="Q316" s="74">
        <f>SIP[[#This Row],[Amount]]-SIP[[#This Row],[Unit Capital]]</f>
        <v>310</v>
      </c>
      <c r="R3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10.539629005059023</v>
      </c>
      <c r="S316" s="68">
        <f t="shared" si="12"/>
        <v>14.224</v>
      </c>
      <c r="T3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6" s="74" cm="1">
        <f t="array" ref="U316">IF(SIP[[#This Row],[B/S]]="S",ABS(SIP[[#This Row],[Unit]])*(INDEX(SIP[NAV at Cost (Average)],MATCH(CONCATENATE((SIP[[#This Row],[Frequency]]-1),SIP[[#This Row],[Investor ID]]),SIP[Unique Code],0),0)),0)</f>
        <v>0</v>
      </c>
      <c r="V316" s="74">
        <f>IF(SIP[[#This Row],[BO TRANSFER]]="YES",SIP[[#This Row],[Unit]],)</f>
        <v>0</v>
      </c>
      <c r="W316" s="74">
        <f>SUMIFS(SIP[[#Headers],[BO UNIT TRANSFER]]:SIP[[#This Row],[BO UNIT TRANSFER]],SIP[[#Headers],[Investor ID]]:SIP[[#This Row],[Investor ID]],SIP[[#This Row],[Investor ID]])</f>
        <v>0</v>
      </c>
    </row>
    <row r="317" spans="1:23" ht="15" customHeight="1">
      <c r="A317" s="46">
        <v>2023</v>
      </c>
      <c r="B317" s="46">
        <v>12</v>
      </c>
      <c r="C317" s="46">
        <v>28</v>
      </c>
      <c r="D317" s="65">
        <f>DATE(SIP[[#This Row],[Year]],SIP[[#This Row],[Month]],SIP[[#This Row],[Day]])</f>
        <v>45288</v>
      </c>
      <c r="E317" s="66" t="str" cm="1">
        <f t="array" ref="E317">INDEX(INVESTORS_LIST[INVESTOR NAME],MATCH(SIP[[#This Row],[Investor ID]],INVESTORS_LIST[INVESTOR CODE],0),)</f>
        <v>SHUVA SAHA</v>
      </c>
      <c r="F317" s="46" t="s">
        <v>154</v>
      </c>
      <c r="G317" s="46">
        <f>COUNTIF(SIP[[#Headers],[Investor ID]]:SIP[[#This Row],[Investor ID]],SIP[[#This Row],[Investor ID]])</f>
        <v>10</v>
      </c>
      <c r="H317" s="46" t="str">
        <f>CONCATENATE(SIP[[#This Row],[Frequency]],SIP[[#This Row],[Investor ID]])</f>
        <v>10A00053</v>
      </c>
      <c r="I317" s="46" t="str">
        <f>IF(SIP[[#This Row],[B/S]]="B","BUY",(IF(SIP[[#This Row],[B/S]]="S","SELL"," ")))</f>
        <v>SELL</v>
      </c>
      <c r="J317" s="46" t="s">
        <v>1231</v>
      </c>
      <c r="K317" s="69">
        <v>-50000</v>
      </c>
      <c r="L317" s="69"/>
      <c r="M317" s="70">
        <f>SIP[[#This Row],[Amount]]/SIP[[#This Row],[Unit]]</f>
        <v>10.660980810234541</v>
      </c>
      <c r="N317" s="71">
        <f>SIP[[#This Row],[Unit Capital]]/10</f>
        <v>-4690</v>
      </c>
      <c r="O317" s="72">
        <f>SUMIFS(SIP[[#Headers],[Unit]]:SIP[[#This Row],[Unit]],SIP[[#Headers],[Investor ID]]:SIP[[#This Row],[Investor ID]],SIP[[#This Row],[Investor ID]])</f>
        <v>54178</v>
      </c>
      <c r="P317" s="73">
        <v>-46900</v>
      </c>
      <c r="Q317" s="74">
        <f>SIP[[#This Row],[Amount]]-SIP[[#This Row],[Unit Capital]]</f>
        <v>-3100</v>
      </c>
      <c r="R3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10.362166202351023</v>
      </c>
      <c r="S317" s="68">
        <f t="shared" si="12"/>
        <v>14.224</v>
      </c>
      <c r="T317" s="74">
        <f>IF(SIP[[#This Row],[B/S]]="B",0,ABS(SIP[[#This Row],[Unit]])*(SIP[[#This Row],[NAV (Strike Rate)]]-INDEX(SIP[NAV at Cost (Average)],MATCH(CONCATENATE(SIP[[#This Row],[Frequency]]-1,SIP[[#This Row],[Investor ID]]),SIP[Unique Code],0),)))</f>
        <v>1401.4405109736988</v>
      </c>
      <c r="U317" s="74" cm="1">
        <f t="array" ref="U317">IF(SIP[[#This Row],[B/S]]="S",ABS(SIP[[#This Row],[Unit]])*(INDEX(SIP[NAV at Cost (Average)],MATCH(CONCATENATE((SIP[[#This Row],[Frequency]]-1),SIP[[#This Row],[Investor ID]]),SIP[Unique Code],0),0)),0)</f>
        <v>48598.559489026302</v>
      </c>
      <c r="V317" s="74">
        <f>IF(SIP[[#This Row],[BO TRANSFER]]="YES",SIP[[#This Row],[Unit]],)</f>
        <v>0</v>
      </c>
      <c r="W317" s="74">
        <f>SUMIFS(SIP[[#Headers],[BO UNIT TRANSFER]]:SIP[[#This Row],[BO UNIT TRANSFER]],SIP[[#Headers],[Investor ID]]:SIP[[#This Row],[Investor ID]],SIP[[#This Row],[Investor ID]])</f>
        <v>0</v>
      </c>
    </row>
    <row r="318" spans="1:23" ht="15" customHeight="1">
      <c r="A318" s="46">
        <v>2024</v>
      </c>
      <c r="B318" s="46">
        <v>1</v>
      </c>
      <c r="C318" s="46">
        <v>5</v>
      </c>
      <c r="D318" s="65">
        <f>DATE(SIP[[#This Row],[Year]],SIP[[#This Row],[Month]],SIP[[#This Row],[Day]])</f>
        <v>45296</v>
      </c>
      <c r="E318" s="66" t="str" cm="1">
        <f t="array" ref="E318">INDEX(INVESTORS_LIST[INVESTOR NAME],MATCH(SIP[[#This Row],[Investor ID]],INVESTORS_LIST[INVESTOR CODE],0),)</f>
        <v>SHUVA SAHA</v>
      </c>
      <c r="F318" s="46" t="s">
        <v>154</v>
      </c>
      <c r="G318" s="46">
        <f>COUNTIF(SIP[[#Headers],[Investor ID]]:SIP[[#This Row],[Investor ID]],SIP[[#This Row],[Investor ID]])</f>
        <v>11</v>
      </c>
      <c r="H318" s="46" t="str">
        <f>CONCATENATE(SIP[[#This Row],[Frequency]],SIP[[#This Row],[Investor ID]])</f>
        <v>11A00053</v>
      </c>
      <c r="I318" s="46" t="str">
        <f>IF(SIP[[#This Row],[B/S]]="B","BUY",(IF(SIP[[#This Row],[B/S]]="S","SELL"," ")))</f>
        <v>BUY</v>
      </c>
      <c r="J318" s="46" t="s">
        <v>1229</v>
      </c>
      <c r="K318" s="69">
        <v>70000</v>
      </c>
      <c r="L318" s="69"/>
      <c r="M318" s="70">
        <f>SIP[[#This Row],[Amount]]/SIP[[#This Row],[Unit]]</f>
        <v>10.69682151589242</v>
      </c>
      <c r="N318" s="71">
        <f>SIP[[#This Row],[Unit Capital]]/10</f>
        <v>6544</v>
      </c>
      <c r="O318" s="72">
        <f>SUMIFS(SIP[[#Headers],[Unit]]:SIP[[#This Row],[Unit]],SIP[[#Headers],[Investor ID]]:SIP[[#This Row],[Investor ID]],SIP[[#This Row],[Investor ID]])</f>
        <v>60722</v>
      </c>
      <c r="P318" s="73">
        <v>65440</v>
      </c>
      <c r="Q318" s="74">
        <f>SIP[[#This Row],[Amount]]-SIP[[#This Row],[Unit Capital]]</f>
        <v>4560</v>
      </c>
      <c r="R3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10.398231950709359</v>
      </c>
      <c r="S318" s="68">
        <f t="shared" ref="S318:S330" si="13">NAV_MKT</f>
        <v>14.224</v>
      </c>
      <c r="T3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8" s="74" cm="1">
        <f t="array" ref="U318">IF(SIP[[#This Row],[B/S]]="S",ABS(SIP[[#This Row],[Unit]])*(INDEX(SIP[NAV at Cost (Average)],MATCH(CONCATENATE((SIP[[#This Row],[Frequency]]-1),SIP[[#This Row],[Investor ID]]),SIP[Unique Code],0),0)),0)</f>
        <v>0</v>
      </c>
      <c r="V318" s="74">
        <f>IF(SIP[[#This Row],[BO TRANSFER]]="YES",SIP[[#This Row],[Unit]],)</f>
        <v>0</v>
      </c>
      <c r="W318" s="74">
        <f>SUMIFS(SIP[[#Headers],[BO UNIT TRANSFER]]:SIP[[#This Row],[BO UNIT TRANSFER]],SIP[[#Headers],[Investor ID]]:SIP[[#This Row],[Investor ID]],SIP[[#This Row],[Investor ID]])</f>
        <v>0</v>
      </c>
    </row>
    <row r="319" spans="1:23" ht="15" customHeight="1">
      <c r="A319" s="46">
        <v>2024</v>
      </c>
      <c r="B319" s="46">
        <v>1</v>
      </c>
      <c r="C319" s="46">
        <v>5</v>
      </c>
      <c r="D319" s="65">
        <f>DATE(SIP[[#This Row],[Year]],SIP[[#This Row],[Month]],SIP[[#This Row],[Day]])</f>
        <v>45296</v>
      </c>
      <c r="E319" s="66" t="str" cm="1">
        <f t="array" ref="E319">INDEX(INVESTORS_LIST[INVESTOR NAME],MATCH(SIP[[#This Row],[Investor ID]],INVESTORS_LIST[INVESTOR CODE],0),)</f>
        <v>FAIYEAD AHMEDUL HYE</v>
      </c>
      <c r="F319" s="46" t="s">
        <v>368</v>
      </c>
      <c r="G319" s="46">
        <f>COUNTIF(SIP[[#Headers],[Investor ID]]:SIP[[#This Row],[Investor ID]],SIP[[#This Row],[Investor ID]])</f>
        <v>8</v>
      </c>
      <c r="H319" s="46" t="str">
        <f>CONCATENATE(SIP[[#This Row],[Frequency]],SIP[[#This Row],[Investor ID]])</f>
        <v>8A00160</v>
      </c>
      <c r="I319" s="46" t="str">
        <f>IF(SIP[[#This Row],[B/S]]="B","BUY",(IF(SIP[[#This Row],[B/S]]="S","SELL"," ")))</f>
        <v>BUY</v>
      </c>
      <c r="J319" s="46" t="s">
        <v>1229</v>
      </c>
      <c r="K319" s="69">
        <v>15000</v>
      </c>
      <c r="L319" s="69"/>
      <c r="M319" s="70">
        <f>SIP[[#This Row],[Amount]]/SIP[[#This Row],[Unit]]</f>
        <v>10.699001426533524</v>
      </c>
      <c r="N319" s="71">
        <f>SIP[[#This Row],[Unit Capital]]/10</f>
        <v>1402</v>
      </c>
      <c r="O319" s="72">
        <f>SUMIFS(SIP[[#Headers],[Unit]]:SIP[[#This Row],[Unit]],SIP[[#Headers],[Investor ID]]:SIP[[#This Row],[Investor ID]],SIP[[#This Row],[Investor ID]])</f>
        <v>11477</v>
      </c>
      <c r="P319" s="73">
        <v>14020</v>
      </c>
      <c r="Q319" s="74">
        <f>SIP[[#This Row],[Amount]]-SIP[[#This Row],[Unit Capital]]</f>
        <v>980</v>
      </c>
      <c r="R3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10.455693996689032</v>
      </c>
      <c r="S319" s="68">
        <f t="shared" si="13"/>
        <v>14.224</v>
      </c>
      <c r="T3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9" s="74" cm="1">
        <f t="array" ref="U319">IF(SIP[[#This Row],[B/S]]="S",ABS(SIP[[#This Row],[Unit]])*(INDEX(SIP[NAV at Cost (Average)],MATCH(CONCATENATE((SIP[[#This Row],[Frequency]]-1),SIP[[#This Row],[Investor ID]]),SIP[Unique Code],0),0)),0)</f>
        <v>0</v>
      </c>
      <c r="V319" s="74">
        <f>IF(SIP[[#This Row],[BO TRANSFER]]="YES",SIP[[#This Row],[Unit]],)</f>
        <v>0</v>
      </c>
      <c r="W319" s="74">
        <f>SUMIFS(SIP[[#Headers],[BO UNIT TRANSFER]]:SIP[[#This Row],[BO UNIT TRANSFER]],SIP[[#Headers],[Investor ID]]:SIP[[#This Row],[Investor ID]],SIP[[#This Row],[Investor ID]])</f>
        <v>0</v>
      </c>
    </row>
    <row r="320" spans="1:23" ht="15" customHeight="1">
      <c r="A320" s="46">
        <v>2024</v>
      </c>
      <c r="B320" s="46">
        <v>1</v>
      </c>
      <c r="C320" s="46">
        <v>5</v>
      </c>
      <c r="D320" s="65">
        <f>DATE(SIP[[#This Row],[Year]],SIP[[#This Row],[Month]],SIP[[#This Row],[Day]])</f>
        <v>45296</v>
      </c>
      <c r="E320" s="66" t="str" cm="1">
        <f t="array" ref="E320">INDEX(INVESTORS_LIST[INVESTOR NAME],MATCH(SIP[[#This Row],[Investor ID]],INVESTORS_LIST[INVESTOR CODE],0),)</f>
        <v>CHAONIKA SAHA</v>
      </c>
      <c r="F320" s="46" t="s">
        <v>238</v>
      </c>
      <c r="G320" s="46">
        <f>COUNTIF(SIP[[#Headers],[Investor ID]]:SIP[[#This Row],[Investor ID]],SIP[[#This Row],[Investor ID]])</f>
        <v>5</v>
      </c>
      <c r="H320" s="46" t="str">
        <f>CONCATENATE(SIP[[#This Row],[Frequency]],SIP[[#This Row],[Investor ID]])</f>
        <v>5A00095</v>
      </c>
      <c r="I320" s="46" t="str">
        <f>IF(SIP[[#This Row],[B/S]]="B","BUY",(IF(SIP[[#This Row],[B/S]]="S","SELL"," ")))</f>
        <v>BUY</v>
      </c>
      <c r="J320" s="46" t="s">
        <v>1229</v>
      </c>
      <c r="K320" s="69">
        <v>1000</v>
      </c>
      <c r="L320" s="69"/>
      <c r="M320" s="70">
        <f>SIP[[#This Row],[Amount]]/SIP[[#This Row],[Unit]]</f>
        <v>10.75268817204301</v>
      </c>
      <c r="N320" s="71">
        <f>SIP[[#This Row],[Unit Capital]]/10</f>
        <v>93</v>
      </c>
      <c r="O320" s="72">
        <f>SUMIFS(SIP[[#Headers],[Unit]]:SIP[[#This Row],[Unit]],SIP[[#Headers],[Investor ID]]:SIP[[#This Row],[Investor ID]],SIP[[#This Row],[Investor ID]])</f>
        <v>473</v>
      </c>
      <c r="P320" s="73">
        <v>930</v>
      </c>
      <c r="Q320" s="74">
        <f>SIP[[#This Row],[Amount]]-SIP[[#This Row],[Unit Capital]]</f>
        <v>70</v>
      </c>
      <c r="R3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10.570824524312897</v>
      </c>
      <c r="S320" s="68">
        <f t="shared" si="13"/>
        <v>14.224</v>
      </c>
      <c r="T3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0" s="74" cm="1">
        <f t="array" ref="U320">IF(SIP[[#This Row],[B/S]]="S",ABS(SIP[[#This Row],[Unit]])*(INDEX(SIP[NAV at Cost (Average)],MATCH(CONCATENATE((SIP[[#This Row],[Frequency]]-1),SIP[[#This Row],[Investor ID]]),SIP[Unique Code],0),0)),0)</f>
        <v>0</v>
      </c>
      <c r="V320" s="74">
        <f>IF(SIP[[#This Row],[BO TRANSFER]]="YES",SIP[[#This Row],[Unit]],)</f>
        <v>0</v>
      </c>
      <c r="W320" s="74">
        <f>SUMIFS(SIP[[#Headers],[BO UNIT TRANSFER]]:SIP[[#This Row],[BO UNIT TRANSFER]],SIP[[#Headers],[Investor ID]]:SIP[[#This Row],[Investor ID]],SIP[[#This Row],[Investor ID]])</f>
        <v>0</v>
      </c>
    </row>
    <row r="321" spans="1:23" ht="15" customHeight="1">
      <c r="A321" s="46">
        <v>2024</v>
      </c>
      <c r="B321" s="46">
        <v>1</v>
      </c>
      <c r="C321" s="46">
        <v>5</v>
      </c>
      <c r="D321" s="65">
        <f>DATE(SIP[[#This Row],[Year]],SIP[[#This Row],[Month]],SIP[[#This Row],[Day]])</f>
        <v>45296</v>
      </c>
      <c r="E321" s="66" t="str" cm="1">
        <f t="array" ref="E321">INDEX(INVESTORS_LIST[INVESTOR NAME],MATCH(SIP[[#This Row],[Investor ID]],INVESTORS_LIST[INVESTOR CODE],0),)</f>
        <v>MD JAMAL HOSSAIN</v>
      </c>
      <c r="F321" s="46" t="s">
        <v>952</v>
      </c>
      <c r="G321" s="46">
        <f>COUNTIF(SIP[[#Headers],[Investor ID]]:SIP[[#This Row],[Investor ID]],SIP[[#This Row],[Investor ID]])</f>
        <v>4</v>
      </c>
      <c r="H321" s="46" t="str">
        <f>CONCATENATE(SIP[[#This Row],[Frequency]],SIP[[#This Row],[Investor ID]])</f>
        <v>4A00453</v>
      </c>
      <c r="I321" s="46" t="str">
        <f>IF(SIP[[#This Row],[B/S]]="B","BUY",(IF(SIP[[#This Row],[B/S]]="S","SELL"," ")))</f>
        <v>BUY</v>
      </c>
      <c r="J321" s="46" t="s">
        <v>1229</v>
      </c>
      <c r="K321" s="69">
        <v>5000</v>
      </c>
      <c r="L321" s="69"/>
      <c r="M321" s="70">
        <f>SIP[[#This Row],[Amount]]/SIP[[#This Row],[Unit]]</f>
        <v>10.706638115631691</v>
      </c>
      <c r="N321" s="71">
        <f>SIP[[#This Row],[Unit Capital]]/10</f>
        <v>467</v>
      </c>
      <c r="O321" s="72">
        <f>SUMIFS(SIP[[#Headers],[Unit]]:SIP[[#This Row],[Unit]],SIP[[#Headers],[Investor ID]]:SIP[[#This Row],[Investor ID]],SIP[[#This Row],[Investor ID]])</f>
        <v>1888</v>
      </c>
      <c r="P321" s="73">
        <v>4670</v>
      </c>
      <c r="Q321" s="74">
        <f>SIP[[#This Row],[Amount]]-SIP[[#This Row],[Unit Capital]]</f>
        <v>330</v>
      </c>
      <c r="R3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10.59322033898305</v>
      </c>
      <c r="S321" s="68">
        <f t="shared" si="13"/>
        <v>14.224</v>
      </c>
      <c r="T3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1" s="74" cm="1">
        <f t="array" ref="U321">IF(SIP[[#This Row],[B/S]]="S",ABS(SIP[[#This Row],[Unit]])*(INDEX(SIP[NAV at Cost (Average)],MATCH(CONCATENATE((SIP[[#This Row],[Frequency]]-1),SIP[[#This Row],[Investor ID]]),SIP[Unique Code],0),0)),0)</f>
        <v>0</v>
      </c>
      <c r="V321" s="74">
        <f>IF(SIP[[#This Row],[BO TRANSFER]]="YES",SIP[[#This Row],[Unit]],)</f>
        <v>0</v>
      </c>
      <c r="W321" s="74">
        <f>SUMIFS(SIP[[#Headers],[BO UNIT TRANSFER]]:SIP[[#This Row],[BO UNIT TRANSFER]],SIP[[#Headers],[Investor ID]]:SIP[[#This Row],[Investor ID]],SIP[[#This Row],[Investor ID]])</f>
        <v>0</v>
      </c>
    </row>
    <row r="322" spans="1:23" ht="15" customHeight="1">
      <c r="A322" s="46">
        <v>2024</v>
      </c>
      <c r="B322" s="46">
        <v>1</v>
      </c>
      <c r="C322" s="46">
        <v>5</v>
      </c>
      <c r="D322" s="65">
        <f>DATE(SIP[[#This Row],[Year]],SIP[[#This Row],[Month]],SIP[[#This Row],[Day]])</f>
        <v>45296</v>
      </c>
      <c r="E322" s="66" t="str" cm="1">
        <f t="array" ref="E322">INDEX(INVESTORS_LIST[INVESTOR NAME],MATCH(SIP[[#This Row],[Investor ID]],INVESTORS_LIST[INVESTOR CODE],0),)</f>
        <v>KAZI AHSAN MARUF</v>
      </c>
      <c r="F322" s="46" t="s">
        <v>158</v>
      </c>
      <c r="G322" s="46">
        <f>COUNTIF(SIP[[#Headers],[Investor ID]]:SIP[[#This Row],[Investor ID]],SIP[[#This Row],[Investor ID]])</f>
        <v>9</v>
      </c>
      <c r="H322" s="46" t="str">
        <f>CONCATENATE(SIP[[#This Row],[Frequency]],SIP[[#This Row],[Investor ID]])</f>
        <v>9A00055</v>
      </c>
      <c r="I322" s="46" t="str">
        <f>IF(SIP[[#This Row],[B/S]]="B","BUY",(IF(SIP[[#This Row],[B/S]]="S","SELL"," ")))</f>
        <v>BUY</v>
      </c>
      <c r="J322" s="46" t="s">
        <v>1229</v>
      </c>
      <c r="K322" s="69">
        <v>10000</v>
      </c>
      <c r="L322" s="69"/>
      <c r="M322" s="70">
        <f>SIP[[#This Row],[Amount]]/SIP[[#This Row],[Unit]]</f>
        <v>10.695187165775401</v>
      </c>
      <c r="N322" s="71">
        <f>SIP[[#This Row],[Unit Capital]]/10</f>
        <v>935</v>
      </c>
      <c r="O322" s="72">
        <f>SUMIFS(SIP[[#Headers],[Unit]]:SIP[[#This Row],[Unit]],SIP[[#Headers],[Investor ID]]:SIP[[#This Row],[Investor ID]],SIP[[#This Row],[Investor ID]])</f>
        <v>28092</v>
      </c>
      <c r="P322" s="73">
        <v>9350</v>
      </c>
      <c r="Q322" s="74">
        <f>SIP[[#This Row],[Amount]]-SIP[[#This Row],[Unit Capital]]</f>
        <v>650</v>
      </c>
      <c r="R3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10.323223693578239</v>
      </c>
      <c r="S322" s="68">
        <f t="shared" si="13"/>
        <v>14.224</v>
      </c>
      <c r="T3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2" s="74" cm="1">
        <f t="array" ref="U322">IF(SIP[[#This Row],[B/S]]="S",ABS(SIP[[#This Row],[Unit]])*(INDEX(SIP[NAV at Cost (Average)],MATCH(CONCATENATE((SIP[[#This Row],[Frequency]]-1),SIP[[#This Row],[Investor ID]]),SIP[Unique Code],0),0)),0)</f>
        <v>0</v>
      </c>
      <c r="V322" s="74">
        <f>IF(SIP[[#This Row],[BO TRANSFER]]="YES",SIP[[#This Row],[Unit]],)</f>
        <v>0</v>
      </c>
      <c r="W322" s="74">
        <f>SUMIFS(SIP[[#Headers],[BO UNIT TRANSFER]]:SIP[[#This Row],[BO UNIT TRANSFER]],SIP[[#Headers],[Investor ID]]:SIP[[#This Row],[Investor ID]],SIP[[#This Row],[Investor ID]])</f>
        <v>0</v>
      </c>
    </row>
    <row r="323" spans="1:23" ht="15" customHeight="1">
      <c r="A323" s="46">
        <v>2024</v>
      </c>
      <c r="B323" s="46">
        <v>1</v>
      </c>
      <c r="C323" s="46">
        <v>5</v>
      </c>
      <c r="D323" s="65">
        <f>DATE(SIP[[#This Row],[Year]],SIP[[#This Row],[Month]],SIP[[#This Row],[Day]])</f>
        <v>45296</v>
      </c>
      <c r="E323" s="66" t="str" cm="1">
        <f t="array" ref="E323">INDEX(INVESTORS_LIST[INVESTOR NAME],MATCH(SIP[[#This Row],[Investor ID]],INVESTORS_LIST[INVESTOR CODE],0),)</f>
        <v>ANJAN MALLIK</v>
      </c>
      <c r="F323" s="46" t="s">
        <v>546</v>
      </c>
      <c r="G323" s="46">
        <f>COUNTIF(SIP[[#Headers],[Investor ID]]:SIP[[#This Row],[Investor ID]],SIP[[#This Row],[Investor ID]])</f>
        <v>10</v>
      </c>
      <c r="H323" s="46" t="str">
        <f>CONCATENATE(SIP[[#This Row],[Frequency]],SIP[[#This Row],[Investor ID]])</f>
        <v>10A00248</v>
      </c>
      <c r="I323" s="46" t="str">
        <f>IF(SIP[[#This Row],[B/S]]="B","BUY",(IF(SIP[[#This Row],[B/S]]="S","SELL"," ")))</f>
        <v>BUY</v>
      </c>
      <c r="J323" s="46" t="s">
        <v>1229</v>
      </c>
      <c r="K323" s="69">
        <v>50000</v>
      </c>
      <c r="L323" s="69"/>
      <c r="M323" s="70">
        <f>SIP[[#This Row],[Amount]]/SIP[[#This Row],[Unit]]</f>
        <v>10.69747539580659</v>
      </c>
      <c r="N323" s="71">
        <f>SIP[[#This Row],[Unit Capital]]/10</f>
        <v>4674</v>
      </c>
      <c r="O323" s="72">
        <f>SUMIFS(SIP[[#Headers],[Unit]]:SIP[[#This Row],[Unit]],SIP[[#Headers],[Investor ID]]:SIP[[#This Row],[Investor ID]],SIP[[#This Row],[Investor ID]])</f>
        <v>48151</v>
      </c>
      <c r="P323" s="73">
        <v>46740</v>
      </c>
      <c r="Q323" s="74">
        <f>SIP[[#This Row],[Amount]]-SIP[[#This Row],[Unit Capital]]</f>
        <v>3260</v>
      </c>
      <c r="R3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10.384000332288011</v>
      </c>
      <c r="S323" s="68">
        <f t="shared" si="13"/>
        <v>14.224</v>
      </c>
      <c r="T3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3" s="74" cm="1">
        <f t="array" ref="U323">IF(SIP[[#This Row],[B/S]]="S",ABS(SIP[[#This Row],[Unit]])*(INDEX(SIP[NAV at Cost (Average)],MATCH(CONCATENATE((SIP[[#This Row],[Frequency]]-1),SIP[[#This Row],[Investor ID]]),SIP[Unique Code],0),0)),0)</f>
        <v>0</v>
      </c>
      <c r="V323" s="74">
        <f>IF(SIP[[#This Row],[BO TRANSFER]]="YES",SIP[[#This Row],[Unit]],)</f>
        <v>0</v>
      </c>
      <c r="W323" s="74">
        <f>SUMIFS(SIP[[#Headers],[BO UNIT TRANSFER]]:SIP[[#This Row],[BO UNIT TRANSFER]],SIP[[#Headers],[Investor ID]]:SIP[[#This Row],[Investor ID]],SIP[[#This Row],[Investor ID]])</f>
        <v>0</v>
      </c>
    </row>
    <row r="324" spans="1:23" ht="15" customHeight="1">
      <c r="A324" s="46">
        <v>2024</v>
      </c>
      <c r="B324" s="46">
        <v>1</v>
      </c>
      <c r="C324" s="46">
        <v>5</v>
      </c>
      <c r="D324" s="65">
        <f>DATE(SIP[[#This Row],[Year]],SIP[[#This Row],[Month]],SIP[[#This Row],[Day]])</f>
        <v>45296</v>
      </c>
      <c r="E324" s="66" t="str" cm="1">
        <f t="array" ref="E324">INDEX(INVESTORS_LIST[INVESTOR NAME],MATCH(SIP[[#This Row],[Investor ID]],INVESTORS_LIST[INVESTOR CODE],0),)</f>
        <v>MONIR AHMED</v>
      </c>
      <c r="F324" s="46" t="s">
        <v>125</v>
      </c>
      <c r="G324" s="46">
        <f>COUNTIF(SIP[[#Headers],[Investor ID]]:SIP[[#This Row],[Investor ID]],SIP[[#This Row],[Investor ID]])</f>
        <v>9</v>
      </c>
      <c r="H324" s="46" t="str">
        <f>CONCATENATE(SIP[[#This Row],[Frequency]],SIP[[#This Row],[Investor ID]])</f>
        <v>9A00039</v>
      </c>
      <c r="I324" s="46" t="str">
        <f>IF(SIP[[#This Row],[B/S]]="B","BUY",(IF(SIP[[#This Row],[B/S]]="S","SELL"," ")))</f>
        <v>BUY</v>
      </c>
      <c r="J324" s="46" t="s">
        <v>1229</v>
      </c>
      <c r="K324" s="69">
        <v>5000</v>
      </c>
      <c r="L324" s="69"/>
      <c r="M324" s="70">
        <f>SIP[[#This Row],[Amount]]/SIP[[#This Row],[Unit]]</f>
        <v>10.706638115631691</v>
      </c>
      <c r="N324" s="71">
        <f>SIP[[#This Row],[Unit Capital]]/10</f>
        <v>467</v>
      </c>
      <c r="O324" s="72">
        <f>SUMIFS(SIP[[#Headers],[Unit]]:SIP[[#This Row],[Unit]],SIP[[#Headers],[Investor ID]]:SIP[[#This Row],[Investor ID]],SIP[[#This Row],[Investor ID]])</f>
        <v>1888</v>
      </c>
      <c r="P324" s="73">
        <v>4670</v>
      </c>
      <c r="Q324" s="74">
        <f>SIP[[#This Row],[Amount]]-SIP[[#This Row],[Unit Capital]]</f>
        <v>330</v>
      </c>
      <c r="R3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10.59322033898305</v>
      </c>
      <c r="S324" s="68">
        <f t="shared" si="13"/>
        <v>14.224</v>
      </c>
      <c r="T3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4" s="74" cm="1">
        <f t="array" ref="U324">IF(SIP[[#This Row],[B/S]]="S",ABS(SIP[[#This Row],[Unit]])*(INDEX(SIP[NAV at Cost (Average)],MATCH(CONCATENATE((SIP[[#This Row],[Frequency]]-1),SIP[[#This Row],[Investor ID]]),SIP[Unique Code],0),0)),0)</f>
        <v>0</v>
      </c>
      <c r="V324" s="74">
        <f>IF(SIP[[#This Row],[BO TRANSFER]]="YES",SIP[[#This Row],[Unit]],)</f>
        <v>0</v>
      </c>
      <c r="W324" s="74">
        <f>SUMIFS(SIP[[#Headers],[BO UNIT TRANSFER]]:SIP[[#This Row],[BO UNIT TRANSFER]],SIP[[#Headers],[Investor ID]]:SIP[[#This Row],[Investor ID]],SIP[[#This Row],[Investor ID]])</f>
        <v>0</v>
      </c>
    </row>
    <row r="325" spans="1:23" ht="15" customHeight="1">
      <c r="A325" s="46">
        <v>2024</v>
      </c>
      <c r="B325" s="46">
        <v>1</v>
      </c>
      <c r="C325" s="46">
        <v>5</v>
      </c>
      <c r="D325" s="65">
        <f>DATE(SIP[[#This Row],[Year]],SIP[[#This Row],[Month]],SIP[[#This Row],[Day]])</f>
        <v>45296</v>
      </c>
      <c r="E325" s="66" t="str" cm="1">
        <f t="array" ref="E325">INDEX(INVESTORS_LIST[INVESTOR NAME],MATCH(SIP[[#This Row],[Investor ID]],INVESTORS_LIST[INVESTOR CODE],0),)</f>
        <v>SHANTA PAUL</v>
      </c>
      <c r="F325" s="46" t="s">
        <v>544</v>
      </c>
      <c r="G325" s="46">
        <f>COUNTIF(SIP[[#Headers],[Investor ID]]:SIP[[#This Row],[Investor ID]],SIP[[#This Row],[Investor ID]])</f>
        <v>10</v>
      </c>
      <c r="H325" s="46" t="str">
        <f>CONCATENATE(SIP[[#This Row],[Frequency]],SIP[[#This Row],[Investor ID]])</f>
        <v>10A00247</v>
      </c>
      <c r="I325" s="46" t="str">
        <f>IF(SIP[[#This Row],[B/S]]="B","BUY",(IF(SIP[[#This Row],[B/S]]="S","SELL"," ")))</f>
        <v>BUY</v>
      </c>
      <c r="J325" s="46" t="s">
        <v>1229</v>
      </c>
      <c r="K325" s="69">
        <v>20000</v>
      </c>
      <c r="L325" s="69"/>
      <c r="M325" s="70">
        <f>SIP[[#This Row],[Amount]]/SIP[[#This Row],[Unit]]</f>
        <v>10.695187165775401</v>
      </c>
      <c r="N325" s="71">
        <f>SIP[[#This Row],[Unit Capital]]/10</f>
        <v>1870</v>
      </c>
      <c r="O325" s="72">
        <f>SUMIFS(SIP[[#Headers],[Unit]]:SIP[[#This Row],[Unit]],SIP[[#Headers],[Investor ID]]:SIP[[#This Row],[Investor ID]],SIP[[#This Row],[Investor ID]])</f>
        <v>19261</v>
      </c>
      <c r="P325" s="73">
        <v>18700</v>
      </c>
      <c r="Q325" s="74">
        <f>SIP[[#This Row],[Amount]]-SIP[[#This Row],[Unit Capital]]</f>
        <v>1300</v>
      </c>
      <c r="R3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10.383676859976118</v>
      </c>
      <c r="S325" s="68">
        <f t="shared" si="13"/>
        <v>14.224</v>
      </c>
      <c r="T3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5" s="74" cm="1">
        <f t="array" ref="U325">IF(SIP[[#This Row],[B/S]]="S",ABS(SIP[[#This Row],[Unit]])*(INDEX(SIP[NAV at Cost (Average)],MATCH(CONCATENATE((SIP[[#This Row],[Frequency]]-1),SIP[[#This Row],[Investor ID]]),SIP[Unique Code],0),0)),0)</f>
        <v>0</v>
      </c>
      <c r="V325" s="74">
        <f>IF(SIP[[#This Row],[BO TRANSFER]]="YES",SIP[[#This Row],[Unit]],)</f>
        <v>0</v>
      </c>
      <c r="W325" s="74">
        <f>SUMIFS(SIP[[#Headers],[BO UNIT TRANSFER]]:SIP[[#This Row],[BO UNIT TRANSFER]],SIP[[#Headers],[Investor ID]]:SIP[[#This Row],[Investor ID]],SIP[[#This Row],[Investor ID]])</f>
        <v>0</v>
      </c>
    </row>
    <row r="326" spans="1:23" ht="15" customHeight="1">
      <c r="A326" s="46">
        <v>2024</v>
      </c>
      <c r="B326" s="46">
        <v>1</v>
      </c>
      <c r="C326" s="46">
        <v>5</v>
      </c>
      <c r="D326" s="65">
        <f>DATE(SIP[[#This Row],[Year]],SIP[[#This Row],[Month]],SIP[[#This Row],[Day]])</f>
        <v>45296</v>
      </c>
      <c r="E326" s="66" t="str" cm="1">
        <f t="array" ref="E326">INDEX(INVESTORS_LIST[INVESTOR NAME],MATCH(SIP[[#This Row],[Investor ID]],INVESTORS_LIST[INVESTOR CODE],0),)</f>
        <v>FAKARUDDIN ALI AHMED</v>
      </c>
      <c r="F326" s="46" t="s">
        <v>228</v>
      </c>
      <c r="G326" s="46">
        <f>COUNTIF(SIP[[#Headers],[Investor ID]]:SIP[[#This Row],[Investor ID]],SIP[[#This Row],[Investor ID]])</f>
        <v>8</v>
      </c>
      <c r="H326" s="46" t="str">
        <f>CONCATENATE(SIP[[#This Row],[Frequency]],SIP[[#This Row],[Investor ID]])</f>
        <v>8A00090</v>
      </c>
      <c r="I326" s="46" t="str">
        <f>IF(SIP[[#This Row],[B/S]]="B","BUY",(IF(SIP[[#This Row],[B/S]]="S","SELL"," ")))</f>
        <v>BUY</v>
      </c>
      <c r="J326" s="46" t="s">
        <v>1229</v>
      </c>
      <c r="K326" s="69">
        <v>10000</v>
      </c>
      <c r="L326" s="69"/>
      <c r="M326" s="70">
        <f>SIP[[#This Row],[Amount]]/SIP[[#This Row],[Unit]]</f>
        <v>10.695187165775401</v>
      </c>
      <c r="N326" s="71">
        <f>SIP[[#This Row],[Unit Capital]]/10</f>
        <v>935</v>
      </c>
      <c r="O326" s="72">
        <f>SUMIFS(SIP[[#Headers],[Unit]]:SIP[[#This Row],[Unit]],SIP[[#Headers],[Investor ID]]:SIP[[#This Row],[Investor ID]],SIP[[#This Row],[Investor ID]])</f>
        <v>5696</v>
      </c>
      <c r="P326" s="73">
        <v>9350</v>
      </c>
      <c r="Q326" s="74">
        <f>SIP[[#This Row],[Amount]]-SIP[[#This Row],[Unit Capital]]</f>
        <v>650</v>
      </c>
      <c r="R3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10.533707865168539</v>
      </c>
      <c r="S326" s="68">
        <f t="shared" si="13"/>
        <v>14.224</v>
      </c>
      <c r="T3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6" s="74" cm="1">
        <f t="array" ref="U326">IF(SIP[[#This Row],[B/S]]="S",ABS(SIP[[#This Row],[Unit]])*(INDEX(SIP[NAV at Cost (Average)],MATCH(CONCATENATE((SIP[[#This Row],[Frequency]]-1),SIP[[#This Row],[Investor ID]]),SIP[Unique Code],0),0)),0)</f>
        <v>0</v>
      </c>
      <c r="V326" s="74">
        <f>IF(SIP[[#This Row],[BO TRANSFER]]="YES",SIP[[#This Row],[Unit]],)</f>
        <v>0</v>
      </c>
      <c r="W326" s="74">
        <f>SUMIFS(SIP[[#Headers],[BO UNIT TRANSFER]]:SIP[[#This Row],[BO UNIT TRANSFER]],SIP[[#Headers],[Investor ID]]:SIP[[#This Row],[Investor ID]],SIP[[#This Row],[Investor ID]])</f>
        <v>0</v>
      </c>
    </row>
    <row r="327" spans="1:23" ht="15" customHeight="1">
      <c r="A327" s="46">
        <v>2024</v>
      </c>
      <c r="B327" s="46">
        <v>1</v>
      </c>
      <c r="C327" s="46">
        <v>5</v>
      </c>
      <c r="D327" s="65">
        <f>DATE(SIP[[#This Row],[Year]],SIP[[#This Row],[Month]],SIP[[#This Row],[Day]])</f>
        <v>45296</v>
      </c>
      <c r="E327" s="66" t="str" cm="1">
        <f t="array" ref="E327">INDEX(INVESTORS_LIST[INVESTOR NAME],MATCH(SIP[[#This Row],[Investor ID]],INVESTORS_LIST[INVESTOR CODE],0),)</f>
        <v>ROKSABA KASEM</v>
      </c>
      <c r="F327" s="46" t="s">
        <v>900</v>
      </c>
      <c r="G327" s="46">
        <f>COUNTIF(SIP[[#Headers],[Investor ID]]:SIP[[#This Row],[Investor ID]],SIP[[#This Row],[Investor ID]])</f>
        <v>8</v>
      </c>
      <c r="H327" s="46" t="str">
        <f>CONCATENATE(SIP[[#This Row],[Frequency]],SIP[[#This Row],[Investor ID]])</f>
        <v>8A00427</v>
      </c>
      <c r="I327" s="46" t="str">
        <f>IF(SIP[[#This Row],[B/S]]="B","BUY",(IF(SIP[[#This Row],[B/S]]="S","SELL"," ")))</f>
        <v>BUY</v>
      </c>
      <c r="J327" s="46" t="s">
        <v>1229</v>
      </c>
      <c r="K327" s="69">
        <v>20000</v>
      </c>
      <c r="L327" s="122"/>
      <c r="M327" s="70">
        <f>SIP[[#This Row],[Amount]]/SIP[[#This Row],[Unit]]</f>
        <v>10.695187165775401</v>
      </c>
      <c r="N327" s="71">
        <f>SIP[[#This Row],[Unit Capital]]/10</f>
        <v>1870</v>
      </c>
      <c r="O327" s="72">
        <f>SUMIFS(SIP[[#Headers],[Unit]]:SIP[[#This Row],[Unit]],SIP[[#Headers],[Investor ID]]:SIP[[#This Row],[Investor ID]],SIP[[#This Row],[Investor ID]])</f>
        <v>15304</v>
      </c>
      <c r="P327" s="73">
        <v>18700</v>
      </c>
      <c r="Q327" s="74">
        <f>SIP[[#This Row],[Amount]]-SIP[[#This Row],[Unit Capital]]</f>
        <v>1300</v>
      </c>
      <c r="R3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10.454783063251437</v>
      </c>
      <c r="S327" s="68">
        <f t="shared" si="13"/>
        <v>14.224</v>
      </c>
      <c r="T3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7" s="74" cm="1">
        <f t="array" ref="U327">IF(SIP[[#This Row],[B/S]]="S",ABS(SIP[[#This Row],[Unit]])*(INDEX(SIP[NAV at Cost (Average)],MATCH(CONCATENATE((SIP[[#This Row],[Frequency]]-1),SIP[[#This Row],[Investor ID]]),SIP[Unique Code],0),0)),0)</f>
        <v>0</v>
      </c>
      <c r="V327" s="74">
        <f>IF(SIP[[#This Row],[BO TRANSFER]]="YES",SIP[[#This Row],[Unit]],)</f>
        <v>0</v>
      </c>
      <c r="W327" s="74">
        <f>SUMIFS(SIP[[#Headers],[BO UNIT TRANSFER]]:SIP[[#This Row],[BO UNIT TRANSFER]],SIP[[#Headers],[Investor ID]]:SIP[[#This Row],[Investor ID]],SIP[[#This Row],[Investor ID]])</f>
        <v>0</v>
      </c>
    </row>
    <row r="328" spans="1:23" ht="15" customHeight="1">
      <c r="A328" s="46">
        <v>2024</v>
      </c>
      <c r="B328" s="46">
        <v>1</v>
      </c>
      <c r="C328" s="46">
        <v>5</v>
      </c>
      <c r="D328" s="65">
        <f>DATE(SIP[[#This Row],[Year]],SIP[[#This Row],[Month]],SIP[[#This Row],[Day]])</f>
        <v>45296</v>
      </c>
      <c r="E328" s="66" t="str" cm="1">
        <f t="array" ref="E328">INDEX(INVESTORS_LIST[INVESTOR NAME],MATCH(SIP[[#This Row],[Investor ID]],INVESTORS_LIST[INVESTOR CODE],0),)</f>
        <v>MD. MONIRUL ISLAM</v>
      </c>
      <c r="F328" s="46" t="s">
        <v>996</v>
      </c>
      <c r="G328" s="46">
        <f>COUNTIF(SIP[[#Headers],[Investor ID]]:SIP[[#This Row],[Investor ID]],SIP[[#This Row],[Investor ID]])</f>
        <v>9</v>
      </c>
      <c r="H328" s="46" t="str">
        <f>CONCATENATE(SIP[[#This Row],[Frequency]],SIP[[#This Row],[Investor ID]])</f>
        <v>9A00475</v>
      </c>
      <c r="I328" s="46" t="str">
        <f>IF(SIP[[#This Row],[B/S]]="B","BUY",(IF(SIP[[#This Row],[B/S]]="S","SELL"," ")))</f>
        <v>BUY</v>
      </c>
      <c r="J328" s="46" t="s">
        <v>1229</v>
      </c>
      <c r="K328" s="69">
        <v>10000</v>
      </c>
      <c r="L328" s="69"/>
      <c r="M328" s="70">
        <f>SIP[[#This Row],[Amount]]/SIP[[#This Row],[Unit]]</f>
        <v>10.695187165775401</v>
      </c>
      <c r="N328" s="71">
        <f>SIP[[#This Row],[Unit Capital]]/10</f>
        <v>935</v>
      </c>
      <c r="O328" s="72">
        <f>SUMIFS(SIP[[#Headers],[Unit]]:SIP[[#This Row],[Unit]],SIP[[#Headers],[Investor ID]]:SIP[[#This Row],[Investor ID]],SIP[[#This Row],[Investor ID]])</f>
        <v>8639</v>
      </c>
      <c r="P328" s="73">
        <v>9350</v>
      </c>
      <c r="Q328" s="74">
        <f>SIP[[#This Row],[Amount]]-SIP[[#This Row],[Unit Capital]]</f>
        <v>650</v>
      </c>
      <c r="R3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10.417872438939691</v>
      </c>
      <c r="S328" s="68">
        <f t="shared" si="13"/>
        <v>14.224</v>
      </c>
      <c r="T3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8" s="74" cm="1">
        <f t="array" ref="U328">IF(SIP[[#This Row],[B/S]]="S",ABS(SIP[[#This Row],[Unit]])*(INDEX(SIP[NAV at Cost (Average)],MATCH(CONCATENATE((SIP[[#This Row],[Frequency]]-1),SIP[[#This Row],[Investor ID]]),SIP[Unique Code],0),0)),0)</f>
        <v>0</v>
      </c>
      <c r="V328" s="74">
        <f>IF(SIP[[#This Row],[BO TRANSFER]]="YES",SIP[[#This Row],[Unit]],)</f>
        <v>0</v>
      </c>
      <c r="W328" s="74">
        <f>SUMIFS(SIP[[#Headers],[BO UNIT TRANSFER]]:SIP[[#This Row],[BO UNIT TRANSFER]],SIP[[#Headers],[Investor ID]]:SIP[[#This Row],[Investor ID]],SIP[[#This Row],[Investor ID]])</f>
        <v>0</v>
      </c>
    </row>
    <row r="329" spans="1:23" ht="15" customHeight="1">
      <c r="A329" s="46">
        <v>2024</v>
      </c>
      <c r="B329" s="46">
        <v>1</v>
      </c>
      <c r="C329" s="46">
        <v>5</v>
      </c>
      <c r="D329" s="65">
        <f>DATE(SIP[[#This Row],[Year]],SIP[[#This Row],[Month]],SIP[[#This Row],[Day]])</f>
        <v>45296</v>
      </c>
      <c r="E329" s="66" t="str" cm="1">
        <f t="array" ref="E329">INDEX(INVESTORS_LIST[INVESTOR NAME],MATCH(SIP[[#This Row],[Investor ID]],INVESTORS_LIST[INVESTOR CODE],0),)</f>
        <v>SABRIA ISLAM TALUKDER</v>
      </c>
      <c r="F329" s="46" t="s">
        <v>409</v>
      </c>
      <c r="G329" s="46">
        <f>COUNTIF(SIP[[#Headers],[Investor ID]]:SIP[[#This Row],[Investor ID]],SIP[[#This Row],[Investor ID]])</f>
        <v>5</v>
      </c>
      <c r="H329" s="46" t="str">
        <f>CONCATENATE(SIP[[#This Row],[Frequency]],SIP[[#This Row],[Investor ID]])</f>
        <v>5A00180</v>
      </c>
      <c r="I329" s="46" t="str">
        <f>IF(SIP[[#This Row],[B/S]]="B","BUY",(IF(SIP[[#This Row],[B/S]]="S","SELL"," ")))</f>
        <v>BUY</v>
      </c>
      <c r="J329" s="46" t="s">
        <v>1229</v>
      </c>
      <c r="K329" s="69">
        <v>5000</v>
      </c>
      <c r="L329" s="69"/>
      <c r="M329" s="70">
        <f>SIP[[#This Row],[Amount]]/SIP[[#This Row],[Unit]]</f>
        <v>10.706638115631691</v>
      </c>
      <c r="N329" s="71">
        <f>SIP[[#This Row],[Unit Capital]]/10</f>
        <v>467</v>
      </c>
      <c r="O329" s="72">
        <f>SUMIFS(SIP[[#Headers],[Unit]]:SIP[[#This Row],[Unit]],SIP[[#Headers],[Investor ID]]:SIP[[#This Row],[Investor ID]],SIP[[#This Row],[Investor ID]])</f>
        <v>2367</v>
      </c>
      <c r="P329" s="73">
        <v>4670</v>
      </c>
      <c r="Q329" s="74">
        <f>SIP[[#This Row],[Amount]]-SIP[[#This Row],[Unit Capital]]</f>
        <v>330</v>
      </c>
      <c r="R3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10.561892691170256</v>
      </c>
      <c r="S329" s="68">
        <f t="shared" si="13"/>
        <v>14.224</v>
      </c>
      <c r="T3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9" s="74" cm="1">
        <f t="array" ref="U329">IF(SIP[[#This Row],[B/S]]="S",ABS(SIP[[#This Row],[Unit]])*(INDEX(SIP[NAV at Cost (Average)],MATCH(CONCATENATE((SIP[[#This Row],[Frequency]]-1),SIP[[#This Row],[Investor ID]]),SIP[Unique Code],0),0)),0)</f>
        <v>0</v>
      </c>
      <c r="V329" s="74">
        <f>IF(SIP[[#This Row],[BO TRANSFER]]="YES",SIP[[#This Row],[Unit]],)</f>
        <v>0</v>
      </c>
      <c r="W329" s="74">
        <f>SUMIFS(SIP[[#Headers],[BO UNIT TRANSFER]]:SIP[[#This Row],[BO UNIT TRANSFER]],SIP[[#Headers],[Investor ID]]:SIP[[#This Row],[Investor ID]],SIP[[#This Row],[Investor ID]])</f>
        <v>0</v>
      </c>
    </row>
    <row r="330" spans="1:23" ht="15" customHeight="1">
      <c r="A330" s="46">
        <v>2024</v>
      </c>
      <c r="B330" s="46">
        <v>1</v>
      </c>
      <c r="C330" s="46">
        <v>5</v>
      </c>
      <c r="D330" s="65">
        <f>DATE(SIP[[#This Row],[Year]],SIP[[#This Row],[Month]],SIP[[#This Row],[Day]])</f>
        <v>45296</v>
      </c>
      <c r="E330" s="66" t="str" cm="1">
        <f t="array" ref="E330">INDEX(INVESTORS_LIST[INVESTOR NAME],MATCH(SIP[[#This Row],[Investor ID]],INVESTORS_LIST[INVESTOR CODE],0),)</f>
        <v>NANI GOPAL DATTA</v>
      </c>
      <c r="F330" s="46" t="s">
        <v>232</v>
      </c>
      <c r="G330" s="46">
        <f>COUNTIF(SIP[[#Headers],[Investor ID]]:SIP[[#This Row],[Investor ID]],SIP[[#This Row],[Investor ID]])</f>
        <v>3</v>
      </c>
      <c r="H330" s="46" t="str">
        <f>CONCATENATE(SIP[[#This Row],[Frequency]],SIP[[#This Row],[Investor ID]])</f>
        <v>3A00092</v>
      </c>
      <c r="I330" s="46" t="str">
        <f>IF(SIP[[#This Row],[B/S]]="B","BUY",(IF(SIP[[#This Row],[B/S]]="S","SELL"," ")))</f>
        <v>BUY</v>
      </c>
      <c r="J330" s="46" t="s">
        <v>1229</v>
      </c>
      <c r="K330" s="69">
        <v>2000</v>
      </c>
      <c r="L330" s="69"/>
      <c r="M330" s="70">
        <f>SIP[[#This Row],[Amount]]/SIP[[#This Row],[Unit]]</f>
        <v>10.695187165775401</v>
      </c>
      <c r="N330" s="71">
        <f>SIP[[#This Row],[Unit Capital]]/10</f>
        <v>187</v>
      </c>
      <c r="O330" s="72">
        <f>SUMIFS(SIP[[#Headers],[Unit]]:SIP[[#This Row],[Unit]],SIP[[#Headers],[Investor ID]]:SIP[[#This Row],[Investor ID]],SIP[[#This Row],[Investor ID]])</f>
        <v>564</v>
      </c>
      <c r="P330" s="73">
        <v>1870</v>
      </c>
      <c r="Q330" s="74">
        <f>SIP[[#This Row],[Amount]]-SIP[[#This Row],[Unit Capital]]</f>
        <v>130</v>
      </c>
      <c r="R3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10.638297872340427</v>
      </c>
      <c r="S330" s="68">
        <f t="shared" si="13"/>
        <v>14.224</v>
      </c>
      <c r="T3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0" s="74" cm="1">
        <f t="array" ref="U330">IF(SIP[[#This Row],[B/S]]="S",ABS(SIP[[#This Row],[Unit]])*(INDEX(SIP[NAV at Cost (Average)],MATCH(CONCATENATE((SIP[[#This Row],[Frequency]]-1),SIP[[#This Row],[Investor ID]]),SIP[Unique Code],0),0)),0)</f>
        <v>0</v>
      </c>
      <c r="V330" s="74">
        <f>IF(SIP[[#This Row],[BO TRANSFER]]="YES",SIP[[#This Row],[Unit]],)</f>
        <v>0</v>
      </c>
      <c r="W330" s="74">
        <f>SUMIFS(SIP[[#Headers],[BO UNIT TRANSFER]]:SIP[[#This Row],[BO UNIT TRANSFER]],SIP[[#Headers],[Investor ID]]:SIP[[#This Row],[Investor ID]],SIP[[#This Row],[Investor ID]])</f>
        <v>0</v>
      </c>
    </row>
    <row r="331" spans="1:23" ht="15" customHeight="1">
      <c r="A331" s="46">
        <v>2024</v>
      </c>
      <c r="B331" s="46">
        <v>1</v>
      </c>
      <c r="C331" s="46">
        <v>15</v>
      </c>
      <c r="D331" s="65">
        <f>DATE(SIP[[#This Row],[Year]],SIP[[#This Row],[Month]],SIP[[#This Row],[Day]])</f>
        <v>45306</v>
      </c>
      <c r="E331" s="66" t="str" cm="1">
        <f t="array" ref="E331">INDEX(INVESTORS_LIST[INVESTOR NAME],MATCH(SIP[[#This Row],[Investor ID]],INVESTORS_LIST[INVESTOR CODE],0),)</f>
        <v>SYED FAZLE RABBY</v>
      </c>
      <c r="F331" s="46" t="s">
        <v>166</v>
      </c>
      <c r="G331" s="46">
        <f>COUNTIF(SIP[[#Headers],[Investor ID]]:SIP[[#This Row],[Investor ID]],SIP[[#This Row],[Investor ID]])</f>
        <v>5</v>
      </c>
      <c r="H331" s="46" t="str">
        <f>CONCATENATE(SIP[[#This Row],[Frequency]],SIP[[#This Row],[Investor ID]])</f>
        <v>5A00059</v>
      </c>
      <c r="I331" s="46" t="str">
        <f>IF(SIP[[#This Row],[B/S]]="B","BUY",(IF(SIP[[#This Row],[B/S]]="S","SELL"," ")))</f>
        <v>BUY</v>
      </c>
      <c r="J331" s="46" t="s">
        <v>1229</v>
      </c>
      <c r="K331" s="69">
        <v>10000</v>
      </c>
      <c r="L331" s="69"/>
      <c r="M331" s="70">
        <f>SIP[[#This Row],[Amount]]/SIP[[#This Row],[Unit]]</f>
        <v>10.718113612004288</v>
      </c>
      <c r="N331" s="71">
        <f>SIP[[#This Row],[Unit Capital]]/10</f>
        <v>933</v>
      </c>
      <c r="O331" s="72">
        <f>SUMIFS(SIP[[#Headers],[Unit]]:SIP[[#This Row],[Unit]],SIP[[#Headers],[Investor ID]]:SIP[[#This Row],[Investor ID]],SIP[[#This Row],[Investor ID]])</f>
        <v>4782</v>
      </c>
      <c r="P331" s="73">
        <v>9330</v>
      </c>
      <c r="Q331" s="74">
        <f>SIP[[#This Row],[Amount]]-SIP[[#This Row],[Unit Capital]]</f>
        <v>670</v>
      </c>
      <c r="R3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10.455876202425763</v>
      </c>
      <c r="S331" s="68">
        <f t="shared" ref="S331:S359" si="14">NAV_MKT</f>
        <v>14.224</v>
      </c>
      <c r="T3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1" s="74" cm="1">
        <f t="array" ref="U331">IF(SIP[[#This Row],[B/S]]="S",ABS(SIP[[#This Row],[Unit]])*(INDEX(SIP[NAV at Cost (Average)],MATCH(CONCATENATE((SIP[[#This Row],[Frequency]]-1),SIP[[#This Row],[Investor ID]]),SIP[Unique Code],0),0)),0)</f>
        <v>0</v>
      </c>
      <c r="V331" s="74">
        <f>IF(SIP[[#This Row],[BO TRANSFER]]="YES",SIP[[#This Row],[Unit]],)</f>
        <v>0</v>
      </c>
      <c r="W331" s="74">
        <f>SUMIFS(SIP[[#Headers],[BO UNIT TRANSFER]]:SIP[[#This Row],[BO UNIT TRANSFER]],SIP[[#Headers],[Investor ID]]:SIP[[#This Row],[Investor ID]],SIP[[#This Row],[Investor ID]])</f>
        <v>0</v>
      </c>
    </row>
    <row r="332" spans="1:23" ht="15" customHeight="1">
      <c r="A332" s="46">
        <v>2024</v>
      </c>
      <c r="B332" s="46">
        <v>1</v>
      </c>
      <c r="C332" s="46">
        <v>15</v>
      </c>
      <c r="D332" s="65">
        <f>DATE(SIP[[#This Row],[Year]],SIP[[#This Row],[Month]],SIP[[#This Row],[Day]])</f>
        <v>45306</v>
      </c>
      <c r="E332" s="66" t="str" cm="1">
        <f t="array" ref="E332">INDEX(INVESTORS_LIST[INVESTOR NAME],MATCH(SIP[[#This Row],[Investor ID]],INVESTORS_LIST[INVESTOR CODE],0),)</f>
        <v>MD. RAFIQUR RAHMAN</v>
      </c>
      <c r="F332" s="46" t="s">
        <v>622</v>
      </c>
      <c r="G332" s="46">
        <f>COUNTIF(SIP[[#Headers],[Investor ID]]:SIP[[#This Row],[Investor ID]],SIP[[#This Row],[Investor ID]])</f>
        <v>5</v>
      </c>
      <c r="H332" s="46" t="str">
        <f>CONCATENATE(SIP[[#This Row],[Frequency]],SIP[[#This Row],[Investor ID]])</f>
        <v>5A00287</v>
      </c>
      <c r="I332" s="46" t="str">
        <f>IF(SIP[[#This Row],[B/S]]="B","BUY",(IF(SIP[[#This Row],[B/S]]="S","SELL"," ")))</f>
        <v>BUY</v>
      </c>
      <c r="J332" s="46" t="s">
        <v>1229</v>
      </c>
      <c r="K332" s="69">
        <v>20000</v>
      </c>
      <c r="L332" s="69"/>
      <c r="M332" s="70">
        <f>SIP[[#This Row],[Amount]]/SIP[[#This Row],[Unit]]</f>
        <v>10.718113612004288</v>
      </c>
      <c r="N332" s="71">
        <f>SIP[[#This Row],[Unit Capital]]/10</f>
        <v>1866</v>
      </c>
      <c r="O332" s="72">
        <f>SUMIFS(SIP[[#Headers],[Unit]]:SIP[[#This Row],[Unit]],SIP[[#Headers],[Investor ID]]:SIP[[#This Row],[Investor ID]],SIP[[#This Row],[Investor ID]])</f>
        <v>9452</v>
      </c>
      <c r="P332" s="73">
        <v>18660</v>
      </c>
      <c r="Q332" s="74">
        <f>SIP[[#This Row],[Amount]]-SIP[[#This Row],[Unit Capital]]</f>
        <v>1340</v>
      </c>
      <c r="R3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10.579771476936095</v>
      </c>
      <c r="S332" s="68">
        <f t="shared" si="14"/>
        <v>14.224</v>
      </c>
      <c r="T3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2" s="74" cm="1">
        <f t="array" ref="U332">IF(SIP[[#This Row],[B/S]]="S",ABS(SIP[[#This Row],[Unit]])*(INDEX(SIP[NAV at Cost (Average)],MATCH(CONCATENATE((SIP[[#This Row],[Frequency]]-1),SIP[[#This Row],[Investor ID]]),SIP[Unique Code],0),0)),0)</f>
        <v>0</v>
      </c>
      <c r="V332" s="74">
        <f>IF(SIP[[#This Row],[BO TRANSFER]]="YES",SIP[[#This Row],[Unit]],)</f>
        <v>0</v>
      </c>
      <c r="W332" s="74">
        <f>SUMIFS(SIP[[#Headers],[BO UNIT TRANSFER]]:SIP[[#This Row],[BO UNIT TRANSFER]],SIP[[#Headers],[Investor ID]]:SIP[[#This Row],[Investor ID]],SIP[[#This Row],[Investor ID]])</f>
        <v>0</v>
      </c>
    </row>
    <row r="333" spans="1:23" ht="15" customHeight="1">
      <c r="A333" s="46">
        <v>2024</v>
      </c>
      <c r="B333" s="46">
        <v>1</v>
      </c>
      <c r="C333" s="46">
        <v>15</v>
      </c>
      <c r="D333" s="65">
        <f>DATE(SIP[[#This Row],[Year]],SIP[[#This Row],[Month]],SIP[[#This Row],[Day]])</f>
        <v>45306</v>
      </c>
      <c r="E333" s="66" t="str" cm="1">
        <f t="array" ref="E333">INDEX(INVESTORS_LIST[INVESTOR NAME],MATCH(SIP[[#This Row],[Investor ID]],INVESTORS_LIST[INVESTOR CODE],0),)</f>
        <v>SANJIB KUMAR ROY</v>
      </c>
      <c r="F333" s="46" t="s">
        <v>1020</v>
      </c>
      <c r="G333" s="46">
        <f>COUNTIF(SIP[[#Headers],[Investor ID]]:SIP[[#This Row],[Investor ID]],SIP[[#This Row],[Investor ID]])</f>
        <v>8</v>
      </c>
      <c r="H333" s="46" t="str">
        <f>CONCATENATE(SIP[[#This Row],[Frequency]],SIP[[#This Row],[Investor ID]])</f>
        <v>8A00487</v>
      </c>
      <c r="I333" s="46" t="str">
        <f>IF(SIP[[#This Row],[B/S]]="B","BUY",(IF(SIP[[#This Row],[B/S]]="S","SELL"," ")))</f>
        <v>BUY</v>
      </c>
      <c r="J333" s="46" t="s">
        <v>1229</v>
      </c>
      <c r="K333" s="69">
        <v>5000</v>
      </c>
      <c r="L333" s="69"/>
      <c r="M333" s="70">
        <f>SIP[[#This Row],[Amount]]/SIP[[#This Row],[Unit]]</f>
        <v>10.706638115631691</v>
      </c>
      <c r="N333" s="71">
        <f>SIP[[#This Row],[Unit Capital]]/10</f>
        <v>467</v>
      </c>
      <c r="O333" s="72">
        <f>SUMIFS(SIP[[#Headers],[Unit]]:SIP[[#This Row],[Unit]],SIP[[#Headers],[Investor ID]]:SIP[[#This Row],[Investor ID]],SIP[[#This Row],[Investor ID]])</f>
        <v>3819</v>
      </c>
      <c r="P333" s="73">
        <v>4670</v>
      </c>
      <c r="Q333" s="74">
        <f>SIP[[#This Row],[Amount]]-SIP[[#This Row],[Unit Capital]]</f>
        <v>330</v>
      </c>
      <c r="R3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10.473946059177793</v>
      </c>
      <c r="S333" s="68">
        <f t="shared" si="14"/>
        <v>14.224</v>
      </c>
      <c r="T3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3" s="74" cm="1">
        <f t="array" ref="U333">IF(SIP[[#This Row],[B/S]]="S",ABS(SIP[[#This Row],[Unit]])*(INDEX(SIP[NAV at Cost (Average)],MATCH(CONCATENATE((SIP[[#This Row],[Frequency]]-1),SIP[[#This Row],[Investor ID]]),SIP[Unique Code],0),0)),0)</f>
        <v>0</v>
      </c>
      <c r="V333" s="74">
        <f>IF(SIP[[#This Row],[BO TRANSFER]]="YES",SIP[[#This Row],[Unit]],)</f>
        <v>0</v>
      </c>
      <c r="W333" s="74">
        <f>SUMIFS(SIP[[#Headers],[BO UNIT TRANSFER]]:SIP[[#This Row],[BO UNIT TRANSFER]],SIP[[#Headers],[Investor ID]]:SIP[[#This Row],[Investor ID]],SIP[[#This Row],[Investor ID]])</f>
        <v>0</v>
      </c>
    </row>
    <row r="334" spans="1:23" ht="15" customHeight="1">
      <c r="A334" s="46">
        <v>2024</v>
      </c>
      <c r="B334" s="46">
        <v>1</v>
      </c>
      <c r="C334" s="46">
        <v>26</v>
      </c>
      <c r="D334" s="65">
        <f>DATE(SIP[[#This Row],[Year]],SIP[[#This Row],[Month]],SIP[[#This Row],[Day]])</f>
        <v>45317</v>
      </c>
      <c r="E334" s="66" t="str" cm="1">
        <f t="array" ref="E334">INDEX(INVESTORS_LIST[INVESTOR NAME],MATCH(SIP[[#This Row],[Investor ID]],INVESTORS_LIST[INVESTOR CODE],0),)</f>
        <v>SRIJON GHOSH</v>
      </c>
      <c r="F334" s="46" t="s">
        <v>894</v>
      </c>
      <c r="G334" s="46">
        <f>COUNTIF(SIP[[#Headers],[Investor ID]]:SIP[[#This Row],[Investor ID]],SIP[[#This Row],[Investor ID]])</f>
        <v>20</v>
      </c>
      <c r="H334" s="46" t="str">
        <f>CONCATENATE(SIP[[#This Row],[Frequency]],SIP[[#This Row],[Investor ID]])</f>
        <v>20A00424</v>
      </c>
      <c r="I334" s="46" t="str">
        <f>IF(SIP[[#This Row],[B/S]]="B","BUY",(IF(SIP[[#This Row],[B/S]]="S","SELL"," ")))</f>
        <v>BUY</v>
      </c>
      <c r="J334" s="46" t="s">
        <v>1229</v>
      </c>
      <c r="K334" s="69">
        <v>15000</v>
      </c>
      <c r="L334" s="69"/>
      <c r="M334" s="70">
        <f>SIP[[#This Row],[Amount]]/SIP[[#This Row],[Unit]]</f>
        <v>10.744985673352435</v>
      </c>
      <c r="N334" s="71">
        <f>SIP[[#This Row],[Unit Capital]]/10</f>
        <v>1396</v>
      </c>
      <c r="O334" s="72">
        <f>SUMIFS(SIP[[#Headers],[Unit]]:SIP[[#This Row],[Unit]],SIP[[#Headers],[Investor ID]]:SIP[[#This Row],[Investor ID]],SIP[[#This Row],[Investor ID]])</f>
        <v>11300</v>
      </c>
      <c r="P334" s="73">
        <v>13960</v>
      </c>
      <c r="Q334" s="74">
        <f>SIP[[#This Row],[Amount]]-SIP[[#This Row],[Unit Capital]]</f>
        <v>1040</v>
      </c>
      <c r="R3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10.487132573952145</v>
      </c>
      <c r="S334" s="68">
        <f t="shared" si="14"/>
        <v>14.224</v>
      </c>
      <c r="T3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4" s="74" cm="1">
        <f t="array" ref="U334">IF(SIP[[#This Row],[B/S]]="S",ABS(SIP[[#This Row],[Unit]])*(INDEX(SIP[NAV at Cost (Average)],MATCH(CONCATENATE((SIP[[#This Row],[Frequency]]-1),SIP[[#This Row],[Investor ID]]),SIP[Unique Code],0),0)),0)</f>
        <v>0</v>
      </c>
      <c r="V334" s="74">
        <f>IF(SIP[[#This Row],[BO TRANSFER]]="YES",SIP[[#This Row],[Unit]],)</f>
        <v>0</v>
      </c>
      <c r="W334" s="74">
        <f>SUMIFS(SIP[[#Headers],[BO UNIT TRANSFER]]:SIP[[#This Row],[BO UNIT TRANSFER]],SIP[[#Headers],[Investor ID]]:SIP[[#This Row],[Investor ID]],SIP[[#This Row],[Investor ID]])</f>
        <v>0</v>
      </c>
    </row>
    <row r="335" spans="1:23" ht="15" customHeight="1">
      <c r="A335" s="46">
        <v>2024</v>
      </c>
      <c r="B335" s="46">
        <v>1</v>
      </c>
      <c r="C335" s="46">
        <v>26</v>
      </c>
      <c r="D335" s="65">
        <f>DATE(SIP[[#This Row],[Year]],SIP[[#This Row],[Month]],SIP[[#This Row],[Day]])</f>
        <v>45317</v>
      </c>
      <c r="E335" s="66" t="str" cm="1">
        <f t="array" ref="E335">INDEX(INVESTORS_LIST[INVESTOR NAME],MATCH(SIP[[#This Row],[Investor ID]],INVESTORS_LIST[INVESTOR CODE],0),)</f>
        <v>MD. ARIFUL ISLAM</v>
      </c>
      <c r="F335" s="46" t="s">
        <v>222</v>
      </c>
      <c r="G335" s="46">
        <f>COUNTIF(SIP[[#Headers],[Investor ID]]:SIP[[#This Row],[Investor ID]],SIP[[#This Row],[Investor ID]])</f>
        <v>9</v>
      </c>
      <c r="H335" s="46" t="str">
        <f>CONCATENATE(SIP[[#This Row],[Frequency]],SIP[[#This Row],[Investor ID]])</f>
        <v>9A00087</v>
      </c>
      <c r="I335" s="46" t="str">
        <f>IF(SIP[[#This Row],[B/S]]="B","BUY",(IF(SIP[[#This Row],[B/S]]="S","SELL"," ")))</f>
        <v>BUY</v>
      </c>
      <c r="J335" s="46" t="s">
        <v>1229</v>
      </c>
      <c r="K335" s="69">
        <v>10000</v>
      </c>
      <c r="L335" s="69"/>
      <c r="M335" s="70">
        <f>SIP[[#This Row],[Amount]]/SIP[[#This Row],[Unit]]</f>
        <v>10.741138560687434</v>
      </c>
      <c r="N335" s="71">
        <f>SIP[[#This Row],[Unit Capital]]/10</f>
        <v>931</v>
      </c>
      <c r="O335" s="72">
        <f>SUMIFS(SIP[[#Headers],[Unit]]:SIP[[#This Row],[Unit]],SIP[[#Headers],[Investor ID]]:SIP[[#This Row],[Investor ID]],SIP[[#This Row],[Investor ID]])</f>
        <v>8596</v>
      </c>
      <c r="P335" s="73">
        <v>9310</v>
      </c>
      <c r="Q335" s="74">
        <f>SIP[[#This Row],[Amount]]-SIP[[#This Row],[Unit Capital]]</f>
        <v>690</v>
      </c>
      <c r="R3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10.469986040018613</v>
      </c>
      <c r="S335" s="68">
        <f t="shared" si="14"/>
        <v>14.224</v>
      </c>
      <c r="T3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5" s="74" cm="1">
        <f t="array" ref="U335">IF(SIP[[#This Row],[B/S]]="S",ABS(SIP[[#This Row],[Unit]])*(INDEX(SIP[NAV at Cost (Average)],MATCH(CONCATENATE((SIP[[#This Row],[Frequency]]-1),SIP[[#This Row],[Investor ID]]),SIP[Unique Code],0),0)),0)</f>
        <v>0</v>
      </c>
      <c r="V335" s="74">
        <f>IF(SIP[[#This Row],[BO TRANSFER]]="YES",SIP[[#This Row],[Unit]],)</f>
        <v>0</v>
      </c>
      <c r="W335" s="74">
        <f>SUMIFS(SIP[[#Headers],[BO UNIT TRANSFER]]:SIP[[#This Row],[BO UNIT TRANSFER]],SIP[[#Headers],[Investor ID]]:SIP[[#This Row],[Investor ID]],SIP[[#This Row],[Investor ID]])</f>
        <v>0</v>
      </c>
    </row>
    <row r="336" spans="1:23" ht="15" customHeight="1">
      <c r="A336" s="46">
        <v>2024</v>
      </c>
      <c r="B336" s="46">
        <v>1</v>
      </c>
      <c r="C336" s="46">
        <v>26</v>
      </c>
      <c r="D336" s="65">
        <f>DATE(SIP[[#This Row],[Year]],SIP[[#This Row],[Month]],SIP[[#This Row],[Day]])</f>
        <v>45317</v>
      </c>
      <c r="E336" s="66" t="str" cm="1">
        <f t="array" ref="E336">INDEX(INVESTORS_LIST[INVESTOR NAME],MATCH(SIP[[#This Row],[Investor ID]],INVESTORS_LIST[INVESTOR CODE],0),)</f>
        <v>KHAN MUHAMMAD FAISOL</v>
      </c>
      <c r="F336" s="46" t="s">
        <v>930</v>
      </c>
      <c r="G336" s="46">
        <f>COUNTIF(SIP[[#Headers],[Investor ID]]:SIP[[#This Row],[Investor ID]],SIP[[#This Row],[Investor ID]])</f>
        <v>9</v>
      </c>
      <c r="H336" s="46" t="str">
        <f>CONCATENATE(SIP[[#This Row],[Frequency]],SIP[[#This Row],[Investor ID]])</f>
        <v>9A00442</v>
      </c>
      <c r="I336" s="46" t="str">
        <f>IF(SIP[[#This Row],[B/S]]="B","BUY",(IF(SIP[[#This Row],[B/S]]="S","SELL"," ")))</f>
        <v>BUY</v>
      </c>
      <c r="J336" s="46" t="s">
        <v>1229</v>
      </c>
      <c r="K336" s="69">
        <v>1000</v>
      </c>
      <c r="L336" s="69"/>
      <c r="M336" s="70">
        <f>SIP[[#This Row],[Amount]]/SIP[[#This Row],[Unit]]</f>
        <v>10.75268817204301</v>
      </c>
      <c r="N336" s="71">
        <f>SIP[[#This Row],[Unit Capital]]/10</f>
        <v>93</v>
      </c>
      <c r="O336" s="72">
        <f>SUMIFS(SIP[[#Headers],[Unit]]:SIP[[#This Row],[Unit]],SIP[[#Headers],[Investor ID]]:SIP[[#This Row],[Investor ID]],SIP[[#This Row],[Investor ID]])</f>
        <v>859</v>
      </c>
      <c r="P336" s="73">
        <v>930</v>
      </c>
      <c r="Q336" s="74">
        <f>SIP[[#This Row],[Amount]]-SIP[[#This Row],[Unit Capital]]</f>
        <v>70</v>
      </c>
      <c r="R3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10.477299185098953</v>
      </c>
      <c r="S336" s="68">
        <f t="shared" si="14"/>
        <v>14.224</v>
      </c>
      <c r="T3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6" s="74" cm="1">
        <f t="array" ref="U336">IF(SIP[[#This Row],[B/S]]="S",ABS(SIP[[#This Row],[Unit]])*(INDEX(SIP[NAV at Cost (Average)],MATCH(CONCATENATE((SIP[[#This Row],[Frequency]]-1),SIP[[#This Row],[Investor ID]]),SIP[Unique Code],0),0)),0)</f>
        <v>0</v>
      </c>
      <c r="V336" s="74">
        <f>IF(SIP[[#This Row],[BO TRANSFER]]="YES",SIP[[#This Row],[Unit]],)</f>
        <v>0</v>
      </c>
      <c r="W336" s="74">
        <f>SUMIFS(SIP[[#Headers],[BO UNIT TRANSFER]]:SIP[[#This Row],[BO UNIT TRANSFER]],SIP[[#Headers],[Investor ID]]:SIP[[#This Row],[Investor ID]],SIP[[#This Row],[Investor ID]])</f>
        <v>0</v>
      </c>
    </row>
    <row r="337" spans="1:23" ht="15" customHeight="1">
      <c r="A337" s="46">
        <v>2024</v>
      </c>
      <c r="B337" s="46">
        <v>1</v>
      </c>
      <c r="C337" s="46">
        <v>26</v>
      </c>
      <c r="D337" s="65">
        <f>DATE(SIP[[#This Row],[Year]],SIP[[#This Row],[Month]],SIP[[#This Row],[Day]])</f>
        <v>45317</v>
      </c>
      <c r="E337" s="66" t="str" cm="1">
        <f t="array" ref="E337">INDEX(INVESTORS_LIST[INVESTOR NAME],MATCH(SIP[[#This Row],[Investor ID]],INVESTORS_LIST[INVESTOR CODE],0),)</f>
        <v>SRIJON GHOSH</v>
      </c>
      <c r="F337" s="46" t="s">
        <v>894</v>
      </c>
      <c r="G337" s="46">
        <f>COUNTIF(SIP[[#Headers],[Investor ID]]:SIP[[#This Row],[Investor ID]],SIP[[#This Row],[Investor ID]])</f>
        <v>21</v>
      </c>
      <c r="H337" s="46" t="str">
        <f>CONCATENATE(SIP[[#This Row],[Frequency]],SIP[[#This Row],[Investor ID]])</f>
        <v>21A00424</v>
      </c>
      <c r="I337" s="46" t="str">
        <f>IF(SIP[[#This Row],[B/S]]="B","BUY",(IF(SIP[[#This Row],[B/S]]="S","SELL"," ")))</f>
        <v>BUY</v>
      </c>
      <c r="J337" s="46" t="s">
        <v>1229</v>
      </c>
      <c r="K337" s="69">
        <v>5000</v>
      </c>
      <c r="L337" s="69"/>
      <c r="M337" s="70">
        <f>SIP[[#This Row],[Amount]]/SIP[[#This Row],[Unit]]</f>
        <v>10.75268817204301</v>
      </c>
      <c r="N337" s="71">
        <f>SIP[[#This Row],[Unit Capital]]/10</f>
        <v>465</v>
      </c>
      <c r="O337" s="72">
        <f>SUMIFS(SIP[[#Headers],[Unit]]:SIP[[#This Row],[Unit]],SIP[[#Headers],[Investor ID]]:SIP[[#This Row],[Investor ID]],SIP[[#This Row],[Investor ID]])</f>
        <v>11765</v>
      </c>
      <c r="P337" s="73">
        <v>4650</v>
      </c>
      <c r="Q337" s="74">
        <f>SIP[[#This Row],[Amount]]-SIP[[#This Row],[Unit Capital]]</f>
        <v>350</v>
      </c>
      <c r="R3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10.49762839657112</v>
      </c>
      <c r="S337" s="68">
        <f t="shared" si="14"/>
        <v>14.224</v>
      </c>
      <c r="T3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7" s="74" cm="1">
        <f t="array" ref="U337">IF(SIP[[#This Row],[B/S]]="S",ABS(SIP[[#This Row],[Unit]])*(INDEX(SIP[NAV at Cost (Average)],MATCH(CONCATENATE((SIP[[#This Row],[Frequency]]-1),SIP[[#This Row],[Investor ID]]),SIP[Unique Code],0),0)),0)</f>
        <v>0</v>
      </c>
      <c r="V337" s="74">
        <f>IF(SIP[[#This Row],[BO TRANSFER]]="YES",SIP[[#This Row],[Unit]],)</f>
        <v>0</v>
      </c>
      <c r="W337" s="74">
        <f>SUMIFS(SIP[[#Headers],[BO UNIT TRANSFER]]:SIP[[#This Row],[BO UNIT TRANSFER]],SIP[[#Headers],[Investor ID]]:SIP[[#This Row],[Investor ID]],SIP[[#This Row],[Investor ID]])</f>
        <v>0</v>
      </c>
    </row>
    <row r="338" spans="1:23" ht="15" customHeight="1">
      <c r="A338" s="46">
        <v>2024</v>
      </c>
      <c r="B338" s="46">
        <v>1</v>
      </c>
      <c r="C338" s="46">
        <v>26</v>
      </c>
      <c r="D338" s="65">
        <f>DATE(SIP[[#This Row],[Year]],SIP[[#This Row],[Month]],SIP[[#This Row],[Day]])</f>
        <v>45317</v>
      </c>
      <c r="E338" s="66" t="str" cm="1">
        <f t="array" ref="E338">INDEX(INVESTORS_LIST[INVESTOR NAME],MATCH(SIP[[#This Row],[Investor ID]],INVESTORS_LIST[INVESTOR CODE],0),)</f>
        <v>NUSRAT JAHAN TISHA</v>
      </c>
      <c r="F338" s="46" t="s">
        <v>926</v>
      </c>
      <c r="G338" s="46">
        <f>COUNTIF(SIP[[#Headers],[Investor ID]]:SIP[[#This Row],[Investor ID]],SIP[[#This Row],[Investor ID]])</f>
        <v>6</v>
      </c>
      <c r="H338" s="46" t="str">
        <f>CONCATENATE(SIP[[#This Row],[Frequency]],SIP[[#This Row],[Investor ID]])</f>
        <v>6A00440</v>
      </c>
      <c r="I338" s="46" t="str">
        <f>IF(SIP[[#This Row],[B/S]]="B","BUY",(IF(SIP[[#This Row],[B/S]]="S","SELL"," ")))</f>
        <v>BUY</v>
      </c>
      <c r="J338" s="46" t="s">
        <v>1229</v>
      </c>
      <c r="K338" s="69">
        <v>5000</v>
      </c>
      <c r="L338" s="69"/>
      <c r="M338" s="70">
        <f>SIP[[#This Row],[Amount]]/SIP[[#This Row],[Unit]]</f>
        <v>10.75268817204301</v>
      </c>
      <c r="N338" s="71">
        <f>SIP[[#This Row],[Unit Capital]]/10</f>
        <v>465</v>
      </c>
      <c r="O338" s="72">
        <f>SUMIFS(SIP[[#Headers],[Unit]]:SIP[[#This Row],[Unit]],SIP[[#Headers],[Investor ID]]:SIP[[#This Row],[Investor ID]],SIP[[#This Row],[Investor ID]])</f>
        <v>2837</v>
      </c>
      <c r="P338" s="73">
        <v>4650</v>
      </c>
      <c r="Q338" s="74">
        <f>SIP[[#This Row],[Amount]]-SIP[[#This Row],[Unit Capital]]</f>
        <v>350</v>
      </c>
      <c r="R3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10.574550581600283</v>
      </c>
      <c r="S338" s="68">
        <f t="shared" si="14"/>
        <v>14.224</v>
      </c>
      <c r="T3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8" s="74" cm="1">
        <f t="array" ref="U338">IF(SIP[[#This Row],[B/S]]="S",ABS(SIP[[#This Row],[Unit]])*(INDEX(SIP[NAV at Cost (Average)],MATCH(CONCATENATE((SIP[[#This Row],[Frequency]]-1),SIP[[#This Row],[Investor ID]]),SIP[Unique Code],0),0)),0)</f>
        <v>0</v>
      </c>
      <c r="V338" s="74">
        <f>IF(SIP[[#This Row],[BO TRANSFER]]="YES",SIP[[#This Row],[Unit]],)</f>
        <v>0</v>
      </c>
      <c r="W338" s="74">
        <f>SUMIFS(SIP[[#Headers],[BO UNIT TRANSFER]]:SIP[[#This Row],[BO UNIT TRANSFER]],SIP[[#Headers],[Investor ID]]:SIP[[#This Row],[Investor ID]],SIP[[#This Row],[Investor ID]])</f>
        <v>0</v>
      </c>
    </row>
    <row r="339" spans="1:23" ht="15" customHeight="1">
      <c r="A339" s="46">
        <v>2024</v>
      </c>
      <c r="B339" s="46">
        <v>1</v>
      </c>
      <c r="C339" s="46">
        <v>26</v>
      </c>
      <c r="D339" s="65">
        <f>DATE(SIP[[#This Row],[Year]],SIP[[#This Row],[Month]],SIP[[#This Row],[Day]])</f>
        <v>45317</v>
      </c>
      <c r="E339" s="66" t="str" cm="1">
        <f t="array" ref="E339">INDEX(INVESTORS_LIST[INVESTOR NAME],MATCH(SIP[[#This Row],[Investor ID]],INVESTORS_LIST[INVESTOR CODE],0),)</f>
        <v>MD. WALI ULLAH</v>
      </c>
      <c r="F339" s="46" t="s">
        <v>443</v>
      </c>
      <c r="G339" s="46">
        <f>COUNTIF(SIP[[#Headers],[Investor ID]]:SIP[[#This Row],[Investor ID]],SIP[[#This Row],[Investor ID]])</f>
        <v>9</v>
      </c>
      <c r="H339" s="46" t="str">
        <f>CONCATENATE(SIP[[#This Row],[Frequency]],SIP[[#This Row],[Investor ID]])</f>
        <v>9A00197</v>
      </c>
      <c r="I339" s="46" t="str">
        <f>IF(SIP[[#This Row],[B/S]]="B","BUY",(IF(SIP[[#This Row],[B/S]]="S","SELL"," ")))</f>
        <v>BUY</v>
      </c>
      <c r="J339" s="46" t="s">
        <v>1229</v>
      </c>
      <c r="K339" s="69">
        <v>15000</v>
      </c>
      <c r="L339" s="69"/>
      <c r="M339" s="70">
        <f>SIP[[#This Row],[Amount]]/SIP[[#This Row],[Unit]]</f>
        <v>10.744985673352435</v>
      </c>
      <c r="N339" s="71">
        <f>SIP[[#This Row],[Unit Capital]]/10</f>
        <v>1396</v>
      </c>
      <c r="O339" s="72">
        <f>SUMIFS(SIP[[#Headers],[Unit]]:SIP[[#This Row],[Unit]],SIP[[#Headers],[Investor ID]]:SIP[[#This Row],[Investor ID]],SIP[[#This Row],[Investor ID]])</f>
        <v>12896</v>
      </c>
      <c r="P339" s="73">
        <v>13960</v>
      </c>
      <c r="Q339" s="74">
        <f>SIP[[#This Row],[Amount]]-SIP[[#This Row],[Unit Capital]]</f>
        <v>1040</v>
      </c>
      <c r="R3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10.46836228287841</v>
      </c>
      <c r="S339" s="68">
        <f t="shared" si="14"/>
        <v>14.224</v>
      </c>
      <c r="T3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9" s="74" cm="1">
        <f t="array" ref="U339">IF(SIP[[#This Row],[B/S]]="S",ABS(SIP[[#This Row],[Unit]])*(INDEX(SIP[NAV at Cost (Average)],MATCH(CONCATENATE((SIP[[#This Row],[Frequency]]-1),SIP[[#This Row],[Investor ID]]),SIP[Unique Code],0),0)),0)</f>
        <v>0</v>
      </c>
      <c r="V339" s="74">
        <f>IF(SIP[[#This Row],[BO TRANSFER]]="YES",SIP[[#This Row],[Unit]],)</f>
        <v>0</v>
      </c>
      <c r="W339" s="74">
        <f>SUMIFS(SIP[[#Headers],[BO UNIT TRANSFER]]:SIP[[#This Row],[BO UNIT TRANSFER]],SIP[[#Headers],[Investor ID]]:SIP[[#This Row],[Investor ID]],SIP[[#This Row],[Investor ID]])</f>
        <v>0</v>
      </c>
    </row>
    <row r="340" spans="1:23" ht="15" customHeight="1">
      <c r="A340" s="46">
        <v>2024</v>
      </c>
      <c r="B340" s="46">
        <v>1</v>
      </c>
      <c r="C340" s="46">
        <v>26</v>
      </c>
      <c r="D340" s="65">
        <f>DATE(SIP[[#This Row],[Year]],SIP[[#This Row],[Month]],SIP[[#This Row],[Day]])</f>
        <v>45317</v>
      </c>
      <c r="E340" s="66" t="str" cm="1">
        <f t="array" ref="E340">INDEX(INVESTORS_LIST[INVESTOR NAME],MATCH(SIP[[#This Row],[Investor ID]],INVESTORS_LIST[INVESTOR CODE],0),)</f>
        <v>MOHAMMAD HASAN</v>
      </c>
      <c r="F340" s="46" t="s">
        <v>1010</v>
      </c>
      <c r="G340" s="46">
        <f>COUNTIF(SIP[[#Headers],[Investor ID]]:SIP[[#This Row],[Investor ID]],SIP[[#This Row],[Investor ID]])</f>
        <v>8</v>
      </c>
      <c r="H340" s="46" t="str">
        <f>CONCATENATE(SIP[[#This Row],[Frequency]],SIP[[#This Row],[Investor ID]])</f>
        <v>8A00482</v>
      </c>
      <c r="I340" s="46" t="str">
        <f>IF(SIP[[#This Row],[B/S]]="B","BUY",(IF(SIP[[#This Row],[B/S]]="S","SELL"," ")))</f>
        <v>BUY</v>
      </c>
      <c r="J340" s="46" t="s">
        <v>1229</v>
      </c>
      <c r="K340" s="69">
        <v>5000</v>
      </c>
      <c r="L340" s="69"/>
      <c r="M340" s="70">
        <f>SIP[[#This Row],[Amount]]/SIP[[#This Row],[Unit]]</f>
        <v>10.75268817204301</v>
      </c>
      <c r="N340" s="71">
        <f>SIP[[#This Row],[Unit Capital]]/10</f>
        <v>465</v>
      </c>
      <c r="O340" s="72">
        <f>SUMIFS(SIP[[#Headers],[Unit]]:SIP[[#This Row],[Unit]],SIP[[#Headers],[Investor ID]]:SIP[[#This Row],[Investor ID]],SIP[[#This Row],[Investor ID]])</f>
        <v>3807</v>
      </c>
      <c r="P340" s="73">
        <v>4650</v>
      </c>
      <c r="Q340" s="74">
        <f>SIP[[#This Row],[Amount]]-SIP[[#This Row],[Unit Capital]]</f>
        <v>350</v>
      </c>
      <c r="R3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40" s="68">
        <f t="shared" si="14"/>
        <v>14.224</v>
      </c>
      <c r="T3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0" s="74" cm="1">
        <f t="array" ref="U340">IF(SIP[[#This Row],[B/S]]="S",ABS(SIP[[#This Row],[Unit]])*(INDEX(SIP[NAV at Cost (Average)],MATCH(CONCATENATE((SIP[[#This Row],[Frequency]]-1),SIP[[#This Row],[Investor ID]]),SIP[Unique Code],0),0)),0)</f>
        <v>0</v>
      </c>
      <c r="V340" s="74">
        <f>IF(SIP[[#This Row],[BO TRANSFER]]="YES",SIP[[#This Row],[Unit]],)</f>
        <v>0</v>
      </c>
      <c r="W340" s="74">
        <f>SUMIFS(SIP[[#Headers],[BO UNIT TRANSFER]]:SIP[[#This Row],[BO UNIT TRANSFER]],SIP[[#Headers],[Investor ID]]:SIP[[#This Row],[Investor ID]],SIP[[#This Row],[Investor ID]])</f>
        <v>0</v>
      </c>
    </row>
    <row r="341" spans="1:23" ht="15" customHeight="1">
      <c r="A341" s="46">
        <v>2024</v>
      </c>
      <c r="B341" s="46">
        <v>1</v>
      </c>
      <c r="C341" s="46">
        <v>26</v>
      </c>
      <c r="D341" s="65">
        <f>DATE(SIP[[#This Row],[Year]],SIP[[#This Row],[Month]],SIP[[#This Row],[Day]])</f>
        <v>45317</v>
      </c>
      <c r="E341" s="66" t="str" cm="1">
        <f t="array" ref="E341">INDEX(INVESTORS_LIST[INVESTOR NAME],MATCH(SIP[[#This Row],[Investor ID]],INVESTORS_LIST[INVESTOR CODE],0),)</f>
        <v>SAJJAD CHOWDHURY</v>
      </c>
      <c r="F341" s="46" t="s">
        <v>461</v>
      </c>
      <c r="G341" s="46">
        <f>COUNTIF(SIP[[#Headers],[Investor ID]]:SIP[[#This Row],[Investor ID]],SIP[[#This Row],[Investor ID]])</f>
        <v>9</v>
      </c>
      <c r="H341" s="46" t="str">
        <f>CONCATENATE(SIP[[#This Row],[Frequency]],SIP[[#This Row],[Investor ID]])</f>
        <v>9A00206</v>
      </c>
      <c r="I341" s="46" t="str">
        <f>IF(SIP[[#This Row],[B/S]]="B","BUY",(IF(SIP[[#This Row],[B/S]]="S","SELL"," ")))</f>
        <v>BUY</v>
      </c>
      <c r="J341" s="46" t="s">
        <v>1229</v>
      </c>
      <c r="K341" s="69">
        <v>7500</v>
      </c>
      <c r="L341" s="69"/>
      <c r="M341" s="70">
        <f>SIP[[#This Row],[Amount]]/SIP[[#This Row],[Unit]]</f>
        <v>10.744985673352435</v>
      </c>
      <c r="N341" s="71">
        <f>SIP[[#This Row],[Unit Capital]]/10</f>
        <v>698</v>
      </c>
      <c r="O341" s="72">
        <f>SUMIFS(SIP[[#Headers],[Unit]]:SIP[[#This Row],[Unit]],SIP[[#Headers],[Investor ID]]:SIP[[#This Row],[Investor ID]],SIP[[#This Row],[Investor ID]])</f>
        <v>6447</v>
      </c>
      <c r="P341" s="73">
        <v>6980</v>
      </c>
      <c r="Q341" s="74">
        <f>SIP[[#This Row],[Amount]]-SIP[[#This Row],[Unit Capital]]</f>
        <v>520</v>
      </c>
      <c r="R3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10.469986040018611</v>
      </c>
      <c r="S341" s="68">
        <f t="shared" si="14"/>
        <v>14.224</v>
      </c>
      <c r="T3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1" s="74" cm="1">
        <f t="array" ref="U341">IF(SIP[[#This Row],[B/S]]="S",ABS(SIP[[#This Row],[Unit]])*(INDEX(SIP[NAV at Cost (Average)],MATCH(CONCATENATE((SIP[[#This Row],[Frequency]]-1),SIP[[#This Row],[Investor ID]]),SIP[Unique Code],0),0)),0)</f>
        <v>0</v>
      </c>
      <c r="V341" s="74">
        <f>IF(SIP[[#This Row],[BO TRANSFER]]="YES",SIP[[#This Row],[Unit]],)</f>
        <v>0</v>
      </c>
      <c r="W341" s="74">
        <f>SUMIFS(SIP[[#Headers],[BO UNIT TRANSFER]]:SIP[[#This Row],[BO UNIT TRANSFER]],SIP[[#Headers],[Investor ID]]:SIP[[#This Row],[Investor ID]],SIP[[#This Row],[Investor ID]])</f>
        <v>0</v>
      </c>
    </row>
    <row r="342" spans="1:23" ht="15" customHeight="1">
      <c r="A342" s="46">
        <v>2024</v>
      </c>
      <c r="B342" s="46">
        <v>1</v>
      </c>
      <c r="C342" s="46">
        <v>26</v>
      </c>
      <c r="D342" s="65">
        <f>DATE(SIP[[#This Row],[Year]],SIP[[#This Row],[Month]],SIP[[#This Row],[Day]])</f>
        <v>45317</v>
      </c>
      <c r="E342" s="66" t="str" cm="1">
        <f t="array" ref="E342">INDEX(INVESTORS_LIST[INVESTOR NAME],MATCH(SIP[[#This Row],[Investor ID]],INVESTORS_LIST[INVESTOR CODE],0),)</f>
        <v>S.M. SAIFUL ISLAM</v>
      </c>
      <c r="F342" s="46" t="s">
        <v>1002</v>
      </c>
      <c r="G342" s="46">
        <f>COUNTIF(SIP[[#Headers],[Investor ID]]:SIP[[#This Row],[Investor ID]],SIP[[#This Row],[Investor ID]])</f>
        <v>9</v>
      </c>
      <c r="H342" s="46" t="str">
        <f>CONCATENATE(SIP[[#This Row],[Frequency]],SIP[[#This Row],[Investor ID]])</f>
        <v>9A00478</v>
      </c>
      <c r="I342" s="46" t="str">
        <f>IF(SIP[[#This Row],[B/S]]="B","BUY",(IF(SIP[[#This Row],[B/S]]="S","SELL"," ")))</f>
        <v>BUY</v>
      </c>
      <c r="J342" s="46" t="s">
        <v>1229</v>
      </c>
      <c r="K342" s="69">
        <v>10000</v>
      </c>
      <c r="L342" s="69"/>
      <c r="M342" s="70">
        <f>SIP[[#This Row],[Amount]]/SIP[[#This Row],[Unit]]</f>
        <v>10.741138560687434</v>
      </c>
      <c r="N342" s="71">
        <f>SIP[[#This Row],[Unit Capital]]/10</f>
        <v>931</v>
      </c>
      <c r="O342" s="72">
        <f>SUMIFS(SIP[[#Headers],[Unit]]:SIP[[#This Row],[Unit]],SIP[[#Headers],[Investor ID]]:SIP[[#This Row],[Investor ID]],SIP[[#This Row],[Investor ID]])</f>
        <v>8598</v>
      </c>
      <c r="P342" s="73">
        <v>9310</v>
      </c>
      <c r="Q342" s="74">
        <f>SIP[[#This Row],[Amount]]-SIP[[#This Row],[Unit Capital]]</f>
        <v>690</v>
      </c>
      <c r="R3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10.467550593161201</v>
      </c>
      <c r="S342" s="68">
        <f t="shared" si="14"/>
        <v>14.224</v>
      </c>
      <c r="T3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2" s="74" cm="1">
        <f t="array" ref="U342">IF(SIP[[#This Row],[B/S]]="S",ABS(SIP[[#This Row],[Unit]])*(INDEX(SIP[NAV at Cost (Average)],MATCH(CONCATENATE((SIP[[#This Row],[Frequency]]-1),SIP[[#This Row],[Investor ID]]),SIP[Unique Code],0),0)),0)</f>
        <v>0</v>
      </c>
      <c r="V342" s="74">
        <f>IF(SIP[[#This Row],[BO TRANSFER]]="YES",SIP[[#This Row],[Unit]],)</f>
        <v>0</v>
      </c>
      <c r="W342" s="74">
        <f>SUMIFS(SIP[[#Headers],[BO UNIT TRANSFER]]:SIP[[#This Row],[BO UNIT TRANSFER]],SIP[[#Headers],[Investor ID]]:SIP[[#This Row],[Investor ID]],SIP[[#This Row],[Investor ID]])</f>
        <v>0</v>
      </c>
    </row>
    <row r="343" spans="1:23" ht="15" customHeight="1">
      <c r="A343" s="46">
        <v>2024</v>
      </c>
      <c r="B343" s="46">
        <v>1</v>
      </c>
      <c r="C343" s="46">
        <v>26</v>
      </c>
      <c r="D343" s="65">
        <f>DATE(SIP[[#This Row],[Year]],SIP[[#This Row],[Month]],SIP[[#This Row],[Day]])</f>
        <v>45317</v>
      </c>
      <c r="E343" s="66" t="str" cm="1">
        <f t="array" ref="E343">INDEX(INVESTORS_LIST[INVESTOR NAME],MATCH(SIP[[#This Row],[Investor ID]],INVESTORS_LIST[INVESTOR CODE],0),)</f>
        <v>ABU MUSA MIRZA KAMRUZZAMAN SHAHEE</v>
      </c>
      <c r="F343" s="46" t="s">
        <v>1012</v>
      </c>
      <c r="G343" s="46">
        <f>COUNTIF(SIP[[#Headers],[Investor ID]]:SIP[[#This Row],[Investor ID]],SIP[[#This Row],[Investor ID]])</f>
        <v>8</v>
      </c>
      <c r="H343" s="46" t="str">
        <f>CONCATENATE(SIP[[#This Row],[Frequency]],SIP[[#This Row],[Investor ID]])</f>
        <v>8A00483</v>
      </c>
      <c r="I343" s="46" t="str">
        <f>IF(SIP[[#This Row],[B/S]]="B","BUY",(IF(SIP[[#This Row],[B/S]]="S","SELL"," ")))</f>
        <v>BUY</v>
      </c>
      <c r="J343" s="46" t="s">
        <v>1229</v>
      </c>
      <c r="K343" s="69">
        <v>5000</v>
      </c>
      <c r="L343" s="69"/>
      <c r="M343" s="70">
        <f>SIP[[#This Row],[Amount]]/SIP[[#This Row],[Unit]]</f>
        <v>10.75268817204301</v>
      </c>
      <c r="N343" s="71">
        <f>SIP[[#This Row],[Unit Capital]]/10</f>
        <v>465</v>
      </c>
      <c r="O343" s="72">
        <f>SUMIFS(SIP[[#Headers],[Unit]]:SIP[[#This Row],[Unit]],SIP[[#Headers],[Investor ID]]:SIP[[#This Row],[Investor ID]],SIP[[#This Row],[Investor ID]])</f>
        <v>3807</v>
      </c>
      <c r="P343" s="73">
        <v>4650</v>
      </c>
      <c r="Q343" s="74">
        <f>SIP[[#This Row],[Amount]]-SIP[[#This Row],[Unit Capital]]</f>
        <v>350</v>
      </c>
      <c r="R3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43" s="68">
        <f t="shared" si="14"/>
        <v>14.224</v>
      </c>
      <c r="T3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3" s="74" cm="1">
        <f t="array" ref="U343">IF(SIP[[#This Row],[B/S]]="S",ABS(SIP[[#This Row],[Unit]])*(INDEX(SIP[NAV at Cost (Average)],MATCH(CONCATENATE((SIP[[#This Row],[Frequency]]-1),SIP[[#This Row],[Investor ID]]),SIP[Unique Code],0),0)),0)</f>
        <v>0</v>
      </c>
      <c r="V343" s="74">
        <f>IF(SIP[[#This Row],[BO TRANSFER]]="YES",SIP[[#This Row],[Unit]],)</f>
        <v>0</v>
      </c>
      <c r="W343" s="74">
        <f>SUMIFS(SIP[[#Headers],[BO UNIT TRANSFER]]:SIP[[#This Row],[BO UNIT TRANSFER]],SIP[[#Headers],[Investor ID]]:SIP[[#This Row],[Investor ID]],SIP[[#This Row],[Investor ID]])</f>
        <v>0</v>
      </c>
    </row>
    <row r="344" spans="1:23" ht="15" customHeight="1">
      <c r="A344" s="46">
        <v>2024</v>
      </c>
      <c r="B344" s="46">
        <v>1</v>
      </c>
      <c r="C344" s="46">
        <v>26</v>
      </c>
      <c r="D344" s="65">
        <f>DATE(SIP[[#This Row],[Year]],SIP[[#This Row],[Month]],SIP[[#This Row],[Day]])</f>
        <v>45317</v>
      </c>
      <c r="E344" s="66" t="str" cm="1">
        <f t="array" ref="E344">INDEX(INVESTORS_LIST[INVESTOR NAME],MATCH(SIP[[#This Row],[Investor ID]],INVESTORS_LIST[INVESTOR CODE],0),)</f>
        <v>ASHIK IQBAL CHOWDHURY</v>
      </c>
      <c r="F344" s="46" t="s">
        <v>1016</v>
      </c>
      <c r="G344" s="46">
        <f>COUNTIF(SIP[[#Headers],[Investor ID]]:SIP[[#This Row],[Investor ID]],SIP[[#This Row],[Investor ID]])</f>
        <v>8</v>
      </c>
      <c r="H344" s="46" t="str">
        <f>CONCATENATE(SIP[[#This Row],[Frequency]],SIP[[#This Row],[Investor ID]])</f>
        <v>8A00485</v>
      </c>
      <c r="I344" s="46" t="str">
        <f>IF(SIP[[#This Row],[B/S]]="B","BUY",(IF(SIP[[#This Row],[B/S]]="S","SELL"," ")))</f>
        <v>BUY</v>
      </c>
      <c r="J344" s="46" t="s">
        <v>1229</v>
      </c>
      <c r="K344" s="69">
        <v>5000</v>
      </c>
      <c r="L344" s="69"/>
      <c r="M344" s="70">
        <f>SIP[[#This Row],[Amount]]/SIP[[#This Row],[Unit]]</f>
        <v>10.75268817204301</v>
      </c>
      <c r="N344" s="71">
        <f>SIP[[#This Row],[Unit Capital]]/10</f>
        <v>465</v>
      </c>
      <c r="O344" s="72">
        <f>SUMIFS(SIP[[#Headers],[Unit]]:SIP[[#This Row],[Unit]],SIP[[#Headers],[Investor ID]]:SIP[[#This Row],[Investor ID]],SIP[[#This Row],[Investor ID]])</f>
        <v>3807</v>
      </c>
      <c r="P344" s="73">
        <v>4650</v>
      </c>
      <c r="Q344" s="74">
        <f>SIP[[#This Row],[Amount]]-SIP[[#This Row],[Unit Capital]]</f>
        <v>350</v>
      </c>
      <c r="R3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44" s="68">
        <f t="shared" si="14"/>
        <v>14.224</v>
      </c>
      <c r="T3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4" s="74" cm="1">
        <f t="array" ref="U344">IF(SIP[[#This Row],[B/S]]="S",ABS(SIP[[#This Row],[Unit]])*(INDEX(SIP[NAV at Cost (Average)],MATCH(CONCATENATE((SIP[[#This Row],[Frequency]]-1),SIP[[#This Row],[Investor ID]]),SIP[Unique Code],0),0)),0)</f>
        <v>0</v>
      </c>
      <c r="V344" s="74">
        <f>IF(SIP[[#This Row],[BO TRANSFER]]="YES",SIP[[#This Row],[Unit]],)</f>
        <v>0</v>
      </c>
      <c r="W344" s="74">
        <f>SUMIFS(SIP[[#Headers],[BO UNIT TRANSFER]]:SIP[[#This Row],[BO UNIT TRANSFER]],SIP[[#Headers],[Investor ID]]:SIP[[#This Row],[Investor ID]],SIP[[#This Row],[Investor ID]])</f>
        <v>0</v>
      </c>
    </row>
    <row r="345" spans="1:23" ht="15" customHeight="1">
      <c r="A345" s="46">
        <v>2024</v>
      </c>
      <c r="B345" s="46">
        <v>1</v>
      </c>
      <c r="C345" s="46">
        <v>26</v>
      </c>
      <c r="D345" s="65">
        <f>DATE(SIP[[#This Row],[Year]],SIP[[#This Row],[Month]],SIP[[#This Row],[Day]])</f>
        <v>45317</v>
      </c>
      <c r="E345" s="66" t="str" cm="1">
        <f t="array" ref="E345">INDEX(INVESTORS_LIST[INVESTOR NAME],MATCH(SIP[[#This Row],[Investor ID]],INVESTORS_LIST[INVESTOR CODE],0),)</f>
        <v>SADIA PARVIN</v>
      </c>
      <c r="F345" s="46" t="s">
        <v>1018</v>
      </c>
      <c r="G345" s="46">
        <f>COUNTIF(SIP[[#Headers],[Investor ID]]:SIP[[#This Row],[Investor ID]],SIP[[#This Row],[Investor ID]])</f>
        <v>9</v>
      </c>
      <c r="H345" s="46" t="str">
        <f>CONCATENATE(SIP[[#This Row],[Frequency]],SIP[[#This Row],[Investor ID]])</f>
        <v>9A00486</v>
      </c>
      <c r="I345" s="46" t="str">
        <f>IF(SIP[[#This Row],[B/S]]="B","BUY",(IF(SIP[[#This Row],[B/S]]="S","SELL"," ")))</f>
        <v>BUY</v>
      </c>
      <c r="J345" s="46" t="s">
        <v>1229</v>
      </c>
      <c r="K345" s="69">
        <v>5000</v>
      </c>
      <c r="L345" s="69"/>
      <c r="M345" s="70">
        <f>SIP[[#This Row],[Amount]]/SIP[[#This Row],[Unit]]</f>
        <v>10.75268817204301</v>
      </c>
      <c r="N345" s="71">
        <f>SIP[[#This Row],[Unit Capital]]/10</f>
        <v>465</v>
      </c>
      <c r="O345" s="72">
        <f>SUMIFS(SIP[[#Headers],[Unit]]:SIP[[#This Row],[Unit]],SIP[[#Headers],[Investor ID]]:SIP[[#This Row],[Investor ID]],SIP[[#This Row],[Investor ID]])</f>
        <v>4296</v>
      </c>
      <c r="P345" s="73">
        <v>4650</v>
      </c>
      <c r="Q345" s="74">
        <f>SIP[[#This Row],[Amount]]-SIP[[#This Row],[Unit Capital]]</f>
        <v>350</v>
      </c>
      <c r="R3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10.474860335195531</v>
      </c>
      <c r="S345" s="68">
        <f t="shared" si="14"/>
        <v>14.224</v>
      </c>
      <c r="T3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5" s="74" cm="1">
        <f t="array" ref="U345">IF(SIP[[#This Row],[B/S]]="S",ABS(SIP[[#This Row],[Unit]])*(INDEX(SIP[NAV at Cost (Average)],MATCH(CONCATENATE((SIP[[#This Row],[Frequency]]-1),SIP[[#This Row],[Investor ID]]),SIP[Unique Code],0),0)),0)</f>
        <v>0</v>
      </c>
      <c r="V345" s="74">
        <f>IF(SIP[[#This Row],[BO TRANSFER]]="YES",SIP[[#This Row],[Unit]],)</f>
        <v>0</v>
      </c>
      <c r="W345" s="74">
        <f>SUMIFS(SIP[[#Headers],[BO UNIT TRANSFER]]:SIP[[#This Row],[BO UNIT TRANSFER]],SIP[[#Headers],[Investor ID]]:SIP[[#This Row],[Investor ID]],SIP[[#This Row],[Investor ID]])</f>
        <v>0</v>
      </c>
    </row>
    <row r="346" spans="1:23" ht="15" customHeight="1">
      <c r="A346" s="46">
        <v>2024</v>
      </c>
      <c r="B346" s="46">
        <v>1</v>
      </c>
      <c r="C346" s="46">
        <v>26</v>
      </c>
      <c r="D346" s="65">
        <f>DATE(SIP[[#This Row],[Year]],SIP[[#This Row],[Month]],SIP[[#This Row],[Day]])</f>
        <v>45317</v>
      </c>
      <c r="E346" s="66" t="str" cm="1">
        <f t="array" ref="E346">INDEX(INVESTORS_LIST[INVESTOR NAME],MATCH(SIP[[#This Row],[Investor ID]],INVESTORS_LIST[INVESTOR CODE],0),)</f>
        <v>MAYA RANI SAHA</v>
      </c>
      <c r="F346" s="46" t="s">
        <v>224</v>
      </c>
      <c r="G346" s="46">
        <f>COUNTIF(SIP[[#Headers],[Investor ID]]:SIP[[#This Row],[Investor ID]],SIP[[#This Row],[Investor ID]])</f>
        <v>6</v>
      </c>
      <c r="H346" s="46" t="str">
        <f>CONCATENATE(SIP[[#This Row],[Frequency]],SIP[[#This Row],[Investor ID]])</f>
        <v>6A00088</v>
      </c>
      <c r="I346" s="46" t="str">
        <f>IF(SIP[[#This Row],[B/S]]="B","BUY",(IF(SIP[[#This Row],[B/S]]="S","SELL"," ")))</f>
        <v>BUY</v>
      </c>
      <c r="J346" s="46" t="s">
        <v>1229</v>
      </c>
      <c r="K346" s="69">
        <v>14000</v>
      </c>
      <c r="L346" s="69"/>
      <c r="M346" s="70">
        <f>SIP[[#This Row],[Amount]]/SIP[[#This Row],[Unit]]</f>
        <v>10.744435917114352</v>
      </c>
      <c r="N346" s="71">
        <f>SIP[[#This Row],[Unit Capital]]/10</f>
        <v>1303</v>
      </c>
      <c r="O346" s="72">
        <f>SUMIFS(SIP[[#Headers],[Unit]]:SIP[[#This Row],[Unit]],SIP[[#Headers],[Investor ID]]:SIP[[#This Row],[Investor ID]],SIP[[#This Row],[Investor ID]])</f>
        <v>7581</v>
      </c>
      <c r="P346" s="73">
        <v>13030</v>
      </c>
      <c r="Q346" s="74">
        <f>SIP[[#This Row],[Amount]]-SIP[[#This Row],[Unit Capital]]</f>
        <v>970</v>
      </c>
      <c r="R3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10.552697533306953</v>
      </c>
      <c r="S346" s="68">
        <f t="shared" si="14"/>
        <v>14.224</v>
      </c>
      <c r="T3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6" s="74" cm="1">
        <f t="array" ref="U346">IF(SIP[[#This Row],[B/S]]="S",ABS(SIP[[#This Row],[Unit]])*(INDEX(SIP[NAV at Cost (Average)],MATCH(CONCATENATE((SIP[[#This Row],[Frequency]]-1),SIP[[#This Row],[Investor ID]]),SIP[Unique Code],0),0)),0)</f>
        <v>0</v>
      </c>
      <c r="V346" s="74">
        <f>IF(SIP[[#This Row],[BO TRANSFER]]="YES",SIP[[#This Row],[Unit]],)</f>
        <v>0</v>
      </c>
      <c r="W346" s="74">
        <f>SUMIFS(SIP[[#Headers],[BO UNIT TRANSFER]]:SIP[[#This Row],[BO UNIT TRANSFER]],SIP[[#Headers],[Investor ID]]:SIP[[#This Row],[Investor ID]],SIP[[#This Row],[Investor ID]])</f>
        <v>0</v>
      </c>
    </row>
    <row r="347" spans="1:23" ht="15" customHeight="1">
      <c r="A347" s="46">
        <v>2024</v>
      </c>
      <c r="B347" s="46">
        <v>1</v>
      </c>
      <c r="C347" s="46">
        <v>26</v>
      </c>
      <c r="D347" s="65">
        <f>DATE(SIP[[#This Row],[Year]],SIP[[#This Row],[Month]],SIP[[#This Row],[Day]])</f>
        <v>45317</v>
      </c>
      <c r="E347" s="66" t="str" cm="1">
        <f t="array" ref="E347">INDEX(INVESTORS_LIST[INVESTOR NAME],MATCH(SIP[[#This Row],[Investor ID]],INVESTORS_LIST[INVESTOR CODE],0),)</f>
        <v>SIKDER FAZLE RABBI</v>
      </c>
      <c r="F347" s="46" t="s">
        <v>1032</v>
      </c>
      <c r="G347" s="46">
        <f>COUNTIF(SIP[[#Headers],[Investor ID]]:SIP[[#This Row],[Investor ID]],SIP[[#This Row],[Investor ID]])</f>
        <v>8</v>
      </c>
      <c r="H347" s="46" t="str">
        <f>CONCATENATE(SIP[[#This Row],[Frequency]],SIP[[#This Row],[Investor ID]])</f>
        <v>8A00493</v>
      </c>
      <c r="I347" s="46" t="str">
        <f>IF(SIP[[#This Row],[B/S]]="B","BUY",(IF(SIP[[#This Row],[B/S]]="S","SELL"," ")))</f>
        <v>BUY</v>
      </c>
      <c r="J347" s="46" t="s">
        <v>1229</v>
      </c>
      <c r="K347" s="69">
        <v>5000</v>
      </c>
      <c r="L347" s="69"/>
      <c r="M347" s="70">
        <f>SIP[[#This Row],[Amount]]/SIP[[#This Row],[Unit]]</f>
        <v>10.75268817204301</v>
      </c>
      <c r="N347" s="71">
        <f>SIP[[#This Row],[Unit Capital]]/10</f>
        <v>465</v>
      </c>
      <c r="O347" s="72">
        <f>SUMIFS(SIP[[#Headers],[Unit]]:SIP[[#This Row],[Unit]],SIP[[#Headers],[Investor ID]]:SIP[[#This Row],[Investor ID]],SIP[[#This Row],[Investor ID]])</f>
        <v>3807</v>
      </c>
      <c r="P347" s="73">
        <v>4650</v>
      </c>
      <c r="Q347" s="74">
        <f>SIP[[#This Row],[Amount]]-SIP[[#This Row],[Unit Capital]]</f>
        <v>350</v>
      </c>
      <c r="R3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47" s="68">
        <f t="shared" si="14"/>
        <v>14.224</v>
      </c>
      <c r="T3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7" s="74" cm="1">
        <f t="array" ref="U347">IF(SIP[[#This Row],[B/S]]="S",ABS(SIP[[#This Row],[Unit]])*(INDEX(SIP[NAV at Cost (Average)],MATCH(CONCATENATE((SIP[[#This Row],[Frequency]]-1),SIP[[#This Row],[Investor ID]]),SIP[Unique Code],0),0)),0)</f>
        <v>0</v>
      </c>
      <c r="V347" s="74">
        <f>IF(SIP[[#This Row],[BO TRANSFER]]="YES",SIP[[#This Row],[Unit]],)</f>
        <v>0</v>
      </c>
      <c r="W347" s="74">
        <f>SUMIFS(SIP[[#Headers],[BO UNIT TRANSFER]]:SIP[[#This Row],[BO UNIT TRANSFER]],SIP[[#Headers],[Investor ID]]:SIP[[#This Row],[Investor ID]],SIP[[#This Row],[Investor ID]])</f>
        <v>0</v>
      </c>
    </row>
    <row r="348" spans="1:23" ht="15" customHeight="1">
      <c r="A348" s="46">
        <v>2024</v>
      </c>
      <c r="B348" s="46">
        <v>1</v>
      </c>
      <c r="C348" s="46">
        <v>26</v>
      </c>
      <c r="D348" s="65">
        <f>DATE(SIP[[#This Row],[Year]],SIP[[#This Row],[Month]],SIP[[#This Row],[Day]])</f>
        <v>45317</v>
      </c>
      <c r="E348" s="66" t="str" cm="1">
        <f t="array" ref="E348">INDEX(INVESTORS_LIST[INVESTOR NAME],MATCH(SIP[[#This Row],[Investor ID]],INVESTORS_LIST[INVESTOR CODE],0),)</f>
        <v>KHALED HOSSAIN</v>
      </c>
      <c r="F348" s="46" t="s">
        <v>1050</v>
      </c>
      <c r="G348" s="46">
        <f>COUNTIF(SIP[[#Headers],[Investor ID]]:SIP[[#This Row],[Investor ID]],SIP[[#This Row],[Investor ID]])</f>
        <v>8</v>
      </c>
      <c r="H348" s="46" t="str">
        <f>CONCATENATE(SIP[[#This Row],[Frequency]],SIP[[#This Row],[Investor ID]])</f>
        <v>8A00502</v>
      </c>
      <c r="I348" s="46" t="str">
        <f>IF(SIP[[#This Row],[B/S]]="B","BUY",(IF(SIP[[#This Row],[B/S]]="S","SELL"," ")))</f>
        <v>BUY</v>
      </c>
      <c r="J348" s="46" t="s">
        <v>1229</v>
      </c>
      <c r="K348" s="69">
        <v>10000</v>
      </c>
      <c r="L348" s="69"/>
      <c r="M348" s="70">
        <f>SIP[[#This Row],[Amount]]/SIP[[#This Row],[Unit]]</f>
        <v>10.741138560687434</v>
      </c>
      <c r="N348" s="71">
        <f>SIP[[#This Row],[Unit Capital]]/10</f>
        <v>931</v>
      </c>
      <c r="O348" s="72">
        <f>SUMIFS(SIP[[#Headers],[Unit]]:SIP[[#This Row],[Unit]],SIP[[#Headers],[Investor ID]]:SIP[[#This Row],[Investor ID]],SIP[[#This Row],[Investor ID]])</f>
        <v>7616</v>
      </c>
      <c r="P348" s="73">
        <v>9310</v>
      </c>
      <c r="Q348" s="74">
        <f>SIP[[#This Row],[Amount]]-SIP[[#This Row],[Unit Capital]]</f>
        <v>690</v>
      </c>
      <c r="R3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10.504201680672271</v>
      </c>
      <c r="S348" s="68">
        <f t="shared" si="14"/>
        <v>14.224</v>
      </c>
      <c r="T3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8" s="74" cm="1">
        <f t="array" ref="U348">IF(SIP[[#This Row],[B/S]]="S",ABS(SIP[[#This Row],[Unit]])*(INDEX(SIP[NAV at Cost (Average)],MATCH(CONCATENATE((SIP[[#This Row],[Frequency]]-1),SIP[[#This Row],[Investor ID]]),SIP[Unique Code],0),0)),0)</f>
        <v>0</v>
      </c>
      <c r="V348" s="74">
        <f>IF(SIP[[#This Row],[BO TRANSFER]]="YES",SIP[[#This Row],[Unit]],)</f>
        <v>0</v>
      </c>
      <c r="W348" s="74">
        <f>SUMIFS(SIP[[#Headers],[BO UNIT TRANSFER]]:SIP[[#This Row],[BO UNIT TRANSFER]],SIP[[#Headers],[Investor ID]]:SIP[[#This Row],[Investor ID]],SIP[[#This Row],[Investor ID]])</f>
        <v>0</v>
      </c>
    </row>
    <row r="349" spans="1:23" ht="15" customHeight="1">
      <c r="A349" s="46">
        <v>2024</v>
      </c>
      <c r="B349" s="46">
        <v>1</v>
      </c>
      <c r="C349" s="46">
        <v>26</v>
      </c>
      <c r="D349" s="65">
        <f>DATE(SIP[[#This Row],[Year]],SIP[[#This Row],[Month]],SIP[[#This Row],[Day]])</f>
        <v>45317</v>
      </c>
      <c r="E349" s="66" t="str" cm="1">
        <f t="array" ref="E349">INDEX(INVESTORS_LIST[INVESTOR NAME],MATCH(SIP[[#This Row],[Investor ID]],INVESTORS_LIST[INVESTOR CODE],0),)</f>
        <v>MOHAMMAD SAMIUL ALAM</v>
      </c>
      <c r="F349" s="46" t="s">
        <v>537</v>
      </c>
      <c r="G349" s="46">
        <f>COUNTIF(SIP[[#Headers],[Investor ID]]:SIP[[#This Row],[Investor ID]],SIP[[#This Row],[Investor ID]])</f>
        <v>6</v>
      </c>
      <c r="H349" s="46" t="str">
        <f>CONCATENATE(SIP[[#This Row],[Frequency]],SIP[[#This Row],[Investor ID]])</f>
        <v>6A00244</v>
      </c>
      <c r="I349" s="46" t="str">
        <f>IF(SIP[[#This Row],[B/S]]="B","BUY",(IF(SIP[[#This Row],[B/S]]="S","SELL"," ")))</f>
        <v>BUY</v>
      </c>
      <c r="J349" s="46" t="s">
        <v>1229</v>
      </c>
      <c r="K349" s="69">
        <v>20000</v>
      </c>
      <c r="L349" s="69"/>
      <c r="M349" s="70">
        <f>SIP[[#This Row],[Amount]]/SIP[[#This Row],[Unit]]</f>
        <v>10.741138560687434</v>
      </c>
      <c r="N349" s="71">
        <f>SIP[[#This Row],[Unit Capital]]/10</f>
        <v>1862</v>
      </c>
      <c r="O349" s="72">
        <f>SUMIFS(SIP[[#Headers],[Unit]]:SIP[[#This Row],[Unit]],SIP[[#Headers],[Investor ID]]:SIP[[#This Row],[Investor ID]],SIP[[#This Row],[Investor ID]])</f>
        <v>11350</v>
      </c>
      <c r="P349" s="73">
        <v>18620</v>
      </c>
      <c r="Q349" s="74">
        <f>SIP[[#This Row],[Amount]]-SIP[[#This Row],[Unit Capital]]</f>
        <v>1380</v>
      </c>
      <c r="R3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10.572687224669604</v>
      </c>
      <c r="S349" s="68">
        <f t="shared" si="14"/>
        <v>14.224</v>
      </c>
      <c r="T3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9" s="74" cm="1">
        <f t="array" ref="U349">IF(SIP[[#This Row],[B/S]]="S",ABS(SIP[[#This Row],[Unit]])*(INDEX(SIP[NAV at Cost (Average)],MATCH(CONCATENATE((SIP[[#This Row],[Frequency]]-1),SIP[[#This Row],[Investor ID]]),SIP[Unique Code],0),0)),0)</f>
        <v>0</v>
      </c>
      <c r="V349" s="74">
        <f>IF(SIP[[#This Row],[BO TRANSFER]]="YES",SIP[[#This Row],[Unit]],)</f>
        <v>0</v>
      </c>
      <c r="W349" s="74">
        <f>SUMIFS(SIP[[#Headers],[BO UNIT TRANSFER]]:SIP[[#This Row],[BO UNIT TRANSFER]],SIP[[#Headers],[Investor ID]]:SIP[[#This Row],[Investor ID]],SIP[[#This Row],[Investor ID]])</f>
        <v>0</v>
      </c>
    </row>
    <row r="350" spans="1:23" ht="15" customHeight="1">
      <c r="A350" s="46">
        <v>2024</v>
      </c>
      <c r="B350" s="46">
        <v>1</v>
      </c>
      <c r="C350" s="46">
        <v>26</v>
      </c>
      <c r="D350" s="65">
        <f>DATE(SIP[[#This Row],[Year]],SIP[[#This Row],[Month]],SIP[[#This Row],[Day]])</f>
        <v>45317</v>
      </c>
      <c r="E350" s="66" t="str" cm="1">
        <f t="array" ref="E350">INDEX(INVESTORS_LIST[INVESTOR NAME],MATCH(SIP[[#This Row],[Investor ID]],INVESTORS_LIST[INVESTOR CODE],0),)</f>
        <v>ADNAN RASHID</v>
      </c>
      <c r="F350" s="46" t="s">
        <v>252</v>
      </c>
      <c r="G350" s="46">
        <f>COUNTIF(SIP[[#Headers],[Investor ID]]:SIP[[#This Row],[Investor ID]],SIP[[#This Row],[Investor ID]])</f>
        <v>5</v>
      </c>
      <c r="H350" s="46" t="str">
        <f>CONCATENATE(SIP[[#This Row],[Frequency]],SIP[[#This Row],[Investor ID]])</f>
        <v>5A00102</v>
      </c>
      <c r="I350" s="46" t="str">
        <f>IF(SIP[[#This Row],[B/S]]="B","BUY",(IF(SIP[[#This Row],[B/S]]="S","SELL"," ")))</f>
        <v>BUY</v>
      </c>
      <c r="J350" s="46" t="s">
        <v>1229</v>
      </c>
      <c r="K350" s="69">
        <v>30000</v>
      </c>
      <c r="L350" s="69"/>
      <c r="M350" s="70">
        <f>SIP[[#This Row],[Amount]]/SIP[[#This Row],[Unit]]</f>
        <v>10.744985673352435</v>
      </c>
      <c r="N350" s="71">
        <f>SIP[[#This Row],[Unit Capital]]/10</f>
        <v>2792</v>
      </c>
      <c r="O350" s="72">
        <f>SUMIFS(SIP[[#Headers],[Unit]]:SIP[[#This Row],[Unit]],SIP[[#Headers],[Investor ID]]:SIP[[#This Row],[Investor ID]],SIP[[#This Row],[Investor ID]])</f>
        <v>14147</v>
      </c>
      <c r="P350" s="73">
        <v>27920</v>
      </c>
      <c r="Q350" s="74">
        <f>SIP[[#This Row],[Amount]]-SIP[[#This Row],[Unit Capital]]</f>
        <v>2080</v>
      </c>
      <c r="R3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10.602954690040292</v>
      </c>
      <c r="S350" s="68">
        <f t="shared" si="14"/>
        <v>14.224</v>
      </c>
      <c r="T3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0" s="74" cm="1">
        <f t="array" ref="U350">IF(SIP[[#This Row],[B/S]]="S",ABS(SIP[[#This Row],[Unit]])*(INDEX(SIP[NAV at Cost (Average)],MATCH(CONCATENATE((SIP[[#This Row],[Frequency]]-1),SIP[[#This Row],[Investor ID]]),SIP[Unique Code],0),0)),0)</f>
        <v>0</v>
      </c>
      <c r="V350" s="74">
        <f>IF(SIP[[#This Row],[BO TRANSFER]]="YES",SIP[[#This Row],[Unit]],)</f>
        <v>0</v>
      </c>
      <c r="W350" s="74">
        <f>SUMIFS(SIP[[#Headers],[BO UNIT TRANSFER]]:SIP[[#This Row],[BO UNIT TRANSFER]],SIP[[#Headers],[Investor ID]]:SIP[[#This Row],[Investor ID]],SIP[[#This Row],[Investor ID]])</f>
        <v>0</v>
      </c>
    </row>
    <row r="351" spans="1:23" ht="15" customHeight="1">
      <c r="A351" s="46">
        <v>2024</v>
      </c>
      <c r="B351" s="46">
        <v>1</v>
      </c>
      <c r="C351" s="46">
        <v>26</v>
      </c>
      <c r="D351" s="65">
        <f>DATE(SIP[[#This Row],[Year]],SIP[[#This Row],[Month]],SIP[[#This Row],[Day]])</f>
        <v>45317</v>
      </c>
      <c r="E351" s="66" t="str" cm="1">
        <f t="array" ref="E351">INDEX(INVESTORS_LIST[INVESTOR NAME],MATCH(SIP[[#This Row],[Investor ID]],INVESTORS_LIST[INVESTOR CODE],0),)</f>
        <v>MOHAMMED SHARIFUL ISLAM</v>
      </c>
      <c r="F351" s="46" t="s">
        <v>1028</v>
      </c>
      <c r="G351" s="46">
        <f>COUNTIF(SIP[[#Headers],[Investor ID]]:SIP[[#This Row],[Investor ID]],SIP[[#This Row],[Investor ID]])</f>
        <v>8</v>
      </c>
      <c r="H351" s="46" t="str">
        <f>CONCATENATE(SIP[[#This Row],[Frequency]],SIP[[#This Row],[Investor ID]])</f>
        <v>8A00491</v>
      </c>
      <c r="I351" s="46" t="str">
        <f>IF(SIP[[#This Row],[B/S]]="B","BUY",(IF(SIP[[#This Row],[B/S]]="S","SELL"," ")))</f>
        <v>BUY</v>
      </c>
      <c r="J351" s="46" t="s">
        <v>1229</v>
      </c>
      <c r="K351" s="69">
        <v>5000</v>
      </c>
      <c r="L351" s="69"/>
      <c r="M351" s="70">
        <f>SIP[[#This Row],[Amount]]/SIP[[#This Row],[Unit]]</f>
        <v>10.75268817204301</v>
      </c>
      <c r="N351" s="71">
        <f>SIP[[#This Row],[Unit Capital]]/10</f>
        <v>465</v>
      </c>
      <c r="O351" s="72">
        <f>SUMIFS(SIP[[#Headers],[Unit]]:SIP[[#This Row],[Unit]],SIP[[#Headers],[Investor ID]]:SIP[[#This Row],[Investor ID]],SIP[[#This Row],[Investor ID]])</f>
        <v>3807</v>
      </c>
      <c r="P351" s="73">
        <v>4650</v>
      </c>
      <c r="Q351" s="74">
        <f>SIP[[#This Row],[Amount]]-SIP[[#This Row],[Unit Capital]]</f>
        <v>350</v>
      </c>
      <c r="R3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51" s="68">
        <f t="shared" si="14"/>
        <v>14.224</v>
      </c>
      <c r="T3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1" s="74" cm="1">
        <f t="array" ref="U351">IF(SIP[[#This Row],[B/S]]="S",ABS(SIP[[#This Row],[Unit]])*(INDEX(SIP[NAV at Cost (Average)],MATCH(CONCATENATE((SIP[[#This Row],[Frequency]]-1),SIP[[#This Row],[Investor ID]]),SIP[Unique Code],0),0)),0)</f>
        <v>0</v>
      </c>
      <c r="V351" s="74">
        <f>IF(SIP[[#This Row],[BO TRANSFER]]="YES",SIP[[#This Row],[Unit]],)</f>
        <v>0</v>
      </c>
      <c r="W351" s="74">
        <f>SUMIFS(SIP[[#Headers],[BO UNIT TRANSFER]]:SIP[[#This Row],[BO UNIT TRANSFER]],SIP[[#Headers],[Investor ID]]:SIP[[#This Row],[Investor ID]],SIP[[#This Row],[Investor ID]])</f>
        <v>0</v>
      </c>
    </row>
    <row r="352" spans="1:23" ht="15" customHeight="1">
      <c r="A352" s="46">
        <v>2024</v>
      </c>
      <c r="B352" s="46">
        <v>1</v>
      </c>
      <c r="C352" s="46">
        <v>26</v>
      </c>
      <c r="D352" s="65">
        <f>DATE(SIP[[#This Row],[Year]],SIP[[#This Row],[Month]],SIP[[#This Row],[Day]])</f>
        <v>45317</v>
      </c>
      <c r="E352" s="66" t="str" cm="1">
        <f t="array" ref="E352">INDEX(INVESTORS_LIST[INVESTOR NAME],MATCH(SIP[[#This Row],[Investor ID]],INVESTORS_LIST[INVESTOR CODE],0),)</f>
        <v>MD ABDULLAH-AL- MAMUN</v>
      </c>
      <c r="F352" s="46" t="s">
        <v>533</v>
      </c>
      <c r="G352" s="46">
        <f>COUNTIF(SIP[[#Headers],[Investor ID]]:SIP[[#This Row],[Investor ID]],SIP[[#This Row],[Investor ID]])</f>
        <v>4</v>
      </c>
      <c r="H352" s="46" t="str">
        <f>CONCATENATE(SIP[[#This Row],[Frequency]],SIP[[#This Row],[Investor ID]])</f>
        <v>4A00242</v>
      </c>
      <c r="I352" s="46" t="str">
        <f>IF(SIP[[#This Row],[B/S]]="B","BUY",(IF(SIP[[#This Row],[B/S]]="S","SELL"," ")))</f>
        <v>BUY</v>
      </c>
      <c r="J352" s="46" t="s">
        <v>1229</v>
      </c>
      <c r="K352" s="69">
        <v>15000</v>
      </c>
      <c r="L352" s="69"/>
      <c r="M352" s="70">
        <f>SIP[[#This Row],[Amount]]/SIP[[#This Row],[Unit]]</f>
        <v>10.744985673352435</v>
      </c>
      <c r="N352" s="71">
        <f>SIP[[#This Row],[Unit Capital]]/10</f>
        <v>1396</v>
      </c>
      <c r="O352" s="72">
        <f>SUMIFS(SIP[[#Headers],[Unit]]:SIP[[#This Row],[Unit]],SIP[[#Headers],[Investor ID]]:SIP[[#This Row],[Investor ID]],SIP[[#This Row],[Investor ID]])</f>
        <v>5642</v>
      </c>
      <c r="P352" s="73">
        <v>13960</v>
      </c>
      <c r="Q352" s="74">
        <f>SIP[[#This Row],[Amount]]-SIP[[#This Row],[Unit Capital]]</f>
        <v>1040</v>
      </c>
      <c r="R3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10.634526763559021</v>
      </c>
      <c r="S352" s="68">
        <f t="shared" si="14"/>
        <v>14.224</v>
      </c>
      <c r="T3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2" s="74" cm="1">
        <f t="array" ref="U352">IF(SIP[[#This Row],[B/S]]="S",ABS(SIP[[#This Row],[Unit]])*(INDEX(SIP[NAV at Cost (Average)],MATCH(CONCATENATE((SIP[[#This Row],[Frequency]]-1),SIP[[#This Row],[Investor ID]]),SIP[Unique Code],0),0)),0)</f>
        <v>0</v>
      </c>
      <c r="V352" s="74">
        <f>IF(SIP[[#This Row],[BO TRANSFER]]="YES",SIP[[#This Row],[Unit]],)</f>
        <v>0</v>
      </c>
      <c r="W352" s="74">
        <f>SUMIFS(SIP[[#Headers],[BO UNIT TRANSFER]]:SIP[[#This Row],[BO UNIT TRANSFER]],SIP[[#Headers],[Investor ID]]:SIP[[#This Row],[Investor ID]],SIP[[#This Row],[Investor ID]])</f>
        <v>0</v>
      </c>
    </row>
    <row r="353" spans="1:23" ht="15" customHeight="1">
      <c r="A353" s="46">
        <v>2024</v>
      </c>
      <c r="B353" s="46">
        <v>1</v>
      </c>
      <c r="C353" s="46">
        <v>26</v>
      </c>
      <c r="D353" s="65">
        <f>DATE(SIP[[#This Row],[Year]],SIP[[#This Row],[Month]],SIP[[#This Row],[Day]])</f>
        <v>45317</v>
      </c>
      <c r="E353" s="66" t="str" cm="1">
        <f t="array" ref="E353">INDEX(INVESTORS_LIST[INVESTOR NAME],MATCH(SIP[[#This Row],[Investor ID]],INVESTORS_LIST[INVESTOR CODE],0),)</f>
        <v>SUMAN SAHA</v>
      </c>
      <c r="F353" s="46" t="s">
        <v>1022</v>
      </c>
      <c r="G353" s="46">
        <f>COUNTIF(SIP[[#Headers],[Investor ID]]:SIP[[#This Row],[Investor ID]],SIP[[#This Row],[Investor ID]])</f>
        <v>8</v>
      </c>
      <c r="H353" s="46" t="str">
        <f>CONCATENATE(SIP[[#This Row],[Frequency]],SIP[[#This Row],[Investor ID]])</f>
        <v>8A00488</v>
      </c>
      <c r="I353" s="46" t="str">
        <f>IF(SIP[[#This Row],[B/S]]="B","BUY",(IF(SIP[[#This Row],[B/S]]="S","SELL"," ")))</f>
        <v>BUY</v>
      </c>
      <c r="J353" s="46" t="s">
        <v>1229</v>
      </c>
      <c r="K353" s="69">
        <v>5000</v>
      </c>
      <c r="L353" s="69"/>
      <c r="M353" s="70">
        <f>SIP[[#This Row],[Amount]]/SIP[[#This Row],[Unit]]</f>
        <v>10.75268817204301</v>
      </c>
      <c r="N353" s="71">
        <f>SIP[[#This Row],[Unit Capital]]/10</f>
        <v>465</v>
      </c>
      <c r="O353" s="72">
        <f>SUMIFS(SIP[[#Headers],[Unit]]:SIP[[#This Row],[Unit]],SIP[[#Headers],[Investor ID]]:SIP[[#This Row],[Investor ID]],SIP[[#This Row],[Investor ID]])</f>
        <v>3807</v>
      </c>
      <c r="P353" s="73">
        <v>4650</v>
      </c>
      <c r="Q353" s="74">
        <f>SIP[[#This Row],[Amount]]-SIP[[#This Row],[Unit Capital]]</f>
        <v>350</v>
      </c>
      <c r="R3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53" s="68">
        <f t="shared" si="14"/>
        <v>14.224</v>
      </c>
      <c r="T3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3" s="74" cm="1">
        <f t="array" ref="U353">IF(SIP[[#This Row],[B/S]]="S",ABS(SIP[[#This Row],[Unit]])*(INDEX(SIP[NAV at Cost (Average)],MATCH(CONCATENATE((SIP[[#This Row],[Frequency]]-1),SIP[[#This Row],[Investor ID]]),SIP[Unique Code],0),0)),0)</f>
        <v>0</v>
      </c>
      <c r="V353" s="74">
        <f>IF(SIP[[#This Row],[BO TRANSFER]]="YES",SIP[[#This Row],[Unit]],)</f>
        <v>0</v>
      </c>
      <c r="W353" s="74">
        <f>SUMIFS(SIP[[#Headers],[BO UNIT TRANSFER]]:SIP[[#This Row],[BO UNIT TRANSFER]],SIP[[#Headers],[Investor ID]]:SIP[[#This Row],[Investor ID]],SIP[[#This Row],[Investor ID]])</f>
        <v>0</v>
      </c>
    </row>
    <row r="354" spans="1:23" ht="15" customHeight="1">
      <c r="A354" s="46">
        <v>2024</v>
      </c>
      <c r="B354" s="46">
        <v>1</v>
      </c>
      <c r="C354" s="46">
        <v>26</v>
      </c>
      <c r="D354" s="65">
        <f>DATE(SIP[[#This Row],[Year]],SIP[[#This Row],[Month]],SIP[[#This Row],[Day]])</f>
        <v>45317</v>
      </c>
      <c r="E354" s="66" t="str" cm="1">
        <f t="array" ref="E354">INDEX(INVESTORS_LIST[INVESTOR NAME],MATCH(SIP[[#This Row],[Investor ID]],INVESTORS_LIST[INVESTOR CODE],0),)</f>
        <v>AKASH DEEP PAUL</v>
      </c>
      <c r="F354" s="46" t="s">
        <v>286</v>
      </c>
      <c r="G354" s="46">
        <f>COUNTIF(SIP[[#Headers],[Investor ID]]:SIP[[#This Row],[Investor ID]],SIP[[#This Row],[Investor ID]])</f>
        <v>8</v>
      </c>
      <c r="H354" s="46" t="str">
        <f>CONCATENATE(SIP[[#This Row],[Frequency]],SIP[[#This Row],[Investor ID]])</f>
        <v>8A00119</v>
      </c>
      <c r="I354" s="46" t="str">
        <f>IF(SIP[[#This Row],[B/S]]="B","BUY",(IF(SIP[[#This Row],[B/S]]="S","SELL"," ")))</f>
        <v>BUY</v>
      </c>
      <c r="J354" s="46" t="s">
        <v>1229</v>
      </c>
      <c r="K354" s="69">
        <v>5000</v>
      </c>
      <c r="L354" s="69"/>
      <c r="M354" s="70">
        <f>SIP[[#This Row],[Amount]]/SIP[[#This Row],[Unit]]</f>
        <v>10.75268817204301</v>
      </c>
      <c r="N354" s="71">
        <f>SIP[[#This Row],[Unit Capital]]/10</f>
        <v>465</v>
      </c>
      <c r="O354" s="72">
        <f>SUMIFS(SIP[[#Headers],[Unit]]:SIP[[#This Row],[Unit]],SIP[[#Headers],[Investor ID]]:SIP[[#This Row],[Investor ID]],SIP[[#This Row],[Investor ID]])</f>
        <v>3807</v>
      </c>
      <c r="P354" s="73">
        <v>4650</v>
      </c>
      <c r="Q354" s="74">
        <f>SIP[[#This Row],[Amount]]-SIP[[#This Row],[Unit Capital]]</f>
        <v>350</v>
      </c>
      <c r="R3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10.506960861570789</v>
      </c>
      <c r="S354" s="68">
        <f t="shared" si="14"/>
        <v>14.224</v>
      </c>
      <c r="T3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4" s="74" cm="1">
        <f t="array" ref="U354">IF(SIP[[#This Row],[B/S]]="S",ABS(SIP[[#This Row],[Unit]])*(INDEX(SIP[NAV at Cost (Average)],MATCH(CONCATENATE((SIP[[#This Row],[Frequency]]-1),SIP[[#This Row],[Investor ID]]),SIP[Unique Code],0),0)),0)</f>
        <v>0</v>
      </c>
      <c r="V354" s="74">
        <f>IF(SIP[[#This Row],[BO TRANSFER]]="YES",SIP[[#This Row],[Unit]],)</f>
        <v>0</v>
      </c>
      <c r="W354" s="74">
        <f>SUMIFS(SIP[[#Headers],[BO UNIT TRANSFER]]:SIP[[#This Row],[BO UNIT TRANSFER]],SIP[[#Headers],[Investor ID]]:SIP[[#This Row],[Investor ID]],SIP[[#This Row],[Investor ID]])</f>
        <v>0</v>
      </c>
    </row>
    <row r="355" spans="1:23" ht="15" customHeight="1">
      <c r="A355" s="46">
        <v>2024</v>
      </c>
      <c r="B355" s="46">
        <v>1</v>
      </c>
      <c r="C355" s="46">
        <v>26</v>
      </c>
      <c r="D355" s="65">
        <f>DATE(SIP[[#This Row],[Year]],SIP[[#This Row],[Month]],SIP[[#This Row],[Day]])</f>
        <v>45317</v>
      </c>
      <c r="E355" s="66" t="str" cm="1">
        <f t="array" ref="E355">INDEX(INVESTORS_LIST[INVESTOR NAME],MATCH(SIP[[#This Row],[Investor ID]],INVESTORS_LIST[INVESTOR CODE],0),)</f>
        <v>JUBAIDA FARHANA HAQUE</v>
      </c>
      <c r="F355" s="46" t="s">
        <v>1065</v>
      </c>
      <c r="G355" s="46">
        <f>COUNTIF(SIP[[#Headers],[Investor ID]]:SIP[[#This Row],[Investor ID]],SIP[[#This Row],[Investor ID]])</f>
        <v>6</v>
      </c>
      <c r="H355" s="46" t="str">
        <f>CONCATENATE(SIP[[#This Row],[Frequency]],SIP[[#This Row],[Investor ID]])</f>
        <v>6A00510</v>
      </c>
      <c r="I355" s="46" t="str">
        <f>IF(SIP[[#This Row],[B/S]]="B","BUY",(IF(SIP[[#This Row],[B/S]]="S","SELL"," ")))</f>
        <v>BUY</v>
      </c>
      <c r="J355" s="46" t="s">
        <v>1229</v>
      </c>
      <c r="K355" s="69">
        <v>5000</v>
      </c>
      <c r="L355" s="69"/>
      <c r="M355" s="70">
        <f>SIP[[#This Row],[Amount]]/SIP[[#This Row],[Unit]]</f>
        <v>10.75268817204301</v>
      </c>
      <c r="N355" s="71">
        <f>SIP[[#This Row],[Unit Capital]]/10</f>
        <v>465</v>
      </c>
      <c r="O355" s="72">
        <f>SUMIFS(SIP[[#Headers],[Unit]]:SIP[[#This Row],[Unit]],SIP[[#Headers],[Investor ID]]:SIP[[#This Row],[Investor ID]],SIP[[#This Row],[Investor ID]])</f>
        <v>1883</v>
      </c>
      <c r="P355" s="73">
        <v>4650</v>
      </c>
      <c r="Q355" s="74">
        <f>SIP[[#This Row],[Amount]]-SIP[[#This Row],[Unit Capital]]</f>
        <v>350</v>
      </c>
      <c r="R3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10.629725369443685</v>
      </c>
      <c r="S355" s="68">
        <f t="shared" si="14"/>
        <v>14.224</v>
      </c>
      <c r="T3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5" s="74" cm="1">
        <f t="array" ref="U355">IF(SIP[[#This Row],[B/S]]="S",ABS(SIP[[#This Row],[Unit]])*(INDEX(SIP[NAV at Cost (Average)],MATCH(CONCATENATE((SIP[[#This Row],[Frequency]]-1),SIP[[#This Row],[Investor ID]]),SIP[Unique Code],0),0)),0)</f>
        <v>0</v>
      </c>
      <c r="V355" s="74">
        <f>IF(SIP[[#This Row],[BO TRANSFER]]="YES",SIP[[#This Row],[Unit]],)</f>
        <v>0</v>
      </c>
      <c r="W355" s="74">
        <f>SUMIFS(SIP[[#Headers],[BO UNIT TRANSFER]]:SIP[[#This Row],[BO UNIT TRANSFER]],SIP[[#Headers],[Investor ID]]:SIP[[#This Row],[Investor ID]],SIP[[#This Row],[Investor ID]])</f>
        <v>0</v>
      </c>
    </row>
    <row r="356" spans="1:23" ht="15" customHeight="1">
      <c r="A356" s="46">
        <v>2024</v>
      </c>
      <c r="B356" s="46">
        <v>1</v>
      </c>
      <c r="C356" s="46">
        <v>26</v>
      </c>
      <c r="D356" s="65">
        <f>DATE(SIP[[#This Row],[Year]],SIP[[#This Row],[Month]],SIP[[#This Row],[Day]])</f>
        <v>45317</v>
      </c>
      <c r="E356" s="66" t="str" cm="1">
        <f t="array" ref="E356">INDEX(INVESTORS_LIST[INVESTOR NAME],MATCH(SIP[[#This Row],[Investor ID]],INVESTORS_LIST[INVESTOR CODE],0),)</f>
        <v>TAPU GUHA</v>
      </c>
      <c r="F356" s="46" t="s">
        <v>483</v>
      </c>
      <c r="G356" s="46">
        <f>COUNTIF(SIP[[#Headers],[Investor ID]]:SIP[[#This Row],[Investor ID]],SIP[[#This Row],[Investor ID]])</f>
        <v>6</v>
      </c>
      <c r="H356" s="46" t="str">
        <f>CONCATENATE(SIP[[#This Row],[Frequency]],SIP[[#This Row],[Investor ID]])</f>
        <v>6A00217</v>
      </c>
      <c r="I356" s="46" t="str">
        <f>IF(SIP[[#This Row],[B/S]]="B","BUY",(IF(SIP[[#This Row],[B/S]]="S","SELL"," ")))</f>
        <v>BUY</v>
      </c>
      <c r="J356" s="46" t="s">
        <v>1229</v>
      </c>
      <c r="K356" s="69">
        <v>5000</v>
      </c>
      <c r="L356" s="69"/>
      <c r="M356" s="70">
        <f>SIP[[#This Row],[Amount]]/SIP[[#This Row],[Unit]]</f>
        <v>10.75268817204301</v>
      </c>
      <c r="N356" s="71">
        <f>SIP[[#This Row],[Unit Capital]]/10</f>
        <v>465</v>
      </c>
      <c r="O356" s="72">
        <f>SUMIFS(SIP[[#Headers],[Unit]]:SIP[[#This Row],[Unit]],SIP[[#Headers],[Investor ID]]:SIP[[#This Row],[Investor ID]],SIP[[#This Row],[Investor ID]])</f>
        <v>2834</v>
      </c>
      <c r="P356" s="73">
        <v>4650</v>
      </c>
      <c r="Q356" s="74">
        <f>SIP[[#This Row],[Amount]]-SIP[[#This Row],[Unit Capital]]</f>
        <v>350</v>
      </c>
      <c r="R3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10.585744530698658</v>
      </c>
      <c r="S356" s="68">
        <f t="shared" si="14"/>
        <v>14.224</v>
      </c>
      <c r="T3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6" s="74" cm="1">
        <f t="array" ref="U356">IF(SIP[[#This Row],[B/S]]="S",ABS(SIP[[#This Row],[Unit]])*(INDEX(SIP[NAV at Cost (Average)],MATCH(CONCATENATE((SIP[[#This Row],[Frequency]]-1),SIP[[#This Row],[Investor ID]]),SIP[Unique Code],0),0)),0)</f>
        <v>0</v>
      </c>
      <c r="V356" s="74">
        <f>IF(SIP[[#This Row],[BO TRANSFER]]="YES",SIP[[#This Row],[Unit]],)</f>
        <v>0</v>
      </c>
      <c r="W356" s="74">
        <f>SUMIFS(SIP[[#Headers],[BO UNIT TRANSFER]]:SIP[[#This Row],[BO UNIT TRANSFER]],SIP[[#Headers],[Investor ID]]:SIP[[#This Row],[Investor ID]],SIP[[#This Row],[Investor ID]])</f>
        <v>0</v>
      </c>
    </row>
    <row r="357" spans="1:23" ht="15" customHeight="1">
      <c r="A357" s="46">
        <v>2024</v>
      </c>
      <c r="B357" s="46">
        <v>1</v>
      </c>
      <c r="C357" s="46">
        <v>26</v>
      </c>
      <c r="D357" s="65">
        <f>DATE(SIP[[#This Row],[Year]],SIP[[#This Row],[Month]],SIP[[#This Row],[Day]])</f>
        <v>45317</v>
      </c>
      <c r="E357" s="66" t="str" cm="1">
        <f t="array" ref="E357">INDEX(INVESTORS_LIST[INVESTOR NAME],MATCH(SIP[[#This Row],[Investor ID]],INVESTORS_LIST[INVESTOR CODE],0),)</f>
        <v>MUHAMMAD SHOHIDUZZAMAN</v>
      </c>
      <c r="F357" s="46" t="s">
        <v>986</v>
      </c>
      <c r="G357" s="46">
        <f>COUNTIF(SIP[[#Headers],[Investor ID]]:SIP[[#This Row],[Investor ID]],SIP[[#This Row],[Investor ID]])</f>
        <v>3</v>
      </c>
      <c r="H357" s="46" t="str">
        <f>CONCATENATE(SIP[[#This Row],[Frequency]],SIP[[#This Row],[Investor ID]])</f>
        <v>3A00470</v>
      </c>
      <c r="I357" s="46" t="str">
        <f>IF(SIP[[#This Row],[B/S]]="B","BUY",(IF(SIP[[#This Row],[B/S]]="S","SELL"," ")))</f>
        <v>BUY</v>
      </c>
      <c r="J357" s="46" t="s">
        <v>1229</v>
      </c>
      <c r="K357" s="69">
        <v>10000</v>
      </c>
      <c r="L357" s="122" t="s">
        <v>1230</v>
      </c>
      <c r="M357" s="70">
        <f>SIP[[#This Row],[Amount]]/SIP[[#This Row],[Unit]]</f>
        <v>10.741138560687434</v>
      </c>
      <c r="N357" s="71">
        <f>SIP[[#This Row],[Unit Capital]]/10</f>
        <v>931</v>
      </c>
      <c r="O357" s="72">
        <f>SUMIFS(SIP[[#Headers],[Unit]]:SIP[[#This Row],[Unit]],SIP[[#Headers],[Investor ID]]:SIP[[#This Row],[Investor ID]],SIP[[#This Row],[Investor ID]])</f>
        <v>2813</v>
      </c>
      <c r="P357" s="73">
        <v>9310</v>
      </c>
      <c r="Q357" s="74">
        <f>SIP[[#This Row],[Amount]]-SIP[[#This Row],[Unit Capital]]</f>
        <v>690</v>
      </c>
      <c r="R3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10.664770707429792</v>
      </c>
      <c r="S357" s="68">
        <f t="shared" si="14"/>
        <v>14.224</v>
      </c>
      <c r="T3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7" s="74" cm="1">
        <f t="array" ref="U357">IF(SIP[[#This Row],[B/S]]="S",ABS(SIP[[#This Row],[Unit]])*(INDEX(SIP[NAV at Cost (Average)],MATCH(CONCATENATE((SIP[[#This Row],[Frequency]]-1),SIP[[#This Row],[Investor ID]]),SIP[Unique Code],0),0)),0)</f>
        <v>0</v>
      </c>
      <c r="V357" s="74">
        <f>IF(SIP[[#This Row],[BO TRANSFER]]="YES",SIP[[#This Row],[Unit]],)</f>
        <v>931</v>
      </c>
      <c r="W357" s="74">
        <f>SUMIFS(SIP[[#Headers],[BO UNIT TRANSFER]]:SIP[[#This Row],[BO UNIT TRANSFER]],SIP[[#Headers],[Investor ID]]:SIP[[#This Row],[Investor ID]],SIP[[#This Row],[Investor ID]])</f>
        <v>2813</v>
      </c>
    </row>
    <row r="358" spans="1:23" ht="15" customHeight="1">
      <c r="A358" s="46">
        <v>2024</v>
      </c>
      <c r="B358" s="46">
        <v>1</v>
      </c>
      <c r="C358" s="46">
        <v>26</v>
      </c>
      <c r="D358" s="65">
        <f>DATE(SIP[[#This Row],[Year]],SIP[[#This Row],[Month]],SIP[[#This Row],[Day]])</f>
        <v>45317</v>
      </c>
      <c r="E358" s="66" t="str" cm="1">
        <f t="array" ref="E358">INDEX(INVESTORS_LIST[INVESTOR NAME],MATCH(SIP[[#This Row],[Investor ID]],INVESTORS_LIST[INVESTOR CODE],0),)</f>
        <v>KHALED HOSSAIN</v>
      </c>
      <c r="F358" s="46" t="s">
        <v>1050</v>
      </c>
      <c r="G358" s="46">
        <f>COUNTIF(SIP[[#Headers],[Investor ID]]:SIP[[#This Row],[Investor ID]],SIP[[#This Row],[Investor ID]])</f>
        <v>9</v>
      </c>
      <c r="H358" s="46" t="str">
        <f>CONCATENATE(SIP[[#This Row],[Frequency]],SIP[[#This Row],[Investor ID]])</f>
        <v>9A00502</v>
      </c>
      <c r="I358" s="46" t="str">
        <f>IF(SIP[[#This Row],[B/S]]="B","BUY",(IF(SIP[[#This Row],[B/S]]="S","SELL"," ")))</f>
        <v>BUY</v>
      </c>
      <c r="J358" s="46" t="s">
        <v>1229</v>
      </c>
      <c r="K358" s="69">
        <v>25000</v>
      </c>
      <c r="L358" s="69"/>
      <c r="M358" s="70">
        <f>SIP[[#This Row],[Amount]]/SIP[[#This Row],[Unit]]</f>
        <v>10.743446497636441</v>
      </c>
      <c r="N358" s="71">
        <f>SIP[[#This Row],[Unit Capital]]/10</f>
        <v>2327</v>
      </c>
      <c r="O358" s="72">
        <f>SUMIFS(SIP[[#Headers],[Unit]]:SIP[[#This Row],[Unit]],SIP[[#Headers],[Investor ID]]:SIP[[#This Row],[Investor ID]],SIP[[#This Row],[Investor ID]])</f>
        <v>9943</v>
      </c>
      <c r="P358" s="73">
        <v>23270</v>
      </c>
      <c r="Q358" s="74">
        <f>SIP[[#This Row],[Amount]]-SIP[[#This Row],[Unit Capital]]</f>
        <v>1730</v>
      </c>
      <c r="R3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10.560193100673843</v>
      </c>
      <c r="S358" s="68">
        <f t="shared" si="14"/>
        <v>14.224</v>
      </c>
      <c r="T3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8" s="74" cm="1">
        <f t="array" ref="U358">IF(SIP[[#This Row],[B/S]]="S",ABS(SIP[[#This Row],[Unit]])*(INDEX(SIP[NAV at Cost (Average)],MATCH(CONCATENATE((SIP[[#This Row],[Frequency]]-1),SIP[[#This Row],[Investor ID]]),SIP[Unique Code],0),0)),0)</f>
        <v>0</v>
      </c>
      <c r="V358" s="74">
        <f>IF(SIP[[#This Row],[BO TRANSFER]]="YES",SIP[[#This Row],[Unit]],)</f>
        <v>0</v>
      </c>
      <c r="W358" s="74">
        <f>SUMIFS(SIP[[#Headers],[BO UNIT TRANSFER]]:SIP[[#This Row],[BO UNIT TRANSFER]],SIP[[#Headers],[Investor ID]]:SIP[[#This Row],[Investor ID]],SIP[[#This Row],[Investor ID]])</f>
        <v>0</v>
      </c>
    </row>
    <row r="359" spans="1:23" ht="15" customHeight="1">
      <c r="A359" s="46">
        <v>2024</v>
      </c>
      <c r="B359" s="46">
        <v>1</v>
      </c>
      <c r="C359" s="46">
        <v>26</v>
      </c>
      <c r="D359" s="65">
        <f>DATE(SIP[[#This Row],[Year]],SIP[[#This Row],[Month]],SIP[[#This Row],[Day]])</f>
        <v>45317</v>
      </c>
      <c r="E359" s="66" t="str" cm="1">
        <f t="array" ref="E359">INDEX(INVESTORS_LIST[INVESTOR NAME],MATCH(SIP[[#This Row],[Investor ID]],INVESTORS_LIST[INVESTOR CODE],0),)</f>
        <v>MRINMOY GHOSH</v>
      </c>
      <c r="F359" s="46" t="s">
        <v>69</v>
      </c>
      <c r="G359" s="46">
        <f>COUNTIF(SIP[[#Headers],[Investor ID]]:SIP[[#This Row],[Investor ID]],SIP[[#This Row],[Investor ID]])</f>
        <v>5</v>
      </c>
      <c r="H359" s="46" t="str">
        <f>CONCATENATE(SIP[[#This Row],[Frequency]],SIP[[#This Row],[Investor ID]])</f>
        <v>5A00012</v>
      </c>
      <c r="I359" s="46" t="str">
        <f>IF(SIP[[#This Row],[B/S]]="B","BUY",(IF(SIP[[#This Row],[B/S]]="S","SELL"," ")))</f>
        <v>BUY</v>
      </c>
      <c r="J359" s="46" t="s">
        <v>1229</v>
      </c>
      <c r="K359" s="69">
        <v>10000</v>
      </c>
      <c r="L359" s="69"/>
      <c r="M359" s="70">
        <f>SIP[[#This Row],[Amount]]/SIP[[#This Row],[Unit]]</f>
        <v>10.741138560687434</v>
      </c>
      <c r="N359" s="71">
        <f>SIP[[#This Row],[Unit Capital]]/10</f>
        <v>931</v>
      </c>
      <c r="O359" s="72">
        <f>SUMIFS(SIP[[#Headers],[Unit]]:SIP[[#This Row],[Unit]],SIP[[#Headers],[Investor ID]]:SIP[[#This Row],[Investor ID]],SIP[[#This Row],[Investor ID]])</f>
        <v>4716</v>
      </c>
      <c r="P359" s="73">
        <v>9310</v>
      </c>
      <c r="Q359" s="74">
        <f>SIP[[#This Row],[Amount]]-SIP[[#This Row],[Unit Capital]]</f>
        <v>690</v>
      </c>
      <c r="R3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10.602205258693809</v>
      </c>
      <c r="S359" s="68">
        <f t="shared" si="14"/>
        <v>14.224</v>
      </c>
      <c r="T3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9" s="74" cm="1">
        <f t="array" ref="U359">IF(SIP[[#This Row],[B/S]]="S",ABS(SIP[[#This Row],[Unit]])*(INDEX(SIP[NAV at Cost (Average)],MATCH(CONCATENATE((SIP[[#This Row],[Frequency]]-1),SIP[[#This Row],[Investor ID]]),SIP[Unique Code],0),0)),0)</f>
        <v>0</v>
      </c>
      <c r="V359" s="74">
        <f>IF(SIP[[#This Row],[BO TRANSFER]]="YES",SIP[[#This Row],[Unit]],)</f>
        <v>0</v>
      </c>
      <c r="W359" s="74">
        <f>SUMIFS(SIP[[#Headers],[BO UNIT TRANSFER]]:SIP[[#This Row],[BO UNIT TRANSFER]],SIP[[#Headers],[Investor ID]]:SIP[[#This Row],[Investor ID]],SIP[[#This Row],[Investor ID]])</f>
        <v>0</v>
      </c>
    </row>
    <row r="360" spans="1:23" ht="15" customHeight="1">
      <c r="A360" s="46">
        <v>2024</v>
      </c>
      <c r="B360" s="46">
        <v>1</v>
      </c>
      <c r="C360" s="46">
        <v>26</v>
      </c>
      <c r="D360" s="65">
        <f>DATE(SIP[[#This Row],[Year]],SIP[[#This Row],[Month]],SIP[[#This Row],[Day]])</f>
        <v>45317</v>
      </c>
      <c r="E360" s="66" t="str" cm="1">
        <f t="array" ref="E360">INDEX(INVESTORS_LIST[INVESTOR NAME],MATCH(SIP[[#This Row],[Investor ID]],INVESTORS_LIST[INVESTOR CODE],0),)</f>
        <v>MAYA RANI SAHA</v>
      </c>
      <c r="F360" s="46" t="s">
        <v>224</v>
      </c>
      <c r="G360" s="46">
        <f>COUNTIF(SIP[[#Headers],[Investor ID]]:SIP[[#This Row],[Investor ID]],SIP[[#This Row],[Investor ID]])</f>
        <v>7</v>
      </c>
      <c r="H360" s="46" t="str">
        <f>CONCATENATE(SIP[[#This Row],[Frequency]],SIP[[#This Row],[Investor ID]])</f>
        <v>7A00088</v>
      </c>
      <c r="I360" s="46" t="str">
        <f>IF(SIP[[#This Row],[B/S]]="B","BUY",(IF(SIP[[#This Row],[B/S]]="S","SELL"," ")))</f>
        <v>BUY</v>
      </c>
      <c r="J360" s="46" t="s">
        <v>1229</v>
      </c>
      <c r="K360" s="69">
        <v>20000</v>
      </c>
      <c r="L360" s="69"/>
      <c r="M360" s="70">
        <f>SIP[[#This Row],[Amount]]/SIP[[#This Row],[Unit]]</f>
        <v>10.741138560687434</v>
      </c>
      <c r="N360" s="71">
        <f>SIP[[#This Row],[Unit Capital]]/10</f>
        <v>1862</v>
      </c>
      <c r="O360" s="72">
        <f>SUMIFS(SIP[[#Headers],[Unit]]:SIP[[#This Row],[Unit]],SIP[[#Headers],[Investor ID]]:SIP[[#This Row],[Investor ID]],SIP[[#This Row],[Investor ID]])</f>
        <v>9443</v>
      </c>
      <c r="P360" s="73">
        <v>18620</v>
      </c>
      <c r="Q360" s="74">
        <f>SIP[[#This Row],[Amount]]-SIP[[#This Row],[Unit Capital]]</f>
        <v>1380</v>
      </c>
      <c r="R3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10.58985491898761</v>
      </c>
      <c r="S360" s="68">
        <f t="shared" ref="S360:S374" si="15">NAV_MKT</f>
        <v>14.224</v>
      </c>
      <c r="T3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0" s="74" cm="1">
        <f t="array" ref="U360">IF(SIP[[#This Row],[B/S]]="S",ABS(SIP[[#This Row],[Unit]])*(INDEX(SIP[NAV at Cost (Average)],MATCH(CONCATENATE((SIP[[#This Row],[Frequency]]-1),SIP[[#This Row],[Investor ID]]),SIP[Unique Code],0),0)),0)</f>
        <v>0</v>
      </c>
      <c r="V360" s="74">
        <f>IF(SIP[[#This Row],[BO TRANSFER]]="YES",SIP[[#This Row],[Unit]],)</f>
        <v>0</v>
      </c>
      <c r="W360" s="74">
        <f>SUMIFS(SIP[[#Headers],[BO UNIT TRANSFER]]:SIP[[#This Row],[BO UNIT TRANSFER]],SIP[[#Headers],[Investor ID]]:SIP[[#This Row],[Investor ID]],SIP[[#This Row],[Investor ID]])</f>
        <v>0</v>
      </c>
    </row>
    <row r="361" spans="1:23" ht="15" customHeight="1">
      <c r="A361" s="46">
        <v>2024</v>
      </c>
      <c r="B361" s="46">
        <v>2</v>
      </c>
      <c r="C361" s="46">
        <v>5</v>
      </c>
      <c r="D361" s="65">
        <f>DATE(SIP[[#This Row],[Year]],SIP[[#This Row],[Month]],SIP[[#This Row],[Day]])</f>
        <v>45327</v>
      </c>
      <c r="E361" s="66" t="str" cm="1">
        <f t="array" ref="E361">INDEX(INVESTORS_LIST[INVESTOR NAME],MATCH(SIP[[#This Row],[Investor ID]],INVESTORS_LIST[INVESTOR CODE],0),)</f>
        <v>NANDINI SAHA</v>
      </c>
      <c r="F361" s="46" t="s">
        <v>242</v>
      </c>
      <c r="G361" s="46">
        <f>COUNTIF(SIP[[#Headers],[Investor ID]]:SIP[[#This Row],[Investor ID]],SIP[[#This Row],[Investor ID]])</f>
        <v>9</v>
      </c>
      <c r="H361" s="46" t="str">
        <f>CONCATENATE(SIP[[#This Row],[Frequency]],SIP[[#This Row],[Investor ID]])</f>
        <v>9A00097</v>
      </c>
      <c r="I361" s="46" t="str">
        <f>IF(SIP[[#This Row],[B/S]]="B","BUY",(IF(SIP[[#This Row],[B/S]]="S","SELL"," ")))</f>
        <v>BUY</v>
      </c>
      <c r="J361" s="46" t="s">
        <v>1229</v>
      </c>
      <c r="K361" s="69">
        <v>30000</v>
      </c>
      <c r="L361" s="69"/>
      <c r="M361" s="70">
        <f>SIP[[#This Row],[Amount]]/SIP[[#This Row],[Unit]]</f>
        <v>10.764262648008611</v>
      </c>
      <c r="N361" s="71">
        <f>SIP[[#This Row],[Unit Capital]]/10</f>
        <v>2787</v>
      </c>
      <c r="O361" s="72">
        <f>SUMIFS(SIP[[#Headers],[Unit]]:SIP[[#This Row],[Unit]],SIP[[#Headers],[Investor ID]]:SIP[[#This Row],[Investor ID]],SIP[[#This Row],[Investor ID]])</f>
        <v>25901</v>
      </c>
      <c r="P361" s="73">
        <v>27870</v>
      </c>
      <c r="Q361" s="74">
        <f>SIP[[#This Row],[Amount]]-SIP[[#This Row],[Unit Capital]]</f>
        <v>2130</v>
      </c>
      <c r="R3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10.424307941778309</v>
      </c>
      <c r="S361" s="68">
        <f t="shared" si="15"/>
        <v>14.224</v>
      </c>
      <c r="T3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1" s="74" cm="1">
        <f t="array" ref="U361">IF(SIP[[#This Row],[B/S]]="S",ABS(SIP[[#This Row],[Unit]])*(INDEX(SIP[NAV at Cost (Average)],MATCH(CONCATENATE((SIP[[#This Row],[Frequency]]-1),SIP[[#This Row],[Investor ID]]),SIP[Unique Code],0),0)),0)</f>
        <v>0</v>
      </c>
      <c r="V361" s="74">
        <f>IF(SIP[[#This Row],[BO TRANSFER]]="YES",SIP[[#This Row],[Unit]],)</f>
        <v>0</v>
      </c>
      <c r="W361" s="74">
        <f>SUMIFS(SIP[[#Headers],[BO UNIT TRANSFER]]:SIP[[#This Row],[BO UNIT TRANSFER]],SIP[[#Headers],[Investor ID]]:SIP[[#This Row],[Investor ID]],SIP[[#This Row],[Investor ID]])</f>
        <v>0</v>
      </c>
    </row>
    <row r="362" spans="1:23" ht="15" customHeight="1">
      <c r="A362" s="46">
        <v>2024</v>
      </c>
      <c r="B362" s="46">
        <v>2</v>
      </c>
      <c r="C362" s="46">
        <v>5</v>
      </c>
      <c r="D362" s="65">
        <f>DATE(SIP[[#This Row],[Year]],SIP[[#This Row],[Month]],SIP[[#This Row],[Day]])</f>
        <v>45327</v>
      </c>
      <c r="E362" s="66" t="str" cm="1">
        <f t="array" ref="E362">INDEX(INVESTORS_LIST[INVESTOR NAME],MATCH(SIP[[#This Row],[Investor ID]],INVESTORS_LIST[INVESTOR CODE],0),)</f>
        <v>SHANTA PAUL</v>
      </c>
      <c r="F362" s="46" t="s">
        <v>544</v>
      </c>
      <c r="G362" s="46">
        <f>COUNTIF(SIP[[#Headers],[Investor ID]]:SIP[[#This Row],[Investor ID]],SIP[[#This Row],[Investor ID]])</f>
        <v>11</v>
      </c>
      <c r="H362" s="46" t="str">
        <f>CONCATENATE(SIP[[#This Row],[Frequency]],SIP[[#This Row],[Investor ID]])</f>
        <v>11A00247</v>
      </c>
      <c r="I362" s="46" t="str">
        <f>IF(SIP[[#This Row],[B/S]]="B","BUY",(IF(SIP[[#This Row],[B/S]]="S","SELL"," ")))</f>
        <v>BUY</v>
      </c>
      <c r="J362" s="46" t="s">
        <v>1229</v>
      </c>
      <c r="K362" s="69">
        <v>20000</v>
      </c>
      <c r="L362" s="69"/>
      <c r="M362" s="70">
        <f>SIP[[#This Row],[Amount]]/SIP[[#This Row],[Unit]]</f>
        <v>10.764262648008611</v>
      </c>
      <c r="N362" s="71">
        <f>SIP[[#This Row],[Unit Capital]]/10</f>
        <v>1858</v>
      </c>
      <c r="O362" s="72">
        <f>SUMIFS(SIP[[#Headers],[Unit]]:SIP[[#This Row],[Unit]],SIP[[#Headers],[Investor ID]]:SIP[[#This Row],[Investor ID]],SIP[[#This Row],[Investor ID]])</f>
        <v>21119</v>
      </c>
      <c r="P362" s="73">
        <v>18580</v>
      </c>
      <c r="Q362" s="74">
        <f>SIP[[#This Row],[Amount]]-SIP[[#This Row],[Unit Capital]]</f>
        <v>1420</v>
      </c>
      <c r="R3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10.417159903404517</v>
      </c>
      <c r="S362" s="68">
        <f t="shared" si="15"/>
        <v>14.224</v>
      </c>
      <c r="T3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2" s="74" cm="1">
        <f t="array" ref="U362">IF(SIP[[#This Row],[B/S]]="S",ABS(SIP[[#This Row],[Unit]])*(INDEX(SIP[NAV at Cost (Average)],MATCH(CONCATENATE((SIP[[#This Row],[Frequency]]-1),SIP[[#This Row],[Investor ID]]),SIP[Unique Code],0),0)),0)</f>
        <v>0</v>
      </c>
      <c r="V362" s="74">
        <f>IF(SIP[[#This Row],[BO TRANSFER]]="YES",SIP[[#This Row],[Unit]],)</f>
        <v>0</v>
      </c>
      <c r="W362" s="74">
        <f>SUMIFS(SIP[[#Headers],[BO UNIT TRANSFER]]:SIP[[#This Row],[BO UNIT TRANSFER]],SIP[[#Headers],[Investor ID]]:SIP[[#This Row],[Investor ID]],SIP[[#This Row],[Investor ID]])</f>
        <v>0</v>
      </c>
    </row>
    <row r="363" spans="1:23" ht="15" customHeight="1">
      <c r="A363" s="46">
        <v>2024</v>
      </c>
      <c r="B363" s="46">
        <v>2</v>
      </c>
      <c r="C363" s="46">
        <v>5</v>
      </c>
      <c r="D363" s="65">
        <f>DATE(SIP[[#This Row],[Year]],SIP[[#This Row],[Month]],SIP[[#This Row],[Day]])</f>
        <v>45327</v>
      </c>
      <c r="E363" s="66" t="str" cm="1">
        <f t="array" ref="E363">INDEX(INVESTORS_LIST[INVESTOR NAME],MATCH(SIP[[#This Row],[Investor ID]],INVESTORS_LIST[INVESTOR CODE],0),)</f>
        <v>ROKSABA KASEM</v>
      </c>
      <c r="F363" s="46" t="s">
        <v>900</v>
      </c>
      <c r="G363" s="46">
        <f>COUNTIF(SIP[[#Headers],[Investor ID]]:SIP[[#This Row],[Investor ID]],SIP[[#This Row],[Investor ID]])</f>
        <v>9</v>
      </c>
      <c r="H363" s="46" t="str">
        <f>CONCATENATE(SIP[[#This Row],[Frequency]],SIP[[#This Row],[Investor ID]])</f>
        <v>9A00427</v>
      </c>
      <c r="I363" s="46" t="str">
        <f>IF(SIP[[#This Row],[B/S]]="B","BUY",(IF(SIP[[#This Row],[B/S]]="S","SELL"," ")))</f>
        <v>BUY</v>
      </c>
      <c r="J363" s="46" t="s">
        <v>1229</v>
      </c>
      <c r="K363" s="69">
        <v>20000</v>
      </c>
      <c r="L363" s="122"/>
      <c r="M363" s="70">
        <f>SIP[[#This Row],[Amount]]/SIP[[#This Row],[Unit]]</f>
        <v>10.764262648008611</v>
      </c>
      <c r="N363" s="71">
        <f>SIP[[#This Row],[Unit Capital]]/10</f>
        <v>1858</v>
      </c>
      <c r="O363" s="72">
        <f>SUMIFS(SIP[[#Headers],[Unit]]:SIP[[#This Row],[Unit]],SIP[[#Headers],[Investor ID]]:SIP[[#This Row],[Investor ID]],SIP[[#This Row],[Investor ID]])</f>
        <v>17162</v>
      </c>
      <c r="P363" s="73">
        <v>18580</v>
      </c>
      <c r="Q363" s="74">
        <f>SIP[[#This Row],[Amount]]-SIP[[#This Row],[Unit Capital]]</f>
        <v>1420</v>
      </c>
      <c r="R3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10.48828807831255</v>
      </c>
      <c r="S363" s="68">
        <f t="shared" si="15"/>
        <v>14.224</v>
      </c>
      <c r="T3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3" s="74" cm="1">
        <f t="array" ref="U363">IF(SIP[[#This Row],[B/S]]="S",ABS(SIP[[#This Row],[Unit]])*(INDEX(SIP[NAV at Cost (Average)],MATCH(CONCATENATE((SIP[[#This Row],[Frequency]]-1),SIP[[#This Row],[Investor ID]]),SIP[Unique Code],0),0)),0)</f>
        <v>0</v>
      </c>
      <c r="V363" s="74">
        <f>IF(SIP[[#This Row],[BO TRANSFER]]="YES",SIP[[#This Row],[Unit]],)</f>
        <v>0</v>
      </c>
      <c r="W363" s="74">
        <f>SUMIFS(SIP[[#Headers],[BO UNIT TRANSFER]]:SIP[[#This Row],[BO UNIT TRANSFER]],SIP[[#Headers],[Investor ID]]:SIP[[#This Row],[Investor ID]],SIP[[#This Row],[Investor ID]])</f>
        <v>0</v>
      </c>
    </row>
    <row r="364" spans="1:23" ht="15" customHeight="1">
      <c r="A364" s="46">
        <v>2024</v>
      </c>
      <c r="B364" s="46">
        <v>2</v>
      </c>
      <c r="C364" s="46">
        <v>5</v>
      </c>
      <c r="D364" s="65">
        <f>DATE(SIP[[#This Row],[Year]],SIP[[#This Row],[Month]],SIP[[#This Row],[Day]])</f>
        <v>45327</v>
      </c>
      <c r="E364" s="66" t="str" cm="1">
        <f t="array" ref="E364">INDEX(INVESTORS_LIST[INVESTOR NAME],MATCH(SIP[[#This Row],[Investor ID]],INVESTORS_LIST[INVESTOR CODE],0),)</f>
        <v>MD. MONIRUL ISLAM</v>
      </c>
      <c r="F364" s="46" t="s">
        <v>996</v>
      </c>
      <c r="G364" s="46">
        <f>COUNTIF(SIP[[#Headers],[Investor ID]]:SIP[[#This Row],[Investor ID]],SIP[[#This Row],[Investor ID]])</f>
        <v>10</v>
      </c>
      <c r="H364" s="46" t="str">
        <f>CONCATENATE(SIP[[#This Row],[Frequency]],SIP[[#This Row],[Investor ID]])</f>
        <v>10A00475</v>
      </c>
      <c r="I364" s="46" t="str">
        <f>IF(SIP[[#This Row],[B/S]]="B","BUY",(IF(SIP[[#This Row],[B/S]]="S","SELL"," ")))</f>
        <v>BUY</v>
      </c>
      <c r="J364" s="46" t="s">
        <v>1229</v>
      </c>
      <c r="K364" s="69">
        <v>10000</v>
      </c>
      <c r="L364" s="69"/>
      <c r="M364" s="70">
        <f>SIP[[#This Row],[Amount]]/SIP[[#This Row],[Unit]]</f>
        <v>10.764262648008611</v>
      </c>
      <c r="N364" s="71">
        <f>SIP[[#This Row],[Unit Capital]]/10</f>
        <v>929</v>
      </c>
      <c r="O364" s="72">
        <f>SUMIFS(SIP[[#Headers],[Unit]]:SIP[[#This Row],[Unit]],SIP[[#Headers],[Investor ID]]:SIP[[#This Row],[Investor ID]],SIP[[#This Row],[Investor ID]])</f>
        <v>9568</v>
      </c>
      <c r="P364" s="73">
        <v>9290</v>
      </c>
      <c r="Q364" s="74">
        <f>SIP[[#This Row],[Amount]]-SIP[[#This Row],[Unit Capital]]</f>
        <v>710</v>
      </c>
      <c r="R3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10.451505016722408</v>
      </c>
      <c r="S364" s="68">
        <f t="shared" si="15"/>
        <v>14.224</v>
      </c>
      <c r="T3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4" s="74" cm="1">
        <f t="array" ref="U364">IF(SIP[[#This Row],[B/S]]="S",ABS(SIP[[#This Row],[Unit]])*(INDEX(SIP[NAV at Cost (Average)],MATCH(CONCATENATE((SIP[[#This Row],[Frequency]]-1),SIP[[#This Row],[Investor ID]]),SIP[Unique Code],0),0)),0)</f>
        <v>0</v>
      </c>
      <c r="V364" s="74">
        <f>IF(SIP[[#This Row],[BO TRANSFER]]="YES",SIP[[#This Row],[Unit]],)</f>
        <v>0</v>
      </c>
      <c r="W364" s="74">
        <f>SUMIFS(SIP[[#Headers],[BO UNIT TRANSFER]]:SIP[[#This Row],[BO UNIT TRANSFER]],SIP[[#Headers],[Investor ID]]:SIP[[#This Row],[Investor ID]],SIP[[#This Row],[Investor ID]])</f>
        <v>0</v>
      </c>
    </row>
    <row r="365" spans="1:23" ht="15" customHeight="1">
      <c r="A365" s="46">
        <v>2024</v>
      </c>
      <c r="B365" s="46">
        <v>2</v>
      </c>
      <c r="C365" s="46">
        <v>5</v>
      </c>
      <c r="D365" s="65">
        <f>DATE(SIP[[#This Row],[Year]],SIP[[#This Row],[Month]],SIP[[#This Row],[Day]])</f>
        <v>45327</v>
      </c>
      <c r="E365" s="66" t="str" cm="1">
        <f t="array" ref="E365">INDEX(INVESTORS_LIST[INVESTOR NAME],MATCH(SIP[[#This Row],[Investor ID]],INVESTORS_LIST[INVESTOR CODE],0),)</f>
        <v>MONIR AHMED</v>
      </c>
      <c r="F365" s="46" t="s">
        <v>125</v>
      </c>
      <c r="G365" s="46">
        <f>COUNTIF(SIP[[#Headers],[Investor ID]]:SIP[[#This Row],[Investor ID]],SIP[[#This Row],[Investor ID]])</f>
        <v>10</v>
      </c>
      <c r="H365" s="46" t="str">
        <f>CONCATENATE(SIP[[#This Row],[Frequency]],SIP[[#This Row],[Investor ID]])</f>
        <v>10A00039</v>
      </c>
      <c r="I365" s="46" t="str">
        <f>IF(SIP[[#This Row],[B/S]]="B","BUY",(IF(SIP[[#This Row],[B/S]]="S","SELL"," ")))</f>
        <v>BUY</v>
      </c>
      <c r="J365" s="46" t="s">
        <v>1229</v>
      </c>
      <c r="K365" s="69">
        <v>5000</v>
      </c>
      <c r="L365" s="69"/>
      <c r="M365" s="70">
        <f>SIP[[#This Row],[Amount]]/SIP[[#This Row],[Unit]]</f>
        <v>10.775862068965518</v>
      </c>
      <c r="N365" s="71">
        <f>SIP[[#This Row],[Unit Capital]]/10</f>
        <v>464</v>
      </c>
      <c r="O365" s="72">
        <f>SUMIFS(SIP[[#Headers],[Unit]]:SIP[[#This Row],[Unit]],SIP[[#Headers],[Investor ID]]:SIP[[#This Row],[Investor ID]],SIP[[#This Row],[Investor ID]])</f>
        <v>2352</v>
      </c>
      <c r="P365" s="73">
        <v>4640</v>
      </c>
      <c r="Q365" s="74">
        <f>SIP[[#This Row],[Amount]]-SIP[[#This Row],[Unit Capital]]</f>
        <v>360</v>
      </c>
      <c r="R3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10.629251700680271</v>
      </c>
      <c r="S365" s="68">
        <f t="shared" si="15"/>
        <v>14.224</v>
      </c>
      <c r="T3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5" s="74" cm="1">
        <f t="array" ref="U365">IF(SIP[[#This Row],[B/S]]="S",ABS(SIP[[#This Row],[Unit]])*(INDEX(SIP[NAV at Cost (Average)],MATCH(CONCATENATE((SIP[[#This Row],[Frequency]]-1),SIP[[#This Row],[Investor ID]]),SIP[Unique Code],0),0)),0)</f>
        <v>0</v>
      </c>
      <c r="V365" s="74">
        <f>IF(SIP[[#This Row],[BO TRANSFER]]="YES",SIP[[#This Row],[Unit]],)</f>
        <v>0</v>
      </c>
      <c r="W365" s="74">
        <f>SUMIFS(SIP[[#Headers],[BO UNIT TRANSFER]]:SIP[[#This Row],[BO UNIT TRANSFER]],SIP[[#Headers],[Investor ID]]:SIP[[#This Row],[Investor ID]],SIP[[#This Row],[Investor ID]])</f>
        <v>0</v>
      </c>
    </row>
    <row r="366" spans="1:23" ht="15" customHeight="1">
      <c r="A366" s="46">
        <v>2024</v>
      </c>
      <c r="B366" s="46">
        <v>2</v>
      </c>
      <c r="C366" s="46">
        <v>5</v>
      </c>
      <c r="D366" s="65">
        <f>DATE(SIP[[#This Row],[Year]],SIP[[#This Row],[Month]],SIP[[#This Row],[Day]])</f>
        <v>45327</v>
      </c>
      <c r="E366" s="66" t="str" cm="1">
        <f t="array" ref="E366">INDEX(INVESTORS_LIST[INVESTOR NAME],MATCH(SIP[[#This Row],[Investor ID]],INVESTORS_LIST[INVESTOR CODE],0),)</f>
        <v>FAKARUDDIN ALI AHMED</v>
      </c>
      <c r="F366" s="46" t="s">
        <v>228</v>
      </c>
      <c r="G366" s="46">
        <f>COUNTIF(SIP[[#Headers],[Investor ID]]:SIP[[#This Row],[Investor ID]],SIP[[#This Row],[Investor ID]])</f>
        <v>9</v>
      </c>
      <c r="H366" s="46" t="str">
        <f>CONCATENATE(SIP[[#This Row],[Frequency]],SIP[[#This Row],[Investor ID]])</f>
        <v>9A00090</v>
      </c>
      <c r="I366" s="46" t="str">
        <f>IF(SIP[[#This Row],[B/S]]="B","BUY",(IF(SIP[[#This Row],[B/S]]="S","SELL"," ")))</f>
        <v>BUY</v>
      </c>
      <c r="J366" s="46" t="s">
        <v>1229</v>
      </c>
      <c r="K366" s="69">
        <v>10000</v>
      </c>
      <c r="L366" s="69"/>
      <c r="M366" s="70">
        <f>SIP[[#This Row],[Amount]]/SIP[[#This Row],[Unit]]</f>
        <v>10.764262648008611</v>
      </c>
      <c r="N366" s="71">
        <f>SIP[[#This Row],[Unit Capital]]/10</f>
        <v>929</v>
      </c>
      <c r="O366" s="72">
        <f>SUMIFS(SIP[[#Headers],[Unit]]:SIP[[#This Row],[Unit]],SIP[[#Headers],[Investor ID]]:SIP[[#This Row],[Investor ID]],SIP[[#This Row],[Investor ID]])</f>
        <v>6625</v>
      </c>
      <c r="P366" s="73">
        <v>9290</v>
      </c>
      <c r="Q366" s="74">
        <f>SIP[[#This Row],[Amount]]-SIP[[#This Row],[Unit Capital]]</f>
        <v>710</v>
      </c>
      <c r="R3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10.566037735849056</v>
      </c>
      <c r="S366" s="68">
        <f t="shared" si="15"/>
        <v>14.224</v>
      </c>
      <c r="T3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6" s="74" cm="1">
        <f t="array" ref="U366">IF(SIP[[#This Row],[B/S]]="S",ABS(SIP[[#This Row],[Unit]])*(INDEX(SIP[NAV at Cost (Average)],MATCH(CONCATENATE((SIP[[#This Row],[Frequency]]-1),SIP[[#This Row],[Investor ID]]),SIP[Unique Code],0),0)),0)</f>
        <v>0</v>
      </c>
      <c r="V366" s="74">
        <f>IF(SIP[[#This Row],[BO TRANSFER]]="YES",SIP[[#This Row],[Unit]],)</f>
        <v>0</v>
      </c>
      <c r="W366" s="74">
        <f>SUMIFS(SIP[[#Headers],[BO UNIT TRANSFER]]:SIP[[#This Row],[BO UNIT TRANSFER]],SIP[[#Headers],[Investor ID]]:SIP[[#This Row],[Investor ID]],SIP[[#This Row],[Investor ID]])</f>
        <v>0</v>
      </c>
    </row>
    <row r="367" spans="1:23" ht="15" customHeight="1">
      <c r="A367" s="46">
        <v>2024</v>
      </c>
      <c r="B367" s="46">
        <v>2</v>
      </c>
      <c r="C367" s="46">
        <v>5</v>
      </c>
      <c r="D367" s="65">
        <f>DATE(SIP[[#This Row],[Year]],SIP[[#This Row],[Month]],SIP[[#This Row],[Day]])</f>
        <v>45327</v>
      </c>
      <c r="E367" s="66" t="str" cm="1">
        <f t="array" ref="E367">INDEX(INVESTORS_LIST[INVESTOR NAME],MATCH(SIP[[#This Row],[Investor ID]],INVESTORS_LIST[INVESTOR CODE],0),)</f>
        <v>SABRIA ISLAM TALUKDER</v>
      </c>
      <c r="F367" s="46" t="s">
        <v>409</v>
      </c>
      <c r="G367" s="46">
        <f>COUNTIF(SIP[[#Headers],[Investor ID]]:SIP[[#This Row],[Investor ID]],SIP[[#This Row],[Investor ID]])</f>
        <v>6</v>
      </c>
      <c r="H367" s="46" t="str">
        <f>CONCATENATE(SIP[[#This Row],[Frequency]],SIP[[#This Row],[Investor ID]])</f>
        <v>6A00180</v>
      </c>
      <c r="I367" s="46" t="str">
        <f>IF(SIP[[#This Row],[B/S]]="B","BUY",(IF(SIP[[#This Row],[B/S]]="S","SELL"," ")))</f>
        <v>BUY</v>
      </c>
      <c r="J367" s="46" t="s">
        <v>1229</v>
      </c>
      <c r="K367" s="69">
        <v>5000</v>
      </c>
      <c r="L367" s="69"/>
      <c r="M367" s="70">
        <f>SIP[[#This Row],[Amount]]/SIP[[#This Row],[Unit]]</f>
        <v>10.775862068965518</v>
      </c>
      <c r="N367" s="71">
        <f>SIP[[#This Row],[Unit Capital]]/10</f>
        <v>464</v>
      </c>
      <c r="O367" s="72">
        <f>SUMIFS(SIP[[#Headers],[Unit]]:SIP[[#This Row],[Unit]],SIP[[#Headers],[Investor ID]]:SIP[[#This Row],[Investor ID]],SIP[[#This Row],[Investor ID]])</f>
        <v>2831</v>
      </c>
      <c r="P367" s="73">
        <v>4640</v>
      </c>
      <c r="Q367" s="74">
        <f>SIP[[#This Row],[Amount]]-SIP[[#This Row],[Unit Capital]]</f>
        <v>360</v>
      </c>
      <c r="R3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10.596962204168136</v>
      </c>
      <c r="S367" s="68">
        <f t="shared" si="15"/>
        <v>14.224</v>
      </c>
      <c r="T3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7" s="74" cm="1">
        <f t="array" ref="U367">IF(SIP[[#This Row],[B/S]]="S",ABS(SIP[[#This Row],[Unit]])*(INDEX(SIP[NAV at Cost (Average)],MATCH(CONCATENATE((SIP[[#This Row],[Frequency]]-1),SIP[[#This Row],[Investor ID]]),SIP[Unique Code],0),0)),0)</f>
        <v>0</v>
      </c>
      <c r="V367" s="74">
        <f>IF(SIP[[#This Row],[BO TRANSFER]]="YES",SIP[[#This Row],[Unit]],)</f>
        <v>0</v>
      </c>
      <c r="W367" s="74">
        <f>SUMIFS(SIP[[#Headers],[BO UNIT TRANSFER]]:SIP[[#This Row],[BO UNIT TRANSFER]],SIP[[#Headers],[Investor ID]]:SIP[[#This Row],[Investor ID]],SIP[[#This Row],[Investor ID]])</f>
        <v>0</v>
      </c>
    </row>
    <row r="368" spans="1:23" ht="15" customHeight="1">
      <c r="A368" s="46">
        <v>2024</v>
      </c>
      <c r="B368" s="46">
        <v>2</v>
      </c>
      <c r="C368" s="46">
        <v>5</v>
      </c>
      <c r="D368" s="65">
        <f>DATE(SIP[[#This Row],[Year]],SIP[[#This Row],[Month]],SIP[[#This Row],[Day]])</f>
        <v>45327</v>
      </c>
      <c r="E368" s="66" t="str" cm="1">
        <f t="array" ref="E368">INDEX(INVESTORS_LIST[INVESTOR NAME],MATCH(SIP[[#This Row],[Investor ID]],INVESTORS_LIST[INVESTOR CODE],0),)</f>
        <v>NANI GOPAL DATTA</v>
      </c>
      <c r="F368" s="46" t="s">
        <v>232</v>
      </c>
      <c r="G368" s="46">
        <f>COUNTIF(SIP[[#Headers],[Investor ID]]:SIP[[#This Row],[Investor ID]],SIP[[#This Row],[Investor ID]])</f>
        <v>4</v>
      </c>
      <c r="H368" s="46" t="str">
        <f>CONCATENATE(SIP[[#This Row],[Frequency]],SIP[[#This Row],[Investor ID]])</f>
        <v>4A00092</v>
      </c>
      <c r="I368" s="46" t="str">
        <f>IF(SIP[[#This Row],[B/S]]="B","BUY",(IF(SIP[[#This Row],[B/S]]="S","SELL"," ")))</f>
        <v>BUY</v>
      </c>
      <c r="J368" s="46" t="s">
        <v>1229</v>
      </c>
      <c r="K368" s="69">
        <v>2000</v>
      </c>
      <c r="L368" s="69"/>
      <c r="M368" s="70">
        <f>SIP[[#This Row],[Amount]]/SIP[[#This Row],[Unit]]</f>
        <v>10.75268817204301</v>
      </c>
      <c r="N368" s="71">
        <f>SIP[[#This Row],[Unit Capital]]/10</f>
        <v>186</v>
      </c>
      <c r="O368" s="72">
        <f>SUMIFS(SIP[[#Headers],[Unit]]:SIP[[#This Row],[Unit]],SIP[[#Headers],[Investor ID]]:SIP[[#This Row],[Investor ID]],SIP[[#This Row],[Investor ID]])</f>
        <v>750</v>
      </c>
      <c r="P368" s="73">
        <v>1860</v>
      </c>
      <c r="Q368" s="74">
        <f>SIP[[#This Row],[Amount]]-SIP[[#This Row],[Unit Capital]]</f>
        <v>140</v>
      </c>
      <c r="R3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10.666666666666668</v>
      </c>
      <c r="S368" s="68">
        <f t="shared" si="15"/>
        <v>14.224</v>
      </c>
      <c r="T3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8" s="74" cm="1">
        <f t="array" ref="U368">IF(SIP[[#This Row],[B/S]]="S",ABS(SIP[[#This Row],[Unit]])*(INDEX(SIP[NAV at Cost (Average)],MATCH(CONCATENATE((SIP[[#This Row],[Frequency]]-1),SIP[[#This Row],[Investor ID]]),SIP[Unique Code],0),0)),0)</f>
        <v>0</v>
      </c>
      <c r="V368" s="74">
        <f>IF(SIP[[#This Row],[BO TRANSFER]]="YES",SIP[[#This Row],[Unit]],)</f>
        <v>0</v>
      </c>
      <c r="W368" s="74">
        <f>SUMIFS(SIP[[#Headers],[BO UNIT TRANSFER]]:SIP[[#This Row],[BO UNIT TRANSFER]],SIP[[#Headers],[Investor ID]]:SIP[[#This Row],[Investor ID]],SIP[[#This Row],[Investor ID]])</f>
        <v>0</v>
      </c>
    </row>
    <row r="369" spans="1:23" ht="15" customHeight="1">
      <c r="A369" s="46">
        <v>2024</v>
      </c>
      <c r="B369" s="46">
        <v>2</v>
      </c>
      <c r="C369" s="46">
        <v>5</v>
      </c>
      <c r="D369" s="65">
        <f>DATE(SIP[[#This Row],[Year]],SIP[[#This Row],[Month]],SIP[[#This Row],[Day]])</f>
        <v>45327</v>
      </c>
      <c r="E369" s="66" t="str" cm="1">
        <f t="array" ref="E369">INDEX(INVESTORS_LIST[INVESTOR NAME],MATCH(SIP[[#This Row],[Investor ID]],INVESTORS_LIST[INVESTOR CODE],0),)</f>
        <v>SHUVA SAHA</v>
      </c>
      <c r="F369" s="46" t="s">
        <v>154</v>
      </c>
      <c r="G369" s="46">
        <f>COUNTIF(SIP[[#Headers],[Investor ID]]:SIP[[#This Row],[Investor ID]],SIP[[#This Row],[Investor ID]])</f>
        <v>12</v>
      </c>
      <c r="H369" s="46" t="str">
        <f>CONCATENATE(SIP[[#This Row],[Frequency]],SIP[[#This Row],[Investor ID]])</f>
        <v>12A00053</v>
      </c>
      <c r="I369" s="46" t="str">
        <f>IF(SIP[[#This Row],[B/S]]="B","BUY",(IF(SIP[[#This Row],[B/S]]="S","SELL"," ")))</f>
        <v>BUY</v>
      </c>
      <c r="J369" s="46" t="s">
        <v>1229</v>
      </c>
      <c r="K369" s="69">
        <v>70000</v>
      </c>
      <c r="L369" s="69"/>
      <c r="M369" s="70">
        <f>SIP[[#This Row],[Amount]]/SIP[[#This Row],[Unit]]</f>
        <v>10.764262648008611</v>
      </c>
      <c r="N369" s="71">
        <f>SIP[[#This Row],[Unit Capital]]/10</f>
        <v>6503</v>
      </c>
      <c r="O369" s="72">
        <f>SUMIFS(SIP[[#Headers],[Unit]]:SIP[[#This Row],[Unit]],SIP[[#Headers],[Investor ID]]:SIP[[#This Row],[Investor ID]],SIP[[#This Row],[Investor ID]])</f>
        <v>67225</v>
      </c>
      <c r="P369" s="73">
        <v>65030</v>
      </c>
      <c r="Q369" s="74">
        <f>SIP[[#This Row],[Amount]]-SIP[[#This Row],[Unit Capital]]</f>
        <v>4970</v>
      </c>
      <c r="R3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10.433639873722182</v>
      </c>
      <c r="S369" s="68">
        <f t="shared" si="15"/>
        <v>14.224</v>
      </c>
      <c r="T3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9" s="74" cm="1">
        <f t="array" ref="U369">IF(SIP[[#This Row],[B/S]]="S",ABS(SIP[[#This Row],[Unit]])*(INDEX(SIP[NAV at Cost (Average)],MATCH(CONCATENATE((SIP[[#This Row],[Frequency]]-1),SIP[[#This Row],[Investor ID]]),SIP[Unique Code],0),0)),0)</f>
        <v>0</v>
      </c>
      <c r="V369" s="74">
        <f>IF(SIP[[#This Row],[BO TRANSFER]]="YES",SIP[[#This Row],[Unit]],)</f>
        <v>0</v>
      </c>
      <c r="W369" s="74">
        <f>SUMIFS(SIP[[#Headers],[BO UNIT TRANSFER]]:SIP[[#This Row],[BO UNIT TRANSFER]],SIP[[#Headers],[Investor ID]]:SIP[[#This Row],[Investor ID]],SIP[[#This Row],[Investor ID]])</f>
        <v>0</v>
      </c>
    </row>
    <row r="370" spans="1:23" ht="15" customHeight="1">
      <c r="A370" s="46">
        <v>2024</v>
      </c>
      <c r="B370" s="46">
        <v>2</v>
      </c>
      <c r="C370" s="46">
        <v>5</v>
      </c>
      <c r="D370" s="65">
        <f>DATE(SIP[[#This Row],[Year]],SIP[[#This Row],[Month]],SIP[[#This Row],[Day]])</f>
        <v>45327</v>
      </c>
      <c r="E370" s="66" t="str" cm="1">
        <f t="array" ref="E370">INDEX(INVESTORS_LIST[INVESTOR NAME],MATCH(SIP[[#This Row],[Investor ID]],INVESTORS_LIST[INVESTOR CODE],0),)</f>
        <v>FAIYEAD AHMEDUL HYE</v>
      </c>
      <c r="F370" s="46" t="s">
        <v>368</v>
      </c>
      <c r="G370" s="46">
        <f>COUNTIF(SIP[[#Headers],[Investor ID]]:SIP[[#This Row],[Investor ID]],SIP[[#This Row],[Investor ID]])</f>
        <v>9</v>
      </c>
      <c r="H370" s="46" t="str">
        <f>CONCATENATE(SIP[[#This Row],[Frequency]],SIP[[#This Row],[Investor ID]])</f>
        <v>9A00160</v>
      </c>
      <c r="I370" s="46" t="str">
        <f>IF(SIP[[#This Row],[B/S]]="B","BUY",(IF(SIP[[#This Row],[B/S]]="S","SELL"," ")))</f>
        <v>BUY</v>
      </c>
      <c r="J370" s="46" t="s">
        <v>1229</v>
      </c>
      <c r="K370" s="69">
        <v>15000</v>
      </c>
      <c r="L370" s="69"/>
      <c r="M370" s="70">
        <f>SIP[[#This Row],[Amount]]/SIP[[#This Row],[Unit]]</f>
        <v>10.768126346015793</v>
      </c>
      <c r="N370" s="71">
        <f>SIP[[#This Row],[Unit Capital]]/10</f>
        <v>1393</v>
      </c>
      <c r="O370" s="72">
        <f>SUMIFS(SIP[[#Headers],[Unit]]:SIP[[#This Row],[Unit]],SIP[[#Headers],[Investor ID]]:SIP[[#This Row],[Investor ID]],SIP[[#This Row],[Investor ID]])</f>
        <v>12870</v>
      </c>
      <c r="P370" s="73">
        <v>13930</v>
      </c>
      <c r="Q370" s="74">
        <f>SIP[[#This Row],[Amount]]-SIP[[#This Row],[Unit Capital]]</f>
        <v>1070</v>
      </c>
      <c r="R3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10.48951048951049</v>
      </c>
      <c r="S370" s="68">
        <f t="shared" si="15"/>
        <v>14.224</v>
      </c>
      <c r="T3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0" s="74" cm="1">
        <f t="array" ref="U370">IF(SIP[[#This Row],[B/S]]="S",ABS(SIP[[#This Row],[Unit]])*(INDEX(SIP[NAV at Cost (Average)],MATCH(CONCATENATE((SIP[[#This Row],[Frequency]]-1),SIP[[#This Row],[Investor ID]]),SIP[Unique Code],0),0)),0)</f>
        <v>0</v>
      </c>
      <c r="V370" s="74">
        <f>IF(SIP[[#This Row],[BO TRANSFER]]="YES",SIP[[#This Row],[Unit]],)</f>
        <v>0</v>
      </c>
      <c r="W370" s="74">
        <f>SUMIFS(SIP[[#Headers],[BO UNIT TRANSFER]]:SIP[[#This Row],[BO UNIT TRANSFER]],SIP[[#Headers],[Investor ID]]:SIP[[#This Row],[Investor ID]],SIP[[#This Row],[Investor ID]])</f>
        <v>0</v>
      </c>
    </row>
    <row r="371" spans="1:23" ht="15" customHeight="1">
      <c r="A371" s="46">
        <v>2024</v>
      </c>
      <c r="B371" s="46">
        <v>2</v>
      </c>
      <c r="C371" s="46">
        <v>5</v>
      </c>
      <c r="D371" s="65">
        <f>DATE(SIP[[#This Row],[Year]],SIP[[#This Row],[Month]],SIP[[#This Row],[Day]])</f>
        <v>45327</v>
      </c>
      <c r="E371" s="66" t="str" cm="1">
        <f t="array" ref="E371">INDEX(INVESTORS_LIST[INVESTOR NAME],MATCH(SIP[[#This Row],[Investor ID]],INVESTORS_LIST[INVESTOR CODE],0),)</f>
        <v>CHAONIKA SAHA</v>
      </c>
      <c r="F371" s="46" t="s">
        <v>238</v>
      </c>
      <c r="G371" s="46">
        <f>COUNTIF(SIP[[#Headers],[Investor ID]]:SIP[[#This Row],[Investor ID]],SIP[[#This Row],[Investor ID]])</f>
        <v>6</v>
      </c>
      <c r="H371" s="46" t="str">
        <f>CONCATENATE(SIP[[#This Row],[Frequency]],SIP[[#This Row],[Investor ID]])</f>
        <v>6A00095</v>
      </c>
      <c r="I371" s="46" t="str">
        <f>IF(SIP[[#This Row],[B/S]]="B","BUY",(IF(SIP[[#This Row],[B/S]]="S","SELL"," ")))</f>
        <v>BUY</v>
      </c>
      <c r="J371" s="46" t="s">
        <v>1229</v>
      </c>
      <c r="K371" s="69">
        <v>1000</v>
      </c>
      <c r="L371" s="69"/>
      <c r="M371" s="70">
        <f>SIP[[#This Row],[Amount]]/SIP[[#This Row],[Unit]]</f>
        <v>10.75268817204301</v>
      </c>
      <c r="N371" s="71">
        <f>SIP[[#This Row],[Unit Capital]]/10</f>
        <v>93</v>
      </c>
      <c r="O371" s="72">
        <f>SUMIFS(SIP[[#Headers],[Unit]]:SIP[[#This Row],[Unit]],SIP[[#Headers],[Investor ID]]:SIP[[#This Row],[Investor ID]],SIP[[#This Row],[Investor ID]])</f>
        <v>566</v>
      </c>
      <c r="P371" s="73">
        <v>930</v>
      </c>
      <c r="Q371" s="74">
        <f>SIP[[#This Row],[Amount]]-SIP[[#This Row],[Unit Capital]]</f>
        <v>70</v>
      </c>
      <c r="R3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10.600706713780919</v>
      </c>
      <c r="S371" s="68">
        <f t="shared" si="15"/>
        <v>14.224</v>
      </c>
      <c r="T3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1" s="74" cm="1">
        <f t="array" ref="U371">IF(SIP[[#This Row],[B/S]]="S",ABS(SIP[[#This Row],[Unit]])*(INDEX(SIP[NAV at Cost (Average)],MATCH(CONCATENATE((SIP[[#This Row],[Frequency]]-1),SIP[[#This Row],[Investor ID]]),SIP[Unique Code],0),0)),0)</f>
        <v>0</v>
      </c>
      <c r="V371" s="74">
        <f>IF(SIP[[#This Row],[BO TRANSFER]]="YES",SIP[[#This Row],[Unit]],)</f>
        <v>0</v>
      </c>
      <c r="W371" s="74">
        <f>SUMIFS(SIP[[#Headers],[BO UNIT TRANSFER]]:SIP[[#This Row],[BO UNIT TRANSFER]],SIP[[#Headers],[Investor ID]]:SIP[[#This Row],[Investor ID]],SIP[[#This Row],[Investor ID]])</f>
        <v>0</v>
      </c>
    </row>
    <row r="372" spans="1:23" ht="15" customHeight="1">
      <c r="A372" s="46">
        <v>2024</v>
      </c>
      <c r="B372" s="46">
        <v>2</v>
      </c>
      <c r="C372" s="46">
        <v>5</v>
      </c>
      <c r="D372" s="65">
        <f>DATE(SIP[[#This Row],[Year]],SIP[[#This Row],[Month]],SIP[[#This Row],[Day]])</f>
        <v>45327</v>
      </c>
      <c r="E372" s="66" t="str" cm="1">
        <f t="array" ref="E372">INDEX(INVESTORS_LIST[INVESTOR NAME],MATCH(SIP[[#This Row],[Investor ID]],INVESTORS_LIST[INVESTOR CODE],0),)</f>
        <v>SK FEROZ ALAM</v>
      </c>
      <c r="F372" s="46" t="s">
        <v>240</v>
      </c>
      <c r="G372" s="46">
        <f>COUNTIF(SIP[[#Headers],[Investor ID]]:SIP[[#This Row],[Investor ID]],SIP[[#This Row],[Investor ID]])</f>
        <v>4</v>
      </c>
      <c r="H372" s="46" t="str">
        <f>CONCATENATE(SIP[[#This Row],[Frequency]],SIP[[#This Row],[Investor ID]])</f>
        <v>4A00096</v>
      </c>
      <c r="I372" s="46" t="str">
        <f>IF(SIP[[#This Row],[B/S]]="B","BUY",(IF(SIP[[#This Row],[B/S]]="S","SELL"," ")))</f>
        <v>BUY</v>
      </c>
      <c r="J372" s="46" t="s">
        <v>1229</v>
      </c>
      <c r="K372" s="69">
        <v>2000</v>
      </c>
      <c r="L372" s="69"/>
      <c r="M372" s="70">
        <f>SIP[[#This Row],[Amount]]/SIP[[#This Row],[Unit]]</f>
        <v>10.75268817204301</v>
      </c>
      <c r="N372" s="71">
        <f>SIP[[#This Row],[Unit Capital]]/10</f>
        <v>186</v>
      </c>
      <c r="O372" s="72">
        <f>SUMIFS(SIP[[#Headers],[Unit]]:SIP[[#This Row],[Unit]],SIP[[#Headers],[Investor ID]]:SIP[[#This Row],[Investor ID]],SIP[[#This Row],[Investor ID]])</f>
        <v>757</v>
      </c>
      <c r="P372" s="73">
        <v>1860</v>
      </c>
      <c r="Q372" s="74">
        <f>SIP[[#This Row],[Amount]]-SIP[[#This Row],[Unit Capital]]</f>
        <v>140</v>
      </c>
      <c r="R3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10.568031704095112</v>
      </c>
      <c r="S372" s="68">
        <f t="shared" si="15"/>
        <v>14.224</v>
      </c>
      <c r="T3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2" s="74" cm="1">
        <f t="array" ref="U372">IF(SIP[[#This Row],[B/S]]="S",ABS(SIP[[#This Row],[Unit]])*(INDEX(SIP[NAV at Cost (Average)],MATCH(CONCATENATE((SIP[[#This Row],[Frequency]]-1),SIP[[#This Row],[Investor ID]]),SIP[Unique Code],0),0)),0)</f>
        <v>0</v>
      </c>
      <c r="V372" s="74">
        <f>IF(SIP[[#This Row],[BO TRANSFER]]="YES",SIP[[#This Row],[Unit]],)</f>
        <v>0</v>
      </c>
      <c r="W372" s="74">
        <f>SUMIFS(SIP[[#Headers],[BO UNIT TRANSFER]]:SIP[[#This Row],[BO UNIT TRANSFER]],SIP[[#Headers],[Investor ID]]:SIP[[#This Row],[Investor ID]],SIP[[#This Row],[Investor ID]])</f>
        <v>0</v>
      </c>
    </row>
    <row r="373" spans="1:23" ht="15" customHeight="1">
      <c r="A373" s="46">
        <v>2024</v>
      </c>
      <c r="B373" s="46">
        <v>2</v>
      </c>
      <c r="C373" s="46">
        <v>5</v>
      </c>
      <c r="D373" s="65">
        <f>DATE(SIP[[#This Row],[Year]],SIP[[#This Row],[Month]],SIP[[#This Row],[Day]])</f>
        <v>45327</v>
      </c>
      <c r="E373" s="66" t="str" cm="1">
        <f t="array" ref="E373">INDEX(INVESTORS_LIST[INVESTOR NAME],MATCH(SIP[[#This Row],[Investor ID]],INVESTORS_LIST[INVESTOR CODE],0),)</f>
        <v>MD JAMAL HOSSAIN</v>
      </c>
      <c r="F373" s="46" t="s">
        <v>952</v>
      </c>
      <c r="G373" s="46">
        <f>COUNTIF(SIP[[#Headers],[Investor ID]]:SIP[[#This Row],[Investor ID]],SIP[[#This Row],[Investor ID]])</f>
        <v>5</v>
      </c>
      <c r="H373" s="46" t="str">
        <f>CONCATENATE(SIP[[#This Row],[Frequency]],SIP[[#This Row],[Investor ID]])</f>
        <v>5A00453</v>
      </c>
      <c r="I373" s="46" t="str">
        <f>IF(SIP[[#This Row],[B/S]]="B","BUY",(IF(SIP[[#This Row],[B/S]]="S","SELL"," ")))</f>
        <v>BUY</v>
      </c>
      <c r="J373" s="46" t="s">
        <v>1229</v>
      </c>
      <c r="K373" s="69">
        <v>5000</v>
      </c>
      <c r="L373" s="69"/>
      <c r="M373" s="70">
        <f>SIP[[#This Row],[Amount]]/SIP[[#This Row],[Unit]]</f>
        <v>10.775862068965518</v>
      </c>
      <c r="N373" s="71">
        <f>SIP[[#This Row],[Unit Capital]]/10</f>
        <v>464</v>
      </c>
      <c r="O373" s="72">
        <f>SUMIFS(SIP[[#Headers],[Unit]]:SIP[[#This Row],[Unit]],SIP[[#Headers],[Investor ID]]:SIP[[#This Row],[Investor ID]],SIP[[#This Row],[Investor ID]])</f>
        <v>2352</v>
      </c>
      <c r="P373" s="73">
        <v>4640</v>
      </c>
      <c r="Q373" s="74">
        <f>SIP[[#This Row],[Amount]]-SIP[[#This Row],[Unit Capital]]</f>
        <v>360</v>
      </c>
      <c r="R3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10.629251700680271</v>
      </c>
      <c r="S373" s="68">
        <f t="shared" si="15"/>
        <v>14.224</v>
      </c>
      <c r="T3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3" s="74" cm="1">
        <f t="array" ref="U373">IF(SIP[[#This Row],[B/S]]="S",ABS(SIP[[#This Row],[Unit]])*(INDEX(SIP[NAV at Cost (Average)],MATCH(CONCATENATE((SIP[[#This Row],[Frequency]]-1),SIP[[#This Row],[Investor ID]]),SIP[Unique Code],0),0)),0)</f>
        <v>0</v>
      </c>
      <c r="V373" s="74">
        <f>IF(SIP[[#This Row],[BO TRANSFER]]="YES",SIP[[#This Row],[Unit]],)</f>
        <v>0</v>
      </c>
      <c r="W373" s="74">
        <f>SUMIFS(SIP[[#Headers],[BO UNIT TRANSFER]]:SIP[[#This Row],[BO UNIT TRANSFER]],SIP[[#Headers],[Investor ID]]:SIP[[#This Row],[Investor ID]],SIP[[#This Row],[Investor ID]])</f>
        <v>0</v>
      </c>
    </row>
    <row r="374" spans="1:23" ht="15" customHeight="1">
      <c r="A374" s="46">
        <v>2024</v>
      </c>
      <c r="B374" s="46">
        <v>2</v>
      </c>
      <c r="C374" s="46">
        <v>5</v>
      </c>
      <c r="D374" s="65">
        <f>DATE(SIP[[#This Row],[Year]],SIP[[#This Row],[Month]],SIP[[#This Row],[Day]])</f>
        <v>45327</v>
      </c>
      <c r="E374" s="66" t="str" cm="1">
        <f t="array" ref="E374">INDEX(INVESTORS_LIST[INVESTOR NAME],MATCH(SIP[[#This Row],[Investor ID]],INVESTORS_LIST[INVESTOR CODE],0),)</f>
        <v>KAZI AHSAN MARUF</v>
      </c>
      <c r="F374" s="46" t="s">
        <v>158</v>
      </c>
      <c r="G374" s="46">
        <f>COUNTIF(SIP[[#Headers],[Investor ID]]:SIP[[#This Row],[Investor ID]],SIP[[#This Row],[Investor ID]])</f>
        <v>10</v>
      </c>
      <c r="H374" s="46" t="str">
        <f>CONCATENATE(SIP[[#This Row],[Frequency]],SIP[[#This Row],[Investor ID]])</f>
        <v>10A00055</v>
      </c>
      <c r="I374" s="46" t="str">
        <f>IF(SIP[[#This Row],[B/S]]="B","BUY",(IF(SIP[[#This Row],[B/S]]="S","SELL"," ")))</f>
        <v>BUY</v>
      </c>
      <c r="J374" s="46" t="s">
        <v>1229</v>
      </c>
      <c r="K374" s="69">
        <v>10000</v>
      </c>
      <c r="L374" s="69"/>
      <c r="M374" s="70">
        <f>SIP[[#This Row],[Amount]]/SIP[[#This Row],[Unit]]</f>
        <v>10.764262648008611</v>
      </c>
      <c r="N374" s="71">
        <f>SIP[[#This Row],[Unit Capital]]/10</f>
        <v>929</v>
      </c>
      <c r="O374" s="72">
        <f>SUMIFS(SIP[[#Headers],[Unit]]:SIP[[#This Row],[Unit]],SIP[[#Headers],[Investor ID]]:SIP[[#This Row],[Investor ID]],SIP[[#This Row],[Investor ID]])</f>
        <v>29021</v>
      </c>
      <c r="P374" s="73">
        <v>9290</v>
      </c>
      <c r="Q374" s="74">
        <f>SIP[[#This Row],[Amount]]-SIP[[#This Row],[Unit Capital]]</f>
        <v>710</v>
      </c>
      <c r="R3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10.337341924813064</v>
      </c>
      <c r="S374" s="68">
        <f t="shared" si="15"/>
        <v>14.224</v>
      </c>
      <c r="T3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4" s="74" cm="1">
        <f t="array" ref="U374">IF(SIP[[#This Row],[B/S]]="S",ABS(SIP[[#This Row],[Unit]])*(INDEX(SIP[NAV at Cost (Average)],MATCH(CONCATENATE((SIP[[#This Row],[Frequency]]-1),SIP[[#This Row],[Investor ID]]),SIP[Unique Code],0),0)),0)</f>
        <v>0</v>
      </c>
      <c r="V374" s="74">
        <f>IF(SIP[[#This Row],[BO TRANSFER]]="YES",SIP[[#This Row],[Unit]],)</f>
        <v>0</v>
      </c>
      <c r="W374" s="74">
        <f>SUMIFS(SIP[[#Headers],[BO UNIT TRANSFER]]:SIP[[#This Row],[BO UNIT TRANSFER]],SIP[[#Headers],[Investor ID]]:SIP[[#This Row],[Investor ID]],SIP[[#This Row],[Investor ID]])</f>
        <v>0</v>
      </c>
    </row>
    <row r="375" spans="1:23" ht="15" customHeight="1">
      <c r="A375" s="46">
        <v>2024</v>
      </c>
      <c r="B375" s="46">
        <v>2</v>
      </c>
      <c r="C375" s="46">
        <v>11</v>
      </c>
      <c r="D375" s="65">
        <f>DATE(SIP[[#This Row],[Year]],SIP[[#This Row],[Month]],SIP[[#This Row],[Day]])</f>
        <v>45333</v>
      </c>
      <c r="E375" s="66" t="str" cm="1">
        <f t="array" ref="E375">INDEX(INVESTORS_LIST[INVESTOR NAME],MATCH(SIP[[#This Row],[Investor ID]],INVESTORS_LIST[INVESTOR CODE],0),)</f>
        <v>SRIJON GHOSH</v>
      </c>
      <c r="F375" s="46" t="s">
        <v>894</v>
      </c>
      <c r="G375" s="46">
        <f>COUNTIF(SIP[[#Headers],[Investor ID]]:SIP[[#This Row],[Investor ID]],SIP[[#This Row],[Investor ID]])</f>
        <v>22</v>
      </c>
      <c r="H375" s="46" t="str">
        <f>CONCATENATE(SIP[[#This Row],[Frequency]],SIP[[#This Row],[Investor ID]])</f>
        <v>22A00424</v>
      </c>
      <c r="I375" s="46" t="str">
        <f>IF(SIP[[#This Row],[B/S]]="B","BUY",(IF(SIP[[#This Row],[B/S]]="S","SELL"," ")))</f>
        <v>SELL</v>
      </c>
      <c r="J375" s="46" t="s">
        <v>1231</v>
      </c>
      <c r="K375" s="69">
        <v>-27000</v>
      </c>
      <c r="L375" s="69"/>
      <c r="M375" s="70">
        <f>SIP[[#This Row],[Amount]]/SIP[[#This Row],[Unit]]</f>
        <v>10.787055533359968</v>
      </c>
      <c r="N375" s="71">
        <f>SIP[[#This Row],[Unit Capital]]/10</f>
        <v>-2503</v>
      </c>
      <c r="O375" s="72">
        <f>SUMIFS(SIP[[#Headers],[Unit]]:SIP[[#This Row],[Unit]],SIP[[#Headers],[Investor ID]]:SIP[[#This Row],[Investor ID]],SIP[[#This Row],[Investor ID]])</f>
        <v>9262</v>
      </c>
      <c r="P375" s="73">
        <v>-25030</v>
      </c>
      <c r="Q375" s="74">
        <f>SIP[[#This Row],[Amount]]-SIP[[#This Row],[Unit Capital]]</f>
        <v>-1970</v>
      </c>
      <c r="R3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10.49762839657112</v>
      </c>
      <c r="S375" s="68">
        <f t="shared" ref="S375:S410" si="16">NAV_MKT</f>
        <v>14.224</v>
      </c>
      <c r="T375" s="74">
        <f>IF(SIP[[#This Row],[B/S]]="B",0,ABS(SIP[[#This Row],[Unit]])*(SIP[[#This Row],[NAV (Strike Rate)]]-INDEX(SIP[NAV at Cost (Average)],MATCH(CONCATENATE(SIP[[#This Row],[Frequency]]-1,SIP[[#This Row],[Investor ID]]),SIP[Unique Code],0),)))</f>
        <v>724.43612338248795</v>
      </c>
      <c r="U375" s="74" cm="1">
        <f t="array" ref="U375">IF(SIP[[#This Row],[B/S]]="S",ABS(SIP[[#This Row],[Unit]])*(INDEX(SIP[NAV at Cost (Average)],MATCH(CONCATENATE((SIP[[#This Row],[Frequency]]-1),SIP[[#This Row],[Investor ID]]),SIP[Unique Code],0),0)),0)</f>
        <v>26275.563876617514</v>
      </c>
      <c r="V375" s="74">
        <f>IF(SIP[[#This Row],[BO TRANSFER]]="YES",SIP[[#This Row],[Unit]],)</f>
        <v>0</v>
      </c>
      <c r="W375" s="74">
        <f>SUMIFS(SIP[[#Headers],[BO UNIT TRANSFER]]:SIP[[#This Row],[BO UNIT TRANSFER]],SIP[[#Headers],[Investor ID]]:SIP[[#This Row],[Investor ID]],SIP[[#This Row],[Investor ID]])</f>
        <v>0</v>
      </c>
    </row>
    <row r="376" spans="1:23" ht="15" customHeight="1">
      <c r="A376" s="46">
        <v>2024</v>
      </c>
      <c r="B376" s="46">
        <v>2</v>
      </c>
      <c r="C376" s="46">
        <v>15</v>
      </c>
      <c r="D376" s="65">
        <f>DATE(SIP[[#This Row],[Year]],SIP[[#This Row],[Month]],SIP[[#This Row],[Day]])</f>
        <v>45337</v>
      </c>
      <c r="E376" s="66" t="str" cm="1">
        <f t="array" ref="E376">INDEX(INVESTORS_LIST[INVESTOR NAME],MATCH(SIP[[#This Row],[Investor ID]],INVESTORS_LIST[INVESTOR CODE],0),)</f>
        <v>SYED FAZLE RABBY</v>
      </c>
      <c r="F376" s="46" t="s">
        <v>166</v>
      </c>
      <c r="G376" s="46">
        <f>COUNTIF(SIP[[#Headers],[Investor ID]]:SIP[[#This Row],[Investor ID]],SIP[[#This Row],[Investor ID]])</f>
        <v>6</v>
      </c>
      <c r="H376" s="46" t="str">
        <f>CONCATENATE(SIP[[#This Row],[Frequency]],SIP[[#This Row],[Investor ID]])</f>
        <v>6A00059</v>
      </c>
      <c r="I376" s="46" t="str">
        <f>IF(SIP[[#This Row],[B/S]]="B","BUY",(IF(SIP[[#This Row],[B/S]]="S","SELL"," ")))</f>
        <v>BUY</v>
      </c>
      <c r="J376" s="46" t="s">
        <v>1229</v>
      </c>
      <c r="K376" s="69">
        <v>10000</v>
      </c>
      <c r="L376" s="69"/>
      <c r="M376" s="70">
        <f>SIP[[#This Row],[Amount]]/SIP[[#This Row],[Unit]]</f>
        <v>10.810810810810811</v>
      </c>
      <c r="N376" s="71">
        <f>SIP[[#This Row],[Unit Capital]]/10</f>
        <v>925</v>
      </c>
      <c r="O376" s="72">
        <f>SUMIFS(SIP[[#Headers],[Unit]]:SIP[[#This Row],[Unit]],SIP[[#Headers],[Investor ID]]:SIP[[#This Row],[Investor ID]],SIP[[#This Row],[Investor ID]])</f>
        <v>5707</v>
      </c>
      <c r="P376" s="73">
        <v>9250</v>
      </c>
      <c r="Q376" s="74">
        <f>SIP[[#This Row],[Amount]]-SIP[[#This Row],[Unit Capital]]</f>
        <v>750</v>
      </c>
      <c r="R3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10.513404590853337</v>
      </c>
      <c r="S376" s="68">
        <f t="shared" si="16"/>
        <v>14.224</v>
      </c>
      <c r="T3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6" s="74" cm="1">
        <f t="array" ref="U376">IF(SIP[[#This Row],[B/S]]="S",ABS(SIP[[#This Row],[Unit]])*(INDEX(SIP[NAV at Cost (Average)],MATCH(CONCATENATE((SIP[[#This Row],[Frequency]]-1),SIP[[#This Row],[Investor ID]]),SIP[Unique Code],0),0)),0)</f>
        <v>0</v>
      </c>
      <c r="V376" s="74">
        <f>IF(SIP[[#This Row],[BO TRANSFER]]="YES",SIP[[#This Row],[Unit]],)</f>
        <v>0</v>
      </c>
      <c r="W376" s="74">
        <f>SUMIFS(SIP[[#Headers],[BO UNIT TRANSFER]]:SIP[[#This Row],[BO UNIT TRANSFER]],SIP[[#Headers],[Investor ID]]:SIP[[#This Row],[Investor ID]],SIP[[#This Row],[Investor ID]])</f>
        <v>0</v>
      </c>
    </row>
    <row r="377" spans="1:23" ht="15" customHeight="1">
      <c r="A377" s="46">
        <v>2024</v>
      </c>
      <c r="B377" s="46">
        <v>2</v>
      </c>
      <c r="C377" s="46">
        <v>15</v>
      </c>
      <c r="D377" s="65">
        <f>DATE(SIP[[#This Row],[Year]],SIP[[#This Row],[Month]],SIP[[#This Row],[Day]])</f>
        <v>45337</v>
      </c>
      <c r="E377" s="66" t="str" cm="1">
        <f t="array" ref="E377">INDEX(INVESTORS_LIST[INVESTOR NAME],MATCH(SIP[[#This Row],[Investor ID]],INVESTORS_LIST[INVESTOR CODE],0),)</f>
        <v>MD. RAFIQUR RAHMAN</v>
      </c>
      <c r="F377" s="46" t="s">
        <v>622</v>
      </c>
      <c r="G377" s="46">
        <f>COUNTIF(SIP[[#Headers],[Investor ID]]:SIP[[#This Row],[Investor ID]],SIP[[#This Row],[Investor ID]])</f>
        <v>6</v>
      </c>
      <c r="H377" s="46" t="str">
        <f>CONCATENATE(SIP[[#This Row],[Frequency]],SIP[[#This Row],[Investor ID]])</f>
        <v>6A00287</v>
      </c>
      <c r="I377" s="46" t="str">
        <f>IF(SIP[[#This Row],[B/S]]="B","BUY",(IF(SIP[[#This Row],[B/S]]="S","SELL"," ")))</f>
        <v>BUY</v>
      </c>
      <c r="J377" s="46" t="s">
        <v>1229</v>
      </c>
      <c r="K377" s="69">
        <v>20000</v>
      </c>
      <c r="L377" s="69"/>
      <c r="M377" s="70">
        <f>SIP[[#This Row],[Amount]]/SIP[[#This Row],[Unit]]</f>
        <v>10.810810810810811</v>
      </c>
      <c r="N377" s="71">
        <f>SIP[[#This Row],[Unit Capital]]/10</f>
        <v>1850</v>
      </c>
      <c r="O377" s="72">
        <f>SUMIFS(SIP[[#Headers],[Unit]]:SIP[[#This Row],[Unit]],SIP[[#Headers],[Investor ID]]:SIP[[#This Row],[Investor ID]],SIP[[#This Row],[Investor ID]])</f>
        <v>11302</v>
      </c>
      <c r="P377" s="73">
        <v>18500</v>
      </c>
      <c r="Q377" s="74">
        <f>SIP[[#This Row],[Amount]]-SIP[[#This Row],[Unit Capital]]</f>
        <v>1500</v>
      </c>
      <c r="R37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10.617589807113783</v>
      </c>
      <c r="S377" s="68">
        <f t="shared" si="16"/>
        <v>14.224</v>
      </c>
      <c r="T3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7" s="74" cm="1">
        <f t="array" ref="U377">IF(SIP[[#This Row],[B/S]]="S",ABS(SIP[[#This Row],[Unit]])*(INDEX(SIP[NAV at Cost (Average)],MATCH(CONCATENATE((SIP[[#This Row],[Frequency]]-1),SIP[[#This Row],[Investor ID]]),SIP[Unique Code],0),0)),0)</f>
        <v>0</v>
      </c>
      <c r="V377" s="74">
        <f>IF(SIP[[#This Row],[BO TRANSFER]]="YES",SIP[[#This Row],[Unit]],)</f>
        <v>0</v>
      </c>
      <c r="W377" s="74">
        <f>SUMIFS(SIP[[#Headers],[BO UNIT TRANSFER]]:SIP[[#This Row],[BO UNIT TRANSFER]],SIP[[#Headers],[Investor ID]]:SIP[[#This Row],[Investor ID]],SIP[[#This Row],[Investor ID]])</f>
        <v>0</v>
      </c>
    </row>
    <row r="378" spans="1:23" ht="15" customHeight="1">
      <c r="A378" s="46">
        <v>2024</v>
      </c>
      <c r="B378" s="46">
        <v>2</v>
      </c>
      <c r="C378" s="46">
        <v>15</v>
      </c>
      <c r="D378" s="65">
        <f>DATE(SIP[[#This Row],[Year]],SIP[[#This Row],[Month]],SIP[[#This Row],[Day]])</f>
        <v>45337</v>
      </c>
      <c r="E378" s="66" t="str" cm="1">
        <f t="array" ref="E378">INDEX(INVESTORS_LIST[INVESTOR NAME],MATCH(SIP[[#This Row],[Investor ID]],INVESTORS_LIST[INVESTOR CODE],0),)</f>
        <v>SANJIB KUMAR ROY</v>
      </c>
      <c r="F378" s="46" t="s">
        <v>1020</v>
      </c>
      <c r="G378" s="46">
        <f>COUNTIF(SIP[[#Headers],[Investor ID]]:SIP[[#This Row],[Investor ID]],SIP[[#This Row],[Investor ID]])</f>
        <v>9</v>
      </c>
      <c r="H378" s="46" t="str">
        <f>CONCATENATE(SIP[[#This Row],[Frequency]],SIP[[#This Row],[Investor ID]])</f>
        <v>9A00487</v>
      </c>
      <c r="I378" s="46" t="str">
        <f>IF(SIP[[#This Row],[B/S]]="B","BUY",(IF(SIP[[#This Row],[B/S]]="S","SELL"," ")))</f>
        <v>BUY</v>
      </c>
      <c r="J378" s="46" t="s">
        <v>1229</v>
      </c>
      <c r="K378" s="69">
        <v>5000</v>
      </c>
      <c r="L378" s="69"/>
      <c r="M378" s="70">
        <f>SIP[[#This Row],[Amount]]/SIP[[#This Row],[Unit]]</f>
        <v>10.799136069114471</v>
      </c>
      <c r="N378" s="71">
        <f>SIP[[#This Row],[Unit Capital]]/10</f>
        <v>463</v>
      </c>
      <c r="O378" s="72">
        <f>SUMIFS(SIP[[#Headers],[Unit]]:SIP[[#This Row],[Unit]],SIP[[#Headers],[Investor ID]]:SIP[[#This Row],[Investor ID]],SIP[[#This Row],[Investor ID]])</f>
        <v>4282</v>
      </c>
      <c r="P378" s="73">
        <v>4630</v>
      </c>
      <c r="Q378" s="74">
        <f>SIP[[#This Row],[Amount]]-SIP[[#This Row],[Unit Capital]]</f>
        <v>370</v>
      </c>
      <c r="R37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10.509107893507704</v>
      </c>
      <c r="S378" s="68">
        <f t="shared" si="16"/>
        <v>14.224</v>
      </c>
      <c r="T3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8" s="74" cm="1">
        <f t="array" ref="U378">IF(SIP[[#This Row],[B/S]]="S",ABS(SIP[[#This Row],[Unit]])*(INDEX(SIP[NAV at Cost (Average)],MATCH(CONCATENATE((SIP[[#This Row],[Frequency]]-1),SIP[[#This Row],[Investor ID]]),SIP[Unique Code],0),0)),0)</f>
        <v>0</v>
      </c>
      <c r="V378" s="74">
        <f>IF(SIP[[#This Row],[BO TRANSFER]]="YES",SIP[[#This Row],[Unit]],)</f>
        <v>0</v>
      </c>
      <c r="W378" s="74">
        <f>SUMIFS(SIP[[#Headers],[BO UNIT TRANSFER]]:SIP[[#This Row],[BO UNIT TRANSFER]],SIP[[#Headers],[Investor ID]]:SIP[[#This Row],[Investor ID]],SIP[[#This Row],[Investor ID]])</f>
        <v>0</v>
      </c>
    </row>
    <row r="379" spans="1:23" ht="15" customHeight="1">
      <c r="A379" s="75">
        <v>2024</v>
      </c>
      <c r="B379" s="75">
        <v>2</v>
      </c>
      <c r="C379" s="75">
        <v>20</v>
      </c>
      <c r="D379" s="65">
        <f>DATE(SIP[[#This Row],[Year]],SIP[[#This Row],[Month]],SIP[[#This Row],[Day]])</f>
        <v>45342</v>
      </c>
      <c r="E379" s="66" t="str" cm="1">
        <f t="array" ref="E379">INDEX(INVESTORS_LIST[INVESTOR NAME],MATCH(SIP[[#This Row],[Investor ID]],INVESTORS_LIST[INVESTOR CODE],0),)</f>
        <v>FAKARUDDIN ALI AHMED</v>
      </c>
      <c r="F379" s="83" t="s">
        <v>228</v>
      </c>
      <c r="G379" s="46">
        <f>COUNTIF(SIP[[#Headers],[Investor ID]]:SIP[[#This Row],[Investor ID]],SIP[[#This Row],[Investor ID]])</f>
        <v>10</v>
      </c>
      <c r="H379" s="46" t="str">
        <f>CONCATENATE(SIP[[#This Row],[Frequency]],SIP[[#This Row],[Investor ID]])</f>
        <v>10A00090</v>
      </c>
      <c r="I379" s="46" t="str">
        <f>IF(SIP[[#This Row],[B/S]]="B","BUY",(IF(SIP[[#This Row],[B/S]]="S","SELL"," ")))</f>
        <v>SELL</v>
      </c>
      <c r="J379" s="46" t="s">
        <v>1231</v>
      </c>
      <c r="K379" s="222">
        <v>-70719.23</v>
      </c>
      <c r="L379" s="222"/>
      <c r="M379" s="70">
        <f>SIP[[#This Row],[Amount]]/SIP[[#This Row],[Unit]]</f>
        <v>10.810032100275144</v>
      </c>
      <c r="N379" s="71">
        <f>SIP[[#This Row],[Unit Capital]]/10</f>
        <v>-6542</v>
      </c>
      <c r="O379" s="72">
        <f>SUMIFS(SIP[[#Headers],[Unit]]:SIP[[#This Row],[Unit]],SIP[[#Headers],[Investor ID]]:SIP[[#This Row],[Investor ID]],SIP[[#This Row],[Investor ID]])</f>
        <v>83</v>
      </c>
      <c r="P379" s="223">
        <f>ROUND(SIP[[#This Row],[Amount]]/10.81,0)*10</f>
        <v>-65420</v>
      </c>
      <c r="Q379" s="74">
        <f>SIP[[#This Row],[Amount]]-SIP[[#This Row],[Unit Capital]]</f>
        <v>-5299.2299999999959</v>
      </c>
      <c r="R37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10.566037735849056</v>
      </c>
      <c r="S379" s="68">
        <f>NAV_MKT</f>
        <v>14.224</v>
      </c>
      <c r="T379" s="74">
        <f>IF(SIP[[#This Row],[B/S]]="B",0,ABS(SIP[[#This Row],[Unit]])*(SIP[[#This Row],[NAV (Strike Rate)]]-INDEX(SIP[NAV at Cost (Average)],MATCH(CONCATENATE(SIP[[#This Row],[Frequency]]-1,SIP[[#This Row],[Investor ID]]),SIP[Unique Code],0),)))</f>
        <v>1596.2111320754693</v>
      </c>
      <c r="U379" s="74" cm="1">
        <f t="array" ref="U379">IF(SIP[[#This Row],[B/S]]="S",ABS(SIP[[#This Row],[Unit]])*(INDEX(SIP[NAV at Cost (Average)],MATCH(CONCATENATE((SIP[[#This Row],[Frequency]]-1),SIP[[#This Row],[Investor ID]]),SIP[Unique Code],0),0)),0)</f>
        <v>69123.018867924518</v>
      </c>
      <c r="V379" s="74">
        <f>IF(SIP[[#This Row],[BO TRANSFER]]="YES",SIP[[#This Row],[Unit]],)</f>
        <v>0</v>
      </c>
      <c r="W379" s="74">
        <f>SUMIFS(SIP[[#Headers],[BO UNIT TRANSFER]]:SIP[[#This Row],[BO UNIT TRANSFER]],SIP[[#Headers],[Investor ID]]:SIP[[#This Row],[Investor ID]],SIP[[#This Row],[Investor ID]])</f>
        <v>0</v>
      </c>
    </row>
    <row r="380" spans="1:23" ht="15" customHeight="1">
      <c r="A380" s="46">
        <v>2024</v>
      </c>
      <c r="B380" s="46">
        <v>2</v>
      </c>
      <c r="C380" s="46">
        <v>26</v>
      </c>
      <c r="D380" s="65">
        <f>DATE(SIP[[#This Row],[Year]],SIP[[#This Row],[Month]],SIP[[#This Row],[Day]])</f>
        <v>45348</v>
      </c>
      <c r="E380" s="66" t="str" cm="1">
        <f t="array" ref="E380">INDEX(INVESTORS_LIST[INVESTOR NAME],MATCH(SIP[[#This Row],[Investor ID]],INVESTORS_LIST[INVESTOR CODE],0),)</f>
        <v>SRIJON GHOSH</v>
      </c>
      <c r="F380" s="46" t="s">
        <v>894</v>
      </c>
      <c r="G380" s="46">
        <f>COUNTIF(SIP[[#Headers],[Investor ID]]:SIP[[#This Row],[Investor ID]],SIP[[#This Row],[Investor ID]])</f>
        <v>23</v>
      </c>
      <c r="H380" s="46" t="str">
        <f>CONCATENATE(SIP[[#This Row],[Frequency]],SIP[[#This Row],[Investor ID]])</f>
        <v>23A00424</v>
      </c>
      <c r="I380" s="46" t="str">
        <f>IF(SIP[[#This Row],[B/S]]="B","BUY",(IF(SIP[[#This Row],[B/S]]="S","SELL"," ")))</f>
        <v>BUY</v>
      </c>
      <c r="J380" s="46" t="s">
        <v>1229</v>
      </c>
      <c r="K380" s="69">
        <v>15000</v>
      </c>
      <c r="L380" s="69"/>
      <c r="M380" s="70">
        <f>SIP[[#This Row],[Amount]]/SIP[[#This Row],[Unit]]</f>
        <v>10.822510822510823</v>
      </c>
      <c r="N380" s="71">
        <f>SIP[[#This Row],[Unit Capital]]/10</f>
        <v>1386</v>
      </c>
      <c r="O380" s="72">
        <f>SUMIFS(SIP[[#Headers],[Unit]]:SIP[[#This Row],[Unit]],SIP[[#Headers],[Investor ID]]:SIP[[#This Row],[Investor ID]],SIP[[#This Row],[Investor ID]])</f>
        <v>10648</v>
      </c>
      <c r="P380" s="73">
        <v>13860</v>
      </c>
      <c r="Q380" s="74">
        <f>SIP[[#This Row],[Amount]]-SIP[[#This Row],[Unit Capital]]</f>
        <v>1140</v>
      </c>
      <c r="R38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10.539916811517816</v>
      </c>
      <c r="S380" s="68">
        <f t="shared" si="16"/>
        <v>14.224</v>
      </c>
      <c r="T3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0" s="74" cm="1">
        <f t="array" ref="U380">IF(SIP[[#This Row],[B/S]]="S",ABS(SIP[[#This Row],[Unit]])*(INDEX(SIP[NAV at Cost (Average)],MATCH(CONCATENATE((SIP[[#This Row],[Frequency]]-1),SIP[[#This Row],[Investor ID]]),SIP[Unique Code],0),0)),0)</f>
        <v>0</v>
      </c>
      <c r="V380" s="74">
        <f>IF(SIP[[#This Row],[BO TRANSFER]]="YES",SIP[[#This Row],[Unit]],)</f>
        <v>0</v>
      </c>
      <c r="W380" s="74">
        <f>SUMIFS(SIP[[#Headers],[BO UNIT TRANSFER]]:SIP[[#This Row],[BO UNIT TRANSFER]],SIP[[#Headers],[Investor ID]]:SIP[[#This Row],[Investor ID]],SIP[[#This Row],[Investor ID]])</f>
        <v>0</v>
      </c>
    </row>
    <row r="381" spans="1:23" ht="15" customHeight="1">
      <c r="A381" s="46">
        <v>2024</v>
      </c>
      <c r="B381" s="46">
        <v>2</v>
      </c>
      <c r="C381" s="46">
        <v>26</v>
      </c>
      <c r="D381" s="65">
        <f>DATE(SIP[[#This Row],[Year]],SIP[[#This Row],[Month]],SIP[[#This Row],[Day]])</f>
        <v>45348</v>
      </c>
      <c r="E381" s="66" t="str" cm="1">
        <f t="array" ref="E381">INDEX(INVESTORS_LIST[INVESTOR NAME],MATCH(SIP[[#This Row],[Investor ID]],INVESTORS_LIST[INVESTOR CODE],0),)</f>
        <v>KHAN MUHAMMAD FAISOL</v>
      </c>
      <c r="F381" s="46" t="s">
        <v>930</v>
      </c>
      <c r="G381" s="46">
        <f>COUNTIF(SIP[[#Headers],[Investor ID]]:SIP[[#This Row],[Investor ID]],SIP[[#This Row],[Investor ID]])</f>
        <v>10</v>
      </c>
      <c r="H381" s="46" t="str">
        <f>CONCATENATE(SIP[[#This Row],[Frequency]],SIP[[#This Row],[Investor ID]])</f>
        <v>10A00442</v>
      </c>
      <c r="I381" s="46" t="str">
        <f>IF(SIP[[#This Row],[B/S]]="B","BUY",(IF(SIP[[#This Row],[B/S]]="S","SELL"," ")))</f>
        <v>BUY</v>
      </c>
      <c r="J381" s="46" t="s">
        <v>1229</v>
      </c>
      <c r="K381" s="69">
        <v>1000</v>
      </c>
      <c r="L381" s="69"/>
      <c r="M381" s="70">
        <f>SIP[[#This Row],[Amount]]/SIP[[#This Row],[Unit]]</f>
        <v>10.869565217391305</v>
      </c>
      <c r="N381" s="71">
        <f>SIP[[#This Row],[Unit Capital]]/10</f>
        <v>92</v>
      </c>
      <c r="O381" s="72">
        <f>SUMIFS(SIP[[#Headers],[Unit]]:SIP[[#This Row],[Unit]],SIP[[#Headers],[Investor ID]]:SIP[[#This Row],[Investor ID]],SIP[[#This Row],[Investor ID]])</f>
        <v>951</v>
      </c>
      <c r="P381" s="73">
        <v>920</v>
      </c>
      <c r="Q381" s="74">
        <f>SIP[[#This Row],[Amount]]-SIP[[#This Row],[Unit Capital]]</f>
        <v>80</v>
      </c>
      <c r="R38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10.515247108307047</v>
      </c>
      <c r="S381" s="68">
        <f t="shared" si="16"/>
        <v>14.224</v>
      </c>
      <c r="T3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1" s="74" cm="1">
        <f t="array" ref="U381">IF(SIP[[#This Row],[B/S]]="S",ABS(SIP[[#This Row],[Unit]])*(INDEX(SIP[NAV at Cost (Average)],MATCH(CONCATENATE((SIP[[#This Row],[Frequency]]-1),SIP[[#This Row],[Investor ID]]),SIP[Unique Code],0),0)),0)</f>
        <v>0</v>
      </c>
      <c r="V381" s="74">
        <f>IF(SIP[[#This Row],[BO TRANSFER]]="YES",SIP[[#This Row],[Unit]],)</f>
        <v>0</v>
      </c>
      <c r="W381" s="74">
        <f>SUMIFS(SIP[[#Headers],[BO UNIT TRANSFER]]:SIP[[#This Row],[BO UNIT TRANSFER]],SIP[[#Headers],[Investor ID]]:SIP[[#This Row],[Investor ID]],SIP[[#This Row],[Investor ID]])</f>
        <v>0</v>
      </c>
    </row>
    <row r="382" spans="1:23" ht="15" customHeight="1">
      <c r="A382" s="46">
        <v>2024</v>
      </c>
      <c r="B382" s="46">
        <v>2</v>
      </c>
      <c r="C382" s="46">
        <v>26</v>
      </c>
      <c r="D382" s="65">
        <f>DATE(SIP[[#This Row],[Year]],SIP[[#This Row],[Month]],SIP[[#This Row],[Day]])</f>
        <v>45348</v>
      </c>
      <c r="E382" s="66" t="str" cm="1">
        <f t="array" ref="E382">INDEX(INVESTORS_LIST[INVESTOR NAME],MATCH(SIP[[#This Row],[Investor ID]],INVESTORS_LIST[INVESTOR CODE],0),)</f>
        <v>MD. ARIFUL ISLAM</v>
      </c>
      <c r="F382" s="46" t="s">
        <v>222</v>
      </c>
      <c r="G382" s="46">
        <f>COUNTIF(SIP[[#Headers],[Investor ID]]:SIP[[#This Row],[Investor ID]],SIP[[#This Row],[Investor ID]])</f>
        <v>10</v>
      </c>
      <c r="H382" s="46" t="str">
        <f>CONCATENATE(SIP[[#This Row],[Frequency]],SIP[[#This Row],[Investor ID]])</f>
        <v>10A00087</v>
      </c>
      <c r="I382" s="46" t="str">
        <f>IF(SIP[[#This Row],[B/S]]="B","BUY",(IF(SIP[[#This Row],[B/S]]="S","SELL"," ")))</f>
        <v>BUY</v>
      </c>
      <c r="J382" s="46" t="s">
        <v>1229</v>
      </c>
      <c r="K382" s="69">
        <v>10000</v>
      </c>
      <c r="L382" s="69"/>
      <c r="M382" s="70">
        <f>SIP[[#This Row],[Amount]]/SIP[[#This Row],[Unit]]</f>
        <v>10.822510822510823</v>
      </c>
      <c r="N382" s="71">
        <f>SIP[[#This Row],[Unit Capital]]/10</f>
        <v>924</v>
      </c>
      <c r="O382" s="72">
        <f>SUMIFS(SIP[[#Headers],[Unit]]:SIP[[#This Row],[Unit]],SIP[[#Headers],[Investor ID]]:SIP[[#This Row],[Investor ID]],SIP[[#This Row],[Investor ID]])</f>
        <v>9520</v>
      </c>
      <c r="P382" s="73">
        <v>9240</v>
      </c>
      <c r="Q382" s="74">
        <f>SIP[[#This Row],[Amount]]-SIP[[#This Row],[Unit Capital]]</f>
        <v>760</v>
      </c>
      <c r="R38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10.504201680672269</v>
      </c>
      <c r="S382" s="68">
        <f t="shared" si="16"/>
        <v>14.224</v>
      </c>
      <c r="T3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2" s="74" cm="1">
        <f t="array" ref="U382">IF(SIP[[#This Row],[B/S]]="S",ABS(SIP[[#This Row],[Unit]])*(INDEX(SIP[NAV at Cost (Average)],MATCH(CONCATENATE((SIP[[#This Row],[Frequency]]-1),SIP[[#This Row],[Investor ID]]),SIP[Unique Code],0),0)),0)</f>
        <v>0</v>
      </c>
      <c r="V382" s="74">
        <f>IF(SIP[[#This Row],[BO TRANSFER]]="YES",SIP[[#This Row],[Unit]],)</f>
        <v>0</v>
      </c>
      <c r="W382" s="74">
        <f>SUMIFS(SIP[[#Headers],[BO UNIT TRANSFER]]:SIP[[#This Row],[BO UNIT TRANSFER]],SIP[[#Headers],[Investor ID]]:SIP[[#This Row],[Investor ID]],SIP[[#This Row],[Investor ID]])</f>
        <v>0</v>
      </c>
    </row>
    <row r="383" spans="1:23" ht="15" customHeight="1">
      <c r="A383" s="46">
        <v>2024</v>
      </c>
      <c r="B383" s="46">
        <v>2</v>
      </c>
      <c r="C383" s="46">
        <v>26</v>
      </c>
      <c r="D383" s="65">
        <f>DATE(SIP[[#This Row],[Year]],SIP[[#This Row],[Month]],SIP[[#This Row],[Day]])</f>
        <v>45348</v>
      </c>
      <c r="E383" s="66" t="str" cm="1">
        <f t="array" ref="E383">INDEX(INVESTORS_LIST[INVESTOR NAME],MATCH(SIP[[#This Row],[Investor ID]],INVESTORS_LIST[INVESTOR CODE],0),)</f>
        <v>SRIJON GHOSH</v>
      </c>
      <c r="F383" s="46" t="s">
        <v>894</v>
      </c>
      <c r="G383" s="46">
        <f>COUNTIF(SIP[[#Headers],[Investor ID]]:SIP[[#This Row],[Investor ID]],SIP[[#This Row],[Investor ID]])</f>
        <v>24</v>
      </c>
      <c r="H383" s="46" t="str">
        <f>CONCATENATE(SIP[[#This Row],[Frequency]],SIP[[#This Row],[Investor ID]])</f>
        <v>24A00424</v>
      </c>
      <c r="I383" s="46" t="str">
        <f>IF(SIP[[#This Row],[B/S]]="B","BUY",(IF(SIP[[#This Row],[B/S]]="S","SELL"," ")))</f>
        <v>BUY</v>
      </c>
      <c r="J383" s="46" t="s">
        <v>1229</v>
      </c>
      <c r="K383" s="69">
        <v>5000</v>
      </c>
      <c r="L383" s="69"/>
      <c r="M383" s="70">
        <f>SIP[[#This Row],[Amount]]/SIP[[#This Row],[Unit]]</f>
        <v>10.822510822510823</v>
      </c>
      <c r="N383" s="71">
        <f>SIP[[#This Row],[Unit Capital]]/10</f>
        <v>462</v>
      </c>
      <c r="O383" s="72">
        <f>SUMIFS(SIP[[#Headers],[Unit]]:SIP[[#This Row],[Unit]],SIP[[#Headers],[Investor ID]]:SIP[[#This Row],[Investor ID]],SIP[[#This Row],[Investor ID]])</f>
        <v>11110</v>
      </c>
      <c r="P383" s="73">
        <v>4620</v>
      </c>
      <c r="Q383" s="74">
        <f>SIP[[#This Row],[Amount]]-SIP[[#This Row],[Unit Capital]]</f>
        <v>380</v>
      </c>
      <c r="R38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10.551668245638318</v>
      </c>
      <c r="S383" s="68">
        <f t="shared" si="16"/>
        <v>14.224</v>
      </c>
      <c r="T3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3" s="74" cm="1">
        <f t="array" ref="U383">IF(SIP[[#This Row],[B/S]]="S",ABS(SIP[[#This Row],[Unit]])*(INDEX(SIP[NAV at Cost (Average)],MATCH(CONCATENATE((SIP[[#This Row],[Frequency]]-1),SIP[[#This Row],[Investor ID]]),SIP[Unique Code],0),0)),0)</f>
        <v>0</v>
      </c>
      <c r="V383" s="74">
        <f>IF(SIP[[#This Row],[BO TRANSFER]]="YES",SIP[[#This Row],[Unit]],)</f>
        <v>0</v>
      </c>
      <c r="W383" s="74">
        <f>SUMIFS(SIP[[#Headers],[BO UNIT TRANSFER]]:SIP[[#This Row],[BO UNIT TRANSFER]],SIP[[#Headers],[Investor ID]]:SIP[[#This Row],[Investor ID]],SIP[[#This Row],[Investor ID]])</f>
        <v>0</v>
      </c>
    </row>
    <row r="384" spans="1:23" ht="15" customHeight="1">
      <c r="A384" s="46">
        <v>2024</v>
      </c>
      <c r="B384" s="46">
        <v>2</v>
      </c>
      <c r="C384" s="46">
        <v>26</v>
      </c>
      <c r="D384" s="65">
        <f>DATE(SIP[[#This Row],[Year]],SIP[[#This Row],[Month]],SIP[[#This Row],[Day]])</f>
        <v>45348</v>
      </c>
      <c r="E384" s="66" t="str" cm="1">
        <f t="array" ref="E384">INDEX(INVESTORS_LIST[INVESTOR NAME],MATCH(SIP[[#This Row],[Investor ID]],INVESTORS_LIST[INVESTOR CODE],0),)</f>
        <v>NUSRAT JAHAN TISHA</v>
      </c>
      <c r="F384" s="46" t="s">
        <v>926</v>
      </c>
      <c r="G384" s="46">
        <f>COUNTIF(SIP[[#Headers],[Investor ID]]:SIP[[#This Row],[Investor ID]],SIP[[#This Row],[Investor ID]])</f>
        <v>7</v>
      </c>
      <c r="H384" s="46" t="str">
        <f>CONCATENATE(SIP[[#This Row],[Frequency]],SIP[[#This Row],[Investor ID]])</f>
        <v>7A00440</v>
      </c>
      <c r="I384" s="46" t="str">
        <f>IF(SIP[[#This Row],[B/S]]="B","BUY",(IF(SIP[[#This Row],[B/S]]="S","SELL"," ")))</f>
        <v>BUY</v>
      </c>
      <c r="J384" s="46" t="s">
        <v>1229</v>
      </c>
      <c r="K384" s="69">
        <v>5000</v>
      </c>
      <c r="L384" s="69"/>
      <c r="M384" s="70">
        <f>SIP[[#This Row],[Amount]]/SIP[[#This Row],[Unit]]</f>
        <v>10.822510822510823</v>
      </c>
      <c r="N384" s="71">
        <f>SIP[[#This Row],[Unit Capital]]/10</f>
        <v>462</v>
      </c>
      <c r="O384" s="72">
        <f>SUMIFS(SIP[[#Headers],[Unit]]:SIP[[#This Row],[Unit]],SIP[[#Headers],[Investor ID]]:SIP[[#This Row],[Investor ID]],SIP[[#This Row],[Investor ID]])</f>
        <v>3299</v>
      </c>
      <c r="P384" s="73">
        <v>4620</v>
      </c>
      <c r="Q384" s="74">
        <f>SIP[[#This Row],[Amount]]-SIP[[#This Row],[Unit Capital]]</f>
        <v>380</v>
      </c>
      <c r="R38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10.609275538041832</v>
      </c>
      <c r="S384" s="68">
        <f t="shared" si="16"/>
        <v>14.224</v>
      </c>
      <c r="T3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4" s="74" cm="1">
        <f t="array" ref="U384">IF(SIP[[#This Row],[B/S]]="S",ABS(SIP[[#This Row],[Unit]])*(INDEX(SIP[NAV at Cost (Average)],MATCH(CONCATENATE((SIP[[#This Row],[Frequency]]-1),SIP[[#This Row],[Investor ID]]),SIP[Unique Code],0),0)),0)</f>
        <v>0</v>
      </c>
      <c r="V384" s="74">
        <f>IF(SIP[[#This Row],[BO TRANSFER]]="YES",SIP[[#This Row],[Unit]],)</f>
        <v>0</v>
      </c>
      <c r="W384" s="74">
        <f>SUMIFS(SIP[[#Headers],[BO UNIT TRANSFER]]:SIP[[#This Row],[BO UNIT TRANSFER]],SIP[[#Headers],[Investor ID]]:SIP[[#This Row],[Investor ID]],SIP[[#This Row],[Investor ID]])</f>
        <v>0</v>
      </c>
    </row>
    <row r="385" spans="1:23" ht="15" customHeight="1">
      <c r="A385" s="46">
        <v>2024</v>
      </c>
      <c r="B385" s="46">
        <v>2</v>
      </c>
      <c r="C385" s="46">
        <v>26</v>
      </c>
      <c r="D385" s="65">
        <f>DATE(SIP[[#This Row],[Year]],SIP[[#This Row],[Month]],SIP[[#This Row],[Day]])</f>
        <v>45348</v>
      </c>
      <c r="E385" s="66" t="str" cm="1">
        <f t="array" ref="E385">INDEX(INVESTORS_LIST[INVESTOR NAME],MATCH(SIP[[#This Row],[Investor ID]],INVESTORS_LIST[INVESTOR CODE],0),)</f>
        <v>MAHFUZUL ISLAM</v>
      </c>
      <c r="F385" s="46" t="s">
        <v>473</v>
      </c>
      <c r="G385" s="46">
        <f>COUNTIF(SIP[[#Headers],[Investor ID]]:SIP[[#This Row],[Investor ID]],SIP[[#This Row],[Investor ID]])</f>
        <v>1</v>
      </c>
      <c r="H385" s="46" t="str">
        <f>CONCATENATE(SIP[[#This Row],[Frequency]],SIP[[#This Row],[Investor ID]])</f>
        <v>1A00212</v>
      </c>
      <c r="I385" s="46" t="str">
        <f>IF(SIP[[#This Row],[B/S]]="B","BUY",(IF(SIP[[#This Row],[B/S]]="S","SELL"," ")))</f>
        <v>BUY</v>
      </c>
      <c r="J385" s="46" t="s">
        <v>1229</v>
      </c>
      <c r="K385" s="69">
        <v>1000</v>
      </c>
      <c r="L385" s="122" t="s">
        <v>1230</v>
      </c>
      <c r="M385" s="70">
        <f>SIP[[#This Row],[Amount]]/SIP[[#This Row],[Unit]]</f>
        <v>10.869565217391305</v>
      </c>
      <c r="N385" s="71">
        <f>SIP[[#This Row],[Unit Capital]]/10</f>
        <v>92</v>
      </c>
      <c r="O385" s="72">
        <f>SUMIFS(SIP[[#Headers],[Unit]]:SIP[[#This Row],[Unit]],SIP[[#Headers],[Investor ID]]:SIP[[#This Row],[Investor ID]],SIP[[#This Row],[Investor ID]])</f>
        <v>92</v>
      </c>
      <c r="P385" s="73">
        <v>920</v>
      </c>
      <c r="Q385" s="74">
        <f>SIP[[#This Row],[Amount]]-SIP[[#This Row],[Unit Capital]]</f>
        <v>80</v>
      </c>
      <c r="R38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10.869565217391305</v>
      </c>
      <c r="S385" s="68">
        <f t="shared" si="16"/>
        <v>14.224</v>
      </c>
      <c r="T3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5" s="74" cm="1">
        <f t="array" ref="U385">IF(SIP[[#This Row],[B/S]]="S",ABS(SIP[[#This Row],[Unit]])*(INDEX(SIP[NAV at Cost (Average)],MATCH(CONCATENATE((SIP[[#This Row],[Frequency]]-1),SIP[[#This Row],[Investor ID]]),SIP[Unique Code],0),0)),0)</f>
        <v>0</v>
      </c>
      <c r="V385" s="74">
        <f>IF(SIP[[#This Row],[BO TRANSFER]]="YES",SIP[[#This Row],[Unit]],)</f>
        <v>92</v>
      </c>
      <c r="W385" s="74">
        <f>SUMIFS(SIP[[#Headers],[BO UNIT TRANSFER]]:SIP[[#This Row],[BO UNIT TRANSFER]],SIP[[#Headers],[Investor ID]]:SIP[[#This Row],[Investor ID]],SIP[[#This Row],[Investor ID]])</f>
        <v>92</v>
      </c>
    </row>
    <row r="386" spans="1:23" ht="15" customHeight="1">
      <c r="A386" s="46">
        <v>2024</v>
      </c>
      <c r="B386" s="46">
        <v>2</v>
      </c>
      <c r="C386" s="46">
        <v>26</v>
      </c>
      <c r="D386" s="65">
        <f>DATE(SIP[[#This Row],[Year]],SIP[[#This Row],[Month]],SIP[[#This Row],[Day]])</f>
        <v>45348</v>
      </c>
      <c r="E386" s="66" t="str" cm="1">
        <f t="array" ref="E386">INDEX(INVESTORS_LIST[INVESTOR NAME],MATCH(SIP[[#This Row],[Investor ID]],INVESTORS_LIST[INVESTOR CODE],0),)</f>
        <v>SADIA PARVIN</v>
      </c>
      <c r="F386" s="46" t="s">
        <v>1018</v>
      </c>
      <c r="G386" s="46">
        <f>COUNTIF(SIP[[#Headers],[Investor ID]]:SIP[[#This Row],[Investor ID]],SIP[[#This Row],[Investor ID]])</f>
        <v>10</v>
      </c>
      <c r="H386" s="46" t="str">
        <f>CONCATENATE(SIP[[#This Row],[Frequency]],SIP[[#This Row],[Investor ID]])</f>
        <v>10A00486</v>
      </c>
      <c r="I386" s="46" t="str">
        <f>IF(SIP[[#This Row],[B/S]]="B","BUY",(IF(SIP[[#This Row],[B/S]]="S","SELL"," ")))</f>
        <v>BUY</v>
      </c>
      <c r="J386" s="46" t="s">
        <v>1229</v>
      </c>
      <c r="K386" s="69">
        <v>5000</v>
      </c>
      <c r="L386" s="69"/>
      <c r="M386" s="70">
        <f>SIP[[#This Row],[Amount]]/SIP[[#This Row],[Unit]]</f>
        <v>10.822510822510823</v>
      </c>
      <c r="N386" s="71">
        <f>SIP[[#This Row],[Unit Capital]]/10</f>
        <v>462</v>
      </c>
      <c r="O386" s="72">
        <f>SUMIFS(SIP[[#Headers],[Unit]]:SIP[[#This Row],[Unit]],SIP[[#Headers],[Investor ID]]:SIP[[#This Row],[Investor ID]],SIP[[#This Row],[Investor ID]])</f>
        <v>4758</v>
      </c>
      <c r="P386" s="73">
        <v>4620</v>
      </c>
      <c r="Q386" s="74">
        <f>SIP[[#This Row],[Amount]]-SIP[[#This Row],[Unit Capital]]</f>
        <v>380</v>
      </c>
      <c r="R38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10.508617065994116</v>
      </c>
      <c r="S386" s="68">
        <f t="shared" si="16"/>
        <v>14.224</v>
      </c>
      <c r="T3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6" s="74" cm="1">
        <f t="array" ref="U386">IF(SIP[[#This Row],[B/S]]="S",ABS(SIP[[#This Row],[Unit]])*(INDEX(SIP[NAV at Cost (Average)],MATCH(CONCATENATE((SIP[[#This Row],[Frequency]]-1),SIP[[#This Row],[Investor ID]]),SIP[Unique Code],0),0)),0)</f>
        <v>0</v>
      </c>
      <c r="V386" s="74">
        <f>IF(SIP[[#This Row],[BO TRANSFER]]="YES",SIP[[#This Row],[Unit]],)</f>
        <v>0</v>
      </c>
      <c r="W386" s="74">
        <f>SUMIFS(SIP[[#Headers],[BO UNIT TRANSFER]]:SIP[[#This Row],[BO UNIT TRANSFER]],SIP[[#Headers],[Investor ID]]:SIP[[#This Row],[Investor ID]],SIP[[#This Row],[Investor ID]])</f>
        <v>0</v>
      </c>
    </row>
    <row r="387" spans="1:23" ht="15" customHeight="1">
      <c r="A387" s="46">
        <v>2024</v>
      </c>
      <c r="B387" s="46">
        <v>2</v>
      </c>
      <c r="C387" s="46">
        <v>26</v>
      </c>
      <c r="D387" s="65">
        <f>DATE(SIP[[#This Row],[Year]],SIP[[#This Row],[Month]],SIP[[#This Row],[Day]])</f>
        <v>45348</v>
      </c>
      <c r="E387" s="66" t="str" cm="1">
        <f t="array" ref="E387">INDEX(INVESTORS_LIST[INVESTOR NAME],MATCH(SIP[[#This Row],[Investor ID]],INVESTORS_LIST[INVESTOR CODE],0),)</f>
        <v>MD. WALI ULLAH</v>
      </c>
      <c r="F387" s="46" t="s">
        <v>443</v>
      </c>
      <c r="G387" s="46">
        <f>COUNTIF(SIP[[#Headers],[Investor ID]]:SIP[[#This Row],[Investor ID]],SIP[[#This Row],[Investor ID]])</f>
        <v>10</v>
      </c>
      <c r="H387" s="46" t="str">
        <f>CONCATENATE(SIP[[#This Row],[Frequency]],SIP[[#This Row],[Investor ID]])</f>
        <v>10A00197</v>
      </c>
      <c r="I387" s="46" t="str">
        <f>IF(SIP[[#This Row],[B/S]]="B","BUY",(IF(SIP[[#This Row],[B/S]]="S","SELL"," ")))</f>
        <v>BUY</v>
      </c>
      <c r="J387" s="46" t="s">
        <v>1229</v>
      </c>
      <c r="K387" s="69">
        <v>15000</v>
      </c>
      <c r="L387" s="69"/>
      <c r="M387" s="70">
        <f>SIP[[#This Row],[Amount]]/SIP[[#This Row],[Unit]]</f>
        <v>10.822510822510823</v>
      </c>
      <c r="N387" s="71">
        <f>SIP[[#This Row],[Unit Capital]]/10</f>
        <v>1386</v>
      </c>
      <c r="O387" s="72">
        <f>SUMIFS(SIP[[#Headers],[Unit]]:SIP[[#This Row],[Unit]],SIP[[#Headers],[Investor ID]]:SIP[[#This Row],[Investor ID]],SIP[[#This Row],[Investor ID]])</f>
        <v>14282</v>
      </c>
      <c r="P387" s="73">
        <v>13860</v>
      </c>
      <c r="Q387" s="74">
        <f>SIP[[#This Row],[Amount]]-SIP[[#This Row],[Unit Capital]]</f>
        <v>1140</v>
      </c>
      <c r="R38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10.502730709984593</v>
      </c>
      <c r="S387" s="68">
        <f t="shared" si="16"/>
        <v>14.224</v>
      </c>
      <c r="T3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7" s="74" cm="1">
        <f t="array" ref="U387">IF(SIP[[#This Row],[B/S]]="S",ABS(SIP[[#This Row],[Unit]])*(INDEX(SIP[NAV at Cost (Average)],MATCH(CONCATENATE((SIP[[#This Row],[Frequency]]-1),SIP[[#This Row],[Investor ID]]),SIP[Unique Code],0),0)),0)</f>
        <v>0</v>
      </c>
      <c r="V387" s="74">
        <f>IF(SIP[[#This Row],[BO TRANSFER]]="YES",SIP[[#This Row],[Unit]],)</f>
        <v>0</v>
      </c>
      <c r="W387" s="74">
        <f>SUMIFS(SIP[[#Headers],[BO UNIT TRANSFER]]:SIP[[#This Row],[BO UNIT TRANSFER]],SIP[[#Headers],[Investor ID]]:SIP[[#This Row],[Investor ID]],SIP[[#This Row],[Investor ID]])</f>
        <v>0</v>
      </c>
    </row>
    <row r="388" spans="1:23" ht="15" customHeight="1">
      <c r="A388" s="46">
        <v>2024</v>
      </c>
      <c r="B388" s="46">
        <v>2</v>
      </c>
      <c r="C388" s="46">
        <v>26</v>
      </c>
      <c r="D388" s="65">
        <f>DATE(SIP[[#This Row],[Year]],SIP[[#This Row],[Month]],SIP[[#This Row],[Day]])</f>
        <v>45348</v>
      </c>
      <c r="E388" s="66" t="str" cm="1">
        <f t="array" ref="E388">INDEX(INVESTORS_LIST[INVESTOR NAME],MATCH(SIP[[#This Row],[Investor ID]],INVESTORS_LIST[INVESTOR CODE],0),)</f>
        <v>MOHAMMAD HASAN</v>
      </c>
      <c r="F388" s="46" t="s">
        <v>1010</v>
      </c>
      <c r="G388" s="46">
        <f>COUNTIF(SIP[[#Headers],[Investor ID]]:SIP[[#This Row],[Investor ID]],SIP[[#This Row],[Investor ID]])</f>
        <v>9</v>
      </c>
      <c r="H388" s="46" t="str">
        <f>CONCATENATE(SIP[[#This Row],[Frequency]],SIP[[#This Row],[Investor ID]])</f>
        <v>9A00482</v>
      </c>
      <c r="I388" s="46" t="str">
        <f>IF(SIP[[#This Row],[B/S]]="B","BUY",(IF(SIP[[#This Row],[B/S]]="S","SELL"," ")))</f>
        <v>BUY</v>
      </c>
      <c r="J388" s="46" t="s">
        <v>1229</v>
      </c>
      <c r="K388" s="69">
        <v>5000</v>
      </c>
      <c r="L388" s="69"/>
      <c r="M388" s="70">
        <f>SIP[[#This Row],[Amount]]/SIP[[#This Row],[Unit]]</f>
        <v>10.822510822510823</v>
      </c>
      <c r="N388" s="71">
        <f>SIP[[#This Row],[Unit Capital]]/10</f>
        <v>462</v>
      </c>
      <c r="O388" s="72">
        <f>SUMIFS(SIP[[#Headers],[Unit]]:SIP[[#This Row],[Unit]],SIP[[#Headers],[Investor ID]]:SIP[[#This Row],[Investor ID]],SIP[[#This Row],[Investor ID]])</f>
        <v>4269</v>
      </c>
      <c r="P388" s="73">
        <v>4620</v>
      </c>
      <c r="Q388" s="74">
        <f>SIP[[#This Row],[Amount]]-SIP[[#This Row],[Unit Capital]]</f>
        <v>380</v>
      </c>
      <c r="R38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388" s="68">
        <f t="shared" si="16"/>
        <v>14.224</v>
      </c>
      <c r="T3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8" s="74" cm="1">
        <f t="array" ref="U388">IF(SIP[[#This Row],[B/S]]="S",ABS(SIP[[#This Row],[Unit]])*(INDEX(SIP[NAV at Cost (Average)],MATCH(CONCATENATE((SIP[[#This Row],[Frequency]]-1),SIP[[#This Row],[Investor ID]]),SIP[Unique Code],0),0)),0)</f>
        <v>0</v>
      </c>
      <c r="V388" s="74">
        <f>IF(SIP[[#This Row],[BO TRANSFER]]="YES",SIP[[#This Row],[Unit]],)</f>
        <v>0</v>
      </c>
      <c r="W388" s="74">
        <f>SUMIFS(SIP[[#Headers],[BO UNIT TRANSFER]]:SIP[[#This Row],[BO UNIT TRANSFER]],SIP[[#Headers],[Investor ID]]:SIP[[#This Row],[Investor ID]],SIP[[#This Row],[Investor ID]])</f>
        <v>0</v>
      </c>
    </row>
    <row r="389" spans="1:23" ht="15" customHeight="1">
      <c r="A389" s="46">
        <v>2024</v>
      </c>
      <c r="B389" s="46">
        <v>2</v>
      </c>
      <c r="C389" s="46">
        <v>26</v>
      </c>
      <c r="D389" s="65">
        <f>DATE(SIP[[#This Row],[Year]],SIP[[#This Row],[Month]],SIP[[#This Row],[Day]])</f>
        <v>45348</v>
      </c>
      <c r="E389" s="66" t="str" cm="1">
        <f t="array" ref="E389">INDEX(INVESTORS_LIST[INVESTOR NAME],MATCH(SIP[[#This Row],[Investor ID]],INVESTORS_LIST[INVESTOR CODE],0),)</f>
        <v>SAJJAD CHOWDHURY</v>
      </c>
      <c r="F389" s="46" t="s">
        <v>461</v>
      </c>
      <c r="G389" s="46">
        <f>COUNTIF(SIP[[#Headers],[Investor ID]]:SIP[[#This Row],[Investor ID]],SIP[[#This Row],[Investor ID]])</f>
        <v>10</v>
      </c>
      <c r="H389" s="46" t="str">
        <f>CONCATENATE(SIP[[#This Row],[Frequency]],SIP[[#This Row],[Investor ID]])</f>
        <v>10A00206</v>
      </c>
      <c r="I389" s="46" t="str">
        <f>IF(SIP[[#This Row],[B/S]]="B","BUY",(IF(SIP[[#This Row],[B/S]]="S","SELL"," ")))</f>
        <v>BUY</v>
      </c>
      <c r="J389" s="46" t="s">
        <v>1229</v>
      </c>
      <c r="K389" s="69">
        <v>7500</v>
      </c>
      <c r="L389" s="69"/>
      <c r="M389" s="70">
        <f>SIP[[#This Row],[Amount]]/SIP[[#This Row],[Unit]]</f>
        <v>10.822510822510823</v>
      </c>
      <c r="N389" s="71">
        <f>SIP[[#This Row],[Unit Capital]]/10</f>
        <v>693</v>
      </c>
      <c r="O389" s="72">
        <f>SUMIFS(SIP[[#Headers],[Unit]]:SIP[[#This Row],[Unit]],SIP[[#Headers],[Investor ID]]:SIP[[#This Row],[Investor ID]],SIP[[#This Row],[Investor ID]])</f>
        <v>7140</v>
      </c>
      <c r="P389" s="73">
        <v>6930</v>
      </c>
      <c r="Q389" s="74">
        <f>SIP[[#This Row],[Amount]]-SIP[[#This Row],[Unit Capital]]</f>
        <v>570</v>
      </c>
      <c r="R38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10.504201680672267</v>
      </c>
      <c r="S389" s="68">
        <f t="shared" si="16"/>
        <v>14.224</v>
      </c>
      <c r="T3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9" s="74" cm="1">
        <f t="array" ref="U389">IF(SIP[[#This Row],[B/S]]="S",ABS(SIP[[#This Row],[Unit]])*(INDEX(SIP[NAV at Cost (Average)],MATCH(CONCATENATE((SIP[[#This Row],[Frequency]]-1),SIP[[#This Row],[Investor ID]]),SIP[Unique Code],0),0)),0)</f>
        <v>0</v>
      </c>
      <c r="V389" s="74">
        <f>IF(SIP[[#This Row],[BO TRANSFER]]="YES",SIP[[#This Row],[Unit]],)</f>
        <v>0</v>
      </c>
      <c r="W389" s="74">
        <f>SUMIFS(SIP[[#Headers],[BO UNIT TRANSFER]]:SIP[[#This Row],[BO UNIT TRANSFER]],SIP[[#Headers],[Investor ID]]:SIP[[#This Row],[Investor ID]],SIP[[#This Row],[Investor ID]])</f>
        <v>0</v>
      </c>
    </row>
    <row r="390" spans="1:23" ht="15" customHeight="1">
      <c r="A390" s="46">
        <v>2024</v>
      </c>
      <c r="B390" s="46">
        <v>2</v>
      </c>
      <c r="C390" s="46">
        <v>26</v>
      </c>
      <c r="D390" s="65">
        <f>DATE(SIP[[#This Row],[Year]],SIP[[#This Row],[Month]],SIP[[#This Row],[Day]])</f>
        <v>45348</v>
      </c>
      <c r="E390" s="66" t="str" cm="1">
        <f t="array" ref="E390">INDEX(INVESTORS_LIST[INVESTOR NAME],MATCH(SIP[[#This Row],[Investor ID]],INVESTORS_LIST[INVESTOR CODE],0),)</f>
        <v>EKUSH WEALTH MANAGEMENT LIMITED EMPLOYEES CONTRIBUTORY PROVIDENT FUND</v>
      </c>
      <c r="F390" s="46" t="s">
        <v>831</v>
      </c>
      <c r="G390" s="46">
        <f>COUNTIF(SIP[[#Headers],[Investor ID]]:SIP[[#This Row],[Investor ID]],SIP[[#This Row],[Investor ID]])</f>
        <v>8</v>
      </c>
      <c r="H390" s="46" t="str">
        <f>CONCATENATE(SIP[[#This Row],[Frequency]],SIP[[#This Row],[Investor ID]])</f>
        <v>8A00392</v>
      </c>
      <c r="I390" s="46" t="str">
        <f>IF(SIP[[#This Row],[B/S]]="B","BUY",(IF(SIP[[#This Row],[B/S]]="S","SELL"," ")))</f>
        <v>BUY</v>
      </c>
      <c r="J390" s="46" t="s">
        <v>1229</v>
      </c>
      <c r="K390" s="69">
        <v>22040</v>
      </c>
      <c r="L390" s="69"/>
      <c r="M390" s="70">
        <f>SIP[[#This Row],[Amount]]/SIP[[#This Row],[Unit]]</f>
        <v>10.825147347740668</v>
      </c>
      <c r="N390" s="71">
        <f>SIP[[#This Row],[Unit Capital]]/10</f>
        <v>2036</v>
      </c>
      <c r="O390" s="72">
        <f>SUMIFS(SIP[[#Headers],[Unit]]:SIP[[#This Row],[Unit]],SIP[[#Headers],[Investor ID]]:SIP[[#This Row],[Investor ID]],SIP[[#This Row],[Investor ID]])</f>
        <v>16864</v>
      </c>
      <c r="P390" s="73">
        <v>20360</v>
      </c>
      <c r="Q390" s="74">
        <f>SIP[[#This Row],[Amount]]-SIP[[#This Row],[Unit Capital]]</f>
        <v>1680</v>
      </c>
      <c r="R39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10.45540796963947</v>
      </c>
      <c r="S390" s="68">
        <f t="shared" si="16"/>
        <v>14.224</v>
      </c>
      <c r="T3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0" s="74" cm="1">
        <f t="array" ref="U390">IF(SIP[[#This Row],[B/S]]="S",ABS(SIP[[#This Row],[Unit]])*(INDEX(SIP[NAV at Cost (Average)],MATCH(CONCATENATE((SIP[[#This Row],[Frequency]]-1),SIP[[#This Row],[Investor ID]]),SIP[Unique Code],0),0)),0)</f>
        <v>0</v>
      </c>
      <c r="V390" s="74">
        <f>IF(SIP[[#This Row],[BO TRANSFER]]="YES",SIP[[#This Row],[Unit]],)</f>
        <v>0</v>
      </c>
      <c r="W390" s="74">
        <f>SUMIFS(SIP[[#Headers],[BO UNIT TRANSFER]]:SIP[[#This Row],[BO UNIT TRANSFER]],SIP[[#Headers],[Investor ID]]:SIP[[#This Row],[Investor ID]],SIP[[#This Row],[Investor ID]])</f>
        <v>0</v>
      </c>
    </row>
    <row r="391" spans="1:23" ht="15" customHeight="1">
      <c r="A391" s="46">
        <v>2024</v>
      </c>
      <c r="B391" s="46">
        <v>2</v>
      </c>
      <c r="C391" s="46">
        <v>26</v>
      </c>
      <c r="D391" s="65">
        <f>DATE(SIP[[#This Row],[Year]],SIP[[#This Row],[Month]],SIP[[#This Row],[Day]])</f>
        <v>45348</v>
      </c>
      <c r="E391" s="66" t="str" cm="1">
        <f t="array" ref="E391">INDEX(INVESTORS_LIST[INVESTOR NAME],MATCH(SIP[[#This Row],[Investor ID]],INVESTORS_LIST[INVESTOR CODE],0),)</f>
        <v>S.M. SAIFUL ISLAM</v>
      </c>
      <c r="F391" s="46" t="s">
        <v>1002</v>
      </c>
      <c r="G391" s="46">
        <f>COUNTIF(SIP[[#Headers],[Investor ID]]:SIP[[#This Row],[Investor ID]],SIP[[#This Row],[Investor ID]])</f>
        <v>10</v>
      </c>
      <c r="H391" s="46" t="str">
        <f>CONCATENATE(SIP[[#This Row],[Frequency]],SIP[[#This Row],[Investor ID]])</f>
        <v>10A00478</v>
      </c>
      <c r="I391" s="46" t="str">
        <f>IF(SIP[[#This Row],[B/S]]="B","BUY",(IF(SIP[[#This Row],[B/S]]="S","SELL"," ")))</f>
        <v>BUY</v>
      </c>
      <c r="J391" s="46" t="s">
        <v>1229</v>
      </c>
      <c r="K391" s="69">
        <v>10000</v>
      </c>
      <c r="L391" s="69"/>
      <c r="M391" s="70">
        <f>SIP[[#This Row],[Amount]]/SIP[[#This Row],[Unit]]</f>
        <v>10.822510822510823</v>
      </c>
      <c r="N391" s="71">
        <f>SIP[[#This Row],[Unit Capital]]/10</f>
        <v>924</v>
      </c>
      <c r="O391" s="72">
        <f>SUMIFS(SIP[[#Headers],[Unit]]:SIP[[#This Row],[Unit]],SIP[[#Headers],[Investor ID]]:SIP[[#This Row],[Investor ID]],SIP[[#This Row],[Investor ID]])</f>
        <v>9522</v>
      </c>
      <c r="P391" s="73">
        <v>9240</v>
      </c>
      <c r="Q391" s="74">
        <f>SIP[[#This Row],[Amount]]-SIP[[#This Row],[Unit Capital]]</f>
        <v>760</v>
      </c>
      <c r="R39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10.501995379122034</v>
      </c>
      <c r="S391" s="68">
        <f t="shared" si="16"/>
        <v>14.224</v>
      </c>
      <c r="T3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1" s="74" cm="1">
        <f t="array" ref="U391">IF(SIP[[#This Row],[B/S]]="S",ABS(SIP[[#This Row],[Unit]])*(INDEX(SIP[NAV at Cost (Average)],MATCH(CONCATENATE((SIP[[#This Row],[Frequency]]-1),SIP[[#This Row],[Investor ID]]),SIP[Unique Code],0),0)),0)</f>
        <v>0</v>
      </c>
      <c r="V391" s="74">
        <f>IF(SIP[[#This Row],[BO TRANSFER]]="YES",SIP[[#This Row],[Unit]],)</f>
        <v>0</v>
      </c>
      <c r="W391" s="74">
        <f>SUMIFS(SIP[[#Headers],[BO UNIT TRANSFER]]:SIP[[#This Row],[BO UNIT TRANSFER]],SIP[[#Headers],[Investor ID]]:SIP[[#This Row],[Investor ID]],SIP[[#This Row],[Investor ID]])</f>
        <v>0</v>
      </c>
    </row>
    <row r="392" spans="1:23" ht="15" customHeight="1">
      <c r="A392" s="46">
        <v>2024</v>
      </c>
      <c r="B392" s="46">
        <v>2</v>
      </c>
      <c r="C392" s="46">
        <v>26</v>
      </c>
      <c r="D392" s="65">
        <f>DATE(SIP[[#This Row],[Year]],SIP[[#This Row],[Month]],SIP[[#This Row],[Day]])</f>
        <v>45348</v>
      </c>
      <c r="E392" s="66" t="str" cm="1">
        <f t="array" ref="E392">INDEX(INVESTORS_LIST[INVESTOR NAME],MATCH(SIP[[#This Row],[Investor ID]],INVESTORS_LIST[INVESTOR CODE],0),)</f>
        <v>ABU MUSA MIRZA KAMRUZZAMAN SHAHEE</v>
      </c>
      <c r="F392" s="46" t="s">
        <v>1012</v>
      </c>
      <c r="G392" s="46">
        <f>COUNTIF(SIP[[#Headers],[Investor ID]]:SIP[[#This Row],[Investor ID]],SIP[[#This Row],[Investor ID]])</f>
        <v>9</v>
      </c>
      <c r="H392" s="46" t="str">
        <f>CONCATENATE(SIP[[#This Row],[Frequency]],SIP[[#This Row],[Investor ID]])</f>
        <v>9A00483</v>
      </c>
      <c r="I392" s="46" t="str">
        <f>IF(SIP[[#This Row],[B/S]]="B","BUY",(IF(SIP[[#This Row],[B/S]]="S","SELL"," ")))</f>
        <v>BUY</v>
      </c>
      <c r="J392" s="46" t="s">
        <v>1229</v>
      </c>
      <c r="K392" s="69">
        <v>5000</v>
      </c>
      <c r="L392" s="69"/>
      <c r="M392" s="70">
        <f>SIP[[#This Row],[Amount]]/SIP[[#This Row],[Unit]]</f>
        <v>10.822510822510823</v>
      </c>
      <c r="N392" s="71">
        <f>SIP[[#This Row],[Unit Capital]]/10</f>
        <v>462</v>
      </c>
      <c r="O392" s="72">
        <f>SUMIFS(SIP[[#Headers],[Unit]]:SIP[[#This Row],[Unit]],SIP[[#Headers],[Investor ID]]:SIP[[#This Row],[Investor ID]],SIP[[#This Row],[Investor ID]])</f>
        <v>4269</v>
      </c>
      <c r="P392" s="73">
        <v>4620</v>
      </c>
      <c r="Q392" s="74">
        <f>SIP[[#This Row],[Amount]]-SIP[[#This Row],[Unit Capital]]</f>
        <v>380</v>
      </c>
      <c r="R39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392" s="68">
        <f t="shared" si="16"/>
        <v>14.224</v>
      </c>
      <c r="T3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2" s="74" cm="1">
        <f t="array" ref="U392">IF(SIP[[#This Row],[B/S]]="S",ABS(SIP[[#This Row],[Unit]])*(INDEX(SIP[NAV at Cost (Average)],MATCH(CONCATENATE((SIP[[#This Row],[Frequency]]-1),SIP[[#This Row],[Investor ID]]),SIP[Unique Code],0),0)),0)</f>
        <v>0</v>
      </c>
      <c r="V392" s="74">
        <f>IF(SIP[[#This Row],[BO TRANSFER]]="YES",SIP[[#This Row],[Unit]],)</f>
        <v>0</v>
      </c>
      <c r="W392" s="74">
        <f>SUMIFS(SIP[[#Headers],[BO UNIT TRANSFER]]:SIP[[#This Row],[BO UNIT TRANSFER]],SIP[[#Headers],[Investor ID]]:SIP[[#This Row],[Investor ID]],SIP[[#This Row],[Investor ID]])</f>
        <v>0</v>
      </c>
    </row>
    <row r="393" spans="1:23" ht="15" customHeight="1">
      <c r="A393" s="46">
        <v>2024</v>
      </c>
      <c r="B393" s="46">
        <v>2</v>
      </c>
      <c r="C393" s="46">
        <v>26</v>
      </c>
      <c r="D393" s="65">
        <f>DATE(SIP[[#This Row],[Year]],SIP[[#This Row],[Month]],SIP[[#This Row],[Day]])</f>
        <v>45348</v>
      </c>
      <c r="E393" s="66" t="str" cm="1">
        <f t="array" ref="E393">INDEX(INVESTORS_LIST[INVESTOR NAME],MATCH(SIP[[#This Row],[Investor ID]],INVESTORS_LIST[INVESTOR CODE],0),)</f>
        <v>ASHIK IQBAL CHOWDHURY</v>
      </c>
      <c r="F393" s="46" t="s">
        <v>1016</v>
      </c>
      <c r="G393" s="46">
        <f>COUNTIF(SIP[[#Headers],[Investor ID]]:SIP[[#This Row],[Investor ID]],SIP[[#This Row],[Investor ID]])</f>
        <v>9</v>
      </c>
      <c r="H393" s="46" t="str">
        <f>CONCATENATE(SIP[[#This Row],[Frequency]],SIP[[#This Row],[Investor ID]])</f>
        <v>9A00485</v>
      </c>
      <c r="I393" s="46" t="str">
        <f>IF(SIP[[#This Row],[B/S]]="B","BUY",(IF(SIP[[#This Row],[B/S]]="S","SELL"," ")))</f>
        <v>BUY</v>
      </c>
      <c r="J393" s="46" t="s">
        <v>1229</v>
      </c>
      <c r="K393" s="69">
        <v>5000</v>
      </c>
      <c r="L393" s="69"/>
      <c r="M393" s="70">
        <f>SIP[[#This Row],[Amount]]/SIP[[#This Row],[Unit]]</f>
        <v>10.822510822510823</v>
      </c>
      <c r="N393" s="71">
        <f>SIP[[#This Row],[Unit Capital]]/10</f>
        <v>462</v>
      </c>
      <c r="O393" s="72">
        <f>SUMIFS(SIP[[#Headers],[Unit]]:SIP[[#This Row],[Unit]],SIP[[#Headers],[Investor ID]]:SIP[[#This Row],[Investor ID]],SIP[[#This Row],[Investor ID]])</f>
        <v>4269</v>
      </c>
      <c r="P393" s="73">
        <v>4620</v>
      </c>
      <c r="Q393" s="74">
        <f>SIP[[#This Row],[Amount]]-SIP[[#This Row],[Unit Capital]]</f>
        <v>380</v>
      </c>
      <c r="R39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393" s="68">
        <f t="shared" si="16"/>
        <v>14.224</v>
      </c>
      <c r="T3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3" s="74" cm="1">
        <f t="array" ref="U393">IF(SIP[[#This Row],[B/S]]="S",ABS(SIP[[#This Row],[Unit]])*(INDEX(SIP[NAV at Cost (Average)],MATCH(CONCATENATE((SIP[[#This Row],[Frequency]]-1),SIP[[#This Row],[Investor ID]]),SIP[Unique Code],0),0)),0)</f>
        <v>0</v>
      </c>
      <c r="V393" s="74">
        <f>IF(SIP[[#This Row],[BO TRANSFER]]="YES",SIP[[#This Row],[Unit]],)</f>
        <v>0</v>
      </c>
      <c r="W393" s="74">
        <f>SUMIFS(SIP[[#Headers],[BO UNIT TRANSFER]]:SIP[[#This Row],[BO UNIT TRANSFER]],SIP[[#Headers],[Investor ID]]:SIP[[#This Row],[Investor ID]],SIP[[#This Row],[Investor ID]])</f>
        <v>0</v>
      </c>
    </row>
    <row r="394" spans="1:23" ht="15" customHeight="1">
      <c r="A394" s="46">
        <v>2024</v>
      </c>
      <c r="B394" s="46">
        <v>2</v>
      </c>
      <c r="C394" s="46">
        <v>26</v>
      </c>
      <c r="D394" s="65">
        <f>DATE(SIP[[#This Row],[Year]],SIP[[#This Row],[Month]],SIP[[#This Row],[Day]])</f>
        <v>45348</v>
      </c>
      <c r="E394" s="66" t="str" cm="1">
        <f t="array" ref="E394">INDEX(INVESTORS_LIST[INVESTOR NAME],MATCH(SIP[[#This Row],[Investor ID]],INVESTORS_LIST[INVESTOR CODE],0),)</f>
        <v>NITYANANDA BISWAS</v>
      </c>
      <c r="F394" s="46" t="s">
        <v>554</v>
      </c>
      <c r="G394" s="46">
        <f>COUNTIF(SIP[[#Headers],[Investor ID]]:SIP[[#This Row],[Investor ID]],SIP[[#This Row],[Investor ID]])</f>
        <v>3</v>
      </c>
      <c r="H394" s="46" t="str">
        <f>CONCATENATE(SIP[[#This Row],[Frequency]],SIP[[#This Row],[Investor ID]])</f>
        <v>3A00252</v>
      </c>
      <c r="I394" s="46" t="str">
        <f>IF(SIP[[#This Row],[B/S]]="B","BUY",(IF(SIP[[#This Row],[B/S]]="S","SELL"," ")))</f>
        <v>BUY</v>
      </c>
      <c r="J394" s="46" t="s">
        <v>1229</v>
      </c>
      <c r="K394" s="69">
        <v>5000</v>
      </c>
      <c r="L394" s="69"/>
      <c r="M394" s="70">
        <f>SIP[[#This Row],[Amount]]/SIP[[#This Row],[Unit]]</f>
        <v>10.822510822510823</v>
      </c>
      <c r="N394" s="71">
        <f>SIP[[#This Row],[Unit Capital]]/10</f>
        <v>462</v>
      </c>
      <c r="O394" s="72">
        <f>SUMIFS(SIP[[#Headers],[Unit]]:SIP[[#This Row],[Unit]],SIP[[#Headers],[Investor ID]]:SIP[[#This Row],[Investor ID]],SIP[[#This Row],[Investor ID]])</f>
        <v>1410</v>
      </c>
      <c r="P394" s="73">
        <v>4620</v>
      </c>
      <c r="Q394" s="74">
        <f>SIP[[#This Row],[Amount]]-SIP[[#This Row],[Unit Capital]]</f>
        <v>380</v>
      </c>
      <c r="R39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10.638297872340425</v>
      </c>
      <c r="S394" s="68">
        <f t="shared" si="16"/>
        <v>14.224</v>
      </c>
      <c r="T3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4" s="74" cm="1">
        <f t="array" ref="U394">IF(SIP[[#This Row],[B/S]]="S",ABS(SIP[[#This Row],[Unit]])*(INDEX(SIP[NAV at Cost (Average)],MATCH(CONCATENATE((SIP[[#This Row],[Frequency]]-1),SIP[[#This Row],[Investor ID]]),SIP[Unique Code],0),0)),0)</f>
        <v>0</v>
      </c>
      <c r="V394" s="74">
        <f>IF(SIP[[#This Row],[BO TRANSFER]]="YES",SIP[[#This Row],[Unit]],)</f>
        <v>0</v>
      </c>
      <c r="W394" s="74">
        <f>SUMIFS(SIP[[#Headers],[BO UNIT TRANSFER]]:SIP[[#This Row],[BO UNIT TRANSFER]],SIP[[#Headers],[Investor ID]]:SIP[[#This Row],[Investor ID]],SIP[[#This Row],[Investor ID]])</f>
        <v>0</v>
      </c>
    </row>
    <row r="395" spans="1:23" ht="15" customHeight="1">
      <c r="A395" s="46">
        <v>2024</v>
      </c>
      <c r="B395" s="46">
        <v>2</v>
      </c>
      <c r="C395" s="46">
        <v>26</v>
      </c>
      <c r="D395" s="65">
        <f>DATE(SIP[[#This Row],[Year]],SIP[[#This Row],[Month]],SIP[[#This Row],[Day]])</f>
        <v>45348</v>
      </c>
      <c r="E395" s="66" t="str" cm="1">
        <f t="array" ref="E395">INDEX(INVESTORS_LIST[INVESTOR NAME],MATCH(SIP[[#This Row],[Investor ID]],INVESTORS_LIST[INVESTOR CODE],0),)</f>
        <v>NITYANANDA BISWAS</v>
      </c>
      <c r="F395" s="46" t="s">
        <v>554</v>
      </c>
      <c r="G395" s="46">
        <f>COUNTIF(SIP[[#Headers],[Investor ID]]:SIP[[#This Row],[Investor ID]],SIP[[#This Row],[Investor ID]])</f>
        <v>4</v>
      </c>
      <c r="H395" s="46" t="str">
        <f>CONCATENATE(SIP[[#This Row],[Frequency]],SIP[[#This Row],[Investor ID]])</f>
        <v>4A00252</v>
      </c>
      <c r="I395" s="46" t="str">
        <f>IF(SIP[[#This Row],[B/S]]="B","BUY",(IF(SIP[[#This Row],[B/S]]="S","SELL"," ")))</f>
        <v>BUY</v>
      </c>
      <c r="J395" s="46" t="s">
        <v>1229</v>
      </c>
      <c r="K395" s="69">
        <v>5000</v>
      </c>
      <c r="L395" s="69"/>
      <c r="M395" s="70">
        <f>SIP[[#This Row],[Amount]]/SIP[[#This Row],[Unit]]</f>
        <v>10.822510822510823</v>
      </c>
      <c r="N395" s="71">
        <f>SIP[[#This Row],[Unit Capital]]/10</f>
        <v>462</v>
      </c>
      <c r="O395" s="72">
        <f>SUMIFS(SIP[[#Headers],[Unit]]:SIP[[#This Row],[Unit]],SIP[[#Headers],[Investor ID]]:SIP[[#This Row],[Investor ID]],SIP[[#This Row],[Investor ID]])</f>
        <v>1872</v>
      </c>
      <c r="P395" s="73">
        <v>4620</v>
      </c>
      <c r="Q395" s="74">
        <f>SIP[[#This Row],[Amount]]-SIP[[#This Row],[Unit Capital]]</f>
        <v>380</v>
      </c>
      <c r="R39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10.683760683760685</v>
      </c>
      <c r="S395" s="68">
        <f t="shared" si="16"/>
        <v>14.224</v>
      </c>
      <c r="T3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5" s="74" cm="1">
        <f t="array" ref="U395">IF(SIP[[#This Row],[B/S]]="S",ABS(SIP[[#This Row],[Unit]])*(INDEX(SIP[NAV at Cost (Average)],MATCH(CONCATENATE((SIP[[#This Row],[Frequency]]-1),SIP[[#This Row],[Investor ID]]),SIP[Unique Code],0),0)),0)</f>
        <v>0</v>
      </c>
      <c r="V395" s="74">
        <f>IF(SIP[[#This Row],[BO TRANSFER]]="YES",SIP[[#This Row],[Unit]],)</f>
        <v>0</v>
      </c>
      <c r="W395" s="74">
        <f>SUMIFS(SIP[[#Headers],[BO UNIT TRANSFER]]:SIP[[#This Row],[BO UNIT TRANSFER]],SIP[[#Headers],[Investor ID]]:SIP[[#This Row],[Investor ID]],SIP[[#This Row],[Investor ID]])</f>
        <v>0</v>
      </c>
    </row>
    <row r="396" spans="1:23" ht="15" customHeight="1">
      <c r="A396" s="46">
        <v>2024</v>
      </c>
      <c r="B396" s="46">
        <v>2</v>
      </c>
      <c r="C396" s="46">
        <v>26</v>
      </c>
      <c r="D396" s="65">
        <f>DATE(SIP[[#This Row],[Year]],SIP[[#This Row],[Month]],SIP[[#This Row],[Day]])</f>
        <v>45348</v>
      </c>
      <c r="E396" s="66" t="str" cm="1">
        <f t="array" ref="E396">INDEX(INVESTORS_LIST[INVESTOR NAME],MATCH(SIP[[#This Row],[Investor ID]],INVESTORS_LIST[INVESTOR CODE],0),)</f>
        <v>JUBAIDA FARHANA HAQUE</v>
      </c>
      <c r="F396" s="46" t="s">
        <v>1065</v>
      </c>
      <c r="G396" s="46">
        <f>COUNTIF(SIP[[#Headers],[Investor ID]]:SIP[[#This Row],[Investor ID]],SIP[[#This Row],[Investor ID]])</f>
        <v>7</v>
      </c>
      <c r="H396" s="46" t="str">
        <f>CONCATENATE(SIP[[#This Row],[Frequency]],SIP[[#This Row],[Investor ID]])</f>
        <v>7A00510</v>
      </c>
      <c r="I396" s="46" t="str">
        <f>IF(SIP[[#This Row],[B/S]]="B","BUY",(IF(SIP[[#This Row],[B/S]]="S","SELL"," ")))</f>
        <v>BUY</v>
      </c>
      <c r="J396" s="46" t="s">
        <v>1229</v>
      </c>
      <c r="K396" s="69">
        <v>5000</v>
      </c>
      <c r="L396" s="69"/>
      <c r="M396" s="70">
        <f>SIP[[#This Row],[Amount]]/SIP[[#This Row],[Unit]]</f>
        <v>10.822510822510823</v>
      </c>
      <c r="N396" s="71">
        <f>SIP[[#This Row],[Unit Capital]]/10</f>
        <v>462</v>
      </c>
      <c r="O396" s="72">
        <f>SUMIFS(SIP[[#Headers],[Unit]]:SIP[[#This Row],[Unit]],SIP[[#Headers],[Investor ID]]:SIP[[#This Row],[Investor ID]],SIP[[#This Row],[Investor ID]])</f>
        <v>2345</v>
      </c>
      <c r="P396" s="73">
        <v>4620</v>
      </c>
      <c r="Q396" s="74">
        <f>SIP[[#This Row],[Amount]]-SIP[[#This Row],[Unit Capital]]</f>
        <v>380</v>
      </c>
      <c r="R39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10.667706981092731</v>
      </c>
      <c r="S396" s="68">
        <f t="shared" si="16"/>
        <v>14.224</v>
      </c>
      <c r="T3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6" s="74" cm="1">
        <f t="array" ref="U396">IF(SIP[[#This Row],[B/S]]="S",ABS(SIP[[#This Row],[Unit]])*(INDEX(SIP[NAV at Cost (Average)],MATCH(CONCATENATE((SIP[[#This Row],[Frequency]]-1),SIP[[#This Row],[Investor ID]]),SIP[Unique Code],0),0)),0)</f>
        <v>0</v>
      </c>
      <c r="V396" s="74">
        <f>IF(SIP[[#This Row],[BO TRANSFER]]="YES",SIP[[#This Row],[Unit]],)</f>
        <v>0</v>
      </c>
      <c r="W396" s="74">
        <f>SUMIFS(SIP[[#Headers],[BO UNIT TRANSFER]]:SIP[[#This Row],[BO UNIT TRANSFER]],SIP[[#Headers],[Investor ID]]:SIP[[#This Row],[Investor ID]],SIP[[#This Row],[Investor ID]])</f>
        <v>0</v>
      </c>
    </row>
    <row r="397" spans="1:23" ht="15" customHeight="1">
      <c r="A397" s="46">
        <v>2024</v>
      </c>
      <c r="B397" s="46">
        <v>2</v>
      </c>
      <c r="C397" s="46">
        <v>26</v>
      </c>
      <c r="D397" s="65">
        <f>DATE(SIP[[#This Row],[Year]],SIP[[#This Row],[Month]],SIP[[#This Row],[Day]])</f>
        <v>45348</v>
      </c>
      <c r="E397" s="66" t="str" cm="1">
        <f t="array" ref="E397">INDEX(INVESTORS_LIST[INVESTOR NAME],MATCH(SIP[[#This Row],[Investor ID]],INVESTORS_LIST[INVESTOR CODE],0),)</f>
        <v>TAPU GUHA</v>
      </c>
      <c r="F397" s="46" t="s">
        <v>483</v>
      </c>
      <c r="G397" s="46">
        <f>COUNTIF(SIP[[#Headers],[Investor ID]]:SIP[[#This Row],[Investor ID]],SIP[[#This Row],[Investor ID]])</f>
        <v>7</v>
      </c>
      <c r="H397" s="46" t="str">
        <f>CONCATENATE(SIP[[#This Row],[Frequency]],SIP[[#This Row],[Investor ID]])</f>
        <v>7A00217</v>
      </c>
      <c r="I397" s="46" t="str">
        <f>IF(SIP[[#This Row],[B/S]]="B","BUY",(IF(SIP[[#This Row],[B/S]]="S","SELL"," ")))</f>
        <v>BUY</v>
      </c>
      <c r="J397" s="46" t="s">
        <v>1229</v>
      </c>
      <c r="K397" s="69">
        <v>5000</v>
      </c>
      <c r="L397" s="69"/>
      <c r="M397" s="70">
        <f>SIP[[#This Row],[Amount]]/SIP[[#This Row],[Unit]]</f>
        <v>10.822510822510823</v>
      </c>
      <c r="N397" s="71">
        <f>SIP[[#This Row],[Unit Capital]]/10</f>
        <v>462</v>
      </c>
      <c r="O397" s="72">
        <f>SUMIFS(SIP[[#Headers],[Unit]]:SIP[[#This Row],[Unit]],SIP[[#Headers],[Investor ID]]:SIP[[#This Row],[Investor ID]],SIP[[#This Row],[Investor ID]])</f>
        <v>3296</v>
      </c>
      <c r="P397" s="73">
        <v>4620</v>
      </c>
      <c r="Q397" s="74">
        <f>SIP[[#This Row],[Amount]]-SIP[[#This Row],[Unit Capital]]</f>
        <v>380</v>
      </c>
      <c r="R39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10.61893203883495</v>
      </c>
      <c r="S397" s="68">
        <f t="shared" si="16"/>
        <v>14.224</v>
      </c>
      <c r="T3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7" s="74" cm="1">
        <f t="array" ref="U397">IF(SIP[[#This Row],[B/S]]="S",ABS(SIP[[#This Row],[Unit]])*(INDEX(SIP[NAV at Cost (Average)],MATCH(CONCATENATE((SIP[[#This Row],[Frequency]]-1),SIP[[#This Row],[Investor ID]]),SIP[Unique Code],0),0)),0)</f>
        <v>0</v>
      </c>
      <c r="V397" s="74">
        <f>IF(SIP[[#This Row],[BO TRANSFER]]="YES",SIP[[#This Row],[Unit]],)</f>
        <v>0</v>
      </c>
      <c r="W397" s="74">
        <f>SUMIFS(SIP[[#Headers],[BO UNIT TRANSFER]]:SIP[[#This Row],[BO UNIT TRANSFER]],SIP[[#Headers],[Investor ID]]:SIP[[#This Row],[Investor ID]],SIP[[#This Row],[Investor ID]])</f>
        <v>0</v>
      </c>
    </row>
    <row r="398" spans="1:23" ht="15" customHeight="1">
      <c r="A398" s="46">
        <v>2024</v>
      </c>
      <c r="B398" s="46">
        <v>2</v>
      </c>
      <c r="C398" s="46">
        <v>26</v>
      </c>
      <c r="D398" s="65">
        <f>DATE(SIP[[#This Row],[Year]],SIP[[#This Row],[Month]],SIP[[#This Row],[Day]])</f>
        <v>45348</v>
      </c>
      <c r="E398" s="66" t="str" cm="1">
        <f t="array" ref="E398">INDEX(INVESTORS_LIST[INVESTOR NAME],MATCH(SIP[[#This Row],[Investor ID]],INVESTORS_LIST[INVESTOR CODE],0),)</f>
        <v>MAYA RANI SAHA</v>
      </c>
      <c r="F398" s="46" t="s">
        <v>224</v>
      </c>
      <c r="G398" s="46">
        <f>COUNTIF(SIP[[#Headers],[Investor ID]]:SIP[[#This Row],[Investor ID]],SIP[[#This Row],[Investor ID]])</f>
        <v>8</v>
      </c>
      <c r="H398" s="46" t="str">
        <f>CONCATENATE(SIP[[#This Row],[Frequency]],SIP[[#This Row],[Investor ID]])</f>
        <v>8A00088</v>
      </c>
      <c r="I398" s="46" t="str">
        <f>IF(SIP[[#This Row],[B/S]]="B","BUY",(IF(SIP[[#This Row],[B/S]]="S","SELL"," ")))</f>
        <v>BUY</v>
      </c>
      <c r="J398" s="46" t="s">
        <v>1229</v>
      </c>
      <c r="K398" s="69">
        <v>14000</v>
      </c>
      <c r="L398" s="69"/>
      <c r="M398" s="70">
        <f>SIP[[#This Row],[Amount]]/SIP[[#This Row],[Unit]]</f>
        <v>10.82753286929621</v>
      </c>
      <c r="N398" s="71">
        <f>SIP[[#This Row],[Unit Capital]]/10</f>
        <v>1293</v>
      </c>
      <c r="O398" s="72">
        <f>SUMIFS(SIP[[#Headers],[Unit]]:SIP[[#This Row],[Unit]],SIP[[#Headers],[Investor ID]]:SIP[[#This Row],[Investor ID]],SIP[[#This Row],[Investor ID]])</f>
        <v>10736</v>
      </c>
      <c r="P398" s="73">
        <v>12930</v>
      </c>
      <c r="Q398" s="74">
        <f>SIP[[#This Row],[Amount]]-SIP[[#This Row],[Unit Capital]]</f>
        <v>1070</v>
      </c>
      <c r="R39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10.618479880774963</v>
      </c>
      <c r="S398" s="68">
        <f t="shared" si="16"/>
        <v>14.224</v>
      </c>
      <c r="T3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8" s="74" cm="1">
        <f t="array" ref="U398">IF(SIP[[#This Row],[B/S]]="S",ABS(SIP[[#This Row],[Unit]])*(INDEX(SIP[NAV at Cost (Average)],MATCH(CONCATENATE((SIP[[#This Row],[Frequency]]-1),SIP[[#This Row],[Investor ID]]),SIP[Unique Code],0),0)),0)</f>
        <v>0</v>
      </c>
      <c r="V398" s="74">
        <f>IF(SIP[[#This Row],[BO TRANSFER]]="YES",SIP[[#This Row],[Unit]],)</f>
        <v>0</v>
      </c>
      <c r="W398" s="74">
        <f>SUMIFS(SIP[[#Headers],[BO UNIT TRANSFER]]:SIP[[#This Row],[BO UNIT TRANSFER]],SIP[[#Headers],[Investor ID]]:SIP[[#This Row],[Investor ID]],SIP[[#This Row],[Investor ID]])</f>
        <v>0</v>
      </c>
    </row>
    <row r="399" spans="1:23" ht="15" customHeight="1">
      <c r="A399" s="46">
        <v>2024</v>
      </c>
      <c r="B399" s="46">
        <v>2</v>
      </c>
      <c r="C399" s="46">
        <v>26</v>
      </c>
      <c r="D399" s="65">
        <f>DATE(SIP[[#This Row],[Year]],SIP[[#This Row],[Month]],SIP[[#This Row],[Day]])</f>
        <v>45348</v>
      </c>
      <c r="E399" s="66" t="str" cm="1">
        <f t="array" ref="E399">INDEX(INVESTORS_LIST[INVESTOR NAME],MATCH(SIP[[#This Row],[Investor ID]],INVESTORS_LIST[INVESTOR CODE],0),)</f>
        <v>SIKDER FAZLE RABBI</v>
      </c>
      <c r="F399" s="46" t="s">
        <v>1032</v>
      </c>
      <c r="G399" s="46">
        <f>COUNTIF(SIP[[#Headers],[Investor ID]]:SIP[[#This Row],[Investor ID]],SIP[[#This Row],[Investor ID]])</f>
        <v>9</v>
      </c>
      <c r="H399" s="46" t="str">
        <f>CONCATENATE(SIP[[#This Row],[Frequency]],SIP[[#This Row],[Investor ID]])</f>
        <v>9A00493</v>
      </c>
      <c r="I399" s="46" t="str">
        <f>IF(SIP[[#This Row],[B/S]]="B","BUY",(IF(SIP[[#This Row],[B/S]]="S","SELL"," ")))</f>
        <v>BUY</v>
      </c>
      <c r="J399" s="46" t="s">
        <v>1229</v>
      </c>
      <c r="K399" s="69">
        <v>5000</v>
      </c>
      <c r="L399" s="69"/>
      <c r="M399" s="70">
        <f>SIP[[#This Row],[Amount]]/SIP[[#This Row],[Unit]]</f>
        <v>10.822510822510823</v>
      </c>
      <c r="N399" s="71">
        <f>SIP[[#This Row],[Unit Capital]]/10</f>
        <v>462</v>
      </c>
      <c r="O399" s="72">
        <f>SUMIFS(SIP[[#Headers],[Unit]]:SIP[[#This Row],[Unit]],SIP[[#Headers],[Investor ID]]:SIP[[#This Row],[Investor ID]],SIP[[#This Row],[Investor ID]])</f>
        <v>4269</v>
      </c>
      <c r="P399" s="73">
        <v>4620</v>
      </c>
      <c r="Q399" s="74">
        <f>SIP[[#This Row],[Amount]]-SIP[[#This Row],[Unit Capital]]</f>
        <v>380</v>
      </c>
      <c r="R39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399" s="68">
        <f t="shared" si="16"/>
        <v>14.224</v>
      </c>
      <c r="T3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9" s="74" cm="1">
        <f t="array" ref="U399">IF(SIP[[#This Row],[B/S]]="S",ABS(SIP[[#This Row],[Unit]])*(INDEX(SIP[NAV at Cost (Average)],MATCH(CONCATENATE((SIP[[#This Row],[Frequency]]-1),SIP[[#This Row],[Investor ID]]),SIP[Unique Code],0),0)),0)</f>
        <v>0</v>
      </c>
      <c r="V399" s="74">
        <f>IF(SIP[[#This Row],[BO TRANSFER]]="YES",SIP[[#This Row],[Unit]],)</f>
        <v>0</v>
      </c>
      <c r="W399" s="74">
        <f>SUMIFS(SIP[[#Headers],[BO UNIT TRANSFER]]:SIP[[#This Row],[BO UNIT TRANSFER]],SIP[[#Headers],[Investor ID]]:SIP[[#This Row],[Investor ID]],SIP[[#This Row],[Investor ID]])</f>
        <v>0</v>
      </c>
    </row>
    <row r="400" spans="1:23" ht="15" customHeight="1">
      <c r="A400" s="46">
        <v>2024</v>
      </c>
      <c r="B400" s="46">
        <v>2</v>
      </c>
      <c r="C400" s="46">
        <v>26</v>
      </c>
      <c r="D400" s="65">
        <f>DATE(SIP[[#This Row],[Year]],SIP[[#This Row],[Month]],SIP[[#This Row],[Day]])</f>
        <v>45348</v>
      </c>
      <c r="E400" s="66" t="str" cm="1">
        <f t="array" ref="E400">INDEX(INVESTORS_LIST[INVESTOR NAME],MATCH(SIP[[#This Row],[Investor ID]],INVESTORS_LIST[INVESTOR CODE],0),)</f>
        <v>KHALED HOSSAIN</v>
      </c>
      <c r="F400" s="46" t="s">
        <v>1050</v>
      </c>
      <c r="G400" s="46">
        <f>COUNTIF(SIP[[#Headers],[Investor ID]]:SIP[[#This Row],[Investor ID]],SIP[[#This Row],[Investor ID]])</f>
        <v>10</v>
      </c>
      <c r="H400" s="46" t="str">
        <f>CONCATENATE(SIP[[#This Row],[Frequency]],SIP[[#This Row],[Investor ID]])</f>
        <v>10A00502</v>
      </c>
      <c r="I400" s="46" t="str">
        <f>IF(SIP[[#This Row],[B/S]]="B","BUY",(IF(SIP[[#This Row],[B/S]]="S","SELL"," ")))</f>
        <v>BUY</v>
      </c>
      <c r="J400" s="46" t="s">
        <v>1229</v>
      </c>
      <c r="K400" s="69">
        <v>10000</v>
      </c>
      <c r="L400" s="69"/>
      <c r="M400" s="70">
        <f>SIP[[#This Row],[Amount]]/SIP[[#This Row],[Unit]]</f>
        <v>10.822510822510823</v>
      </c>
      <c r="N400" s="71">
        <f>SIP[[#This Row],[Unit Capital]]/10</f>
        <v>924</v>
      </c>
      <c r="O400" s="72">
        <f>SUMIFS(SIP[[#Headers],[Unit]]:SIP[[#This Row],[Unit]],SIP[[#Headers],[Investor ID]]:SIP[[#This Row],[Investor ID]],SIP[[#This Row],[Investor ID]])</f>
        <v>10867</v>
      </c>
      <c r="P400" s="73">
        <v>9240</v>
      </c>
      <c r="Q400" s="74">
        <f>SIP[[#This Row],[Amount]]-SIP[[#This Row],[Unit Capital]]</f>
        <v>760</v>
      </c>
      <c r="R40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10.582497469402782</v>
      </c>
      <c r="S400" s="68">
        <f t="shared" si="16"/>
        <v>14.224</v>
      </c>
      <c r="T4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0" s="74" cm="1">
        <f t="array" ref="U400">IF(SIP[[#This Row],[B/S]]="S",ABS(SIP[[#This Row],[Unit]])*(INDEX(SIP[NAV at Cost (Average)],MATCH(CONCATENATE((SIP[[#This Row],[Frequency]]-1),SIP[[#This Row],[Investor ID]]),SIP[Unique Code],0),0)),0)</f>
        <v>0</v>
      </c>
      <c r="V400" s="74">
        <f>IF(SIP[[#This Row],[BO TRANSFER]]="YES",SIP[[#This Row],[Unit]],)</f>
        <v>0</v>
      </c>
      <c r="W400" s="74">
        <f>SUMIFS(SIP[[#Headers],[BO UNIT TRANSFER]]:SIP[[#This Row],[BO UNIT TRANSFER]],SIP[[#Headers],[Investor ID]]:SIP[[#This Row],[Investor ID]],SIP[[#This Row],[Investor ID]])</f>
        <v>0</v>
      </c>
    </row>
    <row r="401" spans="1:23" ht="15" customHeight="1">
      <c r="A401" s="46">
        <v>2024</v>
      </c>
      <c r="B401" s="46">
        <v>2</v>
      </c>
      <c r="C401" s="46">
        <v>26</v>
      </c>
      <c r="D401" s="65">
        <f>DATE(SIP[[#This Row],[Year]],SIP[[#This Row],[Month]],SIP[[#This Row],[Day]])</f>
        <v>45348</v>
      </c>
      <c r="E401" s="66" t="str" cm="1">
        <f t="array" ref="E401">INDEX(INVESTORS_LIST[INVESTOR NAME],MATCH(SIP[[#This Row],[Investor ID]],INVESTORS_LIST[INVESTOR CODE],0),)</f>
        <v>MOHAMMAD SAMIUL ALAM</v>
      </c>
      <c r="F401" s="46" t="s">
        <v>537</v>
      </c>
      <c r="G401" s="46">
        <f>COUNTIF(SIP[[#Headers],[Investor ID]]:SIP[[#This Row],[Investor ID]],SIP[[#This Row],[Investor ID]])</f>
        <v>7</v>
      </c>
      <c r="H401" s="46" t="str">
        <f>CONCATENATE(SIP[[#This Row],[Frequency]],SIP[[#This Row],[Investor ID]])</f>
        <v>7A00244</v>
      </c>
      <c r="I401" s="46" t="str">
        <f>IF(SIP[[#This Row],[B/S]]="B","BUY",(IF(SIP[[#This Row],[B/S]]="S","SELL"," ")))</f>
        <v>BUY</v>
      </c>
      <c r="J401" s="46" t="s">
        <v>1229</v>
      </c>
      <c r="K401" s="69">
        <v>20000</v>
      </c>
      <c r="L401" s="69"/>
      <c r="M401" s="70">
        <f>SIP[[#This Row],[Amount]]/SIP[[#This Row],[Unit]]</f>
        <v>10.822510822510823</v>
      </c>
      <c r="N401" s="71">
        <f>SIP[[#This Row],[Unit Capital]]/10</f>
        <v>1848</v>
      </c>
      <c r="O401" s="72">
        <f>SUMIFS(SIP[[#Headers],[Unit]]:SIP[[#This Row],[Unit]],SIP[[#Headers],[Investor ID]]:SIP[[#This Row],[Investor ID]],SIP[[#This Row],[Investor ID]])</f>
        <v>13198</v>
      </c>
      <c r="P401" s="73">
        <v>18480</v>
      </c>
      <c r="Q401" s="74">
        <f>SIP[[#This Row],[Amount]]-SIP[[#This Row],[Unit Capital]]</f>
        <v>1520</v>
      </c>
      <c r="R40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10.607667828458858</v>
      </c>
      <c r="S401" s="68">
        <f t="shared" si="16"/>
        <v>14.224</v>
      </c>
      <c r="T4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1" s="74" cm="1">
        <f t="array" ref="U401">IF(SIP[[#This Row],[B/S]]="S",ABS(SIP[[#This Row],[Unit]])*(INDEX(SIP[NAV at Cost (Average)],MATCH(CONCATENATE((SIP[[#This Row],[Frequency]]-1),SIP[[#This Row],[Investor ID]]),SIP[Unique Code],0),0)),0)</f>
        <v>0</v>
      </c>
      <c r="V401" s="74">
        <f>IF(SIP[[#This Row],[BO TRANSFER]]="YES",SIP[[#This Row],[Unit]],)</f>
        <v>0</v>
      </c>
      <c r="W401" s="74">
        <f>SUMIFS(SIP[[#Headers],[BO UNIT TRANSFER]]:SIP[[#This Row],[BO UNIT TRANSFER]],SIP[[#Headers],[Investor ID]]:SIP[[#This Row],[Investor ID]],SIP[[#This Row],[Investor ID]])</f>
        <v>0</v>
      </c>
    </row>
    <row r="402" spans="1:23" ht="15" customHeight="1">
      <c r="A402" s="46">
        <v>2024</v>
      </c>
      <c r="B402" s="46">
        <v>2</v>
      </c>
      <c r="C402" s="46">
        <v>26</v>
      </c>
      <c r="D402" s="65">
        <f>DATE(SIP[[#This Row],[Year]],SIP[[#This Row],[Month]],SIP[[#This Row],[Day]])</f>
        <v>45348</v>
      </c>
      <c r="E402" s="66" t="str" cm="1">
        <f t="array" ref="E402">INDEX(INVESTORS_LIST[INVESTOR NAME],MATCH(SIP[[#This Row],[Investor ID]],INVESTORS_LIST[INVESTOR CODE],0),)</f>
        <v>ADNAN RASHID</v>
      </c>
      <c r="F402" s="46" t="s">
        <v>252</v>
      </c>
      <c r="G402" s="46">
        <f>COUNTIF(SIP[[#Headers],[Investor ID]]:SIP[[#This Row],[Investor ID]],SIP[[#This Row],[Investor ID]])</f>
        <v>6</v>
      </c>
      <c r="H402" s="46" t="str">
        <f>CONCATENATE(SIP[[#This Row],[Frequency]],SIP[[#This Row],[Investor ID]])</f>
        <v>6A00102</v>
      </c>
      <c r="I402" s="46" t="str">
        <f>IF(SIP[[#This Row],[B/S]]="B","BUY",(IF(SIP[[#This Row],[B/S]]="S","SELL"," ")))</f>
        <v>BUY</v>
      </c>
      <c r="J402" s="46" t="s">
        <v>1229</v>
      </c>
      <c r="K402" s="69">
        <v>30000</v>
      </c>
      <c r="L402" s="69"/>
      <c r="M402" s="70">
        <f>SIP[[#This Row],[Amount]]/SIP[[#This Row],[Unit]]</f>
        <v>10.826416456153014</v>
      </c>
      <c r="N402" s="71">
        <f>SIP[[#This Row],[Unit Capital]]/10</f>
        <v>2771</v>
      </c>
      <c r="O402" s="72">
        <f>SUMIFS(SIP[[#Headers],[Unit]]:SIP[[#This Row],[Unit]],SIP[[#Headers],[Investor ID]]:SIP[[#This Row],[Investor ID]],SIP[[#This Row],[Investor ID]])</f>
        <v>16918</v>
      </c>
      <c r="P402" s="73">
        <v>27710</v>
      </c>
      <c r="Q402" s="74">
        <f>SIP[[#This Row],[Amount]]-SIP[[#This Row],[Unit Capital]]</f>
        <v>2290</v>
      </c>
      <c r="R40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10.639555503014542</v>
      </c>
      <c r="S402" s="68">
        <f t="shared" si="16"/>
        <v>14.224</v>
      </c>
      <c r="T4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2" s="74" cm="1">
        <f t="array" ref="U402">IF(SIP[[#This Row],[B/S]]="S",ABS(SIP[[#This Row],[Unit]])*(INDEX(SIP[NAV at Cost (Average)],MATCH(CONCATENATE((SIP[[#This Row],[Frequency]]-1),SIP[[#This Row],[Investor ID]]),SIP[Unique Code],0),0)),0)</f>
        <v>0</v>
      </c>
      <c r="V402" s="74">
        <f>IF(SIP[[#This Row],[BO TRANSFER]]="YES",SIP[[#This Row],[Unit]],)</f>
        <v>0</v>
      </c>
      <c r="W402" s="74">
        <f>SUMIFS(SIP[[#Headers],[BO UNIT TRANSFER]]:SIP[[#This Row],[BO UNIT TRANSFER]],SIP[[#Headers],[Investor ID]]:SIP[[#This Row],[Investor ID]],SIP[[#This Row],[Investor ID]])</f>
        <v>0</v>
      </c>
    </row>
    <row r="403" spans="1:23" ht="15" customHeight="1">
      <c r="A403" s="46">
        <v>2024</v>
      </c>
      <c r="B403" s="46">
        <v>2</v>
      </c>
      <c r="C403" s="46">
        <v>26</v>
      </c>
      <c r="D403" s="65">
        <f>DATE(SIP[[#This Row],[Year]],SIP[[#This Row],[Month]],SIP[[#This Row],[Day]])</f>
        <v>45348</v>
      </c>
      <c r="E403" s="66" t="str" cm="1">
        <f t="array" ref="E403">INDEX(INVESTORS_LIST[INVESTOR NAME],MATCH(SIP[[#This Row],[Investor ID]],INVESTORS_LIST[INVESTOR CODE],0),)</f>
        <v>MRINMOY GHOSH</v>
      </c>
      <c r="F403" s="46" t="s">
        <v>69</v>
      </c>
      <c r="G403" s="46">
        <f>COUNTIF(SIP[[#Headers],[Investor ID]]:SIP[[#This Row],[Investor ID]],SIP[[#This Row],[Investor ID]])</f>
        <v>6</v>
      </c>
      <c r="H403" s="46" t="str">
        <f>CONCATENATE(SIP[[#This Row],[Frequency]],SIP[[#This Row],[Investor ID]])</f>
        <v>6A00012</v>
      </c>
      <c r="I403" s="46" t="str">
        <f>IF(SIP[[#This Row],[B/S]]="B","BUY",(IF(SIP[[#This Row],[B/S]]="S","SELL"," ")))</f>
        <v>BUY</v>
      </c>
      <c r="J403" s="46" t="s">
        <v>1229</v>
      </c>
      <c r="K403" s="69">
        <v>10000</v>
      </c>
      <c r="L403" s="69"/>
      <c r="M403" s="70">
        <f>SIP[[#This Row],[Amount]]/SIP[[#This Row],[Unit]]</f>
        <v>10.822510822510823</v>
      </c>
      <c r="N403" s="71">
        <f>SIP[[#This Row],[Unit Capital]]/10</f>
        <v>924</v>
      </c>
      <c r="O403" s="72">
        <f>SUMIFS(SIP[[#Headers],[Unit]]:SIP[[#This Row],[Unit]],SIP[[#Headers],[Investor ID]]:SIP[[#This Row],[Investor ID]],SIP[[#This Row],[Investor ID]])</f>
        <v>5640</v>
      </c>
      <c r="P403" s="73">
        <v>9240</v>
      </c>
      <c r="Q403" s="74">
        <f>SIP[[#This Row],[Amount]]-SIP[[#This Row],[Unit Capital]]</f>
        <v>760</v>
      </c>
      <c r="R40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10.638297872340427</v>
      </c>
      <c r="S403" s="68">
        <f t="shared" si="16"/>
        <v>14.224</v>
      </c>
      <c r="T4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3" s="74" cm="1">
        <f t="array" ref="U403">IF(SIP[[#This Row],[B/S]]="S",ABS(SIP[[#This Row],[Unit]])*(INDEX(SIP[NAV at Cost (Average)],MATCH(CONCATENATE((SIP[[#This Row],[Frequency]]-1),SIP[[#This Row],[Investor ID]]),SIP[Unique Code],0),0)),0)</f>
        <v>0</v>
      </c>
      <c r="V403" s="74">
        <f>IF(SIP[[#This Row],[BO TRANSFER]]="YES",SIP[[#This Row],[Unit]],)</f>
        <v>0</v>
      </c>
      <c r="W403" s="74">
        <f>SUMIFS(SIP[[#Headers],[BO UNIT TRANSFER]]:SIP[[#This Row],[BO UNIT TRANSFER]],SIP[[#Headers],[Investor ID]]:SIP[[#This Row],[Investor ID]],SIP[[#This Row],[Investor ID]])</f>
        <v>0</v>
      </c>
    </row>
    <row r="404" spans="1:23" ht="15" customHeight="1">
      <c r="A404" s="46">
        <v>2024</v>
      </c>
      <c r="B404" s="46">
        <v>2</v>
      </c>
      <c r="C404" s="46">
        <v>26</v>
      </c>
      <c r="D404" s="65">
        <f>DATE(SIP[[#This Row],[Year]],SIP[[#This Row],[Month]],SIP[[#This Row],[Day]])</f>
        <v>45348</v>
      </c>
      <c r="E404" s="66" t="str" cm="1">
        <f t="array" ref="E404">INDEX(INVESTORS_LIST[INVESTOR NAME],MATCH(SIP[[#This Row],[Investor ID]],INVESTORS_LIST[INVESTOR CODE],0),)</f>
        <v>MOHAMMED SHARIFUL ISLAM</v>
      </c>
      <c r="F404" s="46" t="s">
        <v>1028</v>
      </c>
      <c r="G404" s="46">
        <f>COUNTIF(SIP[[#Headers],[Investor ID]]:SIP[[#This Row],[Investor ID]],SIP[[#This Row],[Investor ID]])</f>
        <v>9</v>
      </c>
      <c r="H404" s="46" t="str">
        <f>CONCATENATE(SIP[[#This Row],[Frequency]],SIP[[#This Row],[Investor ID]])</f>
        <v>9A00491</v>
      </c>
      <c r="I404" s="46" t="str">
        <f>IF(SIP[[#This Row],[B/S]]="B","BUY",(IF(SIP[[#This Row],[B/S]]="S","SELL"," ")))</f>
        <v>BUY</v>
      </c>
      <c r="J404" s="46" t="s">
        <v>1229</v>
      </c>
      <c r="K404" s="69">
        <v>5000</v>
      </c>
      <c r="L404" s="69"/>
      <c r="M404" s="70">
        <f>SIP[[#This Row],[Amount]]/SIP[[#This Row],[Unit]]</f>
        <v>10.822510822510823</v>
      </c>
      <c r="N404" s="71">
        <f>SIP[[#This Row],[Unit Capital]]/10</f>
        <v>462</v>
      </c>
      <c r="O404" s="72">
        <f>SUMIFS(SIP[[#Headers],[Unit]]:SIP[[#This Row],[Unit]],SIP[[#Headers],[Investor ID]]:SIP[[#This Row],[Investor ID]],SIP[[#This Row],[Investor ID]])</f>
        <v>4269</v>
      </c>
      <c r="P404" s="73">
        <v>4620</v>
      </c>
      <c r="Q404" s="74">
        <f>SIP[[#This Row],[Amount]]-SIP[[#This Row],[Unit Capital]]</f>
        <v>380</v>
      </c>
      <c r="R40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404" s="68">
        <f t="shared" si="16"/>
        <v>14.224</v>
      </c>
      <c r="T4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4" s="74" cm="1">
        <f t="array" ref="U404">IF(SIP[[#This Row],[B/S]]="S",ABS(SIP[[#This Row],[Unit]])*(INDEX(SIP[NAV at Cost (Average)],MATCH(CONCATENATE((SIP[[#This Row],[Frequency]]-1),SIP[[#This Row],[Investor ID]]),SIP[Unique Code],0),0)),0)</f>
        <v>0</v>
      </c>
      <c r="V404" s="74">
        <f>IF(SIP[[#This Row],[BO TRANSFER]]="YES",SIP[[#This Row],[Unit]],)</f>
        <v>0</v>
      </c>
      <c r="W404" s="74">
        <f>SUMIFS(SIP[[#Headers],[BO UNIT TRANSFER]]:SIP[[#This Row],[BO UNIT TRANSFER]],SIP[[#Headers],[Investor ID]]:SIP[[#This Row],[Investor ID]],SIP[[#This Row],[Investor ID]])</f>
        <v>0</v>
      </c>
    </row>
    <row r="405" spans="1:23" ht="15" customHeight="1">
      <c r="A405" s="46">
        <v>2024</v>
      </c>
      <c r="B405" s="46">
        <v>2</v>
      </c>
      <c r="C405" s="46">
        <v>26</v>
      </c>
      <c r="D405" s="65">
        <f>DATE(SIP[[#This Row],[Year]],SIP[[#This Row],[Month]],SIP[[#This Row],[Day]])</f>
        <v>45348</v>
      </c>
      <c r="E405" s="66" t="str" cm="1">
        <f t="array" ref="E405">INDEX(INVESTORS_LIST[INVESTOR NAME],MATCH(SIP[[#This Row],[Investor ID]],INVESTORS_LIST[INVESTOR CODE],0),)</f>
        <v>MD ABDULLAH-AL- MAMUN</v>
      </c>
      <c r="F405" s="46" t="s">
        <v>533</v>
      </c>
      <c r="G405" s="46">
        <f>COUNTIF(SIP[[#Headers],[Investor ID]]:SIP[[#This Row],[Investor ID]],SIP[[#This Row],[Investor ID]])</f>
        <v>5</v>
      </c>
      <c r="H405" s="46" t="str">
        <f>CONCATENATE(SIP[[#This Row],[Frequency]],SIP[[#This Row],[Investor ID]])</f>
        <v>5A00242</v>
      </c>
      <c r="I405" s="46" t="str">
        <f>IF(SIP[[#This Row],[B/S]]="B","BUY",(IF(SIP[[#This Row],[B/S]]="S","SELL"," ")))</f>
        <v>BUY</v>
      </c>
      <c r="J405" s="46" t="s">
        <v>1229</v>
      </c>
      <c r="K405" s="69">
        <v>15000</v>
      </c>
      <c r="L405" s="69"/>
      <c r="M405" s="70">
        <f>SIP[[#This Row],[Amount]]/SIP[[#This Row],[Unit]]</f>
        <v>10.822510822510823</v>
      </c>
      <c r="N405" s="71">
        <f>SIP[[#This Row],[Unit Capital]]/10</f>
        <v>1386</v>
      </c>
      <c r="O405" s="72">
        <f>SUMIFS(SIP[[#Headers],[Unit]]:SIP[[#This Row],[Unit]],SIP[[#Headers],[Investor ID]]:SIP[[#This Row],[Investor ID]],SIP[[#This Row],[Investor ID]])</f>
        <v>7028</v>
      </c>
      <c r="P405" s="73">
        <v>13860</v>
      </c>
      <c r="Q405" s="74">
        <f>SIP[[#This Row],[Amount]]-SIP[[#This Row],[Unit Capital]]</f>
        <v>1140</v>
      </c>
      <c r="R40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10.671599317017645</v>
      </c>
      <c r="S405" s="68">
        <f t="shared" si="16"/>
        <v>14.224</v>
      </c>
      <c r="T4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5" s="74" cm="1">
        <f t="array" ref="U405">IF(SIP[[#This Row],[B/S]]="S",ABS(SIP[[#This Row],[Unit]])*(INDEX(SIP[NAV at Cost (Average)],MATCH(CONCATENATE((SIP[[#This Row],[Frequency]]-1),SIP[[#This Row],[Investor ID]]),SIP[Unique Code],0),0)),0)</f>
        <v>0</v>
      </c>
      <c r="V405" s="74">
        <f>IF(SIP[[#This Row],[BO TRANSFER]]="YES",SIP[[#This Row],[Unit]],)</f>
        <v>0</v>
      </c>
      <c r="W405" s="74">
        <f>SUMIFS(SIP[[#Headers],[BO UNIT TRANSFER]]:SIP[[#This Row],[BO UNIT TRANSFER]],SIP[[#Headers],[Investor ID]]:SIP[[#This Row],[Investor ID]],SIP[[#This Row],[Investor ID]])</f>
        <v>0</v>
      </c>
    </row>
    <row r="406" spans="1:23" ht="15" customHeight="1">
      <c r="A406" s="46">
        <v>2024</v>
      </c>
      <c r="B406" s="46">
        <v>2</v>
      </c>
      <c r="C406" s="46">
        <v>26</v>
      </c>
      <c r="D406" s="65">
        <f>DATE(SIP[[#This Row],[Year]],SIP[[#This Row],[Month]],SIP[[#This Row],[Day]])</f>
        <v>45348</v>
      </c>
      <c r="E406" s="66" t="str" cm="1">
        <f t="array" ref="E406">INDEX(INVESTORS_LIST[INVESTOR NAME],MATCH(SIP[[#This Row],[Investor ID]],INVESTORS_LIST[INVESTOR CODE],0),)</f>
        <v>SUMAN SAHA</v>
      </c>
      <c r="F406" s="46" t="s">
        <v>1022</v>
      </c>
      <c r="G406" s="46">
        <f>COUNTIF(SIP[[#Headers],[Investor ID]]:SIP[[#This Row],[Investor ID]],SIP[[#This Row],[Investor ID]])</f>
        <v>9</v>
      </c>
      <c r="H406" s="46" t="str">
        <f>CONCATENATE(SIP[[#This Row],[Frequency]],SIP[[#This Row],[Investor ID]])</f>
        <v>9A00488</v>
      </c>
      <c r="I406" s="46" t="str">
        <f>IF(SIP[[#This Row],[B/S]]="B","BUY",(IF(SIP[[#This Row],[B/S]]="S","SELL"," ")))</f>
        <v>BUY</v>
      </c>
      <c r="J406" s="46" t="s">
        <v>1229</v>
      </c>
      <c r="K406" s="69">
        <v>5000</v>
      </c>
      <c r="L406" s="69"/>
      <c r="M406" s="70">
        <f>SIP[[#This Row],[Amount]]/SIP[[#This Row],[Unit]]</f>
        <v>10.822510822510823</v>
      </c>
      <c r="N406" s="71">
        <f>SIP[[#This Row],[Unit Capital]]/10</f>
        <v>462</v>
      </c>
      <c r="O406" s="72">
        <f>SUMIFS(SIP[[#Headers],[Unit]]:SIP[[#This Row],[Unit]],SIP[[#Headers],[Investor ID]]:SIP[[#This Row],[Investor ID]],SIP[[#This Row],[Investor ID]])</f>
        <v>4269</v>
      </c>
      <c r="P406" s="73">
        <v>4620</v>
      </c>
      <c r="Q406" s="74">
        <f>SIP[[#This Row],[Amount]]-SIP[[#This Row],[Unit Capital]]</f>
        <v>380</v>
      </c>
      <c r="R40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406" s="68">
        <f t="shared" si="16"/>
        <v>14.224</v>
      </c>
      <c r="T4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6" s="74" cm="1">
        <f t="array" ref="U406">IF(SIP[[#This Row],[B/S]]="S",ABS(SIP[[#This Row],[Unit]])*(INDEX(SIP[NAV at Cost (Average)],MATCH(CONCATENATE((SIP[[#This Row],[Frequency]]-1),SIP[[#This Row],[Investor ID]]),SIP[Unique Code],0),0)),0)</f>
        <v>0</v>
      </c>
      <c r="V406" s="74">
        <f>IF(SIP[[#This Row],[BO TRANSFER]]="YES",SIP[[#This Row],[Unit]],)</f>
        <v>0</v>
      </c>
      <c r="W406" s="74">
        <f>SUMIFS(SIP[[#Headers],[BO UNIT TRANSFER]]:SIP[[#This Row],[BO UNIT TRANSFER]],SIP[[#Headers],[Investor ID]]:SIP[[#This Row],[Investor ID]],SIP[[#This Row],[Investor ID]])</f>
        <v>0</v>
      </c>
    </row>
    <row r="407" spans="1:23" ht="15" customHeight="1">
      <c r="A407" s="46">
        <v>2024</v>
      </c>
      <c r="B407" s="46">
        <v>2</v>
      </c>
      <c r="C407" s="46">
        <v>26</v>
      </c>
      <c r="D407" s="65">
        <f>DATE(SIP[[#This Row],[Year]],SIP[[#This Row],[Month]],SIP[[#This Row],[Day]])</f>
        <v>45348</v>
      </c>
      <c r="E407" s="66" t="str" cm="1">
        <f t="array" ref="E407">INDEX(INVESTORS_LIST[INVESTOR NAME],MATCH(SIP[[#This Row],[Investor ID]],INVESTORS_LIST[INVESTOR CODE],0),)</f>
        <v>AKASH DEEP PAUL</v>
      </c>
      <c r="F407" s="46" t="s">
        <v>286</v>
      </c>
      <c r="G407" s="46">
        <f>COUNTIF(SIP[[#Headers],[Investor ID]]:SIP[[#This Row],[Investor ID]],SIP[[#This Row],[Investor ID]])</f>
        <v>9</v>
      </c>
      <c r="H407" s="46" t="str">
        <f>CONCATENATE(SIP[[#This Row],[Frequency]],SIP[[#This Row],[Investor ID]])</f>
        <v>9A00119</v>
      </c>
      <c r="I407" s="46" t="str">
        <f>IF(SIP[[#This Row],[B/S]]="B","BUY",(IF(SIP[[#This Row],[B/S]]="S","SELL"," ")))</f>
        <v>BUY</v>
      </c>
      <c r="J407" s="46" t="s">
        <v>1229</v>
      </c>
      <c r="K407" s="69">
        <v>5000</v>
      </c>
      <c r="L407" s="69"/>
      <c r="M407" s="70">
        <f>SIP[[#This Row],[Amount]]/SIP[[#This Row],[Unit]]</f>
        <v>10.822510822510823</v>
      </c>
      <c r="N407" s="71">
        <f>SIP[[#This Row],[Unit Capital]]/10</f>
        <v>462</v>
      </c>
      <c r="O407" s="72">
        <f>SUMIFS(SIP[[#Headers],[Unit]]:SIP[[#This Row],[Unit]],SIP[[#Headers],[Investor ID]]:SIP[[#This Row],[Investor ID]],SIP[[#This Row],[Investor ID]])</f>
        <v>4269</v>
      </c>
      <c r="P407" s="73">
        <v>4620</v>
      </c>
      <c r="Q407" s="74">
        <f>SIP[[#This Row],[Amount]]-SIP[[#This Row],[Unit Capital]]</f>
        <v>380</v>
      </c>
      <c r="R40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10.541110330288124</v>
      </c>
      <c r="S407" s="68">
        <f t="shared" si="16"/>
        <v>14.224</v>
      </c>
      <c r="T4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7" s="74" cm="1">
        <f t="array" ref="U407">IF(SIP[[#This Row],[B/S]]="S",ABS(SIP[[#This Row],[Unit]])*(INDEX(SIP[NAV at Cost (Average)],MATCH(CONCATENATE((SIP[[#This Row],[Frequency]]-1),SIP[[#This Row],[Investor ID]]),SIP[Unique Code],0),0)),0)</f>
        <v>0</v>
      </c>
      <c r="V407" s="74">
        <f>IF(SIP[[#This Row],[BO TRANSFER]]="YES",SIP[[#This Row],[Unit]],)</f>
        <v>0</v>
      </c>
      <c r="W407" s="74">
        <f>SUMIFS(SIP[[#Headers],[BO UNIT TRANSFER]]:SIP[[#This Row],[BO UNIT TRANSFER]],SIP[[#Headers],[Investor ID]]:SIP[[#This Row],[Investor ID]],SIP[[#This Row],[Investor ID]])</f>
        <v>0</v>
      </c>
    </row>
    <row r="408" spans="1:23" ht="15" customHeight="1">
      <c r="A408" s="46">
        <v>2024</v>
      </c>
      <c r="B408" s="46">
        <v>2</v>
      </c>
      <c r="C408" s="46">
        <v>26</v>
      </c>
      <c r="D408" s="65">
        <f>DATE(SIP[[#This Row],[Year]],SIP[[#This Row],[Month]],SIP[[#This Row],[Day]])</f>
        <v>45348</v>
      </c>
      <c r="E408" s="66" t="str" cm="1">
        <f t="array" ref="E408">INDEX(INVESTORS_LIST[INVESTOR NAME],MATCH(SIP[[#This Row],[Investor ID]],INVESTORS_LIST[INVESTOR CODE],0),)</f>
        <v>MAYA RANI SAHA</v>
      </c>
      <c r="F408" s="46" t="s">
        <v>224</v>
      </c>
      <c r="G408" s="46">
        <f>COUNTIF(SIP[[#Headers],[Investor ID]]:SIP[[#This Row],[Investor ID]],SIP[[#This Row],[Investor ID]])</f>
        <v>9</v>
      </c>
      <c r="H408" s="46" t="str">
        <f>CONCATENATE(SIP[[#This Row],[Frequency]],SIP[[#This Row],[Investor ID]])</f>
        <v>9A00088</v>
      </c>
      <c r="I408" s="46" t="str">
        <f>IF(SIP[[#This Row],[B/S]]="B","BUY",(IF(SIP[[#This Row],[B/S]]="S","SELL"," ")))</f>
        <v>BUY</v>
      </c>
      <c r="J408" s="46" t="s">
        <v>1229</v>
      </c>
      <c r="K408" s="69">
        <v>20000</v>
      </c>
      <c r="L408" s="69"/>
      <c r="M408" s="70">
        <f>SIP[[#This Row],[Amount]]/SIP[[#This Row],[Unit]]</f>
        <v>10.822510822510823</v>
      </c>
      <c r="N408" s="71">
        <f>SIP[[#This Row],[Unit Capital]]/10</f>
        <v>1848</v>
      </c>
      <c r="O408" s="72">
        <f>SUMIFS(SIP[[#Headers],[Unit]]:SIP[[#This Row],[Unit]],SIP[[#Headers],[Investor ID]]:SIP[[#This Row],[Investor ID]],SIP[[#This Row],[Investor ID]])</f>
        <v>12584</v>
      </c>
      <c r="P408" s="73">
        <v>18480</v>
      </c>
      <c r="Q408" s="74">
        <f>SIP[[#This Row],[Amount]]-SIP[[#This Row],[Unit Capital]]</f>
        <v>1520</v>
      </c>
      <c r="R40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10.648442466624285</v>
      </c>
      <c r="S408" s="68">
        <f t="shared" si="16"/>
        <v>14.224</v>
      </c>
      <c r="T4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8" s="74" cm="1">
        <f t="array" ref="U408">IF(SIP[[#This Row],[B/S]]="S",ABS(SIP[[#This Row],[Unit]])*(INDEX(SIP[NAV at Cost (Average)],MATCH(CONCATENATE((SIP[[#This Row],[Frequency]]-1),SIP[[#This Row],[Investor ID]]),SIP[Unique Code],0),0)),0)</f>
        <v>0</v>
      </c>
      <c r="V408" s="74">
        <f>IF(SIP[[#This Row],[BO TRANSFER]]="YES",SIP[[#This Row],[Unit]],)</f>
        <v>0</v>
      </c>
      <c r="W408" s="74">
        <f>SUMIFS(SIP[[#Headers],[BO UNIT TRANSFER]]:SIP[[#This Row],[BO UNIT TRANSFER]],SIP[[#Headers],[Investor ID]]:SIP[[#This Row],[Investor ID]],SIP[[#This Row],[Investor ID]])</f>
        <v>0</v>
      </c>
    </row>
    <row r="409" spans="1:23" ht="15" customHeight="1">
      <c r="A409" s="46">
        <v>2024</v>
      </c>
      <c r="B409" s="46">
        <v>2</v>
      </c>
      <c r="C409" s="46">
        <v>26</v>
      </c>
      <c r="D409" s="65">
        <f>DATE(SIP[[#This Row],[Year]],SIP[[#This Row],[Month]],SIP[[#This Row],[Day]])</f>
        <v>45348</v>
      </c>
      <c r="E409" s="66" t="str" cm="1">
        <f t="array" ref="E409">INDEX(INVESTORS_LIST[INVESTOR NAME],MATCH(SIP[[#This Row],[Investor ID]],INVESTORS_LIST[INVESTOR CODE],0),)</f>
        <v>MUHAMMAD SHOHIDUZZAMAN</v>
      </c>
      <c r="F409" s="46" t="s">
        <v>986</v>
      </c>
      <c r="G409" s="46">
        <f>COUNTIF(SIP[[#Headers],[Investor ID]]:SIP[[#This Row],[Investor ID]],SIP[[#This Row],[Investor ID]])</f>
        <v>4</v>
      </c>
      <c r="H409" s="46" t="str">
        <f>CONCATENATE(SIP[[#This Row],[Frequency]],SIP[[#This Row],[Investor ID]])</f>
        <v>4A00470</v>
      </c>
      <c r="I409" s="46" t="str">
        <f>IF(SIP[[#This Row],[B/S]]="B","BUY",(IF(SIP[[#This Row],[B/S]]="S","SELL"," ")))</f>
        <v>BUY</v>
      </c>
      <c r="J409" s="46" t="s">
        <v>1229</v>
      </c>
      <c r="K409" s="69">
        <v>10000</v>
      </c>
      <c r="L409" s="122" t="s">
        <v>1230</v>
      </c>
      <c r="M409" s="70">
        <f>SIP[[#This Row],[Amount]]/SIP[[#This Row],[Unit]]</f>
        <v>10.822510822510823</v>
      </c>
      <c r="N409" s="71">
        <f>SIP[[#This Row],[Unit Capital]]/10</f>
        <v>924</v>
      </c>
      <c r="O409" s="72">
        <f>SUMIFS(SIP[[#Headers],[Unit]]:SIP[[#This Row],[Unit]],SIP[[#Headers],[Investor ID]]:SIP[[#This Row],[Investor ID]],SIP[[#This Row],[Investor ID]])</f>
        <v>3737</v>
      </c>
      <c r="P409" s="73">
        <v>9240</v>
      </c>
      <c r="Q409" s="74">
        <f>SIP[[#This Row],[Amount]]-SIP[[#This Row],[Unit Capital]]</f>
        <v>760</v>
      </c>
      <c r="R40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10.703773080010706</v>
      </c>
      <c r="S409" s="68">
        <f t="shared" si="16"/>
        <v>14.224</v>
      </c>
      <c r="T4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9" s="74" cm="1">
        <f t="array" ref="U409">IF(SIP[[#This Row],[B/S]]="S",ABS(SIP[[#This Row],[Unit]])*(INDEX(SIP[NAV at Cost (Average)],MATCH(CONCATENATE((SIP[[#This Row],[Frequency]]-1),SIP[[#This Row],[Investor ID]]),SIP[Unique Code],0),0)),0)</f>
        <v>0</v>
      </c>
      <c r="V409" s="74">
        <f>IF(SIP[[#This Row],[BO TRANSFER]]="YES",SIP[[#This Row],[Unit]],)</f>
        <v>924</v>
      </c>
      <c r="W409" s="74">
        <f>SUMIFS(SIP[[#Headers],[BO UNIT TRANSFER]]:SIP[[#This Row],[BO UNIT TRANSFER]],SIP[[#Headers],[Investor ID]]:SIP[[#This Row],[Investor ID]],SIP[[#This Row],[Investor ID]])</f>
        <v>3737</v>
      </c>
    </row>
    <row r="410" spans="1:23" ht="15" customHeight="1">
      <c r="A410" s="46">
        <v>2024</v>
      </c>
      <c r="B410" s="46">
        <v>2</v>
      </c>
      <c r="C410" s="46">
        <v>26</v>
      </c>
      <c r="D410" s="65">
        <f>DATE(SIP[[#This Row],[Year]],SIP[[#This Row],[Month]],SIP[[#This Row],[Day]])</f>
        <v>45348</v>
      </c>
      <c r="E410" s="66" t="str" cm="1">
        <f t="array" ref="E410">INDEX(INVESTORS_LIST[INVESTOR NAME],MATCH(SIP[[#This Row],[Investor ID]],INVESTORS_LIST[INVESTOR CODE],0),)</f>
        <v>KHALED HOSSAIN</v>
      </c>
      <c r="F410" s="46" t="s">
        <v>1050</v>
      </c>
      <c r="G410" s="46">
        <f>COUNTIF(SIP[[#Headers],[Investor ID]]:SIP[[#This Row],[Investor ID]],SIP[[#This Row],[Investor ID]])</f>
        <v>11</v>
      </c>
      <c r="H410" s="46" t="str">
        <f>CONCATENATE(SIP[[#This Row],[Frequency]],SIP[[#This Row],[Investor ID]])</f>
        <v>11A00502</v>
      </c>
      <c r="I410" s="46" t="str">
        <f>IF(SIP[[#This Row],[B/S]]="B","BUY",(IF(SIP[[#This Row],[B/S]]="S","SELL"," ")))</f>
        <v>BUY</v>
      </c>
      <c r="J410" s="46" t="s">
        <v>1229</v>
      </c>
      <c r="K410" s="69">
        <v>25000</v>
      </c>
      <c r="L410" s="69"/>
      <c r="M410" s="70">
        <f>SIP[[#This Row],[Amount]]/SIP[[#This Row],[Unit]]</f>
        <v>10.827197921178</v>
      </c>
      <c r="N410" s="71">
        <f>SIP[[#This Row],[Unit Capital]]/10</f>
        <v>2309</v>
      </c>
      <c r="O410" s="72">
        <f>SUMIFS(SIP[[#Headers],[Unit]]:SIP[[#This Row],[Unit]],SIP[[#Headers],[Investor ID]]:SIP[[#This Row],[Investor ID]],SIP[[#This Row],[Investor ID]])</f>
        <v>13176</v>
      </c>
      <c r="P410" s="73">
        <v>23090</v>
      </c>
      <c r="Q410" s="74">
        <f>SIP[[#This Row],[Amount]]-SIP[[#This Row],[Unit Capital]]</f>
        <v>1910</v>
      </c>
      <c r="R4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10.625379477838496</v>
      </c>
      <c r="S410" s="68">
        <f t="shared" si="16"/>
        <v>14.224</v>
      </c>
      <c r="T4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0" s="74" cm="1">
        <f t="array" ref="U410">IF(SIP[[#This Row],[B/S]]="S",ABS(SIP[[#This Row],[Unit]])*(INDEX(SIP[NAV at Cost (Average)],MATCH(CONCATENATE((SIP[[#This Row],[Frequency]]-1),SIP[[#This Row],[Investor ID]]),SIP[Unique Code],0),0)),0)</f>
        <v>0</v>
      </c>
      <c r="V410" s="74">
        <f>IF(SIP[[#This Row],[BO TRANSFER]]="YES",SIP[[#This Row],[Unit]],)</f>
        <v>0</v>
      </c>
      <c r="W410" s="74">
        <f>SUMIFS(SIP[[#Headers],[BO UNIT TRANSFER]]:SIP[[#This Row],[BO UNIT TRANSFER]],SIP[[#Headers],[Investor ID]]:SIP[[#This Row],[Investor ID]],SIP[[#This Row],[Investor ID]])</f>
        <v>0</v>
      </c>
    </row>
    <row r="411" spans="1:23" ht="15" customHeight="1">
      <c r="A411" s="46">
        <v>2024</v>
      </c>
      <c r="B411" s="46">
        <v>2</v>
      </c>
      <c r="C411" s="46">
        <v>28</v>
      </c>
      <c r="D411" s="65">
        <f>DATE(SIP[[#This Row],[Year]],SIP[[#This Row],[Month]],SIP[[#This Row],[Day]])</f>
        <v>45350</v>
      </c>
      <c r="E411" s="66" t="str" cm="1">
        <f t="array" ref="E411">INDEX(INVESTORS_LIST[INVESTOR NAME],MATCH(SIP[[#This Row],[Investor ID]],INVESTORS_LIST[INVESTOR CODE],0),)</f>
        <v>SRIJON GHOSH</v>
      </c>
      <c r="F411" s="46" t="s">
        <v>894</v>
      </c>
      <c r="G411" s="46">
        <f>COUNTIF(SIP[[#Headers],[Investor ID]]:SIP[[#This Row],[Investor ID]],SIP[[#This Row],[Investor ID]])</f>
        <v>25</v>
      </c>
      <c r="H411" s="46" t="str">
        <f>CONCATENATE(SIP[[#This Row],[Frequency]],SIP[[#This Row],[Investor ID]])</f>
        <v>25A00424</v>
      </c>
      <c r="I411" s="46" t="str">
        <f>IF(SIP[[#This Row],[B/S]]="B","BUY",(IF(SIP[[#This Row],[B/S]]="S","SELL"," ")))</f>
        <v>SELL</v>
      </c>
      <c r="J411" s="46" t="s">
        <v>1231</v>
      </c>
      <c r="K411" s="69">
        <v>-15000</v>
      </c>
      <c r="L411" s="69"/>
      <c r="M411" s="70">
        <f>SIP[[#This Row],[Amount]]/SIP[[#This Row],[Unit]]</f>
        <v>10.822510822510823</v>
      </c>
      <c r="N411" s="71">
        <f>SIP[[#This Row],[Unit Capital]]/10</f>
        <v>-1386</v>
      </c>
      <c r="O411" s="72">
        <f>SUMIFS(SIP[[#Headers],[Unit]]:SIP[[#This Row],[Unit]],SIP[[#Headers],[Investor ID]]:SIP[[#This Row],[Investor ID]],SIP[[#This Row],[Investor ID]])</f>
        <v>9724</v>
      </c>
      <c r="P411" s="73">
        <v>-13860</v>
      </c>
      <c r="Q411" s="74">
        <f>SIP[[#This Row],[Amount]]-SIP[[#This Row],[Unit Capital]]</f>
        <v>-1140</v>
      </c>
      <c r="R41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10.551668245638318</v>
      </c>
      <c r="S411" s="68">
        <f t="shared" ref="S411:S419" si="17">NAV_MKT</f>
        <v>14.224</v>
      </c>
      <c r="T411" s="74">
        <f>IF(SIP[[#This Row],[B/S]]="B",0,ABS(SIP[[#This Row],[Unit]])*(SIP[[#This Row],[NAV (Strike Rate)]]-INDEX(SIP[NAV at Cost (Average)],MATCH(CONCATENATE(SIP[[#This Row],[Frequency]]-1,SIP[[#This Row],[Investor ID]]),SIP[Unique Code],0),)))</f>
        <v>375.38781154529244</v>
      </c>
      <c r="U411" s="74" cm="1">
        <f t="array" ref="U411">IF(SIP[[#This Row],[B/S]]="S",ABS(SIP[[#This Row],[Unit]])*(INDEX(SIP[NAV at Cost (Average)],MATCH(CONCATENATE((SIP[[#This Row],[Frequency]]-1),SIP[[#This Row],[Investor ID]]),SIP[Unique Code],0),0)),0)</f>
        <v>14624.612188454708</v>
      </c>
      <c r="V411" s="74">
        <f>IF(SIP[[#This Row],[BO TRANSFER]]="YES",SIP[[#This Row],[Unit]],)</f>
        <v>0</v>
      </c>
      <c r="W411" s="74">
        <f>SUMIFS(SIP[[#Headers],[BO UNIT TRANSFER]]:SIP[[#This Row],[BO UNIT TRANSFER]],SIP[[#Headers],[Investor ID]]:SIP[[#This Row],[Investor ID]],SIP[[#This Row],[Investor ID]])</f>
        <v>0</v>
      </c>
    </row>
    <row r="412" spans="1:23" ht="15" customHeight="1">
      <c r="A412" s="46">
        <v>2024</v>
      </c>
      <c r="B412" s="46">
        <v>3</v>
      </c>
      <c r="C412" s="46">
        <v>5</v>
      </c>
      <c r="D412" s="65">
        <f>DATE(SIP[[#This Row],[Year]],SIP[[#This Row],[Month]],SIP[[#This Row],[Day]])</f>
        <v>45356</v>
      </c>
      <c r="E412" s="66" t="str" cm="1">
        <f t="array" ref="E412">INDEX(INVESTORS_LIST[INVESTOR NAME],MATCH(SIP[[#This Row],[Investor ID]],INVESTORS_LIST[INVESTOR CODE],0),)</f>
        <v>NANDINI SAHA</v>
      </c>
      <c r="F412" s="46" t="s">
        <v>242</v>
      </c>
      <c r="G412" s="46">
        <f>COUNTIF(SIP[[#Headers],[Investor ID]]:SIP[[#This Row],[Investor ID]],SIP[[#This Row],[Investor ID]])</f>
        <v>10</v>
      </c>
      <c r="H412" s="46" t="str">
        <f>CONCATENATE(SIP[[#This Row],[Frequency]],SIP[[#This Row],[Investor ID]])</f>
        <v>10A00097</v>
      </c>
      <c r="I412" s="46" t="str">
        <f>IF(SIP[[#This Row],[B/S]]="B","BUY",(IF(SIP[[#This Row],[B/S]]="S","SELL"," ")))</f>
        <v>BUY</v>
      </c>
      <c r="J412" s="46" t="s">
        <v>1229</v>
      </c>
      <c r="K412" s="69">
        <v>30000</v>
      </c>
      <c r="L412" s="69"/>
      <c r="M412" s="70">
        <f>SIP[[#This Row],[Amount]]/SIP[[#This Row],[Unit]]</f>
        <v>10.845986984815617</v>
      </c>
      <c r="N412" s="71">
        <f>SIP[[#This Row],[Unit Capital]]/10</f>
        <v>2766</v>
      </c>
      <c r="O412" s="72">
        <f>SUMIFS(SIP[[#Headers],[Unit]]:SIP[[#This Row],[Unit]],SIP[[#Headers],[Investor ID]]:SIP[[#This Row],[Investor ID]],SIP[[#This Row],[Investor ID]])</f>
        <v>28667</v>
      </c>
      <c r="P412" s="73">
        <v>27660</v>
      </c>
      <c r="Q412" s="74">
        <f>SIP[[#This Row],[Amount]]-SIP[[#This Row],[Unit Capital]]</f>
        <v>2340</v>
      </c>
      <c r="R4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10.464994593086127</v>
      </c>
      <c r="S412" s="68">
        <f t="shared" si="17"/>
        <v>14.224</v>
      </c>
      <c r="T4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2" s="74" cm="1">
        <f t="array" ref="U412">IF(SIP[[#This Row],[B/S]]="S",ABS(SIP[[#This Row],[Unit]])*(INDEX(SIP[NAV at Cost (Average)],MATCH(CONCATENATE((SIP[[#This Row],[Frequency]]-1),SIP[[#This Row],[Investor ID]]),SIP[Unique Code],0),0)),0)</f>
        <v>0</v>
      </c>
      <c r="V412" s="74">
        <f>IF(SIP[[#This Row],[BO TRANSFER]]="YES",SIP[[#This Row],[Unit]],)</f>
        <v>0</v>
      </c>
      <c r="W412" s="74">
        <f>SUMIFS(SIP[[#Headers],[BO UNIT TRANSFER]]:SIP[[#This Row],[BO UNIT TRANSFER]],SIP[[#Headers],[Investor ID]]:SIP[[#This Row],[Investor ID]],SIP[[#This Row],[Investor ID]])</f>
        <v>0</v>
      </c>
    </row>
    <row r="413" spans="1:23" ht="15" customHeight="1">
      <c r="A413" s="46">
        <v>2024</v>
      </c>
      <c r="B413" s="46">
        <v>3</v>
      </c>
      <c r="C413" s="46">
        <v>5</v>
      </c>
      <c r="D413" s="65">
        <f>DATE(SIP[[#This Row],[Year]],SIP[[#This Row],[Month]],SIP[[#This Row],[Day]])</f>
        <v>45356</v>
      </c>
      <c r="E413" s="66" t="str" cm="1">
        <f t="array" ref="E413">INDEX(INVESTORS_LIST[INVESTOR NAME],MATCH(SIP[[#This Row],[Investor ID]],INVESTORS_LIST[INVESTOR CODE],0),)</f>
        <v>SHANTA PAUL</v>
      </c>
      <c r="F413" s="46" t="s">
        <v>544</v>
      </c>
      <c r="G413" s="46">
        <f>COUNTIF(SIP[[#Headers],[Investor ID]]:SIP[[#This Row],[Investor ID]],SIP[[#This Row],[Investor ID]])</f>
        <v>12</v>
      </c>
      <c r="H413" s="46" t="str">
        <f>CONCATENATE(SIP[[#This Row],[Frequency]],SIP[[#This Row],[Investor ID]])</f>
        <v>12A00247</v>
      </c>
      <c r="I413" s="46" t="str">
        <f>IF(SIP[[#This Row],[B/S]]="B","BUY",(IF(SIP[[#This Row],[B/S]]="S","SELL"," ")))</f>
        <v>BUY</v>
      </c>
      <c r="J413" s="46" t="s">
        <v>1229</v>
      </c>
      <c r="K413" s="69">
        <v>20000</v>
      </c>
      <c r="L413" s="69"/>
      <c r="M413" s="70">
        <f>SIP[[#This Row],[Amount]]/SIP[[#This Row],[Unit]]</f>
        <v>10.845986984815617</v>
      </c>
      <c r="N413" s="71">
        <f>SIP[[#This Row],[Unit Capital]]/10</f>
        <v>1844</v>
      </c>
      <c r="O413" s="72">
        <f>SUMIFS(SIP[[#Headers],[Unit]]:SIP[[#This Row],[Unit]],SIP[[#Headers],[Investor ID]]:SIP[[#This Row],[Investor ID]],SIP[[#This Row],[Investor ID]])</f>
        <v>22963</v>
      </c>
      <c r="P413" s="73">
        <v>18440</v>
      </c>
      <c r="Q413" s="74">
        <f>SIP[[#This Row],[Amount]]-SIP[[#This Row],[Unit Capital]]</f>
        <v>1560</v>
      </c>
      <c r="R4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10.451596045812829</v>
      </c>
      <c r="S413" s="68">
        <f t="shared" si="17"/>
        <v>14.224</v>
      </c>
      <c r="T4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3" s="74" cm="1">
        <f t="array" ref="U413">IF(SIP[[#This Row],[B/S]]="S",ABS(SIP[[#This Row],[Unit]])*(INDEX(SIP[NAV at Cost (Average)],MATCH(CONCATENATE((SIP[[#This Row],[Frequency]]-1),SIP[[#This Row],[Investor ID]]),SIP[Unique Code],0),0)),0)</f>
        <v>0</v>
      </c>
      <c r="V413" s="74">
        <f>IF(SIP[[#This Row],[BO TRANSFER]]="YES",SIP[[#This Row],[Unit]],)</f>
        <v>0</v>
      </c>
      <c r="W413" s="74">
        <f>SUMIFS(SIP[[#Headers],[BO UNIT TRANSFER]]:SIP[[#This Row],[BO UNIT TRANSFER]],SIP[[#Headers],[Investor ID]]:SIP[[#This Row],[Investor ID]],SIP[[#This Row],[Investor ID]])</f>
        <v>0</v>
      </c>
    </row>
    <row r="414" spans="1:23" ht="15" customHeight="1">
      <c r="A414" s="46">
        <v>2024</v>
      </c>
      <c r="B414" s="46">
        <v>3</v>
      </c>
      <c r="C414" s="46">
        <v>5</v>
      </c>
      <c r="D414" s="65">
        <f>DATE(SIP[[#This Row],[Year]],SIP[[#This Row],[Month]],SIP[[#This Row],[Day]])</f>
        <v>45356</v>
      </c>
      <c r="E414" s="66" t="str" cm="1">
        <f t="array" ref="E414">INDEX(INVESTORS_LIST[INVESTOR NAME],MATCH(SIP[[#This Row],[Investor ID]],INVESTORS_LIST[INVESTOR CODE],0),)</f>
        <v>ROKSABA KASEM</v>
      </c>
      <c r="F414" s="46" t="s">
        <v>900</v>
      </c>
      <c r="G414" s="46">
        <f>COUNTIF(SIP[[#Headers],[Investor ID]]:SIP[[#This Row],[Investor ID]],SIP[[#This Row],[Investor ID]])</f>
        <v>10</v>
      </c>
      <c r="H414" s="46" t="str">
        <f>CONCATENATE(SIP[[#This Row],[Frequency]],SIP[[#This Row],[Investor ID]])</f>
        <v>10A00427</v>
      </c>
      <c r="I414" s="46" t="str">
        <f>IF(SIP[[#This Row],[B/S]]="B","BUY",(IF(SIP[[#This Row],[B/S]]="S","SELL"," ")))</f>
        <v>BUY</v>
      </c>
      <c r="J414" s="46" t="s">
        <v>1229</v>
      </c>
      <c r="K414" s="69">
        <v>20000</v>
      </c>
      <c r="L414" s="122"/>
      <c r="M414" s="70">
        <f>SIP[[#This Row],[Amount]]/SIP[[#This Row],[Unit]]</f>
        <v>10.845986984815617</v>
      </c>
      <c r="N414" s="71">
        <f>SIP[[#This Row],[Unit Capital]]/10</f>
        <v>1844</v>
      </c>
      <c r="O414" s="72">
        <f>SUMIFS(SIP[[#Headers],[Unit]]:SIP[[#This Row],[Unit]],SIP[[#Headers],[Investor ID]]:SIP[[#This Row],[Investor ID]],SIP[[#This Row],[Investor ID]])</f>
        <v>19006</v>
      </c>
      <c r="P414" s="73">
        <v>18440</v>
      </c>
      <c r="Q414" s="74">
        <f>SIP[[#This Row],[Amount]]-SIP[[#This Row],[Unit Capital]]</f>
        <v>1560</v>
      </c>
      <c r="R4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10.52299273913501</v>
      </c>
      <c r="S414" s="68">
        <f t="shared" si="17"/>
        <v>14.224</v>
      </c>
      <c r="T4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4" s="74" cm="1">
        <f t="array" ref="U414">IF(SIP[[#This Row],[B/S]]="S",ABS(SIP[[#This Row],[Unit]])*(INDEX(SIP[NAV at Cost (Average)],MATCH(CONCATENATE((SIP[[#This Row],[Frequency]]-1),SIP[[#This Row],[Investor ID]]),SIP[Unique Code],0),0)),0)</f>
        <v>0</v>
      </c>
      <c r="V414" s="74">
        <f>IF(SIP[[#This Row],[BO TRANSFER]]="YES",SIP[[#This Row],[Unit]],)</f>
        <v>0</v>
      </c>
      <c r="W414" s="74">
        <f>SUMIFS(SIP[[#Headers],[BO UNIT TRANSFER]]:SIP[[#This Row],[BO UNIT TRANSFER]],SIP[[#Headers],[Investor ID]]:SIP[[#This Row],[Investor ID]],SIP[[#This Row],[Investor ID]])</f>
        <v>0</v>
      </c>
    </row>
    <row r="415" spans="1:23" ht="15" customHeight="1">
      <c r="A415" s="46">
        <v>2024</v>
      </c>
      <c r="B415" s="46">
        <v>3</v>
      </c>
      <c r="C415" s="46">
        <v>5</v>
      </c>
      <c r="D415" s="65">
        <f>DATE(SIP[[#This Row],[Year]],SIP[[#This Row],[Month]],SIP[[#This Row],[Day]])</f>
        <v>45356</v>
      </c>
      <c r="E415" s="66" t="str" cm="1">
        <f t="array" ref="E415">INDEX(INVESTORS_LIST[INVESTOR NAME],MATCH(SIP[[#This Row],[Investor ID]],INVESTORS_LIST[INVESTOR CODE],0),)</f>
        <v>MD. MONIRUL ISLAM</v>
      </c>
      <c r="F415" s="46" t="s">
        <v>996</v>
      </c>
      <c r="G415" s="46">
        <f>COUNTIF(SIP[[#Headers],[Investor ID]]:SIP[[#This Row],[Investor ID]],SIP[[#This Row],[Investor ID]])</f>
        <v>11</v>
      </c>
      <c r="H415" s="46" t="str">
        <f>CONCATENATE(SIP[[#This Row],[Frequency]],SIP[[#This Row],[Investor ID]])</f>
        <v>11A00475</v>
      </c>
      <c r="I415" s="46" t="str">
        <f>IF(SIP[[#This Row],[B/S]]="B","BUY",(IF(SIP[[#This Row],[B/S]]="S","SELL"," ")))</f>
        <v>BUY</v>
      </c>
      <c r="J415" s="46" t="s">
        <v>1229</v>
      </c>
      <c r="K415" s="69">
        <v>10000</v>
      </c>
      <c r="L415" s="69"/>
      <c r="M415" s="70">
        <f>SIP[[#This Row],[Amount]]/SIP[[#This Row],[Unit]]</f>
        <v>10.845986984815617</v>
      </c>
      <c r="N415" s="71">
        <f>SIP[[#This Row],[Unit Capital]]/10</f>
        <v>922</v>
      </c>
      <c r="O415" s="72">
        <f>SUMIFS(SIP[[#Headers],[Unit]]:SIP[[#This Row],[Unit]],SIP[[#Headers],[Investor ID]]:SIP[[#This Row],[Investor ID]],SIP[[#This Row],[Investor ID]])</f>
        <v>10490</v>
      </c>
      <c r="P415" s="73">
        <v>9220</v>
      </c>
      <c r="Q415" s="74">
        <f>SIP[[#This Row],[Amount]]-SIP[[#This Row],[Unit Capital]]</f>
        <v>780</v>
      </c>
      <c r="R4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10.486177311725452</v>
      </c>
      <c r="S415" s="68">
        <f t="shared" si="17"/>
        <v>14.224</v>
      </c>
      <c r="T4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5" s="74" cm="1">
        <f t="array" ref="U415">IF(SIP[[#This Row],[B/S]]="S",ABS(SIP[[#This Row],[Unit]])*(INDEX(SIP[NAV at Cost (Average)],MATCH(CONCATENATE((SIP[[#This Row],[Frequency]]-1),SIP[[#This Row],[Investor ID]]),SIP[Unique Code],0),0)),0)</f>
        <v>0</v>
      </c>
      <c r="V415" s="74">
        <f>IF(SIP[[#This Row],[BO TRANSFER]]="YES",SIP[[#This Row],[Unit]],)</f>
        <v>0</v>
      </c>
      <c r="W415" s="74">
        <f>SUMIFS(SIP[[#Headers],[BO UNIT TRANSFER]]:SIP[[#This Row],[BO UNIT TRANSFER]],SIP[[#Headers],[Investor ID]]:SIP[[#This Row],[Investor ID]],SIP[[#This Row],[Investor ID]])</f>
        <v>0</v>
      </c>
    </row>
    <row r="416" spans="1:23" ht="15" customHeight="1">
      <c r="A416" s="46">
        <v>2024</v>
      </c>
      <c r="B416" s="46">
        <v>3</v>
      </c>
      <c r="C416" s="46">
        <v>5</v>
      </c>
      <c r="D416" s="65">
        <f>DATE(SIP[[#This Row],[Year]],SIP[[#This Row],[Month]],SIP[[#This Row],[Day]])</f>
        <v>45356</v>
      </c>
      <c r="E416" s="66" t="str" cm="1">
        <f t="array" ref="E416">INDEX(INVESTORS_LIST[INVESTOR NAME],MATCH(SIP[[#This Row],[Investor ID]],INVESTORS_LIST[INVESTOR CODE],0),)</f>
        <v>MONIR AHMED</v>
      </c>
      <c r="F416" s="46" t="s">
        <v>125</v>
      </c>
      <c r="G416" s="46">
        <f>COUNTIF(SIP[[#Headers],[Investor ID]]:SIP[[#This Row],[Investor ID]],SIP[[#This Row],[Investor ID]])</f>
        <v>11</v>
      </c>
      <c r="H416" s="46" t="str">
        <f>CONCATENATE(SIP[[#This Row],[Frequency]],SIP[[#This Row],[Investor ID]])</f>
        <v>11A00039</v>
      </c>
      <c r="I416" s="46" t="str">
        <f>IF(SIP[[#This Row],[B/S]]="B","BUY",(IF(SIP[[#This Row],[B/S]]="S","SELL"," ")))</f>
        <v>BUY</v>
      </c>
      <c r="J416" s="46" t="s">
        <v>1229</v>
      </c>
      <c r="K416" s="69">
        <v>5000</v>
      </c>
      <c r="L416" s="69"/>
      <c r="M416" s="70">
        <f>SIP[[#This Row],[Amount]]/SIP[[#This Row],[Unit]]</f>
        <v>10.845986984815617</v>
      </c>
      <c r="N416" s="71">
        <f>SIP[[#This Row],[Unit Capital]]/10</f>
        <v>461</v>
      </c>
      <c r="O416" s="72">
        <f>SUMIFS(SIP[[#Headers],[Unit]]:SIP[[#This Row],[Unit]],SIP[[#Headers],[Investor ID]]:SIP[[#This Row],[Investor ID]],SIP[[#This Row],[Investor ID]])</f>
        <v>2813</v>
      </c>
      <c r="P416" s="73">
        <v>4610</v>
      </c>
      <c r="Q416" s="74">
        <f>SIP[[#This Row],[Amount]]-SIP[[#This Row],[Unit Capital]]</f>
        <v>390</v>
      </c>
      <c r="R4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10.664770707429788</v>
      </c>
      <c r="S416" s="68">
        <f t="shared" si="17"/>
        <v>14.224</v>
      </c>
      <c r="T4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6" s="74" cm="1">
        <f t="array" ref="U416">IF(SIP[[#This Row],[B/S]]="S",ABS(SIP[[#This Row],[Unit]])*(INDEX(SIP[NAV at Cost (Average)],MATCH(CONCATENATE((SIP[[#This Row],[Frequency]]-1),SIP[[#This Row],[Investor ID]]),SIP[Unique Code],0),0)),0)</f>
        <v>0</v>
      </c>
      <c r="V416" s="74">
        <f>IF(SIP[[#This Row],[BO TRANSFER]]="YES",SIP[[#This Row],[Unit]],)</f>
        <v>0</v>
      </c>
      <c r="W416" s="74">
        <f>SUMIFS(SIP[[#Headers],[BO UNIT TRANSFER]]:SIP[[#This Row],[BO UNIT TRANSFER]],SIP[[#Headers],[Investor ID]]:SIP[[#This Row],[Investor ID]],SIP[[#This Row],[Investor ID]])</f>
        <v>0</v>
      </c>
    </row>
    <row r="417" spans="1:23" ht="15" customHeight="1">
      <c r="A417" s="46">
        <v>2024</v>
      </c>
      <c r="B417" s="46">
        <v>3</v>
      </c>
      <c r="C417" s="46">
        <v>5</v>
      </c>
      <c r="D417" s="65">
        <f>DATE(SIP[[#This Row],[Year]],SIP[[#This Row],[Month]],SIP[[#This Row],[Day]])</f>
        <v>45356</v>
      </c>
      <c r="E417" s="66" t="str" cm="1">
        <f t="array" ref="E417">INDEX(INVESTORS_LIST[INVESTOR NAME],MATCH(SIP[[#This Row],[Investor ID]],INVESTORS_LIST[INVESTOR CODE],0),)</f>
        <v>FAKARUDDIN ALI AHMED</v>
      </c>
      <c r="F417" s="46" t="s">
        <v>228</v>
      </c>
      <c r="G417" s="46">
        <f>COUNTIF(SIP[[#Headers],[Investor ID]]:SIP[[#This Row],[Investor ID]],SIP[[#This Row],[Investor ID]])</f>
        <v>11</v>
      </c>
      <c r="H417" s="46" t="str">
        <f>CONCATENATE(SIP[[#This Row],[Frequency]],SIP[[#This Row],[Investor ID]])</f>
        <v>11A00090</v>
      </c>
      <c r="I417" s="46" t="str">
        <f>IF(SIP[[#This Row],[B/S]]="B","BUY",(IF(SIP[[#This Row],[B/S]]="S","SELL"," ")))</f>
        <v>BUY</v>
      </c>
      <c r="J417" s="46" t="s">
        <v>1229</v>
      </c>
      <c r="K417" s="69">
        <v>10000</v>
      </c>
      <c r="L417" s="69"/>
      <c r="M417" s="70">
        <f>SIP[[#This Row],[Amount]]/SIP[[#This Row],[Unit]]</f>
        <v>10.845986984815617</v>
      </c>
      <c r="N417" s="71">
        <f>SIP[[#This Row],[Unit Capital]]/10</f>
        <v>922</v>
      </c>
      <c r="O417" s="72">
        <f>SUMIFS(SIP[[#Headers],[Unit]]:SIP[[#This Row],[Unit]],SIP[[#Headers],[Investor ID]]:SIP[[#This Row],[Investor ID]],SIP[[#This Row],[Investor ID]])</f>
        <v>1005</v>
      </c>
      <c r="P417" s="73">
        <v>9220</v>
      </c>
      <c r="Q417" s="74">
        <f>SIP[[#This Row],[Amount]]-SIP[[#This Row],[Unit Capital]]</f>
        <v>780</v>
      </c>
      <c r="R4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10.822866798085046</v>
      </c>
      <c r="S417" s="68">
        <f t="shared" si="17"/>
        <v>14.224</v>
      </c>
      <c r="T4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7" s="74" cm="1">
        <f t="array" ref="U417">IF(SIP[[#This Row],[B/S]]="S",ABS(SIP[[#This Row],[Unit]])*(INDEX(SIP[NAV at Cost (Average)],MATCH(CONCATENATE((SIP[[#This Row],[Frequency]]-1),SIP[[#This Row],[Investor ID]]),SIP[Unique Code],0),0)),0)</f>
        <v>0</v>
      </c>
      <c r="V417" s="74">
        <f>IF(SIP[[#This Row],[BO TRANSFER]]="YES",SIP[[#This Row],[Unit]],)</f>
        <v>0</v>
      </c>
      <c r="W417" s="74">
        <f>SUMIFS(SIP[[#Headers],[BO UNIT TRANSFER]]:SIP[[#This Row],[BO UNIT TRANSFER]],SIP[[#Headers],[Investor ID]]:SIP[[#This Row],[Investor ID]],SIP[[#This Row],[Investor ID]])</f>
        <v>0</v>
      </c>
    </row>
    <row r="418" spans="1:23" ht="15" customHeight="1">
      <c r="A418" s="46">
        <v>2024</v>
      </c>
      <c r="B418" s="46">
        <v>3</v>
      </c>
      <c r="C418" s="46">
        <v>5</v>
      </c>
      <c r="D418" s="65">
        <f>DATE(SIP[[#This Row],[Year]],SIP[[#This Row],[Month]],SIP[[#This Row],[Day]])</f>
        <v>45356</v>
      </c>
      <c r="E418" s="66" t="str" cm="1">
        <f t="array" ref="E418">INDEX(INVESTORS_LIST[INVESTOR NAME],MATCH(SIP[[#This Row],[Investor ID]],INVESTORS_LIST[INVESTOR CODE],0),)</f>
        <v>SABRIA ISLAM TALUKDER</v>
      </c>
      <c r="F418" s="46" t="s">
        <v>409</v>
      </c>
      <c r="G418" s="46">
        <f>COUNTIF(SIP[[#Headers],[Investor ID]]:SIP[[#This Row],[Investor ID]],SIP[[#This Row],[Investor ID]])</f>
        <v>7</v>
      </c>
      <c r="H418" s="46" t="str">
        <f>CONCATENATE(SIP[[#This Row],[Frequency]],SIP[[#This Row],[Investor ID]])</f>
        <v>7A00180</v>
      </c>
      <c r="I418" s="46" t="str">
        <f>IF(SIP[[#This Row],[B/S]]="B","BUY",(IF(SIP[[#This Row],[B/S]]="S","SELL"," ")))</f>
        <v>BUY</v>
      </c>
      <c r="J418" s="46" t="s">
        <v>1229</v>
      </c>
      <c r="K418" s="69">
        <v>5000</v>
      </c>
      <c r="L418" s="69"/>
      <c r="M418" s="70">
        <f>SIP[[#This Row],[Amount]]/SIP[[#This Row],[Unit]]</f>
        <v>10.845986984815617</v>
      </c>
      <c r="N418" s="71">
        <f>SIP[[#This Row],[Unit Capital]]/10</f>
        <v>461</v>
      </c>
      <c r="O418" s="72">
        <f>SUMIFS(SIP[[#Headers],[Unit]]:SIP[[#This Row],[Unit]],SIP[[#Headers],[Investor ID]]:SIP[[#This Row],[Investor ID]],SIP[[#This Row],[Investor ID]])</f>
        <v>3292</v>
      </c>
      <c r="P418" s="73">
        <v>4610</v>
      </c>
      <c r="Q418" s="74">
        <f>SIP[[#This Row],[Amount]]-SIP[[#This Row],[Unit Capital]]</f>
        <v>390</v>
      </c>
      <c r="R4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10.631834750911299</v>
      </c>
      <c r="S418" s="68">
        <f t="shared" si="17"/>
        <v>14.224</v>
      </c>
      <c r="T4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8" s="74" cm="1">
        <f t="array" ref="U418">IF(SIP[[#This Row],[B/S]]="S",ABS(SIP[[#This Row],[Unit]])*(INDEX(SIP[NAV at Cost (Average)],MATCH(CONCATENATE((SIP[[#This Row],[Frequency]]-1),SIP[[#This Row],[Investor ID]]),SIP[Unique Code],0),0)),0)</f>
        <v>0</v>
      </c>
      <c r="V418" s="74">
        <f>IF(SIP[[#This Row],[BO TRANSFER]]="YES",SIP[[#This Row],[Unit]],)</f>
        <v>0</v>
      </c>
      <c r="W418" s="74">
        <f>SUMIFS(SIP[[#Headers],[BO UNIT TRANSFER]]:SIP[[#This Row],[BO UNIT TRANSFER]],SIP[[#Headers],[Investor ID]]:SIP[[#This Row],[Investor ID]],SIP[[#This Row],[Investor ID]])</f>
        <v>0</v>
      </c>
    </row>
    <row r="419" spans="1:23" ht="15" customHeight="1">
      <c r="A419" s="46">
        <v>2024</v>
      </c>
      <c r="B419" s="46">
        <v>3</v>
      </c>
      <c r="C419" s="46">
        <v>5</v>
      </c>
      <c r="D419" s="65">
        <f>DATE(SIP[[#This Row],[Year]],SIP[[#This Row],[Month]],SIP[[#This Row],[Day]])</f>
        <v>45356</v>
      </c>
      <c r="E419" s="66" t="str" cm="1">
        <f t="array" ref="E419">INDEX(INVESTORS_LIST[INVESTOR NAME],MATCH(SIP[[#This Row],[Investor ID]],INVESTORS_LIST[INVESTOR CODE],0),)</f>
        <v>NANI GOPAL DATTA</v>
      </c>
      <c r="F419" s="46" t="s">
        <v>232</v>
      </c>
      <c r="G419" s="46">
        <f>COUNTIF(SIP[[#Headers],[Investor ID]]:SIP[[#This Row],[Investor ID]],SIP[[#This Row],[Investor ID]])</f>
        <v>5</v>
      </c>
      <c r="H419" s="46" t="str">
        <f>CONCATENATE(SIP[[#This Row],[Frequency]],SIP[[#This Row],[Investor ID]])</f>
        <v>5A00092</v>
      </c>
      <c r="I419" s="46" t="str">
        <f>IF(SIP[[#This Row],[B/S]]="B","BUY",(IF(SIP[[#This Row],[B/S]]="S","SELL"," ")))</f>
        <v>BUY</v>
      </c>
      <c r="J419" s="46" t="s">
        <v>1229</v>
      </c>
      <c r="K419" s="69">
        <v>2000</v>
      </c>
      <c r="L419" s="69"/>
      <c r="M419" s="70">
        <f>SIP[[#This Row],[Amount]]/SIP[[#This Row],[Unit]]</f>
        <v>10.869565217391305</v>
      </c>
      <c r="N419" s="71">
        <f>SIP[[#This Row],[Unit Capital]]/10</f>
        <v>184</v>
      </c>
      <c r="O419" s="72">
        <f>SUMIFS(SIP[[#Headers],[Unit]]:SIP[[#This Row],[Unit]],SIP[[#Headers],[Investor ID]]:SIP[[#This Row],[Investor ID]],SIP[[#This Row],[Investor ID]])</f>
        <v>934</v>
      </c>
      <c r="P419" s="73">
        <v>1840</v>
      </c>
      <c r="Q419" s="74">
        <f>SIP[[#This Row],[Amount]]-SIP[[#This Row],[Unit Capital]]</f>
        <v>160</v>
      </c>
      <c r="R4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10.706638115631693</v>
      </c>
      <c r="S419" s="68">
        <f t="shared" si="17"/>
        <v>14.224</v>
      </c>
      <c r="T4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9" s="74" cm="1">
        <f t="array" ref="U419">IF(SIP[[#This Row],[B/S]]="S",ABS(SIP[[#This Row],[Unit]])*(INDEX(SIP[NAV at Cost (Average)],MATCH(CONCATENATE((SIP[[#This Row],[Frequency]]-1),SIP[[#This Row],[Investor ID]]),SIP[Unique Code],0),0)),0)</f>
        <v>0</v>
      </c>
      <c r="V419" s="74">
        <f>IF(SIP[[#This Row],[BO TRANSFER]]="YES",SIP[[#This Row],[Unit]],)</f>
        <v>0</v>
      </c>
      <c r="W419" s="74">
        <f>SUMIFS(SIP[[#Headers],[BO UNIT TRANSFER]]:SIP[[#This Row],[BO UNIT TRANSFER]],SIP[[#Headers],[Investor ID]]:SIP[[#This Row],[Investor ID]],SIP[[#This Row],[Investor ID]])</f>
        <v>0</v>
      </c>
    </row>
    <row r="420" spans="1:23" ht="15" customHeight="1">
      <c r="A420" s="46">
        <v>2024</v>
      </c>
      <c r="B420" s="46">
        <v>3</v>
      </c>
      <c r="C420" s="46">
        <v>5</v>
      </c>
      <c r="D420" s="65">
        <f>DATE(SIP[[#This Row],[Year]],SIP[[#This Row],[Month]],SIP[[#This Row],[Day]])</f>
        <v>45356</v>
      </c>
      <c r="E420" s="66" t="str" cm="1">
        <f t="array" ref="E420">INDEX(INVESTORS_LIST[INVESTOR NAME],MATCH(SIP[[#This Row],[Investor ID]],INVESTORS_LIST[INVESTOR CODE],0),)</f>
        <v>SHUVA SAHA</v>
      </c>
      <c r="F420" s="46" t="s">
        <v>154</v>
      </c>
      <c r="G420" s="46">
        <f>COUNTIF(SIP[[#Headers],[Investor ID]]:SIP[[#This Row],[Investor ID]],SIP[[#This Row],[Investor ID]])</f>
        <v>13</v>
      </c>
      <c r="H420" s="46" t="str">
        <f>CONCATENATE(SIP[[#This Row],[Frequency]],SIP[[#This Row],[Investor ID]])</f>
        <v>13A00053</v>
      </c>
      <c r="I420" s="46" t="str">
        <f>IF(SIP[[#This Row],[B/S]]="B","BUY",(IF(SIP[[#This Row],[B/S]]="S","SELL"," ")))</f>
        <v>BUY</v>
      </c>
      <c r="J420" s="46" t="s">
        <v>1229</v>
      </c>
      <c r="K420" s="69">
        <v>70000</v>
      </c>
      <c r="L420" s="69"/>
      <c r="M420" s="70">
        <f>SIP[[#This Row],[Amount]]/SIP[[#This Row],[Unit]]</f>
        <v>10.847667751433441</v>
      </c>
      <c r="N420" s="71">
        <f>SIP[[#This Row],[Unit Capital]]/10</f>
        <v>6453</v>
      </c>
      <c r="O420" s="72">
        <f>SUMIFS(SIP[[#Headers],[Unit]]:SIP[[#This Row],[Unit]],SIP[[#Headers],[Investor ID]]:SIP[[#This Row],[Investor ID]],SIP[[#This Row],[Investor ID]])</f>
        <v>73678</v>
      </c>
      <c r="P420" s="73">
        <v>64530</v>
      </c>
      <c r="Q420" s="74">
        <f>SIP[[#This Row],[Amount]]-SIP[[#This Row],[Unit Capital]]</f>
        <v>5470</v>
      </c>
      <c r="R4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10.46990201296145</v>
      </c>
      <c r="S420" s="68">
        <f t="shared" ref="S420:S425" si="18">NAV_MKT</f>
        <v>14.224</v>
      </c>
      <c r="T4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0" s="74" cm="1">
        <f t="array" ref="U420">IF(SIP[[#This Row],[B/S]]="S",ABS(SIP[[#This Row],[Unit]])*(INDEX(SIP[NAV at Cost (Average)],MATCH(CONCATENATE((SIP[[#This Row],[Frequency]]-1),SIP[[#This Row],[Investor ID]]),SIP[Unique Code],0),0)),0)</f>
        <v>0</v>
      </c>
      <c r="V420" s="74">
        <f>IF(SIP[[#This Row],[BO TRANSFER]]="YES",SIP[[#This Row],[Unit]],)</f>
        <v>0</v>
      </c>
      <c r="W420" s="74">
        <f>SUMIFS(SIP[[#Headers],[BO UNIT TRANSFER]]:SIP[[#This Row],[BO UNIT TRANSFER]],SIP[[#Headers],[Investor ID]]:SIP[[#This Row],[Investor ID]],SIP[[#This Row],[Investor ID]])</f>
        <v>0</v>
      </c>
    </row>
    <row r="421" spans="1:23" ht="15" customHeight="1">
      <c r="A421" s="46">
        <v>2024</v>
      </c>
      <c r="B421" s="46">
        <v>3</v>
      </c>
      <c r="C421" s="46">
        <v>5</v>
      </c>
      <c r="D421" s="65">
        <f>DATE(SIP[[#This Row],[Year]],SIP[[#This Row],[Month]],SIP[[#This Row],[Day]])</f>
        <v>45356</v>
      </c>
      <c r="E421" s="66" t="str" cm="1">
        <f t="array" ref="E421">INDEX(INVESTORS_LIST[INVESTOR NAME],MATCH(SIP[[#This Row],[Investor ID]],INVESTORS_LIST[INVESTOR CODE],0),)</f>
        <v>FAIYEAD AHMEDUL HYE</v>
      </c>
      <c r="F421" s="46" t="s">
        <v>368</v>
      </c>
      <c r="G421" s="46">
        <f>COUNTIF(SIP[[#Headers],[Investor ID]]:SIP[[#This Row],[Investor ID]],SIP[[#This Row],[Investor ID]])</f>
        <v>10</v>
      </c>
      <c r="H421" s="46" t="str">
        <f>CONCATENATE(SIP[[#This Row],[Frequency]],SIP[[#This Row],[Investor ID]])</f>
        <v>10A00160</v>
      </c>
      <c r="I421" s="46" t="str">
        <f>IF(SIP[[#This Row],[B/S]]="B","BUY",(IF(SIP[[#This Row],[B/S]]="S","SELL"," ")))</f>
        <v>BUY</v>
      </c>
      <c r="J421" s="46" t="s">
        <v>1229</v>
      </c>
      <c r="K421" s="69">
        <v>15000</v>
      </c>
      <c r="L421" s="69"/>
      <c r="M421" s="70">
        <f>SIP[[#This Row],[Amount]]/SIP[[#This Row],[Unit]]</f>
        <v>10.845986984815617</v>
      </c>
      <c r="N421" s="71">
        <f>SIP[[#This Row],[Unit Capital]]/10</f>
        <v>1383</v>
      </c>
      <c r="O421" s="72">
        <f>SUMIFS(SIP[[#Headers],[Unit]]:SIP[[#This Row],[Unit]],SIP[[#Headers],[Investor ID]]:SIP[[#This Row],[Investor ID]],SIP[[#This Row],[Investor ID]])</f>
        <v>14253</v>
      </c>
      <c r="P421" s="73">
        <v>13830</v>
      </c>
      <c r="Q421" s="74">
        <f>SIP[[#This Row],[Amount]]-SIP[[#This Row],[Unit Capital]]</f>
        <v>1170</v>
      </c>
      <c r="R4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10.524100189433804</v>
      </c>
      <c r="S421" s="68">
        <f t="shared" si="18"/>
        <v>14.224</v>
      </c>
      <c r="T4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1" s="74" cm="1">
        <f t="array" ref="U421">IF(SIP[[#This Row],[B/S]]="S",ABS(SIP[[#This Row],[Unit]])*(INDEX(SIP[NAV at Cost (Average)],MATCH(CONCATENATE((SIP[[#This Row],[Frequency]]-1),SIP[[#This Row],[Investor ID]]),SIP[Unique Code],0),0)),0)</f>
        <v>0</v>
      </c>
      <c r="V421" s="74">
        <f>IF(SIP[[#This Row],[BO TRANSFER]]="YES",SIP[[#This Row],[Unit]],)</f>
        <v>0</v>
      </c>
      <c r="W421" s="74">
        <f>SUMIFS(SIP[[#Headers],[BO UNIT TRANSFER]]:SIP[[#This Row],[BO UNIT TRANSFER]],SIP[[#Headers],[Investor ID]]:SIP[[#This Row],[Investor ID]],SIP[[#This Row],[Investor ID]])</f>
        <v>0</v>
      </c>
    </row>
    <row r="422" spans="1:23" ht="15" customHeight="1">
      <c r="A422" s="46">
        <v>2024</v>
      </c>
      <c r="B422" s="46">
        <v>3</v>
      </c>
      <c r="C422" s="46">
        <v>5</v>
      </c>
      <c r="D422" s="65">
        <f>DATE(SIP[[#This Row],[Year]],SIP[[#This Row],[Month]],SIP[[#This Row],[Day]])</f>
        <v>45356</v>
      </c>
      <c r="E422" s="66" t="str" cm="1">
        <f t="array" ref="E422">INDEX(INVESTORS_LIST[INVESTOR NAME],MATCH(SIP[[#This Row],[Investor ID]],INVESTORS_LIST[INVESTOR CODE],0),)</f>
        <v>CHAONIKA SAHA</v>
      </c>
      <c r="F422" s="46" t="s">
        <v>238</v>
      </c>
      <c r="G422" s="46">
        <f>COUNTIF(SIP[[#Headers],[Investor ID]]:SIP[[#This Row],[Investor ID]],SIP[[#This Row],[Investor ID]])</f>
        <v>7</v>
      </c>
      <c r="H422" s="46" t="str">
        <f>CONCATENATE(SIP[[#This Row],[Frequency]],SIP[[#This Row],[Investor ID]])</f>
        <v>7A00095</v>
      </c>
      <c r="I422" s="46" t="str">
        <f>IF(SIP[[#This Row],[B/S]]="B","BUY",(IF(SIP[[#This Row],[B/S]]="S","SELL"," ")))</f>
        <v>BUY</v>
      </c>
      <c r="J422" s="46" t="s">
        <v>1229</v>
      </c>
      <c r="K422" s="69">
        <v>1000</v>
      </c>
      <c r="L422" s="69"/>
      <c r="M422" s="70">
        <f>SIP[[#This Row],[Amount]]/SIP[[#This Row],[Unit]]</f>
        <v>10.869565217391305</v>
      </c>
      <c r="N422" s="71">
        <f>SIP[[#This Row],[Unit Capital]]/10</f>
        <v>92</v>
      </c>
      <c r="O422" s="72">
        <f>SUMIFS(SIP[[#Headers],[Unit]]:SIP[[#This Row],[Unit]],SIP[[#Headers],[Investor ID]]:SIP[[#This Row],[Investor ID]],SIP[[#This Row],[Investor ID]])</f>
        <v>658</v>
      </c>
      <c r="P422" s="73">
        <v>920</v>
      </c>
      <c r="Q422" s="74">
        <f>SIP[[#This Row],[Amount]]-SIP[[#This Row],[Unit Capital]]</f>
        <v>80</v>
      </c>
      <c r="R4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10.638297872340425</v>
      </c>
      <c r="S422" s="68">
        <f t="shared" si="18"/>
        <v>14.224</v>
      </c>
      <c r="T4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2" s="74" cm="1">
        <f t="array" ref="U422">IF(SIP[[#This Row],[B/S]]="S",ABS(SIP[[#This Row],[Unit]])*(INDEX(SIP[NAV at Cost (Average)],MATCH(CONCATENATE((SIP[[#This Row],[Frequency]]-1),SIP[[#This Row],[Investor ID]]),SIP[Unique Code],0),0)),0)</f>
        <v>0</v>
      </c>
      <c r="V422" s="74">
        <f>IF(SIP[[#This Row],[BO TRANSFER]]="YES",SIP[[#This Row],[Unit]],)</f>
        <v>0</v>
      </c>
      <c r="W422" s="74">
        <f>SUMIFS(SIP[[#Headers],[BO UNIT TRANSFER]]:SIP[[#This Row],[BO UNIT TRANSFER]],SIP[[#Headers],[Investor ID]]:SIP[[#This Row],[Investor ID]],SIP[[#This Row],[Investor ID]])</f>
        <v>0</v>
      </c>
    </row>
    <row r="423" spans="1:23" ht="15" customHeight="1">
      <c r="A423" s="46">
        <v>2024</v>
      </c>
      <c r="B423" s="46">
        <v>3</v>
      </c>
      <c r="C423" s="46">
        <v>5</v>
      </c>
      <c r="D423" s="65">
        <f>DATE(SIP[[#This Row],[Year]],SIP[[#This Row],[Month]],SIP[[#This Row],[Day]])</f>
        <v>45356</v>
      </c>
      <c r="E423" s="66" t="str" cm="1">
        <f t="array" ref="E423">INDEX(INVESTORS_LIST[INVESTOR NAME],MATCH(SIP[[#This Row],[Investor ID]],INVESTORS_LIST[INVESTOR CODE],0),)</f>
        <v>SK FEROZ ALAM</v>
      </c>
      <c r="F423" s="46" t="s">
        <v>240</v>
      </c>
      <c r="G423" s="46">
        <f>COUNTIF(SIP[[#Headers],[Investor ID]]:SIP[[#This Row],[Investor ID]],SIP[[#This Row],[Investor ID]])</f>
        <v>5</v>
      </c>
      <c r="H423" s="46" t="str">
        <f>CONCATENATE(SIP[[#This Row],[Frequency]],SIP[[#This Row],[Investor ID]])</f>
        <v>5A00096</v>
      </c>
      <c r="I423" s="46" t="str">
        <f>IF(SIP[[#This Row],[B/S]]="B","BUY",(IF(SIP[[#This Row],[B/S]]="S","SELL"," ")))</f>
        <v>BUY</v>
      </c>
      <c r="J423" s="46" t="s">
        <v>1229</v>
      </c>
      <c r="K423" s="69">
        <v>2000</v>
      </c>
      <c r="L423" s="69"/>
      <c r="M423" s="70">
        <f>SIP[[#This Row],[Amount]]/SIP[[#This Row],[Unit]]</f>
        <v>10.869565217391305</v>
      </c>
      <c r="N423" s="71">
        <f>SIP[[#This Row],[Unit Capital]]/10</f>
        <v>184</v>
      </c>
      <c r="O423" s="72">
        <f>SUMIFS(SIP[[#Headers],[Unit]]:SIP[[#This Row],[Unit]],SIP[[#Headers],[Investor ID]]:SIP[[#This Row],[Investor ID]],SIP[[#This Row],[Investor ID]])</f>
        <v>941</v>
      </c>
      <c r="P423" s="73">
        <v>1840</v>
      </c>
      <c r="Q423" s="74">
        <f>SIP[[#This Row],[Amount]]-SIP[[#This Row],[Unit Capital]]</f>
        <v>160</v>
      </c>
      <c r="R4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10.626992561105206</v>
      </c>
      <c r="S423" s="68">
        <f t="shared" si="18"/>
        <v>14.224</v>
      </c>
      <c r="T4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3" s="74" cm="1">
        <f t="array" ref="U423">IF(SIP[[#This Row],[B/S]]="S",ABS(SIP[[#This Row],[Unit]])*(INDEX(SIP[NAV at Cost (Average)],MATCH(CONCATENATE((SIP[[#This Row],[Frequency]]-1),SIP[[#This Row],[Investor ID]]),SIP[Unique Code],0),0)),0)</f>
        <v>0</v>
      </c>
      <c r="V423" s="74">
        <f>IF(SIP[[#This Row],[BO TRANSFER]]="YES",SIP[[#This Row],[Unit]],)</f>
        <v>0</v>
      </c>
      <c r="W423" s="74">
        <f>SUMIFS(SIP[[#Headers],[BO UNIT TRANSFER]]:SIP[[#This Row],[BO UNIT TRANSFER]],SIP[[#Headers],[Investor ID]]:SIP[[#This Row],[Investor ID]],SIP[[#This Row],[Investor ID]])</f>
        <v>0</v>
      </c>
    </row>
    <row r="424" spans="1:23" ht="15" customHeight="1">
      <c r="A424" s="46">
        <v>2024</v>
      </c>
      <c r="B424" s="46">
        <v>3</v>
      </c>
      <c r="C424" s="46">
        <v>5</v>
      </c>
      <c r="D424" s="65">
        <f>DATE(SIP[[#This Row],[Year]],SIP[[#This Row],[Month]],SIP[[#This Row],[Day]])</f>
        <v>45356</v>
      </c>
      <c r="E424" s="66" t="str" cm="1">
        <f t="array" ref="E424">INDEX(INVESTORS_LIST[INVESTOR NAME],MATCH(SIP[[#This Row],[Investor ID]],INVESTORS_LIST[INVESTOR CODE],0),)</f>
        <v>MD JAMAL HOSSAIN</v>
      </c>
      <c r="F424" s="46" t="s">
        <v>952</v>
      </c>
      <c r="G424" s="46">
        <f>COUNTIF(SIP[[#Headers],[Investor ID]]:SIP[[#This Row],[Investor ID]],SIP[[#This Row],[Investor ID]])</f>
        <v>6</v>
      </c>
      <c r="H424" s="46" t="str">
        <f>CONCATENATE(SIP[[#This Row],[Frequency]],SIP[[#This Row],[Investor ID]])</f>
        <v>6A00453</v>
      </c>
      <c r="I424" s="46" t="str">
        <f>IF(SIP[[#This Row],[B/S]]="B","BUY",(IF(SIP[[#This Row],[B/S]]="S","SELL"," ")))</f>
        <v>BUY</v>
      </c>
      <c r="J424" s="46" t="s">
        <v>1229</v>
      </c>
      <c r="K424" s="69">
        <v>5000</v>
      </c>
      <c r="L424" s="69"/>
      <c r="M424" s="70">
        <f>SIP[[#This Row],[Amount]]/SIP[[#This Row],[Unit]]</f>
        <v>10.845986984815617</v>
      </c>
      <c r="N424" s="71">
        <f>SIP[[#This Row],[Unit Capital]]/10</f>
        <v>461</v>
      </c>
      <c r="O424" s="72">
        <f>SUMIFS(SIP[[#Headers],[Unit]]:SIP[[#This Row],[Unit]],SIP[[#Headers],[Investor ID]]:SIP[[#This Row],[Investor ID]],SIP[[#This Row],[Investor ID]])</f>
        <v>2813</v>
      </c>
      <c r="P424" s="73">
        <v>4610</v>
      </c>
      <c r="Q424" s="74">
        <f>SIP[[#This Row],[Amount]]-SIP[[#This Row],[Unit Capital]]</f>
        <v>390</v>
      </c>
      <c r="R4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10.664770707429788</v>
      </c>
      <c r="S424" s="68">
        <f t="shared" si="18"/>
        <v>14.224</v>
      </c>
      <c r="T4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4" s="74" cm="1">
        <f t="array" ref="U424">IF(SIP[[#This Row],[B/S]]="S",ABS(SIP[[#This Row],[Unit]])*(INDEX(SIP[NAV at Cost (Average)],MATCH(CONCATENATE((SIP[[#This Row],[Frequency]]-1),SIP[[#This Row],[Investor ID]]),SIP[Unique Code],0),0)),0)</f>
        <v>0</v>
      </c>
      <c r="V424" s="74">
        <f>IF(SIP[[#This Row],[BO TRANSFER]]="YES",SIP[[#This Row],[Unit]],)</f>
        <v>0</v>
      </c>
      <c r="W424" s="74">
        <f>SUMIFS(SIP[[#Headers],[BO UNIT TRANSFER]]:SIP[[#This Row],[BO UNIT TRANSFER]],SIP[[#Headers],[Investor ID]]:SIP[[#This Row],[Investor ID]],SIP[[#This Row],[Investor ID]])</f>
        <v>0</v>
      </c>
    </row>
    <row r="425" spans="1:23" ht="15" customHeight="1">
      <c r="A425" s="46">
        <v>2024</v>
      </c>
      <c r="B425" s="46">
        <v>3</v>
      </c>
      <c r="C425" s="46">
        <v>5</v>
      </c>
      <c r="D425" s="65">
        <f>DATE(SIP[[#This Row],[Year]],SIP[[#This Row],[Month]],SIP[[#This Row],[Day]])</f>
        <v>45356</v>
      </c>
      <c r="E425" s="66" t="str" cm="1">
        <f t="array" ref="E425">INDEX(INVESTORS_LIST[INVESTOR NAME],MATCH(SIP[[#This Row],[Investor ID]],INVESTORS_LIST[INVESTOR CODE],0),)</f>
        <v>KAZI AHSAN MARUF</v>
      </c>
      <c r="F425" s="46" t="s">
        <v>158</v>
      </c>
      <c r="G425" s="46">
        <f>COUNTIF(SIP[[#Headers],[Investor ID]]:SIP[[#This Row],[Investor ID]],SIP[[#This Row],[Investor ID]])</f>
        <v>11</v>
      </c>
      <c r="H425" s="46" t="str">
        <f>CONCATENATE(SIP[[#This Row],[Frequency]],SIP[[#This Row],[Investor ID]])</f>
        <v>11A00055</v>
      </c>
      <c r="I425" s="46" t="str">
        <f>IF(SIP[[#This Row],[B/S]]="B","BUY",(IF(SIP[[#This Row],[B/S]]="S","SELL"," ")))</f>
        <v>BUY</v>
      </c>
      <c r="J425" s="46" t="s">
        <v>1229</v>
      </c>
      <c r="K425" s="69">
        <v>10000</v>
      </c>
      <c r="L425" s="69"/>
      <c r="M425" s="70">
        <f>SIP[[#This Row],[Amount]]/SIP[[#This Row],[Unit]]</f>
        <v>10.845986984815617</v>
      </c>
      <c r="N425" s="71">
        <f>SIP[[#This Row],[Unit Capital]]/10</f>
        <v>922</v>
      </c>
      <c r="O425" s="72">
        <f>SUMIFS(SIP[[#Headers],[Unit]]:SIP[[#This Row],[Unit]],SIP[[#Headers],[Investor ID]]:SIP[[#This Row],[Investor ID]],SIP[[#This Row],[Investor ID]])</f>
        <v>29943</v>
      </c>
      <c r="P425" s="73">
        <v>9220</v>
      </c>
      <c r="Q425" s="74">
        <f>SIP[[#This Row],[Amount]]-SIP[[#This Row],[Unit Capital]]</f>
        <v>780</v>
      </c>
      <c r="R4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10.353004041011252</v>
      </c>
      <c r="S425" s="68">
        <f t="shared" si="18"/>
        <v>14.224</v>
      </c>
      <c r="T4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5" s="74" cm="1">
        <f t="array" ref="U425">IF(SIP[[#This Row],[B/S]]="S",ABS(SIP[[#This Row],[Unit]])*(INDEX(SIP[NAV at Cost (Average)],MATCH(CONCATENATE((SIP[[#This Row],[Frequency]]-1),SIP[[#This Row],[Investor ID]]),SIP[Unique Code],0),0)),0)</f>
        <v>0</v>
      </c>
      <c r="V425" s="74">
        <f>IF(SIP[[#This Row],[BO TRANSFER]]="YES",SIP[[#This Row],[Unit]],)</f>
        <v>0</v>
      </c>
      <c r="W425" s="74">
        <f>SUMIFS(SIP[[#Headers],[BO UNIT TRANSFER]]:SIP[[#This Row],[BO UNIT TRANSFER]],SIP[[#Headers],[Investor ID]]:SIP[[#This Row],[Investor ID]],SIP[[#This Row],[Investor ID]])</f>
        <v>0</v>
      </c>
    </row>
    <row r="426" spans="1:23" ht="15" customHeight="1">
      <c r="A426" s="46">
        <v>2024</v>
      </c>
      <c r="B426" s="46">
        <v>3</v>
      </c>
      <c r="C426" s="46">
        <v>12</v>
      </c>
      <c r="D426" s="65">
        <f>DATE(SIP[[#This Row],[Year]],SIP[[#This Row],[Month]],SIP[[#This Row],[Day]])</f>
        <v>45363</v>
      </c>
      <c r="E426" s="66" t="str" cm="1">
        <f t="array" ref="E426">INDEX(INVESTORS_LIST[INVESTOR NAME],MATCH(SIP[[#This Row],[Investor ID]],INVESTORS_LIST[INVESTOR CODE],0),)</f>
        <v>NITYANANDA BISWAS</v>
      </c>
      <c r="F426" s="46" t="s">
        <v>554</v>
      </c>
      <c r="G426" s="46">
        <f>COUNTIF(SIP[[#Headers],[Investor ID]]:SIP[[#This Row],[Investor ID]],SIP[[#This Row],[Investor ID]])</f>
        <v>5</v>
      </c>
      <c r="H426" s="46" t="str">
        <f>CONCATENATE(SIP[[#This Row],[Frequency]],SIP[[#This Row],[Investor ID]])</f>
        <v>5A00252</v>
      </c>
      <c r="I426" s="46" t="str">
        <f>IF(SIP[[#This Row],[B/S]]="B","BUY",(IF(SIP[[#This Row],[B/S]]="S","SELL"," ")))</f>
        <v>SELL</v>
      </c>
      <c r="J426" s="46" t="s">
        <v>1231</v>
      </c>
      <c r="K426" s="69">
        <v>-20335.54</v>
      </c>
      <c r="L426" s="69"/>
      <c r="M426" s="70">
        <f>SIP[[#This Row],[Amount]]/SIP[[#This Row],[Unit]]</f>
        <v>10.863002136752137</v>
      </c>
      <c r="N426" s="71">
        <f>SIP[[#This Row],[Unit Capital]]/10</f>
        <v>-1872</v>
      </c>
      <c r="O426" s="72">
        <f>SUMIFS(SIP[[#Headers],[Unit]]:SIP[[#This Row],[Unit]],SIP[[#Headers],[Investor ID]]:SIP[[#This Row],[Investor ID]],SIP[[#This Row],[Investor ID]])</f>
        <v>0</v>
      </c>
      <c r="P426" s="73">
        <v>-18720</v>
      </c>
      <c r="Q426" s="74">
        <f>SIP[[#This Row],[Amount]]-SIP[[#This Row],[Unit Capital]]</f>
        <v>-1615.5400000000009</v>
      </c>
      <c r="R4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426" s="68">
        <f t="shared" ref="S426:S459" si="19">NAV_MKT</f>
        <v>14.224</v>
      </c>
      <c r="T426" s="74">
        <f>IF(SIP[[#This Row],[B/S]]="B",0,ABS(SIP[[#This Row],[Unit]])*(SIP[[#This Row],[NAV (Strike Rate)]]-INDEX(SIP[NAV at Cost (Average)],MATCH(CONCATENATE(SIP[[#This Row],[Frequency]]-1,SIP[[#This Row],[Investor ID]]),SIP[Unique Code],0),)))</f>
        <v>335.53999999999752</v>
      </c>
      <c r="U426" s="74" cm="1">
        <f t="array" ref="U426">IF(SIP[[#This Row],[B/S]]="S",ABS(SIP[[#This Row],[Unit]])*(INDEX(SIP[NAV at Cost (Average)],MATCH(CONCATENATE((SIP[[#This Row],[Frequency]]-1),SIP[[#This Row],[Investor ID]]),SIP[Unique Code],0),0)),0)</f>
        <v>20000.000000000004</v>
      </c>
      <c r="V426" s="74">
        <f>IF(SIP[[#This Row],[BO TRANSFER]]="YES",SIP[[#This Row],[Unit]],)</f>
        <v>0</v>
      </c>
      <c r="W426" s="74">
        <f>SUMIFS(SIP[[#Headers],[BO UNIT TRANSFER]]:SIP[[#This Row],[BO UNIT TRANSFER]],SIP[[#Headers],[Investor ID]]:SIP[[#This Row],[Investor ID]],SIP[[#This Row],[Investor ID]])</f>
        <v>0</v>
      </c>
    </row>
    <row r="427" spans="1:23" ht="15" customHeight="1">
      <c r="A427" s="46">
        <v>2024</v>
      </c>
      <c r="B427" s="46">
        <v>3</v>
      </c>
      <c r="C427" s="46">
        <v>13</v>
      </c>
      <c r="D427" s="65">
        <f>DATE(SIP[[#This Row],[Year]],SIP[[#This Row],[Month]],SIP[[#This Row],[Day]])</f>
        <v>45364</v>
      </c>
      <c r="E427" s="66" t="str" cm="1">
        <f t="array" ref="E427">INDEX(INVESTORS_LIST[INVESTOR NAME],MATCH(SIP[[#This Row],[Investor ID]],INVESTORS_LIST[INVESTOR CODE],0),)</f>
        <v>MD JAMAL HOSSAIN</v>
      </c>
      <c r="F427" s="46" t="s">
        <v>952</v>
      </c>
      <c r="G427" s="46">
        <f>COUNTIF(SIP[[#Headers],[Investor ID]]:SIP[[#This Row],[Investor ID]],SIP[[#This Row],[Investor ID]])</f>
        <v>7</v>
      </c>
      <c r="H427" s="46" t="str">
        <f>CONCATENATE(SIP[[#This Row],[Frequency]],SIP[[#This Row],[Investor ID]])</f>
        <v>7A00453</v>
      </c>
      <c r="I427" s="46" t="str">
        <f>IF(SIP[[#This Row],[B/S]]="B","BUY",(IF(SIP[[#This Row],[B/S]]="S","SELL"," ")))</f>
        <v>SELL</v>
      </c>
      <c r="J427" s="46" t="s">
        <v>1231</v>
      </c>
      <c r="K427" s="69">
        <v>-30557.62</v>
      </c>
      <c r="L427" s="69"/>
      <c r="M427" s="70">
        <f>SIP[[#This Row],[Amount]]/SIP[[#This Row],[Unit]]</f>
        <v>10.863000355492357</v>
      </c>
      <c r="N427" s="71">
        <f>SIP[[#This Row],[Unit Capital]]/10</f>
        <v>-2813</v>
      </c>
      <c r="O427" s="72">
        <f>SUMIFS(SIP[[#Headers],[Unit]]:SIP[[#This Row],[Unit]],SIP[[#Headers],[Investor ID]]:SIP[[#This Row],[Investor ID]],SIP[[#This Row],[Investor ID]])</f>
        <v>0</v>
      </c>
      <c r="P427" s="73">
        <v>-28130</v>
      </c>
      <c r="Q427" s="74">
        <f>SIP[[#This Row],[Amount]]-SIP[[#This Row],[Unit Capital]]</f>
        <v>-2427.619999999999</v>
      </c>
      <c r="R4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427" s="68">
        <f t="shared" si="19"/>
        <v>14.224</v>
      </c>
      <c r="T427" s="74">
        <f>IF(SIP[[#This Row],[B/S]]="B",0,ABS(SIP[[#This Row],[Unit]])*(SIP[[#This Row],[NAV (Strike Rate)]]-INDEX(SIP[NAV at Cost (Average)],MATCH(CONCATENATE(SIP[[#This Row],[Frequency]]-1,SIP[[#This Row],[Investor ID]]),SIP[Unique Code],0),)))</f>
        <v>557.62000000000512</v>
      </c>
      <c r="U427" s="74" cm="1">
        <f t="array" ref="U427">IF(SIP[[#This Row],[B/S]]="S",ABS(SIP[[#This Row],[Unit]])*(INDEX(SIP[NAV at Cost (Average)],MATCH(CONCATENATE((SIP[[#This Row],[Frequency]]-1),SIP[[#This Row],[Investor ID]]),SIP[Unique Code],0),0)),0)</f>
        <v>29999.999999999996</v>
      </c>
      <c r="V427" s="74">
        <f>IF(SIP[[#This Row],[BO TRANSFER]]="YES",SIP[[#This Row],[Unit]],)</f>
        <v>0</v>
      </c>
      <c r="W427" s="74">
        <f>SUMIFS(SIP[[#Headers],[BO UNIT TRANSFER]]:SIP[[#This Row],[BO UNIT TRANSFER]],SIP[[#Headers],[Investor ID]]:SIP[[#This Row],[Investor ID]],SIP[[#This Row],[Investor ID]])</f>
        <v>0</v>
      </c>
    </row>
    <row r="428" spans="1:23" ht="15" customHeight="1">
      <c r="A428" s="46">
        <v>2024</v>
      </c>
      <c r="B428" s="46">
        <v>3</v>
      </c>
      <c r="C428" s="46">
        <v>15</v>
      </c>
      <c r="D428" s="65">
        <f>DATE(SIP[[#This Row],[Year]],SIP[[#This Row],[Month]],SIP[[#This Row],[Day]])</f>
        <v>45366</v>
      </c>
      <c r="E428" s="66" t="str" cm="1">
        <f t="array" ref="E428">INDEX(INVESTORS_LIST[INVESTOR NAME],MATCH(SIP[[#This Row],[Investor ID]],INVESTORS_LIST[INVESTOR CODE],0),)</f>
        <v>SANJIB KUMAR ROY</v>
      </c>
      <c r="F428" s="46" t="s">
        <v>1020</v>
      </c>
      <c r="G428" s="46">
        <f>COUNTIF(SIP[[#Headers],[Investor ID]]:SIP[[#This Row],[Investor ID]],SIP[[#This Row],[Investor ID]])</f>
        <v>10</v>
      </c>
      <c r="H428" s="46" t="str">
        <f>CONCATENATE(SIP[[#This Row],[Frequency]],SIP[[#This Row],[Investor ID]])</f>
        <v>10A00487</v>
      </c>
      <c r="I428" s="46" t="str">
        <f>IF(SIP[[#This Row],[B/S]]="B","BUY",(IF(SIP[[#This Row],[B/S]]="S","SELL"," ")))</f>
        <v>BUY</v>
      </c>
      <c r="J428" s="46" t="s">
        <v>1229</v>
      </c>
      <c r="K428" s="69">
        <v>5000</v>
      </c>
      <c r="L428" s="69"/>
      <c r="M428" s="70">
        <f>SIP[[#This Row],[Amount]]/SIP[[#This Row],[Unit]]</f>
        <v>10.869565217391305</v>
      </c>
      <c r="N428" s="71">
        <f>SIP[[#This Row],[Unit Capital]]/10</f>
        <v>460</v>
      </c>
      <c r="O428" s="72">
        <f>SUMIFS(SIP[[#Headers],[Unit]]:SIP[[#This Row],[Unit]],SIP[[#Headers],[Investor ID]]:SIP[[#This Row],[Investor ID]],SIP[[#This Row],[Investor ID]])</f>
        <v>4742</v>
      </c>
      <c r="P428" s="73">
        <v>4600</v>
      </c>
      <c r="Q428" s="74">
        <f>SIP[[#This Row],[Amount]]-SIP[[#This Row],[Unit Capital]]</f>
        <v>400</v>
      </c>
      <c r="R4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10.544074230282579</v>
      </c>
      <c r="S428" s="68">
        <f t="shared" si="19"/>
        <v>14.224</v>
      </c>
      <c r="T4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8" s="74" cm="1">
        <f t="array" ref="U428">IF(SIP[[#This Row],[B/S]]="S",ABS(SIP[[#This Row],[Unit]])*(INDEX(SIP[NAV at Cost (Average)],MATCH(CONCATENATE((SIP[[#This Row],[Frequency]]-1),SIP[[#This Row],[Investor ID]]),SIP[Unique Code],0),0)),0)</f>
        <v>0</v>
      </c>
      <c r="V428" s="74">
        <f>IF(SIP[[#This Row],[BO TRANSFER]]="YES",SIP[[#This Row],[Unit]],)</f>
        <v>0</v>
      </c>
      <c r="W428" s="74">
        <f>SUMIFS(SIP[[#Headers],[BO UNIT TRANSFER]]:SIP[[#This Row],[BO UNIT TRANSFER]],SIP[[#Headers],[Investor ID]]:SIP[[#This Row],[Investor ID]],SIP[[#This Row],[Investor ID]])</f>
        <v>0</v>
      </c>
    </row>
    <row r="429" spans="1:23" ht="15" customHeight="1">
      <c r="A429" s="46">
        <v>2024</v>
      </c>
      <c r="B429" s="46">
        <v>3</v>
      </c>
      <c r="C429" s="46">
        <v>15</v>
      </c>
      <c r="D429" s="65">
        <f>DATE(SIP[[#This Row],[Year]],SIP[[#This Row],[Month]],SIP[[#This Row],[Day]])</f>
        <v>45366</v>
      </c>
      <c r="E429" s="66" t="str" cm="1">
        <f t="array" ref="E429">INDEX(INVESTORS_LIST[INVESTOR NAME],MATCH(SIP[[#This Row],[Investor ID]],INVESTORS_LIST[INVESTOR CODE],0),)</f>
        <v>MD. RAFIQUR RAHMAN</v>
      </c>
      <c r="F429" s="46" t="s">
        <v>622</v>
      </c>
      <c r="G429" s="46">
        <f>COUNTIF(SIP[[#Headers],[Investor ID]]:SIP[[#This Row],[Investor ID]],SIP[[#This Row],[Investor ID]])</f>
        <v>7</v>
      </c>
      <c r="H429" s="46" t="str">
        <f>CONCATENATE(SIP[[#This Row],[Frequency]],SIP[[#This Row],[Investor ID]])</f>
        <v>7A00287</v>
      </c>
      <c r="I429" s="46" t="str">
        <f>IF(SIP[[#This Row],[B/S]]="B","BUY",(IF(SIP[[#This Row],[B/S]]="S","SELL"," ")))</f>
        <v>BUY</v>
      </c>
      <c r="J429" s="46" t="s">
        <v>1229</v>
      </c>
      <c r="K429" s="69">
        <v>20000</v>
      </c>
      <c r="L429" s="69"/>
      <c r="M429" s="70">
        <f>SIP[[#This Row],[Amount]]/SIP[[#This Row],[Unit]]</f>
        <v>10.863661053775122</v>
      </c>
      <c r="N429" s="71">
        <f>SIP[[#This Row],[Unit Capital]]/10</f>
        <v>1841</v>
      </c>
      <c r="O429" s="72">
        <f>SUMIFS(SIP[[#Headers],[Unit]]:SIP[[#This Row],[Unit]],SIP[[#Headers],[Investor ID]]:SIP[[#This Row],[Investor ID]],SIP[[#This Row],[Investor ID]])</f>
        <v>13143</v>
      </c>
      <c r="P429" s="73">
        <v>18410</v>
      </c>
      <c r="Q429" s="74">
        <f>SIP[[#This Row],[Amount]]-SIP[[#This Row],[Unit Capital]]</f>
        <v>1590</v>
      </c>
      <c r="R4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10.652058129802935</v>
      </c>
      <c r="S429" s="68">
        <f t="shared" si="19"/>
        <v>14.224</v>
      </c>
      <c r="T4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9" s="74" cm="1">
        <f t="array" ref="U429">IF(SIP[[#This Row],[B/S]]="S",ABS(SIP[[#This Row],[Unit]])*(INDEX(SIP[NAV at Cost (Average)],MATCH(CONCATENATE((SIP[[#This Row],[Frequency]]-1),SIP[[#This Row],[Investor ID]]),SIP[Unique Code],0),0)),0)</f>
        <v>0</v>
      </c>
      <c r="V429" s="74">
        <f>IF(SIP[[#This Row],[BO TRANSFER]]="YES",SIP[[#This Row],[Unit]],)</f>
        <v>0</v>
      </c>
      <c r="W429" s="74">
        <f>SUMIFS(SIP[[#Headers],[BO UNIT TRANSFER]]:SIP[[#This Row],[BO UNIT TRANSFER]],SIP[[#Headers],[Investor ID]]:SIP[[#This Row],[Investor ID]],SIP[[#This Row],[Investor ID]])</f>
        <v>0</v>
      </c>
    </row>
    <row r="430" spans="1:23" ht="15" customHeight="1">
      <c r="A430" s="46">
        <v>2024</v>
      </c>
      <c r="B430" s="46">
        <v>3</v>
      </c>
      <c r="C430" s="46">
        <v>15</v>
      </c>
      <c r="D430" s="65">
        <f>DATE(SIP[[#This Row],[Year]],SIP[[#This Row],[Month]],SIP[[#This Row],[Day]])</f>
        <v>45366</v>
      </c>
      <c r="E430" s="66" t="str" cm="1">
        <f t="array" ref="E430">INDEX(INVESTORS_LIST[INVESTOR NAME],MATCH(SIP[[#This Row],[Investor ID]],INVESTORS_LIST[INVESTOR CODE],0),)</f>
        <v>CHANCHAL KUMAR SAHA</v>
      </c>
      <c r="F430" s="46" t="s">
        <v>569</v>
      </c>
      <c r="G430" s="46">
        <f>COUNTIF(SIP[[#Headers],[Investor ID]]:SIP[[#This Row],[Investor ID]],SIP[[#This Row],[Investor ID]])</f>
        <v>3</v>
      </c>
      <c r="H430" s="46" t="str">
        <f>CONCATENATE(SIP[[#This Row],[Frequency]],SIP[[#This Row],[Investor ID]])</f>
        <v>3A00260</v>
      </c>
      <c r="I430" s="46" t="str">
        <f>IF(SIP[[#This Row],[B/S]]="B","BUY",(IF(SIP[[#This Row],[B/S]]="S","SELL"," ")))</f>
        <v>BUY</v>
      </c>
      <c r="J430" s="46" t="s">
        <v>1229</v>
      </c>
      <c r="K430" s="69">
        <v>15000</v>
      </c>
      <c r="L430" s="69"/>
      <c r="M430" s="70">
        <f>SIP[[#This Row],[Amount]]/SIP[[#This Row],[Unit]]</f>
        <v>10.861694424330196</v>
      </c>
      <c r="N430" s="71">
        <f>SIP[[#This Row],[Unit Capital]]/10</f>
        <v>1381</v>
      </c>
      <c r="O430" s="72">
        <f>SUMIFS(SIP[[#Headers],[Unit]]:SIP[[#This Row],[Unit]],SIP[[#Headers],[Investor ID]]:SIP[[#This Row],[Investor ID]],SIP[[#This Row],[Investor ID]])</f>
        <v>4228</v>
      </c>
      <c r="P430" s="73">
        <v>13810</v>
      </c>
      <c r="Q430" s="74">
        <f>SIP[[#This Row],[Amount]]-SIP[[#This Row],[Unit Capital]]</f>
        <v>1190</v>
      </c>
      <c r="R4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10.64333017975402</v>
      </c>
      <c r="S430" s="68">
        <f t="shared" si="19"/>
        <v>14.224</v>
      </c>
      <c r="T4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0" s="74" cm="1">
        <f t="array" ref="U430">IF(SIP[[#This Row],[B/S]]="S",ABS(SIP[[#This Row],[Unit]])*(INDEX(SIP[NAV at Cost (Average)],MATCH(CONCATENATE((SIP[[#This Row],[Frequency]]-1),SIP[[#This Row],[Investor ID]]),SIP[Unique Code],0),0)),0)</f>
        <v>0</v>
      </c>
      <c r="V430" s="74">
        <f>IF(SIP[[#This Row],[BO TRANSFER]]="YES",SIP[[#This Row],[Unit]],)</f>
        <v>0</v>
      </c>
      <c r="W430" s="74">
        <f>SUMIFS(SIP[[#Headers],[BO UNIT TRANSFER]]:SIP[[#This Row],[BO UNIT TRANSFER]],SIP[[#Headers],[Investor ID]]:SIP[[#This Row],[Investor ID]],SIP[[#This Row],[Investor ID]])</f>
        <v>0</v>
      </c>
    </row>
    <row r="431" spans="1:23" ht="15" customHeight="1">
      <c r="A431" s="46">
        <v>2024</v>
      </c>
      <c r="B431" s="46">
        <v>3</v>
      </c>
      <c r="C431" s="46">
        <v>26</v>
      </c>
      <c r="D431" s="65">
        <f>DATE(SIP[[#This Row],[Year]],SIP[[#This Row],[Month]],SIP[[#This Row],[Day]])</f>
        <v>45377</v>
      </c>
      <c r="E431" s="66" t="str" cm="1">
        <f t="array" ref="E431">INDEX(INVESTORS_LIST[INVESTOR NAME],MATCH(SIP[[#This Row],[Investor ID]],INVESTORS_LIST[INVESTOR CODE],0),)</f>
        <v>KHAN MUHAMMAD FAISOL</v>
      </c>
      <c r="F431" s="46" t="s">
        <v>930</v>
      </c>
      <c r="G431" s="46">
        <f>COUNTIF(SIP[[#Headers],[Investor ID]]:SIP[[#This Row],[Investor ID]],SIP[[#This Row],[Investor ID]])</f>
        <v>11</v>
      </c>
      <c r="H431" s="46" t="str">
        <f>CONCATENATE(SIP[[#This Row],[Frequency]],SIP[[#This Row],[Investor ID]])</f>
        <v>11A00442</v>
      </c>
      <c r="I431" s="46" t="str">
        <f>IF(SIP[[#This Row],[B/S]]="B","BUY",(IF(SIP[[#This Row],[B/S]]="S","SELL"," ")))</f>
        <v>BUY</v>
      </c>
      <c r="J431" s="46" t="s">
        <v>1229</v>
      </c>
      <c r="K431" s="69">
        <v>1000</v>
      </c>
      <c r="L431" s="69"/>
      <c r="M431" s="70">
        <f>SIP[[#This Row],[Amount]]/SIP[[#This Row],[Unit]]</f>
        <v>10.869565217391305</v>
      </c>
      <c r="N431" s="71">
        <f>SIP[[#This Row],[Unit Capital]]/10</f>
        <v>92</v>
      </c>
      <c r="O431" s="72">
        <f>SUMIFS(SIP[[#Headers],[Unit]]:SIP[[#This Row],[Unit]],SIP[[#Headers],[Investor ID]]:SIP[[#This Row],[Investor ID]],SIP[[#This Row],[Investor ID]])</f>
        <v>1043</v>
      </c>
      <c r="P431" s="73">
        <v>920</v>
      </c>
      <c r="Q431" s="74">
        <f>SIP[[#This Row],[Amount]]-SIP[[#This Row],[Unit Capital]]</f>
        <v>80</v>
      </c>
      <c r="R4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10.546500479386388</v>
      </c>
      <c r="S431" s="68">
        <f t="shared" si="19"/>
        <v>14.224</v>
      </c>
      <c r="T4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1" s="74" cm="1">
        <f t="array" ref="U431">IF(SIP[[#This Row],[B/S]]="S",ABS(SIP[[#This Row],[Unit]])*(INDEX(SIP[NAV at Cost (Average)],MATCH(CONCATENATE((SIP[[#This Row],[Frequency]]-1),SIP[[#This Row],[Investor ID]]),SIP[Unique Code],0),0)),0)</f>
        <v>0</v>
      </c>
      <c r="V431" s="74">
        <f>IF(SIP[[#This Row],[BO TRANSFER]]="YES",SIP[[#This Row],[Unit]],)</f>
        <v>0</v>
      </c>
      <c r="W431" s="74">
        <f>SUMIFS(SIP[[#Headers],[BO UNIT TRANSFER]]:SIP[[#This Row],[BO UNIT TRANSFER]],SIP[[#Headers],[Investor ID]]:SIP[[#This Row],[Investor ID]],SIP[[#This Row],[Investor ID]])</f>
        <v>0</v>
      </c>
    </row>
    <row r="432" spans="1:23" ht="15" customHeight="1">
      <c r="A432" s="46">
        <v>2024</v>
      </c>
      <c r="B432" s="46">
        <v>3</v>
      </c>
      <c r="C432" s="46">
        <v>26</v>
      </c>
      <c r="D432" s="65">
        <f>DATE(SIP[[#This Row],[Year]],SIP[[#This Row],[Month]],SIP[[#This Row],[Day]])</f>
        <v>45377</v>
      </c>
      <c r="E432" s="66" t="str" cm="1">
        <f t="array" ref="E432">INDEX(INVESTORS_LIST[INVESTOR NAME],MATCH(SIP[[#This Row],[Investor ID]],INVESTORS_LIST[INVESTOR CODE],0),)</f>
        <v>MD. ARIFUL ISLAM</v>
      </c>
      <c r="F432" s="46" t="s">
        <v>222</v>
      </c>
      <c r="G432" s="46">
        <f>COUNTIF(SIP[[#Headers],[Investor ID]]:SIP[[#This Row],[Investor ID]],SIP[[#This Row],[Investor ID]])</f>
        <v>11</v>
      </c>
      <c r="H432" s="46" t="str">
        <f>CONCATENATE(SIP[[#This Row],[Frequency]],SIP[[#This Row],[Investor ID]])</f>
        <v>11A00087</v>
      </c>
      <c r="I432" s="46" t="str">
        <f>IF(SIP[[#This Row],[B/S]]="B","BUY",(IF(SIP[[#This Row],[B/S]]="S","SELL"," ")))</f>
        <v>BUY</v>
      </c>
      <c r="J432" s="46" t="s">
        <v>1229</v>
      </c>
      <c r="K432" s="69">
        <v>10000</v>
      </c>
      <c r="L432" s="69"/>
      <c r="M432" s="70">
        <f>SIP[[#This Row],[Amount]]/SIP[[#This Row],[Unit]]</f>
        <v>10.881392818280739</v>
      </c>
      <c r="N432" s="71">
        <f>SIP[[#This Row],[Unit Capital]]/10</f>
        <v>919</v>
      </c>
      <c r="O432" s="72">
        <f>SUMIFS(SIP[[#Headers],[Unit]]:SIP[[#This Row],[Unit]],SIP[[#Headers],[Investor ID]]:SIP[[#This Row],[Investor ID]],SIP[[#This Row],[Investor ID]])</f>
        <v>10439</v>
      </c>
      <c r="P432" s="73">
        <v>9190</v>
      </c>
      <c r="Q432" s="74">
        <f>SIP[[#This Row],[Amount]]-SIP[[#This Row],[Unit Capital]]</f>
        <v>810</v>
      </c>
      <c r="R4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10.537407797681771</v>
      </c>
      <c r="S432" s="68">
        <f t="shared" si="19"/>
        <v>14.224</v>
      </c>
      <c r="T4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2" s="74" cm="1">
        <f t="array" ref="U432">IF(SIP[[#This Row],[B/S]]="S",ABS(SIP[[#This Row],[Unit]])*(INDEX(SIP[NAV at Cost (Average)],MATCH(CONCATENATE((SIP[[#This Row],[Frequency]]-1),SIP[[#This Row],[Investor ID]]),SIP[Unique Code],0),0)),0)</f>
        <v>0</v>
      </c>
      <c r="V432" s="74">
        <f>IF(SIP[[#This Row],[BO TRANSFER]]="YES",SIP[[#This Row],[Unit]],)</f>
        <v>0</v>
      </c>
      <c r="W432" s="74">
        <f>SUMIFS(SIP[[#Headers],[BO UNIT TRANSFER]]:SIP[[#This Row],[BO UNIT TRANSFER]],SIP[[#Headers],[Investor ID]]:SIP[[#This Row],[Investor ID]],SIP[[#This Row],[Investor ID]])</f>
        <v>0</v>
      </c>
    </row>
    <row r="433" spans="1:23" ht="15" customHeight="1">
      <c r="A433" s="46">
        <v>2024</v>
      </c>
      <c r="B433" s="46">
        <v>3</v>
      </c>
      <c r="C433" s="46">
        <v>26</v>
      </c>
      <c r="D433" s="65">
        <f>DATE(SIP[[#This Row],[Year]],SIP[[#This Row],[Month]],SIP[[#This Row],[Day]])</f>
        <v>45377</v>
      </c>
      <c r="E433" s="66" t="str" cm="1">
        <f t="array" ref="E433">INDEX(INVESTORS_LIST[INVESTOR NAME],MATCH(SIP[[#This Row],[Investor ID]],INVESTORS_LIST[INVESTOR CODE],0),)</f>
        <v>SRIJON GHOSH</v>
      </c>
      <c r="F433" s="46" t="s">
        <v>894</v>
      </c>
      <c r="G433" s="46">
        <f>COUNTIF(SIP[[#Headers],[Investor ID]]:SIP[[#This Row],[Investor ID]],SIP[[#This Row],[Investor ID]])</f>
        <v>26</v>
      </c>
      <c r="H433" s="46" t="str">
        <f>CONCATENATE(SIP[[#This Row],[Frequency]],SIP[[#This Row],[Investor ID]])</f>
        <v>26A00424</v>
      </c>
      <c r="I433" s="46" t="str">
        <f>IF(SIP[[#This Row],[B/S]]="B","BUY",(IF(SIP[[#This Row],[B/S]]="S","SELL"," ")))</f>
        <v>BUY</v>
      </c>
      <c r="J433" s="46" t="s">
        <v>1229</v>
      </c>
      <c r="K433" s="69">
        <v>15000</v>
      </c>
      <c r="L433" s="69"/>
      <c r="M433" s="70">
        <f>SIP[[#This Row],[Amount]]/SIP[[#This Row],[Unit]]</f>
        <v>10.885341074020319</v>
      </c>
      <c r="N433" s="71">
        <f>SIP[[#This Row],[Unit Capital]]/10</f>
        <v>1378</v>
      </c>
      <c r="O433" s="72">
        <f>SUMIFS(SIP[[#Headers],[Unit]]:SIP[[#This Row],[Unit]],SIP[[#Headers],[Investor ID]]:SIP[[#This Row],[Investor ID]],SIP[[#This Row],[Investor ID]])</f>
        <v>11102</v>
      </c>
      <c r="P433" s="73">
        <v>13780</v>
      </c>
      <c r="Q433" s="74">
        <f>SIP[[#This Row],[Amount]]-SIP[[#This Row],[Unit Capital]]</f>
        <v>1220</v>
      </c>
      <c r="R4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10.593084310987839</v>
      </c>
      <c r="S433" s="68">
        <f t="shared" si="19"/>
        <v>14.224</v>
      </c>
      <c r="T4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3" s="74" cm="1">
        <f t="array" ref="U433">IF(SIP[[#This Row],[B/S]]="S",ABS(SIP[[#This Row],[Unit]])*(INDEX(SIP[NAV at Cost (Average)],MATCH(CONCATENATE((SIP[[#This Row],[Frequency]]-1),SIP[[#This Row],[Investor ID]]),SIP[Unique Code],0),0)),0)</f>
        <v>0</v>
      </c>
      <c r="V433" s="74">
        <f>IF(SIP[[#This Row],[BO TRANSFER]]="YES",SIP[[#This Row],[Unit]],)</f>
        <v>0</v>
      </c>
      <c r="W433" s="74">
        <f>SUMIFS(SIP[[#Headers],[BO UNIT TRANSFER]]:SIP[[#This Row],[BO UNIT TRANSFER]],SIP[[#Headers],[Investor ID]]:SIP[[#This Row],[Investor ID]],SIP[[#This Row],[Investor ID]])</f>
        <v>0</v>
      </c>
    </row>
    <row r="434" spans="1:23" ht="15" customHeight="1">
      <c r="A434" s="46">
        <v>2024</v>
      </c>
      <c r="B434" s="46">
        <v>3</v>
      </c>
      <c r="C434" s="46">
        <v>26</v>
      </c>
      <c r="D434" s="65">
        <f>DATE(SIP[[#This Row],[Year]],SIP[[#This Row],[Month]],SIP[[#This Row],[Day]])</f>
        <v>45377</v>
      </c>
      <c r="E434" s="66" t="str" cm="1">
        <f t="array" ref="E434">INDEX(INVESTORS_LIST[INVESTOR NAME],MATCH(SIP[[#This Row],[Investor ID]],INVESTORS_LIST[INVESTOR CODE],0),)</f>
        <v>NUSRAT JAHAN TISHA</v>
      </c>
      <c r="F434" s="46" t="s">
        <v>926</v>
      </c>
      <c r="G434" s="46">
        <f>COUNTIF(SIP[[#Headers],[Investor ID]]:SIP[[#This Row],[Investor ID]],SIP[[#This Row],[Investor ID]])</f>
        <v>8</v>
      </c>
      <c r="H434" s="46" t="str">
        <f>CONCATENATE(SIP[[#This Row],[Frequency]],SIP[[#This Row],[Investor ID]])</f>
        <v>8A00440</v>
      </c>
      <c r="I434" s="46" t="str">
        <f>IF(SIP[[#This Row],[B/S]]="B","BUY",(IF(SIP[[#This Row],[B/S]]="S","SELL"," ")))</f>
        <v>BUY</v>
      </c>
      <c r="J434" s="46" t="s">
        <v>1229</v>
      </c>
      <c r="K434" s="69">
        <v>5000</v>
      </c>
      <c r="L434" s="69"/>
      <c r="M434" s="70">
        <f>SIP[[#This Row],[Amount]]/SIP[[#This Row],[Unit]]</f>
        <v>10.893246187363834</v>
      </c>
      <c r="N434" s="71">
        <f>SIP[[#This Row],[Unit Capital]]/10</f>
        <v>459</v>
      </c>
      <c r="O434" s="72">
        <f>SUMIFS(SIP[[#Headers],[Unit]]:SIP[[#This Row],[Unit]],SIP[[#Headers],[Investor ID]]:SIP[[#This Row],[Investor ID]],SIP[[#This Row],[Investor ID]])</f>
        <v>3758</v>
      </c>
      <c r="P434" s="73">
        <v>4590</v>
      </c>
      <c r="Q434" s="74">
        <f>SIP[[#This Row],[Amount]]-SIP[[#This Row],[Unit Capital]]</f>
        <v>410</v>
      </c>
      <c r="R4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10.643959552953701</v>
      </c>
      <c r="S434" s="68">
        <f t="shared" si="19"/>
        <v>14.224</v>
      </c>
      <c r="T4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4" s="74" cm="1">
        <f t="array" ref="U434">IF(SIP[[#This Row],[B/S]]="S",ABS(SIP[[#This Row],[Unit]])*(INDEX(SIP[NAV at Cost (Average)],MATCH(CONCATENATE((SIP[[#This Row],[Frequency]]-1),SIP[[#This Row],[Investor ID]]),SIP[Unique Code],0),0)),0)</f>
        <v>0</v>
      </c>
      <c r="V434" s="74">
        <f>IF(SIP[[#This Row],[BO TRANSFER]]="YES",SIP[[#This Row],[Unit]],)</f>
        <v>0</v>
      </c>
      <c r="W434" s="74">
        <f>SUMIFS(SIP[[#Headers],[BO UNIT TRANSFER]]:SIP[[#This Row],[BO UNIT TRANSFER]],SIP[[#Headers],[Investor ID]]:SIP[[#This Row],[Investor ID]],SIP[[#This Row],[Investor ID]])</f>
        <v>0</v>
      </c>
    </row>
    <row r="435" spans="1:23" ht="15" customHeight="1">
      <c r="A435" s="46">
        <v>2024</v>
      </c>
      <c r="B435" s="46">
        <v>3</v>
      </c>
      <c r="C435" s="46">
        <v>26</v>
      </c>
      <c r="D435" s="65">
        <f>DATE(SIP[[#This Row],[Year]],SIP[[#This Row],[Month]],SIP[[#This Row],[Day]])</f>
        <v>45377</v>
      </c>
      <c r="E435" s="66" t="str" cm="1">
        <f t="array" ref="E435">INDEX(INVESTORS_LIST[INVESTOR NAME],MATCH(SIP[[#This Row],[Investor ID]],INVESTORS_LIST[INVESTOR CODE],0),)</f>
        <v>SRIJON GHOSH</v>
      </c>
      <c r="F435" s="46" t="s">
        <v>894</v>
      </c>
      <c r="G435" s="46">
        <f>COUNTIF(SIP[[#Headers],[Investor ID]]:SIP[[#This Row],[Investor ID]],SIP[[#This Row],[Investor ID]])</f>
        <v>27</v>
      </c>
      <c r="H435" s="46" t="str">
        <f>CONCATENATE(SIP[[#This Row],[Frequency]],SIP[[#This Row],[Investor ID]])</f>
        <v>27A00424</v>
      </c>
      <c r="I435" s="46" t="str">
        <f>IF(SIP[[#This Row],[B/S]]="B","BUY",(IF(SIP[[#This Row],[B/S]]="S","SELL"," ")))</f>
        <v>BUY</v>
      </c>
      <c r="J435" s="46" t="s">
        <v>1229</v>
      </c>
      <c r="K435" s="69">
        <v>5000</v>
      </c>
      <c r="L435" s="69"/>
      <c r="M435" s="70">
        <f>SIP[[#This Row],[Amount]]/SIP[[#This Row],[Unit]]</f>
        <v>10.893246187363834</v>
      </c>
      <c r="N435" s="71">
        <f>SIP[[#This Row],[Unit Capital]]/10</f>
        <v>459</v>
      </c>
      <c r="O435" s="72">
        <f>SUMIFS(SIP[[#Headers],[Unit]]:SIP[[#This Row],[Unit]],SIP[[#Headers],[Investor ID]]:SIP[[#This Row],[Investor ID]],SIP[[#This Row],[Investor ID]])</f>
        <v>11561</v>
      </c>
      <c r="P435" s="73">
        <v>4590</v>
      </c>
      <c r="Q435" s="74">
        <f>SIP[[#This Row],[Amount]]-SIP[[#This Row],[Unit Capital]]</f>
        <v>410</v>
      </c>
      <c r="R4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10.60500147224176</v>
      </c>
      <c r="S435" s="68">
        <f t="shared" si="19"/>
        <v>14.224</v>
      </c>
      <c r="T4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5" s="74" cm="1">
        <f t="array" ref="U435">IF(SIP[[#This Row],[B/S]]="S",ABS(SIP[[#This Row],[Unit]])*(INDEX(SIP[NAV at Cost (Average)],MATCH(CONCATENATE((SIP[[#This Row],[Frequency]]-1),SIP[[#This Row],[Investor ID]]),SIP[Unique Code],0),0)),0)</f>
        <v>0</v>
      </c>
      <c r="V435" s="74">
        <f>IF(SIP[[#This Row],[BO TRANSFER]]="YES",SIP[[#This Row],[Unit]],)</f>
        <v>0</v>
      </c>
      <c r="W435" s="74">
        <f>SUMIFS(SIP[[#Headers],[BO UNIT TRANSFER]]:SIP[[#This Row],[BO UNIT TRANSFER]],SIP[[#Headers],[Investor ID]]:SIP[[#This Row],[Investor ID]],SIP[[#This Row],[Investor ID]])</f>
        <v>0</v>
      </c>
    </row>
    <row r="436" spans="1:23" ht="15" customHeight="1">
      <c r="A436" s="46">
        <v>2024</v>
      </c>
      <c r="B436" s="46">
        <v>3</v>
      </c>
      <c r="C436" s="46">
        <v>26</v>
      </c>
      <c r="D436" s="65">
        <f>DATE(SIP[[#This Row],[Year]],SIP[[#This Row],[Month]],SIP[[#This Row],[Day]])</f>
        <v>45377</v>
      </c>
      <c r="E436" s="66" t="str" cm="1">
        <f t="array" ref="E436">INDEX(INVESTORS_LIST[INVESTOR NAME],MATCH(SIP[[#This Row],[Investor ID]],INVESTORS_LIST[INVESTOR CODE],0),)</f>
        <v>MAHFUZUL ISLAM</v>
      </c>
      <c r="F436" s="46" t="s">
        <v>473</v>
      </c>
      <c r="G436" s="46">
        <f>COUNTIF(SIP[[#Headers],[Investor ID]]:SIP[[#This Row],[Investor ID]],SIP[[#This Row],[Investor ID]])</f>
        <v>2</v>
      </c>
      <c r="H436" s="46" t="str">
        <f>CONCATENATE(SIP[[#This Row],[Frequency]],SIP[[#This Row],[Investor ID]])</f>
        <v>2A00212</v>
      </c>
      <c r="I436" s="46" t="str">
        <f>IF(SIP[[#This Row],[B/S]]="B","BUY",(IF(SIP[[#This Row],[B/S]]="S","SELL"," ")))</f>
        <v>BUY</v>
      </c>
      <c r="J436" s="46" t="s">
        <v>1229</v>
      </c>
      <c r="K436" s="69">
        <v>1000</v>
      </c>
      <c r="L436" s="122" t="s">
        <v>1230</v>
      </c>
      <c r="M436" s="70">
        <f>SIP[[#This Row],[Amount]]/SIP[[#This Row],[Unit]]</f>
        <v>10.869565217391305</v>
      </c>
      <c r="N436" s="71">
        <f>SIP[[#This Row],[Unit Capital]]/10</f>
        <v>92</v>
      </c>
      <c r="O436" s="72">
        <f>SUMIFS(SIP[[#Headers],[Unit]]:SIP[[#This Row],[Unit]],SIP[[#Headers],[Investor ID]]:SIP[[#This Row],[Investor ID]],SIP[[#This Row],[Investor ID]])</f>
        <v>184</v>
      </c>
      <c r="P436" s="73">
        <v>920</v>
      </c>
      <c r="Q436" s="74">
        <f>SIP[[#This Row],[Amount]]-SIP[[#This Row],[Unit Capital]]</f>
        <v>80</v>
      </c>
      <c r="R4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10.869565217391305</v>
      </c>
      <c r="S436" s="68">
        <f t="shared" si="19"/>
        <v>14.224</v>
      </c>
      <c r="T4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6" s="74" cm="1">
        <f t="array" ref="U436">IF(SIP[[#This Row],[B/S]]="S",ABS(SIP[[#This Row],[Unit]])*(INDEX(SIP[NAV at Cost (Average)],MATCH(CONCATENATE((SIP[[#This Row],[Frequency]]-1),SIP[[#This Row],[Investor ID]]),SIP[Unique Code],0),0)),0)</f>
        <v>0</v>
      </c>
      <c r="V436" s="74">
        <f>IF(SIP[[#This Row],[BO TRANSFER]]="YES",SIP[[#This Row],[Unit]],)</f>
        <v>92</v>
      </c>
      <c r="W436" s="74">
        <f>SUMIFS(SIP[[#Headers],[BO UNIT TRANSFER]]:SIP[[#This Row],[BO UNIT TRANSFER]],SIP[[#Headers],[Investor ID]]:SIP[[#This Row],[Investor ID]],SIP[[#This Row],[Investor ID]])</f>
        <v>184</v>
      </c>
    </row>
    <row r="437" spans="1:23" ht="15" customHeight="1">
      <c r="A437" s="46">
        <v>2024</v>
      </c>
      <c r="B437" s="46">
        <v>3</v>
      </c>
      <c r="C437" s="46">
        <v>26</v>
      </c>
      <c r="D437" s="65">
        <f>DATE(SIP[[#This Row],[Year]],SIP[[#This Row],[Month]],SIP[[#This Row],[Day]])</f>
        <v>45377</v>
      </c>
      <c r="E437" s="66" t="str" cm="1">
        <f t="array" ref="E437">INDEX(INVESTORS_LIST[INVESTOR NAME],MATCH(SIP[[#This Row],[Investor ID]],INVESTORS_LIST[INVESTOR CODE],0),)</f>
        <v>SADIA PARVIN</v>
      </c>
      <c r="F437" s="46" t="s">
        <v>1018</v>
      </c>
      <c r="G437" s="46">
        <f>COUNTIF(SIP[[#Headers],[Investor ID]]:SIP[[#This Row],[Investor ID]],SIP[[#This Row],[Investor ID]])</f>
        <v>11</v>
      </c>
      <c r="H437" s="46" t="str">
        <f>CONCATENATE(SIP[[#This Row],[Frequency]],SIP[[#This Row],[Investor ID]])</f>
        <v>11A00486</v>
      </c>
      <c r="I437" s="46" t="str">
        <f>IF(SIP[[#This Row],[B/S]]="B","BUY",(IF(SIP[[#This Row],[B/S]]="S","SELL"," ")))</f>
        <v>BUY</v>
      </c>
      <c r="J437" s="46" t="s">
        <v>1229</v>
      </c>
      <c r="K437" s="69">
        <v>5000</v>
      </c>
      <c r="L437" s="69"/>
      <c r="M437" s="70">
        <f>SIP[[#This Row],[Amount]]/SIP[[#This Row],[Unit]]</f>
        <v>10.893246187363834</v>
      </c>
      <c r="N437" s="71">
        <f>SIP[[#This Row],[Unit Capital]]/10</f>
        <v>459</v>
      </c>
      <c r="O437" s="72">
        <f>SUMIFS(SIP[[#Headers],[Unit]]:SIP[[#This Row],[Unit]],SIP[[#Headers],[Investor ID]]:SIP[[#This Row],[Investor ID]],SIP[[#This Row],[Investor ID]])</f>
        <v>5217</v>
      </c>
      <c r="P437" s="73">
        <v>4590</v>
      </c>
      <c r="Q437" s="74">
        <f>SIP[[#This Row],[Amount]]-SIP[[#This Row],[Unit Capital]]</f>
        <v>410</v>
      </c>
      <c r="R4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10.54245735096799</v>
      </c>
      <c r="S437" s="68">
        <f t="shared" si="19"/>
        <v>14.224</v>
      </c>
      <c r="T4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7" s="74" cm="1">
        <f t="array" ref="U437">IF(SIP[[#This Row],[B/S]]="S",ABS(SIP[[#This Row],[Unit]])*(INDEX(SIP[NAV at Cost (Average)],MATCH(CONCATENATE((SIP[[#This Row],[Frequency]]-1),SIP[[#This Row],[Investor ID]]),SIP[Unique Code],0),0)),0)</f>
        <v>0</v>
      </c>
      <c r="V437" s="74">
        <f>IF(SIP[[#This Row],[BO TRANSFER]]="YES",SIP[[#This Row],[Unit]],)</f>
        <v>0</v>
      </c>
      <c r="W437" s="74">
        <f>SUMIFS(SIP[[#Headers],[BO UNIT TRANSFER]]:SIP[[#This Row],[BO UNIT TRANSFER]],SIP[[#Headers],[Investor ID]]:SIP[[#This Row],[Investor ID]],SIP[[#This Row],[Investor ID]])</f>
        <v>0</v>
      </c>
    </row>
    <row r="438" spans="1:23" ht="15" customHeight="1">
      <c r="A438" s="46">
        <v>2024</v>
      </c>
      <c r="B438" s="46">
        <v>3</v>
      </c>
      <c r="C438" s="46">
        <v>26</v>
      </c>
      <c r="D438" s="65">
        <f>DATE(SIP[[#This Row],[Year]],SIP[[#This Row],[Month]],SIP[[#This Row],[Day]])</f>
        <v>45377</v>
      </c>
      <c r="E438" s="66" t="str" cm="1">
        <f t="array" ref="E438">INDEX(INVESTORS_LIST[INVESTOR NAME],MATCH(SIP[[#This Row],[Investor ID]],INVESTORS_LIST[INVESTOR CODE],0),)</f>
        <v>MD. WALI ULLAH</v>
      </c>
      <c r="F438" s="46" t="s">
        <v>443</v>
      </c>
      <c r="G438" s="46">
        <f>COUNTIF(SIP[[#Headers],[Investor ID]]:SIP[[#This Row],[Investor ID]],SIP[[#This Row],[Investor ID]])</f>
        <v>11</v>
      </c>
      <c r="H438" s="46" t="str">
        <f>CONCATENATE(SIP[[#This Row],[Frequency]],SIP[[#This Row],[Investor ID]])</f>
        <v>11A00197</v>
      </c>
      <c r="I438" s="46" t="str">
        <f>IF(SIP[[#This Row],[B/S]]="B","BUY",(IF(SIP[[#This Row],[B/S]]="S","SELL"," ")))</f>
        <v>BUY</v>
      </c>
      <c r="J438" s="46" t="s">
        <v>1229</v>
      </c>
      <c r="K438" s="69">
        <v>15000</v>
      </c>
      <c r="L438" s="69"/>
      <c r="M438" s="70">
        <f>SIP[[#This Row],[Amount]]/SIP[[#This Row],[Unit]]</f>
        <v>10.885341074020319</v>
      </c>
      <c r="N438" s="71">
        <f>SIP[[#This Row],[Unit Capital]]/10</f>
        <v>1378</v>
      </c>
      <c r="O438" s="72">
        <f>SUMIFS(SIP[[#Headers],[Unit]]:SIP[[#This Row],[Unit]],SIP[[#Headers],[Investor ID]]:SIP[[#This Row],[Investor ID]],SIP[[#This Row],[Investor ID]])</f>
        <v>15660</v>
      </c>
      <c r="P438" s="73">
        <v>13780</v>
      </c>
      <c r="Q438" s="74">
        <f>SIP[[#This Row],[Amount]]-SIP[[#This Row],[Unit Capital]]</f>
        <v>1220</v>
      </c>
      <c r="R4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10.536398467432948</v>
      </c>
      <c r="S438" s="68">
        <f t="shared" si="19"/>
        <v>14.224</v>
      </c>
      <c r="T4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8" s="74" cm="1">
        <f t="array" ref="U438">IF(SIP[[#This Row],[B/S]]="S",ABS(SIP[[#This Row],[Unit]])*(INDEX(SIP[NAV at Cost (Average)],MATCH(CONCATENATE((SIP[[#This Row],[Frequency]]-1),SIP[[#This Row],[Investor ID]]),SIP[Unique Code],0),0)),0)</f>
        <v>0</v>
      </c>
      <c r="V438" s="74">
        <f>IF(SIP[[#This Row],[BO TRANSFER]]="YES",SIP[[#This Row],[Unit]],)</f>
        <v>0</v>
      </c>
      <c r="W438" s="74">
        <f>SUMIFS(SIP[[#Headers],[BO UNIT TRANSFER]]:SIP[[#This Row],[BO UNIT TRANSFER]],SIP[[#Headers],[Investor ID]]:SIP[[#This Row],[Investor ID]],SIP[[#This Row],[Investor ID]])</f>
        <v>0</v>
      </c>
    </row>
    <row r="439" spans="1:23" ht="15" customHeight="1">
      <c r="A439" s="46">
        <v>2024</v>
      </c>
      <c r="B439" s="46">
        <v>3</v>
      </c>
      <c r="C439" s="46">
        <v>26</v>
      </c>
      <c r="D439" s="65">
        <f>DATE(SIP[[#This Row],[Year]],SIP[[#This Row],[Month]],SIP[[#This Row],[Day]])</f>
        <v>45377</v>
      </c>
      <c r="E439" s="66" t="str" cm="1">
        <f t="array" ref="E439">INDEX(INVESTORS_LIST[INVESTOR NAME],MATCH(SIP[[#This Row],[Investor ID]],INVESTORS_LIST[INVESTOR CODE],0),)</f>
        <v>SIKDER FAZLE RABBI</v>
      </c>
      <c r="F439" s="46" t="s">
        <v>1032</v>
      </c>
      <c r="G439" s="46">
        <f>COUNTIF(SIP[[#Headers],[Investor ID]]:SIP[[#This Row],[Investor ID]],SIP[[#This Row],[Investor ID]])</f>
        <v>10</v>
      </c>
      <c r="H439" s="46" t="str">
        <f>CONCATENATE(SIP[[#This Row],[Frequency]],SIP[[#This Row],[Investor ID]])</f>
        <v>10A00493</v>
      </c>
      <c r="I439" s="46" t="str">
        <f>IF(SIP[[#This Row],[B/S]]="B","BUY",(IF(SIP[[#This Row],[B/S]]="S","SELL"," ")))</f>
        <v>BUY</v>
      </c>
      <c r="J439" s="46" t="s">
        <v>1229</v>
      </c>
      <c r="K439" s="69">
        <v>5000</v>
      </c>
      <c r="L439" s="69"/>
      <c r="M439" s="70">
        <f>SIP[[#This Row],[Amount]]/SIP[[#This Row],[Unit]]</f>
        <v>10.893246187363834</v>
      </c>
      <c r="N439" s="71">
        <f>SIP[[#This Row],[Unit Capital]]/10</f>
        <v>459</v>
      </c>
      <c r="O439" s="72">
        <f>SUMIFS(SIP[[#Headers],[Unit]]:SIP[[#This Row],[Unit]],SIP[[#Headers],[Investor ID]]:SIP[[#This Row],[Investor ID]],SIP[[#This Row],[Investor ID]])</f>
        <v>4728</v>
      </c>
      <c r="P439" s="73">
        <v>4590</v>
      </c>
      <c r="Q439" s="74">
        <f>SIP[[#This Row],[Amount]]-SIP[[#This Row],[Unit Capital]]</f>
        <v>410</v>
      </c>
      <c r="R4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39" s="68">
        <f t="shared" si="19"/>
        <v>14.224</v>
      </c>
      <c r="T4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9" s="74" cm="1">
        <f t="array" ref="U439">IF(SIP[[#This Row],[B/S]]="S",ABS(SIP[[#This Row],[Unit]])*(INDEX(SIP[NAV at Cost (Average)],MATCH(CONCATENATE((SIP[[#This Row],[Frequency]]-1),SIP[[#This Row],[Investor ID]]),SIP[Unique Code],0),0)),0)</f>
        <v>0</v>
      </c>
      <c r="V439" s="74">
        <f>IF(SIP[[#This Row],[BO TRANSFER]]="YES",SIP[[#This Row],[Unit]],)</f>
        <v>0</v>
      </c>
      <c r="W439" s="74">
        <f>SUMIFS(SIP[[#Headers],[BO UNIT TRANSFER]]:SIP[[#This Row],[BO UNIT TRANSFER]],SIP[[#Headers],[Investor ID]]:SIP[[#This Row],[Investor ID]],SIP[[#This Row],[Investor ID]])</f>
        <v>0</v>
      </c>
    </row>
    <row r="440" spans="1:23" ht="15" customHeight="1">
      <c r="A440" s="46">
        <v>2024</v>
      </c>
      <c r="B440" s="46">
        <v>3</v>
      </c>
      <c r="C440" s="46">
        <v>26</v>
      </c>
      <c r="D440" s="65">
        <f>DATE(SIP[[#This Row],[Year]],SIP[[#This Row],[Month]],SIP[[#This Row],[Day]])</f>
        <v>45377</v>
      </c>
      <c r="E440" s="66" t="str" cm="1">
        <f t="array" ref="E440">INDEX(INVESTORS_LIST[INVESTOR NAME],MATCH(SIP[[#This Row],[Investor ID]],INVESTORS_LIST[INVESTOR CODE],0),)</f>
        <v>MOHAMMAD HASAN</v>
      </c>
      <c r="F440" s="46" t="s">
        <v>1010</v>
      </c>
      <c r="G440" s="46">
        <f>COUNTIF(SIP[[#Headers],[Investor ID]]:SIP[[#This Row],[Investor ID]],SIP[[#This Row],[Investor ID]])</f>
        <v>10</v>
      </c>
      <c r="H440" s="46" t="str">
        <f>CONCATENATE(SIP[[#This Row],[Frequency]],SIP[[#This Row],[Investor ID]])</f>
        <v>10A00482</v>
      </c>
      <c r="I440" s="46" t="str">
        <f>IF(SIP[[#This Row],[B/S]]="B","BUY",(IF(SIP[[#This Row],[B/S]]="S","SELL"," ")))</f>
        <v>BUY</v>
      </c>
      <c r="J440" s="46" t="s">
        <v>1229</v>
      </c>
      <c r="K440" s="69">
        <v>5000</v>
      </c>
      <c r="L440" s="69"/>
      <c r="M440" s="70">
        <f>SIP[[#This Row],[Amount]]/SIP[[#This Row],[Unit]]</f>
        <v>10.893246187363834</v>
      </c>
      <c r="N440" s="71">
        <f>SIP[[#This Row],[Unit Capital]]/10</f>
        <v>459</v>
      </c>
      <c r="O440" s="72">
        <f>SUMIFS(SIP[[#Headers],[Unit]]:SIP[[#This Row],[Unit]],SIP[[#Headers],[Investor ID]]:SIP[[#This Row],[Investor ID]],SIP[[#This Row],[Investor ID]])</f>
        <v>4728</v>
      </c>
      <c r="P440" s="73">
        <v>4590</v>
      </c>
      <c r="Q440" s="74">
        <f>SIP[[#This Row],[Amount]]-SIP[[#This Row],[Unit Capital]]</f>
        <v>410</v>
      </c>
      <c r="R4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0" s="68">
        <f t="shared" si="19"/>
        <v>14.224</v>
      </c>
      <c r="T4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0" s="74" cm="1">
        <f t="array" ref="U440">IF(SIP[[#This Row],[B/S]]="S",ABS(SIP[[#This Row],[Unit]])*(INDEX(SIP[NAV at Cost (Average)],MATCH(CONCATENATE((SIP[[#This Row],[Frequency]]-1),SIP[[#This Row],[Investor ID]]),SIP[Unique Code],0),0)),0)</f>
        <v>0</v>
      </c>
      <c r="V440" s="74">
        <f>IF(SIP[[#This Row],[BO TRANSFER]]="YES",SIP[[#This Row],[Unit]],)</f>
        <v>0</v>
      </c>
      <c r="W440" s="74">
        <f>SUMIFS(SIP[[#Headers],[BO UNIT TRANSFER]]:SIP[[#This Row],[BO UNIT TRANSFER]],SIP[[#Headers],[Investor ID]]:SIP[[#This Row],[Investor ID]],SIP[[#This Row],[Investor ID]])</f>
        <v>0</v>
      </c>
    </row>
    <row r="441" spans="1:23" ht="15" customHeight="1">
      <c r="A441" s="46">
        <v>2024</v>
      </c>
      <c r="B441" s="46">
        <v>3</v>
      </c>
      <c r="C441" s="46">
        <v>26</v>
      </c>
      <c r="D441" s="65">
        <f>DATE(SIP[[#This Row],[Year]],SIP[[#This Row],[Month]],SIP[[#This Row],[Day]])</f>
        <v>45377</v>
      </c>
      <c r="E441" s="66" t="str" cm="1">
        <f t="array" ref="E441">INDEX(INVESTORS_LIST[INVESTOR NAME],MATCH(SIP[[#This Row],[Investor ID]],INVESTORS_LIST[INVESTOR CODE],0),)</f>
        <v>SAJJAD CHOWDHURY</v>
      </c>
      <c r="F441" s="46" t="s">
        <v>461</v>
      </c>
      <c r="G441" s="46">
        <f>COUNTIF(SIP[[#Headers],[Investor ID]]:SIP[[#This Row],[Investor ID]],SIP[[#This Row],[Investor ID]])</f>
        <v>11</v>
      </c>
      <c r="H441" s="46" t="str">
        <f>CONCATENATE(SIP[[#This Row],[Frequency]],SIP[[#This Row],[Investor ID]])</f>
        <v>11A00206</v>
      </c>
      <c r="I441" s="46" t="str">
        <f>IF(SIP[[#This Row],[B/S]]="B","BUY",(IF(SIP[[#This Row],[B/S]]="S","SELL"," ")))</f>
        <v>BUY</v>
      </c>
      <c r="J441" s="46" t="s">
        <v>1229</v>
      </c>
      <c r="K441" s="69">
        <v>7500</v>
      </c>
      <c r="L441" s="69"/>
      <c r="M441" s="70">
        <f>SIP[[#This Row],[Amount]]/SIP[[#This Row],[Unit]]</f>
        <v>10.885341074020319</v>
      </c>
      <c r="N441" s="71">
        <f>SIP[[#This Row],[Unit Capital]]/10</f>
        <v>689</v>
      </c>
      <c r="O441" s="72">
        <f>SUMIFS(SIP[[#Headers],[Unit]]:SIP[[#This Row],[Unit]],SIP[[#Headers],[Investor ID]]:SIP[[#This Row],[Investor ID]],SIP[[#This Row],[Investor ID]])</f>
        <v>7829</v>
      </c>
      <c r="P441" s="73">
        <v>6890</v>
      </c>
      <c r="Q441" s="74">
        <f>SIP[[#This Row],[Amount]]-SIP[[#This Row],[Unit Capital]]</f>
        <v>610</v>
      </c>
      <c r="R4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10.537744284072039</v>
      </c>
      <c r="S441" s="68">
        <f t="shared" si="19"/>
        <v>14.224</v>
      </c>
      <c r="T4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1" s="74" cm="1">
        <f t="array" ref="U441">IF(SIP[[#This Row],[B/S]]="S",ABS(SIP[[#This Row],[Unit]])*(INDEX(SIP[NAV at Cost (Average)],MATCH(CONCATENATE((SIP[[#This Row],[Frequency]]-1),SIP[[#This Row],[Investor ID]]),SIP[Unique Code],0),0)),0)</f>
        <v>0</v>
      </c>
      <c r="V441" s="74">
        <f>IF(SIP[[#This Row],[BO TRANSFER]]="YES",SIP[[#This Row],[Unit]],)</f>
        <v>0</v>
      </c>
      <c r="W441" s="74">
        <f>SUMIFS(SIP[[#Headers],[BO UNIT TRANSFER]]:SIP[[#This Row],[BO UNIT TRANSFER]],SIP[[#Headers],[Investor ID]]:SIP[[#This Row],[Investor ID]],SIP[[#This Row],[Investor ID]])</f>
        <v>0</v>
      </c>
    </row>
    <row r="442" spans="1:23" ht="15" customHeight="1">
      <c r="A442" s="46">
        <v>2024</v>
      </c>
      <c r="B442" s="46">
        <v>3</v>
      </c>
      <c r="C442" s="46">
        <v>26</v>
      </c>
      <c r="D442" s="65">
        <f>DATE(SIP[[#This Row],[Year]],SIP[[#This Row],[Month]],SIP[[#This Row],[Day]])</f>
        <v>45377</v>
      </c>
      <c r="E442" s="66" t="str" cm="1">
        <f t="array" ref="E442">INDEX(INVESTORS_LIST[INVESTOR NAME],MATCH(SIP[[#This Row],[Investor ID]],INVESTORS_LIST[INVESTOR CODE],0),)</f>
        <v>S.M. SAIFUL ISLAM</v>
      </c>
      <c r="F442" s="46" t="s">
        <v>1002</v>
      </c>
      <c r="G442" s="46">
        <f>COUNTIF(SIP[[#Headers],[Investor ID]]:SIP[[#This Row],[Investor ID]],SIP[[#This Row],[Investor ID]])</f>
        <v>11</v>
      </c>
      <c r="H442" s="46" t="str">
        <f>CONCATENATE(SIP[[#This Row],[Frequency]],SIP[[#This Row],[Investor ID]])</f>
        <v>11A00478</v>
      </c>
      <c r="I442" s="46" t="str">
        <f>IF(SIP[[#This Row],[B/S]]="B","BUY",(IF(SIP[[#This Row],[B/S]]="S","SELL"," ")))</f>
        <v>BUY</v>
      </c>
      <c r="J442" s="46" t="s">
        <v>1229</v>
      </c>
      <c r="K442" s="69">
        <v>10000</v>
      </c>
      <c r="L442" s="69"/>
      <c r="M442" s="70">
        <f>SIP[[#This Row],[Amount]]/SIP[[#This Row],[Unit]]</f>
        <v>10.881392818280739</v>
      </c>
      <c r="N442" s="71">
        <f>SIP[[#This Row],[Unit Capital]]/10</f>
        <v>919</v>
      </c>
      <c r="O442" s="72">
        <f>SUMIFS(SIP[[#Headers],[Unit]]:SIP[[#This Row],[Unit]],SIP[[#Headers],[Investor ID]]:SIP[[#This Row],[Investor ID]],SIP[[#This Row],[Investor ID]])</f>
        <v>10441</v>
      </c>
      <c r="P442" s="73">
        <v>9190</v>
      </c>
      <c r="Q442" s="74">
        <f>SIP[[#This Row],[Amount]]-SIP[[#This Row],[Unit Capital]]</f>
        <v>810</v>
      </c>
      <c r="R4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10.535389330523897</v>
      </c>
      <c r="S442" s="68">
        <f t="shared" si="19"/>
        <v>14.224</v>
      </c>
      <c r="T4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2" s="74" cm="1">
        <f t="array" ref="U442">IF(SIP[[#This Row],[B/S]]="S",ABS(SIP[[#This Row],[Unit]])*(INDEX(SIP[NAV at Cost (Average)],MATCH(CONCATENATE((SIP[[#This Row],[Frequency]]-1),SIP[[#This Row],[Investor ID]]),SIP[Unique Code],0),0)),0)</f>
        <v>0</v>
      </c>
      <c r="V442" s="74">
        <f>IF(SIP[[#This Row],[BO TRANSFER]]="YES",SIP[[#This Row],[Unit]],)</f>
        <v>0</v>
      </c>
      <c r="W442" s="74">
        <f>SUMIFS(SIP[[#Headers],[BO UNIT TRANSFER]]:SIP[[#This Row],[BO UNIT TRANSFER]],SIP[[#Headers],[Investor ID]]:SIP[[#This Row],[Investor ID]],SIP[[#This Row],[Investor ID]])</f>
        <v>0</v>
      </c>
    </row>
    <row r="443" spans="1:23" ht="15" customHeight="1">
      <c r="A443" s="46">
        <v>2024</v>
      </c>
      <c r="B443" s="46">
        <v>3</v>
      </c>
      <c r="C443" s="46">
        <v>26</v>
      </c>
      <c r="D443" s="65">
        <f>DATE(SIP[[#This Row],[Year]],SIP[[#This Row],[Month]],SIP[[#This Row],[Day]])</f>
        <v>45377</v>
      </c>
      <c r="E443" s="66" t="str" cm="1">
        <f t="array" ref="E443">INDEX(INVESTORS_LIST[INVESTOR NAME],MATCH(SIP[[#This Row],[Investor ID]],INVESTORS_LIST[INVESTOR CODE],0),)</f>
        <v>MOHAMMED SHARIFUL ISLAM</v>
      </c>
      <c r="F443" s="46" t="s">
        <v>1028</v>
      </c>
      <c r="G443" s="46">
        <f>COUNTIF(SIP[[#Headers],[Investor ID]]:SIP[[#This Row],[Investor ID]],SIP[[#This Row],[Investor ID]])</f>
        <v>10</v>
      </c>
      <c r="H443" s="46" t="str">
        <f>CONCATENATE(SIP[[#This Row],[Frequency]],SIP[[#This Row],[Investor ID]])</f>
        <v>10A00491</v>
      </c>
      <c r="I443" s="46" t="str">
        <f>IF(SIP[[#This Row],[B/S]]="B","BUY",(IF(SIP[[#This Row],[B/S]]="S","SELL"," ")))</f>
        <v>BUY</v>
      </c>
      <c r="J443" s="46" t="s">
        <v>1229</v>
      </c>
      <c r="K443" s="69">
        <v>5000</v>
      </c>
      <c r="L443" s="69"/>
      <c r="M443" s="70">
        <f>SIP[[#This Row],[Amount]]/SIP[[#This Row],[Unit]]</f>
        <v>10.893246187363834</v>
      </c>
      <c r="N443" s="71">
        <f>SIP[[#This Row],[Unit Capital]]/10</f>
        <v>459</v>
      </c>
      <c r="O443" s="72">
        <f>SUMIFS(SIP[[#Headers],[Unit]]:SIP[[#This Row],[Unit]],SIP[[#Headers],[Investor ID]]:SIP[[#This Row],[Investor ID]],SIP[[#This Row],[Investor ID]])</f>
        <v>4728</v>
      </c>
      <c r="P443" s="73">
        <v>4590</v>
      </c>
      <c r="Q443" s="74">
        <f>SIP[[#This Row],[Amount]]-SIP[[#This Row],[Unit Capital]]</f>
        <v>410</v>
      </c>
      <c r="R4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3" s="68">
        <f t="shared" si="19"/>
        <v>14.224</v>
      </c>
      <c r="T4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3" s="74" cm="1">
        <f t="array" ref="U443">IF(SIP[[#This Row],[B/S]]="S",ABS(SIP[[#This Row],[Unit]])*(INDEX(SIP[NAV at Cost (Average)],MATCH(CONCATENATE((SIP[[#This Row],[Frequency]]-1),SIP[[#This Row],[Investor ID]]),SIP[Unique Code],0),0)),0)</f>
        <v>0</v>
      </c>
      <c r="V443" s="74">
        <f>IF(SIP[[#This Row],[BO TRANSFER]]="YES",SIP[[#This Row],[Unit]],)</f>
        <v>0</v>
      </c>
      <c r="W443" s="74">
        <f>SUMIFS(SIP[[#Headers],[BO UNIT TRANSFER]]:SIP[[#This Row],[BO UNIT TRANSFER]],SIP[[#Headers],[Investor ID]]:SIP[[#This Row],[Investor ID]],SIP[[#This Row],[Investor ID]])</f>
        <v>0</v>
      </c>
    </row>
    <row r="444" spans="1:23" ht="15" customHeight="1">
      <c r="A444" s="46">
        <v>2024</v>
      </c>
      <c r="B444" s="46">
        <v>3</v>
      </c>
      <c r="C444" s="46">
        <v>26</v>
      </c>
      <c r="D444" s="65">
        <f>DATE(SIP[[#This Row],[Year]],SIP[[#This Row],[Month]],SIP[[#This Row],[Day]])</f>
        <v>45377</v>
      </c>
      <c r="E444" s="66" t="str" cm="1">
        <f t="array" ref="E444">INDEX(INVESTORS_LIST[INVESTOR NAME],MATCH(SIP[[#This Row],[Investor ID]],INVESTORS_LIST[INVESTOR CODE],0),)</f>
        <v>ABU MUSA MIRZA KAMRUZZAMAN SHAHEE</v>
      </c>
      <c r="F444" s="46" t="s">
        <v>1012</v>
      </c>
      <c r="G444" s="46">
        <f>COUNTIF(SIP[[#Headers],[Investor ID]]:SIP[[#This Row],[Investor ID]],SIP[[#This Row],[Investor ID]])</f>
        <v>10</v>
      </c>
      <c r="H444" s="46" t="str">
        <f>CONCATENATE(SIP[[#This Row],[Frequency]],SIP[[#This Row],[Investor ID]])</f>
        <v>10A00483</v>
      </c>
      <c r="I444" s="46" t="str">
        <f>IF(SIP[[#This Row],[B/S]]="B","BUY",(IF(SIP[[#This Row],[B/S]]="S","SELL"," ")))</f>
        <v>BUY</v>
      </c>
      <c r="J444" s="46" t="s">
        <v>1229</v>
      </c>
      <c r="K444" s="69">
        <v>5000</v>
      </c>
      <c r="L444" s="69"/>
      <c r="M444" s="70">
        <f>SIP[[#This Row],[Amount]]/SIP[[#This Row],[Unit]]</f>
        <v>10.893246187363834</v>
      </c>
      <c r="N444" s="71">
        <f>SIP[[#This Row],[Unit Capital]]/10</f>
        <v>459</v>
      </c>
      <c r="O444" s="72">
        <f>SUMIFS(SIP[[#Headers],[Unit]]:SIP[[#This Row],[Unit]],SIP[[#Headers],[Investor ID]]:SIP[[#This Row],[Investor ID]],SIP[[#This Row],[Investor ID]])</f>
        <v>4728</v>
      </c>
      <c r="P444" s="73">
        <v>4590</v>
      </c>
      <c r="Q444" s="74">
        <f>SIP[[#This Row],[Amount]]-SIP[[#This Row],[Unit Capital]]</f>
        <v>410</v>
      </c>
      <c r="R4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4" s="68">
        <f t="shared" si="19"/>
        <v>14.224</v>
      </c>
      <c r="T4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4" s="74" cm="1">
        <f t="array" ref="U444">IF(SIP[[#This Row],[B/S]]="S",ABS(SIP[[#This Row],[Unit]])*(INDEX(SIP[NAV at Cost (Average)],MATCH(CONCATENATE((SIP[[#This Row],[Frequency]]-1),SIP[[#This Row],[Investor ID]]),SIP[Unique Code],0),0)),0)</f>
        <v>0</v>
      </c>
      <c r="V444" s="74">
        <f>IF(SIP[[#This Row],[BO TRANSFER]]="YES",SIP[[#This Row],[Unit]],)</f>
        <v>0</v>
      </c>
      <c r="W444" s="74">
        <f>SUMIFS(SIP[[#Headers],[BO UNIT TRANSFER]]:SIP[[#This Row],[BO UNIT TRANSFER]],SIP[[#Headers],[Investor ID]]:SIP[[#This Row],[Investor ID]],SIP[[#This Row],[Investor ID]])</f>
        <v>0</v>
      </c>
    </row>
    <row r="445" spans="1:23" ht="15" customHeight="1">
      <c r="A445" s="46">
        <v>2024</v>
      </c>
      <c r="B445" s="46">
        <v>3</v>
      </c>
      <c r="C445" s="46">
        <v>26</v>
      </c>
      <c r="D445" s="65">
        <f>DATE(SIP[[#This Row],[Year]],SIP[[#This Row],[Month]],SIP[[#This Row],[Day]])</f>
        <v>45377</v>
      </c>
      <c r="E445" s="66" t="str" cm="1">
        <f t="array" ref="E445">INDEX(INVESTORS_LIST[INVESTOR NAME],MATCH(SIP[[#This Row],[Investor ID]],INVESTORS_LIST[INVESTOR CODE],0),)</f>
        <v>ASHIK IQBAL CHOWDHURY</v>
      </c>
      <c r="F445" s="46" t="s">
        <v>1016</v>
      </c>
      <c r="G445" s="46">
        <f>COUNTIF(SIP[[#Headers],[Investor ID]]:SIP[[#This Row],[Investor ID]],SIP[[#This Row],[Investor ID]])</f>
        <v>10</v>
      </c>
      <c r="H445" s="46" t="str">
        <f>CONCATENATE(SIP[[#This Row],[Frequency]],SIP[[#This Row],[Investor ID]])</f>
        <v>10A00485</v>
      </c>
      <c r="I445" s="46" t="str">
        <f>IF(SIP[[#This Row],[B/S]]="B","BUY",(IF(SIP[[#This Row],[B/S]]="S","SELL"," ")))</f>
        <v>BUY</v>
      </c>
      <c r="J445" s="46" t="s">
        <v>1229</v>
      </c>
      <c r="K445" s="69">
        <v>5000</v>
      </c>
      <c r="L445" s="69"/>
      <c r="M445" s="70">
        <f>SIP[[#This Row],[Amount]]/SIP[[#This Row],[Unit]]</f>
        <v>10.893246187363834</v>
      </c>
      <c r="N445" s="71">
        <f>SIP[[#This Row],[Unit Capital]]/10</f>
        <v>459</v>
      </c>
      <c r="O445" s="72">
        <f>SUMIFS(SIP[[#Headers],[Unit]]:SIP[[#This Row],[Unit]],SIP[[#Headers],[Investor ID]]:SIP[[#This Row],[Investor ID]],SIP[[#This Row],[Investor ID]])</f>
        <v>4728</v>
      </c>
      <c r="P445" s="73">
        <v>4590</v>
      </c>
      <c r="Q445" s="74">
        <f>SIP[[#This Row],[Amount]]-SIP[[#This Row],[Unit Capital]]</f>
        <v>410</v>
      </c>
      <c r="R4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5" s="68">
        <f t="shared" si="19"/>
        <v>14.224</v>
      </c>
      <c r="T4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5" s="74" cm="1">
        <f t="array" ref="U445">IF(SIP[[#This Row],[B/S]]="S",ABS(SIP[[#This Row],[Unit]])*(INDEX(SIP[NAV at Cost (Average)],MATCH(CONCATENATE((SIP[[#This Row],[Frequency]]-1),SIP[[#This Row],[Investor ID]]),SIP[Unique Code],0),0)),0)</f>
        <v>0</v>
      </c>
      <c r="V445" s="74">
        <f>IF(SIP[[#This Row],[BO TRANSFER]]="YES",SIP[[#This Row],[Unit]],)</f>
        <v>0</v>
      </c>
      <c r="W445" s="74">
        <f>SUMIFS(SIP[[#Headers],[BO UNIT TRANSFER]]:SIP[[#This Row],[BO UNIT TRANSFER]],SIP[[#Headers],[Investor ID]]:SIP[[#This Row],[Investor ID]],SIP[[#This Row],[Investor ID]])</f>
        <v>0</v>
      </c>
    </row>
    <row r="446" spans="1:23" ht="15" customHeight="1">
      <c r="A446" s="46">
        <v>2024</v>
      </c>
      <c r="B446" s="46">
        <v>3</v>
      </c>
      <c r="C446" s="46">
        <v>26</v>
      </c>
      <c r="D446" s="65">
        <f>DATE(SIP[[#This Row],[Year]],SIP[[#This Row],[Month]],SIP[[#This Row],[Day]])</f>
        <v>45377</v>
      </c>
      <c r="E446" s="66" t="str" cm="1">
        <f t="array" ref="E446">INDEX(INVESTORS_LIST[INVESTOR NAME],MATCH(SIP[[#This Row],[Investor ID]],INVESTORS_LIST[INVESTOR CODE],0),)</f>
        <v>SUMAN SAHA</v>
      </c>
      <c r="F446" s="46" t="s">
        <v>1022</v>
      </c>
      <c r="G446" s="46">
        <f>COUNTIF(SIP[[#Headers],[Investor ID]]:SIP[[#This Row],[Investor ID]],SIP[[#This Row],[Investor ID]])</f>
        <v>10</v>
      </c>
      <c r="H446" s="46" t="str">
        <f>CONCATENATE(SIP[[#This Row],[Frequency]],SIP[[#This Row],[Investor ID]])</f>
        <v>10A00488</v>
      </c>
      <c r="I446" s="46" t="str">
        <f>IF(SIP[[#This Row],[B/S]]="B","BUY",(IF(SIP[[#This Row],[B/S]]="S","SELL"," ")))</f>
        <v>BUY</v>
      </c>
      <c r="J446" s="46" t="s">
        <v>1229</v>
      </c>
      <c r="K446" s="69">
        <v>5000</v>
      </c>
      <c r="L446" s="69"/>
      <c r="M446" s="70">
        <f>SIP[[#This Row],[Amount]]/SIP[[#This Row],[Unit]]</f>
        <v>10.893246187363834</v>
      </c>
      <c r="N446" s="71">
        <f>SIP[[#This Row],[Unit Capital]]/10</f>
        <v>459</v>
      </c>
      <c r="O446" s="72">
        <f>SUMIFS(SIP[[#Headers],[Unit]]:SIP[[#This Row],[Unit]],SIP[[#Headers],[Investor ID]]:SIP[[#This Row],[Investor ID]],SIP[[#This Row],[Investor ID]])</f>
        <v>4728</v>
      </c>
      <c r="P446" s="73">
        <v>4590</v>
      </c>
      <c r="Q446" s="74">
        <f>SIP[[#This Row],[Amount]]-SIP[[#This Row],[Unit Capital]]</f>
        <v>410</v>
      </c>
      <c r="R4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6" s="68">
        <f t="shared" si="19"/>
        <v>14.224</v>
      </c>
      <c r="T4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6" s="74" cm="1">
        <f t="array" ref="U446">IF(SIP[[#This Row],[B/S]]="S",ABS(SIP[[#This Row],[Unit]])*(INDEX(SIP[NAV at Cost (Average)],MATCH(CONCATENATE((SIP[[#This Row],[Frequency]]-1),SIP[[#This Row],[Investor ID]]),SIP[Unique Code],0),0)),0)</f>
        <v>0</v>
      </c>
      <c r="V446" s="74">
        <f>IF(SIP[[#This Row],[BO TRANSFER]]="YES",SIP[[#This Row],[Unit]],)</f>
        <v>0</v>
      </c>
      <c r="W446" s="74">
        <f>SUMIFS(SIP[[#Headers],[BO UNIT TRANSFER]]:SIP[[#This Row],[BO UNIT TRANSFER]],SIP[[#Headers],[Investor ID]]:SIP[[#This Row],[Investor ID]],SIP[[#This Row],[Investor ID]])</f>
        <v>0</v>
      </c>
    </row>
    <row r="447" spans="1:23" ht="15" customHeight="1">
      <c r="A447" s="46">
        <v>2024</v>
      </c>
      <c r="B447" s="46">
        <v>3</v>
      </c>
      <c r="C447" s="46">
        <v>26</v>
      </c>
      <c r="D447" s="65">
        <f>DATE(SIP[[#This Row],[Year]],SIP[[#This Row],[Month]],SIP[[#This Row],[Day]])</f>
        <v>45377</v>
      </c>
      <c r="E447" s="66" t="str" cm="1">
        <f t="array" ref="E447">INDEX(INVESTORS_LIST[INVESTOR NAME],MATCH(SIP[[#This Row],[Investor ID]],INVESTORS_LIST[INVESTOR CODE],0),)</f>
        <v>AKASH DEEP PAUL</v>
      </c>
      <c r="F447" s="46" t="s">
        <v>286</v>
      </c>
      <c r="G447" s="46">
        <f>COUNTIF(SIP[[#Headers],[Investor ID]]:SIP[[#This Row],[Investor ID]],SIP[[#This Row],[Investor ID]])</f>
        <v>10</v>
      </c>
      <c r="H447" s="46" t="str">
        <f>CONCATENATE(SIP[[#This Row],[Frequency]],SIP[[#This Row],[Investor ID]])</f>
        <v>10A00119</v>
      </c>
      <c r="I447" s="46" t="str">
        <f>IF(SIP[[#This Row],[B/S]]="B","BUY",(IF(SIP[[#This Row],[B/S]]="S","SELL"," ")))</f>
        <v>BUY</v>
      </c>
      <c r="J447" s="46" t="s">
        <v>1229</v>
      </c>
      <c r="K447" s="69">
        <v>5000</v>
      </c>
      <c r="L447" s="69"/>
      <c r="M447" s="70">
        <f>SIP[[#This Row],[Amount]]/SIP[[#This Row],[Unit]]</f>
        <v>10.893246187363834</v>
      </c>
      <c r="N447" s="71">
        <f>SIP[[#This Row],[Unit Capital]]/10</f>
        <v>459</v>
      </c>
      <c r="O447" s="72">
        <f>SUMIFS(SIP[[#Headers],[Unit]]:SIP[[#This Row],[Unit]],SIP[[#Headers],[Investor ID]]:SIP[[#This Row],[Investor ID]],SIP[[#This Row],[Investor ID]])</f>
        <v>4728</v>
      </c>
      <c r="P447" s="73">
        <v>4590</v>
      </c>
      <c r="Q447" s="74">
        <f>SIP[[#This Row],[Amount]]-SIP[[#This Row],[Unit Capital]]</f>
        <v>410</v>
      </c>
      <c r="R4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10.575296108291033</v>
      </c>
      <c r="S447" s="68">
        <f t="shared" si="19"/>
        <v>14.224</v>
      </c>
      <c r="T4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7" s="74" cm="1">
        <f t="array" ref="U447">IF(SIP[[#This Row],[B/S]]="S",ABS(SIP[[#This Row],[Unit]])*(INDEX(SIP[NAV at Cost (Average)],MATCH(CONCATENATE((SIP[[#This Row],[Frequency]]-1),SIP[[#This Row],[Investor ID]]),SIP[Unique Code],0),0)),0)</f>
        <v>0</v>
      </c>
      <c r="V447" s="74">
        <f>IF(SIP[[#This Row],[BO TRANSFER]]="YES",SIP[[#This Row],[Unit]],)</f>
        <v>0</v>
      </c>
      <c r="W447" s="74">
        <f>SUMIFS(SIP[[#Headers],[BO UNIT TRANSFER]]:SIP[[#This Row],[BO UNIT TRANSFER]],SIP[[#Headers],[Investor ID]]:SIP[[#This Row],[Investor ID]],SIP[[#This Row],[Investor ID]])</f>
        <v>0</v>
      </c>
    </row>
    <row r="448" spans="1:23" ht="15" customHeight="1">
      <c r="A448" s="46">
        <v>2024</v>
      </c>
      <c r="B448" s="46">
        <v>3</v>
      </c>
      <c r="C448" s="46">
        <v>26</v>
      </c>
      <c r="D448" s="65">
        <f>DATE(SIP[[#This Row],[Year]],SIP[[#This Row],[Month]],SIP[[#This Row],[Day]])</f>
        <v>45377</v>
      </c>
      <c r="E448" s="66" t="str" cm="1">
        <f t="array" ref="E448">INDEX(INVESTORS_LIST[INVESTOR NAME],MATCH(SIP[[#This Row],[Investor ID]],INVESTORS_LIST[INVESTOR CODE],0),)</f>
        <v>JUBAIDA FARHANA HAQUE</v>
      </c>
      <c r="F448" s="46" t="s">
        <v>1065</v>
      </c>
      <c r="G448" s="46">
        <f>COUNTIF(SIP[[#Headers],[Investor ID]]:SIP[[#This Row],[Investor ID]],SIP[[#This Row],[Investor ID]])</f>
        <v>8</v>
      </c>
      <c r="H448" s="46" t="str">
        <f>CONCATENATE(SIP[[#This Row],[Frequency]],SIP[[#This Row],[Investor ID]])</f>
        <v>8A00510</v>
      </c>
      <c r="I448" s="46" t="str">
        <f>IF(SIP[[#This Row],[B/S]]="B","BUY",(IF(SIP[[#This Row],[B/S]]="S","SELL"," ")))</f>
        <v>BUY</v>
      </c>
      <c r="J448" s="46" t="s">
        <v>1229</v>
      </c>
      <c r="K448" s="69">
        <v>5000</v>
      </c>
      <c r="L448" s="69"/>
      <c r="M448" s="70">
        <f>SIP[[#This Row],[Amount]]/SIP[[#This Row],[Unit]]</f>
        <v>10.893246187363834</v>
      </c>
      <c r="N448" s="71">
        <f>SIP[[#This Row],[Unit Capital]]/10</f>
        <v>459</v>
      </c>
      <c r="O448" s="72">
        <f>SUMIFS(SIP[[#Headers],[Unit]]:SIP[[#This Row],[Unit]],SIP[[#Headers],[Investor ID]]:SIP[[#This Row],[Investor ID]],SIP[[#This Row],[Investor ID]])</f>
        <v>2804</v>
      </c>
      <c r="P448" s="73">
        <v>4590</v>
      </c>
      <c r="Q448" s="74">
        <f>SIP[[#This Row],[Amount]]-SIP[[#This Row],[Unit Capital]]</f>
        <v>410</v>
      </c>
      <c r="R4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10.704626558724128</v>
      </c>
      <c r="S448" s="68">
        <f t="shared" si="19"/>
        <v>14.224</v>
      </c>
      <c r="T4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8" s="74" cm="1">
        <f t="array" ref="U448">IF(SIP[[#This Row],[B/S]]="S",ABS(SIP[[#This Row],[Unit]])*(INDEX(SIP[NAV at Cost (Average)],MATCH(CONCATENATE((SIP[[#This Row],[Frequency]]-1),SIP[[#This Row],[Investor ID]]),SIP[Unique Code],0),0)),0)</f>
        <v>0</v>
      </c>
      <c r="V448" s="74">
        <f>IF(SIP[[#This Row],[BO TRANSFER]]="YES",SIP[[#This Row],[Unit]],)</f>
        <v>0</v>
      </c>
      <c r="W448" s="74">
        <f>SUMIFS(SIP[[#Headers],[BO UNIT TRANSFER]]:SIP[[#This Row],[BO UNIT TRANSFER]],SIP[[#Headers],[Investor ID]]:SIP[[#This Row],[Investor ID]],SIP[[#This Row],[Investor ID]])</f>
        <v>0</v>
      </c>
    </row>
    <row r="449" spans="1:23" ht="15" customHeight="1">
      <c r="A449" s="46">
        <v>2024</v>
      </c>
      <c r="B449" s="46">
        <v>3</v>
      </c>
      <c r="C449" s="46">
        <v>26</v>
      </c>
      <c r="D449" s="65">
        <f>DATE(SIP[[#This Row],[Year]],SIP[[#This Row],[Month]],SIP[[#This Row],[Day]])</f>
        <v>45377</v>
      </c>
      <c r="E449" s="66" t="str" cm="1">
        <f t="array" ref="E449">INDEX(INVESTORS_LIST[INVESTOR NAME],MATCH(SIP[[#This Row],[Investor ID]],INVESTORS_LIST[INVESTOR CODE],0),)</f>
        <v>TAPU GUHA</v>
      </c>
      <c r="F449" s="46" t="s">
        <v>483</v>
      </c>
      <c r="G449" s="46">
        <f>COUNTIF(SIP[[#Headers],[Investor ID]]:SIP[[#This Row],[Investor ID]],SIP[[#This Row],[Investor ID]])</f>
        <v>8</v>
      </c>
      <c r="H449" s="46" t="str">
        <f>CONCATENATE(SIP[[#This Row],[Frequency]],SIP[[#This Row],[Investor ID]])</f>
        <v>8A00217</v>
      </c>
      <c r="I449" s="46" t="str">
        <f>IF(SIP[[#This Row],[B/S]]="B","BUY",(IF(SIP[[#This Row],[B/S]]="S","SELL"," ")))</f>
        <v>BUY</v>
      </c>
      <c r="J449" s="46" t="s">
        <v>1229</v>
      </c>
      <c r="K449" s="69">
        <v>5000</v>
      </c>
      <c r="L449" s="69"/>
      <c r="M449" s="70">
        <f>SIP[[#This Row],[Amount]]/SIP[[#This Row],[Unit]]</f>
        <v>10.893246187363834</v>
      </c>
      <c r="N449" s="71">
        <f>SIP[[#This Row],[Unit Capital]]/10</f>
        <v>459</v>
      </c>
      <c r="O449" s="72">
        <f>SUMIFS(SIP[[#Headers],[Unit]]:SIP[[#This Row],[Unit]],SIP[[#Headers],[Investor ID]]:SIP[[#This Row],[Investor ID]],SIP[[#This Row],[Investor ID]])</f>
        <v>3755</v>
      </c>
      <c r="P449" s="73">
        <v>4590</v>
      </c>
      <c r="Q449" s="74">
        <f>SIP[[#This Row],[Amount]]-SIP[[#This Row],[Unit Capital]]</f>
        <v>410</v>
      </c>
      <c r="R4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10.652463382157123</v>
      </c>
      <c r="S449" s="68">
        <f t="shared" si="19"/>
        <v>14.224</v>
      </c>
      <c r="T4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49" s="74" cm="1">
        <f t="array" ref="U449">IF(SIP[[#This Row],[B/S]]="S",ABS(SIP[[#This Row],[Unit]])*(INDEX(SIP[NAV at Cost (Average)],MATCH(CONCATENATE((SIP[[#This Row],[Frequency]]-1),SIP[[#This Row],[Investor ID]]),SIP[Unique Code],0),0)),0)</f>
        <v>0</v>
      </c>
      <c r="V449" s="74">
        <f>IF(SIP[[#This Row],[BO TRANSFER]]="YES",SIP[[#This Row],[Unit]],)</f>
        <v>0</v>
      </c>
      <c r="W449" s="74">
        <f>SUMIFS(SIP[[#Headers],[BO UNIT TRANSFER]]:SIP[[#This Row],[BO UNIT TRANSFER]],SIP[[#Headers],[Investor ID]]:SIP[[#This Row],[Investor ID]],SIP[[#This Row],[Investor ID]])</f>
        <v>0</v>
      </c>
    </row>
    <row r="450" spans="1:23" ht="15" customHeight="1">
      <c r="A450" s="46">
        <v>2024</v>
      </c>
      <c r="B450" s="46">
        <v>3</v>
      </c>
      <c r="C450" s="46">
        <v>26</v>
      </c>
      <c r="D450" s="65">
        <f>DATE(SIP[[#This Row],[Year]],SIP[[#This Row],[Month]],SIP[[#This Row],[Day]])</f>
        <v>45377</v>
      </c>
      <c r="E450" s="66" t="str" cm="1">
        <f t="array" ref="E450">INDEX(INVESTORS_LIST[INVESTOR NAME],MATCH(SIP[[#This Row],[Investor ID]],INVESTORS_LIST[INVESTOR CODE],0),)</f>
        <v>MAYA RANI SAHA</v>
      </c>
      <c r="F450" s="46" t="s">
        <v>224</v>
      </c>
      <c r="G450" s="46">
        <f>COUNTIF(SIP[[#Headers],[Investor ID]]:SIP[[#This Row],[Investor ID]],SIP[[#This Row],[Investor ID]])</f>
        <v>10</v>
      </c>
      <c r="H450" s="46" t="str">
        <f>CONCATENATE(SIP[[#This Row],[Frequency]],SIP[[#This Row],[Investor ID]])</f>
        <v>10A00088</v>
      </c>
      <c r="I450" s="46" t="str">
        <f>IF(SIP[[#This Row],[B/S]]="B","BUY",(IF(SIP[[#This Row],[B/S]]="S","SELL"," ")))</f>
        <v>BUY</v>
      </c>
      <c r="J450" s="46" t="s">
        <v>1229</v>
      </c>
      <c r="K450" s="69">
        <v>14000</v>
      </c>
      <c r="L450" s="69"/>
      <c r="M450" s="70">
        <f>SIP[[#This Row],[Amount]]/SIP[[#This Row],[Unit]]</f>
        <v>10.886469673405911</v>
      </c>
      <c r="N450" s="71">
        <f>SIP[[#This Row],[Unit Capital]]/10</f>
        <v>1286</v>
      </c>
      <c r="O450" s="72">
        <f>SUMIFS(SIP[[#Headers],[Unit]]:SIP[[#This Row],[Unit]],SIP[[#Headers],[Investor ID]]:SIP[[#This Row],[Investor ID]],SIP[[#This Row],[Investor ID]])</f>
        <v>13870</v>
      </c>
      <c r="P450" s="73">
        <v>12860</v>
      </c>
      <c r="Q450" s="74">
        <f>SIP[[#This Row],[Amount]]-SIP[[#This Row],[Unit Capital]]</f>
        <v>1140</v>
      </c>
      <c r="R4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10.670511896178803</v>
      </c>
      <c r="S450" s="68">
        <f t="shared" si="19"/>
        <v>14.224</v>
      </c>
      <c r="T4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0" s="74" cm="1">
        <f t="array" ref="U450">IF(SIP[[#This Row],[B/S]]="S",ABS(SIP[[#This Row],[Unit]])*(INDEX(SIP[NAV at Cost (Average)],MATCH(CONCATENATE((SIP[[#This Row],[Frequency]]-1),SIP[[#This Row],[Investor ID]]),SIP[Unique Code],0),0)),0)</f>
        <v>0</v>
      </c>
      <c r="V450" s="74">
        <f>IF(SIP[[#This Row],[BO TRANSFER]]="YES",SIP[[#This Row],[Unit]],)</f>
        <v>0</v>
      </c>
      <c r="W450" s="74">
        <f>SUMIFS(SIP[[#Headers],[BO UNIT TRANSFER]]:SIP[[#This Row],[BO UNIT TRANSFER]],SIP[[#Headers],[Investor ID]]:SIP[[#This Row],[Investor ID]],SIP[[#This Row],[Investor ID]])</f>
        <v>0</v>
      </c>
    </row>
    <row r="451" spans="1:23" ht="15" customHeight="1">
      <c r="A451" s="46">
        <v>2024</v>
      </c>
      <c r="B451" s="46">
        <v>3</v>
      </c>
      <c r="C451" s="46">
        <v>26</v>
      </c>
      <c r="D451" s="65">
        <f>DATE(SIP[[#This Row],[Year]],SIP[[#This Row],[Month]],SIP[[#This Row],[Day]])</f>
        <v>45377</v>
      </c>
      <c r="E451" s="66" t="str" cm="1">
        <f t="array" ref="E451">INDEX(INVESTORS_LIST[INVESTOR NAME],MATCH(SIP[[#This Row],[Investor ID]],INVESTORS_LIST[INVESTOR CODE],0),)</f>
        <v>KHALED HOSSAIN</v>
      </c>
      <c r="F451" s="46" t="s">
        <v>1050</v>
      </c>
      <c r="G451" s="46">
        <f>COUNTIF(SIP[[#Headers],[Investor ID]]:SIP[[#This Row],[Investor ID]],SIP[[#This Row],[Investor ID]])</f>
        <v>12</v>
      </c>
      <c r="H451" s="46" t="str">
        <f>CONCATENATE(SIP[[#This Row],[Frequency]],SIP[[#This Row],[Investor ID]])</f>
        <v>12A00502</v>
      </c>
      <c r="I451" s="46" t="str">
        <f>IF(SIP[[#This Row],[B/S]]="B","BUY",(IF(SIP[[#This Row],[B/S]]="S","SELL"," ")))</f>
        <v>BUY</v>
      </c>
      <c r="J451" s="46" t="s">
        <v>1229</v>
      </c>
      <c r="K451" s="69">
        <v>10000</v>
      </c>
      <c r="L451" s="69"/>
      <c r="M451" s="70">
        <f>SIP[[#This Row],[Amount]]/SIP[[#This Row],[Unit]]</f>
        <v>10.881392818280739</v>
      </c>
      <c r="N451" s="71">
        <f>SIP[[#This Row],[Unit Capital]]/10</f>
        <v>919</v>
      </c>
      <c r="O451" s="72">
        <f>SUMIFS(SIP[[#Headers],[Unit]]:SIP[[#This Row],[Unit]],SIP[[#Headers],[Investor ID]]:SIP[[#This Row],[Investor ID]],SIP[[#This Row],[Investor ID]])</f>
        <v>14095</v>
      </c>
      <c r="P451" s="73">
        <v>9190</v>
      </c>
      <c r="Q451" s="74">
        <f>SIP[[#This Row],[Amount]]-SIP[[#This Row],[Unit Capital]]</f>
        <v>810</v>
      </c>
      <c r="R4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10.642071656615824</v>
      </c>
      <c r="S451" s="68">
        <f t="shared" si="19"/>
        <v>14.224</v>
      </c>
      <c r="T4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1" s="74" cm="1">
        <f t="array" ref="U451">IF(SIP[[#This Row],[B/S]]="S",ABS(SIP[[#This Row],[Unit]])*(INDEX(SIP[NAV at Cost (Average)],MATCH(CONCATENATE((SIP[[#This Row],[Frequency]]-1),SIP[[#This Row],[Investor ID]]),SIP[Unique Code],0),0)),0)</f>
        <v>0</v>
      </c>
      <c r="V451" s="74">
        <f>IF(SIP[[#This Row],[BO TRANSFER]]="YES",SIP[[#This Row],[Unit]],)</f>
        <v>0</v>
      </c>
      <c r="W451" s="74">
        <f>SUMIFS(SIP[[#Headers],[BO UNIT TRANSFER]]:SIP[[#This Row],[BO UNIT TRANSFER]],SIP[[#Headers],[Investor ID]]:SIP[[#This Row],[Investor ID]],SIP[[#This Row],[Investor ID]])</f>
        <v>0</v>
      </c>
    </row>
    <row r="452" spans="1:23" ht="15" customHeight="1">
      <c r="A452" s="46">
        <v>2024</v>
      </c>
      <c r="B452" s="46">
        <v>3</v>
      </c>
      <c r="C452" s="46">
        <v>26</v>
      </c>
      <c r="D452" s="65">
        <f>DATE(SIP[[#This Row],[Year]],SIP[[#This Row],[Month]],SIP[[#This Row],[Day]])</f>
        <v>45377</v>
      </c>
      <c r="E452" s="66" t="str" cm="1">
        <f t="array" ref="E452">INDEX(INVESTORS_LIST[INVESTOR NAME],MATCH(SIP[[#This Row],[Investor ID]],INVESTORS_LIST[INVESTOR CODE],0),)</f>
        <v>MOHAMMAD SAMIUL ALAM</v>
      </c>
      <c r="F452" s="46" t="s">
        <v>537</v>
      </c>
      <c r="G452" s="46">
        <f>COUNTIF(SIP[[#Headers],[Investor ID]]:SIP[[#This Row],[Investor ID]],SIP[[#This Row],[Investor ID]])</f>
        <v>8</v>
      </c>
      <c r="H452" s="46" t="str">
        <f>CONCATENATE(SIP[[#This Row],[Frequency]],SIP[[#This Row],[Investor ID]])</f>
        <v>8A00244</v>
      </c>
      <c r="I452" s="46" t="str">
        <f>IF(SIP[[#This Row],[B/S]]="B","BUY",(IF(SIP[[#This Row],[B/S]]="S","SELL"," ")))</f>
        <v>BUY</v>
      </c>
      <c r="J452" s="46" t="s">
        <v>1229</v>
      </c>
      <c r="K452" s="69">
        <v>20000</v>
      </c>
      <c r="L452" s="69"/>
      <c r="M452" s="70">
        <f>SIP[[#This Row],[Amount]]/SIP[[#This Row],[Unit]]</f>
        <v>10.881392818280739</v>
      </c>
      <c r="N452" s="71">
        <f>SIP[[#This Row],[Unit Capital]]/10</f>
        <v>1838</v>
      </c>
      <c r="O452" s="72">
        <f>SUMIFS(SIP[[#Headers],[Unit]]:SIP[[#This Row],[Unit]],SIP[[#Headers],[Investor ID]]:SIP[[#This Row],[Investor ID]],SIP[[#This Row],[Investor ID]])</f>
        <v>15036</v>
      </c>
      <c r="P452" s="73">
        <v>18380</v>
      </c>
      <c r="Q452" s="74">
        <f>SIP[[#This Row],[Amount]]-SIP[[#This Row],[Unit Capital]]</f>
        <v>1620</v>
      </c>
      <c r="R4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10.641127959563715</v>
      </c>
      <c r="S452" s="68">
        <f t="shared" si="19"/>
        <v>14.224</v>
      </c>
      <c r="T4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2" s="74" cm="1">
        <f t="array" ref="U452">IF(SIP[[#This Row],[B/S]]="S",ABS(SIP[[#This Row],[Unit]])*(INDEX(SIP[NAV at Cost (Average)],MATCH(CONCATENATE((SIP[[#This Row],[Frequency]]-1),SIP[[#This Row],[Investor ID]]),SIP[Unique Code],0),0)),0)</f>
        <v>0</v>
      </c>
      <c r="V452" s="74">
        <f>IF(SIP[[#This Row],[BO TRANSFER]]="YES",SIP[[#This Row],[Unit]],)</f>
        <v>0</v>
      </c>
      <c r="W452" s="74">
        <f>SUMIFS(SIP[[#Headers],[BO UNIT TRANSFER]]:SIP[[#This Row],[BO UNIT TRANSFER]],SIP[[#Headers],[Investor ID]]:SIP[[#This Row],[Investor ID]],SIP[[#This Row],[Investor ID]])</f>
        <v>0</v>
      </c>
    </row>
    <row r="453" spans="1:23" ht="15" customHeight="1">
      <c r="A453" s="46">
        <v>2024</v>
      </c>
      <c r="B453" s="46">
        <v>3</v>
      </c>
      <c r="C453" s="46">
        <v>26</v>
      </c>
      <c r="D453" s="65">
        <f>DATE(SIP[[#This Row],[Year]],SIP[[#This Row],[Month]],SIP[[#This Row],[Day]])</f>
        <v>45377</v>
      </c>
      <c r="E453" s="66" t="str" cm="1">
        <f t="array" ref="E453">INDEX(INVESTORS_LIST[INVESTOR NAME],MATCH(SIP[[#This Row],[Investor ID]],INVESTORS_LIST[INVESTOR CODE],0),)</f>
        <v>ADNAN RASHID</v>
      </c>
      <c r="F453" s="46" t="s">
        <v>252</v>
      </c>
      <c r="G453" s="46">
        <f>COUNTIF(SIP[[#Headers],[Investor ID]]:SIP[[#This Row],[Investor ID]],SIP[[#This Row],[Investor ID]])</f>
        <v>7</v>
      </c>
      <c r="H453" s="46" t="str">
        <f>CONCATENATE(SIP[[#This Row],[Frequency]],SIP[[#This Row],[Investor ID]])</f>
        <v>7A00102</v>
      </c>
      <c r="I453" s="46" t="str">
        <f>IF(SIP[[#This Row],[B/S]]="B","BUY",(IF(SIP[[#This Row],[B/S]]="S","SELL"," ")))</f>
        <v>BUY</v>
      </c>
      <c r="J453" s="46" t="s">
        <v>1229</v>
      </c>
      <c r="K453" s="69">
        <v>30000</v>
      </c>
      <c r="L453" s="69"/>
      <c r="M453" s="70">
        <f>SIP[[#This Row],[Amount]]/SIP[[#This Row],[Unit]]</f>
        <v>10.881392818280739</v>
      </c>
      <c r="N453" s="71">
        <f>SIP[[#This Row],[Unit Capital]]/10</f>
        <v>2757</v>
      </c>
      <c r="O453" s="72">
        <f>SUMIFS(SIP[[#Headers],[Unit]]:SIP[[#This Row],[Unit]],SIP[[#Headers],[Investor ID]]:SIP[[#This Row],[Investor ID]],SIP[[#This Row],[Investor ID]])</f>
        <v>19675</v>
      </c>
      <c r="P453" s="73">
        <v>27570</v>
      </c>
      <c r="Q453" s="74">
        <f>SIP[[#This Row],[Amount]]-SIP[[#This Row],[Unit Capital]]</f>
        <v>2430</v>
      </c>
      <c r="R4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10.673443456162644</v>
      </c>
      <c r="S453" s="68">
        <f t="shared" si="19"/>
        <v>14.224</v>
      </c>
      <c r="T4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3" s="74" cm="1">
        <f t="array" ref="U453">IF(SIP[[#This Row],[B/S]]="S",ABS(SIP[[#This Row],[Unit]])*(INDEX(SIP[NAV at Cost (Average)],MATCH(CONCATENATE((SIP[[#This Row],[Frequency]]-1),SIP[[#This Row],[Investor ID]]),SIP[Unique Code],0),0)),0)</f>
        <v>0</v>
      </c>
      <c r="V453" s="74">
        <f>IF(SIP[[#This Row],[BO TRANSFER]]="YES",SIP[[#This Row],[Unit]],)</f>
        <v>0</v>
      </c>
      <c r="W453" s="74">
        <f>SUMIFS(SIP[[#Headers],[BO UNIT TRANSFER]]:SIP[[#This Row],[BO UNIT TRANSFER]],SIP[[#Headers],[Investor ID]]:SIP[[#This Row],[Investor ID]],SIP[[#This Row],[Investor ID]])</f>
        <v>0</v>
      </c>
    </row>
    <row r="454" spans="1:23" ht="15" customHeight="1">
      <c r="A454" s="46">
        <v>2024</v>
      </c>
      <c r="B454" s="46">
        <v>3</v>
      </c>
      <c r="C454" s="46">
        <v>26</v>
      </c>
      <c r="D454" s="65">
        <f>DATE(SIP[[#This Row],[Year]],SIP[[#This Row],[Month]],SIP[[#This Row],[Day]])</f>
        <v>45377</v>
      </c>
      <c r="E454" s="66" t="str" cm="1">
        <f t="array" ref="E454">INDEX(INVESTORS_LIST[INVESTOR NAME],MATCH(SIP[[#This Row],[Investor ID]],INVESTORS_LIST[INVESTOR CODE],0),)</f>
        <v>MRINMOY GHOSH</v>
      </c>
      <c r="F454" s="46" t="s">
        <v>69</v>
      </c>
      <c r="G454" s="46">
        <f>COUNTIF(SIP[[#Headers],[Investor ID]]:SIP[[#This Row],[Investor ID]],SIP[[#This Row],[Investor ID]])</f>
        <v>7</v>
      </c>
      <c r="H454" s="46" t="str">
        <f>CONCATENATE(SIP[[#This Row],[Frequency]],SIP[[#This Row],[Investor ID]])</f>
        <v>7A00012</v>
      </c>
      <c r="I454" s="46" t="str">
        <f>IF(SIP[[#This Row],[B/S]]="B","BUY",(IF(SIP[[#This Row],[B/S]]="S","SELL"," ")))</f>
        <v>BUY</v>
      </c>
      <c r="J454" s="46" t="s">
        <v>1229</v>
      </c>
      <c r="K454" s="69">
        <v>10000</v>
      </c>
      <c r="L454" s="69"/>
      <c r="M454" s="70">
        <f>SIP[[#This Row],[Amount]]/SIP[[#This Row],[Unit]]</f>
        <v>10.881392818280739</v>
      </c>
      <c r="N454" s="71">
        <f>SIP[[#This Row],[Unit Capital]]/10</f>
        <v>919</v>
      </c>
      <c r="O454" s="72">
        <f>SUMIFS(SIP[[#Headers],[Unit]]:SIP[[#This Row],[Unit]],SIP[[#Headers],[Investor ID]]:SIP[[#This Row],[Investor ID]],SIP[[#This Row],[Investor ID]])</f>
        <v>6559</v>
      </c>
      <c r="P454" s="73">
        <v>9190</v>
      </c>
      <c r="Q454" s="74">
        <f>SIP[[#This Row],[Amount]]-SIP[[#This Row],[Unit Capital]]</f>
        <v>810</v>
      </c>
      <c r="R4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10.672358591248667</v>
      </c>
      <c r="S454" s="68">
        <f t="shared" si="19"/>
        <v>14.224</v>
      </c>
      <c r="T4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4" s="74" cm="1">
        <f t="array" ref="U454">IF(SIP[[#This Row],[B/S]]="S",ABS(SIP[[#This Row],[Unit]])*(INDEX(SIP[NAV at Cost (Average)],MATCH(CONCATENATE((SIP[[#This Row],[Frequency]]-1),SIP[[#This Row],[Investor ID]]),SIP[Unique Code],0),0)),0)</f>
        <v>0</v>
      </c>
      <c r="V454" s="74">
        <f>IF(SIP[[#This Row],[BO TRANSFER]]="YES",SIP[[#This Row],[Unit]],)</f>
        <v>0</v>
      </c>
      <c r="W454" s="74">
        <f>SUMIFS(SIP[[#Headers],[BO UNIT TRANSFER]]:SIP[[#This Row],[BO UNIT TRANSFER]],SIP[[#Headers],[Investor ID]]:SIP[[#This Row],[Investor ID]],SIP[[#This Row],[Investor ID]])</f>
        <v>0</v>
      </c>
    </row>
    <row r="455" spans="1:23" ht="15" customHeight="1">
      <c r="A455" s="46">
        <v>2024</v>
      </c>
      <c r="B455" s="46">
        <v>3</v>
      </c>
      <c r="C455" s="46">
        <v>26</v>
      </c>
      <c r="D455" s="65">
        <f>DATE(SIP[[#This Row],[Year]],SIP[[#This Row],[Month]],SIP[[#This Row],[Day]])</f>
        <v>45377</v>
      </c>
      <c r="E455" s="66" t="str" cm="1">
        <f t="array" ref="E455">INDEX(INVESTORS_LIST[INVESTOR NAME],MATCH(SIP[[#This Row],[Investor ID]],INVESTORS_LIST[INVESTOR CODE],0),)</f>
        <v>MD ABDULLAH-AL- MAMUN</v>
      </c>
      <c r="F455" s="46" t="s">
        <v>533</v>
      </c>
      <c r="G455" s="46">
        <f>COUNTIF(SIP[[#Headers],[Investor ID]]:SIP[[#This Row],[Investor ID]],SIP[[#This Row],[Investor ID]])</f>
        <v>6</v>
      </c>
      <c r="H455" s="46" t="str">
        <f>CONCATENATE(SIP[[#This Row],[Frequency]],SIP[[#This Row],[Investor ID]])</f>
        <v>6A00242</v>
      </c>
      <c r="I455" s="46" t="str">
        <f>IF(SIP[[#This Row],[B/S]]="B","BUY",(IF(SIP[[#This Row],[B/S]]="S","SELL"," ")))</f>
        <v>BUY</v>
      </c>
      <c r="J455" s="46" t="s">
        <v>1229</v>
      </c>
      <c r="K455" s="69">
        <v>15000</v>
      </c>
      <c r="L455" s="69"/>
      <c r="M455" s="70">
        <f>SIP[[#This Row],[Amount]]/SIP[[#This Row],[Unit]]</f>
        <v>10.885341074020319</v>
      </c>
      <c r="N455" s="71">
        <f>SIP[[#This Row],[Unit Capital]]/10</f>
        <v>1378</v>
      </c>
      <c r="O455" s="72">
        <f>SUMIFS(SIP[[#Headers],[Unit]]:SIP[[#This Row],[Unit]],SIP[[#Headers],[Investor ID]]:SIP[[#This Row],[Investor ID]],SIP[[#This Row],[Investor ID]])</f>
        <v>8406</v>
      </c>
      <c r="P455" s="73">
        <v>13780</v>
      </c>
      <c r="Q455" s="74">
        <f>SIP[[#This Row],[Amount]]-SIP[[#This Row],[Unit Capital]]</f>
        <v>1220</v>
      </c>
      <c r="R4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10.706638115631693</v>
      </c>
      <c r="S455" s="68">
        <f t="shared" si="19"/>
        <v>14.224</v>
      </c>
      <c r="T4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5" s="74" cm="1">
        <f t="array" ref="U455">IF(SIP[[#This Row],[B/S]]="S",ABS(SIP[[#This Row],[Unit]])*(INDEX(SIP[NAV at Cost (Average)],MATCH(CONCATENATE((SIP[[#This Row],[Frequency]]-1),SIP[[#This Row],[Investor ID]]),SIP[Unique Code],0),0)),0)</f>
        <v>0</v>
      </c>
      <c r="V455" s="74">
        <f>IF(SIP[[#This Row],[BO TRANSFER]]="YES",SIP[[#This Row],[Unit]],)</f>
        <v>0</v>
      </c>
      <c r="W455" s="74">
        <f>SUMIFS(SIP[[#Headers],[BO UNIT TRANSFER]]:SIP[[#This Row],[BO UNIT TRANSFER]],SIP[[#Headers],[Investor ID]]:SIP[[#This Row],[Investor ID]],SIP[[#This Row],[Investor ID]])</f>
        <v>0</v>
      </c>
    </row>
    <row r="456" spans="1:23" ht="15" customHeight="1">
      <c r="A456" s="46">
        <v>2024</v>
      </c>
      <c r="B456" s="46">
        <v>3</v>
      </c>
      <c r="C456" s="46">
        <v>26</v>
      </c>
      <c r="D456" s="65">
        <f>DATE(SIP[[#This Row],[Year]],SIP[[#This Row],[Month]],SIP[[#This Row],[Day]])</f>
        <v>45377</v>
      </c>
      <c r="E456" s="66" t="str" cm="1">
        <f t="array" ref="E456">INDEX(INVESTORS_LIST[INVESTOR NAME],MATCH(SIP[[#This Row],[Investor ID]],INVESTORS_LIST[INVESTOR CODE],0),)</f>
        <v>MAYA RANI SAHA</v>
      </c>
      <c r="F456" s="46" t="s">
        <v>224</v>
      </c>
      <c r="G456" s="46">
        <f>COUNTIF(SIP[[#Headers],[Investor ID]]:SIP[[#This Row],[Investor ID]],SIP[[#This Row],[Investor ID]])</f>
        <v>11</v>
      </c>
      <c r="H456" s="46" t="str">
        <f>CONCATENATE(SIP[[#This Row],[Frequency]],SIP[[#This Row],[Investor ID]])</f>
        <v>11A00088</v>
      </c>
      <c r="I456" s="46" t="str">
        <f>IF(SIP[[#This Row],[B/S]]="B","BUY",(IF(SIP[[#This Row],[B/S]]="S","SELL"," ")))</f>
        <v>BUY</v>
      </c>
      <c r="J456" s="46" t="s">
        <v>1229</v>
      </c>
      <c r="K456" s="69">
        <v>20000</v>
      </c>
      <c r="L456" s="69"/>
      <c r="M456" s="70">
        <f>SIP[[#This Row],[Amount]]/SIP[[#This Row],[Unit]]</f>
        <v>10.881392818280739</v>
      </c>
      <c r="N456" s="71">
        <f>SIP[[#This Row],[Unit Capital]]/10</f>
        <v>1838</v>
      </c>
      <c r="O456" s="72">
        <f>SUMIFS(SIP[[#Headers],[Unit]]:SIP[[#This Row],[Unit]],SIP[[#Headers],[Investor ID]]:SIP[[#This Row],[Investor ID]],SIP[[#This Row],[Investor ID]])</f>
        <v>15708</v>
      </c>
      <c r="P456" s="73">
        <v>18380</v>
      </c>
      <c r="Q456" s="74">
        <f>SIP[[#This Row],[Amount]]-SIP[[#This Row],[Unit Capital]]</f>
        <v>1620</v>
      </c>
      <c r="R4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10.695187165775401</v>
      </c>
      <c r="S456" s="68">
        <f t="shared" si="19"/>
        <v>14.224</v>
      </c>
      <c r="T4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6" s="74" cm="1">
        <f t="array" ref="U456">IF(SIP[[#This Row],[B/S]]="S",ABS(SIP[[#This Row],[Unit]])*(INDEX(SIP[NAV at Cost (Average)],MATCH(CONCATENATE((SIP[[#This Row],[Frequency]]-1),SIP[[#This Row],[Investor ID]]),SIP[Unique Code],0),0)),0)</f>
        <v>0</v>
      </c>
      <c r="V456" s="74">
        <f>IF(SIP[[#This Row],[BO TRANSFER]]="YES",SIP[[#This Row],[Unit]],)</f>
        <v>0</v>
      </c>
      <c r="W456" s="74">
        <f>SUMIFS(SIP[[#Headers],[BO UNIT TRANSFER]]:SIP[[#This Row],[BO UNIT TRANSFER]],SIP[[#Headers],[Investor ID]]:SIP[[#This Row],[Investor ID]],SIP[[#This Row],[Investor ID]])</f>
        <v>0</v>
      </c>
    </row>
    <row r="457" spans="1:23" ht="15" customHeight="1">
      <c r="A457" s="46">
        <v>2024</v>
      </c>
      <c r="B457" s="46">
        <v>3</v>
      </c>
      <c r="C457" s="46">
        <v>26</v>
      </c>
      <c r="D457" s="65">
        <f>DATE(SIP[[#This Row],[Year]],SIP[[#This Row],[Month]],SIP[[#This Row],[Day]])</f>
        <v>45377</v>
      </c>
      <c r="E457" s="66" t="str" cm="1">
        <f t="array" ref="E457">INDEX(INVESTORS_LIST[INVESTOR NAME],MATCH(SIP[[#This Row],[Investor ID]],INVESTORS_LIST[INVESTOR CODE],0),)</f>
        <v>MUHAMMAD SHOHIDUZZAMAN</v>
      </c>
      <c r="F457" s="46" t="s">
        <v>986</v>
      </c>
      <c r="G457" s="46">
        <f>COUNTIF(SIP[[#Headers],[Investor ID]]:SIP[[#This Row],[Investor ID]],SIP[[#This Row],[Investor ID]])</f>
        <v>5</v>
      </c>
      <c r="H457" s="46" t="str">
        <f>CONCATENATE(SIP[[#This Row],[Frequency]],SIP[[#This Row],[Investor ID]])</f>
        <v>5A00470</v>
      </c>
      <c r="I457" s="46" t="str">
        <f>IF(SIP[[#This Row],[B/S]]="B","BUY",(IF(SIP[[#This Row],[B/S]]="S","SELL"," ")))</f>
        <v>BUY</v>
      </c>
      <c r="J457" s="46" t="s">
        <v>1229</v>
      </c>
      <c r="K457" s="69">
        <v>10000</v>
      </c>
      <c r="L457" s="122" t="s">
        <v>1230</v>
      </c>
      <c r="M457" s="70">
        <f>SIP[[#This Row],[Amount]]/SIP[[#This Row],[Unit]]</f>
        <v>10.881392818280739</v>
      </c>
      <c r="N457" s="71">
        <f>SIP[[#This Row],[Unit Capital]]/10</f>
        <v>919</v>
      </c>
      <c r="O457" s="72">
        <f>SUMIFS(SIP[[#Headers],[Unit]]:SIP[[#This Row],[Unit]],SIP[[#Headers],[Investor ID]]:SIP[[#This Row],[Investor ID]],SIP[[#This Row],[Investor ID]])</f>
        <v>4656</v>
      </c>
      <c r="P457" s="73">
        <v>9190</v>
      </c>
      <c r="Q457" s="74">
        <f>SIP[[#This Row],[Amount]]-SIP[[#This Row],[Unit Capital]]</f>
        <v>810</v>
      </c>
      <c r="R4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10.738831615120276</v>
      </c>
      <c r="S457" s="68">
        <f t="shared" si="19"/>
        <v>14.224</v>
      </c>
      <c r="T4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7" s="74" cm="1">
        <f t="array" ref="U457">IF(SIP[[#This Row],[B/S]]="S",ABS(SIP[[#This Row],[Unit]])*(INDEX(SIP[NAV at Cost (Average)],MATCH(CONCATENATE((SIP[[#This Row],[Frequency]]-1),SIP[[#This Row],[Investor ID]]),SIP[Unique Code],0),0)),0)</f>
        <v>0</v>
      </c>
      <c r="V457" s="74">
        <f>IF(SIP[[#This Row],[BO TRANSFER]]="YES",SIP[[#This Row],[Unit]],)</f>
        <v>919</v>
      </c>
      <c r="W457" s="74">
        <f>SUMIFS(SIP[[#Headers],[BO UNIT TRANSFER]]:SIP[[#This Row],[BO UNIT TRANSFER]],SIP[[#Headers],[Investor ID]]:SIP[[#This Row],[Investor ID]],SIP[[#This Row],[Investor ID]])</f>
        <v>4656</v>
      </c>
    </row>
    <row r="458" spans="1:23" ht="15" customHeight="1">
      <c r="A458" s="46">
        <v>2024</v>
      </c>
      <c r="B458" s="46">
        <v>3</v>
      </c>
      <c r="C458" s="46">
        <v>26</v>
      </c>
      <c r="D458" s="65">
        <f>DATE(SIP[[#This Row],[Year]],SIP[[#This Row],[Month]],SIP[[#This Row],[Day]])</f>
        <v>45377</v>
      </c>
      <c r="E458" s="66" t="str" cm="1">
        <f t="array" ref="E458">INDEX(INVESTORS_LIST[INVESTOR NAME],MATCH(SIP[[#This Row],[Investor ID]],INVESTORS_LIST[INVESTOR CODE],0),)</f>
        <v>KHALED HOSSAIN</v>
      </c>
      <c r="F458" s="46" t="s">
        <v>1050</v>
      </c>
      <c r="G458" s="46">
        <f>COUNTIF(SIP[[#Headers],[Investor ID]]:SIP[[#This Row],[Investor ID]],SIP[[#This Row],[Investor ID]])</f>
        <v>13</v>
      </c>
      <c r="H458" s="46" t="str">
        <f>CONCATENATE(SIP[[#This Row],[Frequency]],SIP[[#This Row],[Investor ID]])</f>
        <v>13A00502</v>
      </c>
      <c r="I458" s="46" t="str">
        <f>IF(SIP[[#This Row],[B/S]]="B","BUY",(IF(SIP[[#This Row],[B/S]]="S","SELL"," ")))</f>
        <v>BUY</v>
      </c>
      <c r="J458" s="46" t="s">
        <v>1229</v>
      </c>
      <c r="K458" s="69">
        <v>25000</v>
      </c>
      <c r="L458" s="69"/>
      <c r="M458" s="70">
        <f>SIP[[#This Row],[Amount]]/SIP[[#This Row],[Unit]]</f>
        <v>10.8837614279495</v>
      </c>
      <c r="N458" s="71">
        <f>SIP[[#This Row],[Unit Capital]]/10</f>
        <v>2297</v>
      </c>
      <c r="O458" s="72">
        <f>SUMIFS(SIP[[#Headers],[Unit]]:SIP[[#This Row],[Unit]],SIP[[#Headers],[Investor ID]]:SIP[[#This Row],[Investor ID]],SIP[[#This Row],[Investor ID]])</f>
        <v>16392</v>
      </c>
      <c r="P458" s="73">
        <v>22970</v>
      </c>
      <c r="Q458" s="74">
        <f>SIP[[#This Row],[Amount]]-SIP[[#This Row],[Unit Capital]]</f>
        <v>2030</v>
      </c>
      <c r="R4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10.675939482674478</v>
      </c>
      <c r="S458" s="68">
        <f t="shared" si="19"/>
        <v>14.224</v>
      </c>
      <c r="T4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8" s="74" cm="1">
        <f t="array" ref="U458">IF(SIP[[#This Row],[B/S]]="S",ABS(SIP[[#This Row],[Unit]])*(INDEX(SIP[NAV at Cost (Average)],MATCH(CONCATENATE((SIP[[#This Row],[Frequency]]-1),SIP[[#This Row],[Investor ID]]),SIP[Unique Code],0),0)),0)</f>
        <v>0</v>
      </c>
      <c r="V458" s="74">
        <f>IF(SIP[[#This Row],[BO TRANSFER]]="YES",SIP[[#This Row],[Unit]],)</f>
        <v>0</v>
      </c>
      <c r="W458" s="74">
        <f>SUMIFS(SIP[[#Headers],[BO UNIT TRANSFER]]:SIP[[#This Row],[BO UNIT TRANSFER]],SIP[[#Headers],[Investor ID]]:SIP[[#This Row],[Investor ID]],SIP[[#This Row],[Investor ID]])</f>
        <v>0</v>
      </c>
    </row>
    <row r="459" spans="1:23" ht="15" customHeight="1">
      <c r="A459" s="46">
        <v>2024</v>
      </c>
      <c r="B459" s="46">
        <v>3</v>
      </c>
      <c r="C459" s="46">
        <v>26</v>
      </c>
      <c r="D459" s="65">
        <f>DATE(SIP[[#This Row],[Year]],SIP[[#This Row],[Month]],SIP[[#This Row],[Day]])</f>
        <v>45377</v>
      </c>
      <c r="E459" s="66" t="str" cm="1">
        <f t="array" ref="E459">INDEX(INVESTORS_LIST[INVESTOR NAME],MATCH(SIP[[#This Row],[Investor ID]],INVESTORS_LIST[INVESTOR CODE],0),)</f>
        <v>KHALED HOSSAIN</v>
      </c>
      <c r="F459" s="46" t="s">
        <v>1050</v>
      </c>
      <c r="G459" s="46">
        <f>COUNTIF(SIP[[#Headers],[Investor ID]]:SIP[[#This Row],[Investor ID]],SIP[[#This Row],[Investor ID]])</f>
        <v>14</v>
      </c>
      <c r="H459" s="46" t="str">
        <f>CONCATENATE(SIP[[#This Row],[Frequency]],SIP[[#This Row],[Investor ID]])</f>
        <v>14A00502</v>
      </c>
      <c r="I459" s="46" t="str">
        <f>IF(SIP[[#This Row],[B/S]]="B","BUY",(IF(SIP[[#This Row],[B/S]]="S","SELL"," ")))</f>
        <v>BUY</v>
      </c>
      <c r="J459" s="46" t="s">
        <v>1229</v>
      </c>
      <c r="K459" s="69">
        <v>30000</v>
      </c>
      <c r="L459" s="69"/>
      <c r="M459" s="70">
        <f>SIP[[#This Row],[Amount]]/SIP[[#This Row],[Unit]]</f>
        <v>10.881392818280739</v>
      </c>
      <c r="N459" s="71">
        <f>SIP[[#This Row],[Unit Capital]]/10</f>
        <v>2757</v>
      </c>
      <c r="O459" s="72">
        <f>SUMIFS(SIP[[#Headers],[Unit]]:SIP[[#This Row],[Unit]],SIP[[#Headers],[Investor ID]]:SIP[[#This Row],[Investor ID]],SIP[[#This Row],[Investor ID]])</f>
        <v>19149</v>
      </c>
      <c r="P459" s="73">
        <v>27570</v>
      </c>
      <c r="Q459" s="74">
        <f>SIP[[#This Row],[Amount]]-SIP[[#This Row],[Unit Capital]]</f>
        <v>2430</v>
      </c>
      <c r="R4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10.705519870489322</v>
      </c>
      <c r="S459" s="68">
        <f t="shared" si="19"/>
        <v>14.224</v>
      </c>
      <c r="T4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9" s="74" cm="1">
        <f t="array" ref="U459">IF(SIP[[#This Row],[B/S]]="S",ABS(SIP[[#This Row],[Unit]])*(INDEX(SIP[NAV at Cost (Average)],MATCH(CONCATENATE((SIP[[#This Row],[Frequency]]-1),SIP[[#This Row],[Investor ID]]),SIP[Unique Code],0),0)),0)</f>
        <v>0</v>
      </c>
      <c r="V459" s="74">
        <f>IF(SIP[[#This Row],[BO TRANSFER]]="YES",SIP[[#This Row],[Unit]],)</f>
        <v>0</v>
      </c>
      <c r="W459" s="74">
        <f>SUMIFS(SIP[[#Headers],[BO UNIT TRANSFER]]:SIP[[#This Row],[BO UNIT TRANSFER]],SIP[[#Headers],[Investor ID]]:SIP[[#This Row],[Investor ID]],SIP[[#This Row],[Investor ID]])</f>
        <v>0</v>
      </c>
    </row>
    <row r="460" spans="1:23" ht="15" customHeight="1">
      <c r="A460" s="46">
        <v>2024</v>
      </c>
      <c r="B460" s="46">
        <v>3</v>
      </c>
      <c r="C460" s="46">
        <v>31</v>
      </c>
      <c r="D460" s="65">
        <f>DATE(SIP[[#This Row],[Year]],SIP[[#This Row],[Month]],SIP[[#This Row],[Day]])</f>
        <v>45382</v>
      </c>
      <c r="E460" s="66" t="str" cm="1">
        <f t="array" ref="E460">INDEX(INVESTORS_LIST[INVESTOR NAME],MATCH(SIP[[#This Row],[Investor ID]],INVESTORS_LIST[INVESTOR CODE],0),)</f>
        <v>KHALED HOSSAIN</v>
      </c>
      <c r="F460" s="46" t="s">
        <v>1050</v>
      </c>
      <c r="G460" s="46">
        <f>COUNTIF(SIP[[#Headers],[Investor ID]]:SIP[[#This Row],[Investor ID]],SIP[[#This Row],[Investor ID]])</f>
        <v>15</v>
      </c>
      <c r="H460" s="46" t="str">
        <f>CONCATENATE(SIP[[#This Row],[Frequency]],SIP[[#This Row],[Investor ID]])</f>
        <v>15A00502</v>
      </c>
      <c r="I460" s="46" t="str">
        <f>IF(SIP[[#This Row],[B/S]]="B","BUY",(IF(SIP[[#This Row],[B/S]]="S","SELL"," ")))</f>
        <v>SELL</v>
      </c>
      <c r="J460" s="46" t="s">
        <v>1231</v>
      </c>
      <c r="K460" s="69">
        <v>-30000</v>
      </c>
      <c r="L460" s="69"/>
      <c r="M460" s="70">
        <f>SIP[[#This Row],[Amount]]/SIP[[#This Row],[Unit]]</f>
        <v>10.881392818280739</v>
      </c>
      <c r="N460" s="71">
        <f>SIP[[#This Row],[Unit Capital]]/10</f>
        <v>-2757</v>
      </c>
      <c r="O460" s="72">
        <f>SUMIFS(SIP[[#Headers],[Unit]]:SIP[[#This Row],[Unit]],SIP[[#Headers],[Investor ID]]:SIP[[#This Row],[Investor ID]],SIP[[#This Row],[Investor ID]])</f>
        <v>16392</v>
      </c>
      <c r="P460" s="73">
        <v>-27570</v>
      </c>
      <c r="Q460" s="74">
        <f>SIP[[#This Row],[Amount]]-SIP[[#This Row],[Unit Capital]]</f>
        <v>-2430</v>
      </c>
      <c r="R4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10.705519870489322</v>
      </c>
      <c r="S460" s="68">
        <f t="shared" ref="S460:S474" si="20">NAV_MKT</f>
        <v>14.224</v>
      </c>
      <c r="T460" s="74">
        <f>IF(SIP[[#This Row],[B/S]]="B",0,ABS(SIP[[#This Row],[Unit]])*(SIP[[#This Row],[NAV (Strike Rate)]]-INDEX(SIP[NAV at Cost (Average)],MATCH(CONCATENATE(SIP[[#This Row],[Frequency]]-1,SIP[[#This Row],[Investor ID]]),SIP[Unique Code],0),)))</f>
        <v>484.88171706093647</v>
      </c>
      <c r="U460" s="74" cm="1">
        <f t="array" ref="U460">IF(SIP[[#This Row],[B/S]]="S",ABS(SIP[[#This Row],[Unit]])*(INDEX(SIP[NAV at Cost (Average)],MATCH(CONCATENATE((SIP[[#This Row],[Frequency]]-1),SIP[[#This Row],[Investor ID]]),SIP[Unique Code],0),0)),0)</f>
        <v>29515.11828293906</v>
      </c>
      <c r="V460" s="74">
        <f>IF(SIP[[#This Row],[BO TRANSFER]]="YES",SIP[[#This Row],[Unit]],)</f>
        <v>0</v>
      </c>
      <c r="W460" s="74">
        <f>SUMIFS(SIP[[#Headers],[BO UNIT TRANSFER]]:SIP[[#This Row],[BO UNIT TRANSFER]],SIP[[#Headers],[Investor ID]]:SIP[[#This Row],[Investor ID]],SIP[[#This Row],[Investor ID]])</f>
        <v>0</v>
      </c>
    </row>
    <row r="461" spans="1:23" ht="15" customHeight="1">
      <c r="A461" s="46">
        <v>2024</v>
      </c>
      <c r="B461" s="46">
        <v>4</v>
      </c>
      <c r="C461" s="46">
        <v>5</v>
      </c>
      <c r="D461" s="65">
        <f>DATE(SIP[[#This Row],[Year]],SIP[[#This Row],[Month]],SIP[[#This Row],[Day]])</f>
        <v>45387</v>
      </c>
      <c r="E461" s="66" t="str" cm="1">
        <f t="array" ref="E461">INDEX(INVESTORS_LIST[INVESTOR NAME],MATCH(SIP[[#This Row],[Investor ID]],INVESTORS_LIST[INVESTOR CODE],0),)</f>
        <v>MONIR AHMED</v>
      </c>
      <c r="F461" s="46" t="s">
        <v>125</v>
      </c>
      <c r="G461" s="46">
        <f>COUNTIF(SIP[[#Headers],[Investor ID]]:SIP[[#This Row],[Investor ID]],SIP[[#This Row],[Investor ID]])</f>
        <v>12</v>
      </c>
      <c r="H461" s="46" t="str">
        <f>CONCATENATE(SIP[[#This Row],[Frequency]],SIP[[#This Row],[Investor ID]])</f>
        <v>12A00039</v>
      </c>
      <c r="I461" s="46" t="str">
        <f>IF(SIP[[#This Row],[B/S]]="B","BUY",(IF(SIP[[#This Row],[B/S]]="S","SELL"," ")))</f>
        <v>BUY</v>
      </c>
      <c r="J461" s="46" t="s">
        <v>1229</v>
      </c>
      <c r="K461" s="69">
        <v>5000</v>
      </c>
      <c r="L461" s="69"/>
      <c r="M461" s="70">
        <f>SIP[[#This Row],[Amount]]/SIP[[#This Row],[Unit]]</f>
        <v>10.91703056768559</v>
      </c>
      <c r="N461" s="71">
        <f>SIP[[#This Row],[Unit Capital]]/10</f>
        <v>458</v>
      </c>
      <c r="O461" s="72">
        <f>SUMIFS(SIP[[#Headers],[Unit]]:SIP[[#This Row],[Unit]],SIP[[#Headers],[Investor ID]]:SIP[[#This Row],[Investor ID]],SIP[[#This Row],[Investor ID]])</f>
        <v>3271</v>
      </c>
      <c r="P461" s="73">
        <v>4580</v>
      </c>
      <c r="Q461" s="74">
        <f>SIP[[#This Row],[Amount]]-SIP[[#This Row],[Unit Capital]]</f>
        <v>420</v>
      </c>
      <c r="R4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10.700091715071842</v>
      </c>
      <c r="S461" s="68">
        <f t="shared" si="20"/>
        <v>14.224</v>
      </c>
      <c r="T4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1" s="74" cm="1">
        <f t="array" ref="U461">IF(SIP[[#This Row],[B/S]]="S",ABS(SIP[[#This Row],[Unit]])*(INDEX(SIP[NAV at Cost (Average)],MATCH(CONCATENATE((SIP[[#This Row],[Frequency]]-1),SIP[[#This Row],[Investor ID]]),SIP[Unique Code],0),0)),0)</f>
        <v>0</v>
      </c>
      <c r="V461" s="74">
        <f>IF(SIP[[#This Row],[BO TRANSFER]]="YES",SIP[[#This Row],[Unit]],)</f>
        <v>0</v>
      </c>
      <c r="W461" s="74">
        <f>SUMIFS(SIP[[#Headers],[BO UNIT TRANSFER]]:SIP[[#This Row],[BO UNIT TRANSFER]],SIP[[#Headers],[Investor ID]]:SIP[[#This Row],[Investor ID]],SIP[[#This Row],[Investor ID]])</f>
        <v>0</v>
      </c>
    </row>
    <row r="462" spans="1:23" ht="15" customHeight="1">
      <c r="A462" s="46">
        <v>2024</v>
      </c>
      <c r="B462" s="46">
        <v>4</v>
      </c>
      <c r="C462" s="46">
        <v>5</v>
      </c>
      <c r="D462" s="65">
        <f>DATE(SIP[[#This Row],[Year]],SIP[[#This Row],[Month]],SIP[[#This Row],[Day]])</f>
        <v>45387</v>
      </c>
      <c r="E462" s="66" t="str" cm="1">
        <f t="array" ref="E462">INDEX(INVESTORS_LIST[INVESTOR NAME],MATCH(SIP[[#This Row],[Investor ID]],INVESTORS_LIST[INVESTOR CODE],0),)</f>
        <v>NANDINI SAHA</v>
      </c>
      <c r="F462" s="46" t="s">
        <v>242</v>
      </c>
      <c r="G462" s="46">
        <f>COUNTIF(SIP[[#Headers],[Investor ID]]:SIP[[#This Row],[Investor ID]],SIP[[#This Row],[Investor ID]])</f>
        <v>11</v>
      </c>
      <c r="H462" s="46" t="str">
        <f>CONCATENATE(SIP[[#This Row],[Frequency]],SIP[[#This Row],[Investor ID]])</f>
        <v>11A00097</v>
      </c>
      <c r="I462" s="46" t="str">
        <f>IF(SIP[[#This Row],[B/S]]="B","BUY",(IF(SIP[[#This Row],[B/S]]="S","SELL"," ")))</f>
        <v>BUY</v>
      </c>
      <c r="J462" s="46" t="s">
        <v>1229</v>
      </c>
      <c r="K462" s="69">
        <v>30000</v>
      </c>
      <c r="L462" s="69"/>
      <c r="M462" s="70">
        <f>SIP[[#This Row],[Amount]]/SIP[[#This Row],[Unit]]</f>
        <v>10.924981791697014</v>
      </c>
      <c r="N462" s="71">
        <f>SIP[[#This Row],[Unit Capital]]/10</f>
        <v>2746</v>
      </c>
      <c r="O462" s="72">
        <f>SUMIFS(SIP[[#Headers],[Unit]]:SIP[[#This Row],[Unit]],SIP[[#Headers],[Investor ID]]:SIP[[#This Row],[Investor ID]],SIP[[#This Row],[Investor ID]])</f>
        <v>31413</v>
      </c>
      <c r="P462" s="73">
        <v>27460</v>
      </c>
      <c r="Q462" s="74">
        <f>SIP[[#This Row],[Amount]]-SIP[[#This Row],[Unit Capital]]</f>
        <v>2540</v>
      </c>
      <c r="R4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10.505204851494604</v>
      </c>
      <c r="S462" s="68">
        <f t="shared" si="20"/>
        <v>14.224</v>
      </c>
      <c r="T4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2" s="74" cm="1">
        <f t="array" ref="U462">IF(SIP[[#This Row],[B/S]]="S",ABS(SIP[[#This Row],[Unit]])*(INDEX(SIP[NAV at Cost (Average)],MATCH(CONCATENATE((SIP[[#This Row],[Frequency]]-1),SIP[[#This Row],[Investor ID]]),SIP[Unique Code],0),0)),0)</f>
        <v>0</v>
      </c>
      <c r="V462" s="74">
        <f>IF(SIP[[#This Row],[BO TRANSFER]]="YES",SIP[[#This Row],[Unit]],)</f>
        <v>0</v>
      </c>
      <c r="W462" s="74">
        <f>SUMIFS(SIP[[#Headers],[BO UNIT TRANSFER]]:SIP[[#This Row],[BO UNIT TRANSFER]],SIP[[#Headers],[Investor ID]]:SIP[[#This Row],[Investor ID]],SIP[[#This Row],[Investor ID]])</f>
        <v>0</v>
      </c>
    </row>
    <row r="463" spans="1:23" ht="15" customHeight="1">
      <c r="A463" s="46">
        <v>2024</v>
      </c>
      <c r="B463" s="46">
        <v>4</v>
      </c>
      <c r="C463" s="46">
        <v>5</v>
      </c>
      <c r="D463" s="65">
        <f>DATE(SIP[[#This Row],[Year]],SIP[[#This Row],[Month]],SIP[[#This Row],[Day]])</f>
        <v>45387</v>
      </c>
      <c r="E463" s="66" t="str" cm="1">
        <f t="array" ref="E463">INDEX(INVESTORS_LIST[INVESTOR NAME],MATCH(SIP[[#This Row],[Investor ID]],INVESTORS_LIST[INVESTOR CODE],0),)</f>
        <v>SHANTA PAUL</v>
      </c>
      <c r="F463" s="46" t="s">
        <v>544</v>
      </c>
      <c r="G463" s="46">
        <f>COUNTIF(SIP[[#Headers],[Investor ID]]:SIP[[#This Row],[Investor ID]],SIP[[#This Row],[Investor ID]])</f>
        <v>13</v>
      </c>
      <c r="H463" s="46" t="str">
        <f>CONCATENATE(SIP[[#This Row],[Frequency]],SIP[[#This Row],[Investor ID]])</f>
        <v>13A00247</v>
      </c>
      <c r="I463" s="46" t="str">
        <f>IF(SIP[[#This Row],[B/S]]="B","BUY",(IF(SIP[[#This Row],[B/S]]="S","SELL"," ")))</f>
        <v>BUY</v>
      </c>
      <c r="J463" s="46" t="s">
        <v>1229</v>
      </c>
      <c r="K463" s="69">
        <v>20000</v>
      </c>
      <c r="L463" s="69"/>
      <c r="M463" s="70">
        <f>SIP[[#This Row],[Amount]]/SIP[[#This Row],[Unit]]</f>
        <v>10.928961748633879</v>
      </c>
      <c r="N463" s="71">
        <f>SIP[[#This Row],[Unit Capital]]/10</f>
        <v>1830</v>
      </c>
      <c r="O463" s="72">
        <f>SUMIFS(SIP[[#Headers],[Unit]]:SIP[[#This Row],[Unit]],SIP[[#Headers],[Investor ID]]:SIP[[#This Row],[Investor ID]],SIP[[#This Row],[Investor ID]])</f>
        <v>24793</v>
      </c>
      <c r="P463" s="73">
        <v>18300</v>
      </c>
      <c r="Q463" s="74">
        <f>SIP[[#This Row],[Amount]]-SIP[[#This Row],[Unit Capital]]</f>
        <v>1700</v>
      </c>
      <c r="R4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10.486830960351712</v>
      </c>
      <c r="S463" s="68">
        <f t="shared" si="20"/>
        <v>14.224</v>
      </c>
      <c r="T4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3" s="74" cm="1">
        <f t="array" ref="U463">IF(SIP[[#This Row],[B/S]]="S",ABS(SIP[[#This Row],[Unit]])*(INDEX(SIP[NAV at Cost (Average)],MATCH(CONCATENATE((SIP[[#This Row],[Frequency]]-1),SIP[[#This Row],[Investor ID]]),SIP[Unique Code],0),0)),0)</f>
        <v>0</v>
      </c>
      <c r="V463" s="74">
        <f>IF(SIP[[#This Row],[BO TRANSFER]]="YES",SIP[[#This Row],[Unit]],)</f>
        <v>0</v>
      </c>
      <c r="W463" s="74">
        <f>SUMIFS(SIP[[#Headers],[BO UNIT TRANSFER]]:SIP[[#This Row],[BO UNIT TRANSFER]],SIP[[#Headers],[Investor ID]]:SIP[[#This Row],[Investor ID]],SIP[[#This Row],[Investor ID]])</f>
        <v>0</v>
      </c>
    </row>
    <row r="464" spans="1:23" ht="15" customHeight="1">
      <c r="A464" s="46">
        <v>2024</v>
      </c>
      <c r="B464" s="46">
        <v>4</v>
      </c>
      <c r="C464" s="46">
        <v>5</v>
      </c>
      <c r="D464" s="65">
        <f>DATE(SIP[[#This Row],[Year]],SIP[[#This Row],[Month]],SIP[[#This Row],[Day]])</f>
        <v>45387</v>
      </c>
      <c r="E464" s="66" t="str" cm="1">
        <f t="array" ref="E464">INDEX(INVESTORS_LIST[INVESTOR NAME],MATCH(SIP[[#This Row],[Investor ID]],INVESTORS_LIST[INVESTOR CODE],0),)</f>
        <v>FAKARUDDIN ALI AHMED</v>
      </c>
      <c r="F464" s="46" t="s">
        <v>228</v>
      </c>
      <c r="G464" s="46">
        <f>COUNTIF(SIP[[#Headers],[Investor ID]]:SIP[[#This Row],[Investor ID]],SIP[[#This Row],[Investor ID]])</f>
        <v>12</v>
      </c>
      <c r="H464" s="46" t="str">
        <f>CONCATENATE(SIP[[#This Row],[Frequency]],SIP[[#This Row],[Investor ID]])</f>
        <v>12A00090</v>
      </c>
      <c r="I464" s="46" t="str">
        <f>IF(SIP[[#This Row],[B/S]]="B","BUY",(IF(SIP[[#This Row],[B/S]]="S","SELL"," ")))</f>
        <v>BUY</v>
      </c>
      <c r="J464" s="46" t="s">
        <v>1229</v>
      </c>
      <c r="K464" s="69">
        <v>10000</v>
      </c>
      <c r="L464" s="69"/>
      <c r="M464" s="70">
        <f>SIP[[#This Row],[Amount]]/SIP[[#This Row],[Unit]]</f>
        <v>10.928961748633879</v>
      </c>
      <c r="N464" s="71">
        <f>SIP[[#This Row],[Unit Capital]]/10</f>
        <v>915</v>
      </c>
      <c r="O464" s="72">
        <f>SUMIFS(SIP[[#Headers],[Unit]]:SIP[[#This Row],[Unit]],SIP[[#Headers],[Investor ID]]:SIP[[#This Row],[Investor ID]],SIP[[#This Row],[Investor ID]])</f>
        <v>1920</v>
      </c>
      <c r="P464" s="73">
        <v>9150</v>
      </c>
      <c r="Q464" s="74">
        <f>SIP[[#This Row],[Amount]]-SIP[[#This Row],[Unit Capital]]</f>
        <v>850</v>
      </c>
      <c r="R4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10.873427672955975</v>
      </c>
      <c r="S464" s="68">
        <f t="shared" si="20"/>
        <v>14.224</v>
      </c>
      <c r="T4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4" s="74" cm="1">
        <f t="array" ref="U464">IF(SIP[[#This Row],[B/S]]="S",ABS(SIP[[#This Row],[Unit]])*(INDEX(SIP[NAV at Cost (Average)],MATCH(CONCATENATE((SIP[[#This Row],[Frequency]]-1),SIP[[#This Row],[Investor ID]]),SIP[Unique Code],0),0)),0)</f>
        <v>0</v>
      </c>
      <c r="V464" s="74">
        <f>IF(SIP[[#This Row],[BO TRANSFER]]="YES",SIP[[#This Row],[Unit]],)</f>
        <v>0</v>
      </c>
      <c r="W464" s="74">
        <f>SUMIFS(SIP[[#Headers],[BO UNIT TRANSFER]]:SIP[[#This Row],[BO UNIT TRANSFER]],SIP[[#Headers],[Investor ID]]:SIP[[#This Row],[Investor ID]],SIP[[#This Row],[Investor ID]])</f>
        <v>0</v>
      </c>
    </row>
    <row r="465" spans="1:23" ht="15" customHeight="1">
      <c r="A465" s="46">
        <v>2024</v>
      </c>
      <c r="B465" s="46">
        <v>4</v>
      </c>
      <c r="C465" s="46">
        <v>5</v>
      </c>
      <c r="D465" s="65">
        <f>DATE(SIP[[#This Row],[Year]],SIP[[#This Row],[Month]],SIP[[#This Row],[Day]])</f>
        <v>45387</v>
      </c>
      <c r="E465" s="66" t="str" cm="1">
        <f t="array" ref="E465">INDEX(INVESTORS_LIST[INVESTOR NAME],MATCH(SIP[[#This Row],[Investor ID]],INVESTORS_LIST[INVESTOR CODE],0),)</f>
        <v>ROKSABA KASEM</v>
      </c>
      <c r="F465" s="46" t="s">
        <v>900</v>
      </c>
      <c r="G465" s="46">
        <f>COUNTIF(SIP[[#Headers],[Investor ID]]:SIP[[#This Row],[Investor ID]],SIP[[#This Row],[Investor ID]])</f>
        <v>11</v>
      </c>
      <c r="H465" s="46" t="str">
        <f>CONCATENATE(SIP[[#This Row],[Frequency]],SIP[[#This Row],[Investor ID]])</f>
        <v>11A00427</v>
      </c>
      <c r="I465" s="46" t="str">
        <f>IF(SIP[[#This Row],[B/S]]="B","BUY",(IF(SIP[[#This Row],[B/S]]="S","SELL"," ")))</f>
        <v>BUY</v>
      </c>
      <c r="J465" s="46" t="s">
        <v>1229</v>
      </c>
      <c r="K465" s="69">
        <v>20000</v>
      </c>
      <c r="L465" s="122"/>
      <c r="M465" s="70">
        <f>SIP[[#This Row],[Amount]]/SIP[[#This Row],[Unit]]</f>
        <v>10.928961748633879</v>
      </c>
      <c r="N465" s="71">
        <f>SIP[[#This Row],[Unit Capital]]/10</f>
        <v>1830</v>
      </c>
      <c r="O465" s="72">
        <f>SUMIFS(SIP[[#Headers],[Unit]]:SIP[[#This Row],[Unit]],SIP[[#Headers],[Investor ID]]:SIP[[#This Row],[Investor ID]],SIP[[#This Row],[Investor ID]])</f>
        <v>20836</v>
      </c>
      <c r="P465" s="73">
        <v>18300</v>
      </c>
      <c r="Q465" s="74">
        <f>SIP[[#This Row],[Amount]]-SIP[[#This Row],[Unit Capital]]</f>
        <v>1700</v>
      </c>
      <c r="R4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10.558648492992896</v>
      </c>
      <c r="S465" s="68">
        <f t="shared" si="20"/>
        <v>14.224</v>
      </c>
      <c r="T4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5" s="74" cm="1">
        <f t="array" ref="U465">IF(SIP[[#This Row],[B/S]]="S",ABS(SIP[[#This Row],[Unit]])*(INDEX(SIP[NAV at Cost (Average)],MATCH(CONCATENATE((SIP[[#This Row],[Frequency]]-1),SIP[[#This Row],[Investor ID]]),SIP[Unique Code],0),0)),0)</f>
        <v>0</v>
      </c>
      <c r="V465" s="74">
        <f>IF(SIP[[#This Row],[BO TRANSFER]]="YES",SIP[[#This Row],[Unit]],)</f>
        <v>0</v>
      </c>
      <c r="W465" s="74">
        <f>SUMIFS(SIP[[#Headers],[BO UNIT TRANSFER]]:SIP[[#This Row],[BO UNIT TRANSFER]],SIP[[#Headers],[Investor ID]]:SIP[[#This Row],[Investor ID]],SIP[[#This Row],[Investor ID]])</f>
        <v>0</v>
      </c>
    </row>
    <row r="466" spans="1:23" ht="15" customHeight="1">
      <c r="A466" s="46">
        <v>2024</v>
      </c>
      <c r="B466" s="46">
        <v>4</v>
      </c>
      <c r="C466" s="46">
        <v>5</v>
      </c>
      <c r="D466" s="65">
        <f>DATE(SIP[[#This Row],[Year]],SIP[[#This Row],[Month]],SIP[[#This Row],[Day]])</f>
        <v>45387</v>
      </c>
      <c r="E466" s="66" t="str" cm="1">
        <f t="array" ref="E466">INDEX(INVESTORS_LIST[INVESTOR NAME],MATCH(SIP[[#This Row],[Investor ID]],INVESTORS_LIST[INVESTOR CODE],0),)</f>
        <v>MD. MONIRUL ISLAM</v>
      </c>
      <c r="F466" s="46" t="s">
        <v>996</v>
      </c>
      <c r="G466" s="46">
        <f>COUNTIF(SIP[[#Headers],[Investor ID]]:SIP[[#This Row],[Investor ID]],SIP[[#This Row],[Investor ID]])</f>
        <v>12</v>
      </c>
      <c r="H466" s="46" t="str">
        <f>CONCATENATE(SIP[[#This Row],[Frequency]],SIP[[#This Row],[Investor ID]])</f>
        <v>12A00475</v>
      </c>
      <c r="I466" s="46" t="str">
        <f>IF(SIP[[#This Row],[B/S]]="B","BUY",(IF(SIP[[#This Row],[B/S]]="S","SELL"," ")))</f>
        <v>BUY</v>
      </c>
      <c r="J466" s="46" t="s">
        <v>1229</v>
      </c>
      <c r="K466" s="69">
        <v>10000</v>
      </c>
      <c r="L466" s="69"/>
      <c r="M466" s="70">
        <f>SIP[[#This Row],[Amount]]/SIP[[#This Row],[Unit]]</f>
        <v>10.928961748633879</v>
      </c>
      <c r="N466" s="71">
        <f>SIP[[#This Row],[Unit Capital]]/10</f>
        <v>915</v>
      </c>
      <c r="O466" s="72">
        <f>SUMIFS(SIP[[#Headers],[Unit]]:SIP[[#This Row],[Unit]],SIP[[#Headers],[Investor ID]]:SIP[[#This Row],[Investor ID]],SIP[[#This Row],[Investor ID]])</f>
        <v>11405</v>
      </c>
      <c r="P466" s="73">
        <v>9150</v>
      </c>
      <c r="Q466" s="74">
        <f>SIP[[#This Row],[Amount]]-SIP[[#This Row],[Unit Capital]]</f>
        <v>850</v>
      </c>
      <c r="R4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10.521701008329678</v>
      </c>
      <c r="S466" s="68">
        <f t="shared" si="20"/>
        <v>14.224</v>
      </c>
      <c r="T4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6" s="74" cm="1">
        <f t="array" ref="U466">IF(SIP[[#This Row],[B/S]]="S",ABS(SIP[[#This Row],[Unit]])*(INDEX(SIP[NAV at Cost (Average)],MATCH(CONCATENATE((SIP[[#This Row],[Frequency]]-1),SIP[[#This Row],[Investor ID]]),SIP[Unique Code],0),0)),0)</f>
        <v>0</v>
      </c>
      <c r="V466" s="74">
        <f>IF(SIP[[#This Row],[BO TRANSFER]]="YES",SIP[[#This Row],[Unit]],)</f>
        <v>0</v>
      </c>
      <c r="W466" s="74">
        <f>SUMIFS(SIP[[#Headers],[BO UNIT TRANSFER]]:SIP[[#This Row],[BO UNIT TRANSFER]],SIP[[#Headers],[Investor ID]]:SIP[[#This Row],[Investor ID]],SIP[[#This Row],[Investor ID]])</f>
        <v>0</v>
      </c>
    </row>
    <row r="467" spans="1:23" ht="15" customHeight="1">
      <c r="A467" s="46">
        <v>2024</v>
      </c>
      <c r="B467" s="46">
        <v>4</v>
      </c>
      <c r="C467" s="46">
        <v>5</v>
      </c>
      <c r="D467" s="65">
        <f>DATE(SIP[[#This Row],[Year]],SIP[[#This Row],[Month]],SIP[[#This Row],[Day]])</f>
        <v>45387</v>
      </c>
      <c r="E467" s="66" t="str" cm="1">
        <f t="array" ref="E467">INDEX(INVESTORS_LIST[INVESTOR NAME],MATCH(SIP[[#This Row],[Investor ID]],INVESTORS_LIST[INVESTOR CODE],0),)</f>
        <v>SABRIA ISLAM TALUKDER</v>
      </c>
      <c r="F467" s="46" t="s">
        <v>409</v>
      </c>
      <c r="G467" s="46">
        <f>COUNTIF(SIP[[#Headers],[Investor ID]]:SIP[[#This Row],[Investor ID]],SIP[[#This Row],[Investor ID]])</f>
        <v>8</v>
      </c>
      <c r="H467" s="46" t="str">
        <f>CONCATENATE(SIP[[#This Row],[Frequency]],SIP[[#This Row],[Investor ID]])</f>
        <v>8A00180</v>
      </c>
      <c r="I467" s="46" t="str">
        <f>IF(SIP[[#This Row],[B/S]]="B","BUY",(IF(SIP[[#This Row],[B/S]]="S","SELL"," ")))</f>
        <v>BUY</v>
      </c>
      <c r="J467" s="46" t="s">
        <v>1229</v>
      </c>
      <c r="K467" s="69">
        <v>5000</v>
      </c>
      <c r="L467" s="69"/>
      <c r="M467" s="70">
        <f>SIP[[#This Row],[Amount]]/SIP[[#This Row],[Unit]]</f>
        <v>10.91703056768559</v>
      </c>
      <c r="N467" s="71">
        <f>SIP[[#This Row],[Unit Capital]]/10</f>
        <v>458</v>
      </c>
      <c r="O467" s="72">
        <f>SUMIFS(SIP[[#Headers],[Unit]]:SIP[[#This Row],[Unit]],SIP[[#Headers],[Investor ID]]:SIP[[#This Row],[Investor ID]],SIP[[#This Row],[Investor ID]])</f>
        <v>3750</v>
      </c>
      <c r="P467" s="73">
        <v>4580</v>
      </c>
      <c r="Q467" s="74">
        <f>SIP[[#This Row],[Amount]]-SIP[[#This Row],[Unit Capital]]</f>
        <v>420</v>
      </c>
      <c r="R4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10.666666666666666</v>
      </c>
      <c r="S467" s="68">
        <f t="shared" si="20"/>
        <v>14.224</v>
      </c>
      <c r="T4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7" s="74" cm="1">
        <f t="array" ref="U467">IF(SIP[[#This Row],[B/S]]="S",ABS(SIP[[#This Row],[Unit]])*(INDEX(SIP[NAV at Cost (Average)],MATCH(CONCATENATE((SIP[[#This Row],[Frequency]]-1),SIP[[#This Row],[Investor ID]]),SIP[Unique Code],0),0)),0)</f>
        <v>0</v>
      </c>
      <c r="V467" s="74">
        <f>IF(SIP[[#This Row],[BO TRANSFER]]="YES",SIP[[#This Row],[Unit]],)</f>
        <v>0</v>
      </c>
      <c r="W467" s="74">
        <f>SUMIFS(SIP[[#Headers],[BO UNIT TRANSFER]]:SIP[[#This Row],[BO UNIT TRANSFER]],SIP[[#Headers],[Investor ID]]:SIP[[#This Row],[Investor ID]],SIP[[#This Row],[Investor ID]])</f>
        <v>0</v>
      </c>
    </row>
    <row r="468" spans="1:23" ht="15" customHeight="1">
      <c r="A468" s="46">
        <v>2024</v>
      </c>
      <c r="B468" s="46">
        <v>4</v>
      </c>
      <c r="C468" s="46">
        <v>5</v>
      </c>
      <c r="D468" s="65">
        <f>DATE(SIP[[#This Row],[Year]],SIP[[#This Row],[Month]],SIP[[#This Row],[Day]])</f>
        <v>45387</v>
      </c>
      <c r="E468" s="66" t="str" cm="1">
        <f t="array" ref="E468">INDEX(INVESTORS_LIST[INVESTOR NAME],MATCH(SIP[[#This Row],[Investor ID]],INVESTORS_LIST[INVESTOR CODE],0),)</f>
        <v>NANI GOPAL DATTA</v>
      </c>
      <c r="F468" s="46" t="s">
        <v>232</v>
      </c>
      <c r="G468" s="46">
        <f>COUNTIF(SIP[[#Headers],[Investor ID]]:SIP[[#This Row],[Investor ID]],SIP[[#This Row],[Investor ID]])</f>
        <v>6</v>
      </c>
      <c r="H468" s="46" t="str">
        <f>CONCATENATE(SIP[[#This Row],[Frequency]],SIP[[#This Row],[Investor ID]])</f>
        <v>6A00092</v>
      </c>
      <c r="I468" s="46" t="str">
        <f>IF(SIP[[#This Row],[B/S]]="B","BUY",(IF(SIP[[#This Row],[B/S]]="S","SELL"," ")))</f>
        <v>BUY</v>
      </c>
      <c r="J468" s="46" t="s">
        <v>1229</v>
      </c>
      <c r="K468" s="69">
        <v>2000</v>
      </c>
      <c r="L468" s="69"/>
      <c r="M468" s="70">
        <f>SIP[[#This Row],[Amount]]/SIP[[#This Row],[Unit]]</f>
        <v>10.928961748633879</v>
      </c>
      <c r="N468" s="71">
        <f>SIP[[#This Row],[Unit Capital]]/10</f>
        <v>183</v>
      </c>
      <c r="O468" s="72">
        <f>SUMIFS(SIP[[#Headers],[Unit]]:SIP[[#This Row],[Unit]],SIP[[#Headers],[Investor ID]]:SIP[[#This Row],[Investor ID]],SIP[[#This Row],[Investor ID]])</f>
        <v>1117</v>
      </c>
      <c r="P468" s="73">
        <v>1830</v>
      </c>
      <c r="Q468" s="74">
        <f>SIP[[#This Row],[Amount]]-SIP[[#This Row],[Unit Capital]]</f>
        <v>170</v>
      </c>
      <c r="R4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10.743061772605195</v>
      </c>
      <c r="S468" s="68">
        <f t="shared" si="20"/>
        <v>14.224</v>
      </c>
      <c r="T4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8" s="74" cm="1">
        <f t="array" ref="U468">IF(SIP[[#This Row],[B/S]]="S",ABS(SIP[[#This Row],[Unit]])*(INDEX(SIP[NAV at Cost (Average)],MATCH(CONCATENATE((SIP[[#This Row],[Frequency]]-1),SIP[[#This Row],[Investor ID]]),SIP[Unique Code],0),0)),0)</f>
        <v>0</v>
      </c>
      <c r="V468" s="74">
        <f>IF(SIP[[#This Row],[BO TRANSFER]]="YES",SIP[[#This Row],[Unit]],)</f>
        <v>0</v>
      </c>
      <c r="W468" s="74">
        <f>SUMIFS(SIP[[#Headers],[BO UNIT TRANSFER]]:SIP[[#This Row],[BO UNIT TRANSFER]],SIP[[#Headers],[Investor ID]]:SIP[[#This Row],[Investor ID]],SIP[[#This Row],[Investor ID]])</f>
        <v>0</v>
      </c>
    </row>
    <row r="469" spans="1:23" ht="15" customHeight="1">
      <c r="A469" s="46">
        <v>2024</v>
      </c>
      <c r="B469" s="46">
        <v>4</v>
      </c>
      <c r="C469" s="46">
        <v>5</v>
      </c>
      <c r="D469" s="65">
        <f>DATE(SIP[[#This Row],[Year]],SIP[[#This Row],[Month]],SIP[[#This Row],[Day]])</f>
        <v>45387</v>
      </c>
      <c r="E469" s="66" t="str" cm="1">
        <f t="array" ref="E469">INDEX(INVESTORS_LIST[INVESTOR NAME],MATCH(SIP[[#This Row],[Investor ID]],INVESTORS_LIST[INVESTOR CODE],0),)</f>
        <v>BIJOY CHANDRA DAS</v>
      </c>
      <c r="F469" s="46" t="s">
        <v>497</v>
      </c>
      <c r="G469" s="46">
        <f>COUNTIF(SIP[[#Headers],[Investor ID]]:SIP[[#This Row],[Investor ID]],SIP[[#This Row],[Investor ID]])</f>
        <v>1</v>
      </c>
      <c r="H469" s="46" t="str">
        <f>CONCATENATE(SIP[[#This Row],[Frequency]],SIP[[#This Row],[Investor ID]])</f>
        <v>1A00224</v>
      </c>
      <c r="I469" s="46" t="str">
        <f>IF(SIP[[#This Row],[B/S]]="B","BUY",(IF(SIP[[#This Row],[B/S]]="S","SELL"," ")))</f>
        <v>BUY</v>
      </c>
      <c r="J469" s="46" t="s">
        <v>1229</v>
      </c>
      <c r="K469" s="69">
        <v>5000</v>
      </c>
      <c r="L469" s="69"/>
      <c r="M469" s="70">
        <f>SIP[[#This Row],[Amount]]/SIP[[#This Row],[Unit]]</f>
        <v>10.91703056768559</v>
      </c>
      <c r="N469" s="71">
        <f>SIP[[#This Row],[Unit Capital]]/10</f>
        <v>458</v>
      </c>
      <c r="O469" s="72">
        <f>SUMIFS(SIP[[#Headers],[Unit]]:SIP[[#This Row],[Unit]],SIP[[#Headers],[Investor ID]]:SIP[[#This Row],[Investor ID]],SIP[[#This Row],[Investor ID]])</f>
        <v>458</v>
      </c>
      <c r="P469" s="73">
        <v>4580</v>
      </c>
      <c r="Q469" s="74">
        <f>SIP[[#This Row],[Amount]]-SIP[[#This Row],[Unit Capital]]</f>
        <v>420</v>
      </c>
      <c r="R4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10.91703056768559</v>
      </c>
      <c r="S469" s="68">
        <f t="shared" si="20"/>
        <v>14.224</v>
      </c>
      <c r="T4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9" s="74" cm="1">
        <f t="array" ref="U469">IF(SIP[[#This Row],[B/S]]="S",ABS(SIP[[#This Row],[Unit]])*(INDEX(SIP[NAV at Cost (Average)],MATCH(CONCATENATE((SIP[[#This Row],[Frequency]]-1),SIP[[#This Row],[Investor ID]]),SIP[Unique Code],0),0)),0)</f>
        <v>0</v>
      </c>
      <c r="V469" s="74">
        <f>IF(SIP[[#This Row],[BO TRANSFER]]="YES",SIP[[#This Row],[Unit]],)</f>
        <v>0</v>
      </c>
      <c r="W469" s="74">
        <f>SUMIFS(SIP[[#Headers],[BO UNIT TRANSFER]]:SIP[[#This Row],[BO UNIT TRANSFER]],SIP[[#Headers],[Investor ID]]:SIP[[#This Row],[Investor ID]],SIP[[#This Row],[Investor ID]])</f>
        <v>0</v>
      </c>
    </row>
    <row r="470" spans="1:23" ht="15" customHeight="1">
      <c r="A470" s="46">
        <v>2024</v>
      </c>
      <c r="B470" s="46">
        <v>4</v>
      </c>
      <c r="C470" s="46">
        <v>5</v>
      </c>
      <c r="D470" s="65">
        <f>DATE(SIP[[#This Row],[Year]],SIP[[#This Row],[Month]],SIP[[#This Row],[Day]])</f>
        <v>45387</v>
      </c>
      <c r="E470" s="66" t="str" cm="1">
        <f t="array" ref="E470">INDEX(INVESTORS_LIST[INVESTOR NAME],MATCH(SIP[[#This Row],[Investor ID]],INVESTORS_LIST[INVESTOR CODE],0),)</f>
        <v>SHUVA SAHA</v>
      </c>
      <c r="F470" s="46" t="s">
        <v>154</v>
      </c>
      <c r="G470" s="46">
        <f>COUNTIF(SIP[[#Headers],[Investor ID]]:SIP[[#This Row],[Investor ID]],SIP[[#This Row],[Investor ID]])</f>
        <v>14</v>
      </c>
      <c r="H470" s="46" t="str">
        <f>CONCATENATE(SIP[[#This Row],[Frequency]],SIP[[#This Row],[Investor ID]])</f>
        <v>14A00053</v>
      </c>
      <c r="I470" s="46" t="str">
        <f>IF(SIP[[#This Row],[B/S]]="B","BUY",(IF(SIP[[#This Row],[B/S]]="S","SELL"," ")))</f>
        <v>BUY</v>
      </c>
      <c r="J470" s="46" t="s">
        <v>1229</v>
      </c>
      <c r="K470" s="69">
        <v>70000</v>
      </c>
      <c r="L470" s="69"/>
      <c r="M470" s="70">
        <f>SIP[[#This Row],[Amount]]/SIP[[#This Row],[Unit]]</f>
        <v>10.925550179491182</v>
      </c>
      <c r="N470" s="71">
        <f>SIP[[#This Row],[Unit Capital]]/10</f>
        <v>6407</v>
      </c>
      <c r="O470" s="72">
        <f>SUMIFS(SIP[[#Headers],[Unit]]:SIP[[#This Row],[Unit]],SIP[[#Headers],[Investor ID]]:SIP[[#This Row],[Investor ID]],SIP[[#This Row],[Investor ID]])</f>
        <v>80085</v>
      </c>
      <c r="P470" s="73">
        <v>64070</v>
      </c>
      <c r="Q470" s="74">
        <f>SIP[[#This Row],[Amount]]-SIP[[#This Row],[Unit Capital]]</f>
        <v>5930</v>
      </c>
      <c r="R4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10.506355004195214</v>
      </c>
      <c r="S470" s="68">
        <f t="shared" si="20"/>
        <v>14.224</v>
      </c>
      <c r="T4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0" s="74" cm="1">
        <f t="array" ref="U470">IF(SIP[[#This Row],[B/S]]="S",ABS(SIP[[#This Row],[Unit]])*(INDEX(SIP[NAV at Cost (Average)],MATCH(CONCATENATE((SIP[[#This Row],[Frequency]]-1),SIP[[#This Row],[Investor ID]]),SIP[Unique Code],0),0)),0)</f>
        <v>0</v>
      </c>
      <c r="V470" s="74">
        <f>IF(SIP[[#This Row],[BO TRANSFER]]="YES",SIP[[#This Row],[Unit]],)</f>
        <v>0</v>
      </c>
      <c r="W470" s="74">
        <f>SUMIFS(SIP[[#Headers],[BO UNIT TRANSFER]]:SIP[[#This Row],[BO UNIT TRANSFER]],SIP[[#Headers],[Investor ID]]:SIP[[#This Row],[Investor ID]],SIP[[#This Row],[Investor ID]])</f>
        <v>0</v>
      </c>
    </row>
    <row r="471" spans="1:23" ht="15" customHeight="1">
      <c r="A471" s="46">
        <v>2024</v>
      </c>
      <c r="B471" s="46">
        <v>4</v>
      </c>
      <c r="C471" s="46">
        <v>5</v>
      </c>
      <c r="D471" s="65">
        <f>DATE(SIP[[#This Row],[Year]],SIP[[#This Row],[Month]],SIP[[#This Row],[Day]])</f>
        <v>45387</v>
      </c>
      <c r="E471" s="66" t="str" cm="1">
        <f t="array" ref="E471">INDEX(INVESTORS_LIST[INVESTOR NAME],MATCH(SIP[[#This Row],[Investor ID]],INVESTORS_LIST[INVESTOR CODE],0),)</f>
        <v>FAIYEAD AHMEDUL HYE</v>
      </c>
      <c r="F471" s="46" t="s">
        <v>368</v>
      </c>
      <c r="G471" s="46">
        <f>COUNTIF(SIP[[#Headers],[Investor ID]]:SIP[[#This Row],[Investor ID]],SIP[[#This Row],[Investor ID]])</f>
        <v>11</v>
      </c>
      <c r="H471" s="46" t="str">
        <f>CONCATENATE(SIP[[#This Row],[Frequency]],SIP[[#This Row],[Investor ID]])</f>
        <v>11A00160</v>
      </c>
      <c r="I471" s="46" t="str">
        <f>IF(SIP[[#This Row],[B/S]]="B","BUY",(IF(SIP[[#This Row],[B/S]]="S","SELL"," ")))</f>
        <v>BUY</v>
      </c>
      <c r="J471" s="46" t="s">
        <v>1229</v>
      </c>
      <c r="K471" s="69">
        <v>15000</v>
      </c>
      <c r="L471" s="69"/>
      <c r="M471" s="70">
        <f>SIP[[#This Row],[Amount]]/SIP[[#This Row],[Unit]]</f>
        <v>10.924981791697014</v>
      </c>
      <c r="N471" s="71">
        <f>SIP[[#This Row],[Unit Capital]]/10</f>
        <v>1373</v>
      </c>
      <c r="O471" s="72">
        <f>SUMIFS(SIP[[#Headers],[Unit]]:SIP[[#This Row],[Unit]],SIP[[#Headers],[Investor ID]]:SIP[[#This Row],[Investor ID]],SIP[[#This Row],[Investor ID]])</f>
        <v>15626</v>
      </c>
      <c r="P471" s="73">
        <v>13730</v>
      </c>
      <c r="Q471" s="74">
        <f>SIP[[#This Row],[Amount]]-SIP[[#This Row],[Unit Capital]]</f>
        <v>1270</v>
      </c>
      <c r="R4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10.559324203250993</v>
      </c>
      <c r="S471" s="68">
        <f t="shared" si="20"/>
        <v>14.224</v>
      </c>
      <c r="T4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1" s="74" cm="1">
        <f t="array" ref="U471">IF(SIP[[#This Row],[B/S]]="S",ABS(SIP[[#This Row],[Unit]])*(INDEX(SIP[NAV at Cost (Average)],MATCH(CONCATENATE((SIP[[#This Row],[Frequency]]-1),SIP[[#This Row],[Investor ID]]),SIP[Unique Code],0),0)),0)</f>
        <v>0</v>
      </c>
      <c r="V471" s="74">
        <f>IF(SIP[[#This Row],[BO TRANSFER]]="YES",SIP[[#This Row],[Unit]],)</f>
        <v>0</v>
      </c>
      <c r="W471" s="74">
        <f>SUMIFS(SIP[[#Headers],[BO UNIT TRANSFER]]:SIP[[#This Row],[BO UNIT TRANSFER]],SIP[[#Headers],[Investor ID]]:SIP[[#This Row],[Investor ID]],SIP[[#This Row],[Investor ID]])</f>
        <v>0</v>
      </c>
    </row>
    <row r="472" spans="1:23" ht="15" customHeight="1">
      <c r="A472" s="46">
        <v>2024</v>
      </c>
      <c r="B472" s="46">
        <v>4</v>
      </c>
      <c r="C472" s="46">
        <v>5</v>
      </c>
      <c r="D472" s="65">
        <f>DATE(SIP[[#This Row],[Year]],SIP[[#This Row],[Month]],SIP[[#This Row],[Day]])</f>
        <v>45387</v>
      </c>
      <c r="E472" s="66" t="str" cm="1">
        <f t="array" ref="E472">INDEX(INVESTORS_LIST[INVESTOR NAME],MATCH(SIP[[#This Row],[Investor ID]],INVESTORS_LIST[INVESTOR CODE],0),)</f>
        <v>CHAONIKA SAHA</v>
      </c>
      <c r="F472" s="46" t="s">
        <v>238</v>
      </c>
      <c r="G472" s="46">
        <f>COUNTIF(SIP[[#Headers],[Investor ID]]:SIP[[#This Row],[Investor ID]],SIP[[#This Row],[Investor ID]])</f>
        <v>8</v>
      </c>
      <c r="H472" s="46" t="str">
        <f>CONCATENATE(SIP[[#This Row],[Frequency]],SIP[[#This Row],[Investor ID]])</f>
        <v>8A00095</v>
      </c>
      <c r="I472" s="46" t="str">
        <f>IF(SIP[[#This Row],[B/S]]="B","BUY",(IF(SIP[[#This Row],[B/S]]="S","SELL"," ")))</f>
        <v>BUY</v>
      </c>
      <c r="J472" s="46" t="s">
        <v>1229</v>
      </c>
      <c r="K472" s="69">
        <v>1000</v>
      </c>
      <c r="L472" s="69"/>
      <c r="M472" s="70">
        <f>SIP[[#This Row],[Amount]]/SIP[[#This Row],[Unit]]</f>
        <v>10.869565217391305</v>
      </c>
      <c r="N472" s="71">
        <f>SIP[[#This Row],[Unit Capital]]/10</f>
        <v>92</v>
      </c>
      <c r="O472" s="72">
        <f>SUMIFS(SIP[[#Headers],[Unit]]:SIP[[#This Row],[Unit]],SIP[[#Headers],[Investor ID]]:SIP[[#This Row],[Investor ID]],SIP[[#This Row],[Investor ID]])</f>
        <v>750</v>
      </c>
      <c r="P472" s="73">
        <v>920</v>
      </c>
      <c r="Q472" s="74">
        <f>SIP[[#This Row],[Amount]]-SIP[[#This Row],[Unit Capital]]</f>
        <v>80</v>
      </c>
      <c r="R4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10.666666666666666</v>
      </c>
      <c r="S472" s="68">
        <f t="shared" si="20"/>
        <v>14.224</v>
      </c>
      <c r="T4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2" s="74" cm="1">
        <f t="array" ref="U472">IF(SIP[[#This Row],[B/S]]="S",ABS(SIP[[#This Row],[Unit]])*(INDEX(SIP[NAV at Cost (Average)],MATCH(CONCATENATE((SIP[[#This Row],[Frequency]]-1),SIP[[#This Row],[Investor ID]]),SIP[Unique Code],0),0)),0)</f>
        <v>0</v>
      </c>
      <c r="V472" s="74">
        <f>IF(SIP[[#This Row],[BO TRANSFER]]="YES",SIP[[#This Row],[Unit]],)</f>
        <v>0</v>
      </c>
      <c r="W472" s="74">
        <f>SUMIFS(SIP[[#Headers],[BO UNIT TRANSFER]]:SIP[[#This Row],[BO UNIT TRANSFER]],SIP[[#Headers],[Investor ID]]:SIP[[#This Row],[Investor ID]],SIP[[#This Row],[Investor ID]])</f>
        <v>0</v>
      </c>
    </row>
    <row r="473" spans="1:23" ht="15" customHeight="1">
      <c r="A473" s="46">
        <v>2024</v>
      </c>
      <c r="B473" s="46">
        <v>4</v>
      </c>
      <c r="C473" s="46">
        <v>5</v>
      </c>
      <c r="D473" s="65">
        <f>DATE(SIP[[#This Row],[Year]],SIP[[#This Row],[Month]],SIP[[#This Row],[Day]])</f>
        <v>45387</v>
      </c>
      <c r="E473" s="66" t="str" cm="1">
        <f t="array" ref="E473">INDEX(INVESTORS_LIST[INVESTOR NAME],MATCH(SIP[[#This Row],[Investor ID]],INVESTORS_LIST[INVESTOR CODE],0),)</f>
        <v>SK FEROZ ALAM</v>
      </c>
      <c r="F473" s="46" t="s">
        <v>240</v>
      </c>
      <c r="G473" s="46">
        <f>COUNTIF(SIP[[#Headers],[Investor ID]]:SIP[[#This Row],[Investor ID]],SIP[[#This Row],[Investor ID]])</f>
        <v>6</v>
      </c>
      <c r="H473" s="46" t="str">
        <f>CONCATENATE(SIP[[#This Row],[Frequency]],SIP[[#This Row],[Investor ID]])</f>
        <v>6A00096</v>
      </c>
      <c r="I473" s="46" t="str">
        <f>IF(SIP[[#This Row],[B/S]]="B","BUY",(IF(SIP[[#This Row],[B/S]]="S","SELL"," ")))</f>
        <v>BUY</v>
      </c>
      <c r="J473" s="46" t="s">
        <v>1229</v>
      </c>
      <c r="K473" s="69">
        <v>2000</v>
      </c>
      <c r="L473" s="69"/>
      <c r="M473" s="70">
        <f>SIP[[#This Row],[Amount]]/SIP[[#This Row],[Unit]]</f>
        <v>10.928961748633879</v>
      </c>
      <c r="N473" s="71">
        <f>SIP[[#This Row],[Unit Capital]]/10</f>
        <v>183</v>
      </c>
      <c r="O473" s="72">
        <f>SUMIFS(SIP[[#Headers],[Unit]]:SIP[[#This Row],[Unit]],SIP[[#Headers],[Investor ID]]:SIP[[#This Row],[Investor ID]],SIP[[#This Row],[Investor ID]])</f>
        <v>1124</v>
      </c>
      <c r="P473" s="73">
        <v>1830</v>
      </c>
      <c r="Q473" s="74">
        <f>SIP[[#This Row],[Amount]]-SIP[[#This Row],[Unit Capital]]</f>
        <v>170</v>
      </c>
      <c r="R4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10.676156583629892</v>
      </c>
      <c r="S473" s="68">
        <f t="shared" si="20"/>
        <v>14.224</v>
      </c>
      <c r="T4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3" s="74" cm="1">
        <f t="array" ref="U473">IF(SIP[[#This Row],[B/S]]="S",ABS(SIP[[#This Row],[Unit]])*(INDEX(SIP[NAV at Cost (Average)],MATCH(CONCATENATE((SIP[[#This Row],[Frequency]]-1),SIP[[#This Row],[Investor ID]]),SIP[Unique Code],0),0)),0)</f>
        <v>0</v>
      </c>
      <c r="V473" s="74">
        <f>IF(SIP[[#This Row],[BO TRANSFER]]="YES",SIP[[#This Row],[Unit]],)</f>
        <v>0</v>
      </c>
      <c r="W473" s="74">
        <f>SUMIFS(SIP[[#Headers],[BO UNIT TRANSFER]]:SIP[[#This Row],[BO UNIT TRANSFER]],SIP[[#Headers],[Investor ID]]:SIP[[#This Row],[Investor ID]],SIP[[#This Row],[Investor ID]])</f>
        <v>0</v>
      </c>
    </row>
    <row r="474" spans="1:23" ht="15" customHeight="1">
      <c r="A474" s="46">
        <v>2024</v>
      </c>
      <c r="B474" s="46">
        <v>4</v>
      </c>
      <c r="C474" s="46">
        <v>5</v>
      </c>
      <c r="D474" s="65">
        <f>DATE(SIP[[#This Row],[Year]],SIP[[#This Row],[Month]],SIP[[#This Row],[Day]])</f>
        <v>45387</v>
      </c>
      <c r="E474" s="66" t="str" cm="1">
        <f t="array" ref="E474">INDEX(INVESTORS_LIST[INVESTOR NAME],MATCH(SIP[[#This Row],[Investor ID]],INVESTORS_LIST[INVESTOR CODE],0),)</f>
        <v>KAZI AHSAN MARUF</v>
      </c>
      <c r="F474" s="46" t="s">
        <v>158</v>
      </c>
      <c r="G474" s="46">
        <f>COUNTIF(SIP[[#Headers],[Investor ID]]:SIP[[#This Row],[Investor ID]],SIP[[#This Row],[Investor ID]])</f>
        <v>12</v>
      </c>
      <c r="H474" s="46" t="str">
        <f>CONCATENATE(SIP[[#This Row],[Frequency]],SIP[[#This Row],[Investor ID]])</f>
        <v>12A00055</v>
      </c>
      <c r="I474" s="46" t="str">
        <f>IF(SIP[[#This Row],[B/S]]="B","BUY",(IF(SIP[[#This Row],[B/S]]="S","SELL"," ")))</f>
        <v>BUY</v>
      </c>
      <c r="J474" s="46" t="s">
        <v>1229</v>
      </c>
      <c r="K474" s="69">
        <v>10000</v>
      </c>
      <c r="L474" s="69"/>
      <c r="M474" s="70">
        <f>SIP[[#This Row],[Amount]]/SIP[[#This Row],[Unit]]</f>
        <v>10.928961748633879</v>
      </c>
      <c r="N474" s="71">
        <f>SIP[[#This Row],[Unit Capital]]/10</f>
        <v>915</v>
      </c>
      <c r="O474" s="72">
        <f>SUMIFS(SIP[[#Headers],[Unit]]:SIP[[#This Row],[Unit]],SIP[[#Headers],[Investor ID]]:SIP[[#This Row],[Investor ID]],SIP[[#This Row],[Investor ID]])</f>
        <v>30858</v>
      </c>
      <c r="P474" s="73">
        <v>9150</v>
      </c>
      <c r="Q474" s="74">
        <f>SIP[[#This Row],[Amount]]-SIP[[#This Row],[Unit Capital]]</f>
        <v>850</v>
      </c>
      <c r="R4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10.370082312528353</v>
      </c>
      <c r="S474" s="68">
        <f t="shared" si="20"/>
        <v>14.224</v>
      </c>
      <c r="T4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4" s="74" cm="1">
        <f t="array" ref="U474">IF(SIP[[#This Row],[B/S]]="S",ABS(SIP[[#This Row],[Unit]])*(INDEX(SIP[NAV at Cost (Average)],MATCH(CONCATENATE((SIP[[#This Row],[Frequency]]-1),SIP[[#This Row],[Investor ID]]),SIP[Unique Code],0),0)),0)</f>
        <v>0</v>
      </c>
      <c r="V474" s="74">
        <f>IF(SIP[[#This Row],[BO TRANSFER]]="YES",SIP[[#This Row],[Unit]],)</f>
        <v>0</v>
      </c>
      <c r="W474" s="74">
        <f>SUMIFS(SIP[[#Headers],[BO UNIT TRANSFER]]:SIP[[#This Row],[BO UNIT TRANSFER]],SIP[[#Headers],[Investor ID]]:SIP[[#This Row],[Investor ID]],SIP[[#This Row],[Investor ID]])</f>
        <v>0</v>
      </c>
    </row>
    <row r="475" spans="1:23" ht="15" customHeight="1">
      <c r="A475" s="46">
        <v>2024</v>
      </c>
      <c r="B475" s="46">
        <v>4</v>
      </c>
      <c r="C475" s="46">
        <v>15</v>
      </c>
      <c r="D475" s="65">
        <f>DATE(SIP[[#This Row],[Year]],SIP[[#This Row],[Month]],SIP[[#This Row],[Day]])</f>
        <v>45397</v>
      </c>
      <c r="E475" s="66" t="str" cm="1">
        <f t="array" ref="E475">INDEX(INVESTORS_LIST[INVESTOR NAME],MATCH(SIP[[#This Row],[Investor ID]],INVESTORS_LIST[INVESTOR CODE],0),)</f>
        <v>AKIB TANVIR ANJUM</v>
      </c>
      <c r="F475" s="46" t="s">
        <v>1116</v>
      </c>
      <c r="G475" s="46">
        <f>COUNTIF(SIP[[#Headers],[Investor ID]]:SIP[[#This Row],[Investor ID]],SIP[[#This Row],[Investor ID]])</f>
        <v>1</v>
      </c>
      <c r="H475" s="46" t="str">
        <f>CONCATENATE(SIP[[#This Row],[Frequency]],SIP[[#This Row],[Investor ID]])</f>
        <v>1A00533</v>
      </c>
      <c r="I475" s="46" t="str">
        <f>IF(SIP[[#This Row],[B/S]]="B","BUY",(IF(SIP[[#This Row],[B/S]]="S","SELL"," ")))</f>
        <v>BUY</v>
      </c>
      <c r="J475" s="46" t="s">
        <v>1229</v>
      </c>
      <c r="K475" s="69">
        <v>1000</v>
      </c>
      <c r="L475" s="69"/>
      <c r="M475" s="70">
        <f>SIP[[#This Row],[Amount]]/SIP[[#This Row],[Unit]]</f>
        <v>10.989010989010989</v>
      </c>
      <c r="N475" s="71">
        <f>SIP[[#This Row],[Unit Capital]]/10</f>
        <v>91</v>
      </c>
      <c r="O475" s="72">
        <f>SUMIFS(SIP[[#Headers],[Unit]]:SIP[[#This Row],[Unit]],SIP[[#Headers],[Investor ID]]:SIP[[#This Row],[Investor ID]],SIP[[#This Row],[Investor ID]])</f>
        <v>91</v>
      </c>
      <c r="P475" s="73">
        <v>910</v>
      </c>
      <c r="Q475" s="74">
        <f>SIP[[#This Row],[Amount]]-SIP[[#This Row],[Unit Capital]]</f>
        <v>90</v>
      </c>
      <c r="R4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10.989010989010989</v>
      </c>
      <c r="S475" s="68">
        <f t="shared" ref="S475:S513" si="21">NAV_MKT</f>
        <v>14.224</v>
      </c>
      <c r="T4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5" s="74" cm="1">
        <f t="array" ref="U475">IF(SIP[[#This Row],[B/S]]="S",ABS(SIP[[#This Row],[Unit]])*(INDEX(SIP[NAV at Cost (Average)],MATCH(CONCATENATE((SIP[[#This Row],[Frequency]]-1),SIP[[#This Row],[Investor ID]]),SIP[Unique Code],0),0)),0)</f>
        <v>0</v>
      </c>
      <c r="V475" s="74">
        <f>IF(SIP[[#This Row],[BO TRANSFER]]="YES",SIP[[#This Row],[Unit]],)</f>
        <v>0</v>
      </c>
      <c r="W475" s="74">
        <f>SUMIFS(SIP[[#Headers],[BO UNIT TRANSFER]]:SIP[[#This Row],[BO UNIT TRANSFER]],SIP[[#Headers],[Investor ID]]:SIP[[#This Row],[Investor ID]],SIP[[#This Row],[Investor ID]])</f>
        <v>0</v>
      </c>
    </row>
    <row r="476" spans="1:23" ht="15" customHeight="1">
      <c r="A476" s="46">
        <v>2024</v>
      </c>
      <c r="B476" s="46">
        <v>4</v>
      </c>
      <c r="C476" s="46">
        <v>15</v>
      </c>
      <c r="D476" s="65">
        <f>DATE(SIP[[#This Row],[Year]],SIP[[#This Row],[Month]],SIP[[#This Row],[Day]])</f>
        <v>45397</v>
      </c>
      <c r="E476" s="66" t="str" cm="1">
        <f t="array" ref="E476">INDEX(INVESTORS_LIST[INVESTOR NAME],MATCH(SIP[[#This Row],[Investor ID]],INVESTORS_LIST[INVESTOR CODE],0),)</f>
        <v>SYED FAZLE RABBY</v>
      </c>
      <c r="F476" s="46" t="s">
        <v>166</v>
      </c>
      <c r="G476" s="46">
        <f>COUNTIF(SIP[[#Headers],[Investor ID]]:SIP[[#This Row],[Investor ID]],SIP[[#This Row],[Investor ID]])</f>
        <v>7</v>
      </c>
      <c r="H476" s="46" t="str">
        <f>CONCATENATE(SIP[[#This Row],[Frequency]],SIP[[#This Row],[Investor ID]])</f>
        <v>7A00059</v>
      </c>
      <c r="I476" s="46" t="str">
        <f>IF(SIP[[#This Row],[B/S]]="B","BUY",(IF(SIP[[#This Row],[B/S]]="S","SELL"," ")))</f>
        <v>BUY</v>
      </c>
      <c r="J476" s="46" t="s">
        <v>1229</v>
      </c>
      <c r="K476" s="69">
        <v>10000</v>
      </c>
      <c r="L476" s="69"/>
      <c r="M476" s="70">
        <f>SIP[[#This Row],[Amount]]/SIP[[#This Row],[Unit]]</f>
        <v>10.95290251916758</v>
      </c>
      <c r="N476" s="71">
        <f>SIP[[#This Row],[Unit Capital]]/10</f>
        <v>913</v>
      </c>
      <c r="O476" s="72">
        <f>SUMIFS(SIP[[#Headers],[Unit]]:SIP[[#This Row],[Unit]],SIP[[#Headers],[Investor ID]]:SIP[[#This Row],[Investor ID]],SIP[[#This Row],[Investor ID]])</f>
        <v>6620</v>
      </c>
      <c r="P476" s="73">
        <v>9130</v>
      </c>
      <c r="Q476" s="74">
        <f>SIP[[#This Row],[Amount]]-SIP[[#This Row],[Unit Capital]]</f>
        <v>870</v>
      </c>
      <c r="R4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10.574018126888218</v>
      </c>
      <c r="S476" s="68">
        <f t="shared" si="21"/>
        <v>14.224</v>
      </c>
      <c r="T4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6" s="74" cm="1">
        <f t="array" ref="U476">IF(SIP[[#This Row],[B/S]]="S",ABS(SIP[[#This Row],[Unit]])*(INDEX(SIP[NAV at Cost (Average)],MATCH(CONCATENATE((SIP[[#This Row],[Frequency]]-1),SIP[[#This Row],[Investor ID]]),SIP[Unique Code],0),0)),0)</f>
        <v>0</v>
      </c>
      <c r="V476" s="74">
        <f>IF(SIP[[#This Row],[BO TRANSFER]]="YES",SIP[[#This Row],[Unit]],)</f>
        <v>0</v>
      </c>
      <c r="W476" s="74">
        <f>SUMIFS(SIP[[#Headers],[BO UNIT TRANSFER]]:SIP[[#This Row],[BO UNIT TRANSFER]],SIP[[#Headers],[Investor ID]]:SIP[[#This Row],[Investor ID]],SIP[[#This Row],[Investor ID]])</f>
        <v>0</v>
      </c>
    </row>
    <row r="477" spans="1:23" ht="15" customHeight="1">
      <c r="A477" s="46">
        <v>2024</v>
      </c>
      <c r="B477" s="46">
        <v>4</v>
      </c>
      <c r="C477" s="46">
        <v>15</v>
      </c>
      <c r="D477" s="65">
        <f>DATE(SIP[[#This Row],[Year]],SIP[[#This Row],[Month]],SIP[[#This Row],[Day]])</f>
        <v>45397</v>
      </c>
      <c r="E477" s="66" t="str" cm="1">
        <f t="array" ref="E477">INDEX(INVESTORS_LIST[INVESTOR NAME],MATCH(SIP[[#This Row],[Investor ID]],INVESTORS_LIST[INVESTOR CODE],0),)</f>
        <v>MD. RAFIQUR RAHMAN</v>
      </c>
      <c r="F477" s="46" t="s">
        <v>622</v>
      </c>
      <c r="G477" s="46">
        <f>COUNTIF(SIP[[#Headers],[Investor ID]]:SIP[[#This Row],[Investor ID]],SIP[[#This Row],[Investor ID]])</f>
        <v>8</v>
      </c>
      <c r="H477" s="46" t="str">
        <f>CONCATENATE(SIP[[#This Row],[Frequency]],SIP[[#This Row],[Investor ID]])</f>
        <v>8A00287</v>
      </c>
      <c r="I477" s="46" t="str">
        <f>IF(SIP[[#This Row],[B/S]]="B","BUY",(IF(SIP[[#This Row],[B/S]]="S","SELL"," ")))</f>
        <v>BUY</v>
      </c>
      <c r="J477" s="46" t="s">
        <v>1229</v>
      </c>
      <c r="K477" s="69">
        <v>20000</v>
      </c>
      <c r="L477" s="69"/>
      <c r="M477" s="70">
        <f>SIP[[#This Row],[Amount]]/SIP[[#This Row],[Unit]]</f>
        <v>10.97694840834248</v>
      </c>
      <c r="N477" s="71">
        <f>SIP[[#This Row],[Unit Capital]]/10</f>
        <v>1822</v>
      </c>
      <c r="O477" s="72">
        <f>SUMIFS(SIP[[#Headers],[Unit]]:SIP[[#This Row],[Unit]],SIP[[#Headers],[Investor ID]]:SIP[[#This Row],[Investor ID]],SIP[[#This Row],[Investor ID]])</f>
        <v>14965</v>
      </c>
      <c r="P477" s="73">
        <v>18220</v>
      </c>
      <c r="Q477" s="74">
        <f>SIP[[#This Row],[Amount]]-SIP[[#This Row],[Unit Capital]]</f>
        <v>1780</v>
      </c>
      <c r="R47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10.691613765452722</v>
      </c>
      <c r="S477" s="68">
        <f t="shared" si="21"/>
        <v>14.224</v>
      </c>
      <c r="T4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7" s="74" cm="1">
        <f t="array" ref="U477">IF(SIP[[#This Row],[B/S]]="S",ABS(SIP[[#This Row],[Unit]])*(INDEX(SIP[NAV at Cost (Average)],MATCH(CONCATENATE((SIP[[#This Row],[Frequency]]-1),SIP[[#This Row],[Investor ID]]),SIP[Unique Code],0),0)),0)</f>
        <v>0</v>
      </c>
      <c r="V477" s="74">
        <f>IF(SIP[[#This Row],[BO TRANSFER]]="YES",SIP[[#This Row],[Unit]],)</f>
        <v>0</v>
      </c>
      <c r="W477" s="74">
        <f>SUMIFS(SIP[[#Headers],[BO UNIT TRANSFER]]:SIP[[#This Row],[BO UNIT TRANSFER]],SIP[[#Headers],[Investor ID]]:SIP[[#This Row],[Investor ID]],SIP[[#This Row],[Investor ID]])</f>
        <v>0</v>
      </c>
    </row>
    <row r="478" spans="1:23" ht="15" customHeight="1">
      <c r="A478" s="46">
        <v>2024</v>
      </c>
      <c r="B478" s="46">
        <v>4</v>
      </c>
      <c r="C478" s="46">
        <v>15</v>
      </c>
      <c r="D478" s="65">
        <f>DATE(SIP[[#This Row],[Year]],SIP[[#This Row],[Month]],SIP[[#This Row],[Day]])</f>
        <v>45397</v>
      </c>
      <c r="E478" s="66" t="str" cm="1">
        <f t="array" ref="E478">INDEX(INVESTORS_LIST[INVESTOR NAME],MATCH(SIP[[#This Row],[Investor ID]],INVESTORS_LIST[INVESTOR CODE],0),)</f>
        <v>SANJIB KUMAR ROY</v>
      </c>
      <c r="F478" s="46" t="s">
        <v>1020</v>
      </c>
      <c r="G478" s="46">
        <f>COUNTIF(SIP[[#Headers],[Investor ID]]:SIP[[#This Row],[Investor ID]],SIP[[#This Row],[Investor ID]])</f>
        <v>11</v>
      </c>
      <c r="H478" s="46" t="str">
        <f>CONCATENATE(SIP[[#This Row],[Frequency]],SIP[[#This Row],[Investor ID]])</f>
        <v>11A00487</v>
      </c>
      <c r="I478" s="46" t="str">
        <f>IF(SIP[[#This Row],[B/S]]="B","BUY",(IF(SIP[[#This Row],[B/S]]="S","SELL"," ")))</f>
        <v>BUY</v>
      </c>
      <c r="J478" s="46" t="s">
        <v>1229</v>
      </c>
      <c r="K478" s="69">
        <v>5000</v>
      </c>
      <c r="L478" s="69"/>
      <c r="M478" s="70">
        <f>SIP[[#This Row],[Amount]]/SIP[[#This Row],[Unit]]</f>
        <v>10.964912280701755</v>
      </c>
      <c r="N478" s="71">
        <f>SIP[[#This Row],[Unit Capital]]/10</f>
        <v>456</v>
      </c>
      <c r="O478" s="72">
        <f>SUMIFS(SIP[[#Headers],[Unit]]:SIP[[#This Row],[Unit]],SIP[[#Headers],[Investor ID]]:SIP[[#This Row],[Investor ID]],SIP[[#This Row],[Investor ID]])</f>
        <v>5198</v>
      </c>
      <c r="P478" s="73">
        <v>4560</v>
      </c>
      <c r="Q478" s="74">
        <f>SIP[[#This Row],[Amount]]-SIP[[#This Row],[Unit Capital]]</f>
        <v>440</v>
      </c>
      <c r="R47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10.580992689495957</v>
      </c>
      <c r="S478" s="68">
        <f t="shared" si="21"/>
        <v>14.224</v>
      </c>
      <c r="T4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8" s="74" cm="1">
        <f t="array" ref="U478">IF(SIP[[#This Row],[B/S]]="S",ABS(SIP[[#This Row],[Unit]])*(INDEX(SIP[NAV at Cost (Average)],MATCH(CONCATENATE((SIP[[#This Row],[Frequency]]-1),SIP[[#This Row],[Investor ID]]),SIP[Unique Code],0),0)),0)</f>
        <v>0</v>
      </c>
      <c r="V478" s="74">
        <f>IF(SIP[[#This Row],[BO TRANSFER]]="YES",SIP[[#This Row],[Unit]],)</f>
        <v>0</v>
      </c>
      <c r="W478" s="74">
        <f>SUMIFS(SIP[[#Headers],[BO UNIT TRANSFER]]:SIP[[#This Row],[BO UNIT TRANSFER]],SIP[[#Headers],[Investor ID]]:SIP[[#This Row],[Investor ID]],SIP[[#This Row],[Investor ID]])</f>
        <v>0</v>
      </c>
    </row>
    <row r="479" spans="1:23" ht="15" customHeight="1">
      <c r="A479" s="46">
        <v>2024</v>
      </c>
      <c r="B479" s="46">
        <v>4</v>
      </c>
      <c r="C479" s="46">
        <v>15</v>
      </c>
      <c r="D479" s="65">
        <f>DATE(SIP[[#This Row],[Year]],SIP[[#This Row],[Month]],SIP[[#This Row],[Day]])</f>
        <v>45397</v>
      </c>
      <c r="E479" s="66" t="str" cm="1">
        <f t="array" ref="E479">INDEX(INVESTORS_LIST[INVESTOR NAME],MATCH(SIP[[#This Row],[Investor ID]],INVESTORS_LIST[INVESTOR CODE],0),)</f>
        <v>SYED FAZLE RABBY</v>
      </c>
      <c r="F479" s="46" t="s">
        <v>166</v>
      </c>
      <c r="G479" s="46">
        <f>COUNTIF(SIP[[#Headers],[Investor ID]]:SIP[[#This Row],[Investor ID]],SIP[[#This Row],[Investor ID]])</f>
        <v>8</v>
      </c>
      <c r="H479" s="46" t="str">
        <f>CONCATENATE(SIP[[#This Row],[Frequency]],SIP[[#This Row],[Investor ID]])</f>
        <v>8A00059</v>
      </c>
      <c r="I479" s="46" t="str">
        <f>IF(SIP[[#This Row],[B/S]]="B","BUY",(IF(SIP[[#This Row],[B/S]]="S","SELL"," ")))</f>
        <v>SELL</v>
      </c>
      <c r="J479" s="46" t="s">
        <v>1231</v>
      </c>
      <c r="K479" s="69">
        <v>-10000</v>
      </c>
      <c r="L479" s="69"/>
      <c r="M479" s="70">
        <f>SIP[[#This Row],[Amount]]/SIP[[#This Row],[Unit]]</f>
        <v>10.95290251916758</v>
      </c>
      <c r="N479" s="71">
        <f>SIP[[#This Row],[Unit Capital]]/10</f>
        <v>-913</v>
      </c>
      <c r="O479" s="72">
        <f>SUMIFS(SIP[[#Headers],[Unit]]:SIP[[#This Row],[Unit]],SIP[[#Headers],[Investor ID]]:SIP[[#This Row],[Investor ID]],SIP[[#This Row],[Investor ID]])</f>
        <v>5707</v>
      </c>
      <c r="P479" s="73">
        <v>-9130</v>
      </c>
      <c r="Q479" s="74">
        <f>SIP[[#This Row],[Amount]]-SIP[[#This Row],[Unit Capital]]</f>
        <v>-870</v>
      </c>
      <c r="R47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10.574018126888218</v>
      </c>
      <c r="S479" s="68">
        <f t="shared" si="21"/>
        <v>14.224</v>
      </c>
      <c r="T479" s="74">
        <f>IF(SIP[[#This Row],[B/S]]="B",0,ABS(SIP[[#This Row],[Unit]])*(SIP[[#This Row],[NAV (Strike Rate)]]-INDEX(SIP[NAV at Cost (Average)],MATCH(CONCATENATE(SIP[[#This Row],[Frequency]]-1,SIP[[#This Row],[Investor ID]]),SIP[Unique Code],0),)))</f>
        <v>345.92145015105763</v>
      </c>
      <c r="U479" s="74" cm="1">
        <f t="array" ref="U479">IF(SIP[[#This Row],[B/S]]="S",ABS(SIP[[#This Row],[Unit]])*(INDEX(SIP[NAV at Cost (Average)],MATCH(CONCATENATE((SIP[[#This Row],[Frequency]]-1),SIP[[#This Row],[Investor ID]]),SIP[Unique Code],0),0)),0)</f>
        <v>9654.0785498489422</v>
      </c>
      <c r="V479" s="74">
        <f>IF(SIP[[#This Row],[BO TRANSFER]]="YES",SIP[[#This Row],[Unit]],)</f>
        <v>0</v>
      </c>
      <c r="W479" s="74">
        <f>SUMIFS(SIP[[#Headers],[BO UNIT TRANSFER]]:SIP[[#This Row],[BO UNIT TRANSFER]],SIP[[#Headers],[Investor ID]]:SIP[[#This Row],[Investor ID]],SIP[[#This Row],[Investor ID]])</f>
        <v>0</v>
      </c>
    </row>
    <row r="480" spans="1:23" ht="15" customHeight="1">
      <c r="A480" s="46">
        <v>2024</v>
      </c>
      <c r="B480" s="46">
        <v>4</v>
      </c>
      <c r="C480" s="46">
        <v>26</v>
      </c>
      <c r="D480" s="65">
        <f>DATE(SIP[[#This Row],[Year]],SIP[[#This Row],[Month]],SIP[[#This Row],[Day]])</f>
        <v>45408</v>
      </c>
      <c r="E480" s="66" t="str" cm="1">
        <f t="array" ref="E480">INDEX(INVESTORS_LIST[INVESTOR NAME],MATCH(SIP[[#This Row],[Investor ID]],INVESTORS_LIST[INVESTOR CODE],0),)</f>
        <v>SRIJON GHOSH</v>
      </c>
      <c r="F480" s="46" t="s">
        <v>894</v>
      </c>
      <c r="G480" s="46">
        <f>COUNTIF(SIP[[#Headers],[Investor ID]]:SIP[[#This Row],[Investor ID]],SIP[[#This Row],[Investor ID]])</f>
        <v>28</v>
      </c>
      <c r="H480" s="46" t="str">
        <f>CONCATENATE(SIP[[#This Row],[Frequency]],SIP[[#This Row],[Investor ID]])</f>
        <v>28A00424</v>
      </c>
      <c r="I480" s="46" t="str">
        <f>IF(SIP[[#This Row],[B/S]]="B","BUY",(IF(SIP[[#This Row],[B/S]]="S","SELL"," ")))</f>
        <v>BUY</v>
      </c>
      <c r="J480" s="46" t="s">
        <v>1229</v>
      </c>
      <c r="K480" s="69">
        <v>15000</v>
      </c>
      <c r="L480" s="69"/>
      <c r="M480" s="70">
        <f>SIP[[#This Row],[Amount]]/SIP[[#This Row],[Unit]]</f>
        <v>10.989010989010989</v>
      </c>
      <c r="N480" s="71">
        <f>SIP[[#This Row],[Unit Capital]]/10</f>
        <v>1365</v>
      </c>
      <c r="O480" s="72">
        <f>SUMIFS(SIP[[#Headers],[Unit]]:SIP[[#This Row],[Unit]],SIP[[#Headers],[Investor ID]]:SIP[[#This Row],[Investor ID]],SIP[[#This Row],[Investor ID]])</f>
        <v>12926</v>
      </c>
      <c r="P480" s="73">
        <v>13650</v>
      </c>
      <c r="Q480" s="74">
        <f>SIP[[#This Row],[Amount]]-SIP[[#This Row],[Unit Capital]]</f>
        <v>1350</v>
      </c>
      <c r="R48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10.645553305012145</v>
      </c>
      <c r="S480" s="68">
        <f t="shared" si="21"/>
        <v>14.224</v>
      </c>
      <c r="T4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0" s="74" cm="1">
        <f t="array" ref="U480">IF(SIP[[#This Row],[B/S]]="S",ABS(SIP[[#This Row],[Unit]])*(INDEX(SIP[NAV at Cost (Average)],MATCH(CONCATENATE((SIP[[#This Row],[Frequency]]-1),SIP[[#This Row],[Investor ID]]),SIP[Unique Code],0),0)),0)</f>
        <v>0</v>
      </c>
      <c r="V480" s="74">
        <f>IF(SIP[[#This Row],[BO TRANSFER]]="YES",SIP[[#This Row],[Unit]],)</f>
        <v>0</v>
      </c>
      <c r="W480" s="74">
        <f>SUMIFS(SIP[[#Headers],[BO UNIT TRANSFER]]:SIP[[#This Row],[BO UNIT TRANSFER]],SIP[[#Headers],[Investor ID]]:SIP[[#This Row],[Investor ID]],SIP[[#This Row],[Investor ID]])</f>
        <v>0</v>
      </c>
    </row>
    <row r="481" spans="1:23" ht="15" customHeight="1">
      <c r="A481" s="46">
        <v>2024</v>
      </c>
      <c r="B481" s="46">
        <v>4</v>
      </c>
      <c r="C481" s="46">
        <v>26</v>
      </c>
      <c r="D481" s="65">
        <f>DATE(SIP[[#This Row],[Year]],SIP[[#This Row],[Month]],SIP[[#This Row],[Day]])</f>
        <v>45408</v>
      </c>
      <c r="E481" s="66" t="str" cm="1">
        <f t="array" ref="E481">INDEX(INVESTORS_LIST[INVESTOR NAME],MATCH(SIP[[#This Row],[Investor ID]],INVESTORS_LIST[INVESTOR CODE],0),)</f>
        <v>KHAN MUHAMMAD FAISOL</v>
      </c>
      <c r="F481" s="46" t="s">
        <v>930</v>
      </c>
      <c r="G481" s="46">
        <f>COUNTIF(SIP[[#Headers],[Investor ID]]:SIP[[#This Row],[Investor ID]],SIP[[#This Row],[Investor ID]])</f>
        <v>12</v>
      </c>
      <c r="H481" s="46" t="str">
        <f>CONCATENATE(SIP[[#This Row],[Frequency]],SIP[[#This Row],[Investor ID]])</f>
        <v>12A00442</v>
      </c>
      <c r="I481" s="46" t="str">
        <f>IF(SIP[[#This Row],[B/S]]="B","BUY",(IF(SIP[[#This Row],[B/S]]="S","SELL"," ")))</f>
        <v>BUY</v>
      </c>
      <c r="J481" s="46" t="s">
        <v>1229</v>
      </c>
      <c r="K481" s="69">
        <v>1000</v>
      </c>
      <c r="L481" s="69"/>
      <c r="M481" s="70">
        <f>SIP[[#This Row],[Amount]]/SIP[[#This Row],[Unit]]</f>
        <v>10.989010989010989</v>
      </c>
      <c r="N481" s="71">
        <f>SIP[[#This Row],[Unit Capital]]/10</f>
        <v>91</v>
      </c>
      <c r="O481" s="72">
        <f>SUMIFS(SIP[[#Headers],[Unit]]:SIP[[#This Row],[Unit]],SIP[[#Headers],[Investor ID]]:SIP[[#This Row],[Investor ID]],SIP[[#This Row],[Investor ID]])</f>
        <v>1134</v>
      </c>
      <c r="P481" s="73">
        <v>910</v>
      </c>
      <c r="Q481" s="74">
        <f>SIP[[#This Row],[Amount]]-SIP[[#This Row],[Unit Capital]]</f>
        <v>90</v>
      </c>
      <c r="R48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10.582010582010586</v>
      </c>
      <c r="S481" s="68">
        <f t="shared" si="21"/>
        <v>14.224</v>
      </c>
      <c r="T4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1" s="74" cm="1">
        <f t="array" ref="U481">IF(SIP[[#This Row],[B/S]]="S",ABS(SIP[[#This Row],[Unit]])*(INDEX(SIP[NAV at Cost (Average)],MATCH(CONCATENATE((SIP[[#This Row],[Frequency]]-1),SIP[[#This Row],[Investor ID]]),SIP[Unique Code],0),0)),0)</f>
        <v>0</v>
      </c>
      <c r="V481" s="74">
        <f>IF(SIP[[#This Row],[BO TRANSFER]]="YES",SIP[[#This Row],[Unit]],)</f>
        <v>0</v>
      </c>
      <c r="W481" s="74">
        <f>SUMIFS(SIP[[#Headers],[BO UNIT TRANSFER]]:SIP[[#This Row],[BO UNIT TRANSFER]],SIP[[#Headers],[Investor ID]]:SIP[[#This Row],[Investor ID]],SIP[[#This Row],[Investor ID]])</f>
        <v>0</v>
      </c>
    </row>
    <row r="482" spans="1:23" ht="15" customHeight="1">
      <c r="A482" s="46">
        <v>2024</v>
      </c>
      <c r="B482" s="46">
        <v>4</v>
      </c>
      <c r="C482" s="46">
        <v>26</v>
      </c>
      <c r="D482" s="65">
        <f>DATE(SIP[[#This Row],[Year]],SIP[[#This Row],[Month]],SIP[[#This Row],[Day]])</f>
        <v>45408</v>
      </c>
      <c r="E482" s="66" t="str" cm="1">
        <f t="array" ref="E482">INDEX(INVESTORS_LIST[INVESTOR NAME],MATCH(SIP[[#This Row],[Investor ID]],INVESTORS_LIST[INVESTOR CODE],0),)</f>
        <v>SRIJON GHOSH</v>
      </c>
      <c r="F482" s="46" t="s">
        <v>894</v>
      </c>
      <c r="G482" s="46">
        <f>COUNTIF(SIP[[#Headers],[Investor ID]]:SIP[[#This Row],[Investor ID]],SIP[[#This Row],[Investor ID]])</f>
        <v>29</v>
      </c>
      <c r="H482" s="46" t="str">
        <f>CONCATENATE(SIP[[#This Row],[Frequency]],SIP[[#This Row],[Investor ID]])</f>
        <v>29A00424</v>
      </c>
      <c r="I482" s="46" t="str">
        <f>IF(SIP[[#This Row],[B/S]]="B","BUY",(IF(SIP[[#This Row],[B/S]]="S","SELL"," ")))</f>
        <v>BUY</v>
      </c>
      <c r="J482" s="46" t="s">
        <v>1229</v>
      </c>
      <c r="K482" s="69">
        <v>5000</v>
      </c>
      <c r="L482" s="69"/>
      <c r="M482" s="70">
        <f>SIP[[#This Row],[Amount]]/SIP[[#This Row],[Unit]]</f>
        <v>10.989010989010989</v>
      </c>
      <c r="N482" s="71">
        <f>SIP[[#This Row],[Unit Capital]]/10</f>
        <v>455</v>
      </c>
      <c r="O482" s="72">
        <f>SUMIFS(SIP[[#Headers],[Unit]]:SIP[[#This Row],[Unit]],SIP[[#Headers],[Investor ID]]:SIP[[#This Row],[Investor ID]],SIP[[#This Row],[Investor ID]])</f>
        <v>13381</v>
      </c>
      <c r="P482" s="73">
        <v>4550</v>
      </c>
      <c r="Q482" s="74">
        <f>SIP[[#This Row],[Amount]]-SIP[[#This Row],[Unit Capital]]</f>
        <v>450</v>
      </c>
      <c r="R48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10.657232046976084</v>
      </c>
      <c r="S482" s="68">
        <f t="shared" si="21"/>
        <v>14.224</v>
      </c>
      <c r="T4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2" s="74" cm="1">
        <f t="array" ref="U482">IF(SIP[[#This Row],[B/S]]="S",ABS(SIP[[#This Row],[Unit]])*(INDEX(SIP[NAV at Cost (Average)],MATCH(CONCATENATE((SIP[[#This Row],[Frequency]]-1),SIP[[#This Row],[Investor ID]]),SIP[Unique Code],0),0)),0)</f>
        <v>0</v>
      </c>
      <c r="V482" s="74">
        <f>IF(SIP[[#This Row],[BO TRANSFER]]="YES",SIP[[#This Row],[Unit]],)</f>
        <v>0</v>
      </c>
      <c r="W482" s="74">
        <f>SUMIFS(SIP[[#Headers],[BO UNIT TRANSFER]]:SIP[[#This Row],[BO UNIT TRANSFER]],SIP[[#Headers],[Investor ID]]:SIP[[#This Row],[Investor ID]],SIP[[#This Row],[Investor ID]])</f>
        <v>0</v>
      </c>
    </row>
    <row r="483" spans="1:23" ht="15" customHeight="1">
      <c r="A483" s="46">
        <v>2024</v>
      </c>
      <c r="B483" s="46">
        <v>4</v>
      </c>
      <c r="C483" s="46">
        <v>26</v>
      </c>
      <c r="D483" s="65">
        <f>DATE(SIP[[#This Row],[Year]],SIP[[#This Row],[Month]],SIP[[#This Row],[Day]])</f>
        <v>45408</v>
      </c>
      <c r="E483" s="66" t="str" cm="1">
        <f t="array" ref="E483">INDEX(INVESTORS_LIST[INVESTOR NAME],MATCH(SIP[[#This Row],[Investor ID]],INVESTORS_LIST[INVESTOR CODE],0),)</f>
        <v>NUSRAT JAHAN TISHA</v>
      </c>
      <c r="F483" s="46" t="s">
        <v>926</v>
      </c>
      <c r="G483" s="46">
        <f>COUNTIF(SIP[[#Headers],[Investor ID]]:SIP[[#This Row],[Investor ID]],SIP[[#This Row],[Investor ID]])</f>
        <v>9</v>
      </c>
      <c r="H483" s="46" t="str">
        <f>CONCATENATE(SIP[[#This Row],[Frequency]],SIP[[#This Row],[Investor ID]])</f>
        <v>9A00440</v>
      </c>
      <c r="I483" s="46" t="str">
        <f>IF(SIP[[#This Row],[B/S]]="B","BUY",(IF(SIP[[#This Row],[B/S]]="S","SELL"," ")))</f>
        <v>BUY</v>
      </c>
      <c r="J483" s="46" t="s">
        <v>1229</v>
      </c>
      <c r="K483" s="69">
        <v>5000</v>
      </c>
      <c r="L483" s="69"/>
      <c r="M483" s="70">
        <f>SIP[[#This Row],[Amount]]/SIP[[#This Row],[Unit]]</f>
        <v>10.989010989010989</v>
      </c>
      <c r="N483" s="71">
        <f>SIP[[#This Row],[Unit Capital]]/10</f>
        <v>455</v>
      </c>
      <c r="O483" s="72">
        <f>SUMIFS(SIP[[#Headers],[Unit]]:SIP[[#This Row],[Unit]],SIP[[#Headers],[Investor ID]]:SIP[[#This Row],[Investor ID]],SIP[[#This Row],[Investor ID]])</f>
        <v>4213</v>
      </c>
      <c r="P483" s="73">
        <v>4550</v>
      </c>
      <c r="Q483" s="74">
        <f>SIP[[#This Row],[Amount]]-SIP[[#This Row],[Unit Capital]]</f>
        <v>450</v>
      </c>
      <c r="R48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10.681224780441491</v>
      </c>
      <c r="S483" s="68">
        <f t="shared" si="21"/>
        <v>14.224</v>
      </c>
      <c r="T4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3" s="74" cm="1">
        <f t="array" ref="U483">IF(SIP[[#This Row],[B/S]]="S",ABS(SIP[[#This Row],[Unit]])*(INDEX(SIP[NAV at Cost (Average)],MATCH(CONCATENATE((SIP[[#This Row],[Frequency]]-1),SIP[[#This Row],[Investor ID]]),SIP[Unique Code],0),0)),0)</f>
        <v>0</v>
      </c>
      <c r="V483" s="74">
        <f>IF(SIP[[#This Row],[BO TRANSFER]]="YES",SIP[[#This Row],[Unit]],)</f>
        <v>0</v>
      </c>
      <c r="W483" s="74">
        <f>SUMIFS(SIP[[#Headers],[BO UNIT TRANSFER]]:SIP[[#This Row],[BO UNIT TRANSFER]],SIP[[#Headers],[Investor ID]]:SIP[[#This Row],[Investor ID]],SIP[[#This Row],[Investor ID]])</f>
        <v>0</v>
      </c>
    </row>
    <row r="484" spans="1:23" ht="15" customHeight="1">
      <c r="A484" s="46">
        <v>2024</v>
      </c>
      <c r="B484" s="46">
        <v>4</v>
      </c>
      <c r="C484" s="46">
        <v>26</v>
      </c>
      <c r="D484" s="65">
        <f>DATE(SIP[[#This Row],[Year]],SIP[[#This Row],[Month]],SIP[[#This Row],[Day]])</f>
        <v>45408</v>
      </c>
      <c r="E484" s="66" t="str" cm="1">
        <f t="array" ref="E484">INDEX(INVESTORS_LIST[INVESTOR NAME],MATCH(SIP[[#This Row],[Investor ID]],INVESTORS_LIST[INVESTOR CODE],0),)</f>
        <v>MAHFUZUL ISLAM</v>
      </c>
      <c r="F484" s="46" t="s">
        <v>473</v>
      </c>
      <c r="G484" s="46">
        <f>COUNTIF(SIP[[#Headers],[Investor ID]]:SIP[[#This Row],[Investor ID]],SIP[[#This Row],[Investor ID]])</f>
        <v>3</v>
      </c>
      <c r="H484" s="46" t="str">
        <f>CONCATENATE(SIP[[#This Row],[Frequency]],SIP[[#This Row],[Investor ID]])</f>
        <v>3A00212</v>
      </c>
      <c r="I484" s="46" t="str">
        <f>IF(SIP[[#This Row],[B/S]]="B","BUY",(IF(SIP[[#This Row],[B/S]]="S","SELL"," ")))</f>
        <v>BUY</v>
      </c>
      <c r="J484" s="46" t="s">
        <v>1229</v>
      </c>
      <c r="K484" s="69">
        <v>1000</v>
      </c>
      <c r="L484" s="122" t="s">
        <v>1230</v>
      </c>
      <c r="M484" s="70">
        <f>SIP[[#This Row],[Amount]]/SIP[[#This Row],[Unit]]</f>
        <v>10.989010989010989</v>
      </c>
      <c r="N484" s="71">
        <f>SIP[[#This Row],[Unit Capital]]/10</f>
        <v>91</v>
      </c>
      <c r="O484" s="72">
        <f>SUMIFS(SIP[[#Headers],[Unit]]:SIP[[#This Row],[Unit]],SIP[[#Headers],[Investor ID]]:SIP[[#This Row],[Investor ID]],SIP[[#This Row],[Investor ID]])</f>
        <v>275</v>
      </c>
      <c r="P484" s="73">
        <v>910</v>
      </c>
      <c r="Q484" s="74">
        <f>SIP[[#This Row],[Amount]]-SIP[[#This Row],[Unit Capital]]</f>
        <v>90</v>
      </c>
      <c r="R48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10.90909090909091</v>
      </c>
      <c r="S484" s="68">
        <f t="shared" si="21"/>
        <v>14.224</v>
      </c>
      <c r="T4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4" s="74" cm="1">
        <f t="array" ref="U484">IF(SIP[[#This Row],[B/S]]="S",ABS(SIP[[#This Row],[Unit]])*(INDEX(SIP[NAV at Cost (Average)],MATCH(CONCATENATE((SIP[[#This Row],[Frequency]]-1),SIP[[#This Row],[Investor ID]]),SIP[Unique Code],0),0)),0)</f>
        <v>0</v>
      </c>
      <c r="V484" s="74">
        <f>IF(SIP[[#This Row],[BO TRANSFER]]="YES",SIP[[#This Row],[Unit]],)</f>
        <v>91</v>
      </c>
      <c r="W484" s="74">
        <f>SUMIFS(SIP[[#Headers],[BO UNIT TRANSFER]]:SIP[[#This Row],[BO UNIT TRANSFER]],SIP[[#Headers],[Investor ID]]:SIP[[#This Row],[Investor ID]],SIP[[#This Row],[Investor ID]])</f>
        <v>275</v>
      </c>
    </row>
    <row r="485" spans="1:23" ht="15" customHeight="1">
      <c r="A485" s="46">
        <v>2024</v>
      </c>
      <c r="B485" s="46">
        <v>4</v>
      </c>
      <c r="C485" s="46">
        <v>26</v>
      </c>
      <c r="D485" s="65">
        <f>DATE(SIP[[#This Row],[Year]],SIP[[#This Row],[Month]],SIP[[#This Row],[Day]])</f>
        <v>45408</v>
      </c>
      <c r="E485" s="66" t="str" cm="1">
        <f t="array" ref="E485">INDEX(INVESTORS_LIST[INVESTOR NAME],MATCH(SIP[[#This Row],[Investor ID]],INVESTORS_LIST[INVESTOR CODE],0),)</f>
        <v>MD. ARIFUL ISLAM</v>
      </c>
      <c r="F485" s="46" t="s">
        <v>222</v>
      </c>
      <c r="G485" s="46">
        <f>COUNTIF(SIP[[#Headers],[Investor ID]]:SIP[[#This Row],[Investor ID]],SIP[[#This Row],[Investor ID]])</f>
        <v>12</v>
      </c>
      <c r="H485" s="46" t="str">
        <f>CONCATENATE(SIP[[#This Row],[Frequency]],SIP[[#This Row],[Investor ID]])</f>
        <v>12A00087</v>
      </c>
      <c r="I485" s="46" t="str">
        <f>IF(SIP[[#This Row],[B/S]]="B","BUY",(IF(SIP[[#This Row],[B/S]]="S","SELL"," ")))</f>
        <v>BUY</v>
      </c>
      <c r="J485" s="46" t="s">
        <v>1229</v>
      </c>
      <c r="K485" s="69">
        <v>10000</v>
      </c>
      <c r="L485" s="69"/>
      <c r="M485" s="70">
        <f>SIP[[#This Row],[Amount]]/SIP[[#This Row],[Unit]]</f>
        <v>10.989010989010989</v>
      </c>
      <c r="N485" s="71">
        <f>SIP[[#This Row],[Unit Capital]]/10</f>
        <v>910</v>
      </c>
      <c r="O485" s="72">
        <f>SUMIFS(SIP[[#Headers],[Unit]]:SIP[[#This Row],[Unit]],SIP[[#Headers],[Investor ID]]:SIP[[#This Row],[Investor ID]],SIP[[#This Row],[Investor ID]])</f>
        <v>11349</v>
      </c>
      <c r="P485" s="73">
        <v>9100</v>
      </c>
      <c r="Q485" s="74">
        <f>SIP[[#This Row],[Amount]]-SIP[[#This Row],[Unit Capital]]</f>
        <v>900</v>
      </c>
      <c r="R48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10.573618821041503</v>
      </c>
      <c r="S485" s="68">
        <f t="shared" si="21"/>
        <v>14.224</v>
      </c>
      <c r="T4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5" s="74" cm="1">
        <f t="array" ref="U485">IF(SIP[[#This Row],[B/S]]="S",ABS(SIP[[#This Row],[Unit]])*(INDEX(SIP[NAV at Cost (Average)],MATCH(CONCATENATE((SIP[[#This Row],[Frequency]]-1),SIP[[#This Row],[Investor ID]]),SIP[Unique Code],0),0)),0)</f>
        <v>0</v>
      </c>
      <c r="V485" s="74">
        <f>IF(SIP[[#This Row],[BO TRANSFER]]="YES",SIP[[#This Row],[Unit]],)</f>
        <v>0</v>
      </c>
      <c r="W485" s="74">
        <f>SUMIFS(SIP[[#Headers],[BO UNIT TRANSFER]]:SIP[[#This Row],[BO UNIT TRANSFER]],SIP[[#Headers],[Investor ID]]:SIP[[#This Row],[Investor ID]],SIP[[#This Row],[Investor ID]])</f>
        <v>0</v>
      </c>
    </row>
    <row r="486" spans="1:23" ht="15" customHeight="1">
      <c r="A486" s="46">
        <v>2024</v>
      </c>
      <c r="B486" s="46">
        <v>4</v>
      </c>
      <c r="C486" s="46">
        <v>26</v>
      </c>
      <c r="D486" s="65">
        <f>DATE(SIP[[#This Row],[Year]],SIP[[#This Row],[Month]],SIP[[#This Row],[Day]])</f>
        <v>45408</v>
      </c>
      <c r="E486" s="66" t="str" cm="1">
        <f t="array" ref="E486">INDEX(INVESTORS_LIST[INVESTOR NAME],MATCH(SIP[[#This Row],[Investor ID]],INVESTORS_LIST[INVESTOR CODE],0),)</f>
        <v>SADIA PARVIN</v>
      </c>
      <c r="F486" s="46" t="s">
        <v>1018</v>
      </c>
      <c r="G486" s="46">
        <f>COUNTIF(SIP[[#Headers],[Investor ID]]:SIP[[#This Row],[Investor ID]],SIP[[#This Row],[Investor ID]])</f>
        <v>12</v>
      </c>
      <c r="H486" s="46" t="str">
        <f>CONCATENATE(SIP[[#This Row],[Frequency]],SIP[[#This Row],[Investor ID]])</f>
        <v>12A00486</v>
      </c>
      <c r="I486" s="46" t="str">
        <f>IF(SIP[[#This Row],[B/S]]="B","BUY",(IF(SIP[[#This Row],[B/S]]="S","SELL"," ")))</f>
        <v>BUY</v>
      </c>
      <c r="J486" s="46" t="s">
        <v>1229</v>
      </c>
      <c r="K486" s="69">
        <v>5000</v>
      </c>
      <c r="L486" s="69"/>
      <c r="M486" s="70">
        <f>SIP[[#This Row],[Amount]]/SIP[[#This Row],[Unit]]</f>
        <v>10.989010989010989</v>
      </c>
      <c r="N486" s="71">
        <f>SIP[[#This Row],[Unit Capital]]/10</f>
        <v>455</v>
      </c>
      <c r="O486" s="72">
        <f>SUMIFS(SIP[[#Headers],[Unit]]:SIP[[#This Row],[Unit]],SIP[[#Headers],[Investor ID]]:SIP[[#This Row],[Investor ID]],SIP[[#This Row],[Investor ID]])</f>
        <v>5672</v>
      </c>
      <c r="P486" s="73">
        <v>4550</v>
      </c>
      <c r="Q486" s="74">
        <f>SIP[[#This Row],[Amount]]-SIP[[#This Row],[Unit Capital]]</f>
        <v>450</v>
      </c>
      <c r="R48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10.578279266572636</v>
      </c>
      <c r="S486" s="68">
        <f t="shared" si="21"/>
        <v>14.224</v>
      </c>
      <c r="T4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6" s="74" cm="1">
        <f t="array" ref="U486">IF(SIP[[#This Row],[B/S]]="S",ABS(SIP[[#This Row],[Unit]])*(INDEX(SIP[NAV at Cost (Average)],MATCH(CONCATENATE((SIP[[#This Row],[Frequency]]-1),SIP[[#This Row],[Investor ID]]),SIP[Unique Code],0),0)),0)</f>
        <v>0</v>
      </c>
      <c r="V486" s="74">
        <f>IF(SIP[[#This Row],[BO TRANSFER]]="YES",SIP[[#This Row],[Unit]],)</f>
        <v>0</v>
      </c>
      <c r="W486" s="74">
        <f>SUMIFS(SIP[[#Headers],[BO UNIT TRANSFER]]:SIP[[#This Row],[BO UNIT TRANSFER]],SIP[[#Headers],[Investor ID]]:SIP[[#This Row],[Investor ID]],SIP[[#This Row],[Investor ID]])</f>
        <v>0</v>
      </c>
    </row>
    <row r="487" spans="1:23" ht="15" customHeight="1">
      <c r="A487" s="46">
        <v>2024</v>
      </c>
      <c r="B487" s="46">
        <v>4</v>
      </c>
      <c r="C487" s="46">
        <v>26</v>
      </c>
      <c r="D487" s="65">
        <f>DATE(SIP[[#This Row],[Year]],SIP[[#This Row],[Month]],SIP[[#This Row],[Day]])</f>
        <v>45408</v>
      </c>
      <c r="E487" s="66" t="str" cm="1">
        <f t="array" ref="E487">INDEX(INVESTORS_LIST[INVESTOR NAME],MATCH(SIP[[#This Row],[Investor ID]],INVESTORS_LIST[INVESTOR CODE],0),)</f>
        <v>MD. WALI ULLAH</v>
      </c>
      <c r="F487" s="46" t="s">
        <v>443</v>
      </c>
      <c r="G487" s="46">
        <f>COUNTIF(SIP[[#Headers],[Investor ID]]:SIP[[#This Row],[Investor ID]],SIP[[#This Row],[Investor ID]])</f>
        <v>12</v>
      </c>
      <c r="H487" s="46" t="str">
        <f>CONCATENATE(SIP[[#This Row],[Frequency]],SIP[[#This Row],[Investor ID]])</f>
        <v>12A00197</v>
      </c>
      <c r="I487" s="46" t="str">
        <f>IF(SIP[[#This Row],[B/S]]="B","BUY",(IF(SIP[[#This Row],[B/S]]="S","SELL"," ")))</f>
        <v>BUY</v>
      </c>
      <c r="J487" s="46" t="s">
        <v>1229</v>
      </c>
      <c r="K487" s="69">
        <v>15000</v>
      </c>
      <c r="L487" s="69"/>
      <c r="M487" s="70">
        <f>SIP[[#This Row],[Amount]]/SIP[[#This Row],[Unit]]</f>
        <v>10.989010989010989</v>
      </c>
      <c r="N487" s="71">
        <f>SIP[[#This Row],[Unit Capital]]/10</f>
        <v>1365</v>
      </c>
      <c r="O487" s="72">
        <f>SUMIFS(SIP[[#Headers],[Unit]]:SIP[[#This Row],[Unit]],SIP[[#Headers],[Investor ID]]:SIP[[#This Row],[Investor ID]],SIP[[#This Row],[Investor ID]])</f>
        <v>17025</v>
      </c>
      <c r="P487" s="73">
        <v>13650</v>
      </c>
      <c r="Q487" s="74">
        <f>SIP[[#This Row],[Amount]]-SIP[[#This Row],[Unit Capital]]</f>
        <v>1350</v>
      </c>
      <c r="R48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10.5726872246696</v>
      </c>
      <c r="S487" s="68">
        <f t="shared" si="21"/>
        <v>14.224</v>
      </c>
      <c r="T4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7" s="74" cm="1">
        <f t="array" ref="U487">IF(SIP[[#This Row],[B/S]]="S",ABS(SIP[[#This Row],[Unit]])*(INDEX(SIP[NAV at Cost (Average)],MATCH(CONCATENATE((SIP[[#This Row],[Frequency]]-1),SIP[[#This Row],[Investor ID]]),SIP[Unique Code],0),0)),0)</f>
        <v>0</v>
      </c>
      <c r="V487" s="74">
        <f>IF(SIP[[#This Row],[BO TRANSFER]]="YES",SIP[[#This Row],[Unit]],)</f>
        <v>0</v>
      </c>
      <c r="W487" s="74">
        <f>SUMIFS(SIP[[#Headers],[BO UNIT TRANSFER]]:SIP[[#This Row],[BO UNIT TRANSFER]],SIP[[#Headers],[Investor ID]]:SIP[[#This Row],[Investor ID]],SIP[[#This Row],[Investor ID]])</f>
        <v>0</v>
      </c>
    </row>
    <row r="488" spans="1:23" ht="15" customHeight="1">
      <c r="A488" s="46">
        <v>2024</v>
      </c>
      <c r="B488" s="46">
        <v>4</v>
      </c>
      <c r="C488" s="46">
        <v>26</v>
      </c>
      <c r="D488" s="65">
        <f>DATE(SIP[[#This Row],[Year]],SIP[[#This Row],[Month]],SIP[[#This Row],[Day]])</f>
        <v>45408</v>
      </c>
      <c r="E488" s="66" t="str" cm="1">
        <f t="array" ref="E488">INDEX(INVESTORS_LIST[INVESTOR NAME],MATCH(SIP[[#This Row],[Investor ID]],INVESTORS_LIST[INVESTOR CODE],0),)</f>
        <v>SIKDER FAZLE RABBI</v>
      </c>
      <c r="F488" s="46" t="s">
        <v>1032</v>
      </c>
      <c r="G488" s="46">
        <f>COUNTIF(SIP[[#Headers],[Investor ID]]:SIP[[#This Row],[Investor ID]],SIP[[#This Row],[Investor ID]])</f>
        <v>11</v>
      </c>
      <c r="H488" s="46" t="str">
        <f>CONCATENATE(SIP[[#This Row],[Frequency]],SIP[[#This Row],[Investor ID]])</f>
        <v>11A00493</v>
      </c>
      <c r="I488" s="46" t="str">
        <f>IF(SIP[[#This Row],[B/S]]="B","BUY",(IF(SIP[[#This Row],[B/S]]="S","SELL"," ")))</f>
        <v>BUY</v>
      </c>
      <c r="J488" s="46" t="s">
        <v>1229</v>
      </c>
      <c r="K488" s="69">
        <v>5000</v>
      </c>
      <c r="L488" s="69"/>
      <c r="M488" s="70">
        <f>SIP[[#This Row],[Amount]]/SIP[[#This Row],[Unit]]</f>
        <v>10.989010989010989</v>
      </c>
      <c r="N488" s="71">
        <f>SIP[[#This Row],[Unit Capital]]/10</f>
        <v>455</v>
      </c>
      <c r="O488" s="72">
        <f>SUMIFS(SIP[[#Headers],[Unit]]:SIP[[#This Row],[Unit]],SIP[[#Headers],[Investor ID]]:SIP[[#This Row],[Investor ID]],SIP[[#This Row],[Investor ID]])</f>
        <v>5183</v>
      </c>
      <c r="P488" s="73">
        <v>4550</v>
      </c>
      <c r="Q488" s="74">
        <f>SIP[[#This Row],[Amount]]-SIP[[#This Row],[Unit Capital]]</f>
        <v>450</v>
      </c>
      <c r="R48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88" s="68">
        <f t="shared" si="21"/>
        <v>14.224</v>
      </c>
      <c r="T4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8" s="74" cm="1">
        <f t="array" ref="U488">IF(SIP[[#This Row],[B/S]]="S",ABS(SIP[[#This Row],[Unit]])*(INDEX(SIP[NAV at Cost (Average)],MATCH(CONCATENATE((SIP[[#This Row],[Frequency]]-1),SIP[[#This Row],[Investor ID]]),SIP[Unique Code],0),0)),0)</f>
        <v>0</v>
      </c>
      <c r="V488" s="74">
        <f>IF(SIP[[#This Row],[BO TRANSFER]]="YES",SIP[[#This Row],[Unit]],)</f>
        <v>0</v>
      </c>
      <c r="W488" s="74">
        <f>SUMIFS(SIP[[#Headers],[BO UNIT TRANSFER]]:SIP[[#This Row],[BO UNIT TRANSFER]],SIP[[#Headers],[Investor ID]]:SIP[[#This Row],[Investor ID]],SIP[[#This Row],[Investor ID]])</f>
        <v>0</v>
      </c>
    </row>
    <row r="489" spans="1:23" ht="15" customHeight="1">
      <c r="A489" s="46">
        <v>2024</v>
      </c>
      <c r="B489" s="46">
        <v>4</v>
      </c>
      <c r="C489" s="46">
        <v>26</v>
      </c>
      <c r="D489" s="65">
        <f>DATE(SIP[[#This Row],[Year]],SIP[[#This Row],[Month]],SIP[[#This Row],[Day]])</f>
        <v>45408</v>
      </c>
      <c r="E489" s="66" t="str" cm="1">
        <f t="array" ref="E489">INDEX(INVESTORS_LIST[INVESTOR NAME],MATCH(SIP[[#This Row],[Investor ID]],INVESTORS_LIST[INVESTOR CODE],0),)</f>
        <v>MOHAMMAD HASAN</v>
      </c>
      <c r="F489" s="46" t="s">
        <v>1010</v>
      </c>
      <c r="G489" s="46">
        <f>COUNTIF(SIP[[#Headers],[Investor ID]]:SIP[[#This Row],[Investor ID]],SIP[[#This Row],[Investor ID]])</f>
        <v>11</v>
      </c>
      <c r="H489" s="46" t="str">
        <f>CONCATENATE(SIP[[#This Row],[Frequency]],SIP[[#This Row],[Investor ID]])</f>
        <v>11A00482</v>
      </c>
      <c r="I489" s="46" t="str">
        <f>IF(SIP[[#This Row],[B/S]]="B","BUY",(IF(SIP[[#This Row],[B/S]]="S","SELL"," ")))</f>
        <v>BUY</v>
      </c>
      <c r="J489" s="46" t="s">
        <v>1229</v>
      </c>
      <c r="K489" s="69">
        <v>5000</v>
      </c>
      <c r="L489" s="69"/>
      <c r="M489" s="70">
        <f>SIP[[#This Row],[Amount]]/SIP[[#This Row],[Unit]]</f>
        <v>10.989010989010989</v>
      </c>
      <c r="N489" s="71">
        <f>SIP[[#This Row],[Unit Capital]]/10</f>
        <v>455</v>
      </c>
      <c r="O489" s="72">
        <f>SUMIFS(SIP[[#Headers],[Unit]]:SIP[[#This Row],[Unit]],SIP[[#Headers],[Investor ID]]:SIP[[#This Row],[Investor ID]],SIP[[#This Row],[Investor ID]])</f>
        <v>5183</v>
      </c>
      <c r="P489" s="73">
        <v>4550</v>
      </c>
      <c r="Q489" s="74">
        <f>SIP[[#This Row],[Amount]]-SIP[[#This Row],[Unit Capital]]</f>
        <v>450</v>
      </c>
      <c r="R48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89" s="68">
        <f t="shared" si="21"/>
        <v>14.224</v>
      </c>
      <c r="T4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9" s="74" cm="1">
        <f t="array" ref="U489">IF(SIP[[#This Row],[B/S]]="S",ABS(SIP[[#This Row],[Unit]])*(INDEX(SIP[NAV at Cost (Average)],MATCH(CONCATENATE((SIP[[#This Row],[Frequency]]-1),SIP[[#This Row],[Investor ID]]),SIP[Unique Code],0),0)),0)</f>
        <v>0</v>
      </c>
      <c r="V489" s="74">
        <f>IF(SIP[[#This Row],[BO TRANSFER]]="YES",SIP[[#This Row],[Unit]],)</f>
        <v>0</v>
      </c>
      <c r="W489" s="74">
        <f>SUMIFS(SIP[[#Headers],[BO UNIT TRANSFER]]:SIP[[#This Row],[BO UNIT TRANSFER]],SIP[[#Headers],[Investor ID]]:SIP[[#This Row],[Investor ID]],SIP[[#This Row],[Investor ID]])</f>
        <v>0</v>
      </c>
    </row>
    <row r="490" spans="1:23" ht="15" customHeight="1">
      <c r="A490" s="46">
        <v>2024</v>
      </c>
      <c r="B490" s="46">
        <v>4</v>
      </c>
      <c r="C490" s="46">
        <v>26</v>
      </c>
      <c r="D490" s="65">
        <f>DATE(SIP[[#This Row],[Year]],SIP[[#This Row],[Month]],SIP[[#This Row],[Day]])</f>
        <v>45408</v>
      </c>
      <c r="E490" s="66" t="str" cm="1">
        <f t="array" ref="E490">INDEX(INVESTORS_LIST[INVESTOR NAME],MATCH(SIP[[#This Row],[Investor ID]],INVESTORS_LIST[INVESTOR CODE],0),)</f>
        <v>SAJJAD CHOWDHURY</v>
      </c>
      <c r="F490" s="46" t="s">
        <v>461</v>
      </c>
      <c r="G490" s="46">
        <f>COUNTIF(SIP[[#Headers],[Investor ID]]:SIP[[#This Row],[Investor ID]],SIP[[#This Row],[Investor ID]])</f>
        <v>12</v>
      </c>
      <c r="H490" s="46" t="str">
        <f>CONCATENATE(SIP[[#This Row],[Frequency]],SIP[[#This Row],[Investor ID]])</f>
        <v>12A00206</v>
      </c>
      <c r="I490" s="46" t="str">
        <f>IF(SIP[[#This Row],[B/S]]="B","BUY",(IF(SIP[[#This Row],[B/S]]="S","SELL"," ")))</f>
        <v>BUY</v>
      </c>
      <c r="J490" s="46" t="s">
        <v>1229</v>
      </c>
      <c r="K490" s="69">
        <v>7500</v>
      </c>
      <c r="L490" s="69"/>
      <c r="M490" s="70">
        <f>SIP[[#This Row],[Amount]]/SIP[[#This Row],[Unit]]</f>
        <v>10.997067448680351</v>
      </c>
      <c r="N490" s="71">
        <f>SIP[[#This Row],[Unit Capital]]/10</f>
        <v>682</v>
      </c>
      <c r="O490" s="72">
        <f>SUMIFS(SIP[[#Headers],[Unit]]:SIP[[#This Row],[Unit]],SIP[[#Headers],[Investor ID]]:SIP[[#This Row],[Investor ID]],SIP[[#This Row],[Investor ID]])</f>
        <v>8511</v>
      </c>
      <c r="P490" s="73">
        <v>6820</v>
      </c>
      <c r="Q490" s="74">
        <f>SIP[[#This Row],[Amount]]-SIP[[#This Row],[Unit Capital]]</f>
        <v>680</v>
      </c>
      <c r="R49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10.574550581600281</v>
      </c>
      <c r="S490" s="68">
        <f t="shared" si="21"/>
        <v>14.224</v>
      </c>
      <c r="T4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0" s="74" cm="1">
        <f t="array" ref="U490">IF(SIP[[#This Row],[B/S]]="S",ABS(SIP[[#This Row],[Unit]])*(INDEX(SIP[NAV at Cost (Average)],MATCH(CONCATENATE((SIP[[#This Row],[Frequency]]-1),SIP[[#This Row],[Investor ID]]),SIP[Unique Code],0),0)),0)</f>
        <v>0</v>
      </c>
      <c r="V490" s="74">
        <f>IF(SIP[[#This Row],[BO TRANSFER]]="YES",SIP[[#This Row],[Unit]],)</f>
        <v>0</v>
      </c>
      <c r="W490" s="74">
        <f>SUMIFS(SIP[[#Headers],[BO UNIT TRANSFER]]:SIP[[#This Row],[BO UNIT TRANSFER]],SIP[[#Headers],[Investor ID]]:SIP[[#This Row],[Investor ID]],SIP[[#This Row],[Investor ID]])</f>
        <v>0</v>
      </c>
    </row>
    <row r="491" spans="1:23" ht="15" customHeight="1">
      <c r="A491" s="46">
        <v>2024</v>
      </c>
      <c r="B491" s="46">
        <v>4</v>
      </c>
      <c r="C491" s="46">
        <v>26</v>
      </c>
      <c r="D491" s="65">
        <f>DATE(SIP[[#This Row],[Year]],SIP[[#This Row],[Month]],SIP[[#This Row],[Day]])</f>
        <v>45408</v>
      </c>
      <c r="E491" s="66" t="str" cm="1">
        <f t="array" ref="E491">INDEX(INVESTORS_LIST[INVESTOR NAME],MATCH(SIP[[#This Row],[Investor ID]],INVESTORS_LIST[INVESTOR CODE],0),)</f>
        <v>EKUSH WEALTH MANAGEMENT LIMITED EMPLOYEES CONTRIBUTORY PROVIDENT FUND</v>
      </c>
      <c r="F491" s="46" t="s">
        <v>831</v>
      </c>
      <c r="G491" s="46">
        <f>COUNTIF(SIP[[#Headers],[Investor ID]]:SIP[[#This Row],[Investor ID]],SIP[[#This Row],[Investor ID]])</f>
        <v>9</v>
      </c>
      <c r="H491" s="46" t="str">
        <f>CONCATENATE(SIP[[#This Row],[Frequency]],SIP[[#This Row],[Investor ID]])</f>
        <v>9A00392</v>
      </c>
      <c r="I491" s="46" t="str">
        <f>IF(SIP[[#This Row],[B/S]]="B","BUY",(IF(SIP[[#This Row],[B/S]]="S","SELL"," ")))</f>
        <v>BUY</v>
      </c>
      <c r="J491" s="46" t="s">
        <v>1229</v>
      </c>
      <c r="K491" s="69">
        <v>22040</v>
      </c>
      <c r="L491" s="69"/>
      <c r="M491" s="70">
        <f>SIP[[#This Row],[Amount]]/SIP[[#This Row],[Unit]]</f>
        <v>10.992518703241895</v>
      </c>
      <c r="N491" s="71">
        <f>SIP[[#This Row],[Unit Capital]]/10</f>
        <v>2005</v>
      </c>
      <c r="O491" s="72">
        <f>SUMIFS(SIP[[#Headers],[Unit]]:SIP[[#This Row],[Unit]],SIP[[#Headers],[Investor ID]]:SIP[[#This Row],[Investor ID]],SIP[[#This Row],[Investor ID]])</f>
        <v>18869</v>
      </c>
      <c r="P491" s="73">
        <v>20050</v>
      </c>
      <c r="Q491" s="74">
        <f>SIP[[#This Row],[Amount]]-SIP[[#This Row],[Unit Capital]]</f>
        <v>1990</v>
      </c>
      <c r="R49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10.512480788595052</v>
      </c>
      <c r="S491" s="68">
        <f t="shared" si="21"/>
        <v>14.224</v>
      </c>
      <c r="T4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1" s="74" cm="1">
        <f t="array" ref="U491">IF(SIP[[#This Row],[B/S]]="S",ABS(SIP[[#This Row],[Unit]])*(INDEX(SIP[NAV at Cost (Average)],MATCH(CONCATENATE((SIP[[#This Row],[Frequency]]-1),SIP[[#This Row],[Investor ID]]),SIP[Unique Code],0),0)),0)</f>
        <v>0</v>
      </c>
      <c r="V491" s="74">
        <f>IF(SIP[[#This Row],[BO TRANSFER]]="YES",SIP[[#This Row],[Unit]],)</f>
        <v>0</v>
      </c>
      <c r="W491" s="74">
        <f>SUMIFS(SIP[[#Headers],[BO UNIT TRANSFER]]:SIP[[#This Row],[BO UNIT TRANSFER]],SIP[[#Headers],[Investor ID]]:SIP[[#This Row],[Investor ID]],SIP[[#This Row],[Investor ID]])</f>
        <v>0</v>
      </c>
    </row>
    <row r="492" spans="1:23" ht="15" customHeight="1">
      <c r="A492" s="46">
        <v>2024</v>
      </c>
      <c r="B492" s="46">
        <v>4</v>
      </c>
      <c r="C492" s="46">
        <v>26</v>
      </c>
      <c r="D492" s="65">
        <f>DATE(SIP[[#This Row],[Year]],SIP[[#This Row],[Month]],SIP[[#This Row],[Day]])</f>
        <v>45408</v>
      </c>
      <c r="E492" s="66" t="str" cm="1">
        <f t="array" ref="E492">INDEX(INVESTORS_LIST[INVESTOR NAME],MATCH(SIP[[#This Row],[Investor ID]],INVESTORS_LIST[INVESTOR CODE],0),)</f>
        <v>S.M. SAIFUL ISLAM</v>
      </c>
      <c r="F492" s="46" t="s">
        <v>1002</v>
      </c>
      <c r="G492" s="46">
        <f>COUNTIF(SIP[[#Headers],[Investor ID]]:SIP[[#This Row],[Investor ID]],SIP[[#This Row],[Investor ID]])</f>
        <v>12</v>
      </c>
      <c r="H492" s="46" t="str">
        <f>CONCATENATE(SIP[[#This Row],[Frequency]],SIP[[#This Row],[Investor ID]])</f>
        <v>12A00478</v>
      </c>
      <c r="I492" s="46" t="str">
        <f>IF(SIP[[#This Row],[B/S]]="B","BUY",(IF(SIP[[#This Row],[B/S]]="S","SELL"," ")))</f>
        <v>BUY</v>
      </c>
      <c r="J492" s="46" t="s">
        <v>1229</v>
      </c>
      <c r="K492" s="69">
        <v>10000</v>
      </c>
      <c r="L492" s="69"/>
      <c r="M492" s="70">
        <f>SIP[[#This Row],[Amount]]/SIP[[#This Row],[Unit]]</f>
        <v>10.989010989010989</v>
      </c>
      <c r="N492" s="71">
        <f>SIP[[#This Row],[Unit Capital]]/10</f>
        <v>910</v>
      </c>
      <c r="O492" s="72">
        <f>SUMIFS(SIP[[#Headers],[Unit]]:SIP[[#This Row],[Unit]],SIP[[#Headers],[Investor ID]]:SIP[[#This Row],[Investor ID]],SIP[[#This Row],[Investor ID]])</f>
        <v>11351</v>
      </c>
      <c r="P492" s="73">
        <v>9100</v>
      </c>
      <c r="Q492" s="74">
        <f>SIP[[#This Row],[Amount]]-SIP[[#This Row],[Unit Capital]]</f>
        <v>900</v>
      </c>
      <c r="R49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10.571755792441195</v>
      </c>
      <c r="S492" s="68">
        <f t="shared" si="21"/>
        <v>14.224</v>
      </c>
      <c r="T4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2" s="74" cm="1">
        <f t="array" ref="U492">IF(SIP[[#This Row],[B/S]]="S",ABS(SIP[[#This Row],[Unit]])*(INDEX(SIP[NAV at Cost (Average)],MATCH(CONCATENATE((SIP[[#This Row],[Frequency]]-1),SIP[[#This Row],[Investor ID]]),SIP[Unique Code],0),0)),0)</f>
        <v>0</v>
      </c>
      <c r="V492" s="74">
        <f>IF(SIP[[#This Row],[BO TRANSFER]]="YES",SIP[[#This Row],[Unit]],)</f>
        <v>0</v>
      </c>
      <c r="W492" s="74">
        <f>SUMIFS(SIP[[#Headers],[BO UNIT TRANSFER]]:SIP[[#This Row],[BO UNIT TRANSFER]],SIP[[#Headers],[Investor ID]]:SIP[[#This Row],[Investor ID]],SIP[[#This Row],[Investor ID]])</f>
        <v>0</v>
      </c>
    </row>
    <row r="493" spans="1:23" ht="15" customHeight="1">
      <c r="A493" s="46">
        <v>2024</v>
      </c>
      <c r="B493" s="46">
        <v>4</v>
      </c>
      <c r="C493" s="46">
        <v>26</v>
      </c>
      <c r="D493" s="65">
        <f>DATE(SIP[[#This Row],[Year]],SIP[[#This Row],[Month]],SIP[[#This Row],[Day]])</f>
        <v>45408</v>
      </c>
      <c r="E493" s="66" t="str" cm="1">
        <f t="array" ref="E493">INDEX(INVESTORS_LIST[INVESTOR NAME],MATCH(SIP[[#This Row],[Investor ID]],INVESTORS_LIST[INVESTOR CODE],0),)</f>
        <v>MOHAMMED SHARIFUL ISLAM</v>
      </c>
      <c r="F493" s="46" t="s">
        <v>1028</v>
      </c>
      <c r="G493" s="46">
        <f>COUNTIF(SIP[[#Headers],[Investor ID]]:SIP[[#This Row],[Investor ID]],SIP[[#This Row],[Investor ID]])</f>
        <v>11</v>
      </c>
      <c r="H493" s="46" t="str">
        <f>CONCATENATE(SIP[[#This Row],[Frequency]],SIP[[#This Row],[Investor ID]])</f>
        <v>11A00491</v>
      </c>
      <c r="I493" s="46" t="str">
        <f>IF(SIP[[#This Row],[B/S]]="B","BUY",(IF(SIP[[#This Row],[B/S]]="S","SELL"," ")))</f>
        <v>BUY</v>
      </c>
      <c r="J493" s="46" t="s">
        <v>1229</v>
      </c>
      <c r="K493" s="69">
        <v>5000</v>
      </c>
      <c r="L493" s="69"/>
      <c r="M493" s="70">
        <f>SIP[[#This Row],[Amount]]/SIP[[#This Row],[Unit]]</f>
        <v>10.989010989010989</v>
      </c>
      <c r="N493" s="71">
        <f>SIP[[#This Row],[Unit Capital]]/10</f>
        <v>455</v>
      </c>
      <c r="O493" s="72">
        <f>SUMIFS(SIP[[#Headers],[Unit]]:SIP[[#This Row],[Unit]],SIP[[#Headers],[Investor ID]]:SIP[[#This Row],[Investor ID]],SIP[[#This Row],[Investor ID]])</f>
        <v>5183</v>
      </c>
      <c r="P493" s="73">
        <v>4550</v>
      </c>
      <c r="Q493" s="74">
        <f>SIP[[#This Row],[Amount]]-SIP[[#This Row],[Unit Capital]]</f>
        <v>450</v>
      </c>
      <c r="R49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93" s="68">
        <f t="shared" si="21"/>
        <v>14.224</v>
      </c>
      <c r="T4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3" s="74" cm="1">
        <f t="array" ref="U493">IF(SIP[[#This Row],[B/S]]="S",ABS(SIP[[#This Row],[Unit]])*(INDEX(SIP[NAV at Cost (Average)],MATCH(CONCATENATE((SIP[[#This Row],[Frequency]]-1),SIP[[#This Row],[Investor ID]]),SIP[Unique Code],0),0)),0)</f>
        <v>0</v>
      </c>
      <c r="V493" s="74">
        <f>IF(SIP[[#This Row],[BO TRANSFER]]="YES",SIP[[#This Row],[Unit]],)</f>
        <v>0</v>
      </c>
      <c r="W493" s="74">
        <f>SUMIFS(SIP[[#Headers],[BO UNIT TRANSFER]]:SIP[[#This Row],[BO UNIT TRANSFER]],SIP[[#Headers],[Investor ID]]:SIP[[#This Row],[Investor ID]],SIP[[#This Row],[Investor ID]])</f>
        <v>0</v>
      </c>
    </row>
    <row r="494" spans="1:23" ht="15" customHeight="1">
      <c r="A494" s="46">
        <v>2024</v>
      </c>
      <c r="B494" s="46">
        <v>4</v>
      </c>
      <c r="C494" s="46">
        <v>26</v>
      </c>
      <c r="D494" s="65">
        <f>DATE(SIP[[#This Row],[Year]],SIP[[#This Row],[Month]],SIP[[#This Row],[Day]])</f>
        <v>45408</v>
      </c>
      <c r="E494" s="66" t="str" cm="1">
        <f t="array" ref="E494">INDEX(INVESTORS_LIST[INVESTOR NAME],MATCH(SIP[[#This Row],[Investor ID]],INVESTORS_LIST[INVESTOR CODE],0),)</f>
        <v>ABU MUSA MIRZA KAMRUZZAMAN SHAHEE</v>
      </c>
      <c r="F494" s="46" t="s">
        <v>1012</v>
      </c>
      <c r="G494" s="46">
        <f>COUNTIF(SIP[[#Headers],[Investor ID]]:SIP[[#This Row],[Investor ID]],SIP[[#This Row],[Investor ID]])</f>
        <v>11</v>
      </c>
      <c r="H494" s="46" t="str">
        <f>CONCATENATE(SIP[[#This Row],[Frequency]],SIP[[#This Row],[Investor ID]])</f>
        <v>11A00483</v>
      </c>
      <c r="I494" s="46" t="str">
        <f>IF(SIP[[#This Row],[B/S]]="B","BUY",(IF(SIP[[#This Row],[B/S]]="S","SELL"," ")))</f>
        <v>BUY</v>
      </c>
      <c r="J494" s="46" t="s">
        <v>1229</v>
      </c>
      <c r="K494" s="69">
        <v>5000</v>
      </c>
      <c r="L494" s="69"/>
      <c r="M494" s="70">
        <f>SIP[[#This Row],[Amount]]/SIP[[#This Row],[Unit]]</f>
        <v>10.989010989010989</v>
      </c>
      <c r="N494" s="71">
        <f>SIP[[#This Row],[Unit Capital]]/10</f>
        <v>455</v>
      </c>
      <c r="O494" s="72">
        <f>SUMIFS(SIP[[#Headers],[Unit]]:SIP[[#This Row],[Unit]],SIP[[#Headers],[Investor ID]]:SIP[[#This Row],[Investor ID]],SIP[[#This Row],[Investor ID]])</f>
        <v>5183</v>
      </c>
      <c r="P494" s="73">
        <v>4550</v>
      </c>
      <c r="Q494" s="74">
        <f>SIP[[#This Row],[Amount]]-SIP[[#This Row],[Unit Capital]]</f>
        <v>450</v>
      </c>
      <c r="R49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94" s="68">
        <f t="shared" si="21"/>
        <v>14.224</v>
      </c>
      <c r="T4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4" s="74" cm="1">
        <f t="array" ref="U494">IF(SIP[[#This Row],[B/S]]="S",ABS(SIP[[#This Row],[Unit]])*(INDEX(SIP[NAV at Cost (Average)],MATCH(CONCATENATE((SIP[[#This Row],[Frequency]]-1),SIP[[#This Row],[Investor ID]]),SIP[Unique Code],0),0)),0)</f>
        <v>0</v>
      </c>
      <c r="V494" s="74">
        <f>IF(SIP[[#This Row],[BO TRANSFER]]="YES",SIP[[#This Row],[Unit]],)</f>
        <v>0</v>
      </c>
      <c r="W494" s="74">
        <f>SUMIFS(SIP[[#Headers],[BO UNIT TRANSFER]]:SIP[[#This Row],[BO UNIT TRANSFER]],SIP[[#Headers],[Investor ID]]:SIP[[#This Row],[Investor ID]],SIP[[#This Row],[Investor ID]])</f>
        <v>0</v>
      </c>
    </row>
    <row r="495" spans="1:23" ht="15" customHeight="1">
      <c r="A495" s="46">
        <v>2024</v>
      </c>
      <c r="B495" s="46">
        <v>4</v>
      </c>
      <c r="C495" s="46">
        <v>26</v>
      </c>
      <c r="D495" s="65">
        <f>DATE(SIP[[#This Row],[Year]],SIP[[#This Row],[Month]],SIP[[#This Row],[Day]])</f>
        <v>45408</v>
      </c>
      <c r="E495" s="66" t="str" cm="1">
        <f t="array" ref="E495">INDEX(INVESTORS_LIST[INVESTOR NAME],MATCH(SIP[[#This Row],[Investor ID]],INVESTORS_LIST[INVESTOR CODE],0),)</f>
        <v>ASHIK IQBAL CHOWDHURY</v>
      </c>
      <c r="F495" s="46" t="s">
        <v>1016</v>
      </c>
      <c r="G495" s="46">
        <f>COUNTIF(SIP[[#Headers],[Investor ID]]:SIP[[#This Row],[Investor ID]],SIP[[#This Row],[Investor ID]])</f>
        <v>11</v>
      </c>
      <c r="H495" s="46" t="str">
        <f>CONCATENATE(SIP[[#This Row],[Frequency]],SIP[[#This Row],[Investor ID]])</f>
        <v>11A00485</v>
      </c>
      <c r="I495" s="46" t="str">
        <f>IF(SIP[[#This Row],[B/S]]="B","BUY",(IF(SIP[[#This Row],[B/S]]="S","SELL"," ")))</f>
        <v>BUY</v>
      </c>
      <c r="J495" s="46" t="s">
        <v>1229</v>
      </c>
      <c r="K495" s="69">
        <v>5000</v>
      </c>
      <c r="L495" s="69"/>
      <c r="M495" s="70">
        <f>SIP[[#This Row],[Amount]]/SIP[[#This Row],[Unit]]</f>
        <v>10.989010989010989</v>
      </c>
      <c r="N495" s="71">
        <f>SIP[[#This Row],[Unit Capital]]/10</f>
        <v>455</v>
      </c>
      <c r="O495" s="72">
        <f>SUMIFS(SIP[[#Headers],[Unit]]:SIP[[#This Row],[Unit]],SIP[[#Headers],[Investor ID]]:SIP[[#This Row],[Investor ID]],SIP[[#This Row],[Investor ID]])</f>
        <v>5183</v>
      </c>
      <c r="P495" s="73">
        <v>4550</v>
      </c>
      <c r="Q495" s="74">
        <f>SIP[[#This Row],[Amount]]-SIP[[#This Row],[Unit Capital]]</f>
        <v>450</v>
      </c>
      <c r="R49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95" s="68">
        <f t="shared" si="21"/>
        <v>14.224</v>
      </c>
      <c r="T4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5" s="74" cm="1">
        <f t="array" ref="U495">IF(SIP[[#This Row],[B/S]]="S",ABS(SIP[[#This Row],[Unit]])*(INDEX(SIP[NAV at Cost (Average)],MATCH(CONCATENATE((SIP[[#This Row],[Frequency]]-1),SIP[[#This Row],[Investor ID]]),SIP[Unique Code],0),0)),0)</f>
        <v>0</v>
      </c>
      <c r="V495" s="74">
        <f>IF(SIP[[#This Row],[BO TRANSFER]]="YES",SIP[[#This Row],[Unit]],)</f>
        <v>0</v>
      </c>
      <c r="W495" s="74">
        <f>SUMIFS(SIP[[#Headers],[BO UNIT TRANSFER]]:SIP[[#This Row],[BO UNIT TRANSFER]],SIP[[#Headers],[Investor ID]]:SIP[[#This Row],[Investor ID]],SIP[[#This Row],[Investor ID]])</f>
        <v>0</v>
      </c>
    </row>
    <row r="496" spans="1:23" ht="15" customHeight="1">
      <c r="A496" s="46">
        <v>2024</v>
      </c>
      <c r="B496" s="46">
        <v>4</v>
      </c>
      <c r="C496" s="46">
        <v>26</v>
      </c>
      <c r="D496" s="65">
        <f>DATE(SIP[[#This Row],[Year]],SIP[[#This Row],[Month]],SIP[[#This Row],[Day]])</f>
        <v>45408</v>
      </c>
      <c r="E496" s="66" t="str" cm="1">
        <f t="array" ref="E496">INDEX(INVESTORS_LIST[INVESTOR NAME],MATCH(SIP[[#This Row],[Investor ID]],INVESTORS_LIST[INVESTOR CODE],0),)</f>
        <v>SUMAN SAHA</v>
      </c>
      <c r="F496" s="46" t="s">
        <v>1022</v>
      </c>
      <c r="G496" s="46">
        <f>COUNTIF(SIP[[#Headers],[Investor ID]]:SIP[[#This Row],[Investor ID]],SIP[[#This Row],[Investor ID]])</f>
        <v>11</v>
      </c>
      <c r="H496" s="46" t="str">
        <f>CONCATENATE(SIP[[#This Row],[Frequency]],SIP[[#This Row],[Investor ID]])</f>
        <v>11A00488</v>
      </c>
      <c r="I496" s="46" t="str">
        <f>IF(SIP[[#This Row],[B/S]]="B","BUY",(IF(SIP[[#This Row],[B/S]]="S","SELL"," ")))</f>
        <v>BUY</v>
      </c>
      <c r="J496" s="46" t="s">
        <v>1229</v>
      </c>
      <c r="K496" s="69">
        <v>5000</v>
      </c>
      <c r="L496" s="69"/>
      <c r="M496" s="70">
        <f>SIP[[#This Row],[Amount]]/SIP[[#This Row],[Unit]]</f>
        <v>10.989010989010989</v>
      </c>
      <c r="N496" s="71">
        <f>SIP[[#This Row],[Unit Capital]]/10</f>
        <v>455</v>
      </c>
      <c r="O496" s="72">
        <f>SUMIFS(SIP[[#Headers],[Unit]]:SIP[[#This Row],[Unit]],SIP[[#Headers],[Investor ID]]:SIP[[#This Row],[Investor ID]],SIP[[#This Row],[Investor ID]])</f>
        <v>5183</v>
      </c>
      <c r="P496" s="73">
        <v>4550</v>
      </c>
      <c r="Q496" s="74">
        <f>SIP[[#This Row],[Amount]]-SIP[[#This Row],[Unit Capital]]</f>
        <v>450</v>
      </c>
      <c r="R49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96" s="68">
        <f t="shared" si="21"/>
        <v>14.224</v>
      </c>
      <c r="T4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6" s="74" cm="1">
        <f t="array" ref="U496">IF(SIP[[#This Row],[B/S]]="S",ABS(SIP[[#This Row],[Unit]])*(INDEX(SIP[NAV at Cost (Average)],MATCH(CONCATENATE((SIP[[#This Row],[Frequency]]-1),SIP[[#This Row],[Investor ID]]),SIP[Unique Code],0),0)),0)</f>
        <v>0</v>
      </c>
      <c r="V496" s="74">
        <f>IF(SIP[[#This Row],[BO TRANSFER]]="YES",SIP[[#This Row],[Unit]],)</f>
        <v>0</v>
      </c>
      <c r="W496" s="74">
        <f>SUMIFS(SIP[[#Headers],[BO UNIT TRANSFER]]:SIP[[#This Row],[BO UNIT TRANSFER]],SIP[[#Headers],[Investor ID]]:SIP[[#This Row],[Investor ID]],SIP[[#This Row],[Investor ID]])</f>
        <v>0</v>
      </c>
    </row>
    <row r="497" spans="1:23" ht="15" customHeight="1">
      <c r="A497" s="46">
        <v>2024</v>
      </c>
      <c r="B497" s="46">
        <v>4</v>
      </c>
      <c r="C497" s="46">
        <v>26</v>
      </c>
      <c r="D497" s="65">
        <f>DATE(SIP[[#This Row],[Year]],SIP[[#This Row],[Month]],SIP[[#This Row],[Day]])</f>
        <v>45408</v>
      </c>
      <c r="E497" s="66" t="str" cm="1">
        <f t="array" ref="E497">INDEX(INVESTORS_LIST[INVESTOR NAME],MATCH(SIP[[#This Row],[Investor ID]],INVESTORS_LIST[INVESTOR CODE],0),)</f>
        <v>AKASH DEEP PAUL</v>
      </c>
      <c r="F497" s="46" t="s">
        <v>286</v>
      </c>
      <c r="G497" s="46">
        <f>COUNTIF(SIP[[#Headers],[Investor ID]]:SIP[[#This Row],[Investor ID]],SIP[[#This Row],[Investor ID]])</f>
        <v>11</v>
      </c>
      <c r="H497" s="46" t="str">
        <f>CONCATENATE(SIP[[#This Row],[Frequency]],SIP[[#This Row],[Investor ID]])</f>
        <v>11A00119</v>
      </c>
      <c r="I497" s="46" t="str">
        <f>IF(SIP[[#This Row],[B/S]]="B","BUY",(IF(SIP[[#This Row],[B/S]]="S","SELL"," ")))</f>
        <v>BUY</v>
      </c>
      <c r="J497" s="46" t="s">
        <v>1229</v>
      </c>
      <c r="K497" s="69">
        <v>5000</v>
      </c>
      <c r="L497" s="69"/>
      <c r="M497" s="70">
        <f>SIP[[#This Row],[Amount]]/SIP[[#This Row],[Unit]]</f>
        <v>10.989010989010989</v>
      </c>
      <c r="N497" s="71">
        <f>SIP[[#This Row],[Unit Capital]]/10</f>
        <v>455</v>
      </c>
      <c r="O497" s="72">
        <f>SUMIFS(SIP[[#Headers],[Unit]]:SIP[[#This Row],[Unit]],SIP[[#Headers],[Investor ID]]:SIP[[#This Row],[Investor ID]],SIP[[#This Row],[Investor ID]])</f>
        <v>5183</v>
      </c>
      <c r="P497" s="73">
        <v>4550</v>
      </c>
      <c r="Q497" s="74">
        <f>SIP[[#This Row],[Amount]]-SIP[[#This Row],[Unit Capital]]</f>
        <v>450</v>
      </c>
      <c r="R49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10.611614894848543</v>
      </c>
      <c r="S497" s="68">
        <f t="shared" si="21"/>
        <v>14.224</v>
      </c>
      <c r="T4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7" s="74" cm="1">
        <f t="array" ref="U497">IF(SIP[[#This Row],[B/S]]="S",ABS(SIP[[#This Row],[Unit]])*(INDEX(SIP[NAV at Cost (Average)],MATCH(CONCATENATE((SIP[[#This Row],[Frequency]]-1),SIP[[#This Row],[Investor ID]]),SIP[Unique Code],0),0)),0)</f>
        <v>0</v>
      </c>
      <c r="V497" s="74">
        <f>IF(SIP[[#This Row],[BO TRANSFER]]="YES",SIP[[#This Row],[Unit]],)</f>
        <v>0</v>
      </c>
      <c r="W497" s="74">
        <f>SUMIFS(SIP[[#Headers],[BO UNIT TRANSFER]]:SIP[[#This Row],[BO UNIT TRANSFER]],SIP[[#Headers],[Investor ID]]:SIP[[#This Row],[Investor ID]],SIP[[#This Row],[Investor ID]])</f>
        <v>0</v>
      </c>
    </row>
    <row r="498" spans="1:23" ht="15" customHeight="1">
      <c r="A498" s="46">
        <v>2024</v>
      </c>
      <c r="B498" s="46">
        <v>4</v>
      </c>
      <c r="C498" s="46">
        <v>26</v>
      </c>
      <c r="D498" s="65">
        <f>DATE(SIP[[#This Row],[Year]],SIP[[#This Row],[Month]],SIP[[#This Row],[Day]])</f>
        <v>45408</v>
      </c>
      <c r="E498" s="66" t="str" cm="1">
        <f t="array" ref="E498">INDEX(INVESTORS_LIST[INVESTOR NAME],MATCH(SIP[[#This Row],[Investor ID]],INVESTORS_LIST[INVESTOR CODE],0),)</f>
        <v>MOHAMMED ALI XAHANGIR</v>
      </c>
      <c r="F498" s="46" t="s">
        <v>312</v>
      </c>
      <c r="G498" s="46">
        <f>COUNTIF(SIP[[#Headers],[Investor ID]]:SIP[[#This Row],[Investor ID]],SIP[[#This Row],[Investor ID]])</f>
        <v>3</v>
      </c>
      <c r="H498" s="46" t="str">
        <f>CONCATENATE(SIP[[#This Row],[Frequency]],SIP[[#This Row],[Investor ID]])</f>
        <v>3A00132</v>
      </c>
      <c r="I498" s="46" t="str">
        <f>IF(SIP[[#This Row],[B/S]]="B","BUY",(IF(SIP[[#This Row],[B/S]]="S","SELL"," ")))</f>
        <v>BUY</v>
      </c>
      <c r="J498" s="46" t="s">
        <v>1229</v>
      </c>
      <c r="K498" s="69">
        <v>20000</v>
      </c>
      <c r="L498" s="69"/>
      <c r="M498" s="70">
        <f>SIP[[#This Row],[Amount]]/SIP[[#This Row],[Unit]]</f>
        <v>10.989010989010989</v>
      </c>
      <c r="N498" s="71">
        <f>SIP[[#This Row],[Unit Capital]]/10</f>
        <v>1820</v>
      </c>
      <c r="O498" s="72">
        <f>SUMIFS(SIP[[#Headers],[Unit]]:SIP[[#This Row],[Unit]],SIP[[#Headers],[Investor ID]]:SIP[[#This Row],[Investor ID]],SIP[[#This Row],[Investor ID]])</f>
        <v>5614</v>
      </c>
      <c r="P498" s="73">
        <v>18200</v>
      </c>
      <c r="Q498" s="74">
        <f>SIP[[#This Row],[Amount]]-SIP[[#This Row],[Unit Capital]]</f>
        <v>1800</v>
      </c>
      <c r="R49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10.687566797292483</v>
      </c>
      <c r="S498" s="68">
        <f t="shared" si="21"/>
        <v>14.224</v>
      </c>
      <c r="T4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8" s="74" cm="1">
        <f t="array" ref="U498">IF(SIP[[#This Row],[B/S]]="S",ABS(SIP[[#This Row],[Unit]])*(INDEX(SIP[NAV at Cost (Average)],MATCH(CONCATENATE((SIP[[#This Row],[Frequency]]-1),SIP[[#This Row],[Investor ID]]),SIP[Unique Code],0),0)),0)</f>
        <v>0</v>
      </c>
      <c r="V498" s="74">
        <f>IF(SIP[[#This Row],[BO TRANSFER]]="YES",SIP[[#This Row],[Unit]],)</f>
        <v>0</v>
      </c>
      <c r="W498" s="74">
        <f>SUMIFS(SIP[[#Headers],[BO UNIT TRANSFER]]:SIP[[#This Row],[BO UNIT TRANSFER]],SIP[[#Headers],[Investor ID]]:SIP[[#This Row],[Investor ID]],SIP[[#This Row],[Investor ID]])</f>
        <v>0</v>
      </c>
    </row>
    <row r="499" spans="1:23" ht="15" customHeight="1">
      <c r="A499" s="46">
        <v>2024</v>
      </c>
      <c r="B499" s="46">
        <v>4</v>
      </c>
      <c r="C499" s="46">
        <v>26</v>
      </c>
      <c r="D499" s="65">
        <f>DATE(SIP[[#This Row],[Year]],SIP[[#This Row],[Month]],SIP[[#This Row],[Day]])</f>
        <v>45408</v>
      </c>
      <c r="E499" s="66" t="str" cm="1">
        <f t="array" ref="E499">INDEX(INVESTORS_LIST[INVESTOR NAME],MATCH(SIP[[#This Row],[Investor ID]],INVESTORS_LIST[INVESTOR CODE],0),)</f>
        <v>JUBAIDA FARHANA HAQUE</v>
      </c>
      <c r="F499" s="46" t="s">
        <v>1065</v>
      </c>
      <c r="G499" s="46">
        <f>COUNTIF(SIP[[#Headers],[Investor ID]]:SIP[[#This Row],[Investor ID]],SIP[[#This Row],[Investor ID]])</f>
        <v>9</v>
      </c>
      <c r="H499" s="46" t="str">
        <f>CONCATENATE(SIP[[#This Row],[Frequency]],SIP[[#This Row],[Investor ID]])</f>
        <v>9A00510</v>
      </c>
      <c r="I499" s="46" t="str">
        <f>IF(SIP[[#This Row],[B/S]]="B","BUY",(IF(SIP[[#This Row],[B/S]]="S","SELL"," ")))</f>
        <v>BUY</v>
      </c>
      <c r="J499" s="46" t="s">
        <v>1229</v>
      </c>
      <c r="K499" s="69">
        <v>5000</v>
      </c>
      <c r="L499" s="69"/>
      <c r="M499" s="70">
        <f>SIP[[#This Row],[Amount]]/SIP[[#This Row],[Unit]]</f>
        <v>10.989010989010989</v>
      </c>
      <c r="N499" s="71">
        <f>SIP[[#This Row],[Unit Capital]]/10</f>
        <v>455</v>
      </c>
      <c r="O499" s="72">
        <f>SUMIFS(SIP[[#Headers],[Unit]]:SIP[[#This Row],[Unit]],SIP[[#Headers],[Investor ID]]:SIP[[#This Row],[Investor ID]],SIP[[#This Row],[Investor ID]])</f>
        <v>3259</v>
      </c>
      <c r="P499" s="73">
        <v>4550</v>
      </c>
      <c r="Q499" s="74">
        <f>SIP[[#This Row],[Amount]]-SIP[[#This Row],[Unit Capital]]</f>
        <v>450</v>
      </c>
      <c r="R49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10.744330429782895</v>
      </c>
      <c r="S499" s="68">
        <f t="shared" si="21"/>
        <v>14.224</v>
      </c>
      <c r="T4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9" s="74" cm="1">
        <f t="array" ref="U499">IF(SIP[[#This Row],[B/S]]="S",ABS(SIP[[#This Row],[Unit]])*(INDEX(SIP[NAV at Cost (Average)],MATCH(CONCATENATE((SIP[[#This Row],[Frequency]]-1),SIP[[#This Row],[Investor ID]]),SIP[Unique Code],0),0)),0)</f>
        <v>0</v>
      </c>
      <c r="V499" s="74">
        <f>IF(SIP[[#This Row],[BO TRANSFER]]="YES",SIP[[#This Row],[Unit]],)</f>
        <v>0</v>
      </c>
      <c r="W499" s="74">
        <f>SUMIFS(SIP[[#Headers],[BO UNIT TRANSFER]]:SIP[[#This Row],[BO UNIT TRANSFER]],SIP[[#Headers],[Investor ID]]:SIP[[#This Row],[Investor ID]],SIP[[#This Row],[Investor ID]])</f>
        <v>0</v>
      </c>
    </row>
    <row r="500" spans="1:23" ht="15" customHeight="1">
      <c r="A500" s="46">
        <v>2024</v>
      </c>
      <c r="B500" s="46">
        <v>4</v>
      </c>
      <c r="C500" s="46">
        <v>26</v>
      </c>
      <c r="D500" s="65">
        <f>DATE(SIP[[#This Row],[Year]],SIP[[#This Row],[Month]],SIP[[#This Row],[Day]])</f>
        <v>45408</v>
      </c>
      <c r="E500" s="66" t="str" cm="1">
        <f t="array" ref="E500">INDEX(INVESTORS_LIST[INVESTOR NAME],MATCH(SIP[[#This Row],[Investor ID]],INVESTORS_LIST[INVESTOR CODE],0),)</f>
        <v>TAPU GUHA</v>
      </c>
      <c r="F500" s="46" t="s">
        <v>483</v>
      </c>
      <c r="G500" s="46">
        <f>COUNTIF(SIP[[#Headers],[Investor ID]]:SIP[[#This Row],[Investor ID]],SIP[[#This Row],[Investor ID]])</f>
        <v>9</v>
      </c>
      <c r="H500" s="46" t="str">
        <f>CONCATENATE(SIP[[#This Row],[Frequency]],SIP[[#This Row],[Investor ID]])</f>
        <v>9A00217</v>
      </c>
      <c r="I500" s="46" t="str">
        <f>IF(SIP[[#This Row],[B/S]]="B","BUY",(IF(SIP[[#This Row],[B/S]]="S","SELL"," ")))</f>
        <v>BUY</v>
      </c>
      <c r="J500" s="46" t="s">
        <v>1229</v>
      </c>
      <c r="K500" s="69">
        <v>5000</v>
      </c>
      <c r="L500" s="69"/>
      <c r="M500" s="70">
        <f>SIP[[#This Row],[Amount]]/SIP[[#This Row],[Unit]]</f>
        <v>10.989010989010989</v>
      </c>
      <c r="N500" s="71">
        <f>SIP[[#This Row],[Unit Capital]]/10</f>
        <v>455</v>
      </c>
      <c r="O500" s="72">
        <f>SUMIFS(SIP[[#Headers],[Unit]]:SIP[[#This Row],[Unit]],SIP[[#Headers],[Investor ID]]:SIP[[#This Row],[Investor ID]],SIP[[#This Row],[Investor ID]])</f>
        <v>4210</v>
      </c>
      <c r="P500" s="73">
        <v>4550</v>
      </c>
      <c r="Q500" s="74">
        <f>SIP[[#This Row],[Amount]]-SIP[[#This Row],[Unit Capital]]</f>
        <v>450</v>
      </c>
      <c r="R50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10.688836104513063</v>
      </c>
      <c r="S500" s="68">
        <f t="shared" si="21"/>
        <v>14.224</v>
      </c>
      <c r="T5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0" s="74" cm="1">
        <f t="array" ref="U500">IF(SIP[[#This Row],[B/S]]="S",ABS(SIP[[#This Row],[Unit]])*(INDEX(SIP[NAV at Cost (Average)],MATCH(CONCATENATE((SIP[[#This Row],[Frequency]]-1),SIP[[#This Row],[Investor ID]]),SIP[Unique Code],0),0)),0)</f>
        <v>0</v>
      </c>
      <c r="V500" s="74">
        <f>IF(SIP[[#This Row],[BO TRANSFER]]="YES",SIP[[#This Row],[Unit]],)</f>
        <v>0</v>
      </c>
      <c r="W500" s="74">
        <f>SUMIFS(SIP[[#Headers],[BO UNIT TRANSFER]]:SIP[[#This Row],[BO UNIT TRANSFER]],SIP[[#Headers],[Investor ID]]:SIP[[#This Row],[Investor ID]],SIP[[#This Row],[Investor ID]])</f>
        <v>0</v>
      </c>
    </row>
    <row r="501" spans="1:23" ht="15" customHeight="1">
      <c r="A501" s="46">
        <v>2024</v>
      </c>
      <c r="B501" s="46">
        <v>4</v>
      </c>
      <c r="C501" s="46">
        <v>26</v>
      </c>
      <c r="D501" s="65">
        <f>DATE(SIP[[#This Row],[Year]],SIP[[#This Row],[Month]],SIP[[#This Row],[Day]])</f>
        <v>45408</v>
      </c>
      <c r="E501" s="66" t="str" cm="1">
        <f t="array" ref="E501">INDEX(INVESTORS_LIST[INVESTOR NAME],MATCH(SIP[[#This Row],[Investor ID]],INVESTORS_LIST[INVESTOR CODE],0),)</f>
        <v>MAYA RANI SAHA</v>
      </c>
      <c r="F501" s="46" t="s">
        <v>224</v>
      </c>
      <c r="G501" s="46">
        <f>COUNTIF(SIP[[#Headers],[Investor ID]]:SIP[[#This Row],[Investor ID]],SIP[[#This Row],[Investor ID]])</f>
        <v>12</v>
      </c>
      <c r="H501" s="46" t="str">
        <f>CONCATENATE(SIP[[#This Row],[Frequency]],SIP[[#This Row],[Investor ID]])</f>
        <v>12A00088</v>
      </c>
      <c r="I501" s="46" t="str">
        <f>IF(SIP[[#This Row],[B/S]]="B","BUY",(IF(SIP[[#This Row],[B/S]]="S","SELL"," ")))</f>
        <v>BUY</v>
      </c>
      <c r="J501" s="46" t="s">
        <v>1229</v>
      </c>
      <c r="K501" s="69">
        <v>14000</v>
      </c>
      <c r="L501" s="69"/>
      <c r="M501" s="70">
        <f>SIP[[#This Row],[Amount]]/SIP[[#This Row],[Unit]]</f>
        <v>10.989010989010989</v>
      </c>
      <c r="N501" s="71">
        <f>SIP[[#This Row],[Unit Capital]]/10</f>
        <v>1274</v>
      </c>
      <c r="O501" s="72">
        <f>SUMIFS(SIP[[#Headers],[Unit]]:SIP[[#This Row],[Unit]],SIP[[#Headers],[Investor ID]]:SIP[[#This Row],[Investor ID]],SIP[[#This Row],[Investor ID]])</f>
        <v>16982</v>
      </c>
      <c r="P501" s="73">
        <v>12740</v>
      </c>
      <c r="Q501" s="74">
        <f>SIP[[#This Row],[Amount]]-SIP[[#This Row],[Unit Capital]]</f>
        <v>1260</v>
      </c>
      <c r="R50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10.717230008244023</v>
      </c>
      <c r="S501" s="68">
        <f t="shared" si="21"/>
        <v>14.224</v>
      </c>
      <c r="T5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1" s="74" cm="1">
        <f t="array" ref="U501">IF(SIP[[#This Row],[B/S]]="S",ABS(SIP[[#This Row],[Unit]])*(INDEX(SIP[NAV at Cost (Average)],MATCH(CONCATENATE((SIP[[#This Row],[Frequency]]-1),SIP[[#This Row],[Investor ID]]),SIP[Unique Code],0),0)),0)</f>
        <v>0</v>
      </c>
      <c r="V501" s="74">
        <f>IF(SIP[[#This Row],[BO TRANSFER]]="YES",SIP[[#This Row],[Unit]],)</f>
        <v>0</v>
      </c>
      <c r="W501" s="74">
        <f>SUMIFS(SIP[[#Headers],[BO UNIT TRANSFER]]:SIP[[#This Row],[BO UNIT TRANSFER]],SIP[[#Headers],[Investor ID]]:SIP[[#This Row],[Investor ID]],SIP[[#This Row],[Investor ID]])</f>
        <v>0</v>
      </c>
    </row>
    <row r="502" spans="1:23" ht="15" customHeight="1">
      <c r="A502" s="46">
        <v>2024</v>
      </c>
      <c r="B502" s="46">
        <v>4</v>
      </c>
      <c r="C502" s="46">
        <v>26</v>
      </c>
      <c r="D502" s="65">
        <f>DATE(SIP[[#This Row],[Year]],SIP[[#This Row],[Month]],SIP[[#This Row],[Day]])</f>
        <v>45408</v>
      </c>
      <c r="E502" s="66" t="str" cm="1">
        <f t="array" ref="E502">INDEX(INVESTORS_LIST[INVESTOR NAME],MATCH(SIP[[#This Row],[Investor ID]],INVESTORS_LIST[INVESTOR CODE],0),)</f>
        <v>MUHAMMAD SHOHIDUZZAMAN</v>
      </c>
      <c r="F502" s="46" t="s">
        <v>986</v>
      </c>
      <c r="G502" s="46">
        <f>COUNTIF(SIP[[#Headers],[Investor ID]]:SIP[[#This Row],[Investor ID]],SIP[[#This Row],[Investor ID]])</f>
        <v>6</v>
      </c>
      <c r="H502" s="46" t="str">
        <f>CONCATENATE(SIP[[#This Row],[Frequency]],SIP[[#This Row],[Investor ID]])</f>
        <v>6A00470</v>
      </c>
      <c r="I502" s="46" t="str">
        <f>IF(SIP[[#This Row],[B/S]]="B","BUY",(IF(SIP[[#This Row],[B/S]]="S","SELL"," ")))</f>
        <v>BUY</v>
      </c>
      <c r="J502" s="46" t="s">
        <v>1229</v>
      </c>
      <c r="K502" s="69">
        <v>10000</v>
      </c>
      <c r="L502" s="122" t="s">
        <v>1230</v>
      </c>
      <c r="M502" s="70">
        <f>SIP[[#This Row],[Amount]]/SIP[[#This Row],[Unit]]</f>
        <v>10.989010989010989</v>
      </c>
      <c r="N502" s="71">
        <f>SIP[[#This Row],[Unit Capital]]/10</f>
        <v>910</v>
      </c>
      <c r="O502" s="72">
        <f>SUMIFS(SIP[[#Headers],[Unit]]:SIP[[#This Row],[Unit]],SIP[[#Headers],[Investor ID]]:SIP[[#This Row],[Investor ID]],SIP[[#This Row],[Investor ID]])</f>
        <v>5566</v>
      </c>
      <c r="P502" s="73">
        <v>9100</v>
      </c>
      <c r="Q502" s="74">
        <f>SIP[[#This Row],[Amount]]-SIP[[#This Row],[Unit Capital]]</f>
        <v>900</v>
      </c>
      <c r="R50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10.779734099892202</v>
      </c>
      <c r="S502" s="68">
        <f t="shared" si="21"/>
        <v>14.224</v>
      </c>
      <c r="T5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2" s="74" cm="1">
        <f t="array" ref="U502">IF(SIP[[#This Row],[B/S]]="S",ABS(SIP[[#This Row],[Unit]])*(INDEX(SIP[NAV at Cost (Average)],MATCH(CONCATENATE((SIP[[#This Row],[Frequency]]-1),SIP[[#This Row],[Investor ID]]),SIP[Unique Code],0),0)),0)</f>
        <v>0</v>
      </c>
      <c r="V502" s="74">
        <f>IF(SIP[[#This Row],[BO TRANSFER]]="YES",SIP[[#This Row],[Unit]],)</f>
        <v>910</v>
      </c>
      <c r="W502" s="74">
        <f>SUMIFS(SIP[[#Headers],[BO UNIT TRANSFER]]:SIP[[#This Row],[BO UNIT TRANSFER]],SIP[[#Headers],[Investor ID]]:SIP[[#This Row],[Investor ID]],SIP[[#This Row],[Investor ID]])</f>
        <v>5566</v>
      </c>
    </row>
    <row r="503" spans="1:23" ht="15" customHeight="1">
      <c r="A503" s="46">
        <v>2024</v>
      </c>
      <c r="B503" s="46">
        <v>4</v>
      </c>
      <c r="C503" s="46">
        <v>26</v>
      </c>
      <c r="D503" s="65">
        <f>DATE(SIP[[#This Row],[Year]],SIP[[#This Row],[Month]],SIP[[#This Row],[Day]])</f>
        <v>45408</v>
      </c>
      <c r="E503" s="66" t="str" cm="1">
        <f t="array" ref="E503">INDEX(INVESTORS_LIST[INVESTOR NAME],MATCH(SIP[[#This Row],[Investor ID]],INVESTORS_LIST[INVESTOR CODE],0),)</f>
        <v>KHALED HOSSAIN</v>
      </c>
      <c r="F503" s="46" t="s">
        <v>1050</v>
      </c>
      <c r="G503" s="46">
        <f>COUNTIF(SIP[[#Headers],[Investor ID]]:SIP[[#This Row],[Investor ID]],SIP[[#This Row],[Investor ID]])</f>
        <v>16</v>
      </c>
      <c r="H503" s="46" t="str">
        <f>CONCATENATE(SIP[[#This Row],[Frequency]],SIP[[#This Row],[Investor ID]])</f>
        <v>16A00502</v>
      </c>
      <c r="I503" s="46" t="str">
        <f>IF(SIP[[#This Row],[B/S]]="B","BUY",(IF(SIP[[#This Row],[B/S]]="S","SELL"," ")))</f>
        <v>BUY</v>
      </c>
      <c r="J503" s="46" t="s">
        <v>1229</v>
      </c>
      <c r="K503" s="69">
        <v>10000</v>
      </c>
      <c r="L503" s="69"/>
      <c r="M503" s="70">
        <f>SIP[[#This Row],[Amount]]/SIP[[#This Row],[Unit]]</f>
        <v>10.989010989010989</v>
      </c>
      <c r="N503" s="71">
        <f>SIP[[#This Row],[Unit Capital]]/10</f>
        <v>910</v>
      </c>
      <c r="O503" s="72">
        <f>SUMIFS(SIP[[#Headers],[Unit]]:SIP[[#This Row],[Unit]],SIP[[#Headers],[Investor ID]]:SIP[[#This Row],[Investor ID]],SIP[[#This Row],[Investor ID]])</f>
        <v>17302</v>
      </c>
      <c r="P503" s="73">
        <v>9100</v>
      </c>
      <c r="Q503" s="74">
        <f>SIP[[#This Row],[Amount]]-SIP[[#This Row],[Unit Capital]]</f>
        <v>900</v>
      </c>
      <c r="R50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10.720430107332158</v>
      </c>
      <c r="S503" s="68">
        <f t="shared" si="21"/>
        <v>14.224</v>
      </c>
      <c r="T5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3" s="74" cm="1">
        <f t="array" ref="U503">IF(SIP[[#This Row],[B/S]]="S",ABS(SIP[[#This Row],[Unit]])*(INDEX(SIP[NAV at Cost (Average)],MATCH(CONCATENATE((SIP[[#This Row],[Frequency]]-1),SIP[[#This Row],[Investor ID]]),SIP[Unique Code],0),0)),0)</f>
        <v>0</v>
      </c>
      <c r="V503" s="74">
        <f>IF(SIP[[#This Row],[BO TRANSFER]]="YES",SIP[[#This Row],[Unit]],)</f>
        <v>0</v>
      </c>
      <c r="W503" s="74">
        <f>SUMIFS(SIP[[#Headers],[BO UNIT TRANSFER]]:SIP[[#This Row],[BO UNIT TRANSFER]],SIP[[#Headers],[Investor ID]]:SIP[[#This Row],[Investor ID]],SIP[[#This Row],[Investor ID]])</f>
        <v>0</v>
      </c>
    </row>
    <row r="504" spans="1:23" ht="15" customHeight="1">
      <c r="A504" s="46">
        <v>2024</v>
      </c>
      <c r="B504" s="46">
        <v>4</v>
      </c>
      <c r="C504" s="46">
        <v>26</v>
      </c>
      <c r="D504" s="65">
        <f>DATE(SIP[[#This Row],[Year]],SIP[[#This Row],[Month]],SIP[[#This Row],[Day]])</f>
        <v>45408</v>
      </c>
      <c r="E504" s="66" t="str" cm="1">
        <f t="array" ref="E504">INDEX(INVESTORS_LIST[INVESTOR NAME],MATCH(SIP[[#This Row],[Investor ID]],INVESTORS_LIST[INVESTOR CODE],0),)</f>
        <v>MOHAMMAD SAMIUL ALAM</v>
      </c>
      <c r="F504" s="46" t="s">
        <v>537</v>
      </c>
      <c r="G504" s="46">
        <f>COUNTIF(SIP[[#Headers],[Investor ID]]:SIP[[#This Row],[Investor ID]],SIP[[#This Row],[Investor ID]])</f>
        <v>9</v>
      </c>
      <c r="H504" s="46" t="str">
        <f>CONCATENATE(SIP[[#This Row],[Frequency]],SIP[[#This Row],[Investor ID]])</f>
        <v>9A00244</v>
      </c>
      <c r="I504" s="46" t="str">
        <f>IF(SIP[[#This Row],[B/S]]="B","BUY",(IF(SIP[[#This Row],[B/S]]="S","SELL"," ")))</f>
        <v>BUY</v>
      </c>
      <c r="J504" s="46" t="s">
        <v>1229</v>
      </c>
      <c r="K504" s="69">
        <v>20000</v>
      </c>
      <c r="L504" s="69"/>
      <c r="M504" s="70">
        <f>SIP[[#This Row],[Amount]]/SIP[[#This Row],[Unit]]</f>
        <v>10.989010989010989</v>
      </c>
      <c r="N504" s="71">
        <f>SIP[[#This Row],[Unit Capital]]/10</f>
        <v>1820</v>
      </c>
      <c r="O504" s="72">
        <f>SUMIFS(SIP[[#Headers],[Unit]]:SIP[[#This Row],[Unit]],SIP[[#Headers],[Investor ID]]:SIP[[#This Row],[Investor ID]],SIP[[#This Row],[Investor ID]])</f>
        <v>16856</v>
      </c>
      <c r="P504" s="73">
        <v>18200</v>
      </c>
      <c r="Q504" s="74">
        <f>SIP[[#This Row],[Amount]]-SIP[[#This Row],[Unit Capital]]</f>
        <v>1800</v>
      </c>
      <c r="R50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10.678690080683438</v>
      </c>
      <c r="S504" s="68">
        <f t="shared" si="21"/>
        <v>14.224</v>
      </c>
      <c r="T5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4" s="74" cm="1">
        <f t="array" ref="U504">IF(SIP[[#This Row],[B/S]]="S",ABS(SIP[[#This Row],[Unit]])*(INDEX(SIP[NAV at Cost (Average)],MATCH(CONCATENATE((SIP[[#This Row],[Frequency]]-1),SIP[[#This Row],[Investor ID]]),SIP[Unique Code],0),0)),0)</f>
        <v>0</v>
      </c>
      <c r="V504" s="74">
        <f>IF(SIP[[#This Row],[BO TRANSFER]]="YES",SIP[[#This Row],[Unit]],)</f>
        <v>0</v>
      </c>
      <c r="W504" s="74">
        <f>SUMIFS(SIP[[#Headers],[BO UNIT TRANSFER]]:SIP[[#This Row],[BO UNIT TRANSFER]],SIP[[#Headers],[Investor ID]]:SIP[[#This Row],[Investor ID]],SIP[[#This Row],[Investor ID]])</f>
        <v>0</v>
      </c>
    </row>
    <row r="505" spans="1:23" ht="15" customHeight="1">
      <c r="A505" s="46">
        <v>2024</v>
      </c>
      <c r="B505" s="46">
        <v>4</v>
      </c>
      <c r="C505" s="46">
        <v>26</v>
      </c>
      <c r="D505" s="65">
        <f>DATE(SIP[[#This Row],[Year]],SIP[[#This Row],[Month]],SIP[[#This Row],[Day]])</f>
        <v>45408</v>
      </c>
      <c r="E505" s="66" t="str" cm="1">
        <f t="array" ref="E505">INDEX(INVESTORS_LIST[INVESTOR NAME],MATCH(SIP[[#This Row],[Investor ID]],INVESTORS_LIST[INVESTOR CODE],0),)</f>
        <v>ADNAN RASHID</v>
      </c>
      <c r="F505" s="46" t="s">
        <v>252</v>
      </c>
      <c r="G505" s="46">
        <f>COUNTIF(SIP[[#Headers],[Investor ID]]:SIP[[#This Row],[Investor ID]],SIP[[#This Row],[Investor ID]])</f>
        <v>8</v>
      </c>
      <c r="H505" s="46" t="str">
        <f>CONCATENATE(SIP[[#This Row],[Frequency]],SIP[[#This Row],[Investor ID]])</f>
        <v>8A00102</v>
      </c>
      <c r="I505" s="46" t="str">
        <f>IF(SIP[[#This Row],[B/S]]="B","BUY",(IF(SIP[[#This Row],[B/S]]="S","SELL"," ")))</f>
        <v>BUY</v>
      </c>
      <c r="J505" s="46" t="s">
        <v>1229</v>
      </c>
      <c r="K505" s="69">
        <v>30000</v>
      </c>
      <c r="L505" s="69"/>
      <c r="M505" s="70">
        <f>SIP[[#This Row],[Amount]]/SIP[[#This Row],[Unit]]</f>
        <v>10.989010989010989</v>
      </c>
      <c r="N505" s="71">
        <f>SIP[[#This Row],[Unit Capital]]/10</f>
        <v>2730</v>
      </c>
      <c r="O505" s="72">
        <f>SUMIFS(SIP[[#Headers],[Unit]]:SIP[[#This Row],[Unit]],SIP[[#Headers],[Investor ID]]:SIP[[#This Row],[Investor ID]],SIP[[#This Row],[Investor ID]])</f>
        <v>22405</v>
      </c>
      <c r="P505" s="73">
        <v>27300</v>
      </c>
      <c r="Q505" s="74">
        <f>SIP[[#This Row],[Amount]]-SIP[[#This Row],[Unit Capital]]</f>
        <v>2700</v>
      </c>
      <c r="R50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10.711894666369115</v>
      </c>
      <c r="S505" s="68">
        <f t="shared" si="21"/>
        <v>14.224</v>
      </c>
      <c r="T5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5" s="74" cm="1">
        <f t="array" ref="U505">IF(SIP[[#This Row],[B/S]]="S",ABS(SIP[[#This Row],[Unit]])*(INDEX(SIP[NAV at Cost (Average)],MATCH(CONCATENATE((SIP[[#This Row],[Frequency]]-1),SIP[[#This Row],[Investor ID]]),SIP[Unique Code],0),0)),0)</f>
        <v>0</v>
      </c>
      <c r="V505" s="74">
        <f>IF(SIP[[#This Row],[BO TRANSFER]]="YES",SIP[[#This Row],[Unit]],)</f>
        <v>0</v>
      </c>
      <c r="W505" s="74">
        <f>SUMIFS(SIP[[#Headers],[BO UNIT TRANSFER]]:SIP[[#This Row],[BO UNIT TRANSFER]],SIP[[#Headers],[Investor ID]]:SIP[[#This Row],[Investor ID]],SIP[[#This Row],[Investor ID]])</f>
        <v>0</v>
      </c>
    </row>
    <row r="506" spans="1:23" ht="15" customHeight="1">
      <c r="A506" s="46">
        <v>2024</v>
      </c>
      <c r="B506" s="46">
        <v>4</v>
      </c>
      <c r="C506" s="46">
        <v>26</v>
      </c>
      <c r="D506" s="65">
        <f>DATE(SIP[[#This Row],[Year]],SIP[[#This Row],[Month]],SIP[[#This Row],[Day]])</f>
        <v>45408</v>
      </c>
      <c r="E506" s="66" t="str" cm="1">
        <f t="array" ref="E506">INDEX(INVESTORS_LIST[INVESTOR NAME],MATCH(SIP[[#This Row],[Investor ID]],INVESTORS_LIST[INVESTOR CODE],0),)</f>
        <v>MRINMOY GHOSH</v>
      </c>
      <c r="F506" s="46" t="s">
        <v>69</v>
      </c>
      <c r="G506" s="46">
        <f>COUNTIF(SIP[[#Headers],[Investor ID]]:SIP[[#This Row],[Investor ID]],SIP[[#This Row],[Investor ID]])</f>
        <v>8</v>
      </c>
      <c r="H506" s="46" t="str">
        <f>CONCATENATE(SIP[[#This Row],[Frequency]],SIP[[#This Row],[Investor ID]])</f>
        <v>8A00012</v>
      </c>
      <c r="I506" s="46" t="str">
        <f>IF(SIP[[#This Row],[B/S]]="B","BUY",(IF(SIP[[#This Row],[B/S]]="S","SELL"," ")))</f>
        <v>BUY</v>
      </c>
      <c r="J506" s="46" t="s">
        <v>1229</v>
      </c>
      <c r="K506" s="69">
        <v>10000</v>
      </c>
      <c r="L506" s="69"/>
      <c r="M506" s="70">
        <f>SIP[[#This Row],[Amount]]/SIP[[#This Row],[Unit]]</f>
        <v>10.989010989010989</v>
      </c>
      <c r="N506" s="71">
        <f>SIP[[#This Row],[Unit Capital]]/10</f>
        <v>910</v>
      </c>
      <c r="O506" s="72">
        <f>SUMIFS(SIP[[#Headers],[Unit]]:SIP[[#This Row],[Unit]],SIP[[#Headers],[Investor ID]]:SIP[[#This Row],[Investor ID]],SIP[[#This Row],[Investor ID]])</f>
        <v>7469</v>
      </c>
      <c r="P506" s="73">
        <v>9100</v>
      </c>
      <c r="Q506" s="74">
        <f>SIP[[#This Row],[Amount]]-SIP[[#This Row],[Unit Capital]]</f>
        <v>900</v>
      </c>
      <c r="R50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10.710938545990093</v>
      </c>
      <c r="S506" s="68">
        <f t="shared" si="21"/>
        <v>14.224</v>
      </c>
      <c r="T5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6" s="74" cm="1">
        <f t="array" ref="U506">IF(SIP[[#This Row],[B/S]]="S",ABS(SIP[[#This Row],[Unit]])*(INDEX(SIP[NAV at Cost (Average)],MATCH(CONCATENATE((SIP[[#This Row],[Frequency]]-1),SIP[[#This Row],[Investor ID]]),SIP[Unique Code],0),0)),0)</f>
        <v>0</v>
      </c>
      <c r="V506" s="74">
        <f>IF(SIP[[#This Row],[BO TRANSFER]]="YES",SIP[[#This Row],[Unit]],)</f>
        <v>0</v>
      </c>
      <c r="W506" s="74">
        <f>SUMIFS(SIP[[#Headers],[BO UNIT TRANSFER]]:SIP[[#This Row],[BO UNIT TRANSFER]],SIP[[#Headers],[Investor ID]]:SIP[[#This Row],[Investor ID]],SIP[[#This Row],[Investor ID]])</f>
        <v>0</v>
      </c>
    </row>
    <row r="507" spans="1:23" ht="15" customHeight="1">
      <c r="A507" s="46">
        <v>2024</v>
      </c>
      <c r="B507" s="46">
        <v>4</v>
      </c>
      <c r="C507" s="46">
        <v>26</v>
      </c>
      <c r="D507" s="65">
        <f>DATE(SIP[[#This Row],[Year]],SIP[[#This Row],[Month]],SIP[[#This Row],[Day]])</f>
        <v>45408</v>
      </c>
      <c r="E507" s="66" t="str" cm="1">
        <f t="array" ref="E507">INDEX(INVESTORS_LIST[INVESTOR NAME],MATCH(SIP[[#This Row],[Investor ID]],INVESTORS_LIST[INVESTOR CODE],0),)</f>
        <v>MD ABDULLAH-AL- MAMUN</v>
      </c>
      <c r="F507" s="46" t="s">
        <v>533</v>
      </c>
      <c r="G507" s="46">
        <f>COUNTIF(SIP[[#Headers],[Investor ID]]:SIP[[#This Row],[Investor ID]],SIP[[#This Row],[Investor ID]])</f>
        <v>7</v>
      </c>
      <c r="H507" s="46" t="str">
        <f>CONCATENATE(SIP[[#This Row],[Frequency]],SIP[[#This Row],[Investor ID]])</f>
        <v>7A00242</v>
      </c>
      <c r="I507" s="46" t="str">
        <f>IF(SIP[[#This Row],[B/S]]="B","BUY",(IF(SIP[[#This Row],[B/S]]="S","SELL"," ")))</f>
        <v>BUY</v>
      </c>
      <c r="J507" s="46" t="s">
        <v>1229</v>
      </c>
      <c r="K507" s="69">
        <v>15000</v>
      </c>
      <c r="L507" s="69"/>
      <c r="M507" s="70">
        <f>SIP[[#This Row],[Amount]]/SIP[[#This Row],[Unit]]</f>
        <v>10.989010989010989</v>
      </c>
      <c r="N507" s="71">
        <f>SIP[[#This Row],[Unit Capital]]/10</f>
        <v>1365</v>
      </c>
      <c r="O507" s="72">
        <f>SUMIFS(SIP[[#Headers],[Unit]]:SIP[[#This Row],[Unit]],SIP[[#Headers],[Investor ID]]:SIP[[#This Row],[Investor ID]],SIP[[#This Row],[Investor ID]])</f>
        <v>9771</v>
      </c>
      <c r="P507" s="73">
        <v>13650</v>
      </c>
      <c r="Q507" s="74">
        <f>SIP[[#This Row],[Amount]]-SIP[[#This Row],[Unit Capital]]</f>
        <v>1350</v>
      </c>
      <c r="R50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10.746085354620819</v>
      </c>
      <c r="S507" s="68">
        <f t="shared" si="21"/>
        <v>14.224</v>
      </c>
      <c r="T5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7" s="74" cm="1">
        <f t="array" ref="U507">IF(SIP[[#This Row],[B/S]]="S",ABS(SIP[[#This Row],[Unit]])*(INDEX(SIP[NAV at Cost (Average)],MATCH(CONCATENATE((SIP[[#This Row],[Frequency]]-1),SIP[[#This Row],[Investor ID]]),SIP[Unique Code],0),0)),0)</f>
        <v>0</v>
      </c>
      <c r="V507" s="74">
        <f>IF(SIP[[#This Row],[BO TRANSFER]]="YES",SIP[[#This Row],[Unit]],)</f>
        <v>0</v>
      </c>
      <c r="W507" s="74">
        <f>SUMIFS(SIP[[#Headers],[BO UNIT TRANSFER]]:SIP[[#This Row],[BO UNIT TRANSFER]],SIP[[#Headers],[Investor ID]]:SIP[[#This Row],[Investor ID]],SIP[[#This Row],[Investor ID]])</f>
        <v>0</v>
      </c>
    </row>
    <row r="508" spans="1:23" ht="15" customHeight="1">
      <c r="A508" s="46">
        <v>2024</v>
      </c>
      <c r="B508" s="46">
        <v>4</v>
      </c>
      <c r="C508" s="46">
        <v>26</v>
      </c>
      <c r="D508" s="65">
        <f>DATE(SIP[[#This Row],[Year]],SIP[[#This Row],[Month]],SIP[[#This Row],[Day]])</f>
        <v>45408</v>
      </c>
      <c r="E508" s="66" t="str" cm="1">
        <f t="array" ref="E508">INDEX(INVESTORS_LIST[INVESTOR NAME],MATCH(SIP[[#This Row],[Investor ID]],INVESTORS_LIST[INVESTOR CODE],0),)</f>
        <v>MAYA RANI SAHA</v>
      </c>
      <c r="F508" s="46" t="s">
        <v>224</v>
      </c>
      <c r="G508" s="46">
        <f>COUNTIF(SIP[[#Headers],[Investor ID]]:SIP[[#This Row],[Investor ID]],SIP[[#This Row],[Investor ID]])</f>
        <v>13</v>
      </c>
      <c r="H508" s="46" t="str">
        <f>CONCATENATE(SIP[[#This Row],[Frequency]],SIP[[#This Row],[Investor ID]])</f>
        <v>13A00088</v>
      </c>
      <c r="I508" s="46" t="str">
        <f>IF(SIP[[#This Row],[B/S]]="B","BUY",(IF(SIP[[#This Row],[B/S]]="S","SELL"," ")))</f>
        <v>BUY</v>
      </c>
      <c r="J508" s="46" t="s">
        <v>1229</v>
      </c>
      <c r="K508" s="69">
        <v>20000</v>
      </c>
      <c r="L508" s="69"/>
      <c r="M508" s="70">
        <f>SIP[[#This Row],[Amount]]/SIP[[#This Row],[Unit]]</f>
        <v>10.989010989010989</v>
      </c>
      <c r="N508" s="71">
        <f>SIP[[#This Row],[Unit Capital]]/10</f>
        <v>1820</v>
      </c>
      <c r="O508" s="72">
        <f>SUMIFS(SIP[[#Headers],[Unit]]:SIP[[#This Row],[Unit]],SIP[[#Headers],[Investor ID]]:SIP[[#This Row],[Investor ID]],SIP[[#This Row],[Investor ID]])</f>
        <v>18802</v>
      </c>
      <c r="P508" s="73">
        <v>18200</v>
      </c>
      <c r="Q508" s="74">
        <f>SIP[[#This Row],[Amount]]-SIP[[#This Row],[Unit Capital]]</f>
        <v>1800</v>
      </c>
      <c r="R50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10.743537921497712</v>
      </c>
      <c r="S508" s="68">
        <f t="shared" si="21"/>
        <v>14.224</v>
      </c>
      <c r="T5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8" s="74" cm="1">
        <f t="array" ref="U508">IF(SIP[[#This Row],[B/S]]="S",ABS(SIP[[#This Row],[Unit]])*(INDEX(SIP[NAV at Cost (Average)],MATCH(CONCATENATE((SIP[[#This Row],[Frequency]]-1),SIP[[#This Row],[Investor ID]]),SIP[Unique Code],0),0)),0)</f>
        <v>0</v>
      </c>
      <c r="V508" s="74">
        <f>IF(SIP[[#This Row],[BO TRANSFER]]="YES",SIP[[#This Row],[Unit]],)</f>
        <v>0</v>
      </c>
      <c r="W508" s="74">
        <f>SUMIFS(SIP[[#Headers],[BO UNIT TRANSFER]]:SIP[[#This Row],[BO UNIT TRANSFER]],SIP[[#Headers],[Investor ID]]:SIP[[#This Row],[Investor ID]],SIP[[#This Row],[Investor ID]])</f>
        <v>0</v>
      </c>
    </row>
    <row r="509" spans="1:23" ht="15" customHeight="1">
      <c r="A509" s="46">
        <v>2024</v>
      </c>
      <c r="B509" s="46">
        <v>4</v>
      </c>
      <c r="C509" s="46">
        <v>26</v>
      </c>
      <c r="D509" s="65">
        <f>DATE(SIP[[#This Row],[Year]],SIP[[#This Row],[Month]],SIP[[#This Row],[Day]])</f>
        <v>45408</v>
      </c>
      <c r="E509" s="66" t="str" cm="1">
        <f t="array" ref="E509">INDEX(INVESTORS_LIST[INVESTOR NAME],MATCH(SIP[[#This Row],[Investor ID]],INVESTORS_LIST[INVESTOR CODE],0),)</f>
        <v>KHALED HOSSAIN</v>
      </c>
      <c r="F509" s="46" t="s">
        <v>1050</v>
      </c>
      <c r="G509" s="46">
        <f>COUNTIF(SIP[[#Headers],[Investor ID]]:SIP[[#This Row],[Investor ID]],SIP[[#This Row],[Investor ID]])</f>
        <v>17</v>
      </c>
      <c r="H509" s="46" t="str">
        <f>CONCATENATE(SIP[[#This Row],[Frequency]],SIP[[#This Row],[Investor ID]])</f>
        <v>17A00502</v>
      </c>
      <c r="I509" s="46" t="str">
        <f>IF(SIP[[#This Row],[B/S]]="B","BUY",(IF(SIP[[#This Row],[B/S]]="S","SELL"," ")))</f>
        <v>BUY</v>
      </c>
      <c r="J509" s="46" t="s">
        <v>1229</v>
      </c>
      <c r="K509" s="69">
        <v>25000</v>
      </c>
      <c r="L509" s="69"/>
      <c r="M509" s="70">
        <f>SIP[[#This Row],[Amount]]/SIP[[#This Row],[Unit]]</f>
        <v>10.989010989010989</v>
      </c>
      <c r="N509" s="71">
        <f>SIP[[#This Row],[Unit Capital]]/10</f>
        <v>2275</v>
      </c>
      <c r="O509" s="72">
        <f>SUMIFS(SIP[[#Headers],[Unit]]:SIP[[#This Row],[Unit]],SIP[[#Headers],[Investor ID]]:SIP[[#This Row],[Investor ID]],SIP[[#This Row],[Investor ID]])</f>
        <v>19577</v>
      </c>
      <c r="P509" s="73">
        <v>22750</v>
      </c>
      <c r="Q509" s="74">
        <f>SIP[[#This Row],[Amount]]-SIP[[#This Row],[Unit Capital]]</f>
        <v>2250</v>
      </c>
      <c r="R50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10.751641299333963</v>
      </c>
      <c r="S509" s="68">
        <f t="shared" si="21"/>
        <v>14.224</v>
      </c>
      <c r="T5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9" s="74" cm="1">
        <f t="array" ref="U509">IF(SIP[[#This Row],[B/S]]="S",ABS(SIP[[#This Row],[Unit]])*(INDEX(SIP[NAV at Cost (Average)],MATCH(CONCATENATE((SIP[[#This Row],[Frequency]]-1),SIP[[#This Row],[Investor ID]]),SIP[Unique Code],0),0)),0)</f>
        <v>0</v>
      </c>
      <c r="V509" s="74">
        <f>IF(SIP[[#This Row],[BO TRANSFER]]="YES",SIP[[#This Row],[Unit]],)</f>
        <v>0</v>
      </c>
      <c r="W509" s="74">
        <f>SUMIFS(SIP[[#Headers],[BO UNIT TRANSFER]]:SIP[[#This Row],[BO UNIT TRANSFER]],SIP[[#Headers],[Investor ID]]:SIP[[#This Row],[Investor ID]],SIP[[#This Row],[Investor ID]])</f>
        <v>0</v>
      </c>
    </row>
    <row r="510" spans="1:23" ht="15" customHeight="1">
      <c r="A510" s="46">
        <v>2024</v>
      </c>
      <c r="B510" s="46">
        <v>4</v>
      </c>
      <c r="C510" s="46">
        <v>26</v>
      </c>
      <c r="D510" s="65">
        <f>DATE(SIP[[#This Row],[Year]],SIP[[#This Row],[Month]],SIP[[#This Row],[Day]])</f>
        <v>45408</v>
      </c>
      <c r="E510" s="66" t="str" cm="1">
        <f t="array" ref="E510">INDEX(INVESTORS_LIST[INVESTOR NAME],MATCH(SIP[[#This Row],[Investor ID]],INVESTORS_LIST[INVESTOR CODE],0),)</f>
        <v>MOHAMMAD HASAN IMAM</v>
      </c>
      <c r="F510" s="46" t="s">
        <v>1122</v>
      </c>
      <c r="G510" s="46">
        <f>COUNTIF(SIP[[#Headers],[Investor ID]]:SIP[[#This Row],[Investor ID]],SIP[[#This Row],[Investor ID]])</f>
        <v>1</v>
      </c>
      <c r="H510" s="46" t="str">
        <f>CONCATENATE(SIP[[#This Row],[Frequency]],SIP[[#This Row],[Investor ID]])</f>
        <v>1A00536</v>
      </c>
      <c r="I510" s="46" t="str">
        <f>IF(SIP[[#This Row],[B/S]]="B","BUY",(IF(SIP[[#This Row],[B/S]]="S","SELL"," ")))</f>
        <v>BUY</v>
      </c>
      <c r="J510" s="46" t="s">
        <v>1229</v>
      </c>
      <c r="K510" s="69">
        <v>5000</v>
      </c>
      <c r="L510" s="69"/>
      <c r="M510" s="70">
        <f>SIP[[#This Row],[Amount]]/SIP[[#This Row],[Unit]]</f>
        <v>10.989010989010989</v>
      </c>
      <c r="N510" s="71">
        <f>SIP[[#This Row],[Unit Capital]]/10</f>
        <v>455</v>
      </c>
      <c r="O510" s="72">
        <f>SUMIFS(SIP[[#Headers],[Unit]]:SIP[[#This Row],[Unit]],SIP[[#Headers],[Investor ID]]:SIP[[#This Row],[Investor ID]],SIP[[#This Row],[Investor ID]])</f>
        <v>455</v>
      </c>
      <c r="P510" s="73">
        <v>4550</v>
      </c>
      <c r="Q510" s="74">
        <f>SIP[[#This Row],[Amount]]-SIP[[#This Row],[Unit Capital]]</f>
        <v>450</v>
      </c>
      <c r="R51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10.989010989010989</v>
      </c>
      <c r="S510" s="68">
        <f t="shared" si="21"/>
        <v>14.224</v>
      </c>
      <c r="T5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0" s="74" cm="1">
        <f t="array" ref="U510">IF(SIP[[#This Row],[B/S]]="S",ABS(SIP[[#This Row],[Unit]])*(INDEX(SIP[NAV at Cost (Average)],MATCH(CONCATENATE((SIP[[#This Row],[Frequency]]-1),SIP[[#This Row],[Investor ID]]),SIP[Unique Code],0),0)),0)</f>
        <v>0</v>
      </c>
      <c r="V510" s="74">
        <f>IF(SIP[[#This Row],[BO TRANSFER]]="YES",SIP[[#This Row],[Unit]],)</f>
        <v>0</v>
      </c>
      <c r="W510" s="74">
        <f>SUMIFS(SIP[[#Headers],[BO UNIT TRANSFER]]:SIP[[#This Row],[BO UNIT TRANSFER]],SIP[[#Headers],[Investor ID]]:SIP[[#This Row],[Investor ID]],SIP[[#This Row],[Investor ID]])</f>
        <v>0</v>
      </c>
    </row>
    <row r="511" spans="1:23" ht="15" customHeight="1">
      <c r="A511" s="46">
        <v>2024</v>
      </c>
      <c r="B511" s="46">
        <v>4</v>
      </c>
      <c r="C511" s="46">
        <v>29</v>
      </c>
      <c r="D511" s="65">
        <f>DATE(SIP[[#This Row],[Year]],SIP[[#This Row],[Month]],SIP[[#This Row],[Day]])</f>
        <v>45411</v>
      </c>
      <c r="E511" s="66" t="str" cm="1">
        <f t="array" ref="E511">INDEX(INVESTORS_LIST[INVESTOR NAME],MATCH(SIP[[#This Row],[Investor ID]],INVESTORS_LIST[INVESTOR CODE],0),)</f>
        <v>MOHAMMED ALI XAHANGIR</v>
      </c>
      <c r="F511" s="46" t="s">
        <v>312</v>
      </c>
      <c r="G511" s="46">
        <f>COUNTIF(SIP[[#Headers],[Investor ID]]:SIP[[#This Row],[Investor ID]],SIP[[#This Row],[Investor ID]])</f>
        <v>4</v>
      </c>
      <c r="H511" s="46" t="str">
        <f>CONCATENATE(SIP[[#This Row],[Frequency]],SIP[[#This Row],[Investor ID]])</f>
        <v>4A00132</v>
      </c>
      <c r="I511" s="46" t="str">
        <f>IF(SIP[[#This Row],[B/S]]="B","BUY",(IF(SIP[[#This Row],[B/S]]="S","SELL"," ")))</f>
        <v>SELL</v>
      </c>
      <c r="J511" s="46" t="s">
        <v>1231</v>
      </c>
      <c r="K511" s="286">
        <v>-20000</v>
      </c>
      <c r="L511" s="183"/>
      <c r="M511" s="123">
        <f>SIP[[#This Row],[Amount]]/SIP[[#This Row],[Unit]]</f>
        <v>10.989010989010989</v>
      </c>
      <c r="N511" s="71">
        <f>SIP[[#This Row],[Unit Capital]]/10</f>
        <v>-1820</v>
      </c>
      <c r="O511" s="71">
        <f>SUMIFS(SIP[[#Headers],[Unit]]:SIP[[#This Row],[Unit]],SIP[[#Headers],[Investor ID]]:SIP[[#This Row],[Investor ID]],SIP[[#This Row],[Investor ID]])</f>
        <v>3794</v>
      </c>
      <c r="P511" s="73">
        <v>-18200</v>
      </c>
      <c r="Q511" s="74">
        <f>SIP[[#This Row],[Amount]]-SIP[[#This Row],[Unit Capital]]</f>
        <v>-1800</v>
      </c>
      <c r="R5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10.687566797292483</v>
      </c>
      <c r="S511" s="68">
        <f>NAV_MKT</f>
        <v>14.224</v>
      </c>
      <c r="T511" s="74">
        <f>IF(SIP[[#This Row],[B/S]]="B",0,ABS(SIP[[#This Row],[Unit]])*(SIP[[#This Row],[NAV (Strike Rate)]]-INDEX(SIP[NAV at Cost (Average)],MATCH(CONCATENATE(SIP[[#This Row],[Frequency]]-1,SIP[[#This Row],[Investor ID]]),SIP[Unique Code],0),)))</f>
        <v>548.62842892768094</v>
      </c>
      <c r="U511" s="74" cm="1">
        <f t="array" ref="U511">IF(SIP[[#This Row],[B/S]]="S",ABS(SIP[[#This Row],[Unit]])*(INDEX(SIP[NAV at Cost (Average)],MATCH(CONCATENATE((SIP[[#This Row],[Frequency]]-1),SIP[[#This Row],[Investor ID]]),SIP[Unique Code],0),0)),0)</f>
        <v>19451.371571072319</v>
      </c>
      <c r="V511" s="74">
        <f>IF(SIP[[#This Row],[BO TRANSFER]]="YES",SIP[[#This Row],[Unit]],)</f>
        <v>0</v>
      </c>
      <c r="W511" s="74">
        <f>SUMIFS(SIP[[#Headers],[BO UNIT TRANSFER]]:SIP[[#This Row],[BO UNIT TRANSFER]],SIP[[#Headers],[Investor ID]]:SIP[[#This Row],[Investor ID]],SIP[[#This Row],[Investor ID]])</f>
        <v>0</v>
      </c>
    </row>
    <row r="512" spans="1:23" ht="15" customHeight="1">
      <c r="A512" s="75">
        <v>2024</v>
      </c>
      <c r="B512" s="75">
        <v>1</v>
      </c>
      <c r="C512" s="75">
        <v>18</v>
      </c>
      <c r="D512" s="65">
        <f>DATE(SIP[[#This Row],[Year]],SIP[[#This Row],[Month]],SIP[[#This Row],[Day]])</f>
        <v>45309</v>
      </c>
      <c r="E512" s="66" t="str" cm="1">
        <f t="array" ref="E512">INDEX(INVESTORS_LIST[INVESTOR NAME],MATCH(SIP[[#This Row],[Investor ID]],INVESTORS_LIST[INVESTOR CODE],0),)</f>
        <v>MOHAMMED ALI XAHANGIR</v>
      </c>
      <c r="F512" s="83" t="s">
        <v>312</v>
      </c>
      <c r="G512" s="46">
        <f>COUNTIF(SIP[[#Headers],[Investor ID]]:SIP[[#This Row],[Investor ID]],SIP[[#This Row],[Investor ID]])</f>
        <v>5</v>
      </c>
      <c r="H512" s="46" t="str">
        <f>CONCATENATE(SIP[[#This Row],[Frequency]],SIP[[#This Row],[Investor ID]])</f>
        <v>5A00132</v>
      </c>
      <c r="I512" s="46" t="str">
        <f>IF(SIP[[#This Row],[B/S]]="B","BUY",(IF(SIP[[#This Row],[B/S]]="S","SELL"," ")))</f>
        <v>SELL</v>
      </c>
      <c r="J512" s="46" t="s">
        <v>1231</v>
      </c>
      <c r="K512" s="88">
        <v>-40656.5</v>
      </c>
      <c r="L512" s="69"/>
      <c r="M512" s="70">
        <f>SIP[[#This Row],[Amount]]/SIP[[#This Row],[Unit]]</f>
        <v>10.715998945703742</v>
      </c>
      <c r="N512" s="71">
        <f>SIP[[#This Row],[Unit Capital]]/10</f>
        <v>-3794</v>
      </c>
      <c r="O512" s="72">
        <f>SUMIFS(SIP[[#Headers],[Unit]]:SIP[[#This Row],[Unit]],SIP[[#Headers],[Investor ID]]:SIP[[#This Row],[Investor ID]],SIP[[#This Row],[Investor ID]])</f>
        <v>0</v>
      </c>
      <c r="P512" s="96">
        <v>-37940</v>
      </c>
      <c r="Q512" s="74">
        <f>SIP[[#This Row],[Amount]]-SIP[[#This Row],[Unit Capital]]</f>
        <v>-2716.5</v>
      </c>
      <c r="R51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512" s="68">
        <f t="shared" si="21"/>
        <v>14.224</v>
      </c>
      <c r="T512" s="74">
        <f>IF(SIP[[#This Row],[B/S]]="B",0,ABS(SIP[[#This Row],[Unit]])*(SIP[[#This Row],[NAV (Strike Rate)]]-INDEX(SIP[NAV at Cost (Average)],MATCH(CONCATENATE(SIP[[#This Row],[Frequency]]-1,SIP[[#This Row],[Investor ID]]),SIP[Unique Code],0),)))</f>
        <v>107.87157107231607</v>
      </c>
      <c r="U512" s="74" cm="1">
        <f t="array" ref="U512">IF(SIP[[#This Row],[B/S]]="S",ABS(SIP[[#This Row],[Unit]])*(INDEX(SIP[NAV at Cost (Average)],MATCH(CONCATENATE((SIP[[#This Row],[Frequency]]-1),SIP[[#This Row],[Investor ID]]),SIP[Unique Code],0),0)),0)</f>
        <v>40548.628428927681</v>
      </c>
      <c r="V512" s="74">
        <f>IF(SIP[[#This Row],[BO TRANSFER]]="YES",SIP[[#This Row],[Unit]],)</f>
        <v>0</v>
      </c>
      <c r="W512" s="74">
        <f>SUMIFS(SIP[[#Headers],[BO UNIT TRANSFER]]:SIP[[#This Row],[BO UNIT TRANSFER]],SIP[[#Headers],[Investor ID]]:SIP[[#This Row],[Investor ID]],SIP[[#This Row],[Investor ID]])</f>
        <v>0</v>
      </c>
    </row>
    <row r="513" spans="1:23" ht="15" customHeight="1">
      <c r="A513" s="46">
        <v>2024</v>
      </c>
      <c r="B513" s="46">
        <v>5</v>
      </c>
      <c r="C513" s="46">
        <v>2</v>
      </c>
      <c r="D513" s="65">
        <f>DATE(SIP[[#This Row],[Year]],SIP[[#This Row],[Month]],SIP[[#This Row],[Day]])</f>
        <v>45414</v>
      </c>
      <c r="E513" s="66" t="str" cm="1">
        <f t="array" ref="E513">INDEX(INVESTORS_LIST[INVESTOR NAME],MATCH(SIP[[#This Row],[Investor ID]],INVESTORS_LIST[INVESTOR CODE],0),)</f>
        <v>ADNAN RASHID</v>
      </c>
      <c r="F513" s="46" t="s">
        <v>252</v>
      </c>
      <c r="G513" s="46">
        <f>COUNTIF(SIP[[#Headers],[Investor ID]]:SIP[[#This Row],[Investor ID]],SIP[[#This Row],[Investor ID]])</f>
        <v>9</v>
      </c>
      <c r="H513" s="46" t="str">
        <f>CONCATENATE(SIP[[#This Row],[Frequency]],SIP[[#This Row],[Investor ID]])</f>
        <v>9A00102</v>
      </c>
      <c r="I513" s="46" t="str">
        <f>IF(SIP[[#This Row],[B/S]]="B","BUY",(IF(SIP[[#This Row],[B/S]]="S","SELL"," ")))</f>
        <v>SELL</v>
      </c>
      <c r="J513" s="46" t="s">
        <v>1231</v>
      </c>
      <c r="K513" s="69">
        <v>-200000</v>
      </c>
      <c r="L513" s="69"/>
      <c r="M513" s="70">
        <f>SIP[[#This Row],[Amount]]/SIP[[#This Row],[Unit]]</f>
        <v>10.990822663076331</v>
      </c>
      <c r="N513" s="71">
        <f>SIP[[#This Row],[Unit Capital]]/10</f>
        <v>-18197</v>
      </c>
      <c r="O513" s="72">
        <f>SUMIFS(SIP[[#Headers],[Unit]]:SIP[[#This Row],[Unit]],SIP[[#Headers],[Investor ID]]:SIP[[#This Row],[Investor ID]],SIP[[#This Row],[Investor ID]])</f>
        <v>4208</v>
      </c>
      <c r="P513" s="73">
        <v>-181970</v>
      </c>
      <c r="Q513" s="74">
        <f>SIP[[#This Row],[Amount]]-SIP[[#This Row],[Unit Capital]]</f>
        <v>-18030</v>
      </c>
      <c r="R51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10.711894666369115</v>
      </c>
      <c r="S513" s="68">
        <f t="shared" si="21"/>
        <v>14.224</v>
      </c>
      <c r="T513" s="74">
        <f>IF(SIP[[#This Row],[B/S]]="B",0,ABS(SIP[[#This Row],[Unit]])*(SIP[[#This Row],[NAV (Strike Rate)]]-INDEX(SIP[NAV at Cost (Average)],MATCH(CONCATENATE(SIP[[#This Row],[Frequency]]-1,SIP[[#This Row],[Investor ID]]),SIP[Unique Code],0),)))</f>
        <v>5075.6527560812056</v>
      </c>
      <c r="U513" s="74" cm="1">
        <f t="array" ref="U513">IF(SIP[[#This Row],[B/S]]="S",ABS(SIP[[#This Row],[Unit]])*(INDEX(SIP[NAV at Cost (Average)],MATCH(CONCATENATE((SIP[[#This Row],[Frequency]]-1),SIP[[#This Row],[Investor ID]]),SIP[Unique Code],0),0)),0)</f>
        <v>194924.3472439188</v>
      </c>
      <c r="V513" s="74">
        <f>IF(SIP[[#This Row],[BO TRANSFER]]="YES",SIP[[#This Row],[Unit]],)</f>
        <v>0</v>
      </c>
      <c r="W513" s="74">
        <f>SUMIFS(SIP[[#Headers],[BO UNIT TRANSFER]]:SIP[[#This Row],[BO UNIT TRANSFER]],SIP[[#Headers],[Investor ID]]:SIP[[#This Row],[Investor ID]],SIP[[#This Row],[Investor ID]])</f>
        <v>0</v>
      </c>
    </row>
    <row r="514" spans="1:23" ht="15" customHeight="1">
      <c r="A514" s="46">
        <v>2024</v>
      </c>
      <c r="B514" s="46">
        <v>5</v>
      </c>
      <c r="C514" s="46">
        <v>5</v>
      </c>
      <c r="D514" s="65">
        <f>DATE(SIP[[#This Row],[Year]],SIP[[#This Row],[Month]],SIP[[#This Row],[Day]])</f>
        <v>45417</v>
      </c>
      <c r="E514" s="66" t="str" cm="1">
        <f t="array" ref="E514">INDEX(INVESTORS_LIST[INVESTOR NAME],MATCH(SIP[[#This Row],[Investor ID]],INVESTORS_LIST[INVESTOR CODE],0),)</f>
        <v>NANDINI SAHA</v>
      </c>
      <c r="F514" s="46" t="s">
        <v>242</v>
      </c>
      <c r="G514" s="46">
        <f>COUNTIF(SIP[[#Headers],[Investor ID]]:SIP[[#This Row],[Investor ID]],SIP[[#This Row],[Investor ID]])</f>
        <v>12</v>
      </c>
      <c r="H514" s="46" t="str">
        <f>CONCATENATE(SIP[[#This Row],[Frequency]],SIP[[#This Row],[Investor ID]])</f>
        <v>12A00097</v>
      </c>
      <c r="I514" s="46" t="str">
        <f>IF(SIP[[#This Row],[B/S]]="B","BUY",(IF(SIP[[#This Row],[B/S]]="S","SELL"," ")))</f>
        <v>BUY</v>
      </c>
      <c r="J514" s="46" t="s">
        <v>1229</v>
      </c>
      <c r="K514" s="69">
        <v>30000</v>
      </c>
      <c r="L514" s="69"/>
      <c r="M514" s="70">
        <f>SIP[[#This Row],[Amount]]/SIP[[#This Row],[Unit]]</f>
        <v>11.013215859030836</v>
      </c>
      <c r="N514" s="71">
        <f>SIP[[#This Row],[Unit Capital]]/10</f>
        <v>2724</v>
      </c>
      <c r="O514" s="72">
        <f>SUMIFS(SIP[[#Headers],[Unit]]:SIP[[#This Row],[Unit]],SIP[[#Headers],[Investor ID]]:SIP[[#This Row],[Investor ID]],SIP[[#This Row],[Investor ID]])</f>
        <v>34137</v>
      </c>
      <c r="P514" s="73">
        <v>27240</v>
      </c>
      <c r="Q514" s="74">
        <f>SIP[[#This Row],[Amount]]-SIP[[#This Row],[Unit Capital]]</f>
        <v>2760</v>
      </c>
      <c r="R51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10.54574215660427</v>
      </c>
      <c r="S514" s="68">
        <f t="shared" ref="S514:S526" si="22">NAV_MKT</f>
        <v>14.224</v>
      </c>
      <c r="T5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4" s="74" cm="1">
        <f t="array" ref="U514">IF(SIP[[#This Row],[B/S]]="S",ABS(SIP[[#This Row],[Unit]])*(INDEX(SIP[NAV at Cost (Average)],MATCH(CONCATENATE((SIP[[#This Row],[Frequency]]-1),SIP[[#This Row],[Investor ID]]),SIP[Unique Code],0),0)),0)</f>
        <v>0</v>
      </c>
      <c r="V514" s="74">
        <f>IF(SIP[[#This Row],[BO TRANSFER]]="YES",SIP[[#This Row],[Unit]],)</f>
        <v>0</v>
      </c>
      <c r="W514" s="74">
        <f>SUMIFS(SIP[[#Headers],[BO UNIT TRANSFER]]:SIP[[#This Row],[BO UNIT TRANSFER]],SIP[[#Headers],[Investor ID]]:SIP[[#This Row],[Investor ID]],SIP[[#This Row],[Investor ID]])</f>
        <v>0</v>
      </c>
    </row>
    <row r="515" spans="1:23" ht="15" customHeight="1">
      <c r="A515" s="46">
        <v>2024</v>
      </c>
      <c r="B515" s="46">
        <v>5</v>
      </c>
      <c r="C515" s="46">
        <v>5</v>
      </c>
      <c r="D515" s="65">
        <f>DATE(SIP[[#This Row],[Year]],SIP[[#This Row],[Month]],SIP[[#This Row],[Day]])</f>
        <v>45417</v>
      </c>
      <c r="E515" s="66" t="str" cm="1">
        <f t="array" ref="E515">INDEX(INVESTORS_LIST[INVESTOR NAME],MATCH(SIP[[#This Row],[Investor ID]],INVESTORS_LIST[INVESTOR CODE],0),)</f>
        <v>SHANTA PAUL</v>
      </c>
      <c r="F515" s="46" t="s">
        <v>544</v>
      </c>
      <c r="G515" s="46">
        <f>COUNTIF(SIP[[#Headers],[Investor ID]]:SIP[[#This Row],[Investor ID]],SIP[[#This Row],[Investor ID]])</f>
        <v>14</v>
      </c>
      <c r="H515" s="46" t="str">
        <f>CONCATENATE(SIP[[#This Row],[Frequency]],SIP[[#This Row],[Investor ID]])</f>
        <v>14A00247</v>
      </c>
      <c r="I515" s="46" t="str">
        <f>IF(SIP[[#This Row],[B/S]]="B","BUY",(IF(SIP[[#This Row],[B/S]]="S","SELL"," ")))</f>
        <v>BUY</v>
      </c>
      <c r="J515" s="46" t="s">
        <v>1229</v>
      </c>
      <c r="K515" s="69">
        <v>20000</v>
      </c>
      <c r="L515" s="69"/>
      <c r="M515" s="70">
        <f>SIP[[#This Row],[Amount]]/SIP[[#This Row],[Unit]]</f>
        <v>11.013215859030836</v>
      </c>
      <c r="N515" s="71">
        <f>SIP[[#This Row],[Unit Capital]]/10</f>
        <v>1816</v>
      </c>
      <c r="O515" s="72">
        <f>SUMIFS(SIP[[#Headers],[Unit]]:SIP[[#This Row],[Unit]],SIP[[#Headers],[Investor ID]]:SIP[[#This Row],[Investor ID]],SIP[[#This Row],[Investor ID]])</f>
        <v>26609</v>
      </c>
      <c r="P515" s="73">
        <v>18160</v>
      </c>
      <c r="Q515" s="74">
        <f>SIP[[#This Row],[Amount]]-SIP[[#This Row],[Unit Capital]]</f>
        <v>1840</v>
      </c>
      <c r="R51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10.522755458679395</v>
      </c>
      <c r="S515" s="68">
        <f t="shared" si="22"/>
        <v>14.224</v>
      </c>
      <c r="T5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5" s="74" cm="1">
        <f t="array" ref="U515">IF(SIP[[#This Row],[B/S]]="S",ABS(SIP[[#This Row],[Unit]])*(INDEX(SIP[NAV at Cost (Average)],MATCH(CONCATENATE((SIP[[#This Row],[Frequency]]-1),SIP[[#This Row],[Investor ID]]),SIP[Unique Code],0),0)),0)</f>
        <v>0</v>
      </c>
      <c r="V515" s="74">
        <f>IF(SIP[[#This Row],[BO TRANSFER]]="YES",SIP[[#This Row],[Unit]],)</f>
        <v>0</v>
      </c>
      <c r="W515" s="74">
        <f>SUMIFS(SIP[[#Headers],[BO UNIT TRANSFER]]:SIP[[#This Row],[BO UNIT TRANSFER]],SIP[[#Headers],[Investor ID]]:SIP[[#This Row],[Investor ID]],SIP[[#This Row],[Investor ID]])</f>
        <v>0</v>
      </c>
    </row>
    <row r="516" spans="1:23" ht="15" customHeight="1">
      <c r="A516" s="46">
        <v>2024</v>
      </c>
      <c r="B516" s="46">
        <v>5</v>
      </c>
      <c r="C516" s="46">
        <v>5</v>
      </c>
      <c r="D516" s="65">
        <f>DATE(SIP[[#This Row],[Year]],SIP[[#This Row],[Month]],SIP[[#This Row],[Day]])</f>
        <v>45417</v>
      </c>
      <c r="E516" s="66" t="str" cm="1">
        <f t="array" ref="E516">INDEX(INVESTORS_LIST[INVESTOR NAME],MATCH(SIP[[#This Row],[Investor ID]],INVESTORS_LIST[INVESTOR CODE],0),)</f>
        <v>MD. MONIRUL ISLAM</v>
      </c>
      <c r="F516" s="46" t="s">
        <v>996</v>
      </c>
      <c r="G516" s="46">
        <f>COUNTIF(SIP[[#Headers],[Investor ID]]:SIP[[#This Row],[Investor ID]],SIP[[#This Row],[Investor ID]])</f>
        <v>13</v>
      </c>
      <c r="H516" s="46" t="str">
        <f>CONCATENATE(SIP[[#This Row],[Frequency]],SIP[[#This Row],[Investor ID]])</f>
        <v>13A00475</v>
      </c>
      <c r="I516" s="46" t="str">
        <f>IF(SIP[[#This Row],[B/S]]="B","BUY",(IF(SIP[[#This Row],[B/S]]="S","SELL"," ")))</f>
        <v>BUY</v>
      </c>
      <c r="J516" s="46" t="s">
        <v>1229</v>
      </c>
      <c r="K516" s="69">
        <v>10000</v>
      </c>
      <c r="L516" s="69"/>
      <c r="M516" s="70">
        <f>SIP[[#This Row],[Amount]]/SIP[[#This Row],[Unit]]</f>
        <v>11.013215859030836</v>
      </c>
      <c r="N516" s="71">
        <f>SIP[[#This Row],[Unit Capital]]/10</f>
        <v>908</v>
      </c>
      <c r="O516" s="72">
        <f>SUMIFS(SIP[[#Headers],[Unit]]:SIP[[#This Row],[Unit]],SIP[[#Headers],[Investor ID]]:SIP[[#This Row],[Investor ID]],SIP[[#This Row],[Investor ID]])</f>
        <v>12313</v>
      </c>
      <c r="P516" s="73">
        <v>9080</v>
      </c>
      <c r="Q516" s="74">
        <f>SIP[[#This Row],[Amount]]-SIP[[#This Row],[Unit Capital]]</f>
        <v>920</v>
      </c>
      <c r="R51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10.557946885405668</v>
      </c>
      <c r="S516" s="68">
        <f t="shared" si="22"/>
        <v>14.224</v>
      </c>
      <c r="T5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6" s="74" cm="1">
        <f t="array" ref="U516">IF(SIP[[#This Row],[B/S]]="S",ABS(SIP[[#This Row],[Unit]])*(INDEX(SIP[NAV at Cost (Average)],MATCH(CONCATENATE((SIP[[#This Row],[Frequency]]-1),SIP[[#This Row],[Investor ID]]),SIP[Unique Code],0),0)),0)</f>
        <v>0</v>
      </c>
      <c r="V516" s="74">
        <f>IF(SIP[[#This Row],[BO TRANSFER]]="YES",SIP[[#This Row],[Unit]],)</f>
        <v>0</v>
      </c>
      <c r="W516" s="74">
        <f>SUMIFS(SIP[[#Headers],[BO UNIT TRANSFER]]:SIP[[#This Row],[BO UNIT TRANSFER]],SIP[[#Headers],[Investor ID]]:SIP[[#This Row],[Investor ID]],SIP[[#This Row],[Investor ID]])</f>
        <v>0</v>
      </c>
    </row>
    <row r="517" spans="1:23" ht="15" customHeight="1">
      <c r="A517" s="46">
        <v>2024</v>
      </c>
      <c r="B517" s="46">
        <v>5</v>
      </c>
      <c r="C517" s="46">
        <v>5</v>
      </c>
      <c r="D517" s="65">
        <f>DATE(SIP[[#This Row],[Year]],SIP[[#This Row],[Month]],SIP[[#This Row],[Day]])</f>
        <v>45417</v>
      </c>
      <c r="E517" s="66" t="str" cm="1">
        <f t="array" ref="E517">INDEX(INVESTORS_LIST[INVESTOR NAME],MATCH(SIP[[#This Row],[Investor ID]],INVESTORS_LIST[INVESTOR CODE],0),)</f>
        <v>FAKARUDDIN ALI AHMED</v>
      </c>
      <c r="F517" s="46" t="s">
        <v>228</v>
      </c>
      <c r="G517" s="46">
        <f>COUNTIF(SIP[[#Headers],[Investor ID]]:SIP[[#This Row],[Investor ID]],SIP[[#This Row],[Investor ID]])</f>
        <v>13</v>
      </c>
      <c r="H517" s="46" t="str">
        <f>CONCATENATE(SIP[[#This Row],[Frequency]],SIP[[#This Row],[Investor ID]])</f>
        <v>13A00090</v>
      </c>
      <c r="I517" s="46" t="str">
        <f>IF(SIP[[#This Row],[B/S]]="B","BUY",(IF(SIP[[#This Row],[B/S]]="S","SELL"," ")))</f>
        <v>BUY</v>
      </c>
      <c r="J517" s="46" t="s">
        <v>1229</v>
      </c>
      <c r="K517" s="69">
        <v>10000</v>
      </c>
      <c r="L517" s="69"/>
      <c r="M517" s="70">
        <f>SIP[[#This Row],[Amount]]/SIP[[#This Row],[Unit]]</f>
        <v>11.013215859030836</v>
      </c>
      <c r="N517" s="71">
        <f>SIP[[#This Row],[Unit Capital]]/10</f>
        <v>908</v>
      </c>
      <c r="O517" s="72">
        <f>SUMIFS(SIP[[#Headers],[Unit]]:SIP[[#This Row],[Unit]],SIP[[#Headers],[Investor ID]]:SIP[[#This Row],[Investor ID]],SIP[[#This Row],[Investor ID]])</f>
        <v>2828</v>
      </c>
      <c r="P517" s="73">
        <v>9080</v>
      </c>
      <c r="Q517" s="74">
        <f>SIP[[#This Row],[Amount]]-SIP[[#This Row],[Unit Capital]]</f>
        <v>920</v>
      </c>
      <c r="R51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10.918310159856956</v>
      </c>
      <c r="S517" s="68">
        <f t="shared" si="22"/>
        <v>14.224</v>
      </c>
      <c r="T5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7" s="74" cm="1">
        <f t="array" ref="U517">IF(SIP[[#This Row],[B/S]]="S",ABS(SIP[[#This Row],[Unit]])*(INDEX(SIP[NAV at Cost (Average)],MATCH(CONCATENATE((SIP[[#This Row],[Frequency]]-1),SIP[[#This Row],[Investor ID]]),SIP[Unique Code],0),0)),0)</f>
        <v>0</v>
      </c>
      <c r="V517" s="74">
        <f>IF(SIP[[#This Row],[BO TRANSFER]]="YES",SIP[[#This Row],[Unit]],)</f>
        <v>0</v>
      </c>
      <c r="W517" s="74">
        <f>SUMIFS(SIP[[#Headers],[BO UNIT TRANSFER]]:SIP[[#This Row],[BO UNIT TRANSFER]],SIP[[#Headers],[Investor ID]]:SIP[[#This Row],[Investor ID]],SIP[[#This Row],[Investor ID]])</f>
        <v>0</v>
      </c>
    </row>
    <row r="518" spans="1:23" ht="15" customHeight="1">
      <c r="A518" s="46">
        <v>2024</v>
      </c>
      <c r="B518" s="46">
        <v>5</v>
      </c>
      <c r="C518" s="46">
        <v>5</v>
      </c>
      <c r="D518" s="65">
        <f>DATE(SIP[[#This Row],[Year]],SIP[[#This Row],[Month]],SIP[[#This Row],[Day]])</f>
        <v>45417</v>
      </c>
      <c r="E518" s="66" t="str" cm="1">
        <f t="array" ref="E518">INDEX(INVESTORS_LIST[INVESTOR NAME],MATCH(SIP[[#This Row],[Investor ID]],INVESTORS_LIST[INVESTOR CODE],0),)</f>
        <v>ROKSABA KASEM</v>
      </c>
      <c r="F518" s="46" t="s">
        <v>900</v>
      </c>
      <c r="G518" s="46">
        <f>COUNTIF(SIP[[#Headers],[Investor ID]]:SIP[[#This Row],[Investor ID]],SIP[[#This Row],[Investor ID]])</f>
        <v>12</v>
      </c>
      <c r="H518" s="46" t="str">
        <f>CONCATENATE(SIP[[#This Row],[Frequency]],SIP[[#This Row],[Investor ID]])</f>
        <v>12A00427</v>
      </c>
      <c r="I518" s="46" t="str">
        <f>IF(SIP[[#This Row],[B/S]]="B","BUY",(IF(SIP[[#This Row],[B/S]]="S","SELL"," ")))</f>
        <v>BUY</v>
      </c>
      <c r="J518" s="46" t="s">
        <v>1229</v>
      </c>
      <c r="K518" s="69">
        <v>20000</v>
      </c>
      <c r="L518" s="122"/>
      <c r="M518" s="70">
        <f>SIP[[#This Row],[Amount]]/SIP[[#This Row],[Unit]]</f>
        <v>11.013215859030836</v>
      </c>
      <c r="N518" s="71">
        <f>SIP[[#This Row],[Unit Capital]]/10</f>
        <v>1816</v>
      </c>
      <c r="O518" s="72">
        <f>SUMIFS(SIP[[#Headers],[Unit]]:SIP[[#This Row],[Unit]],SIP[[#Headers],[Investor ID]]:SIP[[#This Row],[Investor ID]],SIP[[#This Row],[Investor ID]])</f>
        <v>22652</v>
      </c>
      <c r="P518" s="73">
        <v>18160</v>
      </c>
      <c r="Q518" s="74">
        <f>SIP[[#This Row],[Amount]]-SIP[[#This Row],[Unit Capital]]</f>
        <v>1840</v>
      </c>
      <c r="R51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10.595090941197245</v>
      </c>
      <c r="S518" s="68">
        <f t="shared" si="22"/>
        <v>14.224</v>
      </c>
      <c r="T5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8" s="74" cm="1">
        <f t="array" ref="U518">IF(SIP[[#This Row],[B/S]]="S",ABS(SIP[[#This Row],[Unit]])*(INDEX(SIP[NAV at Cost (Average)],MATCH(CONCATENATE((SIP[[#This Row],[Frequency]]-1),SIP[[#This Row],[Investor ID]]),SIP[Unique Code],0),0)),0)</f>
        <v>0</v>
      </c>
      <c r="V518" s="74">
        <f>IF(SIP[[#This Row],[BO TRANSFER]]="YES",SIP[[#This Row],[Unit]],)</f>
        <v>0</v>
      </c>
      <c r="W518" s="74">
        <f>SUMIFS(SIP[[#Headers],[BO UNIT TRANSFER]]:SIP[[#This Row],[BO UNIT TRANSFER]],SIP[[#Headers],[Investor ID]]:SIP[[#This Row],[Investor ID]],SIP[[#This Row],[Investor ID]])</f>
        <v>0</v>
      </c>
    </row>
    <row r="519" spans="1:23" ht="15" customHeight="1">
      <c r="A519" s="46">
        <v>2024</v>
      </c>
      <c r="B519" s="46">
        <v>5</v>
      </c>
      <c r="C519" s="46">
        <v>5</v>
      </c>
      <c r="D519" s="65">
        <f>DATE(SIP[[#This Row],[Year]],SIP[[#This Row],[Month]],SIP[[#This Row],[Day]])</f>
        <v>45417</v>
      </c>
      <c r="E519" s="66" t="str" cm="1">
        <f t="array" ref="E519">INDEX(INVESTORS_LIST[INVESTOR NAME],MATCH(SIP[[#This Row],[Investor ID]],INVESTORS_LIST[INVESTOR CODE],0),)</f>
        <v>SABRIA ISLAM TALUKDER</v>
      </c>
      <c r="F519" s="46" t="s">
        <v>409</v>
      </c>
      <c r="G519" s="46">
        <f>COUNTIF(SIP[[#Headers],[Investor ID]]:SIP[[#This Row],[Investor ID]],SIP[[#This Row],[Investor ID]])</f>
        <v>9</v>
      </c>
      <c r="H519" s="46" t="str">
        <f>CONCATENATE(SIP[[#This Row],[Frequency]],SIP[[#This Row],[Investor ID]])</f>
        <v>9A00180</v>
      </c>
      <c r="I519" s="46" t="str">
        <f>IF(SIP[[#This Row],[B/S]]="B","BUY",(IF(SIP[[#This Row],[B/S]]="S","SELL"," ")))</f>
        <v>BUY</v>
      </c>
      <c r="J519" s="46" t="s">
        <v>1229</v>
      </c>
      <c r="K519" s="69">
        <v>5000</v>
      </c>
      <c r="L519" s="69"/>
      <c r="M519" s="70">
        <f>SIP[[#This Row],[Amount]]/SIP[[#This Row],[Unit]]</f>
        <v>11.013215859030836</v>
      </c>
      <c r="N519" s="71">
        <f>SIP[[#This Row],[Unit Capital]]/10</f>
        <v>454</v>
      </c>
      <c r="O519" s="72">
        <f>SUMIFS(SIP[[#Headers],[Unit]]:SIP[[#This Row],[Unit]],SIP[[#Headers],[Investor ID]]:SIP[[#This Row],[Investor ID]],SIP[[#This Row],[Investor ID]])</f>
        <v>4204</v>
      </c>
      <c r="P519" s="73">
        <v>4540</v>
      </c>
      <c r="Q519" s="74">
        <f>SIP[[#This Row],[Amount]]-SIP[[#This Row],[Unit Capital]]</f>
        <v>460</v>
      </c>
      <c r="R51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10.704091341579449</v>
      </c>
      <c r="S519" s="68">
        <f t="shared" si="22"/>
        <v>14.224</v>
      </c>
      <c r="T5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9" s="74" cm="1">
        <f t="array" ref="U519">IF(SIP[[#This Row],[B/S]]="S",ABS(SIP[[#This Row],[Unit]])*(INDEX(SIP[NAV at Cost (Average)],MATCH(CONCATENATE((SIP[[#This Row],[Frequency]]-1),SIP[[#This Row],[Investor ID]]),SIP[Unique Code],0),0)),0)</f>
        <v>0</v>
      </c>
      <c r="V519" s="74">
        <f>IF(SIP[[#This Row],[BO TRANSFER]]="YES",SIP[[#This Row],[Unit]],)</f>
        <v>0</v>
      </c>
      <c r="W519" s="74">
        <f>SUMIFS(SIP[[#Headers],[BO UNIT TRANSFER]]:SIP[[#This Row],[BO UNIT TRANSFER]],SIP[[#Headers],[Investor ID]]:SIP[[#This Row],[Investor ID]],SIP[[#This Row],[Investor ID]])</f>
        <v>0</v>
      </c>
    </row>
    <row r="520" spans="1:23" ht="15" customHeight="1">
      <c r="A520" s="46">
        <v>2024</v>
      </c>
      <c r="B520" s="46">
        <v>5</v>
      </c>
      <c r="C520" s="46">
        <v>5</v>
      </c>
      <c r="D520" s="65">
        <f>DATE(SIP[[#This Row],[Year]],SIP[[#This Row],[Month]],SIP[[#This Row],[Day]])</f>
        <v>45417</v>
      </c>
      <c r="E520" s="66" t="str" cm="1">
        <f t="array" ref="E520">INDEX(INVESTORS_LIST[INVESTOR NAME],MATCH(SIP[[#This Row],[Investor ID]],INVESTORS_LIST[INVESTOR CODE],0),)</f>
        <v>NANI GOPAL DATTA</v>
      </c>
      <c r="F520" s="46" t="s">
        <v>232</v>
      </c>
      <c r="G520" s="46">
        <f>COUNTIF(SIP[[#Headers],[Investor ID]]:SIP[[#This Row],[Investor ID]],SIP[[#This Row],[Investor ID]])</f>
        <v>7</v>
      </c>
      <c r="H520" s="46" t="str">
        <f>CONCATENATE(SIP[[#This Row],[Frequency]],SIP[[#This Row],[Investor ID]])</f>
        <v>7A00092</v>
      </c>
      <c r="I520" s="46" t="str">
        <f>IF(SIP[[#This Row],[B/S]]="B","BUY",(IF(SIP[[#This Row],[B/S]]="S","SELL"," ")))</f>
        <v>BUY</v>
      </c>
      <c r="J520" s="46" t="s">
        <v>1229</v>
      </c>
      <c r="K520" s="69">
        <v>2000</v>
      </c>
      <c r="L520" s="69"/>
      <c r="M520" s="70">
        <f>SIP[[#This Row],[Amount]]/SIP[[#This Row],[Unit]]</f>
        <v>10.989010989010989</v>
      </c>
      <c r="N520" s="71">
        <f>SIP[[#This Row],[Unit Capital]]/10</f>
        <v>182</v>
      </c>
      <c r="O520" s="72">
        <f>SUMIFS(SIP[[#Headers],[Unit]]:SIP[[#This Row],[Unit]],SIP[[#Headers],[Investor ID]]:SIP[[#This Row],[Investor ID]],SIP[[#This Row],[Investor ID]])</f>
        <v>1299</v>
      </c>
      <c r="P520" s="73">
        <v>1820</v>
      </c>
      <c r="Q520" s="74">
        <f>SIP[[#This Row],[Amount]]-SIP[[#This Row],[Unit Capital]]</f>
        <v>180</v>
      </c>
      <c r="R52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10.777521170130873</v>
      </c>
      <c r="S520" s="68">
        <f t="shared" si="22"/>
        <v>14.224</v>
      </c>
      <c r="T5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0" s="74" cm="1">
        <f t="array" ref="U520">IF(SIP[[#This Row],[B/S]]="S",ABS(SIP[[#This Row],[Unit]])*(INDEX(SIP[NAV at Cost (Average)],MATCH(CONCATENATE((SIP[[#This Row],[Frequency]]-1),SIP[[#This Row],[Investor ID]]),SIP[Unique Code],0),0)),0)</f>
        <v>0</v>
      </c>
      <c r="V520" s="74">
        <f>IF(SIP[[#This Row],[BO TRANSFER]]="YES",SIP[[#This Row],[Unit]],)</f>
        <v>0</v>
      </c>
      <c r="W520" s="74">
        <f>SUMIFS(SIP[[#Headers],[BO UNIT TRANSFER]]:SIP[[#This Row],[BO UNIT TRANSFER]],SIP[[#Headers],[Investor ID]]:SIP[[#This Row],[Investor ID]],SIP[[#This Row],[Investor ID]])</f>
        <v>0</v>
      </c>
    </row>
    <row r="521" spans="1:23" ht="15" customHeight="1">
      <c r="A521" s="46">
        <v>2024</v>
      </c>
      <c r="B521" s="46">
        <v>5</v>
      </c>
      <c r="C521" s="46">
        <v>5</v>
      </c>
      <c r="D521" s="65">
        <f>DATE(SIP[[#This Row],[Year]],SIP[[#This Row],[Month]],SIP[[#This Row],[Day]])</f>
        <v>45417</v>
      </c>
      <c r="E521" s="66" t="str" cm="1">
        <f t="array" ref="E521">INDEX(INVESTORS_LIST[INVESTOR NAME],MATCH(SIP[[#This Row],[Investor ID]],INVESTORS_LIST[INVESTOR CODE],0),)</f>
        <v>BIJOY CHANDRA DAS</v>
      </c>
      <c r="F521" s="46" t="s">
        <v>497</v>
      </c>
      <c r="G521" s="46">
        <f>COUNTIF(SIP[[#Headers],[Investor ID]]:SIP[[#This Row],[Investor ID]],SIP[[#This Row],[Investor ID]])</f>
        <v>2</v>
      </c>
      <c r="H521" s="46" t="str">
        <f>CONCATENATE(SIP[[#This Row],[Frequency]],SIP[[#This Row],[Investor ID]])</f>
        <v>2A00224</v>
      </c>
      <c r="I521" s="46" t="str">
        <f>IF(SIP[[#This Row],[B/S]]="B","BUY",(IF(SIP[[#This Row],[B/S]]="S","SELL"," ")))</f>
        <v>BUY</v>
      </c>
      <c r="J521" s="46" t="s">
        <v>1229</v>
      </c>
      <c r="K521" s="69">
        <v>5000</v>
      </c>
      <c r="L521" s="69"/>
      <c r="M521" s="70">
        <f>SIP[[#This Row],[Amount]]/SIP[[#This Row],[Unit]]</f>
        <v>11.013215859030836</v>
      </c>
      <c r="N521" s="71">
        <f>SIP[[#This Row],[Unit Capital]]/10</f>
        <v>454</v>
      </c>
      <c r="O521" s="72">
        <f>SUMIFS(SIP[[#Headers],[Unit]]:SIP[[#This Row],[Unit]],SIP[[#Headers],[Investor ID]]:SIP[[#This Row],[Investor ID]],SIP[[#This Row],[Investor ID]])</f>
        <v>912</v>
      </c>
      <c r="P521" s="73">
        <v>4540</v>
      </c>
      <c r="Q521" s="74">
        <f>SIP[[#This Row],[Amount]]-SIP[[#This Row],[Unit Capital]]</f>
        <v>460</v>
      </c>
      <c r="R52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10.964912280701753</v>
      </c>
      <c r="S521" s="68">
        <f t="shared" si="22"/>
        <v>14.224</v>
      </c>
      <c r="T5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1" s="74" cm="1">
        <f t="array" ref="U521">IF(SIP[[#This Row],[B/S]]="S",ABS(SIP[[#This Row],[Unit]])*(INDEX(SIP[NAV at Cost (Average)],MATCH(CONCATENATE((SIP[[#This Row],[Frequency]]-1),SIP[[#This Row],[Investor ID]]),SIP[Unique Code],0),0)),0)</f>
        <v>0</v>
      </c>
      <c r="V521" s="74">
        <f>IF(SIP[[#This Row],[BO TRANSFER]]="YES",SIP[[#This Row],[Unit]],)</f>
        <v>0</v>
      </c>
      <c r="W521" s="74">
        <f>SUMIFS(SIP[[#Headers],[BO UNIT TRANSFER]]:SIP[[#This Row],[BO UNIT TRANSFER]],SIP[[#Headers],[Investor ID]]:SIP[[#This Row],[Investor ID]],SIP[[#This Row],[Investor ID]])</f>
        <v>0</v>
      </c>
    </row>
    <row r="522" spans="1:23" ht="15" customHeight="1">
      <c r="A522" s="46">
        <v>2024</v>
      </c>
      <c r="B522" s="46">
        <v>5</v>
      </c>
      <c r="C522" s="46">
        <v>5</v>
      </c>
      <c r="D522" s="65">
        <f>DATE(SIP[[#This Row],[Year]],SIP[[#This Row],[Month]],SIP[[#This Row],[Day]])</f>
        <v>45417</v>
      </c>
      <c r="E522" s="66" t="str" cm="1">
        <f t="array" ref="E522">INDEX(INVESTORS_LIST[INVESTOR NAME],MATCH(SIP[[#This Row],[Investor ID]],INVESTORS_LIST[INVESTOR CODE],0),)</f>
        <v>SHUVA SAHA</v>
      </c>
      <c r="F522" s="46" t="s">
        <v>154</v>
      </c>
      <c r="G522" s="46">
        <f>COUNTIF(SIP[[#Headers],[Investor ID]]:SIP[[#This Row],[Investor ID]],SIP[[#This Row],[Investor ID]])</f>
        <v>15</v>
      </c>
      <c r="H522" s="46" t="str">
        <f>CONCATENATE(SIP[[#This Row],[Frequency]],SIP[[#This Row],[Investor ID]])</f>
        <v>15A00053</v>
      </c>
      <c r="I522" s="46" t="str">
        <f>IF(SIP[[#This Row],[B/S]]="B","BUY",(IF(SIP[[#This Row],[B/S]]="S","SELL"," ")))</f>
        <v>BUY</v>
      </c>
      <c r="J522" s="46" t="s">
        <v>1229</v>
      </c>
      <c r="K522" s="69">
        <v>70000</v>
      </c>
      <c r="L522" s="69"/>
      <c r="M522" s="70">
        <f>SIP[[#This Row],[Amount]]/SIP[[#This Row],[Unit]]</f>
        <v>11.013215859030836</v>
      </c>
      <c r="N522" s="71">
        <f>SIP[[#This Row],[Unit Capital]]/10</f>
        <v>6356</v>
      </c>
      <c r="O522" s="72">
        <f>SUMIFS(SIP[[#Headers],[Unit]]:SIP[[#This Row],[Unit]],SIP[[#Headers],[Investor ID]]:SIP[[#This Row],[Investor ID]],SIP[[#This Row],[Investor ID]])</f>
        <v>86441</v>
      </c>
      <c r="P522" s="73">
        <v>63560</v>
      </c>
      <c r="Q522" s="74">
        <f>SIP[[#This Row],[Amount]]-SIP[[#This Row],[Unit Capital]]</f>
        <v>6440</v>
      </c>
      <c r="R52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10.543624443388827</v>
      </c>
      <c r="S522" s="68">
        <f t="shared" si="22"/>
        <v>14.224</v>
      </c>
      <c r="T5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2" s="74" cm="1">
        <f t="array" ref="U522">IF(SIP[[#This Row],[B/S]]="S",ABS(SIP[[#This Row],[Unit]])*(INDEX(SIP[NAV at Cost (Average)],MATCH(CONCATENATE((SIP[[#This Row],[Frequency]]-1),SIP[[#This Row],[Investor ID]]),SIP[Unique Code],0),0)),0)</f>
        <v>0</v>
      </c>
      <c r="V522" s="74">
        <f>IF(SIP[[#This Row],[BO TRANSFER]]="YES",SIP[[#This Row],[Unit]],)</f>
        <v>0</v>
      </c>
      <c r="W522" s="74">
        <f>SUMIFS(SIP[[#Headers],[BO UNIT TRANSFER]]:SIP[[#This Row],[BO UNIT TRANSFER]],SIP[[#Headers],[Investor ID]]:SIP[[#This Row],[Investor ID]],SIP[[#This Row],[Investor ID]])</f>
        <v>0</v>
      </c>
    </row>
    <row r="523" spans="1:23" ht="15" customHeight="1">
      <c r="A523" s="46">
        <v>2024</v>
      </c>
      <c r="B523" s="46">
        <v>5</v>
      </c>
      <c r="C523" s="46">
        <v>5</v>
      </c>
      <c r="D523" s="65">
        <f>DATE(SIP[[#This Row],[Year]],SIP[[#This Row],[Month]],SIP[[#This Row],[Day]])</f>
        <v>45417</v>
      </c>
      <c r="E523" s="66" t="str" cm="1">
        <f t="array" ref="E523">INDEX(INVESTORS_LIST[INVESTOR NAME],MATCH(SIP[[#This Row],[Investor ID]],INVESTORS_LIST[INVESTOR CODE],0),)</f>
        <v>FAIYEAD AHMEDUL HYE</v>
      </c>
      <c r="F523" s="46" t="s">
        <v>368</v>
      </c>
      <c r="G523" s="46">
        <f>COUNTIF(SIP[[#Headers],[Investor ID]]:SIP[[#This Row],[Investor ID]],SIP[[#This Row],[Investor ID]])</f>
        <v>12</v>
      </c>
      <c r="H523" s="46" t="str">
        <f>CONCATENATE(SIP[[#This Row],[Frequency]],SIP[[#This Row],[Investor ID]])</f>
        <v>12A00160</v>
      </c>
      <c r="I523" s="46" t="str">
        <f>IF(SIP[[#This Row],[B/S]]="B","BUY",(IF(SIP[[#This Row],[B/S]]="S","SELL"," ")))</f>
        <v>BUY</v>
      </c>
      <c r="J523" s="46" t="s">
        <v>1229</v>
      </c>
      <c r="K523" s="69">
        <v>15000</v>
      </c>
      <c r="L523" s="69"/>
      <c r="M523" s="70">
        <f>SIP[[#This Row],[Amount]]/SIP[[#This Row],[Unit]]</f>
        <v>11.013215859030836</v>
      </c>
      <c r="N523" s="71">
        <f>SIP[[#This Row],[Unit Capital]]/10</f>
        <v>1362</v>
      </c>
      <c r="O523" s="72">
        <f>SUMIFS(SIP[[#Headers],[Unit]]:SIP[[#This Row],[Unit]],SIP[[#Headers],[Investor ID]]:SIP[[#This Row],[Investor ID]],SIP[[#This Row],[Investor ID]])</f>
        <v>16988</v>
      </c>
      <c r="P523" s="73">
        <v>13620</v>
      </c>
      <c r="Q523" s="74">
        <f>SIP[[#This Row],[Amount]]-SIP[[#This Row],[Unit Capital]]</f>
        <v>1380</v>
      </c>
      <c r="R52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10.595714622086179</v>
      </c>
      <c r="S523" s="68">
        <f t="shared" si="22"/>
        <v>14.224</v>
      </c>
      <c r="T5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3" s="74" cm="1">
        <f t="array" ref="U523">IF(SIP[[#This Row],[B/S]]="S",ABS(SIP[[#This Row],[Unit]])*(INDEX(SIP[NAV at Cost (Average)],MATCH(CONCATENATE((SIP[[#This Row],[Frequency]]-1),SIP[[#This Row],[Investor ID]]),SIP[Unique Code],0),0)),0)</f>
        <v>0</v>
      </c>
      <c r="V523" s="74">
        <f>IF(SIP[[#This Row],[BO TRANSFER]]="YES",SIP[[#This Row],[Unit]],)</f>
        <v>0</v>
      </c>
      <c r="W523" s="74">
        <f>SUMIFS(SIP[[#Headers],[BO UNIT TRANSFER]]:SIP[[#This Row],[BO UNIT TRANSFER]],SIP[[#Headers],[Investor ID]]:SIP[[#This Row],[Investor ID]],SIP[[#This Row],[Investor ID]])</f>
        <v>0</v>
      </c>
    </row>
    <row r="524" spans="1:23" ht="15" customHeight="1">
      <c r="A524" s="46">
        <v>2024</v>
      </c>
      <c r="B524" s="46">
        <v>5</v>
      </c>
      <c r="C524" s="46">
        <v>5</v>
      </c>
      <c r="D524" s="65">
        <f>DATE(SIP[[#This Row],[Year]],SIP[[#This Row],[Month]],SIP[[#This Row],[Day]])</f>
        <v>45417</v>
      </c>
      <c r="E524" s="66" t="str" cm="1">
        <f t="array" ref="E524">INDEX(INVESTORS_LIST[INVESTOR NAME],MATCH(SIP[[#This Row],[Investor ID]],INVESTORS_LIST[INVESTOR CODE],0),)</f>
        <v>CHAONIKA SAHA</v>
      </c>
      <c r="F524" s="46" t="s">
        <v>238</v>
      </c>
      <c r="G524" s="46">
        <f>COUNTIF(SIP[[#Headers],[Investor ID]]:SIP[[#This Row],[Investor ID]],SIP[[#This Row],[Investor ID]])</f>
        <v>9</v>
      </c>
      <c r="H524" s="46" t="str">
        <f>CONCATENATE(SIP[[#This Row],[Frequency]],SIP[[#This Row],[Investor ID]])</f>
        <v>9A00095</v>
      </c>
      <c r="I524" s="46" t="str">
        <f>IF(SIP[[#This Row],[B/S]]="B","BUY",(IF(SIP[[#This Row],[B/S]]="S","SELL"," ")))</f>
        <v>BUY</v>
      </c>
      <c r="J524" s="46" t="s">
        <v>1229</v>
      </c>
      <c r="K524" s="69">
        <v>1000</v>
      </c>
      <c r="L524" s="69"/>
      <c r="M524" s="70">
        <f>SIP[[#This Row],[Amount]]/SIP[[#This Row],[Unit]]</f>
        <v>10.989010989010989</v>
      </c>
      <c r="N524" s="71">
        <f>SIP[[#This Row],[Unit Capital]]/10</f>
        <v>91</v>
      </c>
      <c r="O524" s="72">
        <f>SUMIFS(SIP[[#Headers],[Unit]]:SIP[[#This Row],[Unit]],SIP[[#Headers],[Investor ID]]:SIP[[#This Row],[Investor ID]],SIP[[#This Row],[Investor ID]])</f>
        <v>841</v>
      </c>
      <c r="P524" s="73">
        <v>910</v>
      </c>
      <c r="Q524" s="74">
        <f>SIP[[#This Row],[Amount]]-SIP[[#This Row],[Unit Capital]]</f>
        <v>90</v>
      </c>
      <c r="R52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10.701545778834719</v>
      </c>
      <c r="S524" s="68">
        <f t="shared" si="22"/>
        <v>14.224</v>
      </c>
      <c r="T5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4" s="74" cm="1">
        <f t="array" ref="U524">IF(SIP[[#This Row],[B/S]]="S",ABS(SIP[[#This Row],[Unit]])*(INDEX(SIP[NAV at Cost (Average)],MATCH(CONCATENATE((SIP[[#This Row],[Frequency]]-1),SIP[[#This Row],[Investor ID]]),SIP[Unique Code],0),0)),0)</f>
        <v>0</v>
      </c>
      <c r="V524" s="74">
        <f>IF(SIP[[#This Row],[BO TRANSFER]]="YES",SIP[[#This Row],[Unit]],)</f>
        <v>0</v>
      </c>
      <c r="W524" s="74">
        <f>SUMIFS(SIP[[#Headers],[BO UNIT TRANSFER]]:SIP[[#This Row],[BO UNIT TRANSFER]],SIP[[#Headers],[Investor ID]]:SIP[[#This Row],[Investor ID]],SIP[[#This Row],[Investor ID]])</f>
        <v>0</v>
      </c>
    </row>
    <row r="525" spans="1:23" ht="15" customHeight="1">
      <c r="A525" s="46">
        <v>2024</v>
      </c>
      <c r="B525" s="46">
        <v>5</v>
      </c>
      <c r="C525" s="46">
        <v>5</v>
      </c>
      <c r="D525" s="65">
        <f>DATE(SIP[[#This Row],[Year]],SIP[[#This Row],[Month]],SIP[[#This Row],[Day]])</f>
        <v>45417</v>
      </c>
      <c r="E525" s="66" t="str" cm="1">
        <f t="array" ref="E525">INDEX(INVESTORS_LIST[INVESTOR NAME],MATCH(SIP[[#This Row],[Investor ID]],INVESTORS_LIST[INVESTOR CODE],0),)</f>
        <v>SK FEROZ ALAM</v>
      </c>
      <c r="F525" s="46" t="s">
        <v>240</v>
      </c>
      <c r="G525" s="46">
        <f>COUNTIF(SIP[[#Headers],[Investor ID]]:SIP[[#This Row],[Investor ID]],SIP[[#This Row],[Investor ID]])</f>
        <v>7</v>
      </c>
      <c r="H525" s="46" t="str">
        <f>CONCATENATE(SIP[[#This Row],[Frequency]],SIP[[#This Row],[Investor ID]])</f>
        <v>7A00096</v>
      </c>
      <c r="I525" s="46" t="str">
        <f>IF(SIP[[#This Row],[B/S]]="B","BUY",(IF(SIP[[#This Row],[B/S]]="S","SELL"," ")))</f>
        <v>BUY</v>
      </c>
      <c r="J525" s="46" t="s">
        <v>1229</v>
      </c>
      <c r="K525" s="69">
        <v>2000</v>
      </c>
      <c r="L525" s="69"/>
      <c r="M525" s="70">
        <f>SIP[[#This Row],[Amount]]/SIP[[#This Row],[Unit]]</f>
        <v>10.989010989010989</v>
      </c>
      <c r="N525" s="71">
        <f>SIP[[#This Row],[Unit Capital]]/10</f>
        <v>182</v>
      </c>
      <c r="O525" s="72">
        <f>SUMIFS(SIP[[#Headers],[Unit]]:SIP[[#This Row],[Unit]],SIP[[#Headers],[Investor ID]]:SIP[[#This Row],[Investor ID]],SIP[[#This Row],[Investor ID]])</f>
        <v>1306</v>
      </c>
      <c r="P525" s="73">
        <v>1820</v>
      </c>
      <c r="Q525" s="74">
        <f>SIP[[#This Row],[Amount]]-SIP[[#This Row],[Unit Capital]]</f>
        <v>180</v>
      </c>
      <c r="R52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10.719754977029094</v>
      </c>
      <c r="S525" s="68">
        <f t="shared" si="22"/>
        <v>14.224</v>
      </c>
      <c r="T5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5" s="74" cm="1">
        <f t="array" ref="U525">IF(SIP[[#This Row],[B/S]]="S",ABS(SIP[[#This Row],[Unit]])*(INDEX(SIP[NAV at Cost (Average)],MATCH(CONCATENATE((SIP[[#This Row],[Frequency]]-1),SIP[[#This Row],[Investor ID]]),SIP[Unique Code],0),0)),0)</f>
        <v>0</v>
      </c>
      <c r="V525" s="74">
        <f>IF(SIP[[#This Row],[BO TRANSFER]]="YES",SIP[[#This Row],[Unit]],)</f>
        <v>0</v>
      </c>
      <c r="W525" s="74">
        <f>SUMIFS(SIP[[#Headers],[BO UNIT TRANSFER]]:SIP[[#This Row],[BO UNIT TRANSFER]],SIP[[#Headers],[Investor ID]]:SIP[[#This Row],[Investor ID]],SIP[[#This Row],[Investor ID]])</f>
        <v>0</v>
      </c>
    </row>
    <row r="526" spans="1:23" ht="15" customHeight="1">
      <c r="A526" s="46">
        <v>2024</v>
      </c>
      <c r="B526" s="46">
        <v>5</v>
      </c>
      <c r="C526" s="46">
        <v>5</v>
      </c>
      <c r="D526" s="65">
        <f>DATE(SIP[[#This Row],[Year]],SIP[[#This Row],[Month]],SIP[[#This Row],[Day]])</f>
        <v>45417</v>
      </c>
      <c r="E526" s="66" t="str" cm="1">
        <f t="array" ref="E526">INDEX(INVESTORS_LIST[INVESTOR NAME],MATCH(SIP[[#This Row],[Investor ID]],INVESTORS_LIST[INVESTOR CODE],0),)</f>
        <v>KAZI AHSAN MARUF</v>
      </c>
      <c r="F526" s="46" t="s">
        <v>158</v>
      </c>
      <c r="G526" s="46">
        <f>COUNTIF(SIP[[#Headers],[Investor ID]]:SIP[[#This Row],[Investor ID]],SIP[[#This Row],[Investor ID]])</f>
        <v>13</v>
      </c>
      <c r="H526" s="46" t="str">
        <f>CONCATENATE(SIP[[#This Row],[Frequency]],SIP[[#This Row],[Investor ID]])</f>
        <v>13A00055</v>
      </c>
      <c r="I526" s="46" t="str">
        <f>IF(SIP[[#This Row],[B/S]]="B","BUY",(IF(SIP[[#This Row],[B/S]]="S","SELL"," ")))</f>
        <v>BUY</v>
      </c>
      <c r="J526" s="46" t="s">
        <v>1229</v>
      </c>
      <c r="K526" s="69">
        <v>10000</v>
      </c>
      <c r="L526" s="69"/>
      <c r="M526" s="70">
        <f>SIP[[#This Row],[Amount]]/SIP[[#This Row],[Unit]]</f>
        <v>11.013215859030836</v>
      </c>
      <c r="N526" s="71">
        <f>SIP[[#This Row],[Unit Capital]]/10</f>
        <v>908</v>
      </c>
      <c r="O526" s="72">
        <f>SUMIFS(SIP[[#Headers],[Unit]]:SIP[[#This Row],[Unit]],SIP[[#Headers],[Investor ID]]:SIP[[#This Row],[Investor ID]],SIP[[#This Row],[Investor ID]])</f>
        <v>31766</v>
      </c>
      <c r="P526" s="73">
        <v>9080</v>
      </c>
      <c r="Q526" s="74">
        <f>SIP[[#This Row],[Amount]]-SIP[[#This Row],[Unit Capital]]</f>
        <v>920</v>
      </c>
      <c r="R52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10.388465655102937</v>
      </c>
      <c r="S526" s="68">
        <f t="shared" si="22"/>
        <v>14.224</v>
      </c>
      <c r="T5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6" s="74" cm="1">
        <f t="array" ref="U526">IF(SIP[[#This Row],[B/S]]="S",ABS(SIP[[#This Row],[Unit]])*(INDEX(SIP[NAV at Cost (Average)],MATCH(CONCATENATE((SIP[[#This Row],[Frequency]]-1),SIP[[#This Row],[Investor ID]]),SIP[Unique Code],0),0)),0)</f>
        <v>0</v>
      </c>
      <c r="V526" s="74">
        <f>IF(SIP[[#This Row],[BO TRANSFER]]="YES",SIP[[#This Row],[Unit]],)</f>
        <v>0</v>
      </c>
      <c r="W526" s="74">
        <f>SUMIFS(SIP[[#Headers],[BO UNIT TRANSFER]]:SIP[[#This Row],[BO UNIT TRANSFER]],SIP[[#Headers],[Investor ID]]:SIP[[#This Row],[Investor ID]],SIP[[#This Row],[Investor ID]])</f>
        <v>0</v>
      </c>
    </row>
    <row r="527" spans="1:23" ht="15" customHeight="1">
      <c r="A527" s="46">
        <v>2024</v>
      </c>
      <c r="B527" s="46">
        <v>5</v>
      </c>
      <c r="C527" s="46">
        <v>15</v>
      </c>
      <c r="D527" s="65">
        <f>DATE(SIP[[#This Row],[Year]],SIP[[#This Row],[Month]],SIP[[#This Row],[Day]])</f>
        <v>45427</v>
      </c>
      <c r="E527" s="66" t="str" cm="1">
        <f t="array" ref="E527">INDEX(INVESTORS_LIST[INVESTOR NAME],MATCH(SIP[[#This Row],[Investor ID]],INVESTORS_LIST[INVESTOR CODE],0),)</f>
        <v>MD. RAFIQUR RAHMAN</v>
      </c>
      <c r="F527" s="46" t="s">
        <v>622</v>
      </c>
      <c r="G527" s="46">
        <f>COUNTIF(SIP[[#Headers],[Investor ID]]:SIP[[#This Row],[Investor ID]],SIP[[#This Row],[Investor ID]])</f>
        <v>9</v>
      </c>
      <c r="H527" s="46" t="str">
        <f>CONCATENATE(SIP[[#This Row],[Frequency]],SIP[[#This Row],[Investor ID]])</f>
        <v>9A00287</v>
      </c>
      <c r="I527" s="46" t="str">
        <f>IF(SIP[[#This Row],[B/S]]="B","BUY",(IF(SIP[[#This Row],[B/S]]="S","SELL"," ")))</f>
        <v>BUY</v>
      </c>
      <c r="J527" s="46" t="s">
        <v>1229</v>
      </c>
      <c r="K527" s="69">
        <v>20000</v>
      </c>
      <c r="L527" s="69"/>
      <c r="M527" s="70">
        <f>SIP[[#This Row],[Amount]]/SIP[[#This Row],[Unit]]</f>
        <v>11.037527593818984</v>
      </c>
      <c r="N527" s="71">
        <f>SIP[[#This Row],[Unit Capital]]/10</f>
        <v>1812</v>
      </c>
      <c r="O527" s="72">
        <f>SUMIFS(SIP[[#Headers],[Unit]]:SIP[[#This Row],[Unit]],SIP[[#Headers],[Investor ID]]:SIP[[#This Row],[Investor ID]],SIP[[#This Row],[Investor ID]])</f>
        <v>16777</v>
      </c>
      <c r="P527" s="73">
        <v>18120</v>
      </c>
      <c r="Q527" s="74">
        <f>SIP[[#This Row],[Amount]]-SIP[[#This Row],[Unit Capital]]</f>
        <v>1880</v>
      </c>
      <c r="R52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10.728974190856528</v>
      </c>
      <c r="S527" s="68">
        <f t="shared" ref="S527:S557" si="23">NAV_MKT</f>
        <v>14.224</v>
      </c>
      <c r="T5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7" s="74" cm="1">
        <f t="array" ref="U527">IF(SIP[[#This Row],[B/S]]="S",ABS(SIP[[#This Row],[Unit]])*(INDEX(SIP[NAV at Cost (Average)],MATCH(CONCATENATE((SIP[[#This Row],[Frequency]]-1),SIP[[#This Row],[Investor ID]]),SIP[Unique Code],0),0)),0)</f>
        <v>0</v>
      </c>
      <c r="V527" s="74">
        <f>IF(SIP[[#This Row],[BO TRANSFER]]="YES",SIP[[#This Row],[Unit]],)</f>
        <v>0</v>
      </c>
      <c r="W527" s="74">
        <f>SUMIFS(SIP[[#Headers],[BO UNIT TRANSFER]]:SIP[[#This Row],[BO UNIT TRANSFER]],SIP[[#Headers],[Investor ID]]:SIP[[#This Row],[Investor ID]],SIP[[#This Row],[Investor ID]])</f>
        <v>0</v>
      </c>
    </row>
    <row r="528" spans="1:23" ht="15" customHeight="1">
      <c r="A528" s="46">
        <v>2024</v>
      </c>
      <c r="B528" s="46">
        <v>5</v>
      </c>
      <c r="C528" s="46">
        <v>15</v>
      </c>
      <c r="D528" s="65">
        <f>DATE(SIP[[#This Row],[Year]],SIP[[#This Row],[Month]],SIP[[#This Row],[Day]])</f>
        <v>45427</v>
      </c>
      <c r="E528" s="66" t="str" cm="1">
        <f t="array" ref="E528">INDEX(INVESTORS_LIST[INVESTOR NAME],MATCH(SIP[[#This Row],[Investor ID]],INVESTORS_LIST[INVESTOR CODE],0),)</f>
        <v>AKIB TANVIR ANJUM</v>
      </c>
      <c r="F528" s="46" t="s">
        <v>1116</v>
      </c>
      <c r="G528" s="46">
        <f>COUNTIF(SIP[[#Headers],[Investor ID]]:SIP[[#This Row],[Investor ID]],SIP[[#This Row],[Investor ID]])</f>
        <v>2</v>
      </c>
      <c r="H528" s="46" t="str">
        <f>CONCATENATE(SIP[[#This Row],[Frequency]],SIP[[#This Row],[Investor ID]])</f>
        <v>2A00533</v>
      </c>
      <c r="I528" s="46" t="str">
        <f>IF(SIP[[#This Row],[B/S]]="B","BUY",(IF(SIP[[#This Row],[B/S]]="S","SELL"," ")))</f>
        <v>BUY</v>
      </c>
      <c r="J528" s="46" t="s">
        <v>1229</v>
      </c>
      <c r="K528" s="69">
        <v>1000</v>
      </c>
      <c r="L528" s="69"/>
      <c r="M528" s="70">
        <f>SIP[[#This Row],[Amount]]/SIP[[#This Row],[Unit]]</f>
        <v>10.989010989010989</v>
      </c>
      <c r="N528" s="71">
        <f>SIP[[#This Row],[Unit Capital]]/10</f>
        <v>91</v>
      </c>
      <c r="O528" s="72">
        <f>SUMIFS(SIP[[#Headers],[Unit]]:SIP[[#This Row],[Unit]],SIP[[#Headers],[Investor ID]]:SIP[[#This Row],[Investor ID]],SIP[[#This Row],[Investor ID]])</f>
        <v>182</v>
      </c>
      <c r="P528" s="73">
        <v>910</v>
      </c>
      <c r="Q528" s="74">
        <f>SIP[[#This Row],[Amount]]-SIP[[#This Row],[Unit Capital]]</f>
        <v>90</v>
      </c>
      <c r="R52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10.989010989010989</v>
      </c>
      <c r="S528" s="68">
        <f t="shared" si="23"/>
        <v>14.224</v>
      </c>
      <c r="T5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8" s="74" cm="1">
        <f t="array" ref="U528">IF(SIP[[#This Row],[B/S]]="S",ABS(SIP[[#This Row],[Unit]])*(INDEX(SIP[NAV at Cost (Average)],MATCH(CONCATENATE((SIP[[#This Row],[Frequency]]-1),SIP[[#This Row],[Investor ID]]),SIP[Unique Code],0),0)),0)</f>
        <v>0</v>
      </c>
      <c r="V528" s="74">
        <f>IF(SIP[[#This Row],[BO TRANSFER]]="YES",SIP[[#This Row],[Unit]],)</f>
        <v>0</v>
      </c>
      <c r="W528" s="74">
        <f>SUMIFS(SIP[[#Headers],[BO UNIT TRANSFER]]:SIP[[#This Row],[BO UNIT TRANSFER]],SIP[[#Headers],[Investor ID]]:SIP[[#This Row],[Investor ID]],SIP[[#This Row],[Investor ID]])</f>
        <v>0</v>
      </c>
    </row>
    <row r="529" spans="1:23" ht="15" customHeight="1">
      <c r="A529" s="46">
        <v>2024</v>
      </c>
      <c r="B529" s="46">
        <v>5</v>
      </c>
      <c r="C529" s="46">
        <v>15</v>
      </c>
      <c r="D529" s="65">
        <f>DATE(SIP[[#This Row],[Year]],SIP[[#This Row],[Month]],SIP[[#This Row],[Day]])</f>
        <v>45427</v>
      </c>
      <c r="E529" s="66" t="str" cm="1">
        <f t="array" ref="E529">INDEX(INVESTORS_LIST[INVESTOR NAME],MATCH(SIP[[#This Row],[Investor ID]],INVESTORS_LIST[INVESTOR CODE],0),)</f>
        <v>SANJIB KUMAR ROY</v>
      </c>
      <c r="F529" s="46" t="s">
        <v>1020</v>
      </c>
      <c r="G529" s="46">
        <f>COUNTIF(SIP[[#Headers],[Investor ID]]:SIP[[#This Row],[Investor ID]],SIP[[#This Row],[Investor ID]])</f>
        <v>12</v>
      </c>
      <c r="H529" s="46" t="str">
        <f>CONCATENATE(SIP[[#This Row],[Frequency]],SIP[[#This Row],[Investor ID]])</f>
        <v>12A00487</v>
      </c>
      <c r="I529" s="46" t="str">
        <f>IF(SIP[[#This Row],[B/S]]="B","BUY",(IF(SIP[[#This Row],[B/S]]="S","SELL"," ")))</f>
        <v>BUY</v>
      </c>
      <c r="J529" s="46" t="s">
        <v>1229</v>
      </c>
      <c r="K529" s="69">
        <v>5000</v>
      </c>
      <c r="L529" s="69"/>
      <c r="M529" s="70">
        <f>SIP[[#This Row],[Amount]]/SIP[[#This Row],[Unit]]</f>
        <v>11.037527593818984</v>
      </c>
      <c r="N529" s="71">
        <f>SIP[[#This Row],[Unit Capital]]/10</f>
        <v>453</v>
      </c>
      <c r="O529" s="72">
        <f>SUMIFS(SIP[[#Headers],[Unit]]:SIP[[#This Row],[Unit]],SIP[[#Headers],[Investor ID]]:SIP[[#This Row],[Investor ID]],SIP[[#This Row],[Investor ID]])</f>
        <v>5651</v>
      </c>
      <c r="P529" s="73">
        <v>4530</v>
      </c>
      <c r="Q529" s="74">
        <f>SIP[[#This Row],[Amount]]-SIP[[#This Row],[Unit Capital]]</f>
        <v>470</v>
      </c>
      <c r="R52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10.617589807113783</v>
      </c>
      <c r="S529" s="68">
        <f t="shared" si="23"/>
        <v>14.224</v>
      </c>
      <c r="T5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9" s="74" cm="1">
        <f t="array" ref="U529">IF(SIP[[#This Row],[B/S]]="S",ABS(SIP[[#This Row],[Unit]])*(INDEX(SIP[NAV at Cost (Average)],MATCH(CONCATENATE((SIP[[#This Row],[Frequency]]-1),SIP[[#This Row],[Investor ID]]),SIP[Unique Code],0),0)),0)</f>
        <v>0</v>
      </c>
      <c r="V529" s="74">
        <f>IF(SIP[[#This Row],[BO TRANSFER]]="YES",SIP[[#This Row],[Unit]],)</f>
        <v>0</v>
      </c>
      <c r="W529" s="74">
        <f>SUMIFS(SIP[[#Headers],[BO UNIT TRANSFER]]:SIP[[#This Row],[BO UNIT TRANSFER]],SIP[[#Headers],[Investor ID]]:SIP[[#This Row],[Investor ID]],SIP[[#This Row],[Investor ID]])</f>
        <v>0</v>
      </c>
    </row>
    <row r="530" spans="1:23" ht="15" customHeight="1">
      <c r="A530" s="46">
        <v>2024</v>
      </c>
      <c r="B530" s="46">
        <v>5</v>
      </c>
      <c r="C530" s="46">
        <v>26</v>
      </c>
      <c r="D530" s="65">
        <f>DATE(SIP[[#This Row],[Year]],SIP[[#This Row],[Month]],SIP[[#This Row],[Day]])</f>
        <v>45438</v>
      </c>
      <c r="E530" s="66" t="str" cm="1">
        <f t="array" ref="E530">INDEX(INVESTORS_LIST[INVESTOR NAME],MATCH(SIP[[#This Row],[Investor ID]],INVESTORS_LIST[INVESTOR CODE],0),)</f>
        <v>SADIA PARVIN</v>
      </c>
      <c r="F530" s="46" t="s">
        <v>1018</v>
      </c>
      <c r="G530" s="46">
        <f>COUNTIF(SIP[[#Headers],[Investor ID]]:SIP[[#This Row],[Investor ID]],SIP[[#This Row],[Investor ID]])</f>
        <v>13</v>
      </c>
      <c r="H530" s="46" t="str">
        <f>CONCATENATE(SIP[[#This Row],[Frequency]],SIP[[#This Row],[Investor ID]])</f>
        <v>13A00486</v>
      </c>
      <c r="I530" s="46" t="str">
        <f>IF(SIP[[#This Row],[B/S]]="B","BUY",(IF(SIP[[#This Row],[B/S]]="S","SELL"," ")))</f>
        <v>BUY</v>
      </c>
      <c r="J530" s="46" t="s">
        <v>1229</v>
      </c>
      <c r="K530" s="69">
        <v>5000</v>
      </c>
      <c r="L530" s="69"/>
      <c r="M530" s="70">
        <f>SIP[[#This Row],[Amount]]/SIP[[#This Row],[Unit]]</f>
        <v>11.061946902654867</v>
      </c>
      <c r="N530" s="71">
        <f>SIP[[#This Row],[Unit Capital]]/10</f>
        <v>452</v>
      </c>
      <c r="O530" s="72">
        <f>SUMIFS(SIP[[#Headers],[Unit]]:SIP[[#This Row],[Unit]],SIP[[#Headers],[Investor ID]]:SIP[[#This Row],[Investor ID]],SIP[[#This Row],[Investor ID]])</f>
        <v>6124</v>
      </c>
      <c r="P530" s="73">
        <v>4520</v>
      </c>
      <c r="Q530" s="74">
        <f>SIP[[#This Row],[Amount]]-SIP[[#This Row],[Unit Capital]]</f>
        <v>480</v>
      </c>
      <c r="R53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10.613977792292619</v>
      </c>
      <c r="S530" s="68">
        <f t="shared" si="23"/>
        <v>14.224</v>
      </c>
      <c r="T5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0" s="74" cm="1">
        <f t="array" ref="U530">IF(SIP[[#This Row],[B/S]]="S",ABS(SIP[[#This Row],[Unit]])*(INDEX(SIP[NAV at Cost (Average)],MATCH(CONCATENATE((SIP[[#This Row],[Frequency]]-1),SIP[[#This Row],[Investor ID]]),SIP[Unique Code],0),0)),0)</f>
        <v>0</v>
      </c>
      <c r="V530" s="74">
        <f>IF(SIP[[#This Row],[BO TRANSFER]]="YES",SIP[[#This Row],[Unit]],)</f>
        <v>0</v>
      </c>
      <c r="W530" s="74">
        <f>SUMIFS(SIP[[#Headers],[BO UNIT TRANSFER]]:SIP[[#This Row],[BO UNIT TRANSFER]],SIP[[#Headers],[Investor ID]]:SIP[[#This Row],[Investor ID]],SIP[[#This Row],[Investor ID]])</f>
        <v>0</v>
      </c>
    </row>
    <row r="531" spans="1:23" ht="15" customHeight="1">
      <c r="A531" s="46">
        <v>2024</v>
      </c>
      <c r="B531" s="46">
        <v>5</v>
      </c>
      <c r="C531" s="46">
        <v>26</v>
      </c>
      <c r="D531" s="65">
        <f>DATE(SIP[[#This Row],[Year]],SIP[[#This Row],[Month]],SIP[[#This Row],[Day]])</f>
        <v>45438</v>
      </c>
      <c r="E531" s="66" t="str" cm="1">
        <f t="array" ref="E531">INDEX(INVESTORS_LIST[INVESTOR NAME],MATCH(SIP[[#This Row],[Investor ID]],INVESTORS_LIST[INVESTOR CODE],0),)</f>
        <v>MD. WALI ULLAH</v>
      </c>
      <c r="F531" s="46" t="s">
        <v>443</v>
      </c>
      <c r="G531" s="46">
        <f>COUNTIF(SIP[[#Headers],[Investor ID]]:SIP[[#This Row],[Investor ID]],SIP[[#This Row],[Investor ID]])</f>
        <v>13</v>
      </c>
      <c r="H531" s="46" t="str">
        <f>CONCATENATE(SIP[[#This Row],[Frequency]],SIP[[#This Row],[Investor ID]])</f>
        <v>13A00197</v>
      </c>
      <c r="I531" s="46" t="str">
        <f>IF(SIP[[#This Row],[B/S]]="B","BUY",(IF(SIP[[#This Row],[B/S]]="S","SELL"," ")))</f>
        <v>BUY</v>
      </c>
      <c r="J531" s="46" t="s">
        <v>1229</v>
      </c>
      <c r="K531" s="69">
        <v>15000</v>
      </c>
      <c r="L531" s="69"/>
      <c r="M531" s="70">
        <f>SIP[[#This Row],[Amount]]/SIP[[#This Row],[Unit]]</f>
        <v>11.053795136330139</v>
      </c>
      <c r="N531" s="71">
        <f>SIP[[#This Row],[Unit Capital]]/10</f>
        <v>1357</v>
      </c>
      <c r="O531" s="72">
        <f>SUMIFS(SIP[[#Headers],[Unit]]:SIP[[#This Row],[Unit]],SIP[[#Headers],[Investor ID]]:SIP[[#This Row],[Investor ID]],SIP[[#This Row],[Investor ID]])</f>
        <v>18382</v>
      </c>
      <c r="P531" s="73">
        <v>13570</v>
      </c>
      <c r="Q531" s="74">
        <f>SIP[[#This Row],[Amount]]-SIP[[#This Row],[Unit Capital]]</f>
        <v>1430</v>
      </c>
      <c r="R53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10.608203677510605</v>
      </c>
      <c r="S531" s="68">
        <f t="shared" si="23"/>
        <v>14.224</v>
      </c>
      <c r="T5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1" s="74" cm="1">
        <f t="array" ref="U531">IF(SIP[[#This Row],[B/S]]="S",ABS(SIP[[#This Row],[Unit]])*(INDEX(SIP[NAV at Cost (Average)],MATCH(CONCATENATE((SIP[[#This Row],[Frequency]]-1),SIP[[#This Row],[Investor ID]]),SIP[Unique Code],0),0)),0)</f>
        <v>0</v>
      </c>
      <c r="V531" s="74">
        <f>IF(SIP[[#This Row],[BO TRANSFER]]="YES",SIP[[#This Row],[Unit]],)</f>
        <v>0</v>
      </c>
      <c r="W531" s="74">
        <f>SUMIFS(SIP[[#Headers],[BO UNIT TRANSFER]]:SIP[[#This Row],[BO UNIT TRANSFER]],SIP[[#Headers],[Investor ID]]:SIP[[#This Row],[Investor ID]],SIP[[#This Row],[Investor ID]])</f>
        <v>0</v>
      </c>
    </row>
    <row r="532" spans="1:23" ht="15" customHeight="1">
      <c r="A532" s="46">
        <v>2024</v>
      </c>
      <c r="B532" s="46">
        <v>5</v>
      </c>
      <c r="C532" s="46">
        <v>26</v>
      </c>
      <c r="D532" s="65">
        <f>DATE(SIP[[#This Row],[Year]],SIP[[#This Row],[Month]],SIP[[#This Row],[Day]])</f>
        <v>45438</v>
      </c>
      <c r="E532" s="66" t="str" cm="1">
        <f t="array" ref="E532">INDEX(INVESTORS_LIST[INVESTOR NAME],MATCH(SIP[[#This Row],[Investor ID]],INVESTORS_LIST[INVESTOR CODE],0),)</f>
        <v>SIKDER FAZLE RABBI</v>
      </c>
      <c r="F532" s="46" t="s">
        <v>1032</v>
      </c>
      <c r="G532" s="46">
        <f>COUNTIF(SIP[[#Headers],[Investor ID]]:SIP[[#This Row],[Investor ID]],SIP[[#This Row],[Investor ID]])</f>
        <v>12</v>
      </c>
      <c r="H532" s="46" t="str">
        <f>CONCATENATE(SIP[[#This Row],[Frequency]],SIP[[#This Row],[Investor ID]])</f>
        <v>12A00493</v>
      </c>
      <c r="I532" s="46" t="str">
        <f>IF(SIP[[#This Row],[B/S]]="B","BUY",(IF(SIP[[#This Row],[B/S]]="S","SELL"," ")))</f>
        <v>BUY</v>
      </c>
      <c r="J532" s="46" t="s">
        <v>1229</v>
      </c>
      <c r="K532" s="69">
        <v>5000</v>
      </c>
      <c r="L532" s="69"/>
      <c r="M532" s="70">
        <f>SIP[[#This Row],[Amount]]/SIP[[#This Row],[Unit]]</f>
        <v>11.061946902654867</v>
      </c>
      <c r="N532" s="71">
        <f>SIP[[#This Row],[Unit Capital]]/10</f>
        <v>452</v>
      </c>
      <c r="O532" s="72">
        <f>SUMIFS(SIP[[#Headers],[Unit]]:SIP[[#This Row],[Unit]],SIP[[#Headers],[Investor ID]]:SIP[[#This Row],[Investor ID]],SIP[[#This Row],[Investor ID]])</f>
        <v>5635</v>
      </c>
      <c r="P532" s="73">
        <v>4520</v>
      </c>
      <c r="Q532" s="74">
        <f>SIP[[#This Row],[Amount]]-SIP[[#This Row],[Unit Capital]]</f>
        <v>480</v>
      </c>
      <c r="R53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2" s="68">
        <f t="shared" si="23"/>
        <v>14.224</v>
      </c>
      <c r="T5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2" s="74" cm="1">
        <f t="array" ref="U532">IF(SIP[[#This Row],[B/S]]="S",ABS(SIP[[#This Row],[Unit]])*(INDEX(SIP[NAV at Cost (Average)],MATCH(CONCATENATE((SIP[[#This Row],[Frequency]]-1),SIP[[#This Row],[Investor ID]]),SIP[Unique Code],0),0)),0)</f>
        <v>0</v>
      </c>
      <c r="V532" s="74">
        <f>IF(SIP[[#This Row],[BO TRANSFER]]="YES",SIP[[#This Row],[Unit]],)</f>
        <v>0</v>
      </c>
      <c r="W532" s="74">
        <f>SUMIFS(SIP[[#Headers],[BO UNIT TRANSFER]]:SIP[[#This Row],[BO UNIT TRANSFER]],SIP[[#Headers],[Investor ID]]:SIP[[#This Row],[Investor ID]],SIP[[#This Row],[Investor ID]])</f>
        <v>0</v>
      </c>
    </row>
    <row r="533" spans="1:23" ht="15" customHeight="1">
      <c r="A533" s="46">
        <v>2024</v>
      </c>
      <c r="B533" s="46">
        <v>5</v>
      </c>
      <c r="C533" s="46">
        <v>26</v>
      </c>
      <c r="D533" s="65">
        <f>DATE(SIP[[#This Row],[Year]],SIP[[#This Row],[Month]],SIP[[#This Row],[Day]])</f>
        <v>45438</v>
      </c>
      <c r="E533" s="66" t="str" cm="1">
        <f t="array" ref="E533">INDEX(INVESTORS_LIST[INVESTOR NAME],MATCH(SIP[[#This Row],[Investor ID]],INVESTORS_LIST[INVESTOR CODE],0),)</f>
        <v>MOHAMMAD HASAN</v>
      </c>
      <c r="F533" s="46" t="s">
        <v>1010</v>
      </c>
      <c r="G533" s="46">
        <f>COUNTIF(SIP[[#Headers],[Investor ID]]:SIP[[#This Row],[Investor ID]],SIP[[#This Row],[Investor ID]])</f>
        <v>12</v>
      </c>
      <c r="H533" s="46" t="str">
        <f>CONCATENATE(SIP[[#This Row],[Frequency]],SIP[[#This Row],[Investor ID]])</f>
        <v>12A00482</v>
      </c>
      <c r="I533" s="46" t="str">
        <f>IF(SIP[[#This Row],[B/S]]="B","BUY",(IF(SIP[[#This Row],[B/S]]="S","SELL"," ")))</f>
        <v>BUY</v>
      </c>
      <c r="J533" s="46" t="s">
        <v>1229</v>
      </c>
      <c r="K533" s="69">
        <v>5000</v>
      </c>
      <c r="L533" s="69"/>
      <c r="M533" s="70">
        <f>SIP[[#This Row],[Amount]]/SIP[[#This Row],[Unit]]</f>
        <v>11.061946902654867</v>
      </c>
      <c r="N533" s="71">
        <f>SIP[[#This Row],[Unit Capital]]/10</f>
        <v>452</v>
      </c>
      <c r="O533" s="72">
        <f>SUMIFS(SIP[[#Headers],[Unit]]:SIP[[#This Row],[Unit]],SIP[[#Headers],[Investor ID]]:SIP[[#This Row],[Investor ID]],SIP[[#This Row],[Investor ID]])</f>
        <v>5635</v>
      </c>
      <c r="P533" s="73">
        <v>4520</v>
      </c>
      <c r="Q533" s="74">
        <f>SIP[[#This Row],[Amount]]-SIP[[#This Row],[Unit Capital]]</f>
        <v>480</v>
      </c>
      <c r="R53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3" s="68">
        <f t="shared" si="23"/>
        <v>14.224</v>
      </c>
      <c r="T5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3" s="74" cm="1">
        <f t="array" ref="U533">IF(SIP[[#This Row],[B/S]]="S",ABS(SIP[[#This Row],[Unit]])*(INDEX(SIP[NAV at Cost (Average)],MATCH(CONCATENATE((SIP[[#This Row],[Frequency]]-1),SIP[[#This Row],[Investor ID]]),SIP[Unique Code],0),0)),0)</f>
        <v>0</v>
      </c>
      <c r="V533" s="74">
        <f>IF(SIP[[#This Row],[BO TRANSFER]]="YES",SIP[[#This Row],[Unit]],)</f>
        <v>0</v>
      </c>
      <c r="W533" s="74">
        <f>SUMIFS(SIP[[#Headers],[BO UNIT TRANSFER]]:SIP[[#This Row],[BO UNIT TRANSFER]],SIP[[#Headers],[Investor ID]]:SIP[[#This Row],[Investor ID]],SIP[[#This Row],[Investor ID]])</f>
        <v>0</v>
      </c>
    </row>
    <row r="534" spans="1:23" ht="15" customHeight="1">
      <c r="A534" s="46">
        <v>2024</v>
      </c>
      <c r="B534" s="46">
        <v>5</v>
      </c>
      <c r="C534" s="46">
        <v>26</v>
      </c>
      <c r="D534" s="65">
        <f>DATE(SIP[[#This Row],[Year]],SIP[[#This Row],[Month]],SIP[[#This Row],[Day]])</f>
        <v>45438</v>
      </c>
      <c r="E534" s="66" t="str" cm="1">
        <f t="array" ref="E534">INDEX(INVESTORS_LIST[INVESTOR NAME],MATCH(SIP[[#This Row],[Investor ID]],INVESTORS_LIST[INVESTOR CODE],0),)</f>
        <v>SAJJAD CHOWDHURY</v>
      </c>
      <c r="F534" s="46" t="s">
        <v>461</v>
      </c>
      <c r="G534" s="46">
        <f>COUNTIF(SIP[[#Headers],[Investor ID]]:SIP[[#This Row],[Investor ID]],SIP[[#This Row],[Investor ID]])</f>
        <v>13</v>
      </c>
      <c r="H534" s="46" t="str">
        <f>CONCATENATE(SIP[[#This Row],[Frequency]],SIP[[#This Row],[Investor ID]])</f>
        <v>13A00206</v>
      </c>
      <c r="I534" s="46" t="str">
        <f>IF(SIP[[#This Row],[B/S]]="B","BUY",(IF(SIP[[#This Row],[B/S]]="S","SELL"," ")))</f>
        <v>BUY</v>
      </c>
      <c r="J534" s="46" t="s">
        <v>1229</v>
      </c>
      <c r="K534" s="69">
        <v>7500</v>
      </c>
      <c r="L534" s="69"/>
      <c r="M534" s="70">
        <f>SIP[[#This Row],[Amount]]/SIP[[#This Row],[Unit]]</f>
        <v>11.061946902654867</v>
      </c>
      <c r="N534" s="71">
        <f>SIP[[#This Row],[Unit Capital]]/10</f>
        <v>678</v>
      </c>
      <c r="O534" s="72">
        <f>SUMIFS(SIP[[#Headers],[Unit]]:SIP[[#This Row],[Unit]],SIP[[#Headers],[Investor ID]]:SIP[[#This Row],[Investor ID]],SIP[[#This Row],[Investor ID]])</f>
        <v>9189</v>
      </c>
      <c r="P534" s="73">
        <v>6780</v>
      </c>
      <c r="Q534" s="74">
        <f>SIP[[#This Row],[Amount]]-SIP[[#This Row],[Unit Capital]]</f>
        <v>720</v>
      </c>
      <c r="R53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10.610512569376429</v>
      </c>
      <c r="S534" s="68">
        <f t="shared" si="23"/>
        <v>14.224</v>
      </c>
      <c r="T5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4" s="74" cm="1">
        <f t="array" ref="U534">IF(SIP[[#This Row],[B/S]]="S",ABS(SIP[[#This Row],[Unit]])*(INDEX(SIP[NAV at Cost (Average)],MATCH(CONCATENATE((SIP[[#This Row],[Frequency]]-1),SIP[[#This Row],[Investor ID]]),SIP[Unique Code],0),0)),0)</f>
        <v>0</v>
      </c>
      <c r="V534" s="74">
        <f>IF(SIP[[#This Row],[BO TRANSFER]]="YES",SIP[[#This Row],[Unit]],)</f>
        <v>0</v>
      </c>
      <c r="W534" s="74">
        <f>SUMIFS(SIP[[#Headers],[BO UNIT TRANSFER]]:SIP[[#This Row],[BO UNIT TRANSFER]],SIP[[#Headers],[Investor ID]]:SIP[[#This Row],[Investor ID]],SIP[[#This Row],[Investor ID]])</f>
        <v>0</v>
      </c>
    </row>
    <row r="535" spans="1:23" ht="15" customHeight="1">
      <c r="A535" s="46">
        <v>2024</v>
      </c>
      <c r="B535" s="46">
        <v>5</v>
      </c>
      <c r="C535" s="46">
        <v>26</v>
      </c>
      <c r="D535" s="65">
        <f>DATE(SIP[[#This Row],[Year]],SIP[[#This Row],[Month]],SIP[[#This Row],[Day]])</f>
        <v>45438</v>
      </c>
      <c r="E535" s="66" t="str" cm="1">
        <f t="array" ref="E535">INDEX(INVESTORS_LIST[INVESTOR NAME],MATCH(SIP[[#This Row],[Investor ID]],INVESTORS_LIST[INVESTOR CODE],0),)</f>
        <v>S.M. SAIFUL ISLAM</v>
      </c>
      <c r="F535" s="46" t="s">
        <v>1002</v>
      </c>
      <c r="G535" s="46">
        <f>COUNTIF(SIP[[#Headers],[Investor ID]]:SIP[[#This Row],[Investor ID]],SIP[[#This Row],[Investor ID]])</f>
        <v>13</v>
      </c>
      <c r="H535" s="46" t="str">
        <f>CONCATENATE(SIP[[#This Row],[Frequency]],SIP[[#This Row],[Investor ID]])</f>
        <v>13A00478</v>
      </c>
      <c r="I535" s="46" t="str">
        <f>IF(SIP[[#This Row],[B/S]]="B","BUY",(IF(SIP[[#This Row],[B/S]]="S","SELL"," ")))</f>
        <v>BUY</v>
      </c>
      <c r="J535" s="46" t="s">
        <v>1229</v>
      </c>
      <c r="K535" s="69">
        <v>10000</v>
      </c>
      <c r="L535" s="69"/>
      <c r="M535" s="70">
        <f>SIP[[#This Row],[Amount]]/SIP[[#This Row],[Unit]]</f>
        <v>11.049723756906078</v>
      </c>
      <c r="N535" s="71">
        <f>SIP[[#This Row],[Unit Capital]]/10</f>
        <v>905</v>
      </c>
      <c r="O535" s="72">
        <f>SUMIFS(SIP[[#Headers],[Unit]]:SIP[[#This Row],[Unit]],SIP[[#Headers],[Investor ID]]:SIP[[#This Row],[Investor ID]],SIP[[#This Row],[Investor ID]])</f>
        <v>12256</v>
      </c>
      <c r="P535" s="73">
        <v>9050</v>
      </c>
      <c r="Q535" s="74">
        <f>SIP[[#This Row],[Amount]]-SIP[[#This Row],[Unit Capital]]</f>
        <v>950</v>
      </c>
      <c r="R53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10.607049608355092</v>
      </c>
      <c r="S535" s="68">
        <f t="shared" si="23"/>
        <v>14.224</v>
      </c>
      <c r="T5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5" s="74" cm="1">
        <f t="array" ref="U535">IF(SIP[[#This Row],[B/S]]="S",ABS(SIP[[#This Row],[Unit]])*(INDEX(SIP[NAV at Cost (Average)],MATCH(CONCATENATE((SIP[[#This Row],[Frequency]]-1),SIP[[#This Row],[Investor ID]]),SIP[Unique Code],0),0)),0)</f>
        <v>0</v>
      </c>
      <c r="V535" s="74">
        <f>IF(SIP[[#This Row],[BO TRANSFER]]="YES",SIP[[#This Row],[Unit]],)</f>
        <v>0</v>
      </c>
      <c r="W535" s="74">
        <f>SUMIFS(SIP[[#Headers],[BO UNIT TRANSFER]]:SIP[[#This Row],[BO UNIT TRANSFER]],SIP[[#Headers],[Investor ID]]:SIP[[#This Row],[Investor ID]],SIP[[#This Row],[Investor ID]])</f>
        <v>0</v>
      </c>
    </row>
    <row r="536" spans="1:23" ht="15" customHeight="1">
      <c r="A536" s="46">
        <v>2024</v>
      </c>
      <c r="B536" s="46">
        <v>5</v>
      </c>
      <c r="C536" s="46">
        <v>26</v>
      </c>
      <c r="D536" s="65">
        <f>DATE(SIP[[#This Row],[Year]],SIP[[#This Row],[Month]],SIP[[#This Row],[Day]])</f>
        <v>45438</v>
      </c>
      <c r="E536" s="66" t="str" cm="1">
        <f t="array" ref="E536">INDEX(INVESTORS_LIST[INVESTOR NAME],MATCH(SIP[[#This Row],[Investor ID]],INVESTORS_LIST[INVESTOR CODE],0),)</f>
        <v>MOHAMMED SHARIFUL ISLAM</v>
      </c>
      <c r="F536" s="46" t="s">
        <v>1028</v>
      </c>
      <c r="G536" s="46">
        <f>COUNTIF(SIP[[#Headers],[Investor ID]]:SIP[[#This Row],[Investor ID]],SIP[[#This Row],[Investor ID]])</f>
        <v>12</v>
      </c>
      <c r="H536" s="46" t="str">
        <f>CONCATENATE(SIP[[#This Row],[Frequency]],SIP[[#This Row],[Investor ID]])</f>
        <v>12A00491</v>
      </c>
      <c r="I536" s="46" t="str">
        <f>IF(SIP[[#This Row],[B/S]]="B","BUY",(IF(SIP[[#This Row],[B/S]]="S","SELL"," ")))</f>
        <v>BUY</v>
      </c>
      <c r="J536" s="46" t="s">
        <v>1229</v>
      </c>
      <c r="K536" s="69">
        <v>5000</v>
      </c>
      <c r="L536" s="69"/>
      <c r="M536" s="70">
        <f>SIP[[#This Row],[Amount]]/SIP[[#This Row],[Unit]]</f>
        <v>11.061946902654867</v>
      </c>
      <c r="N536" s="71">
        <f>SIP[[#This Row],[Unit Capital]]/10</f>
        <v>452</v>
      </c>
      <c r="O536" s="72">
        <f>SUMIFS(SIP[[#Headers],[Unit]]:SIP[[#This Row],[Unit]],SIP[[#Headers],[Investor ID]]:SIP[[#This Row],[Investor ID]],SIP[[#This Row],[Investor ID]])</f>
        <v>5635</v>
      </c>
      <c r="P536" s="73">
        <v>4520</v>
      </c>
      <c r="Q536" s="74">
        <f>SIP[[#This Row],[Amount]]-SIP[[#This Row],[Unit Capital]]</f>
        <v>480</v>
      </c>
      <c r="R53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6" s="68">
        <f t="shared" si="23"/>
        <v>14.224</v>
      </c>
      <c r="T5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6" s="74" cm="1">
        <f t="array" ref="U536">IF(SIP[[#This Row],[B/S]]="S",ABS(SIP[[#This Row],[Unit]])*(INDEX(SIP[NAV at Cost (Average)],MATCH(CONCATENATE((SIP[[#This Row],[Frequency]]-1),SIP[[#This Row],[Investor ID]]),SIP[Unique Code],0),0)),0)</f>
        <v>0</v>
      </c>
      <c r="V536" s="74">
        <f>IF(SIP[[#This Row],[BO TRANSFER]]="YES",SIP[[#This Row],[Unit]],)</f>
        <v>0</v>
      </c>
      <c r="W536" s="74">
        <f>SUMIFS(SIP[[#Headers],[BO UNIT TRANSFER]]:SIP[[#This Row],[BO UNIT TRANSFER]],SIP[[#Headers],[Investor ID]]:SIP[[#This Row],[Investor ID]],SIP[[#This Row],[Investor ID]])</f>
        <v>0</v>
      </c>
    </row>
    <row r="537" spans="1:23" ht="15" customHeight="1">
      <c r="A537" s="46">
        <v>2024</v>
      </c>
      <c r="B537" s="46">
        <v>5</v>
      </c>
      <c r="C537" s="46">
        <v>26</v>
      </c>
      <c r="D537" s="65">
        <f>DATE(SIP[[#This Row],[Year]],SIP[[#This Row],[Month]],SIP[[#This Row],[Day]])</f>
        <v>45438</v>
      </c>
      <c r="E537" s="66" t="str" cm="1">
        <f t="array" ref="E537">INDEX(INVESTORS_LIST[INVESTOR NAME],MATCH(SIP[[#This Row],[Investor ID]],INVESTORS_LIST[INVESTOR CODE],0),)</f>
        <v>ABU MUSA MIRZA KAMRUZZAMAN SHAHEE</v>
      </c>
      <c r="F537" s="46" t="s">
        <v>1012</v>
      </c>
      <c r="G537" s="46">
        <f>COUNTIF(SIP[[#Headers],[Investor ID]]:SIP[[#This Row],[Investor ID]],SIP[[#This Row],[Investor ID]])</f>
        <v>12</v>
      </c>
      <c r="H537" s="46" t="str">
        <f>CONCATENATE(SIP[[#This Row],[Frequency]],SIP[[#This Row],[Investor ID]])</f>
        <v>12A00483</v>
      </c>
      <c r="I537" s="46" t="str">
        <f>IF(SIP[[#This Row],[B/S]]="B","BUY",(IF(SIP[[#This Row],[B/S]]="S","SELL"," ")))</f>
        <v>BUY</v>
      </c>
      <c r="J537" s="46" t="s">
        <v>1229</v>
      </c>
      <c r="K537" s="69">
        <v>5000</v>
      </c>
      <c r="L537" s="69"/>
      <c r="M537" s="70">
        <f>SIP[[#This Row],[Amount]]/SIP[[#This Row],[Unit]]</f>
        <v>11.061946902654867</v>
      </c>
      <c r="N537" s="71">
        <f>SIP[[#This Row],[Unit Capital]]/10</f>
        <v>452</v>
      </c>
      <c r="O537" s="72">
        <f>SUMIFS(SIP[[#Headers],[Unit]]:SIP[[#This Row],[Unit]],SIP[[#Headers],[Investor ID]]:SIP[[#This Row],[Investor ID]],SIP[[#This Row],[Investor ID]])</f>
        <v>5635</v>
      </c>
      <c r="P537" s="73">
        <v>4520</v>
      </c>
      <c r="Q537" s="74">
        <f>SIP[[#This Row],[Amount]]-SIP[[#This Row],[Unit Capital]]</f>
        <v>480</v>
      </c>
      <c r="R53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7" s="68">
        <f t="shared" si="23"/>
        <v>14.224</v>
      </c>
      <c r="T5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7" s="74" cm="1">
        <f t="array" ref="U537">IF(SIP[[#This Row],[B/S]]="S",ABS(SIP[[#This Row],[Unit]])*(INDEX(SIP[NAV at Cost (Average)],MATCH(CONCATENATE((SIP[[#This Row],[Frequency]]-1),SIP[[#This Row],[Investor ID]]),SIP[Unique Code],0),0)),0)</f>
        <v>0</v>
      </c>
      <c r="V537" s="74">
        <f>IF(SIP[[#This Row],[BO TRANSFER]]="YES",SIP[[#This Row],[Unit]],)</f>
        <v>0</v>
      </c>
      <c r="W537" s="74">
        <f>SUMIFS(SIP[[#Headers],[BO UNIT TRANSFER]]:SIP[[#This Row],[BO UNIT TRANSFER]],SIP[[#Headers],[Investor ID]]:SIP[[#This Row],[Investor ID]],SIP[[#This Row],[Investor ID]])</f>
        <v>0</v>
      </c>
    </row>
    <row r="538" spans="1:23" ht="15" customHeight="1">
      <c r="A538" s="46">
        <v>2024</v>
      </c>
      <c r="B538" s="46">
        <v>5</v>
      </c>
      <c r="C538" s="46">
        <v>26</v>
      </c>
      <c r="D538" s="65">
        <f>DATE(SIP[[#This Row],[Year]],SIP[[#This Row],[Month]],SIP[[#This Row],[Day]])</f>
        <v>45438</v>
      </c>
      <c r="E538" s="66" t="str" cm="1">
        <f t="array" ref="E538">INDEX(INVESTORS_LIST[INVESTOR NAME],MATCH(SIP[[#This Row],[Investor ID]],INVESTORS_LIST[INVESTOR CODE],0),)</f>
        <v>SUMAN SAHA</v>
      </c>
      <c r="F538" s="46" t="s">
        <v>1022</v>
      </c>
      <c r="G538" s="46">
        <f>COUNTIF(SIP[[#Headers],[Investor ID]]:SIP[[#This Row],[Investor ID]],SIP[[#This Row],[Investor ID]])</f>
        <v>12</v>
      </c>
      <c r="H538" s="46" t="str">
        <f>CONCATENATE(SIP[[#This Row],[Frequency]],SIP[[#This Row],[Investor ID]])</f>
        <v>12A00488</v>
      </c>
      <c r="I538" s="46" t="str">
        <f>IF(SIP[[#This Row],[B/S]]="B","BUY",(IF(SIP[[#This Row],[B/S]]="S","SELL"," ")))</f>
        <v>BUY</v>
      </c>
      <c r="J538" s="46" t="s">
        <v>1229</v>
      </c>
      <c r="K538" s="69">
        <v>5000</v>
      </c>
      <c r="L538" s="69"/>
      <c r="M538" s="70">
        <f>SIP[[#This Row],[Amount]]/SIP[[#This Row],[Unit]]</f>
        <v>11.061946902654867</v>
      </c>
      <c r="N538" s="71">
        <f>SIP[[#This Row],[Unit Capital]]/10</f>
        <v>452</v>
      </c>
      <c r="O538" s="72">
        <f>SUMIFS(SIP[[#Headers],[Unit]]:SIP[[#This Row],[Unit]],SIP[[#Headers],[Investor ID]]:SIP[[#This Row],[Investor ID]],SIP[[#This Row],[Investor ID]])</f>
        <v>5635</v>
      </c>
      <c r="P538" s="73">
        <v>4520</v>
      </c>
      <c r="Q538" s="74">
        <f>SIP[[#This Row],[Amount]]-SIP[[#This Row],[Unit Capital]]</f>
        <v>480</v>
      </c>
      <c r="R53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8" s="68">
        <f t="shared" si="23"/>
        <v>14.224</v>
      </c>
      <c r="T5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8" s="74" cm="1">
        <f t="array" ref="U538">IF(SIP[[#This Row],[B/S]]="S",ABS(SIP[[#This Row],[Unit]])*(INDEX(SIP[NAV at Cost (Average)],MATCH(CONCATENATE((SIP[[#This Row],[Frequency]]-1),SIP[[#This Row],[Investor ID]]),SIP[Unique Code],0),0)),0)</f>
        <v>0</v>
      </c>
      <c r="V538" s="74">
        <f>IF(SIP[[#This Row],[BO TRANSFER]]="YES",SIP[[#This Row],[Unit]],)</f>
        <v>0</v>
      </c>
      <c r="W538" s="74">
        <f>SUMIFS(SIP[[#Headers],[BO UNIT TRANSFER]]:SIP[[#This Row],[BO UNIT TRANSFER]],SIP[[#Headers],[Investor ID]]:SIP[[#This Row],[Investor ID]],SIP[[#This Row],[Investor ID]])</f>
        <v>0</v>
      </c>
    </row>
    <row r="539" spans="1:23" ht="15" customHeight="1">
      <c r="A539" s="46">
        <v>2024</v>
      </c>
      <c r="B539" s="46">
        <v>5</v>
      </c>
      <c r="C539" s="46">
        <v>26</v>
      </c>
      <c r="D539" s="65">
        <f>DATE(SIP[[#This Row],[Year]],SIP[[#This Row],[Month]],SIP[[#This Row],[Day]])</f>
        <v>45438</v>
      </c>
      <c r="E539" s="66" t="str" cm="1">
        <f t="array" ref="E539">INDEX(INVESTORS_LIST[INVESTOR NAME],MATCH(SIP[[#This Row],[Investor ID]],INVESTORS_LIST[INVESTOR CODE],0),)</f>
        <v>AKASH DEEP PAUL</v>
      </c>
      <c r="F539" s="46" t="s">
        <v>286</v>
      </c>
      <c r="G539" s="46">
        <f>COUNTIF(SIP[[#Headers],[Investor ID]]:SIP[[#This Row],[Investor ID]],SIP[[#This Row],[Investor ID]])</f>
        <v>12</v>
      </c>
      <c r="H539" s="46" t="str">
        <f>CONCATENATE(SIP[[#This Row],[Frequency]],SIP[[#This Row],[Investor ID]])</f>
        <v>12A00119</v>
      </c>
      <c r="I539" s="46" t="str">
        <f>IF(SIP[[#This Row],[B/S]]="B","BUY",(IF(SIP[[#This Row],[B/S]]="S","SELL"," ")))</f>
        <v>BUY</v>
      </c>
      <c r="J539" s="46" t="s">
        <v>1229</v>
      </c>
      <c r="K539" s="69">
        <v>5000</v>
      </c>
      <c r="L539" s="69"/>
      <c r="M539" s="70">
        <f>SIP[[#This Row],[Amount]]/SIP[[#This Row],[Unit]]</f>
        <v>11.061946902654867</v>
      </c>
      <c r="N539" s="71">
        <f>SIP[[#This Row],[Unit Capital]]/10</f>
        <v>452</v>
      </c>
      <c r="O539" s="72">
        <f>SUMIFS(SIP[[#Headers],[Unit]]:SIP[[#This Row],[Unit]],SIP[[#Headers],[Investor ID]]:SIP[[#This Row],[Investor ID]],SIP[[#This Row],[Investor ID]])</f>
        <v>5635</v>
      </c>
      <c r="P539" s="73">
        <v>4520</v>
      </c>
      <c r="Q539" s="74">
        <f>SIP[[#This Row],[Amount]]-SIP[[#This Row],[Unit Capital]]</f>
        <v>480</v>
      </c>
      <c r="R53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10.64773735581189</v>
      </c>
      <c r="S539" s="68">
        <f t="shared" si="23"/>
        <v>14.224</v>
      </c>
      <c r="T5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9" s="74" cm="1">
        <f t="array" ref="U539">IF(SIP[[#This Row],[B/S]]="S",ABS(SIP[[#This Row],[Unit]])*(INDEX(SIP[NAV at Cost (Average)],MATCH(CONCATENATE((SIP[[#This Row],[Frequency]]-1),SIP[[#This Row],[Investor ID]]),SIP[Unique Code],0),0)),0)</f>
        <v>0</v>
      </c>
      <c r="V539" s="74">
        <f>IF(SIP[[#This Row],[BO TRANSFER]]="YES",SIP[[#This Row],[Unit]],)</f>
        <v>0</v>
      </c>
      <c r="W539" s="74">
        <f>SUMIFS(SIP[[#Headers],[BO UNIT TRANSFER]]:SIP[[#This Row],[BO UNIT TRANSFER]],SIP[[#Headers],[Investor ID]]:SIP[[#This Row],[Investor ID]],SIP[[#This Row],[Investor ID]])</f>
        <v>0</v>
      </c>
    </row>
    <row r="540" spans="1:23" ht="15" customHeight="1">
      <c r="A540" s="46">
        <v>2024</v>
      </c>
      <c r="B540" s="46">
        <v>5</v>
      </c>
      <c r="C540" s="46">
        <v>26</v>
      </c>
      <c r="D540" s="65">
        <f>DATE(SIP[[#This Row],[Year]],SIP[[#This Row],[Month]],SIP[[#This Row],[Day]])</f>
        <v>45438</v>
      </c>
      <c r="E540" s="66" t="str" cm="1">
        <f t="array" ref="E540">INDEX(INVESTORS_LIST[INVESTOR NAME],MATCH(SIP[[#This Row],[Investor ID]],INVESTORS_LIST[INVESTOR CODE],0),)</f>
        <v>JUBAIDA FARHANA HAQUE</v>
      </c>
      <c r="F540" s="46" t="s">
        <v>1065</v>
      </c>
      <c r="G540" s="46">
        <f>COUNTIF(SIP[[#Headers],[Investor ID]]:SIP[[#This Row],[Investor ID]],SIP[[#This Row],[Investor ID]])</f>
        <v>10</v>
      </c>
      <c r="H540" s="46" t="str">
        <f>CONCATENATE(SIP[[#This Row],[Frequency]],SIP[[#This Row],[Investor ID]])</f>
        <v>10A00510</v>
      </c>
      <c r="I540" s="46" t="str">
        <f>IF(SIP[[#This Row],[B/S]]="B","BUY",(IF(SIP[[#This Row],[B/S]]="S","SELL"," ")))</f>
        <v>BUY</v>
      </c>
      <c r="J540" s="46" t="s">
        <v>1229</v>
      </c>
      <c r="K540" s="69">
        <v>5000</v>
      </c>
      <c r="L540" s="69"/>
      <c r="M540" s="70">
        <f>SIP[[#This Row],[Amount]]/SIP[[#This Row],[Unit]]</f>
        <v>11.061946902654867</v>
      </c>
      <c r="N540" s="71">
        <f>SIP[[#This Row],[Unit Capital]]/10</f>
        <v>452</v>
      </c>
      <c r="O540" s="72">
        <f>SUMIFS(SIP[[#Headers],[Unit]]:SIP[[#This Row],[Unit]],SIP[[#Headers],[Investor ID]]:SIP[[#This Row],[Investor ID]],SIP[[#This Row],[Investor ID]])</f>
        <v>3711</v>
      </c>
      <c r="P540" s="73">
        <v>4520</v>
      </c>
      <c r="Q540" s="74">
        <f>SIP[[#This Row],[Amount]]-SIP[[#This Row],[Unit Capital]]</f>
        <v>480</v>
      </c>
      <c r="R54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10.783016133296268</v>
      </c>
      <c r="S540" s="68">
        <f t="shared" si="23"/>
        <v>14.224</v>
      </c>
      <c r="T5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0" s="74" cm="1">
        <f t="array" ref="U540">IF(SIP[[#This Row],[B/S]]="S",ABS(SIP[[#This Row],[Unit]])*(INDEX(SIP[NAV at Cost (Average)],MATCH(CONCATENATE((SIP[[#This Row],[Frequency]]-1),SIP[[#This Row],[Investor ID]]),SIP[Unique Code],0),0)),0)</f>
        <v>0</v>
      </c>
      <c r="V540" s="74">
        <f>IF(SIP[[#This Row],[BO TRANSFER]]="YES",SIP[[#This Row],[Unit]],)</f>
        <v>0</v>
      </c>
      <c r="W540" s="74">
        <f>SUMIFS(SIP[[#Headers],[BO UNIT TRANSFER]]:SIP[[#This Row],[BO UNIT TRANSFER]],SIP[[#Headers],[Investor ID]]:SIP[[#This Row],[Investor ID]],SIP[[#This Row],[Investor ID]])</f>
        <v>0</v>
      </c>
    </row>
    <row r="541" spans="1:23" ht="15" customHeight="1">
      <c r="A541" s="46">
        <v>2024</v>
      </c>
      <c r="B541" s="46">
        <v>5</v>
      </c>
      <c r="C541" s="46">
        <v>26</v>
      </c>
      <c r="D541" s="65">
        <f>DATE(SIP[[#This Row],[Year]],SIP[[#This Row],[Month]],SIP[[#This Row],[Day]])</f>
        <v>45438</v>
      </c>
      <c r="E541" s="66" t="str" cm="1">
        <f t="array" ref="E541">INDEX(INVESTORS_LIST[INVESTOR NAME],MATCH(SIP[[#This Row],[Investor ID]],INVESTORS_LIST[INVESTOR CODE],0),)</f>
        <v>TAPU GUHA</v>
      </c>
      <c r="F541" s="46" t="s">
        <v>483</v>
      </c>
      <c r="G541" s="46">
        <f>COUNTIF(SIP[[#Headers],[Investor ID]]:SIP[[#This Row],[Investor ID]],SIP[[#This Row],[Investor ID]])</f>
        <v>10</v>
      </c>
      <c r="H541" s="46" t="str">
        <f>CONCATENATE(SIP[[#This Row],[Frequency]],SIP[[#This Row],[Investor ID]])</f>
        <v>10A00217</v>
      </c>
      <c r="I541" s="46" t="str">
        <f>IF(SIP[[#This Row],[B/S]]="B","BUY",(IF(SIP[[#This Row],[B/S]]="S","SELL"," ")))</f>
        <v>BUY</v>
      </c>
      <c r="J541" s="46" t="s">
        <v>1229</v>
      </c>
      <c r="K541" s="69">
        <v>5000</v>
      </c>
      <c r="L541" s="69"/>
      <c r="M541" s="70">
        <f>SIP[[#This Row],[Amount]]/SIP[[#This Row],[Unit]]</f>
        <v>11.061946902654867</v>
      </c>
      <c r="N541" s="71">
        <f>SIP[[#This Row],[Unit Capital]]/10</f>
        <v>452</v>
      </c>
      <c r="O541" s="72">
        <f>SUMIFS(SIP[[#Headers],[Unit]]:SIP[[#This Row],[Unit]],SIP[[#Headers],[Investor ID]]:SIP[[#This Row],[Investor ID]],SIP[[#This Row],[Investor ID]])</f>
        <v>4662</v>
      </c>
      <c r="P541" s="73">
        <v>4520</v>
      </c>
      <c r="Q541" s="74">
        <f>SIP[[#This Row],[Amount]]-SIP[[#This Row],[Unit Capital]]</f>
        <v>480</v>
      </c>
      <c r="R54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10.725010725010724</v>
      </c>
      <c r="S541" s="68">
        <f t="shared" si="23"/>
        <v>14.224</v>
      </c>
      <c r="T5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1" s="74" cm="1">
        <f t="array" ref="U541">IF(SIP[[#This Row],[B/S]]="S",ABS(SIP[[#This Row],[Unit]])*(INDEX(SIP[NAV at Cost (Average)],MATCH(CONCATENATE((SIP[[#This Row],[Frequency]]-1),SIP[[#This Row],[Investor ID]]),SIP[Unique Code],0),0)),0)</f>
        <v>0</v>
      </c>
      <c r="V541" s="74">
        <f>IF(SIP[[#This Row],[BO TRANSFER]]="YES",SIP[[#This Row],[Unit]],)</f>
        <v>0</v>
      </c>
      <c r="W541" s="74">
        <f>SUMIFS(SIP[[#Headers],[BO UNIT TRANSFER]]:SIP[[#This Row],[BO UNIT TRANSFER]],SIP[[#Headers],[Investor ID]]:SIP[[#This Row],[Investor ID]],SIP[[#This Row],[Investor ID]])</f>
        <v>0</v>
      </c>
    </row>
    <row r="542" spans="1:23" ht="15" customHeight="1">
      <c r="A542" s="46">
        <v>2024</v>
      </c>
      <c r="B542" s="46">
        <v>5</v>
      </c>
      <c r="C542" s="46">
        <v>26</v>
      </c>
      <c r="D542" s="65">
        <f>DATE(SIP[[#This Row],[Year]],SIP[[#This Row],[Month]],SIP[[#This Row],[Day]])</f>
        <v>45438</v>
      </c>
      <c r="E542" s="66" t="str" cm="1">
        <f t="array" ref="E542">INDEX(INVESTORS_LIST[INVESTOR NAME],MATCH(SIP[[#This Row],[Investor ID]],INVESTORS_LIST[INVESTOR CODE],0),)</f>
        <v>MAYA RANI SAHA</v>
      </c>
      <c r="F542" s="46" t="s">
        <v>224</v>
      </c>
      <c r="G542" s="46">
        <f>COUNTIF(SIP[[#Headers],[Investor ID]]:SIP[[#This Row],[Investor ID]],SIP[[#This Row],[Investor ID]])</f>
        <v>14</v>
      </c>
      <c r="H542" s="46" t="str">
        <f>CONCATENATE(SIP[[#This Row],[Frequency]],SIP[[#This Row],[Investor ID]])</f>
        <v>14A00088</v>
      </c>
      <c r="I542" s="46" t="str">
        <f>IF(SIP[[#This Row],[B/S]]="B","BUY",(IF(SIP[[#This Row],[B/S]]="S","SELL"," ")))</f>
        <v>BUY</v>
      </c>
      <c r="J542" s="46" t="s">
        <v>1229</v>
      </c>
      <c r="K542" s="69">
        <v>14000</v>
      </c>
      <c r="L542" s="69"/>
      <c r="M542" s="70">
        <f>SIP[[#This Row],[Amount]]/SIP[[#This Row],[Unit]]</f>
        <v>11.049723756906078</v>
      </c>
      <c r="N542" s="71">
        <f>SIP[[#This Row],[Unit Capital]]/10</f>
        <v>1267</v>
      </c>
      <c r="O542" s="72">
        <f>SUMIFS(SIP[[#Headers],[Unit]]:SIP[[#This Row],[Unit]],SIP[[#Headers],[Investor ID]]:SIP[[#This Row],[Investor ID]],SIP[[#This Row],[Investor ID]])</f>
        <v>20069</v>
      </c>
      <c r="P542" s="73">
        <v>12670</v>
      </c>
      <c r="Q542" s="74">
        <f>SIP[[#This Row],[Amount]]-SIP[[#This Row],[Unit Capital]]</f>
        <v>1330</v>
      </c>
      <c r="R54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10.762868105037619</v>
      </c>
      <c r="S542" s="68">
        <f t="shared" si="23"/>
        <v>14.224</v>
      </c>
      <c r="T5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2" s="74" cm="1">
        <f t="array" ref="U542">IF(SIP[[#This Row],[B/S]]="S",ABS(SIP[[#This Row],[Unit]])*(INDEX(SIP[NAV at Cost (Average)],MATCH(CONCATENATE((SIP[[#This Row],[Frequency]]-1),SIP[[#This Row],[Investor ID]]),SIP[Unique Code],0),0)),0)</f>
        <v>0</v>
      </c>
      <c r="V542" s="74">
        <f>IF(SIP[[#This Row],[BO TRANSFER]]="YES",SIP[[#This Row],[Unit]],)</f>
        <v>0</v>
      </c>
      <c r="W542" s="74">
        <f>SUMIFS(SIP[[#Headers],[BO UNIT TRANSFER]]:SIP[[#This Row],[BO UNIT TRANSFER]],SIP[[#Headers],[Investor ID]]:SIP[[#This Row],[Investor ID]],SIP[[#This Row],[Investor ID]])</f>
        <v>0</v>
      </c>
    </row>
    <row r="543" spans="1:23" ht="15" customHeight="1">
      <c r="A543" s="46">
        <v>2024</v>
      </c>
      <c r="B543" s="46">
        <v>5</v>
      </c>
      <c r="C543" s="46">
        <v>26</v>
      </c>
      <c r="D543" s="65">
        <f>DATE(SIP[[#This Row],[Year]],SIP[[#This Row],[Month]],SIP[[#This Row],[Day]])</f>
        <v>45438</v>
      </c>
      <c r="E543" s="66" t="str" cm="1">
        <f t="array" ref="E543">INDEX(INVESTORS_LIST[INVESTOR NAME],MATCH(SIP[[#This Row],[Investor ID]],INVESTORS_LIST[INVESTOR CODE],0),)</f>
        <v>KHALED HOSSAIN</v>
      </c>
      <c r="F543" s="46" t="s">
        <v>1050</v>
      </c>
      <c r="G543" s="46">
        <f>COUNTIF(SIP[[#Headers],[Investor ID]]:SIP[[#This Row],[Investor ID]],SIP[[#This Row],[Investor ID]])</f>
        <v>18</v>
      </c>
      <c r="H543" s="46" t="str">
        <f>CONCATENATE(SIP[[#This Row],[Frequency]],SIP[[#This Row],[Investor ID]])</f>
        <v>18A00502</v>
      </c>
      <c r="I543" s="46" t="str">
        <f>IF(SIP[[#This Row],[B/S]]="B","BUY",(IF(SIP[[#This Row],[B/S]]="S","SELL"," ")))</f>
        <v>BUY</v>
      </c>
      <c r="J543" s="46" t="s">
        <v>1229</v>
      </c>
      <c r="K543" s="69">
        <v>10000</v>
      </c>
      <c r="L543" s="69"/>
      <c r="M543" s="70">
        <f>SIP[[#This Row],[Amount]]/SIP[[#This Row],[Unit]]</f>
        <v>11.049723756906078</v>
      </c>
      <c r="N543" s="71">
        <f>SIP[[#This Row],[Unit Capital]]/10</f>
        <v>905</v>
      </c>
      <c r="O543" s="72">
        <f>SUMIFS(SIP[[#Headers],[Unit]]:SIP[[#This Row],[Unit]],SIP[[#Headers],[Investor ID]]:SIP[[#This Row],[Investor ID]],SIP[[#This Row],[Investor ID]])</f>
        <v>20482</v>
      </c>
      <c r="P543" s="73">
        <v>9050</v>
      </c>
      <c r="Q543" s="74">
        <f>SIP[[#This Row],[Amount]]-SIP[[#This Row],[Unit Capital]]</f>
        <v>950</v>
      </c>
      <c r="R54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10.764812113907869</v>
      </c>
      <c r="S543" s="68">
        <f t="shared" si="23"/>
        <v>14.224</v>
      </c>
      <c r="T5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3" s="74" cm="1">
        <f t="array" ref="U543">IF(SIP[[#This Row],[B/S]]="S",ABS(SIP[[#This Row],[Unit]])*(INDEX(SIP[NAV at Cost (Average)],MATCH(CONCATENATE((SIP[[#This Row],[Frequency]]-1),SIP[[#This Row],[Investor ID]]),SIP[Unique Code],0),0)),0)</f>
        <v>0</v>
      </c>
      <c r="V543" s="74">
        <f>IF(SIP[[#This Row],[BO TRANSFER]]="YES",SIP[[#This Row],[Unit]],)</f>
        <v>0</v>
      </c>
      <c r="W543" s="74">
        <f>SUMIFS(SIP[[#Headers],[BO UNIT TRANSFER]]:SIP[[#This Row],[BO UNIT TRANSFER]],SIP[[#Headers],[Investor ID]]:SIP[[#This Row],[Investor ID]],SIP[[#This Row],[Investor ID]])</f>
        <v>0</v>
      </c>
    </row>
    <row r="544" spans="1:23" ht="15" customHeight="1">
      <c r="A544" s="46">
        <v>2024</v>
      </c>
      <c r="B544" s="46">
        <v>5</v>
      </c>
      <c r="C544" s="46">
        <v>26</v>
      </c>
      <c r="D544" s="65">
        <f>DATE(SIP[[#This Row],[Year]],SIP[[#This Row],[Month]],SIP[[#This Row],[Day]])</f>
        <v>45438</v>
      </c>
      <c r="E544" s="66" t="str" cm="1">
        <f t="array" ref="E544">INDEX(INVESTORS_LIST[INVESTOR NAME],MATCH(SIP[[#This Row],[Investor ID]],INVESTORS_LIST[INVESTOR CODE],0),)</f>
        <v>MOHAMMAD SAMIUL ALAM</v>
      </c>
      <c r="F544" s="46" t="s">
        <v>537</v>
      </c>
      <c r="G544" s="46">
        <f>COUNTIF(SIP[[#Headers],[Investor ID]]:SIP[[#This Row],[Investor ID]],SIP[[#This Row],[Investor ID]])</f>
        <v>10</v>
      </c>
      <c r="H544" s="46" t="str">
        <f>CONCATENATE(SIP[[#This Row],[Frequency]],SIP[[#This Row],[Investor ID]])</f>
        <v>10A00244</v>
      </c>
      <c r="I544" s="46" t="str">
        <f>IF(SIP[[#This Row],[B/S]]="B","BUY",(IF(SIP[[#This Row],[B/S]]="S","SELL"," ")))</f>
        <v>BUY</v>
      </c>
      <c r="J544" s="46" t="s">
        <v>1229</v>
      </c>
      <c r="K544" s="69">
        <v>20000</v>
      </c>
      <c r="L544" s="69"/>
      <c r="M544" s="70">
        <f>SIP[[#This Row],[Amount]]/SIP[[#This Row],[Unit]]</f>
        <v>11.055831951354339</v>
      </c>
      <c r="N544" s="71">
        <f>SIP[[#This Row],[Unit Capital]]/10</f>
        <v>1809</v>
      </c>
      <c r="O544" s="72">
        <f>SUMIFS(SIP[[#Headers],[Unit]]:SIP[[#This Row],[Unit]],SIP[[#Headers],[Investor ID]]:SIP[[#This Row],[Investor ID]],SIP[[#This Row],[Investor ID]])</f>
        <v>18665</v>
      </c>
      <c r="P544" s="73">
        <v>18090</v>
      </c>
      <c r="Q544" s="74">
        <f>SIP[[#This Row],[Amount]]-SIP[[#This Row],[Unit Capital]]</f>
        <v>1910</v>
      </c>
      <c r="R54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10.715242432360032</v>
      </c>
      <c r="S544" s="68">
        <f t="shared" si="23"/>
        <v>14.224</v>
      </c>
      <c r="T5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4" s="74" cm="1">
        <f t="array" ref="U544">IF(SIP[[#This Row],[B/S]]="S",ABS(SIP[[#This Row],[Unit]])*(INDEX(SIP[NAV at Cost (Average)],MATCH(CONCATENATE((SIP[[#This Row],[Frequency]]-1),SIP[[#This Row],[Investor ID]]),SIP[Unique Code],0),0)),0)</f>
        <v>0</v>
      </c>
      <c r="V544" s="74">
        <f>IF(SIP[[#This Row],[BO TRANSFER]]="YES",SIP[[#This Row],[Unit]],)</f>
        <v>0</v>
      </c>
      <c r="W544" s="74">
        <f>SUMIFS(SIP[[#Headers],[BO UNIT TRANSFER]]:SIP[[#This Row],[BO UNIT TRANSFER]],SIP[[#Headers],[Investor ID]]:SIP[[#This Row],[Investor ID]],SIP[[#This Row],[Investor ID]])</f>
        <v>0</v>
      </c>
    </row>
    <row r="545" spans="1:23" ht="15" customHeight="1">
      <c r="A545" s="46">
        <v>2024</v>
      </c>
      <c r="B545" s="46">
        <v>5</v>
      </c>
      <c r="C545" s="46">
        <v>26</v>
      </c>
      <c r="D545" s="65">
        <f>DATE(SIP[[#This Row],[Year]],SIP[[#This Row],[Month]],SIP[[#This Row],[Day]])</f>
        <v>45438</v>
      </c>
      <c r="E545" s="66" t="str" cm="1">
        <f t="array" ref="E545">INDEX(INVESTORS_LIST[INVESTOR NAME],MATCH(SIP[[#This Row],[Investor ID]],INVESTORS_LIST[INVESTOR CODE],0),)</f>
        <v>MRINMOY GHOSH</v>
      </c>
      <c r="F545" s="46" t="s">
        <v>69</v>
      </c>
      <c r="G545" s="46">
        <f>COUNTIF(SIP[[#Headers],[Investor ID]]:SIP[[#This Row],[Investor ID]],SIP[[#This Row],[Investor ID]])</f>
        <v>9</v>
      </c>
      <c r="H545" s="46" t="str">
        <f>CONCATENATE(SIP[[#This Row],[Frequency]],SIP[[#This Row],[Investor ID]])</f>
        <v>9A00012</v>
      </c>
      <c r="I545" s="46" t="str">
        <f>IF(SIP[[#This Row],[B/S]]="B","BUY",(IF(SIP[[#This Row],[B/S]]="S","SELL"," ")))</f>
        <v>BUY</v>
      </c>
      <c r="J545" s="46" t="s">
        <v>1229</v>
      </c>
      <c r="K545" s="69">
        <v>10000</v>
      </c>
      <c r="L545" s="69"/>
      <c r="M545" s="70">
        <f>SIP[[#This Row],[Amount]]/SIP[[#This Row],[Unit]]</f>
        <v>11.049723756906078</v>
      </c>
      <c r="N545" s="71">
        <f>SIP[[#This Row],[Unit Capital]]/10</f>
        <v>905</v>
      </c>
      <c r="O545" s="72">
        <f>SUMIFS(SIP[[#Headers],[Unit]]:SIP[[#This Row],[Unit]],SIP[[#Headers],[Investor ID]]:SIP[[#This Row],[Investor ID]],SIP[[#This Row],[Investor ID]])</f>
        <v>8374</v>
      </c>
      <c r="P545" s="73">
        <v>9050</v>
      </c>
      <c r="Q545" s="74">
        <f>SIP[[#This Row],[Amount]]-SIP[[#This Row],[Unit Capital]]</f>
        <v>950</v>
      </c>
      <c r="R54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10.747551946501076</v>
      </c>
      <c r="S545" s="68">
        <f t="shared" si="23"/>
        <v>14.224</v>
      </c>
      <c r="T5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5" s="74" cm="1">
        <f t="array" ref="U545">IF(SIP[[#This Row],[B/S]]="S",ABS(SIP[[#This Row],[Unit]])*(INDEX(SIP[NAV at Cost (Average)],MATCH(CONCATENATE((SIP[[#This Row],[Frequency]]-1),SIP[[#This Row],[Investor ID]]),SIP[Unique Code],0),0)),0)</f>
        <v>0</v>
      </c>
      <c r="V545" s="74">
        <f>IF(SIP[[#This Row],[BO TRANSFER]]="YES",SIP[[#This Row],[Unit]],)</f>
        <v>0</v>
      </c>
      <c r="W545" s="74">
        <f>SUMIFS(SIP[[#Headers],[BO UNIT TRANSFER]]:SIP[[#This Row],[BO UNIT TRANSFER]],SIP[[#Headers],[Investor ID]]:SIP[[#This Row],[Investor ID]],SIP[[#This Row],[Investor ID]])</f>
        <v>0</v>
      </c>
    </row>
    <row r="546" spans="1:23" ht="15" customHeight="1">
      <c r="A546" s="46">
        <v>2024</v>
      </c>
      <c r="B546" s="46">
        <v>5</v>
      </c>
      <c r="C546" s="46">
        <v>26</v>
      </c>
      <c r="D546" s="65">
        <f>DATE(SIP[[#This Row],[Year]],SIP[[#This Row],[Month]],SIP[[#This Row],[Day]])</f>
        <v>45438</v>
      </c>
      <c r="E546" s="66" t="str" cm="1">
        <f t="array" ref="E546">INDEX(INVESTORS_LIST[INVESTOR NAME],MATCH(SIP[[#This Row],[Investor ID]],INVESTORS_LIST[INVESTOR CODE],0),)</f>
        <v>ADNAN RASHID</v>
      </c>
      <c r="F546" s="46" t="s">
        <v>252</v>
      </c>
      <c r="G546" s="46">
        <f>COUNTIF(SIP[[#Headers],[Investor ID]]:SIP[[#This Row],[Investor ID]],SIP[[#This Row],[Investor ID]])</f>
        <v>10</v>
      </c>
      <c r="H546" s="46" t="str">
        <f>CONCATENATE(SIP[[#This Row],[Frequency]],SIP[[#This Row],[Investor ID]])</f>
        <v>10A00102</v>
      </c>
      <c r="I546" s="46" t="str">
        <f>IF(SIP[[#This Row],[B/S]]="B","BUY",(IF(SIP[[#This Row],[B/S]]="S","SELL"," ")))</f>
        <v>BUY</v>
      </c>
      <c r="J546" s="46" t="s">
        <v>1229</v>
      </c>
      <c r="K546" s="69">
        <v>30000</v>
      </c>
      <c r="L546" s="69"/>
      <c r="M546" s="70">
        <f>SIP[[#This Row],[Amount]]/SIP[[#This Row],[Unit]]</f>
        <v>11.053795136330139</v>
      </c>
      <c r="N546" s="71">
        <f>SIP[[#This Row],[Unit Capital]]/10</f>
        <v>2714</v>
      </c>
      <c r="O546" s="72">
        <f>SUMIFS(SIP[[#Headers],[Unit]]:SIP[[#This Row],[Unit]],SIP[[#Headers],[Investor ID]]:SIP[[#This Row],[Investor ID]],SIP[[#This Row],[Investor ID]])</f>
        <v>6922</v>
      </c>
      <c r="P546" s="73">
        <v>27140</v>
      </c>
      <c r="Q546" s="74">
        <f>SIP[[#This Row],[Amount]]-SIP[[#This Row],[Unit Capital]]</f>
        <v>2860</v>
      </c>
      <c r="R54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10.845948101138578</v>
      </c>
      <c r="S546" s="68">
        <f t="shared" si="23"/>
        <v>14.224</v>
      </c>
      <c r="T5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6" s="74" cm="1">
        <f t="array" ref="U546">IF(SIP[[#This Row],[B/S]]="S",ABS(SIP[[#This Row],[Unit]])*(INDEX(SIP[NAV at Cost (Average)],MATCH(CONCATENATE((SIP[[#This Row],[Frequency]]-1),SIP[[#This Row],[Investor ID]]),SIP[Unique Code],0),0)),0)</f>
        <v>0</v>
      </c>
      <c r="V546" s="74">
        <f>IF(SIP[[#This Row],[BO TRANSFER]]="YES",SIP[[#This Row],[Unit]],)</f>
        <v>0</v>
      </c>
      <c r="W546" s="74">
        <f>SUMIFS(SIP[[#Headers],[BO UNIT TRANSFER]]:SIP[[#This Row],[BO UNIT TRANSFER]],SIP[[#Headers],[Investor ID]]:SIP[[#This Row],[Investor ID]],SIP[[#This Row],[Investor ID]])</f>
        <v>0</v>
      </c>
    </row>
    <row r="547" spans="1:23" ht="15" customHeight="1">
      <c r="A547" s="46">
        <v>2024</v>
      </c>
      <c r="B547" s="46">
        <v>5</v>
      </c>
      <c r="C547" s="46">
        <v>26</v>
      </c>
      <c r="D547" s="65">
        <f>DATE(SIP[[#This Row],[Year]],SIP[[#This Row],[Month]],SIP[[#This Row],[Day]])</f>
        <v>45438</v>
      </c>
      <c r="E547" s="66" t="str" cm="1">
        <f t="array" ref="E547">INDEX(INVESTORS_LIST[INVESTOR NAME],MATCH(SIP[[#This Row],[Investor ID]],INVESTORS_LIST[INVESTOR CODE],0),)</f>
        <v>MD ABDULLAH-AL- MAMUN</v>
      </c>
      <c r="F547" s="46" t="s">
        <v>533</v>
      </c>
      <c r="G547" s="46">
        <f>COUNTIF(SIP[[#Headers],[Investor ID]]:SIP[[#This Row],[Investor ID]],SIP[[#This Row],[Investor ID]])</f>
        <v>8</v>
      </c>
      <c r="H547" s="46" t="str">
        <f>CONCATENATE(SIP[[#This Row],[Frequency]],SIP[[#This Row],[Investor ID]])</f>
        <v>8A00242</v>
      </c>
      <c r="I547" s="46" t="str">
        <f>IF(SIP[[#This Row],[B/S]]="B","BUY",(IF(SIP[[#This Row],[B/S]]="S","SELL"," ")))</f>
        <v>BUY</v>
      </c>
      <c r="J547" s="46" t="s">
        <v>1229</v>
      </c>
      <c r="K547" s="69">
        <v>15000</v>
      </c>
      <c r="L547" s="69"/>
      <c r="M547" s="70">
        <f>SIP[[#This Row],[Amount]]/SIP[[#This Row],[Unit]]</f>
        <v>11.053795136330139</v>
      </c>
      <c r="N547" s="71">
        <f>SIP[[#This Row],[Unit Capital]]/10</f>
        <v>1357</v>
      </c>
      <c r="O547" s="72">
        <f>SUMIFS(SIP[[#Headers],[Unit]]:SIP[[#This Row],[Unit]],SIP[[#Headers],[Investor ID]]:SIP[[#This Row],[Investor ID]],SIP[[#This Row],[Investor ID]])</f>
        <v>11128</v>
      </c>
      <c r="P547" s="73">
        <v>13570</v>
      </c>
      <c r="Q547" s="74">
        <f>SIP[[#This Row],[Amount]]-SIP[[#This Row],[Unit Capital]]</f>
        <v>1430</v>
      </c>
      <c r="R54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10.783608914450038</v>
      </c>
      <c r="S547" s="68">
        <f t="shared" si="23"/>
        <v>14.224</v>
      </c>
      <c r="T5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7" s="74" cm="1">
        <f t="array" ref="U547">IF(SIP[[#This Row],[B/S]]="S",ABS(SIP[[#This Row],[Unit]])*(INDEX(SIP[NAV at Cost (Average)],MATCH(CONCATENATE((SIP[[#This Row],[Frequency]]-1),SIP[[#This Row],[Investor ID]]),SIP[Unique Code],0),0)),0)</f>
        <v>0</v>
      </c>
      <c r="V547" s="74">
        <f>IF(SIP[[#This Row],[BO TRANSFER]]="YES",SIP[[#This Row],[Unit]],)</f>
        <v>0</v>
      </c>
      <c r="W547" s="74">
        <f>SUMIFS(SIP[[#Headers],[BO UNIT TRANSFER]]:SIP[[#This Row],[BO UNIT TRANSFER]],SIP[[#Headers],[Investor ID]]:SIP[[#This Row],[Investor ID]],SIP[[#This Row],[Investor ID]])</f>
        <v>0</v>
      </c>
    </row>
    <row r="548" spans="1:23" ht="15" customHeight="1">
      <c r="A548" s="46">
        <v>2024</v>
      </c>
      <c r="B548" s="46">
        <v>5</v>
      </c>
      <c r="C548" s="46">
        <v>26</v>
      </c>
      <c r="D548" s="65">
        <f>DATE(SIP[[#This Row],[Year]],SIP[[#This Row],[Month]],SIP[[#This Row],[Day]])</f>
        <v>45438</v>
      </c>
      <c r="E548" s="66" t="str" cm="1">
        <f t="array" ref="E548">INDEX(INVESTORS_LIST[INVESTOR NAME],MATCH(SIP[[#This Row],[Investor ID]],INVESTORS_LIST[INVESTOR CODE],0),)</f>
        <v>MAYA RANI SAHA</v>
      </c>
      <c r="F548" s="46" t="s">
        <v>224</v>
      </c>
      <c r="G548" s="46">
        <f>COUNTIF(SIP[[#Headers],[Investor ID]]:SIP[[#This Row],[Investor ID]],SIP[[#This Row],[Investor ID]])</f>
        <v>15</v>
      </c>
      <c r="H548" s="46" t="str">
        <f>CONCATENATE(SIP[[#This Row],[Frequency]],SIP[[#This Row],[Investor ID]])</f>
        <v>15A00088</v>
      </c>
      <c r="I548" s="46" t="str">
        <f>IF(SIP[[#This Row],[B/S]]="B","BUY",(IF(SIP[[#This Row],[B/S]]="S","SELL"," ")))</f>
        <v>BUY</v>
      </c>
      <c r="J548" s="46" t="s">
        <v>1229</v>
      </c>
      <c r="K548" s="69">
        <v>20000</v>
      </c>
      <c r="L548" s="69"/>
      <c r="M548" s="70">
        <f>SIP[[#This Row],[Amount]]/SIP[[#This Row],[Unit]]</f>
        <v>11.055831951354339</v>
      </c>
      <c r="N548" s="71">
        <f>SIP[[#This Row],[Unit Capital]]/10</f>
        <v>1809</v>
      </c>
      <c r="O548" s="72">
        <f>SUMIFS(SIP[[#Headers],[Unit]]:SIP[[#This Row],[Unit]],SIP[[#Headers],[Investor ID]]:SIP[[#This Row],[Investor ID]],SIP[[#This Row],[Investor ID]])</f>
        <v>21878</v>
      </c>
      <c r="P548" s="73">
        <v>18090</v>
      </c>
      <c r="Q548" s="74">
        <f>SIP[[#This Row],[Amount]]-SIP[[#This Row],[Unit Capital]]</f>
        <v>1910</v>
      </c>
      <c r="R54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10.787092055946612</v>
      </c>
      <c r="S548" s="68">
        <f t="shared" si="23"/>
        <v>14.224</v>
      </c>
      <c r="T5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8" s="74" cm="1">
        <f t="array" ref="U548">IF(SIP[[#This Row],[B/S]]="S",ABS(SIP[[#This Row],[Unit]])*(INDEX(SIP[NAV at Cost (Average)],MATCH(CONCATENATE((SIP[[#This Row],[Frequency]]-1),SIP[[#This Row],[Investor ID]]),SIP[Unique Code],0),0)),0)</f>
        <v>0</v>
      </c>
      <c r="V548" s="74">
        <f>IF(SIP[[#This Row],[BO TRANSFER]]="YES",SIP[[#This Row],[Unit]],)</f>
        <v>0</v>
      </c>
      <c r="W548" s="74">
        <f>SUMIFS(SIP[[#Headers],[BO UNIT TRANSFER]]:SIP[[#This Row],[BO UNIT TRANSFER]],SIP[[#Headers],[Investor ID]]:SIP[[#This Row],[Investor ID]],SIP[[#This Row],[Investor ID]])</f>
        <v>0</v>
      </c>
    </row>
    <row r="549" spans="1:23" ht="15" customHeight="1">
      <c r="A549" s="46">
        <v>2024</v>
      </c>
      <c r="B549" s="46">
        <v>5</v>
      </c>
      <c r="C549" s="46">
        <v>26</v>
      </c>
      <c r="D549" s="65">
        <f>DATE(SIP[[#This Row],[Year]],SIP[[#This Row],[Month]],SIP[[#This Row],[Day]])</f>
        <v>45438</v>
      </c>
      <c r="E549" s="66" t="str" cm="1">
        <f t="array" ref="E549">INDEX(INVESTORS_LIST[INVESTOR NAME],MATCH(SIP[[#This Row],[Investor ID]],INVESTORS_LIST[INVESTOR CODE],0),)</f>
        <v>MUHAMMAD SHOHIDUZZAMAN</v>
      </c>
      <c r="F549" s="46" t="s">
        <v>986</v>
      </c>
      <c r="G549" s="46">
        <f>COUNTIF(SIP[[#Headers],[Investor ID]]:SIP[[#This Row],[Investor ID]],SIP[[#This Row],[Investor ID]])</f>
        <v>7</v>
      </c>
      <c r="H549" s="46" t="str">
        <f>CONCATENATE(SIP[[#This Row],[Frequency]],SIP[[#This Row],[Investor ID]])</f>
        <v>7A00470</v>
      </c>
      <c r="I549" s="46" t="str">
        <f>IF(SIP[[#This Row],[B/S]]="B","BUY",(IF(SIP[[#This Row],[B/S]]="S","SELL"," ")))</f>
        <v>BUY</v>
      </c>
      <c r="J549" s="46" t="s">
        <v>1229</v>
      </c>
      <c r="K549" s="69">
        <v>10000</v>
      </c>
      <c r="L549" s="122" t="s">
        <v>1230</v>
      </c>
      <c r="M549" s="70">
        <f>SIP[[#This Row],[Amount]]/SIP[[#This Row],[Unit]]</f>
        <v>11.049723756906078</v>
      </c>
      <c r="N549" s="71">
        <f>SIP[[#This Row],[Unit Capital]]/10</f>
        <v>905</v>
      </c>
      <c r="O549" s="72">
        <f>SUMIFS(SIP[[#Headers],[Unit]]:SIP[[#This Row],[Unit]],SIP[[#Headers],[Investor ID]]:SIP[[#This Row],[Investor ID]],SIP[[#This Row],[Investor ID]])</f>
        <v>6471</v>
      </c>
      <c r="P549" s="73">
        <v>9050</v>
      </c>
      <c r="Q549" s="74">
        <f>SIP[[#This Row],[Amount]]-SIP[[#This Row],[Unit Capital]]</f>
        <v>950</v>
      </c>
      <c r="R54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10.81749343223613</v>
      </c>
      <c r="S549" s="68">
        <f t="shared" si="23"/>
        <v>14.224</v>
      </c>
      <c r="T5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9" s="74" cm="1">
        <f t="array" ref="U549">IF(SIP[[#This Row],[B/S]]="S",ABS(SIP[[#This Row],[Unit]])*(INDEX(SIP[NAV at Cost (Average)],MATCH(CONCATENATE((SIP[[#This Row],[Frequency]]-1),SIP[[#This Row],[Investor ID]]),SIP[Unique Code],0),0)),0)</f>
        <v>0</v>
      </c>
      <c r="V549" s="74">
        <f>IF(SIP[[#This Row],[BO TRANSFER]]="YES",SIP[[#This Row],[Unit]],)</f>
        <v>905</v>
      </c>
      <c r="W549" s="74">
        <f>SUMIFS(SIP[[#Headers],[BO UNIT TRANSFER]]:SIP[[#This Row],[BO UNIT TRANSFER]],SIP[[#Headers],[Investor ID]]:SIP[[#This Row],[Investor ID]],SIP[[#This Row],[Investor ID]])</f>
        <v>6471</v>
      </c>
    </row>
    <row r="550" spans="1:23" ht="15" customHeight="1">
      <c r="A550" s="46">
        <v>2024</v>
      </c>
      <c r="B550" s="46">
        <v>5</v>
      </c>
      <c r="C550" s="46">
        <v>26</v>
      </c>
      <c r="D550" s="65">
        <f>DATE(SIP[[#This Row],[Year]],SIP[[#This Row],[Month]],SIP[[#This Row],[Day]])</f>
        <v>45438</v>
      </c>
      <c r="E550" s="66" t="str" cm="1">
        <f t="array" ref="E550">INDEX(INVESTORS_LIST[INVESTOR NAME],MATCH(SIP[[#This Row],[Investor ID]],INVESTORS_LIST[INVESTOR CODE],0),)</f>
        <v>KHALED HOSSAIN</v>
      </c>
      <c r="F550" s="46" t="s">
        <v>1050</v>
      </c>
      <c r="G550" s="46">
        <f>COUNTIF(SIP[[#Headers],[Investor ID]]:SIP[[#This Row],[Investor ID]],SIP[[#This Row],[Investor ID]])</f>
        <v>19</v>
      </c>
      <c r="H550" s="46" t="str">
        <f>CONCATENATE(SIP[[#This Row],[Frequency]],SIP[[#This Row],[Investor ID]])</f>
        <v>19A00502</v>
      </c>
      <c r="I550" s="46" t="str">
        <f>IF(SIP[[#This Row],[B/S]]="B","BUY",(IF(SIP[[#This Row],[B/S]]="S","SELL"," ")))</f>
        <v>BUY</v>
      </c>
      <c r="J550" s="46" t="s">
        <v>1229</v>
      </c>
      <c r="K550" s="69">
        <v>25000</v>
      </c>
      <c r="L550" s="69"/>
      <c r="M550" s="70">
        <f>SIP[[#This Row],[Amount]]/SIP[[#This Row],[Unit]]</f>
        <v>11.052166224580018</v>
      </c>
      <c r="N550" s="71">
        <f>SIP[[#This Row],[Unit Capital]]/10</f>
        <v>2262</v>
      </c>
      <c r="O550" s="72">
        <f>SUMIFS(SIP[[#Headers],[Unit]]:SIP[[#This Row],[Unit]],SIP[[#Headers],[Investor ID]]:SIP[[#This Row],[Investor ID]],SIP[[#This Row],[Investor ID]])</f>
        <v>22744</v>
      </c>
      <c r="P550" s="73">
        <v>22620</v>
      </c>
      <c r="Q550" s="74">
        <f>SIP[[#This Row],[Amount]]-SIP[[#This Row],[Unit Capital]]</f>
        <v>2380</v>
      </c>
      <c r="R55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10.793390859877812</v>
      </c>
      <c r="S550" s="68">
        <f t="shared" si="23"/>
        <v>14.224</v>
      </c>
      <c r="T5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0" s="74" cm="1">
        <f t="array" ref="U550">IF(SIP[[#This Row],[B/S]]="S",ABS(SIP[[#This Row],[Unit]])*(INDEX(SIP[NAV at Cost (Average)],MATCH(CONCATENATE((SIP[[#This Row],[Frequency]]-1),SIP[[#This Row],[Investor ID]]),SIP[Unique Code],0),0)),0)</f>
        <v>0</v>
      </c>
      <c r="V550" s="74">
        <f>IF(SIP[[#This Row],[BO TRANSFER]]="YES",SIP[[#This Row],[Unit]],)</f>
        <v>0</v>
      </c>
      <c r="W550" s="74">
        <f>SUMIFS(SIP[[#Headers],[BO UNIT TRANSFER]]:SIP[[#This Row],[BO UNIT TRANSFER]],SIP[[#Headers],[Investor ID]]:SIP[[#This Row],[Investor ID]],SIP[[#This Row],[Investor ID]])</f>
        <v>0</v>
      </c>
    </row>
    <row r="551" spans="1:23" ht="15" customHeight="1">
      <c r="A551" s="46">
        <v>2024</v>
      </c>
      <c r="B551" s="46">
        <v>5</v>
      </c>
      <c r="C551" s="46">
        <v>26</v>
      </c>
      <c r="D551" s="65">
        <f>DATE(SIP[[#This Row],[Year]],SIP[[#This Row],[Month]],SIP[[#This Row],[Day]])</f>
        <v>45438</v>
      </c>
      <c r="E551" s="66" t="str" cm="1">
        <f t="array" ref="E551">INDEX(INVESTORS_LIST[INVESTOR NAME],MATCH(SIP[[#This Row],[Investor ID]],INVESTORS_LIST[INVESTOR CODE],0),)</f>
        <v>MOHAMMAD HASAN IMAM</v>
      </c>
      <c r="F551" s="46" t="s">
        <v>1122</v>
      </c>
      <c r="G551" s="46">
        <f>COUNTIF(SIP[[#Headers],[Investor ID]]:SIP[[#This Row],[Investor ID]],SIP[[#This Row],[Investor ID]])</f>
        <v>2</v>
      </c>
      <c r="H551" s="46" t="str">
        <f>CONCATENATE(SIP[[#This Row],[Frequency]],SIP[[#This Row],[Investor ID]])</f>
        <v>2A00536</v>
      </c>
      <c r="I551" s="46" t="str">
        <f>IF(SIP[[#This Row],[B/S]]="B","BUY",(IF(SIP[[#This Row],[B/S]]="S","SELL"," ")))</f>
        <v>BUY</v>
      </c>
      <c r="J551" s="46" t="s">
        <v>1229</v>
      </c>
      <c r="K551" s="69">
        <v>5000</v>
      </c>
      <c r="L551" s="69"/>
      <c r="M551" s="70">
        <f>SIP[[#This Row],[Amount]]/SIP[[#This Row],[Unit]]</f>
        <v>11.061946902654867</v>
      </c>
      <c r="N551" s="71">
        <f>SIP[[#This Row],[Unit Capital]]/10</f>
        <v>452</v>
      </c>
      <c r="O551" s="72">
        <f>SUMIFS(SIP[[#Headers],[Unit]]:SIP[[#This Row],[Unit]],SIP[[#Headers],[Investor ID]]:SIP[[#This Row],[Investor ID]],SIP[[#This Row],[Investor ID]])</f>
        <v>907</v>
      </c>
      <c r="P551" s="73">
        <v>4520</v>
      </c>
      <c r="Q551" s="74">
        <f>SIP[[#This Row],[Amount]]-SIP[[#This Row],[Unit Capital]]</f>
        <v>480</v>
      </c>
      <c r="R55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11.025358324145534</v>
      </c>
      <c r="S551" s="68">
        <f t="shared" si="23"/>
        <v>14.224</v>
      </c>
      <c r="T5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1" s="74" cm="1">
        <f t="array" ref="U551">IF(SIP[[#This Row],[B/S]]="S",ABS(SIP[[#This Row],[Unit]])*(INDEX(SIP[NAV at Cost (Average)],MATCH(CONCATENATE((SIP[[#This Row],[Frequency]]-1),SIP[[#This Row],[Investor ID]]),SIP[Unique Code],0),0)),0)</f>
        <v>0</v>
      </c>
      <c r="V551" s="74">
        <f>IF(SIP[[#This Row],[BO TRANSFER]]="YES",SIP[[#This Row],[Unit]],)</f>
        <v>0</v>
      </c>
      <c r="W551" s="74">
        <f>SUMIFS(SIP[[#Headers],[BO UNIT TRANSFER]]:SIP[[#This Row],[BO UNIT TRANSFER]],SIP[[#Headers],[Investor ID]]:SIP[[#This Row],[Investor ID]],SIP[[#This Row],[Investor ID]])</f>
        <v>0</v>
      </c>
    </row>
    <row r="552" spans="1:23" ht="15" customHeight="1">
      <c r="A552" s="46">
        <v>2024</v>
      </c>
      <c r="B552" s="46">
        <v>5</v>
      </c>
      <c r="C552" s="46">
        <v>26</v>
      </c>
      <c r="D552" s="65">
        <f>DATE(SIP[[#This Row],[Year]],SIP[[#This Row],[Month]],SIP[[#This Row],[Day]])</f>
        <v>45438</v>
      </c>
      <c r="E552" s="66" t="str" cm="1">
        <f t="array" ref="E552">INDEX(INVESTORS_LIST[INVESTOR NAME],MATCH(SIP[[#This Row],[Investor ID]],INVESTORS_LIST[INVESTOR CODE],0),)</f>
        <v>SRIJON GHOSH</v>
      </c>
      <c r="F552" s="46" t="s">
        <v>894</v>
      </c>
      <c r="G552" s="46">
        <f>COUNTIF(SIP[[#Headers],[Investor ID]]:SIP[[#This Row],[Investor ID]],SIP[[#This Row],[Investor ID]])</f>
        <v>30</v>
      </c>
      <c r="H552" s="46" t="str">
        <f>CONCATENATE(SIP[[#This Row],[Frequency]],SIP[[#This Row],[Investor ID]])</f>
        <v>30A00424</v>
      </c>
      <c r="I552" s="46" t="str">
        <f>IF(SIP[[#This Row],[B/S]]="B","BUY",(IF(SIP[[#This Row],[B/S]]="S","SELL"," ")))</f>
        <v>BUY</v>
      </c>
      <c r="J552" s="46" t="s">
        <v>1229</v>
      </c>
      <c r="K552" s="69">
        <v>15000</v>
      </c>
      <c r="L552" s="69"/>
      <c r="M552" s="70">
        <f>SIP[[#This Row],[Amount]]/SIP[[#This Row],[Unit]]</f>
        <v>11.053795136330139</v>
      </c>
      <c r="N552" s="71">
        <f>SIP[[#This Row],[Unit Capital]]/10</f>
        <v>1357</v>
      </c>
      <c r="O552" s="72">
        <f>SUMIFS(SIP[[#Headers],[Unit]]:SIP[[#This Row],[Unit]],SIP[[#Headers],[Investor ID]]:SIP[[#This Row],[Investor ID]],SIP[[#This Row],[Investor ID]])</f>
        <v>14738</v>
      </c>
      <c r="P552" s="73">
        <v>13570</v>
      </c>
      <c r="Q552" s="74">
        <f>SIP[[#This Row],[Amount]]-SIP[[#This Row],[Unit Capital]]</f>
        <v>1430</v>
      </c>
      <c r="R55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10.693745557103201</v>
      </c>
      <c r="S552" s="68">
        <f t="shared" si="23"/>
        <v>14.224</v>
      </c>
      <c r="T5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2" s="74" cm="1">
        <f t="array" ref="U552">IF(SIP[[#This Row],[B/S]]="S",ABS(SIP[[#This Row],[Unit]])*(INDEX(SIP[NAV at Cost (Average)],MATCH(CONCATENATE((SIP[[#This Row],[Frequency]]-1),SIP[[#This Row],[Investor ID]]),SIP[Unique Code],0),0)),0)</f>
        <v>0</v>
      </c>
      <c r="V552" s="74">
        <f>IF(SIP[[#This Row],[BO TRANSFER]]="YES",SIP[[#This Row],[Unit]],)</f>
        <v>0</v>
      </c>
      <c r="W552" s="74">
        <f>SUMIFS(SIP[[#Headers],[BO UNIT TRANSFER]]:SIP[[#This Row],[BO UNIT TRANSFER]],SIP[[#Headers],[Investor ID]]:SIP[[#This Row],[Investor ID]],SIP[[#This Row],[Investor ID]])</f>
        <v>0</v>
      </c>
    </row>
    <row r="553" spans="1:23" ht="15" customHeight="1">
      <c r="A553" s="46">
        <v>2024</v>
      </c>
      <c r="B553" s="46">
        <v>5</v>
      </c>
      <c r="C553" s="46">
        <v>26</v>
      </c>
      <c r="D553" s="65">
        <f>DATE(SIP[[#This Row],[Year]],SIP[[#This Row],[Month]],SIP[[#This Row],[Day]])</f>
        <v>45438</v>
      </c>
      <c r="E553" s="66" t="str" cm="1">
        <f t="array" ref="E553">INDEX(INVESTORS_LIST[INVESTOR NAME],MATCH(SIP[[#This Row],[Investor ID]],INVESTORS_LIST[INVESTOR CODE],0),)</f>
        <v>KHAN MUHAMMAD FAISOL</v>
      </c>
      <c r="F553" s="46" t="s">
        <v>930</v>
      </c>
      <c r="G553" s="46">
        <f>COUNTIF(SIP[[#Headers],[Investor ID]]:SIP[[#This Row],[Investor ID]],SIP[[#This Row],[Investor ID]])</f>
        <v>13</v>
      </c>
      <c r="H553" s="46" t="str">
        <f>CONCATENATE(SIP[[#This Row],[Frequency]],SIP[[#This Row],[Investor ID]])</f>
        <v>13A00442</v>
      </c>
      <c r="I553" s="46" t="str">
        <f>IF(SIP[[#This Row],[B/S]]="B","BUY",(IF(SIP[[#This Row],[B/S]]="S","SELL"," ")))</f>
        <v>BUY</v>
      </c>
      <c r="J553" s="46" t="s">
        <v>1229</v>
      </c>
      <c r="K553" s="69">
        <v>1000</v>
      </c>
      <c r="L553" s="69"/>
      <c r="M553" s="70">
        <f>SIP[[#This Row],[Amount]]/SIP[[#This Row],[Unit]]</f>
        <v>11.111111111111111</v>
      </c>
      <c r="N553" s="71">
        <f>SIP[[#This Row],[Unit Capital]]/10</f>
        <v>90</v>
      </c>
      <c r="O553" s="72">
        <f>SUMIFS(SIP[[#Headers],[Unit]]:SIP[[#This Row],[Unit]],SIP[[#Headers],[Investor ID]]:SIP[[#This Row],[Investor ID]],SIP[[#This Row],[Investor ID]])</f>
        <v>1224</v>
      </c>
      <c r="P553" s="73">
        <v>900</v>
      </c>
      <c r="Q553" s="74">
        <f>SIP[[#This Row],[Amount]]-SIP[[#This Row],[Unit Capital]]</f>
        <v>100</v>
      </c>
      <c r="R55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10.620915032679743</v>
      </c>
      <c r="S553" s="68">
        <f t="shared" si="23"/>
        <v>14.224</v>
      </c>
      <c r="T5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3" s="74" cm="1">
        <f t="array" ref="U553">IF(SIP[[#This Row],[B/S]]="S",ABS(SIP[[#This Row],[Unit]])*(INDEX(SIP[NAV at Cost (Average)],MATCH(CONCATENATE((SIP[[#This Row],[Frequency]]-1),SIP[[#This Row],[Investor ID]]),SIP[Unique Code],0),0)),0)</f>
        <v>0</v>
      </c>
      <c r="V553" s="74">
        <f>IF(SIP[[#This Row],[BO TRANSFER]]="YES",SIP[[#This Row],[Unit]],)</f>
        <v>0</v>
      </c>
      <c r="W553" s="74">
        <f>SUMIFS(SIP[[#Headers],[BO UNIT TRANSFER]]:SIP[[#This Row],[BO UNIT TRANSFER]],SIP[[#Headers],[Investor ID]]:SIP[[#This Row],[Investor ID]],SIP[[#This Row],[Investor ID]])</f>
        <v>0</v>
      </c>
    </row>
    <row r="554" spans="1:23" ht="15" customHeight="1">
      <c r="A554" s="46">
        <v>2024</v>
      </c>
      <c r="B554" s="46">
        <v>5</v>
      </c>
      <c r="C554" s="46">
        <v>26</v>
      </c>
      <c r="D554" s="65">
        <f>DATE(SIP[[#This Row],[Year]],SIP[[#This Row],[Month]],SIP[[#This Row],[Day]])</f>
        <v>45438</v>
      </c>
      <c r="E554" s="66" t="str" cm="1">
        <f t="array" ref="E554">INDEX(INVESTORS_LIST[INVESTOR NAME],MATCH(SIP[[#This Row],[Investor ID]],INVESTORS_LIST[INVESTOR CODE],0),)</f>
        <v>MD. ARIFUL ISLAM</v>
      </c>
      <c r="F554" s="46" t="s">
        <v>222</v>
      </c>
      <c r="G554" s="46">
        <f>COUNTIF(SIP[[#Headers],[Investor ID]]:SIP[[#This Row],[Investor ID]],SIP[[#This Row],[Investor ID]])</f>
        <v>13</v>
      </c>
      <c r="H554" s="46" t="str">
        <f>CONCATENATE(SIP[[#This Row],[Frequency]],SIP[[#This Row],[Investor ID]])</f>
        <v>13A00087</v>
      </c>
      <c r="I554" s="46" t="str">
        <f>IF(SIP[[#This Row],[B/S]]="B","BUY",(IF(SIP[[#This Row],[B/S]]="S","SELL"," ")))</f>
        <v>BUY</v>
      </c>
      <c r="J554" s="46" t="s">
        <v>1229</v>
      </c>
      <c r="K554" s="69">
        <v>10000</v>
      </c>
      <c r="L554" s="69"/>
      <c r="M554" s="70">
        <f>SIP[[#This Row],[Amount]]/SIP[[#This Row],[Unit]]</f>
        <v>11.049723756906078</v>
      </c>
      <c r="N554" s="71">
        <f>SIP[[#This Row],[Unit Capital]]/10</f>
        <v>905</v>
      </c>
      <c r="O554" s="72">
        <f>SUMIFS(SIP[[#Headers],[Unit]]:SIP[[#This Row],[Unit]],SIP[[#Headers],[Investor ID]]:SIP[[#This Row],[Investor ID]],SIP[[#This Row],[Investor ID]])</f>
        <v>12254</v>
      </c>
      <c r="P554" s="73">
        <v>9050</v>
      </c>
      <c r="Q554" s="74">
        <f>SIP[[#This Row],[Amount]]-SIP[[#This Row],[Unit Capital]]</f>
        <v>950</v>
      </c>
      <c r="R55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10.608780806267344</v>
      </c>
      <c r="S554" s="68">
        <f t="shared" si="23"/>
        <v>14.224</v>
      </c>
      <c r="T5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4" s="74" cm="1">
        <f t="array" ref="U554">IF(SIP[[#This Row],[B/S]]="S",ABS(SIP[[#This Row],[Unit]])*(INDEX(SIP[NAV at Cost (Average)],MATCH(CONCATENATE((SIP[[#This Row],[Frequency]]-1),SIP[[#This Row],[Investor ID]]),SIP[Unique Code],0),0)),0)</f>
        <v>0</v>
      </c>
      <c r="V554" s="74">
        <f>IF(SIP[[#This Row],[BO TRANSFER]]="YES",SIP[[#This Row],[Unit]],)</f>
        <v>0</v>
      </c>
      <c r="W554" s="74">
        <f>SUMIFS(SIP[[#Headers],[BO UNIT TRANSFER]]:SIP[[#This Row],[BO UNIT TRANSFER]],SIP[[#Headers],[Investor ID]]:SIP[[#This Row],[Investor ID]],SIP[[#This Row],[Investor ID]])</f>
        <v>0</v>
      </c>
    </row>
    <row r="555" spans="1:23" ht="15" customHeight="1">
      <c r="A555" s="46">
        <v>2024</v>
      </c>
      <c r="B555" s="46">
        <v>5</v>
      </c>
      <c r="C555" s="46">
        <v>26</v>
      </c>
      <c r="D555" s="65">
        <f>DATE(SIP[[#This Row],[Year]],SIP[[#This Row],[Month]],SIP[[#This Row],[Day]])</f>
        <v>45438</v>
      </c>
      <c r="E555" s="66" t="str" cm="1">
        <f t="array" ref="E555">INDEX(INVESTORS_LIST[INVESTOR NAME],MATCH(SIP[[#This Row],[Investor ID]],INVESTORS_LIST[INVESTOR CODE],0),)</f>
        <v>SRIJON GHOSH</v>
      </c>
      <c r="F555" s="46" t="s">
        <v>894</v>
      </c>
      <c r="G555" s="46">
        <f>COUNTIF(SIP[[#Headers],[Investor ID]]:SIP[[#This Row],[Investor ID]],SIP[[#This Row],[Investor ID]])</f>
        <v>31</v>
      </c>
      <c r="H555" s="46" t="str">
        <f>CONCATENATE(SIP[[#This Row],[Frequency]],SIP[[#This Row],[Investor ID]])</f>
        <v>31A00424</v>
      </c>
      <c r="I555" s="46" t="str">
        <f>IF(SIP[[#This Row],[B/S]]="B","BUY",(IF(SIP[[#This Row],[B/S]]="S","SELL"," ")))</f>
        <v>BUY</v>
      </c>
      <c r="J555" s="46" t="s">
        <v>1229</v>
      </c>
      <c r="K555" s="69">
        <v>5000</v>
      </c>
      <c r="L555" s="69"/>
      <c r="M555" s="70">
        <f>SIP[[#This Row],[Amount]]/SIP[[#This Row],[Unit]]</f>
        <v>11.061946902654867</v>
      </c>
      <c r="N555" s="71">
        <f>SIP[[#This Row],[Unit Capital]]/10</f>
        <v>452</v>
      </c>
      <c r="O555" s="72">
        <f>SUMIFS(SIP[[#Headers],[Unit]]:SIP[[#This Row],[Unit]],SIP[[#Headers],[Investor ID]]:SIP[[#This Row],[Investor ID]],SIP[[#This Row],[Investor ID]])</f>
        <v>15190</v>
      </c>
      <c r="P555" s="73">
        <v>4520</v>
      </c>
      <c r="Q555" s="74">
        <f>SIP[[#This Row],[Amount]]-SIP[[#This Row],[Unit Capital]]</f>
        <v>480</v>
      </c>
      <c r="R55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10.704701910506055</v>
      </c>
      <c r="S555" s="68">
        <f t="shared" si="23"/>
        <v>14.224</v>
      </c>
      <c r="T5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5" s="74" cm="1">
        <f t="array" ref="U555">IF(SIP[[#This Row],[B/S]]="S",ABS(SIP[[#This Row],[Unit]])*(INDEX(SIP[NAV at Cost (Average)],MATCH(CONCATENATE((SIP[[#This Row],[Frequency]]-1),SIP[[#This Row],[Investor ID]]),SIP[Unique Code],0),0)),0)</f>
        <v>0</v>
      </c>
      <c r="V555" s="74">
        <f>IF(SIP[[#This Row],[BO TRANSFER]]="YES",SIP[[#This Row],[Unit]],)</f>
        <v>0</v>
      </c>
      <c r="W555" s="74">
        <f>SUMIFS(SIP[[#Headers],[BO UNIT TRANSFER]]:SIP[[#This Row],[BO UNIT TRANSFER]],SIP[[#Headers],[Investor ID]]:SIP[[#This Row],[Investor ID]],SIP[[#This Row],[Investor ID]])</f>
        <v>0</v>
      </c>
    </row>
    <row r="556" spans="1:23" ht="15" customHeight="1">
      <c r="A556" s="46">
        <v>2024</v>
      </c>
      <c r="B556" s="46">
        <v>5</v>
      </c>
      <c r="C556" s="46">
        <v>26</v>
      </c>
      <c r="D556" s="65">
        <f>DATE(SIP[[#This Row],[Year]],SIP[[#This Row],[Month]],SIP[[#This Row],[Day]])</f>
        <v>45438</v>
      </c>
      <c r="E556" s="66" t="str" cm="1">
        <f t="array" ref="E556">INDEX(INVESTORS_LIST[INVESTOR NAME],MATCH(SIP[[#This Row],[Investor ID]],INVESTORS_LIST[INVESTOR CODE],0),)</f>
        <v>NUSRAT JAHAN TISHA</v>
      </c>
      <c r="F556" s="46" t="s">
        <v>926</v>
      </c>
      <c r="G556" s="46">
        <f>COUNTIF(SIP[[#Headers],[Investor ID]]:SIP[[#This Row],[Investor ID]],SIP[[#This Row],[Investor ID]])</f>
        <v>10</v>
      </c>
      <c r="H556" s="46" t="str">
        <f>CONCATENATE(SIP[[#This Row],[Frequency]],SIP[[#This Row],[Investor ID]])</f>
        <v>10A00440</v>
      </c>
      <c r="I556" s="46" t="str">
        <f>IF(SIP[[#This Row],[B/S]]="B","BUY",(IF(SIP[[#This Row],[B/S]]="S","SELL"," ")))</f>
        <v>BUY</v>
      </c>
      <c r="J556" s="46" t="s">
        <v>1229</v>
      </c>
      <c r="K556" s="69">
        <v>5000</v>
      </c>
      <c r="L556" s="69"/>
      <c r="M556" s="70">
        <f>SIP[[#This Row],[Amount]]/SIP[[#This Row],[Unit]]</f>
        <v>11.061946902654867</v>
      </c>
      <c r="N556" s="71">
        <f>SIP[[#This Row],[Unit Capital]]/10</f>
        <v>452</v>
      </c>
      <c r="O556" s="72">
        <f>SUMIFS(SIP[[#Headers],[Unit]]:SIP[[#This Row],[Unit]],SIP[[#Headers],[Investor ID]]:SIP[[#This Row],[Investor ID]],SIP[[#This Row],[Investor ID]])</f>
        <v>4665</v>
      </c>
      <c r="P556" s="73">
        <v>4520</v>
      </c>
      <c r="Q556" s="74">
        <f>SIP[[#This Row],[Amount]]-SIP[[#This Row],[Unit Capital]]</f>
        <v>480</v>
      </c>
      <c r="R55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10.718113612004286</v>
      </c>
      <c r="S556" s="68">
        <f t="shared" si="23"/>
        <v>14.224</v>
      </c>
      <c r="T5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6" s="74" cm="1">
        <f t="array" ref="U556">IF(SIP[[#This Row],[B/S]]="S",ABS(SIP[[#This Row],[Unit]])*(INDEX(SIP[NAV at Cost (Average)],MATCH(CONCATENATE((SIP[[#This Row],[Frequency]]-1),SIP[[#This Row],[Investor ID]]),SIP[Unique Code],0),0)),0)</f>
        <v>0</v>
      </c>
      <c r="V556" s="74">
        <f>IF(SIP[[#This Row],[BO TRANSFER]]="YES",SIP[[#This Row],[Unit]],)</f>
        <v>0</v>
      </c>
      <c r="W556" s="74">
        <f>SUMIFS(SIP[[#Headers],[BO UNIT TRANSFER]]:SIP[[#This Row],[BO UNIT TRANSFER]],SIP[[#Headers],[Investor ID]]:SIP[[#This Row],[Investor ID]],SIP[[#This Row],[Investor ID]])</f>
        <v>0</v>
      </c>
    </row>
    <row r="557" spans="1:23" ht="15" customHeight="1">
      <c r="A557" s="46">
        <v>2024</v>
      </c>
      <c r="B557" s="46">
        <v>5</v>
      </c>
      <c r="C557" s="46">
        <v>26</v>
      </c>
      <c r="D557" s="65">
        <f>DATE(SIP[[#This Row],[Year]],SIP[[#This Row],[Month]],SIP[[#This Row],[Day]])</f>
        <v>45438</v>
      </c>
      <c r="E557" s="66" t="str" cm="1">
        <f t="array" ref="E557">INDEX(INVESTORS_LIST[INVESTOR NAME],MATCH(SIP[[#This Row],[Investor ID]],INVESTORS_LIST[INVESTOR CODE],0),)</f>
        <v>MAHFUZUL ISLAM</v>
      </c>
      <c r="F557" s="46" t="s">
        <v>473</v>
      </c>
      <c r="G557" s="46">
        <f>COUNTIF(SIP[[#Headers],[Investor ID]]:SIP[[#This Row],[Investor ID]],SIP[[#This Row],[Investor ID]])</f>
        <v>4</v>
      </c>
      <c r="H557" s="46" t="str">
        <f>CONCATENATE(SIP[[#This Row],[Frequency]],SIP[[#This Row],[Investor ID]])</f>
        <v>4A00212</v>
      </c>
      <c r="I557" s="46" t="str">
        <f>IF(SIP[[#This Row],[B/S]]="B","BUY",(IF(SIP[[#This Row],[B/S]]="S","SELL"," ")))</f>
        <v>BUY</v>
      </c>
      <c r="J557" s="46" t="s">
        <v>1229</v>
      </c>
      <c r="K557" s="69">
        <v>1000</v>
      </c>
      <c r="L557" s="122" t="s">
        <v>1230</v>
      </c>
      <c r="M557" s="70">
        <f>SIP[[#This Row],[Amount]]/SIP[[#This Row],[Unit]]</f>
        <v>11.111111111111111</v>
      </c>
      <c r="N557" s="71">
        <f>SIP[[#This Row],[Unit Capital]]/10</f>
        <v>90</v>
      </c>
      <c r="O557" s="72">
        <f>SUMIFS(SIP[[#Headers],[Unit]]:SIP[[#This Row],[Unit]],SIP[[#Headers],[Investor ID]]:SIP[[#This Row],[Investor ID]],SIP[[#This Row],[Investor ID]])</f>
        <v>365</v>
      </c>
      <c r="P557" s="73">
        <v>900</v>
      </c>
      <c r="Q557" s="74">
        <f>SIP[[#This Row],[Amount]]-SIP[[#This Row],[Unit Capital]]</f>
        <v>100</v>
      </c>
      <c r="R55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10.958904109589042</v>
      </c>
      <c r="S557" s="68">
        <f t="shared" si="23"/>
        <v>14.224</v>
      </c>
      <c r="T5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7" s="74" cm="1">
        <f t="array" ref="U557">IF(SIP[[#This Row],[B/S]]="S",ABS(SIP[[#This Row],[Unit]])*(INDEX(SIP[NAV at Cost (Average)],MATCH(CONCATENATE((SIP[[#This Row],[Frequency]]-1),SIP[[#This Row],[Investor ID]]),SIP[Unique Code],0),0)),0)</f>
        <v>0</v>
      </c>
      <c r="V557" s="74">
        <f>IF(SIP[[#This Row],[BO TRANSFER]]="YES",SIP[[#This Row],[Unit]],)</f>
        <v>90</v>
      </c>
      <c r="W557" s="74">
        <f>SUMIFS(SIP[[#Headers],[BO UNIT TRANSFER]]:SIP[[#This Row],[BO UNIT TRANSFER]],SIP[[#Headers],[Investor ID]]:SIP[[#This Row],[Investor ID]],SIP[[#This Row],[Investor ID]])</f>
        <v>365</v>
      </c>
    </row>
    <row r="558" spans="1:23" ht="15" customHeight="1">
      <c r="A558" s="46">
        <v>2024</v>
      </c>
      <c r="B558" s="46">
        <v>6</v>
      </c>
      <c r="C558" s="46">
        <v>6</v>
      </c>
      <c r="D558" s="65">
        <f>DATE(SIP[[#This Row],[Year]],SIP[[#This Row],[Month]],SIP[[#This Row],[Day]])</f>
        <v>45449</v>
      </c>
      <c r="E558" s="66" t="str" cm="1">
        <f t="array" ref="E558">INDEX(INVESTORS_LIST[INVESTOR NAME],MATCH(SIP[[#This Row],[Investor ID]],INVESTORS_LIST[INVESTOR CODE],0),)</f>
        <v>SK FEROZ ALAM</v>
      </c>
      <c r="F558" s="46" t="s">
        <v>240</v>
      </c>
      <c r="G558" s="46">
        <f>COUNTIF(SIP[[#Headers],[Investor ID]]:SIP[[#This Row],[Investor ID]],SIP[[#This Row],[Investor ID]])</f>
        <v>8</v>
      </c>
      <c r="H558" s="46" t="str">
        <f>CONCATENATE(SIP[[#This Row],[Frequency]],SIP[[#This Row],[Investor ID]])</f>
        <v>8A00096</v>
      </c>
      <c r="I558" s="46" t="str">
        <f>IF(SIP[[#This Row],[B/S]]="B","BUY",(IF(SIP[[#This Row],[B/S]]="S","SELL"," ")))</f>
        <v>SELL</v>
      </c>
      <c r="J558" s="46" t="s">
        <v>1231</v>
      </c>
      <c r="K558" s="69">
        <v>-14473.092000000001</v>
      </c>
      <c r="L558" s="69"/>
      <c r="M558" s="70">
        <f>SIP[[#This Row],[Amount]]/SIP[[#This Row],[Unit]]</f>
        <v>11.082000000000001</v>
      </c>
      <c r="N558" s="71">
        <f>SIP[[#This Row],[Unit Capital]]/10</f>
        <v>-1306</v>
      </c>
      <c r="O558" s="72">
        <f>SUMIFS(SIP[[#Headers],[Unit]]:SIP[[#This Row],[Unit]],SIP[[#Headers],[Investor ID]]:SIP[[#This Row],[Investor ID]],SIP[[#This Row],[Investor ID]])</f>
        <v>0</v>
      </c>
      <c r="P558" s="73">
        <v>-13060</v>
      </c>
      <c r="Q558" s="74">
        <f>SIP[[#This Row],[Amount]]-SIP[[#This Row],[Unit Capital]]</f>
        <v>-1413.0920000000006</v>
      </c>
      <c r="R55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558" s="68">
        <f t="shared" ref="S558:S572" si="24">NAV_MKT</f>
        <v>14.224</v>
      </c>
      <c r="T558" s="74">
        <f>IF(SIP[[#This Row],[B/S]]="B",0,ABS(SIP[[#This Row],[Unit]])*(SIP[[#This Row],[NAV (Strike Rate)]]-INDEX(SIP[NAV at Cost (Average)],MATCH(CONCATENATE(SIP[[#This Row],[Frequency]]-1,SIP[[#This Row],[Investor ID]]),SIP[Unique Code],0),)))</f>
        <v>473.09200000000408</v>
      </c>
      <c r="U558" s="74" cm="1">
        <f t="array" ref="U558">IF(SIP[[#This Row],[B/S]]="S",ABS(SIP[[#This Row],[Unit]])*(INDEX(SIP[NAV at Cost (Average)],MATCH(CONCATENATE((SIP[[#This Row],[Frequency]]-1),SIP[[#This Row],[Investor ID]]),SIP[Unique Code],0),0)),0)</f>
        <v>13999.999999999996</v>
      </c>
      <c r="V558" s="74">
        <f>IF(SIP[[#This Row],[BO TRANSFER]]="YES",SIP[[#This Row],[Unit]],)</f>
        <v>0</v>
      </c>
      <c r="W558" s="74">
        <f>SUMIFS(SIP[[#Headers],[BO UNIT TRANSFER]]:SIP[[#This Row],[BO UNIT TRANSFER]],SIP[[#Headers],[Investor ID]]:SIP[[#This Row],[Investor ID]],SIP[[#This Row],[Investor ID]])</f>
        <v>0</v>
      </c>
    </row>
    <row r="559" spans="1:23" ht="15" customHeight="1">
      <c r="A559" s="46">
        <v>2024</v>
      </c>
      <c r="B559" s="46">
        <v>6</v>
      </c>
      <c r="C559" s="46">
        <v>5</v>
      </c>
      <c r="D559" s="65">
        <f>DATE(SIP[[#This Row],[Year]],SIP[[#This Row],[Month]],SIP[[#This Row],[Day]])</f>
        <v>45448</v>
      </c>
      <c r="E559" s="66" t="str" cm="1">
        <f t="array" ref="E559">INDEX(INVESTORS_LIST[INVESTOR NAME],MATCH(SIP[[#This Row],[Investor ID]],INVESTORS_LIST[INVESTOR CODE],0),)</f>
        <v>NANDINI SAHA</v>
      </c>
      <c r="F559" s="46" t="s">
        <v>242</v>
      </c>
      <c r="G559" s="46">
        <f>COUNTIF(SIP[[#Headers],[Investor ID]]:SIP[[#This Row],[Investor ID]],SIP[[#This Row],[Investor ID]])</f>
        <v>13</v>
      </c>
      <c r="H559" s="46" t="str">
        <f>CONCATENATE(SIP[[#This Row],[Frequency]],SIP[[#This Row],[Investor ID]])</f>
        <v>13A00097</v>
      </c>
      <c r="I559" s="46" t="str">
        <f>IF(SIP[[#This Row],[B/S]]="B","BUY",(IF(SIP[[#This Row],[B/S]]="S","SELL"," ")))</f>
        <v>BUY</v>
      </c>
      <c r="J559" s="46" t="s">
        <v>1229</v>
      </c>
      <c r="K559" s="69">
        <v>30000</v>
      </c>
      <c r="L559" s="69"/>
      <c r="M559" s="70">
        <f>SIP[[#This Row],[Amount]]/SIP[[#This Row],[Unit]]</f>
        <v>11.082379017362394</v>
      </c>
      <c r="N559" s="71">
        <f>SIP[[#This Row],[Unit Capital]]/10</f>
        <v>2707</v>
      </c>
      <c r="O559" s="72">
        <f>SUMIFS(SIP[[#Headers],[Unit]]:SIP[[#This Row],[Unit]],SIP[[#Headers],[Investor ID]]:SIP[[#This Row],[Investor ID]],SIP[[#This Row],[Investor ID]])</f>
        <v>36844</v>
      </c>
      <c r="P559" s="73">
        <v>27070</v>
      </c>
      <c r="Q559" s="74">
        <f>SIP[[#This Row],[Amount]]-SIP[[#This Row],[Unit Capital]]</f>
        <v>2930</v>
      </c>
      <c r="R55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10.585169905547714</v>
      </c>
      <c r="S559" s="68">
        <f t="shared" si="24"/>
        <v>14.224</v>
      </c>
      <c r="T5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9" s="74" cm="1">
        <f t="array" ref="U559">IF(SIP[[#This Row],[B/S]]="S",ABS(SIP[[#This Row],[Unit]])*(INDEX(SIP[NAV at Cost (Average)],MATCH(CONCATENATE((SIP[[#This Row],[Frequency]]-1),SIP[[#This Row],[Investor ID]]),SIP[Unique Code],0),0)),0)</f>
        <v>0</v>
      </c>
      <c r="V559" s="74">
        <f>IF(SIP[[#This Row],[BO TRANSFER]]="YES",SIP[[#This Row],[Unit]],)</f>
        <v>0</v>
      </c>
      <c r="W559" s="74">
        <f>SUMIFS(SIP[[#Headers],[BO UNIT TRANSFER]]:SIP[[#This Row],[BO UNIT TRANSFER]],SIP[[#Headers],[Investor ID]]:SIP[[#This Row],[Investor ID]],SIP[[#This Row],[Investor ID]])</f>
        <v>0</v>
      </c>
    </row>
    <row r="560" spans="1:23" ht="15" customHeight="1">
      <c r="A560" s="46">
        <v>2024</v>
      </c>
      <c r="B560" s="46">
        <v>6</v>
      </c>
      <c r="C560" s="46">
        <v>5</v>
      </c>
      <c r="D560" s="65">
        <f>DATE(SIP[[#This Row],[Year]],SIP[[#This Row],[Month]],SIP[[#This Row],[Day]])</f>
        <v>45448</v>
      </c>
      <c r="E560" s="66" t="str" cm="1">
        <f t="array" ref="E560">INDEX(INVESTORS_LIST[INVESTOR NAME],MATCH(SIP[[#This Row],[Investor ID]],INVESTORS_LIST[INVESTOR CODE],0),)</f>
        <v>SHANTA PAUL</v>
      </c>
      <c r="F560" s="46" t="s">
        <v>544</v>
      </c>
      <c r="G560" s="46">
        <f>COUNTIF(SIP[[#Headers],[Investor ID]]:SIP[[#This Row],[Investor ID]],SIP[[#This Row],[Investor ID]])</f>
        <v>15</v>
      </c>
      <c r="H560" s="46" t="str">
        <f>CONCATENATE(SIP[[#This Row],[Frequency]],SIP[[#This Row],[Investor ID]])</f>
        <v>15A00247</v>
      </c>
      <c r="I560" s="46" t="str">
        <f>IF(SIP[[#This Row],[B/S]]="B","BUY",(IF(SIP[[#This Row],[B/S]]="S","SELL"," ")))</f>
        <v>BUY</v>
      </c>
      <c r="J560" s="46" t="s">
        <v>1229</v>
      </c>
      <c r="K560" s="69">
        <v>20000</v>
      </c>
      <c r="L560" s="69"/>
      <c r="M560" s="70">
        <f>SIP[[#This Row],[Amount]]/SIP[[#This Row],[Unit]]</f>
        <v>11.0803324099723</v>
      </c>
      <c r="N560" s="71">
        <f>SIP[[#This Row],[Unit Capital]]/10</f>
        <v>1805</v>
      </c>
      <c r="O560" s="72">
        <f>SUMIFS(SIP[[#Headers],[Unit]]:SIP[[#This Row],[Unit]],SIP[[#Headers],[Investor ID]]:SIP[[#This Row],[Investor ID]],SIP[[#This Row],[Investor ID]])</f>
        <v>28414</v>
      </c>
      <c r="P560" s="73">
        <v>18050</v>
      </c>
      <c r="Q560" s="74">
        <f>SIP[[#This Row],[Amount]]-SIP[[#This Row],[Unit Capital]]</f>
        <v>1950</v>
      </c>
      <c r="R56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10.558175547265433</v>
      </c>
      <c r="S560" s="68">
        <f t="shared" si="24"/>
        <v>14.224</v>
      </c>
      <c r="T5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0" s="74" cm="1">
        <f t="array" ref="U560">IF(SIP[[#This Row],[B/S]]="S",ABS(SIP[[#This Row],[Unit]])*(INDEX(SIP[NAV at Cost (Average)],MATCH(CONCATENATE((SIP[[#This Row],[Frequency]]-1),SIP[[#This Row],[Investor ID]]),SIP[Unique Code],0),0)),0)</f>
        <v>0</v>
      </c>
      <c r="V560" s="74">
        <f>IF(SIP[[#This Row],[BO TRANSFER]]="YES",SIP[[#This Row],[Unit]],)</f>
        <v>0</v>
      </c>
      <c r="W560" s="74">
        <f>SUMIFS(SIP[[#Headers],[BO UNIT TRANSFER]]:SIP[[#This Row],[BO UNIT TRANSFER]],SIP[[#Headers],[Investor ID]]:SIP[[#This Row],[Investor ID]],SIP[[#This Row],[Investor ID]])</f>
        <v>0</v>
      </c>
    </row>
    <row r="561" spans="1:23" ht="15" customHeight="1">
      <c r="A561" s="46">
        <v>2024</v>
      </c>
      <c r="B561" s="46">
        <v>6</v>
      </c>
      <c r="C561" s="46">
        <v>5</v>
      </c>
      <c r="D561" s="65">
        <f>DATE(SIP[[#This Row],[Year]],SIP[[#This Row],[Month]],SIP[[#This Row],[Day]])</f>
        <v>45448</v>
      </c>
      <c r="E561" s="66" t="str" cm="1">
        <f t="array" ref="E561">INDEX(INVESTORS_LIST[INVESTOR NAME],MATCH(SIP[[#This Row],[Investor ID]],INVESTORS_LIST[INVESTOR CODE],0),)</f>
        <v>ROKSABA KASEM</v>
      </c>
      <c r="F561" s="46" t="s">
        <v>900</v>
      </c>
      <c r="G561" s="46">
        <f>COUNTIF(SIP[[#Headers],[Investor ID]]:SIP[[#This Row],[Investor ID]],SIP[[#This Row],[Investor ID]])</f>
        <v>13</v>
      </c>
      <c r="H561" s="46" t="str">
        <f>CONCATENATE(SIP[[#This Row],[Frequency]],SIP[[#This Row],[Investor ID]])</f>
        <v>13A00427</v>
      </c>
      <c r="I561" s="46" t="str">
        <f>IF(SIP[[#This Row],[B/S]]="B","BUY",(IF(SIP[[#This Row],[B/S]]="S","SELL"," ")))</f>
        <v>BUY</v>
      </c>
      <c r="J561" s="46" t="s">
        <v>1229</v>
      </c>
      <c r="K561" s="69">
        <v>20000</v>
      </c>
      <c r="L561" s="122"/>
      <c r="M561" s="70">
        <f>SIP[[#This Row],[Amount]]/SIP[[#This Row],[Unit]]</f>
        <v>11.0803324099723</v>
      </c>
      <c r="N561" s="71">
        <f>SIP[[#This Row],[Unit Capital]]/10</f>
        <v>1805</v>
      </c>
      <c r="O561" s="72">
        <f>SUMIFS(SIP[[#Headers],[Unit]]:SIP[[#This Row],[Unit]],SIP[[#Headers],[Investor ID]]:SIP[[#This Row],[Investor ID]],SIP[[#This Row],[Investor ID]])</f>
        <v>24457</v>
      </c>
      <c r="P561" s="73">
        <v>18050</v>
      </c>
      <c r="Q561" s="74">
        <f>SIP[[#This Row],[Amount]]-SIP[[#This Row],[Unit Capital]]</f>
        <v>1950</v>
      </c>
      <c r="R56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10.630903217892628</v>
      </c>
      <c r="S561" s="68">
        <f t="shared" si="24"/>
        <v>14.224</v>
      </c>
      <c r="T5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1" s="74" cm="1">
        <f t="array" ref="U561">IF(SIP[[#This Row],[B/S]]="S",ABS(SIP[[#This Row],[Unit]])*(INDEX(SIP[NAV at Cost (Average)],MATCH(CONCATENATE((SIP[[#This Row],[Frequency]]-1),SIP[[#This Row],[Investor ID]]),SIP[Unique Code],0),0)),0)</f>
        <v>0</v>
      </c>
      <c r="V561" s="74">
        <f>IF(SIP[[#This Row],[BO TRANSFER]]="YES",SIP[[#This Row],[Unit]],)</f>
        <v>0</v>
      </c>
      <c r="W561" s="74">
        <f>SUMIFS(SIP[[#Headers],[BO UNIT TRANSFER]]:SIP[[#This Row],[BO UNIT TRANSFER]],SIP[[#Headers],[Investor ID]]:SIP[[#This Row],[Investor ID]],SIP[[#This Row],[Investor ID]])</f>
        <v>0</v>
      </c>
    </row>
    <row r="562" spans="1:23" ht="15" customHeight="1">
      <c r="A562" s="46">
        <v>2024</v>
      </c>
      <c r="B562" s="46">
        <v>6</v>
      </c>
      <c r="C562" s="46">
        <v>5</v>
      </c>
      <c r="D562" s="65">
        <f>DATE(SIP[[#This Row],[Year]],SIP[[#This Row],[Month]],SIP[[#This Row],[Day]])</f>
        <v>45448</v>
      </c>
      <c r="E562" s="66" t="str" cm="1">
        <f t="array" ref="E562">INDEX(INVESTORS_LIST[INVESTOR NAME],MATCH(SIP[[#This Row],[Investor ID]],INVESTORS_LIST[INVESTOR CODE],0),)</f>
        <v>MD. MONIRUL ISLAM</v>
      </c>
      <c r="F562" s="46" t="s">
        <v>996</v>
      </c>
      <c r="G562" s="46">
        <f>COUNTIF(SIP[[#Headers],[Investor ID]]:SIP[[#This Row],[Investor ID]],SIP[[#This Row],[Investor ID]])</f>
        <v>14</v>
      </c>
      <c r="H562" s="46" t="str">
        <f>CONCATENATE(SIP[[#This Row],[Frequency]],SIP[[#This Row],[Investor ID]])</f>
        <v>14A00475</v>
      </c>
      <c r="I562" s="46" t="str">
        <f>IF(SIP[[#This Row],[B/S]]="B","BUY",(IF(SIP[[#This Row],[B/S]]="S","SELL"," ")))</f>
        <v>BUY</v>
      </c>
      <c r="J562" s="46" t="s">
        <v>1229</v>
      </c>
      <c r="K562" s="69">
        <v>10000</v>
      </c>
      <c r="L562" s="69"/>
      <c r="M562" s="70">
        <f>SIP[[#This Row],[Amount]]/SIP[[#This Row],[Unit]]</f>
        <v>11.086474501108647</v>
      </c>
      <c r="N562" s="71">
        <f>SIP[[#This Row],[Unit Capital]]/10</f>
        <v>902</v>
      </c>
      <c r="O562" s="72">
        <f>SUMIFS(SIP[[#Headers],[Unit]]:SIP[[#This Row],[Unit]],SIP[[#Headers],[Investor ID]]:SIP[[#This Row],[Investor ID]],SIP[[#This Row],[Investor ID]])</f>
        <v>13215</v>
      </c>
      <c r="P562" s="73">
        <v>9020</v>
      </c>
      <c r="Q562" s="74">
        <f>SIP[[#This Row],[Amount]]-SIP[[#This Row],[Unit Capital]]</f>
        <v>980</v>
      </c>
      <c r="R56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10.594021944759742</v>
      </c>
      <c r="S562" s="68">
        <f t="shared" si="24"/>
        <v>14.224</v>
      </c>
      <c r="T5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2" s="74" cm="1">
        <f t="array" ref="U562">IF(SIP[[#This Row],[B/S]]="S",ABS(SIP[[#This Row],[Unit]])*(INDEX(SIP[NAV at Cost (Average)],MATCH(CONCATENATE((SIP[[#This Row],[Frequency]]-1),SIP[[#This Row],[Investor ID]]),SIP[Unique Code],0),0)),0)</f>
        <v>0</v>
      </c>
      <c r="V562" s="74">
        <f>IF(SIP[[#This Row],[BO TRANSFER]]="YES",SIP[[#This Row],[Unit]],)</f>
        <v>0</v>
      </c>
      <c r="W562" s="74">
        <f>SUMIFS(SIP[[#Headers],[BO UNIT TRANSFER]]:SIP[[#This Row],[BO UNIT TRANSFER]],SIP[[#Headers],[Investor ID]]:SIP[[#This Row],[Investor ID]],SIP[[#This Row],[Investor ID]])</f>
        <v>0</v>
      </c>
    </row>
    <row r="563" spans="1:23" ht="15" customHeight="1">
      <c r="A563" s="46">
        <v>2024</v>
      </c>
      <c r="B563" s="46">
        <v>6</v>
      </c>
      <c r="C563" s="46">
        <v>5</v>
      </c>
      <c r="D563" s="65">
        <f>DATE(SIP[[#This Row],[Year]],SIP[[#This Row],[Month]],SIP[[#This Row],[Day]])</f>
        <v>45448</v>
      </c>
      <c r="E563" s="66" t="str" cm="1">
        <f t="array" ref="E563">INDEX(INVESTORS_LIST[INVESTOR NAME],MATCH(SIP[[#This Row],[Investor ID]],INVESTORS_LIST[INVESTOR CODE],0),)</f>
        <v>MONIR AHMED</v>
      </c>
      <c r="F563" s="46" t="s">
        <v>125</v>
      </c>
      <c r="G563" s="46">
        <f>COUNTIF(SIP[[#Headers],[Investor ID]]:SIP[[#This Row],[Investor ID]],SIP[[#This Row],[Investor ID]])</f>
        <v>13</v>
      </c>
      <c r="H563" s="46" t="str">
        <f>CONCATENATE(SIP[[#This Row],[Frequency]],SIP[[#This Row],[Investor ID]])</f>
        <v>13A00039</v>
      </c>
      <c r="I563" s="46" t="str">
        <f>IF(SIP[[#This Row],[B/S]]="B","BUY",(IF(SIP[[#This Row],[B/S]]="S","SELL"," ")))</f>
        <v>BUY</v>
      </c>
      <c r="J563" s="46" t="s">
        <v>1229</v>
      </c>
      <c r="K563" s="69">
        <v>5000</v>
      </c>
      <c r="L563" s="69"/>
      <c r="M563" s="70">
        <f>SIP[[#This Row],[Amount]]/SIP[[#This Row],[Unit]]</f>
        <v>11.086474501108647</v>
      </c>
      <c r="N563" s="71">
        <f>SIP[[#This Row],[Unit Capital]]/10</f>
        <v>451</v>
      </c>
      <c r="O563" s="72">
        <f>SUMIFS(SIP[[#Headers],[Unit]]:SIP[[#This Row],[Unit]],SIP[[#Headers],[Investor ID]]:SIP[[#This Row],[Investor ID]],SIP[[#This Row],[Investor ID]])</f>
        <v>3722</v>
      </c>
      <c r="P563" s="73">
        <v>4510</v>
      </c>
      <c r="Q563" s="74">
        <f>SIP[[#This Row],[Amount]]-SIP[[#This Row],[Unit Capital]]</f>
        <v>490</v>
      </c>
      <c r="R56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10.7469102632993</v>
      </c>
      <c r="S563" s="68">
        <f t="shared" si="24"/>
        <v>14.224</v>
      </c>
      <c r="T5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3" s="74" cm="1">
        <f t="array" ref="U563">IF(SIP[[#This Row],[B/S]]="S",ABS(SIP[[#This Row],[Unit]])*(INDEX(SIP[NAV at Cost (Average)],MATCH(CONCATENATE((SIP[[#This Row],[Frequency]]-1),SIP[[#This Row],[Investor ID]]),SIP[Unique Code],0),0)),0)</f>
        <v>0</v>
      </c>
      <c r="V563" s="74">
        <f>IF(SIP[[#This Row],[BO TRANSFER]]="YES",SIP[[#This Row],[Unit]],)</f>
        <v>0</v>
      </c>
      <c r="W563" s="74">
        <f>SUMIFS(SIP[[#Headers],[BO UNIT TRANSFER]]:SIP[[#This Row],[BO UNIT TRANSFER]],SIP[[#Headers],[Investor ID]]:SIP[[#This Row],[Investor ID]],SIP[[#This Row],[Investor ID]])</f>
        <v>0</v>
      </c>
    </row>
    <row r="564" spans="1:23" ht="15" customHeight="1">
      <c r="A564" s="46">
        <v>2024</v>
      </c>
      <c r="B564" s="46">
        <v>6</v>
      </c>
      <c r="C564" s="46">
        <v>5</v>
      </c>
      <c r="D564" s="65">
        <f>DATE(SIP[[#This Row],[Year]],SIP[[#This Row],[Month]],SIP[[#This Row],[Day]])</f>
        <v>45448</v>
      </c>
      <c r="E564" s="66" t="str" cm="1">
        <f t="array" ref="E564">INDEX(INVESTORS_LIST[INVESTOR NAME],MATCH(SIP[[#This Row],[Investor ID]],INVESTORS_LIST[INVESTOR CODE],0),)</f>
        <v>FAKARUDDIN ALI AHMED</v>
      </c>
      <c r="F564" s="46" t="s">
        <v>228</v>
      </c>
      <c r="G564" s="46">
        <f>COUNTIF(SIP[[#Headers],[Investor ID]]:SIP[[#This Row],[Investor ID]],SIP[[#This Row],[Investor ID]])</f>
        <v>14</v>
      </c>
      <c r="H564" s="46" t="str">
        <f>CONCATENATE(SIP[[#This Row],[Frequency]],SIP[[#This Row],[Investor ID]])</f>
        <v>14A00090</v>
      </c>
      <c r="I564" s="46" t="str">
        <f>IF(SIP[[#This Row],[B/S]]="B","BUY",(IF(SIP[[#This Row],[B/S]]="S","SELL"," ")))</f>
        <v>BUY</v>
      </c>
      <c r="J564" s="46" t="s">
        <v>1229</v>
      </c>
      <c r="K564" s="69">
        <v>10000</v>
      </c>
      <c r="L564" s="69"/>
      <c r="M564" s="70">
        <f>SIP[[#This Row],[Amount]]/SIP[[#This Row],[Unit]]</f>
        <v>11.086474501108647</v>
      </c>
      <c r="N564" s="71">
        <f>SIP[[#This Row],[Unit Capital]]/10</f>
        <v>902</v>
      </c>
      <c r="O564" s="72">
        <f>SUMIFS(SIP[[#Headers],[Unit]]:SIP[[#This Row],[Unit]],SIP[[#Headers],[Investor ID]]:SIP[[#This Row],[Investor ID]],SIP[[#This Row],[Investor ID]])</f>
        <v>3730</v>
      </c>
      <c r="P564" s="73">
        <v>9020</v>
      </c>
      <c r="Q564" s="74">
        <f>SIP[[#This Row],[Amount]]-SIP[[#This Row],[Unit Capital]]</f>
        <v>980</v>
      </c>
      <c r="R56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10.958976174819162</v>
      </c>
      <c r="S564" s="68">
        <f t="shared" si="24"/>
        <v>14.224</v>
      </c>
      <c r="T5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4" s="74" cm="1">
        <f t="array" ref="U564">IF(SIP[[#This Row],[B/S]]="S",ABS(SIP[[#This Row],[Unit]])*(INDEX(SIP[NAV at Cost (Average)],MATCH(CONCATENATE((SIP[[#This Row],[Frequency]]-1),SIP[[#This Row],[Investor ID]]),SIP[Unique Code],0),0)),0)</f>
        <v>0</v>
      </c>
      <c r="V564" s="74">
        <f>IF(SIP[[#This Row],[BO TRANSFER]]="YES",SIP[[#This Row],[Unit]],)</f>
        <v>0</v>
      </c>
      <c r="W564" s="74">
        <f>SUMIFS(SIP[[#Headers],[BO UNIT TRANSFER]]:SIP[[#This Row],[BO UNIT TRANSFER]],SIP[[#Headers],[Investor ID]]:SIP[[#This Row],[Investor ID]],SIP[[#This Row],[Investor ID]])</f>
        <v>0</v>
      </c>
    </row>
    <row r="565" spans="1:23" ht="15" customHeight="1">
      <c r="A565" s="46">
        <v>2024</v>
      </c>
      <c r="B565" s="46">
        <v>6</v>
      </c>
      <c r="C565" s="46">
        <v>5</v>
      </c>
      <c r="D565" s="65">
        <f>DATE(SIP[[#This Row],[Year]],SIP[[#This Row],[Month]],SIP[[#This Row],[Day]])</f>
        <v>45448</v>
      </c>
      <c r="E565" s="66" t="str" cm="1">
        <f t="array" ref="E565">INDEX(INVESTORS_LIST[INVESTOR NAME],MATCH(SIP[[#This Row],[Investor ID]],INVESTORS_LIST[INVESTOR CODE],0),)</f>
        <v>SABRIA ISLAM TALUKDER</v>
      </c>
      <c r="F565" s="46" t="s">
        <v>409</v>
      </c>
      <c r="G565" s="46">
        <f>COUNTIF(SIP[[#Headers],[Investor ID]]:SIP[[#This Row],[Investor ID]],SIP[[#This Row],[Investor ID]])</f>
        <v>10</v>
      </c>
      <c r="H565" s="46" t="str">
        <f>CONCATENATE(SIP[[#This Row],[Frequency]],SIP[[#This Row],[Investor ID]])</f>
        <v>10A00180</v>
      </c>
      <c r="I565" s="46" t="str">
        <f>IF(SIP[[#This Row],[B/S]]="B","BUY",(IF(SIP[[#This Row],[B/S]]="S","SELL"," ")))</f>
        <v>BUY</v>
      </c>
      <c r="J565" s="46" t="s">
        <v>1229</v>
      </c>
      <c r="K565" s="69">
        <v>5000</v>
      </c>
      <c r="L565" s="69"/>
      <c r="M565" s="70">
        <f>SIP[[#This Row],[Amount]]/SIP[[#This Row],[Unit]]</f>
        <v>11.086474501108647</v>
      </c>
      <c r="N565" s="71">
        <f>SIP[[#This Row],[Unit Capital]]/10</f>
        <v>451</v>
      </c>
      <c r="O565" s="72">
        <f>SUMIFS(SIP[[#Headers],[Unit]]:SIP[[#This Row],[Unit]],SIP[[#Headers],[Investor ID]]:SIP[[#This Row],[Investor ID]],SIP[[#This Row],[Investor ID]])</f>
        <v>4655</v>
      </c>
      <c r="P565" s="73">
        <v>4510</v>
      </c>
      <c r="Q565" s="74">
        <f>SIP[[#This Row],[Amount]]-SIP[[#This Row],[Unit Capital]]</f>
        <v>490</v>
      </c>
      <c r="R56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10.741138560687434</v>
      </c>
      <c r="S565" s="68">
        <f t="shared" si="24"/>
        <v>14.224</v>
      </c>
      <c r="T5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5" s="74" cm="1">
        <f t="array" ref="U565">IF(SIP[[#This Row],[B/S]]="S",ABS(SIP[[#This Row],[Unit]])*(INDEX(SIP[NAV at Cost (Average)],MATCH(CONCATENATE((SIP[[#This Row],[Frequency]]-1),SIP[[#This Row],[Investor ID]]),SIP[Unique Code],0),0)),0)</f>
        <v>0</v>
      </c>
      <c r="V565" s="74">
        <f>IF(SIP[[#This Row],[BO TRANSFER]]="YES",SIP[[#This Row],[Unit]],)</f>
        <v>0</v>
      </c>
      <c r="W565" s="74">
        <f>SUMIFS(SIP[[#Headers],[BO UNIT TRANSFER]]:SIP[[#This Row],[BO UNIT TRANSFER]],SIP[[#Headers],[Investor ID]]:SIP[[#This Row],[Investor ID]],SIP[[#This Row],[Investor ID]])</f>
        <v>0</v>
      </c>
    </row>
    <row r="566" spans="1:23" ht="15" customHeight="1">
      <c r="A566" s="46">
        <v>2024</v>
      </c>
      <c r="B566" s="46">
        <v>6</v>
      </c>
      <c r="C566" s="46">
        <v>5</v>
      </c>
      <c r="D566" s="65">
        <f>DATE(SIP[[#This Row],[Year]],SIP[[#This Row],[Month]],SIP[[#This Row],[Day]])</f>
        <v>45448</v>
      </c>
      <c r="E566" s="66" t="str" cm="1">
        <f t="array" ref="E566">INDEX(INVESTORS_LIST[INVESTOR NAME],MATCH(SIP[[#This Row],[Investor ID]],INVESTORS_LIST[INVESTOR CODE],0),)</f>
        <v>BIJOY CHANDRA DAS</v>
      </c>
      <c r="F566" s="46" t="s">
        <v>497</v>
      </c>
      <c r="G566" s="46">
        <f>COUNTIF(SIP[[#Headers],[Investor ID]]:SIP[[#This Row],[Investor ID]],SIP[[#This Row],[Investor ID]])</f>
        <v>3</v>
      </c>
      <c r="H566" s="46" t="str">
        <f>CONCATENATE(SIP[[#This Row],[Frequency]],SIP[[#This Row],[Investor ID]])</f>
        <v>3A00224</v>
      </c>
      <c r="I566" s="46" t="str">
        <f>IF(SIP[[#This Row],[B/S]]="B","BUY",(IF(SIP[[#This Row],[B/S]]="S","SELL"," ")))</f>
        <v>BUY</v>
      </c>
      <c r="J566" s="46" t="s">
        <v>1229</v>
      </c>
      <c r="K566" s="69">
        <v>5000</v>
      </c>
      <c r="L566" s="69"/>
      <c r="M566" s="70">
        <f>SIP[[#This Row],[Amount]]/SIP[[#This Row],[Unit]]</f>
        <v>11.086474501108647</v>
      </c>
      <c r="N566" s="71">
        <f>SIP[[#This Row],[Unit Capital]]/10</f>
        <v>451</v>
      </c>
      <c r="O566" s="72">
        <f>SUMIFS(SIP[[#Headers],[Unit]]:SIP[[#This Row],[Unit]],SIP[[#Headers],[Investor ID]]:SIP[[#This Row],[Investor ID]],SIP[[#This Row],[Investor ID]])</f>
        <v>1363</v>
      </c>
      <c r="P566" s="73">
        <v>4510</v>
      </c>
      <c r="Q566" s="74">
        <f>SIP[[#This Row],[Amount]]-SIP[[#This Row],[Unit Capital]]</f>
        <v>490</v>
      </c>
      <c r="R56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11.005135730007336</v>
      </c>
      <c r="S566" s="68">
        <f t="shared" si="24"/>
        <v>14.224</v>
      </c>
      <c r="T5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6" s="74" cm="1">
        <f t="array" ref="U566">IF(SIP[[#This Row],[B/S]]="S",ABS(SIP[[#This Row],[Unit]])*(INDEX(SIP[NAV at Cost (Average)],MATCH(CONCATENATE((SIP[[#This Row],[Frequency]]-1),SIP[[#This Row],[Investor ID]]),SIP[Unique Code],0),0)),0)</f>
        <v>0</v>
      </c>
      <c r="V566" s="74">
        <f>IF(SIP[[#This Row],[BO TRANSFER]]="YES",SIP[[#This Row],[Unit]],)</f>
        <v>0</v>
      </c>
      <c r="W566" s="74">
        <f>SUMIFS(SIP[[#Headers],[BO UNIT TRANSFER]]:SIP[[#This Row],[BO UNIT TRANSFER]],SIP[[#Headers],[Investor ID]]:SIP[[#This Row],[Investor ID]],SIP[[#This Row],[Investor ID]])</f>
        <v>0</v>
      </c>
    </row>
    <row r="567" spans="1:23" ht="15" customHeight="1">
      <c r="A567" s="46">
        <v>2024</v>
      </c>
      <c r="B567" s="46">
        <v>6</v>
      </c>
      <c r="C567" s="46">
        <v>5</v>
      </c>
      <c r="D567" s="65">
        <f>DATE(SIP[[#This Row],[Year]],SIP[[#This Row],[Month]],SIP[[#This Row],[Day]])</f>
        <v>45448</v>
      </c>
      <c r="E567" s="66" t="str" cm="1">
        <f t="array" ref="E567">INDEX(INVESTORS_LIST[INVESTOR NAME],MATCH(SIP[[#This Row],[Investor ID]],INVESTORS_LIST[INVESTOR CODE],0),)</f>
        <v>SHUVA SAHA</v>
      </c>
      <c r="F567" s="46" t="s">
        <v>154</v>
      </c>
      <c r="G567" s="46">
        <f>COUNTIF(SIP[[#Headers],[Investor ID]]:SIP[[#This Row],[Investor ID]],SIP[[#This Row],[Investor ID]])</f>
        <v>16</v>
      </c>
      <c r="H567" s="46" t="str">
        <f>CONCATENATE(SIP[[#This Row],[Frequency]],SIP[[#This Row],[Investor ID]])</f>
        <v>16A00053</v>
      </c>
      <c r="I567" s="46" t="str">
        <f>IF(SIP[[#This Row],[B/S]]="B","BUY",(IF(SIP[[#This Row],[B/S]]="S","SELL"," ")))</f>
        <v>BUY</v>
      </c>
      <c r="J567" s="46" t="s">
        <v>1229</v>
      </c>
      <c r="K567" s="69">
        <v>70000</v>
      </c>
      <c r="L567" s="69"/>
      <c r="M567" s="70">
        <f>SIP[[#This Row],[Amount]]/SIP[[#This Row],[Unit]]</f>
        <v>11.081209434858319</v>
      </c>
      <c r="N567" s="71">
        <f>SIP[[#This Row],[Unit Capital]]/10</f>
        <v>6317</v>
      </c>
      <c r="O567" s="72">
        <f>SUMIFS(SIP[[#Headers],[Unit]]:SIP[[#This Row],[Unit]],SIP[[#Headers],[Investor ID]]:SIP[[#This Row],[Investor ID]],SIP[[#This Row],[Investor ID]])</f>
        <v>92758</v>
      </c>
      <c r="P567" s="73">
        <v>63170</v>
      </c>
      <c r="Q567" s="74">
        <f>SIP[[#This Row],[Amount]]-SIP[[#This Row],[Unit Capital]]</f>
        <v>6830</v>
      </c>
      <c r="R567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10.58023502566866</v>
      </c>
      <c r="S567" s="68">
        <f t="shared" si="24"/>
        <v>14.224</v>
      </c>
      <c r="T5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7" s="74" cm="1">
        <f t="array" ref="U567">IF(SIP[[#This Row],[B/S]]="S",ABS(SIP[[#This Row],[Unit]])*(INDEX(SIP[NAV at Cost (Average)],MATCH(CONCATENATE((SIP[[#This Row],[Frequency]]-1),SIP[[#This Row],[Investor ID]]),SIP[Unique Code],0),0)),0)</f>
        <v>0</v>
      </c>
      <c r="V567" s="74">
        <f>IF(SIP[[#This Row],[BO TRANSFER]]="YES",SIP[[#This Row],[Unit]],)</f>
        <v>0</v>
      </c>
      <c r="W567" s="74">
        <f>SUMIFS(SIP[[#Headers],[BO UNIT TRANSFER]]:SIP[[#This Row],[BO UNIT TRANSFER]],SIP[[#Headers],[Investor ID]]:SIP[[#This Row],[Investor ID]],SIP[[#This Row],[Investor ID]])</f>
        <v>0</v>
      </c>
    </row>
    <row r="568" spans="1:23" ht="15" customHeight="1">
      <c r="A568" s="46">
        <v>2024</v>
      </c>
      <c r="B568" s="46">
        <v>6</v>
      </c>
      <c r="C568" s="46">
        <v>5</v>
      </c>
      <c r="D568" s="65">
        <f>DATE(SIP[[#This Row],[Year]],SIP[[#This Row],[Month]],SIP[[#This Row],[Day]])</f>
        <v>45448</v>
      </c>
      <c r="E568" s="66" t="str" cm="1">
        <f t="array" ref="E568">INDEX(INVESTORS_LIST[INVESTOR NAME],MATCH(SIP[[#This Row],[Investor ID]],INVESTORS_LIST[INVESTOR CODE],0),)</f>
        <v>FAIYEAD AHMEDUL HYE</v>
      </c>
      <c r="F568" s="46" t="s">
        <v>368</v>
      </c>
      <c r="G568" s="46">
        <f>COUNTIF(SIP[[#Headers],[Investor ID]]:SIP[[#This Row],[Investor ID]],SIP[[#This Row],[Investor ID]])</f>
        <v>13</v>
      </c>
      <c r="H568" s="46" t="str">
        <f>CONCATENATE(SIP[[#This Row],[Frequency]],SIP[[#This Row],[Investor ID]])</f>
        <v>13A00160</v>
      </c>
      <c r="I568" s="46" t="str">
        <f>IF(SIP[[#This Row],[B/S]]="B","BUY",(IF(SIP[[#This Row],[B/S]]="S","SELL"," ")))</f>
        <v>BUY</v>
      </c>
      <c r="J568" s="46" t="s">
        <v>1229</v>
      </c>
      <c r="K568" s="69">
        <v>15000</v>
      </c>
      <c r="L568" s="69"/>
      <c r="M568" s="70">
        <f>SIP[[#This Row],[Amount]]/SIP[[#This Row],[Unit]]</f>
        <v>11.078286558345642</v>
      </c>
      <c r="N568" s="71">
        <f>SIP[[#This Row],[Unit Capital]]/10</f>
        <v>1354</v>
      </c>
      <c r="O568" s="72">
        <f>SUMIFS(SIP[[#Headers],[Unit]]:SIP[[#This Row],[Unit]],SIP[[#Headers],[Investor ID]]:SIP[[#This Row],[Investor ID]],SIP[[#This Row],[Investor ID]])</f>
        <v>18342</v>
      </c>
      <c r="P568" s="73">
        <v>13540</v>
      </c>
      <c r="Q568" s="74">
        <f>SIP[[#This Row],[Amount]]-SIP[[#This Row],[Unit Capital]]</f>
        <v>1460</v>
      </c>
      <c r="R568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10.631337912986588</v>
      </c>
      <c r="S568" s="68">
        <f t="shared" si="24"/>
        <v>14.224</v>
      </c>
      <c r="T5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8" s="74" cm="1">
        <f t="array" ref="U568">IF(SIP[[#This Row],[B/S]]="S",ABS(SIP[[#This Row],[Unit]])*(INDEX(SIP[NAV at Cost (Average)],MATCH(CONCATENATE((SIP[[#This Row],[Frequency]]-1),SIP[[#This Row],[Investor ID]]),SIP[Unique Code],0),0)),0)</f>
        <v>0</v>
      </c>
      <c r="V568" s="74">
        <f>IF(SIP[[#This Row],[BO TRANSFER]]="YES",SIP[[#This Row],[Unit]],)</f>
        <v>0</v>
      </c>
      <c r="W568" s="74">
        <f>SUMIFS(SIP[[#Headers],[BO UNIT TRANSFER]]:SIP[[#This Row],[BO UNIT TRANSFER]],SIP[[#Headers],[Investor ID]]:SIP[[#This Row],[Investor ID]],SIP[[#This Row],[Investor ID]])</f>
        <v>0</v>
      </c>
    </row>
    <row r="569" spans="1:23" ht="15" customHeight="1">
      <c r="A569" s="46">
        <v>2024</v>
      </c>
      <c r="B569" s="46">
        <v>6</v>
      </c>
      <c r="C569" s="46">
        <v>5</v>
      </c>
      <c r="D569" s="65">
        <f>DATE(SIP[[#This Row],[Year]],SIP[[#This Row],[Month]],SIP[[#This Row],[Day]])</f>
        <v>45448</v>
      </c>
      <c r="E569" s="66" t="str" cm="1">
        <f t="array" ref="E569">INDEX(INVESTORS_LIST[INVESTOR NAME],MATCH(SIP[[#This Row],[Investor ID]],INVESTORS_LIST[INVESTOR CODE],0),)</f>
        <v>CHAONIKA SAHA</v>
      </c>
      <c r="F569" s="46" t="s">
        <v>238</v>
      </c>
      <c r="G569" s="46">
        <f>COUNTIF(SIP[[#Headers],[Investor ID]]:SIP[[#This Row],[Investor ID]],SIP[[#This Row],[Investor ID]])</f>
        <v>10</v>
      </c>
      <c r="H569" s="46" t="str">
        <f>CONCATENATE(SIP[[#This Row],[Frequency]],SIP[[#This Row],[Investor ID]])</f>
        <v>10A00095</v>
      </c>
      <c r="I569" s="46" t="str">
        <f>IF(SIP[[#This Row],[B/S]]="B","BUY",(IF(SIP[[#This Row],[B/S]]="S","SELL"," ")))</f>
        <v>BUY</v>
      </c>
      <c r="J569" s="46" t="s">
        <v>1229</v>
      </c>
      <c r="K569" s="69">
        <v>1000</v>
      </c>
      <c r="L569" s="69"/>
      <c r="M569" s="70">
        <f>SIP[[#This Row],[Amount]]/SIP[[#This Row],[Unit]]</f>
        <v>11.111111111111111</v>
      </c>
      <c r="N569" s="71">
        <f>SIP[[#This Row],[Unit Capital]]/10</f>
        <v>90</v>
      </c>
      <c r="O569" s="72">
        <f>SUMIFS(SIP[[#Headers],[Unit]]:SIP[[#This Row],[Unit]],SIP[[#Headers],[Investor ID]]:SIP[[#This Row],[Investor ID]],SIP[[#This Row],[Investor ID]])</f>
        <v>931</v>
      </c>
      <c r="P569" s="73">
        <v>900</v>
      </c>
      <c r="Q569" s="74">
        <f>SIP[[#This Row],[Amount]]-SIP[[#This Row],[Unit Capital]]</f>
        <v>100</v>
      </c>
      <c r="R569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10.741138560687432</v>
      </c>
      <c r="S569" s="68">
        <f t="shared" si="24"/>
        <v>14.224</v>
      </c>
      <c r="T5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9" s="74" cm="1">
        <f t="array" ref="U569">IF(SIP[[#This Row],[B/S]]="S",ABS(SIP[[#This Row],[Unit]])*(INDEX(SIP[NAV at Cost (Average)],MATCH(CONCATENATE((SIP[[#This Row],[Frequency]]-1),SIP[[#This Row],[Investor ID]]),SIP[Unique Code],0),0)),0)</f>
        <v>0</v>
      </c>
      <c r="V569" s="74">
        <f>IF(SIP[[#This Row],[BO TRANSFER]]="YES",SIP[[#This Row],[Unit]],)</f>
        <v>0</v>
      </c>
      <c r="W569" s="74">
        <f>SUMIFS(SIP[[#Headers],[BO UNIT TRANSFER]]:SIP[[#This Row],[BO UNIT TRANSFER]],SIP[[#Headers],[Investor ID]]:SIP[[#This Row],[Investor ID]],SIP[[#This Row],[Investor ID]])</f>
        <v>0</v>
      </c>
    </row>
    <row r="570" spans="1:23" ht="15" customHeight="1">
      <c r="A570" s="46">
        <v>2024</v>
      </c>
      <c r="B570" s="46">
        <v>6</v>
      </c>
      <c r="C570" s="46">
        <v>5</v>
      </c>
      <c r="D570" s="65">
        <f>DATE(SIP[[#This Row],[Year]],SIP[[#This Row],[Month]],SIP[[#This Row],[Day]])</f>
        <v>45448</v>
      </c>
      <c r="E570" s="66" t="str" cm="1">
        <f t="array" ref="E570">INDEX(INVESTORS_LIST[INVESTOR NAME],MATCH(SIP[[#This Row],[Investor ID]],INVESTORS_LIST[INVESTOR CODE],0),)</f>
        <v>SK FEROZ ALAM</v>
      </c>
      <c r="F570" s="46" t="s">
        <v>240</v>
      </c>
      <c r="G570" s="46">
        <f>COUNTIF(SIP[[#Headers],[Investor ID]]:SIP[[#This Row],[Investor ID]],SIP[[#This Row],[Investor ID]])</f>
        <v>9</v>
      </c>
      <c r="H570" s="46" t="str">
        <f>CONCATENATE(SIP[[#This Row],[Frequency]],SIP[[#This Row],[Investor ID]])</f>
        <v>9A00096</v>
      </c>
      <c r="I570" s="46" t="str">
        <f>IF(SIP[[#This Row],[B/S]]="B","BUY",(IF(SIP[[#This Row],[B/S]]="S","SELL"," ")))</f>
        <v>BUY</v>
      </c>
      <c r="J570" s="46" t="s">
        <v>1229</v>
      </c>
      <c r="K570" s="69">
        <v>2000</v>
      </c>
      <c r="L570" s="69"/>
      <c r="M570" s="70">
        <f>SIP[[#This Row],[Amount]]/SIP[[#This Row],[Unit]]</f>
        <v>11.111111111111111</v>
      </c>
      <c r="N570" s="71">
        <f>SIP[[#This Row],[Unit Capital]]/10</f>
        <v>180</v>
      </c>
      <c r="O570" s="72">
        <f>SUMIFS(SIP[[#Headers],[Unit]]:SIP[[#This Row],[Unit]],SIP[[#Headers],[Investor ID]]:SIP[[#This Row],[Investor ID]],SIP[[#This Row],[Investor ID]])</f>
        <v>180</v>
      </c>
      <c r="P570" s="73">
        <v>1800</v>
      </c>
      <c r="Q570" s="74">
        <f>SIP[[#This Row],[Amount]]-SIP[[#This Row],[Unit Capital]]</f>
        <v>200</v>
      </c>
      <c r="R570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11.111111111111111</v>
      </c>
      <c r="S570" s="68">
        <f t="shared" si="24"/>
        <v>14.224</v>
      </c>
      <c r="T5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0" s="74" cm="1">
        <f t="array" ref="U570">IF(SIP[[#This Row],[B/S]]="S",ABS(SIP[[#This Row],[Unit]])*(INDEX(SIP[NAV at Cost (Average)],MATCH(CONCATENATE((SIP[[#This Row],[Frequency]]-1),SIP[[#This Row],[Investor ID]]),SIP[Unique Code],0),0)),0)</f>
        <v>0</v>
      </c>
      <c r="V570" s="74">
        <f>IF(SIP[[#This Row],[BO TRANSFER]]="YES",SIP[[#This Row],[Unit]],)</f>
        <v>0</v>
      </c>
      <c r="W570" s="74">
        <f>SUMIFS(SIP[[#Headers],[BO UNIT TRANSFER]]:SIP[[#This Row],[BO UNIT TRANSFER]],SIP[[#Headers],[Investor ID]]:SIP[[#This Row],[Investor ID]],SIP[[#This Row],[Investor ID]])</f>
        <v>0</v>
      </c>
    </row>
    <row r="571" spans="1:23" ht="15" customHeight="1">
      <c r="A571" s="46">
        <v>2024</v>
      </c>
      <c r="B571" s="46">
        <v>6</v>
      </c>
      <c r="C571" s="46">
        <v>5</v>
      </c>
      <c r="D571" s="65">
        <f>DATE(SIP[[#This Row],[Year]],SIP[[#This Row],[Month]],SIP[[#This Row],[Day]])</f>
        <v>45448</v>
      </c>
      <c r="E571" s="66" t="str" cm="1">
        <f t="array" ref="E571">INDEX(INVESTORS_LIST[INVESTOR NAME],MATCH(SIP[[#This Row],[Investor ID]],INVESTORS_LIST[INVESTOR CODE],0),)</f>
        <v>KAZI AHSAN MARUF</v>
      </c>
      <c r="F571" s="46" t="s">
        <v>158</v>
      </c>
      <c r="G571" s="46">
        <f>COUNTIF(SIP[[#Headers],[Investor ID]]:SIP[[#This Row],[Investor ID]],SIP[[#This Row],[Investor ID]])</f>
        <v>14</v>
      </c>
      <c r="H571" s="46" t="str">
        <f>CONCATENATE(SIP[[#This Row],[Frequency]],SIP[[#This Row],[Investor ID]])</f>
        <v>14A00055</v>
      </c>
      <c r="I571" s="46" t="str">
        <f>IF(SIP[[#This Row],[B/S]]="B","BUY",(IF(SIP[[#This Row],[B/S]]="S","SELL"," ")))</f>
        <v>BUY</v>
      </c>
      <c r="J571" s="46" t="s">
        <v>1229</v>
      </c>
      <c r="K571" s="69">
        <v>10000</v>
      </c>
      <c r="L571" s="69"/>
      <c r="M571" s="70">
        <f>SIP[[#This Row],[Amount]]/SIP[[#This Row],[Unit]]</f>
        <v>11.086474501108647</v>
      </c>
      <c r="N571" s="71">
        <f>SIP[[#This Row],[Unit Capital]]/10</f>
        <v>902</v>
      </c>
      <c r="O571" s="72">
        <f>SUMIFS(SIP[[#Headers],[Unit]]:SIP[[#This Row],[Unit]],SIP[[#Headers],[Investor ID]]:SIP[[#This Row],[Investor ID]],SIP[[#This Row],[Investor ID]])</f>
        <v>32668</v>
      </c>
      <c r="P571" s="73">
        <v>9020</v>
      </c>
      <c r="Q571" s="74">
        <f>SIP[[#This Row],[Amount]]-SIP[[#This Row],[Unit Capital]]</f>
        <v>980</v>
      </c>
      <c r="R571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10.407738459654706</v>
      </c>
      <c r="S571" s="68">
        <f t="shared" si="24"/>
        <v>14.224</v>
      </c>
      <c r="T5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1" s="74" cm="1">
        <f t="array" ref="U571">IF(SIP[[#This Row],[B/S]]="S",ABS(SIP[[#This Row],[Unit]])*(INDEX(SIP[NAV at Cost (Average)],MATCH(CONCATENATE((SIP[[#This Row],[Frequency]]-1),SIP[[#This Row],[Investor ID]]),SIP[Unique Code],0),0)),0)</f>
        <v>0</v>
      </c>
      <c r="V571" s="74">
        <f>IF(SIP[[#This Row],[BO TRANSFER]]="YES",SIP[[#This Row],[Unit]],)</f>
        <v>0</v>
      </c>
      <c r="W571" s="74">
        <f>SUMIFS(SIP[[#Headers],[BO UNIT TRANSFER]]:SIP[[#This Row],[BO UNIT TRANSFER]],SIP[[#Headers],[Investor ID]]:SIP[[#This Row],[Investor ID]],SIP[[#This Row],[Investor ID]])</f>
        <v>0</v>
      </c>
    </row>
    <row r="572" spans="1:23" ht="15" customHeight="1">
      <c r="A572" s="46">
        <v>2024</v>
      </c>
      <c r="B572" s="46">
        <v>6</v>
      </c>
      <c r="C572" s="46">
        <v>5</v>
      </c>
      <c r="D572" s="65">
        <f>DATE(SIP[[#This Row],[Year]],SIP[[#This Row],[Month]],SIP[[#This Row],[Day]])</f>
        <v>45448</v>
      </c>
      <c r="E572" s="66" t="str" cm="1">
        <f t="array" ref="E572">INDEX(INVESTORS_LIST[INVESTOR NAME],MATCH(SIP[[#This Row],[Investor ID]],INVESTORS_LIST[INVESTOR CODE],0),)</f>
        <v>AHMED BIN MONSUR</v>
      </c>
      <c r="F572" s="46" t="s">
        <v>692</v>
      </c>
      <c r="G572" s="46">
        <f>COUNTIF(SIP[[#Headers],[Investor ID]]:SIP[[#This Row],[Investor ID]],SIP[[#This Row],[Investor ID]])</f>
        <v>1</v>
      </c>
      <c r="H572" s="46" t="str">
        <f>CONCATENATE(SIP[[#This Row],[Frequency]],SIP[[#This Row],[Investor ID]])</f>
        <v>1A00322</v>
      </c>
      <c r="I572" s="46" t="str">
        <f>IF(SIP[[#This Row],[B/S]]="B","BUY",(IF(SIP[[#This Row],[B/S]]="S","SELL"," ")))</f>
        <v>BUY</v>
      </c>
      <c r="J572" s="46" t="s">
        <v>1229</v>
      </c>
      <c r="K572" s="69">
        <v>20000</v>
      </c>
      <c r="L572" s="69"/>
      <c r="M572" s="70">
        <f>SIP[[#This Row],[Amount]]/SIP[[#This Row],[Unit]]</f>
        <v>11.0803324099723</v>
      </c>
      <c r="N572" s="71">
        <f>SIP[[#This Row],[Unit Capital]]/10</f>
        <v>1805</v>
      </c>
      <c r="O572" s="72">
        <f>SUMIFS(SIP[[#Headers],[Unit]]:SIP[[#This Row],[Unit]],SIP[[#Headers],[Investor ID]]:SIP[[#This Row],[Investor ID]],SIP[[#This Row],[Investor ID]])</f>
        <v>1805</v>
      </c>
      <c r="P572" s="73">
        <v>18050</v>
      </c>
      <c r="Q572" s="74">
        <f>SIP[[#This Row],[Amount]]-SIP[[#This Row],[Unit Capital]]</f>
        <v>1950</v>
      </c>
      <c r="R572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11.0803324099723</v>
      </c>
      <c r="S572" s="68">
        <f t="shared" si="24"/>
        <v>14.224</v>
      </c>
      <c r="T5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2" s="74" cm="1">
        <f t="array" ref="U572">IF(SIP[[#This Row],[B/S]]="S",ABS(SIP[[#This Row],[Unit]])*(INDEX(SIP[NAV at Cost (Average)],MATCH(CONCATENATE((SIP[[#This Row],[Frequency]]-1),SIP[[#This Row],[Investor ID]]),SIP[Unique Code],0),0)),0)</f>
        <v>0</v>
      </c>
      <c r="V572" s="74">
        <f>IF(SIP[[#This Row],[BO TRANSFER]]="YES",SIP[[#This Row],[Unit]],)</f>
        <v>0</v>
      </c>
      <c r="W572" s="74">
        <f>SUMIFS(SIP[[#Headers],[BO UNIT TRANSFER]]:SIP[[#This Row],[BO UNIT TRANSFER]],SIP[[#Headers],[Investor ID]]:SIP[[#This Row],[Investor ID]],SIP[[#This Row],[Investor ID]])</f>
        <v>0</v>
      </c>
    </row>
    <row r="573" spans="1:23" ht="15" customHeight="1">
      <c r="A573" s="46">
        <v>2024</v>
      </c>
      <c r="B573" s="46">
        <v>6</v>
      </c>
      <c r="C573" s="46">
        <v>15</v>
      </c>
      <c r="D573" s="65">
        <f>DATE(SIP[[#This Row],[Year]],SIP[[#This Row],[Month]],SIP[[#This Row],[Day]])</f>
        <v>45458</v>
      </c>
      <c r="E573" s="66" t="str" cm="1">
        <f t="array" ref="E573">INDEX(INVESTORS_LIST[INVESTOR NAME],MATCH(SIP[[#This Row],[Investor ID]],INVESTORS_LIST[INVESTOR CODE],0),)</f>
        <v>MD. RAFIQUR RAHMAN</v>
      </c>
      <c r="F573" s="46" t="s">
        <v>622</v>
      </c>
      <c r="G573" s="46">
        <f>COUNTIF(SIP[[#Headers],[Investor ID]]:SIP[[#This Row],[Investor ID]],SIP[[#This Row],[Investor ID]])</f>
        <v>10</v>
      </c>
      <c r="H573" s="46" t="str">
        <f>CONCATENATE(SIP[[#This Row],[Frequency]],SIP[[#This Row],[Investor ID]])</f>
        <v>10A00287</v>
      </c>
      <c r="I573" s="46" t="str">
        <f>IF(SIP[[#This Row],[B/S]]="B","BUY",(IF(SIP[[#This Row],[B/S]]="S","SELL"," ")))</f>
        <v>BUY</v>
      </c>
      <c r="J573" s="46" t="s">
        <v>1229</v>
      </c>
      <c r="K573" s="69">
        <v>20000</v>
      </c>
      <c r="L573" s="69"/>
      <c r="M573" s="70">
        <f>SIP[[#This Row],[Amount]]/SIP[[#This Row],[Unit]]</f>
        <v>11.135857461024498</v>
      </c>
      <c r="N573" s="71">
        <f>SIP[[#This Row],[Unit Capital]]/10</f>
        <v>1796</v>
      </c>
      <c r="O573" s="72">
        <f>SUMIFS(SIP[[#Headers],[Unit]]:SIP[[#This Row],[Unit]],SIP[[#Headers],[Investor ID]]:SIP[[#This Row],[Investor ID]],SIP[[#This Row],[Investor ID]])</f>
        <v>18573</v>
      </c>
      <c r="P573" s="73">
        <v>17960</v>
      </c>
      <c r="Q573" s="74">
        <f>SIP[[#This Row],[Amount]]-SIP[[#This Row],[Unit Capital]]</f>
        <v>2040</v>
      </c>
      <c r="R573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10.768319603725837</v>
      </c>
      <c r="S573" s="68">
        <f t="shared" ref="S573:S606" si="25">NAV_MKT</f>
        <v>14.224</v>
      </c>
      <c r="T5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3" s="74" cm="1">
        <f t="array" ref="U573">IF(SIP[[#This Row],[B/S]]="S",ABS(SIP[[#This Row],[Unit]])*(INDEX(SIP[NAV at Cost (Average)],MATCH(CONCATENATE((SIP[[#This Row],[Frequency]]-1),SIP[[#This Row],[Investor ID]]),SIP[Unique Code],0),0)),0)</f>
        <v>0</v>
      </c>
      <c r="V573" s="74">
        <f>IF(SIP[[#This Row],[BO TRANSFER]]="YES",SIP[[#This Row],[Unit]],)</f>
        <v>0</v>
      </c>
      <c r="W573" s="74">
        <f>SUMIFS(SIP[[#Headers],[BO UNIT TRANSFER]]:SIP[[#This Row],[BO UNIT TRANSFER]],SIP[[#Headers],[Investor ID]]:SIP[[#This Row],[Investor ID]],SIP[[#This Row],[Investor ID]])</f>
        <v>0</v>
      </c>
    </row>
    <row r="574" spans="1:23" ht="15" customHeight="1">
      <c r="A574" s="46">
        <v>2024</v>
      </c>
      <c r="B574" s="46">
        <v>6</v>
      </c>
      <c r="C574" s="46">
        <v>15</v>
      </c>
      <c r="D574" s="65">
        <f>DATE(SIP[[#This Row],[Year]],SIP[[#This Row],[Month]],SIP[[#This Row],[Day]])</f>
        <v>45458</v>
      </c>
      <c r="E574" s="66" t="str" cm="1">
        <f t="array" ref="E574">INDEX(INVESTORS_LIST[INVESTOR NAME],MATCH(SIP[[#This Row],[Investor ID]],INVESTORS_LIST[INVESTOR CODE],0),)</f>
        <v>AKIB TANVIR ANJUM</v>
      </c>
      <c r="F574" s="46" t="s">
        <v>1116</v>
      </c>
      <c r="G574" s="46">
        <f>COUNTIF(SIP[[#Headers],[Investor ID]]:SIP[[#This Row],[Investor ID]],SIP[[#This Row],[Investor ID]])</f>
        <v>3</v>
      </c>
      <c r="H574" s="46" t="str">
        <f>CONCATENATE(SIP[[#This Row],[Frequency]],SIP[[#This Row],[Investor ID]])</f>
        <v>3A00533</v>
      </c>
      <c r="I574" s="46" t="str">
        <f>IF(SIP[[#This Row],[B/S]]="B","BUY",(IF(SIP[[#This Row],[B/S]]="S","SELL"," ")))</f>
        <v>BUY</v>
      </c>
      <c r="J574" s="46" t="s">
        <v>1229</v>
      </c>
      <c r="K574" s="69">
        <v>1000</v>
      </c>
      <c r="L574" s="69"/>
      <c r="M574" s="70">
        <f>SIP[[#This Row],[Amount]]/SIP[[#This Row],[Unit]]</f>
        <v>11.111111111111111</v>
      </c>
      <c r="N574" s="71">
        <f>SIP[[#This Row],[Unit Capital]]/10</f>
        <v>90</v>
      </c>
      <c r="O574" s="72">
        <f>SUMIFS(SIP[[#Headers],[Unit]]:SIP[[#This Row],[Unit]],SIP[[#Headers],[Investor ID]]:SIP[[#This Row],[Investor ID]],SIP[[#This Row],[Investor ID]])</f>
        <v>272</v>
      </c>
      <c r="P574" s="73">
        <v>900</v>
      </c>
      <c r="Q574" s="74">
        <f>SIP[[#This Row],[Amount]]-SIP[[#This Row],[Unit Capital]]</f>
        <v>100</v>
      </c>
      <c r="R574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11.029411764705882</v>
      </c>
      <c r="S574" s="68">
        <f t="shared" si="25"/>
        <v>14.224</v>
      </c>
      <c r="T5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4" s="74" cm="1">
        <f t="array" ref="U574">IF(SIP[[#This Row],[B/S]]="S",ABS(SIP[[#This Row],[Unit]])*(INDEX(SIP[NAV at Cost (Average)],MATCH(CONCATENATE((SIP[[#This Row],[Frequency]]-1),SIP[[#This Row],[Investor ID]]),SIP[Unique Code],0),0)),0)</f>
        <v>0</v>
      </c>
      <c r="V574" s="74">
        <f>IF(SIP[[#This Row],[BO TRANSFER]]="YES",SIP[[#This Row],[Unit]],)</f>
        <v>0</v>
      </c>
      <c r="W574" s="74">
        <f>SUMIFS(SIP[[#Headers],[BO UNIT TRANSFER]]:SIP[[#This Row],[BO UNIT TRANSFER]],SIP[[#Headers],[Investor ID]]:SIP[[#This Row],[Investor ID]],SIP[[#This Row],[Investor ID]])</f>
        <v>0</v>
      </c>
    </row>
    <row r="575" spans="1:23" ht="15" customHeight="1">
      <c r="A575" s="46">
        <v>2024</v>
      </c>
      <c r="B575" s="46">
        <v>6</v>
      </c>
      <c r="C575" s="46">
        <v>15</v>
      </c>
      <c r="D575" s="65">
        <f>DATE(SIP[[#This Row],[Year]],SIP[[#This Row],[Month]],SIP[[#This Row],[Day]])</f>
        <v>45458</v>
      </c>
      <c r="E575" s="66" t="str" cm="1">
        <f t="array" ref="E575">INDEX(INVESTORS_LIST[INVESTOR NAME],MATCH(SIP[[#This Row],[Investor ID]],INVESTORS_LIST[INVESTOR CODE],0),)</f>
        <v>MAHMUD ALI ALAMGIR &amp; MOHAMMED ALI XAHANGIR</v>
      </c>
      <c r="F575" s="46" t="s">
        <v>1130</v>
      </c>
      <c r="G575" s="46">
        <f>COUNTIF(SIP[[#Headers],[Investor ID]]:SIP[[#This Row],[Investor ID]],SIP[[#This Row],[Investor ID]])</f>
        <v>1</v>
      </c>
      <c r="H575" s="46" t="str">
        <f>CONCATENATE(SIP[[#This Row],[Frequency]],SIP[[#This Row],[Investor ID]])</f>
        <v>1A00540</v>
      </c>
      <c r="I575" s="46" t="str">
        <f>IF(SIP[[#This Row],[B/S]]="B","BUY",(IF(SIP[[#This Row],[B/S]]="S","SELL"," ")))</f>
        <v>BUY</v>
      </c>
      <c r="J575" s="46" t="s">
        <v>1229</v>
      </c>
      <c r="K575" s="69">
        <v>40000</v>
      </c>
      <c r="L575" s="69"/>
      <c r="M575" s="70">
        <f>SIP[[#This Row],[Amount]]/SIP[[#This Row],[Unit]]</f>
        <v>11.135857461024498</v>
      </c>
      <c r="N575" s="71">
        <f>SIP[[#This Row],[Unit Capital]]/10</f>
        <v>3592</v>
      </c>
      <c r="O575" s="72">
        <f>SUMIFS(SIP[[#Headers],[Unit]]:SIP[[#This Row],[Unit]],SIP[[#Headers],[Investor ID]]:SIP[[#This Row],[Investor ID]],SIP[[#This Row],[Investor ID]])</f>
        <v>3592</v>
      </c>
      <c r="P575" s="73">
        <v>35920</v>
      </c>
      <c r="Q575" s="74">
        <f>SIP[[#This Row],[Amount]]-SIP[[#This Row],[Unit Capital]]</f>
        <v>4080</v>
      </c>
      <c r="R575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11.135857461024498</v>
      </c>
      <c r="S575" s="68">
        <f t="shared" si="25"/>
        <v>14.224</v>
      </c>
      <c r="T5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5" s="74" cm="1">
        <f t="array" ref="U575">IF(SIP[[#This Row],[B/S]]="S",ABS(SIP[[#This Row],[Unit]])*(INDEX(SIP[NAV at Cost (Average)],MATCH(CONCATENATE((SIP[[#This Row],[Frequency]]-1),SIP[[#This Row],[Investor ID]]),SIP[Unique Code],0),0)),0)</f>
        <v>0</v>
      </c>
      <c r="V575" s="74">
        <f>IF(SIP[[#This Row],[BO TRANSFER]]="YES",SIP[[#This Row],[Unit]],)</f>
        <v>0</v>
      </c>
      <c r="W575" s="74">
        <f>SUMIFS(SIP[[#Headers],[BO UNIT TRANSFER]]:SIP[[#This Row],[BO UNIT TRANSFER]],SIP[[#Headers],[Investor ID]]:SIP[[#This Row],[Investor ID]],SIP[[#This Row],[Investor ID]])</f>
        <v>0</v>
      </c>
    </row>
    <row r="576" spans="1:23" ht="15" customHeight="1">
      <c r="A576" s="46">
        <v>2024</v>
      </c>
      <c r="B576" s="46">
        <v>6</v>
      </c>
      <c r="C576" s="46">
        <v>15</v>
      </c>
      <c r="D576" s="65">
        <f>DATE(SIP[[#This Row],[Year]],SIP[[#This Row],[Month]],SIP[[#This Row],[Day]])</f>
        <v>45458</v>
      </c>
      <c r="E576" s="66" t="str" cm="1">
        <f t="array" ref="E576">INDEX(INVESTORS_LIST[INVESTOR NAME],MATCH(SIP[[#This Row],[Investor ID]],INVESTORS_LIST[INVESTOR CODE],0),)</f>
        <v>SANJIB KUMAR ROY</v>
      </c>
      <c r="F576" s="46" t="s">
        <v>1020</v>
      </c>
      <c r="G576" s="46">
        <f>COUNTIF(SIP[[#Headers],[Investor ID]]:SIP[[#This Row],[Investor ID]],SIP[[#This Row],[Investor ID]])</f>
        <v>13</v>
      </c>
      <c r="H576" s="46" t="str">
        <f>CONCATENATE(SIP[[#This Row],[Frequency]],SIP[[#This Row],[Investor ID]])</f>
        <v>13A00487</v>
      </c>
      <c r="I576" s="46" t="str">
        <f>IF(SIP[[#This Row],[B/S]]="B","BUY",(IF(SIP[[#This Row],[B/S]]="S","SELL"," ")))</f>
        <v>BUY</v>
      </c>
      <c r="J576" s="46" t="s">
        <v>1229</v>
      </c>
      <c r="K576" s="69">
        <v>5000</v>
      </c>
      <c r="L576" s="69"/>
      <c r="M576" s="70">
        <f>SIP[[#This Row],[Amount]]/SIP[[#This Row],[Unit]]</f>
        <v>11.135857461024498</v>
      </c>
      <c r="N576" s="71">
        <f>SIP[[#This Row],[Unit Capital]]/10</f>
        <v>449</v>
      </c>
      <c r="O576" s="72">
        <f>SUMIFS(SIP[[#Headers],[Unit]]:SIP[[#This Row],[Unit]],SIP[[#Headers],[Investor ID]]:SIP[[#This Row],[Investor ID]],SIP[[#This Row],[Investor ID]])</f>
        <v>6100</v>
      </c>
      <c r="P576" s="73">
        <v>4490</v>
      </c>
      <c r="Q576" s="74">
        <f>SIP[[#This Row],[Amount]]-SIP[[#This Row],[Unit Capital]]</f>
        <v>510</v>
      </c>
      <c r="R576" s="68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10.655737704918032</v>
      </c>
      <c r="S576" s="68">
        <f t="shared" si="25"/>
        <v>14.224</v>
      </c>
      <c r="T5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6" s="74" cm="1">
        <f t="array" ref="U576">IF(SIP[[#This Row],[B/S]]="S",ABS(SIP[[#This Row],[Unit]])*(INDEX(SIP[NAV at Cost (Average)],MATCH(CONCATENATE((SIP[[#This Row],[Frequency]]-1),SIP[[#This Row],[Investor ID]]),SIP[Unique Code],0),0)),0)</f>
        <v>0</v>
      </c>
      <c r="V576" s="74">
        <f>IF(SIP[[#This Row],[BO TRANSFER]]="YES",SIP[[#This Row],[Unit]],)</f>
        <v>0</v>
      </c>
      <c r="W576" s="74">
        <f>SUMIFS(SIP[[#Headers],[BO UNIT TRANSFER]]:SIP[[#This Row],[BO UNIT TRANSFER]],SIP[[#Headers],[Investor ID]]:SIP[[#This Row],[Investor ID]],SIP[[#This Row],[Investor ID]])</f>
        <v>0</v>
      </c>
    </row>
    <row r="577" spans="1:23" ht="15" customHeight="1">
      <c r="A577" s="46">
        <v>2024</v>
      </c>
      <c r="B577" s="46">
        <v>6</v>
      </c>
      <c r="C577" s="46">
        <v>26</v>
      </c>
      <c r="D577" s="65">
        <f>DATE(SIP[[#This Row],[Year]],SIP[[#This Row],[Month]],SIP[[#This Row],[Day]])</f>
        <v>45469</v>
      </c>
      <c r="E577" s="66" t="str" cm="1">
        <f t="array" ref="E577">INDEX(INVESTORS_LIST[INVESTOR NAME],MATCH(SIP[[#This Row],[Investor ID]],INVESTORS_LIST[INVESTOR CODE],0),)</f>
        <v>SADIA PARVIN</v>
      </c>
      <c r="F577" s="46" t="s">
        <v>1018</v>
      </c>
      <c r="G577" s="46">
        <f>COUNTIF(SIP[[#Headers],[Investor ID]]:SIP[[#This Row],[Investor ID]],SIP[[#This Row],[Investor ID]])</f>
        <v>14</v>
      </c>
      <c r="H577" s="46" t="str">
        <f>CONCATENATE(SIP[[#This Row],[Frequency]],SIP[[#This Row],[Investor ID]])</f>
        <v>14A00486</v>
      </c>
      <c r="I577" s="46" t="str">
        <f>IF(SIP[[#This Row],[B/S]]="B","BUY",(IF(SIP[[#This Row],[B/S]]="S","SELL"," ")))</f>
        <v>BUY</v>
      </c>
      <c r="J577" s="46" t="s">
        <v>1229</v>
      </c>
      <c r="K577" s="69">
        <v>5000</v>
      </c>
      <c r="L577" s="122"/>
      <c r="M577" s="123">
        <f>SIP[[#This Row],[Amount]]/SIP[[#This Row],[Unit]]</f>
        <v>11.160714285714286</v>
      </c>
      <c r="N577" s="71">
        <f>SIP[[#This Row],[Unit Capital]]/10</f>
        <v>448</v>
      </c>
      <c r="O577" s="71">
        <f>SUMIFS(SIP[[#Headers],[Unit]]:SIP[[#This Row],[Unit]],SIP[[#Headers],[Investor ID]]:SIP[[#This Row],[Investor ID]],SIP[[#This Row],[Investor ID]])</f>
        <v>6572</v>
      </c>
      <c r="P577" s="73">
        <v>4480</v>
      </c>
      <c r="Q577" s="74">
        <f>SIP[[#This Row],[Amount]]-SIP[[#This Row],[Unit Capital]]</f>
        <v>520</v>
      </c>
      <c r="R5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10.651247717589776</v>
      </c>
      <c r="S577" s="68">
        <f t="shared" si="25"/>
        <v>14.224</v>
      </c>
      <c r="T5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7" s="74" cm="1">
        <f t="array" ref="U577">IF(SIP[[#This Row],[B/S]]="S",ABS(SIP[[#This Row],[Unit]])*(INDEX(SIP[NAV at Cost (Average)],MATCH(CONCATENATE((SIP[[#This Row],[Frequency]]-1),SIP[[#This Row],[Investor ID]]),SIP[Unique Code],0),0)),0)</f>
        <v>0</v>
      </c>
      <c r="V577" s="74">
        <f>IF(SIP[[#This Row],[BO TRANSFER]]="YES",SIP[[#This Row],[Unit]],)</f>
        <v>0</v>
      </c>
      <c r="W577" s="74">
        <f>SUMIFS(SIP[[#Headers],[BO UNIT TRANSFER]]:SIP[[#This Row],[BO UNIT TRANSFER]],SIP[[#Headers],[Investor ID]]:SIP[[#This Row],[Investor ID]],SIP[[#This Row],[Investor ID]])</f>
        <v>0</v>
      </c>
    </row>
    <row r="578" spans="1:23" ht="15" customHeight="1">
      <c r="A578" s="46">
        <v>2024</v>
      </c>
      <c r="B578" s="46">
        <v>6</v>
      </c>
      <c r="C578" s="46">
        <v>26</v>
      </c>
      <c r="D578" s="65">
        <f>DATE(SIP[[#This Row],[Year]],SIP[[#This Row],[Month]],SIP[[#This Row],[Day]])</f>
        <v>45469</v>
      </c>
      <c r="E578" s="66" t="str" cm="1">
        <f t="array" ref="E578">INDEX(INVESTORS_LIST[INVESTOR NAME],MATCH(SIP[[#This Row],[Investor ID]],INVESTORS_LIST[INVESTOR CODE],0),)</f>
        <v>MD. WALI ULLAH</v>
      </c>
      <c r="F578" s="46" t="s">
        <v>443</v>
      </c>
      <c r="G578" s="46">
        <f>COUNTIF(SIP[[#Headers],[Investor ID]]:SIP[[#This Row],[Investor ID]],SIP[[#This Row],[Investor ID]])</f>
        <v>14</v>
      </c>
      <c r="H578" s="46" t="str">
        <f>CONCATENATE(SIP[[#This Row],[Frequency]],SIP[[#This Row],[Investor ID]])</f>
        <v>14A00197</v>
      </c>
      <c r="I578" s="46" t="str">
        <f>IF(SIP[[#This Row],[B/S]]="B","BUY",(IF(SIP[[#This Row],[B/S]]="S","SELL"," ")))</f>
        <v>BUY</v>
      </c>
      <c r="J578" s="46" t="s">
        <v>1229</v>
      </c>
      <c r="K578" s="69">
        <v>15000</v>
      </c>
      <c r="L578" s="122"/>
      <c r="M578" s="123">
        <f>SIP[[#This Row],[Amount]]/SIP[[#This Row],[Unit]]</f>
        <v>11.152416356877323</v>
      </c>
      <c r="N578" s="71">
        <f>SIP[[#This Row],[Unit Capital]]/10</f>
        <v>1345</v>
      </c>
      <c r="O578" s="71">
        <f>SUMIFS(SIP[[#Headers],[Unit]]:SIP[[#This Row],[Unit]],SIP[[#Headers],[Investor ID]]:SIP[[#This Row],[Investor ID]],SIP[[#This Row],[Investor ID]])</f>
        <v>19727</v>
      </c>
      <c r="P578" s="73">
        <v>13450</v>
      </c>
      <c r="Q578" s="74">
        <f>SIP[[#This Row],[Amount]]-SIP[[#This Row],[Unit Capital]]</f>
        <v>1550</v>
      </c>
      <c r="R5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10.645308460485625</v>
      </c>
      <c r="S578" s="68">
        <f t="shared" si="25"/>
        <v>14.224</v>
      </c>
      <c r="T5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8" s="74" cm="1">
        <f t="array" ref="U578">IF(SIP[[#This Row],[B/S]]="S",ABS(SIP[[#This Row],[Unit]])*(INDEX(SIP[NAV at Cost (Average)],MATCH(CONCATENATE((SIP[[#This Row],[Frequency]]-1),SIP[[#This Row],[Investor ID]]),SIP[Unique Code],0),0)),0)</f>
        <v>0</v>
      </c>
      <c r="V578" s="74">
        <f>IF(SIP[[#This Row],[BO TRANSFER]]="YES",SIP[[#This Row],[Unit]],)</f>
        <v>0</v>
      </c>
      <c r="W578" s="74">
        <f>SUMIFS(SIP[[#Headers],[BO UNIT TRANSFER]]:SIP[[#This Row],[BO UNIT TRANSFER]],SIP[[#Headers],[Investor ID]]:SIP[[#This Row],[Investor ID]],SIP[[#This Row],[Investor ID]])</f>
        <v>0</v>
      </c>
    </row>
    <row r="579" spans="1:23" ht="15" customHeight="1">
      <c r="A579" s="46">
        <v>2024</v>
      </c>
      <c r="B579" s="46">
        <v>6</v>
      </c>
      <c r="C579" s="46">
        <v>26</v>
      </c>
      <c r="D579" s="65">
        <f>DATE(SIP[[#This Row],[Year]],SIP[[#This Row],[Month]],SIP[[#This Row],[Day]])</f>
        <v>45469</v>
      </c>
      <c r="E579" s="66" t="str" cm="1">
        <f t="array" ref="E579">INDEX(INVESTORS_LIST[INVESTOR NAME],MATCH(SIP[[#This Row],[Investor ID]],INVESTORS_LIST[INVESTOR CODE],0),)</f>
        <v>SIKDER FAZLE RABBI</v>
      </c>
      <c r="F579" s="46" t="s">
        <v>1032</v>
      </c>
      <c r="G579" s="46">
        <f>COUNTIF(SIP[[#Headers],[Investor ID]]:SIP[[#This Row],[Investor ID]],SIP[[#This Row],[Investor ID]])</f>
        <v>13</v>
      </c>
      <c r="H579" s="46" t="str">
        <f>CONCATENATE(SIP[[#This Row],[Frequency]],SIP[[#This Row],[Investor ID]])</f>
        <v>13A00493</v>
      </c>
      <c r="I579" s="46" t="str">
        <f>IF(SIP[[#This Row],[B/S]]="B","BUY",(IF(SIP[[#This Row],[B/S]]="S","SELL"," ")))</f>
        <v>BUY</v>
      </c>
      <c r="J579" s="46" t="s">
        <v>1229</v>
      </c>
      <c r="K579" s="69">
        <v>5000</v>
      </c>
      <c r="L579" s="122"/>
      <c r="M579" s="123">
        <f>SIP[[#This Row],[Amount]]/SIP[[#This Row],[Unit]]</f>
        <v>11.160714285714286</v>
      </c>
      <c r="N579" s="71">
        <f>SIP[[#This Row],[Unit Capital]]/10</f>
        <v>448</v>
      </c>
      <c r="O579" s="71">
        <f>SUMIFS(SIP[[#Headers],[Unit]]:SIP[[#This Row],[Unit]],SIP[[#Headers],[Investor ID]]:SIP[[#This Row],[Investor ID]],SIP[[#This Row],[Investor ID]])</f>
        <v>6083</v>
      </c>
      <c r="P579" s="73">
        <v>4480</v>
      </c>
      <c r="Q579" s="74">
        <f>SIP[[#This Row],[Amount]]-SIP[[#This Row],[Unit Capital]]</f>
        <v>520</v>
      </c>
      <c r="R5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79" s="68">
        <f t="shared" si="25"/>
        <v>14.224</v>
      </c>
      <c r="T5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79" s="74" cm="1">
        <f t="array" ref="U579">IF(SIP[[#This Row],[B/S]]="S",ABS(SIP[[#This Row],[Unit]])*(INDEX(SIP[NAV at Cost (Average)],MATCH(CONCATENATE((SIP[[#This Row],[Frequency]]-1),SIP[[#This Row],[Investor ID]]),SIP[Unique Code],0),0)),0)</f>
        <v>0</v>
      </c>
      <c r="V579" s="74">
        <f>IF(SIP[[#This Row],[BO TRANSFER]]="YES",SIP[[#This Row],[Unit]],)</f>
        <v>0</v>
      </c>
      <c r="W579" s="74">
        <f>SUMIFS(SIP[[#Headers],[BO UNIT TRANSFER]]:SIP[[#This Row],[BO UNIT TRANSFER]],SIP[[#Headers],[Investor ID]]:SIP[[#This Row],[Investor ID]],SIP[[#This Row],[Investor ID]])</f>
        <v>0</v>
      </c>
    </row>
    <row r="580" spans="1:23" ht="15" customHeight="1">
      <c r="A580" s="46">
        <v>2024</v>
      </c>
      <c r="B580" s="46">
        <v>6</v>
      </c>
      <c r="C580" s="46">
        <v>26</v>
      </c>
      <c r="D580" s="65">
        <f>DATE(SIP[[#This Row],[Year]],SIP[[#This Row],[Month]],SIP[[#This Row],[Day]])</f>
        <v>45469</v>
      </c>
      <c r="E580" s="66" t="str" cm="1">
        <f t="array" ref="E580">INDEX(INVESTORS_LIST[INVESTOR NAME],MATCH(SIP[[#This Row],[Investor ID]],INVESTORS_LIST[INVESTOR CODE],0),)</f>
        <v>MOHAMMAD HASAN</v>
      </c>
      <c r="F580" s="46" t="s">
        <v>1010</v>
      </c>
      <c r="G580" s="46">
        <f>COUNTIF(SIP[[#Headers],[Investor ID]]:SIP[[#This Row],[Investor ID]],SIP[[#This Row],[Investor ID]])</f>
        <v>13</v>
      </c>
      <c r="H580" s="46" t="str">
        <f>CONCATENATE(SIP[[#This Row],[Frequency]],SIP[[#This Row],[Investor ID]])</f>
        <v>13A00482</v>
      </c>
      <c r="I580" s="46" t="str">
        <f>IF(SIP[[#This Row],[B/S]]="B","BUY",(IF(SIP[[#This Row],[B/S]]="S","SELL"," ")))</f>
        <v>BUY</v>
      </c>
      <c r="J580" s="46" t="s">
        <v>1229</v>
      </c>
      <c r="K580" s="69">
        <v>5000</v>
      </c>
      <c r="L580" s="122"/>
      <c r="M580" s="123">
        <f>SIP[[#This Row],[Amount]]/SIP[[#This Row],[Unit]]</f>
        <v>11.160714285714286</v>
      </c>
      <c r="N580" s="71">
        <f>SIP[[#This Row],[Unit Capital]]/10</f>
        <v>448</v>
      </c>
      <c r="O580" s="71">
        <f>SUMIFS(SIP[[#Headers],[Unit]]:SIP[[#This Row],[Unit]],SIP[[#Headers],[Investor ID]]:SIP[[#This Row],[Investor ID]],SIP[[#This Row],[Investor ID]])</f>
        <v>6083</v>
      </c>
      <c r="P580" s="73">
        <v>4480</v>
      </c>
      <c r="Q580" s="74">
        <f>SIP[[#This Row],[Amount]]-SIP[[#This Row],[Unit Capital]]</f>
        <v>520</v>
      </c>
      <c r="R5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80" s="68">
        <f t="shared" si="25"/>
        <v>14.224</v>
      </c>
      <c r="T5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0" s="74" cm="1">
        <f t="array" ref="U580">IF(SIP[[#This Row],[B/S]]="S",ABS(SIP[[#This Row],[Unit]])*(INDEX(SIP[NAV at Cost (Average)],MATCH(CONCATENATE((SIP[[#This Row],[Frequency]]-1),SIP[[#This Row],[Investor ID]]),SIP[Unique Code],0),0)),0)</f>
        <v>0</v>
      </c>
      <c r="V580" s="74">
        <f>IF(SIP[[#This Row],[BO TRANSFER]]="YES",SIP[[#This Row],[Unit]],)</f>
        <v>0</v>
      </c>
      <c r="W580" s="74">
        <f>SUMIFS(SIP[[#Headers],[BO UNIT TRANSFER]]:SIP[[#This Row],[BO UNIT TRANSFER]],SIP[[#Headers],[Investor ID]]:SIP[[#This Row],[Investor ID]],SIP[[#This Row],[Investor ID]])</f>
        <v>0</v>
      </c>
    </row>
    <row r="581" spans="1:23" ht="15" customHeight="1">
      <c r="A581" s="46">
        <v>2024</v>
      </c>
      <c r="B581" s="46">
        <v>6</v>
      </c>
      <c r="C581" s="46">
        <v>26</v>
      </c>
      <c r="D581" s="65">
        <f>DATE(SIP[[#This Row],[Year]],SIP[[#This Row],[Month]],SIP[[#This Row],[Day]])</f>
        <v>45469</v>
      </c>
      <c r="E581" s="66" t="str" cm="1">
        <f t="array" ref="E581">INDEX(INVESTORS_LIST[INVESTOR NAME],MATCH(SIP[[#This Row],[Investor ID]],INVESTORS_LIST[INVESTOR CODE],0),)</f>
        <v>SAJJAD CHOWDHURY</v>
      </c>
      <c r="F581" s="46" t="s">
        <v>461</v>
      </c>
      <c r="G581" s="46">
        <f>COUNTIF(SIP[[#Headers],[Investor ID]]:SIP[[#This Row],[Investor ID]],SIP[[#This Row],[Investor ID]])</f>
        <v>14</v>
      </c>
      <c r="H581" s="46" t="str">
        <f>CONCATENATE(SIP[[#This Row],[Frequency]],SIP[[#This Row],[Investor ID]])</f>
        <v>14A00206</v>
      </c>
      <c r="I581" s="46" t="str">
        <f>IF(SIP[[#This Row],[B/S]]="B","BUY",(IF(SIP[[#This Row],[B/S]]="S","SELL"," ")))</f>
        <v>BUY</v>
      </c>
      <c r="J581" s="46" t="s">
        <v>1229</v>
      </c>
      <c r="K581" s="69">
        <v>7500</v>
      </c>
      <c r="L581" s="122"/>
      <c r="M581" s="123">
        <f>SIP[[#This Row],[Amount]]/SIP[[#This Row],[Unit]]</f>
        <v>11.144130757800891</v>
      </c>
      <c r="N581" s="71">
        <f>SIP[[#This Row],[Unit Capital]]/10</f>
        <v>673</v>
      </c>
      <c r="O581" s="71">
        <f>SUMIFS(SIP[[#Headers],[Unit]]:SIP[[#This Row],[Unit]],SIP[[#Headers],[Investor ID]]:SIP[[#This Row],[Investor ID]],SIP[[#This Row],[Investor ID]])</f>
        <v>9862</v>
      </c>
      <c r="P581" s="73">
        <v>6730</v>
      </c>
      <c r="Q581" s="74">
        <f>SIP[[#This Row],[Amount]]-SIP[[#This Row],[Unit Capital]]</f>
        <v>770</v>
      </c>
      <c r="R5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10.646927600892313</v>
      </c>
      <c r="S581" s="68">
        <f t="shared" si="25"/>
        <v>14.224</v>
      </c>
      <c r="T5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1" s="74" cm="1">
        <f t="array" ref="U581">IF(SIP[[#This Row],[B/S]]="S",ABS(SIP[[#This Row],[Unit]])*(INDEX(SIP[NAV at Cost (Average)],MATCH(CONCATENATE((SIP[[#This Row],[Frequency]]-1),SIP[[#This Row],[Investor ID]]),SIP[Unique Code],0),0)),0)</f>
        <v>0</v>
      </c>
      <c r="V581" s="74">
        <f>IF(SIP[[#This Row],[BO TRANSFER]]="YES",SIP[[#This Row],[Unit]],)</f>
        <v>0</v>
      </c>
      <c r="W581" s="74">
        <f>SUMIFS(SIP[[#Headers],[BO UNIT TRANSFER]]:SIP[[#This Row],[BO UNIT TRANSFER]],SIP[[#Headers],[Investor ID]]:SIP[[#This Row],[Investor ID]],SIP[[#This Row],[Investor ID]])</f>
        <v>0</v>
      </c>
    </row>
    <row r="582" spans="1:23" ht="15" customHeight="1">
      <c r="A582" s="46">
        <v>2024</v>
      </c>
      <c r="B582" s="46">
        <v>6</v>
      </c>
      <c r="C582" s="46">
        <v>26</v>
      </c>
      <c r="D582" s="65">
        <f>DATE(SIP[[#This Row],[Year]],SIP[[#This Row],[Month]],SIP[[#This Row],[Day]])</f>
        <v>45469</v>
      </c>
      <c r="E582" s="66" t="str" cm="1">
        <f t="array" ref="E582">INDEX(INVESTORS_LIST[INVESTOR NAME],MATCH(SIP[[#This Row],[Investor ID]],INVESTORS_LIST[INVESTOR CODE],0),)</f>
        <v>S.M. SAIFUL ISLAM</v>
      </c>
      <c r="F582" s="46" t="s">
        <v>1002</v>
      </c>
      <c r="G582" s="46">
        <f>COUNTIF(SIP[[#Headers],[Investor ID]]:SIP[[#This Row],[Investor ID]],SIP[[#This Row],[Investor ID]])</f>
        <v>14</v>
      </c>
      <c r="H582" s="46" t="str">
        <f>CONCATENATE(SIP[[#This Row],[Frequency]],SIP[[#This Row],[Investor ID]])</f>
        <v>14A00478</v>
      </c>
      <c r="I582" s="46" t="str">
        <f>IF(SIP[[#This Row],[B/S]]="B","BUY",(IF(SIP[[#This Row],[B/S]]="S","SELL"," ")))</f>
        <v>BUY</v>
      </c>
      <c r="J582" s="46" t="s">
        <v>1229</v>
      </c>
      <c r="K582" s="69">
        <v>10000</v>
      </c>
      <c r="L582" s="122"/>
      <c r="M582" s="123">
        <f>SIP[[#This Row],[Amount]]/SIP[[#This Row],[Unit]]</f>
        <v>11.148272017837236</v>
      </c>
      <c r="N582" s="71">
        <f>SIP[[#This Row],[Unit Capital]]/10</f>
        <v>897</v>
      </c>
      <c r="O582" s="71">
        <f>SUMIFS(SIP[[#Headers],[Unit]]:SIP[[#This Row],[Unit]],SIP[[#Headers],[Investor ID]]:SIP[[#This Row],[Investor ID]],SIP[[#This Row],[Investor ID]])</f>
        <v>13153</v>
      </c>
      <c r="P582" s="73">
        <v>8970</v>
      </c>
      <c r="Q582" s="74">
        <f>SIP[[#This Row],[Amount]]-SIP[[#This Row],[Unit Capital]]</f>
        <v>1030</v>
      </c>
      <c r="R5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10.643959552953701</v>
      </c>
      <c r="S582" s="68">
        <f t="shared" si="25"/>
        <v>14.224</v>
      </c>
      <c r="T5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2" s="74" cm="1">
        <f t="array" ref="U582">IF(SIP[[#This Row],[B/S]]="S",ABS(SIP[[#This Row],[Unit]])*(INDEX(SIP[NAV at Cost (Average)],MATCH(CONCATENATE((SIP[[#This Row],[Frequency]]-1),SIP[[#This Row],[Investor ID]]),SIP[Unique Code],0),0)),0)</f>
        <v>0</v>
      </c>
      <c r="V582" s="74">
        <f>IF(SIP[[#This Row],[BO TRANSFER]]="YES",SIP[[#This Row],[Unit]],)</f>
        <v>0</v>
      </c>
      <c r="W582" s="74">
        <f>SUMIFS(SIP[[#Headers],[BO UNIT TRANSFER]]:SIP[[#This Row],[BO UNIT TRANSFER]],SIP[[#Headers],[Investor ID]]:SIP[[#This Row],[Investor ID]],SIP[[#This Row],[Investor ID]])</f>
        <v>0</v>
      </c>
    </row>
    <row r="583" spans="1:23" ht="15" customHeight="1">
      <c r="A583" s="46">
        <v>2024</v>
      </c>
      <c r="B583" s="46">
        <v>6</v>
      </c>
      <c r="C583" s="46">
        <v>26</v>
      </c>
      <c r="D583" s="65">
        <f>DATE(SIP[[#This Row],[Year]],SIP[[#This Row],[Month]],SIP[[#This Row],[Day]])</f>
        <v>45469</v>
      </c>
      <c r="E583" s="66" t="str" cm="1">
        <f t="array" ref="E583">INDEX(INVESTORS_LIST[INVESTOR NAME],MATCH(SIP[[#This Row],[Investor ID]],INVESTORS_LIST[INVESTOR CODE],0),)</f>
        <v>MOHAMMED SHARIFUL ISLAM</v>
      </c>
      <c r="F583" s="46" t="s">
        <v>1028</v>
      </c>
      <c r="G583" s="46">
        <f>COUNTIF(SIP[[#Headers],[Investor ID]]:SIP[[#This Row],[Investor ID]],SIP[[#This Row],[Investor ID]])</f>
        <v>13</v>
      </c>
      <c r="H583" s="46" t="str">
        <f>CONCATENATE(SIP[[#This Row],[Frequency]],SIP[[#This Row],[Investor ID]])</f>
        <v>13A00491</v>
      </c>
      <c r="I583" s="46" t="str">
        <f>IF(SIP[[#This Row],[B/S]]="B","BUY",(IF(SIP[[#This Row],[B/S]]="S","SELL"," ")))</f>
        <v>BUY</v>
      </c>
      <c r="J583" s="46" t="s">
        <v>1229</v>
      </c>
      <c r="K583" s="69">
        <v>5000</v>
      </c>
      <c r="L583" s="122"/>
      <c r="M583" s="123">
        <f>SIP[[#This Row],[Amount]]/SIP[[#This Row],[Unit]]</f>
        <v>11.160714285714286</v>
      </c>
      <c r="N583" s="71">
        <f>SIP[[#This Row],[Unit Capital]]/10</f>
        <v>448</v>
      </c>
      <c r="O583" s="71">
        <f>SUMIFS(SIP[[#Headers],[Unit]]:SIP[[#This Row],[Unit]],SIP[[#Headers],[Investor ID]]:SIP[[#This Row],[Investor ID]],SIP[[#This Row],[Investor ID]])</f>
        <v>6083</v>
      </c>
      <c r="P583" s="73">
        <v>4480</v>
      </c>
      <c r="Q583" s="74">
        <f>SIP[[#This Row],[Amount]]-SIP[[#This Row],[Unit Capital]]</f>
        <v>520</v>
      </c>
      <c r="R5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83" s="68">
        <f t="shared" si="25"/>
        <v>14.224</v>
      </c>
      <c r="T5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3" s="74" cm="1">
        <f t="array" ref="U583">IF(SIP[[#This Row],[B/S]]="S",ABS(SIP[[#This Row],[Unit]])*(INDEX(SIP[NAV at Cost (Average)],MATCH(CONCATENATE((SIP[[#This Row],[Frequency]]-1),SIP[[#This Row],[Investor ID]]),SIP[Unique Code],0),0)),0)</f>
        <v>0</v>
      </c>
      <c r="V583" s="74">
        <f>IF(SIP[[#This Row],[BO TRANSFER]]="YES",SIP[[#This Row],[Unit]],)</f>
        <v>0</v>
      </c>
      <c r="W583" s="74">
        <f>SUMIFS(SIP[[#Headers],[BO UNIT TRANSFER]]:SIP[[#This Row],[BO UNIT TRANSFER]],SIP[[#Headers],[Investor ID]]:SIP[[#This Row],[Investor ID]],SIP[[#This Row],[Investor ID]])</f>
        <v>0</v>
      </c>
    </row>
    <row r="584" spans="1:23" ht="15" customHeight="1">
      <c r="A584" s="46">
        <v>2024</v>
      </c>
      <c r="B584" s="46">
        <v>6</v>
      </c>
      <c r="C584" s="46">
        <v>26</v>
      </c>
      <c r="D584" s="65">
        <f>DATE(SIP[[#This Row],[Year]],SIP[[#This Row],[Month]],SIP[[#This Row],[Day]])</f>
        <v>45469</v>
      </c>
      <c r="E584" s="66" t="str" cm="1">
        <f t="array" ref="E584">INDEX(INVESTORS_LIST[INVESTOR NAME],MATCH(SIP[[#This Row],[Investor ID]],INVESTORS_LIST[INVESTOR CODE],0),)</f>
        <v>ABU MUSA MIRZA KAMRUZZAMAN SHAHEE</v>
      </c>
      <c r="F584" s="46" t="s">
        <v>1012</v>
      </c>
      <c r="G584" s="46">
        <f>COUNTIF(SIP[[#Headers],[Investor ID]]:SIP[[#This Row],[Investor ID]],SIP[[#This Row],[Investor ID]])</f>
        <v>13</v>
      </c>
      <c r="H584" s="46" t="str">
        <f>CONCATENATE(SIP[[#This Row],[Frequency]],SIP[[#This Row],[Investor ID]])</f>
        <v>13A00483</v>
      </c>
      <c r="I584" s="46" t="str">
        <f>IF(SIP[[#This Row],[B/S]]="B","BUY",(IF(SIP[[#This Row],[B/S]]="S","SELL"," ")))</f>
        <v>BUY</v>
      </c>
      <c r="J584" s="46" t="s">
        <v>1229</v>
      </c>
      <c r="K584" s="69">
        <v>5000</v>
      </c>
      <c r="L584" s="122"/>
      <c r="M584" s="123">
        <f>SIP[[#This Row],[Amount]]/SIP[[#This Row],[Unit]]</f>
        <v>11.160714285714286</v>
      </c>
      <c r="N584" s="71">
        <f>SIP[[#This Row],[Unit Capital]]/10</f>
        <v>448</v>
      </c>
      <c r="O584" s="71">
        <f>SUMIFS(SIP[[#Headers],[Unit]]:SIP[[#This Row],[Unit]],SIP[[#Headers],[Investor ID]]:SIP[[#This Row],[Investor ID]],SIP[[#This Row],[Investor ID]])</f>
        <v>6083</v>
      </c>
      <c r="P584" s="73">
        <v>4480</v>
      </c>
      <c r="Q584" s="74">
        <f>SIP[[#This Row],[Amount]]-SIP[[#This Row],[Unit Capital]]</f>
        <v>520</v>
      </c>
      <c r="R5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84" s="68">
        <f t="shared" si="25"/>
        <v>14.224</v>
      </c>
      <c r="T5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4" s="74" cm="1">
        <f t="array" ref="U584">IF(SIP[[#This Row],[B/S]]="S",ABS(SIP[[#This Row],[Unit]])*(INDEX(SIP[NAV at Cost (Average)],MATCH(CONCATENATE((SIP[[#This Row],[Frequency]]-1),SIP[[#This Row],[Investor ID]]),SIP[Unique Code],0),0)),0)</f>
        <v>0</v>
      </c>
      <c r="V584" s="74">
        <f>IF(SIP[[#This Row],[BO TRANSFER]]="YES",SIP[[#This Row],[Unit]],)</f>
        <v>0</v>
      </c>
      <c r="W584" s="74">
        <f>SUMIFS(SIP[[#Headers],[BO UNIT TRANSFER]]:SIP[[#This Row],[BO UNIT TRANSFER]],SIP[[#Headers],[Investor ID]]:SIP[[#This Row],[Investor ID]],SIP[[#This Row],[Investor ID]])</f>
        <v>0</v>
      </c>
    </row>
    <row r="585" spans="1:23" ht="15" customHeight="1">
      <c r="A585" s="46">
        <v>2024</v>
      </c>
      <c r="B585" s="46">
        <v>6</v>
      </c>
      <c r="C585" s="46">
        <v>26</v>
      </c>
      <c r="D585" s="65">
        <f>DATE(SIP[[#This Row],[Year]],SIP[[#This Row],[Month]],SIP[[#This Row],[Day]])</f>
        <v>45469</v>
      </c>
      <c r="E585" s="66" t="str" cm="1">
        <f t="array" ref="E585">INDEX(INVESTORS_LIST[INVESTOR NAME],MATCH(SIP[[#This Row],[Investor ID]],INVESTORS_LIST[INVESTOR CODE],0),)</f>
        <v>ASHIK IQBAL CHOWDHURY</v>
      </c>
      <c r="F585" s="46" t="s">
        <v>1016</v>
      </c>
      <c r="G585" s="46">
        <f>COUNTIF(SIP[[#Headers],[Investor ID]]:SIP[[#This Row],[Investor ID]],SIP[[#This Row],[Investor ID]])</f>
        <v>12</v>
      </c>
      <c r="H585" s="46" t="str">
        <f>CONCATENATE(SIP[[#This Row],[Frequency]],SIP[[#This Row],[Investor ID]])</f>
        <v>12A00485</v>
      </c>
      <c r="I585" s="46" t="str">
        <f>IF(SIP[[#This Row],[B/S]]="B","BUY",(IF(SIP[[#This Row],[B/S]]="S","SELL"," ")))</f>
        <v>BUY</v>
      </c>
      <c r="J585" s="46" t="s">
        <v>1229</v>
      </c>
      <c r="K585" s="69">
        <v>5000</v>
      </c>
      <c r="L585" s="122"/>
      <c r="M585" s="123">
        <f>SIP[[#This Row],[Amount]]/SIP[[#This Row],[Unit]]</f>
        <v>11.160714285714286</v>
      </c>
      <c r="N585" s="71">
        <f>SIP[[#This Row],[Unit Capital]]/10</f>
        <v>448</v>
      </c>
      <c r="O585" s="71">
        <f>SUMIFS(SIP[[#Headers],[Unit]]:SIP[[#This Row],[Unit]],SIP[[#Headers],[Investor ID]]:SIP[[#This Row],[Investor ID]],SIP[[#This Row],[Investor ID]])</f>
        <v>5631</v>
      </c>
      <c r="P585" s="73">
        <v>4480</v>
      </c>
      <c r="Q585" s="74">
        <f>SIP[[#This Row],[Amount]]-SIP[[#This Row],[Unit Capital]]</f>
        <v>520</v>
      </c>
      <c r="R5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10.655301012253595</v>
      </c>
      <c r="S585" s="68">
        <f t="shared" si="25"/>
        <v>14.224</v>
      </c>
      <c r="T5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5" s="74" cm="1">
        <f t="array" ref="U585">IF(SIP[[#This Row],[B/S]]="S",ABS(SIP[[#This Row],[Unit]])*(INDEX(SIP[NAV at Cost (Average)],MATCH(CONCATENATE((SIP[[#This Row],[Frequency]]-1),SIP[[#This Row],[Investor ID]]),SIP[Unique Code],0),0)),0)</f>
        <v>0</v>
      </c>
      <c r="V585" s="74">
        <f>IF(SIP[[#This Row],[BO TRANSFER]]="YES",SIP[[#This Row],[Unit]],)</f>
        <v>0</v>
      </c>
      <c r="W585" s="74">
        <f>SUMIFS(SIP[[#Headers],[BO UNIT TRANSFER]]:SIP[[#This Row],[BO UNIT TRANSFER]],SIP[[#Headers],[Investor ID]]:SIP[[#This Row],[Investor ID]],SIP[[#This Row],[Investor ID]])</f>
        <v>0</v>
      </c>
    </row>
    <row r="586" spans="1:23" ht="15" customHeight="1">
      <c r="A586" s="46">
        <v>2024</v>
      </c>
      <c r="B586" s="46">
        <v>6</v>
      </c>
      <c r="C586" s="46">
        <v>26</v>
      </c>
      <c r="D586" s="65">
        <f>DATE(SIP[[#This Row],[Year]],SIP[[#This Row],[Month]],SIP[[#This Row],[Day]])</f>
        <v>45469</v>
      </c>
      <c r="E586" s="66" t="str" cm="1">
        <f t="array" ref="E586">INDEX(INVESTORS_LIST[INVESTOR NAME],MATCH(SIP[[#This Row],[Investor ID]],INVESTORS_LIST[INVESTOR CODE],0),)</f>
        <v>SUMAN SAHA</v>
      </c>
      <c r="F586" s="46" t="s">
        <v>1022</v>
      </c>
      <c r="G586" s="46">
        <f>COUNTIF(SIP[[#Headers],[Investor ID]]:SIP[[#This Row],[Investor ID]],SIP[[#This Row],[Investor ID]])</f>
        <v>13</v>
      </c>
      <c r="H586" s="46" t="str">
        <f>CONCATENATE(SIP[[#This Row],[Frequency]],SIP[[#This Row],[Investor ID]])</f>
        <v>13A00488</v>
      </c>
      <c r="I586" s="46" t="str">
        <f>IF(SIP[[#This Row],[B/S]]="B","BUY",(IF(SIP[[#This Row],[B/S]]="S","SELL"," ")))</f>
        <v>BUY</v>
      </c>
      <c r="J586" s="46" t="s">
        <v>1229</v>
      </c>
      <c r="K586" s="69">
        <v>5000</v>
      </c>
      <c r="L586" s="69"/>
      <c r="M586" s="123">
        <f>SIP[[#This Row],[Amount]]/SIP[[#This Row],[Unit]]</f>
        <v>11.160714285714286</v>
      </c>
      <c r="N586" s="71">
        <f>SIP[[#This Row],[Unit Capital]]/10</f>
        <v>448</v>
      </c>
      <c r="O586" s="71">
        <f>SUMIFS(SIP[[#Headers],[Unit]]:SIP[[#This Row],[Unit]],SIP[[#Headers],[Investor ID]]:SIP[[#This Row],[Investor ID]],SIP[[#This Row],[Investor ID]])</f>
        <v>6083</v>
      </c>
      <c r="P586" s="73">
        <v>4480</v>
      </c>
      <c r="Q586" s="74">
        <f>SIP[[#This Row],[Amount]]-SIP[[#This Row],[Unit Capital]]</f>
        <v>520</v>
      </c>
      <c r="R5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86" s="68">
        <f t="shared" si="25"/>
        <v>14.224</v>
      </c>
      <c r="T5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6" s="74" cm="1">
        <f t="array" ref="U586">IF(SIP[[#This Row],[B/S]]="S",ABS(SIP[[#This Row],[Unit]])*(INDEX(SIP[NAV at Cost (Average)],MATCH(CONCATENATE((SIP[[#This Row],[Frequency]]-1),SIP[[#This Row],[Investor ID]]),SIP[Unique Code],0),0)),0)</f>
        <v>0</v>
      </c>
      <c r="V586" s="74">
        <f>IF(SIP[[#This Row],[BO TRANSFER]]="YES",SIP[[#This Row],[Unit]],)</f>
        <v>0</v>
      </c>
      <c r="W586" s="74">
        <f>SUMIFS(SIP[[#Headers],[BO UNIT TRANSFER]]:SIP[[#This Row],[BO UNIT TRANSFER]],SIP[[#Headers],[Investor ID]]:SIP[[#This Row],[Investor ID]],SIP[[#This Row],[Investor ID]])</f>
        <v>0</v>
      </c>
    </row>
    <row r="587" spans="1:23" ht="15" customHeight="1">
      <c r="A587" s="46">
        <v>2024</v>
      </c>
      <c r="B587" s="46">
        <v>6</v>
      </c>
      <c r="C587" s="46">
        <v>26</v>
      </c>
      <c r="D587" s="65">
        <f>DATE(SIP[[#This Row],[Year]],SIP[[#This Row],[Month]],SIP[[#This Row],[Day]])</f>
        <v>45469</v>
      </c>
      <c r="E587" s="66" t="str" cm="1">
        <f t="array" ref="E587">INDEX(INVESTORS_LIST[INVESTOR NAME],MATCH(SIP[[#This Row],[Investor ID]],INVESTORS_LIST[INVESTOR CODE],0),)</f>
        <v>AKASH DEEP PAUL</v>
      </c>
      <c r="F587" s="46" t="s">
        <v>286</v>
      </c>
      <c r="G587" s="46">
        <f>COUNTIF(SIP[[#Headers],[Investor ID]]:SIP[[#This Row],[Investor ID]],SIP[[#This Row],[Investor ID]])</f>
        <v>13</v>
      </c>
      <c r="H587" s="46" t="str">
        <f>CONCATENATE(SIP[[#This Row],[Frequency]],SIP[[#This Row],[Investor ID]])</f>
        <v>13A00119</v>
      </c>
      <c r="I587" s="46" t="str">
        <f>IF(SIP[[#This Row],[B/S]]="B","BUY",(IF(SIP[[#This Row],[B/S]]="S","SELL"," ")))</f>
        <v>BUY</v>
      </c>
      <c r="J587" s="46" t="s">
        <v>1229</v>
      </c>
      <c r="K587" s="69">
        <v>5000</v>
      </c>
      <c r="L587" s="122"/>
      <c r="M587" s="123">
        <f>SIP[[#This Row],[Amount]]/SIP[[#This Row],[Unit]]</f>
        <v>11.160714285714286</v>
      </c>
      <c r="N587" s="71">
        <f>SIP[[#This Row],[Unit Capital]]/10</f>
        <v>448</v>
      </c>
      <c r="O587" s="71">
        <f>SUMIFS(SIP[[#Headers],[Unit]]:SIP[[#This Row],[Unit]],SIP[[#Headers],[Investor ID]]:SIP[[#This Row],[Investor ID]],SIP[[#This Row],[Investor ID]])</f>
        <v>6083</v>
      </c>
      <c r="P587" s="73">
        <v>4480</v>
      </c>
      <c r="Q587" s="74">
        <f>SIP[[#This Row],[Amount]]-SIP[[#This Row],[Unit Capital]]</f>
        <v>520</v>
      </c>
      <c r="R5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10.685517014630939</v>
      </c>
      <c r="S587" s="68">
        <f t="shared" si="25"/>
        <v>14.224</v>
      </c>
      <c r="T5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7" s="74" cm="1">
        <f t="array" ref="U587">IF(SIP[[#This Row],[B/S]]="S",ABS(SIP[[#This Row],[Unit]])*(INDEX(SIP[NAV at Cost (Average)],MATCH(CONCATENATE((SIP[[#This Row],[Frequency]]-1),SIP[[#This Row],[Investor ID]]),SIP[Unique Code],0),0)),0)</f>
        <v>0</v>
      </c>
      <c r="V587" s="74">
        <f>IF(SIP[[#This Row],[BO TRANSFER]]="YES",SIP[[#This Row],[Unit]],)</f>
        <v>0</v>
      </c>
      <c r="W587" s="74">
        <f>SUMIFS(SIP[[#Headers],[BO UNIT TRANSFER]]:SIP[[#This Row],[BO UNIT TRANSFER]],SIP[[#Headers],[Investor ID]]:SIP[[#This Row],[Investor ID]],SIP[[#This Row],[Investor ID]])</f>
        <v>0</v>
      </c>
    </row>
    <row r="588" spans="1:23" ht="15" customHeight="1">
      <c r="A588" s="46">
        <v>2024</v>
      </c>
      <c r="B588" s="46">
        <v>6</v>
      </c>
      <c r="C588" s="46">
        <v>26</v>
      </c>
      <c r="D588" s="65">
        <f>DATE(SIP[[#This Row],[Year]],SIP[[#This Row],[Month]],SIP[[#This Row],[Day]])</f>
        <v>45469</v>
      </c>
      <c r="E588" s="66" t="str" cm="1">
        <f t="array" ref="E588">INDEX(INVESTORS_LIST[INVESTOR NAME],MATCH(SIP[[#This Row],[Investor ID]],INVESTORS_LIST[INVESTOR CODE],0),)</f>
        <v>JUBAIDA FARHANA HAQUE</v>
      </c>
      <c r="F588" s="46" t="s">
        <v>1065</v>
      </c>
      <c r="G588" s="46">
        <f>COUNTIF(SIP[[#Headers],[Investor ID]]:SIP[[#This Row],[Investor ID]],SIP[[#This Row],[Investor ID]])</f>
        <v>11</v>
      </c>
      <c r="H588" s="46" t="str">
        <f>CONCATENATE(SIP[[#This Row],[Frequency]],SIP[[#This Row],[Investor ID]])</f>
        <v>11A00510</v>
      </c>
      <c r="I588" s="46" t="str">
        <f>IF(SIP[[#This Row],[B/S]]="B","BUY",(IF(SIP[[#This Row],[B/S]]="S","SELL"," ")))</f>
        <v>BUY</v>
      </c>
      <c r="J588" s="46" t="s">
        <v>1229</v>
      </c>
      <c r="K588" s="69">
        <v>5000</v>
      </c>
      <c r="L588" s="122"/>
      <c r="M588" s="123">
        <f>SIP[[#This Row],[Amount]]/SIP[[#This Row],[Unit]]</f>
        <v>11.160714285714286</v>
      </c>
      <c r="N588" s="71">
        <f>SIP[[#This Row],[Unit Capital]]/10</f>
        <v>448</v>
      </c>
      <c r="O588" s="71">
        <f>SUMIFS(SIP[[#Headers],[Unit]]:SIP[[#This Row],[Unit]],SIP[[#Headers],[Investor ID]]:SIP[[#This Row],[Investor ID]],SIP[[#This Row],[Investor ID]])</f>
        <v>4159</v>
      </c>
      <c r="P588" s="73">
        <v>4480</v>
      </c>
      <c r="Q588" s="74">
        <f>SIP[[#This Row],[Amount]]-SIP[[#This Row],[Unit Capital]]</f>
        <v>520</v>
      </c>
      <c r="R5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10.823701098981115</v>
      </c>
      <c r="S588" s="68">
        <f t="shared" si="25"/>
        <v>14.224</v>
      </c>
      <c r="T5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8" s="74" cm="1">
        <f t="array" ref="U588">IF(SIP[[#This Row],[B/S]]="S",ABS(SIP[[#This Row],[Unit]])*(INDEX(SIP[NAV at Cost (Average)],MATCH(CONCATENATE((SIP[[#This Row],[Frequency]]-1),SIP[[#This Row],[Investor ID]]),SIP[Unique Code],0),0)),0)</f>
        <v>0</v>
      </c>
      <c r="V588" s="74">
        <f>IF(SIP[[#This Row],[BO TRANSFER]]="YES",SIP[[#This Row],[Unit]],)</f>
        <v>0</v>
      </c>
      <c r="W588" s="74">
        <f>SUMIFS(SIP[[#Headers],[BO UNIT TRANSFER]]:SIP[[#This Row],[BO UNIT TRANSFER]],SIP[[#Headers],[Investor ID]]:SIP[[#This Row],[Investor ID]],SIP[[#This Row],[Investor ID]])</f>
        <v>0</v>
      </c>
    </row>
    <row r="589" spans="1:23" ht="15" customHeight="1">
      <c r="A589" s="46">
        <v>2024</v>
      </c>
      <c r="B589" s="46">
        <v>6</v>
      </c>
      <c r="C589" s="46">
        <v>26</v>
      </c>
      <c r="D589" s="65">
        <f>DATE(SIP[[#This Row],[Year]],SIP[[#This Row],[Month]],SIP[[#This Row],[Day]])</f>
        <v>45469</v>
      </c>
      <c r="E589" s="66" t="str" cm="1">
        <f t="array" ref="E589">INDEX(INVESTORS_LIST[INVESTOR NAME],MATCH(SIP[[#This Row],[Investor ID]],INVESTORS_LIST[INVESTOR CODE],0),)</f>
        <v>TAPU GUHA</v>
      </c>
      <c r="F589" s="46" t="s">
        <v>483</v>
      </c>
      <c r="G589" s="46">
        <f>COUNTIF(SIP[[#Headers],[Investor ID]]:SIP[[#This Row],[Investor ID]],SIP[[#This Row],[Investor ID]])</f>
        <v>11</v>
      </c>
      <c r="H589" s="46" t="str">
        <f>CONCATENATE(SIP[[#This Row],[Frequency]],SIP[[#This Row],[Investor ID]])</f>
        <v>11A00217</v>
      </c>
      <c r="I589" s="46" t="str">
        <f>IF(SIP[[#This Row],[B/S]]="B","BUY",(IF(SIP[[#This Row],[B/S]]="S","SELL"," ")))</f>
        <v>BUY</v>
      </c>
      <c r="J589" s="46" t="s">
        <v>1229</v>
      </c>
      <c r="K589" s="69">
        <v>5000</v>
      </c>
      <c r="L589" s="122"/>
      <c r="M589" s="123">
        <f>SIP[[#This Row],[Amount]]/SIP[[#This Row],[Unit]]</f>
        <v>11.160714285714286</v>
      </c>
      <c r="N589" s="71">
        <f>SIP[[#This Row],[Unit Capital]]/10</f>
        <v>448</v>
      </c>
      <c r="O589" s="71">
        <f>SUMIFS(SIP[[#Headers],[Unit]]:SIP[[#This Row],[Unit]],SIP[[#Headers],[Investor ID]]:SIP[[#This Row],[Investor ID]],SIP[[#This Row],[Investor ID]])</f>
        <v>5110</v>
      </c>
      <c r="P589" s="73">
        <v>4480</v>
      </c>
      <c r="Q589" s="74">
        <f>SIP[[#This Row],[Amount]]-SIP[[#This Row],[Unit Capital]]</f>
        <v>520</v>
      </c>
      <c r="R5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10.763209393346379</v>
      </c>
      <c r="S589" s="68">
        <f t="shared" si="25"/>
        <v>14.224</v>
      </c>
      <c r="T5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9" s="74" cm="1">
        <f t="array" ref="U589">IF(SIP[[#This Row],[B/S]]="S",ABS(SIP[[#This Row],[Unit]])*(INDEX(SIP[NAV at Cost (Average)],MATCH(CONCATENATE((SIP[[#This Row],[Frequency]]-1),SIP[[#This Row],[Investor ID]]),SIP[Unique Code],0),0)),0)</f>
        <v>0</v>
      </c>
      <c r="V589" s="74">
        <f>IF(SIP[[#This Row],[BO TRANSFER]]="YES",SIP[[#This Row],[Unit]],)</f>
        <v>0</v>
      </c>
      <c r="W589" s="74">
        <f>SUMIFS(SIP[[#Headers],[BO UNIT TRANSFER]]:SIP[[#This Row],[BO UNIT TRANSFER]],SIP[[#Headers],[Investor ID]]:SIP[[#This Row],[Investor ID]],SIP[[#This Row],[Investor ID]])</f>
        <v>0</v>
      </c>
    </row>
    <row r="590" spans="1:23" ht="15" customHeight="1">
      <c r="A590" s="46">
        <v>2024</v>
      </c>
      <c r="B590" s="46">
        <v>6</v>
      </c>
      <c r="C590" s="46">
        <v>26</v>
      </c>
      <c r="D590" s="65">
        <f>DATE(SIP[[#This Row],[Year]],SIP[[#This Row],[Month]],SIP[[#This Row],[Day]])</f>
        <v>45469</v>
      </c>
      <c r="E590" s="66" t="str" cm="1">
        <f t="array" ref="E590">INDEX(INVESTORS_LIST[INVESTOR NAME],MATCH(SIP[[#This Row],[Investor ID]],INVESTORS_LIST[INVESTOR CODE],0),)</f>
        <v>MAYA RANI SAHA</v>
      </c>
      <c r="F590" s="46" t="s">
        <v>224</v>
      </c>
      <c r="G590" s="46">
        <f>COUNTIF(SIP[[#Headers],[Investor ID]]:SIP[[#This Row],[Investor ID]],SIP[[#This Row],[Investor ID]])</f>
        <v>16</v>
      </c>
      <c r="H590" s="46" t="str">
        <f>CONCATENATE(SIP[[#This Row],[Frequency]],SIP[[#This Row],[Investor ID]])</f>
        <v>16A00088</v>
      </c>
      <c r="I590" s="46" t="str">
        <f>IF(SIP[[#This Row],[B/S]]="B","BUY",(IF(SIP[[#This Row],[B/S]]="S","SELL"," ")))</f>
        <v>BUY</v>
      </c>
      <c r="J590" s="46" t="s">
        <v>1229</v>
      </c>
      <c r="K590" s="69">
        <v>14000</v>
      </c>
      <c r="L590" s="122"/>
      <c r="M590" s="123">
        <f>SIP[[#This Row],[Amount]]/SIP[[#This Row],[Unit]]</f>
        <v>11.155378486055778</v>
      </c>
      <c r="N590" s="71">
        <f>SIP[[#This Row],[Unit Capital]]/10</f>
        <v>1255</v>
      </c>
      <c r="O590" s="71">
        <f>SUMIFS(SIP[[#Headers],[Unit]]:SIP[[#This Row],[Unit]],SIP[[#Headers],[Investor ID]]:SIP[[#This Row],[Investor ID]],SIP[[#This Row],[Investor ID]])</f>
        <v>23133</v>
      </c>
      <c r="P590" s="73">
        <v>12550</v>
      </c>
      <c r="Q590" s="74">
        <f>SIP[[#This Row],[Amount]]-SIP[[#This Row],[Unit Capital]]</f>
        <v>1450</v>
      </c>
      <c r="R5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10.80707214801366</v>
      </c>
      <c r="S590" s="68">
        <f t="shared" si="25"/>
        <v>14.224</v>
      </c>
      <c r="T5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0" s="74" cm="1">
        <f t="array" ref="U590">IF(SIP[[#This Row],[B/S]]="S",ABS(SIP[[#This Row],[Unit]])*(INDEX(SIP[NAV at Cost (Average)],MATCH(CONCATENATE((SIP[[#This Row],[Frequency]]-1),SIP[[#This Row],[Investor ID]]),SIP[Unique Code],0),0)),0)</f>
        <v>0</v>
      </c>
      <c r="V590" s="74">
        <f>IF(SIP[[#This Row],[BO TRANSFER]]="YES",SIP[[#This Row],[Unit]],)</f>
        <v>0</v>
      </c>
      <c r="W590" s="74">
        <f>SUMIFS(SIP[[#Headers],[BO UNIT TRANSFER]]:SIP[[#This Row],[BO UNIT TRANSFER]],SIP[[#Headers],[Investor ID]]:SIP[[#This Row],[Investor ID]],SIP[[#This Row],[Investor ID]])</f>
        <v>0</v>
      </c>
    </row>
    <row r="591" spans="1:23" ht="15" customHeight="1">
      <c r="A591" s="46">
        <v>2024</v>
      </c>
      <c r="B591" s="46">
        <v>6</v>
      </c>
      <c r="C591" s="46">
        <v>26</v>
      </c>
      <c r="D591" s="65">
        <f>DATE(SIP[[#This Row],[Year]],SIP[[#This Row],[Month]],SIP[[#This Row],[Day]])</f>
        <v>45469</v>
      </c>
      <c r="E591" s="66" t="str" cm="1">
        <f t="array" ref="E591">INDEX(INVESTORS_LIST[INVESTOR NAME],MATCH(SIP[[#This Row],[Investor ID]],INVESTORS_LIST[INVESTOR CODE],0),)</f>
        <v>MUHAMMAD SHOHIDUZZAMAN</v>
      </c>
      <c r="F591" s="46" t="s">
        <v>986</v>
      </c>
      <c r="G591" s="46">
        <f>COUNTIF(SIP[[#Headers],[Investor ID]]:SIP[[#This Row],[Investor ID]],SIP[[#This Row],[Investor ID]])</f>
        <v>8</v>
      </c>
      <c r="H591" s="46" t="str">
        <f>CONCATENATE(SIP[[#This Row],[Frequency]],SIP[[#This Row],[Investor ID]])</f>
        <v>8A00470</v>
      </c>
      <c r="I591" s="46" t="str">
        <f>IF(SIP[[#This Row],[B/S]]="B","BUY",(IF(SIP[[#This Row],[B/S]]="S","SELL"," ")))</f>
        <v>BUY</v>
      </c>
      <c r="J591" s="46" t="s">
        <v>1229</v>
      </c>
      <c r="K591" s="69">
        <v>10000</v>
      </c>
      <c r="L591" s="122" t="s">
        <v>1230</v>
      </c>
      <c r="M591" s="123">
        <f>SIP[[#This Row],[Amount]]/SIP[[#This Row],[Unit]]</f>
        <v>11.148272017837236</v>
      </c>
      <c r="N591" s="71">
        <f>SIP[[#This Row],[Unit Capital]]/10</f>
        <v>897</v>
      </c>
      <c r="O591" s="71">
        <f>SUMIFS(SIP[[#Headers],[Unit]]:SIP[[#This Row],[Unit]],SIP[[#Headers],[Investor ID]]:SIP[[#This Row],[Investor ID]],SIP[[#This Row],[Investor ID]])</f>
        <v>7368</v>
      </c>
      <c r="P591" s="73">
        <v>8970</v>
      </c>
      <c r="Q591" s="74">
        <f>SIP[[#This Row],[Amount]]-SIP[[#This Row],[Unit Capital]]</f>
        <v>1030</v>
      </c>
      <c r="R5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10.857763300760043</v>
      </c>
      <c r="S591" s="68">
        <f t="shared" si="25"/>
        <v>14.224</v>
      </c>
      <c r="T5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1" s="74" cm="1">
        <f t="array" ref="U591">IF(SIP[[#This Row],[B/S]]="S",ABS(SIP[[#This Row],[Unit]])*(INDEX(SIP[NAV at Cost (Average)],MATCH(CONCATENATE((SIP[[#This Row],[Frequency]]-1),SIP[[#This Row],[Investor ID]]),SIP[Unique Code],0),0)),0)</f>
        <v>0</v>
      </c>
      <c r="V591" s="74">
        <f>IF(SIP[[#This Row],[BO TRANSFER]]="YES",SIP[[#This Row],[Unit]],)</f>
        <v>897</v>
      </c>
      <c r="W591" s="74">
        <f>SUMIFS(SIP[[#Headers],[BO UNIT TRANSFER]]:SIP[[#This Row],[BO UNIT TRANSFER]],SIP[[#Headers],[Investor ID]]:SIP[[#This Row],[Investor ID]],SIP[[#This Row],[Investor ID]])</f>
        <v>7368</v>
      </c>
    </row>
    <row r="592" spans="1:23" ht="15" customHeight="1">
      <c r="A592" s="46">
        <v>2024</v>
      </c>
      <c r="B592" s="46">
        <v>6</v>
      </c>
      <c r="C592" s="46">
        <v>26</v>
      </c>
      <c r="D592" s="65">
        <f>DATE(SIP[[#This Row],[Year]],SIP[[#This Row],[Month]],SIP[[#This Row],[Day]])</f>
        <v>45469</v>
      </c>
      <c r="E592" s="66" t="str" cm="1">
        <f t="array" ref="E592">INDEX(INVESTORS_LIST[INVESTOR NAME],MATCH(SIP[[#This Row],[Investor ID]],INVESTORS_LIST[INVESTOR CODE],0),)</f>
        <v>KHALED HOSSAIN</v>
      </c>
      <c r="F592" s="46" t="s">
        <v>1050</v>
      </c>
      <c r="G592" s="46">
        <f>COUNTIF(SIP[[#Headers],[Investor ID]]:SIP[[#This Row],[Investor ID]],SIP[[#This Row],[Investor ID]])</f>
        <v>20</v>
      </c>
      <c r="H592" s="46" t="str">
        <f>CONCATENATE(SIP[[#This Row],[Frequency]],SIP[[#This Row],[Investor ID]])</f>
        <v>20A00502</v>
      </c>
      <c r="I592" s="46" t="str">
        <f>IF(SIP[[#This Row],[B/S]]="B","BUY",(IF(SIP[[#This Row],[B/S]]="S","SELL"," ")))</f>
        <v>BUY</v>
      </c>
      <c r="J592" s="46" t="s">
        <v>1229</v>
      </c>
      <c r="K592" s="69">
        <v>25000</v>
      </c>
      <c r="L592" s="122"/>
      <c r="M592" s="123">
        <f>SIP[[#This Row],[Amount]]/SIP[[#This Row],[Unit]]</f>
        <v>11.150758251561106</v>
      </c>
      <c r="N592" s="71">
        <f>SIP[[#This Row],[Unit Capital]]/10</f>
        <v>2242</v>
      </c>
      <c r="O592" s="71">
        <f>SUMIFS(SIP[[#Headers],[Unit]]:SIP[[#This Row],[Unit]],SIP[[#Headers],[Investor ID]]:SIP[[#This Row],[Investor ID]],SIP[[#This Row],[Investor ID]])</f>
        <v>24986</v>
      </c>
      <c r="P592" s="73">
        <v>22420</v>
      </c>
      <c r="Q592" s="74">
        <f>SIP[[#This Row],[Amount]]-SIP[[#This Row],[Unit Capital]]</f>
        <v>2580</v>
      </c>
      <c r="R5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10.825457524896381</v>
      </c>
      <c r="S592" s="68">
        <f t="shared" si="25"/>
        <v>14.224</v>
      </c>
      <c r="T5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2" s="74" cm="1">
        <f t="array" ref="U592">IF(SIP[[#This Row],[B/S]]="S",ABS(SIP[[#This Row],[Unit]])*(INDEX(SIP[NAV at Cost (Average)],MATCH(CONCATENATE((SIP[[#This Row],[Frequency]]-1),SIP[[#This Row],[Investor ID]]),SIP[Unique Code],0),0)),0)</f>
        <v>0</v>
      </c>
      <c r="V592" s="74">
        <f>IF(SIP[[#This Row],[BO TRANSFER]]="YES",SIP[[#This Row],[Unit]],)</f>
        <v>0</v>
      </c>
      <c r="W592" s="74">
        <f>SUMIFS(SIP[[#Headers],[BO UNIT TRANSFER]]:SIP[[#This Row],[BO UNIT TRANSFER]],SIP[[#Headers],[Investor ID]]:SIP[[#This Row],[Investor ID]],SIP[[#This Row],[Investor ID]])</f>
        <v>0</v>
      </c>
    </row>
    <row r="593" spans="1:23" ht="15" customHeight="1">
      <c r="A593" s="46">
        <v>2024</v>
      </c>
      <c r="B593" s="46">
        <v>6</v>
      </c>
      <c r="C593" s="46">
        <v>26</v>
      </c>
      <c r="D593" s="65">
        <f>DATE(SIP[[#This Row],[Year]],SIP[[#This Row],[Month]],SIP[[#This Row],[Day]])</f>
        <v>45469</v>
      </c>
      <c r="E593" s="66" t="str" cm="1">
        <f t="array" ref="E593">INDEX(INVESTORS_LIST[INVESTOR NAME],MATCH(SIP[[#This Row],[Investor ID]],INVESTORS_LIST[INVESTOR CODE],0),)</f>
        <v>KHALED HOSSAIN</v>
      </c>
      <c r="F593" s="46" t="s">
        <v>1050</v>
      </c>
      <c r="G593" s="46">
        <f>COUNTIF(SIP[[#Headers],[Investor ID]]:SIP[[#This Row],[Investor ID]],SIP[[#This Row],[Investor ID]])</f>
        <v>21</v>
      </c>
      <c r="H593" s="46" t="str">
        <f>CONCATENATE(SIP[[#This Row],[Frequency]],SIP[[#This Row],[Investor ID]])</f>
        <v>21A00502</v>
      </c>
      <c r="I593" s="46" t="str">
        <f>IF(SIP[[#This Row],[B/S]]="B","BUY",(IF(SIP[[#This Row],[B/S]]="S","SELL"," ")))</f>
        <v>BUY</v>
      </c>
      <c r="J593" s="46" t="s">
        <v>1229</v>
      </c>
      <c r="K593" s="69">
        <v>10000</v>
      </c>
      <c r="L593" s="122"/>
      <c r="M593" s="123">
        <f>SIP[[#This Row],[Amount]]/SIP[[#This Row],[Unit]]</f>
        <v>11.148272017837236</v>
      </c>
      <c r="N593" s="71">
        <f>SIP[[#This Row],[Unit Capital]]/10</f>
        <v>897</v>
      </c>
      <c r="O593" s="71">
        <f>SUMIFS(SIP[[#Headers],[Unit]]:SIP[[#This Row],[Unit]],SIP[[#Headers],[Investor ID]]:SIP[[#This Row],[Investor ID]],SIP[[#This Row],[Investor ID]])</f>
        <v>25883</v>
      </c>
      <c r="P593" s="73">
        <v>8970</v>
      </c>
      <c r="Q593" s="74">
        <f>SIP[[#This Row],[Amount]]-SIP[[#This Row],[Unit Capital]]</f>
        <v>1030</v>
      </c>
      <c r="R5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10.8366449683986</v>
      </c>
      <c r="S593" s="68">
        <f t="shared" si="25"/>
        <v>14.224</v>
      </c>
      <c r="T5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3" s="74" cm="1">
        <f t="array" ref="U593">IF(SIP[[#This Row],[B/S]]="S",ABS(SIP[[#This Row],[Unit]])*(INDEX(SIP[NAV at Cost (Average)],MATCH(CONCATENATE((SIP[[#This Row],[Frequency]]-1),SIP[[#This Row],[Investor ID]]),SIP[Unique Code],0),0)),0)</f>
        <v>0</v>
      </c>
      <c r="V593" s="74">
        <f>IF(SIP[[#This Row],[BO TRANSFER]]="YES",SIP[[#This Row],[Unit]],)</f>
        <v>0</v>
      </c>
      <c r="W593" s="74">
        <f>SUMIFS(SIP[[#Headers],[BO UNIT TRANSFER]]:SIP[[#This Row],[BO UNIT TRANSFER]],SIP[[#Headers],[Investor ID]]:SIP[[#This Row],[Investor ID]],SIP[[#This Row],[Investor ID]])</f>
        <v>0</v>
      </c>
    </row>
    <row r="594" spans="1:23" ht="15" customHeight="1">
      <c r="A594" s="46">
        <v>2024</v>
      </c>
      <c r="B594" s="46">
        <v>6</v>
      </c>
      <c r="C594" s="46">
        <v>26</v>
      </c>
      <c r="D594" s="65">
        <f>DATE(SIP[[#This Row],[Year]],SIP[[#This Row],[Month]],SIP[[#This Row],[Day]])</f>
        <v>45469</v>
      </c>
      <c r="E594" s="66" t="str" cm="1">
        <f t="array" ref="E594">INDEX(INVESTORS_LIST[INVESTOR NAME],MATCH(SIP[[#This Row],[Investor ID]],INVESTORS_LIST[INVESTOR CODE],0),)</f>
        <v>MOHAMMAD SAMIUL ALAM</v>
      </c>
      <c r="F594" s="46" t="s">
        <v>537</v>
      </c>
      <c r="G594" s="46">
        <f>COUNTIF(SIP[[#Headers],[Investor ID]]:SIP[[#This Row],[Investor ID]],SIP[[#This Row],[Investor ID]])</f>
        <v>11</v>
      </c>
      <c r="H594" s="46" t="str">
        <f>CONCATENATE(SIP[[#This Row],[Frequency]],SIP[[#This Row],[Investor ID]])</f>
        <v>11A00244</v>
      </c>
      <c r="I594" s="46" t="str">
        <f>IF(SIP[[#This Row],[B/S]]="B","BUY",(IF(SIP[[#This Row],[B/S]]="S","SELL"," ")))</f>
        <v>BUY</v>
      </c>
      <c r="J594" s="46" t="s">
        <v>1229</v>
      </c>
      <c r="K594" s="69">
        <v>20000</v>
      </c>
      <c r="L594" s="69"/>
      <c r="M594" s="123">
        <f>SIP[[#This Row],[Amount]]/SIP[[#This Row],[Unit]]</f>
        <v>11.154489682097044</v>
      </c>
      <c r="N594" s="71">
        <f>SIP[[#This Row],[Unit Capital]]/10</f>
        <v>1793</v>
      </c>
      <c r="O594" s="71">
        <f>SUMIFS(SIP[[#Headers],[Unit]]:SIP[[#This Row],[Unit]],SIP[[#Headers],[Investor ID]]:SIP[[#This Row],[Investor ID]],SIP[[#This Row],[Investor ID]])</f>
        <v>20458</v>
      </c>
      <c r="P594" s="73">
        <v>17930</v>
      </c>
      <c r="Q594" s="74">
        <f>SIP[[#This Row],[Amount]]-SIP[[#This Row],[Unit Capital]]</f>
        <v>2070</v>
      </c>
      <c r="R5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10.753739368462215</v>
      </c>
      <c r="S594" s="68">
        <f t="shared" si="25"/>
        <v>14.224</v>
      </c>
      <c r="T5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4" s="74" cm="1">
        <f t="array" ref="U594">IF(SIP[[#This Row],[B/S]]="S",ABS(SIP[[#This Row],[Unit]])*(INDEX(SIP[NAV at Cost (Average)],MATCH(CONCATENATE((SIP[[#This Row],[Frequency]]-1),SIP[[#This Row],[Investor ID]]),SIP[Unique Code],0),0)),0)</f>
        <v>0</v>
      </c>
      <c r="V594" s="74">
        <f>IF(SIP[[#This Row],[BO TRANSFER]]="YES",SIP[[#This Row],[Unit]],)</f>
        <v>0</v>
      </c>
      <c r="W594" s="74">
        <f>SUMIFS(SIP[[#Headers],[BO UNIT TRANSFER]]:SIP[[#This Row],[BO UNIT TRANSFER]],SIP[[#Headers],[Investor ID]]:SIP[[#This Row],[Investor ID]],SIP[[#This Row],[Investor ID]])</f>
        <v>0</v>
      </c>
    </row>
    <row r="595" spans="1:23" ht="15" customHeight="1">
      <c r="A595" s="46">
        <v>2024</v>
      </c>
      <c r="B595" s="46">
        <v>6</v>
      </c>
      <c r="C595" s="46">
        <v>26</v>
      </c>
      <c r="D595" s="65">
        <f>DATE(SIP[[#This Row],[Year]],SIP[[#This Row],[Month]],SIP[[#This Row],[Day]])</f>
        <v>45469</v>
      </c>
      <c r="E595" s="66" t="str" cm="1">
        <f t="array" ref="E595">INDEX(INVESTORS_LIST[INVESTOR NAME],MATCH(SIP[[#This Row],[Investor ID]],INVESTORS_LIST[INVESTOR CODE],0),)</f>
        <v>MRINMOY GHOSH</v>
      </c>
      <c r="F595" s="46" t="s">
        <v>69</v>
      </c>
      <c r="G595" s="46">
        <f>COUNTIF(SIP[[#Headers],[Investor ID]]:SIP[[#This Row],[Investor ID]],SIP[[#This Row],[Investor ID]])</f>
        <v>10</v>
      </c>
      <c r="H595" s="46" t="str">
        <f>CONCATENATE(SIP[[#This Row],[Frequency]],SIP[[#This Row],[Investor ID]])</f>
        <v>10A00012</v>
      </c>
      <c r="I595" s="46" t="str">
        <f>IF(SIP[[#This Row],[B/S]]="B","BUY",(IF(SIP[[#This Row],[B/S]]="S","SELL"," ")))</f>
        <v>BUY</v>
      </c>
      <c r="J595" s="46" t="s">
        <v>1229</v>
      </c>
      <c r="K595" s="69">
        <v>10000</v>
      </c>
      <c r="L595" s="122"/>
      <c r="M595" s="123">
        <f>SIP[[#This Row],[Amount]]/SIP[[#This Row],[Unit]]</f>
        <v>11.148272017837236</v>
      </c>
      <c r="N595" s="71">
        <f>SIP[[#This Row],[Unit Capital]]/10</f>
        <v>897</v>
      </c>
      <c r="O595" s="71">
        <f>SUMIFS(SIP[[#Headers],[Unit]]:SIP[[#This Row],[Unit]],SIP[[#Headers],[Investor ID]]:SIP[[#This Row],[Investor ID]],SIP[[#This Row],[Investor ID]])</f>
        <v>9271</v>
      </c>
      <c r="P595" s="73">
        <v>8970</v>
      </c>
      <c r="Q595" s="74">
        <f>SIP[[#This Row],[Amount]]-SIP[[#This Row],[Unit Capital]]</f>
        <v>1030</v>
      </c>
      <c r="R5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10.7863229425089</v>
      </c>
      <c r="S595" s="68">
        <f t="shared" si="25"/>
        <v>14.224</v>
      </c>
      <c r="T5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5" s="74" cm="1">
        <f t="array" ref="U595">IF(SIP[[#This Row],[B/S]]="S",ABS(SIP[[#This Row],[Unit]])*(INDEX(SIP[NAV at Cost (Average)],MATCH(CONCATENATE((SIP[[#This Row],[Frequency]]-1),SIP[[#This Row],[Investor ID]]),SIP[Unique Code],0),0)),0)</f>
        <v>0</v>
      </c>
      <c r="V595" s="74">
        <f>IF(SIP[[#This Row],[BO TRANSFER]]="YES",SIP[[#This Row],[Unit]],)</f>
        <v>0</v>
      </c>
      <c r="W595" s="74">
        <f>SUMIFS(SIP[[#Headers],[BO UNIT TRANSFER]]:SIP[[#This Row],[BO UNIT TRANSFER]],SIP[[#Headers],[Investor ID]]:SIP[[#This Row],[Investor ID]],SIP[[#This Row],[Investor ID]])</f>
        <v>0</v>
      </c>
    </row>
    <row r="596" spans="1:23" ht="15" customHeight="1">
      <c r="A596" s="46">
        <v>2024</v>
      </c>
      <c r="B596" s="46">
        <v>6</v>
      </c>
      <c r="C596" s="46">
        <v>26</v>
      </c>
      <c r="D596" s="65">
        <f>DATE(SIP[[#This Row],[Year]],SIP[[#This Row],[Month]],SIP[[#This Row],[Day]])</f>
        <v>45469</v>
      </c>
      <c r="E596" s="66" t="str" cm="1">
        <f t="array" ref="E596">INDEX(INVESTORS_LIST[INVESTOR NAME],MATCH(SIP[[#This Row],[Investor ID]],INVESTORS_LIST[INVESTOR CODE],0),)</f>
        <v>ADNAN RASHID</v>
      </c>
      <c r="F596" s="46" t="s">
        <v>252</v>
      </c>
      <c r="G596" s="46">
        <f>COUNTIF(SIP[[#Headers],[Investor ID]]:SIP[[#This Row],[Investor ID]],SIP[[#This Row],[Investor ID]])</f>
        <v>11</v>
      </c>
      <c r="H596" s="46" t="str">
        <f>CONCATENATE(SIP[[#This Row],[Frequency]],SIP[[#This Row],[Investor ID]])</f>
        <v>11A00102</v>
      </c>
      <c r="I596" s="46" t="str">
        <f>IF(SIP[[#This Row],[B/S]]="B","BUY",(IF(SIP[[#This Row],[B/S]]="S","SELL"," ")))</f>
        <v>BUY</v>
      </c>
      <c r="J596" s="46" t="s">
        <v>1229</v>
      </c>
      <c r="K596" s="69">
        <v>30000</v>
      </c>
      <c r="L596" s="122"/>
      <c r="M596" s="123">
        <f>SIP[[#This Row],[Amount]]/SIP[[#This Row],[Unit]]</f>
        <v>11.152416356877323</v>
      </c>
      <c r="N596" s="71">
        <f>SIP[[#This Row],[Unit Capital]]/10</f>
        <v>2690</v>
      </c>
      <c r="O596" s="71">
        <f>SUMIFS(SIP[[#Headers],[Unit]]:SIP[[#This Row],[Unit]],SIP[[#Headers],[Investor ID]]:SIP[[#This Row],[Investor ID]],SIP[[#This Row],[Investor ID]])</f>
        <v>9612</v>
      </c>
      <c r="P596" s="73">
        <v>26900</v>
      </c>
      <c r="Q596" s="74">
        <f>SIP[[#This Row],[Amount]]-SIP[[#This Row],[Unit Capital]]</f>
        <v>3100</v>
      </c>
      <c r="R5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10.931715850611864</v>
      </c>
      <c r="S596" s="68">
        <f t="shared" si="25"/>
        <v>14.224</v>
      </c>
      <c r="T5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6" s="74" cm="1">
        <f t="array" ref="U596">IF(SIP[[#This Row],[B/S]]="S",ABS(SIP[[#This Row],[Unit]])*(INDEX(SIP[NAV at Cost (Average)],MATCH(CONCATENATE((SIP[[#This Row],[Frequency]]-1),SIP[[#This Row],[Investor ID]]),SIP[Unique Code],0),0)),0)</f>
        <v>0</v>
      </c>
      <c r="V596" s="74">
        <f>IF(SIP[[#This Row],[BO TRANSFER]]="YES",SIP[[#This Row],[Unit]],)</f>
        <v>0</v>
      </c>
      <c r="W596" s="74">
        <f>SUMIFS(SIP[[#Headers],[BO UNIT TRANSFER]]:SIP[[#This Row],[BO UNIT TRANSFER]],SIP[[#Headers],[Investor ID]]:SIP[[#This Row],[Investor ID]],SIP[[#This Row],[Investor ID]])</f>
        <v>0</v>
      </c>
    </row>
    <row r="597" spans="1:23" ht="15" customHeight="1">
      <c r="A597" s="46">
        <v>2024</v>
      </c>
      <c r="B597" s="46">
        <v>6</v>
      </c>
      <c r="C597" s="46">
        <v>26</v>
      </c>
      <c r="D597" s="65">
        <f>DATE(SIP[[#This Row],[Year]],SIP[[#This Row],[Month]],SIP[[#This Row],[Day]])</f>
        <v>45469</v>
      </c>
      <c r="E597" s="66" t="str" cm="1">
        <f t="array" ref="E597">INDEX(INVESTORS_LIST[INVESTOR NAME],MATCH(SIP[[#This Row],[Investor ID]],INVESTORS_LIST[INVESTOR CODE],0),)</f>
        <v>MD ABDULLAH-AL- MAMUN</v>
      </c>
      <c r="F597" s="46" t="s">
        <v>533</v>
      </c>
      <c r="G597" s="46">
        <f>COUNTIF(SIP[[#Headers],[Investor ID]]:SIP[[#This Row],[Investor ID]],SIP[[#This Row],[Investor ID]])</f>
        <v>9</v>
      </c>
      <c r="H597" s="46" t="str">
        <f>CONCATENATE(SIP[[#This Row],[Frequency]],SIP[[#This Row],[Investor ID]])</f>
        <v>9A00242</v>
      </c>
      <c r="I597" s="46" t="str">
        <f>IF(SIP[[#This Row],[B/S]]="B","BUY",(IF(SIP[[#This Row],[B/S]]="S","SELL"," ")))</f>
        <v>BUY</v>
      </c>
      <c r="J597" s="46" t="s">
        <v>1229</v>
      </c>
      <c r="K597" s="69">
        <v>15000</v>
      </c>
      <c r="L597" s="122"/>
      <c r="M597" s="123">
        <f>SIP[[#This Row],[Amount]]/SIP[[#This Row],[Unit]]</f>
        <v>11.152416356877323</v>
      </c>
      <c r="N597" s="71">
        <f>SIP[[#This Row],[Unit Capital]]/10</f>
        <v>1345</v>
      </c>
      <c r="O597" s="71">
        <f>SUMIFS(SIP[[#Headers],[Unit]]:SIP[[#This Row],[Unit]],SIP[[#Headers],[Investor ID]]:SIP[[#This Row],[Investor ID]],SIP[[#This Row],[Investor ID]])</f>
        <v>12473</v>
      </c>
      <c r="P597" s="73">
        <v>13450</v>
      </c>
      <c r="Q597" s="74">
        <f>SIP[[#This Row],[Amount]]-SIP[[#This Row],[Unit Capital]]</f>
        <v>1550</v>
      </c>
      <c r="R5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10.823378497554721</v>
      </c>
      <c r="S597" s="68">
        <f t="shared" si="25"/>
        <v>14.224</v>
      </c>
      <c r="T5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7" s="74" cm="1">
        <f t="array" ref="U597">IF(SIP[[#This Row],[B/S]]="S",ABS(SIP[[#This Row],[Unit]])*(INDEX(SIP[NAV at Cost (Average)],MATCH(CONCATENATE((SIP[[#This Row],[Frequency]]-1),SIP[[#This Row],[Investor ID]]),SIP[Unique Code],0),0)),0)</f>
        <v>0</v>
      </c>
      <c r="V597" s="74">
        <f>IF(SIP[[#This Row],[BO TRANSFER]]="YES",SIP[[#This Row],[Unit]],)</f>
        <v>0</v>
      </c>
      <c r="W597" s="74">
        <f>SUMIFS(SIP[[#Headers],[BO UNIT TRANSFER]]:SIP[[#This Row],[BO UNIT TRANSFER]],SIP[[#Headers],[Investor ID]]:SIP[[#This Row],[Investor ID]],SIP[[#This Row],[Investor ID]])</f>
        <v>0</v>
      </c>
    </row>
    <row r="598" spans="1:23" ht="15" customHeight="1">
      <c r="A598" s="46">
        <v>2024</v>
      </c>
      <c r="B598" s="46">
        <v>6</v>
      </c>
      <c r="C598" s="46">
        <v>26</v>
      </c>
      <c r="D598" s="65">
        <f>DATE(SIP[[#This Row],[Year]],SIP[[#This Row],[Month]],SIP[[#This Row],[Day]])</f>
        <v>45469</v>
      </c>
      <c r="E598" s="66" t="str" cm="1">
        <f t="array" ref="E598">INDEX(INVESTORS_LIST[INVESTOR NAME],MATCH(SIP[[#This Row],[Investor ID]],INVESTORS_LIST[INVESTOR CODE],0),)</f>
        <v>MAYA RANI SAHA</v>
      </c>
      <c r="F598" s="46" t="s">
        <v>224</v>
      </c>
      <c r="G598" s="46">
        <f>COUNTIF(SIP[[#Headers],[Investor ID]]:SIP[[#This Row],[Investor ID]],SIP[[#This Row],[Investor ID]])</f>
        <v>17</v>
      </c>
      <c r="H598" s="46" t="str">
        <f>CONCATENATE(SIP[[#This Row],[Frequency]],SIP[[#This Row],[Investor ID]])</f>
        <v>17A00088</v>
      </c>
      <c r="I598" s="46" t="str">
        <f>IF(SIP[[#This Row],[B/S]]="B","BUY",(IF(SIP[[#This Row],[B/S]]="S","SELL"," ")))</f>
        <v>BUY</v>
      </c>
      <c r="J598" s="46" t="s">
        <v>1229</v>
      </c>
      <c r="K598" s="69">
        <v>20000</v>
      </c>
      <c r="L598" s="122"/>
      <c r="M598" s="123">
        <f>SIP[[#This Row],[Amount]]/SIP[[#This Row],[Unit]]</f>
        <v>11.154489682097044</v>
      </c>
      <c r="N598" s="71">
        <f>SIP[[#This Row],[Unit Capital]]/10</f>
        <v>1793</v>
      </c>
      <c r="O598" s="71">
        <f>SUMIFS(SIP[[#Headers],[Unit]]:SIP[[#This Row],[Unit]],SIP[[#Headers],[Investor ID]]:SIP[[#This Row],[Investor ID]],SIP[[#This Row],[Investor ID]])</f>
        <v>24926</v>
      </c>
      <c r="P598" s="73">
        <v>17930</v>
      </c>
      <c r="Q598" s="74">
        <f>SIP[[#This Row],[Amount]]-SIP[[#This Row],[Unit Capital]]</f>
        <v>2070</v>
      </c>
      <c r="R5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10.832062906202358</v>
      </c>
      <c r="S598" s="68">
        <f t="shared" si="25"/>
        <v>14.224</v>
      </c>
      <c r="T5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8" s="74" cm="1">
        <f t="array" ref="U598">IF(SIP[[#This Row],[B/S]]="S",ABS(SIP[[#This Row],[Unit]])*(INDEX(SIP[NAV at Cost (Average)],MATCH(CONCATENATE((SIP[[#This Row],[Frequency]]-1),SIP[[#This Row],[Investor ID]]),SIP[Unique Code],0),0)),0)</f>
        <v>0</v>
      </c>
      <c r="V598" s="74">
        <f>IF(SIP[[#This Row],[BO TRANSFER]]="YES",SIP[[#This Row],[Unit]],)</f>
        <v>0</v>
      </c>
      <c r="W598" s="74">
        <f>SUMIFS(SIP[[#Headers],[BO UNIT TRANSFER]]:SIP[[#This Row],[BO UNIT TRANSFER]],SIP[[#Headers],[Investor ID]]:SIP[[#This Row],[Investor ID]],SIP[[#This Row],[Investor ID]])</f>
        <v>0</v>
      </c>
    </row>
    <row r="599" spans="1:23" ht="15" customHeight="1">
      <c r="A599" s="46">
        <v>2024</v>
      </c>
      <c r="B599" s="46">
        <v>6</v>
      </c>
      <c r="C599" s="46">
        <v>26</v>
      </c>
      <c r="D599" s="65">
        <f>DATE(SIP[[#This Row],[Year]],SIP[[#This Row],[Month]],SIP[[#This Row],[Day]])</f>
        <v>45469</v>
      </c>
      <c r="E599" s="66" t="str" cm="1">
        <f t="array" ref="E599">INDEX(INVESTORS_LIST[INVESTOR NAME],MATCH(SIP[[#This Row],[Investor ID]],INVESTORS_LIST[INVESTOR CODE],0),)</f>
        <v>MOHAMMAD HASAN IMAM</v>
      </c>
      <c r="F599" s="46" t="s">
        <v>1122</v>
      </c>
      <c r="G599" s="46">
        <f>COUNTIF(SIP[[#Headers],[Investor ID]]:SIP[[#This Row],[Investor ID]],SIP[[#This Row],[Investor ID]])</f>
        <v>3</v>
      </c>
      <c r="H599" s="46" t="str">
        <f>CONCATENATE(SIP[[#This Row],[Frequency]],SIP[[#This Row],[Investor ID]])</f>
        <v>3A00536</v>
      </c>
      <c r="I599" s="46" t="str">
        <f>IF(SIP[[#This Row],[B/S]]="B","BUY",(IF(SIP[[#This Row],[B/S]]="S","SELL"," ")))</f>
        <v>BUY</v>
      </c>
      <c r="J599" s="46" t="s">
        <v>1229</v>
      </c>
      <c r="K599" s="69">
        <v>5000</v>
      </c>
      <c r="L599" s="122"/>
      <c r="M599" s="123">
        <f>SIP[[#This Row],[Amount]]/SIP[[#This Row],[Unit]]</f>
        <v>11.160714285714286</v>
      </c>
      <c r="N599" s="71">
        <f>SIP[[#This Row],[Unit Capital]]/10</f>
        <v>448</v>
      </c>
      <c r="O599" s="71">
        <f>SUMIFS(SIP[[#Headers],[Unit]]:SIP[[#This Row],[Unit]],SIP[[#Headers],[Investor ID]]:SIP[[#This Row],[Investor ID]],SIP[[#This Row],[Investor ID]])</f>
        <v>1355</v>
      </c>
      <c r="P599" s="73">
        <v>4480</v>
      </c>
      <c r="Q599" s="74">
        <f>SIP[[#This Row],[Amount]]-SIP[[#This Row],[Unit Capital]]</f>
        <v>520</v>
      </c>
      <c r="R5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11.070110701107012</v>
      </c>
      <c r="S599" s="68">
        <f t="shared" si="25"/>
        <v>14.224</v>
      </c>
      <c r="T5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9" s="74" cm="1">
        <f t="array" ref="U599">IF(SIP[[#This Row],[B/S]]="S",ABS(SIP[[#This Row],[Unit]])*(INDEX(SIP[NAV at Cost (Average)],MATCH(CONCATENATE((SIP[[#This Row],[Frequency]]-1),SIP[[#This Row],[Investor ID]]),SIP[Unique Code],0),0)),0)</f>
        <v>0</v>
      </c>
      <c r="V599" s="74">
        <f>IF(SIP[[#This Row],[BO TRANSFER]]="YES",SIP[[#This Row],[Unit]],)</f>
        <v>0</v>
      </c>
      <c r="W599" s="74">
        <f>SUMIFS(SIP[[#Headers],[BO UNIT TRANSFER]]:SIP[[#This Row],[BO UNIT TRANSFER]],SIP[[#Headers],[Investor ID]]:SIP[[#This Row],[Investor ID]],SIP[[#This Row],[Investor ID]])</f>
        <v>0</v>
      </c>
    </row>
    <row r="600" spans="1:23" ht="15" customHeight="1">
      <c r="A600" s="46">
        <v>2024</v>
      </c>
      <c r="B600" s="46">
        <v>6</v>
      </c>
      <c r="C600" s="46">
        <v>26</v>
      </c>
      <c r="D600" s="65">
        <f>DATE(SIP[[#This Row],[Year]],SIP[[#This Row],[Month]],SIP[[#This Row],[Day]])</f>
        <v>45469</v>
      </c>
      <c r="E600" s="66" t="str" cm="1">
        <f t="array" ref="E600">INDEX(INVESTORS_LIST[INVESTOR NAME],MATCH(SIP[[#This Row],[Investor ID]],INVESTORS_LIST[INVESTOR CODE],0),)</f>
        <v>SADIA PARVIN</v>
      </c>
      <c r="F600" s="46" t="s">
        <v>1018</v>
      </c>
      <c r="G600" s="46">
        <f>COUNTIF(SIP[[#Headers],[Investor ID]]:SIP[[#This Row],[Investor ID]],SIP[[#This Row],[Investor ID]])</f>
        <v>15</v>
      </c>
      <c r="H600" s="46" t="str">
        <f>CONCATENATE(SIP[[#This Row],[Frequency]],SIP[[#This Row],[Investor ID]])</f>
        <v>15A00486</v>
      </c>
      <c r="I600" s="46" t="str">
        <f>IF(SIP[[#This Row],[B/S]]="B","BUY",(IF(SIP[[#This Row],[B/S]]="S","SELL"," ")))</f>
        <v>BUY</v>
      </c>
      <c r="J600" s="46" t="s">
        <v>1229</v>
      </c>
      <c r="K600" s="69">
        <v>5000</v>
      </c>
      <c r="L600" s="122"/>
      <c r="M600" s="123">
        <f>SIP[[#This Row],[Amount]]/SIP[[#This Row],[Unit]]</f>
        <v>11.160714285714286</v>
      </c>
      <c r="N600" s="71">
        <f>SIP[[#This Row],[Unit Capital]]/10</f>
        <v>448</v>
      </c>
      <c r="O600" s="71">
        <f>SUMIFS(SIP[[#Headers],[Unit]]:SIP[[#This Row],[Unit]],SIP[[#Headers],[Investor ID]]:SIP[[#This Row],[Investor ID]],SIP[[#This Row],[Investor ID]])</f>
        <v>7020</v>
      </c>
      <c r="P600" s="73">
        <v>4480</v>
      </c>
      <c r="Q600" s="74">
        <f>SIP[[#This Row],[Amount]]-SIP[[#This Row],[Unit Capital]]</f>
        <v>520</v>
      </c>
      <c r="R6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10.683760683760685</v>
      </c>
      <c r="S600" s="68">
        <f t="shared" si="25"/>
        <v>14.224</v>
      </c>
      <c r="T6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0" s="74" cm="1">
        <f t="array" ref="U600">IF(SIP[[#This Row],[B/S]]="S",ABS(SIP[[#This Row],[Unit]])*(INDEX(SIP[NAV at Cost (Average)],MATCH(CONCATENATE((SIP[[#This Row],[Frequency]]-1),SIP[[#This Row],[Investor ID]]),SIP[Unique Code],0),0)),0)</f>
        <v>0</v>
      </c>
      <c r="V600" s="74">
        <f>IF(SIP[[#This Row],[BO TRANSFER]]="YES",SIP[[#This Row],[Unit]],)</f>
        <v>0</v>
      </c>
      <c r="W600" s="74">
        <f>SUMIFS(SIP[[#Headers],[BO UNIT TRANSFER]]:SIP[[#This Row],[BO UNIT TRANSFER]],SIP[[#Headers],[Investor ID]]:SIP[[#This Row],[Investor ID]],SIP[[#This Row],[Investor ID]])</f>
        <v>0</v>
      </c>
    </row>
    <row r="601" spans="1:23" ht="15" customHeight="1">
      <c r="A601" s="46">
        <v>2024</v>
      </c>
      <c r="B601" s="46">
        <v>6</v>
      </c>
      <c r="C601" s="46">
        <v>26</v>
      </c>
      <c r="D601" s="65">
        <f>DATE(SIP[[#This Row],[Year]],SIP[[#This Row],[Month]],SIP[[#This Row],[Day]])</f>
        <v>45469</v>
      </c>
      <c r="E601" s="66" t="str" cm="1">
        <f t="array" ref="E601">INDEX(INVESTORS_LIST[INVESTOR NAME],MATCH(SIP[[#This Row],[Investor ID]],INVESTORS_LIST[INVESTOR CODE],0),)</f>
        <v>SRIJON GHOSH</v>
      </c>
      <c r="F601" s="46" t="s">
        <v>894</v>
      </c>
      <c r="G601" s="46">
        <f>COUNTIF(SIP[[#Headers],[Investor ID]]:SIP[[#This Row],[Investor ID]],SIP[[#This Row],[Investor ID]])</f>
        <v>32</v>
      </c>
      <c r="H601" s="46" t="str">
        <f>CONCATENATE(SIP[[#This Row],[Frequency]],SIP[[#This Row],[Investor ID]])</f>
        <v>32A00424</v>
      </c>
      <c r="I601" s="46" t="str">
        <f>IF(SIP[[#This Row],[B/S]]="B","BUY",(IF(SIP[[#This Row],[B/S]]="S","SELL"," ")))</f>
        <v>BUY</v>
      </c>
      <c r="J601" s="46" t="s">
        <v>1229</v>
      </c>
      <c r="K601" s="69">
        <v>15000</v>
      </c>
      <c r="L601" s="122"/>
      <c r="M601" s="123">
        <f>SIP[[#This Row],[Amount]]/SIP[[#This Row],[Unit]]</f>
        <v>11.152416356877323</v>
      </c>
      <c r="N601" s="71">
        <f>SIP[[#This Row],[Unit Capital]]/10</f>
        <v>1345</v>
      </c>
      <c r="O601" s="71">
        <f>SUMIFS(SIP[[#Headers],[Unit]]:SIP[[#This Row],[Unit]],SIP[[#Headers],[Investor ID]]:SIP[[#This Row],[Investor ID]],SIP[[#This Row],[Investor ID]])</f>
        <v>16535</v>
      </c>
      <c r="P601" s="73">
        <v>13450</v>
      </c>
      <c r="Q601" s="74">
        <f>SIP[[#This Row],[Amount]]-SIP[[#This Row],[Unit Capital]]</f>
        <v>1550</v>
      </c>
      <c r="R6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10.741120170582823</v>
      </c>
      <c r="S601" s="68">
        <f t="shared" si="25"/>
        <v>14.224</v>
      </c>
      <c r="T6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1" s="74" cm="1">
        <f t="array" ref="U601">IF(SIP[[#This Row],[B/S]]="S",ABS(SIP[[#This Row],[Unit]])*(INDEX(SIP[NAV at Cost (Average)],MATCH(CONCATENATE((SIP[[#This Row],[Frequency]]-1),SIP[[#This Row],[Investor ID]]),SIP[Unique Code],0),0)),0)</f>
        <v>0</v>
      </c>
      <c r="V601" s="74">
        <f>IF(SIP[[#This Row],[BO TRANSFER]]="YES",SIP[[#This Row],[Unit]],)</f>
        <v>0</v>
      </c>
      <c r="W601" s="74">
        <f>SUMIFS(SIP[[#Headers],[BO UNIT TRANSFER]]:SIP[[#This Row],[BO UNIT TRANSFER]],SIP[[#Headers],[Investor ID]]:SIP[[#This Row],[Investor ID]],SIP[[#This Row],[Investor ID]])</f>
        <v>0</v>
      </c>
    </row>
    <row r="602" spans="1:23" ht="15" customHeight="1">
      <c r="A602" s="46">
        <v>2024</v>
      </c>
      <c r="B602" s="46">
        <v>6</v>
      </c>
      <c r="C602" s="46">
        <v>26</v>
      </c>
      <c r="D602" s="65">
        <f>DATE(SIP[[#This Row],[Year]],SIP[[#This Row],[Month]],SIP[[#This Row],[Day]])</f>
        <v>45469</v>
      </c>
      <c r="E602" s="66" t="str" cm="1">
        <f t="array" ref="E602">INDEX(INVESTORS_LIST[INVESTOR NAME],MATCH(SIP[[#This Row],[Investor ID]],INVESTORS_LIST[INVESTOR CODE],0),)</f>
        <v>KHAN MUHAMMAD FAISOL</v>
      </c>
      <c r="F602" s="46" t="s">
        <v>930</v>
      </c>
      <c r="G602" s="46">
        <f>COUNTIF(SIP[[#Headers],[Investor ID]]:SIP[[#This Row],[Investor ID]],SIP[[#This Row],[Investor ID]])</f>
        <v>14</v>
      </c>
      <c r="H602" s="46" t="str">
        <f>CONCATENATE(SIP[[#This Row],[Frequency]],SIP[[#This Row],[Investor ID]])</f>
        <v>14A00442</v>
      </c>
      <c r="I602" s="46" t="str">
        <f>IF(SIP[[#This Row],[B/S]]="B","BUY",(IF(SIP[[#This Row],[B/S]]="S","SELL"," ")))</f>
        <v>BUY</v>
      </c>
      <c r="J602" s="46" t="s">
        <v>1229</v>
      </c>
      <c r="K602" s="69">
        <v>1000</v>
      </c>
      <c r="L602" s="69"/>
      <c r="M602" s="123">
        <f>SIP[[#This Row],[Amount]]/SIP[[#This Row],[Unit]]</f>
        <v>11.111111111111111</v>
      </c>
      <c r="N602" s="71">
        <f>SIP[[#This Row],[Unit Capital]]/10</f>
        <v>90</v>
      </c>
      <c r="O602" s="71">
        <f>SUMIFS(SIP[[#Headers],[Unit]]:SIP[[#This Row],[Unit]],SIP[[#Headers],[Investor ID]]:SIP[[#This Row],[Investor ID]],SIP[[#This Row],[Investor ID]])</f>
        <v>1314</v>
      </c>
      <c r="P602" s="73">
        <v>900</v>
      </c>
      <c r="Q602" s="74">
        <f>SIP[[#This Row],[Amount]]-SIP[[#This Row],[Unit Capital]]</f>
        <v>100</v>
      </c>
      <c r="R6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10.654490106544904</v>
      </c>
      <c r="S602" s="68">
        <f t="shared" si="25"/>
        <v>14.224</v>
      </c>
      <c r="T6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2" s="74" cm="1">
        <f t="array" ref="U602">IF(SIP[[#This Row],[B/S]]="S",ABS(SIP[[#This Row],[Unit]])*(INDEX(SIP[NAV at Cost (Average)],MATCH(CONCATENATE((SIP[[#This Row],[Frequency]]-1),SIP[[#This Row],[Investor ID]]),SIP[Unique Code],0),0)),0)</f>
        <v>0</v>
      </c>
      <c r="V602" s="74">
        <f>IF(SIP[[#This Row],[BO TRANSFER]]="YES",SIP[[#This Row],[Unit]],)</f>
        <v>0</v>
      </c>
      <c r="W602" s="74">
        <f>SUMIFS(SIP[[#Headers],[BO UNIT TRANSFER]]:SIP[[#This Row],[BO UNIT TRANSFER]],SIP[[#Headers],[Investor ID]]:SIP[[#This Row],[Investor ID]],SIP[[#This Row],[Investor ID]])</f>
        <v>0</v>
      </c>
    </row>
    <row r="603" spans="1:23" ht="15" customHeight="1">
      <c r="A603" s="46">
        <v>2024</v>
      </c>
      <c r="B603" s="46">
        <v>6</v>
      </c>
      <c r="C603" s="46">
        <v>26</v>
      </c>
      <c r="D603" s="65">
        <f>DATE(SIP[[#This Row],[Year]],SIP[[#This Row],[Month]],SIP[[#This Row],[Day]])</f>
        <v>45469</v>
      </c>
      <c r="E603" s="66" t="str" cm="1">
        <f t="array" ref="E603">INDEX(INVESTORS_LIST[INVESTOR NAME],MATCH(SIP[[#This Row],[Investor ID]],INVESTORS_LIST[INVESTOR CODE],0),)</f>
        <v>MD. ARIFUL ISLAM</v>
      </c>
      <c r="F603" s="46" t="s">
        <v>222</v>
      </c>
      <c r="G603" s="46">
        <f>COUNTIF(SIP[[#Headers],[Investor ID]]:SIP[[#This Row],[Investor ID]],SIP[[#This Row],[Investor ID]])</f>
        <v>14</v>
      </c>
      <c r="H603" s="46" t="str">
        <f>CONCATENATE(SIP[[#This Row],[Frequency]],SIP[[#This Row],[Investor ID]])</f>
        <v>14A00087</v>
      </c>
      <c r="I603" s="46" t="str">
        <f>IF(SIP[[#This Row],[B/S]]="B","BUY",(IF(SIP[[#This Row],[B/S]]="S","SELL"," ")))</f>
        <v>BUY</v>
      </c>
      <c r="J603" s="46" t="s">
        <v>1229</v>
      </c>
      <c r="K603" s="69">
        <v>10000</v>
      </c>
      <c r="L603" s="69"/>
      <c r="M603" s="123">
        <f>SIP[[#This Row],[Amount]]/SIP[[#This Row],[Unit]]</f>
        <v>11.148272017837236</v>
      </c>
      <c r="N603" s="71">
        <f>SIP[[#This Row],[Unit Capital]]/10</f>
        <v>897</v>
      </c>
      <c r="O603" s="71">
        <f>SUMIFS(SIP[[#Headers],[Unit]]:SIP[[#This Row],[Unit]],SIP[[#Headers],[Investor ID]]:SIP[[#This Row],[Investor ID]],SIP[[#This Row],[Investor ID]])</f>
        <v>13151</v>
      </c>
      <c r="P603" s="73">
        <v>8970</v>
      </c>
      <c r="Q603" s="74">
        <f>SIP[[#This Row],[Amount]]-SIP[[#This Row],[Unit Capital]]</f>
        <v>1030</v>
      </c>
      <c r="R6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10.645578283020305</v>
      </c>
      <c r="S603" s="68">
        <f t="shared" si="25"/>
        <v>14.224</v>
      </c>
      <c r="T6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3" s="74" cm="1">
        <f t="array" ref="U603">IF(SIP[[#This Row],[B/S]]="S",ABS(SIP[[#This Row],[Unit]])*(INDEX(SIP[NAV at Cost (Average)],MATCH(CONCATENATE((SIP[[#This Row],[Frequency]]-1),SIP[[#This Row],[Investor ID]]),SIP[Unique Code],0),0)),0)</f>
        <v>0</v>
      </c>
      <c r="V603" s="74">
        <f>IF(SIP[[#This Row],[BO TRANSFER]]="YES",SIP[[#This Row],[Unit]],)</f>
        <v>0</v>
      </c>
      <c r="W603" s="74">
        <f>SUMIFS(SIP[[#Headers],[BO UNIT TRANSFER]]:SIP[[#This Row],[BO UNIT TRANSFER]],SIP[[#Headers],[Investor ID]]:SIP[[#This Row],[Investor ID]],SIP[[#This Row],[Investor ID]])</f>
        <v>0</v>
      </c>
    </row>
    <row r="604" spans="1:23" ht="15" customHeight="1">
      <c r="A604" s="46">
        <v>2024</v>
      </c>
      <c r="B604" s="46">
        <v>6</v>
      </c>
      <c r="C604" s="46">
        <v>26</v>
      </c>
      <c r="D604" s="65">
        <f>DATE(SIP[[#This Row],[Year]],SIP[[#This Row],[Month]],SIP[[#This Row],[Day]])</f>
        <v>45469</v>
      </c>
      <c r="E604" s="66" t="str" cm="1">
        <f t="array" ref="E604">INDEX(INVESTORS_LIST[INVESTOR NAME],MATCH(SIP[[#This Row],[Investor ID]],INVESTORS_LIST[INVESTOR CODE],0),)</f>
        <v>SRIJON GHOSH</v>
      </c>
      <c r="F604" s="46" t="s">
        <v>894</v>
      </c>
      <c r="G604" s="46">
        <f>COUNTIF(SIP[[#Headers],[Investor ID]]:SIP[[#This Row],[Investor ID]],SIP[[#This Row],[Investor ID]])</f>
        <v>33</v>
      </c>
      <c r="H604" s="46" t="str">
        <f>CONCATENATE(SIP[[#This Row],[Frequency]],SIP[[#This Row],[Investor ID]])</f>
        <v>33A00424</v>
      </c>
      <c r="I604" s="46" t="str">
        <f>IF(SIP[[#This Row],[B/S]]="B","BUY",(IF(SIP[[#This Row],[B/S]]="S","SELL"," ")))</f>
        <v>BUY</v>
      </c>
      <c r="J604" s="46" t="s">
        <v>1229</v>
      </c>
      <c r="K604" s="69">
        <v>5000</v>
      </c>
      <c r="L604" s="122"/>
      <c r="M604" s="123">
        <f>SIP[[#This Row],[Amount]]/SIP[[#This Row],[Unit]]</f>
        <v>11.160714285714286</v>
      </c>
      <c r="N604" s="71">
        <f>SIP[[#This Row],[Unit Capital]]/10</f>
        <v>448</v>
      </c>
      <c r="O604" s="71">
        <f>SUMIFS(SIP[[#Headers],[Unit]]:SIP[[#This Row],[Unit]],SIP[[#Headers],[Investor ID]]:SIP[[#This Row],[Investor ID]],SIP[[#This Row],[Investor ID]])</f>
        <v>16983</v>
      </c>
      <c r="P604" s="73">
        <v>4480</v>
      </c>
      <c r="Q604" s="74">
        <f>SIP[[#This Row],[Amount]]-SIP[[#This Row],[Unit Capital]]</f>
        <v>520</v>
      </c>
      <c r="R6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10.752188778224518</v>
      </c>
      <c r="S604" s="68">
        <f t="shared" si="25"/>
        <v>14.224</v>
      </c>
      <c r="T6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4" s="74" cm="1">
        <f t="array" ref="U604">IF(SIP[[#This Row],[B/S]]="S",ABS(SIP[[#This Row],[Unit]])*(INDEX(SIP[NAV at Cost (Average)],MATCH(CONCATENATE((SIP[[#This Row],[Frequency]]-1),SIP[[#This Row],[Investor ID]]),SIP[Unique Code],0),0)),0)</f>
        <v>0</v>
      </c>
      <c r="V604" s="74">
        <f>IF(SIP[[#This Row],[BO TRANSFER]]="YES",SIP[[#This Row],[Unit]],)</f>
        <v>0</v>
      </c>
      <c r="W604" s="74">
        <f>SUMIFS(SIP[[#Headers],[BO UNIT TRANSFER]]:SIP[[#This Row],[BO UNIT TRANSFER]],SIP[[#Headers],[Investor ID]]:SIP[[#This Row],[Investor ID]],SIP[[#This Row],[Investor ID]])</f>
        <v>0</v>
      </c>
    </row>
    <row r="605" spans="1:23" ht="15" customHeight="1">
      <c r="A605" s="46">
        <v>2024</v>
      </c>
      <c r="B605" s="46">
        <v>6</v>
      </c>
      <c r="C605" s="46">
        <v>26</v>
      </c>
      <c r="D605" s="65">
        <f>DATE(SIP[[#This Row],[Year]],SIP[[#This Row],[Month]],SIP[[#This Row],[Day]])</f>
        <v>45469</v>
      </c>
      <c r="E605" s="66" t="str" cm="1">
        <f t="array" ref="E605">INDEX(INVESTORS_LIST[INVESTOR NAME],MATCH(SIP[[#This Row],[Investor ID]],INVESTORS_LIST[INVESTOR CODE],0),)</f>
        <v>NUSRAT JAHAN TISHA</v>
      </c>
      <c r="F605" s="46" t="s">
        <v>926</v>
      </c>
      <c r="G605" s="46">
        <f>COUNTIF(SIP[[#Headers],[Investor ID]]:SIP[[#This Row],[Investor ID]],SIP[[#This Row],[Investor ID]])</f>
        <v>11</v>
      </c>
      <c r="H605" s="46" t="str">
        <f>CONCATENATE(SIP[[#This Row],[Frequency]],SIP[[#This Row],[Investor ID]])</f>
        <v>11A00440</v>
      </c>
      <c r="I605" s="46" t="str">
        <f>IF(SIP[[#This Row],[B/S]]="B","BUY",(IF(SIP[[#This Row],[B/S]]="S","SELL"," ")))</f>
        <v>BUY</v>
      </c>
      <c r="J605" s="46" t="s">
        <v>1229</v>
      </c>
      <c r="K605" s="69">
        <v>5000</v>
      </c>
      <c r="L605" s="122"/>
      <c r="M605" s="123">
        <f>SIP[[#This Row],[Amount]]/SIP[[#This Row],[Unit]]</f>
        <v>11.160714285714286</v>
      </c>
      <c r="N605" s="71">
        <f>SIP[[#This Row],[Unit Capital]]/10</f>
        <v>448</v>
      </c>
      <c r="O605" s="71">
        <f>SUMIFS(SIP[[#Headers],[Unit]]:SIP[[#This Row],[Unit]],SIP[[#Headers],[Investor ID]]:SIP[[#This Row],[Investor ID]],SIP[[#This Row],[Investor ID]])</f>
        <v>5113</v>
      </c>
      <c r="P605" s="73">
        <v>4480</v>
      </c>
      <c r="Q605" s="74">
        <f>SIP[[#This Row],[Amount]]-SIP[[#This Row],[Unit Capital]]</f>
        <v>520</v>
      </c>
      <c r="R6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10.756894191277135</v>
      </c>
      <c r="S605" s="68">
        <f t="shared" si="25"/>
        <v>14.224</v>
      </c>
      <c r="T6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5" s="74" cm="1">
        <f t="array" ref="U605">IF(SIP[[#This Row],[B/S]]="S",ABS(SIP[[#This Row],[Unit]])*(INDEX(SIP[NAV at Cost (Average)],MATCH(CONCATENATE((SIP[[#This Row],[Frequency]]-1),SIP[[#This Row],[Investor ID]]),SIP[Unique Code],0),0)),0)</f>
        <v>0</v>
      </c>
      <c r="V605" s="74">
        <f>IF(SIP[[#This Row],[BO TRANSFER]]="YES",SIP[[#This Row],[Unit]],)</f>
        <v>0</v>
      </c>
      <c r="W605" s="74">
        <f>SUMIFS(SIP[[#Headers],[BO UNIT TRANSFER]]:SIP[[#This Row],[BO UNIT TRANSFER]],SIP[[#Headers],[Investor ID]]:SIP[[#This Row],[Investor ID]],SIP[[#This Row],[Investor ID]])</f>
        <v>0</v>
      </c>
    </row>
    <row r="606" spans="1:23" ht="15" customHeight="1">
      <c r="A606" s="46">
        <v>2024</v>
      </c>
      <c r="B606" s="46">
        <v>6</v>
      </c>
      <c r="C606" s="46">
        <v>26</v>
      </c>
      <c r="D606" s="65">
        <f>DATE(SIP[[#This Row],[Year]],SIP[[#This Row],[Month]],SIP[[#This Row],[Day]])</f>
        <v>45469</v>
      </c>
      <c r="E606" s="66" t="str" cm="1">
        <f t="array" ref="E606">INDEX(INVESTORS_LIST[INVESTOR NAME],MATCH(SIP[[#This Row],[Investor ID]],INVESTORS_LIST[INVESTOR CODE],0),)</f>
        <v>MAHFUZUL ISLAM</v>
      </c>
      <c r="F606" s="46" t="s">
        <v>473</v>
      </c>
      <c r="G606" s="46">
        <f>COUNTIF(SIP[[#Headers],[Investor ID]]:SIP[[#This Row],[Investor ID]],SIP[[#This Row],[Investor ID]])</f>
        <v>5</v>
      </c>
      <c r="H606" s="46" t="str">
        <f>CONCATENATE(SIP[[#This Row],[Frequency]],SIP[[#This Row],[Investor ID]])</f>
        <v>5A00212</v>
      </c>
      <c r="I606" s="46" t="str">
        <f>IF(SIP[[#This Row],[B/S]]="B","BUY",(IF(SIP[[#This Row],[B/S]]="S","SELL"," ")))</f>
        <v>BUY</v>
      </c>
      <c r="J606" s="46" t="s">
        <v>1229</v>
      </c>
      <c r="K606" s="69">
        <v>1000</v>
      </c>
      <c r="L606" s="122" t="s">
        <v>1230</v>
      </c>
      <c r="M606" s="123">
        <f>SIP[[#This Row],[Amount]]/SIP[[#This Row],[Unit]]</f>
        <v>11.111111111111111</v>
      </c>
      <c r="N606" s="71">
        <f>SIP[[#This Row],[Unit Capital]]/10</f>
        <v>90</v>
      </c>
      <c r="O606" s="71">
        <f>SUMIFS(SIP[[#Headers],[Unit]]:SIP[[#This Row],[Unit]],SIP[[#Headers],[Investor ID]]:SIP[[#This Row],[Investor ID]],SIP[[#This Row],[Investor ID]])</f>
        <v>455</v>
      </c>
      <c r="P606" s="73">
        <v>900</v>
      </c>
      <c r="Q606" s="74">
        <f>SIP[[#This Row],[Amount]]-SIP[[#This Row],[Unit Capital]]</f>
        <v>100</v>
      </c>
      <c r="R6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10.989010989010989</v>
      </c>
      <c r="S606" s="68">
        <f t="shared" si="25"/>
        <v>14.224</v>
      </c>
      <c r="T6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6" s="74" cm="1">
        <f t="array" ref="U606">IF(SIP[[#This Row],[B/S]]="S",ABS(SIP[[#This Row],[Unit]])*(INDEX(SIP[NAV at Cost (Average)],MATCH(CONCATENATE((SIP[[#This Row],[Frequency]]-1),SIP[[#This Row],[Investor ID]]),SIP[Unique Code],0),0)),0)</f>
        <v>0</v>
      </c>
      <c r="V606" s="74">
        <f>IF(SIP[[#This Row],[BO TRANSFER]]="YES",SIP[[#This Row],[Unit]],)</f>
        <v>90</v>
      </c>
      <c r="W606" s="74">
        <f>SUMIFS(SIP[[#Headers],[BO UNIT TRANSFER]]:SIP[[#This Row],[BO UNIT TRANSFER]],SIP[[#Headers],[Investor ID]]:SIP[[#This Row],[Investor ID]],SIP[[#This Row],[Investor ID]])</f>
        <v>455</v>
      </c>
    </row>
    <row r="607" spans="1:23" ht="15" customHeight="1">
      <c r="A607" s="46">
        <v>2024</v>
      </c>
      <c r="B607" s="46">
        <v>6</v>
      </c>
      <c r="C607" s="46">
        <v>9</v>
      </c>
      <c r="D607" s="65">
        <f>DATE(SIP[[#This Row],[Year]],SIP[[#This Row],[Month]],SIP[[#This Row],[Day]])</f>
        <v>45452</v>
      </c>
      <c r="E607" s="66" t="str" cm="1">
        <f t="array" ref="E607">INDEX(INVESTORS_LIST[INVESTOR NAME],MATCH(SIP[[#This Row],[Investor ID]],INVESTORS_LIST[INVESTOR CODE],0),)</f>
        <v>SRIJON GHOSH</v>
      </c>
      <c r="F607" s="46" t="s">
        <v>894</v>
      </c>
      <c r="G607" s="46">
        <f>COUNTIF(SIP[[#Headers],[Investor ID]]:SIP[[#This Row],[Investor ID]],SIP[[#This Row],[Investor ID]])</f>
        <v>34</v>
      </c>
      <c r="H607" s="46" t="str">
        <f>CONCATENATE(SIP[[#This Row],[Frequency]],SIP[[#This Row],[Investor ID]])</f>
        <v>34A00424</v>
      </c>
      <c r="I607" s="46" t="str">
        <f>IF(SIP[[#This Row],[B/S]]="B","BUY",(IF(SIP[[#This Row],[B/S]]="S","SELL"," ")))</f>
        <v>SELL</v>
      </c>
      <c r="J607" s="46" t="s">
        <v>1231</v>
      </c>
      <c r="K607" s="69">
        <v>-168684.95500000002</v>
      </c>
      <c r="L607" s="122"/>
      <c r="M607" s="123">
        <f>SIP[[#This Row],[Amount]]/SIP[[#This Row],[Unit]]</f>
        <v>11.105000329163925</v>
      </c>
      <c r="N607" s="71">
        <f>SIP[[#This Row],[Unit Capital]]/10</f>
        <v>-15190</v>
      </c>
      <c r="O607" s="71">
        <f>SUMIFS(SIP[[#Headers],[Unit]]:SIP[[#This Row],[Unit]],SIP[[#Headers],[Investor ID]]:SIP[[#This Row],[Investor ID]],SIP[[#This Row],[Investor ID]])</f>
        <v>1793</v>
      </c>
      <c r="P607" s="73">
        <v>-151900</v>
      </c>
      <c r="Q607" s="74">
        <f>SIP[[#This Row],[Amount]]-SIP[[#This Row],[Unit Capital]]</f>
        <v>-16784.955000000016</v>
      </c>
      <c r="R6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10.752188778224518</v>
      </c>
      <c r="S607" s="68">
        <f t="shared" ref="S607:S623" si="26">NAV_MKT</f>
        <v>14.224</v>
      </c>
      <c r="T607" s="74">
        <f>IF(SIP[[#This Row],[B/S]]="B",0,ABS(SIP[[#This Row],[Unit]])*(SIP[[#This Row],[NAV (Strike Rate)]]-INDEX(SIP[NAV at Cost (Average)],MATCH(CONCATENATE(SIP[[#This Row],[Frequency]]-1,SIP[[#This Row],[Investor ID]]),SIP[Unique Code],0),)))</f>
        <v>5359.2074587695915</v>
      </c>
      <c r="U607" s="74" cm="1">
        <f t="array" ref="U607">IF(SIP[[#This Row],[B/S]]="S",ABS(SIP[[#This Row],[Unit]])*(INDEX(SIP[NAV at Cost (Average)],MATCH(CONCATENATE((SIP[[#This Row],[Frequency]]-1),SIP[[#This Row],[Investor ID]]),SIP[Unique Code],0),0)),0)</f>
        <v>163325.74754123043</v>
      </c>
      <c r="V607" s="74">
        <f>IF(SIP[[#This Row],[BO TRANSFER]]="YES",SIP[[#This Row],[Unit]],)</f>
        <v>0</v>
      </c>
      <c r="W607" s="74">
        <f>SUMIFS(SIP[[#Headers],[BO UNIT TRANSFER]]:SIP[[#This Row],[BO UNIT TRANSFER]],SIP[[#Headers],[Investor ID]]:SIP[[#This Row],[Investor ID]],SIP[[#This Row],[Investor ID]])</f>
        <v>0</v>
      </c>
    </row>
    <row r="608" spans="1:23" ht="15" customHeight="1">
      <c r="A608" s="46">
        <v>2024</v>
      </c>
      <c r="B608" s="46">
        <v>7</v>
      </c>
      <c r="C608" s="46">
        <v>2</v>
      </c>
      <c r="D608" s="65">
        <f>DATE(SIP[[#This Row],[Year]],SIP[[#This Row],[Month]],SIP[[#This Row],[Day]])</f>
        <v>45475</v>
      </c>
      <c r="E608" s="66" t="str" cm="1">
        <f t="array" ref="E608">INDEX(INVESTORS_LIST[INVESTOR NAME],MATCH(SIP[[#This Row],[Investor ID]],INVESTORS_LIST[INVESTOR CODE],0),)</f>
        <v>KHALED HOSSAIN</v>
      </c>
      <c r="F608" s="149" t="s">
        <v>1050</v>
      </c>
      <c r="G608" s="46">
        <f>COUNTIF(SIP[[#Headers],[Investor ID]]:SIP[[#This Row],[Investor ID]],SIP[[#This Row],[Investor ID]])</f>
        <v>22</v>
      </c>
      <c r="H608" s="46" t="str">
        <f>CONCATENATE(SIP[[#This Row],[Frequency]],SIP[[#This Row],[Investor ID]])</f>
        <v>22A00502</v>
      </c>
      <c r="I608" s="46" t="str">
        <f>IF(SIP[[#This Row],[B/S]]="B","BUY",(IF(SIP[[#This Row],[B/S]]="S","SELL"," ")))</f>
        <v>SELL</v>
      </c>
      <c r="J608" s="46" t="s">
        <v>1231</v>
      </c>
      <c r="K608" s="69">
        <v>-289190.76</v>
      </c>
      <c r="L608" s="122"/>
      <c r="M608" s="123">
        <f>SIP[[#This Row],[Amount]]/SIP[[#This Row],[Unit]]</f>
        <v>11.173000038635399</v>
      </c>
      <c r="N608" s="71">
        <f>SIP[[#This Row],[Unit Capital]]/10</f>
        <v>-25883</v>
      </c>
      <c r="O608" s="71">
        <f>SUMIFS(SIP[[#Headers],[Unit]]:SIP[[#This Row],[Unit]],SIP[[#Headers],[Investor ID]]:SIP[[#This Row],[Investor ID]],SIP[[#This Row],[Investor ID]])</f>
        <v>0</v>
      </c>
      <c r="P608" s="73">
        <v>-258830</v>
      </c>
      <c r="Q608" s="74">
        <f>SIP[[#This Row],[Amount]]-SIP[[#This Row],[Unit Capital]]</f>
        <v>-30360.760000000009</v>
      </c>
      <c r="R6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608" s="68">
        <f t="shared" si="26"/>
        <v>14.224</v>
      </c>
      <c r="T608" s="74">
        <f>IF(SIP[[#This Row],[B/S]]="B",0,ABS(SIP[[#This Row],[Unit]])*(SIP[[#This Row],[NAV (Strike Rate)]]-INDEX(SIP[NAV at Cost (Average)],MATCH(CONCATENATE(SIP[[#This Row],[Frequency]]-1,SIP[[#This Row],[Investor ID]]),SIP[Unique Code],0),)))</f>
        <v>8705.878282939062</v>
      </c>
      <c r="U608" s="74" cm="1">
        <f t="array" ref="U608">IF(SIP[[#This Row],[B/S]]="S",ABS(SIP[[#This Row],[Unit]])*(INDEX(SIP[NAV at Cost (Average)],MATCH(CONCATENATE((SIP[[#This Row],[Frequency]]-1),SIP[[#This Row],[Investor ID]]),SIP[Unique Code],0),0)),0)</f>
        <v>280484.88171706098</v>
      </c>
      <c r="V608" s="74">
        <f>IF(SIP[[#This Row],[BO TRANSFER]]="YES",SIP[[#This Row],[Unit]],)</f>
        <v>0</v>
      </c>
      <c r="W608" s="74">
        <f>SUMIFS(SIP[[#Headers],[BO UNIT TRANSFER]]:SIP[[#This Row],[BO UNIT TRANSFER]],SIP[[#Headers],[Investor ID]]:SIP[[#This Row],[Investor ID]],SIP[[#This Row],[Investor ID]])</f>
        <v>0</v>
      </c>
    </row>
    <row r="609" spans="1:23" ht="15" customHeight="1">
      <c r="A609" s="46">
        <v>2024</v>
      </c>
      <c r="B609" s="46">
        <v>7</v>
      </c>
      <c r="C609" s="46">
        <v>11</v>
      </c>
      <c r="D609" s="65">
        <f>DATE(SIP[[#This Row],[Year]],SIP[[#This Row],[Month]],SIP[[#This Row],[Day]])</f>
        <v>45484</v>
      </c>
      <c r="E609" s="66" t="str" cm="1">
        <f t="array" ref="E609">INDEX(INVESTORS_LIST[INVESTOR NAME],MATCH(SIP[[#This Row],[Investor ID]],INVESTORS_LIST[INVESTOR CODE],0),)</f>
        <v>TAPU GUHA</v>
      </c>
      <c r="F609" s="46" t="s">
        <v>483</v>
      </c>
      <c r="G609" s="46">
        <f>COUNTIF(SIP[[#Headers],[Investor ID]]:SIP[[#This Row],[Investor ID]],SIP[[#This Row],[Investor ID]])</f>
        <v>12</v>
      </c>
      <c r="H609" s="46" t="str">
        <f>CONCATENATE(SIP[[#This Row],[Frequency]],SIP[[#This Row],[Investor ID]])</f>
        <v>12A00217</v>
      </c>
      <c r="I609" s="46" t="str">
        <f>IF(SIP[[#This Row],[B/S]]="B","BUY",(IF(SIP[[#This Row],[B/S]]="S","SELL"," ")))</f>
        <v>SELL</v>
      </c>
      <c r="J609" s="150" t="s">
        <v>1231</v>
      </c>
      <c r="K609" s="69">
        <v>-57226.89</v>
      </c>
      <c r="L609" s="122"/>
      <c r="M609" s="123">
        <f>SIP[[#This Row],[Amount]]/SIP[[#This Row],[Unit]]</f>
        <v>11.199</v>
      </c>
      <c r="N609" s="71">
        <f>SIP[[#This Row],[Unit Capital]]/10</f>
        <v>-5110</v>
      </c>
      <c r="O609" s="71">
        <f>SUMIFS(SIP[[#Headers],[Unit]]:SIP[[#This Row],[Unit]],SIP[[#Headers],[Investor ID]]:SIP[[#This Row],[Investor ID]],SIP[[#This Row],[Investor ID]])</f>
        <v>0</v>
      </c>
      <c r="P609" s="73">
        <v>-51100</v>
      </c>
      <c r="Q609" s="74">
        <f>SIP[[#This Row],[Amount]]-SIP[[#This Row],[Unit Capital]]</f>
        <v>-6126.8899999999994</v>
      </c>
      <c r="R6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609" s="68">
        <f t="shared" si="26"/>
        <v>14.224</v>
      </c>
      <c r="T609" s="74">
        <f>IF(SIP[[#This Row],[B/S]]="B",0,ABS(SIP[[#This Row],[Unit]])*(SIP[[#This Row],[NAV (Strike Rate)]]-INDEX(SIP[NAV at Cost (Average)],MATCH(CONCATENATE(SIP[[#This Row],[Frequency]]-1,SIP[[#This Row],[Investor ID]]),SIP[Unique Code],0),)))</f>
        <v>2226.8900000000012</v>
      </c>
      <c r="U609" s="74" cm="1">
        <f t="array" ref="U609">IF(SIP[[#This Row],[B/S]]="S",ABS(SIP[[#This Row],[Unit]])*(INDEX(SIP[NAV at Cost (Average)],MATCH(CONCATENATE((SIP[[#This Row],[Frequency]]-1),SIP[[#This Row],[Investor ID]]),SIP[Unique Code],0),0)),0)</f>
        <v>55000</v>
      </c>
      <c r="V609" s="74">
        <f>IF(SIP[[#This Row],[BO TRANSFER]]="YES",SIP[[#This Row],[Unit]],)</f>
        <v>0</v>
      </c>
      <c r="W609" s="74">
        <f>SUMIFS(SIP[[#Headers],[BO UNIT TRANSFER]]:SIP[[#This Row],[BO UNIT TRANSFER]],SIP[[#Headers],[Investor ID]]:SIP[[#This Row],[Investor ID]],SIP[[#This Row],[Investor ID]])</f>
        <v>0</v>
      </c>
    </row>
    <row r="610" spans="1:23" ht="15" customHeight="1">
      <c r="A610" s="46">
        <v>2024</v>
      </c>
      <c r="B610" s="46">
        <v>7</v>
      </c>
      <c r="C610" s="46">
        <v>5</v>
      </c>
      <c r="D610" s="65">
        <f>DATE(SIP[[#This Row],[Year]],SIP[[#This Row],[Month]],SIP[[#This Row],[Day]])</f>
        <v>45478</v>
      </c>
      <c r="E610" s="66" t="str" cm="1">
        <f t="array" ref="E610">INDEX(INVESTORS_LIST[INVESTOR NAME],MATCH(SIP[[#This Row],[Investor ID]],INVESTORS_LIST[INVESTOR CODE],0),)</f>
        <v>FAIYEAD AHMEDUL HYE</v>
      </c>
      <c r="F610" s="46" t="s">
        <v>368</v>
      </c>
      <c r="G610" s="46">
        <f>COUNTIF(SIP[[#Headers],[Investor ID]]:SIP[[#This Row],[Investor ID]],SIP[[#This Row],[Investor ID]])</f>
        <v>14</v>
      </c>
      <c r="H610" s="46" t="str">
        <f>CONCATENATE(SIP[[#This Row],[Frequency]],SIP[[#This Row],[Investor ID]])</f>
        <v>14A00160</v>
      </c>
      <c r="I610" s="46" t="str">
        <f>IF(SIP[[#This Row],[B/S]]="B","BUY",(IF(SIP[[#This Row],[B/S]]="S","SELL"," ")))</f>
        <v>BUY</v>
      </c>
      <c r="J610" s="46" t="s">
        <v>1229</v>
      </c>
      <c r="K610" s="69">
        <v>15000</v>
      </c>
      <c r="L610" s="122"/>
      <c r="M610" s="123">
        <f>SIP[[#This Row],[Amount]]/SIP[[#This Row],[Unit]]</f>
        <v>11.202389843166543</v>
      </c>
      <c r="N610" s="71">
        <f>SIP[[#This Row],[Unit Capital]]/10</f>
        <v>1339</v>
      </c>
      <c r="O610" s="71">
        <f>SUMIFS(SIP[[#Headers],[Unit]]:SIP[[#This Row],[Unit]],SIP[[#Headers],[Investor ID]]:SIP[[#This Row],[Investor ID]],SIP[[#This Row],[Investor ID]])</f>
        <v>19681</v>
      </c>
      <c r="P610" s="73">
        <v>13390</v>
      </c>
      <c r="Q610" s="74">
        <f>SIP[[#This Row],[Amount]]-SIP[[#This Row],[Unit Capital]]</f>
        <v>1610</v>
      </c>
      <c r="R6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10.670189522890096</v>
      </c>
      <c r="S610" s="68">
        <f t="shared" si="26"/>
        <v>14.224</v>
      </c>
      <c r="T6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0" s="74" cm="1">
        <f t="array" ref="U610">IF(SIP[[#This Row],[B/S]]="S",ABS(SIP[[#This Row],[Unit]])*(INDEX(SIP[NAV at Cost (Average)],MATCH(CONCATENATE((SIP[[#This Row],[Frequency]]-1),SIP[[#This Row],[Investor ID]]),SIP[Unique Code],0),0)),0)</f>
        <v>0</v>
      </c>
      <c r="V610" s="74">
        <f>IF(SIP[[#This Row],[BO TRANSFER]]="YES",SIP[[#This Row],[Unit]],)</f>
        <v>0</v>
      </c>
      <c r="W610" s="74">
        <f>SUMIFS(SIP[[#Headers],[BO UNIT TRANSFER]]:SIP[[#This Row],[BO UNIT TRANSFER]],SIP[[#Headers],[Investor ID]]:SIP[[#This Row],[Investor ID]],SIP[[#This Row],[Investor ID]])</f>
        <v>0</v>
      </c>
    </row>
    <row r="611" spans="1:23" ht="15" customHeight="1">
      <c r="A611" s="46">
        <v>2024</v>
      </c>
      <c r="B611" s="46">
        <v>7</v>
      </c>
      <c r="C611" s="46">
        <v>5</v>
      </c>
      <c r="D611" s="65">
        <f>DATE(SIP[[#This Row],[Year]],SIP[[#This Row],[Month]],SIP[[#This Row],[Day]])</f>
        <v>45478</v>
      </c>
      <c r="E611" s="66" t="str" cm="1">
        <f t="array" ref="E611">INDEX(INVESTORS_LIST[INVESTOR NAME],MATCH(SIP[[#This Row],[Investor ID]],INVESTORS_LIST[INVESTOR CODE],0),)</f>
        <v>CHAONIKA SAHA</v>
      </c>
      <c r="F611" s="46" t="s">
        <v>238</v>
      </c>
      <c r="G611" s="46">
        <f>COUNTIF(SIP[[#Headers],[Investor ID]]:SIP[[#This Row],[Investor ID]],SIP[[#This Row],[Investor ID]])</f>
        <v>11</v>
      </c>
      <c r="H611" s="46" t="str">
        <f>CONCATENATE(SIP[[#This Row],[Frequency]],SIP[[#This Row],[Investor ID]])</f>
        <v>11A00095</v>
      </c>
      <c r="I611" s="46" t="str">
        <f>IF(SIP[[#This Row],[B/S]]="B","BUY",(IF(SIP[[#This Row],[B/S]]="S","SELL"," ")))</f>
        <v>BUY</v>
      </c>
      <c r="J611" s="46" t="s">
        <v>1229</v>
      </c>
      <c r="K611" s="69">
        <v>1000</v>
      </c>
      <c r="L611" s="122"/>
      <c r="M611" s="123">
        <f>SIP[[#This Row],[Amount]]/SIP[[#This Row],[Unit]]</f>
        <v>11.235955056179776</v>
      </c>
      <c r="N611" s="71">
        <f>SIP[[#This Row],[Unit Capital]]/10</f>
        <v>89</v>
      </c>
      <c r="O611" s="71">
        <f>SUMIFS(SIP[[#Headers],[Unit]]:SIP[[#This Row],[Unit]],SIP[[#Headers],[Investor ID]]:SIP[[#This Row],[Investor ID]],SIP[[#This Row],[Investor ID]])</f>
        <v>1020</v>
      </c>
      <c r="P611" s="73">
        <v>890</v>
      </c>
      <c r="Q611" s="74">
        <f>SIP[[#This Row],[Amount]]-SIP[[#This Row],[Unit Capital]]</f>
        <v>110</v>
      </c>
      <c r="R6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10.784313725490195</v>
      </c>
      <c r="S611" s="68">
        <f t="shared" si="26"/>
        <v>14.224</v>
      </c>
      <c r="T6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1" s="74" cm="1">
        <f t="array" ref="U611">IF(SIP[[#This Row],[B/S]]="S",ABS(SIP[[#This Row],[Unit]])*(INDEX(SIP[NAV at Cost (Average)],MATCH(CONCATENATE((SIP[[#This Row],[Frequency]]-1),SIP[[#This Row],[Investor ID]]),SIP[Unique Code],0),0)),0)</f>
        <v>0</v>
      </c>
      <c r="V611" s="74">
        <f>IF(SIP[[#This Row],[BO TRANSFER]]="YES",SIP[[#This Row],[Unit]],)</f>
        <v>0</v>
      </c>
      <c r="W611" s="74">
        <f>SUMIFS(SIP[[#Headers],[BO UNIT TRANSFER]]:SIP[[#This Row],[BO UNIT TRANSFER]],SIP[[#Headers],[Investor ID]]:SIP[[#This Row],[Investor ID]],SIP[[#This Row],[Investor ID]])</f>
        <v>0</v>
      </c>
    </row>
    <row r="612" spans="1:23" ht="15" customHeight="1">
      <c r="A612" s="46">
        <v>2024</v>
      </c>
      <c r="B612" s="46">
        <v>7</v>
      </c>
      <c r="C612" s="46">
        <v>5</v>
      </c>
      <c r="D612" s="65">
        <f>DATE(SIP[[#This Row],[Year]],SIP[[#This Row],[Month]],SIP[[#This Row],[Day]])</f>
        <v>45478</v>
      </c>
      <c r="E612" s="66" t="str" cm="1">
        <f t="array" ref="E612">INDEX(INVESTORS_LIST[INVESTOR NAME],MATCH(SIP[[#This Row],[Investor ID]],INVESTORS_LIST[INVESTOR CODE],0),)</f>
        <v>SK FEROZ ALAM</v>
      </c>
      <c r="F612" s="46" t="s">
        <v>240</v>
      </c>
      <c r="G612" s="46">
        <f>COUNTIF(SIP[[#Headers],[Investor ID]]:SIP[[#This Row],[Investor ID]],SIP[[#This Row],[Investor ID]])</f>
        <v>10</v>
      </c>
      <c r="H612" s="46" t="str">
        <f>CONCATENATE(SIP[[#This Row],[Frequency]],SIP[[#This Row],[Investor ID]])</f>
        <v>10A00096</v>
      </c>
      <c r="I612" s="46" t="str">
        <f>IF(SIP[[#This Row],[B/S]]="B","BUY",(IF(SIP[[#This Row],[B/S]]="S","SELL"," ")))</f>
        <v>BUY</v>
      </c>
      <c r="J612" s="46" t="s">
        <v>1229</v>
      </c>
      <c r="K612" s="69">
        <v>2000</v>
      </c>
      <c r="L612" s="122"/>
      <c r="M612" s="123">
        <f>SIP[[#This Row],[Amount]]/SIP[[#This Row],[Unit]]</f>
        <v>11.173184357541899</v>
      </c>
      <c r="N612" s="71">
        <f>SIP[[#This Row],[Unit Capital]]/10</f>
        <v>179</v>
      </c>
      <c r="O612" s="71">
        <f>SUMIFS(SIP[[#Headers],[Unit]]:SIP[[#This Row],[Unit]],SIP[[#Headers],[Investor ID]]:SIP[[#This Row],[Investor ID]],SIP[[#This Row],[Investor ID]])</f>
        <v>359</v>
      </c>
      <c r="P612" s="73">
        <v>1790</v>
      </c>
      <c r="Q612" s="74">
        <f>SIP[[#This Row],[Amount]]-SIP[[#This Row],[Unit Capital]]</f>
        <v>210</v>
      </c>
      <c r="R6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11.142061281337046</v>
      </c>
      <c r="S612" s="68">
        <f t="shared" si="26"/>
        <v>14.224</v>
      </c>
      <c r="T6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2" s="74" cm="1">
        <f t="array" ref="U612">IF(SIP[[#This Row],[B/S]]="S",ABS(SIP[[#This Row],[Unit]])*(INDEX(SIP[NAV at Cost (Average)],MATCH(CONCATENATE((SIP[[#This Row],[Frequency]]-1),SIP[[#This Row],[Investor ID]]),SIP[Unique Code],0),0)),0)</f>
        <v>0</v>
      </c>
      <c r="V612" s="74">
        <f>IF(SIP[[#This Row],[BO TRANSFER]]="YES",SIP[[#This Row],[Unit]],)</f>
        <v>0</v>
      </c>
      <c r="W612" s="74">
        <f>SUMIFS(SIP[[#Headers],[BO UNIT TRANSFER]]:SIP[[#This Row],[BO UNIT TRANSFER]],SIP[[#Headers],[Investor ID]]:SIP[[#This Row],[Investor ID]],SIP[[#This Row],[Investor ID]])</f>
        <v>0</v>
      </c>
    </row>
    <row r="613" spans="1:23" ht="15" customHeight="1">
      <c r="A613" s="46">
        <v>2024</v>
      </c>
      <c r="B613" s="46">
        <v>7</v>
      </c>
      <c r="C613" s="46">
        <v>5</v>
      </c>
      <c r="D613" s="65">
        <f>DATE(SIP[[#This Row],[Year]],SIP[[#This Row],[Month]],SIP[[#This Row],[Day]])</f>
        <v>45478</v>
      </c>
      <c r="E613" s="66" t="str" cm="1">
        <f t="array" ref="E613">INDEX(INVESTORS_LIST[INVESTOR NAME],MATCH(SIP[[#This Row],[Investor ID]],INVESTORS_LIST[INVESTOR CODE],0),)</f>
        <v>KAZI AHSAN MARUF</v>
      </c>
      <c r="F613" s="46" t="s">
        <v>158</v>
      </c>
      <c r="G613" s="46">
        <f>COUNTIF(SIP[[#Headers],[Investor ID]]:SIP[[#This Row],[Investor ID]],SIP[[#This Row],[Investor ID]])</f>
        <v>15</v>
      </c>
      <c r="H613" s="46" t="str">
        <f>CONCATENATE(SIP[[#This Row],[Frequency]],SIP[[#This Row],[Investor ID]])</f>
        <v>15A00055</v>
      </c>
      <c r="I613" s="46" t="str">
        <f>IF(SIP[[#This Row],[B/S]]="B","BUY",(IF(SIP[[#This Row],[B/S]]="S","SELL"," ")))</f>
        <v>BUY</v>
      </c>
      <c r="J613" s="46" t="s">
        <v>1229</v>
      </c>
      <c r="K613" s="69">
        <v>10000</v>
      </c>
      <c r="L613" s="122"/>
      <c r="M613" s="123">
        <f>SIP[[#This Row],[Amount]]/SIP[[#This Row],[Unit]]</f>
        <v>11.198208286674133</v>
      </c>
      <c r="N613" s="71">
        <f>SIP[[#This Row],[Unit Capital]]/10</f>
        <v>893</v>
      </c>
      <c r="O613" s="71">
        <f>SUMIFS(SIP[[#Headers],[Unit]]:SIP[[#This Row],[Unit]],SIP[[#Headers],[Investor ID]]:SIP[[#This Row],[Investor ID]],SIP[[#This Row],[Investor ID]])</f>
        <v>33561</v>
      </c>
      <c r="P613" s="73">
        <v>8930</v>
      </c>
      <c r="Q613" s="74">
        <f>SIP[[#This Row],[Amount]]-SIP[[#This Row],[Unit Capital]]</f>
        <v>1070</v>
      </c>
      <c r="R6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10.428771490718391</v>
      </c>
      <c r="S613" s="68">
        <f t="shared" si="26"/>
        <v>14.224</v>
      </c>
      <c r="T6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3" s="74" cm="1">
        <f t="array" ref="U613">IF(SIP[[#This Row],[B/S]]="S",ABS(SIP[[#This Row],[Unit]])*(INDEX(SIP[NAV at Cost (Average)],MATCH(CONCATENATE((SIP[[#This Row],[Frequency]]-1),SIP[[#This Row],[Investor ID]]),SIP[Unique Code],0),0)),0)</f>
        <v>0</v>
      </c>
      <c r="V613" s="74">
        <f>IF(SIP[[#This Row],[BO TRANSFER]]="YES",SIP[[#This Row],[Unit]],)</f>
        <v>0</v>
      </c>
      <c r="W613" s="74">
        <f>SUMIFS(SIP[[#Headers],[BO UNIT TRANSFER]]:SIP[[#This Row],[BO UNIT TRANSFER]],SIP[[#Headers],[Investor ID]]:SIP[[#This Row],[Investor ID]],SIP[[#This Row],[Investor ID]])</f>
        <v>0</v>
      </c>
    </row>
    <row r="614" spans="1:23" ht="15" customHeight="1">
      <c r="A614" s="46">
        <v>2024</v>
      </c>
      <c r="B614" s="46">
        <v>7</v>
      </c>
      <c r="C614" s="46">
        <v>5</v>
      </c>
      <c r="D614" s="65">
        <f>DATE(SIP[[#This Row],[Year]],SIP[[#This Row],[Month]],SIP[[#This Row],[Day]])</f>
        <v>45478</v>
      </c>
      <c r="E614" s="66" t="str" cm="1">
        <f t="array" ref="E614">INDEX(INVESTORS_LIST[INVESTOR NAME],MATCH(SIP[[#This Row],[Investor ID]],INVESTORS_LIST[INVESTOR CODE],0),)</f>
        <v>NANDINI SAHA</v>
      </c>
      <c r="F614" s="46" t="s">
        <v>242</v>
      </c>
      <c r="G614" s="46">
        <f>COUNTIF(SIP[[#Headers],[Investor ID]]:SIP[[#This Row],[Investor ID]],SIP[[#This Row],[Investor ID]])</f>
        <v>14</v>
      </c>
      <c r="H614" s="46" t="str">
        <f>CONCATENATE(SIP[[#This Row],[Frequency]],SIP[[#This Row],[Investor ID]])</f>
        <v>14A00097</v>
      </c>
      <c r="I614" s="46" t="str">
        <f>IF(SIP[[#This Row],[B/S]]="B","BUY",(IF(SIP[[#This Row],[B/S]]="S","SELL"," ")))</f>
        <v>BUY</v>
      </c>
      <c r="J614" s="46" t="s">
        <v>1229</v>
      </c>
      <c r="K614" s="69">
        <v>30000</v>
      </c>
      <c r="L614" s="122"/>
      <c r="M614" s="123">
        <f>SIP[[#This Row],[Amount]]/SIP[[#This Row],[Unit]]</f>
        <v>11.198208286674133</v>
      </c>
      <c r="N614" s="71">
        <f>SIP[[#This Row],[Unit Capital]]/10</f>
        <v>2679</v>
      </c>
      <c r="O614" s="71">
        <f>SUMIFS(SIP[[#Headers],[Unit]]:SIP[[#This Row],[Unit]],SIP[[#Headers],[Investor ID]]:SIP[[#This Row],[Investor ID]],SIP[[#This Row],[Investor ID]])</f>
        <v>39523</v>
      </c>
      <c r="P614" s="73">
        <v>26790</v>
      </c>
      <c r="Q614" s="74">
        <f>SIP[[#This Row],[Amount]]-SIP[[#This Row],[Unit Capital]]</f>
        <v>3210</v>
      </c>
      <c r="R6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10.6267236798826</v>
      </c>
      <c r="S614" s="68">
        <f t="shared" si="26"/>
        <v>14.224</v>
      </c>
      <c r="T6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4" s="74" cm="1">
        <f t="array" ref="U614">IF(SIP[[#This Row],[B/S]]="S",ABS(SIP[[#This Row],[Unit]])*(INDEX(SIP[NAV at Cost (Average)],MATCH(CONCATENATE((SIP[[#This Row],[Frequency]]-1),SIP[[#This Row],[Investor ID]]),SIP[Unique Code],0),0)),0)</f>
        <v>0</v>
      </c>
      <c r="V614" s="74">
        <f>IF(SIP[[#This Row],[BO TRANSFER]]="YES",SIP[[#This Row],[Unit]],)</f>
        <v>0</v>
      </c>
      <c r="W614" s="74">
        <f>SUMIFS(SIP[[#Headers],[BO UNIT TRANSFER]]:SIP[[#This Row],[BO UNIT TRANSFER]],SIP[[#Headers],[Investor ID]]:SIP[[#This Row],[Investor ID]],SIP[[#This Row],[Investor ID]])</f>
        <v>0</v>
      </c>
    </row>
    <row r="615" spans="1:23" ht="15" customHeight="1">
      <c r="A615" s="46">
        <v>2024</v>
      </c>
      <c r="B615" s="46">
        <v>7</v>
      </c>
      <c r="C615" s="46">
        <v>5</v>
      </c>
      <c r="D615" s="65">
        <f>DATE(SIP[[#This Row],[Year]],SIP[[#This Row],[Month]],SIP[[#This Row],[Day]])</f>
        <v>45478</v>
      </c>
      <c r="E615" s="66" t="str" cm="1">
        <f t="array" ref="E615">INDEX(INVESTORS_LIST[INVESTOR NAME],MATCH(SIP[[#This Row],[Investor ID]],INVESTORS_LIST[INVESTOR CODE],0),)</f>
        <v>SHANTA PAUL</v>
      </c>
      <c r="F615" s="46" t="s">
        <v>544</v>
      </c>
      <c r="G615" s="46">
        <f>COUNTIF(SIP[[#Headers],[Investor ID]]:SIP[[#This Row],[Investor ID]],SIP[[#This Row],[Investor ID]])</f>
        <v>16</v>
      </c>
      <c r="H615" s="46" t="str">
        <f>CONCATENATE(SIP[[#This Row],[Frequency]],SIP[[#This Row],[Investor ID]])</f>
        <v>16A00247</v>
      </c>
      <c r="I615" s="46" t="str">
        <f>IF(SIP[[#This Row],[B/S]]="B","BUY",(IF(SIP[[#This Row],[B/S]]="S","SELL"," ")))</f>
        <v>BUY</v>
      </c>
      <c r="J615" s="46" t="s">
        <v>1229</v>
      </c>
      <c r="K615" s="69">
        <v>20000</v>
      </c>
      <c r="L615" s="122"/>
      <c r="M615" s="123">
        <f>SIP[[#This Row],[Amount]]/SIP[[#This Row],[Unit]]</f>
        <v>11.198208286674133</v>
      </c>
      <c r="N615" s="71">
        <f>SIP[[#This Row],[Unit Capital]]/10</f>
        <v>1786</v>
      </c>
      <c r="O615" s="71">
        <f>SUMIFS(SIP[[#Headers],[Unit]]:SIP[[#This Row],[Unit]],SIP[[#Headers],[Investor ID]]:SIP[[#This Row],[Investor ID]],SIP[[#This Row],[Investor ID]])</f>
        <v>30200</v>
      </c>
      <c r="P615" s="73">
        <v>17860</v>
      </c>
      <c r="Q615" s="74">
        <f>SIP[[#This Row],[Amount]]-SIP[[#This Row],[Unit Capital]]</f>
        <v>2140</v>
      </c>
      <c r="R6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10.596026490066226</v>
      </c>
      <c r="S615" s="68">
        <f t="shared" si="26"/>
        <v>14.224</v>
      </c>
      <c r="T6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5" s="74" cm="1">
        <f t="array" ref="U615">IF(SIP[[#This Row],[B/S]]="S",ABS(SIP[[#This Row],[Unit]])*(INDEX(SIP[NAV at Cost (Average)],MATCH(CONCATENATE((SIP[[#This Row],[Frequency]]-1),SIP[[#This Row],[Investor ID]]),SIP[Unique Code],0),0)),0)</f>
        <v>0</v>
      </c>
      <c r="V615" s="74">
        <f>IF(SIP[[#This Row],[BO TRANSFER]]="YES",SIP[[#This Row],[Unit]],)</f>
        <v>0</v>
      </c>
      <c r="W615" s="74">
        <f>SUMIFS(SIP[[#Headers],[BO UNIT TRANSFER]]:SIP[[#This Row],[BO UNIT TRANSFER]],SIP[[#Headers],[Investor ID]]:SIP[[#This Row],[Investor ID]],SIP[[#This Row],[Investor ID]])</f>
        <v>0</v>
      </c>
    </row>
    <row r="616" spans="1:23" ht="15" customHeight="1">
      <c r="A616" s="46">
        <v>2024</v>
      </c>
      <c r="B616" s="46">
        <v>7</v>
      </c>
      <c r="C616" s="46">
        <v>5</v>
      </c>
      <c r="D616" s="65">
        <f>DATE(SIP[[#This Row],[Year]],SIP[[#This Row],[Month]],SIP[[#This Row],[Day]])</f>
        <v>45478</v>
      </c>
      <c r="E616" s="66" t="str" cm="1">
        <f t="array" ref="E616">INDEX(INVESTORS_LIST[INVESTOR NAME],MATCH(SIP[[#This Row],[Investor ID]],INVESTORS_LIST[INVESTOR CODE],0),)</f>
        <v>ROKSABA KASEM</v>
      </c>
      <c r="F616" s="46" t="s">
        <v>900</v>
      </c>
      <c r="G616" s="46">
        <f>COUNTIF(SIP[[#Headers],[Investor ID]]:SIP[[#This Row],[Investor ID]],SIP[[#This Row],[Investor ID]])</f>
        <v>14</v>
      </c>
      <c r="H616" s="46" t="str">
        <f>CONCATENATE(SIP[[#This Row],[Frequency]],SIP[[#This Row],[Investor ID]])</f>
        <v>14A00427</v>
      </c>
      <c r="I616" s="46" t="str">
        <f>IF(SIP[[#This Row],[B/S]]="B","BUY",(IF(SIP[[#This Row],[B/S]]="S","SELL"," ")))</f>
        <v>BUY</v>
      </c>
      <c r="J616" s="46" t="s">
        <v>1229</v>
      </c>
      <c r="K616" s="69">
        <v>20000</v>
      </c>
      <c r="L616" s="122"/>
      <c r="M616" s="123">
        <f>SIP[[#This Row],[Amount]]/SIP[[#This Row],[Unit]]</f>
        <v>11.198208286674133</v>
      </c>
      <c r="N616" s="71">
        <f>SIP[[#This Row],[Unit Capital]]/10</f>
        <v>1786</v>
      </c>
      <c r="O616" s="71">
        <f>SUMIFS(SIP[[#Headers],[Unit]]:SIP[[#This Row],[Unit]],SIP[[#Headers],[Investor ID]]:SIP[[#This Row],[Investor ID]],SIP[[#This Row],[Investor ID]])</f>
        <v>26243</v>
      </c>
      <c r="P616" s="73">
        <v>17860</v>
      </c>
      <c r="Q616" s="74">
        <f>SIP[[#This Row],[Amount]]-SIP[[#This Row],[Unit Capital]]</f>
        <v>2140</v>
      </c>
      <c r="R6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10.669511869831956</v>
      </c>
      <c r="S616" s="68">
        <f t="shared" si="26"/>
        <v>14.224</v>
      </c>
      <c r="T6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6" s="74" cm="1">
        <f t="array" ref="U616">IF(SIP[[#This Row],[B/S]]="S",ABS(SIP[[#This Row],[Unit]])*(INDEX(SIP[NAV at Cost (Average)],MATCH(CONCATENATE((SIP[[#This Row],[Frequency]]-1),SIP[[#This Row],[Investor ID]]),SIP[Unique Code],0),0)),0)</f>
        <v>0</v>
      </c>
      <c r="V616" s="74">
        <f>IF(SIP[[#This Row],[BO TRANSFER]]="YES",SIP[[#This Row],[Unit]],)</f>
        <v>0</v>
      </c>
      <c r="W616" s="74">
        <f>SUMIFS(SIP[[#Headers],[BO UNIT TRANSFER]]:SIP[[#This Row],[BO UNIT TRANSFER]],SIP[[#Headers],[Investor ID]]:SIP[[#This Row],[Investor ID]],SIP[[#This Row],[Investor ID]])</f>
        <v>0</v>
      </c>
    </row>
    <row r="617" spans="1:23" ht="15" customHeight="1">
      <c r="A617" s="46">
        <v>2024</v>
      </c>
      <c r="B617" s="46">
        <v>7</v>
      </c>
      <c r="C617" s="46">
        <v>5</v>
      </c>
      <c r="D617" s="65">
        <f>DATE(SIP[[#This Row],[Year]],SIP[[#This Row],[Month]],SIP[[#This Row],[Day]])</f>
        <v>45478</v>
      </c>
      <c r="E617" s="66" t="str" cm="1">
        <f t="array" ref="E617">INDEX(INVESTORS_LIST[INVESTOR NAME],MATCH(SIP[[#This Row],[Investor ID]],INVESTORS_LIST[INVESTOR CODE],0),)</f>
        <v>MD. MONIRUL ISLAM</v>
      </c>
      <c r="F617" s="46" t="s">
        <v>996</v>
      </c>
      <c r="G617" s="46">
        <f>COUNTIF(SIP[[#Headers],[Investor ID]]:SIP[[#This Row],[Investor ID]],SIP[[#This Row],[Investor ID]])</f>
        <v>15</v>
      </c>
      <c r="H617" s="46" t="str">
        <f>CONCATENATE(SIP[[#This Row],[Frequency]],SIP[[#This Row],[Investor ID]])</f>
        <v>15A00475</v>
      </c>
      <c r="I617" s="46" t="str">
        <f>IF(SIP[[#This Row],[B/S]]="B","BUY",(IF(SIP[[#This Row],[B/S]]="S","SELL"," ")))</f>
        <v>BUY</v>
      </c>
      <c r="J617" s="46" t="s">
        <v>1229</v>
      </c>
      <c r="K617" s="69">
        <v>10000</v>
      </c>
      <c r="L617" s="122"/>
      <c r="M617" s="123">
        <f>SIP[[#This Row],[Amount]]/SIP[[#This Row],[Unit]]</f>
        <v>11.198208286674133</v>
      </c>
      <c r="N617" s="71">
        <f>SIP[[#This Row],[Unit Capital]]/10</f>
        <v>893</v>
      </c>
      <c r="O617" s="71">
        <f>SUMIFS(SIP[[#Headers],[Unit]]:SIP[[#This Row],[Unit]],SIP[[#Headers],[Investor ID]]:SIP[[#This Row],[Investor ID]],SIP[[#This Row],[Investor ID]])</f>
        <v>14108</v>
      </c>
      <c r="P617" s="73">
        <v>8930</v>
      </c>
      <c r="Q617" s="74">
        <f>SIP[[#This Row],[Amount]]-SIP[[#This Row],[Unit Capital]]</f>
        <v>1070</v>
      </c>
      <c r="R6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10.632265381343917</v>
      </c>
      <c r="S617" s="68">
        <f t="shared" si="26"/>
        <v>14.224</v>
      </c>
      <c r="T6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7" s="74" cm="1">
        <f t="array" ref="U617">IF(SIP[[#This Row],[B/S]]="S",ABS(SIP[[#This Row],[Unit]])*(INDEX(SIP[NAV at Cost (Average)],MATCH(CONCATENATE((SIP[[#This Row],[Frequency]]-1),SIP[[#This Row],[Investor ID]]),SIP[Unique Code],0),0)),0)</f>
        <v>0</v>
      </c>
      <c r="V617" s="74">
        <f>IF(SIP[[#This Row],[BO TRANSFER]]="YES",SIP[[#This Row],[Unit]],)</f>
        <v>0</v>
      </c>
      <c r="W617" s="74">
        <f>SUMIFS(SIP[[#Headers],[BO UNIT TRANSFER]]:SIP[[#This Row],[BO UNIT TRANSFER]],SIP[[#Headers],[Investor ID]]:SIP[[#This Row],[Investor ID]],SIP[[#This Row],[Investor ID]])</f>
        <v>0</v>
      </c>
    </row>
    <row r="618" spans="1:23" ht="15" customHeight="1">
      <c r="A618" s="46">
        <v>2024</v>
      </c>
      <c r="B618" s="46">
        <v>7</v>
      </c>
      <c r="C618" s="46">
        <v>5</v>
      </c>
      <c r="D618" s="65">
        <f>DATE(SIP[[#This Row],[Year]],SIP[[#This Row],[Month]],SIP[[#This Row],[Day]])</f>
        <v>45478</v>
      </c>
      <c r="E618" s="66" t="str" cm="1">
        <f t="array" ref="E618">INDEX(INVESTORS_LIST[INVESTOR NAME],MATCH(SIP[[#This Row],[Investor ID]],INVESTORS_LIST[INVESTOR CODE],0),)</f>
        <v>MONIR AHMED</v>
      </c>
      <c r="F618" s="46" t="s">
        <v>125</v>
      </c>
      <c r="G618" s="46">
        <f>COUNTIF(SIP[[#Headers],[Investor ID]]:SIP[[#This Row],[Investor ID]],SIP[[#This Row],[Investor ID]])</f>
        <v>14</v>
      </c>
      <c r="H618" s="46" t="str">
        <f>CONCATENATE(SIP[[#This Row],[Frequency]],SIP[[#This Row],[Investor ID]])</f>
        <v>14A00039</v>
      </c>
      <c r="I618" s="46" t="str">
        <f>IF(SIP[[#This Row],[B/S]]="B","BUY",(IF(SIP[[#This Row],[B/S]]="S","SELL"," ")))</f>
        <v>BUY</v>
      </c>
      <c r="J618" s="46" t="s">
        <v>1229</v>
      </c>
      <c r="K618" s="69">
        <v>5000</v>
      </c>
      <c r="L618" s="122"/>
      <c r="M618" s="123">
        <f>SIP[[#This Row],[Amount]]/SIP[[#This Row],[Unit]]</f>
        <v>11.210762331838565</v>
      </c>
      <c r="N618" s="71">
        <f>SIP[[#This Row],[Unit Capital]]/10</f>
        <v>446</v>
      </c>
      <c r="O618" s="71">
        <f>SUMIFS(SIP[[#Headers],[Unit]]:SIP[[#This Row],[Unit]],SIP[[#Headers],[Investor ID]]:SIP[[#This Row],[Investor ID]],SIP[[#This Row],[Investor ID]])</f>
        <v>4168</v>
      </c>
      <c r="P618" s="73">
        <v>4460</v>
      </c>
      <c r="Q618" s="74">
        <f>SIP[[#This Row],[Amount]]-SIP[[#This Row],[Unit Capital]]</f>
        <v>540</v>
      </c>
      <c r="R6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10.796545105566217</v>
      </c>
      <c r="S618" s="68">
        <f t="shared" si="26"/>
        <v>14.224</v>
      </c>
      <c r="T6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8" s="74" cm="1">
        <f t="array" ref="U618">IF(SIP[[#This Row],[B/S]]="S",ABS(SIP[[#This Row],[Unit]])*(INDEX(SIP[NAV at Cost (Average)],MATCH(CONCATENATE((SIP[[#This Row],[Frequency]]-1),SIP[[#This Row],[Investor ID]]),SIP[Unique Code],0),0)),0)</f>
        <v>0</v>
      </c>
      <c r="V618" s="74">
        <f>IF(SIP[[#This Row],[BO TRANSFER]]="YES",SIP[[#This Row],[Unit]],)</f>
        <v>0</v>
      </c>
      <c r="W618" s="74">
        <f>SUMIFS(SIP[[#Headers],[BO UNIT TRANSFER]]:SIP[[#This Row],[BO UNIT TRANSFER]],SIP[[#Headers],[Investor ID]]:SIP[[#This Row],[Investor ID]],SIP[[#This Row],[Investor ID]])</f>
        <v>0</v>
      </c>
    </row>
    <row r="619" spans="1:23" ht="15" customHeight="1">
      <c r="A619" s="46">
        <v>2024</v>
      </c>
      <c r="B619" s="46">
        <v>7</v>
      </c>
      <c r="C619" s="46">
        <v>5</v>
      </c>
      <c r="D619" s="65">
        <f>DATE(SIP[[#This Row],[Year]],SIP[[#This Row],[Month]],SIP[[#This Row],[Day]])</f>
        <v>45478</v>
      </c>
      <c r="E619" s="66" t="str" cm="1">
        <f t="array" ref="E619">INDEX(INVESTORS_LIST[INVESTOR NAME],MATCH(SIP[[#This Row],[Investor ID]],INVESTORS_LIST[INVESTOR CODE],0),)</f>
        <v>FAKARUDDIN ALI AHMED</v>
      </c>
      <c r="F619" s="46" t="s">
        <v>228</v>
      </c>
      <c r="G619" s="46">
        <f>COUNTIF(SIP[[#Headers],[Investor ID]]:SIP[[#This Row],[Investor ID]],SIP[[#This Row],[Investor ID]])</f>
        <v>15</v>
      </c>
      <c r="H619" s="46" t="str">
        <f>CONCATENATE(SIP[[#This Row],[Frequency]],SIP[[#This Row],[Investor ID]])</f>
        <v>15A00090</v>
      </c>
      <c r="I619" s="46" t="str">
        <f>IF(SIP[[#This Row],[B/S]]="B","BUY",(IF(SIP[[#This Row],[B/S]]="S","SELL"," ")))</f>
        <v>BUY</v>
      </c>
      <c r="J619" s="46" t="s">
        <v>1229</v>
      </c>
      <c r="K619" s="69">
        <v>10000</v>
      </c>
      <c r="L619" s="122"/>
      <c r="M619" s="123">
        <f>SIP[[#This Row],[Amount]]/SIP[[#This Row],[Unit]]</f>
        <v>11.198208286674133</v>
      </c>
      <c r="N619" s="71">
        <f>SIP[[#This Row],[Unit Capital]]/10</f>
        <v>893</v>
      </c>
      <c r="O619" s="71">
        <f>SUMIFS(SIP[[#Headers],[Unit]]:SIP[[#This Row],[Unit]],SIP[[#Headers],[Investor ID]]:SIP[[#This Row],[Investor ID]],SIP[[#This Row],[Investor ID]])</f>
        <v>4623</v>
      </c>
      <c r="P619" s="73">
        <v>8930</v>
      </c>
      <c r="Q619" s="74">
        <f>SIP[[#This Row],[Amount]]-SIP[[#This Row],[Unit Capital]]</f>
        <v>1070</v>
      </c>
      <c r="R6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11.005187352817536</v>
      </c>
      <c r="S619" s="68">
        <f t="shared" si="26"/>
        <v>14.224</v>
      </c>
      <c r="T6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9" s="74" cm="1">
        <f t="array" ref="U619">IF(SIP[[#This Row],[B/S]]="S",ABS(SIP[[#This Row],[Unit]])*(INDEX(SIP[NAV at Cost (Average)],MATCH(CONCATENATE((SIP[[#This Row],[Frequency]]-1),SIP[[#This Row],[Investor ID]]),SIP[Unique Code],0),0)),0)</f>
        <v>0</v>
      </c>
      <c r="V619" s="74">
        <f>IF(SIP[[#This Row],[BO TRANSFER]]="YES",SIP[[#This Row],[Unit]],)</f>
        <v>0</v>
      </c>
      <c r="W619" s="74">
        <f>SUMIFS(SIP[[#Headers],[BO UNIT TRANSFER]]:SIP[[#This Row],[BO UNIT TRANSFER]],SIP[[#Headers],[Investor ID]]:SIP[[#This Row],[Investor ID]],SIP[[#This Row],[Investor ID]])</f>
        <v>0</v>
      </c>
    </row>
    <row r="620" spans="1:23" ht="15" customHeight="1">
      <c r="A620" s="46">
        <v>2024</v>
      </c>
      <c r="B620" s="46">
        <v>7</v>
      </c>
      <c r="C620" s="46">
        <v>5</v>
      </c>
      <c r="D620" s="65">
        <f>DATE(SIP[[#This Row],[Year]],SIP[[#This Row],[Month]],SIP[[#This Row],[Day]])</f>
        <v>45478</v>
      </c>
      <c r="E620" s="66" t="str" cm="1">
        <f t="array" ref="E620">INDEX(INVESTORS_LIST[INVESTOR NAME],MATCH(SIP[[#This Row],[Investor ID]],INVESTORS_LIST[INVESTOR CODE],0),)</f>
        <v>SABRIA ISLAM TALUKDER</v>
      </c>
      <c r="F620" s="46" t="s">
        <v>409</v>
      </c>
      <c r="G620" s="46">
        <f>COUNTIF(SIP[[#Headers],[Investor ID]]:SIP[[#This Row],[Investor ID]],SIP[[#This Row],[Investor ID]])</f>
        <v>11</v>
      </c>
      <c r="H620" s="46" t="str">
        <f>CONCATENATE(SIP[[#This Row],[Frequency]],SIP[[#This Row],[Investor ID]])</f>
        <v>11A00180</v>
      </c>
      <c r="I620" s="46" t="str">
        <f>IF(SIP[[#This Row],[B/S]]="B","BUY",(IF(SIP[[#This Row],[B/S]]="S","SELL"," ")))</f>
        <v>BUY</v>
      </c>
      <c r="J620" s="46" t="s">
        <v>1229</v>
      </c>
      <c r="K620" s="69">
        <v>5000</v>
      </c>
      <c r="L620" s="122"/>
      <c r="M620" s="123">
        <f>SIP[[#This Row],[Amount]]/SIP[[#This Row],[Unit]]</f>
        <v>11.210762331838565</v>
      </c>
      <c r="N620" s="71">
        <f>SIP[[#This Row],[Unit Capital]]/10</f>
        <v>446</v>
      </c>
      <c r="O620" s="71">
        <f>SUMIFS(SIP[[#Headers],[Unit]]:SIP[[#This Row],[Unit]],SIP[[#Headers],[Investor ID]]:SIP[[#This Row],[Investor ID]],SIP[[#This Row],[Investor ID]])</f>
        <v>5101</v>
      </c>
      <c r="P620" s="73">
        <v>4460</v>
      </c>
      <c r="Q620" s="74">
        <f>SIP[[#This Row],[Amount]]-SIP[[#This Row],[Unit Capital]]</f>
        <v>540</v>
      </c>
      <c r="R6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10.782199568712016</v>
      </c>
      <c r="S620" s="68">
        <f t="shared" si="26"/>
        <v>14.224</v>
      </c>
      <c r="T6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0" s="74" cm="1">
        <f t="array" ref="U620">IF(SIP[[#This Row],[B/S]]="S",ABS(SIP[[#This Row],[Unit]])*(INDEX(SIP[NAV at Cost (Average)],MATCH(CONCATENATE((SIP[[#This Row],[Frequency]]-1),SIP[[#This Row],[Investor ID]]),SIP[Unique Code],0),0)),0)</f>
        <v>0</v>
      </c>
      <c r="V620" s="74">
        <f>IF(SIP[[#This Row],[BO TRANSFER]]="YES",SIP[[#This Row],[Unit]],)</f>
        <v>0</v>
      </c>
      <c r="W620" s="74">
        <f>SUMIFS(SIP[[#Headers],[BO UNIT TRANSFER]]:SIP[[#This Row],[BO UNIT TRANSFER]],SIP[[#Headers],[Investor ID]]:SIP[[#This Row],[Investor ID]],SIP[[#This Row],[Investor ID]])</f>
        <v>0</v>
      </c>
    </row>
    <row r="621" spans="1:23" ht="15" customHeight="1">
      <c r="A621" s="46">
        <v>2024</v>
      </c>
      <c r="B621" s="46">
        <v>7</v>
      </c>
      <c r="C621" s="46">
        <v>5</v>
      </c>
      <c r="D621" s="65">
        <f>DATE(SIP[[#This Row],[Year]],SIP[[#This Row],[Month]],SIP[[#This Row],[Day]])</f>
        <v>45478</v>
      </c>
      <c r="E621" s="66" t="str" cm="1">
        <f t="array" ref="E621">INDEX(INVESTORS_LIST[INVESTOR NAME],MATCH(SIP[[#This Row],[Investor ID]],INVESTORS_LIST[INVESTOR CODE],0),)</f>
        <v>NANI GOPAL DATTA</v>
      </c>
      <c r="F621" s="46" t="s">
        <v>232</v>
      </c>
      <c r="G621" s="46">
        <f>COUNTIF(SIP[[#Headers],[Investor ID]]:SIP[[#This Row],[Investor ID]],SIP[[#This Row],[Investor ID]])</f>
        <v>8</v>
      </c>
      <c r="H621" s="46" t="str">
        <f>CONCATENATE(SIP[[#This Row],[Frequency]],SIP[[#This Row],[Investor ID]])</f>
        <v>8A00092</v>
      </c>
      <c r="I621" s="46" t="str">
        <f>IF(SIP[[#This Row],[B/S]]="B","BUY",(IF(SIP[[#This Row],[B/S]]="S","SELL"," ")))</f>
        <v>BUY</v>
      </c>
      <c r="J621" s="46" t="s">
        <v>1229</v>
      </c>
      <c r="K621" s="69">
        <v>2000</v>
      </c>
      <c r="L621" s="122"/>
      <c r="M621" s="123">
        <f>SIP[[#This Row],[Amount]]/SIP[[#This Row],[Unit]]</f>
        <v>11.173184357541899</v>
      </c>
      <c r="N621" s="71">
        <f>SIP[[#This Row],[Unit Capital]]/10</f>
        <v>179</v>
      </c>
      <c r="O621" s="71">
        <f>SUMIFS(SIP[[#Headers],[Unit]]:SIP[[#This Row],[Unit]],SIP[[#Headers],[Investor ID]]:SIP[[#This Row],[Investor ID]],SIP[[#This Row],[Investor ID]])</f>
        <v>1478</v>
      </c>
      <c r="P621" s="73">
        <v>1790</v>
      </c>
      <c r="Q621" s="74">
        <f>SIP[[#This Row],[Amount]]-SIP[[#This Row],[Unit Capital]]</f>
        <v>210</v>
      </c>
      <c r="R6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10.825439783491207</v>
      </c>
      <c r="S621" s="68">
        <f t="shared" si="26"/>
        <v>14.224</v>
      </c>
      <c r="T6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1" s="74" cm="1">
        <f t="array" ref="U621">IF(SIP[[#This Row],[B/S]]="S",ABS(SIP[[#This Row],[Unit]])*(INDEX(SIP[NAV at Cost (Average)],MATCH(CONCATENATE((SIP[[#This Row],[Frequency]]-1),SIP[[#This Row],[Investor ID]]),SIP[Unique Code],0),0)),0)</f>
        <v>0</v>
      </c>
      <c r="V621" s="74">
        <f>IF(SIP[[#This Row],[BO TRANSFER]]="YES",SIP[[#This Row],[Unit]],)</f>
        <v>0</v>
      </c>
      <c r="W621" s="74">
        <f>SUMIFS(SIP[[#Headers],[BO UNIT TRANSFER]]:SIP[[#This Row],[BO UNIT TRANSFER]],SIP[[#Headers],[Investor ID]]:SIP[[#This Row],[Investor ID]],SIP[[#This Row],[Investor ID]])</f>
        <v>0</v>
      </c>
    </row>
    <row r="622" spans="1:23" ht="15" customHeight="1">
      <c r="A622" s="46">
        <v>2024</v>
      </c>
      <c r="B622" s="46">
        <v>7</v>
      </c>
      <c r="C622" s="46">
        <v>5</v>
      </c>
      <c r="D622" s="65">
        <f>DATE(SIP[[#This Row],[Year]],SIP[[#This Row],[Month]],SIP[[#This Row],[Day]])</f>
        <v>45478</v>
      </c>
      <c r="E622" s="66" t="str" cm="1">
        <f t="array" ref="E622">INDEX(INVESTORS_LIST[INVESTOR NAME],MATCH(SIP[[#This Row],[Investor ID]],INVESTORS_LIST[INVESTOR CODE],0),)</f>
        <v>BIJOY CHANDRA DAS</v>
      </c>
      <c r="F622" s="46" t="s">
        <v>497</v>
      </c>
      <c r="G622" s="46">
        <f>COUNTIF(SIP[[#Headers],[Investor ID]]:SIP[[#This Row],[Investor ID]],SIP[[#This Row],[Investor ID]])</f>
        <v>4</v>
      </c>
      <c r="H622" s="46" t="str">
        <f>CONCATENATE(SIP[[#This Row],[Frequency]],SIP[[#This Row],[Investor ID]])</f>
        <v>4A00224</v>
      </c>
      <c r="I622" s="46" t="str">
        <f>IF(SIP[[#This Row],[B/S]]="B","BUY",(IF(SIP[[#This Row],[B/S]]="S","SELL"," ")))</f>
        <v>BUY</v>
      </c>
      <c r="J622" s="46" t="s">
        <v>1229</v>
      </c>
      <c r="K622" s="69">
        <v>5000</v>
      </c>
      <c r="L622" s="122"/>
      <c r="M622" s="123">
        <f>SIP[[#This Row],[Amount]]/SIP[[#This Row],[Unit]]</f>
        <v>11.210762331838565</v>
      </c>
      <c r="N622" s="71">
        <f>SIP[[#This Row],[Unit Capital]]/10</f>
        <v>446</v>
      </c>
      <c r="O622" s="71">
        <f>SUMIFS(SIP[[#Headers],[Unit]]:SIP[[#This Row],[Unit]],SIP[[#Headers],[Investor ID]]:SIP[[#This Row],[Investor ID]],SIP[[#This Row],[Investor ID]])</f>
        <v>1809</v>
      </c>
      <c r="P622" s="73">
        <v>4460</v>
      </c>
      <c r="Q622" s="74">
        <f>SIP[[#This Row],[Amount]]-SIP[[#This Row],[Unit Capital]]</f>
        <v>540</v>
      </c>
      <c r="R6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11.055831951354339</v>
      </c>
      <c r="S622" s="68">
        <f t="shared" si="26"/>
        <v>14.224</v>
      </c>
      <c r="T6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2" s="74" cm="1">
        <f t="array" ref="U622">IF(SIP[[#This Row],[B/S]]="S",ABS(SIP[[#This Row],[Unit]])*(INDEX(SIP[NAV at Cost (Average)],MATCH(CONCATENATE((SIP[[#This Row],[Frequency]]-1),SIP[[#This Row],[Investor ID]]),SIP[Unique Code],0),0)),0)</f>
        <v>0</v>
      </c>
      <c r="V622" s="74">
        <f>IF(SIP[[#This Row],[BO TRANSFER]]="YES",SIP[[#This Row],[Unit]],)</f>
        <v>0</v>
      </c>
      <c r="W622" s="74">
        <f>SUMIFS(SIP[[#Headers],[BO UNIT TRANSFER]]:SIP[[#This Row],[BO UNIT TRANSFER]],SIP[[#Headers],[Investor ID]]:SIP[[#This Row],[Investor ID]],SIP[[#This Row],[Investor ID]])</f>
        <v>0</v>
      </c>
    </row>
    <row r="623" spans="1:23" ht="15" customHeight="1">
      <c r="A623" s="46">
        <v>2024</v>
      </c>
      <c r="B623" s="46">
        <v>7</v>
      </c>
      <c r="C623" s="46">
        <v>5</v>
      </c>
      <c r="D623" s="65">
        <f>DATE(SIP[[#This Row],[Year]],SIP[[#This Row],[Month]],SIP[[#This Row],[Day]])</f>
        <v>45478</v>
      </c>
      <c r="E623" s="66" t="str" cm="1">
        <f t="array" ref="E623">INDEX(INVESTORS_LIST[INVESTOR NAME],MATCH(SIP[[#This Row],[Investor ID]],INVESTORS_LIST[INVESTOR CODE],0),)</f>
        <v>AHMED BIN MONSUR</v>
      </c>
      <c r="F623" s="46" t="s">
        <v>692</v>
      </c>
      <c r="G623" s="46">
        <f>COUNTIF(SIP[[#Headers],[Investor ID]]:SIP[[#This Row],[Investor ID]],SIP[[#This Row],[Investor ID]])</f>
        <v>2</v>
      </c>
      <c r="H623" s="46" t="str">
        <f>CONCATENATE(SIP[[#This Row],[Frequency]],SIP[[#This Row],[Investor ID]])</f>
        <v>2A00322</v>
      </c>
      <c r="I623" s="46" t="str">
        <f>IF(SIP[[#This Row],[B/S]]="B","BUY",(IF(SIP[[#This Row],[B/S]]="S","SELL"," ")))</f>
        <v>BUY</v>
      </c>
      <c r="J623" s="46" t="s">
        <v>1229</v>
      </c>
      <c r="K623" s="69">
        <v>20000</v>
      </c>
      <c r="L623" s="122"/>
      <c r="M623" s="123">
        <f>SIP[[#This Row],[Amount]]/SIP[[#This Row],[Unit]]</f>
        <v>11.198208286674133</v>
      </c>
      <c r="N623" s="71">
        <f>SIP[[#This Row],[Unit Capital]]/10</f>
        <v>1786</v>
      </c>
      <c r="O623" s="71">
        <f>SUMIFS(SIP[[#Headers],[Unit]]:SIP[[#This Row],[Unit]],SIP[[#Headers],[Investor ID]]:SIP[[#This Row],[Investor ID]],SIP[[#This Row],[Investor ID]])</f>
        <v>3591</v>
      </c>
      <c r="P623" s="73">
        <v>17860</v>
      </c>
      <c r="Q623" s="74">
        <f>SIP[[#This Row],[Amount]]-SIP[[#This Row],[Unit Capital]]</f>
        <v>2140</v>
      </c>
      <c r="R6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11.138958507379559</v>
      </c>
      <c r="S623" s="68">
        <f t="shared" si="26"/>
        <v>14.224</v>
      </c>
      <c r="T6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3" s="74" cm="1">
        <f t="array" ref="U623">IF(SIP[[#This Row],[B/S]]="S",ABS(SIP[[#This Row],[Unit]])*(INDEX(SIP[NAV at Cost (Average)],MATCH(CONCATENATE((SIP[[#This Row],[Frequency]]-1),SIP[[#This Row],[Investor ID]]),SIP[Unique Code],0),0)),0)</f>
        <v>0</v>
      </c>
      <c r="V623" s="74">
        <f>IF(SIP[[#This Row],[BO TRANSFER]]="YES",SIP[[#This Row],[Unit]],)</f>
        <v>0</v>
      </c>
      <c r="W623" s="74">
        <f>SUMIFS(SIP[[#Headers],[BO UNIT TRANSFER]]:SIP[[#This Row],[BO UNIT TRANSFER]],SIP[[#Headers],[Investor ID]]:SIP[[#This Row],[Investor ID]],SIP[[#This Row],[Investor ID]])</f>
        <v>0</v>
      </c>
    </row>
    <row r="624" spans="1:23" ht="15" customHeight="1">
      <c r="A624" s="46">
        <v>2024</v>
      </c>
      <c r="B624" s="46">
        <v>7</v>
      </c>
      <c r="C624" s="46">
        <v>15</v>
      </c>
      <c r="D624" s="65">
        <f>DATE(SIP[[#This Row],[Year]],SIP[[#This Row],[Month]],SIP[[#This Row],[Day]])</f>
        <v>45488</v>
      </c>
      <c r="E624" s="66" t="str" cm="1">
        <f t="array" ref="E624">INDEX(INVESTORS_LIST[INVESTOR NAME],MATCH(SIP[[#This Row],[Investor ID]],INVESTORS_LIST[INVESTOR CODE],0),)</f>
        <v>MD. RAFIQUR RAHMAN</v>
      </c>
      <c r="F624" s="46" t="s">
        <v>622</v>
      </c>
      <c r="G624" s="46">
        <f>COUNTIF(SIP[[#Headers],[Investor ID]]:SIP[[#This Row],[Investor ID]],SIP[[#This Row],[Investor ID]])</f>
        <v>11</v>
      </c>
      <c r="H624" s="46" t="str">
        <f>CONCATENATE(SIP[[#This Row],[Frequency]],SIP[[#This Row],[Investor ID]])</f>
        <v>11A00287</v>
      </c>
      <c r="I624" s="46" t="str">
        <f>IF(SIP[[#This Row],[B/S]]="B","BUY",(IF(SIP[[#This Row],[B/S]]="S","SELL"," ")))</f>
        <v>BUY</v>
      </c>
      <c r="J624" s="46" t="s">
        <v>1229</v>
      </c>
      <c r="K624" s="69">
        <v>20000</v>
      </c>
      <c r="L624" s="122"/>
      <c r="M624" s="123">
        <f>SIP[[#This Row],[Amount]]/SIP[[#This Row],[Unit]]</f>
        <v>11.217049915872126</v>
      </c>
      <c r="N624" s="71">
        <f>SIP[[#This Row],[Unit Capital]]/10</f>
        <v>1783</v>
      </c>
      <c r="O624" s="71">
        <f>SUMIFS(SIP[[#Headers],[Unit]]:SIP[[#This Row],[Unit]],SIP[[#Headers],[Investor ID]]:SIP[[#This Row],[Investor ID]],SIP[[#This Row],[Investor ID]])</f>
        <v>20356</v>
      </c>
      <c r="P624" s="73">
        <v>17830</v>
      </c>
      <c r="Q624" s="74">
        <f>SIP[[#This Row],[Amount]]-SIP[[#This Row],[Unit Capital]]</f>
        <v>2170</v>
      </c>
      <c r="R6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10.807624287679307</v>
      </c>
      <c r="S624" s="68">
        <f t="shared" ref="S624:S655" si="27">NAV_MKT</f>
        <v>14.224</v>
      </c>
      <c r="T6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4" s="74" cm="1">
        <f t="array" ref="U624">IF(SIP[[#This Row],[B/S]]="S",ABS(SIP[[#This Row],[Unit]])*(INDEX(SIP[NAV at Cost (Average)],MATCH(CONCATENATE((SIP[[#This Row],[Frequency]]-1),SIP[[#This Row],[Investor ID]]),SIP[Unique Code],0),0)),0)</f>
        <v>0</v>
      </c>
      <c r="V624" s="74">
        <f>IF(SIP[[#This Row],[BO TRANSFER]]="YES",SIP[[#This Row],[Unit]],)</f>
        <v>0</v>
      </c>
      <c r="W624" s="74">
        <f>SUMIFS(SIP[[#Headers],[BO UNIT TRANSFER]]:SIP[[#This Row],[BO UNIT TRANSFER]],SIP[[#Headers],[Investor ID]]:SIP[[#This Row],[Investor ID]],SIP[[#This Row],[Investor ID]])</f>
        <v>0</v>
      </c>
    </row>
    <row r="625" spans="1:23" ht="15" customHeight="1">
      <c r="A625" s="46">
        <v>2024</v>
      </c>
      <c r="B625" s="46">
        <v>7</v>
      </c>
      <c r="C625" s="46">
        <v>15</v>
      </c>
      <c r="D625" s="65">
        <f>DATE(SIP[[#This Row],[Year]],SIP[[#This Row],[Month]],SIP[[#This Row],[Day]])</f>
        <v>45488</v>
      </c>
      <c r="E625" s="66" t="str" cm="1">
        <f t="array" ref="E625">INDEX(INVESTORS_LIST[INVESTOR NAME],MATCH(SIP[[#This Row],[Investor ID]],INVESTORS_LIST[INVESTOR CODE],0),)</f>
        <v>AKIB TANVIR ANJUM</v>
      </c>
      <c r="F625" s="46" t="s">
        <v>1116</v>
      </c>
      <c r="G625" s="46">
        <f>COUNTIF(SIP[[#Headers],[Investor ID]]:SIP[[#This Row],[Investor ID]],SIP[[#This Row],[Investor ID]])</f>
        <v>4</v>
      </c>
      <c r="H625" s="46" t="str">
        <f>CONCATENATE(SIP[[#This Row],[Frequency]],SIP[[#This Row],[Investor ID]])</f>
        <v>4A00533</v>
      </c>
      <c r="I625" s="46" t="str">
        <f>IF(SIP[[#This Row],[B/S]]="B","BUY",(IF(SIP[[#This Row],[B/S]]="S","SELL"," ")))</f>
        <v>BUY</v>
      </c>
      <c r="J625" s="46" t="s">
        <v>1229</v>
      </c>
      <c r="K625" s="69">
        <v>1000</v>
      </c>
      <c r="L625" s="122"/>
      <c r="M625" s="123">
        <f>SIP[[#This Row],[Amount]]/SIP[[#This Row],[Unit]]</f>
        <v>11.235955056179776</v>
      </c>
      <c r="N625" s="71">
        <f>SIP[[#This Row],[Unit Capital]]/10</f>
        <v>89</v>
      </c>
      <c r="O625" s="71">
        <f>SUMIFS(SIP[[#Headers],[Unit]]:SIP[[#This Row],[Unit]],SIP[[#Headers],[Investor ID]]:SIP[[#This Row],[Investor ID]],SIP[[#This Row],[Investor ID]])</f>
        <v>361</v>
      </c>
      <c r="P625" s="73">
        <v>890</v>
      </c>
      <c r="Q625" s="74">
        <f>SIP[[#This Row],[Amount]]-SIP[[#This Row],[Unit Capital]]</f>
        <v>110</v>
      </c>
      <c r="R6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11.0803324099723</v>
      </c>
      <c r="S625" s="68">
        <f t="shared" si="27"/>
        <v>14.224</v>
      </c>
      <c r="T6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5" s="74" cm="1">
        <f t="array" ref="U625">IF(SIP[[#This Row],[B/S]]="S",ABS(SIP[[#This Row],[Unit]])*(INDEX(SIP[NAV at Cost (Average)],MATCH(CONCATENATE((SIP[[#This Row],[Frequency]]-1),SIP[[#This Row],[Investor ID]]),SIP[Unique Code],0),0)),0)</f>
        <v>0</v>
      </c>
      <c r="V625" s="74">
        <f>IF(SIP[[#This Row],[BO TRANSFER]]="YES",SIP[[#This Row],[Unit]],)</f>
        <v>0</v>
      </c>
      <c r="W625" s="74">
        <f>SUMIFS(SIP[[#Headers],[BO UNIT TRANSFER]]:SIP[[#This Row],[BO UNIT TRANSFER]],SIP[[#Headers],[Investor ID]]:SIP[[#This Row],[Investor ID]],SIP[[#This Row],[Investor ID]])</f>
        <v>0</v>
      </c>
    </row>
    <row r="626" spans="1:23" ht="15" customHeight="1">
      <c r="A626" s="46">
        <v>2024</v>
      </c>
      <c r="B626" s="46">
        <v>7</v>
      </c>
      <c r="C626" s="46">
        <v>15</v>
      </c>
      <c r="D626" s="65">
        <f>DATE(SIP[[#This Row],[Year]],SIP[[#This Row],[Month]],SIP[[#This Row],[Day]])</f>
        <v>45488</v>
      </c>
      <c r="E626" s="66" t="str" cm="1">
        <f t="array" ref="E626">INDEX(INVESTORS_LIST[INVESTOR NAME],MATCH(SIP[[#This Row],[Investor ID]],INVESTORS_LIST[INVESTOR CODE],0),)</f>
        <v>MAHMUD ALI ALAMGIR &amp; MOHAMMED ALI XAHANGIR</v>
      </c>
      <c r="F626" s="46" t="s">
        <v>1130</v>
      </c>
      <c r="G626" s="46">
        <f>COUNTIF(SIP[[#Headers],[Investor ID]]:SIP[[#This Row],[Investor ID]],SIP[[#This Row],[Investor ID]])</f>
        <v>2</v>
      </c>
      <c r="H626" s="46" t="str">
        <f>CONCATENATE(SIP[[#This Row],[Frequency]],SIP[[#This Row],[Investor ID]])</f>
        <v>2A00540</v>
      </c>
      <c r="I626" s="46" t="str">
        <f>IF(SIP[[#This Row],[B/S]]="B","BUY",(IF(SIP[[#This Row],[B/S]]="S","SELL"," ")))</f>
        <v>BUY</v>
      </c>
      <c r="J626" s="46" t="s">
        <v>1229</v>
      </c>
      <c r="K626" s="69">
        <v>40000</v>
      </c>
      <c r="L626" s="122"/>
      <c r="M626" s="123">
        <f>SIP[[#This Row],[Amount]]/SIP[[#This Row],[Unit]]</f>
        <v>11.220196353436185</v>
      </c>
      <c r="N626" s="71">
        <f>SIP[[#This Row],[Unit Capital]]/10</f>
        <v>3565</v>
      </c>
      <c r="O626" s="71">
        <f>SUMIFS(SIP[[#Headers],[Unit]]:SIP[[#This Row],[Unit]],SIP[[#Headers],[Investor ID]]:SIP[[#This Row],[Investor ID]],SIP[[#This Row],[Investor ID]])</f>
        <v>7157</v>
      </c>
      <c r="P626" s="73">
        <v>35650</v>
      </c>
      <c r="Q626" s="74">
        <f>SIP[[#This Row],[Amount]]-SIP[[#This Row],[Unit Capital]]</f>
        <v>4350</v>
      </c>
      <c r="R6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11.177867821713008</v>
      </c>
      <c r="S626" s="68">
        <f t="shared" si="27"/>
        <v>14.224</v>
      </c>
      <c r="T6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6" s="74" cm="1">
        <f t="array" ref="U626">IF(SIP[[#This Row],[B/S]]="S",ABS(SIP[[#This Row],[Unit]])*(INDEX(SIP[NAV at Cost (Average)],MATCH(CONCATENATE((SIP[[#This Row],[Frequency]]-1),SIP[[#This Row],[Investor ID]]),SIP[Unique Code],0),0)),0)</f>
        <v>0</v>
      </c>
      <c r="V626" s="74">
        <f>IF(SIP[[#This Row],[BO TRANSFER]]="YES",SIP[[#This Row],[Unit]],)</f>
        <v>0</v>
      </c>
      <c r="W626" s="74">
        <f>SUMIFS(SIP[[#Headers],[BO UNIT TRANSFER]]:SIP[[#This Row],[BO UNIT TRANSFER]],SIP[[#Headers],[Investor ID]]:SIP[[#This Row],[Investor ID]],SIP[[#This Row],[Investor ID]])</f>
        <v>0</v>
      </c>
    </row>
    <row r="627" spans="1:23" ht="15" customHeight="1">
      <c r="A627" s="46">
        <v>2024</v>
      </c>
      <c r="B627" s="46">
        <v>7</v>
      </c>
      <c r="C627" s="46">
        <v>15</v>
      </c>
      <c r="D627" s="65">
        <f>DATE(SIP[[#This Row],[Year]],SIP[[#This Row],[Month]],SIP[[#This Row],[Day]])</f>
        <v>45488</v>
      </c>
      <c r="E627" s="66" t="str" cm="1">
        <f t="array" ref="E627">INDEX(INVESTORS_LIST[INVESTOR NAME],MATCH(SIP[[#This Row],[Investor ID]],INVESTORS_LIST[INVESTOR CODE],0),)</f>
        <v>SANJIB KUMAR ROY</v>
      </c>
      <c r="F627" s="46" t="s">
        <v>1020</v>
      </c>
      <c r="G627" s="46">
        <f>COUNTIF(SIP[[#Headers],[Investor ID]]:SIP[[#This Row],[Investor ID]],SIP[[#This Row],[Investor ID]])</f>
        <v>14</v>
      </c>
      <c r="H627" s="46" t="str">
        <f>CONCATENATE(SIP[[#This Row],[Frequency]],SIP[[#This Row],[Investor ID]])</f>
        <v>14A00487</v>
      </c>
      <c r="I627" s="46" t="str">
        <f>IF(SIP[[#This Row],[B/S]]="B","BUY",(IF(SIP[[#This Row],[B/S]]="S","SELL"," ")))</f>
        <v>BUY</v>
      </c>
      <c r="J627" s="46" t="s">
        <v>1229</v>
      </c>
      <c r="K627" s="69">
        <v>5000</v>
      </c>
      <c r="L627" s="122"/>
      <c r="M627" s="123">
        <f>SIP[[#This Row],[Amount]]/SIP[[#This Row],[Unit]]</f>
        <v>11.210762331838565</v>
      </c>
      <c r="N627" s="71">
        <f>SIP[[#This Row],[Unit Capital]]/10</f>
        <v>446</v>
      </c>
      <c r="O627" s="71">
        <f>SUMIFS(SIP[[#Headers],[Unit]]:SIP[[#This Row],[Unit]],SIP[[#Headers],[Investor ID]]:SIP[[#This Row],[Investor ID]],SIP[[#This Row],[Investor ID]])</f>
        <v>6546</v>
      </c>
      <c r="P627" s="73">
        <v>4460</v>
      </c>
      <c r="Q627" s="74">
        <f>SIP[[#This Row],[Amount]]-SIP[[#This Row],[Unit Capital]]</f>
        <v>540</v>
      </c>
      <c r="R6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10.693553315001527</v>
      </c>
      <c r="S627" s="68">
        <f t="shared" si="27"/>
        <v>14.224</v>
      </c>
      <c r="T6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7" s="74" cm="1">
        <f t="array" ref="U627">IF(SIP[[#This Row],[B/S]]="S",ABS(SIP[[#This Row],[Unit]])*(INDEX(SIP[NAV at Cost (Average)],MATCH(CONCATENATE((SIP[[#This Row],[Frequency]]-1),SIP[[#This Row],[Investor ID]]),SIP[Unique Code],0),0)),0)</f>
        <v>0</v>
      </c>
      <c r="V627" s="74">
        <f>IF(SIP[[#This Row],[BO TRANSFER]]="YES",SIP[[#This Row],[Unit]],)</f>
        <v>0</v>
      </c>
      <c r="W627" s="74">
        <f>SUMIFS(SIP[[#Headers],[BO UNIT TRANSFER]]:SIP[[#This Row],[BO UNIT TRANSFER]],SIP[[#Headers],[Investor ID]]:SIP[[#This Row],[Investor ID]],SIP[[#This Row],[Investor ID]])</f>
        <v>0</v>
      </c>
    </row>
    <row r="628" spans="1:23" ht="15" customHeight="1">
      <c r="A628" s="46">
        <v>2024</v>
      </c>
      <c r="B628" s="46">
        <v>7</v>
      </c>
      <c r="C628" s="46">
        <v>26</v>
      </c>
      <c r="D628" s="65">
        <f>DATE(SIP[[#This Row],[Year]],SIP[[#This Row],[Month]],SIP[[#This Row],[Day]])</f>
        <v>45499</v>
      </c>
      <c r="E628" s="66" t="str" cm="1">
        <f t="array" ref="E628">INDEX(INVESTORS_LIST[INVESTOR NAME],MATCH(SIP[[#This Row],[Investor ID]],INVESTORS_LIST[INVESTOR CODE],0),)</f>
        <v>KHAN MUHAMMAD FAISOL</v>
      </c>
      <c r="F628" s="46" t="s">
        <v>930</v>
      </c>
      <c r="G628" s="46">
        <f>COUNTIF(SIP[[#Headers],[Investor ID]]:SIP[[#This Row],[Investor ID]],SIP[[#This Row],[Investor ID]])</f>
        <v>15</v>
      </c>
      <c r="H628" s="46" t="str">
        <f>CONCATENATE(SIP[[#This Row],[Frequency]],SIP[[#This Row],[Investor ID]])</f>
        <v>15A00442</v>
      </c>
      <c r="I628" s="46" t="str">
        <f>IF(SIP[[#This Row],[B/S]]="B","BUY",(IF(SIP[[#This Row],[B/S]]="S","SELL"," ")))</f>
        <v>BUY</v>
      </c>
      <c r="J628" s="46" t="s">
        <v>1229</v>
      </c>
      <c r="K628" s="69">
        <v>1000</v>
      </c>
      <c r="L628" s="69"/>
      <c r="M628" s="123">
        <f>SIP[[#This Row],[Amount]]/SIP[[#This Row],[Unit]]</f>
        <v>11.235955056179776</v>
      </c>
      <c r="N628" s="71">
        <f>SIP[[#This Row],[Unit Capital]]/10</f>
        <v>89</v>
      </c>
      <c r="O628" s="71">
        <f>SUMIFS(SIP[[#Headers],[Unit]]:SIP[[#This Row],[Unit]],SIP[[#Headers],[Investor ID]]:SIP[[#This Row],[Investor ID]],SIP[[#This Row],[Investor ID]])</f>
        <v>1403</v>
      </c>
      <c r="P628" s="73">
        <v>890</v>
      </c>
      <c r="Q628" s="74">
        <f>SIP[[#This Row],[Amount]]-SIP[[#This Row],[Unit Capital]]</f>
        <v>110</v>
      </c>
      <c r="R6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10.69137562366358</v>
      </c>
      <c r="S628" s="68">
        <f t="shared" si="27"/>
        <v>14.224</v>
      </c>
      <c r="T6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8" s="74" cm="1">
        <f t="array" ref="U628">IF(SIP[[#This Row],[B/S]]="S",ABS(SIP[[#This Row],[Unit]])*(INDEX(SIP[NAV at Cost (Average)],MATCH(CONCATENATE((SIP[[#This Row],[Frequency]]-1),SIP[[#This Row],[Investor ID]]),SIP[Unique Code],0),0)),0)</f>
        <v>0</v>
      </c>
      <c r="V628" s="74">
        <f>IF(SIP[[#This Row],[BO TRANSFER]]="YES",SIP[[#This Row],[Unit]],)</f>
        <v>0</v>
      </c>
      <c r="W628" s="74">
        <f>SUMIFS(SIP[[#Headers],[BO UNIT TRANSFER]]:SIP[[#This Row],[BO UNIT TRANSFER]],SIP[[#Headers],[Investor ID]]:SIP[[#This Row],[Investor ID]],SIP[[#This Row],[Investor ID]])</f>
        <v>0</v>
      </c>
    </row>
    <row r="629" spans="1:23" ht="15" customHeight="1">
      <c r="A629" s="46">
        <v>2024</v>
      </c>
      <c r="B629" s="46">
        <v>7</v>
      </c>
      <c r="C629" s="46">
        <v>26</v>
      </c>
      <c r="D629" s="65">
        <f>DATE(SIP[[#This Row],[Year]],SIP[[#This Row],[Month]],SIP[[#This Row],[Day]])</f>
        <v>45499</v>
      </c>
      <c r="E629" s="66" t="str" cm="1">
        <f t="array" ref="E629">INDEX(INVESTORS_LIST[INVESTOR NAME],MATCH(SIP[[#This Row],[Investor ID]],INVESTORS_LIST[INVESTOR CODE],0),)</f>
        <v>MD. ARIFUL ISLAM</v>
      </c>
      <c r="F629" s="46" t="s">
        <v>222</v>
      </c>
      <c r="G629" s="46">
        <f>COUNTIF(SIP[[#Headers],[Investor ID]]:SIP[[#This Row],[Investor ID]],SIP[[#This Row],[Investor ID]])</f>
        <v>15</v>
      </c>
      <c r="H629" s="46" t="str">
        <f>CONCATENATE(SIP[[#This Row],[Frequency]],SIP[[#This Row],[Investor ID]])</f>
        <v>15A00087</v>
      </c>
      <c r="I629" s="46" t="str">
        <f>IF(SIP[[#This Row],[B/S]]="B","BUY",(IF(SIP[[#This Row],[B/S]]="S","SELL"," ")))</f>
        <v>BUY</v>
      </c>
      <c r="J629" s="46" t="s">
        <v>1229</v>
      </c>
      <c r="K629" s="69">
        <v>10000</v>
      </c>
      <c r="L629" s="69"/>
      <c r="M629" s="123">
        <f>SIP[[#This Row],[Amount]]/SIP[[#This Row],[Unit]]</f>
        <v>11.261261261261261</v>
      </c>
      <c r="N629" s="71">
        <f>SIP[[#This Row],[Unit Capital]]/10</f>
        <v>888</v>
      </c>
      <c r="O629" s="71">
        <f>SUMIFS(SIP[[#Headers],[Unit]]:SIP[[#This Row],[Unit]],SIP[[#Headers],[Investor ID]]:SIP[[#This Row],[Investor ID]],SIP[[#This Row],[Investor ID]])</f>
        <v>14039</v>
      </c>
      <c r="P629" s="73">
        <v>8880</v>
      </c>
      <c r="Q629" s="74">
        <f>SIP[[#This Row],[Amount]]-SIP[[#This Row],[Unit Capital]]</f>
        <v>1120</v>
      </c>
      <c r="R6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10.68452168957903</v>
      </c>
      <c r="S629" s="68">
        <f t="shared" si="27"/>
        <v>14.224</v>
      </c>
      <c r="T6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9" s="74" cm="1">
        <f t="array" ref="U629">IF(SIP[[#This Row],[B/S]]="S",ABS(SIP[[#This Row],[Unit]])*(INDEX(SIP[NAV at Cost (Average)],MATCH(CONCATENATE((SIP[[#This Row],[Frequency]]-1),SIP[[#This Row],[Investor ID]]),SIP[Unique Code],0),0)),0)</f>
        <v>0</v>
      </c>
      <c r="V629" s="74">
        <f>IF(SIP[[#This Row],[BO TRANSFER]]="YES",SIP[[#This Row],[Unit]],)</f>
        <v>0</v>
      </c>
      <c r="W629" s="74">
        <f>SUMIFS(SIP[[#Headers],[BO UNIT TRANSFER]]:SIP[[#This Row],[BO UNIT TRANSFER]],SIP[[#Headers],[Investor ID]]:SIP[[#This Row],[Investor ID]],SIP[[#This Row],[Investor ID]])</f>
        <v>0</v>
      </c>
    </row>
    <row r="630" spans="1:23" ht="15" customHeight="1">
      <c r="A630" s="46">
        <v>2024</v>
      </c>
      <c r="B630" s="46">
        <v>7</v>
      </c>
      <c r="C630" s="46">
        <v>26</v>
      </c>
      <c r="D630" s="65">
        <f>DATE(SIP[[#This Row],[Year]],SIP[[#This Row],[Month]],SIP[[#This Row],[Day]])</f>
        <v>45499</v>
      </c>
      <c r="E630" s="66" t="str" cm="1">
        <f t="array" ref="E630">INDEX(INVESTORS_LIST[INVESTOR NAME],MATCH(SIP[[#This Row],[Investor ID]],INVESTORS_LIST[INVESTOR CODE],0),)</f>
        <v>SADIA PARVIN</v>
      </c>
      <c r="F630" s="46" t="s">
        <v>1018</v>
      </c>
      <c r="G630" s="46">
        <f>COUNTIF(SIP[[#Headers],[Investor ID]]:SIP[[#This Row],[Investor ID]],SIP[[#This Row],[Investor ID]])</f>
        <v>16</v>
      </c>
      <c r="H630" s="46" t="str">
        <f>CONCATENATE(SIP[[#This Row],[Frequency]],SIP[[#This Row],[Investor ID]])</f>
        <v>16A00486</v>
      </c>
      <c r="I630" s="46" t="str">
        <f>IF(SIP[[#This Row],[B/S]]="B","BUY",(IF(SIP[[#This Row],[B/S]]="S","SELL"," ")))</f>
        <v>BUY</v>
      </c>
      <c r="J630" s="46" t="s">
        <v>1229</v>
      </c>
      <c r="K630" s="69">
        <v>5000</v>
      </c>
      <c r="L630" s="122"/>
      <c r="M630" s="123">
        <f>SIP[[#This Row],[Amount]]/SIP[[#This Row],[Unit]]</f>
        <v>11.261261261261261</v>
      </c>
      <c r="N630" s="71">
        <f>SIP[[#This Row],[Unit Capital]]/10</f>
        <v>444</v>
      </c>
      <c r="O630" s="71">
        <f>SUMIFS(SIP[[#Headers],[Unit]]:SIP[[#This Row],[Unit]],SIP[[#Headers],[Investor ID]]:SIP[[#This Row],[Investor ID]],SIP[[#This Row],[Investor ID]])</f>
        <v>7464</v>
      </c>
      <c r="P630" s="73">
        <v>4440</v>
      </c>
      <c r="Q630" s="74">
        <f>SIP[[#This Row],[Amount]]-SIP[[#This Row],[Unit Capital]]</f>
        <v>560</v>
      </c>
      <c r="R6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10.718113612004288</v>
      </c>
      <c r="S630" s="68">
        <f t="shared" si="27"/>
        <v>14.224</v>
      </c>
      <c r="T6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0" s="74" cm="1">
        <f t="array" ref="U630">IF(SIP[[#This Row],[B/S]]="S",ABS(SIP[[#This Row],[Unit]])*(INDEX(SIP[NAV at Cost (Average)],MATCH(CONCATENATE((SIP[[#This Row],[Frequency]]-1),SIP[[#This Row],[Investor ID]]),SIP[Unique Code],0),0)),0)</f>
        <v>0</v>
      </c>
      <c r="V630" s="74">
        <f>IF(SIP[[#This Row],[BO TRANSFER]]="YES",SIP[[#This Row],[Unit]],)</f>
        <v>0</v>
      </c>
      <c r="W630" s="74">
        <f>SUMIFS(SIP[[#Headers],[BO UNIT TRANSFER]]:SIP[[#This Row],[BO UNIT TRANSFER]],SIP[[#Headers],[Investor ID]]:SIP[[#This Row],[Investor ID]],SIP[[#This Row],[Investor ID]])</f>
        <v>0</v>
      </c>
    </row>
    <row r="631" spans="1:23" ht="15" customHeight="1">
      <c r="A631" s="46">
        <v>2024</v>
      </c>
      <c r="B631" s="46">
        <v>7</v>
      </c>
      <c r="C631" s="46">
        <v>26</v>
      </c>
      <c r="D631" s="65">
        <f>DATE(SIP[[#This Row],[Year]],SIP[[#This Row],[Month]],SIP[[#This Row],[Day]])</f>
        <v>45499</v>
      </c>
      <c r="E631" s="66" t="str" cm="1">
        <f t="array" ref="E631">INDEX(INVESTORS_LIST[INVESTOR NAME],MATCH(SIP[[#This Row],[Investor ID]],INVESTORS_LIST[INVESTOR CODE],0),)</f>
        <v>MD. WALI ULLAH</v>
      </c>
      <c r="F631" s="46" t="s">
        <v>443</v>
      </c>
      <c r="G631" s="46">
        <f>COUNTIF(SIP[[#Headers],[Investor ID]]:SIP[[#This Row],[Investor ID]],SIP[[#This Row],[Investor ID]])</f>
        <v>15</v>
      </c>
      <c r="H631" s="46" t="str">
        <f>CONCATENATE(SIP[[#This Row],[Frequency]],SIP[[#This Row],[Investor ID]])</f>
        <v>15A00197</v>
      </c>
      <c r="I631" s="46" t="str">
        <f>IF(SIP[[#This Row],[B/S]]="B","BUY",(IF(SIP[[#This Row],[B/S]]="S","SELL"," ")))</f>
        <v>BUY</v>
      </c>
      <c r="J631" s="46" t="s">
        <v>1229</v>
      </c>
      <c r="K631" s="69">
        <v>15000</v>
      </c>
      <c r="L631" s="122"/>
      <c r="M631" s="123">
        <f>SIP[[#This Row],[Amount]]/SIP[[#This Row],[Unit]]</f>
        <v>11.261261261261261</v>
      </c>
      <c r="N631" s="71">
        <f>SIP[[#This Row],[Unit Capital]]/10</f>
        <v>1332</v>
      </c>
      <c r="O631" s="71">
        <f>SUMIFS(SIP[[#Headers],[Unit]]:SIP[[#This Row],[Unit]],SIP[[#Headers],[Investor ID]]:SIP[[#This Row],[Investor ID]],SIP[[#This Row],[Investor ID]])</f>
        <v>21059</v>
      </c>
      <c r="P631" s="73">
        <v>13320</v>
      </c>
      <c r="Q631" s="74">
        <f>SIP[[#This Row],[Amount]]-SIP[[#This Row],[Unit Capital]]</f>
        <v>1680</v>
      </c>
      <c r="R6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10.684268008927294</v>
      </c>
      <c r="S631" s="68">
        <f t="shared" si="27"/>
        <v>14.224</v>
      </c>
      <c r="T6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1" s="74" cm="1">
        <f t="array" ref="U631">IF(SIP[[#This Row],[B/S]]="S",ABS(SIP[[#This Row],[Unit]])*(INDEX(SIP[NAV at Cost (Average)],MATCH(CONCATENATE((SIP[[#This Row],[Frequency]]-1),SIP[[#This Row],[Investor ID]]),SIP[Unique Code],0),0)),0)</f>
        <v>0</v>
      </c>
      <c r="V631" s="74">
        <f>IF(SIP[[#This Row],[BO TRANSFER]]="YES",SIP[[#This Row],[Unit]],)</f>
        <v>0</v>
      </c>
      <c r="W631" s="74">
        <f>SUMIFS(SIP[[#Headers],[BO UNIT TRANSFER]]:SIP[[#This Row],[BO UNIT TRANSFER]],SIP[[#Headers],[Investor ID]]:SIP[[#This Row],[Investor ID]],SIP[[#This Row],[Investor ID]])</f>
        <v>0</v>
      </c>
    </row>
    <row r="632" spans="1:23" ht="15" customHeight="1">
      <c r="A632" s="46">
        <v>2024</v>
      </c>
      <c r="B632" s="46">
        <v>7</v>
      </c>
      <c r="C632" s="46">
        <v>26</v>
      </c>
      <c r="D632" s="65">
        <f>DATE(SIP[[#This Row],[Year]],SIP[[#This Row],[Month]],SIP[[#This Row],[Day]])</f>
        <v>45499</v>
      </c>
      <c r="E632" s="66" t="str" cm="1">
        <f t="array" ref="E632">INDEX(INVESTORS_LIST[INVESTOR NAME],MATCH(SIP[[#This Row],[Investor ID]],INVESTORS_LIST[INVESTOR CODE],0),)</f>
        <v>SIKDER FAZLE RABBI</v>
      </c>
      <c r="F632" s="46" t="s">
        <v>1032</v>
      </c>
      <c r="G632" s="46">
        <f>COUNTIF(SIP[[#Headers],[Investor ID]]:SIP[[#This Row],[Investor ID]],SIP[[#This Row],[Investor ID]])</f>
        <v>14</v>
      </c>
      <c r="H632" s="46" t="str">
        <f>CONCATENATE(SIP[[#This Row],[Frequency]],SIP[[#This Row],[Investor ID]])</f>
        <v>14A00493</v>
      </c>
      <c r="I632" s="46" t="str">
        <f>IF(SIP[[#This Row],[B/S]]="B","BUY",(IF(SIP[[#This Row],[B/S]]="S","SELL"," ")))</f>
        <v>BUY</v>
      </c>
      <c r="J632" s="46" t="s">
        <v>1229</v>
      </c>
      <c r="K632" s="69">
        <v>5000</v>
      </c>
      <c r="L632" s="122"/>
      <c r="M632" s="123">
        <f>SIP[[#This Row],[Amount]]/SIP[[#This Row],[Unit]]</f>
        <v>11.261261261261261</v>
      </c>
      <c r="N632" s="71">
        <f>SIP[[#This Row],[Unit Capital]]/10</f>
        <v>444</v>
      </c>
      <c r="O632" s="71">
        <f>SUMIFS(SIP[[#Headers],[Unit]]:SIP[[#This Row],[Unit]],SIP[[#Headers],[Investor ID]]:SIP[[#This Row],[Investor ID]],SIP[[#This Row],[Investor ID]])</f>
        <v>6527</v>
      </c>
      <c r="P632" s="73">
        <v>4440</v>
      </c>
      <c r="Q632" s="74">
        <f>SIP[[#This Row],[Amount]]-SIP[[#This Row],[Unit Capital]]</f>
        <v>560</v>
      </c>
      <c r="R6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32" s="68">
        <f t="shared" si="27"/>
        <v>14.224</v>
      </c>
      <c r="T6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2" s="74" cm="1">
        <f t="array" ref="U632">IF(SIP[[#This Row],[B/S]]="S",ABS(SIP[[#This Row],[Unit]])*(INDEX(SIP[NAV at Cost (Average)],MATCH(CONCATENATE((SIP[[#This Row],[Frequency]]-1),SIP[[#This Row],[Investor ID]]),SIP[Unique Code],0),0)),0)</f>
        <v>0</v>
      </c>
      <c r="V632" s="74">
        <f>IF(SIP[[#This Row],[BO TRANSFER]]="YES",SIP[[#This Row],[Unit]],)</f>
        <v>0</v>
      </c>
      <c r="W632" s="74">
        <f>SUMIFS(SIP[[#Headers],[BO UNIT TRANSFER]]:SIP[[#This Row],[BO UNIT TRANSFER]],SIP[[#Headers],[Investor ID]]:SIP[[#This Row],[Investor ID]],SIP[[#This Row],[Investor ID]])</f>
        <v>0</v>
      </c>
    </row>
    <row r="633" spans="1:23" ht="15" customHeight="1">
      <c r="A633" s="46">
        <v>2024</v>
      </c>
      <c r="B633" s="46">
        <v>7</v>
      </c>
      <c r="C633" s="46">
        <v>26</v>
      </c>
      <c r="D633" s="65">
        <f>DATE(SIP[[#This Row],[Year]],SIP[[#This Row],[Month]],SIP[[#This Row],[Day]])</f>
        <v>45499</v>
      </c>
      <c r="E633" s="66" t="str" cm="1">
        <f t="array" ref="E633">INDEX(INVESTORS_LIST[INVESTOR NAME],MATCH(SIP[[#This Row],[Investor ID]],INVESTORS_LIST[INVESTOR CODE],0),)</f>
        <v>MOHAMMAD HASAN</v>
      </c>
      <c r="F633" s="46" t="s">
        <v>1010</v>
      </c>
      <c r="G633" s="46">
        <f>COUNTIF(SIP[[#Headers],[Investor ID]]:SIP[[#This Row],[Investor ID]],SIP[[#This Row],[Investor ID]])</f>
        <v>14</v>
      </c>
      <c r="H633" s="46" t="str">
        <f>CONCATENATE(SIP[[#This Row],[Frequency]],SIP[[#This Row],[Investor ID]])</f>
        <v>14A00482</v>
      </c>
      <c r="I633" s="46" t="str">
        <f>IF(SIP[[#This Row],[B/S]]="B","BUY",(IF(SIP[[#This Row],[B/S]]="S","SELL"," ")))</f>
        <v>BUY</v>
      </c>
      <c r="J633" s="46" t="s">
        <v>1229</v>
      </c>
      <c r="K633" s="69">
        <v>5000</v>
      </c>
      <c r="L633" s="122"/>
      <c r="M633" s="123">
        <f>SIP[[#This Row],[Amount]]/SIP[[#This Row],[Unit]]</f>
        <v>11.261261261261261</v>
      </c>
      <c r="N633" s="71">
        <f>SIP[[#This Row],[Unit Capital]]/10</f>
        <v>444</v>
      </c>
      <c r="O633" s="71">
        <f>SUMIFS(SIP[[#Headers],[Unit]]:SIP[[#This Row],[Unit]],SIP[[#Headers],[Investor ID]]:SIP[[#This Row],[Investor ID]],SIP[[#This Row],[Investor ID]])</f>
        <v>6527</v>
      </c>
      <c r="P633" s="73">
        <v>4440</v>
      </c>
      <c r="Q633" s="74">
        <f>SIP[[#This Row],[Amount]]-SIP[[#This Row],[Unit Capital]]</f>
        <v>560</v>
      </c>
      <c r="R6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33" s="68">
        <f t="shared" si="27"/>
        <v>14.224</v>
      </c>
      <c r="T6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3" s="74" cm="1">
        <f t="array" ref="U633">IF(SIP[[#This Row],[B/S]]="S",ABS(SIP[[#This Row],[Unit]])*(INDEX(SIP[NAV at Cost (Average)],MATCH(CONCATENATE((SIP[[#This Row],[Frequency]]-1),SIP[[#This Row],[Investor ID]]),SIP[Unique Code],0),0)),0)</f>
        <v>0</v>
      </c>
      <c r="V633" s="74">
        <f>IF(SIP[[#This Row],[BO TRANSFER]]="YES",SIP[[#This Row],[Unit]],)</f>
        <v>0</v>
      </c>
      <c r="W633" s="74">
        <f>SUMIFS(SIP[[#Headers],[BO UNIT TRANSFER]]:SIP[[#This Row],[BO UNIT TRANSFER]],SIP[[#Headers],[Investor ID]]:SIP[[#This Row],[Investor ID]],SIP[[#This Row],[Investor ID]])</f>
        <v>0</v>
      </c>
    </row>
    <row r="634" spans="1:23" ht="15" customHeight="1">
      <c r="A634" s="46">
        <v>2024</v>
      </c>
      <c r="B634" s="46">
        <v>7</v>
      </c>
      <c r="C634" s="46">
        <v>26</v>
      </c>
      <c r="D634" s="65">
        <f>DATE(SIP[[#This Row],[Year]],SIP[[#This Row],[Month]],SIP[[#This Row],[Day]])</f>
        <v>45499</v>
      </c>
      <c r="E634" s="66" t="str" cm="1">
        <f t="array" ref="E634">INDEX(INVESTORS_LIST[INVESTOR NAME],MATCH(SIP[[#This Row],[Investor ID]],INVESTORS_LIST[INVESTOR CODE],0),)</f>
        <v>SAJJAD CHOWDHURY</v>
      </c>
      <c r="F634" s="46" t="s">
        <v>461</v>
      </c>
      <c r="G634" s="46">
        <f>COUNTIF(SIP[[#Headers],[Investor ID]]:SIP[[#This Row],[Investor ID]],SIP[[#This Row],[Investor ID]])</f>
        <v>15</v>
      </c>
      <c r="H634" s="46" t="str">
        <f>CONCATENATE(SIP[[#This Row],[Frequency]],SIP[[#This Row],[Investor ID]])</f>
        <v>15A00206</v>
      </c>
      <c r="I634" s="46" t="str">
        <f>IF(SIP[[#This Row],[B/S]]="B","BUY",(IF(SIP[[#This Row],[B/S]]="S","SELL"," ")))</f>
        <v>BUY</v>
      </c>
      <c r="J634" s="46" t="s">
        <v>1229</v>
      </c>
      <c r="K634" s="69">
        <v>7500</v>
      </c>
      <c r="L634" s="122"/>
      <c r="M634" s="123">
        <f>SIP[[#This Row],[Amount]]/SIP[[#This Row],[Unit]]</f>
        <v>11.261261261261261</v>
      </c>
      <c r="N634" s="71">
        <f>SIP[[#This Row],[Unit Capital]]/10</f>
        <v>666</v>
      </c>
      <c r="O634" s="71">
        <f>SUMIFS(SIP[[#Headers],[Unit]]:SIP[[#This Row],[Unit]],SIP[[#Headers],[Investor ID]]:SIP[[#This Row],[Investor ID]],SIP[[#This Row],[Investor ID]])</f>
        <v>10528</v>
      </c>
      <c r="P634" s="73">
        <v>6660</v>
      </c>
      <c r="Q634" s="74">
        <f>SIP[[#This Row],[Amount]]-SIP[[#This Row],[Unit Capital]]</f>
        <v>840</v>
      </c>
      <c r="R6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10.685790273556229</v>
      </c>
      <c r="S634" s="68">
        <f t="shared" si="27"/>
        <v>14.224</v>
      </c>
      <c r="T6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4" s="74" cm="1">
        <f t="array" ref="U634">IF(SIP[[#This Row],[B/S]]="S",ABS(SIP[[#This Row],[Unit]])*(INDEX(SIP[NAV at Cost (Average)],MATCH(CONCATENATE((SIP[[#This Row],[Frequency]]-1),SIP[[#This Row],[Investor ID]]),SIP[Unique Code],0),0)),0)</f>
        <v>0</v>
      </c>
      <c r="V634" s="74">
        <f>IF(SIP[[#This Row],[BO TRANSFER]]="YES",SIP[[#This Row],[Unit]],)</f>
        <v>0</v>
      </c>
      <c r="W634" s="74">
        <f>SUMIFS(SIP[[#Headers],[BO UNIT TRANSFER]]:SIP[[#This Row],[BO UNIT TRANSFER]],SIP[[#Headers],[Investor ID]]:SIP[[#This Row],[Investor ID]],SIP[[#This Row],[Investor ID]])</f>
        <v>0</v>
      </c>
    </row>
    <row r="635" spans="1:23" ht="15" customHeight="1">
      <c r="A635" s="46">
        <v>2024</v>
      </c>
      <c r="B635" s="46">
        <v>7</v>
      </c>
      <c r="C635" s="46">
        <v>26</v>
      </c>
      <c r="D635" s="65">
        <f>DATE(SIP[[#This Row],[Year]],SIP[[#This Row],[Month]],SIP[[#This Row],[Day]])</f>
        <v>45499</v>
      </c>
      <c r="E635" s="66" t="str" cm="1">
        <f t="array" ref="E635">INDEX(INVESTORS_LIST[INVESTOR NAME],MATCH(SIP[[#This Row],[Investor ID]],INVESTORS_LIST[INVESTOR CODE],0),)</f>
        <v>EKUSH WEALTH MANAGEMENT LIMITED EMPLOYEES CONTRIBUTORY PROVIDENT FUND</v>
      </c>
      <c r="F635" s="46" t="s">
        <v>831</v>
      </c>
      <c r="G635" s="46">
        <f>COUNTIF(SIP[[#Headers],[Investor ID]]:SIP[[#This Row],[Investor ID]],SIP[[#This Row],[Investor ID]])</f>
        <v>10</v>
      </c>
      <c r="H635" s="46" t="str">
        <f>CONCATENATE(SIP[[#This Row],[Frequency]],SIP[[#This Row],[Investor ID]])</f>
        <v>10A00392</v>
      </c>
      <c r="I635" s="46" t="str">
        <f>IF(SIP[[#This Row],[B/S]]="B","BUY",(IF(SIP[[#This Row],[B/S]]="S","SELL"," ")))</f>
        <v>BUY</v>
      </c>
      <c r="J635" s="46" t="s">
        <v>1229</v>
      </c>
      <c r="K635" s="69">
        <v>22040</v>
      </c>
      <c r="L635" s="122"/>
      <c r="M635" s="123">
        <f>SIP[[#This Row],[Amount]]/SIP[[#This Row],[Unit]]</f>
        <v>11.262135922330097</v>
      </c>
      <c r="N635" s="71">
        <f>SIP[[#This Row],[Unit Capital]]/10</f>
        <v>1957</v>
      </c>
      <c r="O635" s="71">
        <f>SUMIFS(SIP[[#Headers],[Unit]]:SIP[[#This Row],[Unit]],SIP[[#Headers],[Investor ID]]:SIP[[#This Row],[Investor ID]],SIP[[#This Row],[Investor ID]])</f>
        <v>20826</v>
      </c>
      <c r="P635" s="73">
        <v>19570</v>
      </c>
      <c r="Q635" s="74">
        <f>SIP[[#This Row],[Amount]]-SIP[[#This Row],[Unit Capital]]</f>
        <v>2470</v>
      </c>
      <c r="R6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10.582925189666764</v>
      </c>
      <c r="S635" s="68">
        <f t="shared" si="27"/>
        <v>14.224</v>
      </c>
      <c r="T6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5" s="74" cm="1">
        <f t="array" ref="U635">IF(SIP[[#This Row],[B/S]]="S",ABS(SIP[[#This Row],[Unit]])*(INDEX(SIP[NAV at Cost (Average)],MATCH(CONCATENATE((SIP[[#This Row],[Frequency]]-1),SIP[[#This Row],[Investor ID]]),SIP[Unique Code],0),0)),0)</f>
        <v>0</v>
      </c>
      <c r="V635" s="74">
        <f>IF(SIP[[#This Row],[BO TRANSFER]]="YES",SIP[[#This Row],[Unit]],)</f>
        <v>0</v>
      </c>
      <c r="W635" s="74">
        <f>SUMIFS(SIP[[#Headers],[BO UNIT TRANSFER]]:SIP[[#This Row],[BO UNIT TRANSFER]],SIP[[#Headers],[Investor ID]]:SIP[[#This Row],[Investor ID]],SIP[[#This Row],[Investor ID]])</f>
        <v>0</v>
      </c>
    </row>
    <row r="636" spans="1:23" ht="15" customHeight="1">
      <c r="A636" s="46">
        <v>2024</v>
      </c>
      <c r="B636" s="46">
        <v>7</v>
      </c>
      <c r="C636" s="46">
        <v>26</v>
      </c>
      <c r="D636" s="65">
        <f>DATE(SIP[[#This Row],[Year]],SIP[[#This Row],[Month]],SIP[[#This Row],[Day]])</f>
        <v>45499</v>
      </c>
      <c r="E636" s="66" t="str" cm="1">
        <f t="array" ref="E636">INDEX(INVESTORS_LIST[INVESTOR NAME],MATCH(SIP[[#This Row],[Investor ID]],INVESTORS_LIST[INVESTOR CODE],0),)</f>
        <v>S.M. SAIFUL ISLAM</v>
      </c>
      <c r="F636" s="46" t="s">
        <v>1002</v>
      </c>
      <c r="G636" s="46">
        <f>COUNTIF(SIP[[#Headers],[Investor ID]]:SIP[[#This Row],[Investor ID]],SIP[[#This Row],[Investor ID]])</f>
        <v>15</v>
      </c>
      <c r="H636" s="46" t="str">
        <f>CONCATENATE(SIP[[#This Row],[Frequency]],SIP[[#This Row],[Investor ID]])</f>
        <v>15A00478</v>
      </c>
      <c r="I636" s="46" t="str">
        <f>IF(SIP[[#This Row],[B/S]]="B","BUY",(IF(SIP[[#This Row],[B/S]]="S","SELL"," ")))</f>
        <v>BUY</v>
      </c>
      <c r="J636" s="46" t="s">
        <v>1229</v>
      </c>
      <c r="K636" s="69">
        <v>10000</v>
      </c>
      <c r="L636" s="122"/>
      <c r="M636" s="123">
        <f>SIP[[#This Row],[Amount]]/SIP[[#This Row],[Unit]]</f>
        <v>11.261261261261261</v>
      </c>
      <c r="N636" s="71">
        <f>SIP[[#This Row],[Unit Capital]]/10</f>
        <v>888</v>
      </c>
      <c r="O636" s="71">
        <f>SUMIFS(SIP[[#Headers],[Unit]]:SIP[[#This Row],[Unit]],SIP[[#Headers],[Investor ID]]:SIP[[#This Row],[Investor ID]],SIP[[#This Row],[Investor ID]])</f>
        <v>14041</v>
      </c>
      <c r="P636" s="73">
        <v>8880</v>
      </c>
      <c r="Q636" s="74">
        <f>SIP[[#This Row],[Amount]]-SIP[[#This Row],[Unit Capital]]</f>
        <v>1120</v>
      </c>
      <c r="R6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10.682999786340005</v>
      </c>
      <c r="S636" s="68">
        <f t="shared" si="27"/>
        <v>14.224</v>
      </c>
      <c r="T6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6" s="74" cm="1">
        <f t="array" ref="U636">IF(SIP[[#This Row],[B/S]]="S",ABS(SIP[[#This Row],[Unit]])*(INDEX(SIP[NAV at Cost (Average)],MATCH(CONCATENATE((SIP[[#This Row],[Frequency]]-1),SIP[[#This Row],[Investor ID]]),SIP[Unique Code],0),0)),0)</f>
        <v>0</v>
      </c>
      <c r="V636" s="74">
        <f>IF(SIP[[#This Row],[BO TRANSFER]]="YES",SIP[[#This Row],[Unit]],)</f>
        <v>0</v>
      </c>
      <c r="W636" s="74">
        <f>SUMIFS(SIP[[#Headers],[BO UNIT TRANSFER]]:SIP[[#This Row],[BO UNIT TRANSFER]],SIP[[#Headers],[Investor ID]]:SIP[[#This Row],[Investor ID]],SIP[[#This Row],[Investor ID]])</f>
        <v>0</v>
      </c>
    </row>
    <row r="637" spans="1:23" ht="15" customHeight="1">
      <c r="A637" s="46">
        <v>2024</v>
      </c>
      <c r="B637" s="46">
        <v>7</v>
      </c>
      <c r="C637" s="46">
        <v>26</v>
      </c>
      <c r="D637" s="65">
        <f>DATE(SIP[[#This Row],[Year]],SIP[[#This Row],[Month]],SIP[[#This Row],[Day]])</f>
        <v>45499</v>
      </c>
      <c r="E637" s="66" t="str" cm="1">
        <f t="array" ref="E637">INDEX(INVESTORS_LIST[INVESTOR NAME],MATCH(SIP[[#This Row],[Investor ID]],INVESTORS_LIST[INVESTOR CODE],0),)</f>
        <v>MOHAMMED SHARIFUL ISLAM</v>
      </c>
      <c r="F637" s="46" t="s">
        <v>1028</v>
      </c>
      <c r="G637" s="46">
        <f>COUNTIF(SIP[[#Headers],[Investor ID]]:SIP[[#This Row],[Investor ID]],SIP[[#This Row],[Investor ID]])</f>
        <v>14</v>
      </c>
      <c r="H637" s="46" t="str">
        <f>CONCATENATE(SIP[[#This Row],[Frequency]],SIP[[#This Row],[Investor ID]])</f>
        <v>14A00491</v>
      </c>
      <c r="I637" s="46" t="str">
        <f>IF(SIP[[#This Row],[B/S]]="B","BUY",(IF(SIP[[#This Row],[B/S]]="S","SELL"," ")))</f>
        <v>BUY</v>
      </c>
      <c r="J637" s="46" t="s">
        <v>1229</v>
      </c>
      <c r="K637" s="69">
        <v>5000</v>
      </c>
      <c r="L637" s="122"/>
      <c r="M637" s="123">
        <f>SIP[[#This Row],[Amount]]/SIP[[#This Row],[Unit]]</f>
        <v>11.261261261261261</v>
      </c>
      <c r="N637" s="71">
        <f>SIP[[#This Row],[Unit Capital]]/10</f>
        <v>444</v>
      </c>
      <c r="O637" s="71">
        <f>SUMIFS(SIP[[#Headers],[Unit]]:SIP[[#This Row],[Unit]],SIP[[#Headers],[Investor ID]]:SIP[[#This Row],[Investor ID]],SIP[[#This Row],[Investor ID]])</f>
        <v>6527</v>
      </c>
      <c r="P637" s="73">
        <v>4440</v>
      </c>
      <c r="Q637" s="74">
        <f>SIP[[#This Row],[Amount]]-SIP[[#This Row],[Unit Capital]]</f>
        <v>560</v>
      </c>
      <c r="R6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37" s="68">
        <f t="shared" si="27"/>
        <v>14.224</v>
      </c>
      <c r="T6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7" s="74" cm="1">
        <f t="array" ref="U637">IF(SIP[[#This Row],[B/S]]="S",ABS(SIP[[#This Row],[Unit]])*(INDEX(SIP[NAV at Cost (Average)],MATCH(CONCATENATE((SIP[[#This Row],[Frequency]]-1),SIP[[#This Row],[Investor ID]]),SIP[Unique Code],0),0)),0)</f>
        <v>0</v>
      </c>
      <c r="V637" s="74">
        <f>IF(SIP[[#This Row],[BO TRANSFER]]="YES",SIP[[#This Row],[Unit]],)</f>
        <v>0</v>
      </c>
      <c r="W637" s="74">
        <f>SUMIFS(SIP[[#Headers],[BO UNIT TRANSFER]]:SIP[[#This Row],[BO UNIT TRANSFER]],SIP[[#Headers],[Investor ID]]:SIP[[#This Row],[Investor ID]],SIP[[#This Row],[Investor ID]])</f>
        <v>0</v>
      </c>
    </row>
    <row r="638" spans="1:23" ht="15" customHeight="1">
      <c r="A638" s="46">
        <v>2024</v>
      </c>
      <c r="B638" s="46">
        <v>7</v>
      </c>
      <c r="C638" s="46">
        <v>26</v>
      </c>
      <c r="D638" s="65">
        <f>DATE(SIP[[#This Row],[Year]],SIP[[#This Row],[Month]],SIP[[#This Row],[Day]])</f>
        <v>45499</v>
      </c>
      <c r="E638" s="66" t="str" cm="1">
        <f t="array" ref="E638">INDEX(INVESTORS_LIST[INVESTOR NAME],MATCH(SIP[[#This Row],[Investor ID]],INVESTORS_LIST[INVESTOR CODE],0),)</f>
        <v>ABU MUSA MIRZA KAMRUZZAMAN SHAHEE</v>
      </c>
      <c r="F638" s="46" t="s">
        <v>1012</v>
      </c>
      <c r="G638" s="46">
        <f>COUNTIF(SIP[[#Headers],[Investor ID]]:SIP[[#This Row],[Investor ID]],SIP[[#This Row],[Investor ID]])</f>
        <v>14</v>
      </c>
      <c r="H638" s="46" t="str">
        <f>CONCATENATE(SIP[[#This Row],[Frequency]],SIP[[#This Row],[Investor ID]])</f>
        <v>14A00483</v>
      </c>
      <c r="I638" s="46" t="str">
        <f>IF(SIP[[#This Row],[B/S]]="B","BUY",(IF(SIP[[#This Row],[B/S]]="S","SELL"," ")))</f>
        <v>BUY</v>
      </c>
      <c r="J638" s="46" t="s">
        <v>1229</v>
      </c>
      <c r="K638" s="69">
        <v>5000</v>
      </c>
      <c r="L638" s="122"/>
      <c r="M638" s="123">
        <f>SIP[[#This Row],[Amount]]/SIP[[#This Row],[Unit]]</f>
        <v>11.261261261261261</v>
      </c>
      <c r="N638" s="71">
        <f>SIP[[#This Row],[Unit Capital]]/10</f>
        <v>444</v>
      </c>
      <c r="O638" s="71">
        <f>SUMIFS(SIP[[#Headers],[Unit]]:SIP[[#This Row],[Unit]],SIP[[#Headers],[Investor ID]]:SIP[[#This Row],[Investor ID]],SIP[[#This Row],[Investor ID]])</f>
        <v>6527</v>
      </c>
      <c r="P638" s="73">
        <v>4440</v>
      </c>
      <c r="Q638" s="74">
        <f>SIP[[#This Row],[Amount]]-SIP[[#This Row],[Unit Capital]]</f>
        <v>560</v>
      </c>
      <c r="R6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38" s="68">
        <f t="shared" si="27"/>
        <v>14.224</v>
      </c>
      <c r="T6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8" s="74" cm="1">
        <f t="array" ref="U638">IF(SIP[[#This Row],[B/S]]="S",ABS(SIP[[#This Row],[Unit]])*(INDEX(SIP[NAV at Cost (Average)],MATCH(CONCATENATE((SIP[[#This Row],[Frequency]]-1),SIP[[#This Row],[Investor ID]]),SIP[Unique Code],0),0)),0)</f>
        <v>0</v>
      </c>
      <c r="V638" s="74">
        <f>IF(SIP[[#This Row],[BO TRANSFER]]="YES",SIP[[#This Row],[Unit]],)</f>
        <v>0</v>
      </c>
      <c r="W638" s="74">
        <f>SUMIFS(SIP[[#Headers],[BO UNIT TRANSFER]]:SIP[[#This Row],[BO UNIT TRANSFER]],SIP[[#Headers],[Investor ID]]:SIP[[#This Row],[Investor ID]],SIP[[#This Row],[Investor ID]])</f>
        <v>0</v>
      </c>
    </row>
    <row r="639" spans="1:23" ht="15" customHeight="1">
      <c r="A639" s="46">
        <v>2024</v>
      </c>
      <c r="B639" s="46">
        <v>7</v>
      </c>
      <c r="C639" s="46">
        <v>26</v>
      </c>
      <c r="D639" s="65">
        <f>DATE(SIP[[#This Row],[Year]],SIP[[#This Row],[Month]],SIP[[#This Row],[Day]])</f>
        <v>45499</v>
      </c>
      <c r="E639" s="66" t="str" cm="1">
        <f t="array" ref="E639">INDEX(INVESTORS_LIST[INVESTOR NAME],MATCH(SIP[[#This Row],[Investor ID]],INVESTORS_LIST[INVESTOR CODE],0),)</f>
        <v>ASHIK IQBAL CHOWDHURY</v>
      </c>
      <c r="F639" s="46" t="s">
        <v>1016</v>
      </c>
      <c r="G639" s="46">
        <f>COUNTIF(SIP[[#Headers],[Investor ID]]:SIP[[#This Row],[Investor ID]],SIP[[#This Row],[Investor ID]])</f>
        <v>13</v>
      </c>
      <c r="H639" s="46" t="str">
        <f>CONCATENATE(SIP[[#This Row],[Frequency]],SIP[[#This Row],[Investor ID]])</f>
        <v>13A00485</v>
      </c>
      <c r="I639" s="46" t="str">
        <f>IF(SIP[[#This Row],[B/S]]="B","BUY",(IF(SIP[[#This Row],[B/S]]="S","SELL"," ")))</f>
        <v>BUY</v>
      </c>
      <c r="J639" s="46" t="s">
        <v>1229</v>
      </c>
      <c r="K639" s="69">
        <v>5000</v>
      </c>
      <c r="L639" s="122"/>
      <c r="M639" s="123">
        <f>SIP[[#This Row],[Amount]]/SIP[[#This Row],[Unit]]</f>
        <v>11.261261261261261</v>
      </c>
      <c r="N639" s="71">
        <f>SIP[[#This Row],[Unit Capital]]/10</f>
        <v>444</v>
      </c>
      <c r="O639" s="71">
        <f>SUMIFS(SIP[[#Headers],[Unit]]:SIP[[#This Row],[Unit]],SIP[[#Headers],[Investor ID]]:SIP[[#This Row],[Investor ID]],SIP[[#This Row],[Investor ID]])</f>
        <v>6075</v>
      </c>
      <c r="P639" s="73">
        <v>4440</v>
      </c>
      <c r="Q639" s="74">
        <f>SIP[[#This Row],[Amount]]-SIP[[#This Row],[Unit Capital]]</f>
        <v>560</v>
      </c>
      <c r="R6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10.699588477366255</v>
      </c>
      <c r="S639" s="68">
        <f t="shared" si="27"/>
        <v>14.224</v>
      </c>
      <c r="T6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9" s="74" cm="1">
        <f t="array" ref="U639">IF(SIP[[#This Row],[B/S]]="S",ABS(SIP[[#This Row],[Unit]])*(INDEX(SIP[NAV at Cost (Average)],MATCH(CONCATENATE((SIP[[#This Row],[Frequency]]-1),SIP[[#This Row],[Investor ID]]),SIP[Unique Code],0),0)),0)</f>
        <v>0</v>
      </c>
      <c r="V639" s="74">
        <f>IF(SIP[[#This Row],[BO TRANSFER]]="YES",SIP[[#This Row],[Unit]],)</f>
        <v>0</v>
      </c>
      <c r="W639" s="74">
        <f>SUMIFS(SIP[[#Headers],[BO UNIT TRANSFER]]:SIP[[#This Row],[BO UNIT TRANSFER]],SIP[[#Headers],[Investor ID]]:SIP[[#This Row],[Investor ID]],SIP[[#This Row],[Investor ID]])</f>
        <v>0</v>
      </c>
    </row>
    <row r="640" spans="1:23" ht="15" customHeight="1">
      <c r="A640" s="46">
        <v>2024</v>
      </c>
      <c r="B640" s="46">
        <v>7</v>
      </c>
      <c r="C640" s="46">
        <v>26</v>
      </c>
      <c r="D640" s="65">
        <f>DATE(SIP[[#This Row],[Year]],SIP[[#This Row],[Month]],SIP[[#This Row],[Day]])</f>
        <v>45499</v>
      </c>
      <c r="E640" s="66" t="str" cm="1">
        <f t="array" ref="E640">INDEX(INVESTORS_LIST[INVESTOR NAME],MATCH(SIP[[#This Row],[Investor ID]],INVESTORS_LIST[INVESTOR CODE],0),)</f>
        <v>SUMAN SAHA</v>
      </c>
      <c r="F640" s="46" t="s">
        <v>1022</v>
      </c>
      <c r="G640" s="46">
        <f>COUNTIF(SIP[[#Headers],[Investor ID]]:SIP[[#This Row],[Investor ID]],SIP[[#This Row],[Investor ID]])</f>
        <v>14</v>
      </c>
      <c r="H640" s="46" t="str">
        <f>CONCATENATE(SIP[[#This Row],[Frequency]],SIP[[#This Row],[Investor ID]])</f>
        <v>14A00488</v>
      </c>
      <c r="I640" s="46" t="str">
        <f>IF(SIP[[#This Row],[B/S]]="B","BUY",(IF(SIP[[#This Row],[B/S]]="S","SELL"," ")))</f>
        <v>BUY</v>
      </c>
      <c r="J640" s="46" t="s">
        <v>1229</v>
      </c>
      <c r="K640" s="69">
        <v>5000</v>
      </c>
      <c r="L640" s="122"/>
      <c r="M640" s="123">
        <f>SIP[[#This Row],[Amount]]/SIP[[#This Row],[Unit]]</f>
        <v>11.261261261261261</v>
      </c>
      <c r="N640" s="71">
        <f>SIP[[#This Row],[Unit Capital]]/10</f>
        <v>444</v>
      </c>
      <c r="O640" s="71">
        <f>SUMIFS(SIP[[#Headers],[Unit]]:SIP[[#This Row],[Unit]],SIP[[#Headers],[Investor ID]]:SIP[[#This Row],[Investor ID]],SIP[[#This Row],[Investor ID]])</f>
        <v>6527</v>
      </c>
      <c r="P640" s="73">
        <v>4440</v>
      </c>
      <c r="Q640" s="74">
        <f>SIP[[#This Row],[Amount]]-SIP[[#This Row],[Unit Capital]]</f>
        <v>560</v>
      </c>
      <c r="R6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40" s="68">
        <f t="shared" si="27"/>
        <v>14.224</v>
      </c>
      <c r="T6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0" s="74" cm="1">
        <f t="array" ref="U640">IF(SIP[[#This Row],[B/S]]="S",ABS(SIP[[#This Row],[Unit]])*(INDEX(SIP[NAV at Cost (Average)],MATCH(CONCATENATE((SIP[[#This Row],[Frequency]]-1),SIP[[#This Row],[Investor ID]]),SIP[Unique Code],0),0)),0)</f>
        <v>0</v>
      </c>
      <c r="V640" s="74">
        <f>IF(SIP[[#This Row],[BO TRANSFER]]="YES",SIP[[#This Row],[Unit]],)</f>
        <v>0</v>
      </c>
      <c r="W640" s="74">
        <f>SUMIFS(SIP[[#Headers],[BO UNIT TRANSFER]]:SIP[[#This Row],[BO UNIT TRANSFER]],SIP[[#Headers],[Investor ID]]:SIP[[#This Row],[Investor ID]],SIP[[#This Row],[Investor ID]])</f>
        <v>0</v>
      </c>
    </row>
    <row r="641" spans="1:23" ht="15" customHeight="1">
      <c r="A641" s="46">
        <v>2024</v>
      </c>
      <c r="B641" s="46">
        <v>7</v>
      </c>
      <c r="C641" s="46">
        <v>26</v>
      </c>
      <c r="D641" s="65">
        <f>DATE(SIP[[#This Row],[Year]],SIP[[#This Row],[Month]],SIP[[#This Row],[Day]])</f>
        <v>45499</v>
      </c>
      <c r="E641" s="66" t="str" cm="1">
        <f t="array" ref="E641">INDEX(INVESTORS_LIST[INVESTOR NAME],MATCH(SIP[[#This Row],[Investor ID]],INVESTORS_LIST[INVESTOR CODE],0),)</f>
        <v>AKASH DEEP PAUL</v>
      </c>
      <c r="F641" s="46" t="s">
        <v>286</v>
      </c>
      <c r="G641" s="46">
        <f>COUNTIF(SIP[[#Headers],[Investor ID]]:SIP[[#This Row],[Investor ID]],SIP[[#This Row],[Investor ID]])</f>
        <v>14</v>
      </c>
      <c r="H641" s="46" t="str">
        <f>CONCATENATE(SIP[[#This Row],[Frequency]],SIP[[#This Row],[Investor ID]])</f>
        <v>14A00119</v>
      </c>
      <c r="I641" s="46" t="str">
        <f>IF(SIP[[#This Row],[B/S]]="B","BUY",(IF(SIP[[#This Row],[B/S]]="S","SELL"," ")))</f>
        <v>BUY</v>
      </c>
      <c r="J641" s="46" t="s">
        <v>1229</v>
      </c>
      <c r="K641" s="69">
        <v>5000</v>
      </c>
      <c r="L641" s="122"/>
      <c r="M641" s="123">
        <f>SIP[[#This Row],[Amount]]/SIP[[#This Row],[Unit]]</f>
        <v>11.261261261261261</v>
      </c>
      <c r="N641" s="71">
        <f>SIP[[#This Row],[Unit Capital]]/10</f>
        <v>444</v>
      </c>
      <c r="O641" s="71">
        <f>SUMIFS(SIP[[#Headers],[Unit]]:SIP[[#This Row],[Unit]],SIP[[#Headers],[Investor ID]]:SIP[[#This Row],[Investor ID]],SIP[[#This Row],[Investor ID]])</f>
        <v>6527</v>
      </c>
      <c r="P641" s="73">
        <v>4440</v>
      </c>
      <c r="Q641" s="74">
        <f>SIP[[#This Row],[Amount]]-SIP[[#This Row],[Unit Capital]]</f>
        <v>560</v>
      </c>
      <c r="R6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10.724682089780909</v>
      </c>
      <c r="S641" s="68">
        <f t="shared" si="27"/>
        <v>14.224</v>
      </c>
      <c r="T6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1" s="74" cm="1">
        <f t="array" ref="U641">IF(SIP[[#This Row],[B/S]]="S",ABS(SIP[[#This Row],[Unit]])*(INDEX(SIP[NAV at Cost (Average)],MATCH(CONCATENATE((SIP[[#This Row],[Frequency]]-1),SIP[[#This Row],[Investor ID]]),SIP[Unique Code],0),0)),0)</f>
        <v>0</v>
      </c>
      <c r="V641" s="74">
        <f>IF(SIP[[#This Row],[BO TRANSFER]]="YES",SIP[[#This Row],[Unit]],)</f>
        <v>0</v>
      </c>
      <c r="W641" s="74">
        <f>SUMIFS(SIP[[#Headers],[BO UNIT TRANSFER]]:SIP[[#This Row],[BO UNIT TRANSFER]],SIP[[#Headers],[Investor ID]]:SIP[[#This Row],[Investor ID]],SIP[[#This Row],[Investor ID]])</f>
        <v>0</v>
      </c>
    </row>
    <row r="642" spans="1:23" ht="15" customHeight="1">
      <c r="A642" s="46">
        <v>2024</v>
      </c>
      <c r="B642" s="46">
        <v>7</v>
      </c>
      <c r="C642" s="46">
        <v>26</v>
      </c>
      <c r="D642" s="65">
        <f>DATE(SIP[[#This Row],[Year]],SIP[[#This Row],[Month]],SIP[[#This Row],[Day]])</f>
        <v>45499</v>
      </c>
      <c r="E642" s="66" t="str" cm="1">
        <f t="array" ref="E642">INDEX(INVESTORS_LIST[INVESTOR NAME],MATCH(SIP[[#This Row],[Investor ID]],INVESTORS_LIST[INVESTOR CODE],0),)</f>
        <v>JUBAIDA FARHANA HAQUE</v>
      </c>
      <c r="F642" s="46" t="s">
        <v>1065</v>
      </c>
      <c r="G642" s="46">
        <f>COUNTIF(SIP[[#Headers],[Investor ID]]:SIP[[#This Row],[Investor ID]],SIP[[#This Row],[Investor ID]])</f>
        <v>12</v>
      </c>
      <c r="H642" s="46" t="str">
        <f>CONCATENATE(SIP[[#This Row],[Frequency]],SIP[[#This Row],[Investor ID]])</f>
        <v>12A00510</v>
      </c>
      <c r="I642" s="46" t="str">
        <f>IF(SIP[[#This Row],[B/S]]="B","BUY",(IF(SIP[[#This Row],[B/S]]="S","SELL"," ")))</f>
        <v>BUY</v>
      </c>
      <c r="J642" s="46" t="s">
        <v>1229</v>
      </c>
      <c r="K642" s="69">
        <v>5000</v>
      </c>
      <c r="L642" s="122"/>
      <c r="M642" s="123">
        <f>SIP[[#This Row],[Amount]]/SIP[[#This Row],[Unit]]</f>
        <v>11.261261261261261</v>
      </c>
      <c r="N642" s="71">
        <f>SIP[[#This Row],[Unit Capital]]/10</f>
        <v>444</v>
      </c>
      <c r="O642" s="71">
        <f>SUMIFS(SIP[[#Headers],[Unit]]:SIP[[#This Row],[Unit]],SIP[[#Headers],[Investor ID]]:SIP[[#This Row],[Investor ID]],SIP[[#This Row],[Investor ID]])</f>
        <v>4603</v>
      </c>
      <c r="P642" s="73">
        <v>4440</v>
      </c>
      <c r="Q642" s="74">
        <f>SIP[[#This Row],[Amount]]-SIP[[#This Row],[Unit Capital]]</f>
        <v>560</v>
      </c>
      <c r="R6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10.865907640813047</v>
      </c>
      <c r="S642" s="68">
        <f t="shared" si="27"/>
        <v>14.224</v>
      </c>
      <c r="T6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2" s="74" cm="1">
        <f t="array" ref="U642">IF(SIP[[#This Row],[B/S]]="S",ABS(SIP[[#This Row],[Unit]])*(INDEX(SIP[NAV at Cost (Average)],MATCH(CONCATENATE((SIP[[#This Row],[Frequency]]-1),SIP[[#This Row],[Investor ID]]),SIP[Unique Code],0),0)),0)</f>
        <v>0</v>
      </c>
      <c r="V642" s="74">
        <f>IF(SIP[[#This Row],[BO TRANSFER]]="YES",SIP[[#This Row],[Unit]],)</f>
        <v>0</v>
      </c>
      <c r="W642" s="74">
        <f>SUMIFS(SIP[[#Headers],[BO UNIT TRANSFER]]:SIP[[#This Row],[BO UNIT TRANSFER]],SIP[[#Headers],[Investor ID]]:SIP[[#This Row],[Investor ID]],SIP[[#This Row],[Investor ID]])</f>
        <v>0</v>
      </c>
    </row>
    <row r="643" spans="1:23" ht="15" customHeight="1">
      <c r="A643" s="46">
        <v>2024</v>
      </c>
      <c r="B643" s="46">
        <v>7</v>
      </c>
      <c r="C643" s="46">
        <v>26</v>
      </c>
      <c r="D643" s="65">
        <f>DATE(SIP[[#This Row],[Year]],SIP[[#This Row],[Month]],SIP[[#This Row],[Day]])</f>
        <v>45499</v>
      </c>
      <c r="E643" s="66" t="str" cm="1">
        <f t="array" ref="E643">INDEX(INVESTORS_LIST[INVESTOR NAME],MATCH(SIP[[#This Row],[Investor ID]],INVESTORS_LIST[INVESTOR CODE],0),)</f>
        <v>MAYA RANI SAHA</v>
      </c>
      <c r="F643" s="46" t="s">
        <v>224</v>
      </c>
      <c r="G643" s="46">
        <f>COUNTIF(SIP[[#Headers],[Investor ID]]:SIP[[#This Row],[Investor ID]],SIP[[#This Row],[Investor ID]])</f>
        <v>18</v>
      </c>
      <c r="H643" s="46" t="str">
        <f>CONCATENATE(SIP[[#This Row],[Frequency]],SIP[[#This Row],[Investor ID]])</f>
        <v>18A00088</v>
      </c>
      <c r="I643" s="46" t="str">
        <f>IF(SIP[[#This Row],[B/S]]="B","BUY",(IF(SIP[[#This Row],[B/S]]="S","SELL"," ")))</f>
        <v>BUY</v>
      </c>
      <c r="J643" s="46" t="s">
        <v>1229</v>
      </c>
      <c r="K643" s="69">
        <v>14000</v>
      </c>
      <c r="L643" s="122"/>
      <c r="M643" s="123">
        <f>SIP[[#This Row],[Amount]]/SIP[[#This Row],[Unit]]</f>
        <v>11.263073209975865</v>
      </c>
      <c r="N643" s="71">
        <f>SIP[[#This Row],[Unit Capital]]/10</f>
        <v>1243</v>
      </c>
      <c r="O643" s="71">
        <f>SUMIFS(SIP[[#Headers],[Unit]]:SIP[[#This Row],[Unit]],SIP[[#Headers],[Investor ID]]:SIP[[#This Row],[Investor ID]],SIP[[#This Row],[Investor ID]])</f>
        <v>26169</v>
      </c>
      <c r="P643" s="73">
        <v>12430</v>
      </c>
      <c r="Q643" s="74">
        <f>SIP[[#This Row],[Amount]]-SIP[[#This Row],[Unit Capital]]</f>
        <v>1570</v>
      </c>
      <c r="R6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10.852535442699377</v>
      </c>
      <c r="S643" s="68">
        <f t="shared" si="27"/>
        <v>14.224</v>
      </c>
      <c r="T6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3" s="74" cm="1">
        <f t="array" ref="U643">IF(SIP[[#This Row],[B/S]]="S",ABS(SIP[[#This Row],[Unit]])*(INDEX(SIP[NAV at Cost (Average)],MATCH(CONCATENATE((SIP[[#This Row],[Frequency]]-1),SIP[[#This Row],[Investor ID]]),SIP[Unique Code],0),0)),0)</f>
        <v>0</v>
      </c>
      <c r="V643" s="74">
        <f>IF(SIP[[#This Row],[BO TRANSFER]]="YES",SIP[[#This Row],[Unit]],)</f>
        <v>0</v>
      </c>
      <c r="W643" s="74">
        <f>SUMIFS(SIP[[#Headers],[BO UNIT TRANSFER]]:SIP[[#This Row],[BO UNIT TRANSFER]],SIP[[#Headers],[Investor ID]]:SIP[[#This Row],[Investor ID]],SIP[[#This Row],[Investor ID]])</f>
        <v>0</v>
      </c>
    </row>
    <row r="644" spans="1:23" ht="15" customHeight="1">
      <c r="A644" s="46">
        <v>2024</v>
      </c>
      <c r="B644" s="46">
        <v>7</v>
      </c>
      <c r="C644" s="46">
        <v>26</v>
      </c>
      <c r="D644" s="65">
        <f>DATE(SIP[[#This Row],[Year]],SIP[[#This Row],[Month]],SIP[[#This Row],[Day]])</f>
        <v>45499</v>
      </c>
      <c r="E644" s="66" t="str" cm="1">
        <f t="array" ref="E644">INDEX(INVESTORS_LIST[INVESTOR NAME],MATCH(SIP[[#This Row],[Investor ID]],INVESTORS_LIST[INVESTOR CODE],0),)</f>
        <v>MUHAMMAD SHOHIDUZZAMAN</v>
      </c>
      <c r="F644" s="46" t="s">
        <v>986</v>
      </c>
      <c r="G644" s="46">
        <f>COUNTIF(SIP[[#Headers],[Investor ID]]:SIP[[#This Row],[Investor ID]],SIP[[#This Row],[Investor ID]])</f>
        <v>9</v>
      </c>
      <c r="H644" s="46" t="str">
        <f>CONCATENATE(SIP[[#This Row],[Frequency]],SIP[[#This Row],[Investor ID]])</f>
        <v>9A00470</v>
      </c>
      <c r="I644" s="46" t="str">
        <f>IF(SIP[[#This Row],[B/S]]="B","BUY",(IF(SIP[[#This Row],[B/S]]="S","SELL"," ")))</f>
        <v>BUY</v>
      </c>
      <c r="J644" s="46" t="s">
        <v>1229</v>
      </c>
      <c r="K644" s="69">
        <v>10000</v>
      </c>
      <c r="L644" s="122" t="s">
        <v>1230</v>
      </c>
      <c r="M644" s="123">
        <f>SIP[[#This Row],[Amount]]/SIP[[#This Row],[Unit]]</f>
        <v>11.261261261261261</v>
      </c>
      <c r="N644" s="71">
        <f>SIP[[#This Row],[Unit Capital]]/10</f>
        <v>888</v>
      </c>
      <c r="O644" s="71">
        <f>SUMIFS(SIP[[#Headers],[Unit]]:SIP[[#This Row],[Unit]],SIP[[#Headers],[Investor ID]]:SIP[[#This Row],[Investor ID]],SIP[[#This Row],[Investor ID]])</f>
        <v>8256</v>
      </c>
      <c r="P644" s="73">
        <v>8880</v>
      </c>
      <c r="Q644" s="74">
        <f>SIP[[#This Row],[Amount]]-SIP[[#This Row],[Unit Capital]]</f>
        <v>1120</v>
      </c>
      <c r="R6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10.901162790697674</v>
      </c>
      <c r="S644" s="68">
        <f t="shared" si="27"/>
        <v>14.224</v>
      </c>
      <c r="T6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4" s="74" cm="1">
        <f t="array" ref="U644">IF(SIP[[#This Row],[B/S]]="S",ABS(SIP[[#This Row],[Unit]])*(INDEX(SIP[NAV at Cost (Average)],MATCH(CONCATENATE((SIP[[#This Row],[Frequency]]-1),SIP[[#This Row],[Investor ID]]),SIP[Unique Code],0),0)),0)</f>
        <v>0</v>
      </c>
      <c r="V644" s="74">
        <f>IF(SIP[[#This Row],[BO TRANSFER]]="YES",SIP[[#This Row],[Unit]],)</f>
        <v>888</v>
      </c>
      <c r="W644" s="74">
        <f>SUMIFS(SIP[[#Headers],[BO UNIT TRANSFER]]:SIP[[#This Row],[BO UNIT TRANSFER]],SIP[[#Headers],[Investor ID]]:SIP[[#This Row],[Investor ID]],SIP[[#This Row],[Investor ID]])</f>
        <v>8256</v>
      </c>
    </row>
    <row r="645" spans="1:23" ht="15" customHeight="1">
      <c r="A645" s="46">
        <v>2024</v>
      </c>
      <c r="B645" s="46">
        <v>7</v>
      </c>
      <c r="C645" s="46">
        <v>26</v>
      </c>
      <c r="D645" s="65">
        <f>DATE(SIP[[#This Row],[Year]],SIP[[#This Row],[Month]],SIP[[#This Row],[Day]])</f>
        <v>45499</v>
      </c>
      <c r="E645" s="66" t="str" cm="1">
        <f t="array" ref="E645">INDEX(INVESTORS_LIST[INVESTOR NAME],MATCH(SIP[[#This Row],[Investor ID]],INVESTORS_LIST[INVESTOR CODE],0),)</f>
        <v>KHALED HOSSAIN</v>
      </c>
      <c r="F645" s="46" t="s">
        <v>1050</v>
      </c>
      <c r="G645" s="46">
        <f>COUNTIF(SIP[[#Headers],[Investor ID]]:SIP[[#This Row],[Investor ID]],SIP[[#This Row],[Investor ID]])</f>
        <v>23</v>
      </c>
      <c r="H645" s="46" t="str">
        <f>CONCATENATE(SIP[[#This Row],[Frequency]],SIP[[#This Row],[Investor ID]])</f>
        <v>23A00502</v>
      </c>
      <c r="I645" s="46" t="str">
        <f>IF(SIP[[#This Row],[B/S]]="B","BUY",(IF(SIP[[#This Row],[B/S]]="S","SELL"," ")))</f>
        <v>BUY</v>
      </c>
      <c r="J645" s="46" t="s">
        <v>1229</v>
      </c>
      <c r="K645" s="69">
        <v>10000</v>
      </c>
      <c r="L645" s="122"/>
      <c r="M645" s="123">
        <f>SIP[[#This Row],[Amount]]/SIP[[#This Row],[Unit]]</f>
        <v>11.261261261261261</v>
      </c>
      <c r="N645" s="71">
        <f>SIP[[#This Row],[Unit Capital]]/10</f>
        <v>888</v>
      </c>
      <c r="O645" s="71">
        <f>SUMIFS(SIP[[#Headers],[Unit]]:SIP[[#This Row],[Unit]],SIP[[#Headers],[Investor ID]]:SIP[[#This Row],[Investor ID]],SIP[[#This Row],[Investor ID]])</f>
        <v>888</v>
      </c>
      <c r="P645" s="73">
        <v>8880</v>
      </c>
      <c r="Q645" s="74">
        <f>SIP[[#This Row],[Amount]]-SIP[[#This Row],[Unit Capital]]</f>
        <v>1120</v>
      </c>
      <c r="R6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11.261261261261261</v>
      </c>
      <c r="S645" s="68">
        <f t="shared" si="27"/>
        <v>14.224</v>
      </c>
      <c r="T6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5" s="74" cm="1">
        <f t="array" ref="U645">IF(SIP[[#This Row],[B/S]]="S",ABS(SIP[[#This Row],[Unit]])*(INDEX(SIP[NAV at Cost (Average)],MATCH(CONCATENATE((SIP[[#This Row],[Frequency]]-1),SIP[[#This Row],[Investor ID]]),SIP[Unique Code],0),0)),0)</f>
        <v>0</v>
      </c>
      <c r="V645" s="74">
        <f>IF(SIP[[#This Row],[BO TRANSFER]]="YES",SIP[[#This Row],[Unit]],)</f>
        <v>0</v>
      </c>
      <c r="W645" s="74">
        <f>SUMIFS(SIP[[#Headers],[BO UNIT TRANSFER]]:SIP[[#This Row],[BO UNIT TRANSFER]],SIP[[#Headers],[Investor ID]]:SIP[[#This Row],[Investor ID]],SIP[[#This Row],[Investor ID]])</f>
        <v>0</v>
      </c>
    </row>
    <row r="646" spans="1:23" ht="15" customHeight="1">
      <c r="A646" s="46">
        <v>2024</v>
      </c>
      <c r="B646" s="46">
        <v>7</v>
      </c>
      <c r="C646" s="46">
        <v>26</v>
      </c>
      <c r="D646" s="65">
        <f>DATE(SIP[[#This Row],[Year]],SIP[[#This Row],[Month]],SIP[[#This Row],[Day]])</f>
        <v>45499</v>
      </c>
      <c r="E646" s="66" t="str" cm="1">
        <f t="array" ref="E646">INDEX(INVESTORS_LIST[INVESTOR NAME],MATCH(SIP[[#This Row],[Investor ID]],INVESTORS_LIST[INVESTOR CODE],0),)</f>
        <v>MOHAMMAD SAMIUL ALAM</v>
      </c>
      <c r="F646" s="46" t="s">
        <v>537</v>
      </c>
      <c r="G646" s="46">
        <f>COUNTIF(SIP[[#Headers],[Investor ID]]:SIP[[#This Row],[Investor ID]],SIP[[#This Row],[Investor ID]])</f>
        <v>12</v>
      </c>
      <c r="H646" s="46" t="str">
        <f>CONCATENATE(SIP[[#This Row],[Frequency]],SIP[[#This Row],[Investor ID]])</f>
        <v>12A00244</v>
      </c>
      <c r="I646" s="46" t="str">
        <f>IF(SIP[[#This Row],[B/S]]="B","BUY",(IF(SIP[[#This Row],[B/S]]="S","SELL"," ")))</f>
        <v>BUY</v>
      </c>
      <c r="J646" s="46" t="s">
        <v>1229</v>
      </c>
      <c r="K646" s="69">
        <v>20000</v>
      </c>
      <c r="L646" s="69"/>
      <c r="M646" s="123">
        <f>SIP[[#This Row],[Amount]]/SIP[[#This Row],[Unit]]</f>
        <v>11.261261261261261</v>
      </c>
      <c r="N646" s="71">
        <f>SIP[[#This Row],[Unit Capital]]/10</f>
        <v>1776</v>
      </c>
      <c r="O646" s="71">
        <f>SUMIFS(SIP[[#Headers],[Unit]]:SIP[[#This Row],[Unit]],SIP[[#Headers],[Investor ID]]:SIP[[#This Row],[Investor ID]],SIP[[#This Row],[Investor ID]])</f>
        <v>22234</v>
      </c>
      <c r="P646" s="73">
        <v>17760</v>
      </c>
      <c r="Q646" s="74">
        <f>SIP[[#This Row],[Amount]]-SIP[[#This Row],[Unit Capital]]</f>
        <v>2240</v>
      </c>
      <c r="R6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10.79427903211298</v>
      </c>
      <c r="S646" s="68">
        <f t="shared" si="27"/>
        <v>14.224</v>
      </c>
      <c r="T6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6" s="74" cm="1">
        <f t="array" ref="U646">IF(SIP[[#This Row],[B/S]]="S",ABS(SIP[[#This Row],[Unit]])*(INDEX(SIP[NAV at Cost (Average)],MATCH(CONCATENATE((SIP[[#This Row],[Frequency]]-1),SIP[[#This Row],[Investor ID]]),SIP[Unique Code],0),0)),0)</f>
        <v>0</v>
      </c>
      <c r="V646" s="74">
        <f>IF(SIP[[#This Row],[BO TRANSFER]]="YES",SIP[[#This Row],[Unit]],)</f>
        <v>0</v>
      </c>
      <c r="W646" s="74">
        <f>SUMIFS(SIP[[#Headers],[BO UNIT TRANSFER]]:SIP[[#This Row],[BO UNIT TRANSFER]],SIP[[#Headers],[Investor ID]]:SIP[[#This Row],[Investor ID]],SIP[[#This Row],[Investor ID]])</f>
        <v>0</v>
      </c>
    </row>
    <row r="647" spans="1:23" ht="15" customHeight="1">
      <c r="A647" s="46">
        <v>2024</v>
      </c>
      <c r="B647" s="46">
        <v>7</v>
      </c>
      <c r="C647" s="46">
        <v>26</v>
      </c>
      <c r="D647" s="65">
        <f>DATE(SIP[[#This Row],[Year]],SIP[[#This Row],[Month]],SIP[[#This Row],[Day]])</f>
        <v>45499</v>
      </c>
      <c r="E647" s="66" t="str" cm="1">
        <f t="array" ref="E647">INDEX(INVESTORS_LIST[INVESTOR NAME],MATCH(SIP[[#This Row],[Investor ID]],INVESTORS_LIST[INVESTOR CODE],0),)</f>
        <v>MRINMOY GHOSH</v>
      </c>
      <c r="F647" s="46" t="s">
        <v>69</v>
      </c>
      <c r="G647" s="46">
        <f>COUNTIF(SIP[[#Headers],[Investor ID]]:SIP[[#This Row],[Investor ID]],SIP[[#This Row],[Investor ID]])</f>
        <v>11</v>
      </c>
      <c r="H647" s="46" t="str">
        <f>CONCATENATE(SIP[[#This Row],[Frequency]],SIP[[#This Row],[Investor ID]])</f>
        <v>11A00012</v>
      </c>
      <c r="I647" s="46" t="str">
        <f>IF(SIP[[#This Row],[B/S]]="B","BUY",(IF(SIP[[#This Row],[B/S]]="S","SELL"," ")))</f>
        <v>BUY</v>
      </c>
      <c r="J647" s="46" t="s">
        <v>1229</v>
      </c>
      <c r="K647" s="69">
        <v>10000</v>
      </c>
      <c r="L647" s="122"/>
      <c r="M647" s="123">
        <f>SIP[[#This Row],[Amount]]/SIP[[#This Row],[Unit]]</f>
        <v>11.261261261261261</v>
      </c>
      <c r="N647" s="71">
        <f>SIP[[#This Row],[Unit Capital]]/10</f>
        <v>888</v>
      </c>
      <c r="O647" s="71">
        <f>SUMIFS(SIP[[#Headers],[Unit]]:SIP[[#This Row],[Unit]],SIP[[#Headers],[Investor ID]]:SIP[[#This Row],[Investor ID]],SIP[[#This Row],[Investor ID]])</f>
        <v>10159</v>
      </c>
      <c r="P647" s="73">
        <v>8880</v>
      </c>
      <c r="Q647" s="74">
        <f>SIP[[#This Row],[Amount]]-SIP[[#This Row],[Unit Capital]]</f>
        <v>1120</v>
      </c>
      <c r="R6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10.827837385569445</v>
      </c>
      <c r="S647" s="68">
        <f t="shared" si="27"/>
        <v>14.224</v>
      </c>
      <c r="T6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7" s="74" cm="1">
        <f t="array" ref="U647">IF(SIP[[#This Row],[B/S]]="S",ABS(SIP[[#This Row],[Unit]])*(INDEX(SIP[NAV at Cost (Average)],MATCH(CONCATENATE((SIP[[#This Row],[Frequency]]-1),SIP[[#This Row],[Investor ID]]),SIP[Unique Code],0),0)),0)</f>
        <v>0</v>
      </c>
      <c r="V647" s="74">
        <f>IF(SIP[[#This Row],[BO TRANSFER]]="YES",SIP[[#This Row],[Unit]],)</f>
        <v>0</v>
      </c>
      <c r="W647" s="74">
        <f>SUMIFS(SIP[[#Headers],[BO UNIT TRANSFER]]:SIP[[#This Row],[BO UNIT TRANSFER]],SIP[[#Headers],[Investor ID]]:SIP[[#This Row],[Investor ID]],SIP[[#This Row],[Investor ID]])</f>
        <v>0</v>
      </c>
    </row>
    <row r="648" spans="1:23" ht="15" customHeight="1">
      <c r="A648" s="46">
        <v>2024</v>
      </c>
      <c r="B648" s="46">
        <v>7</v>
      </c>
      <c r="C648" s="46">
        <v>26</v>
      </c>
      <c r="D648" s="65">
        <f>DATE(SIP[[#This Row],[Year]],SIP[[#This Row],[Month]],SIP[[#This Row],[Day]])</f>
        <v>45499</v>
      </c>
      <c r="E648" s="66" t="str" cm="1">
        <f t="array" ref="E648">INDEX(INVESTORS_LIST[INVESTOR NAME],MATCH(SIP[[#This Row],[Investor ID]],INVESTORS_LIST[INVESTOR CODE],0),)</f>
        <v>ADNAN RASHID</v>
      </c>
      <c r="F648" s="46" t="s">
        <v>252</v>
      </c>
      <c r="G648" s="46">
        <f>COUNTIF(SIP[[#Headers],[Investor ID]]:SIP[[#This Row],[Investor ID]],SIP[[#This Row],[Investor ID]])</f>
        <v>12</v>
      </c>
      <c r="H648" s="46" t="str">
        <f>CONCATENATE(SIP[[#This Row],[Frequency]],SIP[[#This Row],[Investor ID]])</f>
        <v>12A00102</v>
      </c>
      <c r="I648" s="46" t="str">
        <f>IF(SIP[[#This Row],[B/S]]="B","BUY",(IF(SIP[[#This Row],[B/S]]="S","SELL"," ")))</f>
        <v>BUY</v>
      </c>
      <c r="J648" s="46" t="s">
        <v>1229</v>
      </c>
      <c r="K648" s="69">
        <v>30000</v>
      </c>
      <c r="L648" s="122"/>
      <c r="M648" s="123">
        <f>SIP[[#This Row],[Amount]]/SIP[[#This Row],[Unit]]</f>
        <v>11.265490048817124</v>
      </c>
      <c r="N648" s="71">
        <f>SIP[[#This Row],[Unit Capital]]/10</f>
        <v>2663</v>
      </c>
      <c r="O648" s="71">
        <f>SUMIFS(SIP[[#Headers],[Unit]]:SIP[[#This Row],[Unit]],SIP[[#Headers],[Investor ID]]:SIP[[#This Row],[Investor ID]],SIP[[#This Row],[Investor ID]])</f>
        <v>12275</v>
      </c>
      <c r="P648" s="73">
        <v>26630</v>
      </c>
      <c r="Q648" s="74">
        <f>SIP[[#This Row],[Amount]]-SIP[[#This Row],[Unit Capital]]</f>
        <v>3370</v>
      </c>
      <c r="R6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11.004126497440426</v>
      </c>
      <c r="S648" s="68">
        <f t="shared" si="27"/>
        <v>14.224</v>
      </c>
      <c r="T6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8" s="74" cm="1">
        <f t="array" ref="U648">IF(SIP[[#This Row],[B/S]]="S",ABS(SIP[[#This Row],[Unit]])*(INDEX(SIP[NAV at Cost (Average)],MATCH(CONCATENATE((SIP[[#This Row],[Frequency]]-1),SIP[[#This Row],[Investor ID]]),SIP[Unique Code],0),0)),0)</f>
        <v>0</v>
      </c>
      <c r="V648" s="74">
        <f>IF(SIP[[#This Row],[BO TRANSFER]]="YES",SIP[[#This Row],[Unit]],)</f>
        <v>0</v>
      </c>
      <c r="W648" s="74">
        <f>SUMIFS(SIP[[#Headers],[BO UNIT TRANSFER]]:SIP[[#This Row],[BO UNIT TRANSFER]],SIP[[#Headers],[Investor ID]]:SIP[[#This Row],[Investor ID]],SIP[[#This Row],[Investor ID]])</f>
        <v>0</v>
      </c>
    </row>
    <row r="649" spans="1:23" ht="15" customHeight="1">
      <c r="A649" s="46">
        <v>2024</v>
      </c>
      <c r="B649" s="46">
        <v>7</v>
      </c>
      <c r="C649" s="46">
        <v>26</v>
      </c>
      <c r="D649" s="65">
        <f>DATE(SIP[[#This Row],[Year]],SIP[[#This Row],[Month]],SIP[[#This Row],[Day]])</f>
        <v>45499</v>
      </c>
      <c r="E649" s="66" t="str" cm="1">
        <f t="array" ref="E649">INDEX(INVESTORS_LIST[INVESTOR NAME],MATCH(SIP[[#This Row],[Investor ID]],INVESTORS_LIST[INVESTOR CODE],0),)</f>
        <v>MD ABDULLAH-AL- MAMUN</v>
      </c>
      <c r="F649" s="46" t="s">
        <v>533</v>
      </c>
      <c r="G649" s="46">
        <f>COUNTIF(SIP[[#Headers],[Investor ID]]:SIP[[#This Row],[Investor ID]],SIP[[#This Row],[Investor ID]])</f>
        <v>10</v>
      </c>
      <c r="H649" s="46" t="str">
        <f>CONCATENATE(SIP[[#This Row],[Frequency]],SIP[[#This Row],[Investor ID]])</f>
        <v>10A00242</v>
      </c>
      <c r="I649" s="46" t="str">
        <f>IF(SIP[[#This Row],[B/S]]="B","BUY",(IF(SIP[[#This Row],[B/S]]="S","SELL"," ")))</f>
        <v>BUY</v>
      </c>
      <c r="J649" s="46" t="s">
        <v>1229</v>
      </c>
      <c r="K649" s="69">
        <v>15000</v>
      </c>
      <c r="L649" s="122"/>
      <c r="M649" s="123">
        <f>SIP[[#This Row],[Amount]]/SIP[[#This Row],[Unit]]</f>
        <v>11.261261261261261</v>
      </c>
      <c r="N649" s="71">
        <f>SIP[[#This Row],[Unit Capital]]/10</f>
        <v>1332</v>
      </c>
      <c r="O649" s="71">
        <f>SUMIFS(SIP[[#Headers],[Unit]]:SIP[[#This Row],[Unit]],SIP[[#Headers],[Investor ID]]:SIP[[#This Row],[Investor ID]],SIP[[#This Row],[Investor ID]])</f>
        <v>13805</v>
      </c>
      <c r="P649" s="73">
        <v>13320</v>
      </c>
      <c r="Q649" s="74">
        <f>SIP[[#This Row],[Amount]]-SIP[[#This Row],[Unit Capital]]</f>
        <v>1680</v>
      </c>
      <c r="R6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10.865628395508878</v>
      </c>
      <c r="S649" s="68">
        <f t="shared" si="27"/>
        <v>14.224</v>
      </c>
      <c r="T6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49" s="74" cm="1">
        <f t="array" ref="U649">IF(SIP[[#This Row],[B/S]]="S",ABS(SIP[[#This Row],[Unit]])*(INDEX(SIP[NAV at Cost (Average)],MATCH(CONCATENATE((SIP[[#This Row],[Frequency]]-1),SIP[[#This Row],[Investor ID]]),SIP[Unique Code],0),0)),0)</f>
        <v>0</v>
      </c>
      <c r="V649" s="74">
        <f>IF(SIP[[#This Row],[BO TRANSFER]]="YES",SIP[[#This Row],[Unit]],)</f>
        <v>0</v>
      </c>
      <c r="W649" s="74">
        <f>SUMIFS(SIP[[#Headers],[BO UNIT TRANSFER]]:SIP[[#This Row],[BO UNIT TRANSFER]],SIP[[#Headers],[Investor ID]]:SIP[[#This Row],[Investor ID]],SIP[[#This Row],[Investor ID]])</f>
        <v>0</v>
      </c>
    </row>
    <row r="650" spans="1:23" ht="15" customHeight="1">
      <c r="A650" s="46">
        <v>2024</v>
      </c>
      <c r="B650" s="46">
        <v>7</v>
      </c>
      <c r="C650" s="46">
        <v>26</v>
      </c>
      <c r="D650" s="65">
        <f>DATE(SIP[[#This Row],[Year]],SIP[[#This Row],[Month]],SIP[[#This Row],[Day]])</f>
        <v>45499</v>
      </c>
      <c r="E650" s="66" t="str" cm="1">
        <f t="array" ref="E650">INDEX(INVESTORS_LIST[INVESTOR NAME],MATCH(SIP[[#This Row],[Investor ID]],INVESTORS_LIST[INVESTOR CODE],0),)</f>
        <v>MAYA RANI SAHA</v>
      </c>
      <c r="F650" s="46" t="s">
        <v>224</v>
      </c>
      <c r="G650" s="46">
        <f>COUNTIF(SIP[[#Headers],[Investor ID]]:SIP[[#This Row],[Investor ID]],SIP[[#This Row],[Investor ID]])</f>
        <v>19</v>
      </c>
      <c r="H650" s="46" t="str">
        <f>CONCATENATE(SIP[[#This Row],[Frequency]],SIP[[#This Row],[Investor ID]])</f>
        <v>19A00088</v>
      </c>
      <c r="I650" s="46" t="str">
        <f>IF(SIP[[#This Row],[B/S]]="B","BUY",(IF(SIP[[#This Row],[B/S]]="S","SELL"," ")))</f>
        <v>BUY</v>
      </c>
      <c r="J650" s="46" t="s">
        <v>1229</v>
      </c>
      <c r="K650" s="69">
        <v>20000</v>
      </c>
      <c r="L650" s="122"/>
      <c r="M650" s="123">
        <f>SIP[[#This Row],[Amount]]/SIP[[#This Row],[Unit]]</f>
        <v>11.261261261261261</v>
      </c>
      <c r="N650" s="71">
        <f>SIP[[#This Row],[Unit Capital]]/10</f>
        <v>1776</v>
      </c>
      <c r="O650" s="71">
        <f>SUMIFS(SIP[[#Headers],[Unit]]:SIP[[#This Row],[Unit]],SIP[[#Headers],[Investor ID]]:SIP[[#This Row],[Investor ID]],SIP[[#This Row],[Investor ID]])</f>
        <v>27945</v>
      </c>
      <c r="P650" s="73">
        <v>17760</v>
      </c>
      <c r="Q650" s="74">
        <f>SIP[[#This Row],[Amount]]-SIP[[#This Row],[Unit Capital]]</f>
        <v>2240</v>
      </c>
      <c r="R6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10.878511361603149</v>
      </c>
      <c r="S650" s="68">
        <f t="shared" si="27"/>
        <v>14.224</v>
      </c>
      <c r="T6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0" s="74" cm="1">
        <f t="array" ref="U650">IF(SIP[[#This Row],[B/S]]="S",ABS(SIP[[#This Row],[Unit]])*(INDEX(SIP[NAV at Cost (Average)],MATCH(CONCATENATE((SIP[[#This Row],[Frequency]]-1),SIP[[#This Row],[Investor ID]]),SIP[Unique Code],0),0)),0)</f>
        <v>0</v>
      </c>
      <c r="V650" s="74">
        <f>IF(SIP[[#This Row],[BO TRANSFER]]="YES",SIP[[#This Row],[Unit]],)</f>
        <v>0</v>
      </c>
      <c r="W650" s="74">
        <f>SUMIFS(SIP[[#Headers],[BO UNIT TRANSFER]]:SIP[[#This Row],[BO UNIT TRANSFER]],SIP[[#Headers],[Investor ID]]:SIP[[#This Row],[Investor ID]],SIP[[#This Row],[Investor ID]])</f>
        <v>0</v>
      </c>
    </row>
    <row r="651" spans="1:23" ht="15" customHeight="1">
      <c r="A651" s="46">
        <v>2024</v>
      </c>
      <c r="B651" s="46">
        <v>7</v>
      </c>
      <c r="C651" s="46">
        <v>26</v>
      </c>
      <c r="D651" s="65">
        <f>DATE(SIP[[#This Row],[Year]],SIP[[#This Row],[Month]],SIP[[#This Row],[Day]])</f>
        <v>45499</v>
      </c>
      <c r="E651" s="66" t="str" cm="1">
        <f t="array" ref="E651">INDEX(INVESTORS_LIST[INVESTOR NAME],MATCH(SIP[[#This Row],[Investor ID]],INVESTORS_LIST[INVESTOR CODE],0),)</f>
        <v>KHALED HOSSAIN</v>
      </c>
      <c r="F651" s="46" t="s">
        <v>1050</v>
      </c>
      <c r="G651" s="46">
        <f>COUNTIF(SIP[[#Headers],[Investor ID]]:SIP[[#This Row],[Investor ID]],SIP[[#This Row],[Investor ID]])</f>
        <v>24</v>
      </c>
      <c r="H651" s="46" t="str">
        <f>CONCATENATE(SIP[[#This Row],[Frequency]],SIP[[#This Row],[Investor ID]])</f>
        <v>24A00502</v>
      </c>
      <c r="I651" s="46" t="str">
        <f>IF(SIP[[#This Row],[B/S]]="B","BUY",(IF(SIP[[#This Row],[B/S]]="S","SELL"," ")))</f>
        <v>BUY</v>
      </c>
      <c r="J651" s="46" t="s">
        <v>1229</v>
      </c>
      <c r="K651" s="69">
        <v>25000</v>
      </c>
      <c r="L651" s="122"/>
      <c r="M651" s="123">
        <f>SIP[[#This Row],[Amount]]/SIP[[#This Row],[Unit]]</f>
        <v>11.266336187471834</v>
      </c>
      <c r="N651" s="71">
        <f>SIP[[#This Row],[Unit Capital]]/10</f>
        <v>2219</v>
      </c>
      <c r="O651" s="71">
        <f>SUMIFS(SIP[[#Headers],[Unit]]:SIP[[#This Row],[Unit]],SIP[[#Headers],[Investor ID]]:SIP[[#This Row],[Investor ID]],SIP[[#This Row],[Investor ID]])</f>
        <v>3107</v>
      </c>
      <c r="P651" s="73">
        <v>22190</v>
      </c>
      <c r="Q651" s="74">
        <f>SIP[[#This Row],[Amount]]-SIP[[#This Row],[Unit Capital]]</f>
        <v>2810</v>
      </c>
      <c r="R6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11.26488574187319</v>
      </c>
      <c r="S651" s="68">
        <f t="shared" si="27"/>
        <v>14.224</v>
      </c>
      <c r="T6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1" s="74" cm="1">
        <f t="array" ref="U651">IF(SIP[[#This Row],[B/S]]="S",ABS(SIP[[#This Row],[Unit]])*(INDEX(SIP[NAV at Cost (Average)],MATCH(CONCATENATE((SIP[[#This Row],[Frequency]]-1),SIP[[#This Row],[Investor ID]]),SIP[Unique Code],0),0)),0)</f>
        <v>0</v>
      </c>
      <c r="V651" s="74">
        <f>IF(SIP[[#This Row],[BO TRANSFER]]="YES",SIP[[#This Row],[Unit]],)</f>
        <v>0</v>
      </c>
      <c r="W651" s="74">
        <f>SUMIFS(SIP[[#Headers],[BO UNIT TRANSFER]]:SIP[[#This Row],[BO UNIT TRANSFER]],SIP[[#Headers],[Investor ID]]:SIP[[#This Row],[Investor ID]],SIP[[#This Row],[Investor ID]])</f>
        <v>0</v>
      </c>
    </row>
    <row r="652" spans="1:23" ht="15" customHeight="1">
      <c r="A652" s="46">
        <v>2024</v>
      </c>
      <c r="B652" s="46">
        <v>7</v>
      </c>
      <c r="C652" s="46">
        <v>26</v>
      </c>
      <c r="D652" s="65">
        <f>DATE(SIP[[#This Row],[Year]],SIP[[#This Row],[Month]],SIP[[#This Row],[Day]])</f>
        <v>45499</v>
      </c>
      <c r="E652" s="66" t="str" cm="1">
        <f t="array" ref="E652">INDEX(INVESTORS_LIST[INVESTOR NAME],MATCH(SIP[[#This Row],[Investor ID]],INVESTORS_LIST[INVESTOR CODE],0),)</f>
        <v>MOHAMMAD HASAN IMAM</v>
      </c>
      <c r="F652" s="46" t="s">
        <v>1122</v>
      </c>
      <c r="G652" s="46">
        <f>COUNTIF(SIP[[#Headers],[Investor ID]]:SIP[[#This Row],[Investor ID]],SIP[[#This Row],[Investor ID]])</f>
        <v>4</v>
      </c>
      <c r="H652" s="46" t="str">
        <f>CONCATENATE(SIP[[#This Row],[Frequency]],SIP[[#This Row],[Investor ID]])</f>
        <v>4A00536</v>
      </c>
      <c r="I652" s="46" t="str">
        <f>IF(SIP[[#This Row],[B/S]]="B","BUY",(IF(SIP[[#This Row],[B/S]]="S","SELL"," ")))</f>
        <v>BUY</v>
      </c>
      <c r="J652" s="46" t="s">
        <v>1229</v>
      </c>
      <c r="K652" s="69">
        <v>5000</v>
      </c>
      <c r="L652" s="122"/>
      <c r="M652" s="123">
        <f>SIP[[#This Row],[Amount]]/SIP[[#This Row],[Unit]]</f>
        <v>11.261261261261261</v>
      </c>
      <c r="N652" s="71">
        <f>SIP[[#This Row],[Unit Capital]]/10</f>
        <v>444</v>
      </c>
      <c r="O652" s="71">
        <f>SUMIFS(SIP[[#Headers],[Unit]]:SIP[[#This Row],[Unit]],SIP[[#Headers],[Investor ID]]:SIP[[#This Row],[Investor ID]],SIP[[#This Row],[Investor ID]])</f>
        <v>1799</v>
      </c>
      <c r="P652" s="73">
        <v>4440</v>
      </c>
      <c r="Q652" s="74">
        <f>SIP[[#This Row],[Amount]]-SIP[[#This Row],[Unit Capital]]</f>
        <v>560</v>
      </c>
      <c r="R6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11.117287381878821</v>
      </c>
      <c r="S652" s="68">
        <f t="shared" si="27"/>
        <v>14.224</v>
      </c>
      <c r="T6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2" s="74" cm="1">
        <f t="array" ref="U652">IF(SIP[[#This Row],[B/S]]="S",ABS(SIP[[#This Row],[Unit]])*(INDEX(SIP[NAV at Cost (Average)],MATCH(CONCATENATE((SIP[[#This Row],[Frequency]]-1),SIP[[#This Row],[Investor ID]]),SIP[Unique Code],0),0)),0)</f>
        <v>0</v>
      </c>
      <c r="V652" s="74">
        <f>IF(SIP[[#This Row],[BO TRANSFER]]="YES",SIP[[#This Row],[Unit]],)</f>
        <v>0</v>
      </c>
      <c r="W652" s="74">
        <f>SUMIFS(SIP[[#Headers],[BO UNIT TRANSFER]]:SIP[[#This Row],[BO UNIT TRANSFER]],SIP[[#Headers],[Investor ID]]:SIP[[#This Row],[Investor ID]],SIP[[#This Row],[Investor ID]])</f>
        <v>0</v>
      </c>
    </row>
    <row r="653" spans="1:23" ht="15" customHeight="1">
      <c r="A653" s="46">
        <v>2024</v>
      </c>
      <c r="B653" s="46">
        <v>7</v>
      </c>
      <c r="C653" s="46">
        <v>26</v>
      </c>
      <c r="D653" s="65">
        <f>DATE(SIP[[#This Row],[Year]],SIP[[#This Row],[Month]],SIP[[#This Row],[Day]])</f>
        <v>45499</v>
      </c>
      <c r="E653" s="66" t="str" cm="1">
        <f t="array" ref="E653">INDEX(INVESTORS_LIST[INVESTOR NAME],MATCH(SIP[[#This Row],[Investor ID]],INVESTORS_LIST[INVESTOR CODE],0),)</f>
        <v>SADIA PARVIN</v>
      </c>
      <c r="F653" s="46" t="s">
        <v>1018</v>
      </c>
      <c r="G653" s="46">
        <f>COUNTIF(SIP[[#Headers],[Investor ID]]:SIP[[#This Row],[Investor ID]],SIP[[#This Row],[Investor ID]])</f>
        <v>17</v>
      </c>
      <c r="H653" s="46" t="str">
        <f>CONCATENATE(SIP[[#This Row],[Frequency]],SIP[[#This Row],[Investor ID]])</f>
        <v>17A00486</v>
      </c>
      <c r="I653" s="46" t="str">
        <f>IF(SIP[[#This Row],[B/S]]="B","BUY",(IF(SIP[[#This Row],[B/S]]="S","SELL"," ")))</f>
        <v>BUY</v>
      </c>
      <c r="J653" s="46" t="s">
        <v>1229</v>
      </c>
      <c r="K653" s="69">
        <v>5000</v>
      </c>
      <c r="L653" s="122"/>
      <c r="M653" s="123">
        <f>SIP[[#This Row],[Amount]]/SIP[[#This Row],[Unit]]</f>
        <v>11.261261261261261</v>
      </c>
      <c r="N653" s="71">
        <f>SIP[[#This Row],[Unit Capital]]/10</f>
        <v>444</v>
      </c>
      <c r="O653" s="71">
        <f>SUMIFS(SIP[[#Headers],[Unit]]:SIP[[#This Row],[Unit]],SIP[[#Headers],[Investor ID]]:SIP[[#This Row],[Investor ID]],SIP[[#This Row],[Investor ID]])</f>
        <v>7908</v>
      </c>
      <c r="P653" s="73">
        <v>4440</v>
      </c>
      <c r="Q653" s="74">
        <f>SIP[[#This Row],[Amount]]-SIP[[#This Row],[Unit Capital]]</f>
        <v>560</v>
      </c>
      <c r="R6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10.748609003540718</v>
      </c>
      <c r="S653" s="68">
        <f t="shared" si="27"/>
        <v>14.224</v>
      </c>
      <c r="T6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3" s="74" cm="1">
        <f t="array" ref="U653">IF(SIP[[#This Row],[B/S]]="S",ABS(SIP[[#This Row],[Unit]])*(INDEX(SIP[NAV at Cost (Average)],MATCH(CONCATENATE((SIP[[#This Row],[Frequency]]-1),SIP[[#This Row],[Investor ID]]),SIP[Unique Code],0),0)),0)</f>
        <v>0</v>
      </c>
      <c r="V653" s="74">
        <f>IF(SIP[[#This Row],[BO TRANSFER]]="YES",SIP[[#This Row],[Unit]],)</f>
        <v>0</v>
      </c>
      <c r="W653" s="74">
        <f>SUMIFS(SIP[[#Headers],[BO UNIT TRANSFER]]:SIP[[#This Row],[BO UNIT TRANSFER]],SIP[[#Headers],[Investor ID]]:SIP[[#This Row],[Investor ID]],SIP[[#This Row],[Investor ID]])</f>
        <v>0</v>
      </c>
    </row>
    <row r="654" spans="1:23" ht="15" customHeight="1">
      <c r="A654" s="46">
        <v>2024</v>
      </c>
      <c r="B654" s="46">
        <v>7</v>
      </c>
      <c r="C654" s="46">
        <v>26</v>
      </c>
      <c r="D654" s="65">
        <f>DATE(SIP[[#This Row],[Year]],SIP[[#This Row],[Month]],SIP[[#This Row],[Day]])</f>
        <v>45499</v>
      </c>
      <c r="E654" s="66" t="str" cm="1">
        <f t="array" ref="E654">INDEX(INVESTORS_LIST[INVESTOR NAME],MATCH(SIP[[#This Row],[Investor ID]],INVESTORS_LIST[INVESTOR CODE],0),)</f>
        <v>SYED ADNAN HUDA</v>
      </c>
      <c r="F654" s="46" t="s">
        <v>236</v>
      </c>
      <c r="G654" s="46">
        <f>COUNTIF(SIP[[#Headers],[Investor ID]]:SIP[[#This Row],[Investor ID]],SIP[[#This Row],[Investor ID]])</f>
        <v>1</v>
      </c>
      <c r="H654" s="46" t="str">
        <f>CONCATENATE(SIP[[#This Row],[Frequency]],SIP[[#This Row],[Investor ID]])</f>
        <v>1A00094</v>
      </c>
      <c r="I654" s="46" t="str">
        <f>IF(SIP[[#This Row],[B/S]]="B","BUY",(IF(SIP[[#This Row],[B/S]]="S","SELL"," ")))</f>
        <v>BUY</v>
      </c>
      <c r="J654" s="46" t="s">
        <v>1229</v>
      </c>
      <c r="K654" s="69">
        <v>50000</v>
      </c>
      <c r="L654" s="122"/>
      <c r="M654" s="123">
        <f>SIP[[#This Row],[Amount]]/SIP[[#This Row],[Unit]]</f>
        <v>11.263798152737102</v>
      </c>
      <c r="N654" s="71">
        <f>SIP[[#This Row],[Unit Capital]]/10</f>
        <v>4439</v>
      </c>
      <c r="O654" s="71">
        <f>SUMIFS(SIP[[#Headers],[Unit]]:SIP[[#This Row],[Unit]],SIP[[#Headers],[Investor ID]]:SIP[[#This Row],[Investor ID]],SIP[[#This Row],[Investor ID]])</f>
        <v>4439</v>
      </c>
      <c r="P654" s="73">
        <v>44390</v>
      </c>
      <c r="Q654" s="74">
        <f>SIP[[#This Row],[Amount]]-SIP[[#This Row],[Unit Capital]]</f>
        <v>5610</v>
      </c>
      <c r="R6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11.263798152737102</v>
      </c>
      <c r="S654" s="68">
        <f t="shared" si="27"/>
        <v>14.224</v>
      </c>
      <c r="T6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4" s="74" cm="1">
        <f t="array" ref="U654">IF(SIP[[#This Row],[B/S]]="S",ABS(SIP[[#This Row],[Unit]])*(INDEX(SIP[NAV at Cost (Average)],MATCH(CONCATENATE((SIP[[#This Row],[Frequency]]-1),SIP[[#This Row],[Investor ID]]),SIP[Unique Code],0),0)),0)</f>
        <v>0</v>
      </c>
      <c r="V654" s="74">
        <f>IF(SIP[[#This Row],[BO TRANSFER]]="YES",SIP[[#This Row],[Unit]],)</f>
        <v>0</v>
      </c>
      <c r="W654" s="74">
        <f>SUMIFS(SIP[[#Headers],[BO UNIT TRANSFER]]:SIP[[#This Row],[BO UNIT TRANSFER]],SIP[[#Headers],[Investor ID]]:SIP[[#This Row],[Investor ID]],SIP[[#This Row],[Investor ID]])</f>
        <v>0</v>
      </c>
    </row>
    <row r="655" spans="1:23" ht="15" customHeight="1">
      <c r="A655" s="46">
        <v>2024</v>
      </c>
      <c r="B655" s="46">
        <v>7</v>
      </c>
      <c r="C655" s="46">
        <v>30</v>
      </c>
      <c r="D655" s="65">
        <f>DATE(SIP[[#This Row],[Year]],SIP[[#This Row],[Month]],SIP[[#This Row],[Day]])</f>
        <v>45503</v>
      </c>
      <c r="E655" s="66" t="str" cm="1">
        <f t="array" ref="E655">INDEX(INVESTORS_LIST[INVESTOR NAME],MATCH(SIP[[#This Row],[Investor ID]],INVESTORS_LIST[INVESTOR CODE],0),)</f>
        <v>KHALED HOSSAIN</v>
      </c>
      <c r="F655" s="46" t="s">
        <v>1050</v>
      </c>
      <c r="G655" s="46">
        <f>COUNTIF(SIP[[#Headers],[Investor ID]]:SIP[[#This Row],[Investor ID]],SIP[[#This Row],[Investor ID]])</f>
        <v>25</v>
      </c>
      <c r="H655" s="46" t="str">
        <f>CONCATENATE(SIP[[#This Row],[Frequency]],SIP[[#This Row],[Investor ID]])</f>
        <v>25A00502</v>
      </c>
      <c r="I655" s="46" t="str">
        <f>IF(SIP[[#This Row],[B/S]]="B","BUY",(IF(SIP[[#This Row],[B/S]]="S","SELL"," ")))</f>
        <v>SELL</v>
      </c>
      <c r="J655" s="150" t="s">
        <v>1231</v>
      </c>
      <c r="K655" s="69">
        <v>-35000</v>
      </c>
      <c r="L655" s="122"/>
      <c r="M655" s="123">
        <f>SIP[[#This Row],[Amount]]/SIP[[#This Row],[Unit]]</f>
        <v>11.26488574187319</v>
      </c>
      <c r="N655" s="71">
        <f>SIP[[#This Row],[Unit Capital]]/10</f>
        <v>-3107</v>
      </c>
      <c r="O655" s="71">
        <f>SUMIFS(SIP[[#Headers],[Unit]]:SIP[[#This Row],[Unit]],SIP[[#Headers],[Investor ID]]:SIP[[#This Row],[Investor ID]],SIP[[#This Row],[Investor ID]])</f>
        <v>0</v>
      </c>
      <c r="P655" s="73">
        <v>-31070</v>
      </c>
      <c r="Q655" s="74">
        <f>SIP[[#This Row],[Amount]]-SIP[[#This Row],[Unit Capital]]</f>
        <v>-3930</v>
      </c>
      <c r="R6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655" s="68">
        <f t="shared" si="27"/>
        <v>14.224</v>
      </c>
      <c r="T6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5" s="74" cm="1">
        <f t="array" ref="U655">IF(SIP[[#This Row],[B/S]]="S",ABS(SIP[[#This Row],[Unit]])*(INDEX(SIP[NAV at Cost (Average)],MATCH(CONCATENATE((SIP[[#This Row],[Frequency]]-1),SIP[[#This Row],[Investor ID]]),SIP[Unique Code],0),0)),0)</f>
        <v>35000</v>
      </c>
      <c r="V655" s="74">
        <f>IF(SIP[[#This Row],[BO TRANSFER]]="YES",SIP[[#This Row],[Unit]],)</f>
        <v>0</v>
      </c>
      <c r="W655" s="74">
        <f>SUMIFS(SIP[[#Headers],[BO UNIT TRANSFER]]:SIP[[#This Row],[BO UNIT TRANSFER]],SIP[[#Headers],[Investor ID]]:SIP[[#This Row],[Investor ID]],SIP[[#This Row],[Investor ID]])</f>
        <v>0</v>
      </c>
    </row>
    <row r="656" spans="1:23" ht="15" customHeight="1">
      <c r="A656" s="46">
        <v>2024</v>
      </c>
      <c r="B656" s="46">
        <v>8</v>
      </c>
      <c r="C656" s="46">
        <v>7</v>
      </c>
      <c r="D656" s="65">
        <f>DATE(SIP[[#This Row],[Year]],SIP[[#This Row],[Month]],SIP[[#This Row],[Day]])</f>
        <v>45511</v>
      </c>
      <c r="E656" s="66" t="str" cm="1">
        <f t="array" ref="E656">INDEX(INVESTORS_LIST[INVESTOR NAME],MATCH(SIP[[#This Row],[Investor ID]],INVESTORS_LIST[INVESTOR CODE],0),)</f>
        <v>MRINMOY GHOSH</v>
      </c>
      <c r="F656" s="46" t="s">
        <v>69</v>
      </c>
      <c r="G656" s="46">
        <f>COUNTIF(SIP[[#Headers],[Investor ID]]:SIP[[#This Row],[Investor ID]],SIP[[#This Row],[Investor ID]])</f>
        <v>12</v>
      </c>
      <c r="H656" s="46" t="str">
        <f>CONCATENATE(SIP[[#This Row],[Frequency]],SIP[[#This Row],[Investor ID]])</f>
        <v>12A00012</v>
      </c>
      <c r="I656" s="46" t="str">
        <f>IF(SIP[[#This Row],[B/S]]="B","BUY",(IF(SIP[[#This Row],[B/S]]="S","SELL"," ")))</f>
        <v>SELL</v>
      </c>
      <c r="J656" s="150" t="s">
        <v>1231</v>
      </c>
      <c r="K656" s="152">
        <v>-114674.79</v>
      </c>
      <c r="L656" s="122"/>
      <c r="M656" s="123">
        <f>SIP[[#This Row],[Amount]]/SIP[[#This Row],[Unit]]</f>
        <v>11.287999803130228</v>
      </c>
      <c r="N656" s="71">
        <f>SIP[[#This Row],[Unit Capital]]/10</f>
        <v>-10159</v>
      </c>
      <c r="O656" s="71">
        <f>SUMIFS(SIP[[#Headers],[Unit]]:SIP[[#This Row],[Unit]],SIP[[#Headers],[Investor ID]]:SIP[[#This Row],[Investor ID]],SIP[[#This Row],[Investor ID]])</f>
        <v>0</v>
      </c>
      <c r="P656" s="153">
        <v>-101590</v>
      </c>
      <c r="Q656" s="74">
        <f>SIP[[#This Row],[Amount]]-SIP[[#This Row],[Unit Capital]]</f>
        <v>-13084.789999999994</v>
      </c>
      <c r="R6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656" s="68">
        <f t="shared" ref="S656:S670" si="28">NAV_MKT</f>
        <v>14.224</v>
      </c>
      <c r="T656" s="74">
        <f>IF(SIP[[#This Row],[B/S]]="B",0,ABS(SIP[[#This Row],[Unit]])*(SIP[[#This Row],[NAV (Strike Rate)]]-INDEX(SIP[NAV at Cost (Average)],MATCH(CONCATENATE(SIP[[#This Row],[Frequency]]-1,SIP[[#This Row],[Investor ID]]),SIP[Unique Code],0),)))</f>
        <v>4674.7899999999927</v>
      </c>
      <c r="U656" s="74" cm="1">
        <f t="array" ref="U656">IF(SIP[[#This Row],[B/S]]="S",ABS(SIP[[#This Row],[Unit]])*(INDEX(SIP[NAV at Cost (Average)],MATCH(CONCATENATE((SIP[[#This Row],[Frequency]]-1),SIP[[#This Row],[Investor ID]]),SIP[Unique Code],0),0)),0)</f>
        <v>110000</v>
      </c>
      <c r="V656" s="74">
        <f>IF(SIP[[#This Row],[BO TRANSFER]]="YES",SIP[[#This Row],[Unit]],)</f>
        <v>0</v>
      </c>
      <c r="W656" s="74">
        <f>SUMIFS(SIP[[#Headers],[BO UNIT TRANSFER]]:SIP[[#This Row],[BO UNIT TRANSFER]],SIP[[#Headers],[Investor ID]]:SIP[[#This Row],[Investor ID]],SIP[[#This Row],[Investor ID]])</f>
        <v>0</v>
      </c>
    </row>
    <row r="657" spans="1:23" ht="15" customHeight="1">
      <c r="A657" s="46">
        <v>2024</v>
      </c>
      <c r="B657" s="46">
        <v>8</v>
      </c>
      <c r="C657" s="46">
        <v>5</v>
      </c>
      <c r="D657" s="65">
        <f>DATE(SIP[[#This Row],[Year]],SIP[[#This Row],[Month]],SIP[[#This Row],[Day]])</f>
        <v>45509</v>
      </c>
      <c r="E657" s="66" t="str" cm="1">
        <f t="array" ref="E657">INDEX(INVESTORS_LIST[INVESTOR NAME],MATCH(SIP[[#This Row],[Investor ID]],INVESTORS_LIST[INVESTOR CODE],0),)</f>
        <v>FAIYEAD AHMEDUL HYE</v>
      </c>
      <c r="F657" s="46" t="s">
        <v>368</v>
      </c>
      <c r="G657" s="46">
        <f>COUNTIF(SIP[[#Headers],[Investor ID]]:SIP[[#This Row],[Investor ID]],SIP[[#This Row],[Investor ID]])</f>
        <v>15</v>
      </c>
      <c r="H657" s="46" t="str">
        <f>CONCATENATE(SIP[[#This Row],[Frequency]],SIP[[#This Row],[Investor ID]])</f>
        <v>15A00160</v>
      </c>
      <c r="I657" s="46" t="str">
        <f>IF(SIP[[#This Row],[B/S]]="B","BUY",(IF(SIP[[#This Row],[B/S]]="S","SELL"," ")))</f>
        <v>BUY</v>
      </c>
      <c r="J657" s="46" t="s">
        <v>1229</v>
      </c>
      <c r="K657" s="152">
        <v>15000</v>
      </c>
      <c r="L657" s="122"/>
      <c r="M657" s="123">
        <f>SIP[[#This Row],[Amount]]/SIP[[#This Row],[Unit]]</f>
        <v>11.286681715575622</v>
      </c>
      <c r="N657" s="71">
        <f>SIP[[#This Row],[Unit Capital]]/10</f>
        <v>1329</v>
      </c>
      <c r="O657" s="71">
        <f>SUMIFS(SIP[[#Headers],[Unit]]:SIP[[#This Row],[Unit]],SIP[[#Headers],[Investor ID]]:SIP[[#This Row],[Investor ID]],SIP[[#This Row],[Investor ID]])</f>
        <v>21010</v>
      </c>
      <c r="P657" s="153">
        <v>13290</v>
      </c>
      <c r="Q657" s="74">
        <f>SIP[[#This Row],[Amount]]-SIP[[#This Row],[Unit Capital]]</f>
        <v>1710</v>
      </c>
      <c r="R6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10.709186101856258</v>
      </c>
      <c r="S657" s="68">
        <f t="shared" si="28"/>
        <v>14.224</v>
      </c>
      <c r="T6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7" s="74" cm="1">
        <f t="array" ref="U657">IF(SIP[[#This Row],[B/S]]="S",ABS(SIP[[#This Row],[Unit]])*(INDEX(SIP[NAV at Cost (Average)],MATCH(CONCATENATE((SIP[[#This Row],[Frequency]]-1),SIP[[#This Row],[Investor ID]]),SIP[Unique Code],0),0)),0)</f>
        <v>0</v>
      </c>
      <c r="V657" s="74">
        <f>IF(SIP[[#This Row],[BO TRANSFER]]="YES",SIP[[#This Row],[Unit]],)</f>
        <v>0</v>
      </c>
      <c r="W657" s="74">
        <f>SUMIFS(SIP[[#Headers],[BO UNIT TRANSFER]]:SIP[[#This Row],[BO UNIT TRANSFER]],SIP[[#Headers],[Investor ID]]:SIP[[#This Row],[Investor ID]],SIP[[#This Row],[Investor ID]])</f>
        <v>0</v>
      </c>
    </row>
    <row r="658" spans="1:23" ht="15" customHeight="1">
      <c r="A658" s="46">
        <v>2024</v>
      </c>
      <c r="B658" s="46">
        <v>8</v>
      </c>
      <c r="C658" s="46">
        <v>5</v>
      </c>
      <c r="D658" s="65">
        <f>DATE(SIP[[#This Row],[Year]],SIP[[#This Row],[Month]],SIP[[#This Row],[Day]])</f>
        <v>45509</v>
      </c>
      <c r="E658" s="66" t="str" cm="1">
        <f t="array" ref="E658">INDEX(INVESTORS_LIST[INVESTOR NAME],MATCH(SIP[[#This Row],[Investor ID]],INVESTORS_LIST[INVESTOR CODE],0),)</f>
        <v>CHAONIKA SAHA</v>
      </c>
      <c r="F658" s="46" t="s">
        <v>238</v>
      </c>
      <c r="G658" s="46">
        <f>COUNTIF(SIP[[#Headers],[Investor ID]]:SIP[[#This Row],[Investor ID]],SIP[[#This Row],[Investor ID]])</f>
        <v>12</v>
      </c>
      <c r="H658" s="46" t="str">
        <f>CONCATENATE(SIP[[#This Row],[Frequency]],SIP[[#This Row],[Investor ID]])</f>
        <v>12A00095</v>
      </c>
      <c r="I658" s="46" t="str">
        <f>IF(SIP[[#This Row],[B/S]]="B","BUY",(IF(SIP[[#This Row],[B/S]]="S","SELL"," ")))</f>
        <v>BUY</v>
      </c>
      <c r="J658" s="46" t="s">
        <v>1229</v>
      </c>
      <c r="K658" s="152">
        <v>1000</v>
      </c>
      <c r="L658" s="122"/>
      <c r="M658" s="123">
        <f>SIP[[#This Row],[Amount]]/SIP[[#This Row],[Unit]]</f>
        <v>11.235955056179776</v>
      </c>
      <c r="N658" s="71">
        <f>SIP[[#This Row],[Unit Capital]]/10</f>
        <v>89</v>
      </c>
      <c r="O658" s="71">
        <f>SUMIFS(SIP[[#Headers],[Unit]]:SIP[[#This Row],[Unit]],SIP[[#Headers],[Investor ID]]:SIP[[#This Row],[Investor ID]],SIP[[#This Row],[Investor ID]])</f>
        <v>1109</v>
      </c>
      <c r="P658" s="153">
        <v>890</v>
      </c>
      <c r="Q658" s="74">
        <f>SIP[[#This Row],[Amount]]-SIP[[#This Row],[Unit Capital]]</f>
        <v>110</v>
      </c>
      <c r="R6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10.820559062218214</v>
      </c>
      <c r="S658" s="68">
        <f t="shared" si="28"/>
        <v>14.224</v>
      </c>
      <c r="T6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8" s="74" cm="1">
        <f t="array" ref="U658">IF(SIP[[#This Row],[B/S]]="S",ABS(SIP[[#This Row],[Unit]])*(INDEX(SIP[NAV at Cost (Average)],MATCH(CONCATENATE((SIP[[#This Row],[Frequency]]-1),SIP[[#This Row],[Investor ID]]),SIP[Unique Code],0),0)),0)</f>
        <v>0</v>
      </c>
      <c r="V658" s="74">
        <f>IF(SIP[[#This Row],[BO TRANSFER]]="YES",SIP[[#This Row],[Unit]],)</f>
        <v>0</v>
      </c>
      <c r="W658" s="74">
        <f>SUMIFS(SIP[[#Headers],[BO UNIT TRANSFER]]:SIP[[#This Row],[BO UNIT TRANSFER]],SIP[[#Headers],[Investor ID]]:SIP[[#This Row],[Investor ID]],SIP[[#This Row],[Investor ID]])</f>
        <v>0</v>
      </c>
    </row>
    <row r="659" spans="1:23" ht="15" customHeight="1">
      <c r="A659" s="46">
        <v>2024</v>
      </c>
      <c r="B659" s="46">
        <v>8</v>
      </c>
      <c r="C659" s="46">
        <v>5</v>
      </c>
      <c r="D659" s="65">
        <f>DATE(SIP[[#This Row],[Year]],SIP[[#This Row],[Month]],SIP[[#This Row],[Day]])</f>
        <v>45509</v>
      </c>
      <c r="E659" s="66" t="str" cm="1">
        <f t="array" ref="E659">INDEX(INVESTORS_LIST[INVESTOR NAME],MATCH(SIP[[#This Row],[Investor ID]],INVESTORS_LIST[INVESTOR CODE],0),)</f>
        <v>SK FEROZ ALAM</v>
      </c>
      <c r="F659" s="46" t="s">
        <v>240</v>
      </c>
      <c r="G659" s="46">
        <f>COUNTIF(SIP[[#Headers],[Investor ID]]:SIP[[#This Row],[Investor ID]],SIP[[#This Row],[Investor ID]])</f>
        <v>11</v>
      </c>
      <c r="H659" s="46" t="str">
        <f>CONCATENATE(SIP[[#This Row],[Frequency]],SIP[[#This Row],[Investor ID]])</f>
        <v>11A00096</v>
      </c>
      <c r="I659" s="46" t="str">
        <f>IF(SIP[[#This Row],[B/S]]="B","BUY",(IF(SIP[[#This Row],[B/S]]="S","SELL"," ")))</f>
        <v>BUY</v>
      </c>
      <c r="J659" s="46" t="s">
        <v>1229</v>
      </c>
      <c r="K659" s="152">
        <v>2000</v>
      </c>
      <c r="L659" s="122"/>
      <c r="M659" s="123">
        <f>SIP[[#This Row],[Amount]]/SIP[[#This Row],[Unit]]</f>
        <v>11.299435028248588</v>
      </c>
      <c r="N659" s="71">
        <f>SIP[[#This Row],[Unit Capital]]/10</f>
        <v>177</v>
      </c>
      <c r="O659" s="71">
        <f>SUMIFS(SIP[[#Headers],[Unit]]:SIP[[#This Row],[Unit]],SIP[[#Headers],[Investor ID]]:SIP[[#This Row],[Investor ID]],SIP[[#This Row],[Investor ID]])</f>
        <v>536</v>
      </c>
      <c r="P659" s="153">
        <v>1770</v>
      </c>
      <c r="Q659" s="74">
        <f>SIP[[#This Row],[Amount]]-SIP[[#This Row],[Unit Capital]]</f>
        <v>230</v>
      </c>
      <c r="R6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11.194029850746269</v>
      </c>
      <c r="S659" s="68">
        <f t="shared" si="28"/>
        <v>14.224</v>
      </c>
      <c r="T6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9" s="74" cm="1">
        <f t="array" ref="U659">IF(SIP[[#This Row],[B/S]]="S",ABS(SIP[[#This Row],[Unit]])*(INDEX(SIP[NAV at Cost (Average)],MATCH(CONCATENATE((SIP[[#This Row],[Frequency]]-1),SIP[[#This Row],[Investor ID]]),SIP[Unique Code],0),0)),0)</f>
        <v>0</v>
      </c>
      <c r="V659" s="74">
        <f>IF(SIP[[#This Row],[BO TRANSFER]]="YES",SIP[[#This Row],[Unit]],)</f>
        <v>0</v>
      </c>
      <c r="W659" s="74">
        <f>SUMIFS(SIP[[#Headers],[BO UNIT TRANSFER]]:SIP[[#This Row],[BO UNIT TRANSFER]],SIP[[#Headers],[Investor ID]]:SIP[[#This Row],[Investor ID]],SIP[[#This Row],[Investor ID]])</f>
        <v>0</v>
      </c>
    </row>
    <row r="660" spans="1:23" ht="15" customHeight="1">
      <c r="A660" s="46">
        <v>2024</v>
      </c>
      <c r="B660" s="46">
        <v>8</v>
      </c>
      <c r="C660" s="46">
        <v>5</v>
      </c>
      <c r="D660" s="65">
        <f>DATE(SIP[[#This Row],[Year]],SIP[[#This Row],[Month]],SIP[[#This Row],[Day]])</f>
        <v>45509</v>
      </c>
      <c r="E660" s="66" t="str" cm="1">
        <f t="array" ref="E660">INDEX(INVESTORS_LIST[INVESTOR NAME],MATCH(SIP[[#This Row],[Investor ID]],INVESTORS_LIST[INVESTOR CODE],0),)</f>
        <v>KAZI AHSAN MARUF</v>
      </c>
      <c r="F660" s="46" t="s">
        <v>158</v>
      </c>
      <c r="G660" s="46">
        <f>COUNTIF(SIP[[#Headers],[Investor ID]]:SIP[[#This Row],[Investor ID]],SIP[[#This Row],[Investor ID]])</f>
        <v>16</v>
      </c>
      <c r="H660" s="46" t="str">
        <f>CONCATENATE(SIP[[#This Row],[Frequency]],SIP[[#This Row],[Investor ID]])</f>
        <v>16A00055</v>
      </c>
      <c r="I660" s="46" t="str">
        <f>IF(SIP[[#This Row],[B/S]]="B","BUY",(IF(SIP[[#This Row],[B/S]]="S","SELL"," ")))</f>
        <v>BUY</v>
      </c>
      <c r="J660" s="46" t="s">
        <v>1229</v>
      </c>
      <c r="K660" s="152">
        <v>10000</v>
      </c>
      <c r="L660" s="122"/>
      <c r="M660" s="123">
        <f>SIP[[#This Row],[Amount]]/SIP[[#This Row],[Unit]]</f>
        <v>11.286681715575622</v>
      </c>
      <c r="N660" s="71">
        <f>SIP[[#This Row],[Unit Capital]]/10</f>
        <v>886</v>
      </c>
      <c r="O660" s="71">
        <f>SUMIFS(SIP[[#Headers],[Unit]]:SIP[[#This Row],[Unit]],SIP[[#Headers],[Investor ID]]:SIP[[#This Row],[Investor ID]],SIP[[#This Row],[Investor ID]])</f>
        <v>34447</v>
      </c>
      <c r="P660" s="153">
        <v>8860</v>
      </c>
      <c r="Q660" s="74">
        <f>SIP[[#This Row],[Amount]]-SIP[[#This Row],[Unit Capital]]</f>
        <v>1140</v>
      </c>
      <c r="R6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10.45083751850669</v>
      </c>
      <c r="S660" s="68">
        <f t="shared" si="28"/>
        <v>14.224</v>
      </c>
      <c r="T6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0" s="74" cm="1">
        <f t="array" ref="U660">IF(SIP[[#This Row],[B/S]]="S",ABS(SIP[[#This Row],[Unit]])*(INDEX(SIP[NAV at Cost (Average)],MATCH(CONCATENATE((SIP[[#This Row],[Frequency]]-1),SIP[[#This Row],[Investor ID]]),SIP[Unique Code],0),0)),0)</f>
        <v>0</v>
      </c>
      <c r="V660" s="74">
        <f>IF(SIP[[#This Row],[BO TRANSFER]]="YES",SIP[[#This Row],[Unit]],)</f>
        <v>0</v>
      </c>
      <c r="W660" s="74">
        <f>SUMIFS(SIP[[#Headers],[BO UNIT TRANSFER]]:SIP[[#This Row],[BO UNIT TRANSFER]],SIP[[#Headers],[Investor ID]]:SIP[[#This Row],[Investor ID]],SIP[[#This Row],[Investor ID]])</f>
        <v>0</v>
      </c>
    </row>
    <row r="661" spans="1:23" ht="15" customHeight="1">
      <c r="A661" s="46">
        <v>2024</v>
      </c>
      <c r="B661" s="46">
        <v>8</v>
      </c>
      <c r="C661" s="46">
        <v>5</v>
      </c>
      <c r="D661" s="65">
        <f>DATE(SIP[[#This Row],[Year]],SIP[[#This Row],[Month]],SIP[[#This Row],[Day]])</f>
        <v>45509</v>
      </c>
      <c r="E661" s="66" t="str" cm="1">
        <f t="array" ref="E661">INDEX(INVESTORS_LIST[INVESTOR NAME],MATCH(SIP[[#This Row],[Investor ID]],INVESTORS_LIST[INVESTOR CODE],0),)</f>
        <v>NANDINI SAHA</v>
      </c>
      <c r="F661" s="46" t="s">
        <v>242</v>
      </c>
      <c r="G661" s="46">
        <f>COUNTIF(SIP[[#Headers],[Investor ID]]:SIP[[#This Row],[Investor ID]],SIP[[#This Row],[Investor ID]])</f>
        <v>15</v>
      </c>
      <c r="H661" s="46" t="str">
        <f>CONCATENATE(SIP[[#This Row],[Frequency]],SIP[[#This Row],[Investor ID]])</f>
        <v>15A00097</v>
      </c>
      <c r="I661" s="46" t="str">
        <f>IF(SIP[[#This Row],[B/S]]="B","BUY",(IF(SIP[[#This Row],[B/S]]="S","SELL"," ")))</f>
        <v>BUY</v>
      </c>
      <c r="J661" s="46" t="s">
        <v>1229</v>
      </c>
      <c r="K661" s="152">
        <v>30000</v>
      </c>
      <c r="L661" s="122"/>
      <c r="M661" s="123">
        <f>SIP[[#This Row],[Amount]]/SIP[[#This Row],[Unit]]</f>
        <v>11.286681715575622</v>
      </c>
      <c r="N661" s="71">
        <f>SIP[[#This Row],[Unit Capital]]/10</f>
        <v>2658</v>
      </c>
      <c r="O661" s="71">
        <f>SUMIFS(SIP[[#Headers],[Unit]]:SIP[[#This Row],[Unit]],SIP[[#Headers],[Investor ID]]:SIP[[#This Row],[Investor ID]],SIP[[#This Row],[Investor ID]])</f>
        <v>42181</v>
      </c>
      <c r="P661" s="153">
        <v>26580</v>
      </c>
      <c r="Q661" s="74">
        <f>SIP[[#This Row],[Amount]]-SIP[[#This Row],[Unit Capital]]</f>
        <v>3420</v>
      </c>
      <c r="R6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10.668310376709893</v>
      </c>
      <c r="S661" s="68">
        <f t="shared" si="28"/>
        <v>14.224</v>
      </c>
      <c r="T6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1" s="74" cm="1">
        <f t="array" ref="U661">IF(SIP[[#This Row],[B/S]]="S",ABS(SIP[[#This Row],[Unit]])*(INDEX(SIP[NAV at Cost (Average)],MATCH(CONCATENATE((SIP[[#This Row],[Frequency]]-1),SIP[[#This Row],[Investor ID]]),SIP[Unique Code],0),0)),0)</f>
        <v>0</v>
      </c>
      <c r="V661" s="74">
        <f>IF(SIP[[#This Row],[BO TRANSFER]]="YES",SIP[[#This Row],[Unit]],)</f>
        <v>0</v>
      </c>
      <c r="W661" s="74">
        <f>SUMIFS(SIP[[#Headers],[BO UNIT TRANSFER]]:SIP[[#This Row],[BO UNIT TRANSFER]],SIP[[#Headers],[Investor ID]]:SIP[[#This Row],[Investor ID]],SIP[[#This Row],[Investor ID]])</f>
        <v>0</v>
      </c>
    </row>
    <row r="662" spans="1:23" ht="15" customHeight="1">
      <c r="A662" s="46">
        <v>2024</v>
      </c>
      <c r="B662" s="46">
        <v>8</v>
      </c>
      <c r="C662" s="46">
        <v>5</v>
      </c>
      <c r="D662" s="65">
        <f>DATE(SIP[[#This Row],[Year]],SIP[[#This Row],[Month]],SIP[[#This Row],[Day]])</f>
        <v>45509</v>
      </c>
      <c r="E662" s="66" t="str" cm="1">
        <f t="array" ref="E662">INDEX(INVESTORS_LIST[INVESTOR NAME],MATCH(SIP[[#This Row],[Investor ID]],INVESTORS_LIST[INVESTOR CODE],0),)</f>
        <v>SHANTA PAUL</v>
      </c>
      <c r="F662" s="46" t="s">
        <v>544</v>
      </c>
      <c r="G662" s="46">
        <f>COUNTIF(SIP[[#Headers],[Investor ID]]:SIP[[#This Row],[Investor ID]],SIP[[#This Row],[Investor ID]])</f>
        <v>17</v>
      </c>
      <c r="H662" s="46" t="str">
        <f>CONCATENATE(SIP[[#This Row],[Frequency]],SIP[[#This Row],[Investor ID]])</f>
        <v>17A00247</v>
      </c>
      <c r="I662" s="46" t="str">
        <f>IF(SIP[[#This Row],[B/S]]="B","BUY",(IF(SIP[[#This Row],[B/S]]="S","SELL"," ")))</f>
        <v>BUY</v>
      </c>
      <c r="J662" s="46" t="s">
        <v>1229</v>
      </c>
      <c r="K662" s="152">
        <v>20000</v>
      </c>
      <c r="L662" s="122"/>
      <c r="M662" s="123">
        <f>SIP[[#This Row],[Amount]]/SIP[[#This Row],[Unit]]</f>
        <v>11.286681715575622</v>
      </c>
      <c r="N662" s="71">
        <f>SIP[[#This Row],[Unit Capital]]/10</f>
        <v>1772</v>
      </c>
      <c r="O662" s="71">
        <f>SUMIFS(SIP[[#Headers],[Unit]]:SIP[[#This Row],[Unit]],SIP[[#Headers],[Investor ID]]:SIP[[#This Row],[Investor ID]],SIP[[#This Row],[Investor ID]])</f>
        <v>31972</v>
      </c>
      <c r="P662" s="153">
        <v>17720</v>
      </c>
      <c r="Q662" s="74">
        <f>SIP[[#This Row],[Amount]]-SIP[[#This Row],[Unit Capital]]</f>
        <v>2280</v>
      </c>
      <c r="R6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10.634305016889778</v>
      </c>
      <c r="S662" s="68">
        <f t="shared" si="28"/>
        <v>14.224</v>
      </c>
      <c r="T6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2" s="74" cm="1">
        <f t="array" ref="U662">IF(SIP[[#This Row],[B/S]]="S",ABS(SIP[[#This Row],[Unit]])*(INDEX(SIP[NAV at Cost (Average)],MATCH(CONCATENATE((SIP[[#This Row],[Frequency]]-1),SIP[[#This Row],[Investor ID]]),SIP[Unique Code],0),0)),0)</f>
        <v>0</v>
      </c>
      <c r="V662" s="74">
        <f>IF(SIP[[#This Row],[BO TRANSFER]]="YES",SIP[[#This Row],[Unit]],)</f>
        <v>0</v>
      </c>
      <c r="W662" s="74">
        <f>SUMIFS(SIP[[#Headers],[BO UNIT TRANSFER]]:SIP[[#This Row],[BO UNIT TRANSFER]],SIP[[#Headers],[Investor ID]]:SIP[[#This Row],[Investor ID]],SIP[[#This Row],[Investor ID]])</f>
        <v>0</v>
      </c>
    </row>
    <row r="663" spans="1:23" ht="15" customHeight="1">
      <c r="A663" s="46">
        <v>2024</v>
      </c>
      <c r="B663" s="46">
        <v>8</v>
      </c>
      <c r="C663" s="46">
        <v>5</v>
      </c>
      <c r="D663" s="65">
        <f>DATE(SIP[[#This Row],[Year]],SIP[[#This Row],[Month]],SIP[[#This Row],[Day]])</f>
        <v>45509</v>
      </c>
      <c r="E663" s="66" t="str" cm="1">
        <f t="array" ref="E663">INDEX(INVESTORS_LIST[INVESTOR NAME],MATCH(SIP[[#This Row],[Investor ID]],INVESTORS_LIST[INVESTOR CODE],0),)</f>
        <v>ROKSABA KASEM</v>
      </c>
      <c r="F663" s="46" t="s">
        <v>900</v>
      </c>
      <c r="G663" s="46">
        <f>COUNTIF(SIP[[#Headers],[Investor ID]]:SIP[[#This Row],[Investor ID]],SIP[[#This Row],[Investor ID]])</f>
        <v>15</v>
      </c>
      <c r="H663" s="46" t="str">
        <f>CONCATENATE(SIP[[#This Row],[Frequency]],SIP[[#This Row],[Investor ID]])</f>
        <v>15A00427</v>
      </c>
      <c r="I663" s="46" t="str">
        <f>IF(SIP[[#This Row],[B/S]]="B","BUY",(IF(SIP[[#This Row],[B/S]]="S","SELL"," ")))</f>
        <v>BUY</v>
      </c>
      <c r="J663" s="46" t="s">
        <v>1229</v>
      </c>
      <c r="K663" s="152">
        <v>20000</v>
      </c>
      <c r="L663" s="122"/>
      <c r="M663" s="123">
        <f>SIP[[#This Row],[Amount]]/SIP[[#This Row],[Unit]]</f>
        <v>11.286681715575622</v>
      </c>
      <c r="N663" s="71">
        <f>SIP[[#This Row],[Unit Capital]]/10</f>
        <v>1772</v>
      </c>
      <c r="O663" s="71">
        <f>SUMIFS(SIP[[#Headers],[Unit]]:SIP[[#This Row],[Unit]],SIP[[#Headers],[Investor ID]]:SIP[[#This Row],[Investor ID]],SIP[[#This Row],[Investor ID]])</f>
        <v>28015</v>
      </c>
      <c r="P663" s="153">
        <v>17720</v>
      </c>
      <c r="Q663" s="74">
        <f>SIP[[#This Row],[Amount]]-SIP[[#This Row],[Unit Capital]]</f>
        <v>2280</v>
      </c>
      <c r="R6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10.708548991611638</v>
      </c>
      <c r="S663" s="68">
        <f t="shared" si="28"/>
        <v>14.224</v>
      </c>
      <c r="T6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3" s="74" cm="1">
        <f t="array" ref="U663">IF(SIP[[#This Row],[B/S]]="S",ABS(SIP[[#This Row],[Unit]])*(INDEX(SIP[NAV at Cost (Average)],MATCH(CONCATENATE((SIP[[#This Row],[Frequency]]-1),SIP[[#This Row],[Investor ID]]),SIP[Unique Code],0),0)),0)</f>
        <v>0</v>
      </c>
      <c r="V663" s="74">
        <f>IF(SIP[[#This Row],[BO TRANSFER]]="YES",SIP[[#This Row],[Unit]],)</f>
        <v>0</v>
      </c>
      <c r="W663" s="74">
        <f>SUMIFS(SIP[[#Headers],[BO UNIT TRANSFER]]:SIP[[#This Row],[BO UNIT TRANSFER]],SIP[[#Headers],[Investor ID]]:SIP[[#This Row],[Investor ID]],SIP[[#This Row],[Investor ID]])</f>
        <v>0</v>
      </c>
    </row>
    <row r="664" spans="1:23" ht="15" customHeight="1">
      <c r="A664" s="46">
        <v>2024</v>
      </c>
      <c r="B664" s="46">
        <v>8</v>
      </c>
      <c r="C664" s="46">
        <v>5</v>
      </c>
      <c r="D664" s="65">
        <f>DATE(SIP[[#This Row],[Year]],SIP[[#This Row],[Month]],SIP[[#This Row],[Day]])</f>
        <v>45509</v>
      </c>
      <c r="E664" s="66" t="str" cm="1">
        <f t="array" ref="E664">INDEX(INVESTORS_LIST[INVESTOR NAME],MATCH(SIP[[#This Row],[Investor ID]],INVESTORS_LIST[INVESTOR CODE],0),)</f>
        <v>MD. MONIRUL ISLAM</v>
      </c>
      <c r="F664" s="46" t="s">
        <v>996</v>
      </c>
      <c r="G664" s="46">
        <f>COUNTIF(SIP[[#Headers],[Investor ID]]:SIP[[#This Row],[Investor ID]],SIP[[#This Row],[Investor ID]])</f>
        <v>16</v>
      </c>
      <c r="H664" s="46" t="str">
        <f>CONCATENATE(SIP[[#This Row],[Frequency]],SIP[[#This Row],[Investor ID]])</f>
        <v>16A00475</v>
      </c>
      <c r="I664" s="46" t="str">
        <f>IF(SIP[[#This Row],[B/S]]="B","BUY",(IF(SIP[[#This Row],[B/S]]="S","SELL"," ")))</f>
        <v>BUY</v>
      </c>
      <c r="J664" s="46" t="s">
        <v>1229</v>
      </c>
      <c r="K664" s="152">
        <v>10000</v>
      </c>
      <c r="L664" s="122"/>
      <c r="M664" s="123">
        <f>SIP[[#This Row],[Amount]]/SIP[[#This Row],[Unit]]</f>
        <v>11.286681715575622</v>
      </c>
      <c r="N664" s="71">
        <f>SIP[[#This Row],[Unit Capital]]/10</f>
        <v>886</v>
      </c>
      <c r="O664" s="71">
        <f>SUMIFS(SIP[[#Headers],[Unit]]:SIP[[#This Row],[Unit]],SIP[[#Headers],[Investor ID]]:SIP[[#This Row],[Investor ID]],SIP[[#This Row],[Investor ID]])</f>
        <v>14994</v>
      </c>
      <c r="P664" s="153">
        <v>8860</v>
      </c>
      <c r="Q664" s="74">
        <f>SIP[[#This Row],[Amount]]-SIP[[#This Row],[Unit Capital]]</f>
        <v>1140</v>
      </c>
      <c r="R6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10.670935040682938</v>
      </c>
      <c r="S664" s="68">
        <f t="shared" si="28"/>
        <v>14.224</v>
      </c>
      <c r="T6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4" s="74" cm="1">
        <f t="array" ref="U664">IF(SIP[[#This Row],[B/S]]="S",ABS(SIP[[#This Row],[Unit]])*(INDEX(SIP[NAV at Cost (Average)],MATCH(CONCATENATE((SIP[[#This Row],[Frequency]]-1),SIP[[#This Row],[Investor ID]]),SIP[Unique Code],0),0)),0)</f>
        <v>0</v>
      </c>
      <c r="V664" s="74">
        <f>IF(SIP[[#This Row],[BO TRANSFER]]="YES",SIP[[#This Row],[Unit]],)</f>
        <v>0</v>
      </c>
      <c r="W664" s="74">
        <f>SUMIFS(SIP[[#Headers],[BO UNIT TRANSFER]]:SIP[[#This Row],[BO UNIT TRANSFER]],SIP[[#Headers],[Investor ID]]:SIP[[#This Row],[Investor ID]],SIP[[#This Row],[Investor ID]])</f>
        <v>0</v>
      </c>
    </row>
    <row r="665" spans="1:23" ht="15" customHeight="1">
      <c r="A665" s="46">
        <v>2024</v>
      </c>
      <c r="B665" s="46">
        <v>8</v>
      </c>
      <c r="C665" s="46">
        <v>5</v>
      </c>
      <c r="D665" s="65">
        <f>DATE(SIP[[#This Row],[Year]],SIP[[#This Row],[Month]],SIP[[#This Row],[Day]])</f>
        <v>45509</v>
      </c>
      <c r="E665" s="66" t="str" cm="1">
        <f t="array" ref="E665">INDEX(INVESTORS_LIST[INVESTOR NAME],MATCH(SIP[[#This Row],[Investor ID]],INVESTORS_LIST[INVESTOR CODE],0),)</f>
        <v>MONIR AHMED</v>
      </c>
      <c r="F665" s="46" t="s">
        <v>125</v>
      </c>
      <c r="G665" s="46">
        <f>COUNTIF(SIP[[#Headers],[Investor ID]]:SIP[[#This Row],[Investor ID]],SIP[[#This Row],[Investor ID]])</f>
        <v>15</v>
      </c>
      <c r="H665" s="46" t="str">
        <f>CONCATENATE(SIP[[#This Row],[Frequency]],SIP[[#This Row],[Investor ID]])</f>
        <v>15A00039</v>
      </c>
      <c r="I665" s="46" t="str">
        <f>IF(SIP[[#This Row],[B/S]]="B","BUY",(IF(SIP[[#This Row],[B/S]]="S","SELL"," ")))</f>
        <v>BUY</v>
      </c>
      <c r="J665" s="46" t="s">
        <v>1229</v>
      </c>
      <c r="K665" s="152">
        <v>5000</v>
      </c>
      <c r="L665" s="122"/>
      <c r="M665" s="123">
        <f>SIP[[#This Row],[Amount]]/SIP[[#This Row],[Unit]]</f>
        <v>11.286681715575622</v>
      </c>
      <c r="N665" s="71">
        <f>SIP[[#This Row],[Unit Capital]]/10</f>
        <v>443</v>
      </c>
      <c r="O665" s="71">
        <f>SUMIFS(SIP[[#Headers],[Unit]]:SIP[[#This Row],[Unit]],SIP[[#Headers],[Investor ID]]:SIP[[#This Row],[Investor ID]],SIP[[#This Row],[Investor ID]])</f>
        <v>4611</v>
      </c>
      <c r="P665" s="153">
        <v>4430</v>
      </c>
      <c r="Q665" s="74">
        <f>SIP[[#This Row],[Amount]]-SIP[[#This Row],[Unit Capital]]</f>
        <v>570</v>
      </c>
      <c r="R6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10.843634786380393</v>
      </c>
      <c r="S665" s="68">
        <f t="shared" si="28"/>
        <v>14.224</v>
      </c>
      <c r="T6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5" s="74" cm="1">
        <f t="array" ref="U665">IF(SIP[[#This Row],[B/S]]="S",ABS(SIP[[#This Row],[Unit]])*(INDEX(SIP[NAV at Cost (Average)],MATCH(CONCATENATE((SIP[[#This Row],[Frequency]]-1),SIP[[#This Row],[Investor ID]]),SIP[Unique Code],0),0)),0)</f>
        <v>0</v>
      </c>
      <c r="V665" s="74">
        <f>IF(SIP[[#This Row],[BO TRANSFER]]="YES",SIP[[#This Row],[Unit]],)</f>
        <v>0</v>
      </c>
      <c r="W665" s="74">
        <f>SUMIFS(SIP[[#Headers],[BO UNIT TRANSFER]]:SIP[[#This Row],[BO UNIT TRANSFER]],SIP[[#Headers],[Investor ID]]:SIP[[#This Row],[Investor ID]],SIP[[#This Row],[Investor ID]])</f>
        <v>0</v>
      </c>
    </row>
    <row r="666" spans="1:23" ht="15" customHeight="1">
      <c r="A666" s="46">
        <v>2024</v>
      </c>
      <c r="B666" s="46">
        <v>8</v>
      </c>
      <c r="C666" s="46">
        <v>5</v>
      </c>
      <c r="D666" s="65">
        <f>DATE(SIP[[#This Row],[Year]],SIP[[#This Row],[Month]],SIP[[#This Row],[Day]])</f>
        <v>45509</v>
      </c>
      <c r="E666" s="66" t="str" cm="1">
        <f t="array" ref="E666">INDEX(INVESTORS_LIST[INVESTOR NAME],MATCH(SIP[[#This Row],[Investor ID]],INVESTORS_LIST[INVESTOR CODE],0),)</f>
        <v>FAKARUDDIN ALI AHMED</v>
      </c>
      <c r="F666" s="46" t="s">
        <v>228</v>
      </c>
      <c r="G666" s="46">
        <f>COUNTIF(SIP[[#Headers],[Investor ID]]:SIP[[#This Row],[Investor ID]],SIP[[#This Row],[Investor ID]])</f>
        <v>16</v>
      </c>
      <c r="H666" s="46" t="str">
        <f>CONCATENATE(SIP[[#This Row],[Frequency]],SIP[[#This Row],[Investor ID]])</f>
        <v>16A00090</v>
      </c>
      <c r="I666" s="46" t="str">
        <f>IF(SIP[[#This Row],[B/S]]="B","BUY",(IF(SIP[[#This Row],[B/S]]="S","SELL"," ")))</f>
        <v>BUY</v>
      </c>
      <c r="J666" s="46" t="s">
        <v>1229</v>
      </c>
      <c r="K666" s="152">
        <v>10000</v>
      </c>
      <c r="L666" s="122"/>
      <c r="M666" s="123">
        <f>SIP[[#This Row],[Amount]]/SIP[[#This Row],[Unit]]</f>
        <v>11.286681715575622</v>
      </c>
      <c r="N666" s="71">
        <f>SIP[[#This Row],[Unit Capital]]/10</f>
        <v>886</v>
      </c>
      <c r="O666" s="71">
        <f>SUMIFS(SIP[[#Headers],[Unit]]:SIP[[#This Row],[Unit]],SIP[[#Headers],[Investor ID]]:SIP[[#This Row],[Investor ID]],SIP[[#This Row],[Investor ID]])</f>
        <v>5509</v>
      </c>
      <c r="P666" s="153">
        <v>8860</v>
      </c>
      <c r="Q666" s="74">
        <f>SIP[[#This Row],[Amount]]-SIP[[#This Row],[Unit Capital]]</f>
        <v>1140</v>
      </c>
      <c r="R6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11.050459453998089</v>
      </c>
      <c r="S666" s="68">
        <f t="shared" si="28"/>
        <v>14.224</v>
      </c>
      <c r="T6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6" s="74" cm="1">
        <f t="array" ref="U666">IF(SIP[[#This Row],[B/S]]="S",ABS(SIP[[#This Row],[Unit]])*(INDEX(SIP[NAV at Cost (Average)],MATCH(CONCATENATE((SIP[[#This Row],[Frequency]]-1),SIP[[#This Row],[Investor ID]]),SIP[Unique Code],0),0)),0)</f>
        <v>0</v>
      </c>
      <c r="V666" s="74">
        <f>IF(SIP[[#This Row],[BO TRANSFER]]="YES",SIP[[#This Row],[Unit]],)</f>
        <v>0</v>
      </c>
      <c r="W666" s="74">
        <f>SUMIFS(SIP[[#Headers],[BO UNIT TRANSFER]]:SIP[[#This Row],[BO UNIT TRANSFER]],SIP[[#Headers],[Investor ID]]:SIP[[#This Row],[Investor ID]],SIP[[#This Row],[Investor ID]])</f>
        <v>0</v>
      </c>
    </row>
    <row r="667" spans="1:23" ht="15" customHeight="1">
      <c r="A667" s="46">
        <v>2024</v>
      </c>
      <c r="B667" s="46">
        <v>8</v>
      </c>
      <c r="C667" s="46">
        <v>5</v>
      </c>
      <c r="D667" s="65">
        <f>DATE(SIP[[#This Row],[Year]],SIP[[#This Row],[Month]],SIP[[#This Row],[Day]])</f>
        <v>45509</v>
      </c>
      <c r="E667" s="66" t="str" cm="1">
        <f t="array" ref="E667">INDEX(INVESTORS_LIST[INVESTOR NAME],MATCH(SIP[[#This Row],[Investor ID]],INVESTORS_LIST[INVESTOR CODE],0),)</f>
        <v>SABRIA ISLAM TALUKDER</v>
      </c>
      <c r="F667" s="46" t="s">
        <v>409</v>
      </c>
      <c r="G667" s="46">
        <f>COUNTIF(SIP[[#Headers],[Investor ID]]:SIP[[#This Row],[Investor ID]],SIP[[#This Row],[Investor ID]])</f>
        <v>12</v>
      </c>
      <c r="H667" s="46" t="str">
        <f>CONCATENATE(SIP[[#This Row],[Frequency]],SIP[[#This Row],[Investor ID]])</f>
        <v>12A00180</v>
      </c>
      <c r="I667" s="46" t="str">
        <f>IF(SIP[[#This Row],[B/S]]="B","BUY",(IF(SIP[[#This Row],[B/S]]="S","SELL"," ")))</f>
        <v>BUY</v>
      </c>
      <c r="J667" s="46" t="s">
        <v>1229</v>
      </c>
      <c r="K667" s="152">
        <v>5000</v>
      </c>
      <c r="L667" s="122"/>
      <c r="M667" s="123">
        <f>SIP[[#This Row],[Amount]]/SIP[[#This Row],[Unit]]</f>
        <v>11.286681715575622</v>
      </c>
      <c r="N667" s="71">
        <f>SIP[[#This Row],[Unit Capital]]/10</f>
        <v>443</v>
      </c>
      <c r="O667" s="71">
        <f>SUMIFS(SIP[[#Headers],[Unit]]:SIP[[#This Row],[Unit]],SIP[[#Headers],[Investor ID]]:SIP[[#This Row],[Investor ID]],SIP[[#This Row],[Investor ID]])</f>
        <v>5544</v>
      </c>
      <c r="P667" s="153">
        <v>4430</v>
      </c>
      <c r="Q667" s="74">
        <f>SIP[[#This Row],[Amount]]-SIP[[#This Row],[Unit Capital]]</f>
        <v>570</v>
      </c>
      <c r="R6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10.822510822510822</v>
      </c>
      <c r="S667" s="68">
        <f t="shared" si="28"/>
        <v>14.224</v>
      </c>
      <c r="T6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7" s="74" cm="1">
        <f t="array" ref="U667">IF(SIP[[#This Row],[B/S]]="S",ABS(SIP[[#This Row],[Unit]])*(INDEX(SIP[NAV at Cost (Average)],MATCH(CONCATENATE((SIP[[#This Row],[Frequency]]-1),SIP[[#This Row],[Investor ID]]),SIP[Unique Code],0),0)),0)</f>
        <v>0</v>
      </c>
      <c r="V667" s="74">
        <f>IF(SIP[[#This Row],[BO TRANSFER]]="YES",SIP[[#This Row],[Unit]],)</f>
        <v>0</v>
      </c>
      <c r="W667" s="74">
        <f>SUMIFS(SIP[[#Headers],[BO UNIT TRANSFER]]:SIP[[#This Row],[BO UNIT TRANSFER]],SIP[[#Headers],[Investor ID]]:SIP[[#This Row],[Investor ID]],SIP[[#This Row],[Investor ID]])</f>
        <v>0</v>
      </c>
    </row>
    <row r="668" spans="1:23" ht="15" customHeight="1">
      <c r="A668" s="46">
        <v>2024</v>
      </c>
      <c r="B668" s="46">
        <v>8</v>
      </c>
      <c r="C668" s="46">
        <v>5</v>
      </c>
      <c r="D668" s="65">
        <f>DATE(SIP[[#This Row],[Year]],SIP[[#This Row],[Month]],SIP[[#This Row],[Day]])</f>
        <v>45509</v>
      </c>
      <c r="E668" s="66" t="str" cm="1">
        <f t="array" ref="E668">INDEX(INVESTORS_LIST[INVESTOR NAME],MATCH(SIP[[#This Row],[Investor ID]],INVESTORS_LIST[INVESTOR CODE],0),)</f>
        <v>NANI GOPAL DATTA</v>
      </c>
      <c r="F668" s="46" t="s">
        <v>232</v>
      </c>
      <c r="G668" s="46">
        <f>COUNTIF(SIP[[#Headers],[Investor ID]]:SIP[[#This Row],[Investor ID]],SIP[[#This Row],[Investor ID]])</f>
        <v>9</v>
      </c>
      <c r="H668" s="46" t="str">
        <f>CONCATENATE(SIP[[#This Row],[Frequency]],SIP[[#This Row],[Investor ID]])</f>
        <v>9A00092</v>
      </c>
      <c r="I668" s="46" t="str">
        <f>IF(SIP[[#This Row],[B/S]]="B","BUY",(IF(SIP[[#This Row],[B/S]]="S","SELL"," ")))</f>
        <v>BUY</v>
      </c>
      <c r="J668" s="46" t="s">
        <v>1229</v>
      </c>
      <c r="K668" s="152">
        <v>2000</v>
      </c>
      <c r="L668" s="122"/>
      <c r="M668" s="123">
        <f>SIP[[#This Row],[Amount]]/SIP[[#This Row],[Unit]]</f>
        <v>11.299435028248588</v>
      </c>
      <c r="N668" s="71">
        <f>SIP[[#This Row],[Unit Capital]]/10</f>
        <v>177</v>
      </c>
      <c r="O668" s="71">
        <f>SUMIFS(SIP[[#Headers],[Unit]]:SIP[[#This Row],[Unit]],SIP[[#Headers],[Investor ID]]:SIP[[#This Row],[Investor ID]],SIP[[#This Row],[Investor ID]])</f>
        <v>1655</v>
      </c>
      <c r="P668" s="153">
        <v>1770</v>
      </c>
      <c r="Q668" s="74">
        <f>SIP[[#This Row],[Amount]]-SIP[[#This Row],[Unit Capital]]</f>
        <v>230</v>
      </c>
      <c r="R6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10.876132930513599</v>
      </c>
      <c r="S668" s="68">
        <f t="shared" si="28"/>
        <v>14.224</v>
      </c>
      <c r="T6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8" s="74" cm="1">
        <f t="array" ref="U668">IF(SIP[[#This Row],[B/S]]="S",ABS(SIP[[#This Row],[Unit]])*(INDEX(SIP[NAV at Cost (Average)],MATCH(CONCATENATE((SIP[[#This Row],[Frequency]]-1),SIP[[#This Row],[Investor ID]]),SIP[Unique Code],0),0)),0)</f>
        <v>0</v>
      </c>
      <c r="V668" s="74">
        <f>IF(SIP[[#This Row],[BO TRANSFER]]="YES",SIP[[#This Row],[Unit]],)</f>
        <v>0</v>
      </c>
      <c r="W668" s="74">
        <f>SUMIFS(SIP[[#Headers],[BO UNIT TRANSFER]]:SIP[[#This Row],[BO UNIT TRANSFER]],SIP[[#Headers],[Investor ID]]:SIP[[#This Row],[Investor ID]],SIP[[#This Row],[Investor ID]])</f>
        <v>0</v>
      </c>
    </row>
    <row r="669" spans="1:23" ht="15" customHeight="1">
      <c r="A669" s="46">
        <v>2024</v>
      </c>
      <c r="B669" s="46">
        <v>8</v>
      </c>
      <c r="C669" s="46">
        <v>5</v>
      </c>
      <c r="D669" s="65">
        <f>DATE(SIP[[#This Row],[Year]],SIP[[#This Row],[Month]],SIP[[#This Row],[Day]])</f>
        <v>45509</v>
      </c>
      <c r="E669" s="66" t="str" cm="1">
        <f t="array" ref="E669">INDEX(INVESTORS_LIST[INVESTOR NAME],MATCH(SIP[[#This Row],[Investor ID]],INVESTORS_LIST[INVESTOR CODE],0),)</f>
        <v>BIJOY CHANDRA DAS</v>
      </c>
      <c r="F669" s="46" t="s">
        <v>497</v>
      </c>
      <c r="G669" s="46">
        <f>COUNTIF(SIP[[#Headers],[Investor ID]]:SIP[[#This Row],[Investor ID]],SIP[[#This Row],[Investor ID]])</f>
        <v>5</v>
      </c>
      <c r="H669" s="46" t="str">
        <f>CONCATENATE(SIP[[#This Row],[Frequency]],SIP[[#This Row],[Investor ID]])</f>
        <v>5A00224</v>
      </c>
      <c r="I669" s="46" t="str">
        <f>IF(SIP[[#This Row],[B/S]]="B","BUY",(IF(SIP[[#This Row],[B/S]]="S","SELL"," ")))</f>
        <v>BUY</v>
      </c>
      <c r="J669" s="46" t="s">
        <v>1229</v>
      </c>
      <c r="K669" s="152">
        <v>5000</v>
      </c>
      <c r="L669" s="122"/>
      <c r="M669" s="123">
        <f>SIP[[#This Row],[Amount]]/SIP[[#This Row],[Unit]]</f>
        <v>11.286681715575622</v>
      </c>
      <c r="N669" s="71">
        <f>SIP[[#This Row],[Unit Capital]]/10</f>
        <v>443</v>
      </c>
      <c r="O669" s="71">
        <f>SUMIFS(SIP[[#Headers],[Unit]]:SIP[[#This Row],[Unit]],SIP[[#Headers],[Investor ID]]:SIP[[#This Row],[Investor ID]],SIP[[#This Row],[Investor ID]])</f>
        <v>2252</v>
      </c>
      <c r="P669" s="153">
        <v>4430</v>
      </c>
      <c r="Q669" s="74">
        <f>SIP[[#This Row],[Amount]]-SIP[[#This Row],[Unit Capital]]</f>
        <v>570</v>
      </c>
      <c r="R6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11.101243339253998</v>
      </c>
      <c r="S669" s="68">
        <f t="shared" si="28"/>
        <v>14.224</v>
      </c>
      <c r="T6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9" s="74" cm="1">
        <f t="array" ref="U669">IF(SIP[[#This Row],[B/S]]="S",ABS(SIP[[#This Row],[Unit]])*(INDEX(SIP[NAV at Cost (Average)],MATCH(CONCATENATE((SIP[[#This Row],[Frequency]]-1),SIP[[#This Row],[Investor ID]]),SIP[Unique Code],0),0)),0)</f>
        <v>0</v>
      </c>
      <c r="V669" s="74">
        <f>IF(SIP[[#This Row],[BO TRANSFER]]="YES",SIP[[#This Row],[Unit]],)</f>
        <v>0</v>
      </c>
      <c r="W669" s="74">
        <f>SUMIFS(SIP[[#Headers],[BO UNIT TRANSFER]]:SIP[[#This Row],[BO UNIT TRANSFER]],SIP[[#Headers],[Investor ID]]:SIP[[#This Row],[Investor ID]],SIP[[#This Row],[Investor ID]])</f>
        <v>0</v>
      </c>
    </row>
    <row r="670" spans="1:23" ht="15" customHeight="1">
      <c r="A670" s="46">
        <v>2024</v>
      </c>
      <c r="B670" s="46">
        <v>8</v>
      </c>
      <c r="C670" s="46">
        <v>5</v>
      </c>
      <c r="D670" s="65">
        <f>DATE(SIP[[#This Row],[Year]],SIP[[#This Row],[Month]],SIP[[#This Row],[Day]])</f>
        <v>45509</v>
      </c>
      <c r="E670" s="66" t="str" cm="1">
        <f t="array" ref="E670">INDEX(INVESTORS_LIST[INVESTOR NAME],MATCH(SIP[[#This Row],[Investor ID]],INVESTORS_LIST[INVESTOR CODE],0),)</f>
        <v>AHMED BIN MONSUR</v>
      </c>
      <c r="F670" s="46" t="s">
        <v>692</v>
      </c>
      <c r="G670" s="46">
        <f>COUNTIF(SIP[[#Headers],[Investor ID]]:SIP[[#This Row],[Investor ID]],SIP[[#This Row],[Investor ID]])</f>
        <v>3</v>
      </c>
      <c r="H670" s="46" t="str">
        <f>CONCATENATE(SIP[[#This Row],[Frequency]],SIP[[#This Row],[Investor ID]])</f>
        <v>3A00322</v>
      </c>
      <c r="I670" s="46" t="str">
        <f>IF(SIP[[#This Row],[B/S]]="B","BUY",(IF(SIP[[#This Row],[B/S]]="S","SELL"," ")))</f>
        <v>BUY</v>
      </c>
      <c r="J670" s="46" t="s">
        <v>1229</v>
      </c>
      <c r="K670" s="152">
        <v>20000</v>
      </c>
      <c r="L670" s="122"/>
      <c r="M670" s="123">
        <f>SIP[[#This Row],[Amount]]/SIP[[#This Row],[Unit]]</f>
        <v>11.286681715575622</v>
      </c>
      <c r="N670" s="71">
        <f>SIP[[#This Row],[Unit Capital]]/10</f>
        <v>1772</v>
      </c>
      <c r="O670" s="71">
        <f>SUMIFS(SIP[[#Headers],[Unit]]:SIP[[#This Row],[Unit]],SIP[[#Headers],[Investor ID]]:SIP[[#This Row],[Investor ID]],SIP[[#This Row],[Investor ID]])</f>
        <v>5363</v>
      </c>
      <c r="P670" s="153">
        <v>17720</v>
      </c>
      <c r="Q670" s="74">
        <f>SIP[[#This Row],[Amount]]-SIP[[#This Row],[Unit Capital]]</f>
        <v>2280</v>
      </c>
      <c r="R6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11.187768040275964</v>
      </c>
      <c r="S670" s="68">
        <f t="shared" si="28"/>
        <v>14.224</v>
      </c>
      <c r="T6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0" s="74" cm="1">
        <f t="array" ref="U670">IF(SIP[[#This Row],[B/S]]="S",ABS(SIP[[#This Row],[Unit]])*(INDEX(SIP[NAV at Cost (Average)],MATCH(CONCATENATE((SIP[[#This Row],[Frequency]]-1),SIP[[#This Row],[Investor ID]]),SIP[Unique Code],0),0)),0)</f>
        <v>0</v>
      </c>
      <c r="V670" s="74">
        <f>IF(SIP[[#This Row],[BO TRANSFER]]="YES",SIP[[#This Row],[Unit]],)</f>
        <v>0</v>
      </c>
      <c r="W670" s="74">
        <f>SUMIFS(SIP[[#Headers],[BO UNIT TRANSFER]]:SIP[[#This Row],[BO UNIT TRANSFER]],SIP[[#Headers],[Investor ID]]:SIP[[#This Row],[Investor ID]],SIP[[#This Row],[Investor ID]])</f>
        <v>0</v>
      </c>
    </row>
    <row r="671" spans="1:23" ht="15" customHeight="1">
      <c r="A671" s="46">
        <v>2024</v>
      </c>
      <c r="B671" s="46">
        <v>8</v>
      </c>
      <c r="C671" s="46">
        <v>8</v>
      </c>
      <c r="D671" s="65">
        <f>DATE(SIP[[#This Row],[Year]],SIP[[#This Row],[Month]],SIP[[#This Row],[Day]])</f>
        <v>45512</v>
      </c>
      <c r="E671" s="66" t="str" cm="1">
        <f t="array" ref="E671">INDEX(INVESTORS_LIST[INVESTOR NAME],MATCH(SIP[[#This Row],[Investor ID]],INVESTORS_LIST[INVESTOR CODE],0),)</f>
        <v>SRIJON GHOSH</v>
      </c>
      <c r="F671" s="154" t="s">
        <v>894</v>
      </c>
      <c r="G671" s="46">
        <f>COUNTIF(SIP[[#Headers],[Investor ID]]:SIP[[#This Row],[Investor ID]],SIP[[#This Row],[Investor ID]])</f>
        <v>35</v>
      </c>
      <c r="H671" s="46" t="str">
        <f>CONCATENATE(SIP[[#This Row],[Frequency]],SIP[[#This Row],[Investor ID]])</f>
        <v>35A00424</v>
      </c>
      <c r="I671" s="46" t="str">
        <f>IF(SIP[[#This Row],[B/S]]="B","BUY",(IF(SIP[[#This Row],[B/S]]="S","SELL"," ")))</f>
        <v>SELL</v>
      </c>
      <c r="J671" s="150" t="s">
        <v>1231</v>
      </c>
      <c r="K671" s="152">
        <v>-20239.383999999998</v>
      </c>
      <c r="L671" s="122"/>
      <c r="M671" s="123">
        <f>SIP[[#This Row],[Amount]]/SIP[[#This Row],[Unit]]</f>
        <v>11.287999999999998</v>
      </c>
      <c r="N671" s="71">
        <f>SIP[[#This Row],[Unit Capital]]/10</f>
        <v>-1793</v>
      </c>
      <c r="O671" s="71">
        <f>SUMIFS(SIP[[#Headers],[Unit]]:SIP[[#This Row],[Unit]],SIP[[#Headers],[Investor ID]]:SIP[[#This Row],[Investor ID]],SIP[[#This Row],[Investor ID]])</f>
        <v>0</v>
      </c>
      <c r="P671" s="153">
        <v>-17930</v>
      </c>
      <c r="Q671" s="74">
        <f>SIP[[#This Row],[Amount]]-SIP[[#This Row],[Unit Capital]]</f>
        <v>-2309.3839999999982</v>
      </c>
      <c r="R6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671" s="68">
        <f t="shared" ref="S671:S677" si="29">NAV_MKT</f>
        <v>14.224</v>
      </c>
      <c r="T671" s="74">
        <f>IF(SIP[[#This Row],[B/S]]="B",0,ABS(SIP[[#This Row],[Unit]])*(SIP[[#This Row],[NAV (Strike Rate)]]-INDEX(SIP[NAV at Cost (Average)],MATCH(CONCATENATE(SIP[[#This Row],[Frequency]]-1,SIP[[#This Row],[Investor ID]]),SIP[Unique Code],0),)))</f>
        <v>960.70952064343646</v>
      </c>
      <c r="U671" s="74" cm="1">
        <f t="array" ref="U671">IF(SIP[[#This Row],[B/S]]="S",ABS(SIP[[#This Row],[Unit]])*(INDEX(SIP[NAV at Cost (Average)],MATCH(CONCATENATE((SIP[[#This Row],[Frequency]]-1),SIP[[#This Row],[Investor ID]]),SIP[Unique Code],0),0)),0)</f>
        <v>19278.674479356559</v>
      </c>
      <c r="V671" s="74">
        <f>IF(SIP[[#This Row],[BO TRANSFER]]="YES",SIP[[#This Row],[Unit]],)</f>
        <v>0</v>
      </c>
      <c r="W671" s="74">
        <f>SUMIFS(SIP[[#Headers],[BO UNIT TRANSFER]]:SIP[[#This Row],[BO UNIT TRANSFER]],SIP[[#Headers],[Investor ID]]:SIP[[#This Row],[Investor ID]],SIP[[#This Row],[Investor ID]])</f>
        <v>0</v>
      </c>
    </row>
    <row r="672" spans="1:23" ht="15" customHeight="1">
      <c r="A672" s="46">
        <v>2024</v>
      </c>
      <c r="B672" s="46">
        <v>8</v>
      </c>
      <c r="C672" s="46">
        <v>15</v>
      </c>
      <c r="D672" s="65">
        <f>DATE(SIP[[#This Row],[Year]],SIP[[#This Row],[Month]],SIP[[#This Row],[Day]])</f>
        <v>45519</v>
      </c>
      <c r="E672" s="66" t="str" cm="1">
        <f t="array" ref="E672">INDEX(INVESTORS_LIST[INVESTOR NAME],MATCH(SIP[[#This Row],[Investor ID]],INVESTORS_LIST[INVESTOR CODE],0),)</f>
        <v>MD. RAFIQUR RAHMAN</v>
      </c>
      <c r="F672" s="46" t="s">
        <v>622</v>
      </c>
      <c r="G672" s="46">
        <f>COUNTIF(SIP[[#Headers],[Investor ID]]:SIP[[#This Row],[Investor ID]],SIP[[#This Row],[Investor ID]])</f>
        <v>12</v>
      </c>
      <c r="H672" s="46" t="str">
        <f>CONCATENATE(SIP[[#This Row],[Frequency]],SIP[[#This Row],[Investor ID]])</f>
        <v>12A00287</v>
      </c>
      <c r="I672" s="46" t="str">
        <f>IF(SIP[[#This Row],[B/S]]="B","BUY",(IF(SIP[[#This Row],[B/S]]="S","SELL"," ")))</f>
        <v>BUY</v>
      </c>
      <c r="J672" s="46" t="s">
        <v>1229</v>
      </c>
      <c r="K672" s="152">
        <v>20000</v>
      </c>
      <c r="L672" s="122"/>
      <c r="M672" s="123">
        <f>SIP[[#This Row],[Amount]]/SIP[[#This Row],[Unit]]</f>
        <v>11.312217194570136</v>
      </c>
      <c r="N672" s="71">
        <f>SIP[[#This Row],[Unit Capital]]/10</f>
        <v>1768</v>
      </c>
      <c r="O672" s="71">
        <f>SUMIFS(SIP[[#Headers],[Unit]]:SIP[[#This Row],[Unit]],SIP[[#Headers],[Investor ID]]:SIP[[#This Row],[Investor ID]],SIP[[#This Row],[Investor ID]])</f>
        <v>22124</v>
      </c>
      <c r="P672" s="153">
        <v>17680</v>
      </c>
      <c r="Q672" s="74">
        <f>SIP[[#This Row],[Amount]]-SIP[[#This Row],[Unit Capital]]</f>
        <v>2320</v>
      </c>
      <c r="R6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10.847947929849934</v>
      </c>
      <c r="S672" s="68">
        <f t="shared" si="29"/>
        <v>14.224</v>
      </c>
      <c r="T6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2" s="74" cm="1">
        <f t="array" ref="U672">IF(SIP[[#This Row],[B/S]]="S",ABS(SIP[[#This Row],[Unit]])*(INDEX(SIP[NAV at Cost (Average)],MATCH(CONCATENATE((SIP[[#This Row],[Frequency]]-1),SIP[[#This Row],[Investor ID]]),SIP[Unique Code],0),0)),0)</f>
        <v>0</v>
      </c>
      <c r="V672" s="74">
        <f>IF(SIP[[#This Row],[BO TRANSFER]]="YES",SIP[[#This Row],[Unit]],)</f>
        <v>0</v>
      </c>
      <c r="W672" s="74">
        <f>SUMIFS(SIP[[#Headers],[BO UNIT TRANSFER]]:SIP[[#This Row],[BO UNIT TRANSFER]],SIP[[#Headers],[Investor ID]]:SIP[[#This Row],[Investor ID]],SIP[[#This Row],[Investor ID]])</f>
        <v>0</v>
      </c>
    </row>
    <row r="673" spans="1:23" ht="15" customHeight="1">
      <c r="A673" s="46">
        <v>2024</v>
      </c>
      <c r="B673" s="46">
        <v>8</v>
      </c>
      <c r="C673" s="46">
        <v>15</v>
      </c>
      <c r="D673" s="65">
        <f>DATE(SIP[[#This Row],[Year]],SIP[[#This Row],[Month]],SIP[[#This Row],[Day]])</f>
        <v>45519</v>
      </c>
      <c r="E673" s="66" t="str" cm="1">
        <f t="array" ref="E673">INDEX(INVESTORS_LIST[INVESTOR NAME],MATCH(SIP[[#This Row],[Investor ID]],INVESTORS_LIST[INVESTOR CODE],0),)</f>
        <v>CHANCHAL KUMAR SAHA</v>
      </c>
      <c r="F673" s="46" t="s">
        <v>569</v>
      </c>
      <c r="G673" s="46">
        <f>COUNTIF(SIP[[#Headers],[Investor ID]]:SIP[[#This Row],[Investor ID]],SIP[[#This Row],[Investor ID]])</f>
        <v>4</v>
      </c>
      <c r="H673" s="46" t="str">
        <f>CONCATENATE(SIP[[#This Row],[Frequency]],SIP[[#This Row],[Investor ID]])</f>
        <v>4A00260</v>
      </c>
      <c r="I673" s="46" t="str">
        <f>IF(SIP[[#This Row],[B/S]]="B","BUY",(IF(SIP[[#This Row],[B/S]]="S","SELL"," ")))</f>
        <v>BUY</v>
      </c>
      <c r="J673" s="46" t="s">
        <v>1229</v>
      </c>
      <c r="K673" s="152">
        <v>15000</v>
      </c>
      <c r="L673" s="122"/>
      <c r="M673" s="123">
        <f>SIP[[#This Row],[Amount]]/SIP[[#This Row],[Unit]]</f>
        <v>11.312217194570136</v>
      </c>
      <c r="N673" s="71">
        <f>SIP[[#This Row],[Unit Capital]]/10</f>
        <v>1326</v>
      </c>
      <c r="O673" s="71">
        <f>SUMIFS(SIP[[#Headers],[Unit]]:SIP[[#This Row],[Unit]],SIP[[#Headers],[Investor ID]]:SIP[[#This Row],[Investor ID]],SIP[[#This Row],[Investor ID]])</f>
        <v>5554</v>
      </c>
      <c r="P673" s="153">
        <v>13260</v>
      </c>
      <c r="Q673" s="74">
        <f>SIP[[#This Row],[Amount]]-SIP[[#This Row],[Unit Capital]]</f>
        <v>1740</v>
      </c>
      <c r="R6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10.803024846957149</v>
      </c>
      <c r="S673" s="68">
        <f t="shared" si="29"/>
        <v>14.224</v>
      </c>
      <c r="T6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3" s="74" cm="1">
        <f t="array" ref="U673">IF(SIP[[#This Row],[B/S]]="S",ABS(SIP[[#This Row],[Unit]])*(INDEX(SIP[NAV at Cost (Average)],MATCH(CONCATENATE((SIP[[#This Row],[Frequency]]-1),SIP[[#This Row],[Investor ID]]),SIP[Unique Code],0),0)),0)</f>
        <v>0</v>
      </c>
      <c r="V673" s="74">
        <f>IF(SIP[[#This Row],[BO TRANSFER]]="YES",SIP[[#This Row],[Unit]],)</f>
        <v>0</v>
      </c>
      <c r="W673" s="74">
        <f>SUMIFS(SIP[[#Headers],[BO UNIT TRANSFER]]:SIP[[#This Row],[BO UNIT TRANSFER]],SIP[[#Headers],[Investor ID]]:SIP[[#This Row],[Investor ID]],SIP[[#This Row],[Investor ID]])</f>
        <v>0</v>
      </c>
    </row>
    <row r="674" spans="1:23" ht="15" customHeight="1">
      <c r="A674" s="46">
        <v>2024</v>
      </c>
      <c r="B674" s="46">
        <v>8</v>
      </c>
      <c r="C674" s="46">
        <v>15</v>
      </c>
      <c r="D674" s="65">
        <f>DATE(SIP[[#This Row],[Year]],SIP[[#This Row],[Month]],SIP[[#This Row],[Day]])</f>
        <v>45519</v>
      </c>
      <c r="E674" s="66" t="str" cm="1">
        <f t="array" ref="E674">INDEX(INVESTORS_LIST[INVESTOR NAME],MATCH(SIP[[#This Row],[Investor ID]],INVESTORS_LIST[INVESTOR CODE],0),)</f>
        <v>AKIB TANVIR ANJUM</v>
      </c>
      <c r="F674" s="46" t="s">
        <v>1116</v>
      </c>
      <c r="G674" s="46">
        <f>COUNTIF(SIP[[#Headers],[Investor ID]]:SIP[[#This Row],[Investor ID]],SIP[[#This Row],[Investor ID]])</f>
        <v>5</v>
      </c>
      <c r="H674" s="46" t="str">
        <f>CONCATENATE(SIP[[#This Row],[Frequency]],SIP[[#This Row],[Investor ID]])</f>
        <v>5A00533</v>
      </c>
      <c r="I674" s="46" t="str">
        <f>IF(SIP[[#This Row],[B/S]]="B","BUY",(IF(SIP[[#This Row],[B/S]]="S","SELL"," ")))</f>
        <v>BUY</v>
      </c>
      <c r="J674" s="46" t="s">
        <v>1229</v>
      </c>
      <c r="K674" s="152">
        <v>1000</v>
      </c>
      <c r="L674" s="122"/>
      <c r="M674" s="123">
        <f>SIP[[#This Row],[Amount]]/SIP[[#This Row],[Unit]]</f>
        <v>11.363636363636363</v>
      </c>
      <c r="N674" s="71">
        <f>SIP[[#This Row],[Unit Capital]]/10</f>
        <v>88</v>
      </c>
      <c r="O674" s="71">
        <f>SUMIFS(SIP[[#Headers],[Unit]]:SIP[[#This Row],[Unit]],SIP[[#Headers],[Investor ID]]:SIP[[#This Row],[Investor ID]],SIP[[#This Row],[Investor ID]])</f>
        <v>449</v>
      </c>
      <c r="P674" s="153">
        <v>880</v>
      </c>
      <c r="Q674" s="74">
        <f>SIP[[#This Row],[Amount]]-SIP[[#This Row],[Unit Capital]]</f>
        <v>120</v>
      </c>
      <c r="R6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11.1358574610245</v>
      </c>
      <c r="S674" s="68">
        <f t="shared" si="29"/>
        <v>14.224</v>
      </c>
      <c r="T6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4" s="74" cm="1">
        <f t="array" ref="U674">IF(SIP[[#This Row],[B/S]]="S",ABS(SIP[[#This Row],[Unit]])*(INDEX(SIP[NAV at Cost (Average)],MATCH(CONCATENATE((SIP[[#This Row],[Frequency]]-1),SIP[[#This Row],[Investor ID]]),SIP[Unique Code],0),0)),0)</f>
        <v>0</v>
      </c>
      <c r="V674" s="74">
        <f>IF(SIP[[#This Row],[BO TRANSFER]]="YES",SIP[[#This Row],[Unit]],)</f>
        <v>0</v>
      </c>
      <c r="W674" s="74">
        <f>SUMIFS(SIP[[#Headers],[BO UNIT TRANSFER]]:SIP[[#This Row],[BO UNIT TRANSFER]],SIP[[#Headers],[Investor ID]]:SIP[[#This Row],[Investor ID]],SIP[[#This Row],[Investor ID]])</f>
        <v>0</v>
      </c>
    </row>
    <row r="675" spans="1:23" ht="15" customHeight="1">
      <c r="A675" s="46">
        <v>2024</v>
      </c>
      <c r="B675" s="46">
        <v>8</v>
      </c>
      <c r="C675" s="46">
        <v>15</v>
      </c>
      <c r="D675" s="65">
        <f>DATE(SIP[[#This Row],[Year]],SIP[[#This Row],[Month]],SIP[[#This Row],[Day]])</f>
        <v>45519</v>
      </c>
      <c r="E675" s="66" t="str" cm="1">
        <f t="array" ref="E675">INDEX(INVESTORS_LIST[INVESTOR NAME],MATCH(SIP[[#This Row],[Investor ID]],INVESTORS_LIST[INVESTOR CODE],0),)</f>
        <v>MAHMUD ALI ALAMGIR &amp; MOHAMMED ALI XAHANGIR</v>
      </c>
      <c r="F675" s="46" t="s">
        <v>1130</v>
      </c>
      <c r="G675" s="46">
        <f>COUNTIF(SIP[[#Headers],[Investor ID]]:SIP[[#This Row],[Investor ID]],SIP[[#This Row],[Investor ID]])</f>
        <v>3</v>
      </c>
      <c r="H675" s="46" t="str">
        <f>CONCATENATE(SIP[[#This Row],[Frequency]],SIP[[#This Row],[Investor ID]])</f>
        <v>3A00540</v>
      </c>
      <c r="I675" s="46" t="str">
        <f>IF(SIP[[#This Row],[B/S]]="B","BUY",(IF(SIP[[#This Row],[B/S]]="S","SELL"," ")))</f>
        <v>BUY</v>
      </c>
      <c r="J675" s="46" t="s">
        <v>1229</v>
      </c>
      <c r="K675" s="152">
        <v>40000</v>
      </c>
      <c r="L675" s="122"/>
      <c r="M675" s="123">
        <f>SIP[[#This Row],[Amount]]/SIP[[#This Row],[Unit]]</f>
        <v>11.312217194570136</v>
      </c>
      <c r="N675" s="71">
        <f>SIP[[#This Row],[Unit Capital]]/10</f>
        <v>3536</v>
      </c>
      <c r="O675" s="71">
        <f>SUMIFS(SIP[[#Headers],[Unit]]:SIP[[#This Row],[Unit]],SIP[[#Headers],[Investor ID]]:SIP[[#This Row],[Investor ID]],SIP[[#This Row],[Investor ID]])</f>
        <v>10693</v>
      </c>
      <c r="P675" s="153">
        <v>35360</v>
      </c>
      <c r="Q675" s="74">
        <f>SIP[[#This Row],[Amount]]-SIP[[#This Row],[Unit Capital]]</f>
        <v>4640</v>
      </c>
      <c r="R6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11.22229495931918</v>
      </c>
      <c r="S675" s="68">
        <f t="shared" si="29"/>
        <v>14.224</v>
      </c>
      <c r="T6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5" s="74" cm="1">
        <f t="array" ref="U675">IF(SIP[[#This Row],[B/S]]="S",ABS(SIP[[#This Row],[Unit]])*(INDEX(SIP[NAV at Cost (Average)],MATCH(CONCATENATE((SIP[[#This Row],[Frequency]]-1),SIP[[#This Row],[Investor ID]]),SIP[Unique Code],0),0)),0)</f>
        <v>0</v>
      </c>
      <c r="V675" s="74">
        <f>IF(SIP[[#This Row],[BO TRANSFER]]="YES",SIP[[#This Row],[Unit]],)</f>
        <v>0</v>
      </c>
      <c r="W675" s="74">
        <f>SUMIFS(SIP[[#Headers],[BO UNIT TRANSFER]]:SIP[[#This Row],[BO UNIT TRANSFER]],SIP[[#Headers],[Investor ID]]:SIP[[#This Row],[Investor ID]],SIP[[#This Row],[Investor ID]])</f>
        <v>0</v>
      </c>
    </row>
    <row r="676" spans="1:23" ht="15" customHeight="1">
      <c r="A676" s="46">
        <v>2024</v>
      </c>
      <c r="B676" s="46">
        <v>8</v>
      </c>
      <c r="C676" s="46">
        <v>15</v>
      </c>
      <c r="D676" s="65">
        <f>DATE(SIP[[#This Row],[Year]],SIP[[#This Row],[Month]],SIP[[#This Row],[Day]])</f>
        <v>45519</v>
      </c>
      <c r="E676" s="66" t="str" cm="1">
        <f t="array" ref="E676">INDEX(INVESTORS_LIST[INVESTOR NAME],MATCH(SIP[[#This Row],[Investor ID]],INVESTORS_LIST[INVESTOR CODE],0),)</f>
        <v>MAHFUZA ANIKA</v>
      </c>
      <c r="F676" s="46" t="s">
        <v>1277</v>
      </c>
      <c r="G676" s="46">
        <f>COUNTIF(SIP[[#Headers],[Investor ID]]:SIP[[#This Row],[Investor ID]],SIP[[#This Row],[Investor ID]])</f>
        <v>1</v>
      </c>
      <c r="H676" s="46" t="str">
        <f>CONCATENATE(SIP[[#This Row],[Frequency]],SIP[[#This Row],[Investor ID]])</f>
        <v>1A00585</v>
      </c>
      <c r="I676" s="46" t="str">
        <f>IF(SIP[[#This Row],[B/S]]="B","BUY",(IF(SIP[[#This Row],[B/S]]="S","SELL"," ")))</f>
        <v>BUY</v>
      </c>
      <c r="J676" s="46" t="s">
        <v>1229</v>
      </c>
      <c r="K676" s="152">
        <v>1000</v>
      </c>
      <c r="L676" s="122"/>
      <c r="M676" s="123">
        <f>SIP[[#This Row],[Amount]]/SIP[[#This Row],[Unit]]</f>
        <v>11.363636363636363</v>
      </c>
      <c r="N676" s="71">
        <f>SIP[[#This Row],[Unit Capital]]/10</f>
        <v>88</v>
      </c>
      <c r="O676" s="71">
        <f>SUMIFS(SIP[[#Headers],[Unit]]:SIP[[#This Row],[Unit]],SIP[[#Headers],[Investor ID]]:SIP[[#This Row],[Investor ID]],SIP[[#This Row],[Investor ID]])</f>
        <v>88</v>
      </c>
      <c r="P676" s="153">
        <v>880</v>
      </c>
      <c r="Q676" s="74">
        <f>SIP[[#This Row],[Amount]]-SIP[[#This Row],[Unit Capital]]</f>
        <v>120</v>
      </c>
      <c r="R6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676" s="68">
        <f t="shared" si="29"/>
        <v>14.224</v>
      </c>
      <c r="T6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6" s="74" cm="1">
        <f t="array" ref="U676">IF(SIP[[#This Row],[B/S]]="S",ABS(SIP[[#This Row],[Unit]])*(INDEX(SIP[NAV at Cost (Average)],MATCH(CONCATENATE((SIP[[#This Row],[Frequency]]-1),SIP[[#This Row],[Investor ID]]),SIP[Unique Code],0),0)),0)</f>
        <v>0</v>
      </c>
      <c r="V676" s="74">
        <f>IF(SIP[[#This Row],[BO TRANSFER]]="YES",SIP[[#This Row],[Unit]],)</f>
        <v>0</v>
      </c>
      <c r="W676" s="74">
        <f>SUMIFS(SIP[[#Headers],[BO UNIT TRANSFER]]:SIP[[#This Row],[BO UNIT TRANSFER]],SIP[[#Headers],[Investor ID]]:SIP[[#This Row],[Investor ID]],SIP[[#This Row],[Investor ID]])</f>
        <v>0</v>
      </c>
    </row>
    <row r="677" spans="1:23" ht="15" customHeight="1">
      <c r="A677" s="46">
        <v>2024</v>
      </c>
      <c r="B677" s="46">
        <v>8</v>
      </c>
      <c r="C677" s="46">
        <v>15</v>
      </c>
      <c r="D677" s="65">
        <f>DATE(SIP[[#This Row],[Year]],SIP[[#This Row],[Month]],SIP[[#This Row],[Day]])</f>
        <v>45519</v>
      </c>
      <c r="E677" s="66" t="str" cm="1">
        <f t="array" ref="E677">INDEX(INVESTORS_LIST[INVESTOR NAME],MATCH(SIP[[#This Row],[Investor ID]],INVESTORS_LIST[INVESTOR CODE],0),)</f>
        <v>SANJIB KUMAR ROY</v>
      </c>
      <c r="F677" s="46" t="s">
        <v>1020</v>
      </c>
      <c r="G677" s="46">
        <f>COUNTIF(SIP[[#Headers],[Investor ID]]:SIP[[#This Row],[Investor ID]],SIP[[#This Row],[Investor ID]])</f>
        <v>15</v>
      </c>
      <c r="H677" s="46" t="str">
        <f>CONCATENATE(SIP[[#This Row],[Frequency]],SIP[[#This Row],[Investor ID]])</f>
        <v>15A00487</v>
      </c>
      <c r="I677" s="46" t="str">
        <f>IF(SIP[[#This Row],[B/S]]="B","BUY",(IF(SIP[[#This Row],[B/S]]="S","SELL"," ")))</f>
        <v>BUY</v>
      </c>
      <c r="J677" s="46" t="s">
        <v>1229</v>
      </c>
      <c r="K677" s="152">
        <v>5000</v>
      </c>
      <c r="L677" s="122"/>
      <c r="M677" s="123">
        <f>SIP[[#This Row],[Amount]]/SIP[[#This Row],[Unit]]</f>
        <v>11.312217194570136</v>
      </c>
      <c r="N677" s="71">
        <f>SIP[[#This Row],[Unit Capital]]/10</f>
        <v>442</v>
      </c>
      <c r="O677" s="71">
        <f>SUMIFS(SIP[[#Headers],[Unit]]:SIP[[#This Row],[Unit]],SIP[[#Headers],[Investor ID]]:SIP[[#This Row],[Investor ID]],SIP[[#This Row],[Investor ID]])</f>
        <v>6988</v>
      </c>
      <c r="P677" s="153">
        <v>4420</v>
      </c>
      <c r="Q677" s="74">
        <f>SIP[[#This Row],[Amount]]-SIP[[#This Row],[Unit Capital]]</f>
        <v>580</v>
      </c>
      <c r="R6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10.732684602175157</v>
      </c>
      <c r="S677" s="68">
        <f t="shared" si="29"/>
        <v>14.224</v>
      </c>
      <c r="T6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7" s="74" cm="1">
        <f t="array" ref="U677">IF(SIP[[#This Row],[B/S]]="S",ABS(SIP[[#This Row],[Unit]])*(INDEX(SIP[NAV at Cost (Average)],MATCH(CONCATENATE((SIP[[#This Row],[Frequency]]-1),SIP[[#This Row],[Investor ID]]),SIP[Unique Code],0),0)),0)</f>
        <v>0</v>
      </c>
      <c r="V677" s="74">
        <f>IF(SIP[[#This Row],[BO TRANSFER]]="YES",SIP[[#This Row],[Unit]],)</f>
        <v>0</v>
      </c>
      <c r="W677" s="74">
        <f>SUMIFS(SIP[[#Headers],[BO UNIT TRANSFER]]:SIP[[#This Row],[BO UNIT TRANSFER]],SIP[[#Headers],[Investor ID]]:SIP[[#This Row],[Investor ID]],SIP[[#This Row],[Investor ID]])</f>
        <v>0</v>
      </c>
    </row>
    <row r="678" spans="1:23" ht="15" customHeight="1">
      <c r="A678" s="46">
        <v>2024</v>
      </c>
      <c r="B678" s="46">
        <v>8</v>
      </c>
      <c r="C678" s="46">
        <v>18</v>
      </c>
      <c r="D678" s="65">
        <f>DATE(SIP[[#This Row],[Year]],SIP[[#This Row],[Month]],SIP[[#This Row],[Day]])</f>
        <v>45522</v>
      </c>
      <c r="E678" s="66" t="str" cm="1">
        <f t="array" ref="E678">INDEX(INVESTORS_LIST[INVESTOR NAME],MATCH(SIP[[#This Row],[Investor ID]],INVESTORS_LIST[INVESTOR CODE],0),)</f>
        <v>CHANCHAL KUMAR SAHA</v>
      </c>
      <c r="F678" s="46" t="s">
        <v>569</v>
      </c>
      <c r="G678" s="46">
        <f>COUNTIF(SIP[[#Headers],[Investor ID]]:SIP[[#This Row],[Investor ID]],SIP[[#This Row],[Investor ID]])</f>
        <v>5</v>
      </c>
      <c r="H678" s="46" t="str">
        <f>CONCATENATE(SIP[[#This Row],[Frequency]],SIP[[#This Row],[Investor ID]])</f>
        <v>5A00260</v>
      </c>
      <c r="I678" s="46" t="str">
        <f>IF(SIP[[#This Row],[B/S]]="B","BUY",(IF(SIP[[#This Row],[B/S]]="S","SELL"," ")))</f>
        <v>SELL</v>
      </c>
      <c r="J678" s="150" t="s">
        <v>1231</v>
      </c>
      <c r="K678" s="152">
        <v>-15000</v>
      </c>
      <c r="L678" s="122"/>
      <c r="M678" s="123">
        <f>SIP[[#This Row],[Amount]]/SIP[[#This Row],[Unit]]</f>
        <v>11.337868480725623</v>
      </c>
      <c r="N678" s="71">
        <f>SIP[[#This Row],[Unit Capital]]/10</f>
        <v>-1323</v>
      </c>
      <c r="O678" s="71">
        <f>SUMIFS(SIP[[#Headers],[Unit]]:SIP[[#This Row],[Unit]],SIP[[#Headers],[Investor ID]]:SIP[[#This Row],[Investor ID]],SIP[[#This Row],[Investor ID]])</f>
        <v>4231</v>
      </c>
      <c r="P678" s="153">
        <v>-13230</v>
      </c>
      <c r="Q678" s="74">
        <f>SIP[[#This Row],[Amount]]-SIP[[#This Row],[Unit Capital]]</f>
        <v>-1770</v>
      </c>
      <c r="R6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10.803024846957149</v>
      </c>
      <c r="S678" s="68">
        <f t="shared" ref="S678:S705" si="30">NAV_MKT</f>
        <v>14.224</v>
      </c>
      <c r="T678" s="74">
        <f>IF(SIP[[#This Row],[B/S]]="B",0,ABS(SIP[[#This Row],[Unit]])*(SIP[[#This Row],[NAV (Strike Rate)]]-INDEX(SIP[NAV at Cost (Average)],MATCH(CONCATENATE(SIP[[#This Row],[Frequency]]-1,SIP[[#This Row],[Investor ID]]),SIP[Unique Code],0),)))</f>
        <v>707.59812747569185</v>
      </c>
      <c r="U678" s="74" cm="1">
        <f t="array" ref="U678">IF(SIP[[#This Row],[B/S]]="S",ABS(SIP[[#This Row],[Unit]])*(INDEX(SIP[NAV at Cost (Average)],MATCH(CONCATENATE((SIP[[#This Row],[Frequency]]-1),SIP[[#This Row],[Investor ID]]),SIP[Unique Code],0),0)),0)</f>
        <v>14292.401872524308</v>
      </c>
      <c r="V678" s="74">
        <f>IF(SIP[[#This Row],[BO TRANSFER]]="YES",SIP[[#This Row],[Unit]],)</f>
        <v>0</v>
      </c>
      <c r="W678" s="74">
        <f>SUMIFS(SIP[[#Headers],[BO UNIT TRANSFER]]:SIP[[#This Row],[BO UNIT TRANSFER]],SIP[[#Headers],[Investor ID]]:SIP[[#This Row],[Investor ID]],SIP[[#This Row],[Investor ID]])</f>
        <v>0</v>
      </c>
    </row>
    <row r="679" spans="1:23" ht="15" customHeight="1">
      <c r="A679" s="46">
        <v>2024</v>
      </c>
      <c r="B679" s="46">
        <v>8</v>
      </c>
      <c r="C679" s="46">
        <v>15</v>
      </c>
      <c r="D679" s="65">
        <f>DATE(SIP[[#This Row],[Year]],SIP[[#This Row],[Month]],SIP[[#This Row],[Day]])</f>
        <v>45519</v>
      </c>
      <c r="E679" s="66" t="str" cm="1">
        <f t="array" ref="E679">INDEX(INVESTORS_LIST[INVESTOR NAME],MATCH(SIP[[#This Row],[Investor ID]],INVESTORS_LIST[INVESTOR CODE],0),)</f>
        <v>MAHFUZA ANIKA</v>
      </c>
      <c r="F679" s="46" t="s">
        <v>1277</v>
      </c>
      <c r="G679" s="46">
        <f>COUNTIF(SIP[[#Headers],[Investor ID]]:SIP[[#This Row],[Investor ID]],SIP[[#This Row],[Investor ID]])</f>
        <v>2</v>
      </c>
      <c r="H679" s="46" t="str">
        <f>CONCATENATE(SIP[[#This Row],[Frequency]],SIP[[#This Row],[Investor ID]])</f>
        <v>2A00585</v>
      </c>
      <c r="I679" s="46" t="str">
        <f>IF(SIP[[#This Row],[B/S]]="B","BUY",(IF(SIP[[#This Row],[B/S]]="S","SELL"," ")))</f>
        <v>BUY</v>
      </c>
      <c r="J679" s="150" t="s">
        <v>1229</v>
      </c>
      <c r="K679" s="152">
        <v>1000</v>
      </c>
      <c r="L679" s="122"/>
      <c r="M679" s="123">
        <f>SIP[[#This Row],[Amount]]/SIP[[#This Row],[Unit]]</f>
        <v>11.363636363636363</v>
      </c>
      <c r="N679" s="71">
        <f>SIP[[#This Row],[Unit Capital]]/10</f>
        <v>88</v>
      </c>
      <c r="O679" s="71">
        <f>SUMIFS(SIP[[#Headers],[Unit]]:SIP[[#This Row],[Unit]],SIP[[#Headers],[Investor ID]]:SIP[[#This Row],[Investor ID]],SIP[[#This Row],[Investor ID]])</f>
        <v>176</v>
      </c>
      <c r="P679" s="153">
        <v>880</v>
      </c>
      <c r="Q679" s="74">
        <f>SIP[[#This Row],[Amount]]-SIP[[#This Row],[Unit Capital]]</f>
        <v>120</v>
      </c>
      <c r="R6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679" s="68">
        <f t="shared" si="30"/>
        <v>14.224</v>
      </c>
      <c r="T6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9" s="74" cm="1">
        <f t="array" ref="U679">IF(SIP[[#This Row],[B/S]]="S",ABS(SIP[[#This Row],[Unit]])*(INDEX(SIP[NAV at Cost (Average)],MATCH(CONCATENATE((SIP[[#This Row],[Frequency]]-1),SIP[[#This Row],[Investor ID]]),SIP[Unique Code],0),0)),0)</f>
        <v>0</v>
      </c>
      <c r="V679" s="74">
        <f>IF(SIP[[#This Row],[BO TRANSFER]]="YES",SIP[[#This Row],[Unit]],)</f>
        <v>0</v>
      </c>
      <c r="W679" s="74">
        <f>SUMIFS(SIP[[#Headers],[BO UNIT TRANSFER]]:SIP[[#This Row],[BO UNIT TRANSFER]],SIP[[#Headers],[Investor ID]]:SIP[[#This Row],[Investor ID]],SIP[[#This Row],[Investor ID]])</f>
        <v>0</v>
      </c>
    </row>
    <row r="680" spans="1:23" ht="15" customHeight="1">
      <c r="A680" s="46">
        <v>2024</v>
      </c>
      <c r="B680" s="46">
        <v>8</v>
      </c>
      <c r="C680" s="46">
        <v>26</v>
      </c>
      <c r="D680" s="65">
        <f>DATE(SIP[[#This Row],[Year]],SIP[[#This Row],[Month]],SIP[[#This Row],[Day]])</f>
        <v>45530</v>
      </c>
      <c r="E680" s="66" t="str" cm="1">
        <f t="array" ref="E680">INDEX(INVESTORS_LIST[INVESTOR NAME],MATCH(SIP[[#This Row],[Investor ID]],INVESTORS_LIST[INVESTOR CODE],0),)</f>
        <v>KHAN MUHAMMAD FAISOL</v>
      </c>
      <c r="F680" s="46" t="s">
        <v>930</v>
      </c>
      <c r="G680" s="46">
        <f>COUNTIF(SIP[[#Headers],[Investor ID]]:SIP[[#This Row],[Investor ID]],SIP[[#This Row],[Investor ID]])</f>
        <v>16</v>
      </c>
      <c r="H680" s="46" t="str">
        <f>CONCATENATE(SIP[[#This Row],[Frequency]],SIP[[#This Row],[Investor ID]])</f>
        <v>16A00442</v>
      </c>
      <c r="I680" s="46" t="str">
        <f>IF(SIP[[#This Row],[B/S]]="B","BUY",(IF(SIP[[#This Row],[B/S]]="S","SELL"," ")))</f>
        <v>BUY</v>
      </c>
      <c r="J680" s="150" t="s">
        <v>1229</v>
      </c>
      <c r="K680" s="152">
        <v>1000</v>
      </c>
      <c r="L680" s="69"/>
      <c r="M680" s="123">
        <f>SIP[[#This Row],[Amount]]/SIP[[#This Row],[Unit]]</f>
        <v>11.363636363636363</v>
      </c>
      <c r="N680" s="71">
        <f>SIP[[#This Row],[Unit Capital]]/10</f>
        <v>88</v>
      </c>
      <c r="O680" s="71">
        <f>SUMIFS(SIP[[#Headers],[Unit]]:SIP[[#This Row],[Unit]],SIP[[#Headers],[Investor ID]]:SIP[[#This Row],[Investor ID]],SIP[[#This Row],[Investor ID]])</f>
        <v>1491</v>
      </c>
      <c r="P680" s="153">
        <v>880</v>
      </c>
      <c r="Q680" s="74">
        <f>SIP[[#This Row],[Amount]]-SIP[[#This Row],[Unit Capital]]</f>
        <v>120</v>
      </c>
      <c r="R6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10.731052984574115</v>
      </c>
      <c r="S680" s="68">
        <f t="shared" si="30"/>
        <v>14.224</v>
      </c>
      <c r="T6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0" s="74" cm="1">
        <f t="array" ref="U680">IF(SIP[[#This Row],[B/S]]="S",ABS(SIP[[#This Row],[Unit]])*(INDEX(SIP[NAV at Cost (Average)],MATCH(CONCATENATE((SIP[[#This Row],[Frequency]]-1),SIP[[#This Row],[Investor ID]]),SIP[Unique Code],0),0)),0)</f>
        <v>0</v>
      </c>
      <c r="V680" s="74">
        <f>IF(SIP[[#This Row],[BO TRANSFER]]="YES",SIP[[#This Row],[Unit]],)</f>
        <v>0</v>
      </c>
      <c r="W680" s="74">
        <f>SUMIFS(SIP[[#Headers],[BO UNIT TRANSFER]]:SIP[[#This Row],[BO UNIT TRANSFER]],SIP[[#Headers],[Investor ID]]:SIP[[#This Row],[Investor ID]],SIP[[#This Row],[Investor ID]])</f>
        <v>0</v>
      </c>
    </row>
    <row r="681" spans="1:23" ht="15" customHeight="1">
      <c r="A681" s="46">
        <v>2024</v>
      </c>
      <c r="B681" s="46">
        <v>8</v>
      </c>
      <c r="C681" s="46">
        <v>26</v>
      </c>
      <c r="D681" s="65">
        <f>DATE(SIP[[#This Row],[Year]],SIP[[#This Row],[Month]],SIP[[#This Row],[Day]])</f>
        <v>45530</v>
      </c>
      <c r="E681" s="66" t="str" cm="1">
        <f t="array" ref="E681">INDEX(INVESTORS_LIST[INVESTOR NAME],MATCH(SIP[[#This Row],[Investor ID]],INVESTORS_LIST[INVESTOR CODE],0),)</f>
        <v>MD. ARIFUL ISLAM</v>
      </c>
      <c r="F681" s="46" t="s">
        <v>222</v>
      </c>
      <c r="G681" s="46">
        <f>COUNTIF(SIP[[#Headers],[Investor ID]]:SIP[[#This Row],[Investor ID]],SIP[[#This Row],[Investor ID]])</f>
        <v>16</v>
      </c>
      <c r="H681" s="46" t="str">
        <f>CONCATENATE(SIP[[#This Row],[Frequency]],SIP[[#This Row],[Investor ID]])</f>
        <v>16A00087</v>
      </c>
      <c r="I681" s="46" t="str">
        <f>IF(SIP[[#This Row],[B/S]]="B","BUY",(IF(SIP[[#This Row],[B/S]]="S","SELL"," ")))</f>
        <v>BUY</v>
      </c>
      <c r="J681" s="150" t="s">
        <v>1229</v>
      </c>
      <c r="K681" s="152">
        <v>10000</v>
      </c>
      <c r="L681" s="69"/>
      <c r="M681" s="123">
        <f>SIP[[#This Row],[Amount]]/SIP[[#This Row],[Unit]]</f>
        <v>11.363636363636363</v>
      </c>
      <c r="N681" s="71">
        <f>SIP[[#This Row],[Unit Capital]]/10</f>
        <v>880</v>
      </c>
      <c r="O681" s="71">
        <f>SUMIFS(SIP[[#Headers],[Unit]]:SIP[[#This Row],[Unit]],SIP[[#Headers],[Investor ID]]:SIP[[#This Row],[Investor ID]],SIP[[#This Row],[Investor ID]])</f>
        <v>14919</v>
      </c>
      <c r="P681" s="153">
        <v>8800</v>
      </c>
      <c r="Q681" s="74">
        <f>SIP[[#This Row],[Amount]]-SIP[[#This Row],[Unit Capital]]</f>
        <v>1200</v>
      </c>
      <c r="R6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10.724579395401838</v>
      </c>
      <c r="S681" s="68">
        <f t="shared" si="30"/>
        <v>14.224</v>
      </c>
      <c r="T6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1" s="74" cm="1">
        <f t="array" ref="U681">IF(SIP[[#This Row],[B/S]]="S",ABS(SIP[[#This Row],[Unit]])*(INDEX(SIP[NAV at Cost (Average)],MATCH(CONCATENATE((SIP[[#This Row],[Frequency]]-1),SIP[[#This Row],[Investor ID]]),SIP[Unique Code],0),0)),0)</f>
        <v>0</v>
      </c>
      <c r="V681" s="74">
        <f>IF(SIP[[#This Row],[BO TRANSFER]]="YES",SIP[[#This Row],[Unit]],)</f>
        <v>0</v>
      </c>
      <c r="W681" s="74">
        <f>SUMIFS(SIP[[#Headers],[BO UNIT TRANSFER]]:SIP[[#This Row],[BO UNIT TRANSFER]],SIP[[#Headers],[Investor ID]]:SIP[[#This Row],[Investor ID]],SIP[[#This Row],[Investor ID]])</f>
        <v>0</v>
      </c>
    </row>
    <row r="682" spans="1:23" ht="15" customHeight="1">
      <c r="A682" s="46">
        <v>2024</v>
      </c>
      <c r="B682" s="46">
        <v>8</v>
      </c>
      <c r="C682" s="46">
        <v>26</v>
      </c>
      <c r="D682" s="65">
        <f>DATE(SIP[[#This Row],[Year]],SIP[[#This Row],[Month]],SIP[[#This Row],[Day]])</f>
        <v>45530</v>
      </c>
      <c r="E682" s="66" t="str" cm="1">
        <f t="array" ref="E682">INDEX(INVESTORS_LIST[INVESTOR NAME],MATCH(SIP[[#This Row],[Investor ID]],INVESTORS_LIST[INVESTOR CODE],0),)</f>
        <v>MAHFUZUL ISLAM</v>
      </c>
      <c r="F682" s="46" t="s">
        <v>473</v>
      </c>
      <c r="G682" s="46">
        <f>COUNTIF(SIP[[#Headers],[Investor ID]]:SIP[[#This Row],[Investor ID]],SIP[[#This Row],[Investor ID]])</f>
        <v>6</v>
      </c>
      <c r="H682" s="46" t="str">
        <f>CONCATENATE(SIP[[#This Row],[Frequency]],SIP[[#This Row],[Investor ID]])</f>
        <v>6A00212</v>
      </c>
      <c r="I682" s="46" t="str">
        <f>IF(SIP[[#This Row],[B/S]]="B","BUY",(IF(SIP[[#This Row],[B/S]]="S","SELL"," ")))</f>
        <v>BUY</v>
      </c>
      <c r="J682" s="150" t="s">
        <v>1229</v>
      </c>
      <c r="K682" s="152">
        <v>1000</v>
      </c>
      <c r="L682" s="122" t="s">
        <v>1230</v>
      </c>
      <c r="M682" s="123">
        <f>SIP[[#This Row],[Amount]]/SIP[[#This Row],[Unit]]</f>
        <v>11.363636363636363</v>
      </c>
      <c r="N682" s="71">
        <f>SIP[[#This Row],[Unit Capital]]/10</f>
        <v>88</v>
      </c>
      <c r="O682" s="71">
        <f>SUMIFS(SIP[[#Headers],[Unit]]:SIP[[#This Row],[Unit]],SIP[[#Headers],[Investor ID]]:SIP[[#This Row],[Investor ID]],SIP[[#This Row],[Investor ID]])</f>
        <v>543</v>
      </c>
      <c r="P682" s="153">
        <v>880</v>
      </c>
      <c r="Q682" s="74">
        <f>SIP[[#This Row],[Amount]]-SIP[[#This Row],[Unit Capital]]</f>
        <v>120</v>
      </c>
      <c r="R6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11.049723756906078</v>
      </c>
      <c r="S682" s="68">
        <f t="shared" si="30"/>
        <v>14.224</v>
      </c>
      <c r="T6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2" s="74" cm="1">
        <f t="array" ref="U682">IF(SIP[[#This Row],[B/S]]="S",ABS(SIP[[#This Row],[Unit]])*(INDEX(SIP[NAV at Cost (Average)],MATCH(CONCATENATE((SIP[[#This Row],[Frequency]]-1),SIP[[#This Row],[Investor ID]]),SIP[Unique Code],0),0)),0)</f>
        <v>0</v>
      </c>
      <c r="V682" s="74">
        <f>IF(SIP[[#This Row],[BO TRANSFER]]="YES",SIP[[#This Row],[Unit]],)</f>
        <v>88</v>
      </c>
      <c r="W682" s="74">
        <f>SUMIFS(SIP[[#Headers],[BO UNIT TRANSFER]]:SIP[[#This Row],[BO UNIT TRANSFER]],SIP[[#Headers],[Investor ID]]:SIP[[#This Row],[Investor ID]],SIP[[#This Row],[Investor ID]])</f>
        <v>543</v>
      </c>
    </row>
    <row r="683" spans="1:23" ht="15" customHeight="1">
      <c r="A683" s="46">
        <v>2024</v>
      </c>
      <c r="B683" s="46">
        <v>8</v>
      </c>
      <c r="C683" s="46">
        <v>26</v>
      </c>
      <c r="D683" s="65">
        <f>DATE(SIP[[#This Row],[Year]],SIP[[#This Row],[Month]],SIP[[#This Row],[Day]])</f>
        <v>45530</v>
      </c>
      <c r="E683" s="66" t="str" cm="1">
        <f t="array" ref="E683">INDEX(INVESTORS_LIST[INVESTOR NAME],MATCH(SIP[[#This Row],[Investor ID]],INVESTORS_LIST[INVESTOR CODE],0),)</f>
        <v>SIKDER FAZLE RABBI</v>
      </c>
      <c r="F683" s="46" t="s">
        <v>1032</v>
      </c>
      <c r="G683" s="46">
        <f>COUNTIF(SIP[[#Headers],[Investor ID]]:SIP[[#This Row],[Investor ID]],SIP[[#This Row],[Investor ID]])</f>
        <v>15</v>
      </c>
      <c r="H683" s="46" t="str">
        <f>CONCATENATE(SIP[[#This Row],[Frequency]],SIP[[#This Row],[Investor ID]])</f>
        <v>15A00493</v>
      </c>
      <c r="I683" s="46" t="str">
        <f>IF(SIP[[#This Row],[B/S]]="B","BUY",(IF(SIP[[#This Row],[B/S]]="S","SELL"," ")))</f>
        <v>BUY</v>
      </c>
      <c r="J683" s="150" t="s">
        <v>1229</v>
      </c>
      <c r="K683" s="152">
        <v>5000</v>
      </c>
      <c r="L683" s="122"/>
      <c r="M683" s="123">
        <f>SIP[[#This Row],[Amount]]/SIP[[#This Row],[Unit]]</f>
        <v>11.363636363636363</v>
      </c>
      <c r="N683" s="71">
        <f>SIP[[#This Row],[Unit Capital]]/10</f>
        <v>440</v>
      </c>
      <c r="O683" s="71">
        <f>SUMIFS(SIP[[#Headers],[Unit]]:SIP[[#This Row],[Unit]],SIP[[#Headers],[Investor ID]]:SIP[[#This Row],[Investor ID]],SIP[[#This Row],[Investor ID]])</f>
        <v>6967</v>
      </c>
      <c r="P683" s="153">
        <v>4400</v>
      </c>
      <c r="Q683" s="74">
        <f>SIP[[#This Row],[Amount]]-SIP[[#This Row],[Unit Capital]]</f>
        <v>600</v>
      </c>
      <c r="R6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83" s="68">
        <f t="shared" si="30"/>
        <v>14.224</v>
      </c>
      <c r="T6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3" s="74" cm="1">
        <f t="array" ref="U683">IF(SIP[[#This Row],[B/S]]="S",ABS(SIP[[#This Row],[Unit]])*(INDEX(SIP[NAV at Cost (Average)],MATCH(CONCATENATE((SIP[[#This Row],[Frequency]]-1),SIP[[#This Row],[Investor ID]]),SIP[Unique Code],0),0)),0)</f>
        <v>0</v>
      </c>
      <c r="V683" s="74">
        <f>IF(SIP[[#This Row],[BO TRANSFER]]="YES",SIP[[#This Row],[Unit]],)</f>
        <v>0</v>
      </c>
      <c r="W683" s="74">
        <f>SUMIFS(SIP[[#Headers],[BO UNIT TRANSFER]]:SIP[[#This Row],[BO UNIT TRANSFER]],SIP[[#Headers],[Investor ID]]:SIP[[#This Row],[Investor ID]],SIP[[#This Row],[Investor ID]])</f>
        <v>0</v>
      </c>
    </row>
    <row r="684" spans="1:23" ht="15" customHeight="1">
      <c r="A684" s="46">
        <v>2024</v>
      </c>
      <c r="B684" s="46">
        <v>8</v>
      </c>
      <c r="C684" s="46">
        <v>26</v>
      </c>
      <c r="D684" s="65">
        <f>DATE(SIP[[#This Row],[Year]],SIP[[#This Row],[Month]],SIP[[#This Row],[Day]])</f>
        <v>45530</v>
      </c>
      <c r="E684" s="66" t="str" cm="1">
        <f t="array" ref="E684">INDEX(INVESTORS_LIST[INVESTOR NAME],MATCH(SIP[[#This Row],[Investor ID]],INVESTORS_LIST[INVESTOR CODE],0),)</f>
        <v>MOHAMMAD HASAN</v>
      </c>
      <c r="F684" s="46" t="s">
        <v>1010</v>
      </c>
      <c r="G684" s="46">
        <f>COUNTIF(SIP[[#Headers],[Investor ID]]:SIP[[#This Row],[Investor ID]],SIP[[#This Row],[Investor ID]])</f>
        <v>15</v>
      </c>
      <c r="H684" s="46" t="str">
        <f>CONCATENATE(SIP[[#This Row],[Frequency]],SIP[[#This Row],[Investor ID]])</f>
        <v>15A00482</v>
      </c>
      <c r="I684" s="46" t="str">
        <f>IF(SIP[[#This Row],[B/S]]="B","BUY",(IF(SIP[[#This Row],[B/S]]="S","SELL"," ")))</f>
        <v>BUY</v>
      </c>
      <c r="J684" s="150" t="s">
        <v>1229</v>
      </c>
      <c r="K684" s="152">
        <v>5000</v>
      </c>
      <c r="L684" s="122"/>
      <c r="M684" s="123">
        <f>SIP[[#This Row],[Amount]]/SIP[[#This Row],[Unit]]</f>
        <v>11.363636363636363</v>
      </c>
      <c r="N684" s="71">
        <f>SIP[[#This Row],[Unit Capital]]/10</f>
        <v>440</v>
      </c>
      <c r="O684" s="71">
        <f>SUMIFS(SIP[[#Headers],[Unit]]:SIP[[#This Row],[Unit]],SIP[[#Headers],[Investor ID]]:SIP[[#This Row],[Investor ID]],SIP[[#This Row],[Investor ID]])</f>
        <v>6967</v>
      </c>
      <c r="P684" s="153">
        <v>4400</v>
      </c>
      <c r="Q684" s="74">
        <f>SIP[[#This Row],[Amount]]-SIP[[#This Row],[Unit Capital]]</f>
        <v>600</v>
      </c>
      <c r="R6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84" s="68">
        <f t="shared" si="30"/>
        <v>14.224</v>
      </c>
      <c r="T6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4" s="74" cm="1">
        <f t="array" ref="U684">IF(SIP[[#This Row],[B/S]]="S",ABS(SIP[[#This Row],[Unit]])*(INDEX(SIP[NAV at Cost (Average)],MATCH(CONCATENATE((SIP[[#This Row],[Frequency]]-1),SIP[[#This Row],[Investor ID]]),SIP[Unique Code],0),0)),0)</f>
        <v>0</v>
      </c>
      <c r="V684" s="74">
        <f>IF(SIP[[#This Row],[BO TRANSFER]]="YES",SIP[[#This Row],[Unit]],)</f>
        <v>0</v>
      </c>
      <c r="W684" s="74">
        <f>SUMIFS(SIP[[#Headers],[BO UNIT TRANSFER]]:SIP[[#This Row],[BO UNIT TRANSFER]],SIP[[#Headers],[Investor ID]]:SIP[[#This Row],[Investor ID]],SIP[[#This Row],[Investor ID]])</f>
        <v>0</v>
      </c>
    </row>
    <row r="685" spans="1:23" ht="15" customHeight="1">
      <c r="A685" s="46">
        <v>2024</v>
      </c>
      <c r="B685" s="46">
        <v>8</v>
      </c>
      <c r="C685" s="46">
        <v>26</v>
      </c>
      <c r="D685" s="65">
        <f>DATE(SIP[[#This Row],[Year]],SIP[[#This Row],[Month]],SIP[[#This Row],[Day]])</f>
        <v>45530</v>
      </c>
      <c r="E685" s="66" t="str" cm="1">
        <f t="array" ref="E685">INDEX(INVESTORS_LIST[INVESTOR NAME],MATCH(SIP[[#This Row],[Investor ID]],INVESTORS_LIST[INVESTOR CODE],0),)</f>
        <v>MOHAMMED SHARIFUL ISLAM</v>
      </c>
      <c r="F685" s="46" t="s">
        <v>1028</v>
      </c>
      <c r="G685" s="46">
        <f>COUNTIF(SIP[[#Headers],[Investor ID]]:SIP[[#This Row],[Investor ID]],SIP[[#This Row],[Investor ID]])</f>
        <v>15</v>
      </c>
      <c r="H685" s="46" t="str">
        <f>CONCATENATE(SIP[[#This Row],[Frequency]],SIP[[#This Row],[Investor ID]])</f>
        <v>15A00491</v>
      </c>
      <c r="I685" s="46" t="str">
        <f>IF(SIP[[#This Row],[B/S]]="B","BUY",(IF(SIP[[#This Row],[B/S]]="S","SELL"," ")))</f>
        <v>BUY</v>
      </c>
      <c r="J685" s="150" t="s">
        <v>1229</v>
      </c>
      <c r="K685" s="152">
        <v>5000</v>
      </c>
      <c r="L685" s="122"/>
      <c r="M685" s="123">
        <f>SIP[[#This Row],[Amount]]/SIP[[#This Row],[Unit]]</f>
        <v>11.363636363636363</v>
      </c>
      <c r="N685" s="71">
        <f>SIP[[#This Row],[Unit Capital]]/10</f>
        <v>440</v>
      </c>
      <c r="O685" s="71">
        <f>SUMIFS(SIP[[#Headers],[Unit]]:SIP[[#This Row],[Unit]],SIP[[#Headers],[Investor ID]]:SIP[[#This Row],[Investor ID]],SIP[[#This Row],[Investor ID]])</f>
        <v>6967</v>
      </c>
      <c r="P685" s="153">
        <v>4400</v>
      </c>
      <c r="Q685" s="74">
        <f>SIP[[#This Row],[Amount]]-SIP[[#This Row],[Unit Capital]]</f>
        <v>600</v>
      </c>
      <c r="R6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85" s="68">
        <f t="shared" si="30"/>
        <v>14.224</v>
      </c>
      <c r="T6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5" s="74" cm="1">
        <f t="array" ref="U685">IF(SIP[[#This Row],[B/S]]="S",ABS(SIP[[#This Row],[Unit]])*(INDEX(SIP[NAV at Cost (Average)],MATCH(CONCATENATE((SIP[[#This Row],[Frequency]]-1),SIP[[#This Row],[Investor ID]]),SIP[Unique Code],0),0)),0)</f>
        <v>0</v>
      </c>
      <c r="V685" s="74">
        <f>IF(SIP[[#This Row],[BO TRANSFER]]="YES",SIP[[#This Row],[Unit]],)</f>
        <v>0</v>
      </c>
      <c r="W685" s="74">
        <f>SUMIFS(SIP[[#Headers],[BO UNIT TRANSFER]]:SIP[[#This Row],[BO UNIT TRANSFER]],SIP[[#Headers],[Investor ID]]:SIP[[#This Row],[Investor ID]],SIP[[#This Row],[Investor ID]])</f>
        <v>0</v>
      </c>
    </row>
    <row r="686" spans="1:23" ht="15" customHeight="1">
      <c r="A686" s="46">
        <v>2024</v>
      </c>
      <c r="B686" s="46">
        <v>8</v>
      </c>
      <c r="C686" s="46">
        <v>26</v>
      </c>
      <c r="D686" s="65">
        <f>DATE(SIP[[#This Row],[Year]],SIP[[#This Row],[Month]],SIP[[#This Row],[Day]])</f>
        <v>45530</v>
      </c>
      <c r="E686" s="66" t="str" cm="1">
        <f t="array" ref="E686">INDEX(INVESTORS_LIST[INVESTOR NAME],MATCH(SIP[[#This Row],[Investor ID]],INVESTORS_LIST[INVESTOR CODE],0),)</f>
        <v>AKASH DEEP PAUL</v>
      </c>
      <c r="F686" s="46" t="s">
        <v>286</v>
      </c>
      <c r="G686" s="46">
        <f>COUNTIF(SIP[[#Headers],[Investor ID]]:SIP[[#This Row],[Investor ID]],SIP[[#This Row],[Investor ID]])</f>
        <v>15</v>
      </c>
      <c r="H686" s="46" t="str">
        <f>CONCATENATE(SIP[[#This Row],[Frequency]],SIP[[#This Row],[Investor ID]])</f>
        <v>15A00119</v>
      </c>
      <c r="I686" s="46" t="str">
        <f>IF(SIP[[#This Row],[B/S]]="B","BUY",(IF(SIP[[#This Row],[B/S]]="S","SELL"," ")))</f>
        <v>BUY</v>
      </c>
      <c r="J686" s="150" t="s">
        <v>1229</v>
      </c>
      <c r="K686" s="152">
        <v>5000</v>
      </c>
      <c r="L686" s="122"/>
      <c r="M686" s="123">
        <f>SIP[[#This Row],[Amount]]/SIP[[#This Row],[Unit]]</f>
        <v>11.363636363636363</v>
      </c>
      <c r="N686" s="71">
        <f>SIP[[#This Row],[Unit Capital]]/10</f>
        <v>440</v>
      </c>
      <c r="O686" s="71">
        <f>SUMIFS(SIP[[#Headers],[Unit]]:SIP[[#This Row],[Unit]],SIP[[#Headers],[Investor ID]]:SIP[[#This Row],[Investor ID]],SIP[[#This Row],[Investor ID]])</f>
        <v>6967</v>
      </c>
      <c r="P686" s="153">
        <v>4400</v>
      </c>
      <c r="Q686" s="74">
        <f>SIP[[#This Row],[Amount]]-SIP[[#This Row],[Unit Capital]]</f>
        <v>600</v>
      </c>
      <c r="R6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86" s="68">
        <f t="shared" si="30"/>
        <v>14.224</v>
      </c>
      <c r="T6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6" s="74" cm="1">
        <f t="array" ref="U686">IF(SIP[[#This Row],[B/S]]="S",ABS(SIP[[#This Row],[Unit]])*(INDEX(SIP[NAV at Cost (Average)],MATCH(CONCATENATE((SIP[[#This Row],[Frequency]]-1),SIP[[#This Row],[Investor ID]]),SIP[Unique Code],0),0)),0)</f>
        <v>0</v>
      </c>
      <c r="V686" s="74">
        <f>IF(SIP[[#This Row],[BO TRANSFER]]="YES",SIP[[#This Row],[Unit]],)</f>
        <v>0</v>
      </c>
      <c r="W686" s="74">
        <f>SUMIFS(SIP[[#Headers],[BO UNIT TRANSFER]]:SIP[[#This Row],[BO UNIT TRANSFER]],SIP[[#Headers],[Investor ID]]:SIP[[#This Row],[Investor ID]],SIP[[#This Row],[Investor ID]])</f>
        <v>0</v>
      </c>
    </row>
    <row r="687" spans="1:23" ht="15" customHeight="1">
      <c r="A687" s="46">
        <v>2024</v>
      </c>
      <c r="B687" s="46">
        <v>8</v>
      </c>
      <c r="C687" s="46">
        <v>26</v>
      </c>
      <c r="D687" s="65">
        <f>DATE(SIP[[#This Row],[Year]],SIP[[#This Row],[Month]],SIP[[#This Row],[Day]])</f>
        <v>45530</v>
      </c>
      <c r="E687" s="66" t="str" cm="1">
        <f t="array" ref="E687">INDEX(INVESTORS_LIST[INVESTOR NAME],MATCH(SIP[[#This Row],[Investor ID]],INVESTORS_LIST[INVESTOR CODE],0),)</f>
        <v>JUBAIDA FARHANA HAQUE</v>
      </c>
      <c r="F687" s="46" t="s">
        <v>1065</v>
      </c>
      <c r="G687" s="46">
        <f>COUNTIF(SIP[[#Headers],[Investor ID]]:SIP[[#This Row],[Investor ID]],SIP[[#This Row],[Investor ID]])</f>
        <v>13</v>
      </c>
      <c r="H687" s="46" t="str">
        <f>CONCATENATE(SIP[[#This Row],[Frequency]],SIP[[#This Row],[Investor ID]])</f>
        <v>13A00510</v>
      </c>
      <c r="I687" s="46" t="str">
        <f>IF(SIP[[#This Row],[B/S]]="B","BUY",(IF(SIP[[#This Row],[B/S]]="S","SELL"," ")))</f>
        <v>BUY</v>
      </c>
      <c r="J687" s="150" t="s">
        <v>1229</v>
      </c>
      <c r="K687" s="152">
        <v>5000</v>
      </c>
      <c r="L687" s="122"/>
      <c r="M687" s="123">
        <f>SIP[[#This Row],[Amount]]/SIP[[#This Row],[Unit]]</f>
        <v>11.363636363636363</v>
      </c>
      <c r="N687" s="71">
        <f>SIP[[#This Row],[Unit Capital]]/10</f>
        <v>440</v>
      </c>
      <c r="O687" s="71">
        <f>SUMIFS(SIP[[#Headers],[Unit]]:SIP[[#This Row],[Unit]],SIP[[#Headers],[Investor ID]]:SIP[[#This Row],[Investor ID]],SIP[[#This Row],[Investor ID]])</f>
        <v>5043</v>
      </c>
      <c r="P687" s="153">
        <v>4400</v>
      </c>
      <c r="Q687" s="74">
        <f>SIP[[#This Row],[Amount]]-SIP[[#This Row],[Unit Capital]]</f>
        <v>600</v>
      </c>
      <c r="R6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10.909334299159717</v>
      </c>
      <c r="S687" s="68">
        <f t="shared" si="30"/>
        <v>14.224</v>
      </c>
      <c r="T6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7" s="74" cm="1">
        <f t="array" ref="U687">IF(SIP[[#This Row],[B/S]]="S",ABS(SIP[[#This Row],[Unit]])*(INDEX(SIP[NAV at Cost (Average)],MATCH(CONCATENATE((SIP[[#This Row],[Frequency]]-1),SIP[[#This Row],[Investor ID]]),SIP[Unique Code],0),0)),0)</f>
        <v>0</v>
      </c>
      <c r="V687" s="74">
        <f>IF(SIP[[#This Row],[BO TRANSFER]]="YES",SIP[[#This Row],[Unit]],)</f>
        <v>0</v>
      </c>
      <c r="W687" s="74">
        <f>SUMIFS(SIP[[#Headers],[BO UNIT TRANSFER]]:SIP[[#This Row],[BO UNIT TRANSFER]],SIP[[#Headers],[Investor ID]]:SIP[[#This Row],[Investor ID]],SIP[[#This Row],[Investor ID]])</f>
        <v>0</v>
      </c>
    </row>
    <row r="688" spans="1:23" ht="15" customHeight="1">
      <c r="A688" s="46">
        <v>2024</v>
      </c>
      <c r="B688" s="46">
        <v>8</v>
      </c>
      <c r="C688" s="46">
        <v>26</v>
      </c>
      <c r="D688" s="65">
        <f>DATE(SIP[[#This Row],[Year]],SIP[[#This Row],[Month]],SIP[[#This Row],[Day]])</f>
        <v>45530</v>
      </c>
      <c r="E688" s="66" t="str" cm="1">
        <f t="array" ref="E688">INDEX(INVESTORS_LIST[INVESTOR NAME],MATCH(SIP[[#This Row],[Investor ID]],INVESTORS_LIST[INVESTOR CODE],0),)</f>
        <v>MOHAMMAD SAMIUL ALAM</v>
      </c>
      <c r="F688" s="46" t="s">
        <v>537</v>
      </c>
      <c r="G688" s="46">
        <f>COUNTIF(SIP[[#Headers],[Investor ID]]:SIP[[#This Row],[Investor ID]],SIP[[#This Row],[Investor ID]])</f>
        <v>13</v>
      </c>
      <c r="H688" s="46" t="str">
        <f>CONCATENATE(SIP[[#This Row],[Frequency]],SIP[[#This Row],[Investor ID]])</f>
        <v>13A00244</v>
      </c>
      <c r="I688" s="46" t="str">
        <f>IF(SIP[[#This Row],[B/S]]="B","BUY",(IF(SIP[[#This Row],[B/S]]="S","SELL"," ")))</f>
        <v>BUY</v>
      </c>
      <c r="J688" s="150" t="s">
        <v>1229</v>
      </c>
      <c r="K688" s="152">
        <v>20000</v>
      </c>
      <c r="L688" s="69"/>
      <c r="M688" s="123">
        <f>SIP[[#This Row],[Amount]]/SIP[[#This Row],[Unit]]</f>
        <v>11.363636363636363</v>
      </c>
      <c r="N688" s="71">
        <f>SIP[[#This Row],[Unit Capital]]/10</f>
        <v>1760</v>
      </c>
      <c r="O688" s="71">
        <f>SUMIFS(SIP[[#Headers],[Unit]]:SIP[[#This Row],[Unit]],SIP[[#Headers],[Investor ID]]:SIP[[#This Row],[Investor ID]],SIP[[#This Row],[Investor ID]])</f>
        <v>23994</v>
      </c>
      <c r="P688" s="153">
        <v>17600</v>
      </c>
      <c r="Q688" s="74">
        <f>SIP[[#This Row],[Amount]]-SIP[[#This Row],[Unit Capital]]</f>
        <v>2400</v>
      </c>
      <c r="R6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10.836042343919313</v>
      </c>
      <c r="S688" s="68">
        <f t="shared" si="30"/>
        <v>14.224</v>
      </c>
      <c r="T6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8" s="74" cm="1">
        <f t="array" ref="U688">IF(SIP[[#This Row],[B/S]]="S",ABS(SIP[[#This Row],[Unit]])*(INDEX(SIP[NAV at Cost (Average)],MATCH(CONCATENATE((SIP[[#This Row],[Frequency]]-1),SIP[[#This Row],[Investor ID]]),SIP[Unique Code],0),0)),0)</f>
        <v>0</v>
      </c>
      <c r="V688" s="74">
        <f>IF(SIP[[#This Row],[BO TRANSFER]]="YES",SIP[[#This Row],[Unit]],)</f>
        <v>0</v>
      </c>
      <c r="W688" s="74">
        <f>SUMIFS(SIP[[#Headers],[BO UNIT TRANSFER]]:SIP[[#This Row],[BO UNIT TRANSFER]],SIP[[#Headers],[Investor ID]]:SIP[[#This Row],[Investor ID]],SIP[[#This Row],[Investor ID]])</f>
        <v>0</v>
      </c>
    </row>
    <row r="689" spans="1:23" ht="15" customHeight="1">
      <c r="A689" s="46">
        <v>2024</v>
      </c>
      <c r="B689" s="46">
        <v>8</v>
      </c>
      <c r="C689" s="46">
        <v>26</v>
      </c>
      <c r="D689" s="65">
        <f>DATE(SIP[[#This Row],[Year]],SIP[[#This Row],[Month]],SIP[[#This Row],[Day]])</f>
        <v>45530</v>
      </c>
      <c r="E689" s="66" t="str" cm="1">
        <f t="array" ref="E689">INDEX(INVESTORS_LIST[INVESTOR NAME],MATCH(SIP[[#This Row],[Investor ID]],INVESTORS_LIST[INVESTOR CODE],0),)</f>
        <v>MD ABDULLAH-AL- MAMUN</v>
      </c>
      <c r="F689" s="46" t="s">
        <v>533</v>
      </c>
      <c r="G689" s="46">
        <f>COUNTIF(SIP[[#Headers],[Investor ID]]:SIP[[#This Row],[Investor ID]],SIP[[#This Row],[Investor ID]])</f>
        <v>11</v>
      </c>
      <c r="H689" s="46" t="str">
        <f>CONCATENATE(SIP[[#This Row],[Frequency]],SIP[[#This Row],[Investor ID]])</f>
        <v>11A00242</v>
      </c>
      <c r="I689" s="46" t="str">
        <f>IF(SIP[[#This Row],[B/S]]="B","BUY",(IF(SIP[[#This Row],[B/S]]="S","SELL"," ")))</f>
        <v>BUY</v>
      </c>
      <c r="J689" s="150" t="s">
        <v>1229</v>
      </c>
      <c r="K689" s="152">
        <v>15000</v>
      </c>
      <c r="L689" s="122"/>
      <c r="M689" s="123">
        <f>SIP[[#This Row],[Amount]]/SIP[[#This Row],[Unit]]</f>
        <v>11.363636363636363</v>
      </c>
      <c r="N689" s="71">
        <f>SIP[[#This Row],[Unit Capital]]/10</f>
        <v>1320</v>
      </c>
      <c r="O689" s="71">
        <f>SUMIFS(SIP[[#Headers],[Unit]]:SIP[[#This Row],[Unit]],SIP[[#Headers],[Investor ID]]:SIP[[#This Row],[Investor ID]],SIP[[#This Row],[Investor ID]])</f>
        <v>15125</v>
      </c>
      <c r="P689" s="153">
        <v>13200</v>
      </c>
      <c r="Q689" s="74">
        <f>SIP[[#This Row],[Amount]]-SIP[[#This Row],[Unit Capital]]</f>
        <v>1800</v>
      </c>
      <c r="R6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10.909090909090914</v>
      </c>
      <c r="S689" s="68">
        <f t="shared" si="30"/>
        <v>14.224</v>
      </c>
      <c r="T6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9" s="74" cm="1">
        <f t="array" ref="U689">IF(SIP[[#This Row],[B/S]]="S",ABS(SIP[[#This Row],[Unit]])*(INDEX(SIP[NAV at Cost (Average)],MATCH(CONCATENATE((SIP[[#This Row],[Frequency]]-1),SIP[[#This Row],[Investor ID]]),SIP[Unique Code],0),0)),0)</f>
        <v>0</v>
      </c>
      <c r="V689" s="74">
        <f>IF(SIP[[#This Row],[BO TRANSFER]]="YES",SIP[[#This Row],[Unit]],)</f>
        <v>0</v>
      </c>
      <c r="W689" s="74">
        <f>SUMIFS(SIP[[#Headers],[BO UNIT TRANSFER]]:SIP[[#This Row],[BO UNIT TRANSFER]],SIP[[#Headers],[Investor ID]]:SIP[[#This Row],[Investor ID]],SIP[[#This Row],[Investor ID]])</f>
        <v>0</v>
      </c>
    </row>
    <row r="690" spans="1:23" ht="15" customHeight="1">
      <c r="A690" s="46">
        <v>2024</v>
      </c>
      <c r="B690" s="46">
        <v>8</v>
      </c>
      <c r="C690" s="46">
        <v>26</v>
      </c>
      <c r="D690" s="65">
        <f>DATE(SIP[[#This Row],[Year]],SIP[[#This Row],[Month]],SIP[[#This Row],[Day]])</f>
        <v>45530</v>
      </c>
      <c r="E690" s="66" t="str" cm="1">
        <f t="array" ref="E690">INDEX(INVESTORS_LIST[INVESTOR NAME],MATCH(SIP[[#This Row],[Investor ID]],INVESTORS_LIST[INVESTOR CODE],0),)</f>
        <v>MAYA RANI SAHA</v>
      </c>
      <c r="F690" s="46" t="s">
        <v>224</v>
      </c>
      <c r="G690" s="46">
        <f>COUNTIF(SIP[[#Headers],[Investor ID]]:SIP[[#This Row],[Investor ID]],SIP[[#This Row],[Investor ID]])</f>
        <v>20</v>
      </c>
      <c r="H690" s="46" t="str">
        <f>CONCATENATE(SIP[[#This Row],[Frequency]],SIP[[#This Row],[Investor ID]])</f>
        <v>20A00088</v>
      </c>
      <c r="I690" s="46" t="str">
        <f>IF(SIP[[#This Row],[B/S]]="B","BUY",(IF(SIP[[#This Row],[B/S]]="S","SELL"," ")))</f>
        <v>BUY</v>
      </c>
      <c r="J690" s="150" t="s">
        <v>1229</v>
      </c>
      <c r="K690" s="152">
        <v>20000</v>
      </c>
      <c r="L690" s="122"/>
      <c r="M690" s="123">
        <f>SIP[[#This Row],[Amount]]/SIP[[#This Row],[Unit]]</f>
        <v>11.363636363636363</v>
      </c>
      <c r="N690" s="71">
        <f>SIP[[#This Row],[Unit Capital]]/10</f>
        <v>1760</v>
      </c>
      <c r="O690" s="71">
        <f>SUMIFS(SIP[[#Headers],[Unit]]:SIP[[#This Row],[Unit]],SIP[[#Headers],[Investor ID]]:SIP[[#This Row],[Investor ID]],SIP[[#This Row],[Investor ID]])</f>
        <v>29705</v>
      </c>
      <c r="P690" s="153">
        <v>17600</v>
      </c>
      <c r="Q690" s="74">
        <f>SIP[[#This Row],[Amount]]-SIP[[#This Row],[Unit Capital]]</f>
        <v>2400</v>
      </c>
      <c r="R6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10.90725467093082</v>
      </c>
      <c r="S690" s="68">
        <f t="shared" si="30"/>
        <v>14.224</v>
      </c>
      <c r="T6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0" s="74" cm="1">
        <f t="array" ref="U690">IF(SIP[[#This Row],[B/S]]="S",ABS(SIP[[#This Row],[Unit]])*(INDEX(SIP[NAV at Cost (Average)],MATCH(CONCATENATE((SIP[[#This Row],[Frequency]]-1),SIP[[#This Row],[Investor ID]]),SIP[Unique Code],0),0)),0)</f>
        <v>0</v>
      </c>
      <c r="V690" s="74">
        <f>IF(SIP[[#This Row],[BO TRANSFER]]="YES",SIP[[#This Row],[Unit]],)</f>
        <v>0</v>
      </c>
      <c r="W690" s="74">
        <f>SUMIFS(SIP[[#Headers],[BO UNIT TRANSFER]]:SIP[[#This Row],[BO UNIT TRANSFER]],SIP[[#Headers],[Investor ID]]:SIP[[#This Row],[Investor ID]],SIP[[#This Row],[Investor ID]])</f>
        <v>0</v>
      </c>
    </row>
    <row r="691" spans="1:23" ht="15" customHeight="1">
      <c r="A691" s="46">
        <v>2024</v>
      </c>
      <c r="B691" s="46">
        <v>8</v>
      </c>
      <c r="C691" s="46">
        <v>26</v>
      </c>
      <c r="D691" s="65">
        <f>DATE(SIP[[#This Row],[Year]],SIP[[#This Row],[Month]],SIP[[#This Row],[Day]])</f>
        <v>45530</v>
      </c>
      <c r="E691" s="66" t="str" cm="1">
        <f t="array" ref="E691">INDEX(INVESTORS_LIST[INVESTOR NAME],MATCH(SIP[[#This Row],[Investor ID]],INVESTORS_LIST[INVESTOR CODE],0),)</f>
        <v>SADIA PARVIN</v>
      </c>
      <c r="F691" s="46" t="s">
        <v>1018</v>
      </c>
      <c r="G691" s="46">
        <f>COUNTIF(SIP[[#Headers],[Investor ID]]:SIP[[#This Row],[Investor ID]],SIP[[#This Row],[Investor ID]])</f>
        <v>18</v>
      </c>
      <c r="H691" s="46" t="str">
        <f>CONCATENATE(SIP[[#This Row],[Frequency]],SIP[[#This Row],[Investor ID]])</f>
        <v>18A00486</v>
      </c>
      <c r="I691" s="46" t="str">
        <f>IF(SIP[[#This Row],[B/S]]="B","BUY",(IF(SIP[[#This Row],[B/S]]="S","SELL"," ")))</f>
        <v>BUY</v>
      </c>
      <c r="J691" s="150" t="s">
        <v>1229</v>
      </c>
      <c r="K691" s="152">
        <v>5000</v>
      </c>
      <c r="L691" s="122"/>
      <c r="M691" s="123">
        <f>SIP[[#This Row],[Amount]]/SIP[[#This Row],[Unit]]</f>
        <v>11.363636363636363</v>
      </c>
      <c r="N691" s="71">
        <f>SIP[[#This Row],[Unit Capital]]/10</f>
        <v>440</v>
      </c>
      <c r="O691" s="71">
        <f>SUMIFS(SIP[[#Headers],[Unit]]:SIP[[#This Row],[Unit]],SIP[[#Headers],[Investor ID]]:SIP[[#This Row],[Investor ID]],SIP[[#This Row],[Investor ID]])</f>
        <v>8348</v>
      </c>
      <c r="P691" s="153">
        <v>4400</v>
      </c>
      <c r="Q691" s="74">
        <f>SIP[[#This Row],[Amount]]-SIP[[#This Row],[Unit Capital]]</f>
        <v>600</v>
      </c>
      <c r="R6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10.781025395304265</v>
      </c>
      <c r="S691" s="68">
        <f t="shared" si="30"/>
        <v>14.224</v>
      </c>
      <c r="T6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1" s="74" cm="1">
        <f t="array" ref="U691">IF(SIP[[#This Row],[B/S]]="S",ABS(SIP[[#This Row],[Unit]])*(INDEX(SIP[NAV at Cost (Average)],MATCH(CONCATENATE((SIP[[#This Row],[Frequency]]-1),SIP[[#This Row],[Investor ID]]),SIP[Unique Code],0),0)),0)</f>
        <v>0</v>
      </c>
      <c r="V691" s="74">
        <f>IF(SIP[[#This Row],[BO TRANSFER]]="YES",SIP[[#This Row],[Unit]],)</f>
        <v>0</v>
      </c>
      <c r="W691" s="74">
        <f>SUMIFS(SIP[[#Headers],[BO UNIT TRANSFER]]:SIP[[#This Row],[BO UNIT TRANSFER]],SIP[[#Headers],[Investor ID]]:SIP[[#This Row],[Investor ID]],SIP[[#This Row],[Investor ID]])</f>
        <v>0</v>
      </c>
    </row>
    <row r="692" spans="1:23" ht="15" customHeight="1">
      <c r="A692" s="46">
        <v>2024</v>
      </c>
      <c r="B692" s="46">
        <v>8</v>
      </c>
      <c r="C692" s="46">
        <v>26</v>
      </c>
      <c r="D692" s="65">
        <f>DATE(SIP[[#This Row],[Year]],SIP[[#This Row],[Month]],SIP[[#This Row],[Day]])</f>
        <v>45530</v>
      </c>
      <c r="E692" s="66" t="str" cm="1">
        <f t="array" ref="E692">INDEX(INVESTORS_LIST[INVESTOR NAME],MATCH(SIP[[#This Row],[Investor ID]],INVESTORS_LIST[INVESTOR CODE],0),)</f>
        <v>MD. WALI ULLAH</v>
      </c>
      <c r="F692" s="46" t="s">
        <v>443</v>
      </c>
      <c r="G692" s="46">
        <f>COUNTIF(SIP[[#Headers],[Investor ID]]:SIP[[#This Row],[Investor ID]],SIP[[#This Row],[Investor ID]])</f>
        <v>16</v>
      </c>
      <c r="H692" s="46" t="str">
        <f>CONCATENATE(SIP[[#This Row],[Frequency]],SIP[[#This Row],[Investor ID]])</f>
        <v>16A00197</v>
      </c>
      <c r="I692" s="46" t="str">
        <f>IF(SIP[[#This Row],[B/S]]="B","BUY",(IF(SIP[[#This Row],[B/S]]="S","SELL"," ")))</f>
        <v>BUY</v>
      </c>
      <c r="J692" s="150" t="s">
        <v>1229</v>
      </c>
      <c r="K692" s="152">
        <v>15000</v>
      </c>
      <c r="L692" s="122"/>
      <c r="M692" s="123">
        <f>SIP[[#This Row],[Amount]]/SIP[[#This Row],[Unit]]</f>
        <v>11.363636363636363</v>
      </c>
      <c r="N692" s="71">
        <f>SIP[[#This Row],[Unit Capital]]/10</f>
        <v>1320</v>
      </c>
      <c r="O692" s="71">
        <f>SUMIFS(SIP[[#Headers],[Unit]]:SIP[[#This Row],[Unit]],SIP[[#Headers],[Investor ID]]:SIP[[#This Row],[Investor ID]],SIP[[#This Row],[Investor ID]])</f>
        <v>22379</v>
      </c>
      <c r="P692" s="153">
        <v>13200</v>
      </c>
      <c r="Q692" s="74">
        <f>SIP[[#This Row],[Amount]]-SIP[[#This Row],[Unit Capital]]</f>
        <v>1800</v>
      </c>
      <c r="R6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10.724339782832114</v>
      </c>
      <c r="S692" s="68">
        <f t="shared" si="30"/>
        <v>14.224</v>
      </c>
      <c r="T6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2" s="74" cm="1">
        <f t="array" ref="U692">IF(SIP[[#This Row],[B/S]]="S",ABS(SIP[[#This Row],[Unit]])*(INDEX(SIP[NAV at Cost (Average)],MATCH(CONCATENATE((SIP[[#This Row],[Frequency]]-1),SIP[[#This Row],[Investor ID]]),SIP[Unique Code],0),0)),0)</f>
        <v>0</v>
      </c>
      <c r="V692" s="74">
        <f>IF(SIP[[#This Row],[BO TRANSFER]]="YES",SIP[[#This Row],[Unit]],)</f>
        <v>0</v>
      </c>
      <c r="W692" s="74">
        <f>SUMIFS(SIP[[#Headers],[BO UNIT TRANSFER]]:SIP[[#This Row],[BO UNIT TRANSFER]],SIP[[#Headers],[Investor ID]]:SIP[[#This Row],[Investor ID]],SIP[[#This Row],[Investor ID]])</f>
        <v>0</v>
      </c>
    </row>
    <row r="693" spans="1:23" ht="15" customHeight="1">
      <c r="A693" s="46">
        <v>2024</v>
      </c>
      <c r="B693" s="46">
        <v>8</v>
      </c>
      <c r="C693" s="46">
        <v>26</v>
      </c>
      <c r="D693" s="65">
        <f>DATE(SIP[[#This Row],[Year]],SIP[[#This Row],[Month]],SIP[[#This Row],[Day]])</f>
        <v>45530</v>
      </c>
      <c r="E693" s="66" t="str" cm="1">
        <f t="array" ref="E693">INDEX(INVESTORS_LIST[INVESTOR NAME],MATCH(SIP[[#This Row],[Investor ID]],INVESTORS_LIST[INVESTOR CODE],0),)</f>
        <v>SAJJAD CHOWDHURY</v>
      </c>
      <c r="F693" s="46" t="s">
        <v>461</v>
      </c>
      <c r="G693" s="46">
        <f>COUNTIF(SIP[[#Headers],[Investor ID]]:SIP[[#This Row],[Investor ID]],SIP[[#This Row],[Investor ID]])</f>
        <v>16</v>
      </c>
      <c r="H693" s="46" t="str">
        <f>CONCATENATE(SIP[[#This Row],[Frequency]],SIP[[#This Row],[Investor ID]])</f>
        <v>16A00206</v>
      </c>
      <c r="I693" s="46" t="str">
        <f>IF(SIP[[#This Row],[B/S]]="B","BUY",(IF(SIP[[#This Row],[B/S]]="S","SELL"," ")))</f>
        <v>BUY</v>
      </c>
      <c r="J693" s="150" t="s">
        <v>1229</v>
      </c>
      <c r="K693" s="152">
        <v>7500</v>
      </c>
      <c r="L693" s="122"/>
      <c r="M693" s="123">
        <f>SIP[[#This Row],[Amount]]/SIP[[#This Row],[Unit]]</f>
        <v>11.363636363636363</v>
      </c>
      <c r="N693" s="71">
        <f>SIP[[#This Row],[Unit Capital]]/10</f>
        <v>660</v>
      </c>
      <c r="O693" s="71">
        <f>SUMIFS(SIP[[#Headers],[Unit]]:SIP[[#This Row],[Unit]],SIP[[#Headers],[Investor ID]]:SIP[[#This Row],[Investor ID]],SIP[[#This Row],[Investor ID]])</f>
        <v>11188</v>
      </c>
      <c r="P693" s="153">
        <v>6600</v>
      </c>
      <c r="Q693" s="74">
        <f>SIP[[#This Row],[Amount]]-SIP[[#This Row],[Unit Capital]]</f>
        <v>900</v>
      </c>
      <c r="R6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10.725777618877368</v>
      </c>
      <c r="S693" s="68">
        <f t="shared" si="30"/>
        <v>14.224</v>
      </c>
      <c r="T6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3" s="74" cm="1">
        <f t="array" ref="U693">IF(SIP[[#This Row],[B/S]]="S",ABS(SIP[[#This Row],[Unit]])*(INDEX(SIP[NAV at Cost (Average)],MATCH(CONCATENATE((SIP[[#This Row],[Frequency]]-1),SIP[[#This Row],[Investor ID]]),SIP[Unique Code],0),0)),0)</f>
        <v>0</v>
      </c>
      <c r="V693" s="74">
        <f>IF(SIP[[#This Row],[BO TRANSFER]]="YES",SIP[[#This Row],[Unit]],)</f>
        <v>0</v>
      </c>
      <c r="W693" s="74">
        <f>SUMIFS(SIP[[#Headers],[BO UNIT TRANSFER]]:SIP[[#This Row],[BO UNIT TRANSFER]],SIP[[#Headers],[Investor ID]]:SIP[[#This Row],[Investor ID]],SIP[[#This Row],[Investor ID]])</f>
        <v>0</v>
      </c>
    </row>
    <row r="694" spans="1:23" ht="15" customHeight="1">
      <c r="A694" s="46">
        <v>2024</v>
      </c>
      <c r="B694" s="46">
        <v>8</v>
      </c>
      <c r="C694" s="46">
        <v>26</v>
      </c>
      <c r="D694" s="65">
        <f>DATE(SIP[[#This Row],[Year]],SIP[[#This Row],[Month]],SIP[[#This Row],[Day]])</f>
        <v>45530</v>
      </c>
      <c r="E694" s="66" t="str" cm="1">
        <f t="array" ref="E694">INDEX(INVESTORS_LIST[INVESTOR NAME],MATCH(SIP[[#This Row],[Investor ID]],INVESTORS_LIST[INVESTOR CODE],0),)</f>
        <v>S.M. SAIFUL ISLAM</v>
      </c>
      <c r="F694" s="46" t="s">
        <v>1002</v>
      </c>
      <c r="G694" s="46">
        <f>COUNTIF(SIP[[#Headers],[Investor ID]]:SIP[[#This Row],[Investor ID]],SIP[[#This Row],[Investor ID]])</f>
        <v>16</v>
      </c>
      <c r="H694" s="46" t="str">
        <f>CONCATENATE(SIP[[#This Row],[Frequency]],SIP[[#This Row],[Investor ID]])</f>
        <v>16A00478</v>
      </c>
      <c r="I694" s="46" t="str">
        <f>IF(SIP[[#This Row],[B/S]]="B","BUY",(IF(SIP[[#This Row],[B/S]]="S","SELL"," ")))</f>
        <v>BUY</v>
      </c>
      <c r="J694" s="150" t="s">
        <v>1229</v>
      </c>
      <c r="K694" s="152">
        <v>10000</v>
      </c>
      <c r="L694" s="122"/>
      <c r="M694" s="123">
        <f>SIP[[#This Row],[Amount]]/SIP[[#This Row],[Unit]]</f>
        <v>11.363636363636363</v>
      </c>
      <c r="N694" s="71">
        <f>SIP[[#This Row],[Unit Capital]]/10</f>
        <v>880</v>
      </c>
      <c r="O694" s="71">
        <f>SUMIFS(SIP[[#Headers],[Unit]]:SIP[[#This Row],[Unit]],SIP[[#Headers],[Investor ID]]:SIP[[#This Row],[Investor ID]],SIP[[#This Row],[Investor ID]])</f>
        <v>14921</v>
      </c>
      <c r="P694" s="153">
        <v>8800</v>
      </c>
      <c r="Q694" s="74">
        <f>SIP[[#This Row],[Amount]]-SIP[[#This Row],[Unit Capital]]</f>
        <v>1200</v>
      </c>
      <c r="R6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10.723141880571008</v>
      </c>
      <c r="S694" s="68">
        <f t="shared" si="30"/>
        <v>14.224</v>
      </c>
      <c r="T6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4" s="74" cm="1">
        <f t="array" ref="U694">IF(SIP[[#This Row],[B/S]]="S",ABS(SIP[[#This Row],[Unit]])*(INDEX(SIP[NAV at Cost (Average)],MATCH(CONCATENATE((SIP[[#This Row],[Frequency]]-1),SIP[[#This Row],[Investor ID]]),SIP[Unique Code],0),0)),0)</f>
        <v>0</v>
      </c>
      <c r="V694" s="74">
        <f>IF(SIP[[#This Row],[BO TRANSFER]]="YES",SIP[[#This Row],[Unit]],)</f>
        <v>0</v>
      </c>
      <c r="W694" s="74">
        <f>SUMIFS(SIP[[#Headers],[BO UNIT TRANSFER]]:SIP[[#This Row],[BO UNIT TRANSFER]],SIP[[#Headers],[Investor ID]]:SIP[[#This Row],[Investor ID]],SIP[[#This Row],[Investor ID]])</f>
        <v>0</v>
      </c>
    </row>
    <row r="695" spans="1:23" ht="15" customHeight="1">
      <c r="A695" s="46">
        <v>2024</v>
      </c>
      <c r="B695" s="46">
        <v>8</v>
      </c>
      <c r="C695" s="46">
        <v>26</v>
      </c>
      <c r="D695" s="65">
        <f>DATE(SIP[[#This Row],[Year]],SIP[[#This Row],[Month]],SIP[[#This Row],[Day]])</f>
        <v>45530</v>
      </c>
      <c r="E695" s="66" t="str" cm="1">
        <f t="array" ref="E695">INDEX(INVESTORS_LIST[INVESTOR NAME],MATCH(SIP[[#This Row],[Investor ID]],INVESTORS_LIST[INVESTOR CODE],0),)</f>
        <v>ABU MUSA MIRZA KAMRUZZAMAN SHAHEE</v>
      </c>
      <c r="F695" s="46" t="s">
        <v>1012</v>
      </c>
      <c r="G695" s="46">
        <f>COUNTIF(SIP[[#Headers],[Investor ID]]:SIP[[#This Row],[Investor ID]],SIP[[#This Row],[Investor ID]])</f>
        <v>15</v>
      </c>
      <c r="H695" s="46" t="str">
        <f>CONCATENATE(SIP[[#This Row],[Frequency]],SIP[[#This Row],[Investor ID]])</f>
        <v>15A00483</v>
      </c>
      <c r="I695" s="46" t="str">
        <f>IF(SIP[[#This Row],[B/S]]="B","BUY",(IF(SIP[[#This Row],[B/S]]="S","SELL"," ")))</f>
        <v>BUY</v>
      </c>
      <c r="J695" s="150" t="s">
        <v>1229</v>
      </c>
      <c r="K695" s="152">
        <v>5000</v>
      </c>
      <c r="L695" s="122"/>
      <c r="M695" s="123">
        <f>SIP[[#This Row],[Amount]]/SIP[[#This Row],[Unit]]</f>
        <v>11.363636363636363</v>
      </c>
      <c r="N695" s="71">
        <f>SIP[[#This Row],[Unit Capital]]/10</f>
        <v>440</v>
      </c>
      <c r="O695" s="71">
        <f>SUMIFS(SIP[[#Headers],[Unit]]:SIP[[#This Row],[Unit]],SIP[[#Headers],[Investor ID]]:SIP[[#This Row],[Investor ID]],SIP[[#This Row],[Investor ID]])</f>
        <v>6967</v>
      </c>
      <c r="P695" s="153">
        <v>4400</v>
      </c>
      <c r="Q695" s="74">
        <f>SIP[[#This Row],[Amount]]-SIP[[#This Row],[Unit Capital]]</f>
        <v>600</v>
      </c>
      <c r="R6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95" s="68">
        <f t="shared" si="30"/>
        <v>14.224</v>
      </c>
      <c r="T6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5" s="74" cm="1">
        <f t="array" ref="U695">IF(SIP[[#This Row],[B/S]]="S",ABS(SIP[[#This Row],[Unit]])*(INDEX(SIP[NAV at Cost (Average)],MATCH(CONCATENATE((SIP[[#This Row],[Frequency]]-1),SIP[[#This Row],[Investor ID]]),SIP[Unique Code],0),0)),0)</f>
        <v>0</v>
      </c>
      <c r="V695" s="74">
        <f>IF(SIP[[#This Row],[BO TRANSFER]]="YES",SIP[[#This Row],[Unit]],)</f>
        <v>0</v>
      </c>
      <c r="W695" s="74">
        <f>SUMIFS(SIP[[#Headers],[BO UNIT TRANSFER]]:SIP[[#This Row],[BO UNIT TRANSFER]],SIP[[#Headers],[Investor ID]]:SIP[[#This Row],[Investor ID]],SIP[[#This Row],[Investor ID]])</f>
        <v>0</v>
      </c>
    </row>
    <row r="696" spans="1:23" ht="15" customHeight="1">
      <c r="A696" s="46">
        <v>2024</v>
      </c>
      <c r="B696" s="46">
        <v>8</v>
      </c>
      <c r="C696" s="46">
        <v>26</v>
      </c>
      <c r="D696" s="65">
        <f>DATE(SIP[[#This Row],[Year]],SIP[[#This Row],[Month]],SIP[[#This Row],[Day]])</f>
        <v>45530</v>
      </c>
      <c r="E696" s="66" t="str" cm="1">
        <f t="array" ref="E696">INDEX(INVESTORS_LIST[INVESTOR NAME],MATCH(SIP[[#This Row],[Investor ID]],INVESTORS_LIST[INVESTOR CODE],0),)</f>
        <v>SUMAN SAHA</v>
      </c>
      <c r="F696" s="46" t="s">
        <v>1022</v>
      </c>
      <c r="G696" s="46">
        <f>COUNTIF(SIP[[#Headers],[Investor ID]]:SIP[[#This Row],[Investor ID]],SIP[[#This Row],[Investor ID]])</f>
        <v>15</v>
      </c>
      <c r="H696" s="46" t="str">
        <f>CONCATENATE(SIP[[#This Row],[Frequency]],SIP[[#This Row],[Investor ID]])</f>
        <v>15A00488</v>
      </c>
      <c r="I696" s="46" t="str">
        <f>IF(SIP[[#This Row],[B/S]]="B","BUY",(IF(SIP[[#This Row],[B/S]]="S","SELL"," ")))</f>
        <v>BUY</v>
      </c>
      <c r="J696" s="150" t="s">
        <v>1229</v>
      </c>
      <c r="K696" s="152">
        <v>5000</v>
      </c>
      <c r="L696" s="122"/>
      <c r="M696" s="123">
        <f>SIP[[#This Row],[Amount]]/SIP[[#This Row],[Unit]]</f>
        <v>11.363636363636363</v>
      </c>
      <c r="N696" s="71">
        <f>SIP[[#This Row],[Unit Capital]]/10</f>
        <v>440</v>
      </c>
      <c r="O696" s="71">
        <f>SUMIFS(SIP[[#Headers],[Unit]]:SIP[[#This Row],[Unit]],SIP[[#Headers],[Investor ID]]:SIP[[#This Row],[Investor ID]],SIP[[#This Row],[Investor ID]])</f>
        <v>6967</v>
      </c>
      <c r="P696" s="153">
        <v>4400</v>
      </c>
      <c r="Q696" s="74">
        <f>SIP[[#This Row],[Amount]]-SIP[[#This Row],[Unit Capital]]</f>
        <v>600</v>
      </c>
      <c r="R6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10.765035165781541</v>
      </c>
      <c r="S696" s="68">
        <f t="shared" si="30"/>
        <v>14.224</v>
      </c>
      <c r="T6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6" s="74" cm="1">
        <f t="array" ref="U696">IF(SIP[[#This Row],[B/S]]="S",ABS(SIP[[#This Row],[Unit]])*(INDEX(SIP[NAV at Cost (Average)],MATCH(CONCATENATE((SIP[[#This Row],[Frequency]]-1),SIP[[#This Row],[Investor ID]]),SIP[Unique Code],0),0)),0)</f>
        <v>0</v>
      </c>
      <c r="V696" s="74">
        <f>IF(SIP[[#This Row],[BO TRANSFER]]="YES",SIP[[#This Row],[Unit]],)</f>
        <v>0</v>
      </c>
      <c r="W696" s="74">
        <f>SUMIFS(SIP[[#Headers],[BO UNIT TRANSFER]]:SIP[[#This Row],[BO UNIT TRANSFER]],SIP[[#Headers],[Investor ID]]:SIP[[#This Row],[Investor ID]],SIP[[#This Row],[Investor ID]])</f>
        <v>0</v>
      </c>
    </row>
    <row r="697" spans="1:23" ht="15" customHeight="1">
      <c r="A697" s="46">
        <v>2024</v>
      </c>
      <c r="B697" s="46">
        <v>8</v>
      </c>
      <c r="C697" s="46">
        <v>26</v>
      </c>
      <c r="D697" s="65">
        <f>DATE(SIP[[#This Row],[Year]],SIP[[#This Row],[Month]],SIP[[#This Row],[Day]])</f>
        <v>45530</v>
      </c>
      <c r="E697" s="66" t="str" cm="1">
        <f t="array" ref="E697">INDEX(INVESTORS_LIST[INVESTOR NAME],MATCH(SIP[[#This Row],[Investor ID]],INVESTORS_LIST[INVESTOR CODE],0),)</f>
        <v>MAYA RANI SAHA</v>
      </c>
      <c r="F697" s="46" t="s">
        <v>224</v>
      </c>
      <c r="G697" s="46">
        <f>COUNTIF(SIP[[#Headers],[Investor ID]]:SIP[[#This Row],[Investor ID]],SIP[[#This Row],[Investor ID]])</f>
        <v>21</v>
      </c>
      <c r="H697" s="46" t="str">
        <f>CONCATENATE(SIP[[#This Row],[Frequency]],SIP[[#This Row],[Investor ID]])</f>
        <v>21A00088</v>
      </c>
      <c r="I697" s="46" t="str">
        <f>IF(SIP[[#This Row],[B/S]]="B","BUY",(IF(SIP[[#This Row],[B/S]]="S","SELL"," ")))</f>
        <v>BUY</v>
      </c>
      <c r="J697" s="150" t="s">
        <v>1229</v>
      </c>
      <c r="K697" s="152">
        <v>14000</v>
      </c>
      <c r="L697" s="122"/>
      <c r="M697" s="123">
        <f>SIP[[#This Row],[Amount]]/SIP[[#This Row],[Unit]]</f>
        <v>11.363636363636363</v>
      </c>
      <c r="N697" s="71">
        <f>SIP[[#This Row],[Unit Capital]]/10</f>
        <v>1232</v>
      </c>
      <c r="O697" s="71">
        <f>SUMIFS(SIP[[#Headers],[Unit]]:SIP[[#This Row],[Unit]],SIP[[#Headers],[Investor ID]]:SIP[[#This Row],[Investor ID]],SIP[[#This Row],[Investor ID]])</f>
        <v>30937</v>
      </c>
      <c r="P697" s="153">
        <v>12320</v>
      </c>
      <c r="Q697" s="74">
        <f>SIP[[#This Row],[Amount]]-SIP[[#This Row],[Unit Capital]]</f>
        <v>1680</v>
      </c>
      <c r="R6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10.925429097844006</v>
      </c>
      <c r="S697" s="68">
        <f t="shared" si="30"/>
        <v>14.224</v>
      </c>
      <c r="T6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7" s="74" cm="1">
        <f t="array" ref="U697">IF(SIP[[#This Row],[B/S]]="S",ABS(SIP[[#This Row],[Unit]])*(INDEX(SIP[NAV at Cost (Average)],MATCH(CONCATENATE((SIP[[#This Row],[Frequency]]-1),SIP[[#This Row],[Investor ID]]),SIP[Unique Code],0),0)),0)</f>
        <v>0</v>
      </c>
      <c r="V697" s="74">
        <f>IF(SIP[[#This Row],[BO TRANSFER]]="YES",SIP[[#This Row],[Unit]],)</f>
        <v>0</v>
      </c>
      <c r="W697" s="74">
        <f>SUMIFS(SIP[[#Headers],[BO UNIT TRANSFER]]:SIP[[#This Row],[BO UNIT TRANSFER]],SIP[[#Headers],[Investor ID]]:SIP[[#This Row],[Investor ID]],SIP[[#This Row],[Investor ID]])</f>
        <v>0</v>
      </c>
    </row>
    <row r="698" spans="1:23" ht="15" customHeight="1">
      <c r="A698" s="46">
        <v>2024</v>
      </c>
      <c r="B698" s="46">
        <v>8</v>
      </c>
      <c r="C698" s="46">
        <v>26</v>
      </c>
      <c r="D698" s="65">
        <f>DATE(SIP[[#This Row],[Year]],SIP[[#This Row],[Month]],SIP[[#This Row],[Day]])</f>
        <v>45530</v>
      </c>
      <c r="E698" s="66" t="str" cm="1">
        <f t="array" ref="E698">INDEX(INVESTORS_LIST[INVESTOR NAME],MATCH(SIP[[#This Row],[Investor ID]],INVESTORS_LIST[INVESTOR CODE],0),)</f>
        <v>MUHAMMAD SHOHIDUZZAMAN</v>
      </c>
      <c r="F698" s="46" t="s">
        <v>986</v>
      </c>
      <c r="G698" s="46">
        <f>COUNTIF(SIP[[#Headers],[Investor ID]]:SIP[[#This Row],[Investor ID]],SIP[[#This Row],[Investor ID]])</f>
        <v>10</v>
      </c>
      <c r="H698" s="46" t="str">
        <f>CONCATENATE(SIP[[#This Row],[Frequency]],SIP[[#This Row],[Investor ID]])</f>
        <v>10A00470</v>
      </c>
      <c r="I698" s="46" t="str">
        <f>IF(SIP[[#This Row],[B/S]]="B","BUY",(IF(SIP[[#This Row],[B/S]]="S","SELL"," ")))</f>
        <v>BUY</v>
      </c>
      <c r="J698" s="150" t="s">
        <v>1229</v>
      </c>
      <c r="K698" s="152">
        <v>10000</v>
      </c>
      <c r="L698" s="122" t="s">
        <v>1230</v>
      </c>
      <c r="M698" s="123">
        <f>SIP[[#This Row],[Amount]]/SIP[[#This Row],[Unit]]</f>
        <v>11.363636363636363</v>
      </c>
      <c r="N698" s="71">
        <f>SIP[[#This Row],[Unit Capital]]/10</f>
        <v>880</v>
      </c>
      <c r="O698" s="71">
        <f>SUMIFS(SIP[[#Headers],[Unit]]:SIP[[#This Row],[Unit]],SIP[[#Headers],[Investor ID]]:SIP[[#This Row],[Investor ID]],SIP[[#This Row],[Investor ID]])</f>
        <v>9136</v>
      </c>
      <c r="P698" s="153">
        <v>8800</v>
      </c>
      <c r="Q698" s="74">
        <f>SIP[[#This Row],[Amount]]-SIP[[#This Row],[Unit Capital]]</f>
        <v>1200</v>
      </c>
      <c r="R6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10.94570928196147</v>
      </c>
      <c r="S698" s="68">
        <f t="shared" si="30"/>
        <v>14.224</v>
      </c>
      <c r="T6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8" s="74" cm="1">
        <f t="array" ref="U698">IF(SIP[[#This Row],[B/S]]="S",ABS(SIP[[#This Row],[Unit]])*(INDEX(SIP[NAV at Cost (Average)],MATCH(CONCATENATE((SIP[[#This Row],[Frequency]]-1),SIP[[#This Row],[Investor ID]]),SIP[Unique Code],0),0)),0)</f>
        <v>0</v>
      </c>
      <c r="V698" s="74">
        <f>IF(SIP[[#This Row],[BO TRANSFER]]="YES",SIP[[#This Row],[Unit]],)</f>
        <v>880</v>
      </c>
      <c r="W698" s="74">
        <f>SUMIFS(SIP[[#Headers],[BO UNIT TRANSFER]]:SIP[[#This Row],[BO UNIT TRANSFER]],SIP[[#Headers],[Investor ID]]:SIP[[#This Row],[Investor ID]],SIP[[#This Row],[Investor ID]])</f>
        <v>9136</v>
      </c>
    </row>
    <row r="699" spans="1:23" ht="15" customHeight="1">
      <c r="A699" s="46">
        <v>2024</v>
      </c>
      <c r="B699" s="46">
        <v>8</v>
      </c>
      <c r="C699" s="46">
        <v>26</v>
      </c>
      <c r="D699" s="65">
        <f>DATE(SIP[[#This Row],[Year]],SIP[[#This Row],[Month]],SIP[[#This Row],[Day]])</f>
        <v>45530</v>
      </c>
      <c r="E699" s="66" t="str" cm="1">
        <f t="array" ref="E699">INDEX(INVESTORS_LIST[INVESTOR NAME],MATCH(SIP[[#This Row],[Investor ID]],INVESTORS_LIST[INVESTOR CODE],0),)</f>
        <v>MRINMOY GHOSH</v>
      </c>
      <c r="F699" s="46" t="s">
        <v>69</v>
      </c>
      <c r="G699" s="46">
        <f>COUNTIF(SIP[[#Headers],[Investor ID]]:SIP[[#This Row],[Investor ID]],SIP[[#This Row],[Investor ID]])</f>
        <v>13</v>
      </c>
      <c r="H699" s="46" t="str">
        <f>CONCATENATE(SIP[[#This Row],[Frequency]],SIP[[#This Row],[Investor ID]])</f>
        <v>13A00012</v>
      </c>
      <c r="I699" s="46" t="str">
        <f>IF(SIP[[#This Row],[B/S]]="B","BUY",(IF(SIP[[#This Row],[B/S]]="S","SELL"," ")))</f>
        <v>BUY</v>
      </c>
      <c r="J699" s="150" t="s">
        <v>1229</v>
      </c>
      <c r="K699" s="152">
        <v>10000</v>
      </c>
      <c r="L699" s="122"/>
      <c r="M699" s="123">
        <f>SIP[[#This Row],[Amount]]/SIP[[#This Row],[Unit]]</f>
        <v>11.363636363636363</v>
      </c>
      <c r="N699" s="71">
        <f>SIP[[#This Row],[Unit Capital]]/10</f>
        <v>880</v>
      </c>
      <c r="O699" s="71">
        <f>SUMIFS(SIP[[#Headers],[Unit]]:SIP[[#This Row],[Unit]],SIP[[#Headers],[Investor ID]]:SIP[[#This Row],[Investor ID]],SIP[[#This Row],[Investor ID]])</f>
        <v>880</v>
      </c>
      <c r="P699" s="153">
        <v>8800</v>
      </c>
      <c r="Q699" s="74">
        <f>SIP[[#This Row],[Amount]]-SIP[[#This Row],[Unit Capital]]</f>
        <v>1200</v>
      </c>
      <c r="R6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699" s="68">
        <f t="shared" si="30"/>
        <v>14.224</v>
      </c>
      <c r="T6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9" s="74" cm="1">
        <f t="array" ref="U699">IF(SIP[[#This Row],[B/S]]="S",ABS(SIP[[#This Row],[Unit]])*(INDEX(SIP[NAV at Cost (Average)],MATCH(CONCATENATE((SIP[[#This Row],[Frequency]]-1),SIP[[#This Row],[Investor ID]]),SIP[Unique Code],0),0)),0)</f>
        <v>0</v>
      </c>
      <c r="V699" s="74">
        <f>IF(SIP[[#This Row],[BO TRANSFER]]="YES",SIP[[#This Row],[Unit]],)</f>
        <v>0</v>
      </c>
      <c r="W699" s="74">
        <f>SUMIFS(SIP[[#Headers],[BO UNIT TRANSFER]]:SIP[[#This Row],[BO UNIT TRANSFER]],SIP[[#Headers],[Investor ID]]:SIP[[#This Row],[Investor ID]],SIP[[#This Row],[Investor ID]])</f>
        <v>0</v>
      </c>
    </row>
    <row r="700" spans="1:23" ht="15" customHeight="1">
      <c r="A700" s="46">
        <v>2024</v>
      </c>
      <c r="B700" s="46">
        <v>8</v>
      </c>
      <c r="C700" s="46">
        <v>26</v>
      </c>
      <c r="D700" s="65">
        <f>DATE(SIP[[#This Row],[Year]],SIP[[#This Row],[Month]],SIP[[#This Row],[Day]])</f>
        <v>45530</v>
      </c>
      <c r="E700" s="66" t="str" cm="1">
        <f t="array" ref="E700">INDEX(INVESTORS_LIST[INVESTOR NAME],MATCH(SIP[[#This Row],[Investor ID]],INVESTORS_LIST[INVESTOR CODE],0),)</f>
        <v>ADNAN RASHID</v>
      </c>
      <c r="F700" s="46" t="s">
        <v>252</v>
      </c>
      <c r="G700" s="46">
        <f>COUNTIF(SIP[[#Headers],[Investor ID]]:SIP[[#This Row],[Investor ID]],SIP[[#This Row],[Investor ID]])</f>
        <v>13</v>
      </c>
      <c r="H700" s="46" t="str">
        <f>CONCATENATE(SIP[[#This Row],[Frequency]],SIP[[#This Row],[Investor ID]])</f>
        <v>13A00102</v>
      </c>
      <c r="I700" s="46" t="str">
        <f>IF(SIP[[#This Row],[B/S]]="B","BUY",(IF(SIP[[#This Row],[B/S]]="S","SELL"," ")))</f>
        <v>BUY</v>
      </c>
      <c r="J700" s="150" t="s">
        <v>1229</v>
      </c>
      <c r="K700" s="152">
        <v>30000</v>
      </c>
      <c r="L700" s="122"/>
      <c r="M700" s="123">
        <f>SIP[[#This Row],[Amount]]/SIP[[#This Row],[Unit]]</f>
        <v>11.359333585762968</v>
      </c>
      <c r="N700" s="71">
        <f>SIP[[#This Row],[Unit Capital]]/10</f>
        <v>2641</v>
      </c>
      <c r="O700" s="71">
        <f>SUMIFS(SIP[[#Headers],[Unit]]:SIP[[#This Row],[Unit]],SIP[[#Headers],[Investor ID]]:SIP[[#This Row],[Investor ID]],SIP[[#This Row],[Investor ID]])</f>
        <v>14916</v>
      </c>
      <c r="P700" s="153">
        <v>26410</v>
      </c>
      <c r="Q700" s="74">
        <f>SIP[[#This Row],[Amount]]-SIP[[#This Row],[Unit Capital]]</f>
        <v>3590</v>
      </c>
      <c r="R7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11.067018822477959</v>
      </c>
      <c r="S700" s="68">
        <f t="shared" si="30"/>
        <v>14.224</v>
      </c>
      <c r="T7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0" s="74" cm="1">
        <f t="array" ref="U700">IF(SIP[[#This Row],[B/S]]="S",ABS(SIP[[#This Row],[Unit]])*(INDEX(SIP[NAV at Cost (Average)],MATCH(CONCATENATE((SIP[[#This Row],[Frequency]]-1),SIP[[#This Row],[Investor ID]]),SIP[Unique Code],0),0)),0)</f>
        <v>0</v>
      </c>
      <c r="V700" s="74">
        <f>IF(SIP[[#This Row],[BO TRANSFER]]="YES",SIP[[#This Row],[Unit]],)</f>
        <v>0</v>
      </c>
      <c r="W700" s="74">
        <f>SUMIFS(SIP[[#Headers],[BO UNIT TRANSFER]]:SIP[[#This Row],[BO UNIT TRANSFER]],SIP[[#Headers],[Investor ID]]:SIP[[#This Row],[Investor ID]],SIP[[#This Row],[Investor ID]])</f>
        <v>0</v>
      </c>
    </row>
    <row r="701" spans="1:23" ht="15" customHeight="1">
      <c r="A701" s="46">
        <v>2024</v>
      </c>
      <c r="B701" s="46">
        <v>8</v>
      </c>
      <c r="C701" s="46">
        <v>26</v>
      </c>
      <c r="D701" s="65">
        <f>DATE(SIP[[#This Row],[Year]],SIP[[#This Row],[Month]],SIP[[#This Row],[Day]])</f>
        <v>45530</v>
      </c>
      <c r="E701" s="66" t="str" cm="1">
        <f t="array" ref="E701">INDEX(INVESTORS_LIST[INVESTOR NAME],MATCH(SIP[[#This Row],[Investor ID]],INVESTORS_LIST[INVESTOR CODE],0),)</f>
        <v>MOHAMMAD HASAN IMAM</v>
      </c>
      <c r="F701" s="46" t="s">
        <v>1122</v>
      </c>
      <c r="G701" s="46">
        <f>COUNTIF(SIP[[#Headers],[Investor ID]]:SIP[[#This Row],[Investor ID]],SIP[[#This Row],[Investor ID]])</f>
        <v>5</v>
      </c>
      <c r="H701" s="46" t="str">
        <f>CONCATENATE(SIP[[#This Row],[Frequency]],SIP[[#This Row],[Investor ID]])</f>
        <v>5A00536</v>
      </c>
      <c r="I701" s="46" t="str">
        <f>IF(SIP[[#This Row],[B/S]]="B","BUY",(IF(SIP[[#This Row],[B/S]]="S","SELL"," ")))</f>
        <v>BUY</v>
      </c>
      <c r="J701" s="150" t="s">
        <v>1229</v>
      </c>
      <c r="K701" s="152">
        <v>5000</v>
      </c>
      <c r="L701" s="122"/>
      <c r="M701" s="123">
        <f>SIP[[#This Row],[Amount]]/SIP[[#This Row],[Unit]]</f>
        <v>11.363636363636363</v>
      </c>
      <c r="N701" s="71">
        <f>SIP[[#This Row],[Unit Capital]]/10</f>
        <v>440</v>
      </c>
      <c r="O701" s="71">
        <f>SUMIFS(SIP[[#Headers],[Unit]]:SIP[[#This Row],[Unit]],SIP[[#Headers],[Investor ID]]:SIP[[#This Row],[Investor ID]],SIP[[#This Row],[Investor ID]])</f>
        <v>2239</v>
      </c>
      <c r="P701" s="153">
        <v>4400</v>
      </c>
      <c r="Q701" s="74">
        <f>SIP[[#This Row],[Amount]]-SIP[[#This Row],[Unit Capital]]</f>
        <v>600</v>
      </c>
      <c r="R7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11.165698972755695</v>
      </c>
      <c r="S701" s="68">
        <f t="shared" si="30"/>
        <v>14.224</v>
      </c>
      <c r="T7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1" s="74" cm="1">
        <f t="array" ref="U701">IF(SIP[[#This Row],[B/S]]="S",ABS(SIP[[#This Row],[Unit]])*(INDEX(SIP[NAV at Cost (Average)],MATCH(CONCATENATE((SIP[[#This Row],[Frequency]]-1),SIP[[#This Row],[Investor ID]]),SIP[Unique Code],0),0)),0)</f>
        <v>0</v>
      </c>
      <c r="V701" s="74">
        <f>IF(SIP[[#This Row],[BO TRANSFER]]="YES",SIP[[#This Row],[Unit]],)</f>
        <v>0</v>
      </c>
      <c r="W701" s="74">
        <f>SUMIFS(SIP[[#Headers],[BO UNIT TRANSFER]]:SIP[[#This Row],[BO UNIT TRANSFER]],SIP[[#Headers],[Investor ID]]:SIP[[#This Row],[Investor ID]],SIP[[#This Row],[Investor ID]])</f>
        <v>0</v>
      </c>
    </row>
    <row r="702" spans="1:23" ht="15" customHeight="1">
      <c r="A702" s="46">
        <v>2024</v>
      </c>
      <c r="B702" s="46">
        <v>8</v>
      </c>
      <c r="C702" s="46">
        <v>26</v>
      </c>
      <c r="D702" s="65">
        <f>DATE(SIP[[#This Row],[Year]],SIP[[#This Row],[Month]],SIP[[#This Row],[Day]])</f>
        <v>45530</v>
      </c>
      <c r="E702" s="66" t="str" cm="1">
        <f t="array" ref="E702">INDEX(INVESTORS_LIST[INVESTOR NAME],MATCH(SIP[[#This Row],[Investor ID]],INVESTORS_LIST[INVESTOR CODE],0),)</f>
        <v>SADIA PARVIN</v>
      </c>
      <c r="F702" s="46" t="s">
        <v>1018</v>
      </c>
      <c r="G702" s="46">
        <f>COUNTIF(SIP[[#Headers],[Investor ID]]:SIP[[#This Row],[Investor ID]],SIP[[#This Row],[Investor ID]])</f>
        <v>19</v>
      </c>
      <c r="H702" s="46" t="str">
        <f>CONCATENATE(SIP[[#This Row],[Frequency]],SIP[[#This Row],[Investor ID]])</f>
        <v>19A00486</v>
      </c>
      <c r="I702" s="46" t="str">
        <f>IF(SIP[[#This Row],[B/S]]="B","BUY",(IF(SIP[[#This Row],[B/S]]="S","SELL"," ")))</f>
        <v>BUY</v>
      </c>
      <c r="J702" s="150" t="s">
        <v>1229</v>
      </c>
      <c r="K702" s="152">
        <v>5000</v>
      </c>
      <c r="L702" s="122"/>
      <c r="M702" s="123">
        <f>SIP[[#This Row],[Amount]]/SIP[[#This Row],[Unit]]</f>
        <v>11.363636363636363</v>
      </c>
      <c r="N702" s="71">
        <f>SIP[[#This Row],[Unit Capital]]/10</f>
        <v>440</v>
      </c>
      <c r="O702" s="71">
        <f>SUMIFS(SIP[[#Headers],[Unit]]:SIP[[#This Row],[Unit]],SIP[[#Headers],[Investor ID]]:SIP[[#This Row],[Investor ID]],SIP[[#This Row],[Investor ID]])</f>
        <v>8788</v>
      </c>
      <c r="P702" s="153">
        <v>4400</v>
      </c>
      <c r="Q702" s="74">
        <f>SIP[[#This Row],[Amount]]-SIP[[#This Row],[Unit Capital]]</f>
        <v>600</v>
      </c>
      <c r="R7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10.810195721438326</v>
      </c>
      <c r="S702" s="68">
        <f t="shared" si="30"/>
        <v>14.224</v>
      </c>
      <c r="T7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2" s="74" cm="1">
        <f t="array" ref="U702">IF(SIP[[#This Row],[B/S]]="S",ABS(SIP[[#This Row],[Unit]])*(INDEX(SIP[NAV at Cost (Average)],MATCH(CONCATENATE((SIP[[#This Row],[Frequency]]-1),SIP[[#This Row],[Investor ID]]),SIP[Unique Code],0),0)),0)</f>
        <v>0</v>
      </c>
      <c r="V702" s="74">
        <f>IF(SIP[[#This Row],[BO TRANSFER]]="YES",SIP[[#This Row],[Unit]],)</f>
        <v>0</v>
      </c>
      <c r="W702" s="74">
        <f>SUMIFS(SIP[[#Headers],[BO UNIT TRANSFER]]:SIP[[#This Row],[BO UNIT TRANSFER]],SIP[[#Headers],[Investor ID]]:SIP[[#This Row],[Investor ID]],SIP[[#This Row],[Investor ID]])</f>
        <v>0</v>
      </c>
    </row>
    <row r="703" spans="1:23" ht="15" customHeight="1">
      <c r="A703" s="46">
        <v>2024</v>
      </c>
      <c r="B703" s="46">
        <v>8</v>
      </c>
      <c r="C703" s="46">
        <v>26</v>
      </c>
      <c r="D703" s="65">
        <f>DATE(SIP[[#This Row],[Year]],SIP[[#This Row],[Month]],SIP[[#This Row],[Day]])</f>
        <v>45530</v>
      </c>
      <c r="E703" s="66" t="str" cm="1">
        <f t="array" ref="E703">INDEX(INVESTORS_LIST[INVESTOR NAME],MATCH(SIP[[#This Row],[Investor ID]],INVESTORS_LIST[INVESTOR CODE],0),)</f>
        <v>SYED ADNAN HUDA</v>
      </c>
      <c r="F703" s="46" t="s">
        <v>236</v>
      </c>
      <c r="G703" s="46">
        <f>COUNTIF(SIP[[#Headers],[Investor ID]]:SIP[[#This Row],[Investor ID]],SIP[[#This Row],[Investor ID]])</f>
        <v>2</v>
      </c>
      <c r="H703" s="46" t="str">
        <f>CONCATENATE(SIP[[#This Row],[Frequency]],SIP[[#This Row],[Investor ID]])</f>
        <v>2A00094</v>
      </c>
      <c r="I703" s="46" t="str">
        <f>IF(SIP[[#This Row],[B/S]]="B","BUY",(IF(SIP[[#This Row],[B/S]]="S","SELL"," ")))</f>
        <v>BUY</v>
      </c>
      <c r="J703" s="150" t="s">
        <v>1229</v>
      </c>
      <c r="K703" s="152">
        <v>50000</v>
      </c>
      <c r="L703" s="122"/>
      <c r="M703" s="123">
        <f>SIP[[#This Row],[Amount]]/SIP[[#This Row],[Unit]]</f>
        <v>11.361054305839582</v>
      </c>
      <c r="N703" s="71">
        <f>SIP[[#This Row],[Unit Capital]]/10</f>
        <v>4401</v>
      </c>
      <c r="O703" s="71">
        <f>SUMIFS(SIP[[#Headers],[Unit]]:SIP[[#This Row],[Unit]],SIP[[#Headers],[Investor ID]]:SIP[[#This Row],[Investor ID]],SIP[[#This Row],[Investor ID]])</f>
        <v>8840</v>
      </c>
      <c r="P703" s="153">
        <v>44010</v>
      </c>
      <c r="Q703" s="74">
        <f>SIP[[#This Row],[Amount]]-SIP[[#This Row],[Unit Capital]]</f>
        <v>5990</v>
      </c>
      <c r="R7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11.312217194570135</v>
      </c>
      <c r="S703" s="68">
        <f t="shared" si="30"/>
        <v>14.224</v>
      </c>
      <c r="T7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3" s="74" cm="1">
        <f t="array" ref="U703">IF(SIP[[#This Row],[B/S]]="S",ABS(SIP[[#This Row],[Unit]])*(INDEX(SIP[NAV at Cost (Average)],MATCH(CONCATENATE((SIP[[#This Row],[Frequency]]-1),SIP[[#This Row],[Investor ID]]),SIP[Unique Code],0),0)),0)</f>
        <v>0</v>
      </c>
      <c r="V703" s="74">
        <f>IF(SIP[[#This Row],[BO TRANSFER]]="YES",SIP[[#This Row],[Unit]],)</f>
        <v>0</v>
      </c>
      <c r="W703" s="74">
        <f>SUMIFS(SIP[[#Headers],[BO UNIT TRANSFER]]:SIP[[#This Row],[BO UNIT TRANSFER]],SIP[[#Headers],[Investor ID]]:SIP[[#This Row],[Investor ID]],SIP[[#This Row],[Investor ID]])</f>
        <v>0</v>
      </c>
    </row>
    <row r="704" spans="1:23" ht="15" customHeight="1">
      <c r="A704" s="46">
        <v>2024</v>
      </c>
      <c r="B704" s="46">
        <v>8</v>
      </c>
      <c r="C704" s="46">
        <v>26</v>
      </c>
      <c r="D704" s="65">
        <f>DATE(SIP[[#This Row],[Year]],SIP[[#This Row],[Month]],SIP[[#This Row],[Day]])</f>
        <v>45530</v>
      </c>
      <c r="E704" s="66" t="str" cm="1">
        <f t="array" ref="E704">INDEX(INVESTORS_LIST[INVESTOR NAME],MATCH(SIP[[#This Row],[Investor ID]],INVESTORS_LIST[INVESTOR CODE],0),)</f>
        <v>MAHFUZUL ISLAM</v>
      </c>
      <c r="F704" s="46" t="s">
        <v>473</v>
      </c>
      <c r="G704" s="46">
        <f>COUNTIF(SIP[[#Headers],[Investor ID]]:SIP[[#This Row],[Investor ID]],SIP[[#This Row],[Investor ID]])</f>
        <v>7</v>
      </c>
      <c r="H704" s="46" t="str">
        <f>CONCATENATE(SIP[[#This Row],[Frequency]],SIP[[#This Row],[Investor ID]])</f>
        <v>7A00212</v>
      </c>
      <c r="I704" s="46" t="str">
        <f>IF(SIP[[#This Row],[B/S]]="B","BUY",(IF(SIP[[#This Row],[B/S]]="S","SELL"," ")))</f>
        <v>BUY</v>
      </c>
      <c r="J704" s="150" t="s">
        <v>1229</v>
      </c>
      <c r="K704" s="152">
        <v>3000</v>
      </c>
      <c r="L704" s="122" t="s">
        <v>1230</v>
      </c>
      <c r="M704" s="123">
        <f>SIP[[#This Row],[Amount]]/SIP[[#This Row],[Unit]]</f>
        <v>11.363636363636363</v>
      </c>
      <c r="N704" s="71">
        <f>SIP[[#This Row],[Unit Capital]]/10</f>
        <v>264</v>
      </c>
      <c r="O704" s="71">
        <f>SUMIFS(SIP[[#Headers],[Unit]]:SIP[[#This Row],[Unit]],SIP[[#Headers],[Investor ID]]:SIP[[#This Row],[Investor ID]],SIP[[#This Row],[Investor ID]])</f>
        <v>807</v>
      </c>
      <c r="P704" s="153">
        <v>2640</v>
      </c>
      <c r="Q704" s="74">
        <f>SIP[[#This Row],[Amount]]-SIP[[#This Row],[Unit Capital]]</f>
        <v>360</v>
      </c>
      <c r="R7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11.152416356877323</v>
      </c>
      <c r="S704" s="68">
        <f t="shared" si="30"/>
        <v>14.224</v>
      </c>
      <c r="T7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4" s="74" cm="1">
        <f t="array" ref="U704">IF(SIP[[#This Row],[B/S]]="S",ABS(SIP[[#This Row],[Unit]])*(INDEX(SIP[NAV at Cost (Average)],MATCH(CONCATENATE((SIP[[#This Row],[Frequency]]-1),SIP[[#This Row],[Investor ID]]),SIP[Unique Code],0),0)),0)</f>
        <v>0</v>
      </c>
      <c r="V704" s="74">
        <f>IF(SIP[[#This Row],[BO TRANSFER]]="YES",SIP[[#This Row],[Unit]],)</f>
        <v>264</v>
      </c>
      <c r="W704" s="74">
        <f>SUMIFS(SIP[[#Headers],[BO UNIT TRANSFER]]:SIP[[#This Row],[BO UNIT TRANSFER]],SIP[[#Headers],[Investor ID]]:SIP[[#This Row],[Investor ID]],SIP[[#This Row],[Investor ID]])</f>
        <v>807</v>
      </c>
    </row>
    <row r="705" spans="1:23" ht="15" customHeight="1">
      <c r="A705" s="46">
        <v>2024</v>
      </c>
      <c r="B705" s="46">
        <v>8</v>
      </c>
      <c r="C705" s="46">
        <v>26</v>
      </c>
      <c r="D705" s="65">
        <f>DATE(SIP[[#This Row],[Year]],SIP[[#This Row],[Month]],SIP[[#This Row],[Day]])</f>
        <v>45530</v>
      </c>
      <c r="E705" s="66" t="str" cm="1">
        <f t="array" ref="E705">INDEX(INVESTORS_LIST[INVESTOR NAME],MATCH(SIP[[#This Row],[Investor ID]],INVESTORS_LIST[INVESTOR CODE],0),)</f>
        <v>HUMAIRA TABASSUM READDHE</v>
      </c>
      <c r="F705" s="46" t="s">
        <v>1052</v>
      </c>
      <c r="G705" s="46">
        <f>COUNTIF(SIP[[#Headers],[Investor ID]]:SIP[[#This Row],[Investor ID]],SIP[[#This Row],[Investor ID]])</f>
        <v>1</v>
      </c>
      <c r="H705" s="46" t="str">
        <f>CONCATENATE(SIP[[#This Row],[Frequency]],SIP[[#This Row],[Investor ID]])</f>
        <v>1A00503</v>
      </c>
      <c r="I705" s="46" t="str">
        <f>IF(SIP[[#This Row],[B/S]]="B","BUY",(IF(SIP[[#This Row],[B/S]]="S","SELL"," ")))</f>
        <v>BUY</v>
      </c>
      <c r="J705" s="150" t="s">
        <v>1229</v>
      </c>
      <c r="K705" s="152">
        <v>3000</v>
      </c>
      <c r="L705" s="122"/>
      <c r="M705" s="123">
        <f>SIP[[#This Row],[Amount]]/SIP[[#This Row],[Unit]]</f>
        <v>11.363636363636363</v>
      </c>
      <c r="N705" s="71">
        <f>SIP[[#This Row],[Unit Capital]]/10</f>
        <v>264</v>
      </c>
      <c r="O705" s="71">
        <f>SUMIFS(SIP[[#Headers],[Unit]]:SIP[[#This Row],[Unit]],SIP[[#Headers],[Investor ID]]:SIP[[#This Row],[Investor ID]],SIP[[#This Row],[Investor ID]])</f>
        <v>264</v>
      </c>
      <c r="P705" s="153">
        <v>2640</v>
      </c>
      <c r="Q705" s="74">
        <f>SIP[[#This Row],[Amount]]-SIP[[#This Row],[Unit Capital]]</f>
        <v>360</v>
      </c>
      <c r="R7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705" s="68">
        <f t="shared" si="30"/>
        <v>14.224</v>
      </c>
      <c r="T7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5" s="74" cm="1">
        <f t="array" ref="U705">IF(SIP[[#This Row],[B/S]]="S",ABS(SIP[[#This Row],[Unit]])*(INDEX(SIP[NAV at Cost (Average)],MATCH(CONCATENATE((SIP[[#This Row],[Frequency]]-1),SIP[[#This Row],[Investor ID]]),SIP[Unique Code],0),0)),0)</f>
        <v>0</v>
      </c>
      <c r="V705" s="74">
        <f>IF(SIP[[#This Row],[BO TRANSFER]]="YES",SIP[[#This Row],[Unit]],)</f>
        <v>0</v>
      </c>
      <c r="W705" s="74">
        <f>SUMIFS(SIP[[#Headers],[BO UNIT TRANSFER]]:SIP[[#This Row],[BO UNIT TRANSFER]],SIP[[#Headers],[Investor ID]]:SIP[[#This Row],[Investor ID]],SIP[[#This Row],[Investor ID]])</f>
        <v>0</v>
      </c>
    </row>
    <row r="706" spans="1:23" ht="15" customHeight="1">
      <c r="A706" s="46">
        <v>2024</v>
      </c>
      <c r="B706" s="46">
        <v>9</v>
      </c>
      <c r="C706" s="46">
        <v>5</v>
      </c>
      <c r="D706" s="65">
        <f>DATE(SIP[[#This Row],[Year]],SIP[[#This Row],[Month]],SIP[[#This Row],[Day]])</f>
        <v>45540</v>
      </c>
      <c r="E706" s="66" t="str" cm="1">
        <f t="array" ref="E706">INDEX(INVESTORS_LIST[INVESTOR NAME],MATCH(SIP[[#This Row],[Investor ID]],INVESTORS_LIST[INVESTOR CODE],0),)</f>
        <v>MAHBUB-UL-ANAM KHAN</v>
      </c>
      <c r="F706" s="46" t="s">
        <v>626</v>
      </c>
      <c r="G706" s="46">
        <f>COUNTIF(SIP[[#Headers],[Investor ID]]:SIP[[#This Row],[Investor ID]],SIP[[#This Row],[Investor ID]])</f>
        <v>1</v>
      </c>
      <c r="H706" s="46" t="str">
        <f>CONCATENATE(SIP[[#This Row],[Frequency]],SIP[[#This Row],[Investor ID]])</f>
        <v>1A00289</v>
      </c>
      <c r="I706" s="46" t="str">
        <f>IF(SIP[[#This Row],[B/S]]="B","BUY",(IF(SIP[[#This Row],[B/S]]="S","SELL"," ")))</f>
        <v>BUY</v>
      </c>
      <c r="J706" s="150" t="s">
        <v>1229</v>
      </c>
      <c r="K706" s="152">
        <v>5000</v>
      </c>
      <c r="L706" s="122"/>
      <c r="M706" s="123">
        <f>SIP[[#This Row],[Amount]]/SIP[[#This Row],[Unit]]</f>
        <v>11.389521640091116</v>
      </c>
      <c r="N706" s="71">
        <f>SIP[[#This Row],[Unit Capital]]/10</f>
        <v>439</v>
      </c>
      <c r="O706" s="71">
        <f>SUMIFS(SIP[[#Headers],[Unit]]:SIP[[#This Row],[Unit]],SIP[[#Headers],[Investor ID]]:SIP[[#This Row],[Investor ID]],SIP[[#This Row],[Investor ID]])</f>
        <v>439</v>
      </c>
      <c r="P706" s="153">
        <v>4390</v>
      </c>
      <c r="Q706" s="74">
        <f>SIP[[#This Row],[Amount]]-SIP[[#This Row],[Unit Capital]]</f>
        <v>610</v>
      </c>
      <c r="R7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11.389521640091116</v>
      </c>
      <c r="S706" s="68">
        <f t="shared" ref="S706:S725" si="31">NAV_MKT</f>
        <v>14.224</v>
      </c>
      <c r="T7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6" s="74" cm="1">
        <f t="array" ref="U706">IF(SIP[[#This Row],[B/S]]="S",ABS(SIP[[#This Row],[Unit]])*(INDEX(SIP[NAV at Cost (Average)],MATCH(CONCATENATE((SIP[[#This Row],[Frequency]]-1),SIP[[#This Row],[Investor ID]]),SIP[Unique Code],0),0)),0)</f>
        <v>0</v>
      </c>
      <c r="V706" s="74">
        <f>IF(SIP[[#This Row],[BO TRANSFER]]="YES",SIP[[#This Row],[Unit]],)</f>
        <v>0</v>
      </c>
      <c r="W706" s="74">
        <f>SUMIFS(SIP[[#Headers],[BO UNIT TRANSFER]]:SIP[[#This Row],[BO UNIT TRANSFER]],SIP[[#Headers],[Investor ID]]:SIP[[#This Row],[Investor ID]],SIP[[#This Row],[Investor ID]])</f>
        <v>0</v>
      </c>
    </row>
    <row r="707" spans="1:23" ht="15" customHeight="1">
      <c r="A707" s="46">
        <v>2024</v>
      </c>
      <c r="B707" s="46">
        <v>9</v>
      </c>
      <c r="C707" s="46">
        <v>5</v>
      </c>
      <c r="D707" s="65">
        <f>DATE(SIP[[#This Row],[Year]],SIP[[#This Row],[Month]],SIP[[#This Row],[Day]])</f>
        <v>45540</v>
      </c>
      <c r="E707" s="66" t="str" cm="1">
        <f t="array" ref="E707">INDEX(INVESTORS_LIST[INVESTOR NAME],MATCH(SIP[[#This Row],[Investor ID]],INVESTORS_LIST[INVESTOR CODE],0),)</f>
        <v>NANDINI SAHA</v>
      </c>
      <c r="F707" s="46" t="s">
        <v>242</v>
      </c>
      <c r="G707" s="46">
        <f>COUNTIF(SIP[[#Headers],[Investor ID]]:SIP[[#This Row],[Investor ID]],SIP[[#This Row],[Investor ID]])</f>
        <v>16</v>
      </c>
      <c r="H707" s="46" t="str">
        <f>CONCATENATE(SIP[[#This Row],[Frequency]],SIP[[#This Row],[Investor ID]])</f>
        <v>16A00097</v>
      </c>
      <c r="I707" s="46" t="str">
        <f>IF(SIP[[#This Row],[B/S]]="B","BUY",(IF(SIP[[#This Row],[B/S]]="S","SELL"," ")))</f>
        <v>BUY</v>
      </c>
      <c r="J707" s="150" t="s">
        <v>1229</v>
      </c>
      <c r="K707" s="152">
        <v>30000</v>
      </c>
      <c r="L707" s="122"/>
      <c r="M707" s="123">
        <f>SIP[[#This Row],[Amount]]/SIP[[#This Row],[Unit]]</f>
        <v>11.411182959300113</v>
      </c>
      <c r="N707" s="71">
        <f>SIP[[#This Row],[Unit Capital]]/10</f>
        <v>2629</v>
      </c>
      <c r="O707" s="71">
        <f>SUMIFS(SIP[[#Headers],[Unit]]:SIP[[#This Row],[Unit]],SIP[[#Headers],[Investor ID]]:SIP[[#This Row],[Investor ID]],SIP[[#This Row],[Investor ID]])</f>
        <v>44810</v>
      </c>
      <c r="P707" s="153">
        <v>26290</v>
      </c>
      <c r="Q707" s="74">
        <f>SIP[[#This Row],[Amount]]-SIP[[#This Row],[Unit Capital]]</f>
        <v>3710</v>
      </c>
      <c r="R7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10.711894666369114</v>
      </c>
      <c r="S707" s="68">
        <f t="shared" si="31"/>
        <v>14.224</v>
      </c>
      <c r="T7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7" s="74" cm="1">
        <f t="array" ref="U707">IF(SIP[[#This Row],[B/S]]="S",ABS(SIP[[#This Row],[Unit]])*(INDEX(SIP[NAV at Cost (Average)],MATCH(CONCATENATE((SIP[[#This Row],[Frequency]]-1),SIP[[#This Row],[Investor ID]]),SIP[Unique Code],0),0)),0)</f>
        <v>0</v>
      </c>
      <c r="V707" s="74">
        <f>IF(SIP[[#This Row],[BO TRANSFER]]="YES",SIP[[#This Row],[Unit]],)</f>
        <v>0</v>
      </c>
      <c r="W707" s="74">
        <f>SUMIFS(SIP[[#Headers],[BO UNIT TRANSFER]]:SIP[[#This Row],[BO UNIT TRANSFER]],SIP[[#Headers],[Investor ID]]:SIP[[#This Row],[Investor ID]],SIP[[#This Row],[Investor ID]])</f>
        <v>0</v>
      </c>
    </row>
    <row r="708" spans="1:23" ht="15" customHeight="1">
      <c r="A708" s="46">
        <v>2024</v>
      </c>
      <c r="B708" s="46">
        <v>9</v>
      </c>
      <c r="C708" s="46">
        <v>5</v>
      </c>
      <c r="D708" s="65">
        <f>DATE(SIP[[#This Row],[Year]],SIP[[#This Row],[Month]],SIP[[#This Row],[Day]])</f>
        <v>45540</v>
      </c>
      <c r="E708" s="66" t="str" cm="1">
        <f t="array" ref="E708">INDEX(INVESTORS_LIST[INVESTOR NAME],MATCH(SIP[[#This Row],[Investor ID]],INVESTORS_LIST[INVESTOR CODE],0),)</f>
        <v>SHANTA PAUL</v>
      </c>
      <c r="F708" s="46" t="s">
        <v>544</v>
      </c>
      <c r="G708" s="46">
        <f>COUNTIF(SIP[[#Headers],[Investor ID]]:SIP[[#This Row],[Investor ID]],SIP[[#This Row],[Investor ID]])</f>
        <v>18</v>
      </c>
      <c r="H708" s="46" t="str">
        <f>CONCATENATE(SIP[[#This Row],[Frequency]],SIP[[#This Row],[Investor ID]])</f>
        <v>18A00247</v>
      </c>
      <c r="I708" s="46" t="str">
        <f>IF(SIP[[#This Row],[B/S]]="B","BUY",(IF(SIP[[#This Row],[B/S]]="S","SELL"," ")))</f>
        <v>BUY</v>
      </c>
      <c r="J708" s="150" t="s">
        <v>1229</v>
      </c>
      <c r="K708" s="152">
        <v>20000</v>
      </c>
      <c r="L708" s="122"/>
      <c r="M708" s="123">
        <f>SIP[[#This Row],[Amount]]/SIP[[#This Row],[Unit]]</f>
        <v>11.409013120365088</v>
      </c>
      <c r="N708" s="71">
        <f>SIP[[#This Row],[Unit Capital]]/10</f>
        <v>1753</v>
      </c>
      <c r="O708" s="71">
        <f>SUMIFS(SIP[[#Headers],[Unit]]:SIP[[#This Row],[Unit]],SIP[[#Headers],[Investor ID]]:SIP[[#This Row],[Investor ID]],SIP[[#This Row],[Investor ID]])</f>
        <v>33725</v>
      </c>
      <c r="P708" s="153">
        <v>17530</v>
      </c>
      <c r="Q708" s="74">
        <f>SIP[[#This Row],[Amount]]-SIP[[#This Row],[Unit Capital]]</f>
        <v>2470</v>
      </c>
      <c r="R7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10.674573758339509</v>
      </c>
      <c r="S708" s="68">
        <f t="shared" si="31"/>
        <v>14.224</v>
      </c>
      <c r="T7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8" s="74" cm="1">
        <f t="array" ref="U708">IF(SIP[[#This Row],[B/S]]="S",ABS(SIP[[#This Row],[Unit]])*(INDEX(SIP[NAV at Cost (Average)],MATCH(CONCATENATE((SIP[[#This Row],[Frequency]]-1),SIP[[#This Row],[Investor ID]]),SIP[Unique Code],0),0)),0)</f>
        <v>0</v>
      </c>
      <c r="V708" s="74">
        <f>IF(SIP[[#This Row],[BO TRANSFER]]="YES",SIP[[#This Row],[Unit]],)</f>
        <v>0</v>
      </c>
      <c r="W708" s="74">
        <f>SUMIFS(SIP[[#Headers],[BO UNIT TRANSFER]]:SIP[[#This Row],[BO UNIT TRANSFER]],SIP[[#Headers],[Investor ID]]:SIP[[#This Row],[Investor ID]],SIP[[#This Row],[Investor ID]])</f>
        <v>0</v>
      </c>
    </row>
    <row r="709" spans="1:23" ht="15" customHeight="1">
      <c r="A709" s="46">
        <v>2024</v>
      </c>
      <c r="B709" s="46">
        <v>9</v>
      </c>
      <c r="C709" s="46">
        <v>5</v>
      </c>
      <c r="D709" s="65">
        <f>DATE(SIP[[#This Row],[Year]],SIP[[#This Row],[Month]],SIP[[#This Row],[Day]])</f>
        <v>45540</v>
      </c>
      <c r="E709" s="66" t="str" cm="1">
        <f t="array" ref="E709">INDEX(INVESTORS_LIST[INVESTOR NAME],MATCH(SIP[[#This Row],[Investor ID]],INVESTORS_LIST[INVESTOR CODE],0),)</f>
        <v>ROKSABA KASEM</v>
      </c>
      <c r="F709" s="46" t="s">
        <v>900</v>
      </c>
      <c r="G709" s="46">
        <f>COUNTIF(SIP[[#Headers],[Investor ID]]:SIP[[#This Row],[Investor ID]],SIP[[#This Row],[Investor ID]])</f>
        <v>16</v>
      </c>
      <c r="H709" s="46" t="str">
        <f>CONCATENATE(SIP[[#This Row],[Frequency]],SIP[[#This Row],[Investor ID]])</f>
        <v>16A00427</v>
      </c>
      <c r="I709" s="46" t="str">
        <f>IF(SIP[[#This Row],[B/S]]="B","BUY",(IF(SIP[[#This Row],[B/S]]="S","SELL"," ")))</f>
        <v>BUY</v>
      </c>
      <c r="J709" s="150" t="s">
        <v>1229</v>
      </c>
      <c r="K709" s="152">
        <v>20000</v>
      </c>
      <c r="L709" s="122"/>
      <c r="M709" s="123">
        <f>SIP[[#This Row],[Amount]]/SIP[[#This Row],[Unit]]</f>
        <v>11.409013120365088</v>
      </c>
      <c r="N709" s="71">
        <f>SIP[[#This Row],[Unit Capital]]/10</f>
        <v>1753</v>
      </c>
      <c r="O709" s="71">
        <f>SUMIFS(SIP[[#Headers],[Unit]]:SIP[[#This Row],[Unit]],SIP[[#Headers],[Investor ID]]:SIP[[#This Row],[Investor ID]],SIP[[#This Row],[Investor ID]])</f>
        <v>29768</v>
      </c>
      <c r="P709" s="153">
        <v>17530</v>
      </c>
      <c r="Q709" s="74">
        <f>SIP[[#This Row],[Amount]]-SIP[[#This Row],[Unit Capital]]</f>
        <v>2470</v>
      </c>
      <c r="R7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10.749798441279228</v>
      </c>
      <c r="S709" s="68">
        <f t="shared" si="31"/>
        <v>14.224</v>
      </c>
      <c r="T7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9" s="74" cm="1">
        <f t="array" ref="U709">IF(SIP[[#This Row],[B/S]]="S",ABS(SIP[[#This Row],[Unit]])*(INDEX(SIP[NAV at Cost (Average)],MATCH(CONCATENATE((SIP[[#This Row],[Frequency]]-1),SIP[[#This Row],[Investor ID]]),SIP[Unique Code],0),0)),0)</f>
        <v>0</v>
      </c>
      <c r="V709" s="74">
        <f>IF(SIP[[#This Row],[BO TRANSFER]]="YES",SIP[[#This Row],[Unit]],)</f>
        <v>0</v>
      </c>
      <c r="W709" s="74">
        <f>SUMIFS(SIP[[#Headers],[BO UNIT TRANSFER]]:SIP[[#This Row],[BO UNIT TRANSFER]],SIP[[#Headers],[Investor ID]]:SIP[[#This Row],[Investor ID]],SIP[[#This Row],[Investor ID]])</f>
        <v>0</v>
      </c>
    </row>
    <row r="710" spans="1:23" ht="15" customHeight="1">
      <c r="A710" s="46">
        <v>2024</v>
      </c>
      <c r="B710" s="46">
        <v>9</v>
      </c>
      <c r="C710" s="46">
        <v>5</v>
      </c>
      <c r="D710" s="65">
        <f>DATE(SIP[[#This Row],[Year]],SIP[[#This Row],[Month]],SIP[[#This Row],[Day]])</f>
        <v>45540</v>
      </c>
      <c r="E710" s="66" t="str" cm="1">
        <f t="array" ref="E710">INDEX(INVESTORS_LIST[INVESTOR NAME],MATCH(SIP[[#This Row],[Investor ID]],INVESTORS_LIST[INVESTOR CODE],0),)</f>
        <v>MD. MONIRUL ISLAM</v>
      </c>
      <c r="F710" s="46" t="s">
        <v>996</v>
      </c>
      <c r="G710" s="46">
        <f>COUNTIF(SIP[[#Headers],[Investor ID]]:SIP[[#This Row],[Investor ID]],SIP[[#This Row],[Investor ID]])</f>
        <v>17</v>
      </c>
      <c r="H710" s="46" t="str">
        <f>CONCATENATE(SIP[[#This Row],[Frequency]],SIP[[#This Row],[Investor ID]])</f>
        <v>17A00475</v>
      </c>
      <c r="I710" s="46" t="str">
        <f>IF(SIP[[#This Row],[B/S]]="B","BUY",(IF(SIP[[#This Row],[B/S]]="S","SELL"," ")))</f>
        <v>BUY</v>
      </c>
      <c r="J710" s="150" t="s">
        <v>1229</v>
      </c>
      <c r="K710" s="152">
        <v>10000</v>
      </c>
      <c r="L710" s="122"/>
      <c r="M710" s="123">
        <f>SIP[[#This Row],[Amount]]/SIP[[#This Row],[Unit]]</f>
        <v>11.415525114155251</v>
      </c>
      <c r="N710" s="71">
        <f>SIP[[#This Row],[Unit Capital]]/10</f>
        <v>876</v>
      </c>
      <c r="O710" s="71">
        <f>SUMIFS(SIP[[#Headers],[Unit]]:SIP[[#This Row],[Unit]],SIP[[#Headers],[Investor ID]]:SIP[[#This Row],[Investor ID]],SIP[[#This Row],[Investor ID]])</f>
        <v>15870</v>
      </c>
      <c r="P710" s="153">
        <v>8760</v>
      </c>
      <c r="Q710" s="74">
        <f>SIP[[#This Row],[Amount]]-SIP[[#This Row],[Unit Capital]]</f>
        <v>1240</v>
      </c>
      <c r="R7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10.712035286704472</v>
      </c>
      <c r="S710" s="68">
        <f t="shared" si="31"/>
        <v>14.224</v>
      </c>
      <c r="T7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0" s="74" cm="1">
        <f t="array" ref="U710">IF(SIP[[#This Row],[B/S]]="S",ABS(SIP[[#This Row],[Unit]])*(INDEX(SIP[NAV at Cost (Average)],MATCH(CONCATENATE((SIP[[#This Row],[Frequency]]-1),SIP[[#This Row],[Investor ID]]),SIP[Unique Code],0),0)),0)</f>
        <v>0</v>
      </c>
      <c r="V710" s="74">
        <f>IF(SIP[[#This Row],[BO TRANSFER]]="YES",SIP[[#This Row],[Unit]],)</f>
        <v>0</v>
      </c>
      <c r="W710" s="74">
        <f>SUMIFS(SIP[[#Headers],[BO UNIT TRANSFER]]:SIP[[#This Row],[BO UNIT TRANSFER]],SIP[[#Headers],[Investor ID]]:SIP[[#This Row],[Investor ID]],SIP[[#This Row],[Investor ID]])</f>
        <v>0</v>
      </c>
    </row>
    <row r="711" spans="1:23" ht="15" customHeight="1">
      <c r="A711" s="46">
        <v>2024</v>
      </c>
      <c r="B711" s="46">
        <v>9</v>
      </c>
      <c r="C711" s="46">
        <v>5</v>
      </c>
      <c r="D711" s="65">
        <f>DATE(SIP[[#This Row],[Year]],SIP[[#This Row],[Month]],SIP[[#This Row],[Day]])</f>
        <v>45540</v>
      </c>
      <c r="E711" s="66" t="str" cm="1">
        <f t="array" ref="E711">INDEX(INVESTORS_LIST[INVESTOR NAME],MATCH(SIP[[#This Row],[Investor ID]],INVESTORS_LIST[INVESTOR CODE],0),)</f>
        <v>FARUK-E AZAM BIN HAIDER</v>
      </c>
      <c r="F711" s="46" t="s">
        <v>425</v>
      </c>
      <c r="G711" s="46">
        <f>COUNTIF(SIP[[#Headers],[Investor ID]]:SIP[[#This Row],[Investor ID]],SIP[[#This Row],[Investor ID]])</f>
        <v>1</v>
      </c>
      <c r="H711" s="46" t="str">
        <f>CONCATENATE(SIP[[#This Row],[Frequency]],SIP[[#This Row],[Investor ID]])</f>
        <v>1A00188</v>
      </c>
      <c r="I711" s="46" t="str">
        <f>IF(SIP[[#This Row],[B/S]]="B","BUY",(IF(SIP[[#This Row],[B/S]]="S","SELL"," ")))</f>
        <v>BUY</v>
      </c>
      <c r="J711" s="150" t="s">
        <v>1229</v>
      </c>
      <c r="K711" s="152">
        <v>10000</v>
      </c>
      <c r="L711" s="122"/>
      <c r="M711" s="123">
        <f>SIP[[#This Row],[Amount]]/SIP[[#This Row],[Unit]]</f>
        <v>11.415525114155251</v>
      </c>
      <c r="N711" s="71">
        <f>SIP[[#This Row],[Unit Capital]]/10</f>
        <v>876</v>
      </c>
      <c r="O711" s="71">
        <f>SUMIFS(SIP[[#Headers],[Unit]]:SIP[[#This Row],[Unit]],SIP[[#Headers],[Investor ID]]:SIP[[#This Row],[Investor ID]],SIP[[#This Row],[Investor ID]])</f>
        <v>876</v>
      </c>
      <c r="P711" s="153">
        <v>8760</v>
      </c>
      <c r="Q711" s="74">
        <f>SIP[[#This Row],[Amount]]-SIP[[#This Row],[Unit Capital]]</f>
        <v>1240</v>
      </c>
      <c r="R7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11.415525114155251</v>
      </c>
      <c r="S711" s="68">
        <f t="shared" si="31"/>
        <v>14.224</v>
      </c>
      <c r="T7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1" s="74" cm="1">
        <f t="array" ref="U711">IF(SIP[[#This Row],[B/S]]="S",ABS(SIP[[#This Row],[Unit]])*(INDEX(SIP[NAV at Cost (Average)],MATCH(CONCATENATE((SIP[[#This Row],[Frequency]]-1),SIP[[#This Row],[Investor ID]]),SIP[Unique Code],0),0)),0)</f>
        <v>0</v>
      </c>
      <c r="V711" s="74">
        <f>IF(SIP[[#This Row],[BO TRANSFER]]="YES",SIP[[#This Row],[Unit]],)</f>
        <v>0</v>
      </c>
      <c r="W711" s="74">
        <f>SUMIFS(SIP[[#Headers],[BO UNIT TRANSFER]]:SIP[[#This Row],[BO UNIT TRANSFER]],SIP[[#Headers],[Investor ID]]:SIP[[#This Row],[Investor ID]],SIP[[#This Row],[Investor ID]])</f>
        <v>0</v>
      </c>
    </row>
    <row r="712" spans="1:23" ht="15" customHeight="1">
      <c r="A712" s="46">
        <v>2024</v>
      </c>
      <c r="B712" s="46">
        <v>9</v>
      </c>
      <c r="C712" s="46">
        <v>5</v>
      </c>
      <c r="D712" s="65">
        <f>DATE(SIP[[#This Row],[Year]],SIP[[#This Row],[Month]],SIP[[#This Row],[Day]])</f>
        <v>45540</v>
      </c>
      <c r="E712" s="66" t="str" cm="1">
        <f t="array" ref="E712">INDEX(INVESTORS_LIST[INVESTOR NAME],MATCH(SIP[[#This Row],[Investor ID]],INVESTORS_LIST[INVESTOR CODE],0),)</f>
        <v>MONIR AHMED</v>
      </c>
      <c r="F712" s="46" t="s">
        <v>125</v>
      </c>
      <c r="G712" s="46">
        <f>COUNTIF(SIP[[#Headers],[Investor ID]]:SIP[[#This Row],[Investor ID]],SIP[[#This Row],[Investor ID]])</f>
        <v>16</v>
      </c>
      <c r="H712" s="46" t="str">
        <f>CONCATENATE(SIP[[#This Row],[Frequency]],SIP[[#This Row],[Investor ID]])</f>
        <v>16A00039</v>
      </c>
      <c r="I712" s="46" t="str">
        <f>IF(SIP[[#This Row],[B/S]]="B","BUY",(IF(SIP[[#This Row],[B/S]]="S","SELL"," ")))</f>
        <v>BUY</v>
      </c>
      <c r="J712" s="150" t="s">
        <v>1229</v>
      </c>
      <c r="K712" s="152">
        <v>5000</v>
      </c>
      <c r="L712" s="122"/>
      <c r="M712" s="123">
        <f>SIP[[#This Row],[Amount]]/SIP[[#This Row],[Unit]]</f>
        <v>11.415525114155251</v>
      </c>
      <c r="N712" s="71">
        <f>SIP[[#This Row],[Unit Capital]]/10</f>
        <v>438</v>
      </c>
      <c r="O712" s="71">
        <f>SUMIFS(SIP[[#Headers],[Unit]]:SIP[[#This Row],[Unit]],SIP[[#Headers],[Investor ID]]:SIP[[#This Row],[Investor ID]],SIP[[#This Row],[Investor ID]])</f>
        <v>5049</v>
      </c>
      <c r="P712" s="153">
        <v>4380</v>
      </c>
      <c r="Q712" s="74">
        <f>SIP[[#This Row],[Amount]]-SIP[[#This Row],[Unit Capital]]</f>
        <v>620</v>
      </c>
      <c r="R7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10.893246187363834</v>
      </c>
      <c r="S712" s="68">
        <f t="shared" si="31"/>
        <v>14.224</v>
      </c>
      <c r="T7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2" s="74" cm="1">
        <f t="array" ref="U712">IF(SIP[[#This Row],[B/S]]="S",ABS(SIP[[#This Row],[Unit]])*(INDEX(SIP[NAV at Cost (Average)],MATCH(CONCATENATE((SIP[[#This Row],[Frequency]]-1),SIP[[#This Row],[Investor ID]]),SIP[Unique Code],0),0)),0)</f>
        <v>0</v>
      </c>
      <c r="V712" s="74">
        <f>IF(SIP[[#This Row],[BO TRANSFER]]="YES",SIP[[#This Row],[Unit]],)</f>
        <v>0</v>
      </c>
      <c r="W712" s="74">
        <f>SUMIFS(SIP[[#Headers],[BO UNIT TRANSFER]]:SIP[[#This Row],[BO UNIT TRANSFER]],SIP[[#Headers],[Investor ID]]:SIP[[#This Row],[Investor ID]],SIP[[#This Row],[Investor ID]])</f>
        <v>0</v>
      </c>
    </row>
    <row r="713" spans="1:23" ht="15" customHeight="1">
      <c r="A713" s="46">
        <v>2024</v>
      </c>
      <c r="B713" s="46">
        <v>9</v>
      </c>
      <c r="C713" s="46">
        <v>5</v>
      </c>
      <c r="D713" s="65">
        <f>DATE(SIP[[#This Row],[Year]],SIP[[#This Row],[Month]],SIP[[#This Row],[Day]])</f>
        <v>45540</v>
      </c>
      <c r="E713" s="66" t="str" cm="1">
        <f t="array" ref="E713">INDEX(INVESTORS_LIST[INVESTOR NAME],MATCH(SIP[[#This Row],[Investor ID]],INVESTORS_LIST[INVESTOR CODE],0),)</f>
        <v>FAKARUDDIN ALI AHMED</v>
      </c>
      <c r="F713" s="46" t="s">
        <v>228</v>
      </c>
      <c r="G713" s="46">
        <f>COUNTIF(SIP[[#Headers],[Investor ID]]:SIP[[#This Row],[Investor ID]],SIP[[#This Row],[Investor ID]])</f>
        <v>17</v>
      </c>
      <c r="H713" s="46" t="str">
        <f>CONCATENATE(SIP[[#This Row],[Frequency]],SIP[[#This Row],[Investor ID]])</f>
        <v>17A00090</v>
      </c>
      <c r="I713" s="46" t="str">
        <f>IF(SIP[[#This Row],[B/S]]="B","BUY",(IF(SIP[[#This Row],[B/S]]="S","SELL"," ")))</f>
        <v>BUY</v>
      </c>
      <c r="J713" s="150" t="s">
        <v>1229</v>
      </c>
      <c r="K713" s="152">
        <v>10000</v>
      </c>
      <c r="L713" s="122"/>
      <c r="M713" s="123">
        <f>SIP[[#This Row],[Amount]]/SIP[[#This Row],[Unit]]</f>
        <v>11.415525114155251</v>
      </c>
      <c r="N713" s="71">
        <f>SIP[[#This Row],[Unit Capital]]/10</f>
        <v>876</v>
      </c>
      <c r="O713" s="71">
        <f>SUMIFS(SIP[[#Headers],[Unit]]:SIP[[#This Row],[Unit]],SIP[[#Headers],[Investor ID]]:SIP[[#This Row],[Investor ID]],SIP[[#This Row],[Investor ID]])</f>
        <v>6385</v>
      </c>
      <c r="P713" s="153">
        <v>8760</v>
      </c>
      <c r="Q713" s="74">
        <f>SIP[[#This Row],[Amount]]-SIP[[#This Row],[Unit Capital]]</f>
        <v>1240</v>
      </c>
      <c r="R7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11.100545204710333</v>
      </c>
      <c r="S713" s="68">
        <f t="shared" si="31"/>
        <v>14.224</v>
      </c>
      <c r="T7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3" s="74" cm="1">
        <f t="array" ref="U713">IF(SIP[[#This Row],[B/S]]="S",ABS(SIP[[#This Row],[Unit]])*(INDEX(SIP[NAV at Cost (Average)],MATCH(CONCATENATE((SIP[[#This Row],[Frequency]]-1),SIP[[#This Row],[Investor ID]]),SIP[Unique Code],0),0)),0)</f>
        <v>0</v>
      </c>
      <c r="V713" s="74">
        <f>IF(SIP[[#This Row],[BO TRANSFER]]="YES",SIP[[#This Row],[Unit]],)</f>
        <v>0</v>
      </c>
      <c r="W713" s="74">
        <f>SUMIFS(SIP[[#Headers],[BO UNIT TRANSFER]]:SIP[[#This Row],[BO UNIT TRANSFER]],SIP[[#Headers],[Investor ID]]:SIP[[#This Row],[Investor ID]],SIP[[#This Row],[Investor ID]])</f>
        <v>0</v>
      </c>
    </row>
    <row r="714" spans="1:23" ht="15" customHeight="1">
      <c r="A714" s="46">
        <v>2024</v>
      </c>
      <c r="B714" s="46">
        <v>9</v>
      </c>
      <c r="C714" s="46">
        <v>5</v>
      </c>
      <c r="D714" s="65">
        <f>DATE(SIP[[#This Row],[Year]],SIP[[#This Row],[Month]],SIP[[#This Row],[Day]])</f>
        <v>45540</v>
      </c>
      <c r="E714" s="66" t="str" cm="1">
        <f t="array" ref="E714">INDEX(INVESTORS_LIST[INVESTOR NAME],MATCH(SIP[[#This Row],[Investor ID]],INVESTORS_LIST[INVESTOR CODE],0),)</f>
        <v>NANI GOPAL DATTA</v>
      </c>
      <c r="F714" s="46" t="s">
        <v>232</v>
      </c>
      <c r="G714" s="46">
        <f>COUNTIF(SIP[[#Headers],[Investor ID]]:SIP[[#This Row],[Investor ID]],SIP[[#This Row],[Investor ID]])</f>
        <v>10</v>
      </c>
      <c r="H714" s="46" t="str">
        <f>CONCATENATE(SIP[[#This Row],[Frequency]],SIP[[#This Row],[Investor ID]])</f>
        <v>10A00092</v>
      </c>
      <c r="I714" s="46" t="str">
        <f>IF(SIP[[#This Row],[B/S]]="B","BUY",(IF(SIP[[#This Row],[B/S]]="S","SELL"," ")))</f>
        <v>BUY</v>
      </c>
      <c r="J714" s="150" t="s">
        <v>1229</v>
      </c>
      <c r="K714" s="152">
        <v>2000</v>
      </c>
      <c r="L714" s="122"/>
      <c r="M714" s="123">
        <f>SIP[[#This Row],[Amount]]/SIP[[#This Row],[Unit]]</f>
        <v>11.428571428571429</v>
      </c>
      <c r="N714" s="71">
        <f>SIP[[#This Row],[Unit Capital]]/10</f>
        <v>175</v>
      </c>
      <c r="O714" s="71">
        <f>SUMIFS(SIP[[#Headers],[Unit]]:SIP[[#This Row],[Unit]],SIP[[#Headers],[Investor ID]]:SIP[[#This Row],[Investor ID]],SIP[[#This Row],[Investor ID]])</f>
        <v>1830</v>
      </c>
      <c r="P714" s="153">
        <v>1750</v>
      </c>
      <c r="Q714" s="74">
        <f>SIP[[#This Row],[Amount]]-SIP[[#This Row],[Unit Capital]]</f>
        <v>250</v>
      </c>
      <c r="R7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10.928961748633883</v>
      </c>
      <c r="S714" s="68">
        <f t="shared" si="31"/>
        <v>14.224</v>
      </c>
      <c r="T7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4" s="74" cm="1">
        <f t="array" ref="U714">IF(SIP[[#This Row],[B/S]]="S",ABS(SIP[[#This Row],[Unit]])*(INDEX(SIP[NAV at Cost (Average)],MATCH(CONCATENATE((SIP[[#This Row],[Frequency]]-1),SIP[[#This Row],[Investor ID]]),SIP[Unique Code],0),0)),0)</f>
        <v>0</v>
      </c>
      <c r="V714" s="74">
        <f>IF(SIP[[#This Row],[BO TRANSFER]]="YES",SIP[[#This Row],[Unit]],)</f>
        <v>0</v>
      </c>
      <c r="W714" s="74">
        <f>SUMIFS(SIP[[#Headers],[BO UNIT TRANSFER]]:SIP[[#This Row],[BO UNIT TRANSFER]],SIP[[#Headers],[Investor ID]]:SIP[[#This Row],[Investor ID]],SIP[[#This Row],[Investor ID]])</f>
        <v>0</v>
      </c>
    </row>
    <row r="715" spans="1:23" ht="15" customHeight="1">
      <c r="A715" s="46">
        <v>2024</v>
      </c>
      <c r="B715" s="46">
        <v>9</v>
      </c>
      <c r="C715" s="46">
        <v>5</v>
      </c>
      <c r="D715" s="65">
        <f>DATE(SIP[[#This Row],[Year]],SIP[[#This Row],[Month]],SIP[[#This Row],[Day]])</f>
        <v>45540</v>
      </c>
      <c r="E715" s="66" t="str" cm="1">
        <f t="array" ref="E715">INDEX(INVESTORS_LIST[INVESTOR NAME],MATCH(SIP[[#This Row],[Investor ID]],INVESTORS_LIST[INVESTOR CODE],0),)</f>
        <v>SABRIA ISLAM TALUKDER</v>
      </c>
      <c r="F715" s="46" t="s">
        <v>409</v>
      </c>
      <c r="G715" s="46">
        <f>COUNTIF(SIP[[#Headers],[Investor ID]]:SIP[[#This Row],[Investor ID]],SIP[[#This Row],[Investor ID]])</f>
        <v>13</v>
      </c>
      <c r="H715" s="46" t="str">
        <f>CONCATENATE(SIP[[#This Row],[Frequency]],SIP[[#This Row],[Investor ID]])</f>
        <v>13A00180</v>
      </c>
      <c r="I715" s="46" t="str">
        <f>IF(SIP[[#This Row],[B/S]]="B","BUY",(IF(SIP[[#This Row],[B/S]]="S","SELL"," ")))</f>
        <v>BUY</v>
      </c>
      <c r="J715" s="150" t="s">
        <v>1229</v>
      </c>
      <c r="K715" s="152">
        <v>5000</v>
      </c>
      <c r="L715" s="122"/>
      <c r="M715" s="123">
        <f>SIP[[#This Row],[Amount]]/SIP[[#This Row],[Unit]]</f>
        <v>11.415525114155251</v>
      </c>
      <c r="N715" s="71">
        <f>SIP[[#This Row],[Unit Capital]]/10</f>
        <v>438</v>
      </c>
      <c r="O715" s="71">
        <f>SUMIFS(SIP[[#Headers],[Unit]]:SIP[[#This Row],[Unit]],SIP[[#Headers],[Investor ID]]:SIP[[#This Row],[Investor ID]],SIP[[#This Row],[Investor ID]])</f>
        <v>5982</v>
      </c>
      <c r="P715" s="153">
        <v>4380</v>
      </c>
      <c r="Q715" s="74">
        <f>SIP[[#This Row],[Amount]]-SIP[[#This Row],[Unit Capital]]</f>
        <v>620</v>
      </c>
      <c r="R7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10.865931126713471</v>
      </c>
      <c r="S715" s="68">
        <f t="shared" si="31"/>
        <v>14.224</v>
      </c>
      <c r="T7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5" s="74" cm="1">
        <f t="array" ref="U715">IF(SIP[[#This Row],[B/S]]="S",ABS(SIP[[#This Row],[Unit]])*(INDEX(SIP[NAV at Cost (Average)],MATCH(CONCATENATE((SIP[[#This Row],[Frequency]]-1),SIP[[#This Row],[Investor ID]]),SIP[Unique Code],0),0)),0)</f>
        <v>0</v>
      </c>
      <c r="V715" s="74">
        <f>IF(SIP[[#This Row],[BO TRANSFER]]="YES",SIP[[#This Row],[Unit]],)</f>
        <v>0</v>
      </c>
      <c r="W715" s="74">
        <f>SUMIFS(SIP[[#Headers],[BO UNIT TRANSFER]]:SIP[[#This Row],[BO UNIT TRANSFER]],SIP[[#Headers],[Investor ID]]:SIP[[#This Row],[Investor ID]],SIP[[#This Row],[Investor ID]])</f>
        <v>0</v>
      </c>
    </row>
    <row r="716" spans="1:23" ht="15" customHeight="1">
      <c r="A716" s="46">
        <v>2024</v>
      </c>
      <c r="B716" s="46">
        <v>9</v>
      </c>
      <c r="C716" s="46">
        <v>5</v>
      </c>
      <c r="D716" s="65">
        <f>DATE(SIP[[#This Row],[Year]],SIP[[#This Row],[Month]],SIP[[#This Row],[Day]])</f>
        <v>45540</v>
      </c>
      <c r="E716" s="66" t="str" cm="1">
        <f t="array" ref="E716">INDEX(INVESTORS_LIST[INVESTOR NAME],MATCH(SIP[[#This Row],[Investor ID]],INVESTORS_LIST[INVESTOR CODE],0),)</f>
        <v>BIJOY CHANDRA DAS</v>
      </c>
      <c r="F716" s="46" t="s">
        <v>497</v>
      </c>
      <c r="G716" s="46">
        <f>COUNTIF(SIP[[#Headers],[Investor ID]]:SIP[[#This Row],[Investor ID]],SIP[[#This Row],[Investor ID]])</f>
        <v>6</v>
      </c>
      <c r="H716" s="46" t="str">
        <f>CONCATENATE(SIP[[#This Row],[Frequency]],SIP[[#This Row],[Investor ID]])</f>
        <v>6A00224</v>
      </c>
      <c r="I716" s="46" t="str">
        <f>IF(SIP[[#This Row],[B/S]]="B","BUY",(IF(SIP[[#This Row],[B/S]]="S","SELL"," ")))</f>
        <v>BUY</v>
      </c>
      <c r="J716" s="150" t="s">
        <v>1229</v>
      </c>
      <c r="K716" s="152">
        <v>5000</v>
      </c>
      <c r="L716" s="122"/>
      <c r="M716" s="123">
        <f>SIP[[#This Row],[Amount]]/SIP[[#This Row],[Unit]]</f>
        <v>11.415525114155251</v>
      </c>
      <c r="N716" s="71">
        <f>SIP[[#This Row],[Unit Capital]]/10</f>
        <v>438</v>
      </c>
      <c r="O716" s="71">
        <f>SUMIFS(SIP[[#Headers],[Unit]]:SIP[[#This Row],[Unit]],SIP[[#Headers],[Investor ID]]:SIP[[#This Row],[Investor ID]],SIP[[#This Row],[Investor ID]])</f>
        <v>2690</v>
      </c>
      <c r="P716" s="153">
        <v>4380</v>
      </c>
      <c r="Q716" s="74">
        <f>SIP[[#This Row],[Amount]]-SIP[[#This Row],[Unit Capital]]</f>
        <v>620</v>
      </c>
      <c r="R7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11.152416356877325</v>
      </c>
      <c r="S716" s="68">
        <f t="shared" si="31"/>
        <v>14.224</v>
      </c>
      <c r="T7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6" s="74" cm="1">
        <f t="array" ref="U716">IF(SIP[[#This Row],[B/S]]="S",ABS(SIP[[#This Row],[Unit]])*(INDEX(SIP[NAV at Cost (Average)],MATCH(CONCATENATE((SIP[[#This Row],[Frequency]]-1),SIP[[#This Row],[Investor ID]]),SIP[Unique Code],0),0)),0)</f>
        <v>0</v>
      </c>
      <c r="V716" s="74">
        <f>IF(SIP[[#This Row],[BO TRANSFER]]="YES",SIP[[#This Row],[Unit]],)</f>
        <v>0</v>
      </c>
      <c r="W716" s="74">
        <f>SUMIFS(SIP[[#Headers],[BO UNIT TRANSFER]]:SIP[[#This Row],[BO UNIT TRANSFER]],SIP[[#Headers],[Investor ID]]:SIP[[#This Row],[Investor ID]],SIP[[#This Row],[Investor ID]])</f>
        <v>0</v>
      </c>
    </row>
    <row r="717" spans="1:23" ht="15" customHeight="1">
      <c r="A717" s="46">
        <v>2024</v>
      </c>
      <c r="B717" s="46">
        <v>9</v>
      </c>
      <c r="C717" s="46">
        <v>5</v>
      </c>
      <c r="D717" s="65">
        <f>DATE(SIP[[#This Row],[Year]],SIP[[#This Row],[Month]],SIP[[#This Row],[Day]])</f>
        <v>45540</v>
      </c>
      <c r="E717" s="66" t="str" cm="1">
        <f t="array" ref="E717">INDEX(INVESTORS_LIST[INVESTOR NAME],MATCH(SIP[[#This Row],[Investor ID]],INVESTORS_LIST[INVESTOR CODE],0),)</f>
        <v>AHMED BIN MONSUR</v>
      </c>
      <c r="F717" s="46" t="s">
        <v>692</v>
      </c>
      <c r="G717" s="46">
        <f>COUNTIF(SIP[[#Headers],[Investor ID]]:SIP[[#This Row],[Investor ID]],SIP[[#This Row],[Investor ID]])</f>
        <v>4</v>
      </c>
      <c r="H717" s="46" t="str">
        <f>CONCATENATE(SIP[[#This Row],[Frequency]],SIP[[#This Row],[Investor ID]])</f>
        <v>4A00322</v>
      </c>
      <c r="I717" s="46" t="str">
        <f>IF(SIP[[#This Row],[B/S]]="B","BUY",(IF(SIP[[#This Row],[B/S]]="S","SELL"," ")))</f>
        <v>BUY</v>
      </c>
      <c r="J717" s="150" t="s">
        <v>1229</v>
      </c>
      <c r="K717" s="152">
        <v>20000</v>
      </c>
      <c r="L717" s="122"/>
      <c r="M717" s="123">
        <f>SIP[[#This Row],[Amount]]/SIP[[#This Row],[Unit]]</f>
        <v>11.409013120365088</v>
      </c>
      <c r="N717" s="71">
        <f>SIP[[#This Row],[Unit Capital]]/10</f>
        <v>1753</v>
      </c>
      <c r="O717" s="71">
        <f>SUMIFS(SIP[[#Headers],[Unit]]:SIP[[#This Row],[Unit]],SIP[[#Headers],[Investor ID]]:SIP[[#This Row],[Investor ID]],SIP[[#This Row],[Investor ID]])</f>
        <v>7116</v>
      </c>
      <c r="P717" s="153">
        <v>17530</v>
      </c>
      <c r="Q717" s="74">
        <f>SIP[[#This Row],[Amount]]-SIP[[#This Row],[Unit Capital]]</f>
        <v>2470</v>
      </c>
      <c r="R7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11.242270938729623</v>
      </c>
      <c r="S717" s="68">
        <f t="shared" si="31"/>
        <v>14.224</v>
      </c>
      <c r="T7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7" s="74" cm="1">
        <f t="array" ref="U717">IF(SIP[[#This Row],[B/S]]="S",ABS(SIP[[#This Row],[Unit]])*(INDEX(SIP[NAV at Cost (Average)],MATCH(CONCATENATE((SIP[[#This Row],[Frequency]]-1),SIP[[#This Row],[Investor ID]]),SIP[Unique Code],0),0)),0)</f>
        <v>0</v>
      </c>
      <c r="V717" s="74">
        <f>IF(SIP[[#This Row],[BO TRANSFER]]="YES",SIP[[#This Row],[Unit]],)</f>
        <v>0</v>
      </c>
      <c r="W717" s="74">
        <f>SUMIFS(SIP[[#Headers],[BO UNIT TRANSFER]]:SIP[[#This Row],[BO UNIT TRANSFER]],SIP[[#Headers],[Investor ID]]:SIP[[#This Row],[Investor ID]],SIP[[#This Row],[Investor ID]])</f>
        <v>0</v>
      </c>
    </row>
    <row r="718" spans="1:23" ht="15" customHeight="1">
      <c r="A718" s="46">
        <v>2024</v>
      </c>
      <c r="B718" s="46">
        <v>9</v>
      </c>
      <c r="C718" s="46">
        <v>5</v>
      </c>
      <c r="D718" s="65">
        <f>DATE(SIP[[#This Row],[Year]],SIP[[#This Row],[Month]],SIP[[#This Row],[Day]])</f>
        <v>45540</v>
      </c>
      <c r="E718" s="66" t="str" cm="1">
        <f t="array" ref="E718">INDEX(INVESTORS_LIST[INVESTOR NAME],MATCH(SIP[[#This Row],[Investor ID]],INVESTORS_LIST[INVESTOR CODE],0),)</f>
        <v>SHUVA SAHA</v>
      </c>
      <c r="F718" s="46" t="s">
        <v>154</v>
      </c>
      <c r="G718" s="46">
        <f>COUNTIF(SIP[[#Headers],[Investor ID]]:SIP[[#This Row],[Investor ID]],SIP[[#This Row],[Investor ID]])</f>
        <v>17</v>
      </c>
      <c r="H718" s="46" t="str">
        <f>CONCATENATE(SIP[[#This Row],[Frequency]],SIP[[#This Row],[Investor ID]])</f>
        <v>17A00053</v>
      </c>
      <c r="I718" s="46" t="str">
        <f>IF(SIP[[#This Row],[B/S]]="B","BUY",(IF(SIP[[#This Row],[B/S]]="S","SELL"," ")))</f>
        <v>BUY</v>
      </c>
      <c r="J718" s="150" t="s">
        <v>1229</v>
      </c>
      <c r="K718" s="152">
        <v>70000</v>
      </c>
      <c r="L718" s="69"/>
      <c r="M718" s="123">
        <f>SIP[[#This Row],[Amount]]/SIP[[#This Row],[Unit]]</f>
        <v>11.409942950285249</v>
      </c>
      <c r="N718" s="71">
        <f>SIP[[#This Row],[Unit Capital]]/10</f>
        <v>6135</v>
      </c>
      <c r="O718" s="71">
        <f>SUMIFS(SIP[[#Headers],[Unit]]:SIP[[#This Row],[Unit]],SIP[[#Headers],[Investor ID]]:SIP[[#This Row],[Investor ID]],SIP[[#This Row],[Investor ID]])</f>
        <v>98893</v>
      </c>
      <c r="P718" s="153">
        <v>61350</v>
      </c>
      <c r="Q718" s="74">
        <f>SIP[[#This Row],[Amount]]-SIP[[#This Row],[Unit Capital]]</f>
        <v>8650</v>
      </c>
      <c r="R7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10.631707406095209</v>
      </c>
      <c r="S718" s="68">
        <f t="shared" si="31"/>
        <v>14.224</v>
      </c>
      <c r="T7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8" s="74" cm="1">
        <f t="array" ref="U718">IF(SIP[[#This Row],[B/S]]="S",ABS(SIP[[#This Row],[Unit]])*(INDEX(SIP[NAV at Cost (Average)],MATCH(CONCATENATE((SIP[[#This Row],[Frequency]]-1),SIP[[#This Row],[Investor ID]]),SIP[Unique Code],0),0)),0)</f>
        <v>0</v>
      </c>
      <c r="V718" s="74">
        <f>IF(SIP[[#This Row],[BO TRANSFER]]="YES",SIP[[#This Row],[Unit]],)</f>
        <v>0</v>
      </c>
      <c r="W718" s="74">
        <f>SUMIFS(SIP[[#Headers],[BO UNIT TRANSFER]]:SIP[[#This Row],[BO UNIT TRANSFER]],SIP[[#Headers],[Investor ID]]:SIP[[#This Row],[Investor ID]],SIP[[#This Row],[Investor ID]])</f>
        <v>0</v>
      </c>
    </row>
    <row r="719" spans="1:23" ht="15" customHeight="1">
      <c r="A719" s="46">
        <v>2024</v>
      </c>
      <c r="B719" s="46">
        <v>9</v>
      </c>
      <c r="C719" s="46">
        <v>5</v>
      </c>
      <c r="D719" s="65">
        <f>DATE(SIP[[#This Row],[Year]],SIP[[#This Row],[Month]],SIP[[#This Row],[Day]])</f>
        <v>45540</v>
      </c>
      <c r="E719" s="66" t="str" cm="1">
        <f t="array" ref="E719">INDEX(INVESTORS_LIST[INVESTOR NAME],MATCH(SIP[[#This Row],[Investor ID]],INVESTORS_LIST[INVESTOR CODE],0),)</f>
        <v>FAIYEAD AHMEDUL HYE</v>
      </c>
      <c r="F719" s="46" t="s">
        <v>368</v>
      </c>
      <c r="G719" s="46">
        <f>COUNTIF(SIP[[#Headers],[Investor ID]]:SIP[[#This Row],[Investor ID]],SIP[[#This Row],[Investor ID]])</f>
        <v>16</v>
      </c>
      <c r="H719" s="46" t="str">
        <f>CONCATENATE(SIP[[#This Row],[Frequency]],SIP[[#This Row],[Investor ID]])</f>
        <v>16A00160</v>
      </c>
      <c r="I719" s="46" t="str">
        <f>IF(SIP[[#This Row],[B/S]]="B","BUY",(IF(SIP[[#This Row],[B/S]]="S","SELL"," ")))</f>
        <v>BUY</v>
      </c>
      <c r="J719" s="150" t="s">
        <v>1229</v>
      </c>
      <c r="K719" s="152">
        <v>15000</v>
      </c>
      <c r="L719" s="122"/>
      <c r="M719" s="123">
        <f>SIP[[#This Row],[Amount]]/SIP[[#This Row],[Unit]]</f>
        <v>11.406844106463879</v>
      </c>
      <c r="N719" s="71">
        <f>SIP[[#This Row],[Unit Capital]]/10</f>
        <v>1315</v>
      </c>
      <c r="O719" s="71">
        <f>SUMIFS(SIP[[#Headers],[Unit]]:SIP[[#This Row],[Unit]],SIP[[#Headers],[Investor ID]]:SIP[[#This Row],[Investor ID]],SIP[[#This Row],[Investor ID]])</f>
        <v>22325</v>
      </c>
      <c r="P719" s="153">
        <v>13150</v>
      </c>
      <c r="Q719" s="74">
        <f>SIP[[#This Row],[Amount]]-SIP[[#This Row],[Unit Capital]]</f>
        <v>1850</v>
      </c>
      <c r="R7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10.750279955207166</v>
      </c>
      <c r="S719" s="68">
        <f t="shared" si="31"/>
        <v>14.224</v>
      </c>
      <c r="T7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9" s="74" cm="1">
        <f t="array" ref="U719">IF(SIP[[#This Row],[B/S]]="S",ABS(SIP[[#This Row],[Unit]])*(INDEX(SIP[NAV at Cost (Average)],MATCH(CONCATENATE((SIP[[#This Row],[Frequency]]-1),SIP[[#This Row],[Investor ID]]),SIP[Unique Code],0),0)),0)</f>
        <v>0</v>
      </c>
      <c r="V719" s="74">
        <f>IF(SIP[[#This Row],[BO TRANSFER]]="YES",SIP[[#This Row],[Unit]],)</f>
        <v>0</v>
      </c>
      <c r="W719" s="74">
        <f>SUMIFS(SIP[[#Headers],[BO UNIT TRANSFER]]:SIP[[#This Row],[BO UNIT TRANSFER]],SIP[[#Headers],[Investor ID]]:SIP[[#This Row],[Investor ID]],SIP[[#This Row],[Investor ID]])</f>
        <v>0</v>
      </c>
    </row>
    <row r="720" spans="1:23" ht="15" customHeight="1">
      <c r="A720" s="46">
        <v>2024</v>
      </c>
      <c r="B720" s="46">
        <v>9</v>
      </c>
      <c r="C720" s="46">
        <v>5</v>
      </c>
      <c r="D720" s="65">
        <f>DATE(SIP[[#This Row],[Year]],SIP[[#This Row],[Month]],SIP[[#This Row],[Day]])</f>
        <v>45540</v>
      </c>
      <c r="E720" s="66" t="str" cm="1">
        <f t="array" ref="E720">INDEX(INVESTORS_LIST[INVESTOR NAME],MATCH(SIP[[#This Row],[Investor ID]],INVESTORS_LIST[INVESTOR CODE],0),)</f>
        <v>CHAONIKA SAHA</v>
      </c>
      <c r="F720" s="46" t="s">
        <v>238</v>
      </c>
      <c r="G720" s="46">
        <f>COUNTIF(SIP[[#Headers],[Investor ID]]:SIP[[#This Row],[Investor ID]],SIP[[#This Row],[Investor ID]])</f>
        <v>13</v>
      </c>
      <c r="H720" s="46" t="str">
        <f>CONCATENATE(SIP[[#This Row],[Frequency]],SIP[[#This Row],[Investor ID]])</f>
        <v>13A00095</v>
      </c>
      <c r="I720" s="46" t="str">
        <f>IF(SIP[[#This Row],[B/S]]="B","BUY",(IF(SIP[[#This Row],[B/S]]="S","SELL"," ")))</f>
        <v>BUY</v>
      </c>
      <c r="J720" s="150" t="s">
        <v>1229</v>
      </c>
      <c r="K720" s="152">
        <v>1000</v>
      </c>
      <c r="L720" s="122"/>
      <c r="M720" s="123">
        <f>SIP[[#This Row],[Amount]]/SIP[[#This Row],[Unit]]</f>
        <v>11.363636363636363</v>
      </c>
      <c r="N720" s="71">
        <f>SIP[[#This Row],[Unit Capital]]/10</f>
        <v>88</v>
      </c>
      <c r="O720" s="71">
        <f>SUMIFS(SIP[[#Headers],[Unit]]:SIP[[#This Row],[Unit]],SIP[[#Headers],[Investor ID]]:SIP[[#This Row],[Investor ID]],SIP[[#This Row],[Investor ID]])</f>
        <v>1197</v>
      </c>
      <c r="P720" s="153">
        <v>880</v>
      </c>
      <c r="Q720" s="74">
        <f>SIP[[#This Row],[Amount]]-SIP[[#This Row],[Unit Capital]]</f>
        <v>120</v>
      </c>
      <c r="R7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10.860484544695071</v>
      </c>
      <c r="S720" s="68">
        <f t="shared" si="31"/>
        <v>14.224</v>
      </c>
      <c r="T7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0" s="74" cm="1">
        <f t="array" ref="U720">IF(SIP[[#This Row],[B/S]]="S",ABS(SIP[[#This Row],[Unit]])*(INDEX(SIP[NAV at Cost (Average)],MATCH(CONCATENATE((SIP[[#This Row],[Frequency]]-1),SIP[[#This Row],[Investor ID]]),SIP[Unique Code],0),0)),0)</f>
        <v>0</v>
      </c>
      <c r="V720" s="74">
        <f>IF(SIP[[#This Row],[BO TRANSFER]]="YES",SIP[[#This Row],[Unit]],)</f>
        <v>0</v>
      </c>
      <c r="W720" s="74">
        <f>SUMIFS(SIP[[#Headers],[BO UNIT TRANSFER]]:SIP[[#This Row],[BO UNIT TRANSFER]],SIP[[#Headers],[Investor ID]]:SIP[[#This Row],[Investor ID]],SIP[[#This Row],[Investor ID]])</f>
        <v>0</v>
      </c>
    </row>
    <row r="721" spans="1:23" ht="15" customHeight="1">
      <c r="A721" s="46">
        <v>2024</v>
      </c>
      <c r="B721" s="46">
        <v>9</v>
      </c>
      <c r="C721" s="46">
        <v>5</v>
      </c>
      <c r="D721" s="65">
        <f>DATE(SIP[[#This Row],[Year]],SIP[[#This Row],[Month]],SIP[[#This Row],[Day]])</f>
        <v>45540</v>
      </c>
      <c r="E721" s="66" t="str" cm="1">
        <f t="array" ref="E721">INDEX(INVESTORS_LIST[INVESTOR NAME],MATCH(SIP[[#This Row],[Investor ID]],INVESTORS_LIST[INVESTOR CODE],0),)</f>
        <v>SK FEROZ ALAM</v>
      </c>
      <c r="F721" s="46" t="s">
        <v>240</v>
      </c>
      <c r="G721" s="46">
        <f>COUNTIF(SIP[[#Headers],[Investor ID]]:SIP[[#This Row],[Investor ID]],SIP[[#This Row],[Investor ID]])</f>
        <v>12</v>
      </c>
      <c r="H721" s="46" t="str">
        <f>CONCATENATE(SIP[[#This Row],[Frequency]],SIP[[#This Row],[Investor ID]])</f>
        <v>12A00096</v>
      </c>
      <c r="I721" s="46" t="str">
        <f>IF(SIP[[#This Row],[B/S]]="B","BUY",(IF(SIP[[#This Row],[B/S]]="S","SELL"," ")))</f>
        <v>BUY</v>
      </c>
      <c r="J721" s="150" t="s">
        <v>1229</v>
      </c>
      <c r="K721" s="152">
        <v>2000</v>
      </c>
      <c r="L721" s="122"/>
      <c r="M721" s="123">
        <f>SIP[[#This Row],[Amount]]/SIP[[#This Row],[Unit]]</f>
        <v>11.428571428571429</v>
      </c>
      <c r="N721" s="71">
        <f>SIP[[#This Row],[Unit Capital]]/10</f>
        <v>175</v>
      </c>
      <c r="O721" s="71">
        <f>SUMIFS(SIP[[#Headers],[Unit]]:SIP[[#This Row],[Unit]],SIP[[#Headers],[Investor ID]]:SIP[[#This Row],[Investor ID]],SIP[[#This Row],[Investor ID]])</f>
        <v>711</v>
      </c>
      <c r="P721" s="153">
        <v>1750</v>
      </c>
      <c r="Q721" s="74">
        <f>SIP[[#This Row],[Amount]]-SIP[[#This Row],[Unit Capital]]</f>
        <v>250</v>
      </c>
      <c r="R7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11.251758087201125</v>
      </c>
      <c r="S721" s="68">
        <f t="shared" si="31"/>
        <v>14.224</v>
      </c>
      <c r="T7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1" s="74" cm="1">
        <f t="array" ref="U721">IF(SIP[[#This Row],[B/S]]="S",ABS(SIP[[#This Row],[Unit]])*(INDEX(SIP[NAV at Cost (Average)],MATCH(CONCATENATE((SIP[[#This Row],[Frequency]]-1),SIP[[#This Row],[Investor ID]]),SIP[Unique Code],0),0)),0)</f>
        <v>0</v>
      </c>
      <c r="V721" s="74">
        <f>IF(SIP[[#This Row],[BO TRANSFER]]="YES",SIP[[#This Row],[Unit]],)</f>
        <v>0</v>
      </c>
      <c r="W721" s="74">
        <f>SUMIFS(SIP[[#Headers],[BO UNIT TRANSFER]]:SIP[[#This Row],[BO UNIT TRANSFER]],SIP[[#Headers],[Investor ID]]:SIP[[#This Row],[Investor ID]],SIP[[#This Row],[Investor ID]])</f>
        <v>0</v>
      </c>
    </row>
    <row r="722" spans="1:23" ht="15" customHeight="1">
      <c r="A722" s="46">
        <v>2024</v>
      </c>
      <c r="B722" s="46">
        <v>9</v>
      </c>
      <c r="C722" s="46">
        <v>5</v>
      </c>
      <c r="D722" s="65">
        <f>DATE(SIP[[#This Row],[Year]],SIP[[#This Row],[Month]],SIP[[#This Row],[Day]])</f>
        <v>45540</v>
      </c>
      <c r="E722" s="66" t="str" cm="1">
        <f t="array" ref="E722">INDEX(INVESTORS_LIST[INVESTOR NAME],MATCH(SIP[[#This Row],[Investor ID]],INVESTORS_LIST[INVESTOR CODE],0),)</f>
        <v>KAZI AHSAN MARUF</v>
      </c>
      <c r="F722" s="46" t="s">
        <v>158</v>
      </c>
      <c r="G722" s="46">
        <f>COUNTIF(SIP[[#Headers],[Investor ID]]:SIP[[#This Row],[Investor ID]],SIP[[#This Row],[Investor ID]])</f>
        <v>17</v>
      </c>
      <c r="H722" s="46" t="str">
        <f>CONCATENATE(SIP[[#This Row],[Frequency]],SIP[[#This Row],[Investor ID]])</f>
        <v>17A00055</v>
      </c>
      <c r="I722" s="46" t="str">
        <f>IF(SIP[[#This Row],[B/S]]="B","BUY",(IF(SIP[[#This Row],[B/S]]="S","SELL"," ")))</f>
        <v>BUY</v>
      </c>
      <c r="J722" s="150" t="s">
        <v>1229</v>
      </c>
      <c r="K722" s="152">
        <v>10000</v>
      </c>
      <c r="L722" s="122"/>
      <c r="M722" s="123">
        <f>SIP[[#This Row],[Amount]]/SIP[[#This Row],[Unit]]</f>
        <v>11.415525114155251</v>
      </c>
      <c r="N722" s="71">
        <f>SIP[[#This Row],[Unit Capital]]/10</f>
        <v>876</v>
      </c>
      <c r="O722" s="71">
        <f>SUMIFS(SIP[[#Headers],[Unit]]:SIP[[#This Row],[Unit]],SIP[[#Headers],[Investor ID]]:SIP[[#This Row],[Investor ID]],SIP[[#This Row],[Investor ID]])</f>
        <v>35323</v>
      </c>
      <c r="P722" s="153">
        <v>8760</v>
      </c>
      <c r="Q722" s="74">
        <f>SIP[[#This Row],[Amount]]-SIP[[#This Row],[Unit Capital]]</f>
        <v>1240</v>
      </c>
      <c r="R7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10.474761486849927</v>
      </c>
      <c r="S722" s="68">
        <f t="shared" si="31"/>
        <v>14.224</v>
      </c>
      <c r="T7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2" s="74" cm="1">
        <f t="array" ref="U722">IF(SIP[[#This Row],[B/S]]="S",ABS(SIP[[#This Row],[Unit]])*(INDEX(SIP[NAV at Cost (Average)],MATCH(CONCATENATE((SIP[[#This Row],[Frequency]]-1),SIP[[#This Row],[Investor ID]]),SIP[Unique Code],0),0)),0)</f>
        <v>0</v>
      </c>
      <c r="V722" s="74">
        <f>IF(SIP[[#This Row],[BO TRANSFER]]="YES",SIP[[#This Row],[Unit]],)</f>
        <v>0</v>
      </c>
      <c r="W722" s="74">
        <f>SUMIFS(SIP[[#Headers],[BO UNIT TRANSFER]]:SIP[[#This Row],[BO UNIT TRANSFER]],SIP[[#Headers],[Investor ID]]:SIP[[#This Row],[Investor ID]],SIP[[#This Row],[Investor ID]])</f>
        <v>0</v>
      </c>
    </row>
    <row r="723" spans="1:23" ht="15" customHeight="1">
      <c r="A723" s="46">
        <v>2024</v>
      </c>
      <c r="B723" s="46">
        <v>9</v>
      </c>
      <c r="C723" s="46">
        <v>8</v>
      </c>
      <c r="D723" s="65">
        <f>DATE(SIP[[#This Row],[Year]],SIP[[#This Row],[Month]],SIP[[#This Row],[Day]])</f>
        <v>45543</v>
      </c>
      <c r="E723" s="66" t="str" cm="1">
        <f t="array" ref="E723">INDEX(INVESTORS_LIST[INVESTOR NAME],MATCH(SIP[[#This Row],[Investor ID]],INVESTORS_LIST[INVESTOR CODE],0),)</f>
        <v>NANI GOPAL DATTA</v>
      </c>
      <c r="F723" s="150" t="s">
        <v>232</v>
      </c>
      <c r="G723" s="46">
        <f>COUNTIF(SIP[[#Headers],[Investor ID]]:SIP[[#This Row],[Investor ID]],SIP[[#This Row],[Investor ID]])</f>
        <v>11</v>
      </c>
      <c r="H723" s="46" t="str">
        <f>CONCATENATE(SIP[[#This Row],[Frequency]],SIP[[#This Row],[Investor ID]])</f>
        <v>11A00092</v>
      </c>
      <c r="I723" s="46" t="str">
        <f>IF(SIP[[#This Row],[B/S]]="B","BUY",(IF(SIP[[#This Row],[B/S]]="S","SELL"," ")))</f>
        <v>SELL</v>
      </c>
      <c r="J723" s="150" t="s">
        <v>1231</v>
      </c>
      <c r="K723" s="152">
        <v>-2000</v>
      </c>
      <c r="L723" s="122"/>
      <c r="M723" s="123">
        <f>SIP[[#This Row],[Amount]]/SIP[[#This Row],[Unit]]</f>
        <v>11.428571428571429</v>
      </c>
      <c r="N723" s="71">
        <f>SIP[[#This Row],[Unit Capital]]/10</f>
        <v>-175</v>
      </c>
      <c r="O723" s="71">
        <f>SUMIFS(SIP[[#Headers],[Unit]]:SIP[[#This Row],[Unit]],SIP[[#Headers],[Investor ID]]:SIP[[#This Row],[Investor ID]],SIP[[#This Row],[Investor ID]])</f>
        <v>1655</v>
      </c>
      <c r="P723" s="153">
        <v>-1750</v>
      </c>
      <c r="Q723" s="74">
        <f>SIP[[#This Row],[Amount]]-SIP[[#This Row],[Unit Capital]]</f>
        <v>-250</v>
      </c>
      <c r="R7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10.928961748633883</v>
      </c>
      <c r="S723" s="68">
        <f t="shared" si="31"/>
        <v>14.224</v>
      </c>
      <c r="T723" s="74">
        <f>IF(SIP[[#This Row],[B/S]]="B",0,ABS(SIP[[#This Row],[Unit]])*(SIP[[#This Row],[NAV (Strike Rate)]]-INDEX(SIP[NAV at Cost (Average)],MATCH(CONCATENATE(SIP[[#This Row],[Frequency]]-1,SIP[[#This Row],[Investor ID]]),SIP[Unique Code],0),)))</f>
        <v>87.43169398907051</v>
      </c>
      <c r="U723" s="74" cm="1">
        <f t="array" ref="U723">IF(SIP[[#This Row],[B/S]]="S",ABS(SIP[[#This Row],[Unit]])*(INDEX(SIP[NAV at Cost (Average)],MATCH(CONCATENATE((SIP[[#This Row],[Frequency]]-1),SIP[[#This Row],[Investor ID]]),SIP[Unique Code],0),0)),0)</f>
        <v>1912.5683060109295</v>
      </c>
      <c r="V723" s="74">
        <f>IF(SIP[[#This Row],[BO TRANSFER]]="YES",SIP[[#This Row],[Unit]],)</f>
        <v>0</v>
      </c>
      <c r="W723" s="74">
        <f>SUMIFS(SIP[[#Headers],[BO UNIT TRANSFER]]:SIP[[#This Row],[BO UNIT TRANSFER]],SIP[[#Headers],[Investor ID]]:SIP[[#This Row],[Investor ID]],SIP[[#This Row],[Investor ID]])</f>
        <v>0</v>
      </c>
    </row>
    <row r="724" spans="1:23" ht="15" customHeight="1">
      <c r="A724" s="46">
        <v>2024</v>
      </c>
      <c r="B724" s="46">
        <v>9</v>
      </c>
      <c r="C724" s="46">
        <v>8</v>
      </c>
      <c r="D724" s="65">
        <f>DATE(SIP[[#This Row],[Year]],SIP[[#This Row],[Month]],SIP[[#This Row],[Day]])</f>
        <v>45543</v>
      </c>
      <c r="E724" s="66" t="str" cm="1">
        <f t="array" ref="E724">INDEX(INVESTORS_LIST[INVESTOR NAME],MATCH(SIP[[#This Row],[Investor ID]],INVESTORS_LIST[INVESTOR CODE],0),)</f>
        <v>FARUK-E AZAM BIN HAIDER</v>
      </c>
      <c r="F724" s="150" t="s">
        <v>425</v>
      </c>
      <c r="G724" s="46">
        <f>COUNTIF(SIP[[#Headers],[Investor ID]]:SIP[[#This Row],[Investor ID]],SIP[[#This Row],[Investor ID]])</f>
        <v>2</v>
      </c>
      <c r="H724" s="46" t="str">
        <f>CONCATENATE(SIP[[#This Row],[Frequency]],SIP[[#This Row],[Investor ID]])</f>
        <v>2A00188</v>
      </c>
      <c r="I724" s="46" t="str">
        <f>IF(SIP[[#This Row],[B/S]]="B","BUY",(IF(SIP[[#This Row],[B/S]]="S","SELL"," ")))</f>
        <v>SELL</v>
      </c>
      <c r="J724" s="150" t="s">
        <v>1231</v>
      </c>
      <c r="K724" s="152">
        <v>-10000</v>
      </c>
      <c r="L724" s="122"/>
      <c r="M724" s="123">
        <f>SIP[[#This Row],[Amount]]/SIP[[#This Row],[Unit]]</f>
        <v>11.415525114155251</v>
      </c>
      <c r="N724" s="71">
        <f>SIP[[#This Row],[Unit Capital]]/10</f>
        <v>-876</v>
      </c>
      <c r="O724" s="71">
        <f>SUMIFS(SIP[[#Headers],[Unit]]:SIP[[#This Row],[Unit]],SIP[[#Headers],[Investor ID]]:SIP[[#This Row],[Investor ID]],SIP[[#This Row],[Investor ID]])</f>
        <v>0</v>
      </c>
      <c r="P724" s="153">
        <v>-8760</v>
      </c>
      <c r="Q724" s="74">
        <f>SIP[[#This Row],[Amount]]-SIP[[#This Row],[Unit Capital]]</f>
        <v>-1240</v>
      </c>
      <c r="R7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724" s="68">
        <f t="shared" si="31"/>
        <v>14.224</v>
      </c>
      <c r="T7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4" s="74" cm="1">
        <f t="array" ref="U724">IF(SIP[[#This Row],[B/S]]="S",ABS(SIP[[#This Row],[Unit]])*(INDEX(SIP[NAV at Cost (Average)],MATCH(CONCATENATE((SIP[[#This Row],[Frequency]]-1),SIP[[#This Row],[Investor ID]]),SIP[Unique Code],0),0)),0)</f>
        <v>10000</v>
      </c>
      <c r="V724" s="74">
        <f>IF(SIP[[#This Row],[BO TRANSFER]]="YES",SIP[[#This Row],[Unit]],)</f>
        <v>0</v>
      </c>
      <c r="W724" s="74">
        <f>SUMIFS(SIP[[#Headers],[BO UNIT TRANSFER]]:SIP[[#This Row],[BO UNIT TRANSFER]],SIP[[#Headers],[Investor ID]]:SIP[[#This Row],[Investor ID]],SIP[[#This Row],[Investor ID]])</f>
        <v>0</v>
      </c>
    </row>
    <row r="725" spans="1:23" ht="15" customHeight="1">
      <c r="A725" s="46">
        <v>2024</v>
      </c>
      <c r="B725" s="46">
        <v>9</v>
      </c>
      <c r="C725" s="46">
        <v>11</v>
      </c>
      <c r="D725" s="65">
        <f>DATE(SIP[[#This Row],[Year]],SIP[[#This Row],[Month]],SIP[[#This Row],[Day]])</f>
        <v>45546</v>
      </c>
      <c r="E725" s="66" t="str" cm="1">
        <f t="array" ref="E725">INDEX(INVESTORS_LIST[INVESTOR NAME],MATCH(SIP[[#This Row],[Investor ID]],INVESTORS_LIST[INVESTOR CODE],0),)</f>
        <v>AKASH DEEP PAUL</v>
      </c>
      <c r="F725" s="46" t="s">
        <v>286</v>
      </c>
      <c r="G725" s="46">
        <f>COUNTIF(SIP[[#Headers],[Investor ID]]:SIP[[#This Row],[Investor ID]],SIP[[#This Row],[Investor ID]])</f>
        <v>16</v>
      </c>
      <c r="H725" s="46" t="str">
        <f>CONCATENATE(SIP[[#This Row],[Frequency]],SIP[[#This Row],[Investor ID]])</f>
        <v>16A00119</v>
      </c>
      <c r="I725" s="46" t="str">
        <f>IF(SIP[[#This Row],[B/S]]="B","BUY",(IF(SIP[[#This Row],[B/S]]="S","SELL"," ")))</f>
        <v>SELL</v>
      </c>
      <c r="J725" s="150" t="s">
        <v>1231</v>
      </c>
      <c r="K725" s="152">
        <v>-79493.47</v>
      </c>
      <c r="L725" s="122"/>
      <c r="M725" s="123">
        <f>SIP[[#This Row],[Amount]]/SIP[[#This Row],[Unit]]</f>
        <v>11.41</v>
      </c>
      <c r="N725" s="71">
        <f>SIP[[#This Row],[Unit Capital]]/10</f>
        <v>-6967</v>
      </c>
      <c r="O725" s="71">
        <f>SUMIFS(SIP[[#Headers],[Unit]]:SIP[[#This Row],[Unit]],SIP[[#Headers],[Investor ID]]:SIP[[#This Row],[Investor ID]],SIP[[#This Row],[Investor ID]])</f>
        <v>0</v>
      </c>
      <c r="P725" s="153">
        <v>-69670</v>
      </c>
      <c r="Q725" s="74">
        <f>SIP[[#This Row],[Amount]]-SIP[[#This Row],[Unit Capital]]</f>
        <v>-9823.4700000000012</v>
      </c>
      <c r="R7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725" s="68">
        <f t="shared" si="31"/>
        <v>14.224</v>
      </c>
      <c r="T725" s="74">
        <f>IF(SIP[[#This Row],[B/S]]="B",0,ABS(SIP[[#This Row],[Unit]])*(SIP[[#This Row],[NAV (Strike Rate)]]-INDEX(SIP[NAV at Cost (Average)],MATCH(CONCATENATE(SIP[[#This Row],[Frequency]]-1,SIP[[#This Row],[Investor ID]]),SIP[Unique Code],0),)))</f>
        <v>4493.4700000000075</v>
      </c>
      <c r="U725" s="74" cm="1">
        <f t="array" ref="U725">IF(SIP[[#This Row],[B/S]]="S",ABS(SIP[[#This Row],[Unit]])*(INDEX(SIP[NAV at Cost (Average)],MATCH(CONCATENATE((SIP[[#This Row],[Frequency]]-1),SIP[[#This Row],[Investor ID]]),SIP[Unique Code],0),0)),0)</f>
        <v>75000</v>
      </c>
      <c r="V725" s="74">
        <f>IF(SIP[[#This Row],[BO TRANSFER]]="YES",SIP[[#This Row],[Unit]],)</f>
        <v>0</v>
      </c>
      <c r="W725" s="74">
        <f>SUMIFS(SIP[[#Headers],[BO UNIT TRANSFER]]:SIP[[#This Row],[BO UNIT TRANSFER]],SIP[[#Headers],[Investor ID]]:SIP[[#This Row],[Investor ID]],SIP[[#This Row],[Investor ID]])</f>
        <v>0</v>
      </c>
    </row>
    <row r="726" spans="1:23" ht="15" customHeight="1">
      <c r="A726" s="46">
        <v>2024</v>
      </c>
      <c r="B726" s="46">
        <v>9</v>
      </c>
      <c r="C726" s="46">
        <v>15</v>
      </c>
      <c r="D726" s="65">
        <f>DATE(SIP[[#This Row],[Year]],SIP[[#This Row],[Month]],SIP[[#This Row],[Day]])</f>
        <v>45550</v>
      </c>
      <c r="E726" s="66" t="str" cm="1">
        <f t="array" ref="E726">INDEX(INVESTORS_LIST[INVESTOR NAME],MATCH(SIP[[#This Row],[Investor ID]],INVESTORS_LIST[INVESTOR CODE],0),)</f>
        <v>MD. RAFIQUR RAHMAN</v>
      </c>
      <c r="F726" s="46" t="s">
        <v>622</v>
      </c>
      <c r="G726" s="46">
        <f>COUNTIF(SIP[[#Headers],[Investor ID]]:SIP[[#This Row],[Investor ID]],SIP[[#This Row],[Investor ID]])</f>
        <v>13</v>
      </c>
      <c r="H726" s="46" t="str">
        <f>CONCATENATE(SIP[[#This Row],[Frequency]],SIP[[#This Row],[Investor ID]])</f>
        <v>13A00287</v>
      </c>
      <c r="I726" s="46" t="str">
        <f>IF(SIP[[#This Row],[B/S]]="B","BUY",(IF(SIP[[#This Row],[B/S]]="S","SELL"," ")))</f>
        <v>BUY</v>
      </c>
      <c r="J726" s="150" t="s">
        <v>1229</v>
      </c>
      <c r="K726" s="152">
        <v>20000</v>
      </c>
      <c r="L726" s="122"/>
      <c r="M726" s="123">
        <f>SIP[[#This Row],[Amount]]/SIP[[#This Row],[Unit]]</f>
        <v>11.435105774728417</v>
      </c>
      <c r="N726" s="71">
        <f>SIP[[#This Row],[Unit Capital]]/10</f>
        <v>1749</v>
      </c>
      <c r="O726" s="71">
        <f>SUMIFS(SIP[[#Headers],[Unit]]:SIP[[#This Row],[Unit]],SIP[[#Headers],[Investor ID]]:SIP[[#This Row],[Investor ID]],SIP[[#This Row],[Investor ID]])</f>
        <v>23873</v>
      </c>
      <c r="P726" s="153">
        <v>17490</v>
      </c>
      <c r="Q726" s="74">
        <f>SIP[[#This Row],[Amount]]-SIP[[#This Row],[Unit Capital]]</f>
        <v>2510</v>
      </c>
      <c r="R7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10.890964688141413</v>
      </c>
      <c r="S726" s="68">
        <f t="shared" ref="S726:S732" si="32">NAV_MKT</f>
        <v>14.224</v>
      </c>
      <c r="T7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6" s="74" cm="1">
        <f t="array" ref="U726">IF(SIP[[#This Row],[B/S]]="S",ABS(SIP[[#This Row],[Unit]])*(INDEX(SIP[NAV at Cost (Average)],MATCH(CONCATENATE((SIP[[#This Row],[Frequency]]-1),SIP[[#This Row],[Investor ID]]),SIP[Unique Code],0),0)),0)</f>
        <v>0</v>
      </c>
      <c r="V726" s="74">
        <f>IF(SIP[[#This Row],[BO TRANSFER]]="YES",SIP[[#This Row],[Unit]],)</f>
        <v>0</v>
      </c>
      <c r="W726" s="74">
        <f>SUMIFS(SIP[[#Headers],[BO UNIT TRANSFER]]:SIP[[#This Row],[BO UNIT TRANSFER]],SIP[[#Headers],[Investor ID]]:SIP[[#This Row],[Investor ID]],SIP[[#This Row],[Investor ID]])</f>
        <v>0</v>
      </c>
    </row>
    <row r="727" spans="1:23" ht="15" customHeight="1">
      <c r="A727" s="46">
        <v>2024</v>
      </c>
      <c r="B727" s="46">
        <v>9</v>
      </c>
      <c r="C727" s="46">
        <v>15</v>
      </c>
      <c r="D727" s="65">
        <f>DATE(SIP[[#This Row],[Year]],SIP[[#This Row],[Month]],SIP[[#This Row],[Day]])</f>
        <v>45550</v>
      </c>
      <c r="E727" s="66" t="str" cm="1">
        <f t="array" ref="E727">INDEX(INVESTORS_LIST[INVESTOR NAME],MATCH(SIP[[#This Row],[Investor ID]],INVESTORS_LIST[INVESTOR CODE],0),)</f>
        <v>CHANCHAL KUMAR SAHA</v>
      </c>
      <c r="F727" s="46" t="s">
        <v>569</v>
      </c>
      <c r="G727" s="46">
        <f>COUNTIF(SIP[[#Headers],[Investor ID]]:SIP[[#This Row],[Investor ID]],SIP[[#This Row],[Investor ID]])</f>
        <v>6</v>
      </c>
      <c r="H727" s="46" t="str">
        <f>CONCATENATE(SIP[[#This Row],[Frequency]],SIP[[#This Row],[Investor ID]])</f>
        <v>6A00260</v>
      </c>
      <c r="I727" s="46" t="str">
        <f>IF(SIP[[#This Row],[B/S]]="B","BUY",(IF(SIP[[#This Row],[B/S]]="S","SELL"," ")))</f>
        <v>BUY</v>
      </c>
      <c r="J727" s="150" t="s">
        <v>1229</v>
      </c>
      <c r="K727" s="152">
        <v>15000</v>
      </c>
      <c r="L727" s="122"/>
      <c r="M727" s="123">
        <f>SIP[[#This Row],[Amount]]/SIP[[#This Row],[Unit]]</f>
        <v>11.432926829268293</v>
      </c>
      <c r="N727" s="71">
        <f>SIP[[#This Row],[Unit Capital]]/10</f>
        <v>1312</v>
      </c>
      <c r="O727" s="71">
        <f>SUMIFS(SIP[[#Headers],[Unit]]:SIP[[#This Row],[Unit]],SIP[[#Headers],[Investor ID]]:SIP[[#This Row],[Investor ID]],SIP[[#This Row],[Investor ID]])</f>
        <v>5543</v>
      </c>
      <c r="P727" s="153">
        <v>13120</v>
      </c>
      <c r="Q727" s="74">
        <f>SIP[[#This Row],[Amount]]-SIP[[#This Row],[Unit Capital]]</f>
        <v>1880</v>
      </c>
      <c r="R7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10.9521194529092</v>
      </c>
      <c r="S727" s="68">
        <f t="shared" si="32"/>
        <v>14.224</v>
      </c>
      <c r="T7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7" s="74" cm="1">
        <f t="array" ref="U727">IF(SIP[[#This Row],[B/S]]="S",ABS(SIP[[#This Row],[Unit]])*(INDEX(SIP[NAV at Cost (Average)],MATCH(CONCATENATE((SIP[[#This Row],[Frequency]]-1),SIP[[#This Row],[Investor ID]]),SIP[Unique Code],0),0)),0)</f>
        <v>0</v>
      </c>
      <c r="V727" s="74">
        <f>IF(SIP[[#This Row],[BO TRANSFER]]="YES",SIP[[#This Row],[Unit]],)</f>
        <v>0</v>
      </c>
      <c r="W727" s="74">
        <f>SUMIFS(SIP[[#Headers],[BO UNIT TRANSFER]]:SIP[[#This Row],[BO UNIT TRANSFER]],SIP[[#Headers],[Investor ID]]:SIP[[#This Row],[Investor ID]],SIP[[#This Row],[Investor ID]])</f>
        <v>0</v>
      </c>
    </row>
    <row r="728" spans="1:23" ht="15" customHeight="1">
      <c r="A728" s="46">
        <v>2024</v>
      </c>
      <c r="B728" s="46">
        <v>9</v>
      </c>
      <c r="C728" s="46">
        <v>15</v>
      </c>
      <c r="D728" s="65">
        <f>DATE(SIP[[#This Row],[Year]],SIP[[#This Row],[Month]],SIP[[#This Row],[Day]])</f>
        <v>45550</v>
      </c>
      <c r="E728" s="66" t="str" cm="1">
        <f t="array" ref="E728">INDEX(INVESTORS_LIST[INVESTOR NAME],MATCH(SIP[[#This Row],[Investor ID]],INVESTORS_LIST[INVESTOR CODE],0),)</f>
        <v>AKIB TANVIR ANJUM</v>
      </c>
      <c r="F728" s="46" t="s">
        <v>1116</v>
      </c>
      <c r="G728" s="46">
        <f>COUNTIF(SIP[[#Headers],[Investor ID]]:SIP[[#This Row],[Investor ID]],SIP[[#This Row],[Investor ID]])</f>
        <v>6</v>
      </c>
      <c r="H728" s="46" t="str">
        <f>CONCATENATE(SIP[[#This Row],[Frequency]],SIP[[#This Row],[Investor ID]])</f>
        <v>6A00533</v>
      </c>
      <c r="I728" s="46" t="str">
        <f>IF(SIP[[#This Row],[B/S]]="B","BUY",(IF(SIP[[#This Row],[B/S]]="S","SELL"," ")))</f>
        <v>BUY</v>
      </c>
      <c r="J728" s="150" t="s">
        <v>1229</v>
      </c>
      <c r="K728" s="152">
        <v>1000</v>
      </c>
      <c r="L728" s="122"/>
      <c r="M728" s="123">
        <f>SIP[[#This Row],[Amount]]/SIP[[#This Row],[Unit]]</f>
        <v>11.494252873563218</v>
      </c>
      <c r="N728" s="71">
        <f>SIP[[#This Row],[Unit Capital]]/10</f>
        <v>87</v>
      </c>
      <c r="O728" s="71">
        <f>SUMIFS(SIP[[#Headers],[Unit]]:SIP[[#This Row],[Unit]],SIP[[#Headers],[Investor ID]]:SIP[[#This Row],[Investor ID]],SIP[[#This Row],[Investor ID]])</f>
        <v>536</v>
      </c>
      <c r="P728" s="153">
        <v>870</v>
      </c>
      <c r="Q728" s="74">
        <f>SIP[[#This Row],[Amount]]-SIP[[#This Row],[Unit Capital]]</f>
        <v>130</v>
      </c>
      <c r="R7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11.194029850746269</v>
      </c>
      <c r="S728" s="68">
        <f t="shared" si="32"/>
        <v>14.224</v>
      </c>
      <c r="T7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8" s="74" cm="1">
        <f t="array" ref="U728">IF(SIP[[#This Row],[B/S]]="S",ABS(SIP[[#This Row],[Unit]])*(INDEX(SIP[NAV at Cost (Average)],MATCH(CONCATENATE((SIP[[#This Row],[Frequency]]-1),SIP[[#This Row],[Investor ID]]),SIP[Unique Code],0),0)),0)</f>
        <v>0</v>
      </c>
      <c r="V728" s="74">
        <f>IF(SIP[[#This Row],[BO TRANSFER]]="YES",SIP[[#This Row],[Unit]],)</f>
        <v>0</v>
      </c>
      <c r="W728" s="74">
        <f>SUMIFS(SIP[[#Headers],[BO UNIT TRANSFER]]:SIP[[#This Row],[BO UNIT TRANSFER]],SIP[[#Headers],[Investor ID]]:SIP[[#This Row],[Investor ID]],SIP[[#This Row],[Investor ID]])</f>
        <v>0</v>
      </c>
    </row>
    <row r="729" spans="1:23" ht="15" customHeight="1">
      <c r="A729" s="46">
        <v>2024</v>
      </c>
      <c r="B729" s="46">
        <v>9</v>
      </c>
      <c r="C729" s="46">
        <v>15</v>
      </c>
      <c r="D729" s="65">
        <f>DATE(SIP[[#This Row],[Year]],SIP[[#This Row],[Month]],SIP[[#This Row],[Day]])</f>
        <v>45550</v>
      </c>
      <c r="E729" s="66" t="str" cm="1">
        <f t="array" ref="E729">INDEX(INVESTORS_LIST[INVESTOR NAME],MATCH(SIP[[#This Row],[Investor ID]],INVESTORS_LIST[INVESTOR CODE],0),)</f>
        <v>MAHMUD ALI ALAMGIR &amp; MOHAMMED ALI XAHANGIR</v>
      </c>
      <c r="F729" s="46" t="s">
        <v>1130</v>
      </c>
      <c r="G729" s="46">
        <f>COUNTIF(SIP[[#Headers],[Investor ID]]:SIP[[#This Row],[Investor ID]],SIP[[#This Row],[Investor ID]])</f>
        <v>4</v>
      </c>
      <c r="H729" s="46" t="str">
        <f>CONCATENATE(SIP[[#This Row],[Frequency]],SIP[[#This Row],[Investor ID]])</f>
        <v>4A00540</v>
      </c>
      <c r="I729" s="46" t="str">
        <f>IF(SIP[[#This Row],[B/S]]="B","BUY",(IF(SIP[[#This Row],[B/S]]="S","SELL"," ")))</f>
        <v>BUY</v>
      </c>
      <c r="J729" s="150" t="s">
        <v>1229</v>
      </c>
      <c r="K729" s="152">
        <v>40000</v>
      </c>
      <c r="L729" s="122"/>
      <c r="M729" s="123">
        <f>SIP[[#This Row],[Amount]]/SIP[[#This Row],[Unit]]</f>
        <v>11.435105774728417</v>
      </c>
      <c r="N729" s="71">
        <f>SIP[[#This Row],[Unit Capital]]/10</f>
        <v>3498</v>
      </c>
      <c r="O729" s="71">
        <f>SUMIFS(SIP[[#Headers],[Unit]]:SIP[[#This Row],[Unit]],SIP[[#Headers],[Investor ID]]:SIP[[#This Row],[Investor ID]],SIP[[#This Row],[Investor ID]])</f>
        <v>14191</v>
      </c>
      <c r="P729" s="153">
        <v>34980</v>
      </c>
      <c r="Q729" s="74">
        <f>SIP[[#This Row],[Amount]]-SIP[[#This Row],[Unit Capital]]</f>
        <v>5020</v>
      </c>
      <c r="R7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11.274751603128742</v>
      </c>
      <c r="S729" s="68">
        <f t="shared" si="32"/>
        <v>14.224</v>
      </c>
      <c r="T7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9" s="74" cm="1">
        <f t="array" ref="U729">IF(SIP[[#This Row],[B/S]]="S",ABS(SIP[[#This Row],[Unit]])*(INDEX(SIP[NAV at Cost (Average)],MATCH(CONCATENATE((SIP[[#This Row],[Frequency]]-1),SIP[[#This Row],[Investor ID]]),SIP[Unique Code],0),0)),0)</f>
        <v>0</v>
      </c>
      <c r="V729" s="74">
        <f>IF(SIP[[#This Row],[BO TRANSFER]]="YES",SIP[[#This Row],[Unit]],)</f>
        <v>0</v>
      </c>
      <c r="W729" s="74">
        <f>SUMIFS(SIP[[#Headers],[BO UNIT TRANSFER]]:SIP[[#This Row],[BO UNIT TRANSFER]],SIP[[#Headers],[Investor ID]]:SIP[[#This Row],[Investor ID]],SIP[[#This Row],[Investor ID]])</f>
        <v>0</v>
      </c>
    </row>
    <row r="730" spans="1:23" ht="15" customHeight="1">
      <c r="A730" s="46">
        <v>2024</v>
      </c>
      <c r="B730" s="46">
        <v>9</v>
      </c>
      <c r="C730" s="46">
        <v>15</v>
      </c>
      <c r="D730" s="65">
        <f>DATE(SIP[[#This Row],[Year]],SIP[[#This Row],[Month]],SIP[[#This Row],[Day]])</f>
        <v>45550</v>
      </c>
      <c r="E730" s="66" t="str" cm="1">
        <f t="array" ref="E730">INDEX(INVESTORS_LIST[INVESTOR NAME],MATCH(SIP[[#This Row],[Investor ID]],INVESTORS_LIST[INVESTOR CODE],0),)</f>
        <v>AKIB TANVIR ANJUM</v>
      </c>
      <c r="F730" s="46" t="s">
        <v>1116</v>
      </c>
      <c r="G730" s="46">
        <f>COUNTIF(SIP[[#Headers],[Investor ID]]:SIP[[#This Row],[Investor ID]],SIP[[#This Row],[Investor ID]])</f>
        <v>7</v>
      </c>
      <c r="H730" s="46" t="str">
        <f>CONCATENATE(SIP[[#This Row],[Frequency]],SIP[[#This Row],[Investor ID]])</f>
        <v>7A00533</v>
      </c>
      <c r="I730" s="46" t="str">
        <f>IF(SIP[[#This Row],[B/S]]="B","BUY",(IF(SIP[[#This Row],[B/S]]="S","SELL"," ")))</f>
        <v>BUY</v>
      </c>
      <c r="J730" s="150" t="s">
        <v>1229</v>
      </c>
      <c r="K730" s="152">
        <v>1000</v>
      </c>
      <c r="L730" s="122"/>
      <c r="M730" s="123">
        <f>SIP[[#This Row],[Amount]]/SIP[[#This Row],[Unit]]</f>
        <v>11.494252873563218</v>
      </c>
      <c r="N730" s="71">
        <f>SIP[[#This Row],[Unit Capital]]/10</f>
        <v>87</v>
      </c>
      <c r="O730" s="71">
        <f>SUMIFS(SIP[[#Headers],[Unit]]:SIP[[#This Row],[Unit]],SIP[[#Headers],[Investor ID]]:SIP[[#This Row],[Investor ID]],SIP[[#This Row],[Investor ID]])</f>
        <v>623</v>
      </c>
      <c r="P730" s="153">
        <v>870</v>
      </c>
      <c r="Q730" s="74">
        <f>SIP[[#This Row],[Amount]]-SIP[[#This Row],[Unit Capital]]</f>
        <v>130</v>
      </c>
      <c r="R7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11.235955056179776</v>
      </c>
      <c r="S730" s="68">
        <f t="shared" si="32"/>
        <v>14.224</v>
      </c>
      <c r="T7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0" s="74" cm="1">
        <f t="array" ref="U730">IF(SIP[[#This Row],[B/S]]="S",ABS(SIP[[#This Row],[Unit]])*(INDEX(SIP[NAV at Cost (Average)],MATCH(CONCATENATE((SIP[[#This Row],[Frequency]]-1),SIP[[#This Row],[Investor ID]]),SIP[Unique Code],0),0)),0)</f>
        <v>0</v>
      </c>
      <c r="V730" s="74">
        <f>IF(SIP[[#This Row],[BO TRANSFER]]="YES",SIP[[#This Row],[Unit]],)</f>
        <v>0</v>
      </c>
      <c r="W730" s="74">
        <f>SUMIFS(SIP[[#Headers],[BO UNIT TRANSFER]]:SIP[[#This Row],[BO UNIT TRANSFER]],SIP[[#Headers],[Investor ID]]:SIP[[#This Row],[Investor ID]],SIP[[#This Row],[Investor ID]])</f>
        <v>0</v>
      </c>
    </row>
    <row r="731" spans="1:23" ht="15" customHeight="1">
      <c r="A731" s="46">
        <v>2024</v>
      </c>
      <c r="B731" s="46">
        <v>9</v>
      </c>
      <c r="C731" s="46">
        <v>15</v>
      </c>
      <c r="D731" s="65">
        <f>DATE(SIP[[#This Row],[Year]],SIP[[#This Row],[Month]],SIP[[#This Row],[Day]])</f>
        <v>45550</v>
      </c>
      <c r="E731" s="66" t="str" cm="1">
        <f t="array" ref="E731">INDEX(INVESTORS_LIST[INVESTOR NAME],MATCH(SIP[[#This Row],[Investor ID]],INVESTORS_LIST[INVESTOR CODE],0),)</f>
        <v>MAHFUZA ANIKA</v>
      </c>
      <c r="F731" s="46" t="s">
        <v>1277</v>
      </c>
      <c r="G731" s="46">
        <f>COUNTIF(SIP[[#Headers],[Investor ID]]:SIP[[#This Row],[Investor ID]],SIP[[#This Row],[Investor ID]])</f>
        <v>3</v>
      </c>
      <c r="H731" s="46" t="str">
        <f>CONCATENATE(SIP[[#This Row],[Frequency]],SIP[[#This Row],[Investor ID]])</f>
        <v>3A00585</v>
      </c>
      <c r="I731" s="46" t="str">
        <f>IF(SIP[[#This Row],[B/S]]="B","BUY",(IF(SIP[[#This Row],[B/S]]="S","SELL"," ")))</f>
        <v>BUY</v>
      </c>
      <c r="J731" s="150" t="s">
        <v>1229</v>
      </c>
      <c r="K731" s="152">
        <v>2000</v>
      </c>
      <c r="L731" s="122"/>
      <c r="M731" s="123">
        <f>SIP[[#This Row],[Amount]]/SIP[[#This Row],[Unit]]</f>
        <v>11.428571428571429</v>
      </c>
      <c r="N731" s="71">
        <f>SIP[[#This Row],[Unit Capital]]/10</f>
        <v>175</v>
      </c>
      <c r="O731" s="71">
        <f>SUMIFS(SIP[[#Headers],[Unit]]:SIP[[#This Row],[Unit]],SIP[[#Headers],[Investor ID]]:SIP[[#This Row],[Investor ID]],SIP[[#This Row],[Investor ID]])</f>
        <v>351</v>
      </c>
      <c r="P731" s="153">
        <v>1750</v>
      </c>
      <c r="Q731" s="74">
        <f>SIP[[#This Row],[Amount]]-SIP[[#This Row],[Unit Capital]]</f>
        <v>250</v>
      </c>
      <c r="R7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11.396011396011396</v>
      </c>
      <c r="S731" s="68">
        <f t="shared" si="32"/>
        <v>14.224</v>
      </c>
      <c r="T7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1" s="74" cm="1">
        <f t="array" ref="U731">IF(SIP[[#This Row],[B/S]]="S",ABS(SIP[[#This Row],[Unit]])*(INDEX(SIP[NAV at Cost (Average)],MATCH(CONCATENATE((SIP[[#This Row],[Frequency]]-1),SIP[[#This Row],[Investor ID]]),SIP[Unique Code],0),0)),0)</f>
        <v>0</v>
      </c>
      <c r="V731" s="74">
        <f>IF(SIP[[#This Row],[BO TRANSFER]]="YES",SIP[[#This Row],[Unit]],)</f>
        <v>0</v>
      </c>
      <c r="W731" s="74">
        <f>SUMIFS(SIP[[#Headers],[BO UNIT TRANSFER]]:SIP[[#This Row],[BO UNIT TRANSFER]],SIP[[#Headers],[Investor ID]]:SIP[[#This Row],[Investor ID]],SIP[[#This Row],[Investor ID]])</f>
        <v>0</v>
      </c>
    </row>
    <row r="732" spans="1:23" ht="15" customHeight="1">
      <c r="A732" s="46">
        <v>2024</v>
      </c>
      <c r="B732" s="46">
        <v>9</v>
      </c>
      <c r="C732" s="46">
        <v>15</v>
      </c>
      <c r="D732" s="65">
        <f>DATE(SIP[[#This Row],[Year]],SIP[[#This Row],[Month]],SIP[[#This Row],[Day]])</f>
        <v>45550</v>
      </c>
      <c r="E732" s="66" t="str" cm="1">
        <f t="array" ref="E732">INDEX(INVESTORS_LIST[INVESTOR NAME],MATCH(SIP[[#This Row],[Investor ID]],INVESTORS_LIST[INVESTOR CODE],0),)</f>
        <v>SANJIB KUMAR ROY</v>
      </c>
      <c r="F732" s="46" t="s">
        <v>1020</v>
      </c>
      <c r="G732" s="46">
        <f>COUNTIF(SIP[[#Headers],[Investor ID]]:SIP[[#This Row],[Investor ID]],SIP[[#This Row],[Investor ID]])</f>
        <v>16</v>
      </c>
      <c r="H732" s="46" t="str">
        <f>CONCATENATE(SIP[[#This Row],[Frequency]],SIP[[#This Row],[Investor ID]])</f>
        <v>16A00487</v>
      </c>
      <c r="I732" s="46" t="str">
        <f>IF(SIP[[#This Row],[B/S]]="B","BUY",(IF(SIP[[#This Row],[B/S]]="S","SELL"," ")))</f>
        <v>BUY</v>
      </c>
      <c r="J732" s="150" t="s">
        <v>1229</v>
      </c>
      <c r="K732" s="152">
        <v>5000</v>
      </c>
      <c r="L732" s="122"/>
      <c r="M732" s="123">
        <f>SIP[[#This Row],[Amount]]/SIP[[#This Row],[Unit]]</f>
        <v>11.441647597254004</v>
      </c>
      <c r="N732" s="71">
        <f>SIP[[#This Row],[Unit Capital]]/10</f>
        <v>437</v>
      </c>
      <c r="O732" s="71">
        <f>SUMIFS(SIP[[#Headers],[Unit]]:SIP[[#This Row],[Unit]],SIP[[#Headers],[Investor ID]]:SIP[[#This Row],[Investor ID]],SIP[[#This Row],[Investor ID]])</f>
        <v>7425</v>
      </c>
      <c r="P732" s="153">
        <v>4370</v>
      </c>
      <c r="Q732" s="74">
        <f>SIP[[#This Row],[Amount]]-SIP[[#This Row],[Unit Capital]]</f>
        <v>630</v>
      </c>
      <c r="R7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10.774410774410773</v>
      </c>
      <c r="S732" s="68">
        <f t="shared" si="32"/>
        <v>14.224</v>
      </c>
      <c r="T7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2" s="74" cm="1">
        <f t="array" ref="U732">IF(SIP[[#This Row],[B/S]]="S",ABS(SIP[[#This Row],[Unit]])*(INDEX(SIP[NAV at Cost (Average)],MATCH(CONCATENATE((SIP[[#This Row],[Frequency]]-1),SIP[[#This Row],[Investor ID]]),SIP[Unique Code],0),0)),0)</f>
        <v>0</v>
      </c>
      <c r="V732" s="74">
        <f>IF(SIP[[#This Row],[BO TRANSFER]]="YES",SIP[[#This Row],[Unit]],)</f>
        <v>0</v>
      </c>
      <c r="W732" s="74">
        <f>SUMIFS(SIP[[#Headers],[BO UNIT TRANSFER]]:SIP[[#This Row],[BO UNIT TRANSFER]],SIP[[#Headers],[Investor ID]]:SIP[[#This Row],[Investor ID]],SIP[[#This Row],[Investor ID]])</f>
        <v>0</v>
      </c>
    </row>
    <row r="733" spans="1:23" ht="15" customHeight="1">
      <c r="A733" s="46">
        <v>2024</v>
      </c>
      <c r="B733" s="46">
        <v>9</v>
      </c>
      <c r="C733" s="46">
        <v>26</v>
      </c>
      <c r="D733" s="65">
        <f>DATE(SIP[[#This Row],[Year]],SIP[[#This Row],[Month]],SIP[[#This Row],[Day]])</f>
        <v>45561</v>
      </c>
      <c r="E733" s="66" t="str" cm="1">
        <f t="array" ref="E733">INDEX(INVESTORS_LIST[INVESTOR NAME],MATCH(SIP[[#This Row],[Investor ID]],INVESTORS_LIST[INVESTOR CODE],0),)</f>
        <v>KHAN MUHAMMAD FAISOL</v>
      </c>
      <c r="F733" s="46" t="s">
        <v>930</v>
      </c>
      <c r="G733" s="46">
        <f>COUNTIF(SIP[[#Headers],[Investor ID]]:SIP[[#This Row],[Investor ID]],SIP[[#This Row],[Investor ID]])</f>
        <v>17</v>
      </c>
      <c r="H733" s="46" t="str">
        <f>CONCATENATE(SIP[[#This Row],[Frequency]],SIP[[#This Row],[Investor ID]])</f>
        <v>17A00442</v>
      </c>
      <c r="I733" s="46" t="str">
        <f>IF(SIP[[#This Row],[B/S]]="B","BUY",(IF(SIP[[#This Row],[B/S]]="S","SELL"," ")))</f>
        <v>BUY</v>
      </c>
      <c r="J733" s="150" t="s">
        <v>1229</v>
      </c>
      <c r="K733" s="152">
        <v>1000</v>
      </c>
      <c r="L733" s="69"/>
      <c r="M733" s="123">
        <f>SIP[[#This Row],[Amount]]/SIP[[#This Row],[Unit]]</f>
        <v>11.494252873563218</v>
      </c>
      <c r="N733" s="71">
        <f>SIP[[#This Row],[Unit Capital]]/10</f>
        <v>87</v>
      </c>
      <c r="O733" s="71">
        <f>SUMIFS(SIP[[#Headers],[Unit]]:SIP[[#This Row],[Unit]],SIP[[#Headers],[Investor ID]]:SIP[[#This Row],[Investor ID]],SIP[[#This Row],[Investor ID]])</f>
        <v>1578</v>
      </c>
      <c r="P733" s="153">
        <v>870</v>
      </c>
      <c r="Q733" s="74">
        <f>SIP[[#This Row],[Amount]]-SIP[[#This Row],[Unit Capital]]</f>
        <v>130</v>
      </c>
      <c r="R7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10.773130544993666</v>
      </c>
      <c r="S733" s="68">
        <f t="shared" ref="S733:S758" si="33">NAV_MKT</f>
        <v>14.224</v>
      </c>
      <c r="T7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3" s="74" cm="1">
        <f t="array" ref="U733">IF(SIP[[#This Row],[B/S]]="S",ABS(SIP[[#This Row],[Unit]])*(INDEX(SIP[NAV at Cost (Average)],MATCH(CONCATENATE((SIP[[#This Row],[Frequency]]-1),SIP[[#This Row],[Investor ID]]),SIP[Unique Code],0),0)),0)</f>
        <v>0</v>
      </c>
      <c r="V733" s="74">
        <f>IF(SIP[[#This Row],[BO TRANSFER]]="YES",SIP[[#This Row],[Unit]],)</f>
        <v>0</v>
      </c>
      <c r="W733" s="74">
        <f>SUMIFS(SIP[[#Headers],[BO UNIT TRANSFER]]:SIP[[#This Row],[BO UNIT TRANSFER]],SIP[[#Headers],[Investor ID]]:SIP[[#This Row],[Investor ID]],SIP[[#This Row],[Investor ID]])</f>
        <v>0</v>
      </c>
    </row>
    <row r="734" spans="1:23" ht="15" customHeight="1">
      <c r="A734" s="46">
        <v>2024</v>
      </c>
      <c r="B734" s="46">
        <v>9</v>
      </c>
      <c r="C734" s="46">
        <v>26</v>
      </c>
      <c r="D734" s="65">
        <f>DATE(SIP[[#This Row],[Year]],SIP[[#This Row],[Month]],SIP[[#This Row],[Day]])</f>
        <v>45561</v>
      </c>
      <c r="E734" s="66" t="str" cm="1">
        <f t="array" ref="E734">INDEX(INVESTORS_LIST[INVESTOR NAME],MATCH(SIP[[#This Row],[Investor ID]],INVESTORS_LIST[INVESTOR CODE],0),)</f>
        <v>MD. ARIFUL ISLAM</v>
      </c>
      <c r="F734" s="46" t="s">
        <v>222</v>
      </c>
      <c r="G734" s="46">
        <f>COUNTIF(SIP[[#Headers],[Investor ID]]:SIP[[#This Row],[Investor ID]],SIP[[#This Row],[Investor ID]])</f>
        <v>17</v>
      </c>
      <c r="H734" s="46" t="str">
        <f>CONCATENATE(SIP[[#This Row],[Frequency]],SIP[[#This Row],[Investor ID]])</f>
        <v>17A00087</v>
      </c>
      <c r="I734" s="46" t="str">
        <f>IF(SIP[[#This Row],[B/S]]="B","BUY",(IF(SIP[[#This Row],[B/S]]="S","SELL"," ")))</f>
        <v>BUY</v>
      </c>
      <c r="J734" s="150" t="s">
        <v>1229</v>
      </c>
      <c r="K734" s="152">
        <v>10000</v>
      </c>
      <c r="L734" s="69"/>
      <c r="M734" s="123">
        <f>SIP[[#This Row],[Amount]]/SIP[[#This Row],[Unit]]</f>
        <v>11.481056257175661</v>
      </c>
      <c r="N734" s="71">
        <f>SIP[[#This Row],[Unit Capital]]/10</f>
        <v>871</v>
      </c>
      <c r="O734" s="71">
        <f>SUMIFS(SIP[[#Headers],[Unit]]:SIP[[#This Row],[Unit]],SIP[[#Headers],[Investor ID]]:SIP[[#This Row],[Investor ID]],SIP[[#This Row],[Investor ID]])</f>
        <v>15790</v>
      </c>
      <c r="P734" s="153">
        <v>8710</v>
      </c>
      <c r="Q734" s="74">
        <f>SIP[[#This Row],[Amount]]-SIP[[#This Row],[Unit Capital]]</f>
        <v>1290</v>
      </c>
      <c r="R7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10.766307789740344</v>
      </c>
      <c r="S734" s="68">
        <f t="shared" si="33"/>
        <v>14.224</v>
      </c>
      <c r="T7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4" s="74" cm="1">
        <f t="array" ref="U734">IF(SIP[[#This Row],[B/S]]="S",ABS(SIP[[#This Row],[Unit]])*(INDEX(SIP[NAV at Cost (Average)],MATCH(CONCATENATE((SIP[[#This Row],[Frequency]]-1),SIP[[#This Row],[Investor ID]]),SIP[Unique Code],0),0)),0)</f>
        <v>0</v>
      </c>
      <c r="V734" s="74">
        <f>IF(SIP[[#This Row],[BO TRANSFER]]="YES",SIP[[#This Row],[Unit]],)</f>
        <v>0</v>
      </c>
      <c r="W734" s="74">
        <f>SUMIFS(SIP[[#Headers],[BO UNIT TRANSFER]]:SIP[[#This Row],[BO UNIT TRANSFER]],SIP[[#Headers],[Investor ID]]:SIP[[#This Row],[Investor ID]],SIP[[#This Row],[Investor ID]])</f>
        <v>0</v>
      </c>
    </row>
    <row r="735" spans="1:23" ht="15" customHeight="1">
      <c r="A735" s="46">
        <v>2024</v>
      </c>
      <c r="B735" s="46">
        <v>9</v>
      </c>
      <c r="C735" s="46">
        <v>26</v>
      </c>
      <c r="D735" s="65">
        <f>DATE(SIP[[#This Row],[Year]],SIP[[#This Row],[Month]],SIP[[#This Row],[Day]])</f>
        <v>45561</v>
      </c>
      <c r="E735" s="66" t="str" cm="1">
        <f t="array" ref="E735">INDEX(INVESTORS_LIST[INVESTOR NAME],MATCH(SIP[[#This Row],[Investor ID]],INVESTORS_LIST[INVESTOR CODE],0),)</f>
        <v>SADIA PARVIN</v>
      </c>
      <c r="F735" s="46" t="s">
        <v>1018</v>
      </c>
      <c r="G735" s="46">
        <f>COUNTIF(SIP[[#Headers],[Investor ID]]:SIP[[#This Row],[Investor ID]],SIP[[#This Row],[Investor ID]])</f>
        <v>20</v>
      </c>
      <c r="H735" s="46" t="str">
        <f>CONCATENATE(SIP[[#This Row],[Frequency]],SIP[[#This Row],[Investor ID]])</f>
        <v>20A00486</v>
      </c>
      <c r="I735" s="46" t="str">
        <f>IF(SIP[[#This Row],[B/S]]="B","BUY",(IF(SIP[[#This Row],[B/S]]="S","SELL"," ")))</f>
        <v>BUY</v>
      </c>
      <c r="J735" s="150" t="s">
        <v>1229</v>
      </c>
      <c r="K735" s="152">
        <v>5000</v>
      </c>
      <c r="L735" s="122"/>
      <c r="M735" s="123">
        <f>SIP[[#This Row],[Amount]]/SIP[[#This Row],[Unit]]</f>
        <v>11.494252873563218</v>
      </c>
      <c r="N735" s="71">
        <f>SIP[[#This Row],[Unit Capital]]/10</f>
        <v>435</v>
      </c>
      <c r="O735" s="71">
        <f>SUMIFS(SIP[[#Headers],[Unit]]:SIP[[#This Row],[Unit]],SIP[[#Headers],[Investor ID]]:SIP[[#This Row],[Investor ID]],SIP[[#This Row],[Investor ID]])</f>
        <v>9223</v>
      </c>
      <c r="P735" s="153">
        <v>4350</v>
      </c>
      <c r="Q735" s="74">
        <f>SIP[[#This Row],[Amount]]-SIP[[#This Row],[Unit Capital]]</f>
        <v>650</v>
      </c>
      <c r="R7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10.842459069717014</v>
      </c>
      <c r="S735" s="68">
        <f t="shared" si="33"/>
        <v>14.224</v>
      </c>
      <c r="T7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5" s="74" cm="1">
        <f t="array" ref="U735">IF(SIP[[#This Row],[B/S]]="S",ABS(SIP[[#This Row],[Unit]])*(INDEX(SIP[NAV at Cost (Average)],MATCH(CONCATENATE((SIP[[#This Row],[Frequency]]-1),SIP[[#This Row],[Investor ID]]),SIP[Unique Code],0),0)),0)</f>
        <v>0</v>
      </c>
      <c r="V735" s="74">
        <f>IF(SIP[[#This Row],[BO TRANSFER]]="YES",SIP[[#This Row],[Unit]],)</f>
        <v>0</v>
      </c>
      <c r="W735" s="74">
        <f>SUMIFS(SIP[[#Headers],[BO UNIT TRANSFER]]:SIP[[#This Row],[BO UNIT TRANSFER]],SIP[[#Headers],[Investor ID]]:SIP[[#This Row],[Investor ID]],SIP[[#This Row],[Investor ID]])</f>
        <v>0</v>
      </c>
    </row>
    <row r="736" spans="1:23" ht="15" customHeight="1">
      <c r="A736" s="46">
        <v>2024</v>
      </c>
      <c r="B736" s="46">
        <v>9</v>
      </c>
      <c r="C736" s="46">
        <v>26</v>
      </c>
      <c r="D736" s="65">
        <f>DATE(SIP[[#This Row],[Year]],SIP[[#This Row],[Month]],SIP[[#This Row],[Day]])</f>
        <v>45561</v>
      </c>
      <c r="E736" s="66" t="str" cm="1">
        <f t="array" ref="E736">INDEX(INVESTORS_LIST[INVESTOR NAME],MATCH(SIP[[#This Row],[Investor ID]],INVESTORS_LIST[INVESTOR CODE],0),)</f>
        <v>MD. WALI ULLAH</v>
      </c>
      <c r="F736" s="46" t="s">
        <v>443</v>
      </c>
      <c r="G736" s="46">
        <f>COUNTIF(SIP[[#Headers],[Investor ID]]:SIP[[#This Row],[Investor ID]],SIP[[#This Row],[Investor ID]])</f>
        <v>17</v>
      </c>
      <c r="H736" s="46" t="str">
        <f>CONCATENATE(SIP[[#This Row],[Frequency]],SIP[[#This Row],[Investor ID]])</f>
        <v>17A00197</v>
      </c>
      <c r="I736" s="46" t="str">
        <f>IF(SIP[[#This Row],[B/S]]="B","BUY",(IF(SIP[[#This Row],[B/S]]="S","SELL"," ")))</f>
        <v>BUY</v>
      </c>
      <c r="J736" s="150" t="s">
        <v>1229</v>
      </c>
      <c r="K736" s="152">
        <v>15000</v>
      </c>
      <c r="L736" s="122"/>
      <c r="M736" s="123">
        <f>SIP[[#This Row],[Amount]]/SIP[[#This Row],[Unit]]</f>
        <v>11.485451761102603</v>
      </c>
      <c r="N736" s="71">
        <f>SIP[[#This Row],[Unit Capital]]/10</f>
        <v>1306</v>
      </c>
      <c r="O736" s="71">
        <f>SUMIFS(SIP[[#Headers],[Unit]]:SIP[[#This Row],[Unit]],SIP[[#Headers],[Investor ID]]:SIP[[#This Row],[Investor ID]],SIP[[#This Row],[Investor ID]])</f>
        <v>23685</v>
      </c>
      <c r="P736" s="153">
        <v>13060</v>
      </c>
      <c r="Q736" s="74">
        <f>SIP[[#This Row],[Amount]]-SIP[[#This Row],[Unit Capital]]</f>
        <v>1940</v>
      </c>
      <c r="R7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10.766307789740337</v>
      </c>
      <c r="S736" s="68">
        <f t="shared" si="33"/>
        <v>14.224</v>
      </c>
      <c r="T7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6" s="74" cm="1">
        <f t="array" ref="U736">IF(SIP[[#This Row],[B/S]]="S",ABS(SIP[[#This Row],[Unit]])*(INDEX(SIP[NAV at Cost (Average)],MATCH(CONCATENATE((SIP[[#This Row],[Frequency]]-1),SIP[[#This Row],[Investor ID]]),SIP[Unique Code],0),0)),0)</f>
        <v>0</v>
      </c>
      <c r="V736" s="74">
        <f>IF(SIP[[#This Row],[BO TRANSFER]]="YES",SIP[[#This Row],[Unit]],)</f>
        <v>0</v>
      </c>
      <c r="W736" s="74">
        <f>SUMIFS(SIP[[#Headers],[BO UNIT TRANSFER]]:SIP[[#This Row],[BO UNIT TRANSFER]],SIP[[#Headers],[Investor ID]]:SIP[[#This Row],[Investor ID]],SIP[[#This Row],[Investor ID]])</f>
        <v>0</v>
      </c>
    </row>
    <row r="737" spans="1:23" ht="15" customHeight="1">
      <c r="A737" s="46">
        <v>2024</v>
      </c>
      <c r="B737" s="46">
        <v>9</v>
      </c>
      <c r="C737" s="46">
        <v>26</v>
      </c>
      <c r="D737" s="65">
        <f>DATE(SIP[[#This Row],[Year]],SIP[[#This Row],[Month]],SIP[[#This Row],[Day]])</f>
        <v>45561</v>
      </c>
      <c r="E737" s="66" t="str" cm="1">
        <f t="array" ref="E737">INDEX(INVESTORS_LIST[INVESTOR NAME],MATCH(SIP[[#This Row],[Investor ID]],INVESTORS_LIST[INVESTOR CODE],0),)</f>
        <v>SIKDER FAZLE RABBI</v>
      </c>
      <c r="F737" s="46" t="s">
        <v>1032</v>
      </c>
      <c r="G737" s="46">
        <f>COUNTIF(SIP[[#Headers],[Investor ID]]:SIP[[#This Row],[Investor ID]],SIP[[#This Row],[Investor ID]])</f>
        <v>16</v>
      </c>
      <c r="H737" s="46" t="str">
        <f>CONCATENATE(SIP[[#This Row],[Frequency]],SIP[[#This Row],[Investor ID]])</f>
        <v>16A00493</v>
      </c>
      <c r="I737" s="46" t="str">
        <f>IF(SIP[[#This Row],[B/S]]="B","BUY",(IF(SIP[[#This Row],[B/S]]="S","SELL"," ")))</f>
        <v>BUY</v>
      </c>
      <c r="J737" s="150" t="s">
        <v>1229</v>
      </c>
      <c r="K737" s="152">
        <v>5000</v>
      </c>
      <c r="L737" s="122"/>
      <c r="M737" s="123">
        <f>SIP[[#This Row],[Amount]]/SIP[[#This Row],[Unit]]</f>
        <v>11.494252873563218</v>
      </c>
      <c r="N737" s="71">
        <f>SIP[[#This Row],[Unit Capital]]/10</f>
        <v>435</v>
      </c>
      <c r="O737" s="71">
        <f>SUMIFS(SIP[[#Headers],[Unit]]:SIP[[#This Row],[Unit]],SIP[[#Headers],[Investor ID]]:SIP[[#This Row],[Investor ID]],SIP[[#This Row],[Investor ID]])</f>
        <v>7402</v>
      </c>
      <c r="P737" s="153">
        <v>4350</v>
      </c>
      <c r="Q737" s="74">
        <f>SIP[[#This Row],[Amount]]-SIP[[#This Row],[Unit Capital]]</f>
        <v>650</v>
      </c>
      <c r="R7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10.807889759524452</v>
      </c>
      <c r="S737" s="68">
        <f t="shared" si="33"/>
        <v>14.224</v>
      </c>
      <c r="T7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7" s="74" cm="1">
        <f t="array" ref="U737">IF(SIP[[#This Row],[B/S]]="S",ABS(SIP[[#This Row],[Unit]])*(INDEX(SIP[NAV at Cost (Average)],MATCH(CONCATENATE((SIP[[#This Row],[Frequency]]-1),SIP[[#This Row],[Investor ID]]),SIP[Unique Code],0),0)),0)</f>
        <v>0</v>
      </c>
      <c r="V737" s="74">
        <f>IF(SIP[[#This Row],[BO TRANSFER]]="YES",SIP[[#This Row],[Unit]],)</f>
        <v>0</v>
      </c>
      <c r="W737" s="74">
        <f>SUMIFS(SIP[[#Headers],[BO UNIT TRANSFER]]:SIP[[#This Row],[BO UNIT TRANSFER]],SIP[[#Headers],[Investor ID]]:SIP[[#This Row],[Investor ID]],SIP[[#This Row],[Investor ID]])</f>
        <v>0</v>
      </c>
    </row>
    <row r="738" spans="1:23" ht="15" customHeight="1">
      <c r="A738" s="46">
        <v>2024</v>
      </c>
      <c r="B738" s="46">
        <v>9</v>
      </c>
      <c r="C738" s="46">
        <v>26</v>
      </c>
      <c r="D738" s="65">
        <f>DATE(SIP[[#This Row],[Year]],SIP[[#This Row],[Month]],SIP[[#This Row],[Day]])</f>
        <v>45561</v>
      </c>
      <c r="E738" s="66" t="str" cm="1">
        <f t="array" ref="E738">INDEX(INVESTORS_LIST[INVESTOR NAME],MATCH(SIP[[#This Row],[Investor ID]],INVESTORS_LIST[INVESTOR CODE],0),)</f>
        <v>SAJJAD CHOWDHURY</v>
      </c>
      <c r="F738" s="46" t="s">
        <v>461</v>
      </c>
      <c r="G738" s="46">
        <f>COUNTIF(SIP[[#Headers],[Investor ID]]:SIP[[#This Row],[Investor ID]],SIP[[#This Row],[Investor ID]])</f>
        <v>17</v>
      </c>
      <c r="H738" s="46" t="str">
        <f>CONCATENATE(SIP[[#This Row],[Frequency]],SIP[[#This Row],[Investor ID]])</f>
        <v>17A00206</v>
      </c>
      <c r="I738" s="46" t="str">
        <f>IF(SIP[[#This Row],[B/S]]="B","BUY",(IF(SIP[[#This Row],[B/S]]="S","SELL"," ")))</f>
        <v>BUY</v>
      </c>
      <c r="J738" s="150" t="s">
        <v>1229</v>
      </c>
      <c r="K738" s="152">
        <v>7500</v>
      </c>
      <c r="L738" s="122"/>
      <c r="M738" s="123">
        <f>SIP[[#This Row],[Amount]]/SIP[[#This Row],[Unit]]</f>
        <v>11.485451761102603</v>
      </c>
      <c r="N738" s="71">
        <f>SIP[[#This Row],[Unit Capital]]/10</f>
        <v>653</v>
      </c>
      <c r="O738" s="71">
        <f>SUMIFS(SIP[[#Headers],[Unit]]:SIP[[#This Row],[Unit]],SIP[[#Headers],[Investor ID]]:SIP[[#This Row],[Investor ID]],SIP[[#This Row],[Investor ID]])</f>
        <v>11841</v>
      </c>
      <c r="P738" s="153">
        <v>6530</v>
      </c>
      <c r="Q738" s="74">
        <f>SIP[[#This Row],[Amount]]-SIP[[#This Row],[Unit Capital]]</f>
        <v>970</v>
      </c>
      <c r="R7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10.76767164935394</v>
      </c>
      <c r="S738" s="68">
        <f t="shared" si="33"/>
        <v>14.224</v>
      </c>
      <c r="T7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8" s="74" cm="1">
        <f t="array" ref="U738">IF(SIP[[#This Row],[B/S]]="S",ABS(SIP[[#This Row],[Unit]])*(INDEX(SIP[NAV at Cost (Average)],MATCH(CONCATENATE((SIP[[#This Row],[Frequency]]-1),SIP[[#This Row],[Investor ID]]),SIP[Unique Code],0),0)),0)</f>
        <v>0</v>
      </c>
      <c r="V738" s="74">
        <f>IF(SIP[[#This Row],[BO TRANSFER]]="YES",SIP[[#This Row],[Unit]],)</f>
        <v>0</v>
      </c>
      <c r="W738" s="74">
        <f>SUMIFS(SIP[[#Headers],[BO UNIT TRANSFER]]:SIP[[#This Row],[BO UNIT TRANSFER]],SIP[[#Headers],[Investor ID]]:SIP[[#This Row],[Investor ID]],SIP[[#This Row],[Investor ID]])</f>
        <v>0</v>
      </c>
    </row>
    <row r="739" spans="1:23" ht="15" customHeight="1">
      <c r="A739" s="46">
        <v>2024</v>
      </c>
      <c r="B739" s="46">
        <v>9</v>
      </c>
      <c r="C739" s="46">
        <v>26</v>
      </c>
      <c r="D739" s="65">
        <f>DATE(SIP[[#This Row],[Year]],SIP[[#This Row],[Month]],SIP[[#This Row],[Day]])</f>
        <v>45561</v>
      </c>
      <c r="E739" s="66" t="str" cm="1">
        <f t="array" ref="E739">INDEX(INVESTORS_LIST[INVESTOR NAME],MATCH(SIP[[#This Row],[Investor ID]],INVESTORS_LIST[INVESTOR CODE],0),)</f>
        <v>EKUSH WEALTH MANAGEMENT LIMITED EMPLOYEES CONTRIBUTORY PROVIDENT FUND</v>
      </c>
      <c r="F739" s="46" t="s">
        <v>831</v>
      </c>
      <c r="G739" s="46">
        <f>COUNTIF(SIP[[#Headers],[Investor ID]]:SIP[[#This Row],[Investor ID]],SIP[[#This Row],[Investor ID]])</f>
        <v>11</v>
      </c>
      <c r="H739" s="46" t="str">
        <f>CONCATENATE(SIP[[#This Row],[Frequency]],SIP[[#This Row],[Investor ID]])</f>
        <v>11A00392</v>
      </c>
      <c r="I739" s="46" t="str">
        <f>IF(SIP[[#This Row],[B/S]]="B","BUY",(IF(SIP[[#This Row],[B/S]]="S","SELL"," ")))</f>
        <v>BUY</v>
      </c>
      <c r="J739" s="150" t="s">
        <v>1229</v>
      </c>
      <c r="K739" s="152">
        <v>22040</v>
      </c>
      <c r="L739" s="122"/>
      <c r="M739" s="123">
        <f>SIP[[#This Row],[Amount]]/SIP[[#This Row],[Unit]]</f>
        <v>11.485148514851485</v>
      </c>
      <c r="N739" s="71">
        <f>SIP[[#This Row],[Unit Capital]]/10</f>
        <v>1919</v>
      </c>
      <c r="O739" s="71">
        <f>SUMIFS(SIP[[#Headers],[Unit]]:SIP[[#This Row],[Unit]],SIP[[#Headers],[Investor ID]]:SIP[[#This Row],[Investor ID]],SIP[[#This Row],[Investor ID]])</f>
        <v>22745</v>
      </c>
      <c r="P739" s="153">
        <v>19190</v>
      </c>
      <c r="Q739" s="74">
        <f>SIP[[#This Row],[Amount]]-SIP[[#This Row],[Unit Capital]]</f>
        <v>2850</v>
      </c>
      <c r="R7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10.659045944163553</v>
      </c>
      <c r="S739" s="68">
        <f t="shared" si="33"/>
        <v>14.224</v>
      </c>
      <c r="T7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9" s="74" cm="1">
        <f t="array" ref="U739">IF(SIP[[#This Row],[B/S]]="S",ABS(SIP[[#This Row],[Unit]])*(INDEX(SIP[NAV at Cost (Average)],MATCH(CONCATENATE((SIP[[#This Row],[Frequency]]-1),SIP[[#This Row],[Investor ID]]),SIP[Unique Code],0),0)),0)</f>
        <v>0</v>
      </c>
      <c r="V739" s="74">
        <f>IF(SIP[[#This Row],[BO TRANSFER]]="YES",SIP[[#This Row],[Unit]],)</f>
        <v>0</v>
      </c>
      <c r="W739" s="74">
        <f>SUMIFS(SIP[[#Headers],[BO UNIT TRANSFER]]:SIP[[#This Row],[BO UNIT TRANSFER]],SIP[[#Headers],[Investor ID]]:SIP[[#This Row],[Investor ID]],SIP[[#This Row],[Investor ID]])</f>
        <v>0</v>
      </c>
    </row>
    <row r="740" spans="1:23" ht="15" customHeight="1">
      <c r="A740" s="46">
        <v>2024</v>
      </c>
      <c r="B740" s="46">
        <v>9</v>
      </c>
      <c r="C740" s="46">
        <v>26</v>
      </c>
      <c r="D740" s="65">
        <f>DATE(SIP[[#This Row],[Year]],SIP[[#This Row],[Month]],SIP[[#This Row],[Day]])</f>
        <v>45561</v>
      </c>
      <c r="E740" s="66" t="str" cm="1">
        <f t="array" ref="E740">INDEX(INVESTORS_LIST[INVESTOR NAME],MATCH(SIP[[#This Row],[Investor ID]],INVESTORS_LIST[INVESTOR CODE],0),)</f>
        <v>S.M. SAIFUL ISLAM</v>
      </c>
      <c r="F740" s="46" t="s">
        <v>1002</v>
      </c>
      <c r="G740" s="46">
        <f>COUNTIF(SIP[[#Headers],[Investor ID]]:SIP[[#This Row],[Investor ID]],SIP[[#This Row],[Investor ID]])</f>
        <v>17</v>
      </c>
      <c r="H740" s="46" t="str">
        <f>CONCATENATE(SIP[[#This Row],[Frequency]],SIP[[#This Row],[Investor ID]])</f>
        <v>17A00478</v>
      </c>
      <c r="I740" s="46" t="str">
        <f>IF(SIP[[#This Row],[B/S]]="B","BUY",(IF(SIP[[#This Row],[B/S]]="S","SELL"," ")))</f>
        <v>BUY</v>
      </c>
      <c r="J740" s="150" t="s">
        <v>1229</v>
      </c>
      <c r="K740" s="152">
        <v>10000</v>
      </c>
      <c r="L740" s="122"/>
      <c r="M740" s="123">
        <f>SIP[[#This Row],[Amount]]/SIP[[#This Row],[Unit]]</f>
        <v>11.481056257175661</v>
      </c>
      <c r="N740" s="71">
        <f>SIP[[#This Row],[Unit Capital]]/10</f>
        <v>871</v>
      </c>
      <c r="O740" s="71">
        <f>SUMIFS(SIP[[#Headers],[Unit]]:SIP[[#This Row],[Unit]],SIP[[#Headers],[Investor ID]]:SIP[[#This Row],[Investor ID]],SIP[[#This Row],[Investor ID]])</f>
        <v>15792</v>
      </c>
      <c r="P740" s="153">
        <v>8710</v>
      </c>
      <c r="Q740" s="74">
        <f>SIP[[#This Row],[Amount]]-SIP[[#This Row],[Unit Capital]]</f>
        <v>1290</v>
      </c>
      <c r="R7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10.764944275582573</v>
      </c>
      <c r="S740" s="68">
        <f t="shared" si="33"/>
        <v>14.224</v>
      </c>
      <c r="T7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0" s="74" cm="1">
        <f t="array" ref="U740">IF(SIP[[#This Row],[B/S]]="S",ABS(SIP[[#This Row],[Unit]])*(INDEX(SIP[NAV at Cost (Average)],MATCH(CONCATENATE((SIP[[#This Row],[Frequency]]-1),SIP[[#This Row],[Investor ID]]),SIP[Unique Code],0),0)),0)</f>
        <v>0</v>
      </c>
      <c r="V740" s="74">
        <f>IF(SIP[[#This Row],[BO TRANSFER]]="YES",SIP[[#This Row],[Unit]],)</f>
        <v>0</v>
      </c>
      <c r="W740" s="74">
        <f>SUMIFS(SIP[[#Headers],[BO UNIT TRANSFER]]:SIP[[#This Row],[BO UNIT TRANSFER]],SIP[[#Headers],[Investor ID]]:SIP[[#This Row],[Investor ID]],SIP[[#This Row],[Investor ID]])</f>
        <v>0</v>
      </c>
    </row>
    <row r="741" spans="1:23" ht="15" customHeight="1">
      <c r="A741" s="46">
        <v>2024</v>
      </c>
      <c r="B741" s="46">
        <v>9</v>
      </c>
      <c r="C741" s="46">
        <v>26</v>
      </c>
      <c r="D741" s="65">
        <f>DATE(SIP[[#This Row],[Year]],SIP[[#This Row],[Month]],SIP[[#This Row],[Day]])</f>
        <v>45561</v>
      </c>
      <c r="E741" s="66" t="str" cm="1">
        <f t="array" ref="E741">INDEX(INVESTORS_LIST[INVESTOR NAME],MATCH(SIP[[#This Row],[Investor ID]],INVESTORS_LIST[INVESTOR CODE],0),)</f>
        <v>MOHAMMED SHARIFUL ISLAM</v>
      </c>
      <c r="F741" s="46" t="s">
        <v>1028</v>
      </c>
      <c r="G741" s="46">
        <f>COUNTIF(SIP[[#Headers],[Investor ID]]:SIP[[#This Row],[Investor ID]],SIP[[#This Row],[Investor ID]])</f>
        <v>16</v>
      </c>
      <c r="H741" s="46" t="str">
        <f>CONCATENATE(SIP[[#This Row],[Frequency]],SIP[[#This Row],[Investor ID]])</f>
        <v>16A00491</v>
      </c>
      <c r="I741" s="46" t="str">
        <f>IF(SIP[[#This Row],[B/S]]="B","BUY",(IF(SIP[[#This Row],[B/S]]="S","SELL"," ")))</f>
        <v>BUY</v>
      </c>
      <c r="J741" s="150" t="s">
        <v>1229</v>
      </c>
      <c r="K741" s="152">
        <v>5000</v>
      </c>
      <c r="L741" s="122"/>
      <c r="M741" s="123">
        <f>SIP[[#This Row],[Amount]]/SIP[[#This Row],[Unit]]</f>
        <v>11.494252873563218</v>
      </c>
      <c r="N741" s="71">
        <f>SIP[[#This Row],[Unit Capital]]/10</f>
        <v>435</v>
      </c>
      <c r="O741" s="71">
        <f>SUMIFS(SIP[[#Headers],[Unit]]:SIP[[#This Row],[Unit]],SIP[[#Headers],[Investor ID]]:SIP[[#This Row],[Investor ID]],SIP[[#This Row],[Investor ID]])</f>
        <v>7402</v>
      </c>
      <c r="P741" s="153">
        <v>4350</v>
      </c>
      <c r="Q741" s="74">
        <f>SIP[[#This Row],[Amount]]-SIP[[#This Row],[Unit Capital]]</f>
        <v>650</v>
      </c>
      <c r="R7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10.807889759524452</v>
      </c>
      <c r="S741" s="68">
        <f t="shared" si="33"/>
        <v>14.224</v>
      </c>
      <c r="T7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1" s="74" cm="1">
        <f t="array" ref="U741">IF(SIP[[#This Row],[B/S]]="S",ABS(SIP[[#This Row],[Unit]])*(INDEX(SIP[NAV at Cost (Average)],MATCH(CONCATENATE((SIP[[#This Row],[Frequency]]-1),SIP[[#This Row],[Investor ID]]),SIP[Unique Code],0),0)),0)</f>
        <v>0</v>
      </c>
      <c r="V741" s="74">
        <f>IF(SIP[[#This Row],[BO TRANSFER]]="YES",SIP[[#This Row],[Unit]],)</f>
        <v>0</v>
      </c>
      <c r="W741" s="74">
        <f>SUMIFS(SIP[[#Headers],[BO UNIT TRANSFER]]:SIP[[#This Row],[BO UNIT TRANSFER]],SIP[[#Headers],[Investor ID]]:SIP[[#This Row],[Investor ID]],SIP[[#This Row],[Investor ID]])</f>
        <v>0</v>
      </c>
    </row>
    <row r="742" spans="1:23" ht="15" customHeight="1">
      <c r="A742" s="46">
        <v>2024</v>
      </c>
      <c r="B742" s="46">
        <v>9</v>
      </c>
      <c r="C742" s="46">
        <v>26</v>
      </c>
      <c r="D742" s="65">
        <f>DATE(SIP[[#This Row],[Year]],SIP[[#This Row],[Month]],SIP[[#This Row],[Day]])</f>
        <v>45561</v>
      </c>
      <c r="E742" s="66" t="str" cm="1">
        <f t="array" ref="E742">INDEX(INVESTORS_LIST[INVESTOR NAME],MATCH(SIP[[#This Row],[Investor ID]],INVESTORS_LIST[INVESTOR CODE],0),)</f>
        <v>ABU MUSA MIRZA KAMRUZZAMAN SHAHEE</v>
      </c>
      <c r="F742" s="46" t="s">
        <v>1012</v>
      </c>
      <c r="G742" s="46">
        <f>COUNTIF(SIP[[#Headers],[Investor ID]]:SIP[[#This Row],[Investor ID]],SIP[[#This Row],[Investor ID]])</f>
        <v>16</v>
      </c>
      <c r="H742" s="46" t="str">
        <f>CONCATENATE(SIP[[#This Row],[Frequency]],SIP[[#This Row],[Investor ID]])</f>
        <v>16A00483</v>
      </c>
      <c r="I742" s="46" t="str">
        <f>IF(SIP[[#This Row],[B/S]]="B","BUY",(IF(SIP[[#This Row],[B/S]]="S","SELL"," ")))</f>
        <v>BUY</v>
      </c>
      <c r="J742" s="150" t="s">
        <v>1229</v>
      </c>
      <c r="K742" s="152">
        <v>5000</v>
      </c>
      <c r="L742" s="122"/>
      <c r="M742" s="123">
        <f>SIP[[#This Row],[Amount]]/SIP[[#This Row],[Unit]]</f>
        <v>11.494252873563218</v>
      </c>
      <c r="N742" s="71">
        <f>SIP[[#This Row],[Unit Capital]]/10</f>
        <v>435</v>
      </c>
      <c r="O742" s="71">
        <f>SUMIFS(SIP[[#Headers],[Unit]]:SIP[[#This Row],[Unit]],SIP[[#Headers],[Investor ID]]:SIP[[#This Row],[Investor ID]],SIP[[#This Row],[Investor ID]])</f>
        <v>7402</v>
      </c>
      <c r="P742" s="153">
        <v>4350</v>
      </c>
      <c r="Q742" s="74">
        <f>SIP[[#This Row],[Amount]]-SIP[[#This Row],[Unit Capital]]</f>
        <v>650</v>
      </c>
      <c r="R7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10.807889759524452</v>
      </c>
      <c r="S742" s="68">
        <f t="shared" si="33"/>
        <v>14.224</v>
      </c>
      <c r="T7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2" s="74" cm="1">
        <f t="array" ref="U742">IF(SIP[[#This Row],[B/S]]="S",ABS(SIP[[#This Row],[Unit]])*(INDEX(SIP[NAV at Cost (Average)],MATCH(CONCATENATE((SIP[[#This Row],[Frequency]]-1),SIP[[#This Row],[Investor ID]]),SIP[Unique Code],0),0)),0)</f>
        <v>0</v>
      </c>
      <c r="V742" s="74">
        <f>IF(SIP[[#This Row],[BO TRANSFER]]="YES",SIP[[#This Row],[Unit]],)</f>
        <v>0</v>
      </c>
      <c r="W742" s="74">
        <f>SUMIFS(SIP[[#Headers],[BO UNIT TRANSFER]]:SIP[[#This Row],[BO UNIT TRANSFER]],SIP[[#Headers],[Investor ID]]:SIP[[#This Row],[Investor ID]],SIP[[#This Row],[Investor ID]])</f>
        <v>0</v>
      </c>
    </row>
    <row r="743" spans="1:23" ht="15" customHeight="1">
      <c r="A743" s="46">
        <v>2024</v>
      </c>
      <c r="B743" s="46">
        <v>9</v>
      </c>
      <c r="C743" s="46">
        <v>26</v>
      </c>
      <c r="D743" s="65">
        <f>DATE(SIP[[#This Row],[Year]],SIP[[#This Row],[Month]],SIP[[#This Row],[Day]])</f>
        <v>45561</v>
      </c>
      <c r="E743" s="66" t="str" cm="1">
        <f t="array" ref="E743">INDEX(INVESTORS_LIST[INVESTOR NAME],MATCH(SIP[[#This Row],[Investor ID]],INVESTORS_LIST[INVESTOR CODE],0),)</f>
        <v>SUMAN SAHA</v>
      </c>
      <c r="F743" s="46" t="s">
        <v>1022</v>
      </c>
      <c r="G743" s="46">
        <f>COUNTIF(SIP[[#Headers],[Investor ID]]:SIP[[#This Row],[Investor ID]],SIP[[#This Row],[Investor ID]])</f>
        <v>16</v>
      </c>
      <c r="H743" s="46" t="str">
        <f>CONCATENATE(SIP[[#This Row],[Frequency]],SIP[[#This Row],[Investor ID]])</f>
        <v>16A00488</v>
      </c>
      <c r="I743" s="46" t="str">
        <f>IF(SIP[[#This Row],[B/S]]="B","BUY",(IF(SIP[[#This Row],[B/S]]="S","SELL"," ")))</f>
        <v>BUY</v>
      </c>
      <c r="J743" s="150" t="s">
        <v>1229</v>
      </c>
      <c r="K743" s="152">
        <v>5000</v>
      </c>
      <c r="L743" s="122"/>
      <c r="M743" s="123">
        <f>SIP[[#This Row],[Amount]]/SIP[[#This Row],[Unit]]</f>
        <v>11.494252873563218</v>
      </c>
      <c r="N743" s="71">
        <f>SIP[[#This Row],[Unit Capital]]/10</f>
        <v>435</v>
      </c>
      <c r="O743" s="71">
        <f>SUMIFS(SIP[[#Headers],[Unit]]:SIP[[#This Row],[Unit]],SIP[[#Headers],[Investor ID]]:SIP[[#This Row],[Investor ID]],SIP[[#This Row],[Investor ID]])</f>
        <v>7402</v>
      </c>
      <c r="P743" s="153">
        <v>4350</v>
      </c>
      <c r="Q743" s="74">
        <f>SIP[[#This Row],[Amount]]-SIP[[#This Row],[Unit Capital]]</f>
        <v>650</v>
      </c>
      <c r="R7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10.807889759524452</v>
      </c>
      <c r="S743" s="68">
        <f t="shared" si="33"/>
        <v>14.224</v>
      </c>
      <c r="T7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3" s="74" cm="1">
        <f t="array" ref="U743">IF(SIP[[#This Row],[B/S]]="S",ABS(SIP[[#This Row],[Unit]])*(INDEX(SIP[NAV at Cost (Average)],MATCH(CONCATENATE((SIP[[#This Row],[Frequency]]-1),SIP[[#This Row],[Investor ID]]),SIP[Unique Code],0),0)),0)</f>
        <v>0</v>
      </c>
      <c r="V743" s="74">
        <f>IF(SIP[[#This Row],[BO TRANSFER]]="YES",SIP[[#This Row],[Unit]],)</f>
        <v>0</v>
      </c>
      <c r="W743" s="74">
        <f>SUMIFS(SIP[[#Headers],[BO UNIT TRANSFER]]:SIP[[#This Row],[BO UNIT TRANSFER]],SIP[[#Headers],[Investor ID]]:SIP[[#This Row],[Investor ID]],SIP[[#This Row],[Investor ID]])</f>
        <v>0</v>
      </c>
    </row>
    <row r="744" spans="1:23" ht="15" customHeight="1">
      <c r="A744" s="46">
        <v>2024</v>
      </c>
      <c r="B744" s="46">
        <v>9</v>
      </c>
      <c r="C744" s="46">
        <v>26</v>
      </c>
      <c r="D744" s="65">
        <f>DATE(SIP[[#This Row],[Year]],SIP[[#This Row],[Month]],SIP[[#This Row],[Day]])</f>
        <v>45561</v>
      </c>
      <c r="E744" s="66" t="str" cm="1">
        <f t="array" ref="E744">INDEX(INVESTORS_LIST[INVESTOR NAME],MATCH(SIP[[#This Row],[Investor ID]],INVESTORS_LIST[INVESTOR CODE],0),)</f>
        <v>AKASH DEEP PAUL</v>
      </c>
      <c r="F744" s="46" t="s">
        <v>286</v>
      </c>
      <c r="G744" s="46">
        <f>COUNTIF(SIP[[#Headers],[Investor ID]]:SIP[[#This Row],[Investor ID]],SIP[[#This Row],[Investor ID]])</f>
        <v>17</v>
      </c>
      <c r="H744" s="46" t="str">
        <f>CONCATENATE(SIP[[#This Row],[Frequency]],SIP[[#This Row],[Investor ID]])</f>
        <v>17A00119</v>
      </c>
      <c r="I744" s="46" t="str">
        <f>IF(SIP[[#This Row],[B/S]]="B","BUY",(IF(SIP[[#This Row],[B/S]]="S","SELL"," ")))</f>
        <v>BUY</v>
      </c>
      <c r="J744" s="150" t="s">
        <v>1229</v>
      </c>
      <c r="K744" s="152">
        <v>5000</v>
      </c>
      <c r="L744" s="122"/>
      <c r="M744" s="123">
        <f>SIP[[#This Row],[Amount]]/SIP[[#This Row],[Unit]]</f>
        <v>11.494252873563218</v>
      </c>
      <c r="N744" s="71">
        <f>SIP[[#This Row],[Unit Capital]]/10</f>
        <v>435</v>
      </c>
      <c r="O744" s="71">
        <f>SUMIFS(SIP[[#Headers],[Unit]]:SIP[[#This Row],[Unit]],SIP[[#Headers],[Investor ID]]:SIP[[#This Row],[Investor ID]],SIP[[#This Row],[Investor ID]])</f>
        <v>435</v>
      </c>
      <c r="P744" s="153">
        <v>4350</v>
      </c>
      <c r="Q744" s="74">
        <f>SIP[[#This Row],[Amount]]-SIP[[#This Row],[Unit Capital]]</f>
        <v>650</v>
      </c>
      <c r="R7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11.494252873563218</v>
      </c>
      <c r="S744" s="68">
        <f t="shared" si="33"/>
        <v>14.224</v>
      </c>
      <c r="T7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4" s="74" cm="1">
        <f t="array" ref="U744">IF(SIP[[#This Row],[B/S]]="S",ABS(SIP[[#This Row],[Unit]])*(INDEX(SIP[NAV at Cost (Average)],MATCH(CONCATENATE((SIP[[#This Row],[Frequency]]-1),SIP[[#This Row],[Investor ID]]),SIP[Unique Code],0),0)),0)</f>
        <v>0</v>
      </c>
      <c r="V744" s="74">
        <f>IF(SIP[[#This Row],[BO TRANSFER]]="YES",SIP[[#This Row],[Unit]],)</f>
        <v>0</v>
      </c>
      <c r="W744" s="74">
        <f>SUMIFS(SIP[[#Headers],[BO UNIT TRANSFER]]:SIP[[#This Row],[BO UNIT TRANSFER]],SIP[[#Headers],[Investor ID]]:SIP[[#This Row],[Investor ID]],SIP[[#This Row],[Investor ID]])</f>
        <v>0</v>
      </c>
    </row>
    <row r="745" spans="1:23" ht="15" customHeight="1">
      <c r="A745" s="46">
        <v>2024</v>
      </c>
      <c r="B745" s="46">
        <v>9</v>
      </c>
      <c r="C745" s="46">
        <v>26</v>
      </c>
      <c r="D745" s="65">
        <f>DATE(SIP[[#This Row],[Year]],SIP[[#This Row],[Month]],SIP[[#This Row],[Day]])</f>
        <v>45561</v>
      </c>
      <c r="E745" s="66" t="str" cm="1">
        <f t="array" ref="E745">INDEX(INVESTORS_LIST[INVESTOR NAME],MATCH(SIP[[#This Row],[Investor ID]],INVESTORS_LIST[INVESTOR CODE],0),)</f>
        <v>JUBAIDA FARHANA HAQUE</v>
      </c>
      <c r="F745" s="46" t="s">
        <v>1065</v>
      </c>
      <c r="G745" s="46">
        <f>COUNTIF(SIP[[#Headers],[Investor ID]]:SIP[[#This Row],[Investor ID]],SIP[[#This Row],[Investor ID]])</f>
        <v>14</v>
      </c>
      <c r="H745" s="46" t="str">
        <f>CONCATENATE(SIP[[#This Row],[Frequency]],SIP[[#This Row],[Investor ID]])</f>
        <v>14A00510</v>
      </c>
      <c r="I745" s="46" t="str">
        <f>IF(SIP[[#This Row],[B/S]]="B","BUY",(IF(SIP[[#This Row],[B/S]]="S","SELL"," ")))</f>
        <v>BUY</v>
      </c>
      <c r="J745" s="150" t="s">
        <v>1229</v>
      </c>
      <c r="K745" s="152">
        <v>5000</v>
      </c>
      <c r="L745" s="122"/>
      <c r="M745" s="123">
        <f>SIP[[#This Row],[Amount]]/SIP[[#This Row],[Unit]]</f>
        <v>11.494252873563218</v>
      </c>
      <c r="N745" s="71">
        <f>SIP[[#This Row],[Unit Capital]]/10</f>
        <v>435</v>
      </c>
      <c r="O745" s="71">
        <f>SUMIFS(SIP[[#Headers],[Unit]]:SIP[[#This Row],[Unit]],SIP[[#Headers],[Investor ID]]:SIP[[#This Row],[Investor ID]],SIP[[#This Row],[Investor ID]])</f>
        <v>5478</v>
      </c>
      <c r="P745" s="153">
        <v>4350</v>
      </c>
      <c r="Q745" s="74">
        <f>SIP[[#This Row],[Amount]]-SIP[[#This Row],[Unit Capital]]</f>
        <v>650</v>
      </c>
      <c r="R7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10.955781831081135</v>
      </c>
      <c r="S745" s="68">
        <f t="shared" si="33"/>
        <v>14.224</v>
      </c>
      <c r="T7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5" s="74" cm="1">
        <f t="array" ref="U745">IF(SIP[[#This Row],[B/S]]="S",ABS(SIP[[#This Row],[Unit]])*(INDEX(SIP[NAV at Cost (Average)],MATCH(CONCATENATE((SIP[[#This Row],[Frequency]]-1),SIP[[#This Row],[Investor ID]]),SIP[Unique Code],0),0)),0)</f>
        <v>0</v>
      </c>
      <c r="V745" s="74">
        <f>IF(SIP[[#This Row],[BO TRANSFER]]="YES",SIP[[#This Row],[Unit]],)</f>
        <v>0</v>
      </c>
      <c r="W745" s="74">
        <f>SUMIFS(SIP[[#Headers],[BO UNIT TRANSFER]]:SIP[[#This Row],[BO UNIT TRANSFER]],SIP[[#Headers],[Investor ID]]:SIP[[#This Row],[Investor ID]],SIP[[#This Row],[Investor ID]])</f>
        <v>0</v>
      </c>
    </row>
    <row r="746" spans="1:23" ht="15" customHeight="1">
      <c r="A746" s="46">
        <v>2024</v>
      </c>
      <c r="B746" s="46">
        <v>9</v>
      </c>
      <c r="C746" s="46">
        <v>26</v>
      </c>
      <c r="D746" s="65">
        <f>DATE(SIP[[#This Row],[Year]],SIP[[#This Row],[Month]],SIP[[#This Row],[Day]])</f>
        <v>45561</v>
      </c>
      <c r="E746" s="66" t="str" cm="1">
        <f t="array" ref="E746">INDEX(INVESTORS_LIST[INVESTOR NAME],MATCH(SIP[[#This Row],[Investor ID]],INVESTORS_LIST[INVESTOR CODE],0),)</f>
        <v>MAYA RANI SAHA</v>
      </c>
      <c r="F746" s="46" t="s">
        <v>224</v>
      </c>
      <c r="G746" s="46">
        <f>COUNTIF(SIP[[#Headers],[Investor ID]]:SIP[[#This Row],[Investor ID]],SIP[[#This Row],[Investor ID]])</f>
        <v>22</v>
      </c>
      <c r="H746" s="46" t="str">
        <f>CONCATENATE(SIP[[#This Row],[Frequency]],SIP[[#This Row],[Investor ID]])</f>
        <v>22A00088</v>
      </c>
      <c r="I746" s="46" t="str">
        <f>IF(SIP[[#This Row],[B/S]]="B","BUY",(IF(SIP[[#This Row],[B/S]]="S","SELL"," ")))</f>
        <v>BUY</v>
      </c>
      <c r="J746" s="150" t="s">
        <v>1229</v>
      </c>
      <c r="K746" s="152">
        <v>14000</v>
      </c>
      <c r="L746" s="122"/>
      <c r="M746" s="123">
        <f>SIP[[#This Row],[Amount]]/SIP[[#This Row],[Unit]]</f>
        <v>11.484823625922887</v>
      </c>
      <c r="N746" s="71">
        <f>SIP[[#This Row],[Unit Capital]]/10</f>
        <v>1219</v>
      </c>
      <c r="O746" s="71">
        <f>SUMIFS(SIP[[#Headers],[Unit]]:SIP[[#This Row],[Unit]],SIP[[#Headers],[Investor ID]]:SIP[[#This Row],[Investor ID]],SIP[[#This Row],[Investor ID]])</f>
        <v>32156</v>
      </c>
      <c r="P746" s="153">
        <v>12190</v>
      </c>
      <c r="Q746" s="74">
        <f>SIP[[#This Row],[Amount]]-SIP[[#This Row],[Unit Capital]]</f>
        <v>1810</v>
      </c>
      <c r="R7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10.946635153626074</v>
      </c>
      <c r="S746" s="68">
        <f t="shared" si="33"/>
        <v>14.224</v>
      </c>
      <c r="T7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6" s="74" cm="1">
        <f t="array" ref="U746">IF(SIP[[#This Row],[B/S]]="S",ABS(SIP[[#This Row],[Unit]])*(INDEX(SIP[NAV at Cost (Average)],MATCH(CONCATENATE((SIP[[#This Row],[Frequency]]-1),SIP[[#This Row],[Investor ID]]),SIP[Unique Code],0),0)),0)</f>
        <v>0</v>
      </c>
      <c r="V746" s="74">
        <f>IF(SIP[[#This Row],[BO TRANSFER]]="YES",SIP[[#This Row],[Unit]],)</f>
        <v>0</v>
      </c>
      <c r="W746" s="74">
        <f>SUMIFS(SIP[[#Headers],[BO UNIT TRANSFER]]:SIP[[#This Row],[BO UNIT TRANSFER]],SIP[[#Headers],[Investor ID]]:SIP[[#This Row],[Investor ID]],SIP[[#This Row],[Investor ID]])</f>
        <v>0</v>
      </c>
    </row>
    <row r="747" spans="1:23" ht="15" customHeight="1">
      <c r="A747" s="46">
        <v>2024</v>
      </c>
      <c r="B747" s="46">
        <v>9</v>
      </c>
      <c r="C747" s="46">
        <v>26</v>
      </c>
      <c r="D747" s="65">
        <f>DATE(SIP[[#This Row],[Year]],SIP[[#This Row],[Month]],SIP[[#This Row],[Day]])</f>
        <v>45561</v>
      </c>
      <c r="E747" s="66" t="str" cm="1">
        <f t="array" ref="E747">INDEX(INVESTORS_LIST[INVESTOR NAME],MATCH(SIP[[#This Row],[Investor ID]],INVESTORS_LIST[INVESTOR CODE],0),)</f>
        <v>MUHAMMAD SHOHIDUZZAMAN</v>
      </c>
      <c r="F747" s="46" t="s">
        <v>986</v>
      </c>
      <c r="G747" s="46">
        <f>COUNTIF(SIP[[#Headers],[Investor ID]]:SIP[[#This Row],[Investor ID]],SIP[[#This Row],[Investor ID]])</f>
        <v>11</v>
      </c>
      <c r="H747" s="46" t="str">
        <f>CONCATENATE(SIP[[#This Row],[Frequency]],SIP[[#This Row],[Investor ID]])</f>
        <v>11A00470</v>
      </c>
      <c r="I747" s="46" t="str">
        <f>IF(SIP[[#This Row],[B/S]]="B","BUY",(IF(SIP[[#This Row],[B/S]]="S","SELL"," ")))</f>
        <v>BUY</v>
      </c>
      <c r="J747" s="150" t="s">
        <v>1229</v>
      </c>
      <c r="K747" s="152">
        <v>10000</v>
      </c>
      <c r="L747" s="122" t="s">
        <v>1230</v>
      </c>
      <c r="M747" s="123">
        <f>SIP[[#This Row],[Amount]]/SIP[[#This Row],[Unit]]</f>
        <v>11.481056257175661</v>
      </c>
      <c r="N747" s="71">
        <f>SIP[[#This Row],[Unit Capital]]/10</f>
        <v>871</v>
      </c>
      <c r="O747" s="71">
        <f>SUMIFS(SIP[[#Headers],[Unit]]:SIP[[#This Row],[Unit]],SIP[[#Headers],[Investor ID]]:SIP[[#This Row],[Investor ID]],SIP[[#This Row],[Investor ID]])</f>
        <v>10007</v>
      </c>
      <c r="P747" s="153">
        <v>8710</v>
      </c>
      <c r="Q747" s="74">
        <f>SIP[[#This Row],[Amount]]-SIP[[#This Row],[Unit Capital]]</f>
        <v>1290</v>
      </c>
      <c r="R7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10.992305386229638</v>
      </c>
      <c r="S747" s="68">
        <f t="shared" si="33"/>
        <v>14.224</v>
      </c>
      <c r="T7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7" s="74" cm="1">
        <f t="array" ref="U747">IF(SIP[[#This Row],[B/S]]="S",ABS(SIP[[#This Row],[Unit]])*(INDEX(SIP[NAV at Cost (Average)],MATCH(CONCATENATE((SIP[[#This Row],[Frequency]]-1),SIP[[#This Row],[Investor ID]]),SIP[Unique Code],0),0)),0)</f>
        <v>0</v>
      </c>
      <c r="V747" s="74">
        <f>IF(SIP[[#This Row],[BO TRANSFER]]="YES",SIP[[#This Row],[Unit]],)</f>
        <v>871</v>
      </c>
      <c r="W747" s="74">
        <f>SUMIFS(SIP[[#Headers],[BO UNIT TRANSFER]]:SIP[[#This Row],[BO UNIT TRANSFER]],SIP[[#Headers],[Investor ID]]:SIP[[#This Row],[Investor ID]],SIP[[#This Row],[Investor ID]])</f>
        <v>10007</v>
      </c>
    </row>
    <row r="748" spans="1:23" ht="15" customHeight="1">
      <c r="A748" s="46">
        <v>2024</v>
      </c>
      <c r="B748" s="46">
        <v>9</v>
      </c>
      <c r="C748" s="46">
        <v>26</v>
      </c>
      <c r="D748" s="65">
        <f>DATE(SIP[[#This Row],[Year]],SIP[[#This Row],[Month]],SIP[[#This Row],[Day]])</f>
        <v>45561</v>
      </c>
      <c r="E748" s="66" t="str" cm="1">
        <f t="array" ref="E748">INDEX(INVESTORS_LIST[INVESTOR NAME],MATCH(SIP[[#This Row],[Investor ID]],INVESTORS_LIST[INVESTOR CODE],0),)</f>
        <v>MOHAMMAD SAMIUL ALAM</v>
      </c>
      <c r="F748" s="46" t="s">
        <v>537</v>
      </c>
      <c r="G748" s="46">
        <f>COUNTIF(SIP[[#Headers],[Investor ID]]:SIP[[#This Row],[Investor ID]],SIP[[#This Row],[Investor ID]])</f>
        <v>14</v>
      </c>
      <c r="H748" s="46" t="str">
        <f>CONCATENATE(SIP[[#This Row],[Frequency]],SIP[[#This Row],[Investor ID]])</f>
        <v>14A00244</v>
      </c>
      <c r="I748" s="46" t="str">
        <f>IF(SIP[[#This Row],[B/S]]="B","BUY",(IF(SIP[[#This Row],[B/S]]="S","SELL"," ")))</f>
        <v>BUY</v>
      </c>
      <c r="J748" s="150" t="s">
        <v>1229</v>
      </c>
      <c r="K748" s="152">
        <v>20000</v>
      </c>
      <c r="L748" s="69"/>
      <c r="M748" s="123">
        <f>SIP[[#This Row],[Amount]]/SIP[[#This Row],[Unit]]</f>
        <v>11.487650775416427</v>
      </c>
      <c r="N748" s="71">
        <f>SIP[[#This Row],[Unit Capital]]/10</f>
        <v>1741</v>
      </c>
      <c r="O748" s="71">
        <f>SUMIFS(SIP[[#Headers],[Unit]]:SIP[[#This Row],[Unit]],SIP[[#Headers],[Investor ID]]:SIP[[#This Row],[Investor ID]],SIP[[#This Row],[Investor ID]])</f>
        <v>25735</v>
      </c>
      <c r="P748" s="153">
        <v>17410</v>
      </c>
      <c r="Q748" s="74">
        <f>SIP[[#This Row],[Amount]]-SIP[[#This Row],[Unit Capital]]</f>
        <v>2590</v>
      </c>
      <c r="R7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10.880124344278221</v>
      </c>
      <c r="S748" s="68">
        <f t="shared" si="33"/>
        <v>14.224</v>
      </c>
      <c r="T7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8" s="74" cm="1">
        <f t="array" ref="U748">IF(SIP[[#This Row],[B/S]]="S",ABS(SIP[[#This Row],[Unit]])*(INDEX(SIP[NAV at Cost (Average)],MATCH(CONCATENATE((SIP[[#This Row],[Frequency]]-1),SIP[[#This Row],[Investor ID]]),SIP[Unique Code],0),0)),0)</f>
        <v>0</v>
      </c>
      <c r="V748" s="74">
        <f>IF(SIP[[#This Row],[BO TRANSFER]]="YES",SIP[[#This Row],[Unit]],)</f>
        <v>0</v>
      </c>
      <c r="W748" s="74">
        <f>SUMIFS(SIP[[#Headers],[BO UNIT TRANSFER]]:SIP[[#This Row],[BO UNIT TRANSFER]],SIP[[#Headers],[Investor ID]]:SIP[[#This Row],[Investor ID]],SIP[[#This Row],[Investor ID]])</f>
        <v>0</v>
      </c>
    </row>
    <row r="749" spans="1:23" ht="15" customHeight="1">
      <c r="A749" s="46">
        <v>2024</v>
      </c>
      <c r="B749" s="46">
        <v>9</v>
      </c>
      <c r="C749" s="46">
        <v>26</v>
      </c>
      <c r="D749" s="65">
        <f>DATE(SIP[[#This Row],[Year]],SIP[[#This Row],[Month]],SIP[[#This Row],[Day]])</f>
        <v>45561</v>
      </c>
      <c r="E749" s="66" t="str" cm="1">
        <f t="array" ref="E749">INDEX(INVESTORS_LIST[INVESTOR NAME],MATCH(SIP[[#This Row],[Investor ID]],INVESTORS_LIST[INVESTOR CODE],0),)</f>
        <v>MRINMOY GHOSH</v>
      </c>
      <c r="F749" s="46" t="s">
        <v>69</v>
      </c>
      <c r="G749" s="46">
        <f>COUNTIF(SIP[[#Headers],[Investor ID]]:SIP[[#This Row],[Investor ID]],SIP[[#This Row],[Investor ID]])</f>
        <v>14</v>
      </c>
      <c r="H749" s="46" t="str">
        <f>CONCATENATE(SIP[[#This Row],[Frequency]],SIP[[#This Row],[Investor ID]])</f>
        <v>14A00012</v>
      </c>
      <c r="I749" s="46" t="str">
        <f>IF(SIP[[#This Row],[B/S]]="B","BUY",(IF(SIP[[#This Row],[B/S]]="S","SELL"," ")))</f>
        <v>BUY</v>
      </c>
      <c r="J749" s="150" t="s">
        <v>1229</v>
      </c>
      <c r="K749" s="152">
        <v>10000</v>
      </c>
      <c r="L749" s="122"/>
      <c r="M749" s="123">
        <f>SIP[[#This Row],[Amount]]/SIP[[#This Row],[Unit]]</f>
        <v>11.481056257175661</v>
      </c>
      <c r="N749" s="71">
        <f>SIP[[#This Row],[Unit Capital]]/10</f>
        <v>871</v>
      </c>
      <c r="O749" s="71">
        <f>SUMIFS(SIP[[#Headers],[Unit]]:SIP[[#This Row],[Unit]],SIP[[#Headers],[Investor ID]]:SIP[[#This Row],[Investor ID]],SIP[[#This Row],[Investor ID]])</f>
        <v>1751</v>
      </c>
      <c r="P749" s="153">
        <v>8710</v>
      </c>
      <c r="Q749" s="74">
        <f>SIP[[#This Row],[Amount]]-SIP[[#This Row],[Unit Capital]]</f>
        <v>1290</v>
      </c>
      <c r="R7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11.42204454597373</v>
      </c>
      <c r="S749" s="68">
        <f t="shared" si="33"/>
        <v>14.224</v>
      </c>
      <c r="T7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49" s="74" cm="1">
        <f t="array" ref="U749">IF(SIP[[#This Row],[B/S]]="S",ABS(SIP[[#This Row],[Unit]])*(INDEX(SIP[NAV at Cost (Average)],MATCH(CONCATENATE((SIP[[#This Row],[Frequency]]-1),SIP[[#This Row],[Investor ID]]),SIP[Unique Code],0),0)),0)</f>
        <v>0</v>
      </c>
      <c r="V749" s="74">
        <f>IF(SIP[[#This Row],[BO TRANSFER]]="YES",SIP[[#This Row],[Unit]],)</f>
        <v>0</v>
      </c>
      <c r="W749" s="74">
        <f>SUMIFS(SIP[[#Headers],[BO UNIT TRANSFER]]:SIP[[#This Row],[BO UNIT TRANSFER]],SIP[[#Headers],[Investor ID]]:SIP[[#This Row],[Investor ID]],SIP[[#This Row],[Investor ID]])</f>
        <v>0</v>
      </c>
    </row>
    <row r="750" spans="1:23" ht="15" customHeight="1">
      <c r="A750" s="46">
        <v>2024</v>
      </c>
      <c r="B750" s="46">
        <v>9</v>
      </c>
      <c r="C750" s="46">
        <v>26</v>
      </c>
      <c r="D750" s="65">
        <f>DATE(SIP[[#This Row],[Year]],SIP[[#This Row],[Month]],SIP[[#This Row],[Day]])</f>
        <v>45561</v>
      </c>
      <c r="E750" s="66" t="str" cm="1">
        <f t="array" ref="E750">INDEX(INVESTORS_LIST[INVESTOR NAME],MATCH(SIP[[#This Row],[Investor ID]],INVESTORS_LIST[INVESTOR CODE],0),)</f>
        <v>ADNAN RASHID</v>
      </c>
      <c r="F750" s="46" t="s">
        <v>252</v>
      </c>
      <c r="G750" s="46">
        <f>COUNTIF(SIP[[#Headers],[Investor ID]]:SIP[[#This Row],[Investor ID]],SIP[[#This Row],[Investor ID]])</f>
        <v>14</v>
      </c>
      <c r="H750" s="46" t="str">
        <f>CONCATENATE(SIP[[#This Row],[Frequency]],SIP[[#This Row],[Investor ID]])</f>
        <v>14A00102</v>
      </c>
      <c r="I750" s="46" t="str">
        <f>IF(SIP[[#This Row],[B/S]]="B","BUY",(IF(SIP[[#This Row],[B/S]]="S","SELL"," ")))</f>
        <v>BUY</v>
      </c>
      <c r="J750" s="150" t="s">
        <v>1229</v>
      </c>
      <c r="K750" s="152">
        <v>30000</v>
      </c>
      <c r="L750" s="122"/>
      <c r="M750" s="123">
        <f>SIP[[#This Row],[Amount]]/SIP[[#This Row],[Unit]]</f>
        <v>11.485451761102603</v>
      </c>
      <c r="N750" s="71">
        <f>SIP[[#This Row],[Unit Capital]]/10</f>
        <v>2612</v>
      </c>
      <c r="O750" s="71">
        <f>SUMIFS(SIP[[#Headers],[Unit]]:SIP[[#This Row],[Unit]],SIP[[#Headers],[Investor ID]]:SIP[[#This Row],[Investor ID]],SIP[[#This Row],[Investor ID]])</f>
        <v>17528</v>
      </c>
      <c r="P750" s="153">
        <v>26120</v>
      </c>
      <c r="Q750" s="74">
        <f>SIP[[#This Row],[Amount]]-SIP[[#This Row],[Unit Capital]]</f>
        <v>3880</v>
      </c>
      <c r="R7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11.129373160433662</v>
      </c>
      <c r="S750" s="68">
        <f t="shared" si="33"/>
        <v>14.224</v>
      </c>
      <c r="T7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0" s="74" cm="1">
        <f t="array" ref="U750">IF(SIP[[#This Row],[B/S]]="S",ABS(SIP[[#This Row],[Unit]])*(INDEX(SIP[NAV at Cost (Average)],MATCH(CONCATENATE((SIP[[#This Row],[Frequency]]-1),SIP[[#This Row],[Investor ID]]),SIP[Unique Code],0),0)),0)</f>
        <v>0</v>
      </c>
      <c r="V750" s="74">
        <f>IF(SIP[[#This Row],[BO TRANSFER]]="YES",SIP[[#This Row],[Unit]],)</f>
        <v>0</v>
      </c>
      <c r="W750" s="74">
        <f>SUMIFS(SIP[[#Headers],[BO UNIT TRANSFER]]:SIP[[#This Row],[BO UNIT TRANSFER]],SIP[[#Headers],[Investor ID]]:SIP[[#This Row],[Investor ID]],SIP[[#This Row],[Investor ID]])</f>
        <v>0</v>
      </c>
    </row>
    <row r="751" spans="1:23" ht="15" customHeight="1">
      <c r="A751" s="46">
        <v>2024</v>
      </c>
      <c r="B751" s="46">
        <v>9</v>
      </c>
      <c r="C751" s="46">
        <v>26</v>
      </c>
      <c r="D751" s="65">
        <f>DATE(SIP[[#This Row],[Year]],SIP[[#This Row],[Month]],SIP[[#This Row],[Day]])</f>
        <v>45561</v>
      </c>
      <c r="E751" s="66" t="str" cm="1">
        <f t="array" ref="E751">INDEX(INVESTORS_LIST[INVESTOR NAME],MATCH(SIP[[#This Row],[Investor ID]],INVESTORS_LIST[INVESTOR CODE],0),)</f>
        <v>MD ABDULLAH-AL- MAMUN</v>
      </c>
      <c r="F751" s="46" t="s">
        <v>533</v>
      </c>
      <c r="G751" s="46">
        <f>COUNTIF(SIP[[#Headers],[Investor ID]]:SIP[[#This Row],[Investor ID]],SIP[[#This Row],[Investor ID]])</f>
        <v>12</v>
      </c>
      <c r="H751" s="46" t="str">
        <f>CONCATENATE(SIP[[#This Row],[Frequency]],SIP[[#This Row],[Investor ID]])</f>
        <v>12A00242</v>
      </c>
      <c r="I751" s="46" t="str">
        <f>IF(SIP[[#This Row],[B/S]]="B","BUY",(IF(SIP[[#This Row],[B/S]]="S","SELL"," ")))</f>
        <v>BUY</v>
      </c>
      <c r="J751" s="150" t="s">
        <v>1229</v>
      </c>
      <c r="K751" s="152">
        <v>15000</v>
      </c>
      <c r="L751" s="122"/>
      <c r="M751" s="123">
        <f>SIP[[#This Row],[Amount]]/SIP[[#This Row],[Unit]]</f>
        <v>11.485451761102603</v>
      </c>
      <c r="N751" s="71">
        <f>SIP[[#This Row],[Unit Capital]]/10</f>
        <v>1306</v>
      </c>
      <c r="O751" s="71">
        <f>SUMIFS(SIP[[#Headers],[Unit]]:SIP[[#This Row],[Unit]],SIP[[#Headers],[Investor ID]]:SIP[[#This Row],[Investor ID]],SIP[[#This Row],[Investor ID]])</f>
        <v>16431</v>
      </c>
      <c r="P751" s="153">
        <v>13060</v>
      </c>
      <c r="Q751" s="74">
        <f>SIP[[#This Row],[Amount]]-SIP[[#This Row],[Unit Capital]]</f>
        <v>1940</v>
      </c>
      <c r="R7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10.954902318787664</v>
      </c>
      <c r="S751" s="68">
        <f t="shared" si="33"/>
        <v>14.224</v>
      </c>
      <c r="T7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1" s="74" cm="1">
        <f t="array" ref="U751">IF(SIP[[#This Row],[B/S]]="S",ABS(SIP[[#This Row],[Unit]])*(INDEX(SIP[NAV at Cost (Average)],MATCH(CONCATENATE((SIP[[#This Row],[Frequency]]-1),SIP[[#This Row],[Investor ID]]),SIP[Unique Code],0),0)),0)</f>
        <v>0</v>
      </c>
      <c r="V751" s="74">
        <f>IF(SIP[[#This Row],[BO TRANSFER]]="YES",SIP[[#This Row],[Unit]],)</f>
        <v>0</v>
      </c>
      <c r="W751" s="74">
        <f>SUMIFS(SIP[[#Headers],[BO UNIT TRANSFER]]:SIP[[#This Row],[BO UNIT TRANSFER]],SIP[[#Headers],[Investor ID]]:SIP[[#This Row],[Investor ID]],SIP[[#This Row],[Investor ID]])</f>
        <v>0</v>
      </c>
    </row>
    <row r="752" spans="1:23" ht="15" customHeight="1">
      <c r="A752" s="46">
        <v>2024</v>
      </c>
      <c r="B752" s="46">
        <v>9</v>
      </c>
      <c r="C752" s="46">
        <v>26</v>
      </c>
      <c r="D752" s="65">
        <f>DATE(SIP[[#This Row],[Year]],SIP[[#This Row],[Month]],SIP[[#This Row],[Day]])</f>
        <v>45561</v>
      </c>
      <c r="E752" s="66" t="str" cm="1">
        <f t="array" ref="E752">INDEX(INVESTORS_LIST[INVESTOR NAME],MATCH(SIP[[#This Row],[Investor ID]],INVESTORS_LIST[INVESTOR CODE],0),)</f>
        <v>MOHAMMAD HASAN IMAM</v>
      </c>
      <c r="F752" s="46" t="s">
        <v>1122</v>
      </c>
      <c r="G752" s="46">
        <f>COUNTIF(SIP[[#Headers],[Investor ID]]:SIP[[#This Row],[Investor ID]],SIP[[#This Row],[Investor ID]])</f>
        <v>6</v>
      </c>
      <c r="H752" s="46" t="str">
        <f>CONCATENATE(SIP[[#This Row],[Frequency]],SIP[[#This Row],[Investor ID]])</f>
        <v>6A00536</v>
      </c>
      <c r="I752" s="46" t="str">
        <f>IF(SIP[[#This Row],[B/S]]="B","BUY",(IF(SIP[[#This Row],[B/S]]="S","SELL"," ")))</f>
        <v>BUY</v>
      </c>
      <c r="J752" s="150" t="s">
        <v>1229</v>
      </c>
      <c r="K752" s="152">
        <v>5000</v>
      </c>
      <c r="L752" s="122"/>
      <c r="M752" s="123">
        <f>SIP[[#This Row],[Amount]]/SIP[[#This Row],[Unit]]</f>
        <v>11.494252873563218</v>
      </c>
      <c r="N752" s="71">
        <f>SIP[[#This Row],[Unit Capital]]/10</f>
        <v>435</v>
      </c>
      <c r="O752" s="71">
        <f>SUMIFS(SIP[[#Headers],[Unit]]:SIP[[#This Row],[Unit]],SIP[[#Headers],[Investor ID]]:SIP[[#This Row],[Investor ID]],SIP[[#This Row],[Investor ID]])</f>
        <v>2674</v>
      </c>
      <c r="P752" s="153">
        <v>4350</v>
      </c>
      <c r="Q752" s="74">
        <f>SIP[[#This Row],[Amount]]-SIP[[#This Row],[Unit Capital]]</f>
        <v>650</v>
      </c>
      <c r="R7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11.219147344801796</v>
      </c>
      <c r="S752" s="68">
        <f t="shared" si="33"/>
        <v>14.224</v>
      </c>
      <c r="T7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2" s="74" cm="1">
        <f t="array" ref="U752">IF(SIP[[#This Row],[B/S]]="S",ABS(SIP[[#This Row],[Unit]])*(INDEX(SIP[NAV at Cost (Average)],MATCH(CONCATENATE((SIP[[#This Row],[Frequency]]-1),SIP[[#This Row],[Investor ID]]),SIP[Unique Code],0),0)),0)</f>
        <v>0</v>
      </c>
      <c r="V752" s="74">
        <f>IF(SIP[[#This Row],[BO TRANSFER]]="YES",SIP[[#This Row],[Unit]],)</f>
        <v>0</v>
      </c>
      <c r="W752" s="74">
        <f>SUMIFS(SIP[[#Headers],[BO UNIT TRANSFER]]:SIP[[#This Row],[BO UNIT TRANSFER]],SIP[[#Headers],[Investor ID]]:SIP[[#This Row],[Investor ID]],SIP[[#This Row],[Investor ID]])</f>
        <v>0</v>
      </c>
    </row>
    <row r="753" spans="1:23" ht="15" customHeight="1">
      <c r="A753" s="46">
        <v>2024</v>
      </c>
      <c r="B753" s="46">
        <v>9</v>
      </c>
      <c r="C753" s="46">
        <v>26</v>
      </c>
      <c r="D753" s="65">
        <f>DATE(SIP[[#This Row],[Year]],SIP[[#This Row],[Month]],SIP[[#This Row],[Day]])</f>
        <v>45561</v>
      </c>
      <c r="E753" s="66" t="str" cm="1">
        <f t="array" ref="E753">INDEX(INVESTORS_LIST[INVESTOR NAME],MATCH(SIP[[#This Row],[Investor ID]],INVESTORS_LIST[INVESTOR CODE],0),)</f>
        <v>MAYA RANI SAHA</v>
      </c>
      <c r="F753" s="46" t="s">
        <v>224</v>
      </c>
      <c r="G753" s="46">
        <f>COUNTIF(SIP[[#Headers],[Investor ID]]:SIP[[#This Row],[Investor ID]],SIP[[#This Row],[Investor ID]])</f>
        <v>23</v>
      </c>
      <c r="H753" s="46" t="str">
        <f>CONCATENATE(SIP[[#This Row],[Frequency]],SIP[[#This Row],[Investor ID]])</f>
        <v>23A00088</v>
      </c>
      <c r="I753" s="46" t="str">
        <f>IF(SIP[[#This Row],[B/S]]="B","BUY",(IF(SIP[[#This Row],[B/S]]="S","SELL"," ")))</f>
        <v>BUY</v>
      </c>
      <c r="J753" s="150" t="s">
        <v>1229</v>
      </c>
      <c r="K753" s="152">
        <v>20000</v>
      </c>
      <c r="L753" s="122"/>
      <c r="M753" s="123">
        <f>SIP[[#This Row],[Amount]]/SIP[[#This Row],[Unit]]</f>
        <v>11.487650775416427</v>
      </c>
      <c r="N753" s="71">
        <f>SIP[[#This Row],[Unit Capital]]/10</f>
        <v>1741</v>
      </c>
      <c r="O753" s="71">
        <f>SUMIFS(SIP[[#Headers],[Unit]]:SIP[[#This Row],[Unit]],SIP[[#Headers],[Investor ID]]:SIP[[#This Row],[Investor ID]],SIP[[#This Row],[Investor ID]])</f>
        <v>33897</v>
      </c>
      <c r="P753" s="153">
        <v>17410</v>
      </c>
      <c r="Q753" s="74">
        <f>SIP[[#This Row],[Amount]]-SIP[[#This Row],[Unit Capital]]</f>
        <v>2590</v>
      </c>
      <c r="R7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10.974422515266838</v>
      </c>
      <c r="S753" s="68">
        <f t="shared" si="33"/>
        <v>14.224</v>
      </c>
      <c r="T7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3" s="74" cm="1">
        <f t="array" ref="U753">IF(SIP[[#This Row],[B/S]]="S",ABS(SIP[[#This Row],[Unit]])*(INDEX(SIP[NAV at Cost (Average)],MATCH(CONCATENATE((SIP[[#This Row],[Frequency]]-1),SIP[[#This Row],[Investor ID]]),SIP[Unique Code],0),0)),0)</f>
        <v>0</v>
      </c>
      <c r="V753" s="74">
        <f>IF(SIP[[#This Row],[BO TRANSFER]]="YES",SIP[[#This Row],[Unit]],)</f>
        <v>0</v>
      </c>
      <c r="W753" s="74">
        <f>SUMIFS(SIP[[#Headers],[BO UNIT TRANSFER]]:SIP[[#This Row],[BO UNIT TRANSFER]],SIP[[#Headers],[Investor ID]]:SIP[[#This Row],[Investor ID]],SIP[[#This Row],[Investor ID]])</f>
        <v>0</v>
      </c>
    </row>
    <row r="754" spans="1:23" ht="15" customHeight="1">
      <c r="A754" s="46">
        <v>2024</v>
      </c>
      <c r="B754" s="46">
        <v>9</v>
      </c>
      <c r="C754" s="46">
        <v>26</v>
      </c>
      <c r="D754" s="65">
        <f>DATE(SIP[[#This Row],[Year]],SIP[[#This Row],[Month]],SIP[[#This Row],[Day]])</f>
        <v>45561</v>
      </c>
      <c r="E754" s="66" t="str" cm="1">
        <f t="array" ref="E754">INDEX(INVESTORS_LIST[INVESTOR NAME],MATCH(SIP[[#This Row],[Investor ID]],INVESTORS_LIST[INVESTOR CODE],0),)</f>
        <v>SADIA PARVIN</v>
      </c>
      <c r="F754" s="46" t="s">
        <v>1018</v>
      </c>
      <c r="G754" s="46">
        <f>COUNTIF(SIP[[#Headers],[Investor ID]]:SIP[[#This Row],[Investor ID]],SIP[[#This Row],[Investor ID]])</f>
        <v>21</v>
      </c>
      <c r="H754" s="46" t="str">
        <f>CONCATENATE(SIP[[#This Row],[Frequency]],SIP[[#This Row],[Investor ID]])</f>
        <v>21A00486</v>
      </c>
      <c r="I754" s="46" t="str">
        <f>IF(SIP[[#This Row],[B/S]]="B","BUY",(IF(SIP[[#This Row],[B/S]]="S","SELL"," ")))</f>
        <v>BUY</v>
      </c>
      <c r="J754" s="150" t="s">
        <v>1229</v>
      </c>
      <c r="K754" s="152">
        <v>5000</v>
      </c>
      <c r="L754" s="122"/>
      <c r="M754" s="123">
        <f>SIP[[#This Row],[Amount]]/SIP[[#This Row],[Unit]]</f>
        <v>11.494252873563218</v>
      </c>
      <c r="N754" s="71">
        <f>SIP[[#This Row],[Unit Capital]]/10</f>
        <v>435</v>
      </c>
      <c r="O754" s="71">
        <f>SUMIFS(SIP[[#Headers],[Unit]]:SIP[[#This Row],[Unit]],SIP[[#Headers],[Investor ID]]:SIP[[#This Row],[Investor ID]],SIP[[#This Row],[Investor ID]])</f>
        <v>9658</v>
      </c>
      <c r="P754" s="153">
        <v>4350</v>
      </c>
      <c r="Q754" s="74">
        <f>SIP[[#This Row],[Amount]]-SIP[[#This Row],[Unit Capital]]</f>
        <v>650</v>
      </c>
      <c r="R7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10.871816110996068</v>
      </c>
      <c r="S754" s="68">
        <f t="shared" si="33"/>
        <v>14.224</v>
      </c>
      <c r="T7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4" s="74" cm="1">
        <f t="array" ref="U754">IF(SIP[[#This Row],[B/S]]="S",ABS(SIP[[#This Row],[Unit]])*(INDEX(SIP[NAV at Cost (Average)],MATCH(CONCATENATE((SIP[[#This Row],[Frequency]]-1),SIP[[#This Row],[Investor ID]]),SIP[Unique Code],0),0)),0)</f>
        <v>0</v>
      </c>
      <c r="V754" s="74">
        <f>IF(SIP[[#This Row],[BO TRANSFER]]="YES",SIP[[#This Row],[Unit]],)</f>
        <v>0</v>
      </c>
      <c r="W754" s="74">
        <f>SUMIFS(SIP[[#Headers],[BO UNIT TRANSFER]]:SIP[[#This Row],[BO UNIT TRANSFER]],SIP[[#Headers],[Investor ID]]:SIP[[#This Row],[Investor ID]],SIP[[#This Row],[Investor ID]])</f>
        <v>0</v>
      </c>
    </row>
    <row r="755" spans="1:23" ht="15" customHeight="1">
      <c r="A755" s="46">
        <v>2024</v>
      </c>
      <c r="B755" s="46">
        <v>9</v>
      </c>
      <c r="C755" s="46">
        <v>26</v>
      </c>
      <c r="D755" s="65">
        <f>DATE(SIP[[#This Row],[Year]],SIP[[#This Row],[Month]],SIP[[#This Row],[Day]])</f>
        <v>45561</v>
      </c>
      <c r="E755" s="66" t="str" cm="1">
        <f t="array" ref="E755">INDEX(INVESTORS_LIST[INVESTOR NAME],MATCH(SIP[[#This Row],[Investor ID]],INVESTORS_LIST[INVESTOR CODE],0),)</f>
        <v>MAHBUB-UL-ANAM KHAN</v>
      </c>
      <c r="F755" s="46" t="s">
        <v>626</v>
      </c>
      <c r="G755" s="46">
        <f>COUNTIF(SIP[[#Headers],[Investor ID]]:SIP[[#This Row],[Investor ID]],SIP[[#This Row],[Investor ID]])</f>
        <v>2</v>
      </c>
      <c r="H755" s="46" t="str">
        <f>CONCATENATE(SIP[[#This Row],[Frequency]],SIP[[#This Row],[Investor ID]])</f>
        <v>2A00289</v>
      </c>
      <c r="I755" s="46" t="str">
        <f>IF(SIP[[#This Row],[B/S]]="B","BUY",(IF(SIP[[#This Row],[B/S]]="S","SELL"," ")))</f>
        <v>BUY</v>
      </c>
      <c r="J755" s="150" t="s">
        <v>1229</v>
      </c>
      <c r="K755" s="152">
        <v>5000</v>
      </c>
      <c r="L755" s="122"/>
      <c r="M755" s="123">
        <f>SIP[[#This Row],[Amount]]/SIP[[#This Row],[Unit]]</f>
        <v>11.494252873563218</v>
      </c>
      <c r="N755" s="71">
        <f>SIP[[#This Row],[Unit Capital]]/10</f>
        <v>435</v>
      </c>
      <c r="O755" s="71">
        <f>SUMIFS(SIP[[#Headers],[Unit]]:SIP[[#This Row],[Unit]],SIP[[#Headers],[Investor ID]]:SIP[[#This Row],[Investor ID]],SIP[[#This Row],[Investor ID]])</f>
        <v>874</v>
      </c>
      <c r="P755" s="153">
        <v>4350</v>
      </c>
      <c r="Q755" s="74">
        <f>SIP[[#This Row],[Amount]]-SIP[[#This Row],[Unit Capital]]</f>
        <v>650</v>
      </c>
      <c r="R7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11.441647597254004</v>
      </c>
      <c r="S755" s="68">
        <f t="shared" si="33"/>
        <v>14.224</v>
      </c>
      <c r="T7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5" s="74" cm="1">
        <f t="array" ref="U755">IF(SIP[[#This Row],[B/S]]="S",ABS(SIP[[#This Row],[Unit]])*(INDEX(SIP[NAV at Cost (Average)],MATCH(CONCATENATE((SIP[[#This Row],[Frequency]]-1),SIP[[#This Row],[Investor ID]]),SIP[Unique Code],0),0)),0)</f>
        <v>0</v>
      </c>
      <c r="V755" s="74">
        <f>IF(SIP[[#This Row],[BO TRANSFER]]="YES",SIP[[#This Row],[Unit]],)</f>
        <v>0</v>
      </c>
      <c r="W755" s="74">
        <f>SUMIFS(SIP[[#Headers],[BO UNIT TRANSFER]]:SIP[[#This Row],[BO UNIT TRANSFER]],SIP[[#Headers],[Investor ID]]:SIP[[#This Row],[Investor ID]],SIP[[#This Row],[Investor ID]])</f>
        <v>0</v>
      </c>
    </row>
    <row r="756" spans="1:23" ht="15" customHeight="1">
      <c r="A756" s="46">
        <v>2024</v>
      </c>
      <c r="B756" s="46">
        <v>9</v>
      </c>
      <c r="C756" s="46">
        <v>26</v>
      </c>
      <c r="D756" s="65">
        <f>DATE(SIP[[#This Row],[Year]],SIP[[#This Row],[Month]],SIP[[#This Row],[Day]])</f>
        <v>45561</v>
      </c>
      <c r="E756" s="66" t="str" cm="1">
        <f t="array" ref="E756">INDEX(INVESTORS_LIST[INVESTOR NAME],MATCH(SIP[[#This Row],[Investor ID]],INVESTORS_LIST[INVESTOR CODE],0),)</f>
        <v>SYED ADNAN HUDA</v>
      </c>
      <c r="F756" s="46" t="s">
        <v>236</v>
      </c>
      <c r="G756" s="46">
        <f>COUNTIF(SIP[[#Headers],[Investor ID]]:SIP[[#This Row],[Investor ID]],SIP[[#This Row],[Investor ID]])</f>
        <v>3</v>
      </c>
      <c r="H756" s="46" t="str">
        <f>CONCATENATE(SIP[[#This Row],[Frequency]],SIP[[#This Row],[Investor ID]])</f>
        <v>3A00094</v>
      </c>
      <c r="I756" s="46" t="str">
        <f>IF(SIP[[#This Row],[B/S]]="B","BUY",(IF(SIP[[#This Row],[B/S]]="S","SELL"," ")))</f>
        <v>BUY</v>
      </c>
      <c r="J756" s="150" t="s">
        <v>1229</v>
      </c>
      <c r="K756" s="152">
        <v>50000</v>
      </c>
      <c r="L756" s="122"/>
      <c r="M756" s="123">
        <f>SIP[[#This Row],[Amount]]/SIP[[#This Row],[Unit]]</f>
        <v>11.483693155718878</v>
      </c>
      <c r="N756" s="71">
        <f>SIP[[#This Row],[Unit Capital]]/10</f>
        <v>4354</v>
      </c>
      <c r="O756" s="71">
        <f>SUMIFS(SIP[[#Headers],[Unit]]:SIP[[#This Row],[Unit]],SIP[[#Headers],[Investor ID]]:SIP[[#This Row],[Investor ID]],SIP[[#This Row],[Investor ID]])</f>
        <v>13194</v>
      </c>
      <c r="P756" s="153">
        <v>43540</v>
      </c>
      <c r="Q756" s="74">
        <f>SIP[[#This Row],[Amount]]-SIP[[#This Row],[Unit Capital]]</f>
        <v>6460</v>
      </c>
      <c r="R7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11.368804001819008</v>
      </c>
      <c r="S756" s="68">
        <f t="shared" si="33"/>
        <v>14.224</v>
      </c>
      <c r="T7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6" s="74" cm="1">
        <f t="array" ref="U756">IF(SIP[[#This Row],[B/S]]="S",ABS(SIP[[#This Row],[Unit]])*(INDEX(SIP[NAV at Cost (Average)],MATCH(CONCATENATE((SIP[[#This Row],[Frequency]]-1),SIP[[#This Row],[Investor ID]]),SIP[Unique Code],0),0)),0)</f>
        <v>0</v>
      </c>
      <c r="V756" s="74">
        <f>IF(SIP[[#This Row],[BO TRANSFER]]="YES",SIP[[#This Row],[Unit]],)</f>
        <v>0</v>
      </c>
      <c r="W756" s="74">
        <f>SUMIFS(SIP[[#Headers],[BO UNIT TRANSFER]]:SIP[[#This Row],[BO UNIT TRANSFER]],SIP[[#Headers],[Investor ID]]:SIP[[#This Row],[Investor ID]],SIP[[#This Row],[Investor ID]])</f>
        <v>0</v>
      </c>
    </row>
    <row r="757" spans="1:23" ht="15" customHeight="1">
      <c r="A757" s="46">
        <v>2024</v>
      </c>
      <c r="B757" s="46">
        <v>9</v>
      </c>
      <c r="C757" s="46">
        <v>26</v>
      </c>
      <c r="D757" s="65">
        <f>DATE(SIP[[#This Row],[Year]],SIP[[#This Row],[Month]],SIP[[#This Row],[Day]])</f>
        <v>45561</v>
      </c>
      <c r="E757" s="66" t="str" cm="1">
        <f t="array" ref="E757">INDEX(INVESTORS_LIST[INVESTOR NAME],MATCH(SIP[[#This Row],[Investor ID]],INVESTORS_LIST[INVESTOR CODE],0),)</f>
        <v>MAHFUZUL ISLAM</v>
      </c>
      <c r="F757" s="46" t="s">
        <v>473</v>
      </c>
      <c r="G757" s="46">
        <f>COUNTIF(SIP[[#Headers],[Investor ID]]:SIP[[#This Row],[Investor ID]],SIP[[#This Row],[Investor ID]])</f>
        <v>8</v>
      </c>
      <c r="H757" s="46" t="str">
        <f>CONCATENATE(SIP[[#This Row],[Frequency]],SIP[[#This Row],[Investor ID]])</f>
        <v>8A00212</v>
      </c>
      <c r="I757" s="46" t="str">
        <f>IF(SIP[[#This Row],[B/S]]="B","BUY",(IF(SIP[[#This Row],[B/S]]="S","SELL"," ")))</f>
        <v>BUY</v>
      </c>
      <c r="J757" s="150" t="s">
        <v>1229</v>
      </c>
      <c r="K757" s="152">
        <v>3000</v>
      </c>
      <c r="L757" s="122" t="s">
        <v>1230</v>
      </c>
      <c r="M757" s="123">
        <f>SIP[[#This Row],[Amount]]/SIP[[#This Row],[Unit]]</f>
        <v>11.494252873563218</v>
      </c>
      <c r="N757" s="71">
        <f>SIP[[#This Row],[Unit Capital]]/10</f>
        <v>261</v>
      </c>
      <c r="O757" s="71">
        <f>SUMIFS(SIP[[#Headers],[Unit]]:SIP[[#This Row],[Unit]],SIP[[#Headers],[Investor ID]]:SIP[[#This Row],[Investor ID]],SIP[[#This Row],[Investor ID]])</f>
        <v>1068</v>
      </c>
      <c r="P757" s="153">
        <v>2610</v>
      </c>
      <c r="Q757" s="74">
        <f>SIP[[#This Row],[Amount]]-SIP[[#This Row],[Unit Capital]]</f>
        <v>390</v>
      </c>
      <c r="R7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11.235955056179776</v>
      </c>
      <c r="S757" s="68">
        <f t="shared" si="33"/>
        <v>14.224</v>
      </c>
      <c r="T7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7" s="74" cm="1">
        <f t="array" ref="U757">IF(SIP[[#This Row],[B/S]]="S",ABS(SIP[[#This Row],[Unit]])*(INDEX(SIP[NAV at Cost (Average)],MATCH(CONCATENATE((SIP[[#This Row],[Frequency]]-1),SIP[[#This Row],[Investor ID]]),SIP[Unique Code],0),0)),0)</f>
        <v>0</v>
      </c>
      <c r="V757" s="74">
        <f>IF(SIP[[#This Row],[BO TRANSFER]]="YES",SIP[[#This Row],[Unit]],)</f>
        <v>261</v>
      </c>
      <c r="W757" s="74">
        <f>SUMIFS(SIP[[#Headers],[BO UNIT TRANSFER]]:SIP[[#This Row],[BO UNIT TRANSFER]],SIP[[#Headers],[Investor ID]]:SIP[[#This Row],[Investor ID]],SIP[[#This Row],[Investor ID]])</f>
        <v>1068</v>
      </c>
    </row>
    <row r="758" spans="1:23" ht="15" customHeight="1">
      <c r="A758" s="46">
        <v>2024</v>
      </c>
      <c r="B758" s="46">
        <v>9</v>
      </c>
      <c r="C758" s="46">
        <v>26</v>
      </c>
      <c r="D758" s="65">
        <f>DATE(SIP[[#This Row],[Year]],SIP[[#This Row],[Month]],SIP[[#This Row],[Day]])</f>
        <v>45561</v>
      </c>
      <c r="E758" s="66" t="str" cm="1">
        <f t="array" ref="E758">INDEX(INVESTORS_LIST[INVESTOR NAME],MATCH(SIP[[#This Row],[Investor ID]],INVESTORS_LIST[INVESTOR CODE],0),)</f>
        <v>HUMAIRA TABASSUM READDHE</v>
      </c>
      <c r="F758" s="46" t="s">
        <v>1052</v>
      </c>
      <c r="G758" s="46">
        <f>COUNTIF(SIP[[#Headers],[Investor ID]]:SIP[[#This Row],[Investor ID]],SIP[[#This Row],[Investor ID]])</f>
        <v>2</v>
      </c>
      <c r="H758" s="46" t="str">
        <f>CONCATENATE(SIP[[#This Row],[Frequency]],SIP[[#This Row],[Investor ID]])</f>
        <v>2A00503</v>
      </c>
      <c r="I758" s="46" t="str">
        <f>IF(SIP[[#This Row],[B/S]]="B","BUY",(IF(SIP[[#This Row],[B/S]]="S","SELL"," ")))</f>
        <v>BUY</v>
      </c>
      <c r="J758" s="150" t="s">
        <v>1229</v>
      </c>
      <c r="K758" s="152">
        <v>3000</v>
      </c>
      <c r="L758" s="122"/>
      <c r="M758" s="123">
        <f>SIP[[#This Row],[Amount]]/SIP[[#This Row],[Unit]]</f>
        <v>11.494252873563218</v>
      </c>
      <c r="N758" s="71">
        <f>SIP[[#This Row],[Unit Capital]]/10</f>
        <v>261</v>
      </c>
      <c r="O758" s="71">
        <f>SUMIFS(SIP[[#Headers],[Unit]]:SIP[[#This Row],[Unit]],SIP[[#Headers],[Investor ID]]:SIP[[#This Row],[Investor ID]],SIP[[#This Row],[Investor ID]])</f>
        <v>525</v>
      </c>
      <c r="P758" s="153">
        <v>2610</v>
      </c>
      <c r="Q758" s="74">
        <f>SIP[[#This Row],[Amount]]-SIP[[#This Row],[Unit Capital]]</f>
        <v>390</v>
      </c>
      <c r="R7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11.428571428571429</v>
      </c>
      <c r="S758" s="68">
        <f t="shared" si="33"/>
        <v>14.224</v>
      </c>
      <c r="T7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8" s="74" cm="1">
        <f t="array" ref="U758">IF(SIP[[#This Row],[B/S]]="S",ABS(SIP[[#This Row],[Unit]])*(INDEX(SIP[NAV at Cost (Average)],MATCH(CONCATENATE((SIP[[#This Row],[Frequency]]-1),SIP[[#This Row],[Investor ID]]),SIP[Unique Code],0),0)),0)</f>
        <v>0</v>
      </c>
      <c r="V758" s="74">
        <f>IF(SIP[[#This Row],[BO TRANSFER]]="YES",SIP[[#This Row],[Unit]],)</f>
        <v>0</v>
      </c>
      <c r="W758" s="74">
        <f>SUMIFS(SIP[[#Headers],[BO UNIT TRANSFER]]:SIP[[#This Row],[BO UNIT TRANSFER]],SIP[[#Headers],[Investor ID]]:SIP[[#This Row],[Investor ID]],SIP[[#This Row],[Investor ID]])</f>
        <v>0</v>
      </c>
    </row>
    <row r="759" spans="1:23" ht="15" customHeight="1">
      <c r="A759" s="46">
        <v>2024</v>
      </c>
      <c r="B759" s="46">
        <v>10</v>
      </c>
      <c r="C759" s="46">
        <v>5</v>
      </c>
      <c r="D759" s="65">
        <f>DATE(SIP[[#This Row],[Year]],SIP[[#This Row],[Month]],SIP[[#This Row],[Day]])</f>
        <v>45570</v>
      </c>
      <c r="E759" s="66" t="str" cm="1">
        <f t="array" ref="E759">INDEX(INVESTORS_LIST[INVESTOR NAME],MATCH(SIP[[#This Row],[Investor ID]],INVESTORS_LIST[INVESTOR CODE],0),)</f>
        <v>FAIYEAD AHMEDUL HYE</v>
      </c>
      <c r="F759" s="46" t="s">
        <v>368</v>
      </c>
      <c r="G759" s="46">
        <f>COUNTIF(SIP[[#Headers],[Investor ID]]:SIP[[#This Row],[Investor ID]],SIP[[#This Row],[Investor ID]])</f>
        <v>17</v>
      </c>
      <c r="H759" s="46" t="str">
        <f>CONCATENATE(SIP[[#This Row],[Frequency]],SIP[[#This Row],[Investor ID]])</f>
        <v>17A00160</v>
      </c>
      <c r="I759" s="46" t="str">
        <f>IF(SIP[[#This Row],[B/S]]="B","BUY",(IF(SIP[[#This Row],[B/S]]="S","SELL"," ")))</f>
        <v>BUY</v>
      </c>
      <c r="J759" s="150" t="s">
        <v>1229</v>
      </c>
      <c r="K759" s="152">
        <v>15000</v>
      </c>
      <c r="L759" s="122"/>
      <c r="M759" s="123">
        <f>SIP[[#This Row],[Amount]]/SIP[[#This Row],[Unit]]</f>
        <v>11.511895625479662</v>
      </c>
      <c r="N759" s="71">
        <f>SIP[[#This Row],[Unit Capital]]/10</f>
        <v>1303</v>
      </c>
      <c r="O759" s="71">
        <f>SUMIFS(SIP[[#Headers],[Unit]]:SIP[[#This Row],[Unit]],SIP[[#Headers],[Investor ID]]:SIP[[#This Row],[Investor ID]],SIP[[#This Row],[Investor ID]])</f>
        <v>23628</v>
      </c>
      <c r="P759" s="153">
        <v>13030</v>
      </c>
      <c r="Q759" s="74">
        <f>SIP[[#This Row],[Amount]]-SIP[[#This Row],[Unit Capital]]</f>
        <v>1970</v>
      </c>
      <c r="R7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10.792280345352971</v>
      </c>
      <c r="S759" s="68">
        <f t="shared" ref="S759:S772" si="34">NAV_MKT</f>
        <v>14.224</v>
      </c>
      <c r="T7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9" s="74" cm="1">
        <f t="array" ref="U759">IF(SIP[[#This Row],[B/S]]="S",ABS(SIP[[#This Row],[Unit]])*(INDEX(SIP[NAV at Cost (Average)],MATCH(CONCATENATE((SIP[[#This Row],[Frequency]]-1),SIP[[#This Row],[Investor ID]]),SIP[Unique Code],0),0)),0)</f>
        <v>0</v>
      </c>
      <c r="V759" s="74">
        <f>IF(SIP[[#This Row],[BO TRANSFER]]="YES",SIP[[#This Row],[Unit]],)</f>
        <v>0</v>
      </c>
      <c r="W759" s="74">
        <f>SUMIFS(SIP[[#Headers],[BO UNIT TRANSFER]]:SIP[[#This Row],[BO UNIT TRANSFER]],SIP[[#Headers],[Investor ID]]:SIP[[#This Row],[Investor ID]],SIP[[#This Row],[Investor ID]])</f>
        <v>0</v>
      </c>
    </row>
    <row r="760" spans="1:23" ht="15" customHeight="1">
      <c r="A760" s="46">
        <v>2024</v>
      </c>
      <c r="B760" s="46">
        <v>10</v>
      </c>
      <c r="C760" s="46">
        <v>5</v>
      </c>
      <c r="D760" s="65">
        <f>DATE(SIP[[#This Row],[Year]],SIP[[#This Row],[Month]],SIP[[#This Row],[Day]])</f>
        <v>45570</v>
      </c>
      <c r="E760" s="66" t="str" cm="1">
        <f t="array" ref="E760">INDEX(INVESTORS_LIST[INVESTOR NAME],MATCH(SIP[[#This Row],[Investor ID]],INVESTORS_LIST[INVESTOR CODE],0),)</f>
        <v>CHAONIKA SAHA</v>
      </c>
      <c r="F760" s="46" t="s">
        <v>238</v>
      </c>
      <c r="G760" s="46">
        <f>COUNTIF(SIP[[#Headers],[Investor ID]]:SIP[[#This Row],[Investor ID]],SIP[[#This Row],[Investor ID]])</f>
        <v>14</v>
      </c>
      <c r="H760" s="46" t="str">
        <f>CONCATENATE(SIP[[#This Row],[Frequency]],SIP[[#This Row],[Investor ID]])</f>
        <v>14A00095</v>
      </c>
      <c r="I760" s="46" t="str">
        <f>IF(SIP[[#This Row],[B/S]]="B","BUY",(IF(SIP[[#This Row],[B/S]]="S","SELL"," ")))</f>
        <v>BUY</v>
      </c>
      <c r="J760" s="150" t="s">
        <v>1229</v>
      </c>
      <c r="K760" s="152">
        <v>1000</v>
      </c>
      <c r="L760" s="122"/>
      <c r="M760" s="123">
        <f>SIP[[#This Row],[Amount]]/SIP[[#This Row],[Unit]]</f>
        <v>11.494252873563218</v>
      </c>
      <c r="N760" s="71">
        <f>SIP[[#This Row],[Unit Capital]]/10</f>
        <v>87</v>
      </c>
      <c r="O760" s="71">
        <f>SUMIFS(SIP[[#Headers],[Unit]]:SIP[[#This Row],[Unit]],SIP[[#Headers],[Investor ID]]:SIP[[#This Row],[Investor ID]],SIP[[#This Row],[Investor ID]])</f>
        <v>1284</v>
      </c>
      <c r="P760" s="153">
        <v>870</v>
      </c>
      <c r="Q760" s="74">
        <f>SIP[[#This Row],[Amount]]-SIP[[#This Row],[Unit Capital]]</f>
        <v>130</v>
      </c>
      <c r="R7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10.903426791277258</v>
      </c>
      <c r="S760" s="68">
        <f t="shared" si="34"/>
        <v>14.224</v>
      </c>
      <c r="T7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0" s="74" cm="1">
        <f t="array" ref="U760">IF(SIP[[#This Row],[B/S]]="S",ABS(SIP[[#This Row],[Unit]])*(INDEX(SIP[NAV at Cost (Average)],MATCH(CONCATENATE((SIP[[#This Row],[Frequency]]-1),SIP[[#This Row],[Investor ID]]),SIP[Unique Code],0),0)),0)</f>
        <v>0</v>
      </c>
      <c r="V760" s="74">
        <f>IF(SIP[[#This Row],[BO TRANSFER]]="YES",SIP[[#This Row],[Unit]],)</f>
        <v>0</v>
      </c>
      <c r="W760" s="74">
        <f>SUMIFS(SIP[[#Headers],[BO UNIT TRANSFER]]:SIP[[#This Row],[BO UNIT TRANSFER]],SIP[[#Headers],[Investor ID]]:SIP[[#This Row],[Investor ID]],SIP[[#This Row],[Investor ID]])</f>
        <v>0</v>
      </c>
    </row>
    <row r="761" spans="1:23" ht="15" customHeight="1">
      <c r="A761" s="46">
        <v>2024</v>
      </c>
      <c r="B761" s="46">
        <v>10</v>
      </c>
      <c r="C761" s="46">
        <v>5</v>
      </c>
      <c r="D761" s="65">
        <f>DATE(SIP[[#This Row],[Year]],SIP[[#This Row],[Month]],SIP[[#This Row],[Day]])</f>
        <v>45570</v>
      </c>
      <c r="E761" s="66" t="str" cm="1">
        <f t="array" ref="E761">INDEX(INVESTORS_LIST[INVESTOR NAME],MATCH(SIP[[#This Row],[Investor ID]],INVESTORS_LIST[INVESTOR CODE],0),)</f>
        <v>SK FEROZ ALAM</v>
      </c>
      <c r="F761" s="46" t="s">
        <v>240</v>
      </c>
      <c r="G761" s="46">
        <f>COUNTIF(SIP[[#Headers],[Investor ID]]:SIP[[#This Row],[Investor ID]],SIP[[#This Row],[Investor ID]])</f>
        <v>13</v>
      </c>
      <c r="H761" s="46" t="str">
        <f>CONCATENATE(SIP[[#This Row],[Frequency]],SIP[[#This Row],[Investor ID]])</f>
        <v>13A00096</v>
      </c>
      <c r="I761" s="46" t="str">
        <f>IF(SIP[[#This Row],[B/S]]="B","BUY",(IF(SIP[[#This Row],[B/S]]="S","SELL"," ")))</f>
        <v>BUY</v>
      </c>
      <c r="J761" s="150" t="s">
        <v>1229</v>
      </c>
      <c r="K761" s="152">
        <v>2000</v>
      </c>
      <c r="L761" s="122"/>
      <c r="M761" s="123">
        <f>SIP[[#This Row],[Amount]]/SIP[[#This Row],[Unit]]</f>
        <v>11.494252873563218</v>
      </c>
      <c r="N761" s="71">
        <f>SIP[[#This Row],[Unit Capital]]/10</f>
        <v>174</v>
      </c>
      <c r="O761" s="71">
        <f>SUMIFS(SIP[[#Headers],[Unit]]:SIP[[#This Row],[Unit]],SIP[[#Headers],[Investor ID]]:SIP[[#This Row],[Investor ID]],SIP[[#This Row],[Investor ID]])</f>
        <v>885</v>
      </c>
      <c r="P761" s="153">
        <v>1740</v>
      </c>
      <c r="Q761" s="74">
        <f>SIP[[#This Row],[Amount]]-SIP[[#This Row],[Unit Capital]]</f>
        <v>260</v>
      </c>
      <c r="R7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11.299435028248588</v>
      </c>
      <c r="S761" s="68">
        <f t="shared" si="34"/>
        <v>14.224</v>
      </c>
      <c r="T7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1" s="74" cm="1">
        <f t="array" ref="U761">IF(SIP[[#This Row],[B/S]]="S",ABS(SIP[[#This Row],[Unit]])*(INDEX(SIP[NAV at Cost (Average)],MATCH(CONCATENATE((SIP[[#This Row],[Frequency]]-1),SIP[[#This Row],[Investor ID]]),SIP[Unique Code],0),0)),0)</f>
        <v>0</v>
      </c>
      <c r="V761" s="74">
        <f>IF(SIP[[#This Row],[BO TRANSFER]]="YES",SIP[[#This Row],[Unit]],)</f>
        <v>0</v>
      </c>
      <c r="W761" s="74">
        <f>SUMIFS(SIP[[#Headers],[BO UNIT TRANSFER]]:SIP[[#This Row],[BO UNIT TRANSFER]],SIP[[#Headers],[Investor ID]]:SIP[[#This Row],[Investor ID]],SIP[[#This Row],[Investor ID]])</f>
        <v>0</v>
      </c>
    </row>
    <row r="762" spans="1:23" ht="15" customHeight="1">
      <c r="A762" s="46">
        <v>2024</v>
      </c>
      <c r="B762" s="46">
        <v>10</v>
      </c>
      <c r="C762" s="46">
        <v>5</v>
      </c>
      <c r="D762" s="65">
        <f>DATE(SIP[[#This Row],[Year]],SIP[[#This Row],[Month]],SIP[[#This Row],[Day]])</f>
        <v>45570</v>
      </c>
      <c r="E762" s="66" t="str" cm="1">
        <f t="array" ref="E762">INDEX(INVESTORS_LIST[INVESTOR NAME],MATCH(SIP[[#This Row],[Investor ID]],INVESTORS_LIST[INVESTOR CODE],0),)</f>
        <v>KAZI AHSAN MARUF</v>
      </c>
      <c r="F762" s="46" t="s">
        <v>158</v>
      </c>
      <c r="G762" s="46">
        <f>COUNTIF(SIP[[#Headers],[Investor ID]]:SIP[[#This Row],[Investor ID]],SIP[[#This Row],[Investor ID]])</f>
        <v>18</v>
      </c>
      <c r="H762" s="46" t="str">
        <f>CONCATENATE(SIP[[#This Row],[Frequency]],SIP[[#This Row],[Investor ID]])</f>
        <v>18A00055</v>
      </c>
      <c r="I762" s="46" t="str">
        <f>IF(SIP[[#This Row],[B/S]]="B","BUY",(IF(SIP[[#This Row],[B/S]]="S","SELL"," ")))</f>
        <v>BUY</v>
      </c>
      <c r="J762" s="150" t="s">
        <v>1229</v>
      </c>
      <c r="K762" s="152">
        <v>10000</v>
      </c>
      <c r="L762" s="122"/>
      <c r="M762" s="123">
        <f>SIP[[#This Row],[Amount]]/SIP[[#This Row],[Unit]]</f>
        <v>11.507479861910241</v>
      </c>
      <c r="N762" s="71">
        <f>SIP[[#This Row],[Unit Capital]]/10</f>
        <v>869</v>
      </c>
      <c r="O762" s="71">
        <f>SUMIFS(SIP[[#Headers],[Unit]]:SIP[[#This Row],[Unit]],SIP[[#Headers],[Investor ID]]:SIP[[#This Row],[Investor ID]],SIP[[#This Row],[Investor ID]])</f>
        <v>36192</v>
      </c>
      <c r="P762" s="153">
        <v>8690</v>
      </c>
      <c r="Q762" s="74">
        <f>SIP[[#This Row],[Amount]]-SIP[[#This Row],[Unit Capital]]</f>
        <v>1310</v>
      </c>
      <c r="R7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10.499557913351016</v>
      </c>
      <c r="S762" s="68">
        <f t="shared" si="34"/>
        <v>14.224</v>
      </c>
      <c r="T7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2" s="74" cm="1">
        <f t="array" ref="U762">IF(SIP[[#This Row],[B/S]]="S",ABS(SIP[[#This Row],[Unit]])*(INDEX(SIP[NAV at Cost (Average)],MATCH(CONCATENATE((SIP[[#This Row],[Frequency]]-1),SIP[[#This Row],[Investor ID]]),SIP[Unique Code],0),0)),0)</f>
        <v>0</v>
      </c>
      <c r="V762" s="74">
        <f>IF(SIP[[#This Row],[BO TRANSFER]]="YES",SIP[[#This Row],[Unit]],)</f>
        <v>0</v>
      </c>
      <c r="W762" s="74">
        <f>SUMIFS(SIP[[#Headers],[BO UNIT TRANSFER]]:SIP[[#This Row],[BO UNIT TRANSFER]],SIP[[#Headers],[Investor ID]]:SIP[[#This Row],[Investor ID]],SIP[[#This Row],[Investor ID]])</f>
        <v>0</v>
      </c>
    </row>
    <row r="763" spans="1:23" ht="15" customHeight="1">
      <c r="A763" s="46">
        <v>2024</v>
      </c>
      <c r="B763" s="46">
        <v>10</v>
      </c>
      <c r="C763" s="46">
        <v>5</v>
      </c>
      <c r="D763" s="65">
        <f>DATE(SIP[[#This Row],[Year]],SIP[[#This Row],[Month]],SIP[[#This Row],[Day]])</f>
        <v>45570</v>
      </c>
      <c r="E763" s="66" t="str" cm="1">
        <f t="array" ref="E763">INDEX(INVESTORS_LIST[INVESTOR NAME],MATCH(SIP[[#This Row],[Investor ID]],INVESTORS_LIST[INVESTOR CODE],0),)</f>
        <v>NANDINI SAHA</v>
      </c>
      <c r="F763" s="46" t="s">
        <v>242</v>
      </c>
      <c r="G763" s="46">
        <f>COUNTIF(SIP[[#Headers],[Investor ID]]:SIP[[#This Row],[Investor ID]],SIP[[#This Row],[Investor ID]])</f>
        <v>17</v>
      </c>
      <c r="H763" s="46" t="str">
        <f>CONCATENATE(SIP[[#This Row],[Frequency]],SIP[[#This Row],[Investor ID]])</f>
        <v>17A00097</v>
      </c>
      <c r="I763" s="46" t="str">
        <f>IF(SIP[[#This Row],[B/S]]="B","BUY",(IF(SIP[[#This Row],[B/S]]="S","SELL"," ")))</f>
        <v>BUY</v>
      </c>
      <c r="J763" s="150" t="s">
        <v>1229</v>
      </c>
      <c r="K763" s="152">
        <v>30000</v>
      </c>
      <c r="L763" s="122"/>
      <c r="M763" s="123">
        <f>SIP[[#This Row],[Amount]]/SIP[[#This Row],[Unit]]</f>
        <v>11.507479861910241</v>
      </c>
      <c r="N763" s="71">
        <f>SIP[[#This Row],[Unit Capital]]/10</f>
        <v>2607</v>
      </c>
      <c r="O763" s="71">
        <f>SUMIFS(SIP[[#Headers],[Unit]]:SIP[[#This Row],[Unit]],SIP[[#Headers],[Investor ID]]:SIP[[#This Row],[Investor ID]],SIP[[#This Row],[Investor ID]])</f>
        <v>47417</v>
      </c>
      <c r="P763" s="153">
        <v>26070</v>
      </c>
      <c r="Q763" s="74">
        <f>SIP[[#This Row],[Amount]]-SIP[[#This Row],[Unit Capital]]</f>
        <v>3930</v>
      </c>
      <c r="R7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10.755636164244891</v>
      </c>
      <c r="S763" s="68">
        <f t="shared" si="34"/>
        <v>14.224</v>
      </c>
      <c r="T7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3" s="74" cm="1">
        <f t="array" ref="U763">IF(SIP[[#This Row],[B/S]]="S",ABS(SIP[[#This Row],[Unit]])*(INDEX(SIP[NAV at Cost (Average)],MATCH(CONCATENATE((SIP[[#This Row],[Frequency]]-1),SIP[[#This Row],[Investor ID]]),SIP[Unique Code],0),0)),0)</f>
        <v>0</v>
      </c>
      <c r="V763" s="74">
        <f>IF(SIP[[#This Row],[BO TRANSFER]]="YES",SIP[[#This Row],[Unit]],)</f>
        <v>0</v>
      </c>
      <c r="W763" s="74">
        <f>SUMIFS(SIP[[#Headers],[BO UNIT TRANSFER]]:SIP[[#This Row],[BO UNIT TRANSFER]],SIP[[#Headers],[Investor ID]]:SIP[[#This Row],[Investor ID]],SIP[[#This Row],[Investor ID]])</f>
        <v>0</v>
      </c>
    </row>
    <row r="764" spans="1:23" ht="15" customHeight="1">
      <c r="A764" s="46">
        <v>2024</v>
      </c>
      <c r="B764" s="46">
        <v>10</v>
      </c>
      <c r="C764" s="46">
        <v>5</v>
      </c>
      <c r="D764" s="65">
        <f>DATE(SIP[[#This Row],[Year]],SIP[[#This Row],[Month]],SIP[[#This Row],[Day]])</f>
        <v>45570</v>
      </c>
      <c r="E764" s="66" t="str" cm="1">
        <f t="array" ref="E764">INDEX(INVESTORS_LIST[INVESTOR NAME],MATCH(SIP[[#This Row],[Investor ID]],INVESTORS_LIST[INVESTOR CODE],0),)</f>
        <v>SHANTA PAUL</v>
      </c>
      <c r="F764" s="46" t="s">
        <v>544</v>
      </c>
      <c r="G764" s="46">
        <f>COUNTIF(SIP[[#Headers],[Investor ID]]:SIP[[#This Row],[Investor ID]],SIP[[#This Row],[Investor ID]])</f>
        <v>19</v>
      </c>
      <c r="H764" s="46" t="str">
        <f>CONCATENATE(SIP[[#This Row],[Frequency]],SIP[[#This Row],[Investor ID]])</f>
        <v>19A00247</v>
      </c>
      <c r="I764" s="46" t="str">
        <f>IF(SIP[[#This Row],[B/S]]="B","BUY",(IF(SIP[[#This Row],[B/S]]="S","SELL"," ")))</f>
        <v>BUY</v>
      </c>
      <c r="J764" s="150" t="s">
        <v>1229</v>
      </c>
      <c r="K764" s="152">
        <v>20000</v>
      </c>
      <c r="L764" s="122"/>
      <c r="M764" s="123">
        <f>SIP[[#This Row],[Amount]]/SIP[[#This Row],[Unit]]</f>
        <v>11.507479861910241</v>
      </c>
      <c r="N764" s="71">
        <f>SIP[[#This Row],[Unit Capital]]/10</f>
        <v>1738</v>
      </c>
      <c r="O764" s="71">
        <f>SUMIFS(SIP[[#Headers],[Unit]]:SIP[[#This Row],[Unit]],SIP[[#Headers],[Investor ID]]:SIP[[#This Row],[Investor ID]],SIP[[#This Row],[Investor ID]])</f>
        <v>35463</v>
      </c>
      <c r="P764" s="153">
        <v>17380</v>
      </c>
      <c r="Q764" s="74">
        <f>SIP[[#This Row],[Amount]]-SIP[[#This Row],[Unit Capital]]</f>
        <v>2620</v>
      </c>
      <c r="R7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10.715393508727406</v>
      </c>
      <c r="S764" s="68">
        <f t="shared" si="34"/>
        <v>14.224</v>
      </c>
      <c r="T7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4" s="74" cm="1">
        <f t="array" ref="U764">IF(SIP[[#This Row],[B/S]]="S",ABS(SIP[[#This Row],[Unit]])*(INDEX(SIP[NAV at Cost (Average)],MATCH(CONCATENATE((SIP[[#This Row],[Frequency]]-1),SIP[[#This Row],[Investor ID]]),SIP[Unique Code],0),0)),0)</f>
        <v>0</v>
      </c>
      <c r="V764" s="74">
        <f>IF(SIP[[#This Row],[BO TRANSFER]]="YES",SIP[[#This Row],[Unit]],)</f>
        <v>0</v>
      </c>
      <c r="W764" s="74">
        <f>SUMIFS(SIP[[#Headers],[BO UNIT TRANSFER]]:SIP[[#This Row],[BO UNIT TRANSFER]],SIP[[#Headers],[Investor ID]]:SIP[[#This Row],[Investor ID]],SIP[[#This Row],[Investor ID]])</f>
        <v>0</v>
      </c>
    </row>
    <row r="765" spans="1:23" ht="15" customHeight="1">
      <c r="A765" s="46">
        <v>2024</v>
      </c>
      <c r="B765" s="46">
        <v>10</v>
      </c>
      <c r="C765" s="46">
        <v>5</v>
      </c>
      <c r="D765" s="65">
        <f>DATE(SIP[[#This Row],[Year]],SIP[[#This Row],[Month]],SIP[[#This Row],[Day]])</f>
        <v>45570</v>
      </c>
      <c r="E765" s="66" t="str" cm="1">
        <f t="array" ref="E765">INDEX(INVESTORS_LIST[INVESTOR NAME],MATCH(SIP[[#This Row],[Investor ID]],INVESTORS_LIST[INVESTOR CODE],0),)</f>
        <v>ROKSABA KASEM</v>
      </c>
      <c r="F765" s="46" t="s">
        <v>900</v>
      </c>
      <c r="G765" s="46">
        <f>COUNTIF(SIP[[#Headers],[Investor ID]]:SIP[[#This Row],[Investor ID]],SIP[[#This Row],[Investor ID]])</f>
        <v>17</v>
      </c>
      <c r="H765" s="46" t="str">
        <f>CONCATENATE(SIP[[#This Row],[Frequency]],SIP[[#This Row],[Investor ID]])</f>
        <v>17A00427</v>
      </c>
      <c r="I765" s="46" t="str">
        <f>IF(SIP[[#This Row],[B/S]]="B","BUY",(IF(SIP[[#This Row],[B/S]]="S","SELL"," ")))</f>
        <v>BUY</v>
      </c>
      <c r="J765" s="150" t="s">
        <v>1229</v>
      </c>
      <c r="K765" s="152">
        <v>20000</v>
      </c>
      <c r="L765" s="122"/>
      <c r="M765" s="123">
        <f>SIP[[#This Row],[Amount]]/SIP[[#This Row],[Unit]]</f>
        <v>11.507479861910241</v>
      </c>
      <c r="N765" s="71">
        <f>SIP[[#This Row],[Unit Capital]]/10</f>
        <v>1738</v>
      </c>
      <c r="O765" s="71">
        <f>SUMIFS(SIP[[#Headers],[Unit]]:SIP[[#This Row],[Unit]],SIP[[#Headers],[Investor ID]]:SIP[[#This Row],[Investor ID]],SIP[[#This Row],[Investor ID]])</f>
        <v>31506</v>
      </c>
      <c r="P765" s="153">
        <v>17380</v>
      </c>
      <c r="Q765" s="74">
        <f>SIP[[#This Row],[Amount]]-SIP[[#This Row],[Unit Capital]]</f>
        <v>2620</v>
      </c>
      <c r="R7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10.791595251698093</v>
      </c>
      <c r="S765" s="68">
        <f t="shared" si="34"/>
        <v>14.224</v>
      </c>
      <c r="T7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5" s="74" cm="1">
        <f t="array" ref="U765">IF(SIP[[#This Row],[B/S]]="S",ABS(SIP[[#This Row],[Unit]])*(INDEX(SIP[NAV at Cost (Average)],MATCH(CONCATENATE((SIP[[#This Row],[Frequency]]-1),SIP[[#This Row],[Investor ID]]),SIP[Unique Code],0),0)),0)</f>
        <v>0</v>
      </c>
      <c r="V765" s="74">
        <f>IF(SIP[[#This Row],[BO TRANSFER]]="YES",SIP[[#This Row],[Unit]],)</f>
        <v>0</v>
      </c>
      <c r="W765" s="74">
        <f>SUMIFS(SIP[[#Headers],[BO UNIT TRANSFER]]:SIP[[#This Row],[BO UNIT TRANSFER]],SIP[[#Headers],[Investor ID]]:SIP[[#This Row],[Investor ID]],SIP[[#This Row],[Investor ID]])</f>
        <v>0</v>
      </c>
    </row>
    <row r="766" spans="1:23" ht="15" customHeight="1">
      <c r="A766" s="46">
        <v>2024</v>
      </c>
      <c r="B766" s="46">
        <v>10</v>
      </c>
      <c r="C766" s="46">
        <v>5</v>
      </c>
      <c r="D766" s="65">
        <f>DATE(SIP[[#This Row],[Year]],SIP[[#This Row],[Month]],SIP[[#This Row],[Day]])</f>
        <v>45570</v>
      </c>
      <c r="E766" s="66" t="str" cm="1">
        <f t="array" ref="E766">INDEX(INVESTORS_LIST[INVESTOR NAME],MATCH(SIP[[#This Row],[Investor ID]],INVESTORS_LIST[INVESTOR CODE],0),)</f>
        <v>MD. MONIRUL ISLAM</v>
      </c>
      <c r="F766" s="46" t="s">
        <v>996</v>
      </c>
      <c r="G766" s="46">
        <f>COUNTIF(SIP[[#Headers],[Investor ID]]:SIP[[#This Row],[Investor ID]],SIP[[#This Row],[Investor ID]])</f>
        <v>18</v>
      </c>
      <c r="H766" s="46" t="str">
        <f>CONCATENATE(SIP[[#This Row],[Frequency]],SIP[[#This Row],[Investor ID]])</f>
        <v>18A00475</v>
      </c>
      <c r="I766" s="46" t="str">
        <f>IF(SIP[[#This Row],[B/S]]="B","BUY",(IF(SIP[[#This Row],[B/S]]="S","SELL"," ")))</f>
        <v>BUY</v>
      </c>
      <c r="J766" s="150" t="s">
        <v>1229</v>
      </c>
      <c r="K766" s="152">
        <v>10000</v>
      </c>
      <c r="L766" s="122"/>
      <c r="M766" s="123">
        <f>SIP[[#This Row],[Amount]]/SIP[[#This Row],[Unit]]</f>
        <v>11.507479861910241</v>
      </c>
      <c r="N766" s="71">
        <f>SIP[[#This Row],[Unit Capital]]/10</f>
        <v>869</v>
      </c>
      <c r="O766" s="71">
        <f>SUMIFS(SIP[[#Headers],[Unit]]:SIP[[#This Row],[Unit]],SIP[[#Headers],[Investor ID]]:SIP[[#This Row],[Investor ID]],SIP[[#This Row],[Investor ID]])</f>
        <v>16739</v>
      </c>
      <c r="P766" s="153">
        <v>8690</v>
      </c>
      <c r="Q766" s="74">
        <f>SIP[[#This Row],[Amount]]-SIP[[#This Row],[Unit Capital]]</f>
        <v>1310</v>
      </c>
      <c r="R7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10.753330545432819</v>
      </c>
      <c r="S766" s="68">
        <f t="shared" si="34"/>
        <v>14.224</v>
      </c>
      <c r="T7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6" s="74" cm="1">
        <f t="array" ref="U766">IF(SIP[[#This Row],[B/S]]="S",ABS(SIP[[#This Row],[Unit]])*(INDEX(SIP[NAV at Cost (Average)],MATCH(CONCATENATE((SIP[[#This Row],[Frequency]]-1),SIP[[#This Row],[Investor ID]]),SIP[Unique Code],0),0)),0)</f>
        <v>0</v>
      </c>
      <c r="V766" s="74">
        <f>IF(SIP[[#This Row],[BO TRANSFER]]="YES",SIP[[#This Row],[Unit]],)</f>
        <v>0</v>
      </c>
      <c r="W766" s="74">
        <f>SUMIFS(SIP[[#Headers],[BO UNIT TRANSFER]]:SIP[[#This Row],[BO UNIT TRANSFER]],SIP[[#Headers],[Investor ID]]:SIP[[#This Row],[Investor ID]],SIP[[#This Row],[Investor ID]])</f>
        <v>0</v>
      </c>
    </row>
    <row r="767" spans="1:23" ht="15" customHeight="1">
      <c r="A767" s="46">
        <v>2024</v>
      </c>
      <c r="B767" s="46">
        <v>10</v>
      </c>
      <c r="C767" s="46">
        <v>5</v>
      </c>
      <c r="D767" s="65">
        <f>DATE(SIP[[#This Row],[Year]],SIP[[#This Row],[Month]],SIP[[#This Row],[Day]])</f>
        <v>45570</v>
      </c>
      <c r="E767" s="66" t="str" cm="1">
        <f t="array" ref="E767">INDEX(INVESTORS_LIST[INVESTOR NAME],MATCH(SIP[[#This Row],[Investor ID]],INVESTORS_LIST[INVESTOR CODE],0),)</f>
        <v>MONIR AHMED</v>
      </c>
      <c r="F767" s="46" t="s">
        <v>125</v>
      </c>
      <c r="G767" s="46">
        <f>COUNTIF(SIP[[#Headers],[Investor ID]]:SIP[[#This Row],[Investor ID]],SIP[[#This Row],[Investor ID]])</f>
        <v>17</v>
      </c>
      <c r="H767" s="46" t="str">
        <f>CONCATENATE(SIP[[#This Row],[Frequency]],SIP[[#This Row],[Investor ID]])</f>
        <v>17A00039</v>
      </c>
      <c r="I767" s="46" t="str">
        <f>IF(SIP[[#This Row],[B/S]]="B","BUY",(IF(SIP[[#This Row],[B/S]]="S","SELL"," ")))</f>
        <v>BUY</v>
      </c>
      <c r="J767" s="150" t="s">
        <v>1229</v>
      </c>
      <c r="K767" s="152">
        <v>5000</v>
      </c>
      <c r="L767" s="122"/>
      <c r="M767" s="123">
        <f>SIP[[#This Row],[Amount]]/SIP[[#This Row],[Unit]]</f>
        <v>11.52073732718894</v>
      </c>
      <c r="N767" s="71">
        <f>SIP[[#This Row],[Unit Capital]]/10</f>
        <v>434</v>
      </c>
      <c r="O767" s="71">
        <f>SUMIFS(SIP[[#Headers],[Unit]]:SIP[[#This Row],[Unit]],SIP[[#Headers],[Investor ID]]:SIP[[#This Row],[Investor ID]],SIP[[#This Row],[Investor ID]])</f>
        <v>5483</v>
      </c>
      <c r="P767" s="153">
        <v>4340</v>
      </c>
      <c r="Q767" s="74">
        <f>SIP[[#This Row],[Amount]]-SIP[[#This Row],[Unit Capital]]</f>
        <v>660</v>
      </c>
      <c r="R7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10.942914462885282</v>
      </c>
      <c r="S767" s="68">
        <f t="shared" si="34"/>
        <v>14.224</v>
      </c>
      <c r="T7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7" s="74" cm="1">
        <f t="array" ref="U767">IF(SIP[[#This Row],[B/S]]="S",ABS(SIP[[#This Row],[Unit]])*(INDEX(SIP[NAV at Cost (Average)],MATCH(CONCATENATE((SIP[[#This Row],[Frequency]]-1),SIP[[#This Row],[Investor ID]]),SIP[Unique Code],0),0)),0)</f>
        <v>0</v>
      </c>
      <c r="V767" s="74">
        <f>IF(SIP[[#This Row],[BO TRANSFER]]="YES",SIP[[#This Row],[Unit]],)</f>
        <v>0</v>
      </c>
      <c r="W767" s="74">
        <f>SUMIFS(SIP[[#Headers],[BO UNIT TRANSFER]]:SIP[[#This Row],[BO UNIT TRANSFER]],SIP[[#Headers],[Investor ID]]:SIP[[#This Row],[Investor ID]],SIP[[#This Row],[Investor ID]])</f>
        <v>0</v>
      </c>
    </row>
    <row r="768" spans="1:23" ht="15" customHeight="1">
      <c r="A768" s="46">
        <v>2024</v>
      </c>
      <c r="B768" s="46">
        <v>10</v>
      </c>
      <c r="C768" s="46">
        <v>5</v>
      </c>
      <c r="D768" s="65">
        <f>DATE(SIP[[#This Row],[Year]],SIP[[#This Row],[Month]],SIP[[#This Row],[Day]])</f>
        <v>45570</v>
      </c>
      <c r="E768" s="66" t="str" cm="1">
        <f t="array" ref="E768">INDEX(INVESTORS_LIST[INVESTOR NAME],MATCH(SIP[[#This Row],[Investor ID]],INVESTORS_LIST[INVESTOR CODE],0),)</f>
        <v>FAKARUDDIN ALI AHMED</v>
      </c>
      <c r="F768" s="46" t="s">
        <v>228</v>
      </c>
      <c r="G768" s="46">
        <f>COUNTIF(SIP[[#Headers],[Investor ID]]:SIP[[#This Row],[Investor ID]],SIP[[#This Row],[Investor ID]])</f>
        <v>18</v>
      </c>
      <c r="H768" s="46" t="str">
        <f>CONCATENATE(SIP[[#This Row],[Frequency]],SIP[[#This Row],[Investor ID]])</f>
        <v>18A00090</v>
      </c>
      <c r="I768" s="46" t="str">
        <f>IF(SIP[[#This Row],[B/S]]="B","BUY",(IF(SIP[[#This Row],[B/S]]="S","SELL"," ")))</f>
        <v>BUY</v>
      </c>
      <c r="J768" s="150" t="s">
        <v>1229</v>
      </c>
      <c r="K768" s="152">
        <v>10000</v>
      </c>
      <c r="L768" s="122"/>
      <c r="M768" s="123">
        <f>SIP[[#This Row],[Amount]]/SIP[[#This Row],[Unit]]</f>
        <v>11.507479861910241</v>
      </c>
      <c r="N768" s="71">
        <f>SIP[[#This Row],[Unit Capital]]/10</f>
        <v>869</v>
      </c>
      <c r="O768" s="71">
        <f>SUMIFS(SIP[[#Headers],[Unit]]:SIP[[#This Row],[Unit]],SIP[[#Headers],[Investor ID]]:SIP[[#This Row],[Investor ID]],SIP[[#This Row],[Investor ID]])</f>
        <v>7254</v>
      </c>
      <c r="P768" s="153">
        <v>8690</v>
      </c>
      <c r="Q768" s="74">
        <f>SIP[[#This Row],[Amount]]-SIP[[#This Row],[Unit Capital]]</f>
        <v>1310</v>
      </c>
      <c r="R7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11.149294338582227</v>
      </c>
      <c r="S768" s="68">
        <f t="shared" si="34"/>
        <v>14.224</v>
      </c>
      <c r="T7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8" s="74" cm="1">
        <f t="array" ref="U768">IF(SIP[[#This Row],[B/S]]="S",ABS(SIP[[#This Row],[Unit]])*(INDEX(SIP[NAV at Cost (Average)],MATCH(CONCATENATE((SIP[[#This Row],[Frequency]]-1),SIP[[#This Row],[Investor ID]]),SIP[Unique Code],0),0)),0)</f>
        <v>0</v>
      </c>
      <c r="V768" s="74">
        <f>IF(SIP[[#This Row],[BO TRANSFER]]="YES",SIP[[#This Row],[Unit]],)</f>
        <v>0</v>
      </c>
      <c r="W768" s="74">
        <f>SUMIFS(SIP[[#Headers],[BO UNIT TRANSFER]]:SIP[[#This Row],[BO UNIT TRANSFER]],SIP[[#Headers],[Investor ID]]:SIP[[#This Row],[Investor ID]],SIP[[#This Row],[Investor ID]])</f>
        <v>0</v>
      </c>
    </row>
    <row r="769" spans="1:23" ht="15" customHeight="1">
      <c r="A769" s="46">
        <v>2024</v>
      </c>
      <c r="B769" s="46">
        <v>10</v>
      </c>
      <c r="C769" s="46">
        <v>5</v>
      </c>
      <c r="D769" s="65">
        <f>DATE(SIP[[#This Row],[Year]],SIP[[#This Row],[Month]],SIP[[#This Row],[Day]])</f>
        <v>45570</v>
      </c>
      <c r="E769" s="66" t="str" cm="1">
        <f t="array" ref="E769">INDEX(INVESTORS_LIST[INVESTOR NAME],MATCH(SIP[[#This Row],[Investor ID]],INVESTORS_LIST[INVESTOR CODE],0),)</f>
        <v>NANI GOPAL DATTA</v>
      </c>
      <c r="F769" s="46" t="s">
        <v>232</v>
      </c>
      <c r="G769" s="46">
        <f>COUNTIF(SIP[[#Headers],[Investor ID]]:SIP[[#This Row],[Investor ID]],SIP[[#This Row],[Investor ID]])</f>
        <v>12</v>
      </c>
      <c r="H769" s="46" t="str">
        <f>CONCATENATE(SIP[[#This Row],[Frequency]],SIP[[#This Row],[Investor ID]])</f>
        <v>12A00092</v>
      </c>
      <c r="I769" s="46" t="str">
        <f>IF(SIP[[#This Row],[B/S]]="B","BUY",(IF(SIP[[#This Row],[B/S]]="S","SELL"," ")))</f>
        <v>BUY</v>
      </c>
      <c r="J769" s="150" t="s">
        <v>1229</v>
      </c>
      <c r="K769" s="152">
        <v>2000</v>
      </c>
      <c r="L769" s="122"/>
      <c r="M769" s="123">
        <f>SIP[[#This Row],[Amount]]/SIP[[#This Row],[Unit]]</f>
        <v>11.494252873563218</v>
      </c>
      <c r="N769" s="71">
        <f>SIP[[#This Row],[Unit Capital]]/10</f>
        <v>174</v>
      </c>
      <c r="O769" s="71">
        <f>SUMIFS(SIP[[#Headers],[Unit]]:SIP[[#This Row],[Unit]],SIP[[#Headers],[Investor ID]]:SIP[[#This Row],[Investor ID]],SIP[[#This Row],[Investor ID]])</f>
        <v>1829</v>
      </c>
      <c r="P769" s="153">
        <v>1740</v>
      </c>
      <c r="Q769" s="74">
        <f>SIP[[#This Row],[Amount]]-SIP[[#This Row],[Unit Capital]]</f>
        <v>260</v>
      </c>
      <c r="R7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10.982740127932793</v>
      </c>
      <c r="S769" s="68">
        <f t="shared" si="34"/>
        <v>14.224</v>
      </c>
      <c r="T7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9" s="74" cm="1">
        <f t="array" ref="U769">IF(SIP[[#This Row],[B/S]]="S",ABS(SIP[[#This Row],[Unit]])*(INDEX(SIP[NAV at Cost (Average)],MATCH(CONCATENATE((SIP[[#This Row],[Frequency]]-1),SIP[[#This Row],[Investor ID]]),SIP[Unique Code],0),0)),0)</f>
        <v>0</v>
      </c>
      <c r="V769" s="74">
        <f>IF(SIP[[#This Row],[BO TRANSFER]]="YES",SIP[[#This Row],[Unit]],)</f>
        <v>0</v>
      </c>
      <c r="W769" s="74">
        <f>SUMIFS(SIP[[#Headers],[BO UNIT TRANSFER]]:SIP[[#This Row],[BO UNIT TRANSFER]],SIP[[#Headers],[Investor ID]]:SIP[[#This Row],[Investor ID]],SIP[[#This Row],[Investor ID]])</f>
        <v>0</v>
      </c>
    </row>
    <row r="770" spans="1:23" ht="15" customHeight="1">
      <c r="A770" s="46">
        <v>2024</v>
      </c>
      <c r="B770" s="46">
        <v>10</v>
      </c>
      <c r="C770" s="46">
        <v>5</v>
      </c>
      <c r="D770" s="65">
        <f>DATE(SIP[[#This Row],[Year]],SIP[[#This Row],[Month]],SIP[[#This Row],[Day]])</f>
        <v>45570</v>
      </c>
      <c r="E770" s="66" t="str" cm="1">
        <f t="array" ref="E770">INDEX(INVESTORS_LIST[INVESTOR NAME],MATCH(SIP[[#This Row],[Investor ID]],INVESTORS_LIST[INVESTOR CODE],0),)</f>
        <v>SABRIA ISLAM TALUKDER</v>
      </c>
      <c r="F770" s="46" t="s">
        <v>409</v>
      </c>
      <c r="G770" s="46">
        <f>COUNTIF(SIP[[#Headers],[Investor ID]]:SIP[[#This Row],[Investor ID]],SIP[[#This Row],[Investor ID]])</f>
        <v>14</v>
      </c>
      <c r="H770" s="46" t="str">
        <f>CONCATENATE(SIP[[#This Row],[Frequency]],SIP[[#This Row],[Investor ID]])</f>
        <v>14A00180</v>
      </c>
      <c r="I770" s="46" t="str">
        <f>IF(SIP[[#This Row],[B/S]]="B","BUY",(IF(SIP[[#This Row],[B/S]]="S","SELL"," ")))</f>
        <v>BUY</v>
      </c>
      <c r="J770" s="150" t="s">
        <v>1229</v>
      </c>
      <c r="K770" s="152">
        <v>5000</v>
      </c>
      <c r="L770" s="122"/>
      <c r="M770" s="123">
        <f>SIP[[#This Row],[Amount]]/SIP[[#This Row],[Unit]]</f>
        <v>11.52073732718894</v>
      </c>
      <c r="N770" s="71">
        <f>SIP[[#This Row],[Unit Capital]]/10</f>
        <v>434</v>
      </c>
      <c r="O770" s="71">
        <f>SUMIFS(SIP[[#Headers],[Unit]]:SIP[[#This Row],[Unit]],SIP[[#Headers],[Investor ID]]:SIP[[#This Row],[Investor ID]],SIP[[#This Row],[Investor ID]])</f>
        <v>6416</v>
      </c>
      <c r="P770" s="153">
        <v>4340</v>
      </c>
      <c r="Q770" s="74">
        <f>SIP[[#This Row],[Amount]]-SIP[[#This Row],[Unit Capital]]</f>
        <v>660</v>
      </c>
      <c r="R7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10.910224438902741</v>
      </c>
      <c r="S770" s="68">
        <f t="shared" si="34"/>
        <v>14.224</v>
      </c>
      <c r="T7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0" s="74" cm="1">
        <f t="array" ref="U770">IF(SIP[[#This Row],[B/S]]="S",ABS(SIP[[#This Row],[Unit]])*(INDEX(SIP[NAV at Cost (Average)],MATCH(CONCATENATE((SIP[[#This Row],[Frequency]]-1),SIP[[#This Row],[Investor ID]]),SIP[Unique Code],0),0)),0)</f>
        <v>0</v>
      </c>
      <c r="V770" s="74">
        <f>IF(SIP[[#This Row],[BO TRANSFER]]="YES",SIP[[#This Row],[Unit]],)</f>
        <v>0</v>
      </c>
      <c r="W770" s="74">
        <f>SUMIFS(SIP[[#Headers],[BO UNIT TRANSFER]]:SIP[[#This Row],[BO UNIT TRANSFER]],SIP[[#Headers],[Investor ID]]:SIP[[#This Row],[Investor ID]],SIP[[#This Row],[Investor ID]])</f>
        <v>0</v>
      </c>
    </row>
    <row r="771" spans="1:23" ht="15" customHeight="1">
      <c r="A771" s="46">
        <v>2024</v>
      </c>
      <c r="B771" s="46">
        <v>10</v>
      </c>
      <c r="C771" s="46">
        <v>5</v>
      </c>
      <c r="D771" s="65">
        <f>DATE(SIP[[#This Row],[Year]],SIP[[#This Row],[Month]],SIP[[#This Row],[Day]])</f>
        <v>45570</v>
      </c>
      <c r="E771" s="66" t="str" cm="1">
        <f t="array" ref="E771">INDEX(INVESTORS_LIST[INVESTOR NAME],MATCH(SIP[[#This Row],[Investor ID]],INVESTORS_LIST[INVESTOR CODE],0),)</f>
        <v>BIJOY CHANDRA DAS</v>
      </c>
      <c r="F771" s="46" t="s">
        <v>497</v>
      </c>
      <c r="G771" s="46">
        <f>COUNTIF(SIP[[#Headers],[Investor ID]]:SIP[[#This Row],[Investor ID]],SIP[[#This Row],[Investor ID]])</f>
        <v>7</v>
      </c>
      <c r="H771" s="46" t="str">
        <f>CONCATENATE(SIP[[#This Row],[Frequency]],SIP[[#This Row],[Investor ID]])</f>
        <v>7A00224</v>
      </c>
      <c r="I771" s="46" t="str">
        <f>IF(SIP[[#This Row],[B/S]]="B","BUY",(IF(SIP[[#This Row],[B/S]]="S","SELL"," ")))</f>
        <v>BUY</v>
      </c>
      <c r="J771" s="150" t="s">
        <v>1229</v>
      </c>
      <c r="K771" s="152">
        <v>5000</v>
      </c>
      <c r="L771" s="122"/>
      <c r="M771" s="123">
        <f>SIP[[#This Row],[Amount]]/SIP[[#This Row],[Unit]]</f>
        <v>11.52073732718894</v>
      </c>
      <c r="N771" s="71">
        <f>SIP[[#This Row],[Unit Capital]]/10</f>
        <v>434</v>
      </c>
      <c r="O771" s="71">
        <f>SUMIFS(SIP[[#Headers],[Unit]]:SIP[[#This Row],[Unit]],SIP[[#Headers],[Investor ID]]:SIP[[#This Row],[Investor ID]],SIP[[#This Row],[Investor ID]])</f>
        <v>3124</v>
      </c>
      <c r="P771" s="153">
        <v>4340</v>
      </c>
      <c r="Q771" s="74">
        <f>SIP[[#This Row],[Amount]]-SIP[[#This Row],[Unit Capital]]</f>
        <v>660</v>
      </c>
      <c r="R7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11.203585147247118</v>
      </c>
      <c r="S771" s="68">
        <f t="shared" si="34"/>
        <v>14.224</v>
      </c>
      <c r="T7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1" s="74" cm="1">
        <f t="array" ref="U771">IF(SIP[[#This Row],[B/S]]="S",ABS(SIP[[#This Row],[Unit]])*(INDEX(SIP[NAV at Cost (Average)],MATCH(CONCATENATE((SIP[[#This Row],[Frequency]]-1),SIP[[#This Row],[Investor ID]]),SIP[Unique Code],0),0)),0)</f>
        <v>0</v>
      </c>
      <c r="V771" s="74">
        <f>IF(SIP[[#This Row],[BO TRANSFER]]="YES",SIP[[#This Row],[Unit]],)</f>
        <v>0</v>
      </c>
      <c r="W771" s="74">
        <f>SUMIFS(SIP[[#Headers],[BO UNIT TRANSFER]]:SIP[[#This Row],[BO UNIT TRANSFER]],SIP[[#Headers],[Investor ID]]:SIP[[#This Row],[Investor ID]],SIP[[#This Row],[Investor ID]])</f>
        <v>0</v>
      </c>
    </row>
    <row r="772" spans="1:23" ht="15" customHeight="1">
      <c r="A772" s="46">
        <v>2024</v>
      </c>
      <c r="B772" s="46">
        <v>10</v>
      </c>
      <c r="C772" s="46">
        <v>5</v>
      </c>
      <c r="D772" s="65">
        <f>DATE(SIP[[#This Row],[Year]],SIP[[#This Row],[Month]],SIP[[#This Row],[Day]])</f>
        <v>45570</v>
      </c>
      <c r="E772" s="66" t="str" cm="1">
        <f t="array" ref="E772">INDEX(INVESTORS_LIST[INVESTOR NAME],MATCH(SIP[[#This Row],[Investor ID]],INVESTORS_LIST[INVESTOR CODE],0),)</f>
        <v>AHMED BIN MONSUR</v>
      </c>
      <c r="F772" s="46" t="s">
        <v>692</v>
      </c>
      <c r="G772" s="46">
        <f>COUNTIF(SIP[[#Headers],[Investor ID]]:SIP[[#This Row],[Investor ID]],SIP[[#This Row],[Investor ID]])</f>
        <v>5</v>
      </c>
      <c r="H772" s="46" t="str">
        <f>CONCATENATE(SIP[[#This Row],[Frequency]],SIP[[#This Row],[Investor ID]])</f>
        <v>5A00322</v>
      </c>
      <c r="I772" s="46" t="str">
        <f>IF(SIP[[#This Row],[B/S]]="B","BUY",(IF(SIP[[#This Row],[B/S]]="S","SELL"," ")))</f>
        <v>BUY</v>
      </c>
      <c r="J772" s="150" t="s">
        <v>1229</v>
      </c>
      <c r="K772" s="152">
        <v>20000</v>
      </c>
      <c r="L772" s="122"/>
      <c r="M772" s="123">
        <f>SIP[[#This Row],[Amount]]/SIP[[#This Row],[Unit]]</f>
        <v>11.507479861910241</v>
      </c>
      <c r="N772" s="71">
        <f>SIP[[#This Row],[Unit Capital]]/10</f>
        <v>1738</v>
      </c>
      <c r="O772" s="71">
        <f>SUMIFS(SIP[[#Headers],[Unit]]:SIP[[#This Row],[Unit]],SIP[[#Headers],[Investor ID]]:SIP[[#This Row],[Investor ID]],SIP[[#This Row],[Investor ID]])</f>
        <v>8854</v>
      </c>
      <c r="P772" s="153">
        <v>17380</v>
      </c>
      <c r="Q772" s="74">
        <f>SIP[[#This Row],[Amount]]-SIP[[#This Row],[Unit Capital]]</f>
        <v>2620</v>
      </c>
      <c r="R7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11.294330246216401</v>
      </c>
      <c r="S772" s="68">
        <f t="shared" si="34"/>
        <v>14.224</v>
      </c>
      <c r="T7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2" s="74" cm="1">
        <f t="array" ref="U772">IF(SIP[[#This Row],[B/S]]="S",ABS(SIP[[#This Row],[Unit]])*(INDEX(SIP[NAV at Cost (Average)],MATCH(CONCATENATE((SIP[[#This Row],[Frequency]]-1),SIP[[#This Row],[Investor ID]]),SIP[Unique Code],0),0)),0)</f>
        <v>0</v>
      </c>
      <c r="V772" s="74">
        <f>IF(SIP[[#This Row],[BO TRANSFER]]="YES",SIP[[#This Row],[Unit]],)</f>
        <v>0</v>
      </c>
      <c r="W772" s="74">
        <f>SUMIFS(SIP[[#Headers],[BO UNIT TRANSFER]]:SIP[[#This Row],[BO UNIT TRANSFER]],SIP[[#Headers],[Investor ID]]:SIP[[#This Row],[Investor ID]],SIP[[#This Row],[Investor ID]])</f>
        <v>0</v>
      </c>
    </row>
    <row r="773" spans="1:23" ht="15" customHeight="1">
      <c r="A773" s="46">
        <v>2024</v>
      </c>
      <c r="B773" s="46">
        <v>10</v>
      </c>
      <c r="C773" s="46">
        <v>15</v>
      </c>
      <c r="D773" s="65">
        <f>DATE(SIP[[#This Row],[Year]],SIP[[#This Row],[Month]],SIP[[#This Row],[Day]])</f>
        <v>45580</v>
      </c>
      <c r="E773" s="66" t="str" cm="1">
        <f t="array" ref="E773">INDEX(INVESTORS_LIST[INVESTOR NAME],MATCH(SIP[[#This Row],[Investor ID]],INVESTORS_LIST[INVESTOR CODE],0),)</f>
        <v>MD. RAFIQUR RAHMAN</v>
      </c>
      <c r="F773" s="46" t="s">
        <v>622</v>
      </c>
      <c r="G773" s="46">
        <f>COUNTIF(SIP[[#Headers],[Investor ID]]:SIP[[#This Row],[Investor ID]],SIP[[#This Row],[Investor ID]])</f>
        <v>14</v>
      </c>
      <c r="H773" s="46" t="str">
        <f>CONCATENATE(SIP[[#This Row],[Frequency]],SIP[[#This Row],[Investor ID]])</f>
        <v>14A00287</v>
      </c>
      <c r="I773" s="46" t="str">
        <f>IF(SIP[[#This Row],[B/S]]="B","BUY",(IF(SIP[[#This Row],[B/S]]="S","SELL"," ")))</f>
        <v>BUY</v>
      </c>
      <c r="J773" s="150" t="s">
        <v>1229</v>
      </c>
      <c r="K773" s="152">
        <v>20000</v>
      </c>
      <c r="L773" s="122"/>
      <c r="M773" s="123">
        <f>SIP[[#This Row],[Amount]]/SIP[[#This Row],[Unit]]</f>
        <v>11.534025374855824</v>
      </c>
      <c r="N773" s="71">
        <f>SIP[[#This Row],[Unit Capital]]/10</f>
        <v>1734</v>
      </c>
      <c r="O773" s="71">
        <f>SUMIFS(SIP[[#Headers],[Unit]]:SIP[[#This Row],[Unit]],SIP[[#Headers],[Investor ID]]:SIP[[#This Row],[Investor ID]],SIP[[#This Row],[Investor ID]])</f>
        <v>25607</v>
      </c>
      <c r="P773" s="153">
        <v>17340</v>
      </c>
      <c r="Q773" s="74">
        <f>SIP[[#This Row],[Amount]]-SIP[[#This Row],[Unit Capital]]</f>
        <v>2660</v>
      </c>
      <c r="R7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10.934510094895924</v>
      </c>
      <c r="S773" s="68">
        <f t="shared" ref="S773:S779" si="35">NAV_MKT</f>
        <v>14.224</v>
      </c>
      <c r="T7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3" s="74" cm="1">
        <f t="array" ref="U773">IF(SIP[[#This Row],[B/S]]="S",ABS(SIP[[#This Row],[Unit]])*(INDEX(SIP[NAV at Cost (Average)],MATCH(CONCATENATE((SIP[[#This Row],[Frequency]]-1),SIP[[#This Row],[Investor ID]]),SIP[Unique Code],0),0)),0)</f>
        <v>0</v>
      </c>
      <c r="V773" s="74">
        <f>IF(SIP[[#This Row],[BO TRANSFER]]="YES",SIP[[#This Row],[Unit]],)</f>
        <v>0</v>
      </c>
      <c r="W773" s="74">
        <f>SUMIFS(SIP[[#Headers],[BO UNIT TRANSFER]]:SIP[[#This Row],[BO UNIT TRANSFER]],SIP[[#Headers],[Investor ID]]:SIP[[#This Row],[Investor ID]],SIP[[#This Row],[Investor ID]])</f>
        <v>0</v>
      </c>
    </row>
    <row r="774" spans="1:23" ht="15" customHeight="1">
      <c r="A774" s="46">
        <v>2024</v>
      </c>
      <c r="B774" s="46">
        <v>10</v>
      </c>
      <c r="C774" s="46">
        <v>15</v>
      </c>
      <c r="D774" s="65">
        <f>DATE(SIP[[#This Row],[Year]],SIP[[#This Row],[Month]],SIP[[#This Row],[Day]])</f>
        <v>45580</v>
      </c>
      <c r="E774" s="66" t="str" cm="1">
        <f t="array" ref="E774">INDEX(INVESTORS_LIST[INVESTOR NAME],MATCH(SIP[[#This Row],[Investor ID]],INVESTORS_LIST[INVESTOR CODE],0),)</f>
        <v>CHANCHAL KUMAR SAHA</v>
      </c>
      <c r="F774" s="46" t="s">
        <v>569</v>
      </c>
      <c r="G774" s="46">
        <f>COUNTIF(SIP[[#Headers],[Investor ID]]:SIP[[#This Row],[Investor ID]],SIP[[#This Row],[Investor ID]])</f>
        <v>7</v>
      </c>
      <c r="H774" s="46" t="str">
        <f>CONCATENATE(SIP[[#This Row],[Frequency]],SIP[[#This Row],[Investor ID]])</f>
        <v>7A00260</v>
      </c>
      <c r="I774" s="46" t="str">
        <f>IF(SIP[[#This Row],[B/S]]="B","BUY",(IF(SIP[[#This Row],[B/S]]="S","SELL"," ")))</f>
        <v>BUY</v>
      </c>
      <c r="J774" s="150" t="s">
        <v>1229</v>
      </c>
      <c r="K774" s="152">
        <v>15000</v>
      </c>
      <c r="L774" s="122"/>
      <c r="M774" s="123">
        <f>SIP[[#This Row],[Amount]]/SIP[[#This Row],[Unit]]</f>
        <v>11.529592621060722</v>
      </c>
      <c r="N774" s="71">
        <f>SIP[[#This Row],[Unit Capital]]/10</f>
        <v>1301</v>
      </c>
      <c r="O774" s="71">
        <f>SUMIFS(SIP[[#Headers],[Unit]]:SIP[[#This Row],[Unit]],SIP[[#Headers],[Investor ID]]:SIP[[#This Row],[Investor ID]],SIP[[#This Row],[Investor ID]])</f>
        <v>6844</v>
      </c>
      <c r="P774" s="153">
        <v>13010</v>
      </c>
      <c r="Q774" s="74">
        <f>SIP[[#This Row],[Amount]]-SIP[[#This Row],[Unit Capital]]</f>
        <v>1990</v>
      </c>
      <c r="R7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11.061893355855595</v>
      </c>
      <c r="S774" s="68">
        <f t="shared" si="35"/>
        <v>14.224</v>
      </c>
      <c r="T7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4" s="74" cm="1">
        <f t="array" ref="U774">IF(SIP[[#This Row],[B/S]]="S",ABS(SIP[[#This Row],[Unit]])*(INDEX(SIP[NAV at Cost (Average)],MATCH(CONCATENATE((SIP[[#This Row],[Frequency]]-1),SIP[[#This Row],[Investor ID]]),SIP[Unique Code],0),0)),0)</f>
        <v>0</v>
      </c>
      <c r="V774" s="74">
        <f>IF(SIP[[#This Row],[BO TRANSFER]]="YES",SIP[[#This Row],[Unit]],)</f>
        <v>0</v>
      </c>
      <c r="W774" s="74">
        <f>SUMIFS(SIP[[#Headers],[BO UNIT TRANSFER]]:SIP[[#This Row],[BO UNIT TRANSFER]],SIP[[#Headers],[Investor ID]]:SIP[[#This Row],[Investor ID]],SIP[[#This Row],[Investor ID]])</f>
        <v>0</v>
      </c>
    </row>
    <row r="775" spans="1:23" ht="15" customHeight="1">
      <c r="A775" s="46">
        <v>2024</v>
      </c>
      <c r="B775" s="46">
        <v>10</v>
      </c>
      <c r="C775" s="46">
        <v>15</v>
      </c>
      <c r="D775" s="65">
        <f>DATE(SIP[[#This Row],[Year]],SIP[[#This Row],[Month]],SIP[[#This Row],[Day]])</f>
        <v>45580</v>
      </c>
      <c r="E775" s="66" t="str" cm="1">
        <f t="array" ref="E775">INDEX(INVESTORS_LIST[INVESTOR NAME],MATCH(SIP[[#This Row],[Investor ID]],INVESTORS_LIST[INVESTOR CODE],0),)</f>
        <v>AKIB TANVIR ANJUM</v>
      </c>
      <c r="F775" s="46" t="s">
        <v>1116</v>
      </c>
      <c r="G775" s="46">
        <f>COUNTIF(SIP[[#Headers],[Investor ID]]:SIP[[#This Row],[Investor ID]],SIP[[#This Row],[Investor ID]])</f>
        <v>8</v>
      </c>
      <c r="H775" s="46" t="str">
        <f>CONCATENATE(SIP[[#This Row],[Frequency]],SIP[[#This Row],[Investor ID]])</f>
        <v>8A00533</v>
      </c>
      <c r="I775" s="46" t="str">
        <f>IF(SIP[[#This Row],[B/S]]="B","BUY",(IF(SIP[[#This Row],[B/S]]="S","SELL"," ")))</f>
        <v>BUY</v>
      </c>
      <c r="J775" s="150" t="s">
        <v>1229</v>
      </c>
      <c r="K775" s="152">
        <v>1000</v>
      </c>
      <c r="L775" s="122"/>
      <c r="M775" s="123">
        <f>SIP[[#This Row],[Amount]]/SIP[[#This Row],[Unit]]</f>
        <v>11.494252873563218</v>
      </c>
      <c r="N775" s="71">
        <f>SIP[[#This Row],[Unit Capital]]/10</f>
        <v>87</v>
      </c>
      <c r="O775" s="71">
        <f>SUMIFS(SIP[[#Headers],[Unit]]:SIP[[#This Row],[Unit]],SIP[[#Headers],[Investor ID]]:SIP[[#This Row],[Investor ID]],SIP[[#This Row],[Investor ID]])</f>
        <v>710</v>
      </c>
      <c r="P775" s="153">
        <v>870</v>
      </c>
      <c r="Q775" s="74">
        <f>SIP[[#This Row],[Amount]]-SIP[[#This Row],[Unit Capital]]</f>
        <v>130</v>
      </c>
      <c r="R7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11.267605633802818</v>
      </c>
      <c r="S775" s="68">
        <f t="shared" si="35"/>
        <v>14.224</v>
      </c>
      <c r="T7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5" s="74" cm="1">
        <f t="array" ref="U775">IF(SIP[[#This Row],[B/S]]="S",ABS(SIP[[#This Row],[Unit]])*(INDEX(SIP[NAV at Cost (Average)],MATCH(CONCATENATE((SIP[[#This Row],[Frequency]]-1),SIP[[#This Row],[Investor ID]]),SIP[Unique Code],0),0)),0)</f>
        <v>0</v>
      </c>
      <c r="V775" s="74">
        <f>IF(SIP[[#This Row],[BO TRANSFER]]="YES",SIP[[#This Row],[Unit]],)</f>
        <v>0</v>
      </c>
      <c r="W775" s="74">
        <f>SUMIFS(SIP[[#Headers],[BO UNIT TRANSFER]]:SIP[[#This Row],[BO UNIT TRANSFER]],SIP[[#Headers],[Investor ID]]:SIP[[#This Row],[Investor ID]],SIP[[#This Row],[Investor ID]])</f>
        <v>0</v>
      </c>
    </row>
    <row r="776" spans="1:23" ht="15" customHeight="1">
      <c r="A776" s="46">
        <v>2024</v>
      </c>
      <c r="B776" s="46">
        <v>10</v>
      </c>
      <c r="C776" s="46">
        <v>15</v>
      </c>
      <c r="D776" s="65">
        <f>DATE(SIP[[#This Row],[Year]],SIP[[#This Row],[Month]],SIP[[#This Row],[Day]])</f>
        <v>45580</v>
      </c>
      <c r="E776" s="66" t="str" cm="1">
        <f t="array" ref="E776">INDEX(INVESTORS_LIST[INVESTOR NAME],MATCH(SIP[[#This Row],[Investor ID]],INVESTORS_LIST[INVESTOR CODE],0),)</f>
        <v>MAHMUD ALI ALAMGIR &amp; MOHAMMED ALI XAHANGIR</v>
      </c>
      <c r="F776" s="46" t="s">
        <v>1130</v>
      </c>
      <c r="G776" s="46">
        <f>COUNTIF(SIP[[#Headers],[Investor ID]]:SIP[[#This Row],[Investor ID]],SIP[[#This Row],[Investor ID]])</f>
        <v>5</v>
      </c>
      <c r="H776" s="46" t="str">
        <f>CONCATENATE(SIP[[#This Row],[Frequency]],SIP[[#This Row],[Investor ID]])</f>
        <v>5A00540</v>
      </c>
      <c r="I776" s="46" t="str">
        <f>IF(SIP[[#This Row],[B/S]]="B","BUY",(IF(SIP[[#This Row],[B/S]]="S","SELL"," ")))</f>
        <v>BUY</v>
      </c>
      <c r="J776" s="150" t="s">
        <v>1229</v>
      </c>
      <c r="K776" s="152">
        <v>40000</v>
      </c>
      <c r="L776" s="122"/>
      <c r="M776" s="123">
        <f>SIP[[#This Row],[Amount]]/SIP[[#This Row],[Unit]]</f>
        <v>11.530700490054771</v>
      </c>
      <c r="N776" s="71">
        <f>SIP[[#This Row],[Unit Capital]]/10</f>
        <v>3469</v>
      </c>
      <c r="O776" s="71">
        <f>SUMIFS(SIP[[#Headers],[Unit]]:SIP[[#This Row],[Unit]],SIP[[#Headers],[Investor ID]]:SIP[[#This Row],[Investor ID]],SIP[[#This Row],[Investor ID]])</f>
        <v>17660</v>
      </c>
      <c r="P776" s="153">
        <v>34690</v>
      </c>
      <c r="Q776" s="74">
        <f>SIP[[#This Row],[Amount]]-SIP[[#This Row],[Unit Capital]]</f>
        <v>5310</v>
      </c>
      <c r="R7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11.32502831257078</v>
      </c>
      <c r="S776" s="68">
        <f t="shared" si="35"/>
        <v>14.224</v>
      </c>
      <c r="T7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6" s="74" cm="1">
        <f t="array" ref="U776">IF(SIP[[#This Row],[B/S]]="S",ABS(SIP[[#This Row],[Unit]])*(INDEX(SIP[NAV at Cost (Average)],MATCH(CONCATENATE((SIP[[#This Row],[Frequency]]-1),SIP[[#This Row],[Investor ID]]),SIP[Unique Code],0),0)),0)</f>
        <v>0</v>
      </c>
      <c r="V776" s="74">
        <f>IF(SIP[[#This Row],[BO TRANSFER]]="YES",SIP[[#This Row],[Unit]],)</f>
        <v>0</v>
      </c>
      <c r="W776" s="74">
        <f>SUMIFS(SIP[[#Headers],[BO UNIT TRANSFER]]:SIP[[#This Row],[BO UNIT TRANSFER]],SIP[[#Headers],[Investor ID]]:SIP[[#This Row],[Investor ID]],SIP[[#This Row],[Investor ID]])</f>
        <v>0</v>
      </c>
    </row>
    <row r="777" spans="1:23" ht="15" customHeight="1">
      <c r="A777" s="46">
        <v>2024</v>
      </c>
      <c r="B777" s="46">
        <v>10</v>
      </c>
      <c r="C777" s="46">
        <v>15</v>
      </c>
      <c r="D777" s="65">
        <f>DATE(SIP[[#This Row],[Year]],SIP[[#This Row],[Month]],SIP[[#This Row],[Day]])</f>
        <v>45580</v>
      </c>
      <c r="E777" s="66" t="str" cm="1">
        <f t="array" ref="E777">INDEX(INVESTORS_LIST[INVESTOR NAME],MATCH(SIP[[#This Row],[Investor ID]],INVESTORS_LIST[INVESTOR CODE],0),)</f>
        <v>AKIB TANVIR ANJUM</v>
      </c>
      <c r="F777" s="46" t="s">
        <v>1116</v>
      </c>
      <c r="G777" s="46">
        <f>COUNTIF(SIP[[#Headers],[Investor ID]]:SIP[[#This Row],[Investor ID]],SIP[[#This Row],[Investor ID]])</f>
        <v>9</v>
      </c>
      <c r="H777" s="46" t="str">
        <f>CONCATENATE(SIP[[#This Row],[Frequency]],SIP[[#This Row],[Investor ID]])</f>
        <v>9A00533</v>
      </c>
      <c r="I777" s="46" t="str">
        <f>IF(SIP[[#This Row],[B/S]]="B","BUY",(IF(SIP[[#This Row],[B/S]]="S","SELL"," ")))</f>
        <v>BUY</v>
      </c>
      <c r="J777" s="150" t="s">
        <v>1229</v>
      </c>
      <c r="K777" s="152">
        <v>1000</v>
      </c>
      <c r="L777" s="122"/>
      <c r="M777" s="123">
        <f>SIP[[#This Row],[Amount]]/SIP[[#This Row],[Unit]]</f>
        <v>11.494252873563218</v>
      </c>
      <c r="N777" s="71">
        <f>SIP[[#This Row],[Unit Capital]]/10</f>
        <v>87</v>
      </c>
      <c r="O777" s="71">
        <f>SUMIFS(SIP[[#Headers],[Unit]]:SIP[[#This Row],[Unit]],SIP[[#Headers],[Investor ID]]:SIP[[#This Row],[Investor ID]],SIP[[#This Row],[Investor ID]])</f>
        <v>797</v>
      </c>
      <c r="P777" s="153">
        <v>870</v>
      </c>
      <c r="Q777" s="74">
        <f>SIP[[#This Row],[Amount]]-SIP[[#This Row],[Unit Capital]]</f>
        <v>130</v>
      </c>
      <c r="R7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11.292346298619826</v>
      </c>
      <c r="S777" s="68">
        <f t="shared" si="35"/>
        <v>14.224</v>
      </c>
      <c r="T7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7" s="74" cm="1">
        <f t="array" ref="U777">IF(SIP[[#This Row],[B/S]]="S",ABS(SIP[[#This Row],[Unit]])*(INDEX(SIP[NAV at Cost (Average)],MATCH(CONCATENATE((SIP[[#This Row],[Frequency]]-1),SIP[[#This Row],[Investor ID]]),SIP[Unique Code],0),0)),0)</f>
        <v>0</v>
      </c>
      <c r="V777" s="74">
        <f>IF(SIP[[#This Row],[BO TRANSFER]]="YES",SIP[[#This Row],[Unit]],)</f>
        <v>0</v>
      </c>
      <c r="W777" s="74">
        <f>SUMIFS(SIP[[#Headers],[BO UNIT TRANSFER]]:SIP[[#This Row],[BO UNIT TRANSFER]],SIP[[#Headers],[Investor ID]]:SIP[[#This Row],[Investor ID]],SIP[[#This Row],[Investor ID]])</f>
        <v>0</v>
      </c>
    </row>
    <row r="778" spans="1:23" ht="15" customHeight="1">
      <c r="A778" s="46">
        <v>2024</v>
      </c>
      <c r="B778" s="46">
        <v>10</v>
      </c>
      <c r="C778" s="46">
        <v>15</v>
      </c>
      <c r="D778" s="65">
        <f>DATE(SIP[[#This Row],[Year]],SIP[[#This Row],[Month]],SIP[[#This Row],[Day]])</f>
        <v>45580</v>
      </c>
      <c r="E778" s="66" t="str" cm="1">
        <f t="array" ref="E778">INDEX(INVESTORS_LIST[INVESTOR NAME],MATCH(SIP[[#This Row],[Investor ID]],INVESTORS_LIST[INVESTOR CODE],0),)</f>
        <v>MAHFUZA ANIKA</v>
      </c>
      <c r="F778" s="46" t="s">
        <v>1277</v>
      </c>
      <c r="G778" s="46">
        <f>COUNTIF(SIP[[#Headers],[Investor ID]]:SIP[[#This Row],[Investor ID]],SIP[[#This Row],[Investor ID]])</f>
        <v>4</v>
      </c>
      <c r="H778" s="46" t="str">
        <f>CONCATENATE(SIP[[#This Row],[Frequency]],SIP[[#This Row],[Investor ID]])</f>
        <v>4A00585</v>
      </c>
      <c r="I778" s="46" t="str">
        <f>IF(SIP[[#This Row],[B/S]]="B","BUY",(IF(SIP[[#This Row],[B/S]]="S","SELL"," ")))</f>
        <v>BUY</v>
      </c>
      <c r="J778" s="150" t="s">
        <v>1229</v>
      </c>
      <c r="K778" s="152">
        <v>2000</v>
      </c>
      <c r="L778" s="122"/>
      <c r="M778" s="123">
        <f>SIP[[#This Row],[Amount]]/SIP[[#This Row],[Unit]]</f>
        <v>11.560693641618498</v>
      </c>
      <c r="N778" s="71">
        <f>SIP[[#This Row],[Unit Capital]]/10</f>
        <v>173</v>
      </c>
      <c r="O778" s="71">
        <f>SUMIFS(SIP[[#Headers],[Unit]]:SIP[[#This Row],[Unit]],SIP[[#Headers],[Investor ID]]:SIP[[#This Row],[Investor ID]],SIP[[#This Row],[Investor ID]])</f>
        <v>524</v>
      </c>
      <c r="P778" s="153">
        <v>1730</v>
      </c>
      <c r="Q778" s="74">
        <f>SIP[[#This Row],[Amount]]-SIP[[#This Row],[Unit Capital]]</f>
        <v>270</v>
      </c>
      <c r="R7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11.450381679389313</v>
      </c>
      <c r="S778" s="68">
        <f t="shared" si="35"/>
        <v>14.224</v>
      </c>
      <c r="T7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8" s="74" cm="1">
        <f t="array" ref="U778">IF(SIP[[#This Row],[B/S]]="S",ABS(SIP[[#This Row],[Unit]])*(INDEX(SIP[NAV at Cost (Average)],MATCH(CONCATENATE((SIP[[#This Row],[Frequency]]-1),SIP[[#This Row],[Investor ID]]),SIP[Unique Code],0),0)),0)</f>
        <v>0</v>
      </c>
      <c r="V778" s="74">
        <f>IF(SIP[[#This Row],[BO TRANSFER]]="YES",SIP[[#This Row],[Unit]],)</f>
        <v>0</v>
      </c>
      <c r="W778" s="74">
        <f>SUMIFS(SIP[[#Headers],[BO UNIT TRANSFER]]:SIP[[#This Row],[BO UNIT TRANSFER]],SIP[[#Headers],[Investor ID]]:SIP[[#This Row],[Investor ID]],SIP[[#This Row],[Investor ID]])</f>
        <v>0</v>
      </c>
    </row>
    <row r="779" spans="1:23" ht="15" customHeight="1">
      <c r="A779" s="46">
        <v>2024</v>
      </c>
      <c r="B779" s="46">
        <v>10</v>
      </c>
      <c r="C779" s="46">
        <v>15</v>
      </c>
      <c r="D779" s="65">
        <f>DATE(SIP[[#This Row],[Year]],SIP[[#This Row],[Month]],SIP[[#This Row],[Day]])</f>
        <v>45580</v>
      </c>
      <c r="E779" s="66" t="str" cm="1">
        <f t="array" ref="E779">INDEX(INVESTORS_LIST[INVESTOR NAME],MATCH(SIP[[#This Row],[Investor ID]],INVESTORS_LIST[INVESTOR CODE],0),)</f>
        <v>SANJIB KUMAR ROY</v>
      </c>
      <c r="F779" s="46" t="s">
        <v>1020</v>
      </c>
      <c r="G779" s="46">
        <f>COUNTIF(SIP[[#Headers],[Investor ID]]:SIP[[#This Row],[Investor ID]],SIP[[#This Row],[Investor ID]])</f>
        <v>17</v>
      </c>
      <c r="H779" s="46" t="str">
        <f>CONCATENATE(SIP[[#This Row],[Frequency]],SIP[[#This Row],[Investor ID]])</f>
        <v>17A00487</v>
      </c>
      <c r="I779" s="46" t="str">
        <f>IF(SIP[[#This Row],[B/S]]="B","BUY",(IF(SIP[[#This Row],[B/S]]="S","SELL"," ")))</f>
        <v>BUY</v>
      </c>
      <c r="J779" s="150" t="s">
        <v>1229</v>
      </c>
      <c r="K779" s="152">
        <v>5000</v>
      </c>
      <c r="L779" s="122"/>
      <c r="M779" s="123">
        <f>SIP[[#This Row],[Amount]]/SIP[[#This Row],[Unit]]</f>
        <v>11.52073732718894</v>
      </c>
      <c r="N779" s="71">
        <f>SIP[[#This Row],[Unit Capital]]/10</f>
        <v>434</v>
      </c>
      <c r="O779" s="71">
        <f>SUMIFS(SIP[[#Headers],[Unit]]:SIP[[#This Row],[Unit]],SIP[[#Headers],[Investor ID]]:SIP[[#This Row],[Investor ID]],SIP[[#This Row],[Investor ID]])</f>
        <v>7859</v>
      </c>
      <c r="P779" s="153">
        <v>4340</v>
      </c>
      <c r="Q779" s="74">
        <f>SIP[[#This Row],[Amount]]-SIP[[#This Row],[Unit Capital]]</f>
        <v>660</v>
      </c>
      <c r="R7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10.815625397633285</v>
      </c>
      <c r="S779" s="68">
        <f t="shared" si="35"/>
        <v>14.224</v>
      </c>
      <c r="T7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79" s="74" cm="1">
        <f t="array" ref="U779">IF(SIP[[#This Row],[B/S]]="S",ABS(SIP[[#This Row],[Unit]])*(INDEX(SIP[NAV at Cost (Average)],MATCH(CONCATENATE((SIP[[#This Row],[Frequency]]-1),SIP[[#This Row],[Investor ID]]),SIP[Unique Code],0),0)),0)</f>
        <v>0</v>
      </c>
      <c r="V779" s="74">
        <f>IF(SIP[[#This Row],[BO TRANSFER]]="YES",SIP[[#This Row],[Unit]],)</f>
        <v>0</v>
      </c>
      <c r="W779" s="74">
        <f>SUMIFS(SIP[[#Headers],[BO UNIT TRANSFER]]:SIP[[#This Row],[BO UNIT TRANSFER]],SIP[[#Headers],[Investor ID]]:SIP[[#This Row],[Investor ID]],SIP[[#This Row],[Investor ID]])</f>
        <v>0</v>
      </c>
    </row>
    <row r="780" spans="1:23" ht="15" customHeight="1">
      <c r="A780" s="46">
        <v>2024</v>
      </c>
      <c r="B780" s="46">
        <v>10</v>
      </c>
      <c r="C780" s="46">
        <v>16</v>
      </c>
      <c r="D780" s="65">
        <f>DATE(SIP[[#This Row],[Year]],SIP[[#This Row],[Month]],SIP[[#This Row],[Day]])</f>
        <v>45581</v>
      </c>
      <c r="E780" s="66" t="str" cm="1">
        <f t="array" ref="E780">INDEX(INVESTORS_LIST[INVESTOR NAME],MATCH(SIP[[#This Row],[Investor ID]],INVESTORS_LIST[INVESTOR CODE],0),)</f>
        <v>CHANCHAL KUMAR SAHA</v>
      </c>
      <c r="F780" s="46" t="s">
        <v>569</v>
      </c>
      <c r="G780" s="46">
        <f>COUNTIF(SIP[[#Headers],[Investor ID]]:SIP[[#This Row],[Investor ID]],SIP[[#This Row],[Investor ID]])</f>
        <v>8</v>
      </c>
      <c r="H780" s="46" t="str">
        <f>CONCATENATE(SIP[[#This Row],[Frequency]],SIP[[#This Row],[Investor ID]])</f>
        <v>8A00260</v>
      </c>
      <c r="I780" s="46" t="str">
        <f>IF(SIP[[#This Row],[B/S]]="B","BUY",(IF(SIP[[#This Row],[B/S]]="S","SELL"," ")))</f>
        <v>SELL</v>
      </c>
      <c r="J780" s="150" t="s">
        <v>1231</v>
      </c>
      <c r="K780" s="152">
        <v>-15000</v>
      </c>
      <c r="L780" s="122"/>
      <c r="M780" s="123">
        <f>SIP[[#This Row],[Amount]]/SIP[[#This Row],[Unit]]</f>
        <v>11.529592621060722</v>
      </c>
      <c r="N780" s="71">
        <f>SIP[[#This Row],[Unit Capital]]/10</f>
        <v>-1301</v>
      </c>
      <c r="O780" s="71">
        <f>SUMIFS(SIP[[#Headers],[Unit]]:SIP[[#This Row],[Unit]],SIP[[#Headers],[Investor ID]]:SIP[[#This Row],[Investor ID]],SIP[[#This Row],[Investor ID]])</f>
        <v>5543</v>
      </c>
      <c r="P780" s="153">
        <v>-13010</v>
      </c>
      <c r="Q780" s="74">
        <f>SIP[[#This Row],[Amount]]-SIP[[#This Row],[Unit Capital]]</f>
        <v>-1990</v>
      </c>
      <c r="R7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11.061893355855595</v>
      </c>
      <c r="S780" s="68">
        <f t="shared" ref="S780:S810" si="36">NAV_MKT</f>
        <v>14.224</v>
      </c>
      <c r="T780" s="74">
        <f>IF(SIP[[#This Row],[B/S]]="B",0,ABS(SIP[[#This Row],[Unit]])*(SIP[[#This Row],[NAV (Strike Rate)]]-INDEX(SIP[NAV at Cost (Average)],MATCH(CONCATENATE(SIP[[#This Row],[Frequency]]-1,SIP[[#This Row],[Investor ID]]),SIP[Unique Code],0),)))</f>
        <v>608.47674403187</v>
      </c>
      <c r="U780" s="74" cm="1">
        <f t="array" ref="U780">IF(SIP[[#This Row],[B/S]]="S",ABS(SIP[[#This Row],[Unit]])*(INDEX(SIP[NAV at Cost (Average)],MATCH(CONCATENATE((SIP[[#This Row],[Frequency]]-1),SIP[[#This Row],[Investor ID]]),SIP[Unique Code],0),0)),0)</f>
        <v>14391.52325596813</v>
      </c>
      <c r="V780" s="74">
        <f>IF(SIP[[#This Row],[BO TRANSFER]]="YES",SIP[[#This Row],[Unit]],)</f>
        <v>0</v>
      </c>
      <c r="W780" s="74">
        <f>SUMIFS(SIP[[#Headers],[BO UNIT TRANSFER]]:SIP[[#This Row],[BO UNIT TRANSFER]],SIP[[#Headers],[Investor ID]]:SIP[[#This Row],[Investor ID]],SIP[[#This Row],[Investor ID]])</f>
        <v>0</v>
      </c>
    </row>
    <row r="781" spans="1:23" ht="15" customHeight="1">
      <c r="A781" s="46">
        <v>2024</v>
      </c>
      <c r="B781" s="46">
        <v>10</v>
      </c>
      <c r="C781" s="46">
        <v>17</v>
      </c>
      <c r="D781" s="65">
        <f>DATE(SIP[[#This Row],[Year]],SIP[[#This Row],[Month]],SIP[[#This Row],[Day]])</f>
        <v>45582</v>
      </c>
      <c r="E781" s="66" t="str" cm="1">
        <f t="array" ref="E781">INDEX(INVESTORS_LIST[INVESTOR NAME],MATCH(SIP[[#This Row],[Investor ID]],INVESTORS_LIST[INVESTOR CODE],0),)</f>
        <v>AKIB TANVIR ANJUM</v>
      </c>
      <c r="F781" s="46" t="s">
        <v>1116</v>
      </c>
      <c r="G781" s="46">
        <f>COUNTIF(SIP[[#Headers],[Investor ID]]:SIP[[#This Row],[Investor ID]],SIP[[#This Row],[Investor ID]])</f>
        <v>10</v>
      </c>
      <c r="H781" s="46" t="str">
        <f>CONCATENATE(SIP[[#This Row],[Frequency]],SIP[[#This Row],[Investor ID]])</f>
        <v>10A00533</v>
      </c>
      <c r="I781" s="46" t="str">
        <f>IF(SIP[[#This Row],[B/S]]="B","BUY",(IF(SIP[[#This Row],[B/S]]="S","SELL"," ")))</f>
        <v>SELL</v>
      </c>
      <c r="J781" s="150" t="s">
        <v>1231</v>
      </c>
      <c r="K781" s="152">
        <v>-1000</v>
      </c>
      <c r="L781" s="122"/>
      <c r="M781" s="123">
        <f>SIP[[#This Row],[Amount]]/SIP[[#This Row],[Unit]]</f>
        <v>11.494252873563218</v>
      </c>
      <c r="N781" s="71">
        <f>SIP[[#This Row],[Unit Capital]]/10</f>
        <v>-87</v>
      </c>
      <c r="O781" s="71">
        <f>SUMIFS(SIP[[#Headers],[Unit]]:SIP[[#This Row],[Unit]],SIP[[#Headers],[Investor ID]]:SIP[[#This Row],[Investor ID]],SIP[[#This Row],[Investor ID]])</f>
        <v>710</v>
      </c>
      <c r="P781" s="153">
        <v>-870</v>
      </c>
      <c r="Q781" s="74">
        <f>SIP[[#This Row],[Amount]]-SIP[[#This Row],[Unit Capital]]</f>
        <v>-130</v>
      </c>
      <c r="R7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11.292346298619826</v>
      </c>
      <c r="S781" s="68">
        <f t="shared" si="36"/>
        <v>14.224</v>
      </c>
      <c r="T781" s="74">
        <f>IF(SIP[[#This Row],[B/S]]="B",0,ABS(SIP[[#This Row],[Unit]])*(SIP[[#This Row],[NAV (Strike Rate)]]-INDEX(SIP[NAV at Cost (Average)],MATCH(CONCATENATE(SIP[[#This Row],[Frequency]]-1,SIP[[#This Row],[Investor ID]]),SIP[Unique Code],0),)))</f>
        <v>17.565872020075076</v>
      </c>
      <c r="U781" s="74" cm="1">
        <f t="array" ref="U781">IF(SIP[[#This Row],[B/S]]="S",ABS(SIP[[#This Row],[Unit]])*(INDEX(SIP[NAV at Cost (Average)],MATCH(CONCATENATE((SIP[[#This Row],[Frequency]]-1),SIP[[#This Row],[Investor ID]]),SIP[Unique Code],0),0)),0)</f>
        <v>982.43412797992482</v>
      </c>
      <c r="V781" s="74">
        <f>IF(SIP[[#This Row],[BO TRANSFER]]="YES",SIP[[#This Row],[Unit]],)</f>
        <v>0</v>
      </c>
      <c r="W781" s="74">
        <f>SUMIFS(SIP[[#Headers],[BO UNIT TRANSFER]]:SIP[[#This Row],[BO UNIT TRANSFER]],SIP[[#Headers],[Investor ID]]:SIP[[#This Row],[Investor ID]],SIP[[#This Row],[Investor ID]])</f>
        <v>0</v>
      </c>
    </row>
    <row r="782" spans="1:23" ht="15" customHeight="1">
      <c r="A782" s="46">
        <v>2024</v>
      </c>
      <c r="B782" s="46">
        <v>10</v>
      </c>
      <c r="C782" s="46">
        <v>17</v>
      </c>
      <c r="D782" s="65">
        <f>DATE(SIP[[#This Row],[Year]],SIP[[#This Row],[Month]],SIP[[#This Row],[Day]])</f>
        <v>45582</v>
      </c>
      <c r="E782" s="66" t="str" cm="1">
        <f t="array" ref="E782">INDEX(INVESTORS_LIST[INVESTOR NAME],MATCH(SIP[[#This Row],[Investor ID]],INVESTORS_LIST[INVESTOR CODE],0),)</f>
        <v>ASRAAR HOSSAIN</v>
      </c>
      <c r="F782" s="46" t="s">
        <v>786</v>
      </c>
      <c r="G782" s="46">
        <f>COUNTIF(SIP[[#Headers],[Investor ID]]:SIP[[#This Row],[Investor ID]],SIP[[#This Row],[Investor ID]])</f>
        <v>1</v>
      </c>
      <c r="H782" s="46" t="str">
        <f>CONCATENATE(SIP[[#This Row],[Frequency]],SIP[[#This Row],[Investor ID]])</f>
        <v>1A00369</v>
      </c>
      <c r="I782" s="46" t="str">
        <f>IF(SIP[[#This Row],[B/S]]="B","BUY",(IF(SIP[[#This Row],[B/S]]="S","SELL"," ")))</f>
        <v>BUY</v>
      </c>
      <c r="J782" s="150" t="s">
        <v>1229</v>
      </c>
      <c r="K782" s="152">
        <v>15000</v>
      </c>
      <c r="L782" s="122"/>
      <c r="M782" s="123">
        <f>SIP[[#This Row],[Amount]]/SIP[[#This Row],[Unit]]</f>
        <v>11.556240369799692</v>
      </c>
      <c r="N782" s="71">
        <f>SIP[[#This Row],[Unit Capital]]/10</f>
        <v>1298</v>
      </c>
      <c r="O782" s="71">
        <f>SUMIFS(SIP[[#Headers],[Unit]]:SIP[[#This Row],[Unit]],SIP[[#Headers],[Investor ID]]:SIP[[#This Row],[Investor ID]],SIP[[#This Row],[Investor ID]])</f>
        <v>1298</v>
      </c>
      <c r="P782" s="153">
        <v>12980</v>
      </c>
      <c r="Q782" s="74">
        <f>SIP[[#This Row],[Amount]]-SIP[[#This Row],[Unit Capital]]</f>
        <v>2020</v>
      </c>
      <c r="R7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11.556240369799692</v>
      </c>
      <c r="S782" s="68">
        <f t="shared" si="36"/>
        <v>14.224</v>
      </c>
      <c r="T7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2" s="74" cm="1">
        <f t="array" ref="U782">IF(SIP[[#This Row],[B/S]]="S",ABS(SIP[[#This Row],[Unit]])*(INDEX(SIP[NAV at Cost (Average)],MATCH(CONCATENATE((SIP[[#This Row],[Frequency]]-1),SIP[[#This Row],[Investor ID]]),SIP[Unique Code],0),0)),0)</f>
        <v>0</v>
      </c>
      <c r="V782" s="74">
        <f>IF(SIP[[#This Row],[BO TRANSFER]]="YES",SIP[[#This Row],[Unit]],)</f>
        <v>0</v>
      </c>
      <c r="W782" s="74">
        <f>SUMIFS(SIP[[#Headers],[BO UNIT TRANSFER]]:SIP[[#This Row],[BO UNIT TRANSFER]],SIP[[#Headers],[Investor ID]]:SIP[[#This Row],[Investor ID]],SIP[[#This Row],[Investor ID]])</f>
        <v>0</v>
      </c>
    </row>
    <row r="783" spans="1:23" ht="15" customHeight="1">
      <c r="A783" s="46">
        <v>2024</v>
      </c>
      <c r="B783" s="46">
        <v>10</v>
      </c>
      <c r="C783" s="46">
        <v>20</v>
      </c>
      <c r="D783" s="65">
        <f>DATE(SIP[[#This Row],[Year]],SIP[[#This Row],[Month]],SIP[[#This Row],[Day]])</f>
        <v>45585</v>
      </c>
      <c r="E783" s="66" t="str" cm="1">
        <f t="array" ref="E783">INDEX(INVESTORS_LIST[INVESTOR NAME],MATCH(SIP[[#This Row],[Investor ID]],INVESTORS_LIST[INVESTOR CODE],0),)</f>
        <v>NUSRAT JAHAN TISHA</v>
      </c>
      <c r="F783" s="150" t="s">
        <v>926</v>
      </c>
      <c r="G783" s="46">
        <f>COUNTIF(SIP[[#Headers],[Investor ID]]:SIP[[#This Row],[Investor ID]],SIP[[#This Row],[Investor ID]])</f>
        <v>12</v>
      </c>
      <c r="H783" s="46" t="str">
        <f>CONCATENATE(SIP[[#This Row],[Frequency]],SIP[[#This Row],[Investor ID]])</f>
        <v>12A00440</v>
      </c>
      <c r="I783" s="46" t="str">
        <f>IF(SIP[[#This Row],[B/S]]="B","BUY",(IF(SIP[[#This Row],[B/S]]="S","SELL"," ")))</f>
        <v>SELL</v>
      </c>
      <c r="J783" s="150" t="s">
        <v>1231</v>
      </c>
      <c r="K783" s="152">
        <v>-28000</v>
      </c>
      <c r="L783" s="122"/>
      <c r="M783" s="123">
        <f>SIP[[#This Row],[Amount]]/SIP[[#This Row],[Unit]]</f>
        <v>11.555922410235246</v>
      </c>
      <c r="N783" s="71">
        <f>SIP[[#This Row],[Unit Capital]]/10</f>
        <v>-2423</v>
      </c>
      <c r="O783" s="71">
        <f>SUMIFS(SIP[[#Headers],[Unit]]:SIP[[#This Row],[Unit]],SIP[[#Headers],[Investor ID]]:SIP[[#This Row],[Investor ID]],SIP[[#This Row],[Investor ID]])</f>
        <v>2690</v>
      </c>
      <c r="P783" s="153">
        <v>-24230</v>
      </c>
      <c r="Q783" s="74">
        <f>SIP[[#This Row],[Amount]]-SIP[[#This Row],[Unit Capital]]</f>
        <v>-3770</v>
      </c>
      <c r="R7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10.756894191277135</v>
      </c>
      <c r="S783" s="68">
        <f t="shared" si="36"/>
        <v>14.224</v>
      </c>
      <c r="T783" s="74">
        <f>IF(SIP[[#This Row],[B/S]]="B",0,ABS(SIP[[#This Row],[Unit]])*(SIP[[#This Row],[NAV (Strike Rate)]]-INDEX(SIP[NAV at Cost (Average)],MATCH(CONCATENATE(SIP[[#This Row],[Frequency]]-1,SIP[[#This Row],[Investor ID]]),SIP[Unique Code],0),)))</f>
        <v>1936.045374535501</v>
      </c>
      <c r="U783" s="74" cm="1">
        <f t="array" ref="U783">IF(SIP[[#This Row],[B/S]]="S",ABS(SIP[[#This Row],[Unit]])*(INDEX(SIP[NAV at Cost (Average)],MATCH(CONCATENATE((SIP[[#This Row],[Frequency]]-1),SIP[[#This Row],[Investor ID]]),SIP[Unique Code],0),0)),0)</f>
        <v>26063.954625464499</v>
      </c>
      <c r="V783" s="74">
        <f>IF(SIP[[#This Row],[BO TRANSFER]]="YES",SIP[[#This Row],[Unit]],)</f>
        <v>0</v>
      </c>
      <c r="W783" s="74">
        <f>SUMIFS(SIP[[#Headers],[BO UNIT TRANSFER]]:SIP[[#This Row],[BO UNIT TRANSFER]],SIP[[#Headers],[Investor ID]]:SIP[[#This Row],[Investor ID]],SIP[[#This Row],[Investor ID]])</f>
        <v>0</v>
      </c>
    </row>
    <row r="784" spans="1:23" ht="15" customHeight="1">
      <c r="A784" s="46">
        <v>2024</v>
      </c>
      <c r="B784" s="46">
        <v>10</v>
      </c>
      <c r="C784" s="46">
        <v>24</v>
      </c>
      <c r="D784" s="65">
        <f>DATE(SIP[[#This Row],[Year]],SIP[[#This Row],[Month]],SIP[[#This Row],[Day]])</f>
        <v>45589</v>
      </c>
      <c r="E784" s="66" t="str" cm="1">
        <f t="array" ref="E784">INDEX(INVESTORS_LIST[INVESTOR NAME],MATCH(SIP[[#This Row],[Investor ID]],INVESTORS_LIST[INVESTOR CODE],0),)</f>
        <v>NUSRAT JAHAN TISHA</v>
      </c>
      <c r="F784" s="150" t="s">
        <v>926</v>
      </c>
      <c r="G784" s="46">
        <f>COUNTIF(SIP[[#Headers],[Investor ID]]:SIP[[#This Row],[Investor ID]],SIP[[#This Row],[Investor ID]])</f>
        <v>13</v>
      </c>
      <c r="H784" s="46" t="str">
        <f>CONCATENATE(SIP[[#This Row],[Frequency]],SIP[[#This Row],[Investor ID]])</f>
        <v>13A00440</v>
      </c>
      <c r="I784" s="46" t="str">
        <f>IF(SIP[[#This Row],[B/S]]="B","BUY",(IF(SIP[[#This Row],[B/S]]="S","SELL"," ")))</f>
        <v>BUY</v>
      </c>
      <c r="J784" s="150" t="s">
        <v>1229</v>
      </c>
      <c r="K784" s="152">
        <v>25000</v>
      </c>
      <c r="L784" s="122"/>
      <c r="M784" s="123">
        <f>SIP[[#This Row],[Amount]]/SIP[[#This Row],[Unit]]</f>
        <v>11.55268022181146</v>
      </c>
      <c r="N784" s="71">
        <f>SIP[[#This Row],[Unit Capital]]/10</f>
        <v>2164</v>
      </c>
      <c r="O784" s="71">
        <f>SUMIFS(SIP[[#Headers],[Unit]]:SIP[[#This Row],[Unit]],SIP[[#Headers],[Investor ID]]:SIP[[#This Row],[Investor ID]],SIP[[#This Row],[Investor ID]])</f>
        <v>4854</v>
      </c>
      <c r="P784" s="153">
        <v>21640</v>
      </c>
      <c r="Q784" s="74">
        <f>SIP[[#This Row],[Amount]]-SIP[[#This Row],[Unit Capital]]</f>
        <v>3360</v>
      </c>
      <c r="R7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11.111669834061701</v>
      </c>
      <c r="S784" s="68">
        <f t="shared" si="36"/>
        <v>14.224</v>
      </c>
      <c r="T7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4" s="74" cm="1">
        <f t="array" ref="U784">IF(SIP[[#This Row],[B/S]]="S",ABS(SIP[[#This Row],[Unit]])*(INDEX(SIP[NAV at Cost (Average)],MATCH(CONCATENATE((SIP[[#This Row],[Frequency]]-1),SIP[[#This Row],[Investor ID]]),SIP[Unique Code],0),0)),0)</f>
        <v>0</v>
      </c>
      <c r="V784" s="74">
        <f>IF(SIP[[#This Row],[BO TRANSFER]]="YES",SIP[[#This Row],[Unit]],)</f>
        <v>0</v>
      </c>
      <c r="W784" s="74">
        <f>SUMIFS(SIP[[#Headers],[BO UNIT TRANSFER]]:SIP[[#This Row],[BO UNIT TRANSFER]],SIP[[#Headers],[Investor ID]]:SIP[[#This Row],[Investor ID]],SIP[[#This Row],[Investor ID]])</f>
        <v>0</v>
      </c>
    </row>
    <row r="785" spans="1:23" ht="15" customHeight="1">
      <c r="A785" s="46">
        <v>2024</v>
      </c>
      <c r="B785" s="46">
        <v>10</v>
      </c>
      <c r="C785" s="46">
        <v>26</v>
      </c>
      <c r="D785" s="65">
        <f>DATE(SIP[[#This Row],[Year]],SIP[[#This Row],[Month]],SIP[[#This Row],[Day]])</f>
        <v>45591</v>
      </c>
      <c r="E785" s="66" t="str" cm="1">
        <f t="array" ref="E785">INDEX(INVESTORS_LIST[INVESTOR NAME],MATCH(SIP[[#This Row],[Investor ID]],INVESTORS_LIST[INVESTOR CODE],0),)</f>
        <v>KHAN MUHAMMAD FAISOL</v>
      </c>
      <c r="F785" s="150" t="s">
        <v>930</v>
      </c>
      <c r="G785" s="46">
        <f>COUNTIF(SIP[[#Headers],[Investor ID]]:SIP[[#This Row],[Investor ID]],SIP[[#This Row],[Investor ID]])</f>
        <v>18</v>
      </c>
      <c r="H785" s="46" t="str">
        <f>CONCATENATE(SIP[[#This Row],[Frequency]],SIP[[#This Row],[Investor ID]])</f>
        <v>18A00442</v>
      </c>
      <c r="I785" s="46" t="str">
        <f>IF(SIP[[#This Row],[B/S]]="B","BUY",(IF(SIP[[#This Row],[B/S]]="S","SELL"," ")))</f>
        <v>BUY</v>
      </c>
      <c r="J785" s="150" t="s">
        <v>1229</v>
      </c>
      <c r="K785" s="152">
        <v>1000</v>
      </c>
      <c r="L785" s="69"/>
      <c r="M785" s="123">
        <f>SIP[[#This Row],[Amount]]/SIP[[#This Row],[Unit]]</f>
        <v>11.627906976744185</v>
      </c>
      <c r="N785" s="71">
        <f>SIP[[#This Row],[Unit Capital]]/10</f>
        <v>86</v>
      </c>
      <c r="O785" s="71">
        <f>SUMIFS(SIP[[#Headers],[Unit]]:SIP[[#This Row],[Unit]],SIP[[#Headers],[Investor ID]]:SIP[[#This Row],[Investor ID]],SIP[[#This Row],[Investor ID]])</f>
        <v>1664</v>
      </c>
      <c r="P785" s="153">
        <v>860</v>
      </c>
      <c r="Q785" s="74">
        <f>SIP[[#This Row],[Amount]]-SIP[[#This Row],[Unit Capital]]</f>
        <v>140</v>
      </c>
      <c r="R7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10.817307692307695</v>
      </c>
      <c r="S785" s="68">
        <f>NAV_MKT</f>
        <v>14.224</v>
      </c>
      <c r="T7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5" s="74" cm="1">
        <f t="array" ref="U785">IF(SIP[[#This Row],[B/S]]="S",ABS(SIP[[#This Row],[Unit]])*(INDEX(SIP[NAV at Cost (Average)],MATCH(CONCATENATE((SIP[[#This Row],[Frequency]]-1),SIP[[#This Row],[Investor ID]]),SIP[Unique Code],0),0)),0)</f>
        <v>0</v>
      </c>
      <c r="V785" s="74">
        <f>IF(SIP[[#This Row],[BO TRANSFER]]="YES",SIP[[#This Row],[Unit]],)</f>
        <v>0</v>
      </c>
      <c r="W785" s="74">
        <f>SUMIFS(SIP[[#Headers],[BO UNIT TRANSFER]]:SIP[[#This Row],[BO UNIT TRANSFER]],SIP[[#Headers],[Investor ID]]:SIP[[#This Row],[Investor ID]],SIP[[#This Row],[Investor ID]])</f>
        <v>0</v>
      </c>
    </row>
    <row r="786" spans="1:23" ht="15" customHeight="1">
      <c r="A786" s="46">
        <v>2024</v>
      </c>
      <c r="B786" s="46">
        <v>10</v>
      </c>
      <c r="C786" s="46">
        <v>26</v>
      </c>
      <c r="D786" s="65">
        <f>DATE(SIP[[#This Row],[Year]],SIP[[#This Row],[Month]],SIP[[#This Row],[Day]])</f>
        <v>45591</v>
      </c>
      <c r="E786" s="66" t="str" cm="1">
        <f t="array" ref="E786">INDEX(INVESTORS_LIST[INVESTOR NAME],MATCH(SIP[[#This Row],[Investor ID]],INVESTORS_LIST[INVESTOR CODE],0),)</f>
        <v>MD. ARIFUL ISLAM</v>
      </c>
      <c r="F786" s="150" t="s">
        <v>222</v>
      </c>
      <c r="G786" s="46">
        <f>COUNTIF(SIP[[#Headers],[Investor ID]]:SIP[[#This Row],[Investor ID]],SIP[[#This Row],[Investor ID]])</f>
        <v>18</v>
      </c>
      <c r="H786" s="46" t="str">
        <f>CONCATENATE(SIP[[#This Row],[Frequency]],SIP[[#This Row],[Investor ID]])</f>
        <v>18A00087</v>
      </c>
      <c r="I786" s="46" t="str">
        <f>IF(SIP[[#This Row],[B/S]]="B","BUY",(IF(SIP[[#This Row],[B/S]]="S","SELL"," ")))</f>
        <v>BUY</v>
      </c>
      <c r="J786" s="150" t="s">
        <v>1229</v>
      </c>
      <c r="K786" s="152">
        <v>10000</v>
      </c>
      <c r="L786" s="69"/>
      <c r="M786" s="123">
        <f>SIP[[#This Row],[Amount]]/SIP[[#This Row],[Unit]]</f>
        <v>11.587485515643106</v>
      </c>
      <c r="N786" s="71">
        <f>SIP[[#This Row],[Unit Capital]]/10</f>
        <v>863</v>
      </c>
      <c r="O786" s="71">
        <f>SUMIFS(SIP[[#Headers],[Unit]]:SIP[[#This Row],[Unit]],SIP[[#Headers],[Investor ID]]:SIP[[#This Row],[Investor ID]],SIP[[#This Row],[Investor ID]])</f>
        <v>16653</v>
      </c>
      <c r="P786" s="153">
        <v>8630</v>
      </c>
      <c r="Q786" s="74">
        <f>SIP[[#This Row],[Amount]]-SIP[[#This Row],[Unit Capital]]</f>
        <v>1370</v>
      </c>
      <c r="R7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10.808863267879662</v>
      </c>
      <c r="S786" s="68">
        <f>NAV_MKT</f>
        <v>14.224</v>
      </c>
      <c r="T7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6" s="74" cm="1">
        <f t="array" ref="U786">IF(SIP[[#This Row],[B/S]]="S",ABS(SIP[[#This Row],[Unit]])*(INDEX(SIP[NAV at Cost (Average)],MATCH(CONCATENATE((SIP[[#This Row],[Frequency]]-1),SIP[[#This Row],[Investor ID]]),SIP[Unique Code],0),0)),0)</f>
        <v>0</v>
      </c>
      <c r="V786" s="74">
        <f>IF(SIP[[#This Row],[BO TRANSFER]]="YES",SIP[[#This Row],[Unit]],)</f>
        <v>0</v>
      </c>
      <c r="W786" s="74">
        <f>SUMIFS(SIP[[#Headers],[BO UNIT TRANSFER]]:SIP[[#This Row],[BO UNIT TRANSFER]],SIP[[#Headers],[Investor ID]]:SIP[[#This Row],[Investor ID]],SIP[[#This Row],[Investor ID]])</f>
        <v>0</v>
      </c>
    </row>
    <row r="787" spans="1:23" ht="15" customHeight="1">
      <c r="A787" s="46">
        <v>2024</v>
      </c>
      <c r="B787" s="46">
        <v>10</v>
      </c>
      <c r="C787" s="46">
        <v>26</v>
      </c>
      <c r="D787" s="65">
        <f>DATE(SIP[[#This Row],[Year]],SIP[[#This Row],[Month]],SIP[[#This Row],[Day]])</f>
        <v>45591</v>
      </c>
      <c r="E787" s="66" t="str" cm="1">
        <f t="array" ref="E787">INDEX(INVESTORS_LIST[INVESTOR NAME],MATCH(SIP[[#This Row],[Investor ID]],INVESTORS_LIST[INVESTOR CODE],0),)</f>
        <v>SADIA PARVIN</v>
      </c>
      <c r="F787" s="46" t="s">
        <v>1018</v>
      </c>
      <c r="G787" s="46">
        <f>COUNTIF(SIP[[#Headers],[Investor ID]]:SIP[[#This Row],[Investor ID]],SIP[[#This Row],[Investor ID]])</f>
        <v>22</v>
      </c>
      <c r="H787" s="46" t="str">
        <f>CONCATENATE(SIP[[#This Row],[Frequency]],SIP[[#This Row],[Investor ID]])</f>
        <v>22A00486</v>
      </c>
      <c r="I787" s="46" t="str">
        <f>IF(SIP[[#This Row],[B/S]]="B","BUY",(IF(SIP[[#This Row],[B/S]]="S","SELL"," ")))</f>
        <v>BUY</v>
      </c>
      <c r="J787" s="150" t="s">
        <v>1229</v>
      </c>
      <c r="K787" s="152">
        <v>5000</v>
      </c>
      <c r="L787" s="122"/>
      <c r="M787" s="123">
        <f>SIP[[#This Row],[Amount]]/SIP[[#This Row],[Unit]]</f>
        <v>11.574074074074074</v>
      </c>
      <c r="N787" s="71">
        <f>SIP[[#This Row],[Unit Capital]]/10</f>
        <v>432</v>
      </c>
      <c r="O787" s="71">
        <f>SUMIFS(SIP[[#Headers],[Unit]]:SIP[[#This Row],[Unit]],SIP[[#Headers],[Investor ID]]:SIP[[#This Row],[Investor ID]],SIP[[#This Row],[Investor ID]])</f>
        <v>10090</v>
      </c>
      <c r="P787" s="153">
        <v>4320</v>
      </c>
      <c r="Q787" s="74">
        <f>SIP[[#This Row],[Amount]]-SIP[[#This Row],[Unit Capital]]</f>
        <v>680</v>
      </c>
      <c r="R7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10.901883052527257</v>
      </c>
      <c r="S787" s="68">
        <f t="shared" si="36"/>
        <v>14.224</v>
      </c>
      <c r="T7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7" s="74" cm="1">
        <f t="array" ref="U787">IF(SIP[[#This Row],[B/S]]="S",ABS(SIP[[#This Row],[Unit]])*(INDEX(SIP[NAV at Cost (Average)],MATCH(CONCATENATE((SIP[[#This Row],[Frequency]]-1),SIP[[#This Row],[Investor ID]]),SIP[Unique Code],0),0)),0)</f>
        <v>0</v>
      </c>
      <c r="V787" s="74">
        <f>IF(SIP[[#This Row],[BO TRANSFER]]="YES",SIP[[#This Row],[Unit]],)</f>
        <v>0</v>
      </c>
      <c r="W787" s="74">
        <f>SUMIFS(SIP[[#Headers],[BO UNIT TRANSFER]]:SIP[[#This Row],[BO UNIT TRANSFER]],SIP[[#Headers],[Investor ID]]:SIP[[#This Row],[Investor ID]],SIP[[#This Row],[Investor ID]])</f>
        <v>0</v>
      </c>
    </row>
    <row r="788" spans="1:23" ht="15" customHeight="1">
      <c r="A788" s="46">
        <v>2024</v>
      </c>
      <c r="B788" s="46">
        <v>10</v>
      </c>
      <c r="C788" s="46">
        <v>26</v>
      </c>
      <c r="D788" s="65">
        <f>DATE(SIP[[#This Row],[Year]],SIP[[#This Row],[Month]],SIP[[#This Row],[Day]])</f>
        <v>45591</v>
      </c>
      <c r="E788" s="66" t="str" cm="1">
        <f t="array" ref="E788">INDEX(INVESTORS_LIST[INVESTOR NAME],MATCH(SIP[[#This Row],[Investor ID]],INVESTORS_LIST[INVESTOR CODE],0),)</f>
        <v>MD. WALI ULLAH</v>
      </c>
      <c r="F788" s="46" t="s">
        <v>443</v>
      </c>
      <c r="G788" s="46">
        <f>COUNTIF(SIP[[#Headers],[Investor ID]]:SIP[[#This Row],[Investor ID]],SIP[[#This Row],[Investor ID]])</f>
        <v>18</v>
      </c>
      <c r="H788" s="46" t="str">
        <f>CONCATENATE(SIP[[#This Row],[Frequency]],SIP[[#This Row],[Investor ID]])</f>
        <v>18A00197</v>
      </c>
      <c r="I788" s="46" t="str">
        <f>IF(SIP[[#This Row],[B/S]]="B","BUY",(IF(SIP[[#This Row],[B/S]]="S","SELL"," ")))</f>
        <v>BUY</v>
      </c>
      <c r="J788" s="150" t="s">
        <v>1229</v>
      </c>
      <c r="K788" s="152">
        <v>15000</v>
      </c>
      <c r="L788" s="122"/>
      <c r="M788" s="123">
        <f>SIP[[#This Row],[Amount]]/SIP[[#This Row],[Unit]]</f>
        <v>11.583011583011583</v>
      </c>
      <c r="N788" s="71">
        <f>SIP[[#This Row],[Unit Capital]]/10</f>
        <v>1295</v>
      </c>
      <c r="O788" s="71">
        <f>SUMIFS(SIP[[#Headers],[Unit]]:SIP[[#This Row],[Unit]],SIP[[#Headers],[Investor ID]]:SIP[[#This Row],[Investor ID]],SIP[[#This Row],[Investor ID]])</f>
        <v>24980</v>
      </c>
      <c r="P788" s="153">
        <v>12950</v>
      </c>
      <c r="Q788" s="74">
        <f>SIP[[#This Row],[Amount]]-SIP[[#This Row],[Unit Capital]]</f>
        <v>2050</v>
      </c>
      <c r="R7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10.808646917534022</v>
      </c>
      <c r="S788" s="68">
        <f t="shared" si="36"/>
        <v>14.224</v>
      </c>
      <c r="T7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8" s="74" cm="1">
        <f t="array" ref="U788">IF(SIP[[#This Row],[B/S]]="S",ABS(SIP[[#This Row],[Unit]])*(INDEX(SIP[NAV at Cost (Average)],MATCH(CONCATENATE((SIP[[#This Row],[Frequency]]-1),SIP[[#This Row],[Investor ID]]),SIP[Unique Code],0),0)),0)</f>
        <v>0</v>
      </c>
      <c r="V788" s="74">
        <f>IF(SIP[[#This Row],[BO TRANSFER]]="YES",SIP[[#This Row],[Unit]],)</f>
        <v>0</v>
      </c>
      <c r="W788" s="74">
        <f>SUMIFS(SIP[[#Headers],[BO UNIT TRANSFER]]:SIP[[#This Row],[BO UNIT TRANSFER]],SIP[[#Headers],[Investor ID]]:SIP[[#This Row],[Investor ID]],SIP[[#This Row],[Investor ID]])</f>
        <v>0</v>
      </c>
    </row>
    <row r="789" spans="1:23" ht="15" customHeight="1">
      <c r="A789" s="46">
        <v>2024</v>
      </c>
      <c r="B789" s="46">
        <v>10</v>
      </c>
      <c r="C789" s="46">
        <v>26</v>
      </c>
      <c r="D789" s="65">
        <f>DATE(SIP[[#This Row],[Year]],SIP[[#This Row],[Month]],SIP[[#This Row],[Day]])</f>
        <v>45591</v>
      </c>
      <c r="E789" s="66" t="str" cm="1">
        <f t="array" ref="E789">INDEX(INVESTORS_LIST[INVESTOR NAME],MATCH(SIP[[#This Row],[Investor ID]],INVESTORS_LIST[INVESTOR CODE],0),)</f>
        <v>SIKDER FAZLE RABBI</v>
      </c>
      <c r="F789" s="46" t="s">
        <v>1032</v>
      </c>
      <c r="G789" s="46">
        <f>COUNTIF(SIP[[#Headers],[Investor ID]]:SIP[[#This Row],[Investor ID]],SIP[[#This Row],[Investor ID]])</f>
        <v>17</v>
      </c>
      <c r="H789" s="46" t="str">
        <f>CONCATENATE(SIP[[#This Row],[Frequency]],SIP[[#This Row],[Investor ID]])</f>
        <v>17A00493</v>
      </c>
      <c r="I789" s="46" t="str">
        <f>IF(SIP[[#This Row],[B/S]]="B","BUY",(IF(SIP[[#This Row],[B/S]]="S","SELL"," ")))</f>
        <v>BUY</v>
      </c>
      <c r="J789" s="150" t="s">
        <v>1229</v>
      </c>
      <c r="K789" s="152">
        <v>5000</v>
      </c>
      <c r="L789" s="122"/>
      <c r="M789" s="123">
        <f>SIP[[#This Row],[Amount]]/SIP[[#This Row],[Unit]]</f>
        <v>11.574074074074074</v>
      </c>
      <c r="N789" s="71">
        <f>SIP[[#This Row],[Unit Capital]]/10</f>
        <v>432</v>
      </c>
      <c r="O789" s="71">
        <f>SUMIFS(SIP[[#Headers],[Unit]]:SIP[[#This Row],[Unit]],SIP[[#Headers],[Investor ID]]:SIP[[#This Row],[Investor ID]],SIP[[#This Row],[Investor ID]])</f>
        <v>7834</v>
      </c>
      <c r="P789" s="153">
        <v>4320</v>
      </c>
      <c r="Q789" s="74">
        <f>SIP[[#This Row],[Amount]]-SIP[[#This Row],[Unit Capital]]</f>
        <v>680</v>
      </c>
      <c r="R7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10.850140413581823</v>
      </c>
      <c r="S789" s="68">
        <f t="shared" si="36"/>
        <v>14.224</v>
      </c>
      <c r="T7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9" s="74" cm="1">
        <f t="array" ref="U789">IF(SIP[[#This Row],[B/S]]="S",ABS(SIP[[#This Row],[Unit]])*(INDEX(SIP[NAV at Cost (Average)],MATCH(CONCATENATE((SIP[[#This Row],[Frequency]]-1),SIP[[#This Row],[Investor ID]]),SIP[Unique Code],0),0)),0)</f>
        <v>0</v>
      </c>
      <c r="V789" s="74">
        <f>IF(SIP[[#This Row],[BO TRANSFER]]="YES",SIP[[#This Row],[Unit]],)</f>
        <v>0</v>
      </c>
      <c r="W789" s="74">
        <f>SUMIFS(SIP[[#Headers],[BO UNIT TRANSFER]]:SIP[[#This Row],[BO UNIT TRANSFER]],SIP[[#Headers],[Investor ID]]:SIP[[#This Row],[Investor ID]],SIP[[#This Row],[Investor ID]])</f>
        <v>0</v>
      </c>
    </row>
    <row r="790" spans="1:23" ht="15" customHeight="1">
      <c r="A790" s="46">
        <v>2024</v>
      </c>
      <c r="B790" s="46">
        <v>10</v>
      </c>
      <c r="C790" s="46">
        <v>26</v>
      </c>
      <c r="D790" s="65">
        <f>DATE(SIP[[#This Row],[Year]],SIP[[#This Row],[Month]],SIP[[#This Row],[Day]])</f>
        <v>45591</v>
      </c>
      <c r="E790" s="66" t="str" cm="1">
        <f t="array" ref="E790">INDEX(INVESTORS_LIST[INVESTOR NAME],MATCH(SIP[[#This Row],[Investor ID]],INVESTORS_LIST[INVESTOR CODE],0),)</f>
        <v>SAJJAD CHOWDHURY</v>
      </c>
      <c r="F790" s="46" t="s">
        <v>461</v>
      </c>
      <c r="G790" s="46">
        <f>COUNTIF(SIP[[#Headers],[Investor ID]]:SIP[[#This Row],[Investor ID]],SIP[[#This Row],[Investor ID]])</f>
        <v>18</v>
      </c>
      <c r="H790" s="46" t="str">
        <f>CONCATENATE(SIP[[#This Row],[Frequency]],SIP[[#This Row],[Investor ID]])</f>
        <v>18A00206</v>
      </c>
      <c r="I790" s="46" t="str">
        <f>IF(SIP[[#This Row],[B/S]]="B","BUY",(IF(SIP[[#This Row],[B/S]]="S","SELL"," ")))</f>
        <v>BUY</v>
      </c>
      <c r="J790" s="150" t="s">
        <v>1229</v>
      </c>
      <c r="K790" s="152">
        <v>7500</v>
      </c>
      <c r="L790" s="122"/>
      <c r="M790" s="123">
        <f>SIP[[#This Row],[Amount]]/SIP[[#This Row],[Unit]]</f>
        <v>11.574074074074074</v>
      </c>
      <c r="N790" s="71">
        <f>SIP[[#This Row],[Unit Capital]]/10</f>
        <v>648</v>
      </c>
      <c r="O790" s="71">
        <f>SUMIFS(SIP[[#Headers],[Unit]]:SIP[[#This Row],[Unit]],SIP[[#Headers],[Investor ID]]:SIP[[#This Row],[Investor ID]],SIP[[#This Row],[Investor ID]])</f>
        <v>12489</v>
      </c>
      <c r="P790" s="153">
        <v>6480</v>
      </c>
      <c r="Q790" s="74">
        <f>SIP[[#This Row],[Amount]]-SIP[[#This Row],[Unit Capital]]</f>
        <v>1020</v>
      </c>
      <c r="R7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10.809512370886381</v>
      </c>
      <c r="S790" s="68">
        <f t="shared" si="36"/>
        <v>14.224</v>
      </c>
      <c r="T7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0" s="74" cm="1">
        <f t="array" ref="U790">IF(SIP[[#This Row],[B/S]]="S",ABS(SIP[[#This Row],[Unit]])*(INDEX(SIP[NAV at Cost (Average)],MATCH(CONCATENATE((SIP[[#This Row],[Frequency]]-1),SIP[[#This Row],[Investor ID]]),SIP[Unique Code],0),0)),0)</f>
        <v>0</v>
      </c>
      <c r="V790" s="74">
        <f>IF(SIP[[#This Row],[BO TRANSFER]]="YES",SIP[[#This Row],[Unit]],)</f>
        <v>0</v>
      </c>
      <c r="W790" s="74">
        <f>SUMIFS(SIP[[#Headers],[BO UNIT TRANSFER]]:SIP[[#This Row],[BO UNIT TRANSFER]],SIP[[#Headers],[Investor ID]]:SIP[[#This Row],[Investor ID]],SIP[[#This Row],[Investor ID]])</f>
        <v>0</v>
      </c>
    </row>
    <row r="791" spans="1:23" ht="15" customHeight="1">
      <c r="A791" s="46">
        <v>2024</v>
      </c>
      <c r="B791" s="46">
        <v>10</v>
      </c>
      <c r="C791" s="46">
        <v>26</v>
      </c>
      <c r="D791" s="65">
        <f>DATE(SIP[[#This Row],[Year]],SIP[[#This Row],[Month]],SIP[[#This Row],[Day]])</f>
        <v>45591</v>
      </c>
      <c r="E791" s="66" t="str" cm="1">
        <f t="array" ref="E791">INDEX(INVESTORS_LIST[INVESTOR NAME],MATCH(SIP[[#This Row],[Investor ID]],INVESTORS_LIST[INVESTOR CODE],0),)</f>
        <v>S.M. SAIFUL ISLAM</v>
      </c>
      <c r="F791" s="46" t="s">
        <v>1002</v>
      </c>
      <c r="G791" s="46">
        <f>COUNTIF(SIP[[#Headers],[Investor ID]]:SIP[[#This Row],[Investor ID]],SIP[[#This Row],[Investor ID]])</f>
        <v>18</v>
      </c>
      <c r="H791" s="46" t="str">
        <f>CONCATENATE(SIP[[#This Row],[Frequency]],SIP[[#This Row],[Investor ID]])</f>
        <v>18A00478</v>
      </c>
      <c r="I791" s="46" t="str">
        <f>IF(SIP[[#This Row],[B/S]]="B","BUY",(IF(SIP[[#This Row],[B/S]]="S","SELL"," ")))</f>
        <v>BUY</v>
      </c>
      <c r="J791" s="150" t="s">
        <v>1229</v>
      </c>
      <c r="K791" s="152">
        <v>10000</v>
      </c>
      <c r="L791" s="122"/>
      <c r="M791" s="123">
        <f>SIP[[#This Row],[Amount]]/SIP[[#This Row],[Unit]]</f>
        <v>11.587485515643106</v>
      </c>
      <c r="N791" s="71">
        <f>SIP[[#This Row],[Unit Capital]]/10</f>
        <v>863</v>
      </c>
      <c r="O791" s="71">
        <f>SUMIFS(SIP[[#Headers],[Unit]]:SIP[[#This Row],[Unit]],SIP[[#Headers],[Investor ID]]:SIP[[#This Row],[Investor ID]],SIP[[#This Row],[Investor ID]])</f>
        <v>16655</v>
      </c>
      <c r="P791" s="153">
        <v>8630</v>
      </c>
      <c r="Q791" s="74">
        <f>SIP[[#This Row],[Amount]]-SIP[[#This Row],[Unit Capital]]</f>
        <v>1370</v>
      </c>
      <c r="R7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10.807565295706995</v>
      </c>
      <c r="S791" s="68">
        <f t="shared" si="36"/>
        <v>14.224</v>
      </c>
      <c r="T7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1" s="74" cm="1">
        <f t="array" ref="U791">IF(SIP[[#This Row],[B/S]]="S",ABS(SIP[[#This Row],[Unit]])*(INDEX(SIP[NAV at Cost (Average)],MATCH(CONCATENATE((SIP[[#This Row],[Frequency]]-1),SIP[[#This Row],[Investor ID]]),SIP[Unique Code],0),0)),0)</f>
        <v>0</v>
      </c>
      <c r="V791" s="74">
        <f>IF(SIP[[#This Row],[BO TRANSFER]]="YES",SIP[[#This Row],[Unit]],)</f>
        <v>0</v>
      </c>
      <c r="W791" s="74">
        <f>SUMIFS(SIP[[#Headers],[BO UNIT TRANSFER]]:SIP[[#This Row],[BO UNIT TRANSFER]],SIP[[#Headers],[Investor ID]]:SIP[[#This Row],[Investor ID]],SIP[[#This Row],[Investor ID]])</f>
        <v>0</v>
      </c>
    </row>
    <row r="792" spans="1:23" ht="15" customHeight="1">
      <c r="A792" s="46">
        <v>2024</v>
      </c>
      <c r="B792" s="46">
        <v>10</v>
      </c>
      <c r="C792" s="46">
        <v>26</v>
      </c>
      <c r="D792" s="65">
        <f>DATE(SIP[[#This Row],[Year]],SIP[[#This Row],[Month]],SIP[[#This Row],[Day]])</f>
        <v>45591</v>
      </c>
      <c r="E792" s="66" t="str" cm="1">
        <f t="array" ref="E792">INDEX(INVESTORS_LIST[INVESTOR NAME],MATCH(SIP[[#This Row],[Investor ID]],INVESTORS_LIST[INVESTOR CODE],0),)</f>
        <v>MOHAMMED SHARIFUL ISLAM</v>
      </c>
      <c r="F792" s="46" t="s">
        <v>1028</v>
      </c>
      <c r="G792" s="46">
        <f>COUNTIF(SIP[[#Headers],[Investor ID]]:SIP[[#This Row],[Investor ID]],SIP[[#This Row],[Investor ID]])</f>
        <v>17</v>
      </c>
      <c r="H792" s="46" t="str">
        <f>CONCATENATE(SIP[[#This Row],[Frequency]],SIP[[#This Row],[Investor ID]])</f>
        <v>17A00491</v>
      </c>
      <c r="I792" s="46" t="str">
        <f>IF(SIP[[#This Row],[B/S]]="B","BUY",(IF(SIP[[#This Row],[B/S]]="S","SELL"," ")))</f>
        <v>BUY</v>
      </c>
      <c r="J792" s="150" t="s">
        <v>1229</v>
      </c>
      <c r="K792" s="152">
        <v>5000</v>
      </c>
      <c r="L792" s="122"/>
      <c r="M792" s="123">
        <f>SIP[[#This Row],[Amount]]/SIP[[#This Row],[Unit]]</f>
        <v>11.574074074074074</v>
      </c>
      <c r="N792" s="71">
        <f>SIP[[#This Row],[Unit Capital]]/10</f>
        <v>432</v>
      </c>
      <c r="O792" s="71">
        <f>SUMIFS(SIP[[#Headers],[Unit]]:SIP[[#This Row],[Unit]],SIP[[#Headers],[Investor ID]]:SIP[[#This Row],[Investor ID]],SIP[[#This Row],[Investor ID]])</f>
        <v>7834</v>
      </c>
      <c r="P792" s="153">
        <v>4320</v>
      </c>
      <c r="Q792" s="74">
        <f>SIP[[#This Row],[Amount]]-SIP[[#This Row],[Unit Capital]]</f>
        <v>680</v>
      </c>
      <c r="R7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10.850140413581823</v>
      </c>
      <c r="S792" s="68">
        <f t="shared" si="36"/>
        <v>14.224</v>
      </c>
      <c r="T7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2" s="74" cm="1">
        <f t="array" ref="U792">IF(SIP[[#This Row],[B/S]]="S",ABS(SIP[[#This Row],[Unit]])*(INDEX(SIP[NAV at Cost (Average)],MATCH(CONCATENATE((SIP[[#This Row],[Frequency]]-1),SIP[[#This Row],[Investor ID]]),SIP[Unique Code],0),0)),0)</f>
        <v>0</v>
      </c>
      <c r="V792" s="74">
        <f>IF(SIP[[#This Row],[BO TRANSFER]]="YES",SIP[[#This Row],[Unit]],)</f>
        <v>0</v>
      </c>
      <c r="W792" s="74">
        <f>SUMIFS(SIP[[#Headers],[BO UNIT TRANSFER]]:SIP[[#This Row],[BO UNIT TRANSFER]],SIP[[#Headers],[Investor ID]]:SIP[[#This Row],[Investor ID]],SIP[[#This Row],[Investor ID]])</f>
        <v>0</v>
      </c>
    </row>
    <row r="793" spans="1:23" ht="15" customHeight="1">
      <c r="A793" s="46">
        <v>2024</v>
      </c>
      <c r="B793" s="46">
        <v>10</v>
      </c>
      <c r="C793" s="46">
        <v>26</v>
      </c>
      <c r="D793" s="65">
        <f>DATE(SIP[[#This Row],[Year]],SIP[[#This Row],[Month]],SIP[[#This Row],[Day]])</f>
        <v>45591</v>
      </c>
      <c r="E793" s="66" t="str" cm="1">
        <f t="array" ref="E793">INDEX(INVESTORS_LIST[INVESTOR NAME],MATCH(SIP[[#This Row],[Investor ID]],INVESTORS_LIST[INVESTOR CODE],0),)</f>
        <v>ABU MUSA MIRZA KAMRUZZAMAN SHAHEE</v>
      </c>
      <c r="F793" s="46" t="s">
        <v>1012</v>
      </c>
      <c r="G793" s="46">
        <f>COUNTIF(SIP[[#Headers],[Investor ID]]:SIP[[#This Row],[Investor ID]],SIP[[#This Row],[Investor ID]])</f>
        <v>17</v>
      </c>
      <c r="H793" s="46" t="str">
        <f>CONCATENATE(SIP[[#This Row],[Frequency]],SIP[[#This Row],[Investor ID]])</f>
        <v>17A00483</v>
      </c>
      <c r="I793" s="46" t="str">
        <f>IF(SIP[[#This Row],[B/S]]="B","BUY",(IF(SIP[[#This Row],[B/S]]="S","SELL"," ")))</f>
        <v>BUY</v>
      </c>
      <c r="J793" s="150" t="s">
        <v>1229</v>
      </c>
      <c r="K793" s="152">
        <v>5000</v>
      </c>
      <c r="L793" s="122"/>
      <c r="M793" s="123">
        <f>SIP[[#This Row],[Amount]]/SIP[[#This Row],[Unit]]</f>
        <v>11.574074074074074</v>
      </c>
      <c r="N793" s="71">
        <f>SIP[[#This Row],[Unit Capital]]/10</f>
        <v>432</v>
      </c>
      <c r="O793" s="71">
        <f>SUMIFS(SIP[[#Headers],[Unit]]:SIP[[#This Row],[Unit]],SIP[[#Headers],[Investor ID]]:SIP[[#This Row],[Investor ID]],SIP[[#This Row],[Investor ID]])</f>
        <v>7834</v>
      </c>
      <c r="P793" s="153">
        <v>4320</v>
      </c>
      <c r="Q793" s="74">
        <f>SIP[[#This Row],[Amount]]-SIP[[#This Row],[Unit Capital]]</f>
        <v>680</v>
      </c>
      <c r="R7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10.850140413581823</v>
      </c>
      <c r="S793" s="68">
        <f t="shared" si="36"/>
        <v>14.224</v>
      </c>
      <c r="T7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3" s="74" cm="1">
        <f t="array" ref="U793">IF(SIP[[#This Row],[B/S]]="S",ABS(SIP[[#This Row],[Unit]])*(INDEX(SIP[NAV at Cost (Average)],MATCH(CONCATENATE((SIP[[#This Row],[Frequency]]-1),SIP[[#This Row],[Investor ID]]),SIP[Unique Code],0),0)),0)</f>
        <v>0</v>
      </c>
      <c r="V793" s="74">
        <f>IF(SIP[[#This Row],[BO TRANSFER]]="YES",SIP[[#This Row],[Unit]],)</f>
        <v>0</v>
      </c>
      <c r="W793" s="74">
        <f>SUMIFS(SIP[[#Headers],[BO UNIT TRANSFER]]:SIP[[#This Row],[BO UNIT TRANSFER]],SIP[[#Headers],[Investor ID]]:SIP[[#This Row],[Investor ID]],SIP[[#This Row],[Investor ID]])</f>
        <v>0</v>
      </c>
    </row>
    <row r="794" spans="1:23" ht="15" customHeight="1">
      <c r="A794" s="46">
        <v>2024</v>
      </c>
      <c r="B794" s="46">
        <v>10</v>
      </c>
      <c r="C794" s="46">
        <v>26</v>
      </c>
      <c r="D794" s="65">
        <f>DATE(SIP[[#This Row],[Year]],SIP[[#This Row],[Month]],SIP[[#This Row],[Day]])</f>
        <v>45591</v>
      </c>
      <c r="E794" s="66" t="str" cm="1">
        <f t="array" ref="E794">INDEX(INVESTORS_LIST[INVESTOR NAME],MATCH(SIP[[#This Row],[Investor ID]],INVESTORS_LIST[INVESTOR CODE],0),)</f>
        <v>ASHIK IQBAL CHOWDHURY</v>
      </c>
      <c r="F794" s="46" t="s">
        <v>1016</v>
      </c>
      <c r="G794" s="46">
        <f>COUNTIF(SIP[[#Headers],[Investor ID]]:SIP[[#This Row],[Investor ID]],SIP[[#This Row],[Investor ID]])</f>
        <v>14</v>
      </c>
      <c r="H794" s="46" t="str">
        <f>CONCATENATE(SIP[[#This Row],[Frequency]],SIP[[#This Row],[Investor ID]])</f>
        <v>14A00485</v>
      </c>
      <c r="I794" s="46" t="str">
        <f>IF(SIP[[#This Row],[B/S]]="B","BUY",(IF(SIP[[#This Row],[B/S]]="S","SELL"," ")))</f>
        <v>BUY</v>
      </c>
      <c r="J794" s="150" t="s">
        <v>1229</v>
      </c>
      <c r="K794" s="152">
        <v>5000</v>
      </c>
      <c r="L794" s="122"/>
      <c r="M794" s="123">
        <f>SIP[[#This Row],[Amount]]/SIP[[#This Row],[Unit]]</f>
        <v>11.574074074074074</v>
      </c>
      <c r="N794" s="71">
        <f>SIP[[#This Row],[Unit Capital]]/10</f>
        <v>432</v>
      </c>
      <c r="O794" s="71">
        <f>SUMIFS(SIP[[#Headers],[Unit]]:SIP[[#This Row],[Unit]],SIP[[#Headers],[Investor ID]]:SIP[[#This Row],[Investor ID]],SIP[[#This Row],[Investor ID]])</f>
        <v>6507</v>
      </c>
      <c r="P794" s="153">
        <v>4320</v>
      </c>
      <c r="Q794" s="74">
        <f>SIP[[#This Row],[Amount]]-SIP[[#This Row],[Unit Capital]]</f>
        <v>680</v>
      </c>
      <c r="R7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10.757645612417397</v>
      </c>
      <c r="S794" s="68">
        <f t="shared" si="36"/>
        <v>14.224</v>
      </c>
      <c r="T7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4" s="74" cm="1">
        <f t="array" ref="U794">IF(SIP[[#This Row],[B/S]]="S",ABS(SIP[[#This Row],[Unit]])*(INDEX(SIP[NAV at Cost (Average)],MATCH(CONCATENATE((SIP[[#This Row],[Frequency]]-1),SIP[[#This Row],[Investor ID]]),SIP[Unique Code],0),0)),0)</f>
        <v>0</v>
      </c>
      <c r="V794" s="74">
        <f>IF(SIP[[#This Row],[BO TRANSFER]]="YES",SIP[[#This Row],[Unit]],)</f>
        <v>0</v>
      </c>
      <c r="W794" s="74">
        <f>SUMIFS(SIP[[#Headers],[BO UNIT TRANSFER]]:SIP[[#This Row],[BO UNIT TRANSFER]],SIP[[#Headers],[Investor ID]]:SIP[[#This Row],[Investor ID]],SIP[[#This Row],[Investor ID]])</f>
        <v>0</v>
      </c>
    </row>
    <row r="795" spans="1:23" ht="15" customHeight="1">
      <c r="A795" s="46">
        <v>2024</v>
      </c>
      <c r="B795" s="46">
        <v>10</v>
      </c>
      <c r="C795" s="46">
        <v>26</v>
      </c>
      <c r="D795" s="65">
        <f>DATE(SIP[[#This Row],[Year]],SIP[[#This Row],[Month]],SIP[[#This Row],[Day]])</f>
        <v>45591</v>
      </c>
      <c r="E795" s="66" t="str" cm="1">
        <f t="array" ref="E795">INDEX(INVESTORS_LIST[INVESTOR NAME],MATCH(SIP[[#This Row],[Investor ID]],INVESTORS_LIST[INVESTOR CODE],0),)</f>
        <v>SUMAN SAHA</v>
      </c>
      <c r="F795" s="46" t="s">
        <v>1022</v>
      </c>
      <c r="G795" s="46">
        <f>COUNTIF(SIP[[#Headers],[Investor ID]]:SIP[[#This Row],[Investor ID]],SIP[[#This Row],[Investor ID]])</f>
        <v>17</v>
      </c>
      <c r="H795" s="46" t="str">
        <f>CONCATENATE(SIP[[#This Row],[Frequency]],SIP[[#This Row],[Investor ID]])</f>
        <v>17A00488</v>
      </c>
      <c r="I795" s="46" t="str">
        <f>IF(SIP[[#This Row],[B/S]]="B","BUY",(IF(SIP[[#This Row],[B/S]]="S","SELL"," ")))</f>
        <v>BUY</v>
      </c>
      <c r="J795" s="150" t="s">
        <v>1229</v>
      </c>
      <c r="K795" s="152">
        <v>5000</v>
      </c>
      <c r="L795" s="122"/>
      <c r="M795" s="123">
        <f>SIP[[#This Row],[Amount]]/SIP[[#This Row],[Unit]]</f>
        <v>11.574074074074074</v>
      </c>
      <c r="N795" s="71">
        <f>SIP[[#This Row],[Unit Capital]]/10</f>
        <v>432</v>
      </c>
      <c r="O795" s="71">
        <f>SUMIFS(SIP[[#Headers],[Unit]]:SIP[[#This Row],[Unit]],SIP[[#Headers],[Investor ID]]:SIP[[#This Row],[Investor ID]],SIP[[#This Row],[Investor ID]])</f>
        <v>7834</v>
      </c>
      <c r="P795" s="153">
        <v>4320</v>
      </c>
      <c r="Q795" s="74">
        <f>SIP[[#This Row],[Amount]]-SIP[[#This Row],[Unit Capital]]</f>
        <v>680</v>
      </c>
      <c r="R7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10.850140413581823</v>
      </c>
      <c r="S795" s="68">
        <f t="shared" si="36"/>
        <v>14.224</v>
      </c>
      <c r="T7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5" s="74" cm="1">
        <f t="array" ref="U795">IF(SIP[[#This Row],[B/S]]="S",ABS(SIP[[#This Row],[Unit]])*(INDEX(SIP[NAV at Cost (Average)],MATCH(CONCATENATE((SIP[[#This Row],[Frequency]]-1),SIP[[#This Row],[Investor ID]]),SIP[Unique Code],0),0)),0)</f>
        <v>0</v>
      </c>
      <c r="V795" s="74">
        <f>IF(SIP[[#This Row],[BO TRANSFER]]="YES",SIP[[#This Row],[Unit]],)</f>
        <v>0</v>
      </c>
      <c r="W795" s="74">
        <f>SUMIFS(SIP[[#Headers],[BO UNIT TRANSFER]]:SIP[[#This Row],[BO UNIT TRANSFER]],SIP[[#Headers],[Investor ID]]:SIP[[#This Row],[Investor ID]],SIP[[#This Row],[Investor ID]])</f>
        <v>0</v>
      </c>
    </row>
    <row r="796" spans="1:23" ht="15" customHeight="1">
      <c r="A796" s="46">
        <v>2024</v>
      </c>
      <c r="B796" s="46">
        <v>10</v>
      </c>
      <c r="C796" s="46">
        <v>26</v>
      </c>
      <c r="D796" s="65">
        <f>DATE(SIP[[#This Row],[Year]],SIP[[#This Row],[Month]],SIP[[#This Row],[Day]])</f>
        <v>45591</v>
      </c>
      <c r="E796" s="66" t="str" cm="1">
        <f t="array" ref="E796">INDEX(INVESTORS_LIST[INVESTOR NAME],MATCH(SIP[[#This Row],[Investor ID]],INVESTORS_LIST[INVESTOR CODE],0),)</f>
        <v>AKASH DEEP PAUL</v>
      </c>
      <c r="F796" s="46" t="s">
        <v>286</v>
      </c>
      <c r="G796" s="46">
        <f>COUNTIF(SIP[[#Headers],[Investor ID]]:SIP[[#This Row],[Investor ID]],SIP[[#This Row],[Investor ID]])</f>
        <v>18</v>
      </c>
      <c r="H796" s="46" t="str">
        <f>CONCATENATE(SIP[[#This Row],[Frequency]],SIP[[#This Row],[Investor ID]])</f>
        <v>18A00119</v>
      </c>
      <c r="I796" s="46" t="str">
        <f>IF(SIP[[#This Row],[B/S]]="B","BUY",(IF(SIP[[#This Row],[B/S]]="S","SELL"," ")))</f>
        <v>BUY</v>
      </c>
      <c r="J796" s="150" t="s">
        <v>1229</v>
      </c>
      <c r="K796" s="152">
        <v>5000</v>
      </c>
      <c r="L796" s="122"/>
      <c r="M796" s="123">
        <f>SIP[[#This Row],[Amount]]/SIP[[#This Row],[Unit]]</f>
        <v>11.574074074074074</v>
      </c>
      <c r="N796" s="71">
        <f>SIP[[#This Row],[Unit Capital]]/10</f>
        <v>432</v>
      </c>
      <c r="O796" s="71">
        <f>SUMIFS(SIP[[#Headers],[Unit]]:SIP[[#This Row],[Unit]],SIP[[#Headers],[Investor ID]]:SIP[[#This Row],[Investor ID]],SIP[[#This Row],[Investor ID]])</f>
        <v>867</v>
      </c>
      <c r="P796" s="153">
        <v>4320</v>
      </c>
      <c r="Q796" s="74">
        <f>SIP[[#This Row],[Amount]]-SIP[[#This Row],[Unit Capital]]</f>
        <v>680</v>
      </c>
      <c r="R7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11.534025374855824</v>
      </c>
      <c r="S796" s="68">
        <f t="shared" si="36"/>
        <v>14.224</v>
      </c>
      <c r="T7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6" s="74" cm="1">
        <f t="array" ref="U796">IF(SIP[[#This Row],[B/S]]="S",ABS(SIP[[#This Row],[Unit]])*(INDEX(SIP[NAV at Cost (Average)],MATCH(CONCATENATE((SIP[[#This Row],[Frequency]]-1),SIP[[#This Row],[Investor ID]]),SIP[Unique Code],0),0)),0)</f>
        <v>0</v>
      </c>
      <c r="V796" s="74">
        <f>IF(SIP[[#This Row],[BO TRANSFER]]="YES",SIP[[#This Row],[Unit]],)</f>
        <v>0</v>
      </c>
      <c r="W796" s="74">
        <f>SUMIFS(SIP[[#Headers],[BO UNIT TRANSFER]]:SIP[[#This Row],[BO UNIT TRANSFER]],SIP[[#Headers],[Investor ID]]:SIP[[#This Row],[Investor ID]],SIP[[#This Row],[Investor ID]])</f>
        <v>0</v>
      </c>
    </row>
    <row r="797" spans="1:23" ht="15" customHeight="1">
      <c r="A797" s="46">
        <v>2024</v>
      </c>
      <c r="B797" s="46">
        <v>10</v>
      </c>
      <c r="C797" s="46">
        <v>26</v>
      </c>
      <c r="D797" s="65">
        <f>DATE(SIP[[#This Row],[Year]],SIP[[#This Row],[Month]],SIP[[#This Row],[Day]])</f>
        <v>45591</v>
      </c>
      <c r="E797" s="66" t="str" cm="1">
        <f t="array" ref="E797">INDEX(INVESTORS_LIST[INVESTOR NAME],MATCH(SIP[[#This Row],[Investor ID]],INVESTORS_LIST[INVESTOR CODE],0),)</f>
        <v>JUBAIDA FARHANA HAQUE</v>
      </c>
      <c r="F797" s="46" t="s">
        <v>1065</v>
      </c>
      <c r="G797" s="46">
        <f>COUNTIF(SIP[[#Headers],[Investor ID]]:SIP[[#This Row],[Investor ID]],SIP[[#This Row],[Investor ID]])</f>
        <v>15</v>
      </c>
      <c r="H797" s="46" t="str">
        <f>CONCATENATE(SIP[[#This Row],[Frequency]],SIP[[#This Row],[Investor ID]])</f>
        <v>15A00510</v>
      </c>
      <c r="I797" s="46" t="str">
        <f>IF(SIP[[#This Row],[B/S]]="B","BUY",(IF(SIP[[#This Row],[B/S]]="S","SELL"," ")))</f>
        <v>BUY</v>
      </c>
      <c r="J797" s="150" t="s">
        <v>1229</v>
      </c>
      <c r="K797" s="152">
        <v>5000</v>
      </c>
      <c r="L797" s="122"/>
      <c r="M797" s="123">
        <f>SIP[[#This Row],[Amount]]/SIP[[#This Row],[Unit]]</f>
        <v>11.574074074074074</v>
      </c>
      <c r="N797" s="71">
        <f>SIP[[#This Row],[Unit Capital]]/10</f>
        <v>432</v>
      </c>
      <c r="O797" s="71">
        <f>SUMIFS(SIP[[#Headers],[Unit]]:SIP[[#This Row],[Unit]],SIP[[#Headers],[Investor ID]]:SIP[[#This Row],[Investor ID]],SIP[[#This Row],[Investor ID]])</f>
        <v>5910</v>
      </c>
      <c r="P797" s="153">
        <v>4320</v>
      </c>
      <c r="Q797" s="74">
        <f>SIP[[#This Row],[Amount]]-SIP[[#This Row],[Unit Capital]]</f>
        <v>680</v>
      </c>
      <c r="R7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11.000976797066405</v>
      </c>
      <c r="S797" s="68">
        <f t="shared" si="36"/>
        <v>14.224</v>
      </c>
      <c r="T7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7" s="74" cm="1">
        <f t="array" ref="U797">IF(SIP[[#This Row],[B/S]]="S",ABS(SIP[[#This Row],[Unit]])*(INDEX(SIP[NAV at Cost (Average)],MATCH(CONCATENATE((SIP[[#This Row],[Frequency]]-1),SIP[[#This Row],[Investor ID]]),SIP[Unique Code],0),0)),0)</f>
        <v>0</v>
      </c>
      <c r="V797" s="74">
        <f>IF(SIP[[#This Row],[BO TRANSFER]]="YES",SIP[[#This Row],[Unit]],)</f>
        <v>0</v>
      </c>
      <c r="W797" s="74">
        <f>SUMIFS(SIP[[#Headers],[BO UNIT TRANSFER]]:SIP[[#This Row],[BO UNIT TRANSFER]],SIP[[#Headers],[Investor ID]]:SIP[[#This Row],[Investor ID]],SIP[[#This Row],[Investor ID]])</f>
        <v>0</v>
      </c>
    </row>
    <row r="798" spans="1:23" ht="15" customHeight="1">
      <c r="A798" s="46">
        <v>2024</v>
      </c>
      <c r="B798" s="46">
        <v>10</v>
      </c>
      <c r="C798" s="46">
        <v>26</v>
      </c>
      <c r="D798" s="65">
        <f>DATE(SIP[[#This Row],[Year]],SIP[[#This Row],[Month]],SIP[[#This Row],[Day]])</f>
        <v>45591</v>
      </c>
      <c r="E798" s="66" t="str" cm="1">
        <f t="array" ref="E798">INDEX(INVESTORS_LIST[INVESTOR NAME],MATCH(SIP[[#This Row],[Investor ID]],INVESTORS_LIST[INVESTOR CODE],0),)</f>
        <v>MAYA RANI SAHA</v>
      </c>
      <c r="F798" s="46" t="s">
        <v>224</v>
      </c>
      <c r="G798" s="46">
        <f>COUNTIF(SIP[[#Headers],[Investor ID]]:SIP[[#This Row],[Investor ID]],SIP[[#This Row],[Investor ID]])</f>
        <v>24</v>
      </c>
      <c r="H798" s="46" t="str">
        <f>CONCATENATE(SIP[[#This Row],[Frequency]],SIP[[#This Row],[Investor ID]])</f>
        <v>24A00088</v>
      </c>
      <c r="I798" s="46" t="str">
        <f>IF(SIP[[#This Row],[B/S]]="B","BUY",(IF(SIP[[#This Row],[B/S]]="S","SELL"," ")))</f>
        <v>BUY</v>
      </c>
      <c r="J798" s="150" t="s">
        <v>1229</v>
      </c>
      <c r="K798" s="152">
        <v>14000</v>
      </c>
      <c r="L798" s="122"/>
      <c r="M798" s="123">
        <f>SIP[[#This Row],[Amount]]/SIP[[#This Row],[Unit]]</f>
        <v>11.579818031430934</v>
      </c>
      <c r="N798" s="71">
        <f>SIP[[#This Row],[Unit Capital]]/10</f>
        <v>1209</v>
      </c>
      <c r="O798" s="71">
        <f>SUMIFS(SIP[[#Headers],[Unit]]:SIP[[#This Row],[Unit]],SIP[[#Headers],[Investor ID]]:SIP[[#This Row],[Investor ID]],SIP[[#This Row],[Investor ID]])</f>
        <v>35106</v>
      </c>
      <c r="P798" s="153">
        <v>12090</v>
      </c>
      <c r="Q798" s="74">
        <f>SIP[[#This Row],[Amount]]-SIP[[#This Row],[Unit Capital]]</f>
        <v>1910</v>
      </c>
      <c r="R7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10.995271463567482</v>
      </c>
      <c r="S798" s="68">
        <f t="shared" si="36"/>
        <v>14.224</v>
      </c>
      <c r="T7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8" s="74" cm="1">
        <f t="array" ref="U798">IF(SIP[[#This Row],[B/S]]="S",ABS(SIP[[#This Row],[Unit]])*(INDEX(SIP[NAV at Cost (Average)],MATCH(CONCATENATE((SIP[[#This Row],[Frequency]]-1),SIP[[#This Row],[Investor ID]]),SIP[Unique Code],0),0)),0)</f>
        <v>0</v>
      </c>
      <c r="V798" s="74">
        <f>IF(SIP[[#This Row],[BO TRANSFER]]="YES",SIP[[#This Row],[Unit]],)</f>
        <v>0</v>
      </c>
      <c r="W798" s="74">
        <f>SUMIFS(SIP[[#Headers],[BO UNIT TRANSFER]]:SIP[[#This Row],[BO UNIT TRANSFER]],SIP[[#Headers],[Investor ID]]:SIP[[#This Row],[Investor ID]],SIP[[#This Row],[Investor ID]])</f>
        <v>0</v>
      </c>
    </row>
    <row r="799" spans="1:23" ht="15" customHeight="1">
      <c r="A799" s="46">
        <v>2024</v>
      </c>
      <c r="B799" s="46">
        <v>10</v>
      </c>
      <c r="C799" s="46">
        <v>26</v>
      </c>
      <c r="D799" s="65">
        <f>DATE(SIP[[#This Row],[Year]],SIP[[#This Row],[Month]],SIP[[#This Row],[Day]])</f>
        <v>45591</v>
      </c>
      <c r="E799" s="66" t="str" cm="1">
        <f t="array" ref="E799">INDEX(INVESTORS_LIST[INVESTOR NAME],MATCH(SIP[[#This Row],[Investor ID]],INVESTORS_LIST[INVESTOR CODE],0),)</f>
        <v>MUHAMMAD SHOHIDUZZAMAN</v>
      </c>
      <c r="F799" s="46" t="s">
        <v>986</v>
      </c>
      <c r="G799" s="46">
        <f>COUNTIF(SIP[[#Headers],[Investor ID]]:SIP[[#This Row],[Investor ID]],SIP[[#This Row],[Investor ID]])</f>
        <v>12</v>
      </c>
      <c r="H799" s="46" t="str">
        <f>CONCATENATE(SIP[[#This Row],[Frequency]],SIP[[#This Row],[Investor ID]])</f>
        <v>12A00470</v>
      </c>
      <c r="I799" s="46" t="str">
        <f>IF(SIP[[#This Row],[B/S]]="B","BUY",(IF(SIP[[#This Row],[B/S]]="S","SELL"," ")))</f>
        <v>BUY</v>
      </c>
      <c r="J799" s="150" t="s">
        <v>1229</v>
      </c>
      <c r="K799" s="152">
        <v>10000</v>
      </c>
      <c r="L799" s="122" t="s">
        <v>1230</v>
      </c>
      <c r="M799" s="123">
        <f>SIP[[#This Row],[Amount]]/SIP[[#This Row],[Unit]]</f>
        <v>11.587485515643106</v>
      </c>
      <c r="N799" s="71">
        <f>SIP[[#This Row],[Unit Capital]]/10</f>
        <v>863</v>
      </c>
      <c r="O799" s="71">
        <f>SUMIFS(SIP[[#Headers],[Unit]]:SIP[[#This Row],[Unit]],SIP[[#Headers],[Investor ID]]:SIP[[#This Row],[Investor ID]],SIP[[#This Row],[Investor ID]])</f>
        <v>10870</v>
      </c>
      <c r="P799" s="153">
        <v>8630</v>
      </c>
      <c r="Q799" s="74">
        <f>SIP[[#This Row],[Amount]]-SIP[[#This Row],[Unit Capital]]</f>
        <v>1370</v>
      </c>
      <c r="R7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11.039558417663292</v>
      </c>
      <c r="S799" s="68">
        <f t="shared" si="36"/>
        <v>14.224</v>
      </c>
      <c r="T7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9" s="74" cm="1">
        <f t="array" ref="U799">IF(SIP[[#This Row],[B/S]]="S",ABS(SIP[[#This Row],[Unit]])*(INDEX(SIP[NAV at Cost (Average)],MATCH(CONCATENATE((SIP[[#This Row],[Frequency]]-1),SIP[[#This Row],[Investor ID]]),SIP[Unique Code],0),0)),0)</f>
        <v>0</v>
      </c>
      <c r="V799" s="74">
        <f>IF(SIP[[#This Row],[BO TRANSFER]]="YES",SIP[[#This Row],[Unit]],)</f>
        <v>863</v>
      </c>
      <c r="W799" s="74">
        <f>SUMIFS(SIP[[#Headers],[BO UNIT TRANSFER]]:SIP[[#This Row],[BO UNIT TRANSFER]],SIP[[#Headers],[Investor ID]]:SIP[[#This Row],[Investor ID]],SIP[[#This Row],[Investor ID]])</f>
        <v>10870</v>
      </c>
    </row>
    <row r="800" spans="1:23" ht="15" customHeight="1">
      <c r="A800" s="46">
        <v>2024</v>
      </c>
      <c r="B800" s="46">
        <v>10</v>
      </c>
      <c r="C800" s="46">
        <v>26</v>
      </c>
      <c r="D800" s="65">
        <f>DATE(SIP[[#This Row],[Year]],SIP[[#This Row],[Month]],SIP[[#This Row],[Day]])</f>
        <v>45591</v>
      </c>
      <c r="E800" s="66" t="str" cm="1">
        <f t="array" ref="E800">INDEX(INVESTORS_LIST[INVESTOR NAME],MATCH(SIP[[#This Row],[Investor ID]],INVESTORS_LIST[INVESTOR CODE],0),)</f>
        <v>MOHAMMAD SAMIUL ALAM</v>
      </c>
      <c r="F800" s="46" t="s">
        <v>537</v>
      </c>
      <c r="G800" s="46">
        <f>COUNTIF(SIP[[#Headers],[Investor ID]]:SIP[[#This Row],[Investor ID]],SIP[[#This Row],[Investor ID]])</f>
        <v>15</v>
      </c>
      <c r="H800" s="46" t="str">
        <f>CONCATENATE(SIP[[#This Row],[Frequency]],SIP[[#This Row],[Investor ID]])</f>
        <v>15A00244</v>
      </c>
      <c r="I800" s="46" t="str">
        <f>IF(SIP[[#This Row],[B/S]]="B","BUY",(IF(SIP[[#This Row],[B/S]]="S","SELL"," ")))</f>
        <v>BUY</v>
      </c>
      <c r="J800" s="150" t="s">
        <v>1229</v>
      </c>
      <c r="K800" s="152">
        <v>20000</v>
      </c>
      <c r="L800" s="69"/>
      <c r="M800" s="123">
        <f>SIP[[#This Row],[Amount]]/SIP[[#This Row],[Unit]]</f>
        <v>11.580775911986104</v>
      </c>
      <c r="N800" s="71">
        <f>SIP[[#This Row],[Unit Capital]]/10</f>
        <v>1727</v>
      </c>
      <c r="O800" s="71">
        <f>SUMIFS(SIP[[#Headers],[Unit]]:SIP[[#This Row],[Unit]],SIP[[#Headers],[Investor ID]]:SIP[[#This Row],[Investor ID]],SIP[[#This Row],[Investor ID]])</f>
        <v>27462</v>
      </c>
      <c r="P800" s="153">
        <v>17270</v>
      </c>
      <c r="Q800" s="74">
        <f>SIP[[#This Row],[Amount]]-SIP[[#This Row],[Unit Capital]]</f>
        <v>2730</v>
      </c>
      <c r="R8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10.924186148131966</v>
      </c>
      <c r="S800" s="68">
        <f t="shared" si="36"/>
        <v>14.224</v>
      </c>
      <c r="T8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0" s="74" cm="1">
        <f t="array" ref="U800">IF(SIP[[#This Row],[B/S]]="S",ABS(SIP[[#This Row],[Unit]])*(INDEX(SIP[NAV at Cost (Average)],MATCH(CONCATENATE((SIP[[#This Row],[Frequency]]-1),SIP[[#This Row],[Investor ID]]),SIP[Unique Code],0),0)),0)</f>
        <v>0</v>
      </c>
      <c r="V800" s="74">
        <f>IF(SIP[[#This Row],[BO TRANSFER]]="YES",SIP[[#This Row],[Unit]],)</f>
        <v>0</v>
      </c>
      <c r="W800" s="74">
        <f>SUMIFS(SIP[[#Headers],[BO UNIT TRANSFER]]:SIP[[#This Row],[BO UNIT TRANSFER]],SIP[[#Headers],[Investor ID]]:SIP[[#This Row],[Investor ID]],SIP[[#This Row],[Investor ID]])</f>
        <v>0</v>
      </c>
    </row>
    <row r="801" spans="1:23" ht="15" customHeight="1">
      <c r="A801" s="46">
        <v>2024</v>
      </c>
      <c r="B801" s="46">
        <v>10</v>
      </c>
      <c r="C801" s="46">
        <v>26</v>
      </c>
      <c r="D801" s="65">
        <f>DATE(SIP[[#This Row],[Year]],SIP[[#This Row],[Month]],SIP[[#This Row],[Day]])</f>
        <v>45591</v>
      </c>
      <c r="E801" s="66" t="str" cm="1">
        <f t="array" ref="E801">INDEX(INVESTORS_LIST[INVESTOR NAME],MATCH(SIP[[#This Row],[Investor ID]],INVESTORS_LIST[INVESTOR CODE],0),)</f>
        <v>MRINMOY GHOSH</v>
      </c>
      <c r="F801" s="46" t="s">
        <v>69</v>
      </c>
      <c r="G801" s="46">
        <f>COUNTIF(SIP[[#Headers],[Investor ID]]:SIP[[#This Row],[Investor ID]],SIP[[#This Row],[Investor ID]])</f>
        <v>15</v>
      </c>
      <c r="H801" s="46" t="str">
        <f>CONCATENATE(SIP[[#This Row],[Frequency]],SIP[[#This Row],[Investor ID]])</f>
        <v>15A00012</v>
      </c>
      <c r="I801" s="46" t="str">
        <f>IF(SIP[[#This Row],[B/S]]="B","BUY",(IF(SIP[[#This Row],[B/S]]="S","SELL"," ")))</f>
        <v>BUY</v>
      </c>
      <c r="J801" s="150" t="s">
        <v>1229</v>
      </c>
      <c r="K801" s="152">
        <v>10000</v>
      </c>
      <c r="L801" s="122"/>
      <c r="M801" s="123">
        <f>SIP[[#This Row],[Amount]]/SIP[[#This Row],[Unit]]</f>
        <v>11.587485515643106</v>
      </c>
      <c r="N801" s="71">
        <f>SIP[[#This Row],[Unit Capital]]/10</f>
        <v>863</v>
      </c>
      <c r="O801" s="71">
        <f>SUMIFS(SIP[[#Headers],[Unit]]:SIP[[#This Row],[Unit]],SIP[[#Headers],[Investor ID]]:SIP[[#This Row],[Investor ID]],SIP[[#This Row],[Investor ID]])</f>
        <v>2614</v>
      </c>
      <c r="P801" s="153">
        <v>8630</v>
      </c>
      <c r="Q801" s="74">
        <f>SIP[[#This Row],[Amount]]-SIP[[#This Row],[Unit Capital]]</f>
        <v>1370</v>
      </c>
      <c r="R8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11.476664116296863</v>
      </c>
      <c r="S801" s="68">
        <f t="shared" si="36"/>
        <v>14.224</v>
      </c>
      <c r="T8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1" s="74" cm="1">
        <f t="array" ref="U801">IF(SIP[[#This Row],[B/S]]="S",ABS(SIP[[#This Row],[Unit]])*(INDEX(SIP[NAV at Cost (Average)],MATCH(CONCATENATE((SIP[[#This Row],[Frequency]]-1),SIP[[#This Row],[Investor ID]]),SIP[Unique Code],0),0)),0)</f>
        <v>0</v>
      </c>
      <c r="V801" s="74">
        <f>IF(SIP[[#This Row],[BO TRANSFER]]="YES",SIP[[#This Row],[Unit]],)</f>
        <v>0</v>
      </c>
      <c r="W801" s="74">
        <f>SUMIFS(SIP[[#Headers],[BO UNIT TRANSFER]]:SIP[[#This Row],[BO UNIT TRANSFER]],SIP[[#Headers],[Investor ID]]:SIP[[#This Row],[Investor ID]],SIP[[#This Row],[Investor ID]])</f>
        <v>0</v>
      </c>
    </row>
    <row r="802" spans="1:23" ht="15" customHeight="1">
      <c r="A802" s="46">
        <v>2024</v>
      </c>
      <c r="B802" s="46">
        <v>10</v>
      </c>
      <c r="C802" s="46">
        <v>26</v>
      </c>
      <c r="D802" s="65">
        <f>DATE(SIP[[#This Row],[Year]],SIP[[#This Row],[Month]],SIP[[#This Row],[Day]])</f>
        <v>45591</v>
      </c>
      <c r="E802" s="66" t="str" cm="1">
        <f t="array" ref="E802">INDEX(INVESTORS_LIST[INVESTOR NAME],MATCH(SIP[[#This Row],[Investor ID]],INVESTORS_LIST[INVESTOR CODE],0),)</f>
        <v>ADNAN RASHID</v>
      </c>
      <c r="F802" s="46" t="s">
        <v>252</v>
      </c>
      <c r="G802" s="46">
        <f>COUNTIF(SIP[[#Headers],[Investor ID]]:SIP[[#This Row],[Investor ID]],SIP[[#This Row],[Investor ID]])</f>
        <v>15</v>
      </c>
      <c r="H802" s="46" t="str">
        <f>CONCATENATE(SIP[[#This Row],[Frequency]],SIP[[#This Row],[Investor ID]])</f>
        <v>15A00102</v>
      </c>
      <c r="I802" s="46" t="str">
        <f>IF(SIP[[#This Row],[B/S]]="B","BUY",(IF(SIP[[#This Row],[B/S]]="S","SELL"," ")))</f>
        <v>BUY</v>
      </c>
      <c r="J802" s="150" t="s">
        <v>1229</v>
      </c>
      <c r="K802" s="152">
        <v>30000</v>
      </c>
      <c r="L802" s="122"/>
      <c r="M802" s="123">
        <f>SIP[[#This Row],[Amount]]/SIP[[#This Row],[Unit]]</f>
        <v>11.583011583011583</v>
      </c>
      <c r="N802" s="71">
        <f>SIP[[#This Row],[Unit Capital]]/10</f>
        <v>2590</v>
      </c>
      <c r="O802" s="71">
        <f>SUMIFS(SIP[[#Headers],[Unit]]:SIP[[#This Row],[Unit]],SIP[[#Headers],[Investor ID]]:SIP[[#This Row],[Investor ID]],SIP[[#This Row],[Investor ID]])</f>
        <v>20118</v>
      </c>
      <c r="P802" s="153">
        <v>25900</v>
      </c>
      <c r="Q802" s="74">
        <f>SIP[[#This Row],[Amount]]-SIP[[#This Row],[Unit Capital]]</f>
        <v>4100</v>
      </c>
      <c r="R8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11.187774766680645</v>
      </c>
      <c r="S802" s="68">
        <f t="shared" si="36"/>
        <v>14.224</v>
      </c>
      <c r="T8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2" s="74" cm="1">
        <f t="array" ref="U802">IF(SIP[[#This Row],[B/S]]="S",ABS(SIP[[#This Row],[Unit]])*(INDEX(SIP[NAV at Cost (Average)],MATCH(CONCATENATE((SIP[[#This Row],[Frequency]]-1),SIP[[#This Row],[Investor ID]]),SIP[Unique Code],0),0)),0)</f>
        <v>0</v>
      </c>
      <c r="V802" s="74">
        <f>IF(SIP[[#This Row],[BO TRANSFER]]="YES",SIP[[#This Row],[Unit]],)</f>
        <v>0</v>
      </c>
      <c r="W802" s="74">
        <f>SUMIFS(SIP[[#Headers],[BO UNIT TRANSFER]]:SIP[[#This Row],[BO UNIT TRANSFER]],SIP[[#Headers],[Investor ID]]:SIP[[#This Row],[Investor ID]],SIP[[#This Row],[Investor ID]])</f>
        <v>0</v>
      </c>
    </row>
    <row r="803" spans="1:23" ht="15" customHeight="1">
      <c r="A803" s="46">
        <v>2024</v>
      </c>
      <c r="B803" s="46">
        <v>10</v>
      </c>
      <c r="C803" s="46">
        <v>26</v>
      </c>
      <c r="D803" s="65">
        <f>DATE(SIP[[#This Row],[Year]],SIP[[#This Row],[Month]],SIP[[#This Row],[Day]])</f>
        <v>45591</v>
      </c>
      <c r="E803" s="66" t="str" cm="1">
        <f t="array" ref="E803">INDEX(INVESTORS_LIST[INVESTOR NAME],MATCH(SIP[[#This Row],[Investor ID]],INVESTORS_LIST[INVESTOR CODE],0),)</f>
        <v>MD ABDULLAH-AL- MAMUN</v>
      </c>
      <c r="F803" s="46" t="s">
        <v>533</v>
      </c>
      <c r="G803" s="46">
        <f>COUNTIF(SIP[[#Headers],[Investor ID]]:SIP[[#This Row],[Investor ID]],SIP[[#This Row],[Investor ID]])</f>
        <v>13</v>
      </c>
      <c r="H803" s="46" t="str">
        <f>CONCATENATE(SIP[[#This Row],[Frequency]],SIP[[#This Row],[Investor ID]])</f>
        <v>13A00242</v>
      </c>
      <c r="I803" s="46" t="str">
        <f>IF(SIP[[#This Row],[B/S]]="B","BUY",(IF(SIP[[#This Row],[B/S]]="S","SELL"," ")))</f>
        <v>BUY</v>
      </c>
      <c r="J803" s="150" t="s">
        <v>1229</v>
      </c>
      <c r="K803" s="152">
        <v>15000</v>
      </c>
      <c r="L803" s="122"/>
      <c r="M803" s="123">
        <f>SIP[[#This Row],[Amount]]/SIP[[#This Row],[Unit]]</f>
        <v>11.583011583011583</v>
      </c>
      <c r="N803" s="71">
        <f>SIP[[#This Row],[Unit Capital]]/10</f>
        <v>1295</v>
      </c>
      <c r="O803" s="71">
        <f>SUMIFS(SIP[[#Headers],[Unit]]:SIP[[#This Row],[Unit]],SIP[[#Headers],[Investor ID]]:SIP[[#This Row],[Investor ID]],SIP[[#This Row],[Investor ID]])</f>
        <v>17726</v>
      </c>
      <c r="P803" s="153">
        <v>12950</v>
      </c>
      <c r="Q803" s="74">
        <f>SIP[[#This Row],[Amount]]-SIP[[#This Row],[Unit Capital]]</f>
        <v>2050</v>
      </c>
      <c r="R8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11.000789800293358</v>
      </c>
      <c r="S803" s="68">
        <f t="shared" si="36"/>
        <v>14.224</v>
      </c>
      <c r="T8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3" s="74" cm="1">
        <f t="array" ref="U803">IF(SIP[[#This Row],[B/S]]="S",ABS(SIP[[#This Row],[Unit]])*(INDEX(SIP[NAV at Cost (Average)],MATCH(CONCATENATE((SIP[[#This Row],[Frequency]]-1),SIP[[#This Row],[Investor ID]]),SIP[Unique Code],0),0)),0)</f>
        <v>0</v>
      </c>
      <c r="V803" s="74">
        <f>IF(SIP[[#This Row],[BO TRANSFER]]="YES",SIP[[#This Row],[Unit]],)</f>
        <v>0</v>
      </c>
      <c r="W803" s="74">
        <f>SUMIFS(SIP[[#Headers],[BO UNIT TRANSFER]]:SIP[[#This Row],[BO UNIT TRANSFER]],SIP[[#Headers],[Investor ID]]:SIP[[#This Row],[Investor ID]],SIP[[#This Row],[Investor ID]])</f>
        <v>0</v>
      </c>
    </row>
    <row r="804" spans="1:23" ht="15" customHeight="1">
      <c r="A804" s="46">
        <v>2024</v>
      </c>
      <c r="B804" s="46">
        <v>10</v>
      </c>
      <c r="C804" s="46">
        <v>26</v>
      </c>
      <c r="D804" s="65">
        <f>DATE(SIP[[#This Row],[Year]],SIP[[#This Row],[Month]],SIP[[#This Row],[Day]])</f>
        <v>45591</v>
      </c>
      <c r="E804" s="66" t="str" cm="1">
        <f t="array" ref="E804">INDEX(INVESTORS_LIST[INVESTOR NAME],MATCH(SIP[[#This Row],[Investor ID]],INVESTORS_LIST[INVESTOR CODE],0),)</f>
        <v>MAYA RANI SAHA</v>
      </c>
      <c r="F804" s="46" t="s">
        <v>224</v>
      </c>
      <c r="G804" s="46">
        <f>COUNTIF(SIP[[#Headers],[Investor ID]]:SIP[[#This Row],[Investor ID]],SIP[[#This Row],[Investor ID]])</f>
        <v>25</v>
      </c>
      <c r="H804" s="46" t="str">
        <f>CONCATENATE(SIP[[#This Row],[Frequency]],SIP[[#This Row],[Investor ID]])</f>
        <v>25A00088</v>
      </c>
      <c r="I804" s="46" t="str">
        <f>IF(SIP[[#This Row],[B/S]]="B","BUY",(IF(SIP[[#This Row],[B/S]]="S","SELL"," ")))</f>
        <v>BUY</v>
      </c>
      <c r="J804" s="150" t="s">
        <v>1229</v>
      </c>
      <c r="K804" s="152">
        <v>20000</v>
      </c>
      <c r="L804" s="122"/>
      <c r="M804" s="123">
        <f>SIP[[#This Row],[Amount]]/SIP[[#This Row],[Unit]]</f>
        <v>11.580775911986104</v>
      </c>
      <c r="N804" s="71">
        <f>SIP[[#This Row],[Unit Capital]]/10</f>
        <v>1727</v>
      </c>
      <c r="O804" s="71">
        <f>SUMIFS(SIP[[#Headers],[Unit]]:SIP[[#This Row],[Unit]],SIP[[#Headers],[Investor ID]]:SIP[[#This Row],[Investor ID]],SIP[[#This Row],[Investor ID]])</f>
        <v>36833</v>
      </c>
      <c r="P804" s="153">
        <v>17270</v>
      </c>
      <c r="Q804" s="74">
        <f>SIP[[#This Row],[Amount]]-SIP[[#This Row],[Unit Capital]]</f>
        <v>2730</v>
      </c>
      <c r="R8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11.022724187549208</v>
      </c>
      <c r="S804" s="68">
        <f t="shared" si="36"/>
        <v>14.224</v>
      </c>
      <c r="T8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4" s="74" cm="1">
        <f t="array" ref="U804">IF(SIP[[#This Row],[B/S]]="S",ABS(SIP[[#This Row],[Unit]])*(INDEX(SIP[NAV at Cost (Average)],MATCH(CONCATENATE((SIP[[#This Row],[Frequency]]-1),SIP[[#This Row],[Investor ID]]),SIP[Unique Code],0),0)),0)</f>
        <v>0</v>
      </c>
      <c r="V804" s="74">
        <f>IF(SIP[[#This Row],[BO TRANSFER]]="YES",SIP[[#This Row],[Unit]],)</f>
        <v>0</v>
      </c>
      <c r="W804" s="74">
        <f>SUMIFS(SIP[[#Headers],[BO UNIT TRANSFER]]:SIP[[#This Row],[BO UNIT TRANSFER]],SIP[[#Headers],[Investor ID]]:SIP[[#This Row],[Investor ID]],SIP[[#This Row],[Investor ID]])</f>
        <v>0</v>
      </c>
    </row>
    <row r="805" spans="1:23" ht="15" customHeight="1">
      <c r="A805" s="46">
        <v>2024</v>
      </c>
      <c r="B805" s="46">
        <v>10</v>
      </c>
      <c r="C805" s="46">
        <v>26</v>
      </c>
      <c r="D805" s="65">
        <f>DATE(SIP[[#This Row],[Year]],SIP[[#This Row],[Month]],SIP[[#This Row],[Day]])</f>
        <v>45591</v>
      </c>
      <c r="E805" s="66" t="str" cm="1">
        <f t="array" ref="E805">INDEX(INVESTORS_LIST[INVESTOR NAME],MATCH(SIP[[#This Row],[Investor ID]],INVESTORS_LIST[INVESTOR CODE],0),)</f>
        <v>MOHAMMAD HASAN IMAM</v>
      </c>
      <c r="F805" s="46" t="s">
        <v>1122</v>
      </c>
      <c r="G805" s="46">
        <f>COUNTIF(SIP[[#Headers],[Investor ID]]:SIP[[#This Row],[Investor ID]],SIP[[#This Row],[Investor ID]])</f>
        <v>7</v>
      </c>
      <c r="H805" s="46" t="str">
        <f>CONCATENATE(SIP[[#This Row],[Frequency]],SIP[[#This Row],[Investor ID]])</f>
        <v>7A00536</v>
      </c>
      <c r="I805" s="46" t="str">
        <f>IF(SIP[[#This Row],[B/S]]="B","BUY",(IF(SIP[[#This Row],[B/S]]="S","SELL"," ")))</f>
        <v>BUY</v>
      </c>
      <c r="J805" s="150" t="s">
        <v>1229</v>
      </c>
      <c r="K805" s="152">
        <v>5000</v>
      </c>
      <c r="L805" s="122"/>
      <c r="M805" s="123">
        <f>SIP[[#This Row],[Amount]]/SIP[[#This Row],[Unit]]</f>
        <v>11.574074074074074</v>
      </c>
      <c r="N805" s="71">
        <f>SIP[[#This Row],[Unit Capital]]/10</f>
        <v>432</v>
      </c>
      <c r="O805" s="71">
        <f>SUMIFS(SIP[[#Headers],[Unit]]:SIP[[#This Row],[Unit]],SIP[[#Headers],[Investor ID]]:SIP[[#This Row],[Investor ID]],SIP[[#This Row],[Investor ID]])</f>
        <v>3106</v>
      </c>
      <c r="P805" s="153">
        <v>4320</v>
      </c>
      <c r="Q805" s="74">
        <f>SIP[[#This Row],[Amount]]-SIP[[#This Row],[Unit Capital]]</f>
        <v>680</v>
      </c>
      <c r="R8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11.268512556342563</v>
      </c>
      <c r="S805" s="68">
        <f t="shared" si="36"/>
        <v>14.224</v>
      </c>
      <c r="T8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5" s="74" cm="1">
        <f t="array" ref="U805">IF(SIP[[#This Row],[B/S]]="S",ABS(SIP[[#This Row],[Unit]])*(INDEX(SIP[NAV at Cost (Average)],MATCH(CONCATENATE((SIP[[#This Row],[Frequency]]-1),SIP[[#This Row],[Investor ID]]),SIP[Unique Code],0),0)),0)</f>
        <v>0</v>
      </c>
      <c r="V805" s="74">
        <f>IF(SIP[[#This Row],[BO TRANSFER]]="YES",SIP[[#This Row],[Unit]],)</f>
        <v>0</v>
      </c>
      <c r="W805" s="74">
        <f>SUMIFS(SIP[[#Headers],[BO UNIT TRANSFER]]:SIP[[#This Row],[BO UNIT TRANSFER]],SIP[[#Headers],[Investor ID]]:SIP[[#This Row],[Investor ID]],SIP[[#This Row],[Investor ID]])</f>
        <v>0</v>
      </c>
    </row>
    <row r="806" spans="1:23" ht="15" customHeight="1">
      <c r="A806" s="46">
        <v>2024</v>
      </c>
      <c r="B806" s="46">
        <v>10</v>
      </c>
      <c r="C806" s="46">
        <v>26</v>
      </c>
      <c r="D806" s="65">
        <f>DATE(SIP[[#This Row],[Year]],SIP[[#This Row],[Month]],SIP[[#This Row],[Day]])</f>
        <v>45591</v>
      </c>
      <c r="E806" s="66" t="str" cm="1">
        <f t="array" ref="E806">INDEX(INVESTORS_LIST[INVESTOR NAME],MATCH(SIP[[#This Row],[Investor ID]],INVESTORS_LIST[INVESTOR CODE],0),)</f>
        <v>SADIA PARVIN</v>
      </c>
      <c r="F806" s="46" t="s">
        <v>1018</v>
      </c>
      <c r="G806" s="46">
        <f>COUNTIF(SIP[[#Headers],[Investor ID]]:SIP[[#This Row],[Investor ID]],SIP[[#This Row],[Investor ID]])</f>
        <v>23</v>
      </c>
      <c r="H806" s="46" t="str">
        <f>CONCATENATE(SIP[[#This Row],[Frequency]],SIP[[#This Row],[Investor ID]])</f>
        <v>23A00486</v>
      </c>
      <c r="I806" s="46" t="str">
        <f>IF(SIP[[#This Row],[B/S]]="B","BUY",(IF(SIP[[#This Row],[B/S]]="S","SELL"," ")))</f>
        <v>BUY</v>
      </c>
      <c r="J806" s="150" t="s">
        <v>1229</v>
      </c>
      <c r="K806" s="152">
        <v>5000</v>
      </c>
      <c r="L806" s="122"/>
      <c r="M806" s="123">
        <f>SIP[[#This Row],[Amount]]/SIP[[#This Row],[Unit]]</f>
        <v>11.574074074074074</v>
      </c>
      <c r="N806" s="71">
        <f>SIP[[#This Row],[Unit Capital]]/10</f>
        <v>432</v>
      </c>
      <c r="O806" s="71">
        <f>SUMIFS(SIP[[#Headers],[Unit]]:SIP[[#This Row],[Unit]],SIP[[#Headers],[Investor ID]]:SIP[[#This Row],[Investor ID]],SIP[[#This Row],[Investor ID]])</f>
        <v>10522</v>
      </c>
      <c r="P806" s="153">
        <v>4320</v>
      </c>
      <c r="Q806" s="74">
        <f>SIP[[#This Row],[Amount]]-SIP[[#This Row],[Unit Capital]]</f>
        <v>680</v>
      </c>
      <c r="R8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10.929481087245772</v>
      </c>
      <c r="S806" s="68">
        <f t="shared" si="36"/>
        <v>14.224</v>
      </c>
      <c r="T8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6" s="74" cm="1">
        <f t="array" ref="U806">IF(SIP[[#This Row],[B/S]]="S",ABS(SIP[[#This Row],[Unit]])*(INDEX(SIP[NAV at Cost (Average)],MATCH(CONCATENATE((SIP[[#This Row],[Frequency]]-1),SIP[[#This Row],[Investor ID]]),SIP[Unique Code],0),0)),0)</f>
        <v>0</v>
      </c>
      <c r="V806" s="74">
        <f>IF(SIP[[#This Row],[BO TRANSFER]]="YES",SIP[[#This Row],[Unit]],)</f>
        <v>0</v>
      </c>
      <c r="W806" s="74">
        <f>SUMIFS(SIP[[#Headers],[BO UNIT TRANSFER]]:SIP[[#This Row],[BO UNIT TRANSFER]],SIP[[#Headers],[Investor ID]]:SIP[[#This Row],[Investor ID]],SIP[[#This Row],[Investor ID]])</f>
        <v>0</v>
      </c>
    </row>
    <row r="807" spans="1:23" ht="15" customHeight="1">
      <c r="A807" s="46">
        <v>2024</v>
      </c>
      <c r="B807" s="46">
        <v>10</v>
      </c>
      <c r="C807" s="46">
        <v>26</v>
      </c>
      <c r="D807" s="65">
        <f>DATE(SIP[[#This Row],[Year]],SIP[[#This Row],[Month]],SIP[[#This Row],[Day]])</f>
        <v>45591</v>
      </c>
      <c r="E807" s="66" t="str" cm="1">
        <f t="array" ref="E807">INDEX(INVESTORS_LIST[INVESTOR NAME],MATCH(SIP[[#This Row],[Investor ID]],INVESTORS_LIST[INVESTOR CODE],0),)</f>
        <v>MAHBUB-UL-ANAM KHAN</v>
      </c>
      <c r="F807" s="46" t="s">
        <v>626</v>
      </c>
      <c r="G807" s="46">
        <f>COUNTIF(SIP[[#Headers],[Investor ID]]:SIP[[#This Row],[Investor ID]],SIP[[#This Row],[Investor ID]])</f>
        <v>3</v>
      </c>
      <c r="H807" s="46" t="str">
        <f>CONCATENATE(SIP[[#This Row],[Frequency]],SIP[[#This Row],[Investor ID]])</f>
        <v>3A00289</v>
      </c>
      <c r="I807" s="46" t="str">
        <f>IF(SIP[[#This Row],[B/S]]="B","BUY",(IF(SIP[[#This Row],[B/S]]="S","SELL"," ")))</f>
        <v>BUY</v>
      </c>
      <c r="J807" s="150" t="s">
        <v>1229</v>
      </c>
      <c r="K807" s="152">
        <v>5000</v>
      </c>
      <c r="L807" s="122"/>
      <c r="M807" s="123">
        <f>SIP[[#This Row],[Amount]]/SIP[[#This Row],[Unit]]</f>
        <v>11.574074074074074</v>
      </c>
      <c r="N807" s="71">
        <f>SIP[[#This Row],[Unit Capital]]/10</f>
        <v>432</v>
      </c>
      <c r="O807" s="71">
        <f>SUMIFS(SIP[[#Headers],[Unit]]:SIP[[#This Row],[Unit]],SIP[[#Headers],[Investor ID]]:SIP[[#This Row],[Investor ID]],SIP[[#This Row],[Investor ID]])</f>
        <v>1306</v>
      </c>
      <c r="P807" s="153">
        <v>4320</v>
      </c>
      <c r="Q807" s="74">
        <f>SIP[[#This Row],[Amount]]-SIP[[#This Row],[Unit Capital]]</f>
        <v>680</v>
      </c>
      <c r="R8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11.485451761102603</v>
      </c>
      <c r="S807" s="68">
        <f t="shared" si="36"/>
        <v>14.224</v>
      </c>
      <c r="T8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7" s="74" cm="1">
        <f t="array" ref="U807">IF(SIP[[#This Row],[B/S]]="S",ABS(SIP[[#This Row],[Unit]])*(INDEX(SIP[NAV at Cost (Average)],MATCH(CONCATENATE((SIP[[#This Row],[Frequency]]-1),SIP[[#This Row],[Investor ID]]),SIP[Unique Code],0),0)),0)</f>
        <v>0</v>
      </c>
      <c r="V807" s="74">
        <f>IF(SIP[[#This Row],[BO TRANSFER]]="YES",SIP[[#This Row],[Unit]],)</f>
        <v>0</v>
      </c>
      <c r="W807" s="74">
        <f>SUMIFS(SIP[[#Headers],[BO UNIT TRANSFER]]:SIP[[#This Row],[BO UNIT TRANSFER]],SIP[[#Headers],[Investor ID]]:SIP[[#This Row],[Investor ID]],SIP[[#This Row],[Investor ID]])</f>
        <v>0</v>
      </c>
    </row>
    <row r="808" spans="1:23" ht="15" customHeight="1">
      <c r="A808" s="46">
        <v>2024</v>
      </c>
      <c r="B808" s="46">
        <v>10</v>
      </c>
      <c r="C808" s="46">
        <v>26</v>
      </c>
      <c r="D808" s="65">
        <f>DATE(SIP[[#This Row],[Year]],SIP[[#This Row],[Month]],SIP[[#This Row],[Day]])</f>
        <v>45591</v>
      </c>
      <c r="E808" s="66" t="str" cm="1">
        <f t="array" ref="E808">INDEX(INVESTORS_LIST[INVESTOR NAME],MATCH(SIP[[#This Row],[Investor ID]],INVESTORS_LIST[INVESTOR CODE],0),)</f>
        <v>SYED ADNAN HUDA</v>
      </c>
      <c r="F808" s="46" t="s">
        <v>236</v>
      </c>
      <c r="G808" s="46">
        <f>COUNTIF(SIP[[#Headers],[Investor ID]]:SIP[[#This Row],[Investor ID]],SIP[[#This Row],[Investor ID]])</f>
        <v>4</v>
      </c>
      <c r="H808" s="46" t="str">
        <f>CONCATENATE(SIP[[#This Row],[Frequency]],SIP[[#This Row],[Investor ID]])</f>
        <v>4A00094</v>
      </c>
      <c r="I808" s="46" t="str">
        <f>IF(SIP[[#This Row],[B/S]]="B","BUY",(IF(SIP[[#This Row],[B/S]]="S","SELL"," ")))</f>
        <v>BUY</v>
      </c>
      <c r="J808" s="150" t="s">
        <v>1229</v>
      </c>
      <c r="K808" s="152">
        <v>50000</v>
      </c>
      <c r="L808" s="122"/>
      <c r="M808" s="123">
        <f>SIP[[#This Row],[Amount]]/SIP[[#This Row],[Unit]]</f>
        <v>11.582117211026176</v>
      </c>
      <c r="N808" s="71">
        <f>SIP[[#This Row],[Unit Capital]]/10</f>
        <v>4317</v>
      </c>
      <c r="O808" s="71">
        <f>SUMIFS(SIP[[#Headers],[Unit]]:SIP[[#This Row],[Unit]],SIP[[#Headers],[Investor ID]]:SIP[[#This Row],[Investor ID]],SIP[[#This Row],[Investor ID]])</f>
        <v>17511</v>
      </c>
      <c r="P808" s="153">
        <v>43170</v>
      </c>
      <c r="Q808" s="74">
        <f>SIP[[#This Row],[Amount]]-SIP[[#This Row],[Unit Capital]]</f>
        <v>6830</v>
      </c>
      <c r="R8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11.421392267717435</v>
      </c>
      <c r="S808" s="68">
        <f t="shared" si="36"/>
        <v>14.224</v>
      </c>
      <c r="T8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8" s="74" cm="1">
        <f t="array" ref="U808">IF(SIP[[#This Row],[B/S]]="S",ABS(SIP[[#This Row],[Unit]])*(INDEX(SIP[NAV at Cost (Average)],MATCH(CONCATENATE((SIP[[#This Row],[Frequency]]-1),SIP[[#This Row],[Investor ID]]),SIP[Unique Code],0),0)),0)</f>
        <v>0</v>
      </c>
      <c r="V808" s="74">
        <f>IF(SIP[[#This Row],[BO TRANSFER]]="YES",SIP[[#This Row],[Unit]],)</f>
        <v>0</v>
      </c>
      <c r="W808" s="74">
        <f>SUMIFS(SIP[[#Headers],[BO UNIT TRANSFER]]:SIP[[#This Row],[BO UNIT TRANSFER]],SIP[[#Headers],[Investor ID]]:SIP[[#This Row],[Investor ID]],SIP[[#This Row],[Investor ID]])</f>
        <v>0</v>
      </c>
    </row>
    <row r="809" spans="1:23" ht="15" customHeight="1">
      <c r="A809" s="46">
        <v>2024</v>
      </c>
      <c r="B809" s="46">
        <v>10</v>
      </c>
      <c r="C809" s="46">
        <v>26</v>
      </c>
      <c r="D809" s="65">
        <f>DATE(SIP[[#This Row],[Year]],SIP[[#This Row],[Month]],SIP[[#This Row],[Day]])</f>
        <v>45591</v>
      </c>
      <c r="E809" s="66" t="str" cm="1">
        <f t="array" ref="E809">INDEX(INVESTORS_LIST[INVESTOR NAME],MATCH(SIP[[#This Row],[Investor ID]],INVESTORS_LIST[INVESTOR CODE],0),)</f>
        <v>MAHFUZUL ISLAM</v>
      </c>
      <c r="F809" s="46" t="s">
        <v>473</v>
      </c>
      <c r="G809" s="46">
        <f>COUNTIF(SIP[[#Headers],[Investor ID]]:SIP[[#This Row],[Investor ID]],SIP[[#This Row],[Investor ID]])</f>
        <v>9</v>
      </c>
      <c r="H809" s="46" t="str">
        <f>CONCATENATE(SIP[[#This Row],[Frequency]],SIP[[#This Row],[Investor ID]])</f>
        <v>9A00212</v>
      </c>
      <c r="I809" s="46" t="str">
        <f>IF(SIP[[#This Row],[B/S]]="B","BUY",(IF(SIP[[#This Row],[B/S]]="S","SELL"," ")))</f>
        <v>BUY</v>
      </c>
      <c r="J809" s="150" t="s">
        <v>1229</v>
      </c>
      <c r="K809" s="152">
        <v>3000</v>
      </c>
      <c r="L809" s="122" t="s">
        <v>1230</v>
      </c>
      <c r="M809" s="123">
        <f>SIP[[#This Row],[Amount]]/SIP[[#This Row],[Unit]]</f>
        <v>11.583011583011583</v>
      </c>
      <c r="N809" s="71">
        <f>SIP[[#This Row],[Unit Capital]]/10</f>
        <v>259</v>
      </c>
      <c r="O809" s="71">
        <f>SUMIFS(SIP[[#Headers],[Unit]]:SIP[[#This Row],[Unit]],SIP[[#Headers],[Investor ID]]:SIP[[#This Row],[Investor ID]],SIP[[#This Row],[Investor ID]])</f>
        <v>1327</v>
      </c>
      <c r="P809" s="153">
        <v>2590</v>
      </c>
      <c r="Q809" s="74">
        <f>SIP[[#This Row],[Amount]]-SIP[[#This Row],[Unit Capital]]</f>
        <v>410</v>
      </c>
      <c r="R8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11.303692539562926</v>
      </c>
      <c r="S809" s="68">
        <f t="shared" si="36"/>
        <v>14.224</v>
      </c>
      <c r="T8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09" s="74" cm="1">
        <f t="array" ref="U809">IF(SIP[[#This Row],[B/S]]="S",ABS(SIP[[#This Row],[Unit]])*(INDEX(SIP[NAV at Cost (Average)],MATCH(CONCATENATE((SIP[[#This Row],[Frequency]]-1),SIP[[#This Row],[Investor ID]]),SIP[Unique Code],0),0)),0)</f>
        <v>0</v>
      </c>
      <c r="V809" s="74">
        <f>IF(SIP[[#This Row],[BO TRANSFER]]="YES",SIP[[#This Row],[Unit]],)</f>
        <v>259</v>
      </c>
      <c r="W809" s="74">
        <f>SUMIFS(SIP[[#Headers],[BO UNIT TRANSFER]]:SIP[[#This Row],[BO UNIT TRANSFER]],SIP[[#Headers],[Investor ID]]:SIP[[#This Row],[Investor ID]],SIP[[#This Row],[Investor ID]])</f>
        <v>1327</v>
      </c>
    </row>
    <row r="810" spans="1:23" ht="15" customHeight="1">
      <c r="A810" s="46">
        <v>2024</v>
      </c>
      <c r="B810" s="46">
        <v>10</v>
      </c>
      <c r="C810" s="46">
        <v>26</v>
      </c>
      <c r="D810" s="65">
        <f>DATE(SIP[[#This Row],[Year]],SIP[[#This Row],[Month]],SIP[[#This Row],[Day]])</f>
        <v>45591</v>
      </c>
      <c r="E810" s="66" t="str" cm="1">
        <f t="array" ref="E810">INDEX(INVESTORS_LIST[INVESTOR NAME],MATCH(SIP[[#This Row],[Investor ID]],INVESTORS_LIST[INVESTOR CODE],0),)</f>
        <v>HUMAIRA TABASSUM READDHE</v>
      </c>
      <c r="F810" s="46" t="s">
        <v>1052</v>
      </c>
      <c r="G810" s="46">
        <f>COUNTIF(SIP[[#Headers],[Investor ID]]:SIP[[#This Row],[Investor ID]],SIP[[#This Row],[Investor ID]])</f>
        <v>3</v>
      </c>
      <c r="H810" s="46" t="str">
        <f>CONCATENATE(SIP[[#This Row],[Frequency]],SIP[[#This Row],[Investor ID]])</f>
        <v>3A00503</v>
      </c>
      <c r="I810" s="46" t="str">
        <f>IF(SIP[[#This Row],[B/S]]="B","BUY",(IF(SIP[[#This Row],[B/S]]="S","SELL"," ")))</f>
        <v>BUY</v>
      </c>
      <c r="J810" s="150" t="s">
        <v>1229</v>
      </c>
      <c r="K810" s="152">
        <v>3000</v>
      </c>
      <c r="L810" s="122"/>
      <c r="M810" s="123">
        <f>SIP[[#This Row],[Amount]]/SIP[[#This Row],[Unit]]</f>
        <v>11.583011583011583</v>
      </c>
      <c r="N810" s="71">
        <f>SIP[[#This Row],[Unit Capital]]/10</f>
        <v>259</v>
      </c>
      <c r="O810" s="71">
        <f>SUMIFS(SIP[[#Headers],[Unit]]:SIP[[#This Row],[Unit]],SIP[[#Headers],[Investor ID]]:SIP[[#This Row],[Investor ID]],SIP[[#This Row],[Investor ID]])</f>
        <v>784</v>
      </c>
      <c r="P810" s="153">
        <v>2590</v>
      </c>
      <c r="Q810" s="74">
        <f>SIP[[#This Row],[Amount]]-SIP[[#This Row],[Unit Capital]]</f>
        <v>410</v>
      </c>
      <c r="R8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11.479591836734693</v>
      </c>
      <c r="S810" s="68">
        <f t="shared" si="36"/>
        <v>14.224</v>
      </c>
      <c r="T8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0" s="74" cm="1">
        <f t="array" ref="U810">IF(SIP[[#This Row],[B/S]]="S",ABS(SIP[[#This Row],[Unit]])*(INDEX(SIP[NAV at Cost (Average)],MATCH(CONCATENATE((SIP[[#This Row],[Frequency]]-1),SIP[[#This Row],[Investor ID]]),SIP[Unique Code],0),0)),0)</f>
        <v>0</v>
      </c>
      <c r="V810" s="74">
        <f>IF(SIP[[#This Row],[BO TRANSFER]]="YES",SIP[[#This Row],[Unit]],)</f>
        <v>0</v>
      </c>
      <c r="W810" s="74">
        <f>SUMIFS(SIP[[#Headers],[BO UNIT TRANSFER]]:SIP[[#This Row],[BO UNIT TRANSFER]],SIP[[#Headers],[Investor ID]]:SIP[[#This Row],[Investor ID]],SIP[[#This Row],[Investor ID]])</f>
        <v>0</v>
      </c>
    </row>
    <row r="811" spans="1:23" ht="15" customHeight="1">
      <c r="A811" s="46">
        <v>2024</v>
      </c>
      <c r="B811" s="46">
        <v>10</v>
      </c>
      <c r="C811" s="46">
        <v>31</v>
      </c>
      <c r="D811" s="65">
        <f>DATE(SIP[[#This Row],[Year]],SIP[[#This Row],[Month]],SIP[[#This Row],[Day]])</f>
        <v>45596</v>
      </c>
      <c r="E811" s="66" t="str" cm="1">
        <f t="array" ref="E811">INDEX(INVESTORS_LIST[INVESTOR NAME],MATCH(SIP[[#This Row],[Investor ID]],INVESTORS_LIST[INVESTOR CODE],0),)</f>
        <v>AKASH DEEP PAUL</v>
      </c>
      <c r="F811" s="166" t="s">
        <v>286</v>
      </c>
      <c r="G811" s="46">
        <f>COUNTIF(SIP[[#Headers],[Investor ID]]:SIP[[#This Row],[Investor ID]],SIP[[#This Row],[Investor ID]])</f>
        <v>19</v>
      </c>
      <c r="H811" s="46" t="str">
        <f>CONCATENATE(SIP[[#This Row],[Frequency]],SIP[[#This Row],[Investor ID]])</f>
        <v>19A00119</v>
      </c>
      <c r="I811" s="46" t="str">
        <f>IF(SIP[[#This Row],[B/S]]="B","BUY",(IF(SIP[[#This Row],[B/S]]="S","SELL"," ")))</f>
        <v>SELL</v>
      </c>
      <c r="J811" s="150" t="s">
        <v>1231</v>
      </c>
      <c r="K811" s="287">
        <v>-10040.73</v>
      </c>
      <c r="L811" s="122"/>
      <c r="M811" s="123">
        <f>SIP[[#This Row],[Amount]]/SIP[[#This Row],[Unit]]</f>
        <v>11.581003460207612</v>
      </c>
      <c r="N811" s="71">
        <f>SIP[[#This Row],[Unit Capital]]/10</f>
        <v>-867</v>
      </c>
      <c r="O811" s="71">
        <f>SUMIFS(SIP[[#Headers],[Unit]]:SIP[[#This Row],[Unit]],SIP[[#Headers],[Investor ID]]:SIP[[#This Row],[Investor ID]],SIP[[#This Row],[Investor ID]])</f>
        <v>0</v>
      </c>
      <c r="P811" s="153">
        <v>-8670</v>
      </c>
      <c r="Q811" s="74">
        <f>SIP[[#This Row],[Amount]]-SIP[[#This Row],[Unit Capital]]</f>
        <v>-1370.7299999999996</v>
      </c>
      <c r="R8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11" s="68">
        <f t="shared" ref="S811:S826" si="37">NAV_MKT</f>
        <v>14.224</v>
      </c>
      <c r="T811" s="74">
        <f>IF(SIP[[#This Row],[B/S]]="B",0,ABS(SIP[[#This Row],[Unit]])*(SIP[[#This Row],[NAV (Strike Rate)]]-INDEX(SIP[NAV at Cost (Average)],MATCH(CONCATENATE(SIP[[#This Row],[Frequency]]-1,SIP[[#This Row],[Investor ID]]),SIP[Unique Code],0),)))</f>
        <v>40.729999999999464</v>
      </c>
      <c r="U811" s="74" cm="1">
        <f t="array" ref="U811">IF(SIP[[#This Row],[B/S]]="S",ABS(SIP[[#This Row],[Unit]])*(INDEX(SIP[NAV at Cost (Average)],MATCH(CONCATENATE((SIP[[#This Row],[Frequency]]-1),SIP[[#This Row],[Investor ID]]),SIP[Unique Code],0),0)),0)</f>
        <v>10000</v>
      </c>
      <c r="V811" s="74">
        <f>IF(SIP[[#This Row],[BO TRANSFER]]="YES",SIP[[#This Row],[Unit]],)</f>
        <v>0</v>
      </c>
      <c r="W811" s="74">
        <f>SUMIFS(SIP[[#Headers],[BO UNIT TRANSFER]]:SIP[[#This Row],[BO UNIT TRANSFER]],SIP[[#Headers],[Investor ID]]:SIP[[#This Row],[Investor ID]],SIP[[#This Row],[Investor ID]])</f>
        <v>0</v>
      </c>
    </row>
    <row r="812" spans="1:23" ht="15" customHeight="1">
      <c r="A812" s="46">
        <v>2024</v>
      </c>
      <c r="B812" s="46">
        <v>11</v>
      </c>
      <c r="C812" s="46">
        <v>5</v>
      </c>
      <c r="D812" s="65">
        <f>DATE(SIP[[#This Row],[Year]],SIP[[#This Row],[Month]],SIP[[#This Row],[Day]])</f>
        <v>45601</v>
      </c>
      <c r="E812" s="66" t="str" cm="1">
        <f t="array" ref="E812">INDEX(INVESTORS_LIST[INVESTOR NAME],MATCH(SIP[[#This Row],[Investor ID]],INVESTORS_LIST[INVESTOR CODE],0),)</f>
        <v>NANDINI SAHA</v>
      </c>
      <c r="F812" s="46" t="s">
        <v>242</v>
      </c>
      <c r="G812" s="46">
        <f>COUNTIF(SIP[[#Headers],[Investor ID]]:SIP[[#This Row],[Investor ID]],SIP[[#This Row],[Investor ID]])</f>
        <v>18</v>
      </c>
      <c r="H812" s="46" t="str">
        <f>CONCATENATE(SIP[[#This Row],[Frequency]],SIP[[#This Row],[Investor ID]])</f>
        <v>18A00097</v>
      </c>
      <c r="I812" s="46" t="str">
        <f>IF(SIP[[#This Row],[B/S]]="B","BUY",(IF(SIP[[#This Row],[B/S]]="S","SELL"," ")))</f>
        <v>BUY</v>
      </c>
      <c r="J812" s="150" t="s">
        <v>1229</v>
      </c>
      <c r="K812" s="152">
        <v>30000</v>
      </c>
      <c r="L812" s="122"/>
      <c r="M812" s="123">
        <f>SIP[[#This Row],[Amount]]/SIP[[#This Row],[Unit]]</f>
        <v>11.605415860735009</v>
      </c>
      <c r="N812" s="71">
        <f>SIP[[#This Row],[Unit Capital]]/10</f>
        <v>2585</v>
      </c>
      <c r="O812" s="71">
        <f>SUMIFS(SIP[[#Headers],[Unit]]:SIP[[#This Row],[Unit]],SIP[[#Headers],[Investor ID]]:SIP[[#This Row],[Investor ID]],SIP[[#This Row],[Investor ID]])</f>
        <v>50002</v>
      </c>
      <c r="P812" s="153">
        <v>25850</v>
      </c>
      <c r="Q812" s="74">
        <f>SIP[[#This Row],[Amount]]-SIP[[#This Row],[Unit Capital]]</f>
        <v>4150</v>
      </c>
      <c r="R8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10.799568017279308</v>
      </c>
      <c r="S812" s="68">
        <f t="shared" si="37"/>
        <v>14.224</v>
      </c>
      <c r="T8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2" s="74" cm="1">
        <f t="array" ref="U812">IF(SIP[[#This Row],[B/S]]="S",ABS(SIP[[#This Row],[Unit]])*(INDEX(SIP[NAV at Cost (Average)],MATCH(CONCATENATE((SIP[[#This Row],[Frequency]]-1),SIP[[#This Row],[Investor ID]]),SIP[Unique Code],0),0)),0)</f>
        <v>0</v>
      </c>
      <c r="V812" s="74">
        <f>IF(SIP[[#This Row],[BO TRANSFER]]="YES",SIP[[#This Row],[Unit]],)</f>
        <v>0</v>
      </c>
      <c r="W812" s="74">
        <f>SUMIFS(SIP[[#Headers],[BO UNIT TRANSFER]]:SIP[[#This Row],[BO UNIT TRANSFER]],SIP[[#Headers],[Investor ID]]:SIP[[#This Row],[Investor ID]],SIP[[#This Row],[Investor ID]])</f>
        <v>0</v>
      </c>
    </row>
    <row r="813" spans="1:23" ht="15" customHeight="1">
      <c r="A813" s="46">
        <v>2024</v>
      </c>
      <c r="B813" s="46">
        <v>11</v>
      </c>
      <c r="C813" s="46">
        <v>5</v>
      </c>
      <c r="D813" s="65">
        <f>DATE(SIP[[#This Row],[Year]],SIP[[#This Row],[Month]],SIP[[#This Row],[Day]])</f>
        <v>45601</v>
      </c>
      <c r="E813" s="66" t="str" cm="1">
        <f t="array" ref="E813">INDEX(INVESTORS_LIST[INVESTOR NAME],MATCH(SIP[[#This Row],[Investor ID]],INVESTORS_LIST[INVESTOR CODE],0),)</f>
        <v>SHANTA PAUL</v>
      </c>
      <c r="F813" s="46" t="s">
        <v>544</v>
      </c>
      <c r="G813" s="46">
        <f>COUNTIF(SIP[[#Headers],[Investor ID]]:SIP[[#This Row],[Investor ID]],SIP[[#This Row],[Investor ID]])</f>
        <v>20</v>
      </c>
      <c r="H813" s="46" t="str">
        <f>CONCATENATE(SIP[[#This Row],[Frequency]],SIP[[#This Row],[Investor ID]])</f>
        <v>20A00247</v>
      </c>
      <c r="I813" s="46" t="str">
        <f>IF(SIP[[#This Row],[B/S]]="B","BUY",(IF(SIP[[#This Row],[B/S]]="S","SELL"," ")))</f>
        <v>BUY</v>
      </c>
      <c r="J813" s="150" t="s">
        <v>1229</v>
      </c>
      <c r="K813" s="152">
        <v>20000</v>
      </c>
      <c r="L813" s="122"/>
      <c r="M813" s="123">
        <f>SIP[[#This Row],[Amount]]/SIP[[#This Row],[Unit]]</f>
        <v>11.607661056297156</v>
      </c>
      <c r="N813" s="71">
        <f>SIP[[#This Row],[Unit Capital]]/10</f>
        <v>1723</v>
      </c>
      <c r="O813" s="71">
        <f>SUMIFS(SIP[[#Headers],[Unit]]:SIP[[#This Row],[Unit]],SIP[[#Headers],[Investor ID]]:SIP[[#This Row],[Investor ID]],SIP[[#This Row],[Investor ID]])</f>
        <v>37186</v>
      </c>
      <c r="P813" s="153">
        <v>17230</v>
      </c>
      <c r="Q813" s="74">
        <f>SIP[[#This Row],[Amount]]-SIP[[#This Row],[Unit Capital]]</f>
        <v>2770</v>
      </c>
      <c r="R8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10.756736406174365</v>
      </c>
      <c r="S813" s="68">
        <f t="shared" si="37"/>
        <v>14.224</v>
      </c>
      <c r="T8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3" s="74" cm="1">
        <f t="array" ref="U813">IF(SIP[[#This Row],[B/S]]="S",ABS(SIP[[#This Row],[Unit]])*(INDEX(SIP[NAV at Cost (Average)],MATCH(CONCATENATE((SIP[[#This Row],[Frequency]]-1),SIP[[#This Row],[Investor ID]]),SIP[Unique Code],0),0)),0)</f>
        <v>0</v>
      </c>
      <c r="V813" s="74">
        <f>IF(SIP[[#This Row],[BO TRANSFER]]="YES",SIP[[#This Row],[Unit]],)</f>
        <v>0</v>
      </c>
      <c r="W813" s="74">
        <f>SUMIFS(SIP[[#Headers],[BO UNIT TRANSFER]]:SIP[[#This Row],[BO UNIT TRANSFER]],SIP[[#Headers],[Investor ID]]:SIP[[#This Row],[Investor ID]],SIP[[#This Row],[Investor ID]])</f>
        <v>0</v>
      </c>
    </row>
    <row r="814" spans="1:23" ht="15" customHeight="1">
      <c r="A814" s="46">
        <v>2024</v>
      </c>
      <c r="B814" s="46">
        <v>11</v>
      </c>
      <c r="C814" s="46">
        <v>5</v>
      </c>
      <c r="D814" s="65">
        <f>DATE(SIP[[#This Row],[Year]],SIP[[#This Row],[Month]],SIP[[#This Row],[Day]])</f>
        <v>45601</v>
      </c>
      <c r="E814" s="66" t="str" cm="1">
        <f t="array" ref="E814">INDEX(INVESTORS_LIST[INVESTOR NAME],MATCH(SIP[[#This Row],[Investor ID]],INVESTORS_LIST[INVESTOR CODE],0),)</f>
        <v>ROKSABA KASEM</v>
      </c>
      <c r="F814" s="46" t="s">
        <v>900</v>
      </c>
      <c r="G814" s="46">
        <f>COUNTIF(SIP[[#Headers],[Investor ID]]:SIP[[#This Row],[Investor ID]],SIP[[#This Row],[Investor ID]])</f>
        <v>18</v>
      </c>
      <c r="H814" s="46" t="str">
        <f>CONCATENATE(SIP[[#This Row],[Frequency]],SIP[[#This Row],[Investor ID]])</f>
        <v>18A00427</v>
      </c>
      <c r="I814" s="46" t="str">
        <f>IF(SIP[[#This Row],[B/S]]="B","BUY",(IF(SIP[[#This Row],[B/S]]="S","SELL"," ")))</f>
        <v>BUY</v>
      </c>
      <c r="J814" s="150" t="s">
        <v>1229</v>
      </c>
      <c r="K814" s="152">
        <v>20000</v>
      </c>
      <c r="L814" s="122"/>
      <c r="M814" s="123">
        <f>SIP[[#This Row],[Amount]]/SIP[[#This Row],[Unit]]</f>
        <v>11.607661056297156</v>
      </c>
      <c r="N814" s="71">
        <f>SIP[[#This Row],[Unit Capital]]/10</f>
        <v>1723</v>
      </c>
      <c r="O814" s="71">
        <f>SUMIFS(SIP[[#Headers],[Unit]]:SIP[[#This Row],[Unit]],SIP[[#Headers],[Investor ID]]:SIP[[#This Row],[Investor ID]],SIP[[#This Row],[Investor ID]])</f>
        <v>33229</v>
      </c>
      <c r="P814" s="153">
        <v>17230</v>
      </c>
      <c r="Q814" s="74">
        <f>SIP[[#This Row],[Amount]]-SIP[[#This Row],[Unit Capital]]</f>
        <v>2770</v>
      </c>
      <c r="R8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10.833910138734241</v>
      </c>
      <c r="S814" s="68">
        <f t="shared" si="37"/>
        <v>14.224</v>
      </c>
      <c r="T8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4" s="74" cm="1">
        <f t="array" ref="U814">IF(SIP[[#This Row],[B/S]]="S",ABS(SIP[[#This Row],[Unit]])*(INDEX(SIP[NAV at Cost (Average)],MATCH(CONCATENATE((SIP[[#This Row],[Frequency]]-1),SIP[[#This Row],[Investor ID]]),SIP[Unique Code],0),0)),0)</f>
        <v>0</v>
      </c>
      <c r="V814" s="74">
        <f>IF(SIP[[#This Row],[BO TRANSFER]]="YES",SIP[[#This Row],[Unit]],)</f>
        <v>0</v>
      </c>
      <c r="W814" s="74">
        <f>SUMIFS(SIP[[#Headers],[BO UNIT TRANSFER]]:SIP[[#This Row],[BO UNIT TRANSFER]],SIP[[#Headers],[Investor ID]]:SIP[[#This Row],[Investor ID]],SIP[[#This Row],[Investor ID]])</f>
        <v>0</v>
      </c>
    </row>
    <row r="815" spans="1:23" ht="15" customHeight="1">
      <c r="A815" s="46">
        <v>2024</v>
      </c>
      <c r="B815" s="46">
        <v>11</v>
      </c>
      <c r="C815" s="46">
        <v>5</v>
      </c>
      <c r="D815" s="65">
        <f>DATE(SIP[[#This Row],[Year]],SIP[[#This Row],[Month]],SIP[[#This Row],[Day]])</f>
        <v>45601</v>
      </c>
      <c r="E815" s="66" t="str" cm="1">
        <f t="array" ref="E815">INDEX(INVESTORS_LIST[INVESTOR NAME],MATCH(SIP[[#This Row],[Investor ID]],INVESTORS_LIST[INVESTOR CODE],0),)</f>
        <v>MD. MONIRUL ISLAM</v>
      </c>
      <c r="F815" s="46" t="s">
        <v>996</v>
      </c>
      <c r="G815" s="46">
        <f>COUNTIF(SIP[[#Headers],[Investor ID]]:SIP[[#This Row],[Investor ID]],SIP[[#This Row],[Investor ID]])</f>
        <v>19</v>
      </c>
      <c r="H815" s="46" t="str">
        <f>CONCATENATE(SIP[[#This Row],[Frequency]],SIP[[#This Row],[Investor ID]])</f>
        <v>19A00475</v>
      </c>
      <c r="I815" s="46" t="str">
        <f>IF(SIP[[#This Row],[B/S]]="B","BUY",(IF(SIP[[#This Row],[B/S]]="S","SELL"," ")))</f>
        <v>BUY</v>
      </c>
      <c r="J815" s="150" t="s">
        <v>1229</v>
      </c>
      <c r="K815" s="152">
        <v>10000</v>
      </c>
      <c r="L815" s="122"/>
      <c r="M815" s="123">
        <f>SIP[[#This Row],[Amount]]/SIP[[#This Row],[Unit]]</f>
        <v>11.600928074245939</v>
      </c>
      <c r="N815" s="71">
        <f>SIP[[#This Row],[Unit Capital]]/10</f>
        <v>862</v>
      </c>
      <c r="O815" s="71">
        <f>SUMIFS(SIP[[#Headers],[Unit]]:SIP[[#This Row],[Unit]],SIP[[#Headers],[Investor ID]]:SIP[[#This Row],[Investor ID]],SIP[[#This Row],[Investor ID]])</f>
        <v>17601</v>
      </c>
      <c r="P815" s="153">
        <v>8620</v>
      </c>
      <c r="Q815" s="74">
        <f>SIP[[#This Row],[Amount]]-SIP[[#This Row],[Unit Capital]]</f>
        <v>1380</v>
      </c>
      <c r="R8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10.794841202204418</v>
      </c>
      <c r="S815" s="68">
        <f t="shared" si="37"/>
        <v>14.224</v>
      </c>
      <c r="T8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5" s="74" cm="1">
        <f t="array" ref="U815">IF(SIP[[#This Row],[B/S]]="S",ABS(SIP[[#This Row],[Unit]])*(INDEX(SIP[NAV at Cost (Average)],MATCH(CONCATENATE((SIP[[#This Row],[Frequency]]-1),SIP[[#This Row],[Investor ID]]),SIP[Unique Code],0),0)),0)</f>
        <v>0</v>
      </c>
      <c r="V815" s="74">
        <f>IF(SIP[[#This Row],[BO TRANSFER]]="YES",SIP[[#This Row],[Unit]],)</f>
        <v>0</v>
      </c>
      <c r="W815" s="74">
        <f>SUMIFS(SIP[[#Headers],[BO UNIT TRANSFER]]:SIP[[#This Row],[BO UNIT TRANSFER]],SIP[[#Headers],[Investor ID]]:SIP[[#This Row],[Investor ID]],SIP[[#This Row],[Investor ID]])</f>
        <v>0</v>
      </c>
    </row>
    <row r="816" spans="1:23" ht="15" customHeight="1">
      <c r="A816" s="46">
        <v>2024</v>
      </c>
      <c r="B816" s="46">
        <v>11</v>
      </c>
      <c r="C816" s="46">
        <v>5</v>
      </c>
      <c r="D816" s="65">
        <f>DATE(SIP[[#This Row],[Year]],SIP[[#This Row],[Month]],SIP[[#This Row],[Day]])</f>
        <v>45601</v>
      </c>
      <c r="E816" s="66" t="str" cm="1">
        <f t="array" ref="E816">INDEX(INVESTORS_LIST[INVESTOR NAME],MATCH(SIP[[#This Row],[Investor ID]],INVESTORS_LIST[INVESTOR CODE],0),)</f>
        <v>FARUK-E AZAM BIN HAIDER</v>
      </c>
      <c r="F816" s="46" t="s">
        <v>425</v>
      </c>
      <c r="G816" s="46">
        <f>COUNTIF(SIP[[#Headers],[Investor ID]]:SIP[[#This Row],[Investor ID]],SIP[[#This Row],[Investor ID]])</f>
        <v>3</v>
      </c>
      <c r="H816" s="46" t="str">
        <f>CONCATENATE(SIP[[#This Row],[Frequency]],SIP[[#This Row],[Investor ID]])</f>
        <v>3A00188</v>
      </c>
      <c r="I816" s="46" t="str">
        <f>IF(SIP[[#This Row],[B/S]]="B","BUY",(IF(SIP[[#This Row],[B/S]]="S","SELL"," ")))</f>
        <v>BUY</v>
      </c>
      <c r="J816" s="150" t="s">
        <v>1229</v>
      </c>
      <c r="K816" s="152">
        <v>10000</v>
      </c>
      <c r="L816" s="122"/>
      <c r="M816" s="123">
        <f>SIP[[#This Row],[Amount]]/SIP[[#This Row],[Unit]]</f>
        <v>11.600928074245939</v>
      </c>
      <c r="N816" s="71">
        <f>SIP[[#This Row],[Unit Capital]]/10</f>
        <v>862</v>
      </c>
      <c r="O816" s="71">
        <f>SUMIFS(SIP[[#Headers],[Unit]]:SIP[[#This Row],[Unit]],SIP[[#Headers],[Investor ID]]:SIP[[#This Row],[Investor ID]],SIP[[#This Row],[Investor ID]])</f>
        <v>862</v>
      </c>
      <c r="P816" s="153">
        <v>8620</v>
      </c>
      <c r="Q816" s="74">
        <f>SIP[[#This Row],[Amount]]-SIP[[#This Row],[Unit Capital]]</f>
        <v>1380</v>
      </c>
      <c r="R8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11.600928074245939</v>
      </c>
      <c r="S816" s="68">
        <f t="shared" si="37"/>
        <v>14.224</v>
      </c>
      <c r="T8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6" s="74" cm="1">
        <f t="array" ref="U816">IF(SIP[[#This Row],[B/S]]="S",ABS(SIP[[#This Row],[Unit]])*(INDEX(SIP[NAV at Cost (Average)],MATCH(CONCATENATE((SIP[[#This Row],[Frequency]]-1),SIP[[#This Row],[Investor ID]]),SIP[Unique Code],0),0)),0)</f>
        <v>0</v>
      </c>
      <c r="V816" s="74">
        <f>IF(SIP[[#This Row],[BO TRANSFER]]="YES",SIP[[#This Row],[Unit]],)</f>
        <v>0</v>
      </c>
      <c r="W816" s="74">
        <f>SUMIFS(SIP[[#Headers],[BO UNIT TRANSFER]]:SIP[[#This Row],[BO UNIT TRANSFER]],SIP[[#Headers],[Investor ID]]:SIP[[#This Row],[Investor ID]],SIP[[#This Row],[Investor ID]])</f>
        <v>0</v>
      </c>
    </row>
    <row r="817" spans="1:23" ht="15" customHeight="1">
      <c r="A817" s="46">
        <v>2024</v>
      </c>
      <c r="B817" s="46">
        <v>11</v>
      </c>
      <c r="C817" s="46">
        <v>5</v>
      </c>
      <c r="D817" s="65">
        <f>DATE(SIP[[#This Row],[Year]],SIP[[#This Row],[Month]],SIP[[#This Row],[Day]])</f>
        <v>45601</v>
      </c>
      <c r="E817" s="66" t="str" cm="1">
        <f t="array" ref="E817">INDEX(INVESTORS_LIST[INVESTOR NAME],MATCH(SIP[[#This Row],[Investor ID]],INVESTORS_LIST[INVESTOR CODE],0),)</f>
        <v>MONIR AHMED</v>
      </c>
      <c r="F817" s="46" t="s">
        <v>125</v>
      </c>
      <c r="G817" s="46">
        <f>COUNTIF(SIP[[#Headers],[Investor ID]]:SIP[[#This Row],[Investor ID]],SIP[[#This Row],[Investor ID]])</f>
        <v>18</v>
      </c>
      <c r="H817" s="46" t="str">
        <f>CONCATENATE(SIP[[#This Row],[Frequency]],SIP[[#This Row],[Investor ID]])</f>
        <v>18A00039</v>
      </c>
      <c r="I817" s="46" t="str">
        <f>IF(SIP[[#This Row],[B/S]]="B","BUY",(IF(SIP[[#This Row],[B/S]]="S","SELL"," ")))</f>
        <v>BUY</v>
      </c>
      <c r="J817" s="150" t="s">
        <v>1229</v>
      </c>
      <c r="K817" s="152">
        <v>5000</v>
      </c>
      <c r="L817" s="122"/>
      <c r="M817" s="123">
        <f>SIP[[#This Row],[Amount]]/SIP[[#This Row],[Unit]]</f>
        <v>11.600928074245939</v>
      </c>
      <c r="N817" s="71">
        <f>SIP[[#This Row],[Unit Capital]]/10</f>
        <v>431</v>
      </c>
      <c r="O817" s="71">
        <f>SUMIFS(SIP[[#Headers],[Unit]]:SIP[[#This Row],[Unit]],SIP[[#Headers],[Investor ID]]:SIP[[#This Row],[Investor ID]],SIP[[#This Row],[Investor ID]])</f>
        <v>5914</v>
      </c>
      <c r="P817" s="153">
        <v>4310</v>
      </c>
      <c r="Q817" s="74">
        <f>SIP[[#This Row],[Amount]]-SIP[[#This Row],[Unit Capital]]</f>
        <v>690</v>
      </c>
      <c r="R8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10.990869124112276</v>
      </c>
      <c r="S817" s="68">
        <f t="shared" si="37"/>
        <v>14.224</v>
      </c>
      <c r="T8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7" s="74" cm="1">
        <f t="array" ref="U817">IF(SIP[[#This Row],[B/S]]="S",ABS(SIP[[#This Row],[Unit]])*(INDEX(SIP[NAV at Cost (Average)],MATCH(CONCATENATE((SIP[[#This Row],[Frequency]]-1),SIP[[#This Row],[Investor ID]]),SIP[Unique Code],0),0)),0)</f>
        <v>0</v>
      </c>
      <c r="V817" s="74">
        <f>IF(SIP[[#This Row],[BO TRANSFER]]="YES",SIP[[#This Row],[Unit]],)</f>
        <v>0</v>
      </c>
      <c r="W817" s="74">
        <f>SUMIFS(SIP[[#Headers],[BO UNIT TRANSFER]]:SIP[[#This Row],[BO UNIT TRANSFER]],SIP[[#Headers],[Investor ID]]:SIP[[#This Row],[Investor ID]],SIP[[#This Row],[Investor ID]])</f>
        <v>0</v>
      </c>
    </row>
    <row r="818" spans="1:23" ht="15" customHeight="1">
      <c r="A818" s="46">
        <v>2024</v>
      </c>
      <c r="B818" s="46">
        <v>11</v>
      </c>
      <c r="C818" s="46">
        <v>5</v>
      </c>
      <c r="D818" s="65">
        <f>DATE(SIP[[#This Row],[Year]],SIP[[#This Row],[Month]],SIP[[#This Row],[Day]])</f>
        <v>45601</v>
      </c>
      <c r="E818" s="66" t="str" cm="1">
        <f t="array" ref="E818">INDEX(INVESTORS_LIST[INVESTOR NAME],MATCH(SIP[[#This Row],[Investor ID]],INVESTORS_LIST[INVESTOR CODE],0),)</f>
        <v>FAKARUDDIN ALI AHMED</v>
      </c>
      <c r="F818" s="46" t="s">
        <v>228</v>
      </c>
      <c r="G818" s="46">
        <f>COUNTIF(SIP[[#Headers],[Investor ID]]:SIP[[#This Row],[Investor ID]],SIP[[#This Row],[Investor ID]])</f>
        <v>19</v>
      </c>
      <c r="H818" s="46" t="str">
        <f>CONCATENATE(SIP[[#This Row],[Frequency]],SIP[[#This Row],[Investor ID]])</f>
        <v>19A00090</v>
      </c>
      <c r="I818" s="46" t="str">
        <f>IF(SIP[[#This Row],[B/S]]="B","BUY",(IF(SIP[[#This Row],[B/S]]="S","SELL"," ")))</f>
        <v>BUY</v>
      </c>
      <c r="J818" s="150" t="s">
        <v>1229</v>
      </c>
      <c r="K818" s="152">
        <v>10000</v>
      </c>
      <c r="L818" s="122"/>
      <c r="M818" s="123">
        <f>SIP[[#This Row],[Amount]]/SIP[[#This Row],[Unit]]</f>
        <v>11.600928074245939</v>
      </c>
      <c r="N818" s="71">
        <f>SIP[[#This Row],[Unit Capital]]/10</f>
        <v>862</v>
      </c>
      <c r="O818" s="71">
        <f>SUMIFS(SIP[[#Headers],[Unit]]:SIP[[#This Row],[Unit]],SIP[[#Headers],[Investor ID]]:SIP[[#This Row],[Investor ID]],SIP[[#This Row],[Investor ID]])</f>
        <v>8116</v>
      </c>
      <c r="P818" s="153">
        <v>8620</v>
      </c>
      <c r="Q818" s="74">
        <f>SIP[[#This Row],[Amount]]-SIP[[#This Row],[Unit Capital]]</f>
        <v>1380</v>
      </c>
      <c r="R8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11.197262337614031</v>
      </c>
      <c r="S818" s="68">
        <f t="shared" si="37"/>
        <v>14.224</v>
      </c>
      <c r="T8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8" s="74" cm="1">
        <f t="array" ref="U818">IF(SIP[[#This Row],[B/S]]="S",ABS(SIP[[#This Row],[Unit]])*(INDEX(SIP[NAV at Cost (Average)],MATCH(CONCATENATE((SIP[[#This Row],[Frequency]]-1),SIP[[#This Row],[Investor ID]]),SIP[Unique Code],0),0)),0)</f>
        <v>0</v>
      </c>
      <c r="V818" s="74">
        <f>IF(SIP[[#This Row],[BO TRANSFER]]="YES",SIP[[#This Row],[Unit]],)</f>
        <v>0</v>
      </c>
      <c r="W818" s="74">
        <f>SUMIFS(SIP[[#Headers],[BO UNIT TRANSFER]]:SIP[[#This Row],[BO UNIT TRANSFER]],SIP[[#Headers],[Investor ID]]:SIP[[#This Row],[Investor ID]],SIP[[#This Row],[Investor ID]])</f>
        <v>0</v>
      </c>
    </row>
    <row r="819" spans="1:23" ht="15" customHeight="1">
      <c r="A819" s="46">
        <v>2024</v>
      </c>
      <c r="B819" s="46">
        <v>11</v>
      </c>
      <c r="C819" s="46">
        <v>5</v>
      </c>
      <c r="D819" s="65">
        <f>DATE(SIP[[#This Row],[Year]],SIP[[#This Row],[Month]],SIP[[#This Row],[Day]])</f>
        <v>45601</v>
      </c>
      <c r="E819" s="66" t="str" cm="1">
        <f t="array" ref="E819">INDEX(INVESTORS_LIST[INVESTOR NAME],MATCH(SIP[[#This Row],[Investor ID]],INVESTORS_LIST[INVESTOR CODE],0),)</f>
        <v>SABRIA ISLAM TALUKDER</v>
      </c>
      <c r="F819" s="46" t="s">
        <v>409</v>
      </c>
      <c r="G819" s="46">
        <f>COUNTIF(SIP[[#Headers],[Investor ID]]:SIP[[#This Row],[Investor ID]],SIP[[#This Row],[Investor ID]])</f>
        <v>15</v>
      </c>
      <c r="H819" s="46" t="str">
        <f>CONCATENATE(SIP[[#This Row],[Frequency]],SIP[[#This Row],[Investor ID]])</f>
        <v>15A00180</v>
      </c>
      <c r="I819" s="46" t="str">
        <f>IF(SIP[[#This Row],[B/S]]="B","BUY",(IF(SIP[[#This Row],[B/S]]="S","SELL"," ")))</f>
        <v>BUY</v>
      </c>
      <c r="J819" s="150" t="s">
        <v>1229</v>
      </c>
      <c r="K819" s="152">
        <v>5000</v>
      </c>
      <c r="L819" s="122"/>
      <c r="M819" s="123">
        <f>SIP[[#This Row],[Amount]]/SIP[[#This Row],[Unit]]</f>
        <v>11.600928074245939</v>
      </c>
      <c r="N819" s="71">
        <f>SIP[[#This Row],[Unit Capital]]/10</f>
        <v>431</v>
      </c>
      <c r="O819" s="71">
        <f>SUMIFS(SIP[[#Headers],[Unit]]:SIP[[#This Row],[Unit]],SIP[[#Headers],[Investor ID]]:SIP[[#This Row],[Investor ID]],SIP[[#This Row],[Investor ID]])</f>
        <v>6847</v>
      </c>
      <c r="P819" s="153">
        <v>4310</v>
      </c>
      <c r="Q819" s="74">
        <f>SIP[[#This Row],[Amount]]-SIP[[#This Row],[Unit Capital]]</f>
        <v>690</v>
      </c>
      <c r="R8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10.953702351394771</v>
      </c>
      <c r="S819" s="68">
        <f t="shared" si="37"/>
        <v>14.224</v>
      </c>
      <c r="T8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9" s="74" cm="1">
        <f t="array" ref="U819">IF(SIP[[#This Row],[B/S]]="S",ABS(SIP[[#This Row],[Unit]])*(INDEX(SIP[NAV at Cost (Average)],MATCH(CONCATENATE((SIP[[#This Row],[Frequency]]-1),SIP[[#This Row],[Investor ID]]),SIP[Unique Code],0),0)),0)</f>
        <v>0</v>
      </c>
      <c r="V819" s="74">
        <f>IF(SIP[[#This Row],[BO TRANSFER]]="YES",SIP[[#This Row],[Unit]],)</f>
        <v>0</v>
      </c>
      <c r="W819" s="74">
        <f>SUMIFS(SIP[[#Headers],[BO UNIT TRANSFER]]:SIP[[#This Row],[BO UNIT TRANSFER]],SIP[[#Headers],[Investor ID]]:SIP[[#This Row],[Investor ID]],SIP[[#This Row],[Investor ID]])</f>
        <v>0</v>
      </c>
    </row>
    <row r="820" spans="1:23" ht="15" customHeight="1">
      <c r="A820" s="46">
        <v>2024</v>
      </c>
      <c r="B820" s="46">
        <v>11</v>
      </c>
      <c r="C820" s="46">
        <v>5</v>
      </c>
      <c r="D820" s="65">
        <f>DATE(SIP[[#This Row],[Year]],SIP[[#This Row],[Month]],SIP[[#This Row],[Day]])</f>
        <v>45601</v>
      </c>
      <c r="E820" s="66" t="str" cm="1">
        <f t="array" ref="E820">INDEX(INVESTORS_LIST[INVESTOR NAME],MATCH(SIP[[#This Row],[Investor ID]],INVESTORS_LIST[INVESTOR CODE],0),)</f>
        <v>BIJOY CHANDRA DAS</v>
      </c>
      <c r="F820" s="46" t="s">
        <v>497</v>
      </c>
      <c r="G820" s="46">
        <f>COUNTIF(SIP[[#Headers],[Investor ID]]:SIP[[#This Row],[Investor ID]],SIP[[#This Row],[Investor ID]])</f>
        <v>8</v>
      </c>
      <c r="H820" s="46" t="str">
        <f>CONCATENATE(SIP[[#This Row],[Frequency]],SIP[[#This Row],[Investor ID]])</f>
        <v>8A00224</v>
      </c>
      <c r="I820" s="46" t="str">
        <f>IF(SIP[[#This Row],[B/S]]="B","BUY",(IF(SIP[[#This Row],[B/S]]="S","SELL"," ")))</f>
        <v>BUY</v>
      </c>
      <c r="J820" s="150" t="s">
        <v>1229</v>
      </c>
      <c r="K820" s="152">
        <v>5000</v>
      </c>
      <c r="L820" s="122"/>
      <c r="M820" s="123">
        <f>SIP[[#This Row],[Amount]]/SIP[[#This Row],[Unit]]</f>
        <v>11.600928074245939</v>
      </c>
      <c r="N820" s="71">
        <f>SIP[[#This Row],[Unit Capital]]/10</f>
        <v>431</v>
      </c>
      <c r="O820" s="71">
        <f>SUMIFS(SIP[[#Headers],[Unit]]:SIP[[#This Row],[Unit]],SIP[[#Headers],[Investor ID]]:SIP[[#This Row],[Investor ID]],SIP[[#This Row],[Investor ID]])</f>
        <v>3555</v>
      </c>
      <c r="P820" s="153">
        <v>4310</v>
      </c>
      <c r="Q820" s="74">
        <f>SIP[[#This Row],[Amount]]-SIP[[#This Row],[Unit Capital]]</f>
        <v>690</v>
      </c>
      <c r="R8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11.251758087201125</v>
      </c>
      <c r="S820" s="68">
        <f t="shared" si="37"/>
        <v>14.224</v>
      </c>
      <c r="T8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0" s="74" cm="1">
        <f t="array" ref="U820">IF(SIP[[#This Row],[B/S]]="S",ABS(SIP[[#This Row],[Unit]])*(INDEX(SIP[NAV at Cost (Average)],MATCH(CONCATENATE((SIP[[#This Row],[Frequency]]-1),SIP[[#This Row],[Investor ID]]),SIP[Unique Code],0),0)),0)</f>
        <v>0</v>
      </c>
      <c r="V820" s="74">
        <f>IF(SIP[[#This Row],[BO TRANSFER]]="YES",SIP[[#This Row],[Unit]],)</f>
        <v>0</v>
      </c>
      <c r="W820" s="74">
        <f>SUMIFS(SIP[[#Headers],[BO UNIT TRANSFER]]:SIP[[#This Row],[BO UNIT TRANSFER]],SIP[[#Headers],[Investor ID]]:SIP[[#This Row],[Investor ID]],SIP[[#This Row],[Investor ID]])</f>
        <v>0</v>
      </c>
    </row>
    <row r="821" spans="1:23" ht="15" customHeight="1">
      <c r="A821" s="46">
        <v>2024</v>
      </c>
      <c r="B821" s="46">
        <v>11</v>
      </c>
      <c r="C821" s="46">
        <v>5</v>
      </c>
      <c r="D821" s="65">
        <f>DATE(SIP[[#This Row],[Year]],SIP[[#This Row],[Month]],SIP[[#This Row],[Day]])</f>
        <v>45601</v>
      </c>
      <c r="E821" s="66" t="str" cm="1">
        <f t="array" ref="E821">INDEX(INVESTORS_LIST[INVESTOR NAME],MATCH(SIP[[#This Row],[Investor ID]],INVESTORS_LIST[INVESTOR CODE],0),)</f>
        <v>AHMED BIN MONSUR</v>
      </c>
      <c r="F821" s="46" t="s">
        <v>692</v>
      </c>
      <c r="G821" s="46">
        <f>COUNTIF(SIP[[#Headers],[Investor ID]]:SIP[[#This Row],[Investor ID]],SIP[[#This Row],[Investor ID]])</f>
        <v>6</v>
      </c>
      <c r="H821" s="46" t="str">
        <f>CONCATENATE(SIP[[#This Row],[Frequency]],SIP[[#This Row],[Investor ID]])</f>
        <v>6A00322</v>
      </c>
      <c r="I821" s="46" t="str">
        <f>IF(SIP[[#This Row],[B/S]]="B","BUY",(IF(SIP[[#This Row],[B/S]]="S","SELL"," ")))</f>
        <v>BUY</v>
      </c>
      <c r="J821" s="150" t="s">
        <v>1229</v>
      </c>
      <c r="K821" s="152">
        <v>20000</v>
      </c>
      <c r="L821" s="122"/>
      <c r="M821" s="123">
        <f>SIP[[#This Row],[Amount]]/SIP[[#This Row],[Unit]]</f>
        <v>11.607661056297156</v>
      </c>
      <c r="N821" s="71">
        <f>SIP[[#This Row],[Unit Capital]]/10</f>
        <v>1723</v>
      </c>
      <c r="O821" s="71">
        <f>SUMIFS(SIP[[#Headers],[Unit]]:SIP[[#This Row],[Unit]],SIP[[#Headers],[Investor ID]]:SIP[[#This Row],[Investor ID]],SIP[[#This Row],[Investor ID]])</f>
        <v>10577</v>
      </c>
      <c r="P821" s="153">
        <v>17230</v>
      </c>
      <c r="Q821" s="74">
        <f>SIP[[#This Row],[Amount]]-SIP[[#This Row],[Unit Capital]]</f>
        <v>2770</v>
      </c>
      <c r="R8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11.345372033657938</v>
      </c>
      <c r="S821" s="68">
        <f t="shared" si="37"/>
        <v>14.224</v>
      </c>
      <c r="T8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1" s="74" cm="1">
        <f t="array" ref="U821">IF(SIP[[#This Row],[B/S]]="S",ABS(SIP[[#This Row],[Unit]])*(INDEX(SIP[NAV at Cost (Average)],MATCH(CONCATENATE((SIP[[#This Row],[Frequency]]-1),SIP[[#This Row],[Investor ID]]),SIP[Unique Code],0),0)),0)</f>
        <v>0</v>
      </c>
      <c r="V821" s="74">
        <f>IF(SIP[[#This Row],[BO TRANSFER]]="YES",SIP[[#This Row],[Unit]],)</f>
        <v>0</v>
      </c>
      <c r="W821" s="74">
        <f>SUMIFS(SIP[[#Headers],[BO UNIT TRANSFER]]:SIP[[#This Row],[BO UNIT TRANSFER]],SIP[[#Headers],[Investor ID]]:SIP[[#This Row],[Investor ID]],SIP[[#This Row],[Investor ID]])</f>
        <v>0</v>
      </c>
    </row>
    <row r="822" spans="1:23" ht="15" customHeight="1">
      <c r="A822" s="46">
        <v>2024</v>
      </c>
      <c r="B822" s="46">
        <v>11</v>
      </c>
      <c r="C822" s="46">
        <v>5</v>
      </c>
      <c r="D822" s="65">
        <f>DATE(SIP[[#This Row],[Year]],SIP[[#This Row],[Month]],SIP[[#This Row],[Day]])</f>
        <v>45601</v>
      </c>
      <c r="E822" s="66" t="str" cm="1">
        <f t="array" ref="E822">INDEX(INVESTORS_LIST[INVESTOR NAME],MATCH(SIP[[#This Row],[Investor ID]],INVESTORS_LIST[INVESTOR CODE],0),)</f>
        <v>SHUVA SAHA</v>
      </c>
      <c r="F822" s="46" t="s">
        <v>154</v>
      </c>
      <c r="G822" s="46">
        <f>COUNTIF(SIP[[#Headers],[Investor ID]]:SIP[[#This Row],[Investor ID]],SIP[[#This Row],[Investor ID]])</f>
        <v>18</v>
      </c>
      <c r="H822" s="46" t="str">
        <f>CONCATENATE(SIP[[#This Row],[Frequency]],SIP[[#This Row],[Investor ID]])</f>
        <v>18A00053</v>
      </c>
      <c r="I822" s="46" t="str">
        <f>IF(SIP[[#This Row],[B/S]]="B","BUY",(IF(SIP[[#This Row],[B/S]]="S","SELL"," ")))</f>
        <v>BUY</v>
      </c>
      <c r="J822" s="150" t="s">
        <v>1229</v>
      </c>
      <c r="K822" s="152">
        <v>70000</v>
      </c>
      <c r="L822" s="69"/>
      <c r="M822" s="123">
        <f>SIP[[#This Row],[Amount]]/SIP[[#This Row],[Unit]]</f>
        <v>11.60669872326314</v>
      </c>
      <c r="N822" s="71">
        <f>SIP[[#This Row],[Unit Capital]]/10</f>
        <v>6031</v>
      </c>
      <c r="O822" s="71">
        <f>SUMIFS(SIP[[#Headers],[Unit]]:SIP[[#This Row],[Unit]],SIP[[#Headers],[Investor ID]]:SIP[[#This Row],[Investor ID]],SIP[[#This Row],[Investor ID]])</f>
        <v>104924</v>
      </c>
      <c r="P822" s="153">
        <v>60310</v>
      </c>
      <c r="Q822" s="74">
        <f>SIP[[#This Row],[Amount]]-SIP[[#This Row],[Unit Capital]]</f>
        <v>9690</v>
      </c>
      <c r="R8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10.687749614110915</v>
      </c>
      <c r="S822" s="68">
        <f t="shared" si="37"/>
        <v>14.224</v>
      </c>
      <c r="T8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2" s="74" cm="1">
        <f t="array" ref="U822">IF(SIP[[#This Row],[B/S]]="S",ABS(SIP[[#This Row],[Unit]])*(INDEX(SIP[NAV at Cost (Average)],MATCH(CONCATENATE((SIP[[#This Row],[Frequency]]-1),SIP[[#This Row],[Investor ID]]),SIP[Unique Code],0),0)),0)</f>
        <v>0</v>
      </c>
      <c r="V822" s="74">
        <f>IF(SIP[[#This Row],[BO TRANSFER]]="YES",SIP[[#This Row],[Unit]],)</f>
        <v>0</v>
      </c>
      <c r="W822" s="74">
        <f>SUMIFS(SIP[[#Headers],[BO UNIT TRANSFER]]:SIP[[#This Row],[BO UNIT TRANSFER]],SIP[[#Headers],[Investor ID]]:SIP[[#This Row],[Investor ID]],SIP[[#This Row],[Investor ID]])</f>
        <v>0</v>
      </c>
    </row>
    <row r="823" spans="1:23" ht="15" customHeight="1">
      <c r="A823" s="46">
        <v>2024</v>
      </c>
      <c r="B823" s="46">
        <v>11</v>
      </c>
      <c r="C823" s="46">
        <v>5</v>
      </c>
      <c r="D823" s="65">
        <f>DATE(SIP[[#This Row],[Year]],SIP[[#This Row],[Month]],SIP[[#This Row],[Day]])</f>
        <v>45601</v>
      </c>
      <c r="E823" s="66" t="str" cm="1">
        <f t="array" ref="E823">INDEX(INVESTORS_LIST[INVESTOR NAME],MATCH(SIP[[#This Row],[Investor ID]],INVESTORS_LIST[INVESTOR CODE],0),)</f>
        <v>FAIYEAD AHMEDUL HYE</v>
      </c>
      <c r="F823" s="46" t="s">
        <v>368</v>
      </c>
      <c r="G823" s="46">
        <f>COUNTIF(SIP[[#Headers],[Investor ID]]:SIP[[#This Row],[Investor ID]],SIP[[#This Row],[Investor ID]])</f>
        <v>18</v>
      </c>
      <c r="H823" s="46" t="str">
        <f>CONCATENATE(SIP[[#This Row],[Frequency]],SIP[[#This Row],[Investor ID]])</f>
        <v>18A00160</v>
      </c>
      <c r="I823" s="46" t="str">
        <f>IF(SIP[[#This Row],[B/S]]="B","BUY",(IF(SIP[[#This Row],[B/S]]="S","SELL"," ")))</f>
        <v>BUY</v>
      </c>
      <c r="J823" s="150" t="s">
        <v>1229</v>
      </c>
      <c r="K823" s="152">
        <v>15000</v>
      </c>
      <c r="L823" s="122"/>
      <c r="M823" s="123">
        <f>SIP[[#This Row],[Amount]]/SIP[[#This Row],[Unit]]</f>
        <v>11.609907120743035</v>
      </c>
      <c r="N823" s="71">
        <f>SIP[[#This Row],[Unit Capital]]/10</f>
        <v>1292</v>
      </c>
      <c r="O823" s="71">
        <f>SUMIFS(SIP[[#Headers],[Unit]]:SIP[[#This Row],[Unit]],SIP[[#Headers],[Investor ID]]:SIP[[#This Row],[Investor ID]],SIP[[#This Row],[Investor ID]])</f>
        <v>24920</v>
      </c>
      <c r="P823" s="153">
        <v>12920</v>
      </c>
      <c r="Q823" s="74">
        <f>SIP[[#This Row],[Amount]]-SIP[[#This Row],[Unit Capital]]</f>
        <v>2080</v>
      </c>
      <c r="R8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10.834670947030498</v>
      </c>
      <c r="S823" s="68">
        <f t="shared" si="37"/>
        <v>14.224</v>
      </c>
      <c r="T8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3" s="74" cm="1">
        <f t="array" ref="U823">IF(SIP[[#This Row],[B/S]]="S",ABS(SIP[[#This Row],[Unit]])*(INDEX(SIP[NAV at Cost (Average)],MATCH(CONCATENATE((SIP[[#This Row],[Frequency]]-1),SIP[[#This Row],[Investor ID]]),SIP[Unique Code],0),0)),0)</f>
        <v>0</v>
      </c>
      <c r="V823" s="74">
        <f>IF(SIP[[#This Row],[BO TRANSFER]]="YES",SIP[[#This Row],[Unit]],)</f>
        <v>0</v>
      </c>
      <c r="W823" s="74">
        <f>SUMIFS(SIP[[#Headers],[BO UNIT TRANSFER]]:SIP[[#This Row],[BO UNIT TRANSFER]],SIP[[#Headers],[Investor ID]]:SIP[[#This Row],[Investor ID]],SIP[[#This Row],[Investor ID]])</f>
        <v>0</v>
      </c>
    </row>
    <row r="824" spans="1:23" ht="15" customHeight="1">
      <c r="A824" s="46">
        <v>2024</v>
      </c>
      <c r="B824" s="46">
        <v>11</v>
      </c>
      <c r="C824" s="46">
        <v>5</v>
      </c>
      <c r="D824" s="65">
        <f>DATE(SIP[[#This Row],[Year]],SIP[[#This Row],[Month]],SIP[[#This Row],[Day]])</f>
        <v>45601</v>
      </c>
      <c r="E824" s="66" t="str" cm="1">
        <f t="array" ref="E824">INDEX(INVESTORS_LIST[INVESTOR NAME],MATCH(SIP[[#This Row],[Investor ID]],INVESTORS_LIST[INVESTOR CODE],0),)</f>
        <v>CHAONIKA SAHA</v>
      </c>
      <c r="F824" s="46" t="s">
        <v>238</v>
      </c>
      <c r="G824" s="46">
        <f>COUNTIF(SIP[[#Headers],[Investor ID]]:SIP[[#This Row],[Investor ID]],SIP[[#This Row],[Investor ID]])</f>
        <v>15</v>
      </c>
      <c r="H824" s="46" t="str">
        <f>CONCATENATE(SIP[[#This Row],[Frequency]],SIP[[#This Row],[Investor ID]])</f>
        <v>15A00095</v>
      </c>
      <c r="I824" s="46" t="str">
        <f>IF(SIP[[#This Row],[B/S]]="B","BUY",(IF(SIP[[#This Row],[B/S]]="S","SELL"," ")))</f>
        <v>BUY</v>
      </c>
      <c r="J824" s="150" t="s">
        <v>1229</v>
      </c>
      <c r="K824" s="152">
        <v>1000</v>
      </c>
      <c r="L824" s="122"/>
      <c r="M824" s="123">
        <f>SIP[[#This Row],[Amount]]/SIP[[#This Row],[Unit]]</f>
        <v>11.627906976744185</v>
      </c>
      <c r="N824" s="71">
        <f>SIP[[#This Row],[Unit Capital]]/10</f>
        <v>86</v>
      </c>
      <c r="O824" s="71">
        <f>SUMIFS(SIP[[#Headers],[Unit]]:SIP[[#This Row],[Unit]],SIP[[#Headers],[Investor ID]]:SIP[[#This Row],[Investor ID]],SIP[[#This Row],[Investor ID]])</f>
        <v>1370</v>
      </c>
      <c r="P824" s="153">
        <v>860</v>
      </c>
      <c r="Q824" s="74">
        <f>SIP[[#This Row],[Amount]]-SIP[[#This Row],[Unit Capital]]</f>
        <v>140</v>
      </c>
      <c r="R8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10.948905109489052</v>
      </c>
      <c r="S824" s="68">
        <f t="shared" si="37"/>
        <v>14.224</v>
      </c>
      <c r="T8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4" s="74" cm="1">
        <f t="array" ref="U824">IF(SIP[[#This Row],[B/S]]="S",ABS(SIP[[#This Row],[Unit]])*(INDEX(SIP[NAV at Cost (Average)],MATCH(CONCATENATE((SIP[[#This Row],[Frequency]]-1),SIP[[#This Row],[Investor ID]]),SIP[Unique Code],0),0)),0)</f>
        <v>0</v>
      </c>
      <c r="V824" s="74">
        <f>IF(SIP[[#This Row],[BO TRANSFER]]="YES",SIP[[#This Row],[Unit]],)</f>
        <v>0</v>
      </c>
      <c r="W824" s="74">
        <f>SUMIFS(SIP[[#Headers],[BO UNIT TRANSFER]]:SIP[[#This Row],[BO UNIT TRANSFER]],SIP[[#Headers],[Investor ID]]:SIP[[#This Row],[Investor ID]],SIP[[#This Row],[Investor ID]])</f>
        <v>0</v>
      </c>
    </row>
    <row r="825" spans="1:23" ht="15" customHeight="1">
      <c r="A825" s="46">
        <v>2024</v>
      </c>
      <c r="B825" s="46">
        <v>11</v>
      </c>
      <c r="C825" s="46">
        <v>5</v>
      </c>
      <c r="D825" s="65">
        <f>DATE(SIP[[#This Row],[Year]],SIP[[#This Row],[Month]],SIP[[#This Row],[Day]])</f>
        <v>45601</v>
      </c>
      <c r="E825" s="66" t="str" cm="1">
        <f t="array" ref="E825">INDEX(INVESTORS_LIST[INVESTOR NAME],MATCH(SIP[[#This Row],[Investor ID]],INVESTORS_LIST[INVESTOR CODE],0),)</f>
        <v>SK FEROZ ALAM</v>
      </c>
      <c r="F825" s="46" t="s">
        <v>240</v>
      </c>
      <c r="G825" s="46">
        <f>COUNTIF(SIP[[#Headers],[Investor ID]]:SIP[[#This Row],[Investor ID]],SIP[[#This Row],[Investor ID]])</f>
        <v>14</v>
      </c>
      <c r="H825" s="46" t="str">
        <f>CONCATENATE(SIP[[#This Row],[Frequency]],SIP[[#This Row],[Investor ID]])</f>
        <v>14A00096</v>
      </c>
      <c r="I825" s="46" t="str">
        <f>IF(SIP[[#This Row],[B/S]]="B","BUY",(IF(SIP[[#This Row],[B/S]]="S","SELL"," ")))</f>
        <v>BUY</v>
      </c>
      <c r="J825" s="150" t="s">
        <v>1229</v>
      </c>
      <c r="K825" s="152">
        <v>2000</v>
      </c>
      <c r="L825" s="122"/>
      <c r="M825" s="123">
        <f>SIP[[#This Row],[Amount]]/SIP[[#This Row],[Unit]]</f>
        <v>11.627906976744185</v>
      </c>
      <c r="N825" s="71">
        <f>SIP[[#This Row],[Unit Capital]]/10</f>
        <v>172</v>
      </c>
      <c r="O825" s="71">
        <f>SUMIFS(SIP[[#Headers],[Unit]]:SIP[[#This Row],[Unit]],SIP[[#Headers],[Investor ID]]:SIP[[#This Row],[Investor ID]],SIP[[#This Row],[Investor ID]])</f>
        <v>1057</v>
      </c>
      <c r="P825" s="153">
        <v>1720</v>
      </c>
      <c r="Q825" s="74">
        <f>SIP[[#This Row],[Amount]]-SIP[[#This Row],[Unit Capital]]</f>
        <v>280</v>
      </c>
      <c r="R8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11.352885525070954</v>
      </c>
      <c r="S825" s="68">
        <f t="shared" si="37"/>
        <v>14.224</v>
      </c>
      <c r="T8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5" s="74" cm="1">
        <f t="array" ref="U825">IF(SIP[[#This Row],[B/S]]="S",ABS(SIP[[#This Row],[Unit]])*(INDEX(SIP[NAV at Cost (Average)],MATCH(CONCATENATE((SIP[[#This Row],[Frequency]]-1),SIP[[#This Row],[Investor ID]]),SIP[Unique Code],0),0)),0)</f>
        <v>0</v>
      </c>
      <c r="V825" s="74">
        <f>IF(SIP[[#This Row],[BO TRANSFER]]="YES",SIP[[#This Row],[Unit]],)</f>
        <v>0</v>
      </c>
      <c r="W825" s="74">
        <f>SUMIFS(SIP[[#Headers],[BO UNIT TRANSFER]]:SIP[[#This Row],[BO UNIT TRANSFER]],SIP[[#Headers],[Investor ID]]:SIP[[#This Row],[Investor ID]],SIP[[#This Row],[Investor ID]])</f>
        <v>0</v>
      </c>
    </row>
    <row r="826" spans="1:23" ht="15" customHeight="1">
      <c r="A826" s="46">
        <v>2024</v>
      </c>
      <c r="B826" s="46">
        <v>11</v>
      </c>
      <c r="C826" s="46">
        <v>5</v>
      </c>
      <c r="D826" s="65">
        <f>DATE(SIP[[#This Row],[Year]],SIP[[#This Row],[Month]],SIP[[#This Row],[Day]])</f>
        <v>45601</v>
      </c>
      <c r="E826" s="66" t="str" cm="1">
        <f t="array" ref="E826">INDEX(INVESTORS_LIST[INVESTOR NAME],MATCH(SIP[[#This Row],[Investor ID]],INVESTORS_LIST[INVESTOR CODE],0),)</f>
        <v>KAZI AHSAN MARUF</v>
      </c>
      <c r="F826" s="46" t="s">
        <v>158</v>
      </c>
      <c r="G826" s="46">
        <f>COUNTIF(SIP[[#Headers],[Investor ID]]:SIP[[#This Row],[Investor ID]],SIP[[#This Row],[Investor ID]])</f>
        <v>19</v>
      </c>
      <c r="H826" s="46" t="str">
        <f>CONCATENATE(SIP[[#This Row],[Frequency]],SIP[[#This Row],[Investor ID]])</f>
        <v>19A00055</v>
      </c>
      <c r="I826" s="46" t="str">
        <f>IF(SIP[[#This Row],[B/S]]="B","BUY",(IF(SIP[[#This Row],[B/S]]="S","SELL"," ")))</f>
        <v>BUY</v>
      </c>
      <c r="J826" s="150" t="s">
        <v>1229</v>
      </c>
      <c r="K826" s="152">
        <v>10000</v>
      </c>
      <c r="L826" s="122"/>
      <c r="M826" s="123">
        <f>SIP[[#This Row],[Amount]]/SIP[[#This Row],[Unit]]</f>
        <v>11.600928074245939</v>
      </c>
      <c r="N826" s="71">
        <f>SIP[[#This Row],[Unit Capital]]/10</f>
        <v>862</v>
      </c>
      <c r="O826" s="71">
        <f>SUMIFS(SIP[[#Headers],[Unit]]:SIP[[#This Row],[Unit]],SIP[[#Headers],[Investor ID]]:SIP[[#This Row],[Investor ID]],SIP[[#This Row],[Investor ID]])</f>
        <v>37054</v>
      </c>
      <c r="P826" s="153">
        <v>8620</v>
      </c>
      <c r="Q826" s="74">
        <f>SIP[[#This Row],[Amount]]-SIP[[#This Row],[Unit Capital]]</f>
        <v>1380</v>
      </c>
      <c r="R8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10.525179467803744</v>
      </c>
      <c r="S826" s="68">
        <f t="shared" si="37"/>
        <v>14.224</v>
      </c>
      <c r="T8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6" s="74" cm="1">
        <f t="array" ref="U826">IF(SIP[[#This Row],[B/S]]="S",ABS(SIP[[#This Row],[Unit]])*(INDEX(SIP[NAV at Cost (Average)],MATCH(CONCATENATE((SIP[[#This Row],[Frequency]]-1),SIP[[#This Row],[Investor ID]]),SIP[Unique Code],0),0)),0)</f>
        <v>0</v>
      </c>
      <c r="V826" s="74">
        <f>IF(SIP[[#This Row],[BO TRANSFER]]="YES",SIP[[#This Row],[Unit]],)</f>
        <v>0</v>
      </c>
      <c r="W826" s="74">
        <f>SUMIFS(SIP[[#Headers],[BO UNIT TRANSFER]]:SIP[[#This Row],[BO UNIT TRANSFER]],SIP[[#Headers],[Investor ID]]:SIP[[#This Row],[Investor ID]],SIP[[#This Row],[Investor ID]])</f>
        <v>0</v>
      </c>
    </row>
    <row r="827" spans="1:23" ht="15" customHeight="1">
      <c r="A827" s="46">
        <v>2024</v>
      </c>
      <c r="B827" s="46">
        <v>11</v>
      </c>
      <c r="C827" s="46">
        <v>12</v>
      </c>
      <c r="D827" s="65">
        <f>DATE(SIP[[#This Row],[Year]],SIP[[#This Row],[Month]],SIP[[#This Row],[Day]])</f>
        <v>45608</v>
      </c>
      <c r="E827" s="66" t="str" cm="1">
        <f t="array" ref="E827">INDEX(INVESTORS_LIST[INVESTOR NAME],MATCH(SIP[[#This Row],[Investor ID]],INVESTORS_LIST[INVESTOR CODE],0),)</f>
        <v>AKIB TANVIR ANJUM</v>
      </c>
      <c r="F827" s="167" t="s">
        <v>1116</v>
      </c>
      <c r="G827" s="46">
        <f>COUNTIF(SIP[[#Headers],[Investor ID]]:SIP[[#This Row],[Investor ID]],SIP[[#This Row],[Investor ID]])</f>
        <v>11</v>
      </c>
      <c r="H827" s="46" t="str">
        <f>CONCATENATE(SIP[[#This Row],[Frequency]],SIP[[#This Row],[Investor ID]])</f>
        <v>11A00533</v>
      </c>
      <c r="I827" s="46" t="str">
        <f>IF(SIP[[#This Row],[B/S]]="B","BUY",(IF(SIP[[#This Row],[B/S]]="S","SELL"," ")))</f>
        <v>SELL</v>
      </c>
      <c r="J827" s="150" t="s">
        <v>1231</v>
      </c>
      <c r="K827" s="152">
        <v>-1299.48</v>
      </c>
      <c r="L827" s="122"/>
      <c r="M827" s="123">
        <f>SIP[[#This Row],[Amount]]/SIP[[#This Row],[Unit]]</f>
        <v>11.602500000000001</v>
      </c>
      <c r="N827" s="71">
        <f>SIP[[#This Row],[Unit Capital]]/10</f>
        <v>-112</v>
      </c>
      <c r="O827" s="71">
        <f>SUMIFS(SIP[[#Headers],[Unit]]:SIP[[#This Row],[Unit]],SIP[[#Headers],[Investor ID]]:SIP[[#This Row],[Investor ID]],SIP[[#This Row],[Investor ID]])</f>
        <v>598</v>
      </c>
      <c r="P827" s="153">
        <v>-1120</v>
      </c>
      <c r="Q827" s="74">
        <f>SIP[[#This Row],[Amount]]-SIP[[#This Row],[Unit Capital]]</f>
        <v>-179.48000000000002</v>
      </c>
      <c r="R8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11.292346298619826</v>
      </c>
      <c r="S827" s="68">
        <f t="shared" ref="S827:S840" si="38">NAV_MKT</f>
        <v>14.224</v>
      </c>
      <c r="T827" s="74">
        <f>IF(SIP[[#This Row],[B/S]]="B",0,ABS(SIP[[#This Row],[Unit]])*(SIP[[#This Row],[NAV (Strike Rate)]]-INDEX(SIP[NAV at Cost (Average)],MATCH(CONCATENATE(SIP[[#This Row],[Frequency]]-1,SIP[[#This Row],[Investor ID]]),SIP[Unique Code],0),)))</f>
        <v>34.737214554579595</v>
      </c>
      <c r="U827" s="74" cm="1">
        <f t="array" ref="U827">IF(SIP[[#This Row],[B/S]]="S",ABS(SIP[[#This Row],[Unit]])*(INDEX(SIP[NAV at Cost (Average)],MATCH(CONCATENATE((SIP[[#This Row],[Frequency]]-1),SIP[[#This Row],[Investor ID]]),SIP[Unique Code],0),0)),0)</f>
        <v>1264.7427854454204</v>
      </c>
      <c r="V827" s="74">
        <f>IF(SIP[[#This Row],[BO TRANSFER]]="YES",SIP[[#This Row],[Unit]],)</f>
        <v>0</v>
      </c>
      <c r="W827" s="74">
        <f>SUMIFS(SIP[[#Headers],[BO UNIT TRANSFER]]:SIP[[#This Row],[BO UNIT TRANSFER]],SIP[[#Headers],[Investor ID]]:SIP[[#This Row],[Investor ID]],SIP[[#This Row],[Investor ID]])</f>
        <v>0</v>
      </c>
    </row>
    <row r="828" spans="1:23" ht="15" customHeight="1">
      <c r="A828" s="46">
        <v>2024</v>
      </c>
      <c r="B828" s="46">
        <v>11</v>
      </c>
      <c r="C828" s="46">
        <v>12</v>
      </c>
      <c r="D828" s="65">
        <f>DATE(SIP[[#This Row],[Year]],SIP[[#This Row],[Month]],SIP[[#This Row],[Day]])</f>
        <v>45608</v>
      </c>
      <c r="E828" s="66" t="str" cm="1">
        <f t="array" ref="E828">INDEX(INVESTORS_LIST[INVESTOR NAME],MATCH(SIP[[#This Row],[Investor ID]],INVESTORS_LIST[INVESTOR CODE],0),)</f>
        <v>SHUVA SAHA</v>
      </c>
      <c r="F828" s="100" t="s">
        <v>154</v>
      </c>
      <c r="G828" s="46">
        <f>COUNTIF(SIP[[#Headers],[Investor ID]]:SIP[[#This Row],[Investor ID]],SIP[[#This Row],[Investor ID]])</f>
        <v>19</v>
      </c>
      <c r="H828" s="46" t="str">
        <f>CONCATENATE(SIP[[#This Row],[Frequency]],SIP[[#This Row],[Investor ID]])</f>
        <v>19A00053</v>
      </c>
      <c r="I828" s="46" t="str">
        <f>IF(SIP[[#This Row],[B/S]]="B","BUY",(IF(SIP[[#This Row],[B/S]]="S","SELL"," ")))</f>
        <v>SELL</v>
      </c>
      <c r="J828" s="150" t="s">
        <v>1231</v>
      </c>
      <c r="K828" s="152">
        <v>-50000</v>
      </c>
      <c r="L828" s="69"/>
      <c r="M828" s="123">
        <f>SIP[[#This Row],[Amount]]/SIP[[#This Row],[Unit]]</f>
        <v>11.630611770179112</v>
      </c>
      <c r="N828" s="71">
        <f>SIP[[#This Row],[Unit Capital]]/10</f>
        <v>-4299</v>
      </c>
      <c r="O828" s="71">
        <f>SUMIFS(SIP[[#Headers],[Unit]]:SIP[[#This Row],[Unit]],SIP[[#Headers],[Investor ID]]:SIP[[#This Row],[Investor ID]],SIP[[#This Row],[Investor ID]])</f>
        <v>100625</v>
      </c>
      <c r="P828" s="153">
        <v>-42990</v>
      </c>
      <c r="Q828" s="74">
        <f>SIP[[#This Row],[Amount]]-SIP[[#This Row],[Unit Capital]]</f>
        <v>-7010</v>
      </c>
      <c r="R8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10.687749614110915</v>
      </c>
      <c r="S828" s="68">
        <f t="shared" si="38"/>
        <v>14.224</v>
      </c>
      <c r="T828" s="74">
        <f>IF(SIP[[#This Row],[B/S]]="B",0,ABS(SIP[[#This Row],[Unit]])*(SIP[[#This Row],[NAV (Strike Rate)]]-INDEX(SIP[NAV at Cost (Average)],MATCH(CONCATENATE(SIP[[#This Row],[Frequency]]-1,SIP[[#This Row],[Investor ID]]),SIP[Unique Code],0),)))</f>
        <v>4053.3644089371764</v>
      </c>
      <c r="U828" s="74" cm="1">
        <f t="array" ref="U828">IF(SIP[[#This Row],[B/S]]="S",ABS(SIP[[#This Row],[Unit]])*(INDEX(SIP[NAV at Cost (Average)],MATCH(CONCATENATE((SIP[[#This Row],[Frequency]]-1),SIP[[#This Row],[Investor ID]]),SIP[Unique Code],0),0)),0)</f>
        <v>45946.635591062826</v>
      </c>
      <c r="V828" s="74">
        <f>IF(SIP[[#This Row],[BO TRANSFER]]="YES",SIP[[#This Row],[Unit]],)</f>
        <v>0</v>
      </c>
      <c r="W828" s="74">
        <f>SUMIFS(SIP[[#Headers],[BO UNIT TRANSFER]]:SIP[[#This Row],[BO UNIT TRANSFER]],SIP[[#Headers],[Investor ID]]:SIP[[#This Row],[Investor ID]],SIP[[#This Row],[Investor ID]])</f>
        <v>0</v>
      </c>
    </row>
    <row r="829" spans="1:23" ht="15" customHeight="1">
      <c r="A829" s="46">
        <v>2024</v>
      </c>
      <c r="B829" s="46">
        <v>11</v>
      </c>
      <c r="C829" s="46">
        <v>15</v>
      </c>
      <c r="D829" s="65">
        <f>DATE(SIP[[#This Row],[Year]],SIP[[#This Row],[Month]],SIP[[#This Row],[Day]])</f>
        <v>45611</v>
      </c>
      <c r="E829" s="66" t="str" cm="1">
        <f t="array" ref="E829">INDEX(INVESTORS_LIST[INVESTOR NAME],MATCH(SIP[[#This Row],[Investor ID]],INVESTORS_LIST[INVESTOR CODE],0),)</f>
        <v>SANJIB KUMAR ROY</v>
      </c>
      <c r="F829" s="46" t="s">
        <v>1020</v>
      </c>
      <c r="G829" s="46">
        <f>COUNTIF(SIP[[#Headers],[Investor ID]]:SIP[[#This Row],[Investor ID]],SIP[[#This Row],[Investor ID]])</f>
        <v>18</v>
      </c>
      <c r="H829" s="46" t="str">
        <f>CONCATENATE(SIP[[#This Row],[Frequency]],SIP[[#This Row],[Investor ID]])</f>
        <v>18A00487</v>
      </c>
      <c r="I829" s="46" t="str">
        <f>IF(SIP[[#This Row],[B/S]]="B","BUY",(IF(SIP[[#This Row],[B/S]]="S","SELL"," ")))</f>
        <v>BUY</v>
      </c>
      <c r="J829" s="150" t="s">
        <v>1229</v>
      </c>
      <c r="K829" s="152">
        <v>5000</v>
      </c>
      <c r="L829" s="122"/>
      <c r="M829" s="123">
        <f>SIP[[#This Row],[Amount]]/SIP[[#This Row],[Unit]]</f>
        <v>11.655011655011656</v>
      </c>
      <c r="N829" s="71">
        <f>SIP[[#This Row],[Unit Capital]]/10</f>
        <v>429</v>
      </c>
      <c r="O829" s="71">
        <f>SUMIFS(SIP[[#Headers],[Unit]]:SIP[[#This Row],[Unit]],SIP[[#Headers],[Investor ID]]:SIP[[#This Row],[Investor ID]],SIP[[#This Row],[Investor ID]])</f>
        <v>8288</v>
      </c>
      <c r="P829" s="153">
        <v>4290</v>
      </c>
      <c r="Q829" s="74">
        <f>SIP[[#This Row],[Amount]]-SIP[[#This Row],[Unit Capital]]</f>
        <v>710</v>
      </c>
      <c r="R8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10.859073359073358</v>
      </c>
      <c r="S829" s="68">
        <f t="shared" si="38"/>
        <v>14.224</v>
      </c>
      <c r="T8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9" s="74" cm="1">
        <f t="array" ref="U829">IF(SIP[[#This Row],[B/S]]="S",ABS(SIP[[#This Row],[Unit]])*(INDEX(SIP[NAV at Cost (Average)],MATCH(CONCATENATE((SIP[[#This Row],[Frequency]]-1),SIP[[#This Row],[Investor ID]]),SIP[Unique Code],0),0)),0)</f>
        <v>0</v>
      </c>
      <c r="V829" s="74">
        <f>IF(SIP[[#This Row],[BO TRANSFER]]="YES",SIP[[#This Row],[Unit]],)</f>
        <v>0</v>
      </c>
      <c r="W829" s="74">
        <f>SUMIFS(SIP[[#Headers],[BO UNIT TRANSFER]]:SIP[[#This Row],[BO UNIT TRANSFER]],SIP[[#Headers],[Investor ID]]:SIP[[#This Row],[Investor ID]],SIP[[#This Row],[Investor ID]])</f>
        <v>0</v>
      </c>
    </row>
    <row r="830" spans="1:23" ht="15" customHeight="1">
      <c r="A830" s="46">
        <v>2024</v>
      </c>
      <c r="B830" s="46">
        <v>11</v>
      </c>
      <c r="C830" s="46">
        <v>15</v>
      </c>
      <c r="D830" s="65">
        <f>DATE(SIP[[#This Row],[Year]],SIP[[#This Row],[Month]],SIP[[#This Row],[Day]])</f>
        <v>45611</v>
      </c>
      <c r="E830" s="66" t="str" cm="1">
        <f t="array" ref="E830">INDEX(INVESTORS_LIST[INVESTOR NAME],MATCH(SIP[[#This Row],[Investor ID]],INVESTORS_LIST[INVESTOR CODE],0),)</f>
        <v>FARUK-E AZAM BIN HAIDER</v>
      </c>
      <c r="F830" s="46" t="s">
        <v>425</v>
      </c>
      <c r="G830" s="46">
        <f>COUNTIF(SIP[[#Headers],[Investor ID]]:SIP[[#This Row],[Investor ID]],SIP[[#This Row],[Investor ID]])</f>
        <v>4</v>
      </c>
      <c r="H830" s="46" t="str">
        <f>CONCATENATE(SIP[[#This Row],[Frequency]],SIP[[#This Row],[Investor ID]])</f>
        <v>4A00188</v>
      </c>
      <c r="I830" s="46" t="str">
        <f>IF(SIP[[#This Row],[B/S]]="B","BUY",(IF(SIP[[#This Row],[B/S]]="S","SELL"," ")))</f>
        <v>SELL</v>
      </c>
      <c r="J830" s="150" t="s">
        <v>1231</v>
      </c>
      <c r="K830" s="152">
        <v>-10000</v>
      </c>
      <c r="L830" s="122"/>
      <c r="M830" s="123">
        <f>SIP[[#This Row],[Amount]]/SIP[[#This Row],[Unit]]</f>
        <v>11.600928074245939</v>
      </c>
      <c r="N830" s="71">
        <f>SIP[[#This Row],[Unit Capital]]/10</f>
        <v>-862</v>
      </c>
      <c r="O830" s="71">
        <f>SUMIFS(SIP[[#Headers],[Unit]]:SIP[[#This Row],[Unit]],SIP[[#Headers],[Investor ID]]:SIP[[#This Row],[Investor ID]],SIP[[#This Row],[Investor ID]])</f>
        <v>0</v>
      </c>
      <c r="P830" s="153">
        <v>-8620</v>
      </c>
      <c r="Q830" s="74">
        <f>SIP[[#This Row],[Amount]]-SIP[[#This Row],[Unit Capital]]</f>
        <v>-1380</v>
      </c>
      <c r="R8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30" s="68">
        <f t="shared" si="38"/>
        <v>14.224</v>
      </c>
      <c r="T8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0" s="74" cm="1">
        <f t="array" ref="U830">IF(SIP[[#This Row],[B/S]]="S",ABS(SIP[[#This Row],[Unit]])*(INDEX(SIP[NAV at Cost (Average)],MATCH(CONCATENATE((SIP[[#This Row],[Frequency]]-1),SIP[[#This Row],[Investor ID]]),SIP[Unique Code],0),0)),0)</f>
        <v>10000</v>
      </c>
      <c r="V830" s="74">
        <f>IF(SIP[[#This Row],[BO TRANSFER]]="YES",SIP[[#This Row],[Unit]],)</f>
        <v>0</v>
      </c>
      <c r="W830" s="74">
        <f>SUMIFS(SIP[[#Headers],[BO UNIT TRANSFER]]:SIP[[#This Row],[BO UNIT TRANSFER]],SIP[[#Headers],[Investor ID]]:SIP[[#This Row],[Investor ID]],SIP[[#This Row],[Investor ID]])</f>
        <v>0</v>
      </c>
    </row>
    <row r="831" spans="1:23" ht="15" customHeight="1">
      <c r="A831" s="46">
        <v>2024</v>
      </c>
      <c r="B831" s="46">
        <v>11</v>
      </c>
      <c r="C831" s="46">
        <v>15</v>
      </c>
      <c r="D831" s="65">
        <f>DATE(SIP[[#This Row],[Year]],SIP[[#This Row],[Month]],SIP[[#This Row],[Day]])</f>
        <v>45611</v>
      </c>
      <c r="E831" s="66" t="str" cm="1">
        <f t="array" ref="E831">INDEX(INVESTORS_LIST[INVESTOR NAME],MATCH(SIP[[#This Row],[Investor ID]],INVESTORS_LIST[INVESTOR CODE],0),)</f>
        <v>MD. RAFIQUR RAHMAN</v>
      </c>
      <c r="F831" s="46" t="s">
        <v>622</v>
      </c>
      <c r="G831" s="46">
        <f>COUNTIF(SIP[[#Headers],[Investor ID]]:SIP[[#This Row],[Investor ID]],SIP[[#This Row],[Investor ID]])</f>
        <v>15</v>
      </c>
      <c r="H831" s="46" t="str">
        <f>CONCATENATE(SIP[[#This Row],[Frequency]],SIP[[#This Row],[Investor ID]])</f>
        <v>15A00287</v>
      </c>
      <c r="I831" s="46" t="str">
        <f>IF(SIP[[#This Row],[B/S]]="B","BUY",(IF(SIP[[#This Row],[B/S]]="S","SELL"," ")))</f>
        <v>BUY</v>
      </c>
      <c r="J831" s="150" t="s">
        <v>1229</v>
      </c>
      <c r="K831" s="152">
        <v>20000</v>
      </c>
      <c r="L831" s="122"/>
      <c r="M831" s="123">
        <f>SIP[[#This Row],[Amount]]/SIP[[#This Row],[Unit]]</f>
        <v>11.655011655011656</v>
      </c>
      <c r="N831" s="71">
        <f>SIP[[#This Row],[Unit Capital]]/10</f>
        <v>1716</v>
      </c>
      <c r="O831" s="71">
        <f>SUMIFS(SIP[[#Headers],[Unit]]:SIP[[#This Row],[Unit]],SIP[[#Headers],[Investor ID]]:SIP[[#This Row],[Investor ID]],SIP[[#This Row],[Investor ID]])</f>
        <v>27323</v>
      </c>
      <c r="P831" s="153">
        <v>17160</v>
      </c>
      <c r="Q831" s="74">
        <f>SIP[[#This Row],[Amount]]-SIP[[#This Row],[Unit Capital]]</f>
        <v>2840</v>
      </c>
      <c r="R8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10.979760641218018</v>
      </c>
      <c r="S831" s="68">
        <f t="shared" si="38"/>
        <v>14.224</v>
      </c>
      <c r="T8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1" s="74" cm="1">
        <f t="array" ref="U831">IF(SIP[[#This Row],[B/S]]="S",ABS(SIP[[#This Row],[Unit]])*(INDEX(SIP[NAV at Cost (Average)],MATCH(CONCATENATE((SIP[[#This Row],[Frequency]]-1),SIP[[#This Row],[Investor ID]]),SIP[Unique Code],0),0)),0)</f>
        <v>0</v>
      </c>
      <c r="V831" s="74">
        <f>IF(SIP[[#This Row],[BO TRANSFER]]="YES",SIP[[#This Row],[Unit]],)</f>
        <v>0</v>
      </c>
      <c r="W831" s="74">
        <f>SUMIFS(SIP[[#Headers],[BO UNIT TRANSFER]]:SIP[[#This Row],[BO UNIT TRANSFER]],SIP[[#Headers],[Investor ID]]:SIP[[#This Row],[Investor ID]],SIP[[#This Row],[Investor ID]])</f>
        <v>0</v>
      </c>
    </row>
    <row r="832" spans="1:23" ht="15" customHeight="1">
      <c r="A832" s="46">
        <v>2024</v>
      </c>
      <c r="B832" s="46">
        <v>11</v>
      </c>
      <c r="C832" s="46">
        <v>15</v>
      </c>
      <c r="D832" s="65">
        <f>DATE(SIP[[#This Row],[Year]],SIP[[#This Row],[Month]],SIP[[#This Row],[Day]])</f>
        <v>45611</v>
      </c>
      <c r="E832" s="66" t="str" cm="1">
        <f t="array" ref="E832">INDEX(INVESTORS_LIST[INVESTOR NAME],MATCH(SIP[[#This Row],[Investor ID]],INVESTORS_LIST[INVESTOR CODE],0),)</f>
        <v>CHANCHAL KUMAR SAHA</v>
      </c>
      <c r="F832" s="46" t="s">
        <v>569</v>
      </c>
      <c r="G832" s="46">
        <f>COUNTIF(SIP[[#Headers],[Investor ID]]:SIP[[#This Row],[Investor ID]],SIP[[#This Row],[Investor ID]])</f>
        <v>9</v>
      </c>
      <c r="H832" s="46" t="str">
        <f>CONCATENATE(SIP[[#This Row],[Frequency]],SIP[[#This Row],[Investor ID]])</f>
        <v>9A00260</v>
      </c>
      <c r="I832" s="46" t="str">
        <f>IF(SIP[[#This Row],[B/S]]="B","BUY",(IF(SIP[[#This Row],[B/S]]="S","SELL"," ")))</f>
        <v>BUY</v>
      </c>
      <c r="J832" s="150" t="s">
        <v>1229</v>
      </c>
      <c r="K832" s="152">
        <v>15000</v>
      </c>
      <c r="L832" s="122"/>
      <c r="M832" s="123">
        <f>SIP[[#This Row],[Amount]]/SIP[[#This Row],[Unit]]</f>
        <v>11.655011655011656</v>
      </c>
      <c r="N832" s="71">
        <f>SIP[[#This Row],[Unit Capital]]/10</f>
        <v>1287</v>
      </c>
      <c r="O832" s="71">
        <f>SUMIFS(SIP[[#Headers],[Unit]]:SIP[[#This Row],[Unit]],SIP[[#Headers],[Investor ID]]:SIP[[#This Row],[Investor ID]],SIP[[#This Row],[Investor ID]])</f>
        <v>6830</v>
      </c>
      <c r="P832" s="153">
        <v>12870</v>
      </c>
      <c r="Q832" s="74">
        <f>SIP[[#This Row],[Amount]]-SIP[[#This Row],[Unit Capital]]</f>
        <v>2130</v>
      </c>
      <c r="R8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11.17365664297329</v>
      </c>
      <c r="S832" s="68">
        <f t="shared" si="38"/>
        <v>14.224</v>
      </c>
      <c r="T8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2" s="74" cm="1">
        <f t="array" ref="U832">IF(SIP[[#This Row],[B/S]]="S",ABS(SIP[[#This Row],[Unit]])*(INDEX(SIP[NAV at Cost (Average)],MATCH(CONCATENATE((SIP[[#This Row],[Frequency]]-1),SIP[[#This Row],[Investor ID]]),SIP[Unique Code],0),0)),0)</f>
        <v>0</v>
      </c>
      <c r="V832" s="74">
        <f>IF(SIP[[#This Row],[BO TRANSFER]]="YES",SIP[[#This Row],[Unit]],)</f>
        <v>0</v>
      </c>
      <c r="W832" s="74">
        <f>SUMIFS(SIP[[#Headers],[BO UNIT TRANSFER]]:SIP[[#This Row],[BO UNIT TRANSFER]],SIP[[#Headers],[Investor ID]]:SIP[[#This Row],[Investor ID]],SIP[[#This Row],[Investor ID]])</f>
        <v>0</v>
      </c>
    </row>
    <row r="833" spans="1:23" ht="15" customHeight="1">
      <c r="A833" s="46">
        <v>2024</v>
      </c>
      <c r="B833" s="46">
        <v>11</v>
      </c>
      <c r="C833" s="46">
        <v>15</v>
      </c>
      <c r="D833" s="65">
        <f>DATE(SIP[[#This Row],[Year]],SIP[[#This Row],[Month]],SIP[[#This Row],[Day]])</f>
        <v>45611</v>
      </c>
      <c r="E833" s="66" t="str" cm="1">
        <f t="array" ref="E833">INDEX(INVESTORS_LIST[INVESTOR NAME],MATCH(SIP[[#This Row],[Investor ID]],INVESTORS_LIST[INVESTOR CODE],0),)</f>
        <v>AKIB TANVIR ANJUM</v>
      </c>
      <c r="F833" s="46" t="s">
        <v>1116</v>
      </c>
      <c r="G833" s="46">
        <f>COUNTIF(SIP[[#Headers],[Investor ID]]:SIP[[#This Row],[Investor ID]],SIP[[#This Row],[Investor ID]])</f>
        <v>12</v>
      </c>
      <c r="H833" s="46" t="str">
        <f>CONCATENATE(SIP[[#This Row],[Frequency]],SIP[[#This Row],[Investor ID]])</f>
        <v>12A00533</v>
      </c>
      <c r="I833" s="46" t="str">
        <f>IF(SIP[[#This Row],[B/S]]="B","BUY",(IF(SIP[[#This Row],[B/S]]="S","SELL"," ")))</f>
        <v>BUY</v>
      </c>
      <c r="J833" s="150" t="s">
        <v>1229</v>
      </c>
      <c r="K833" s="152">
        <v>1000</v>
      </c>
      <c r="L833" s="122"/>
      <c r="M833" s="123">
        <f>SIP[[#This Row],[Amount]]/SIP[[#This Row],[Unit]]</f>
        <v>11.627906976744185</v>
      </c>
      <c r="N833" s="71">
        <f>SIP[[#This Row],[Unit Capital]]/10</f>
        <v>86</v>
      </c>
      <c r="O833" s="71">
        <f>SUMIFS(SIP[[#Headers],[Unit]]:SIP[[#This Row],[Unit]],SIP[[#Headers],[Investor ID]]:SIP[[#This Row],[Investor ID]],SIP[[#This Row],[Investor ID]])</f>
        <v>684</v>
      </c>
      <c r="P833" s="153">
        <v>860</v>
      </c>
      <c r="Q833" s="74">
        <f>SIP[[#This Row],[Amount]]-SIP[[#This Row],[Unit Capital]]</f>
        <v>140</v>
      </c>
      <c r="R8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11.334536676278738</v>
      </c>
      <c r="S833" s="68">
        <f t="shared" si="38"/>
        <v>14.224</v>
      </c>
      <c r="T8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3" s="74" cm="1">
        <f t="array" ref="U833">IF(SIP[[#This Row],[B/S]]="S",ABS(SIP[[#This Row],[Unit]])*(INDEX(SIP[NAV at Cost (Average)],MATCH(CONCATENATE((SIP[[#This Row],[Frequency]]-1),SIP[[#This Row],[Investor ID]]),SIP[Unique Code],0),0)),0)</f>
        <v>0</v>
      </c>
      <c r="V833" s="74">
        <f>IF(SIP[[#This Row],[BO TRANSFER]]="YES",SIP[[#This Row],[Unit]],)</f>
        <v>0</v>
      </c>
      <c r="W833" s="74">
        <f>SUMIFS(SIP[[#Headers],[BO UNIT TRANSFER]]:SIP[[#This Row],[BO UNIT TRANSFER]],SIP[[#Headers],[Investor ID]]:SIP[[#This Row],[Investor ID]],SIP[[#This Row],[Investor ID]])</f>
        <v>0</v>
      </c>
    </row>
    <row r="834" spans="1:23" ht="15" customHeight="1">
      <c r="A834" s="46">
        <v>2024</v>
      </c>
      <c r="B834" s="46">
        <v>11</v>
      </c>
      <c r="C834" s="46">
        <v>15</v>
      </c>
      <c r="D834" s="65">
        <f>DATE(SIP[[#This Row],[Year]],SIP[[#This Row],[Month]],SIP[[#This Row],[Day]])</f>
        <v>45611</v>
      </c>
      <c r="E834" s="66" t="str" cm="1">
        <f t="array" ref="E834">INDEX(INVESTORS_LIST[INVESTOR NAME],MATCH(SIP[[#This Row],[Investor ID]],INVESTORS_LIST[INVESTOR CODE],0),)</f>
        <v>MAHMUD ALI ALAMGIR &amp; MOHAMMED ALI XAHANGIR</v>
      </c>
      <c r="F834" s="46" t="s">
        <v>1130</v>
      </c>
      <c r="G834" s="46">
        <f>COUNTIF(SIP[[#Headers],[Investor ID]]:SIP[[#This Row],[Investor ID]],SIP[[#This Row],[Investor ID]])</f>
        <v>6</v>
      </c>
      <c r="H834" s="46" t="str">
        <f>CONCATENATE(SIP[[#This Row],[Frequency]],SIP[[#This Row],[Investor ID]])</f>
        <v>6A00540</v>
      </c>
      <c r="I834" s="46" t="str">
        <f>IF(SIP[[#This Row],[B/S]]="B","BUY",(IF(SIP[[#This Row],[B/S]]="S","SELL"," ")))</f>
        <v>BUY</v>
      </c>
      <c r="J834" s="150" t="s">
        <v>1229</v>
      </c>
      <c r="K834" s="152">
        <v>40000</v>
      </c>
      <c r="L834" s="122"/>
      <c r="M834" s="123">
        <f>SIP[[#This Row],[Amount]]/SIP[[#This Row],[Unit]]</f>
        <v>11.655011655011656</v>
      </c>
      <c r="N834" s="71">
        <f>SIP[[#This Row],[Unit Capital]]/10</f>
        <v>3432</v>
      </c>
      <c r="O834" s="71">
        <f>SUMIFS(SIP[[#Headers],[Unit]]:SIP[[#This Row],[Unit]],SIP[[#Headers],[Investor ID]]:SIP[[#This Row],[Investor ID]],SIP[[#This Row],[Investor ID]])</f>
        <v>21092</v>
      </c>
      <c r="P834" s="153">
        <v>34320</v>
      </c>
      <c r="Q834" s="74">
        <f>SIP[[#This Row],[Amount]]-SIP[[#This Row],[Unit Capital]]</f>
        <v>5680</v>
      </c>
      <c r="R8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11.378721790252229</v>
      </c>
      <c r="S834" s="68">
        <f t="shared" si="38"/>
        <v>14.224</v>
      </c>
      <c r="T8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4" s="74" cm="1">
        <f t="array" ref="U834">IF(SIP[[#This Row],[B/S]]="S",ABS(SIP[[#This Row],[Unit]])*(INDEX(SIP[NAV at Cost (Average)],MATCH(CONCATENATE((SIP[[#This Row],[Frequency]]-1),SIP[[#This Row],[Investor ID]]),SIP[Unique Code],0),0)),0)</f>
        <v>0</v>
      </c>
      <c r="V834" s="74">
        <f>IF(SIP[[#This Row],[BO TRANSFER]]="YES",SIP[[#This Row],[Unit]],)</f>
        <v>0</v>
      </c>
      <c r="W834" s="74">
        <f>SUMIFS(SIP[[#Headers],[BO UNIT TRANSFER]]:SIP[[#This Row],[BO UNIT TRANSFER]],SIP[[#Headers],[Investor ID]]:SIP[[#This Row],[Investor ID]],SIP[[#This Row],[Investor ID]])</f>
        <v>0</v>
      </c>
    </row>
    <row r="835" spans="1:23" ht="15" customHeight="1">
      <c r="A835" s="46">
        <v>2024</v>
      </c>
      <c r="B835" s="46">
        <v>11</v>
      </c>
      <c r="C835" s="46">
        <v>15</v>
      </c>
      <c r="D835" s="65">
        <f>DATE(SIP[[#This Row],[Year]],SIP[[#This Row],[Month]],SIP[[#This Row],[Day]])</f>
        <v>45611</v>
      </c>
      <c r="E835" s="66" t="str" cm="1">
        <f t="array" ref="E835">INDEX(INVESTORS_LIST[INVESTOR NAME],MATCH(SIP[[#This Row],[Investor ID]],INVESTORS_LIST[INVESTOR CODE],0),)</f>
        <v>AKIB TANVIR ANJUM</v>
      </c>
      <c r="F835" s="46" t="s">
        <v>1116</v>
      </c>
      <c r="G835" s="46">
        <f>COUNTIF(SIP[[#Headers],[Investor ID]]:SIP[[#This Row],[Investor ID]],SIP[[#This Row],[Investor ID]])</f>
        <v>13</v>
      </c>
      <c r="H835" s="46" t="str">
        <f>CONCATENATE(SIP[[#This Row],[Frequency]],SIP[[#This Row],[Investor ID]])</f>
        <v>13A00533</v>
      </c>
      <c r="I835" s="46" t="str">
        <f>IF(SIP[[#This Row],[B/S]]="B","BUY",(IF(SIP[[#This Row],[B/S]]="S","SELL"," ")))</f>
        <v>BUY</v>
      </c>
      <c r="J835" s="150" t="s">
        <v>1229</v>
      </c>
      <c r="K835" s="152">
        <v>1000</v>
      </c>
      <c r="L835" s="122"/>
      <c r="M835" s="123">
        <f>SIP[[#This Row],[Amount]]/SIP[[#This Row],[Unit]]</f>
        <v>11.627906976744185</v>
      </c>
      <c r="N835" s="71">
        <f>SIP[[#This Row],[Unit Capital]]/10</f>
        <v>86</v>
      </c>
      <c r="O835" s="71">
        <f>SUMIFS(SIP[[#Headers],[Unit]]:SIP[[#This Row],[Unit]],SIP[[#Headers],[Investor ID]]:SIP[[#This Row],[Investor ID]],SIP[[#This Row],[Investor ID]])</f>
        <v>770</v>
      </c>
      <c r="P835" s="153">
        <v>860</v>
      </c>
      <c r="Q835" s="74">
        <f>SIP[[#This Row],[Amount]]-SIP[[#This Row],[Unit Capital]]</f>
        <v>140</v>
      </c>
      <c r="R8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11.367302709837215</v>
      </c>
      <c r="S835" s="68">
        <f t="shared" si="38"/>
        <v>14.224</v>
      </c>
      <c r="T8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5" s="74" cm="1">
        <f t="array" ref="U835">IF(SIP[[#This Row],[B/S]]="S",ABS(SIP[[#This Row],[Unit]])*(INDEX(SIP[NAV at Cost (Average)],MATCH(CONCATENATE((SIP[[#This Row],[Frequency]]-1),SIP[[#This Row],[Investor ID]]),SIP[Unique Code],0),0)),0)</f>
        <v>0</v>
      </c>
      <c r="V835" s="74">
        <f>IF(SIP[[#This Row],[BO TRANSFER]]="YES",SIP[[#This Row],[Unit]],)</f>
        <v>0</v>
      </c>
      <c r="W835" s="74">
        <f>SUMIFS(SIP[[#Headers],[BO UNIT TRANSFER]]:SIP[[#This Row],[BO UNIT TRANSFER]],SIP[[#Headers],[Investor ID]]:SIP[[#This Row],[Investor ID]],SIP[[#This Row],[Investor ID]])</f>
        <v>0</v>
      </c>
    </row>
    <row r="836" spans="1:23" ht="15" customHeight="1">
      <c r="A836" s="46">
        <v>2024</v>
      </c>
      <c r="B836" s="46">
        <v>11</v>
      </c>
      <c r="C836" s="46">
        <v>15</v>
      </c>
      <c r="D836" s="65">
        <f>DATE(SIP[[#This Row],[Year]],SIP[[#This Row],[Month]],SIP[[#This Row],[Day]])</f>
        <v>45611</v>
      </c>
      <c r="E836" s="66" t="str" cm="1">
        <f t="array" ref="E836">INDEX(INVESTORS_LIST[INVESTOR NAME],MATCH(SIP[[#This Row],[Investor ID]],INVESTORS_LIST[INVESTOR CODE],0),)</f>
        <v>MAHFUZA ANIKA</v>
      </c>
      <c r="F836" s="46" t="s">
        <v>1277</v>
      </c>
      <c r="G836" s="46">
        <f>COUNTIF(SIP[[#Headers],[Investor ID]]:SIP[[#This Row],[Investor ID]],SIP[[#This Row],[Investor ID]])</f>
        <v>5</v>
      </c>
      <c r="H836" s="46" t="str">
        <f>CONCATENATE(SIP[[#This Row],[Frequency]],SIP[[#This Row],[Investor ID]])</f>
        <v>5A00585</v>
      </c>
      <c r="I836" s="46" t="str">
        <f>IF(SIP[[#This Row],[B/S]]="B","BUY",(IF(SIP[[#This Row],[B/S]]="S","SELL"," ")))</f>
        <v>BUY</v>
      </c>
      <c r="J836" s="150" t="s">
        <v>1229</v>
      </c>
      <c r="K836" s="152">
        <v>2000</v>
      </c>
      <c r="L836" s="122"/>
      <c r="M836" s="123">
        <f>SIP[[#This Row],[Amount]]/SIP[[#This Row],[Unit]]</f>
        <v>11.627906976744185</v>
      </c>
      <c r="N836" s="71">
        <f>SIP[[#This Row],[Unit Capital]]/10</f>
        <v>172</v>
      </c>
      <c r="O836" s="71">
        <f>SUMIFS(SIP[[#Headers],[Unit]]:SIP[[#This Row],[Unit]],SIP[[#Headers],[Investor ID]]:SIP[[#This Row],[Investor ID]],SIP[[#This Row],[Investor ID]])</f>
        <v>696</v>
      </c>
      <c r="P836" s="153">
        <v>1720</v>
      </c>
      <c r="Q836" s="74">
        <f>SIP[[#This Row],[Amount]]-SIP[[#This Row],[Unit Capital]]</f>
        <v>280</v>
      </c>
      <c r="R8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11.494252873563219</v>
      </c>
      <c r="S836" s="68">
        <f t="shared" si="38"/>
        <v>14.224</v>
      </c>
      <c r="T8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6" s="74" cm="1">
        <f t="array" ref="U836">IF(SIP[[#This Row],[B/S]]="S",ABS(SIP[[#This Row],[Unit]])*(INDEX(SIP[NAV at Cost (Average)],MATCH(CONCATENATE((SIP[[#This Row],[Frequency]]-1),SIP[[#This Row],[Investor ID]]),SIP[Unique Code],0),0)),0)</f>
        <v>0</v>
      </c>
      <c r="V836" s="74">
        <f>IF(SIP[[#This Row],[BO TRANSFER]]="YES",SIP[[#This Row],[Unit]],)</f>
        <v>0</v>
      </c>
      <c r="W836" s="74">
        <f>SUMIFS(SIP[[#Headers],[BO UNIT TRANSFER]]:SIP[[#This Row],[BO UNIT TRANSFER]],SIP[[#Headers],[Investor ID]]:SIP[[#This Row],[Investor ID]],SIP[[#This Row],[Investor ID]])</f>
        <v>0</v>
      </c>
    </row>
    <row r="837" spans="1:23" ht="15" customHeight="1">
      <c r="A837" s="46">
        <v>2024</v>
      </c>
      <c r="B837" s="46">
        <v>11</v>
      </c>
      <c r="C837" s="46">
        <v>15</v>
      </c>
      <c r="D837" s="65">
        <f>DATE(SIP[[#This Row],[Year]],SIP[[#This Row],[Month]],SIP[[#This Row],[Day]])</f>
        <v>45611</v>
      </c>
      <c r="E837" s="66" t="str" cm="1">
        <f t="array" ref="E837">INDEX(INVESTORS_LIST[INVESTOR NAME],MATCH(SIP[[#This Row],[Investor ID]],INVESTORS_LIST[INVESTOR CODE],0),)</f>
        <v>ASHIK CHOWDHURY OVI</v>
      </c>
      <c r="F837" s="46" t="s">
        <v>1101</v>
      </c>
      <c r="G837" s="46">
        <f>COUNTIF(SIP[[#Headers],[Investor ID]]:SIP[[#This Row],[Investor ID]],SIP[[#This Row],[Investor ID]])</f>
        <v>1</v>
      </c>
      <c r="H837" s="46" t="str">
        <f>CONCATENATE(SIP[[#This Row],[Frequency]],SIP[[#This Row],[Investor ID]])</f>
        <v>1A00527</v>
      </c>
      <c r="I837" s="46" t="str">
        <f>IF(SIP[[#This Row],[B/S]]="B","BUY",(IF(SIP[[#This Row],[B/S]]="S","SELL"," ")))</f>
        <v>BUY</v>
      </c>
      <c r="J837" s="150" t="s">
        <v>1229</v>
      </c>
      <c r="K837" s="152">
        <v>5000</v>
      </c>
      <c r="L837" s="122"/>
      <c r="M837" s="123">
        <f>SIP[[#This Row],[Amount]]/SIP[[#This Row],[Unit]]</f>
        <v>11.655011655011656</v>
      </c>
      <c r="N837" s="71">
        <f>SIP[[#This Row],[Unit Capital]]/10</f>
        <v>429</v>
      </c>
      <c r="O837" s="71">
        <f>SUMIFS(SIP[[#Headers],[Unit]]:SIP[[#This Row],[Unit]],SIP[[#Headers],[Investor ID]]:SIP[[#This Row],[Investor ID]],SIP[[#This Row],[Investor ID]])</f>
        <v>429</v>
      </c>
      <c r="P837" s="153">
        <v>4290</v>
      </c>
      <c r="Q837" s="74">
        <f>SIP[[#This Row],[Amount]]-SIP[[#This Row],[Unit Capital]]</f>
        <v>710</v>
      </c>
      <c r="R8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11.655011655011656</v>
      </c>
      <c r="S837" s="68">
        <f t="shared" si="38"/>
        <v>14.224</v>
      </c>
      <c r="T8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7" s="74" cm="1">
        <f t="array" ref="U837">IF(SIP[[#This Row],[B/S]]="S",ABS(SIP[[#This Row],[Unit]])*(INDEX(SIP[NAV at Cost (Average)],MATCH(CONCATENATE((SIP[[#This Row],[Frequency]]-1),SIP[[#This Row],[Investor ID]]),SIP[Unique Code],0),0)),0)</f>
        <v>0</v>
      </c>
      <c r="V837" s="74">
        <f>IF(SIP[[#This Row],[BO TRANSFER]]="YES",SIP[[#This Row],[Unit]],)</f>
        <v>0</v>
      </c>
      <c r="W837" s="74">
        <f>SUMIFS(SIP[[#Headers],[BO UNIT TRANSFER]]:SIP[[#This Row],[BO UNIT TRANSFER]],SIP[[#Headers],[Investor ID]]:SIP[[#This Row],[Investor ID]],SIP[[#This Row],[Investor ID]])</f>
        <v>0</v>
      </c>
    </row>
    <row r="838" spans="1:23" ht="15" customHeight="1">
      <c r="A838" s="46">
        <v>2024</v>
      </c>
      <c r="B838" s="46">
        <v>11</v>
      </c>
      <c r="C838" s="46">
        <v>15</v>
      </c>
      <c r="D838" s="65">
        <f>DATE(SIP[[#This Row],[Year]],SIP[[#This Row],[Month]],SIP[[#This Row],[Day]])</f>
        <v>45611</v>
      </c>
      <c r="E838" s="66" t="str" cm="1">
        <f t="array" ref="E838">INDEX(INVESTORS_LIST[INVESTOR NAME],MATCH(SIP[[#This Row],[Investor ID]],INVESTORS_LIST[INVESTOR CODE],0),)</f>
        <v>ASRAAR HOSSAIN</v>
      </c>
      <c r="F838" s="46" t="s">
        <v>786</v>
      </c>
      <c r="G838" s="46">
        <f>COUNTIF(SIP[[#Headers],[Investor ID]]:SIP[[#This Row],[Investor ID]],SIP[[#This Row],[Investor ID]])</f>
        <v>2</v>
      </c>
      <c r="H838" s="46" t="str">
        <f>CONCATENATE(SIP[[#This Row],[Frequency]],SIP[[#This Row],[Investor ID]])</f>
        <v>2A00369</v>
      </c>
      <c r="I838" s="46" t="str">
        <f>IF(SIP[[#This Row],[B/S]]="B","BUY",(IF(SIP[[#This Row],[B/S]]="S","SELL"," ")))</f>
        <v>BUY</v>
      </c>
      <c r="J838" s="150" t="s">
        <v>1229</v>
      </c>
      <c r="K838" s="152">
        <v>15000</v>
      </c>
      <c r="L838" s="122"/>
      <c r="M838" s="123">
        <f>SIP[[#This Row],[Amount]]/SIP[[#This Row],[Unit]]</f>
        <v>11.655011655011656</v>
      </c>
      <c r="N838" s="71">
        <f>SIP[[#This Row],[Unit Capital]]/10</f>
        <v>1287</v>
      </c>
      <c r="O838" s="71">
        <f>SUMIFS(SIP[[#Headers],[Unit]]:SIP[[#This Row],[Unit]],SIP[[#Headers],[Investor ID]]:SIP[[#This Row],[Investor ID]],SIP[[#This Row],[Investor ID]])</f>
        <v>2585</v>
      </c>
      <c r="P838" s="153">
        <v>12870</v>
      </c>
      <c r="Q838" s="74">
        <f>SIP[[#This Row],[Amount]]-SIP[[#This Row],[Unit Capital]]</f>
        <v>2130</v>
      </c>
      <c r="R8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11.605415860735009</v>
      </c>
      <c r="S838" s="68">
        <f t="shared" si="38"/>
        <v>14.224</v>
      </c>
      <c r="T8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8" s="74" cm="1">
        <f t="array" ref="U838">IF(SIP[[#This Row],[B/S]]="S",ABS(SIP[[#This Row],[Unit]])*(INDEX(SIP[NAV at Cost (Average)],MATCH(CONCATENATE((SIP[[#This Row],[Frequency]]-1),SIP[[#This Row],[Investor ID]]),SIP[Unique Code],0),0)),0)</f>
        <v>0</v>
      </c>
      <c r="V838" s="74">
        <f>IF(SIP[[#This Row],[BO TRANSFER]]="YES",SIP[[#This Row],[Unit]],)</f>
        <v>0</v>
      </c>
      <c r="W838" s="74">
        <f>SUMIFS(SIP[[#Headers],[BO UNIT TRANSFER]]:SIP[[#This Row],[BO UNIT TRANSFER]],SIP[[#Headers],[Investor ID]]:SIP[[#This Row],[Investor ID]],SIP[[#This Row],[Investor ID]])</f>
        <v>0</v>
      </c>
    </row>
    <row r="839" spans="1:23" ht="15" customHeight="1">
      <c r="A839" s="46">
        <v>2024</v>
      </c>
      <c r="B839" s="46">
        <v>11</v>
      </c>
      <c r="C839" s="46">
        <v>18</v>
      </c>
      <c r="D839" s="65">
        <f>DATE(SIP[[#This Row],[Year]],SIP[[#This Row],[Month]],SIP[[#This Row],[Day]])</f>
        <v>45614</v>
      </c>
      <c r="E839" s="66" t="str" cm="1">
        <f t="array" ref="E839">INDEX(INVESTORS_LIST[INVESTOR NAME],MATCH(SIP[[#This Row],[Investor ID]],INVESTORS_LIST[INVESTOR CODE],0),)</f>
        <v>CHANCHAL KUMAR SAHA</v>
      </c>
      <c r="F839" s="46" t="s">
        <v>569</v>
      </c>
      <c r="G839" s="46">
        <f>COUNTIF(SIP[[#Headers],[Investor ID]]:SIP[[#This Row],[Investor ID]],SIP[[#This Row],[Investor ID]])</f>
        <v>10</v>
      </c>
      <c r="H839" s="46" t="str">
        <f>CONCATENATE(SIP[[#This Row],[Frequency]],SIP[[#This Row],[Investor ID]])</f>
        <v>10A00260</v>
      </c>
      <c r="I839" s="46" t="str">
        <f>IF(SIP[[#This Row],[B/S]]="B","BUY",(IF(SIP[[#This Row],[B/S]]="S","SELL"," ")))</f>
        <v>SELL</v>
      </c>
      <c r="J839" s="150" t="s">
        <v>1231</v>
      </c>
      <c r="K839" s="152">
        <v>-15000</v>
      </c>
      <c r="L839" s="122"/>
      <c r="M839" s="123">
        <f>SIP[[#This Row],[Amount]]/SIP[[#This Row],[Unit]]</f>
        <v>11.655011655011656</v>
      </c>
      <c r="N839" s="71">
        <f>SIP[[#This Row],[Unit Capital]]/10</f>
        <v>-1287</v>
      </c>
      <c r="O839" s="71">
        <f>SUMIFS(SIP[[#Headers],[Unit]]:SIP[[#This Row],[Unit]],SIP[[#Headers],[Investor ID]]:SIP[[#This Row],[Investor ID]],SIP[[#This Row],[Investor ID]])</f>
        <v>5543</v>
      </c>
      <c r="P839" s="153">
        <v>-12870</v>
      </c>
      <c r="Q839" s="74">
        <f>SIP[[#This Row],[Amount]]-SIP[[#This Row],[Unit Capital]]</f>
        <v>-2130</v>
      </c>
      <c r="R8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11.17365664297329</v>
      </c>
      <c r="S839" s="68">
        <f t="shared" si="38"/>
        <v>14.224</v>
      </c>
      <c r="T839" s="74">
        <f>IF(SIP[[#This Row],[B/S]]="B",0,ABS(SIP[[#This Row],[Unit]])*(SIP[[#This Row],[NAV (Strike Rate)]]-INDEX(SIP[NAV at Cost (Average)],MATCH(CONCATENATE(SIP[[#This Row],[Frequency]]-1,SIP[[#This Row],[Investor ID]]),SIP[Unique Code],0),)))</f>
        <v>619.50390049337659</v>
      </c>
      <c r="U839" s="74" cm="1">
        <f t="array" ref="U839">IF(SIP[[#This Row],[B/S]]="S",ABS(SIP[[#This Row],[Unit]])*(INDEX(SIP[NAV at Cost (Average)],MATCH(CONCATENATE((SIP[[#This Row],[Frequency]]-1),SIP[[#This Row],[Investor ID]]),SIP[Unique Code],0),0)),0)</f>
        <v>14380.496099506625</v>
      </c>
      <c r="V839" s="74">
        <f>IF(SIP[[#This Row],[BO TRANSFER]]="YES",SIP[[#This Row],[Unit]],)</f>
        <v>0</v>
      </c>
      <c r="W839" s="74">
        <f>SUMIFS(SIP[[#Headers],[BO UNIT TRANSFER]]:SIP[[#This Row],[BO UNIT TRANSFER]],SIP[[#Headers],[Investor ID]]:SIP[[#This Row],[Investor ID]],SIP[[#This Row],[Investor ID]])</f>
        <v>0</v>
      </c>
    </row>
    <row r="840" spans="1:23" ht="15" customHeight="1">
      <c r="A840" s="46">
        <v>2024</v>
      </c>
      <c r="B840" s="46">
        <v>11</v>
      </c>
      <c r="C840" s="46">
        <v>20</v>
      </c>
      <c r="D840" s="65">
        <f>DATE(SIP[[#This Row],[Year]],SIP[[#This Row],[Month]],SIP[[#This Row],[Day]])</f>
        <v>45616</v>
      </c>
      <c r="E840" s="66" t="str" cm="1">
        <f t="array" ref="E840">INDEX(INVESTORS_LIST[INVESTOR NAME],MATCH(SIP[[#This Row],[Investor ID]],INVESTORS_LIST[INVESTOR CODE],0),)</f>
        <v>NUSRAT JAHAN TISHA</v>
      </c>
      <c r="F840" s="46" t="s">
        <v>926</v>
      </c>
      <c r="G840" s="46">
        <f>COUNTIF(SIP[[#Headers],[Investor ID]]:SIP[[#This Row],[Investor ID]],SIP[[#This Row],[Investor ID]])</f>
        <v>14</v>
      </c>
      <c r="H840" s="46" t="str">
        <f>CONCATENATE(SIP[[#This Row],[Frequency]],SIP[[#This Row],[Investor ID]])</f>
        <v>14A00440</v>
      </c>
      <c r="I840" s="46" t="str">
        <f>IF(SIP[[#This Row],[B/S]]="B","BUY",(IF(SIP[[#This Row],[B/S]]="S","SELL"," ")))</f>
        <v>SELL</v>
      </c>
      <c r="J840" s="150" t="s">
        <v>1231</v>
      </c>
      <c r="K840" s="152">
        <v>-10000</v>
      </c>
      <c r="L840" s="122"/>
      <c r="M840" s="123">
        <f>SIP[[#This Row],[Amount]]/SIP[[#This Row],[Unit]]</f>
        <v>11.655011655011656</v>
      </c>
      <c r="N840" s="71">
        <f>SIP[[#This Row],[Unit Capital]]/10</f>
        <v>-858</v>
      </c>
      <c r="O840" s="71">
        <f>SUMIFS(SIP[[#Headers],[Unit]]:SIP[[#This Row],[Unit]],SIP[[#Headers],[Investor ID]]:SIP[[#This Row],[Investor ID]],SIP[[#This Row],[Investor ID]])</f>
        <v>3996</v>
      </c>
      <c r="P840" s="153">
        <v>-8580</v>
      </c>
      <c r="Q840" s="74">
        <f>SIP[[#This Row],[Amount]]-SIP[[#This Row],[Unit Capital]]</f>
        <v>-1420</v>
      </c>
      <c r="R8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11.111669834061701</v>
      </c>
      <c r="S840" s="68">
        <f t="shared" si="38"/>
        <v>14.224</v>
      </c>
      <c r="T840" s="74">
        <f>IF(SIP[[#This Row],[B/S]]="B",0,ABS(SIP[[#This Row],[Unit]])*(SIP[[#This Row],[NAV (Strike Rate)]]-INDEX(SIP[NAV at Cost (Average)],MATCH(CONCATENATE(SIP[[#This Row],[Frequency]]-1,SIP[[#This Row],[Investor ID]]),SIP[Unique Code],0),)))</f>
        <v>466.18728237506139</v>
      </c>
      <c r="U840" s="74" cm="1">
        <f t="array" ref="U840">IF(SIP[[#This Row],[B/S]]="S",ABS(SIP[[#This Row],[Unit]])*(INDEX(SIP[NAV at Cost (Average)],MATCH(CONCATENATE((SIP[[#This Row],[Frequency]]-1),SIP[[#This Row],[Investor ID]]),SIP[Unique Code],0),0)),0)</f>
        <v>9533.81271762494</v>
      </c>
      <c r="V840" s="74">
        <f>IF(SIP[[#This Row],[BO TRANSFER]]="YES",SIP[[#This Row],[Unit]],)</f>
        <v>0</v>
      </c>
      <c r="W840" s="74">
        <f>SUMIFS(SIP[[#Headers],[BO UNIT TRANSFER]]:SIP[[#This Row],[BO UNIT TRANSFER]],SIP[[#Headers],[Investor ID]]:SIP[[#This Row],[Investor ID]],SIP[[#This Row],[Investor ID]])</f>
        <v>0</v>
      </c>
    </row>
    <row r="841" spans="1:23" ht="15" customHeight="1">
      <c r="A841" s="46">
        <v>2024</v>
      </c>
      <c r="B841" s="46">
        <v>11</v>
      </c>
      <c r="C841" s="46">
        <v>26</v>
      </c>
      <c r="D841" s="65">
        <f>DATE(SIP[[#This Row],[Year]],SIP[[#This Row],[Month]],SIP[[#This Row],[Day]])</f>
        <v>45622</v>
      </c>
      <c r="E841" s="66" t="str" cm="1">
        <f t="array" ref="E841">INDEX(INVESTORS_LIST[INVESTOR NAME],MATCH(SIP[[#This Row],[Investor ID]],INVESTORS_LIST[INVESTOR CODE],0),)</f>
        <v>SADIA PARVIN</v>
      </c>
      <c r="F841" s="46" t="s">
        <v>1018</v>
      </c>
      <c r="G841" s="46">
        <f>COUNTIF(SIP[[#Headers],[Investor ID]]:SIP[[#This Row],[Investor ID]],SIP[[#This Row],[Investor ID]])</f>
        <v>24</v>
      </c>
      <c r="H841" s="46" t="str">
        <f>CONCATENATE(SIP[[#This Row],[Frequency]],SIP[[#This Row],[Investor ID]])</f>
        <v>24A00486</v>
      </c>
      <c r="I841" s="46" t="str">
        <f>IF(SIP[[#This Row],[B/S]]="B","BUY",(IF(SIP[[#This Row],[B/S]]="S","SELL"," ")))</f>
        <v>BUY</v>
      </c>
      <c r="J841" s="150" t="s">
        <v>1229</v>
      </c>
      <c r="K841" s="152">
        <v>5000</v>
      </c>
      <c r="L841" s="122"/>
      <c r="M841" s="123">
        <f>SIP[[#This Row],[Amount]]/SIP[[#This Row],[Unit]]</f>
        <v>11.682242990654206</v>
      </c>
      <c r="N841" s="71">
        <f>SIP[[#This Row],[Unit Capital]]/10</f>
        <v>428</v>
      </c>
      <c r="O841" s="71">
        <f>SUMIFS(SIP[[#Headers],[Unit]]:SIP[[#This Row],[Unit]],SIP[[#Headers],[Investor ID]]:SIP[[#This Row],[Investor ID]],SIP[[#This Row],[Investor ID]])</f>
        <v>10950</v>
      </c>
      <c r="P841" s="153">
        <v>4280</v>
      </c>
      <c r="Q841" s="74">
        <f>SIP[[#This Row],[Amount]]-SIP[[#This Row],[Unit Capital]]</f>
        <v>720</v>
      </c>
      <c r="R8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10.958904109589044</v>
      </c>
      <c r="S841" s="68">
        <f t="shared" ref="S841:S867" si="39">NAV_MKT</f>
        <v>14.224</v>
      </c>
      <c r="T8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1" s="74" cm="1">
        <f t="array" ref="U841">IF(SIP[[#This Row],[B/S]]="S",ABS(SIP[[#This Row],[Unit]])*(INDEX(SIP[NAV at Cost (Average)],MATCH(CONCATENATE((SIP[[#This Row],[Frequency]]-1),SIP[[#This Row],[Investor ID]]),SIP[Unique Code],0),0)),0)</f>
        <v>0</v>
      </c>
      <c r="V841" s="74">
        <f>IF(SIP[[#This Row],[BO TRANSFER]]="YES",SIP[[#This Row],[Unit]],)</f>
        <v>0</v>
      </c>
      <c r="W841" s="74">
        <f>SUMIFS(SIP[[#Headers],[BO UNIT TRANSFER]]:SIP[[#This Row],[BO UNIT TRANSFER]],SIP[[#Headers],[Investor ID]]:SIP[[#This Row],[Investor ID]],SIP[[#This Row],[Investor ID]])</f>
        <v>0</v>
      </c>
    </row>
    <row r="842" spans="1:23" ht="15" customHeight="1">
      <c r="A842" s="46">
        <v>2024</v>
      </c>
      <c r="B842" s="46">
        <v>11</v>
      </c>
      <c r="C842" s="46">
        <v>26</v>
      </c>
      <c r="D842" s="65">
        <f>DATE(SIP[[#This Row],[Year]],SIP[[#This Row],[Month]],SIP[[#This Row],[Day]])</f>
        <v>45622</v>
      </c>
      <c r="E842" s="66" t="str" cm="1">
        <f t="array" ref="E842">INDEX(INVESTORS_LIST[INVESTOR NAME],MATCH(SIP[[#This Row],[Investor ID]],INVESTORS_LIST[INVESTOR CODE],0),)</f>
        <v>MD. WALI ULLAH</v>
      </c>
      <c r="F842" s="46" t="s">
        <v>443</v>
      </c>
      <c r="G842" s="46">
        <f>COUNTIF(SIP[[#Headers],[Investor ID]]:SIP[[#This Row],[Investor ID]],SIP[[#This Row],[Investor ID]])</f>
        <v>19</v>
      </c>
      <c r="H842" s="46" t="str">
        <f>CONCATENATE(SIP[[#This Row],[Frequency]],SIP[[#This Row],[Investor ID]])</f>
        <v>19A00197</v>
      </c>
      <c r="I842" s="46" t="str">
        <f>IF(SIP[[#This Row],[B/S]]="B","BUY",(IF(SIP[[#This Row],[B/S]]="S","SELL"," ")))</f>
        <v>BUY</v>
      </c>
      <c r="J842" s="150" t="s">
        <v>1229</v>
      </c>
      <c r="K842" s="152">
        <v>15000</v>
      </c>
      <c r="L842" s="122"/>
      <c r="M842" s="123">
        <f>SIP[[#This Row],[Amount]]/SIP[[#This Row],[Unit]]</f>
        <v>11.682242990654206</v>
      </c>
      <c r="N842" s="71">
        <f>SIP[[#This Row],[Unit Capital]]/10</f>
        <v>1284</v>
      </c>
      <c r="O842" s="71">
        <f>SUMIFS(SIP[[#Headers],[Unit]]:SIP[[#This Row],[Unit]],SIP[[#Headers],[Investor ID]]:SIP[[#This Row],[Investor ID]],SIP[[#This Row],[Investor ID]])</f>
        <v>26264</v>
      </c>
      <c r="P842" s="153">
        <v>12840</v>
      </c>
      <c r="Q842" s="74">
        <f>SIP[[#This Row],[Amount]]-SIP[[#This Row],[Unit Capital]]</f>
        <v>2160</v>
      </c>
      <c r="R8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10.851355467560154</v>
      </c>
      <c r="S842" s="68">
        <f t="shared" si="39"/>
        <v>14.224</v>
      </c>
      <c r="T8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2" s="74" cm="1">
        <f t="array" ref="U842">IF(SIP[[#This Row],[B/S]]="S",ABS(SIP[[#This Row],[Unit]])*(INDEX(SIP[NAV at Cost (Average)],MATCH(CONCATENATE((SIP[[#This Row],[Frequency]]-1),SIP[[#This Row],[Investor ID]]),SIP[Unique Code],0),0)),0)</f>
        <v>0</v>
      </c>
      <c r="V842" s="74">
        <f>IF(SIP[[#This Row],[BO TRANSFER]]="YES",SIP[[#This Row],[Unit]],)</f>
        <v>0</v>
      </c>
      <c r="W842" s="74">
        <f>SUMIFS(SIP[[#Headers],[BO UNIT TRANSFER]]:SIP[[#This Row],[BO UNIT TRANSFER]],SIP[[#Headers],[Investor ID]]:SIP[[#This Row],[Investor ID]],SIP[[#This Row],[Investor ID]])</f>
        <v>0</v>
      </c>
    </row>
    <row r="843" spans="1:23" ht="15" customHeight="1">
      <c r="A843" s="46">
        <v>2024</v>
      </c>
      <c r="B843" s="46">
        <v>11</v>
      </c>
      <c r="C843" s="46">
        <v>26</v>
      </c>
      <c r="D843" s="65">
        <f>DATE(SIP[[#This Row],[Year]],SIP[[#This Row],[Month]],SIP[[#This Row],[Day]])</f>
        <v>45622</v>
      </c>
      <c r="E843" s="66" t="str" cm="1">
        <f t="array" ref="E843">INDEX(INVESTORS_LIST[INVESTOR NAME],MATCH(SIP[[#This Row],[Investor ID]],INVESTORS_LIST[INVESTOR CODE],0),)</f>
        <v>SIKDER FAZLE RABBI</v>
      </c>
      <c r="F843" s="46" t="s">
        <v>1032</v>
      </c>
      <c r="G843" s="46">
        <f>COUNTIF(SIP[[#Headers],[Investor ID]]:SIP[[#This Row],[Investor ID]],SIP[[#This Row],[Investor ID]])</f>
        <v>18</v>
      </c>
      <c r="H843" s="46" t="str">
        <f>CONCATENATE(SIP[[#This Row],[Frequency]],SIP[[#This Row],[Investor ID]])</f>
        <v>18A00493</v>
      </c>
      <c r="I843" s="46" t="str">
        <f>IF(SIP[[#This Row],[B/S]]="B","BUY",(IF(SIP[[#This Row],[B/S]]="S","SELL"," ")))</f>
        <v>BUY</v>
      </c>
      <c r="J843" s="150" t="s">
        <v>1229</v>
      </c>
      <c r="K843" s="152">
        <v>5000</v>
      </c>
      <c r="L843" s="122"/>
      <c r="M843" s="123">
        <f>SIP[[#This Row],[Amount]]/SIP[[#This Row],[Unit]]</f>
        <v>11.682242990654206</v>
      </c>
      <c r="N843" s="71">
        <f>SIP[[#This Row],[Unit Capital]]/10</f>
        <v>428</v>
      </c>
      <c r="O843" s="71">
        <f>SUMIFS(SIP[[#Headers],[Unit]]:SIP[[#This Row],[Unit]],SIP[[#Headers],[Investor ID]]:SIP[[#This Row],[Investor ID]],SIP[[#This Row],[Investor ID]])</f>
        <v>8262</v>
      </c>
      <c r="P843" s="153">
        <v>4280</v>
      </c>
      <c r="Q843" s="74">
        <f>SIP[[#This Row],[Amount]]-SIP[[#This Row],[Unit Capital]]</f>
        <v>720</v>
      </c>
      <c r="R8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10.893246187363836</v>
      </c>
      <c r="S843" s="68">
        <f t="shared" si="39"/>
        <v>14.224</v>
      </c>
      <c r="T8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3" s="74" cm="1">
        <f t="array" ref="U843">IF(SIP[[#This Row],[B/S]]="S",ABS(SIP[[#This Row],[Unit]])*(INDEX(SIP[NAV at Cost (Average)],MATCH(CONCATENATE((SIP[[#This Row],[Frequency]]-1),SIP[[#This Row],[Investor ID]]),SIP[Unique Code],0),0)),0)</f>
        <v>0</v>
      </c>
      <c r="V843" s="74">
        <f>IF(SIP[[#This Row],[BO TRANSFER]]="YES",SIP[[#This Row],[Unit]],)</f>
        <v>0</v>
      </c>
      <c r="W843" s="74">
        <f>SUMIFS(SIP[[#Headers],[BO UNIT TRANSFER]]:SIP[[#This Row],[BO UNIT TRANSFER]],SIP[[#Headers],[Investor ID]]:SIP[[#This Row],[Investor ID]],SIP[[#This Row],[Investor ID]])</f>
        <v>0</v>
      </c>
    </row>
    <row r="844" spans="1:23" ht="15" customHeight="1">
      <c r="A844" s="46">
        <v>2024</v>
      </c>
      <c r="B844" s="46">
        <v>11</v>
      </c>
      <c r="C844" s="46">
        <v>26</v>
      </c>
      <c r="D844" s="65">
        <f>DATE(SIP[[#This Row],[Year]],SIP[[#This Row],[Month]],SIP[[#This Row],[Day]])</f>
        <v>45622</v>
      </c>
      <c r="E844" s="66" t="str" cm="1">
        <f t="array" ref="E844">INDEX(INVESTORS_LIST[INVESTOR NAME],MATCH(SIP[[#This Row],[Investor ID]],INVESTORS_LIST[INVESTOR CODE],0),)</f>
        <v>SAJJAD CHOWDHURY</v>
      </c>
      <c r="F844" s="46" t="s">
        <v>461</v>
      </c>
      <c r="G844" s="46">
        <f>COUNTIF(SIP[[#Headers],[Investor ID]]:SIP[[#This Row],[Investor ID]],SIP[[#This Row],[Investor ID]])</f>
        <v>19</v>
      </c>
      <c r="H844" s="46" t="str">
        <f>CONCATENATE(SIP[[#This Row],[Frequency]],SIP[[#This Row],[Investor ID]])</f>
        <v>19A00206</v>
      </c>
      <c r="I844" s="46" t="str">
        <f>IF(SIP[[#This Row],[B/S]]="B","BUY",(IF(SIP[[#This Row],[B/S]]="S","SELL"," ")))</f>
        <v>BUY</v>
      </c>
      <c r="J844" s="150" t="s">
        <v>1229</v>
      </c>
      <c r="K844" s="152">
        <v>7500</v>
      </c>
      <c r="L844" s="122"/>
      <c r="M844" s="123">
        <f>SIP[[#This Row],[Amount]]/SIP[[#This Row],[Unit]]</f>
        <v>11.682242990654206</v>
      </c>
      <c r="N844" s="71">
        <f>SIP[[#This Row],[Unit Capital]]/10</f>
        <v>642</v>
      </c>
      <c r="O844" s="71">
        <f>SUMIFS(SIP[[#Headers],[Unit]]:SIP[[#This Row],[Unit]],SIP[[#Headers],[Investor ID]]:SIP[[#This Row],[Investor ID]],SIP[[#This Row],[Investor ID]])</f>
        <v>13131</v>
      </c>
      <c r="P844" s="153">
        <v>6420</v>
      </c>
      <c r="Q844" s="74">
        <f>SIP[[#This Row],[Amount]]-SIP[[#This Row],[Unit Capital]]</f>
        <v>1080</v>
      </c>
      <c r="R8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10.852181859721272</v>
      </c>
      <c r="S844" s="68">
        <f t="shared" si="39"/>
        <v>14.224</v>
      </c>
      <c r="T8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4" s="74" cm="1">
        <f t="array" ref="U844">IF(SIP[[#This Row],[B/S]]="S",ABS(SIP[[#This Row],[Unit]])*(INDEX(SIP[NAV at Cost (Average)],MATCH(CONCATENATE((SIP[[#This Row],[Frequency]]-1),SIP[[#This Row],[Investor ID]]),SIP[Unique Code],0),0)),0)</f>
        <v>0</v>
      </c>
      <c r="V844" s="74">
        <f>IF(SIP[[#This Row],[BO TRANSFER]]="YES",SIP[[#This Row],[Unit]],)</f>
        <v>0</v>
      </c>
      <c r="W844" s="74">
        <f>SUMIFS(SIP[[#Headers],[BO UNIT TRANSFER]]:SIP[[#This Row],[BO UNIT TRANSFER]],SIP[[#Headers],[Investor ID]]:SIP[[#This Row],[Investor ID]],SIP[[#This Row],[Investor ID]])</f>
        <v>0</v>
      </c>
    </row>
    <row r="845" spans="1:23" ht="15" customHeight="1">
      <c r="A845" s="46">
        <v>2024</v>
      </c>
      <c r="B845" s="46">
        <v>11</v>
      </c>
      <c r="C845" s="46">
        <v>26</v>
      </c>
      <c r="D845" s="65">
        <f>DATE(SIP[[#This Row],[Year]],SIP[[#This Row],[Month]],SIP[[#This Row],[Day]])</f>
        <v>45622</v>
      </c>
      <c r="E845" s="66" t="str" cm="1">
        <f t="array" ref="E845">INDEX(INVESTORS_LIST[INVESTOR NAME],MATCH(SIP[[#This Row],[Investor ID]],INVESTORS_LIST[INVESTOR CODE],0),)</f>
        <v>EKUSH WEALTH MANAGEMENT LIMITED EMPLOYEES CONTRIBUTORY PROVIDENT FUND</v>
      </c>
      <c r="F845" s="46" t="s">
        <v>831</v>
      </c>
      <c r="G845" s="46">
        <f>COUNTIF(SIP[[#Headers],[Investor ID]]:SIP[[#This Row],[Investor ID]],SIP[[#This Row],[Investor ID]])</f>
        <v>12</v>
      </c>
      <c r="H845" s="46" t="str">
        <f>CONCATENATE(SIP[[#This Row],[Frequency]],SIP[[#This Row],[Investor ID]])</f>
        <v>12A00392</v>
      </c>
      <c r="I845" s="46" t="str">
        <f>IF(SIP[[#This Row],[B/S]]="B","BUY",(IF(SIP[[#This Row],[B/S]]="S","SELL"," ")))</f>
        <v>BUY</v>
      </c>
      <c r="J845" s="150" t="s">
        <v>1229</v>
      </c>
      <c r="K845" s="152">
        <v>22040</v>
      </c>
      <c r="L845" s="122"/>
      <c r="M845" s="123">
        <f>SIP[[#This Row],[Amount]]/SIP[[#This Row],[Unit]]</f>
        <v>11.679915209326975</v>
      </c>
      <c r="N845" s="71">
        <f>SIP[[#This Row],[Unit Capital]]/10</f>
        <v>1887</v>
      </c>
      <c r="O845" s="71">
        <f>SUMIFS(SIP[[#Headers],[Unit]]:SIP[[#This Row],[Unit]],SIP[[#Headers],[Investor ID]]:SIP[[#This Row],[Investor ID]],SIP[[#This Row],[Investor ID]])</f>
        <v>24632</v>
      </c>
      <c r="P845" s="153">
        <v>18870</v>
      </c>
      <c r="Q845" s="74">
        <f>SIP[[#This Row],[Amount]]-SIP[[#This Row],[Unit Capital]]</f>
        <v>3170</v>
      </c>
      <c r="R8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10.737252354660605</v>
      </c>
      <c r="S845" s="68">
        <f t="shared" si="39"/>
        <v>14.224</v>
      </c>
      <c r="T8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5" s="74" cm="1">
        <f t="array" ref="U845">IF(SIP[[#This Row],[B/S]]="S",ABS(SIP[[#This Row],[Unit]])*(INDEX(SIP[NAV at Cost (Average)],MATCH(CONCATENATE((SIP[[#This Row],[Frequency]]-1),SIP[[#This Row],[Investor ID]]),SIP[Unique Code],0),0)),0)</f>
        <v>0</v>
      </c>
      <c r="V845" s="74">
        <f>IF(SIP[[#This Row],[BO TRANSFER]]="YES",SIP[[#This Row],[Unit]],)</f>
        <v>0</v>
      </c>
      <c r="W845" s="74">
        <f>SUMIFS(SIP[[#Headers],[BO UNIT TRANSFER]]:SIP[[#This Row],[BO UNIT TRANSFER]],SIP[[#Headers],[Investor ID]]:SIP[[#This Row],[Investor ID]],SIP[[#This Row],[Investor ID]])</f>
        <v>0</v>
      </c>
    </row>
    <row r="846" spans="1:23" ht="15" customHeight="1">
      <c r="A846" s="46">
        <v>2024</v>
      </c>
      <c r="B846" s="46">
        <v>11</v>
      </c>
      <c r="C846" s="46">
        <v>26</v>
      </c>
      <c r="D846" s="65">
        <f>DATE(SIP[[#This Row],[Year]],SIP[[#This Row],[Month]],SIP[[#This Row],[Day]])</f>
        <v>45622</v>
      </c>
      <c r="E846" s="66" t="str" cm="1">
        <f t="array" ref="E846">INDEX(INVESTORS_LIST[INVESTOR NAME],MATCH(SIP[[#This Row],[Investor ID]],INVESTORS_LIST[INVESTOR CODE],0),)</f>
        <v>S.M. SAIFUL ISLAM</v>
      </c>
      <c r="F846" s="46" t="s">
        <v>1002</v>
      </c>
      <c r="G846" s="46">
        <f>COUNTIF(SIP[[#Headers],[Investor ID]]:SIP[[#This Row],[Investor ID]],SIP[[#This Row],[Investor ID]])</f>
        <v>19</v>
      </c>
      <c r="H846" s="46" t="str">
        <f>CONCATENATE(SIP[[#This Row],[Frequency]],SIP[[#This Row],[Investor ID]])</f>
        <v>19A00478</v>
      </c>
      <c r="I846" s="46" t="str">
        <f>IF(SIP[[#This Row],[B/S]]="B","BUY",(IF(SIP[[#This Row],[B/S]]="S","SELL"," ")))</f>
        <v>BUY</v>
      </c>
      <c r="J846" s="150" t="s">
        <v>1229</v>
      </c>
      <c r="K846" s="152">
        <v>10000</v>
      </c>
      <c r="L846" s="122"/>
      <c r="M846" s="123">
        <f>SIP[[#This Row],[Amount]]/SIP[[#This Row],[Unit]]</f>
        <v>11.682242990654206</v>
      </c>
      <c r="N846" s="71">
        <f>SIP[[#This Row],[Unit Capital]]/10</f>
        <v>856</v>
      </c>
      <c r="O846" s="71">
        <f>SUMIFS(SIP[[#Headers],[Unit]]:SIP[[#This Row],[Unit]],SIP[[#Headers],[Investor ID]]:SIP[[#This Row],[Investor ID]],SIP[[#This Row],[Investor ID]])</f>
        <v>17511</v>
      </c>
      <c r="P846" s="153">
        <v>8560</v>
      </c>
      <c r="Q846" s="74">
        <f>SIP[[#This Row],[Amount]]-SIP[[#This Row],[Unit Capital]]</f>
        <v>1440</v>
      </c>
      <c r="R8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10.850322654331563</v>
      </c>
      <c r="S846" s="68">
        <f t="shared" si="39"/>
        <v>14.224</v>
      </c>
      <c r="T8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6" s="74" cm="1">
        <f t="array" ref="U846">IF(SIP[[#This Row],[B/S]]="S",ABS(SIP[[#This Row],[Unit]])*(INDEX(SIP[NAV at Cost (Average)],MATCH(CONCATENATE((SIP[[#This Row],[Frequency]]-1),SIP[[#This Row],[Investor ID]]),SIP[Unique Code],0),0)),0)</f>
        <v>0</v>
      </c>
      <c r="V846" s="74">
        <f>IF(SIP[[#This Row],[BO TRANSFER]]="YES",SIP[[#This Row],[Unit]],)</f>
        <v>0</v>
      </c>
      <c r="W846" s="74">
        <f>SUMIFS(SIP[[#Headers],[BO UNIT TRANSFER]]:SIP[[#This Row],[BO UNIT TRANSFER]],SIP[[#Headers],[Investor ID]]:SIP[[#This Row],[Investor ID]],SIP[[#This Row],[Investor ID]])</f>
        <v>0</v>
      </c>
    </row>
    <row r="847" spans="1:23" ht="15" customHeight="1">
      <c r="A847" s="46">
        <v>2024</v>
      </c>
      <c r="B847" s="46">
        <v>11</v>
      </c>
      <c r="C847" s="46">
        <v>26</v>
      </c>
      <c r="D847" s="65">
        <f>DATE(SIP[[#This Row],[Year]],SIP[[#This Row],[Month]],SIP[[#This Row],[Day]])</f>
        <v>45622</v>
      </c>
      <c r="E847" s="66" t="str" cm="1">
        <f t="array" ref="E847">INDEX(INVESTORS_LIST[INVESTOR NAME],MATCH(SIP[[#This Row],[Investor ID]],INVESTORS_LIST[INVESTOR CODE],0),)</f>
        <v>MOHAMMED SHARIFUL ISLAM</v>
      </c>
      <c r="F847" s="46" t="s">
        <v>1028</v>
      </c>
      <c r="G847" s="46">
        <f>COUNTIF(SIP[[#Headers],[Investor ID]]:SIP[[#This Row],[Investor ID]],SIP[[#This Row],[Investor ID]])</f>
        <v>18</v>
      </c>
      <c r="H847" s="46" t="str">
        <f>CONCATENATE(SIP[[#This Row],[Frequency]],SIP[[#This Row],[Investor ID]])</f>
        <v>18A00491</v>
      </c>
      <c r="I847" s="46" t="str">
        <f>IF(SIP[[#This Row],[B/S]]="B","BUY",(IF(SIP[[#This Row],[B/S]]="S","SELL"," ")))</f>
        <v>BUY</v>
      </c>
      <c r="J847" s="150" t="s">
        <v>1229</v>
      </c>
      <c r="K847" s="152">
        <v>5000</v>
      </c>
      <c r="L847" s="122"/>
      <c r="M847" s="123">
        <f>SIP[[#This Row],[Amount]]/SIP[[#This Row],[Unit]]</f>
        <v>11.682242990654206</v>
      </c>
      <c r="N847" s="71">
        <f>SIP[[#This Row],[Unit Capital]]/10</f>
        <v>428</v>
      </c>
      <c r="O847" s="71">
        <f>SUMIFS(SIP[[#Headers],[Unit]]:SIP[[#This Row],[Unit]],SIP[[#Headers],[Investor ID]]:SIP[[#This Row],[Investor ID]],SIP[[#This Row],[Investor ID]])</f>
        <v>8262</v>
      </c>
      <c r="P847" s="153">
        <v>4280</v>
      </c>
      <c r="Q847" s="74">
        <f>SIP[[#This Row],[Amount]]-SIP[[#This Row],[Unit Capital]]</f>
        <v>720</v>
      </c>
      <c r="R8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10.893246187363836</v>
      </c>
      <c r="S847" s="68">
        <f t="shared" si="39"/>
        <v>14.224</v>
      </c>
      <c r="T8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7" s="74" cm="1">
        <f t="array" ref="U847">IF(SIP[[#This Row],[B/S]]="S",ABS(SIP[[#This Row],[Unit]])*(INDEX(SIP[NAV at Cost (Average)],MATCH(CONCATENATE((SIP[[#This Row],[Frequency]]-1),SIP[[#This Row],[Investor ID]]),SIP[Unique Code],0),0)),0)</f>
        <v>0</v>
      </c>
      <c r="V847" s="74">
        <f>IF(SIP[[#This Row],[BO TRANSFER]]="YES",SIP[[#This Row],[Unit]],)</f>
        <v>0</v>
      </c>
      <c r="W847" s="74">
        <f>SUMIFS(SIP[[#Headers],[BO UNIT TRANSFER]]:SIP[[#This Row],[BO UNIT TRANSFER]],SIP[[#Headers],[Investor ID]]:SIP[[#This Row],[Investor ID]],SIP[[#This Row],[Investor ID]])</f>
        <v>0</v>
      </c>
    </row>
    <row r="848" spans="1:23" ht="15" customHeight="1">
      <c r="A848" s="46">
        <v>2024</v>
      </c>
      <c r="B848" s="46">
        <v>11</v>
      </c>
      <c r="C848" s="46">
        <v>26</v>
      </c>
      <c r="D848" s="65">
        <f>DATE(SIP[[#This Row],[Year]],SIP[[#This Row],[Month]],SIP[[#This Row],[Day]])</f>
        <v>45622</v>
      </c>
      <c r="E848" s="66" t="str" cm="1">
        <f t="array" ref="E848">INDEX(INVESTORS_LIST[INVESTOR NAME],MATCH(SIP[[#This Row],[Investor ID]],INVESTORS_LIST[INVESTOR CODE],0),)</f>
        <v>ABU MUSA MIRZA KAMRUZZAMAN SHAHEE</v>
      </c>
      <c r="F848" s="46" t="s">
        <v>1012</v>
      </c>
      <c r="G848" s="46">
        <f>COUNTIF(SIP[[#Headers],[Investor ID]]:SIP[[#This Row],[Investor ID]],SIP[[#This Row],[Investor ID]])</f>
        <v>18</v>
      </c>
      <c r="H848" s="46" t="str">
        <f>CONCATENATE(SIP[[#This Row],[Frequency]],SIP[[#This Row],[Investor ID]])</f>
        <v>18A00483</v>
      </c>
      <c r="I848" s="46" t="str">
        <f>IF(SIP[[#This Row],[B/S]]="B","BUY",(IF(SIP[[#This Row],[B/S]]="S","SELL"," ")))</f>
        <v>BUY</v>
      </c>
      <c r="J848" s="150" t="s">
        <v>1229</v>
      </c>
      <c r="K848" s="152">
        <v>5000</v>
      </c>
      <c r="L848" s="122"/>
      <c r="M848" s="123">
        <f>SIP[[#This Row],[Amount]]/SIP[[#This Row],[Unit]]</f>
        <v>11.682242990654206</v>
      </c>
      <c r="N848" s="71">
        <f>SIP[[#This Row],[Unit Capital]]/10</f>
        <v>428</v>
      </c>
      <c r="O848" s="71">
        <f>SUMIFS(SIP[[#Headers],[Unit]]:SIP[[#This Row],[Unit]],SIP[[#Headers],[Investor ID]]:SIP[[#This Row],[Investor ID]],SIP[[#This Row],[Investor ID]])</f>
        <v>8262</v>
      </c>
      <c r="P848" s="153">
        <v>4280</v>
      </c>
      <c r="Q848" s="74">
        <f>SIP[[#This Row],[Amount]]-SIP[[#This Row],[Unit Capital]]</f>
        <v>720</v>
      </c>
      <c r="R8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10.893246187363836</v>
      </c>
      <c r="S848" s="68">
        <f t="shared" si="39"/>
        <v>14.224</v>
      </c>
      <c r="T8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8" s="74" cm="1">
        <f t="array" ref="U848">IF(SIP[[#This Row],[B/S]]="S",ABS(SIP[[#This Row],[Unit]])*(INDEX(SIP[NAV at Cost (Average)],MATCH(CONCATENATE((SIP[[#This Row],[Frequency]]-1),SIP[[#This Row],[Investor ID]]),SIP[Unique Code],0),0)),0)</f>
        <v>0</v>
      </c>
      <c r="V848" s="74">
        <f>IF(SIP[[#This Row],[BO TRANSFER]]="YES",SIP[[#This Row],[Unit]],)</f>
        <v>0</v>
      </c>
      <c r="W848" s="74">
        <f>SUMIFS(SIP[[#Headers],[BO UNIT TRANSFER]]:SIP[[#This Row],[BO UNIT TRANSFER]],SIP[[#Headers],[Investor ID]]:SIP[[#This Row],[Investor ID]],SIP[[#This Row],[Investor ID]])</f>
        <v>0</v>
      </c>
    </row>
    <row r="849" spans="1:23" ht="15" customHeight="1">
      <c r="A849" s="46">
        <v>2024</v>
      </c>
      <c r="B849" s="46">
        <v>11</v>
      </c>
      <c r="C849" s="46">
        <v>26</v>
      </c>
      <c r="D849" s="65">
        <f>DATE(SIP[[#This Row],[Year]],SIP[[#This Row],[Month]],SIP[[#This Row],[Day]])</f>
        <v>45622</v>
      </c>
      <c r="E849" s="66" t="str" cm="1">
        <f t="array" ref="E849">INDEX(INVESTORS_LIST[INVESTOR NAME],MATCH(SIP[[#This Row],[Investor ID]],INVESTORS_LIST[INVESTOR CODE],0),)</f>
        <v>SUMAN SAHA</v>
      </c>
      <c r="F849" s="46" t="s">
        <v>1022</v>
      </c>
      <c r="G849" s="46">
        <f>COUNTIF(SIP[[#Headers],[Investor ID]]:SIP[[#This Row],[Investor ID]],SIP[[#This Row],[Investor ID]])</f>
        <v>18</v>
      </c>
      <c r="H849" s="46" t="str">
        <f>CONCATENATE(SIP[[#This Row],[Frequency]],SIP[[#This Row],[Investor ID]])</f>
        <v>18A00488</v>
      </c>
      <c r="I849" s="46" t="str">
        <f>IF(SIP[[#This Row],[B/S]]="B","BUY",(IF(SIP[[#This Row],[B/S]]="S","SELL"," ")))</f>
        <v>BUY</v>
      </c>
      <c r="J849" s="150" t="s">
        <v>1229</v>
      </c>
      <c r="K849" s="152">
        <v>5000</v>
      </c>
      <c r="L849" s="122"/>
      <c r="M849" s="123">
        <f>SIP[[#This Row],[Amount]]/SIP[[#This Row],[Unit]]</f>
        <v>11.682242990654206</v>
      </c>
      <c r="N849" s="71">
        <f>SIP[[#This Row],[Unit Capital]]/10</f>
        <v>428</v>
      </c>
      <c r="O849" s="71">
        <f>SUMIFS(SIP[[#Headers],[Unit]]:SIP[[#This Row],[Unit]],SIP[[#Headers],[Investor ID]]:SIP[[#This Row],[Investor ID]],SIP[[#This Row],[Investor ID]])</f>
        <v>8262</v>
      </c>
      <c r="P849" s="153">
        <v>4280</v>
      </c>
      <c r="Q849" s="74">
        <f>SIP[[#This Row],[Amount]]-SIP[[#This Row],[Unit Capital]]</f>
        <v>720</v>
      </c>
      <c r="R8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10.893246187363836</v>
      </c>
      <c r="S849" s="68">
        <f t="shared" si="39"/>
        <v>14.224</v>
      </c>
      <c r="T8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9" s="74" cm="1">
        <f t="array" ref="U849">IF(SIP[[#This Row],[B/S]]="S",ABS(SIP[[#This Row],[Unit]])*(INDEX(SIP[NAV at Cost (Average)],MATCH(CONCATENATE((SIP[[#This Row],[Frequency]]-1),SIP[[#This Row],[Investor ID]]),SIP[Unique Code],0),0)),0)</f>
        <v>0</v>
      </c>
      <c r="V849" s="74">
        <f>IF(SIP[[#This Row],[BO TRANSFER]]="YES",SIP[[#This Row],[Unit]],)</f>
        <v>0</v>
      </c>
      <c r="W849" s="74">
        <f>SUMIFS(SIP[[#Headers],[BO UNIT TRANSFER]]:SIP[[#This Row],[BO UNIT TRANSFER]],SIP[[#Headers],[Investor ID]]:SIP[[#This Row],[Investor ID]],SIP[[#This Row],[Investor ID]])</f>
        <v>0</v>
      </c>
    </row>
    <row r="850" spans="1:23" ht="15" customHeight="1">
      <c r="A850" s="46">
        <v>2024</v>
      </c>
      <c r="B850" s="46">
        <v>11</v>
      </c>
      <c r="C850" s="46">
        <v>26</v>
      </c>
      <c r="D850" s="65">
        <f>DATE(SIP[[#This Row],[Year]],SIP[[#This Row],[Month]],SIP[[#This Row],[Day]])</f>
        <v>45622</v>
      </c>
      <c r="E850" s="66" t="str" cm="1">
        <f t="array" ref="E850">INDEX(INVESTORS_LIST[INVESTOR NAME],MATCH(SIP[[#This Row],[Investor ID]],INVESTORS_LIST[INVESTOR CODE],0),)</f>
        <v>JUBAIDA FARHANA HAQUE</v>
      </c>
      <c r="F850" s="46" t="s">
        <v>1065</v>
      </c>
      <c r="G850" s="46">
        <f>COUNTIF(SIP[[#Headers],[Investor ID]]:SIP[[#This Row],[Investor ID]],SIP[[#This Row],[Investor ID]])</f>
        <v>16</v>
      </c>
      <c r="H850" s="46" t="str">
        <f>CONCATENATE(SIP[[#This Row],[Frequency]],SIP[[#This Row],[Investor ID]])</f>
        <v>16A00510</v>
      </c>
      <c r="I850" s="46" t="str">
        <f>IF(SIP[[#This Row],[B/S]]="B","BUY",(IF(SIP[[#This Row],[B/S]]="S","SELL"," ")))</f>
        <v>BUY</v>
      </c>
      <c r="J850" s="150" t="s">
        <v>1229</v>
      </c>
      <c r="K850" s="152">
        <v>5000</v>
      </c>
      <c r="L850" s="122"/>
      <c r="M850" s="123">
        <f>SIP[[#This Row],[Amount]]/SIP[[#This Row],[Unit]]</f>
        <v>11.682242990654206</v>
      </c>
      <c r="N850" s="71">
        <f>SIP[[#This Row],[Unit Capital]]/10</f>
        <v>428</v>
      </c>
      <c r="O850" s="71">
        <f>SUMIFS(SIP[[#Headers],[Unit]]:SIP[[#This Row],[Unit]],SIP[[#Headers],[Investor ID]]:SIP[[#This Row],[Investor ID]],SIP[[#This Row],[Investor ID]])</f>
        <v>6338</v>
      </c>
      <c r="P850" s="153">
        <v>4280</v>
      </c>
      <c r="Q850" s="74">
        <f>SIP[[#This Row],[Amount]]-SIP[[#This Row],[Unit Capital]]</f>
        <v>720</v>
      </c>
      <c r="R8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11.04698215062519</v>
      </c>
      <c r="S850" s="68">
        <f t="shared" si="39"/>
        <v>14.224</v>
      </c>
      <c r="T8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0" s="74" cm="1">
        <f t="array" ref="U850">IF(SIP[[#This Row],[B/S]]="S",ABS(SIP[[#This Row],[Unit]])*(INDEX(SIP[NAV at Cost (Average)],MATCH(CONCATENATE((SIP[[#This Row],[Frequency]]-1),SIP[[#This Row],[Investor ID]]),SIP[Unique Code],0),0)),0)</f>
        <v>0</v>
      </c>
      <c r="V850" s="74">
        <f>IF(SIP[[#This Row],[BO TRANSFER]]="YES",SIP[[#This Row],[Unit]],)</f>
        <v>0</v>
      </c>
      <c r="W850" s="74">
        <f>SUMIFS(SIP[[#Headers],[BO UNIT TRANSFER]]:SIP[[#This Row],[BO UNIT TRANSFER]],SIP[[#Headers],[Investor ID]]:SIP[[#This Row],[Investor ID]],SIP[[#This Row],[Investor ID]])</f>
        <v>0</v>
      </c>
    </row>
    <row r="851" spans="1:23" ht="15" customHeight="1">
      <c r="A851" s="46">
        <v>2024</v>
      </c>
      <c r="B851" s="46">
        <v>11</v>
      </c>
      <c r="C851" s="46">
        <v>26</v>
      </c>
      <c r="D851" s="65">
        <f>DATE(SIP[[#This Row],[Year]],SIP[[#This Row],[Month]],SIP[[#This Row],[Day]])</f>
        <v>45622</v>
      </c>
      <c r="E851" s="66" t="str" cm="1">
        <f t="array" ref="E851">INDEX(INVESTORS_LIST[INVESTOR NAME],MATCH(SIP[[#This Row],[Investor ID]],INVESTORS_LIST[INVESTOR CODE],0),)</f>
        <v>MAYA RANI SAHA</v>
      </c>
      <c r="F851" s="46" t="s">
        <v>224</v>
      </c>
      <c r="G851" s="46">
        <f>COUNTIF(SIP[[#Headers],[Investor ID]]:SIP[[#This Row],[Investor ID]],SIP[[#This Row],[Investor ID]])</f>
        <v>26</v>
      </c>
      <c r="H851" s="46" t="str">
        <f>CONCATENATE(SIP[[#This Row],[Frequency]],SIP[[#This Row],[Investor ID]])</f>
        <v>26A00088</v>
      </c>
      <c r="I851" s="46" t="str">
        <f>IF(SIP[[#This Row],[B/S]]="B","BUY",(IF(SIP[[#This Row],[B/S]]="S","SELL"," ")))</f>
        <v>BUY</v>
      </c>
      <c r="J851" s="150" t="s">
        <v>1229</v>
      </c>
      <c r="K851" s="152">
        <v>14000</v>
      </c>
      <c r="L851" s="122"/>
      <c r="M851" s="123">
        <f>SIP[[#This Row],[Amount]]/SIP[[#This Row],[Unit]]</f>
        <v>11.676396997497914</v>
      </c>
      <c r="N851" s="71">
        <f>SIP[[#This Row],[Unit Capital]]/10</f>
        <v>1199</v>
      </c>
      <c r="O851" s="71">
        <f>SUMIFS(SIP[[#Headers],[Unit]]:SIP[[#This Row],[Unit]],SIP[[#Headers],[Investor ID]]:SIP[[#This Row],[Investor ID]],SIP[[#This Row],[Investor ID]])</f>
        <v>38032</v>
      </c>
      <c r="P851" s="153">
        <v>11990</v>
      </c>
      <c r="Q851" s="74">
        <f>SIP[[#This Row],[Amount]]-SIP[[#This Row],[Unit Capital]]</f>
        <v>2010</v>
      </c>
      <c r="R8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11.043331931005469</v>
      </c>
      <c r="S851" s="68">
        <f t="shared" si="39"/>
        <v>14.224</v>
      </c>
      <c r="T8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1" s="74" cm="1">
        <f t="array" ref="U851">IF(SIP[[#This Row],[B/S]]="S",ABS(SIP[[#This Row],[Unit]])*(INDEX(SIP[NAV at Cost (Average)],MATCH(CONCATENATE((SIP[[#This Row],[Frequency]]-1),SIP[[#This Row],[Investor ID]]),SIP[Unique Code],0),0)),0)</f>
        <v>0</v>
      </c>
      <c r="V851" s="74">
        <f>IF(SIP[[#This Row],[BO TRANSFER]]="YES",SIP[[#This Row],[Unit]],)</f>
        <v>0</v>
      </c>
      <c r="W851" s="74">
        <f>SUMIFS(SIP[[#Headers],[BO UNIT TRANSFER]]:SIP[[#This Row],[BO UNIT TRANSFER]],SIP[[#Headers],[Investor ID]]:SIP[[#This Row],[Investor ID]],SIP[[#This Row],[Investor ID]])</f>
        <v>0</v>
      </c>
    </row>
    <row r="852" spans="1:23" ht="15" customHeight="1">
      <c r="A852" s="46">
        <v>2024</v>
      </c>
      <c r="B852" s="46">
        <v>11</v>
      </c>
      <c r="C852" s="46">
        <v>26</v>
      </c>
      <c r="D852" s="65">
        <f>DATE(SIP[[#This Row],[Year]],SIP[[#This Row],[Month]],SIP[[#This Row],[Day]])</f>
        <v>45622</v>
      </c>
      <c r="E852" s="66" t="str" cm="1">
        <f t="array" ref="E852">INDEX(INVESTORS_LIST[INVESTOR NAME],MATCH(SIP[[#This Row],[Investor ID]],INVESTORS_LIST[INVESTOR CODE],0),)</f>
        <v>MUHAMMAD SHOHIDUZZAMAN</v>
      </c>
      <c r="F852" s="46" t="s">
        <v>986</v>
      </c>
      <c r="G852" s="46">
        <f>COUNTIF(SIP[[#Headers],[Investor ID]]:SIP[[#This Row],[Investor ID]],SIP[[#This Row],[Investor ID]])</f>
        <v>13</v>
      </c>
      <c r="H852" s="46" t="str">
        <f>CONCATENATE(SIP[[#This Row],[Frequency]],SIP[[#This Row],[Investor ID]])</f>
        <v>13A00470</v>
      </c>
      <c r="I852" s="46" t="str">
        <f>IF(SIP[[#This Row],[B/S]]="B","BUY",(IF(SIP[[#This Row],[B/S]]="S","SELL"," ")))</f>
        <v>BUY</v>
      </c>
      <c r="J852" s="150" t="s">
        <v>1229</v>
      </c>
      <c r="K852" s="152">
        <v>10000</v>
      </c>
      <c r="L852" s="122" t="s">
        <v>1230</v>
      </c>
      <c r="M852" s="123">
        <f>SIP[[#This Row],[Amount]]/SIP[[#This Row],[Unit]]</f>
        <v>11.682242990654206</v>
      </c>
      <c r="N852" s="71">
        <f>SIP[[#This Row],[Unit Capital]]/10</f>
        <v>856</v>
      </c>
      <c r="O852" s="71">
        <f>SUMIFS(SIP[[#Headers],[Unit]]:SIP[[#This Row],[Unit]],SIP[[#Headers],[Investor ID]]:SIP[[#This Row],[Investor ID]],SIP[[#This Row],[Investor ID]])</f>
        <v>11726</v>
      </c>
      <c r="P852" s="153">
        <v>8560</v>
      </c>
      <c r="Q852" s="74">
        <f>SIP[[#This Row],[Amount]]-SIP[[#This Row],[Unit Capital]]</f>
        <v>1440</v>
      </c>
      <c r="R8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11.086474501108645</v>
      </c>
      <c r="S852" s="68">
        <f t="shared" si="39"/>
        <v>14.224</v>
      </c>
      <c r="T8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2" s="74" cm="1">
        <f t="array" ref="U852">IF(SIP[[#This Row],[B/S]]="S",ABS(SIP[[#This Row],[Unit]])*(INDEX(SIP[NAV at Cost (Average)],MATCH(CONCATENATE((SIP[[#This Row],[Frequency]]-1),SIP[[#This Row],[Investor ID]]),SIP[Unique Code],0),0)),0)</f>
        <v>0</v>
      </c>
      <c r="V852" s="74">
        <f>IF(SIP[[#This Row],[BO TRANSFER]]="YES",SIP[[#This Row],[Unit]],)</f>
        <v>856</v>
      </c>
      <c r="W852" s="74">
        <f>SUMIFS(SIP[[#Headers],[BO UNIT TRANSFER]]:SIP[[#This Row],[BO UNIT TRANSFER]],SIP[[#Headers],[Investor ID]]:SIP[[#This Row],[Investor ID]],SIP[[#This Row],[Investor ID]])</f>
        <v>11726</v>
      </c>
    </row>
    <row r="853" spans="1:23" ht="15" customHeight="1">
      <c r="A853" s="46">
        <v>2024</v>
      </c>
      <c r="B853" s="46">
        <v>11</v>
      </c>
      <c r="C853" s="46">
        <v>26</v>
      </c>
      <c r="D853" s="65">
        <f>DATE(SIP[[#This Row],[Year]],SIP[[#This Row],[Month]],SIP[[#This Row],[Day]])</f>
        <v>45622</v>
      </c>
      <c r="E853" s="66" t="str" cm="1">
        <f t="array" ref="E853">INDEX(INVESTORS_LIST[INVESTOR NAME],MATCH(SIP[[#This Row],[Investor ID]],INVESTORS_LIST[INVESTOR CODE],0),)</f>
        <v>MOHAMMAD SAMIUL ALAM</v>
      </c>
      <c r="F853" s="46" t="s">
        <v>537</v>
      </c>
      <c r="G853" s="46">
        <f>COUNTIF(SIP[[#Headers],[Investor ID]]:SIP[[#This Row],[Investor ID]],SIP[[#This Row],[Investor ID]])</f>
        <v>16</v>
      </c>
      <c r="H853" s="46" t="str">
        <f>CONCATENATE(SIP[[#This Row],[Frequency]],SIP[[#This Row],[Investor ID]])</f>
        <v>16A00244</v>
      </c>
      <c r="I853" s="46" t="str">
        <f>IF(SIP[[#This Row],[B/S]]="B","BUY",(IF(SIP[[#This Row],[B/S]]="S","SELL"," ")))</f>
        <v>BUY</v>
      </c>
      <c r="J853" s="150" t="s">
        <v>1229</v>
      </c>
      <c r="K853" s="152">
        <v>20000</v>
      </c>
      <c r="L853" s="69"/>
      <c r="M853" s="123">
        <f>SIP[[#This Row],[Amount]]/SIP[[#This Row],[Unit]]</f>
        <v>11.675423234092236</v>
      </c>
      <c r="N853" s="71">
        <f>SIP[[#This Row],[Unit Capital]]/10</f>
        <v>1713</v>
      </c>
      <c r="O853" s="71">
        <f>SUMIFS(SIP[[#Headers],[Unit]]:SIP[[#This Row],[Unit]],SIP[[#Headers],[Investor ID]]:SIP[[#This Row],[Investor ID]],SIP[[#This Row],[Investor ID]])</f>
        <v>29175</v>
      </c>
      <c r="P853" s="153">
        <v>17130</v>
      </c>
      <c r="Q853" s="74">
        <f>SIP[[#This Row],[Amount]]-SIP[[#This Row],[Unit Capital]]</f>
        <v>2870</v>
      </c>
      <c r="R8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10.968294772922025</v>
      </c>
      <c r="S853" s="68">
        <f t="shared" si="39"/>
        <v>14.224</v>
      </c>
      <c r="T8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3" s="74" cm="1">
        <f t="array" ref="U853">IF(SIP[[#This Row],[B/S]]="S",ABS(SIP[[#This Row],[Unit]])*(INDEX(SIP[NAV at Cost (Average)],MATCH(CONCATENATE((SIP[[#This Row],[Frequency]]-1),SIP[[#This Row],[Investor ID]]),SIP[Unique Code],0),0)),0)</f>
        <v>0</v>
      </c>
      <c r="V853" s="74">
        <f>IF(SIP[[#This Row],[BO TRANSFER]]="YES",SIP[[#This Row],[Unit]],)</f>
        <v>0</v>
      </c>
      <c r="W853" s="74">
        <f>SUMIFS(SIP[[#Headers],[BO UNIT TRANSFER]]:SIP[[#This Row],[BO UNIT TRANSFER]],SIP[[#Headers],[Investor ID]]:SIP[[#This Row],[Investor ID]],SIP[[#This Row],[Investor ID]])</f>
        <v>0</v>
      </c>
    </row>
    <row r="854" spans="1:23" ht="15" customHeight="1">
      <c r="A854" s="46">
        <v>2024</v>
      </c>
      <c r="B854" s="46">
        <v>11</v>
      </c>
      <c r="C854" s="46">
        <v>26</v>
      </c>
      <c r="D854" s="65">
        <f>DATE(SIP[[#This Row],[Year]],SIP[[#This Row],[Month]],SIP[[#This Row],[Day]])</f>
        <v>45622</v>
      </c>
      <c r="E854" s="66" t="str" cm="1">
        <f t="array" ref="E854">INDEX(INVESTORS_LIST[INVESTOR NAME],MATCH(SIP[[#This Row],[Investor ID]],INVESTORS_LIST[INVESTOR CODE],0),)</f>
        <v>ADNAN RASHID</v>
      </c>
      <c r="F854" s="46" t="s">
        <v>252</v>
      </c>
      <c r="G854" s="46">
        <f>COUNTIF(SIP[[#Headers],[Investor ID]]:SIP[[#This Row],[Investor ID]],SIP[[#This Row],[Investor ID]])</f>
        <v>16</v>
      </c>
      <c r="H854" s="46" t="str">
        <f>CONCATENATE(SIP[[#This Row],[Frequency]],SIP[[#This Row],[Investor ID]])</f>
        <v>16A00102</v>
      </c>
      <c r="I854" s="46" t="str">
        <f>IF(SIP[[#This Row],[B/S]]="B","BUY",(IF(SIP[[#This Row],[B/S]]="S","SELL"," ")))</f>
        <v>BUY</v>
      </c>
      <c r="J854" s="150" t="s">
        <v>1229</v>
      </c>
      <c r="K854" s="152">
        <v>30000</v>
      </c>
      <c r="L854" s="122"/>
      <c r="M854" s="123">
        <f>SIP[[#This Row],[Amount]]/SIP[[#This Row],[Unit]]</f>
        <v>11.677695601401323</v>
      </c>
      <c r="N854" s="71">
        <f>SIP[[#This Row],[Unit Capital]]/10</f>
        <v>2569</v>
      </c>
      <c r="O854" s="71">
        <f>SUMIFS(SIP[[#Headers],[Unit]]:SIP[[#This Row],[Unit]],SIP[[#Headers],[Investor ID]]:SIP[[#This Row],[Investor ID]],SIP[[#This Row],[Investor ID]])</f>
        <v>22687</v>
      </c>
      <c r="P854" s="153">
        <v>25690</v>
      </c>
      <c r="Q854" s="74">
        <f>SIP[[#This Row],[Amount]]-SIP[[#This Row],[Unit Capital]]</f>
        <v>4310</v>
      </c>
      <c r="R8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11.243251763392305</v>
      </c>
      <c r="S854" s="68">
        <f t="shared" si="39"/>
        <v>14.224</v>
      </c>
      <c r="T8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4" s="74" cm="1">
        <f t="array" ref="U854">IF(SIP[[#This Row],[B/S]]="S",ABS(SIP[[#This Row],[Unit]])*(INDEX(SIP[NAV at Cost (Average)],MATCH(CONCATENATE((SIP[[#This Row],[Frequency]]-1),SIP[[#This Row],[Investor ID]]),SIP[Unique Code],0),0)),0)</f>
        <v>0</v>
      </c>
      <c r="V854" s="74">
        <f>IF(SIP[[#This Row],[BO TRANSFER]]="YES",SIP[[#This Row],[Unit]],)</f>
        <v>0</v>
      </c>
      <c r="W854" s="74">
        <f>SUMIFS(SIP[[#Headers],[BO UNIT TRANSFER]]:SIP[[#This Row],[BO UNIT TRANSFER]],SIP[[#Headers],[Investor ID]]:SIP[[#This Row],[Investor ID]],SIP[[#This Row],[Investor ID]])</f>
        <v>0</v>
      </c>
    </row>
    <row r="855" spans="1:23" ht="15" customHeight="1">
      <c r="A855" s="46">
        <v>2024</v>
      </c>
      <c r="B855" s="46">
        <v>11</v>
      </c>
      <c r="C855" s="46">
        <v>26</v>
      </c>
      <c r="D855" s="65">
        <f>DATE(SIP[[#This Row],[Year]],SIP[[#This Row],[Month]],SIP[[#This Row],[Day]])</f>
        <v>45622</v>
      </c>
      <c r="E855" s="66" t="str" cm="1">
        <f t="array" ref="E855">INDEX(INVESTORS_LIST[INVESTOR NAME],MATCH(SIP[[#This Row],[Investor ID]],INVESTORS_LIST[INVESTOR CODE],0),)</f>
        <v>MD ABDULLAH-AL- MAMUN</v>
      </c>
      <c r="F855" s="46" t="s">
        <v>533</v>
      </c>
      <c r="G855" s="46">
        <f>COUNTIF(SIP[[#Headers],[Investor ID]]:SIP[[#This Row],[Investor ID]],SIP[[#This Row],[Investor ID]])</f>
        <v>14</v>
      </c>
      <c r="H855" s="46" t="str">
        <f>CONCATENATE(SIP[[#This Row],[Frequency]],SIP[[#This Row],[Investor ID]])</f>
        <v>14A00242</v>
      </c>
      <c r="I855" s="46" t="str">
        <f>IF(SIP[[#This Row],[B/S]]="B","BUY",(IF(SIP[[#This Row],[B/S]]="S","SELL"," ")))</f>
        <v>BUY</v>
      </c>
      <c r="J855" s="150" t="s">
        <v>1229</v>
      </c>
      <c r="K855" s="152">
        <v>15000</v>
      </c>
      <c r="L855" s="122"/>
      <c r="M855" s="123">
        <f>SIP[[#This Row],[Amount]]/SIP[[#This Row],[Unit]]</f>
        <v>11.682242990654206</v>
      </c>
      <c r="N855" s="71">
        <f>SIP[[#This Row],[Unit Capital]]/10</f>
        <v>1284</v>
      </c>
      <c r="O855" s="71">
        <f>SUMIFS(SIP[[#Headers],[Unit]]:SIP[[#This Row],[Unit]],SIP[[#Headers],[Investor ID]]:SIP[[#This Row],[Investor ID]],SIP[[#This Row],[Investor ID]])</f>
        <v>19010</v>
      </c>
      <c r="P855" s="153">
        <v>12840</v>
      </c>
      <c r="Q855" s="74">
        <f>SIP[[#This Row],[Amount]]-SIP[[#This Row],[Unit Capital]]</f>
        <v>2160</v>
      </c>
      <c r="R8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11.046817464492376</v>
      </c>
      <c r="S855" s="68">
        <f t="shared" si="39"/>
        <v>14.224</v>
      </c>
      <c r="T8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5" s="74" cm="1">
        <f t="array" ref="U855">IF(SIP[[#This Row],[B/S]]="S",ABS(SIP[[#This Row],[Unit]])*(INDEX(SIP[NAV at Cost (Average)],MATCH(CONCATENATE((SIP[[#This Row],[Frequency]]-1),SIP[[#This Row],[Investor ID]]),SIP[Unique Code],0),0)),0)</f>
        <v>0</v>
      </c>
      <c r="V855" s="74">
        <f>IF(SIP[[#This Row],[BO TRANSFER]]="YES",SIP[[#This Row],[Unit]],)</f>
        <v>0</v>
      </c>
      <c r="W855" s="74">
        <f>SUMIFS(SIP[[#Headers],[BO UNIT TRANSFER]]:SIP[[#This Row],[BO UNIT TRANSFER]],SIP[[#Headers],[Investor ID]]:SIP[[#This Row],[Investor ID]],SIP[[#This Row],[Investor ID]])</f>
        <v>0</v>
      </c>
    </row>
    <row r="856" spans="1:23" ht="15" customHeight="1">
      <c r="A856" s="46">
        <v>2024</v>
      </c>
      <c r="B856" s="46">
        <v>11</v>
      </c>
      <c r="C856" s="46">
        <v>26</v>
      </c>
      <c r="D856" s="65">
        <f>DATE(SIP[[#This Row],[Year]],SIP[[#This Row],[Month]],SIP[[#This Row],[Day]])</f>
        <v>45622</v>
      </c>
      <c r="E856" s="66" t="str" cm="1">
        <f t="array" ref="E856">INDEX(INVESTORS_LIST[INVESTOR NAME],MATCH(SIP[[#This Row],[Investor ID]],INVESTORS_LIST[INVESTOR CODE],0),)</f>
        <v>MAYA RANI SAHA</v>
      </c>
      <c r="F856" s="46" t="s">
        <v>224</v>
      </c>
      <c r="G856" s="46">
        <f>COUNTIF(SIP[[#Headers],[Investor ID]]:SIP[[#This Row],[Investor ID]],SIP[[#This Row],[Investor ID]])</f>
        <v>27</v>
      </c>
      <c r="H856" s="46" t="str">
        <f>CONCATENATE(SIP[[#This Row],[Frequency]],SIP[[#This Row],[Investor ID]])</f>
        <v>27A00088</v>
      </c>
      <c r="I856" s="46" t="str">
        <f>IF(SIP[[#This Row],[B/S]]="B","BUY",(IF(SIP[[#This Row],[B/S]]="S","SELL"," ")))</f>
        <v>BUY</v>
      </c>
      <c r="J856" s="150" t="s">
        <v>1229</v>
      </c>
      <c r="K856" s="152">
        <v>20000</v>
      </c>
      <c r="L856" s="122"/>
      <c r="M856" s="123">
        <f>SIP[[#This Row],[Amount]]/SIP[[#This Row],[Unit]]</f>
        <v>11.675423234092236</v>
      </c>
      <c r="N856" s="71">
        <f>SIP[[#This Row],[Unit Capital]]/10</f>
        <v>1713</v>
      </c>
      <c r="O856" s="71">
        <f>SUMIFS(SIP[[#Headers],[Unit]]:SIP[[#This Row],[Unit]],SIP[[#Headers],[Investor ID]]:SIP[[#This Row],[Investor ID]],SIP[[#This Row],[Investor ID]])</f>
        <v>39745</v>
      </c>
      <c r="P856" s="153">
        <v>17130</v>
      </c>
      <c r="Q856" s="74">
        <f>SIP[[#This Row],[Amount]]-SIP[[#This Row],[Unit Capital]]</f>
        <v>2870</v>
      </c>
      <c r="R8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11.070574915083657</v>
      </c>
      <c r="S856" s="68">
        <f t="shared" si="39"/>
        <v>14.224</v>
      </c>
      <c r="T8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6" s="74" cm="1">
        <f t="array" ref="U856">IF(SIP[[#This Row],[B/S]]="S",ABS(SIP[[#This Row],[Unit]])*(INDEX(SIP[NAV at Cost (Average)],MATCH(CONCATENATE((SIP[[#This Row],[Frequency]]-1),SIP[[#This Row],[Investor ID]]),SIP[Unique Code],0),0)),0)</f>
        <v>0</v>
      </c>
      <c r="V856" s="74">
        <f>IF(SIP[[#This Row],[BO TRANSFER]]="YES",SIP[[#This Row],[Unit]],)</f>
        <v>0</v>
      </c>
      <c r="W856" s="74">
        <f>SUMIFS(SIP[[#Headers],[BO UNIT TRANSFER]]:SIP[[#This Row],[BO UNIT TRANSFER]],SIP[[#Headers],[Investor ID]]:SIP[[#This Row],[Investor ID]],SIP[[#This Row],[Investor ID]])</f>
        <v>0</v>
      </c>
    </row>
    <row r="857" spans="1:23" ht="15" customHeight="1">
      <c r="A857" s="46">
        <v>2024</v>
      </c>
      <c r="B857" s="46">
        <v>11</v>
      </c>
      <c r="C857" s="46">
        <v>26</v>
      </c>
      <c r="D857" s="65">
        <f>DATE(SIP[[#This Row],[Year]],SIP[[#This Row],[Month]],SIP[[#This Row],[Day]])</f>
        <v>45622</v>
      </c>
      <c r="E857" s="66" t="str" cm="1">
        <f t="array" ref="E857">INDEX(INVESTORS_LIST[INVESTOR NAME],MATCH(SIP[[#This Row],[Investor ID]],INVESTORS_LIST[INVESTOR CODE],0),)</f>
        <v>MOHAMMAD HASAN IMAM</v>
      </c>
      <c r="F857" s="46" t="s">
        <v>1122</v>
      </c>
      <c r="G857" s="46">
        <f>COUNTIF(SIP[[#Headers],[Investor ID]]:SIP[[#This Row],[Investor ID]],SIP[[#This Row],[Investor ID]])</f>
        <v>8</v>
      </c>
      <c r="H857" s="46" t="str">
        <f>CONCATENATE(SIP[[#This Row],[Frequency]],SIP[[#This Row],[Investor ID]])</f>
        <v>8A00536</v>
      </c>
      <c r="I857" s="46" t="str">
        <f>IF(SIP[[#This Row],[B/S]]="B","BUY",(IF(SIP[[#This Row],[B/S]]="S","SELL"," ")))</f>
        <v>BUY</v>
      </c>
      <c r="J857" s="150" t="s">
        <v>1229</v>
      </c>
      <c r="K857" s="152">
        <v>5000</v>
      </c>
      <c r="L857" s="122"/>
      <c r="M857" s="123">
        <f>SIP[[#This Row],[Amount]]/SIP[[#This Row],[Unit]]</f>
        <v>11.682242990654206</v>
      </c>
      <c r="N857" s="71">
        <f>SIP[[#This Row],[Unit Capital]]/10</f>
        <v>428</v>
      </c>
      <c r="O857" s="71">
        <f>SUMIFS(SIP[[#Headers],[Unit]]:SIP[[#This Row],[Unit]],SIP[[#Headers],[Investor ID]]:SIP[[#This Row],[Investor ID]],SIP[[#This Row],[Investor ID]])</f>
        <v>3534</v>
      </c>
      <c r="P857" s="153">
        <v>4280</v>
      </c>
      <c r="Q857" s="74">
        <f>SIP[[#This Row],[Amount]]-SIP[[#This Row],[Unit Capital]]</f>
        <v>720</v>
      </c>
      <c r="R8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11.318619128466326</v>
      </c>
      <c r="S857" s="68">
        <f t="shared" si="39"/>
        <v>14.224</v>
      </c>
      <c r="T8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7" s="74" cm="1">
        <f t="array" ref="U857">IF(SIP[[#This Row],[B/S]]="S",ABS(SIP[[#This Row],[Unit]])*(INDEX(SIP[NAV at Cost (Average)],MATCH(CONCATENATE((SIP[[#This Row],[Frequency]]-1),SIP[[#This Row],[Investor ID]]),SIP[Unique Code],0),0)),0)</f>
        <v>0</v>
      </c>
      <c r="V857" s="74">
        <f>IF(SIP[[#This Row],[BO TRANSFER]]="YES",SIP[[#This Row],[Unit]],)</f>
        <v>0</v>
      </c>
      <c r="W857" s="74">
        <f>SUMIFS(SIP[[#Headers],[BO UNIT TRANSFER]]:SIP[[#This Row],[BO UNIT TRANSFER]],SIP[[#Headers],[Investor ID]]:SIP[[#This Row],[Investor ID]],SIP[[#This Row],[Investor ID]])</f>
        <v>0</v>
      </c>
    </row>
    <row r="858" spans="1:23" ht="15" customHeight="1">
      <c r="A858" s="46">
        <v>2024</v>
      </c>
      <c r="B858" s="46">
        <v>11</v>
      </c>
      <c r="C858" s="46">
        <v>26</v>
      </c>
      <c r="D858" s="65">
        <f>DATE(SIP[[#This Row],[Year]],SIP[[#This Row],[Month]],SIP[[#This Row],[Day]])</f>
        <v>45622</v>
      </c>
      <c r="E858" s="66" t="str" cm="1">
        <f t="array" ref="E858">INDEX(INVESTORS_LIST[INVESTOR NAME],MATCH(SIP[[#This Row],[Investor ID]],INVESTORS_LIST[INVESTOR CODE],0),)</f>
        <v>SADIA PARVIN</v>
      </c>
      <c r="F858" s="46" t="s">
        <v>1018</v>
      </c>
      <c r="G858" s="46">
        <f>COUNTIF(SIP[[#Headers],[Investor ID]]:SIP[[#This Row],[Investor ID]],SIP[[#This Row],[Investor ID]])</f>
        <v>25</v>
      </c>
      <c r="H858" s="46" t="str">
        <f>CONCATENATE(SIP[[#This Row],[Frequency]],SIP[[#This Row],[Investor ID]])</f>
        <v>25A00486</v>
      </c>
      <c r="I858" s="46" t="str">
        <f>IF(SIP[[#This Row],[B/S]]="B","BUY",(IF(SIP[[#This Row],[B/S]]="S","SELL"," ")))</f>
        <v>BUY</v>
      </c>
      <c r="J858" s="150" t="s">
        <v>1229</v>
      </c>
      <c r="K858" s="152">
        <v>5000</v>
      </c>
      <c r="L858" s="122"/>
      <c r="M858" s="123">
        <f>SIP[[#This Row],[Amount]]/SIP[[#This Row],[Unit]]</f>
        <v>11.682242990654206</v>
      </c>
      <c r="N858" s="71">
        <f>SIP[[#This Row],[Unit Capital]]/10</f>
        <v>428</v>
      </c>
      <c r="O858" s="71">
        <f>SUMIFS(SIP[[#Headers],[Unit]]:SIP[[#This Row],[Unit]],SIP[[#Headers],[Investor ID]]:SIP[[#This Row],[Investor ID]],SIP[[#This Row],[Investor ID]])</f>
        <v>11378</v>
      </c>
      <c r="P858" s="153">
        <v>4280</v>
      </c>
      <c r="Q858" s="74">
        <f>SIP[[#This Row],[Amount]]-SIP[[#This Row],[Unit Capital]]</f>
        <v>720</v>
      </c>
      <c r="R8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10.98611355246968</v>
      </c>
      <c r="S858" s="68">
        <f t="shared" si="39"/>
        <v>14.224</v>
      </c>
      <c r="T8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8" s="74" cm="1">
        <f t="array" ref="U858">IF(SIP[[#This Row],[B/S]]="S",ABS(SIP[[#This Row],[Unit]])*(INDEX(SIP[NAV at Cost (Average)],MATCH(CONCATENATE((SIP[[#This Row],[Frequency]]-1),SIP[[#This Row],[Investor ID]]),SIP[Unique Code],0),0)),0)</f>
        <v>0</v>
      </c>
      <c r="V858" s="74">
        <f>IF(SIP[[#This Row],[BO TRANSFER]]="YES",SIP[[#This Row],[Unit]],)</f>
        <v>0</v>
      </c>
      <c r="W858" s="74">
        <f>SUMIFS(SIP[[#Headers],[BO UNIT TRANSFER]]:SIP[[#This Row],[BO UNIT TRANSFER]],SIP[[#Headers],[Investor ID]]:SIP[[#This Row],[Investor ID]],SIP[[#This Row],[Investor ID]])</f>
        <v>0</v>
      </c>
    </row>
    <row r="859" spans="1:23" ht="15" customHeight="1">
      <c r="A859" s="46">
        <v>2024</v>
      </c>
      <c r="B859" s="46">
        <v>11</v>
      </c>
      <c r="C859" s="46">
        <v>26</v>
      </c>
      <c r="D859" s="65">
        <f>DATE(SIP[[#This Row],[Year]],SIP[[#This Row],[Month]],SIP[[#This Row],[Day]])</f>
        <v>45622</v>
      </c>
      <c r="E859" s="66" t="str" cm="1">
        <f t="array" ref="E859">INDEX(INVESTORS_LIST[INVESTOR NAME],MATCH(SIP[[#This Row],[Investor ID]],INVESTORS_LIST[INVESTOR CODE],0),)</f>
        <v>MAHBUB-UL-ANAM KHAN</v>
      </c>
      <c r="F859" s="46" t="s">
        <v>626</v>
      </c>
      <c r="G859" s="46">
        <f>COUNTIF(SIP[[#Headers],[Investor ID]]:SIP[[#This Row],[Investor ID]],SIP[[#This Row],[Investor ID]])</f>
        <v>4</v>
      </c>
      <c r="H859" s="46" t="str">
        <f>CONCATENATE(SIP[[#This Row],[Frequency]],SIP[[#This Row],[Investor ID]])</f>
        <v>4A00289</v>
      </c>
      <c r="I859" s="46" t="str">
        <f>IF(SIP[[#This Row],[B/S]]="B","BUY",(IF(SIP[[#This Row],[B/S]]="S","SELL"," ")))</f>
        <v>BUY</v>
      </c>
      <c r="J859" s="150" t="s">
        <v>1229</v>
      </c>
      <c r="K859" s="152">
        <v>5000</v>
      </c>
      <c r="L859" s="122"/>
      <c r="M859" s="123">
        <f>SIP[[#This Row],[Amount]]/SIP[[#This Row],[Unit]]</f>
        <v>11.682242990654206</v>
      </c>
      <c r="N859" s="71">
        <f>SIP[[#This Row],[Unit Capital]]/10</f>
        <v>428</v>
      </c>
      <c r="O859" s="71">
        <f>SUMIFS(SIP[[#Headers],[Unit]]:SIP[[#This Row],[Unit]],SIP[[#Headers],[Investor ID]]:SIP[[#This Row],[Investor ID]],SIP[[#This Row],[Investor ID]])</f>
        <v>1734</v>
      </c>
      <c r="P859" s="153">
        <v>4280</v>
      </c>
      <c r="Q859" s="74">
        <f>SIP[[#This Row],[Amount]]-SIP[[#This Row],[Unit Capital]]</f>
        <v>720</v>
      </c>
      <c r="R8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11.534025374855823</v>
      </c>
      <c r="S859" s="68">
        <f t="shared" si="39"/>
        <v>14.224</v>
      </c>
      <c r="T8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9" s="74" cm="1">
        <f t="array" ref="U859">IF(SIP[[#This Row],[B/S]]="S",ABS(SIP[[#This Row],[Unit]])*(INDEX(SIP[NAV at Cost (Average)],MATCH(CONCATENATE((SIP[[#This Row],[Frequency]]-1),SIP[[#This Row],[Investor ID]]),SIP[Unique Code],0),0)),0)</f>
        <v>0</v>
      </c>
      <c r="V859" s="74">
        <f>IF(SIP[[#This Row],[BO TRANSFER]]="YES",SIP[[#This Row],[Unit]],)</f>
        <v>0</v>
      </c>
      <c r="W859" s="74">
        <f>SUMIFS(SIP[[#Headers],[BO UNIT TRANSFER]]:SIP[[#This Row],[BO UNIT TRANSFER]],SIP[[#Headers],[Investor ID]]:SIP[[#This Row],[Investor ID]],SIP[[#This Row],[Investor ID]])</f>
        <v>0</v>
      </c>
    </row>
    <row r="860" spans="1:23" ht="15" customHeight="1">
      <c r="A860" s="46">
        <v>2024</v>
      </c>
      <c r="B860" s="46">
        <v>11</v>
      </c>
      <c r="C860" s="46">
        <v>26</v>
      </c>
      <c r="D860" s="65">
        <f>DATE(SIP[[#This Row],[Year]],SIP[[#This Row],[Month]],SIP[[#This Row],[Day]])</f>
        <v>45622</v>
      </c>
      <c r="E860" s="66" t="str" cm="1">
        <f t="array" ref="E860">INDEX(INVESTORS_LIST[INVESTOR NAME],MATCH(SIP[[#This Row],[Investor ID]],INVESTORS_LIST[INVESTOR CODE],0),)</f>
        <v>SYED ADNAN HUDA</v>
      </c>
      <c r="F860" s="46" t="s">
        <v>236</v>
      </c>
      <c r="G860" s="46">
        <f>COUNTIF(SIP[[#Headers],[Investor ID]]:SIP[[#This Row],[Investor ID]],SIP[[#This Row],[Investor ID]])</f>
        <v>5</v>
      </c>
      <c r="H860" s="46" t="str">
        <f>CONCATENATE(SIP[[#This Row],[Frequency]],SIP[[#This Row],[Investor ID]])</f>
        <v>5A00094</v>
      </c>
      <c r="I860" s="46" t="str">
        <f>IF(SIP[[#This Row],[B/S]]="B","BUY",(IF(SIP[[#This Row],[B/S]]="S","SELL"," ")))</f>
        <v>BUY</v>
      </c>
      <c r="J860" s="150" t="s">
        <v>1229</v>
      </c>
      <c r="K860" s="152">
        <v>50000</v>
      </c>
      <c r="L860" s="122"/>
      <c r="M860" s="123">
        <f>SIP[[#This Row],[Amount]]/SIP[[#This Row],[Unit]]</f>
        <v>11.676786548341896</v>
      </c>
      <c r="N860" s="71">
        <f>SIP[[#This Row],[Unit Capital]]/10</f>
        <v>4282</v>
      </c>
      <c r="O860" s="71">
        <f>SUMIFS(SIP[[#Headers],[Unit]]:SIP[[#This Row],[Unit]],SIP[[#Headers],[Investor ID]]:SIP[[#This Row],[Investor ID]],SIP[[#This Row],[Investor ID]])</f>
        <v>21793</v>
      </c>
      <c r="P860" s="153">
        <v>42820</v>
      </c>
      <c r="Q860" s="74">
        <f>SIP[[#This Row],[Amount]]-SIP[[#This Row],[Unit Capital]]</f>
        <v>7180</v>
      </c>
      <c r="R8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11.47157344101317</v>
      </c>
      <c r="S860" s="68">
        <f t="shared" si="39"/>
        <v>14.224</v>
      </c>
      <c r="T8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0" s="74" cm="1">
        <f t="array" ref="U860">IF(SIP[[#This Row],[B/S]]="S",ABS(SIP[[#This Row],[Unit]])*(INDEX(SIP[NAV at Cost (Average)],MATCH(CONCATENATE((SIP[[#This Row],[Frequency]]-1),SIP[[#This Row],[Investor ID]]),SIP[Unique Code],0),0)),0)</f>
        <v>0</v>
      </c>
      <c r="V860" s="74">
        <f>IF(SIP[[#This Row],[BO TRANSFER]]="YES",SIP[[#This Row],[Unit]],)</f>
        <v>0</v>
      </c>
      <c r="W860" s="74">
        <f>SUMIFS(SIP[[#Headers],[BO UNIT TRANSFER]]:SIP[[#This Row],[BO UNIT TRANSFER]],SIP[[#Headers],[Investor ID]]:SIP[[#This Row],[Investor ID]],SIP[[#This Row],[Investor ID]])</f>
        <v>0</v>
      </c>
    </row>
    <row r="861" spans="1:23" ht="15" customHeight="1">
      <c r="A861" s="46">
        <v>2024</v>
      </c>
      <c r="B861" s="46">
        <v>11</v>
      </c>
      <c r="C861" s="46">
        <v>26</v>
      </c>
      <c r="D861" s="65">
        <f>DATE(SIP[[#This Row],[Year]],SIP[[#This Row],[Month]],SIP[[#This Row],[Day]])</f>
        <v>45622</v>
      </c>
      <c r="E861" s="66" t="str" cm="1">
        <f t="array" ref="E861">INDEX(INVESTORS_LIST[INVESTOR NAME],MATCH(SIP[[#This Row],[Investor ID]],INVESTORS_LIST[INVESTOR CODE],0),)</f>
        <v>MAHFUZUL ISLAM</v>
      </c>
      <c r="F861" s="46" t="s">
        <v>473</v>
      </c>
      <c r="G861" s="46">
        <f>COUNTIF(SIP[[#Headers],[Investor ID]]:SIP[[#This Row],[Investor ID]],SIP[[#This Row],[Investor ID]])</f>
        <v>10</v>
      </c>
      <c r="H861" s="46" t="str">
        <f>CONCATENATE(SIP[[#This Row],[Frequency]],SIP[[#This Row],[Investor ID]])</f>
        <v>10A00212</v>
      </c>
      <c r="I861" s="46" t="str">
        <f>IF(SIP[[#This Row],[B/S]]="B","BUY",(IF(SIP[[#This Row],[B/S]]="S","SELL"," ")))</f>
        <v>BUY</v>
      </c>
      <c r="J861" s="150" t="s">
        <v>1229</v>
      </c>
      <c r="K861" s="152">
        <v>3000</v>
      </c>
      <c r="L861" s="122" t="s">
        <v>1230</v>
      </c>
      <c r="M861" s="123">
        <f>SIP[[#This Row],[Amount]]/SIP[[#This Row],[Unit]]</f>
        <v>11.673151750972762</v>
      </c>
      <c r="N861" s="71">
        <f>SIP[[#This Row],[Unit Capital]]/10</f>
        <v>257</v>
      </c>
      <c r="O861" s="71">
        <f>SUMIFS(SIP[[#Headers],[Unit]]:SIP[[#This Row],[Unit]],SIP[[#Headers],[Investor ID]]:SIP[[#This Row],[Investor ID]],SIP[[#This Row],[Investor ID]])</f>
        <v>1584</v>
      </c>
      <c r="P861" s="153">
        <v>2570</v>
      </c>
      <c r="Q861" s="74">
        <f>SIP[[#This Row],[Amount]]-SIP[[#This Row],[Unit Capital]]</f>
        <v>430</v>
      </c>
      <c r="R8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11.363636363636367</v>
      </c>
      <c r="S861" s="68">
        <f t="shared" si="39"/>
        <v>14.224</v>
      </c>
      <c r="T8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1" s="74" cm="1">
        <f t="array" ref="U861">IF(SIP[[#This Row],[B/S]]="S",ABS(SIP[[#This Row],[Unit]])*(INDEX(SIP[NAV at Cost (Average)],MATCH(CONCATENATE((SIP[[#This Row],[Frequency]]-1),SIP[[#This Row],[Investor ID]]),SIP[Unique Code],0),0)),0)</f>
        <v>0</v>
      </c>
      <c r="V861" s="74">
        <f>IF(SIP[[#This Row],[BO TRANSFER]]="YES",SIP[[#This Row],[Unit]],)</f>
        <v>257</v>
      </c>
      <c r="W861" s="74">
        <f>SUMIFS(SIP[[#Headers],[BO UNIT TRANSFER]]:SIP[[#This Row],[BO UNIT TRANSFER]],SIP[[#Headers],[Investor ID]]:SIP[[#This Row],[Investor ID]],SIP[[#This Row],[Investor ID]])</f>
        <v>1584</v>
      </c>
    </row>
    <row r="862" spans="1:23" ht="15" customHeight="1">
      <c r="A862" s="46">
        <v>2024</v>
      </c>
      <c r="B862" s="46">
        <v>11</v>
      </c>
      <c r="C862" s="46">
        <v>26</v>
      </c>
      <c r="D862" s="65">
        <f>DATE(SIP[[#This Row],[Year]],SIP[[#This Row],[Month]],SIP[[#This Row],[Day]])</f>
        <v>45622</v>
      </c>
      <c r="E862" s="66" t="str" cm="1">
        <f t="array" ref="E862">INDEX(INVESTORS_LIST[INVESTOR NAME],MATCH(SIP[[#This Row],[Investor ID]],INVESTORS_LIST[INVESTOR CODE],0),)</f>
        <v>HUMAIRA TABASSUM READDHE</v>
      </c>
      <c r="F862" s="46" t="s">
        <v>1052</v>
      </c>
      <c r="G862" s="46">
        <f>COUNTIF(SIP[[#Headers],[Investor ID]]:SIP[[#This Row],[Investor ID]],SIP[[#This Row],[Investor ID]])</f>
        <v>4</v>
      </c>
      <c r="H862" s="46" t="str">
        <f>CONCATENATE(SIP[[#This Row],[Frequency]],SIP[[#This Row],[Investor ID]])</f>
        <v>4A00503</v>
      </c>
      <c r="I862" s="46" t="str">
        <f>IF(SIP[[#This Row],[B/S]]="B","BUY",(IF(SIP[[#This Row],[B/S]]="S","SELL"," ")))</f>
        <v>BUY</v>
      </c>
      <c r="J862" s="150" t="s">
        <v>1229</v>
      </c>
      <c r="K862" s="152">
        <v>3000</v>
      </c>
      <c r="L862" s="122"/>
      <c r="M862" s="123">
        <f>SIP[[#This Row],[Amount]]/SIP[[#This Row],[Unit]]</f>
        <v>11.673151750972762</v>
      </c>
      <c r="N862" s="71">
        <f>SIP[[#This Row],[Unit Capital]]/10</f>
        <v>257</v>
      </c>
      <c r="O862" s="71">
        <f>SUMIFS(SIP[[#Headers],[Unit]]:SIP[[#This Row],[Unit]],SIP[[#Headers],[Investor ID]]:SIP[[#This Row],[Investor ID]],SIP[[#This Row],[Investor ID]])</f>
        <v>1041</v>
      </c>
      <c r="P862" s="153">
        <v>2570</v>
      </c>
      <c r="Q862" s="74">
        <f>SIP[[#This Row],[Amount]]-SIP[[#This Row],[Unit Capital]]</f>
        <v>430</v>
      </c>
      <c r="R8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11.527377521613833</v>
      </c>
      <c r="S862" s="68">
        <f t="shared" si="39"/>
        <v>14.224</v>
      </c>
      <c r="T8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2" s="74" cm="1">
        <f t="array" ref="U862">IF(SIP[[#This Row],[B/S]]="S",ABS(SIP[[#This Row],[Unit]])*(INDEX(SIP[NAV at Cost (Average)],MATCH(CONCATENATE((SIP[[#This Row],[Frequency]]-1),SIP[[#This Row],[Investor ID]]),SIP[Unique Code],0),0)),0)</f>
        <v>0</v>
      </c>
      <c r="V862" s="74">
        <f>IF(SIP[[#This Row],[BO TRANSFER]]="YES",SIP[[#This Row],[Unit]],)</f>
        <v>0</v>
      </c>
      <c r="W862" s="74">
        <f>SUMIFS(SIP[[#Headers],[BO UNIT TRANSFER]]:SIP[[#This Row],[BO UNIT TRANSFER]],SIP[[#Headers],[Investor ID]]:SIP[[#This Row],[Investor ID]],SIP[[#This Row],[Investor ID]])</f>
        <v>0</v>
      </c>
    </row>
    <row r="863" spans="1:23" ht="15" customHeight="1">
      <c r="A863" s="46">
        <v>2024</v>
      </c>
      <c r="B863" s="46">
        <v>11</v>
      </c>
      <c r="C863" s="46">
        <v>26</v>
      </c>
      <c r="D863" s="65">
        <f>DATE(SIP[[#This Row],[Year]],SIP[[#This Row],[Month]],SIP[[#This Row],[Day]])</f>
        <v>45622</v>
      </c>
      <c r="E863" s="66" t="str" cm="1">
        <f t="array" ref="E863">INDEX(INVESTORS_LIST[INVESTOR NAME],MATCH(SIP[[#This Row],[Investor ID]],INVESTORS_LIST[INVESTOR CODE],0),)</f>
        <v>SHAPNA RANI BARMAN</v>
      </c>
      <c r="F863" s="46" t="s">
        <v>1292</v>
      </c>
      <c r="G863" s="46">
        <f>COUNTIF(SIP[[#Headers],[Investor ID]]:SIP[[#This Row],[Investor ID]],SIP[[#This Row],[Investor ID]])</f>
        <v>1</v>
      </c>
      <c r="H863" s="46" t="str">
        <f>CONCATENATE(SIP[[#This Row],[Frequency]],SIP[[#This Row],[Investor ID]])</f>
        <v>1A00593</v>
      </c>
      <c r="I863" s="46" t="str">
        <f>IF(SIP[[#This Row],[B/S]]="B","BUY",(IF(SIP[[#This Row],[B/S]]="S","SELL"," ")))</f>
        <v>BUY</v>
      </c>
      <c r="J863" s="150" t="s">
        <v>1229</v>
      </c>
      <c r="K863" s="152">
        <v>1000</v>
      </c>
      <c r="L863" s="122"/>
      <c r="M863" s="123">
        <f>SIP[[#This Row],[Amount]]/SIP[[#This Row],[Unit]]</f>
        <v>11.627906976744185</v>
      </c>
      <c r="N863" s="71">
        <f>SIP[[#This Row],[Unit Capital]]/10</f>
        <v>86</v>
      </c>
      <c r="O863" s="71">
        <f>SUMIFS(SIP[[#Headers],[Unit]]:SIP[[#This Row],[Unit]],SIP[[#Headers],[Investor ID]]:SIP[[#This Row],[Investor ID]],SIP[[#This Row],[Investor ID]])</f>
        <v>86</v>
      </c>
      <c r="P863" s="153">
        <v>860</v>
      </c>
      <c r="Q863" s="74">
        <f>SIP[[#This Row],[Amount]]-SIP[[#This Row],[Unit Capital]]</f>
        <v>140</v>
      </c>
      <c r="R8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11.627906976744185</v>
      </c>
      <c r="S863" s="68">
        <f t="shared" si="39"/>
        <v>14.224</v>
      </c>
      <c r="T8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3" s="74" cm="1">
        <f t="array" ref="U863">IF(SIP[[#This Row],[B/S]]="S",ABS(SIP[[#This Row],[Unit]])*(INDEX(SIP[NAV at Cost (Average)],MATCH(CONCATENATE((SIP[[#This Row],[Frequency]]-1),SIP[[#This Row],[Investor ID]]),SIP[Unique Code],0),0)),0)</f>
        <v>0</v>
      </c>
      <c r="V863" s="74">
        <f>IF(SIP[[#This Row],[BO TRANSFER]]="YES",SIP[[#This Row],[Unit]],)</f>
        <v>0</v>
      </c>
      <c r="W863" s="74">
        <f>SUMIFS(SIP[[#Headers],[BO UNIT TRANSFER]]:SIP[[#This Row],[BO UNIT TRANSFER]],SIP[[#Headers],[Investor ID]]:SIP[[#This Row],[Investor ID]],SIP[[#This Row],[Investor ID]])</f>
        <v>0</v>
      </c>
    </row>
    <row r="864" spans="1:23" ht="15" customHeight="1">
      <c r="A864" s="46">
        <v>2024</v>
      </c>
      <c r="B864" s="46">
        <v>11</v>
      </c>
      <c r="C864" s="46">
        <v>26</v>
      </c>
      <c r="D864" s="65">
        <f>DATE(SIP[[#This Row],[Year]],SIP[[#This Row],[Month]],SIP[[#This Row],[Day]])</f>
        <v>45622</v>
      </c>
      <c r="E864" s="66" t="str" cm="1">
        <f t="array" ref="E864">INDEX(INVESTORS_LIST[INVESTOR NAME],MATCH(SIP[[#This Row],[Investor ID]],INVESTORS_LIST[INVESTOR CODE],0),)</f>
        <v>MAYA RANI SAHA</v>
      </c>
      <c r="F864" s="46" t="s">
        <v>224</v>
      </c>
      <c r="G864" s="46">
        <f>COUNTIF(SIP[[#Headers],[Investor ID]]:SIP[[#This Row],[Investor ID]],SIP[[#This Row],[Investor ID]])</f>
        <v>28</v>
      </c>
      <c r="H864" s="46" t="str">
        <f>CONCATENATE(SIP[[#This Row],[Frequency]],SIP[[#This Row],[Investor ID]])</f>
        <v>28A00088</v>
      </c>
      <c r="I864" s="46" t="str">
        <f>IF(SIP[[#This Row],[B/S]]="B","BUY",(IF(SIP[[#This Row],[B/S]]="S","SELL"," ")))</f>
        <v>BUY</v>
      </c>
      <c r="J864" s="150" t="s">
        <v>1229</v>
      </c>
      <c r="K864" s="152">
        <v>6000</v>
      </c>
      <c r="L864" s="122"/>
      <c r="M864" s="123">
        <f>SIP[[#This Row],[Amount]]/SIP[[#This Row],[Unit]]</f>
        <v>11.673151750972762</v>
      </c>
      <c r="N864" s="71">
        <f>SIP[[#This Row],[Unit Capital]]/10</f>
        <v>514</v>
      </c>
      <c r="O864" s="71">
        <f>SUMIFS(SIP[[#Headers],[Unit]]:SIP[[#This Row],[Unit]],SIP[[#Headers],[Investor ID]]:SIP[[#This Row],[Investor ID]],SIP[[#This Row],[Investor ID]])</f>
        <v>40259</v>
      </c>
      <c r="P864" s="153">
        <v>5140</v>
      </c>
      <c r="Q864" s="74">
        <f>SIP[[#This Row],[Amount]]-SIP[[#This Row],[Unit Capital]]</f>
        <v>860</v>
      </c>
      <c r="R8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11.078268213318761</v>
      </c>
      <c r="S864" s="68">
        <f t="shared" si="39"/>
        <v>14.224</v>
      </c>
      <c r="T8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4" s="74" cm="1">
        <f t="array" ref="U864">IF(SIP[[#This Row],[B/S]]="S",ABS(SIP[[#This Row],[Unit]])*(INDEX(SIP[NAV at Cost (Average)],MATCH(CONCATENATE((SIP[[#This Row],[Frequency]]-1),SIP[[#This Row],[Investor ID]]),SIP[Unique Code],0),0)),0)</f>
        <v>0</v>
      </c>
      <c r="V864" s="74">
        <f>IF(SIP[[#This Row],[BO TRANSFER]]="YES",SIP[[#This Row],[Unit]],)</f>
        <v>0</v>
      </c>
      <c r="W864" s="74">
        <f>SUMIFS(SIP[[#Headers],[BO UNIT TRANSFER]]:SIP[[#This Row],[BO UNIT TRANSFER]],SIP[[#Headers],[Investor ID]]:SIP[[#This Row],[Investor ID]],SIP[[#This Row],[Investor ID]])</f>
        <v>0</v>
      </c>
    </row>
    <row r="865" spans="1:23" ht="15" customHeight="1">
      <c r="A865" s="46">
        <v>2024</v>
      </c>
      <c r="B865" s="46">
        <v>11</v>
      </c>
      <c r="C865" s="46">
        <v>26</v>
      </c>
      <c r="D865" s="65">
        <f>DATE(SIP[[#This Row],[Year]],SIP[[#This Row],[Month]],SIP[[#This Row],[Day]])</f>
        <v>45622</v>
      </c>
      <c r="E865" s="66" t="str" cm="1">
        <f t="array" ref="E865">INDEX(INVESTORS_LIST[INVESTOR NAME],MATCH(SIP[[#This Row],[Investor ID]],INVESTORS_LIST[INVESTOR CODE],0),)</f>
        <v>KHAN MUHAMMAD FAISOL</v>
      </c>
      <c r="F865" s="46" t="s">
        <v>930</v>
      </c>
      <c r="G865" s="46">
        <f>COUNTIF(SIP[[#Headers],[Investor ID]]:SIP[[#This Row],[Investor ID]],SIP[[#This Row],[Investor ID]])</f>
        <v>19</v>
      </c>
      <c r="H865" s="46" t="str">
        <f>CONCATENATE(SIP[[#This Row],[Frequency]],SIP[[#This Row],[Investor ID]])</f>
        <v>19A00442</v>
      </c>
      <c r="I865" s="46" t="str">
        <f>IF(SIP[[#This Row],[B/S]]="B","BUY",(IF(SIP[[#This Row],[B/S]]="S","SELL"," ")))</f>
        <v>BUY</v>
      </c>
      <c r="J865" s="150" t="s">
        <v>1229</v>
      </c>
      <c r="K865" s="152">
        <v>1000</v>
      </c>
      <c r="L865" s="69"/>
      <c r="M865" s="123">
        <f>SIP[[#This Row],[Amount]]/SIP[[#This Row],[Unit]]</f>
        <v>11.627906976744185</v>
      </c>
      <c r="N865" s="71">
        <f>SIP[[#This Row],[Unit Capital]]/10</f>
        <v>86</v>
      </c>
      <c r="O865" s="71">
        <f>SUMIFS(SIP[[#Headers],[Unit]]:SIP[[#This Row],[Unit]],SIP[[#Headers],[Investor ID]]:SIP[[#This Row],[Investor ID]],SIP[[#This Row],[Investor ID]])</f>
        <v>1750</v>
      </c>
      <c r="P865" s="153">
        <v>860</v>
      </c>
      <c r="Q865" s="74">
        <f>SIP[[#This Row],[Amount]]-SIP[[#This Row],[Unit Capital]]</f>
        <v>140</v>
      </c>
      <c r="R8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10.857142857142859</v>
      </c>
      <c r="S865" s="68">
        <f t="shared" si="39"/>
        <v>14.224</v>
      </c>
      <c r="T8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5" s="74" cm="1">
        <f t="array" ref="U865">IF(SIP[[#This Row],[B/S]]="S",ABS(SIP[[#This Row],[Unit]])*(INDEX(SIP[NAV at Cost (Average)],MATCH(CONCATENATE((SIP[[#This Row],[Frequency]]-1),SIP[[#This Row],[Investor ID]]),SIP[Unique Code],0),0)),0)</f>
        <v>0</v>
      </c>
      <c r="V865" s="74">
        <f>IF(SIP[[#This Row],[BO TRANSFER]]="YES",SIP[[#This Row],[Unit]],)</f>
        <v>0</v>
      </c>
      <c r="W865" s="74">
        <f>SUMIFS(SIP[[#Headers],[BO UNIT TRANSFER]]:SIP[[#This Row],[BO UNIT TRANSFER]],SIP[[#Headers],[Investor ID]]:SIP[[#This Row],[Investor ID]],SIP[[#This Row],[Investor ID]])</f>
        <v>0</v>
      </c>
    </row>
    <row r="866" spans="1:23" ht="15" customHeight="1">
      <c r="A866" s="46">
        <v>2024</v>
      </c>
      <c r="B866" s="46">
        <v>11</v>
      </c>
      <c r="C866" s="46">
        <v>26</v>
      </c>
      <c r="D866" s="65">
        <f>DATE(SIP[[#This Row],[Year]],SIP[[#This Row],[Month]],SIP[[#This Row],[Day]])</f>
        <v>45622</v>
      </c>
      <c r="E866" s="66" t="str" cm="1">
        <f t="array" ref="E866">INDEX(INVESTORS_LIST[INVESTOR NAME],MATCH(SIP[[#This Row],[Investor ID]],INVESTORS_LIST[INVESTOR CODE],0),)</f>
        <v>MD. ARIFUL ISLAM</v>
      </c>
      <c r="F866" s="46" t="s">
        <v>222</v>
      </c>
      <c r="G866" s="46">
        <f>COUNTIF(SIP[[#Headers],[Investor ID]]:SIP[[#This Row],[Investor ID]],SIP[[#This Row],[Investor ID]])</f>
        <v>19</v>
      </c>
      <c r="H866" s="46" t="str">
        <f>CONCATENATE(SIP[[#This Row],[Frequency]],SIP[[#This Row],[Investor ID]])</f>
        <v>19A00087</v>
      </c>
      <c r="I866" s="46" t="str">
        <f>IF(SIP[[#This Row],[B/S]]="B","BUY",(IF(SIP[[#This Row],[B/S]]="S","SELL"," ")))</f>
        <v>BUY</v>
      </c>
      <c r="J866" s="150" t="s">
        <v>1229</v>
      </c>
      <c r="K866" s="152">
        <v>10000</v>
      </c>
      <c r="L866" s="69"/>
      <c r="M866" s="123">
        <f>SIP[[#This Row],[Amount]]/SIP[[#This Row],[Unit]]</f>
        <v>11.682242990654206</v>
      </c>
      <c r="N866" s="71">
        <f>SIP[[#This Row],[Unit Capital]]/10</f>
        <v>856</v>
      </c>
      <c r="O866" s="71">
        <f>SUMIFS(SIP[[#Headers],[Unit]]:SIP[[#This Row],[Unit]],SIP[[#Headers],[Investor ID]]:SIP[[#This Row],[Investor ID]],SIP[[#This Row],[Investor ID]])</f>
        <v>17509</v>
      </c>
      <c r="P866" s="153">
        <v>8560</v>
      </c>
      <c r="Q866" s="74">
        <f>SIP[[#This Row],[Amount]]-SIP[[#This Row],[Unit Capital]]</f>
        <v>1440</v>
      </c>
      <c r="R8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10.851562053800903</v>
      </c>
      <c r="S866" s="68">
        <f t="shared" si="39"/>
        <v>14.224</v>
      </c>
      <c r="T8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6" s="74" cm="1">
        <f t="array" ref="U866">IF(SIP[[#This Row],[B/S]]="S",ABS(SIP[[#This Row],[Unit]])*(INDEX(SIP[NAV at Cost (Average)],MATCH(CONCATENATE((SIP[[#This Row],[Frequency]]-1),SIP[[#This Row],[Investor ID]]),SIP[Unique Code],0),0)),0)</f>
        <v>0</v>
      </c>
      <c r="V866" s="74">
        <f>IF(SIP[[#This Row],[BO TRANSFER]]="YES",SIP[[#This Row],[Unit]],)</f>
        <v>0</v>
      </c>
      <c r="W866" s="74">
        <f>SUMIFS(SIP[[#Headers],[BO UNIT TRANSFER]]:SIP[[#This Row],[BO UNIT TRANSFER]],SIP[[#Headers],[Investor ID]]:SIP[[#This Row],[Investor ID]],SIP[[#This Row],[Investor ID]])</f>
        <v>0</v>
      </c>
    </row>
    <row r="867" spans="1:23" ht="15" customHeight="1">
      <c r="A867" s="46">
        <v>2024</v>
      </c>
      <c r="B867" s="46">
        <v>11</v>
      </c>
      <c r="C867" s="46">
        <v>26</v>
      </c>
      <c r="D867" s="65">
        <f>DATE(SIP[[#This Row],[Year]],SIP[[#This Row],[Month]],SIP[[#This Row],[Day]])</f>
        <v>45622</v>
      </c>
      <c r="E867" s="66" t="str" cm="1">
        <f t="array" ref="E867">INDEX(INVESTORS_LIST[INVESTOR NAME],MATCH(SIP[[#This Row],[Investor ID]],INVESTORS_LIST[INVESTOR CODE],0),)</f>
        <v>MAHFUZUL ISLAM</v>
      </c>
      <c r="F867" s="46" t="s">
        <v>473</v>
      </c>
      <c r="G867" s="46">
        <f>COUNTIF(SIP[[#Headers],[Investor ID]]:SIP[[#This Row],[Investor ID]],SIP[[#This Row],[Investor ID]])</f>
        <v>11</v>
      </c>
      <c r="H867" s="46" t="str">
        <f>CONCATENATE(SIP[[#This Row],[Frequency]],SIP[[#This Row],[Investor ID]])</f>
        <v>11A00212</v>
      </c>
      <c r="I867" s="46" t="str">
        <f>IF(SIP[[#This Row],[B/S]]="B","BUY",(IF(SIP[[#This Row],[B/S]]="S","SELL"," ")))</f>
        <v>BUY</v>
      </c>
      <c r="J867" s="150" t="s">
        <v>1229</v>
      </c>
      <c r="K867" s="152">
        <v>1000</v>
      </c>
      <c r="L867" s="122" t="s">
        <v>1230</v>
      </c>
      <c r="M867" s="123">
        <f>SIP[[#This Row],[Amount]]/SIP[[#This Row],[Unit]]</f>
        <v>11.627906976744185</v>
      </c>
      <c r="N867" s="71">
        <f>SIP[[#This Row],[Unit Capital]]/10</f>
        <v>86</v>
      </c>
      <c r="O867" s="71">
        <f>SUMIFS(SIP[[#Headers],[Unit]]:SIP[[#This Row],[Unit]],SIP[[#Headers],[Investor ID]]:SIP[[#This Row],[Investor ID]],SIP[[#This Row],[Investor ID]])</f>
        <v>1670</v>
      </c>
      <c r="P867" s="153">
        <v>860</v>
      </c>
      <c r="Q867" s="74">
        <f>SIP[[#This Row],[Amount]]-SIP[[#This Row],[Unit Capital]]</f>
        <v>140</v>
      </c>
      <c r="R8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11.377245508982039</v>
      </c>
      <c r="S867" s="68">
        <f t="shared" si="39"/>
        <v>14.224</v>
      </c>
      <c r="T8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7" s="74" cm="1">
        <f t="array" ref="U867">IF(SIP[[#This Row],[B/S]]="S",ABS(SIP[[#This Row],[Unit]])*(INDEX(SIP[NAV at Cost (Average)],MATCH(CONCATENATE((SIP[[#This Row],[Frequency]]-1),SIP[[#This Row],[Investor ID]]),SIP[Unique Code],0),0)),0)</f>
        <v>0</v>
      </c>
      <c r="V867" s="74">
        <f>IF(SIP[[#This Row],[BO TRANSFER]]="YES",SIP[[#This Row],[Unit]],)</f>
        <v>86</v>
      </c>
      <c r="W867" s="74">
        <f>SUMIFS(SIP[[#Headers],[BO UNIT TRANSFER]]:SIP[[#This Row],[BO UNIT TRANSFER]],SIP[[#Headers],[Investor ID]]:SIP[[#This Row],[Investor ID]],SIP[[#This Row],[Investor ID]])</f>
        <v>1670</v>
      </c>
    </row>
    <row r="868" spans="1:23" ht="15" customHeight="1">
      <c r="A868" s="46">
        <v>2024</v>
      </c>
      <c r="B868" s="46">
        <v>11</v>
      </c>
      <c r="C868" s="46">
        <v>28</v>
      </c>
      <c r="D868" s="65">
        <f>DATE(SIP[[#This Row],[Year]],SIP[[#This Row],[Month]],SIP[[#This Row],[Day]])</f>
        <v>45624</v>
      </c>
      <c r="E868" s="66" t="str" cm="1">
        <f t="array" ref="E868">INDEX(INVESTORS_LIST[INVESTOR NAME],MATCH(SIP[[#This Row],[Investor ID]],INVESTORS_LIST[INVESTOR CODE],0),)</f>
        <v>MOHAMMAD HASAN</v>
      </c>
      <c r="F868" s="46" t="s">
        <v>1010</v>
      </c>
      <c r="G868" s="46">
        <f>COUNTIF(SIP[[#Headers],[Investor ID]]:SIP[[#This Row],[Investor ID]],SIP[[#This Row],[Investor ID]])</f>
        <v>16</v>
      </c>
      <c r="H868" s="46" t="str">
        <f>CONCATENATE(SIP[[#This Row],[Frequency]],SIP[[#This Row],[Investor ID]])</f>
        <v>16A00482</v>
      </c>
      <c r="I868" s="46" t="str">
        <f>IF(SIP[[#This Row],[B/S]]="B","BUY",(IF(SIP[[#This Row],[B/S]]="S","SELL"," ")))</f>
        <v>SELL</v>
      </c>
      <c r="J868" s="150" t="s">
        <v>1231</v>
      </c>
      <c r="K868" s="152">
        <v>-81360.63</v>
      </c>
      <c r="L868" s="122"/>
      <c r="M868" s="123">
        <f>SIP[[#This Row],[Amount]]/SIP[[#This Row],[Unit]]</f>
        <v>11.67800057413521</v>
      </c>
      <c r="N868" s="71">
        <f>SIP[[#This Row],[Unit Capital]]/10</f>
        <v>-6967</v>
      </c>
      <c r="O868" s="71">
        <f>SUMIFS(SIP[[#Headers],[Unit]]:SIP[[#This Row],[Unit]],SIP[[#Headers],[Investor ID]]:SIP[[#This Row],[Investor ID]],SIP[[#This Row],[Investor ID]])</f>
        <v>0</v>
      </c>
      <c r="P868" s="153">
        <v>-69670</v>
      </c>
      <c r="Q868" s="74">
        <f>SIP[[#This Row],[Amount]]-SIP[[#This Row],[Unit Capital]]</f>
        <v>-11690.630000000005</v>
      </c>
      <c r="R8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68" s="68">
        <f t="shared" ref="S868:S884" si="40">NAV_MKT</f>
        <v>14.224</v>
      </c>
      <c r="T868" s="74">
        <f>IF(SIP[[#This Row],[B/S]]="B",0,ABS(SIP[[#This Row],[Unit]])*(SIP[[#This Row],[NAV (Strike Rate)]]-INDEX(SIP[NAV at Cost (Average)],MATCH(CONCATENATE(SIP[[#This Row],[Frequency]]-1,SIP[[#This Row],[Investor ID]]),SIP[Unique Code],0),)))</f>
        <v>6360.630000000011</v>
      </c>
      <c r="U868" s="74" cm="1">
        <f t="array" ref="U868">IF(SIP[[#This Row],[B/S]]="S",ABS(SIP[[#This Row],[Unit]])*(INDEX(SIP[NAV at Cost (Average)],MATCH(CONCATENATE((SIP[[#This Row],[Frequency]]-1),SIP[[#This Row],[Investor ID]]),SIP[Unique Code],0),0)),0)</f>
        <v>75000</v>
      </c>
      <c r="V868" s="74">
        <f>IF(SIP[[#This Row],[BO TRANSFER]]="YES",SIP[[#This Row],[Unit]],)</f>
        <v>0</v>
      </c>
      <c r="W868" s="74">
        <f>SUMIFS(SIP[[#Headers],[BO UNIT TRANSFER]]:SIP[[#This Row],[BO UNIT TRANSFER]],SIP[[#Headers],[Investor ID]]:SIP[[#This Row],[Investor ID]],SIP[[#This Row],[Investor ID]])</f>
        <v>0</v>
      </c>
    </row>
    <row r="869" spans="1:23" ht="15" customHeight="1">
      <c r="A869" s="46">
        <v>2024</v>
      </c>
      <c r="B869" s="46">
        <v>11</v>
      </c>
      <c r="C869" s="46">
        <v>28</v>
      </c>
      <c r="D869" s="65">
        <f>DATE(SIP[[#This Row],[Year]],SIP[[#This Row],[Month]],SIP[[#This Row],[Day]])</f>
        <v>45624</v>
      </c>
      <c r="E869" s="66" t="str" cm="1">
        <f t="array" ref="E869">INDEX(INVESTORS_LIST[INVESTOR NAME],MATCH(SIP[[#This Row],[Investor ID]],INVESTORS_LIST[INVESTOR CODE],0),)</f>
        <v>AKIB TANVIR ANJUM</v>
      </c>
      <c r="F869" s="46" t="s">
        <v>1116</v>
      </c>
      <c r="G869" s="46">
        <f>COUNTIF(SIP[[#Headers],[Investor ID]]:SIP[[#This Row],[Investor ID]],SIP[[#This Row],[Investor ID]])</f>
        <v>14</v>
      </c>
      <c r="H869" s="46" t="str">
        <f>CONCATENATE(SIP[[#This Row],[Frequency]],SIP[[#This Row],[Investor ID]])</f>
        <v>14A00533</v>
      </c>
      <c r="I869" s="46" t="str">
        <f>IF(SIP[[#This Row],[B/S]]="B","BUY",(IF(SIP[[#This Row],[B/S]]="S","SELL"," ")))</f>
        <v>SELL</v>
      </c>
      <c r="J869" s="150" t="s">
        <v>1231</v>
      </c>
      <c r="K869" s="152">
        <v>-1000</v>
      </c>
      <c r="L869" s="122"/>
      <c r="M869" s="123">
        <f>SIP[[#This Row],[Amount]]/SIP[[#This Row],[Unit]]</f>
        <v>11.627906976744185</v>
      </c>
      <c r="N869" s="71">
        <f>SIP[[#This Row],[Unit Capital]]/10</f>
        <v>-86</v>
      </c>
      <c r="O869" s="71">
        <f>SUMIFS(SIP[[#Headers],[Unit]]:SIP[[#This Row],[Unit]],SIP[[#Headers],[Investor ID]]:SIP[[#This Row],[Investor ID]],SIP[[#This Row],[Investor ID]])</f>
        <v>684</v>
      </c>
      <c r="P869" s="153">
        <v>-860</v>
      </c>
      <c r="Q869" s="74">
        <f>SIP[[#This Row],[Amount]]-SIP[[#This Row],[Unit Capital]]</f>
        <v>-140</v>
      </c>
      <c r="R8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11.367302709837215</v>
      </c>
      <c r="S869" s="68">
        <f t="shared" si="40"/>
        <v>14.224</v>
      </c>
      <c r="T869" s="74">
        <f>IF(SIP[[#This Row],[B/S]]="B",0,ABS(SIP[[#This Row],[Unit]])*(SIP[[#This Row],[NAV (Strike Rate)]]-INDEX(SIP[NAV at Cost (Average)],MATCH(CONCATENATE(SIP[[#This Row],[Frequency]]-1,SIP[[#This Row],[Investor ID]]),SIP[Unique Code],0),)))</f>
        <v>22.411966953999432</v>
      </c>
      <c r="U869" s="74" cm="1">
        <f t="array" ref="U869">IF(SIP[[#This Row],[B/S]]="S",ABS(SIP[[#This Row],[Unit]])*(INDEX(SIP[NAV at Cost (Average)],MATCH(CONCATENATE((SIP[[#This Row],[Frequency]]-1),SIP[[#This Row],[Investor ID]]),SIP[Unique Code],0),0)),0)</f>
        <v>977.58803304600053</v>
      </c>
      <c r="V869" s="74">
        <f>IF(SIP[[#This Row],[BO TRANSFER]]="YES",SIP[[#This Row],[Unit]],)</f>
        <v>0</v>
      </c>
      <c r="W869" s="74">
        <f>SUMIFS(SIP[[#Headers],[BO UNIT TRANSFER]]:SIP[[#This Row],[BO UNIT TRANSFER]],SIP[[#Headers],[Investor ID]]:SIP[[#This Row],[Investor ID]],SIP[[#This Row],[Investor ID]])</f>
        <v>0</v>
      </c>
    </row>
    <row r="870" spans="1:23" ht="15" customHeight="1">
      <c r="A870" s="46">
        <v>2024</v>
      </c>
      <c r="B870" s="46">
        <v>12</v>
      </c>
      <c r="C870" s="46">
        <v>2</v>
      </c>
      <c r="D870" s="65">
        <f>DATE(SIP[[#This Row],[Year]],SIP[[#This Row],[Month]],SIP[[#This Row],[Day]])</f>
        <v>45628</v>
      </c>
      <c r="E870" s="66" t="str" cm="1">
        <f t="array" ref="E870">INDEX(INVESTORS_LIST[INVESTOR NAME],MATCH(SIP[[#This Row],[Investor ID]],INVESTORS_LIST[INVESTOR CODE],0),)</f>
        <v>EKUSH WEALTH MANAGEMENT LIMITED EMPLOYEES CONTRIBUTORY PROVIDENT FUND</v>
      </c>
      <c r="F870" s="46" t="s">
        <v>831</v>
      </c>
      <c r="G870" s="46">
        <f>COUNTIF(SIP[[#Headers],[Investor ID]]:SIP[[#This Row],[Investor ID]],SIP[[#This Row],[Investor ID]])</f>
        <v>13</v>
      </c>
      <c r="H870" s="46" t="str">
        <f>CONCATENATE(SIP[[#This Row],[Frequency]],SIP[[#This Row],[Investor ID]])</f>
        <v>13A00392</v>
      </c>
      <c r="I870" s="46" t="str">
        <f>IF(SIP[[#This Row],[B/S]]="B","BUY",(IF(SIP[[#This Row],[B/S]]="S","SELL"," ")))</f>
        <v>SELL</v>
      </c>
      <c r="J870" s="150" t="s">
        <v>1231</v>
      </c>
      <c r="K870" s="152">
        <v>-25000</v>
      </c>
      <c r="L870" s="122"/>
      <c r="M870" s="123">
        <f>SIP[[#This Row],[Amount]]/SIP[[#This Row],[Unit]]</f>
        <v>11.704119850187267</v>
      </c>
      <c r="N870" s="71">
        <f>SIP[[#This Row],[Unit Capital]]/10</f>
        <v>-2136</v>
      </c>
      <c r="O870" s="71">
        <f>SUMIFS(SIP[[#Headers],[Unit]]:SIP[[#This Row],[Unit]],SIP[[#Headers],[Investor ID]]:SIP[[#This Row],[Investor ID]],SIP[[#This Row],[Investor ID]])</f>
        <v>22496</v>
      </c>
      <c r="P870" s="153">
        <v>-21360</v>
      </c>
      <c r="Q870" s="74">
        <f>SIP[[#This Row],[Amount]]-SIP[[#This Row],[Unit Capital]]</f>
        <v>-3640</v>
      </c>
      <c r="R8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10.737252354660605</v>
      </c>
      <c r="S870" s="68">
        <f t="shared" si="40"/>
        <v>14.224</v>
      </c>
      <c r="T870" s="74">
        <f>IF(SIP[[#This Row],[B/S]]="B",0,ABS(SIP[[#This Row],[Unit]])*(SIP[[#This Row],[NAV (Strike Rate)]]-INDEX(SIP[NAV at Cost (Average)],MATCH(CONCATENATE(SIP[[#This Row],[Frequency]]-1,SIP[[#This Row],[Investor ID]]),SIP[Unique Code],0),)))</f>
        <v>2065.2289704449504</v>
      </c>
      <c r="U870" s="74" cm="1">
        <f t="array" ref="U870">IF(SIP[[#This Row],[B/S]]="S",ABS(SIP[[#This Row],[Unit]])*(INDEX(SIP[NAV at Cost (Average)],MATCH(CONCATENATE((SIP[[#This Row],[Frequency]]-1),SIP[[#This Row],[Investor ID]]),SIP[Unique Code],0),0)),0)</f>
        <v>22934.771029555053</v>
      </c>
      <c r="V870" s="74">
        <f>IF(SIP[[#This Row],[BO TRANSFER]]="YES",SIP[[#This Row],[Unit]],)</f>
        <v>0</v>
      </c>
      <c r="W870" s="74">
        <f>SUMIFS(SIP[[#Headers],[BO UNIT TRANSFER]]:SIP[[#This Row],[BO UNIT TRANSFER]],SIP[[#Headers],[Investor ID]]:SIP[[#This Row],[Investor ID]],SIP[[#This Row],[Investor ID]])</f>
        <v>0</v>
      </c>
    </row>
    <row r="871" spans="1:23" ht="15" customHeight="1">
      <c r="A871" s="46">
        <v>2024</v>
      </c>
      <c r="B871" s="46">
        <v>12</v>
      </c>
      <c r="C871" s="46">
        <v>2</v>
      </c>
      <c r="D871" s="65">
        <f>DATE(SIP[[#This Row],[Year]],SIP[[#This Row],[Month]],SIP[[#This Row],[Day]])</f>
        <v>45628</v>
      </c>
      <c r="E871" s="66" t="str" cm="1">
        <f t="array" ref="E871">INDEX(INVESTORS_LIST[INVESTOR NAME],MATCH(SIP[[#This Row],[Investor ID]],INVESTORS_LIST[INVESTOR CODE],0),)</f>
        <v>KAZI AHSAN MARUF</v>
      </c>
      <c r="F871" s="150" t="s">
        <v>158</v>
      </c>
      <c r="G871" s="46">
        <f>COUNTIF(SIP[[#Headers],[Investor ID]]:SIP[[#This Row],[Investor ID]],SIP[[#This Row],[Investor ID]])</f>
        <v>20</v>
      </c>
      <c r="H871" s="46" t="str">
        <f>CONCATENATE(SIP[[#This Row],[Frequency]],SIP[[#This Row],[Investor ID]])</f>
        <v>20A00055</v>
      </c>
      <c r="I871" s="46" t="str">
        <f>IF(SIP[[#This Row],[B/S]]="B","BUY",(IF(SIP[[#This Row],[B/S]]="S","SELL"," ")))</f>
        <v>SELL</v>
      </c>
      <c r="J871" s="150" t="s">
        <v>1231</v>
      </c>
      <c r="K871" s="152">
        <v>-400000</v>
      </c>
      <c r="L871" s="122"/>
      <c r="M871" s="123">
        <f>SIP[[#This Row],[Amount]]/SIP[[#This Row],[Unit]]</f>
        <v>11.703092542204278</v>
      </c>
      <c r="N871" s="71">
        <f>SIP[[#This Row],[Unit Capital]]/10</f>
        <v>-34179</v>
      </c>
      <c r="O871" s="71">
        <f>SUMIFS(SIP[[#Headers],[Unit]]:SIP[[#This Row],[Unit]],SIP[[#Headers],[Investor ID]]:SIP[[#This Row],[Investor ID]],SIP[[#This Row],[Investor ID]])</f>
        <v>2875</v>
      </c>
      <c r="P871" s="153">
        <v>-341790</v>
      </c>
      <c r="Q871" s="74">
        <f>SIP[[#This Row],[Amount]]-SIP[[#This Row],[Unit Capital]]</f>
        <v>-58210</v>
      </c>
      <c r="R8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10.525179467803744</v>
      </c>
      <c r="S871" s="68">
        <f t="shared" si="40"/>
        <v>14.224</v>
      </c>
      <c r="T871" s="74">
        <f>IF(SIP[[#This Row],[B/S]]="B",0,ABS(SIP[[#This Row],[Unit]])*(SIP[[#This Row],[NAV (Strike Rate)]]-INDEX(SIP[NAV at Cost (Average)],MATCH(CONCATENATE(SIP[[#This Row],[Frequency]]-1,SIP[[#This Row],[Investor ID]]),SIP[Unique Code],0),)))</f>
        <v>40259.890969935848</v>
      </c>
      <c r="U871" s="74" cm="1">
        <f t="array" ref="U871">IF(SIP[[#This Row],[B/S]]="S",ABS(SIP[[#This Row],[Unit]])*(INDEX(SIP[NAV at Cost (Average)],MATCH(CONCATENATE((SIP[[#This Row],[Frequency]]-1),SIP[[#This Row],[Investor ID]]),SIP[Unique Code],0),0)),0)</f>
        <v>359740.10903006414</v>
      </c>
      <c r="V871" s="74">
        <f>IF(SIP[[#This Row],[BO TRANSFER]]="YES",SIP[[#This Row],[Unit]],)</f>
        <v>0</v>
      </c>
      <c r="W871" s="74">
        <f>SUMIFS(SIP[[#Headers],[BO UNIT TRANSFER]]:SIP[[#This Row],[BO UNIT TRANSFER]],SIP[[#Headers],[Investor ID]]:SIP[[#This Row],[Investor ID]],SIP[[#This Row],[Investor ID]])</f>
        <v>0</v>
      </c>
    </row>
    <row r="872" spans="1:23" ht="15" customHeight="1">
      <c r="A872" s="46">
        <v>2024</v>
      </c>
      <c r="B872" s="46">
        <v>12</v>
      </c>
      <c r="C872" s="46">
        <v>5</v>
      </c>
      <c r="D872" s="65">
        <f>DATE(SIP[[#This Row],[Year]],SIP[[#This Row],[Month]],SIP[[#This Row],[Day]])</f>
        <v>45631</v>
      </c>
      <c r="E872" s="66" t="str" cm="1">
        <f t="array" ref="E872">INDEX(INVESTORS_LIST[INVESTOR NAME],MATCH(SIP[[#This Row],[Investor ID]],INVESTORS_LIST[INVESTOR CODE],0),)</f>
        <v>MONIR AHMED</v>
      </c>
      <c r="F872" s="46" t="s">
        <v>125</v>
      </c>
      <c r="G872" s="46">
        <f>COUNTIF(SIP[[#Headers],[Investor ID]]:SIP[[#This Row],[Investor ID]],SIP[[#This Row],[Investor ID]])</f>
        <v>19</v>
      </c>
      <c r="H872" s="46" t="str">
        <f>CONCATENATE(SIP[[#This Row],[Frequency]],SIP[[#This Row],[Investor ID]])</f>
        <v>19A00039</v>
      </c>
      <c r="I872" s="46" t="str">
        <f>IF(SIP[[#This Row],[B/S]]="B","BUY",(IF(SIP[[#This Row],[B/S]]="S","SELL"," ")))</f>
        <v>BUY</v>
      </c>
      <c r="J872" s="150" t="s">
        <v>1229</v>
      </c>
      <c r="K872" s="152">
        <v>5000</v>
      </c>
      <c r="L872" s="122"/>
      <c r="M872" s="123">
        <f>SIP[[#This Row],[Amount]]/SIP[[#This Row],[Unit]]</f>
        <v>11.737089201877934</v>
      </c>
      <c r="N872" s="71">
        <f>SIP[[#This Row],[Unit Capital]]/10</f>
        <v>426</v>
      </c>
      <c r="O872" s="71">
        <f>SUMIFS(SIP[[#Headers],[Unit]]:SIP[[#This Row],[Unit]],SIP[[#Headers],[Investor ID]]:SIP[[#This Row],[Investor ID]],SIP[[#This Row],[Investor ID]])</f>
        <v>6340</v>
      </c>
      <c r="P872" s="153">
        <v>4260</v>
      </c>
      <c r="Q872" s="74">
        <f>SIP[[#This Row],[Amount]]-SIP[[#This Row],[Unit Capital]]</f>
        <v>740</v>
      </c>
      <c r="R8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11.041009463722398</v>
      </c>
      <c r="S872" s="68">
        <f t="shared" si="40"/>
        <v>14.224</v>
      </c>
      <c r="T8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2" s="74" cm="1">
        <f t="array" ref="U872">IF(SIP[[#This Row],[B/S]]="S",ABS(SIP[[#This Row],[Unit]])*(INDEX(SIP[NAV at Cost (Average)],MATCH(CONCATENATE((SIP[[#This Row],[Frequency]]-1),SIP[[#This Row],[Investor ID]]),SIP[Unique Code],0),0)),0)</f>
        <v>0</v>
      </c>
      <c r="V872" s="74">
        <f>IF(SIP[[#This Row],[BO TRANSFER]]="YES",SIP[[#This Row],[Unit]],)</f>
        <v>0</v>
      </c>
      <c r="W872" s="74">
        <f>SUMIFS(SIP[[#Headers],[BO UNIT TRANSFER]]:SIP[[#This Row],[BO UNIT TRANSFER]],SIP[[#Headers],[Investor ID]]:SIP[[#This Row],[Investor ID]],SIP[[#This Row],[Investor ID]])</f>
        <v>0</v>
      </c>
    </row>
    <row r="873" spans="1:23" ht="15" customHeight="1">
      <c r="A873" s="46">
        <v>2024</v>
      </c>
      <c r="B873" s="46">
        <v>12</v>
      </c>
      <c r="C873" s="46">
        <v>5</v>
      </c>
      <c r="D873" s="65">
        <f>DATE(SIP[[#This Row],[Year]],SIP[[#This Row],[Month]],SIP[[#This Row],[Day]])</f>
        <v>45631</v>
      </c>
      <c r="E873" s="66" t="str" cm="1">
        <f t="array" ref="E873">INDEX(INVESTORS_LIST[INVESTOR NAME],MATCH(SIP[[#This Row],[Investor ID]],INVESTORS_LIST[INVESTOR CODE],0),)</f>
        <v>NANDINI SAHA</v>
      </c>
      <c r="F873" s="46" t="s">
        <v>242</v>
      </c>
      <c r="G873" s="46">
        <f>COUNTIF(SIP[[#Headers],[Investor ID]]:SIP[[#This Row],[Investor ID]],SIP[[#This Row],[Investor ID]])</f>
        <v>19</v>
      </c>
      <c r="H873" s="46" t="str">
        <f>CONCATENATE(SIP[[#This Row],[Frequency]],SIP[[#This Row],[Investor ID]])</f>
        <v>19A00097</v>
      </c>
      <c r="I873" s="46" t="str">
        <f>IF(SIP[[#This Row],[B/S]]="B","BUY",(IF(SIP[[#This Row],[B/S]]="S","SELL"," ")))</f>
        <v>BUY</v>
      </c>
      <c r="J873" s="150" t="s">
        <v>1229</v>
      </c>
      <c r="K873" s="152">
        <v>30000</v>
      </c>
      <c r="L873" s="122"/>
      <c r="M873" s="123">
        <f>SIP[[#This Row],[Amount]]/SIP[[#This Row],[Unit]]</f>
        <v>11.727912431587178</v>
      </c>
      <c r="N873" s="71">
        <f>SIP[[#This Row],[Unit Capital]]/10</f>
        <v>2558</v>
      </c>
      <c r="O873" s="71">
        <f>SUMIFS(SIP[[#Headers],[Unit]]:SIP[[#This Row],[Unit]],SIP[[#Headers],[Investor ID]]:SIP[[#This Row],[Investor ID]],SIP[[#This Row],[Investor ID]])</f>
        <v>52560</v>
      </c>
      <c r="P873" s="153">
        <v>25580</v>
      </c>
      <c r="Q873" s="74">
        <f>SIP[[#This Row],[Amount]]-SIP[[#This Row],[Unit Capital]]</f>
        <v>4420</v>
      </c>
      <c r="R8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10.844748858447488</v>
      </c>
      <c r="S873" s="68">
        <f t="shared" si="40"/>
        <v>14.224</v>
      </c>
      <c r="T8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3" s="74" cm="1">
        <f t="array" ref="U873">IF(SIP[[#This Row],[B/S]]="S",ABS(SIP[[#This Row],[Unit]])*(INDEX(SIP[NAV at Cost (Average)],MATCH(CONCATENATE((SIP[[#This Row],[Frequency]]-1),SIP[[#This Row],[Investor ID]]),SIP[Unique Code],0),0)),0)</f>
        <v>0</v>
      </c>
      <c r="V873" s="74">
        <f>IF(SIP[[#This Row],[BO TRANSFER]]="YES",SIP[[#This Row],[Unit]],)</f>
        <v>0</v>
      </c>
      <c r="W873" s="74">
        <f>SUMIFS(SIP[[#Headers],[BO UNIT TRANSFER]]:SIP[[#This Row],[BO UNIT TRANSFER]],SIP[[#Headers],[Investor ID]]:SIP[[#This Row],[Investor ID]],SIP[[#This Row],[Investor ID]])</f>
        <v>0</v>
      </c>
    </row>
    <row r="874" spans="1:23" ht="15" customHeight="1">
      <c r="A874" s="46">
        <v>2024</v>
      </c>
      <c r="B874" s="46">
        <v>12</v>
      </c>
      <c r="C874" s="46">
        <v>5</v>
      </c>
      <c r="D874" s="65">
        <f>DATE(SIP[[#This Row],[Year]],SIP[[#This Row],[Month]],SIP[[#This Row],[Day]])</f>
        <v>45631</v>
      </c>
      <c r="E874" s="66" t="str" cm="1">
        <f t="array" ref="E874">INDEX(INVESTORS_LIST[INVESTOR NAME],MATCH(SIP[[#This Row],[Investor ID]],INVESTORS_LIST[INVESTOR CODE],0),)</f>
        <v>SHANTA PAUL</v>
      </c>
      <c r="F874" s="46" t="s">
        <v>544</v>
      </c>
      <c r="G874" s="46">
        <f>COUNTIF(SIP[[#Headers],[Investor ID]]:SIP[[#This Row],[Investor ID]],SIP[[#This Row],[Investor ID]])</f>
        <v>21</v>
      </c>
      <c r="H874" s="46" t="str">
        <f>CONCATENATE(SIP[[#This Row],[Frequency]],SIP[[#This Row],[Investor ID]])</f>
        <v>21A00247</v>
      </c>
      <c r="I874" s="46" t="str">
        <f>IF(SIP[[#This Row],[B/S]]="B","BUY",(IF(SIP[[#This Row],[B/S]]="S","SELL"," ")))</f>
        <v>BUY</v>
      </c>
      <c r="J874" s="150" t="s">
        <v>1229</v>
      </c>
      <c r="K874" s="152">
        <v>20000</v>
      </c>
      <c r="L874" s="122"/>
      <c r="M874" s="123">
        <f>SIP[[#This Row],[Amount]]/SIP[[#This Row],[Unit]]</f>
        <v>11.730205278592376</v>
      </c>
      <c r="N874" s="71">
        <f>SIP[[#This Row],[Unit Capital]]/10</f>
        <v>1705</v>
      </c>
      <c r="O874" s="71">
        <f>SUMIFS(SIP[[#Headers],[Unit]]:SIP[[#This Row],[Unit]],SIP[[#Headers],[Investor ID]]:SIP[[#This Row],[Investor ID]],SIP[[#This Row],[Investor ID]])</f>
        <v>38891</v>
      </c>
      <c r="P874" s="153">
        <v>17050</v>
      </c>
      <c r="Q874" s="74">
        <f>SIP[[#This Row],[Amount]]-SIP[[#This Row],[Unit Capital]]</f>
        <v>2950</v>
      </c>
      <c r="R8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10.799413746110924</v>
      </c>
      <c r="S874" s="68">
        <f t="shared" si="40"/>
        <v>14.224</v>
      </c>
      <c r="T8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4" s="74" cm="1">
        <f t="array" ref="U874">IF(SIP[[#This Row],[B/S]]="S",ABS(SIP[[#This Row],[Unit]])*(INDEX(SIP[NAV at Cost (Average)],MATCH(CONCATENATE((SIP[[#This Row],[Frequency]]-1),SIP[[#This Row],[Investor ID]]),SIP[Unique Code],0),0)),0)</f>
        <v>0</v>
      </c>
      <c r="V874" s="74">
        <f>IF(SIP[[#This Row],[BO TRANSFER]]="YES",SIP[[#This Row],[Unit]],)</f>
        <v>0</v>
      </c>
      <c r="W874" s="74">
        <f>SUMIFS(SIP[[#Headers],[BO UNIT TRANSFER]]:SIP[[#This Row],[BO UNIT TRANSFER]],SIP[[#Headers],[Investor ID]]:SIP[[#This Row],[Investor ID]],SIP[[#This Row],[Investor ID]])</f>
        <v>0</v>
      </c>
    </row>
    <row r="875" spans="1:23" ht="15" customHeight="1">
      <c r="A875" s="46">
        <v>2024</v>
      </c>
      <c r="B875" s="46">
        <v>12</v>
      </c>
      <c r="C875" s="46">
        <v>5</v>
      </c>
      <c r="D875" s="65">
        <f>DATE(SIP[[#This Row],[Year]],SIP[[#This Row],[Month]],SIP[[#This Row],[Day]])</f>
        <v>45631</v>
      </c>
      <c r="E875" s="66" t="str" cm="1">
        <f t="array" ref="E875">INDEX(INVESTORS_LIST[INVESTOR NAME],MATCH(SIP[[#This Row],[Investor ID]],INVESTORS_LIST[INVESTOR CODE],0),)</f>
        <v>ROKSABA KASEM</v>
      </c>
      <c r="F875" s="46" t="s">
        <v>900</v>
      </c>
      <c r="G875" s="46">
        <f>COUNTIF(SIP[[#Headers],[Investor ID]]:SIP[[#This Row],[Investor ID]],SIP[[#This Row],[Investor ID]])</f>
        <v>19</v>
      </c>
      <c r="H875" s="46" t="str">
        <f>CONCATENATE(SIP[[#This Row],[Frequency]],SIP[[#This Row],[Investor ID]])</f>
        <v>19A00427</v>
      </c>
      <c r="I875" s="46" t="str">
        <f>IF(SIP[[#This Row],[B/S]]="B","BUY",(IF(SIP[[#This Row],[B/S]]="S","SELL"," ")))</f>
        <v>BUY</v>
      </c>
      <c r="J875" s="150" t="s">
        <v>1229</v>
      </c>
      <c r="K875" s="152">
        <v>20000</v>
      </c>
      <c r="L875" s="122"/>
      <c r="M875" s="123">
        <f>SIP[[#This Row],[Amount]]/SIP[[#This Row],[Unit]]</f>
        <v>11.730205278592376</v>
      </c>
      <c r="N875" s="71">
        <f>SIP[[#This Row],[Unit Capital]]/10</f>
        <v>1705</v>
      </c>
      <c r="O875" s="71">
        <f>SUMIFS(SIP[[#Headers],[Unit]]:SIP[[#This Row],[Unit]],SIP[[#Headers],[Investor ID]]:SIP[[#This Row],[Investor ID]],SIP[[#This Row],[Investor ID]])</f>
        <v>34934</v>
      </c>
      <c r="P875" s="153">
        <v>17050</v>
      </c>
      <c r="Q875" s="74">
        <f>SIP[[#This Row],[Amount]]-SIP[[#This Row],[Unit Capital]]</f>
        <v>2950</v>
      </c>
      <c r="R8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10.877655006583849</v>
      </c>
      <c r="S875" s="68">
        <f t="shared" si="40"/>
        <v>14.224</v>
      </c>
      <c r="T8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5" s="74" cm="1">
        <f t="array" ref="U875">IF(SIP[[#This Row],[B/S]]="S",ABS(SIP[[#This Row],[Unit]])*(INDEX(SIP[NAV at Cost (Average)],MATCH(CONCATENATE((SIP[[#This Row],[Frequency]]-1),SIP[[#This Row],[Investor ID]]),SIP[Unique Code],0),0)),0)</f>
        <v>0</v>
      </c>
      <c r="V875" s="74">
        <f>IF(SIP[[#This Row],[BO TRANSFER]]="YES",SIP[[#This Row],[Unit]],)</f>
        <v>0</v>
      </c>
      <c r="W875" s="74">
        <f>SUMIFS(SIP[[#Headers],[BO UNIT TRANSFER]]:SIP[[#This Row],[BO UNIT TRANSFER]],SIP[[#Headers],[Investor ID]]:SIP[[#This Row],[Investor ID]],SIP[[#This Row],[Investor ID]])</f>
        <v>0</v>
      </c>
    </row>
    <row r="876" spans="1:23" ht="15" customHeight="1">
      <c r="A876" s="46">
        <v>2024</v>
      </c>
      <c r="B876" s="46">
        <v>12</v>
      </c>
      <c r="C876" s="46">
        <v>5</v>
      </c>
      <c r="D876" s="65">
        <f>DATE(SIP[[#This Row],[Year]],SIP[[#This Row],[Month]],SIP[[#This Row],[Day]])</f>
        <v>45631</v>
      </c>
      <c r="E876" s="66" t="str" cm="1">
        <f t="array" ref="E876">INDEX(INVESTORS_LIST[INVESTOR NAME],MATCH(SIP[[#This Row],[Investor ID]],INVESTORS_LIST[INVESTOR CODE],0),)</f>
        <v>MD. MONIRUL ISLAM</v>
      </c>
      <c r="F876" s="46" t="s">
        <v>996</v>
      </c>
      <c r="G876" s="46">
        <f>COUNTIF(SIP[[#Headers],[Investor ID]]:SIP[[#This Row],[Investor ID]],SIP[[#This Row],[Investor ID]])</f>
        <v>20</v>
      </c>
      <c r="H876" s="46" t="str">
        <f>CONCATENATE(SIP[[#This Row],[Frequency]],SIP[[#This Row],[Investor ID]])</f>
        <v>20A00475</v>
      </c>
      <c r="I876" s="46" t="str">
        <f>IF(SIP[[#This Row],[B/S]]="B","BUY",(IF(SIP[[#This Row],[B/S]]="S","SELL"," ")))</f>
        <v>BUY</v>
      </c>
      <c r="J876" s="150" t="s">
        <v>1229</v>
      </c>
      <c r="K876" s="152">
        <v>10000</v>
      </c>
      <c r="L876" s="122"/>
      <c r="M876" s="123">
        <f>SIP[[#This Row],[Amount]]/SIP[[#This Row],[Unit]]</f>
        <v>11.723329425556859</v>
      </c>
      <c r="N876" s="71">
        <f>SIP[[#This Row],[Unit Capital]]/10</f>
        <v>853</v>
      </c>
      <c r="O876" s="71">
        <f>SUMIFS(SIP[[#Headers],[Unit]]:SIP[[#This Row],[Unit]],SIP[[#Headers],[Investor ID]]:SIP[[#This Row],[Investor ID]],SIP[[#This Row],[Investor ID]])</f>
        <v>18454</v>
      </c>
      <c r="P876" s="153">
        <v>8530</v>
      </c>
      <c r="Q876" s="74">
        <f>SIP[[#This Row],[Amount]]-SIP[[#This Row],[Unit Capital]]</f>
        <v>1470</v>
      </c>
      <c r="R8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10.83775875149019</v>
      </c>
      <c r="S876" s="68">
        <f t="shared" si="40"/>
        <v>14.224</v>
      </c>
      <c r="T8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6" s="74" cm="1">
        <f t="array" ref="U876">IF(SIP[[#This Row],[B/S]]="S",ABS(SIP[[#This Row],[Unit]])*(INDEX(SIP[NAV at Cost (Average)],MATCH(CONCATENATE((SIP[[#This Row],[Frequency]]-1),SIP[[#This Row],[Investor ID]]),SIP[Unique Code],0),0)),0)</f>
        <v>0</v>
      </c>
      <c r="V876" s="74">
        <f>IF(SIP[[#This Row],[BO TRANSFER]]="YES",SIP[[#This Row],[Unit]],)</f>
        <v>0</v>
      </c>
      <c r="W876" s="74">
        <f>SUMIFS(SIP[[#Headers],[BO UNIT TRANSFER]]:SIP[[#This Row],[BO UNIT TRANSFER]],SIP[[#Headers],[Investor ID]]:SIP[[#This Row],[Investor ID]],SIP[[#This Row],[Investor ID]])</f>
        <v>0</v>
      </c>
    </row>
    <row r="877" spans="1:23" ht="15" customHeight="1">
      <c r="A877" s="46">
        <v>2024</v>
      </c>
      <c r="B877" s="46">
        <v>12</v>
      </c>
      <c r="C877" s="46">
        <v>5</v>
      </c>
      <c r="D877" s="65">
        <f>DATE(SIP[[#This Row],[Year]],SIP[[#This Row],[Month]],SIP[[#This Row],[Day]])</f>
        <v>45631</v>
      </c>
      <c r="E877" s="66" t="str" cm="1">
        <f t="array" ref="E877">INDEX(INVESTORS_LIST[INVESTOR NAME],MATCH(SIP[[#This Row],[Investor ID]],INVESTORS_LIST[INVESTOR CODE],0),)</f>
        <v>FAKARUDDIN ALI AHMED</v>
      </c>
      <c r="F877" s="46" t="s">
        <v>228</v>
      </c>
      <c r="G877" s="46">
        <f>COUNTIF(SIP[[#Headers],[Investor ID]]:SIP[[#This Row],[Investor ID]],SIP[[#This Row],[Investor ID]])</f>
        <v>20</v>
      </c>
      <c r="H877" s="46" t="str">
        <f>CONCATENATE(SIP[[#This Row],[Frequency]],SIP[[#This Row],[Investor ID]])</f>
        <v>20A00090</v>
      </c>
      <c r="I877" s="46" t="str">
        <f>IF(SIP[[#This Row],[B/S]]="B","BUY",(IF(SIP[[#This Row],[B/S]]="S","SELL"," ")))</f>
        <v>BUY</v>
      </c>
      <c r="J877" s="150" t="s">
        <v>1229</v>
      </c>
      <c r="K877" s="152">
        <v>10000</v>
      </c>
      <c r="L877" s="122"/>
      <c r="M877" s="123">
        <f>SIP[[#This Row],[Amount]]/SIP[[#This Row],[Unit]]</f>
        <v>11.723329425556859</v>
      </c>
      <c r="N877" s="71">
        <f>SIP[[#This Row],[Unit Capital]]/10</f>
        <v>853</v>
      </c>
      <c r="O877" s="71">
        <f>SUMIFS(SIP[[#Headers],[Unit]]:SIP[[#This Row],[Unit]],SIP[[#Headers],[Investor ID]]:SIP[[#This Row],[Investor ID]],SIP[[#This Row],[Investor ID]])</f>
        <v>8969</v>
      </c>
      <c r="P877" s="153">
        <v>8530</v>
      </c>
      <c r="Q877" s="74">
        <f>SIP[[#This Row],[Amount]]-SIP[[#This Row],[Unit Capital]]</f>
        <v>1470</v>
      </c>
      <c r="R8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11.247294138931371</v>
      </c>
      <c r="S877" s="68">
        <f t="shared" si="40"/>
        <v>14.224</v>
      </c>
      <c r="T8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7" s="74" cm="1">
        <f t="array" ref="U877">IF(SIP[[#This Row],[B/S]]="S",ABS(SIP[[#This Row],[Unit]])*(INDEX(SIP[NAV at Cost (Average)],MATCH(CONCATENATE((SIP[[#This Row],[Frequency]]-1),SIP[[#This Row],[Investor ID]]),SIP[Unique Code],0),0)),0)</f>
        <v>0</v>
      </c>
      <c r="V877" s="74">
        <f>IF(SIP[[#This Row],[BO TRANSFER]]="YES",SIP[[#This Row],[Unit]],)</f>
        <v>0</v>
      </c>
      <c r="W877" s="74">
        <f>SUMIFS(SIP[[#Headers],[BO UNIT TRANSFER]]:SIP[[#This Row],[BO UNIT TRANSFER]],SIP[[#Headers],[Investor ID]]:SIP[[#This Row],[Investor ID]],SIP[[#This Row],[Investor ID]])</f>
        <v>0</v>
      </c>
    </row>
    <row r="878" spans="1:23" ht="15" customHeight="1">
      <c r="A878" s="46">
        <v>2024</v>
      </c>
      <c r="B878" s="46">
        <v>12</v>
      </c>
      <c r="C878" s="46">
        <v>5</v>
      </c>
      <c r="D878" s="65">
        <f>DATE(SIP[[#This Row],[Year]],SIP[[#This Row],[Month]],SIP[[#This Row],[Day]])</f>
        <v>45631</v>
      </c>
      <c r="E878" s="66" t="str" cm="1">
        <f t="array" ref="E878">INDEX(INVESTORS_LIST[INVESTOR NAME],MATCH(SIP[[#This Row],[Investor ID]],INVESTORS_LIST[INVESTOR CODE],0),)</f>
        <v>SABRIA ISLAM TALUKDER</v>
      </c>
      <c r="F878" s="46" t="s">
        <v>409</v>
      </c>
      <c r="G878" s="46">
        <f>COUNTIF(SIP[[#Headers],[Investor ID]]:SIP[[#This Row],[Investor ID]],SIP[[#This Row],[Investor ID]])</f>
        <v>16</v>
      </c>
      <c r="H878" s="46" t="str">
        <f>CONCATENATE(SIP[[#This Row],[Frequency]],SIP[[#This Row],[Investor ID]])</f>
        <v>16A00180</v>
      </c>
      <c r="I878" s="46" t="str">
        <f>IF(SIP[[#This Row],[B/S]]="B","BUY",(IF(SIP[[#This Row],[B/S]]="S","SELL"," ")))</f>
        <v>BUY</v>
      </c>
      <c r="J878" s="150" t="s">
        <v>1229</v>
      </c>
      <c r="K878" s="152">
        <v>5000</v>
      </c>
      <c r="L878" s="122"/>
      <c r="M878" s="123">
        <f>SIP[[#This Row],[Amount]]/SIP[[#This Row],[Unit]]</f>
        <v>11.737089201877934</v>
      </c>
      <c r="N878" s="71">
        <f>SIP[[#This Row],[Unit Capital]]/10</f>
        <v>426</v>
      </c>
      <c r="O878" s="71">
        <f>SUMIFS(SIP[[#Headers],[Unit]]:SIP[[#This Row],[Unit]],SIP[[#Headers],[Investor ID]]:SIP[[#This Row],[Investor ID]],SIP[[#This Row],[Investor ID]])</f>
        <v>7273</v>
      </c>
      <c r="P878" s="153">
        <v>4260</v>
      </c>
      <c r="Q878" s="74">
        <f>SIP[[#This Row],[Amount]]-SIP[[#This Row],[Unit Capital]]</f>
        <v>740</v>
      </c>
      <c r="R8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10.999587515468169</v>
      </c>
      <c r="S878" s="68">
        <f t="shared" si="40"/>
        <v>14.224</v>
      </c>
      <c r="T8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8" s="74" cm="1">
        <f t="array" ref="U878">IF(SIP[[#This Row],[B/S]]="S",ABS(SIP[[#This Row],[Unit]])*(INDEX(SIP[NAV at Cost (Average)],MATCH(CONCATENATE((SIP[[#This Row],[Frequency]]-1),SIP[[#This Row],[Investor ID]]),SIP[Unique Code],0),0)),0)</f>
        <v>0</v>
      </c>
      <c r="V878" s="74">
        <f>IF(SIP[[#This Row],[BO TRANSFER]]="YES",SIP[[#This Row],[Unit]],)</f>
        <v>0</v>
      </c>
      <c r="W878" s="74">
        <f>SUMIFS(SIP[[#Headers],[BO UNIT TRANSFER]]:SIP[[#This Row],[BO UNIT TRANSFER]],SIP[[#Headers],[Investor ID]]:SIP[[#This Row],[Investor ID]],SIP[[#This Row],[Investor ID]])</f>
        <v>0</v>
      </c>
    </row>
    <row r="879" spans="1:23" ht="15" customHeight="1">
      <c r="A879" s="46">
        <v>2024</v>
      </c>
      <c r="B879" s="46">
        <v>12</v>
      </c>
      <c r="C879" s="46">
        <v>5</v>
      </c>
      <c r="D879" s="65">
        <f>DATE(SIP[[#This Row],[Year]],SIP[[#This Row],[Month]],SIP[[#This Row],[Day]])</f>
        <v>45631</v>
      </c>
      <c r="E879" s="66" t="str" cm="1">
        <f t="array" ref="E879">INDEX(INVESTORS_LIST[INVESTOR NAME],MATCH(SIP[[#This Row],[Investor ID]],INVESTORS_LIST[INVESTOR CODE],0),)</f>
        <v>BIJOY CHANDRA DAS</v>
      </c>
      <c r="F879" s="46" t="s">
        <v>497</v>
      </c>
      <c r="G879" s="46">
        <f>COUNTIF(SIP[[#Headers],[Investor ID]]:SIP[[#This Row],[Investor ID]],SIP[[#This Row],[Investor ID]])</f>
        <v>9</v>
      </c>
      <c r="H879" s="46" t="str">
        <f>CONCATENATE(SIP[[#This Row],[Frequency]],SIP[[#This Row],[Investor ID]])</f>
        <v>9A00224</v>
      </c>
      <c r="I879" s="46" t="str">
        <f>IF(SIP[[#This Row],[B/S]]="B","BUY",(IF(SIP[[#This Row],[B/S]]="S","SELL"," ")))</f>
        <v>BUY</v>
      </c>
      <c r="J879" s="150" t="s">
        <v>1229</v>
      </c>
      <c r="K879" s="152">
        <v>5000</v>
      </c>
      <c r="L879" s="122"/>
      <c r="M879" s="123">
        <f>SIP[[#This Row],[Amount]]/SIP[[#This Row],[Unit]]</f>
        <v>11.737089201877934</v>
      </c>
      <c r="N879" s="71">
        <f>SIP[[#This Row],[Unit Capital]]/10</f>
        <v>426</v>
      </c>
      <c r="O879" s="71">
        <f>SUMIFS(SIP[[#Headers],[Unit]]:SIP[[#This Row],[Unit]],SIP[[#Headers],[Investor ID]]:SIP[[#This Row],[Investor ID]],SIP[[#This Row],[Investor ID]])</f>
        <v>3981</v>
      </c>
      <c r="P879" s="153">
        <v>4260</v>
      </c>
      <c r="Q879" s="74">
        <f>SIP[[#This Row],[Amount]]-SIP[[#This Row],[Unit Capital]]</f>
        <v>740</v>
      </c>
      <c r="R8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11.303692539562924</v>
      </c>
      <c r="S879" s="68">
        <f t="shared" si="40"/>
        <v>14.224</v>
      </c>
      <c r="T8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79" s="74" cm="1">
        <f t="array" ref="U879">IF(SIP[[#This Row],[B/S]]="S",ABS(SIP[[#This Row],[Unit]])*(INDEX(SIP[NAV at Cost (Average)],MATCH(CONCATENATE((SIP[[#This Row],[Frequency]]-1),SIP[[#This Row],[Investor ID]]),SIP[Unique Code],0),0)),0)</f>
        <v>0</v>
      </c>
      <c r="V879" s="74">
        <f>IF(SIP[[#This Row],[BO TRANSFER]]="YES",SIP[[#This Row],[Unit]],)</f>
        <v>0</v>
      </c>
      <c r="W879" s="74">
        <f>SUMIFS(SIP[[#Headers],[BO UNIT TRANSFER]]:SIP[[#This Row],[BO UNIT TRANSFER]],SIP[[#Headers],[Investor ID]]:SIP[[#This Row],[Investor ID]],SIP[[#This Row],[Investor ID]])</f>
        <v>0</v>
      </c>
    </row>
    <row r="880" spans="1:23" ht="15" customHeight="1">
      <c r="A880" s="46">
        <v>2024</v>
      </c>
      <c r="B880" s="46">
        <v>12</v>
      </c>
      <c r="C880" s="46">
        <v>5</v>
      </c>
      <c r="D880" s="65">
        <f>DATE(SIP[[#This Row],[Year]],SIP[[#This Row],[Month]],SIP[[#This Row],[Day]])</f>
        <v>45631</v>
      </c>
      <c r="E880" s="66" t="str" cm="1">
        <f t="array" ref="E880">INDEX(INVESTORS_LIST[INVESTOR NAME],MATCH(SIP[[#This Row],[Investor ID]],INVESTORS_LIST[INVESTOR CODE],0),)</f>
        <v>AHMED BIN MONSUR</v>
      </c>
      <c r="F880" s="46" t="s">
        <v>692</v>
      </c>
      <c r="G880" s="46">
        <f>COUNTIF(SIP[[#Headers],[Investor ID]]:SIP[[#This Row],[Investor ID]],SIP[[#This Row],[Investor ID]])</f>
        <v>7</v>
      </c>
      <c r="H880" s="46" t="str">
        <f>CONCATENATE(SIP[[#This Row],[Frequency]],SIP[[#This Row],[Investor ID]])</f>
        <v>7A00322</v>
      </c>
      <c r="I880" s="46" t="str">
        <f>IF(SIP[[#This Row],[B/S]]="B","BUY",(IF(SIP[[#This Row],[B/S]]="S","SELL"," ")))</f>
        <v>BUY</v>
      </c>
      <c r="J880" s="150" t="s">
        <v>1229</v>
      </c>
      <c r="K880" s="152">
        <v>20000</v>
      </c>
      <c r="L880" s="122"/>
      <c r="M880" s="123">
        <f>SIP[[#This Row],[Amount]]/SIP[[#This Row],[Unit]]</f>
        <v>11.730205278592376</v>
      </c>
      <c r="N880" s="71">
        <f>SIP[[#This Row],[Unit Capital]]/10</f>
        <v>1705</v>
      </c>
      <c r="O880" s="71">
        <f>SUMIFS(SIP[[#Headers],[Unit]]:SIP[[#This Row],[Unit]],SIP[[#Headers],[Investor ID]]:SIP[[#This Row],[Investor ID]],SIP[[#This Row],[Investor ID]])</f>
        <v>12282</v>
      </c>
      <c r="P880" s="153">
        <v>17050</v>
      </c>
      <c r="Q880" s="74">
        <f>SIP[[#This Row],[Amount]]-SIP[[#This Row],[Unit Capital]]</f>
        <v>2950</v>
      </c>
      <c r="R8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11.398794984530207</v>
      </c>
      <c r="S880" s="68">
        <f t="shared" si="40"/>
        <v>14.224</v>
      </c>
      <c r="T8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0" s="74" cm="1">
        <f t="array" ref="U880">IF(SIP[[#This Row],[B/S]]="S",ABS(SIP[[#This Row],[Unit]])*(INDEX(SIP[NAV at Cost (Average)],MATCH(CONCATENATE((SIP[[#This Row],[Frequency]]-1),SIP[[#This Row],[Investor ID]]),SIP[Unique Code],0),0)),0)</f>
        <v>0</v>
      </c>
      <c r="V880" s="74">
        <f>IF(SIP[[#This Row],[BO TRANSFER]]="YES",SIP[[#This Row],[Unit]],)</f>
        <v>0</v>
      </c>
      <c r="W880" s="74">
        <f>SUMIFS(SIP[[#Headers],[BO UNIT TRANSFER]]:SIP[[#This Row],[BO UNIT TRANSFER]],SIP[[#Headers],[Investor ID]]:SIP[[#This Row],[Investor ID]],SIP[[#This Row],[Investor ID]])</f>
        <v>0</v>
      </c>
    </row>
    <row r="881" spans="1:23" ht="15" customHeight="1">
      <c r="A881" s="46">
        <v>2024</v>
      </c>
      <c r="B881" s="46">
        <v>12</v>
      </c>
      <c r="C881" s="46">
        <v>5</v>
      </c>
      <c r="D881" s="65">
        <f>DATE(SIP[[#This Row],[Year]],SIP[[#This Row],[Month]],SIP[[#This Row],[Day]])</f>
        <v>45631</v>
      </c>
      <c r="E881" s="66" t="str" cm="1">
        <f t="array" ref="E881">INDEX(INVESTORS_LIST[INVESTOR NAME],MATCH(SIP[[#This Row],[Investor ID]],INVESTORS_LIST[INVESTOR CODE],0),)</f>
        <v>FAIYEAD AHMEDUL HYE</v>
      </c>
      <c r="F881" s="46" t="s">
        <v>368</v>
      </c>
      <c r="G881" s="46">
        <f>COUNTIF(SIP[[#Headers],[Investor ID]]:SIP[[#This Row],[Investor ID]],SIP[[#This Row],[Investor ID]])</f>
        <v>19</v>
      </c>
      <c r="H881" s="46" t="str">
        <f>CONCATENATE(SIP[[#This Row],[Frequency]],SIP[[#This Row],[Investor ID]])</f>
        <v>19A00160</v>
      </c>
      <c r="I881" s="46" t="str">
        <f>IF(SIP[[#This Row],[B/S]]="B","BUY",(IF(SIP[[#This Row],[B/S]]="S","SELL"," ")))</f>
        <v>BUY</v>
      </c>
      <c r="J881" s="150" t="s">
        <v>1229</v>
      </c>
      <c r="K881" s="152">
        <v>15000</v>
      </c>
      <c r="L881" s="122"/>
      <c r="M881" s="123">
        <f>SIP[[#This Row],[Amount]]/SIP[[#This Row],[Unit]]</f>
        <v>11.727912431587178</v>
      </c>
      <c r="N881" s="71">
        <f>SIP[[#This Row],[Unit Capital]]/10</f>
        <v>1279</v>
      </c>
      <c r="O881" s="71">
        <f>SUMIFS(SIP[[#Headers],[Unit]]:SIP[[#This Row],[Unit]],SIP[[#Headers],[Investor ID]]:SIP[[#This Row],[Investor ID]],SIP[[#This Row],[Investor ID]])</f>
        <v>26199</v>
      </c>
      <c r="P881" s="153">
        <v>12790</v>
      </c>
      <c r="Q881" s="74">
        <f>SIP[[#This Row],[Amount]]-SIP[[#This Row],[Unit Capital]]</f>
        <v>2210</v>
      </c>
      <c r="R8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10.878277796862475</v>
      </c>
      <c r="S881" s="68">
        <f t="shared" si="40"/>
        <v>14.224</v>
      </c>
      <c r="T8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1" s="74" cm="1">
        <f t="array" ref="U881">IF(SIP[[#This Row],[B/S]]="S",ABS(SIP[[#This Row],[Unit]])*(INDEX(SIP[NAV at Cost (Average)],MATCH(CONCATENATE((SIP[[#This Row],[Frequency]]-1),SIP[[#This Row],[Investor ID]]),SIP[Unique Code],0),0)),0)</f>
        <v>0</v>
      </c>
      <c r="V881" s="74">
        <f>IF(SIP[[#This Row],[BO TRANSFER]]="YES",SIP[[#This Row],[Unit]],)</f>
        <v>0</v>
      </c>
      <c r="W881" s="74">
        <f>SUMIFS(SIP[[#Headers],[BO UNIT TRANSFER]]:SIP[[#This Row],[BO UNIT TRANSFER]],SIP[[#Headers],[Investor ID]]:SIP[[#This Row],[Investor ID]],SIP[[#This Row],[Investor ID]])</f>
        <v>0</v>
      </c>
    </row>
    <row r="882" spans="1:23" ht="15" customHeight="1">
      <c r="A882" s="46">
        <v>2024</v>
      </c>
      <c r="B882" s="46">
        <v>12</v>
      </c>
      <c r="C882" s="46">
        <v>5</v>
      </c>
      <c r="D882" s="65">
        <f>DATE(SIP[[#This Row],[Year]],SIP[[#This Row],[Month]],SIP[[#This Row],[Day]])</f>
        <v>45631</v>
      </c>
      <c r="E882" s="66" t="str" cm="1">
        <f t="array" ref="E882">INDEX(INVESTORS_LIST[INVESTOR NAME],MATCH(SIP[[#This Row],[Investor ID]],INVESTORS_LIST[INVESTOR CODE],0),)</f>
        <v>CHAONIKA SAHA</v>
      </c>
      <c r="F882" s="46" t="s">
        <v>238</v>
      </c>
      <c r="G882" s="46">
        <f>COUNTIF(SIP[[#Headers],[Investor ID]]:SIP[[#This Row],[Investor ID]],SIP[[#This Row],[Investor ID]])</f>
        <v>16</v>
      </c>
      <c r="H882" s="46" t="str">
        <f>CONCATENATE(SIP[[#This Row],[Frequency]],SIP[[#This Row],[Investor ID]])</f>
        <v>16A00095</v>
      </c>
      <c r="I882" s="46" t="str">
        <f>IF(SIP[[#This Row],[B/S]]="B","BUY",(IF(SIP[[#This Row],[B/S]]="S","SELL"," ")))</f>
        <v>BUY</v>
      </c>
      <c r="J882" s="150" t="s">
        <v>1229</v>
      </c>
      <c r="K882" s="152">
        <v>1000</v>
      </c>
      <c r="L882" s="122"/>
      <c r="M882" s="123">
        <f>SIP[[#This Row],[Amount]]/SIP[[#This Row],[Unit]]</f>
        <v>11.764705882352942</v>
      </c>
      <c r="N882" s="71">
        <f>SIP[[#This Row],[Unit Capital]]/10</f>
        <v>85</v>
      </c>
      <c r="O882" s="71">
        <f>SUMIFS(SIP[[#Headers],[Unit]]:SIP[[#This Row],[Unit]],SIP[[#Headers],[Investor ID]]:SIP[[#This Row],[Investor ID]],SIP[[#This Row],[Investor ID]])</f>
        <v>1455</v>
      </c>
      <c r="P882" s="153">
        <v>850</v>
      </c>
      <c r="Q882" s="74">
        <f>SIP[[#This Row],[Amount]]-SIP[[#This Row],[Unit Capital]]</f>
        <v>150</v>
      </c>
      <c r="R8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10.996563573883162</v>
      </c>
      <c r="S882" s="68">
        <f t="shared" si="40"/>
        <v>14.224</v>
      </c>
      <c r="T8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2" s="74" cm="1">
        <f t="array" ref="U882">IF(SIP[[#This Row],[B/S]]="S",ABS(SIP[[#This Row],[Unit]])*(INDEX(SIP[NAV at Cost (Average)],MATCH(CONCATENATE((SIP[[#This Row],[Frequency]]-1),SIP[[#This Row],[Investor ID]]),SIP[Unique Code],0),0)),0)</f>
        <v>0</v>
      </c>
      <c r="V882" s="74">
        <f>IF(SIP[[#This Row],[BO TRANSFER]]="YES",SIP[[#This Row],[Unit]],)</f>
        <v>0</v>
      </c>
      <c r="W882" s="74">
        <f>SUMIFS(SIP[[#Headers],[BO UNIT TRANSFER]]:SIP[[#This Row],[BO UNIT TRANSFER]],SIP[[#Headers],[Investor ID]]:SIP[[#This Row],[Investor ID]],SIP[[#This Row],[Investor ID]])</f>
        <v>0</v>
      </c>
    </row>
    <row r="883" spans="1:23" ht="15" customHeight="1">
      <c r="A883" s="46">
        <v>2024</v>
      </c>
      <c r="B883" s="46">
        <v>12</v>
      </c>
      <c r="C883" s="46">
        <v>5</v>
      </c>
      <c r="D883" s="65">
        <f>DATE(SIP[[#This Row],[Year]],SIP[[#This Row],[Month]],SIP[[#This Row],[Day]])</f>
        <v>45631</v>
      </c>
      <c r="E883" s="66" t="str" cm="1">
        <f t="array" ref="E883">INDEX(INVESTORS_LIST[INVESTOR NAME],MATCH(SIP[[#This Row],[Investor ID]],INVESTORS_LIST[INVESTOR CODE],0),)</f>
        <v>SK FEROZ ALAM</v>
      </c>
      <c r="F883" s="46" t="s">
        <v>240</v>
      </c>
      <c r="G883" s="46">
        <f>COUNTIF(SIP[[#Headers],[Investor ID]]:SIP[[#This Row],[Investor ID]],SIP[[#This Row],[Investor ID]])</f>
        <v>15</v>
      </c>
      <c r="H883" s="46" t="str">
        <f>CONCATENATE(SIP[[#This Row],[Frequency]],SIP[[#This Row],[Investor ID]])</f>
        <v>15A00096</v>
      </c>
      <c r="I883" s="46" t="str">
        <f>IF(SIP[[#This Row],[B/S]]="B","BUY",(IF(SIP[[#This Row],[B/S]]="S","SELL"," ")))</f>
        <v>BUY</v>
      </c>
      <c r="J883" s="150" t="s">
        <v>1229</v>
      </c>
      <c r="K883" s="152">
        <v>2000</v>
      </c>
      <c r="L883" s="122"/>
      <c r="M883" s="123">
        <f>SIP[[#This Row],[Amount]]/SIP[[#This Row],[Unit]]</f>
        <v>11.695906432748538</v>
      </c>
      <c r="N883" s="71">
        <f>SIP[[#This Row],[Unit Capital]]/10</f>
        <v>171</v>
      </c>
      <c r="O883" s="71">
        <f>SUMIFS(SIP[[#Headers],[Unit]]:SIP[[#This Row],[Unit]],SIP[[#Headers],[Investor ID]]:SIP[[#This Row],[Investor ID]],SIP[[#This Row],[Investor ID]])</f>
        <v>1228</v>
      </c>
      <c r="P883" s="153">
        <v>1710</v>
      </c>
      <c r="Q883" s="74">
        <f>SIP[[#This Row],[Amount]]-SIP[[#This Row],[Unit Capital]]</f>
        <v>290</v>
      </c>
      <c r="R8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11.400651465798045</v>
      </c>
      <c r="S883" s="68">
        <f t="shared" si="40"/>
        <v>14.224</v>
      </c>
      <c r="T8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3" s="74" cm="1">
        <f t="array" ref="U883">IF(SIP[[#This Row],[B/S]]="S",ABS(SIP[[#This Row],[Unit]])*(INDEX(SIP[NAV at Cost (Average)],MATCH(CONCATENATE((SIP[[#This Row],[Frequency]]-1),SIP[[#This Row],[Investor ID]]),SIP[Unique Code],0),0)),0)</f>
        <v>0</v>
      </c>
      <c r="V883" s="74">
        <f>IF(SIP[[#This Row],[BO TRANSFER]]="YES",SIP[[#This Row],[Unit]],)</f>
        <v>0</v>
      </c>
      <c r="W883" s="74">
        <f>SUMIFS(SIP[[#Headers],[BO UNIT TRANSFER]]:SIP[[#This Row],[BO UNIT TRANSFER]],SIP[[#Headers],[Investor ID]]:SIP[[#This Row],[Investor ID]],SIP[[#This Row],[Investor ID]])</f>
        <v>0</v>
      </c>
    </row>
    <row r="884" spans="1:23" ht="15" customHeight="1">
      <c r="A884" s="46">
        <v>2024</v>
      </c>
      <c r="B884" s="46">
        <v>12</v>
      </c>
      <c r="C884" s="46">
        <v>5</v>
      </c>
      <c r="D884" s="65">
        <f>DATE(SIP[[#This Row],[Year]],SIP[[#This Row],[Month]],SIP[[#This Row],[Day]])</f>
        <v>45631</v>
      </c>
      <c r="E884" s="66" t="str" cm="1">
        <f t="array" ref="E884">INDEX(INVESTORS_LIST[INVESTOR NAME],MATCH(SIP[[#This Row],[Investor ID]],INVESTORS_LIST[INVESTOR CODE],0),)</f>
        <v>KAZI AHSAN MARUF</v>
      </c>
      <c r="F884" s="46" t="s">
        <v>158</v>
      </c>
      <c r="G884" s="46">
        <f>COUNTIF(SIP[[#Headers],[Investor ID]]:SIP[[#This Row],[Investor ID]],SIP[[#This Row],[Investor ID]])</f>
        <v>21</v>
      </c>
      <c r="H884" s="46" t="str">
        <f>CONCATENATE(SIP[[#This Row],[Frequency]],SIP[[#This Row],[Investor ID]])</f>
        <v>21A00055</v>
      </c>
      <c r="I884" s="46" t="str">
        <f>IF(SIP[[#This Row],[B/S]]="B","BUY",(IF(SIP[[#This Row],[B/S]]="S","SELL"," ")))</f>
        <v>BUY</v>
      </c>
      <c r="J884" s="150" t="s">
        <v>1229</v>
      </c>
      <c r="K884" s="152">
        <v>10000</v>
      </c>
      <c r="L884" s="122"/>
      <c r="M884" s="123">
        <f>SIP[[#This Row],[Amount]]/SIP[[#This Row],[Unit]]</f>
        <v>11.723329425556859</v>
      </c>
      <c r="N884" s="71">
        <f>SIP[[#This Row],[Unit Capital]]/10</f>
        <v>853</v>
      </c>
      <c r="O884" s="71">
        <f>SUMIFS(SIP[[#Headers],[Unit]]:SIP[[#This Row],[Unit]],SIP[[#Headers],[Investor ID]]:SIP[[#This Row],[Investor ID]],SIP[[#This Row],[Investor ID]])</f>
        <v>3728</v>
      </c>
      <c r="P884" s="153">
        <v>8530</v>
      </c>
      <c r="Q884" s="74">
        <f>SIP[[#This Row],[Amount]]-SIP[[#This Row],[Unit Capital]]</f>
        <v>1470</v>
      </c>
      <c r="R8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10.7993269769141</v>
      </c>
      <c r="S884" s="68">
        <f t="shared" si="40"/>
        <v>14.224</v>
      </c>
      <c r="T8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4" s="74" cm="1">
        <f t="array" ref="U884">IF(SIP[[#This Row],[B/S]]="S",ABS(SIP[[#This Row],[Unit]])*(INDEX(SIP[NAV at Cost (Average)],MATCH(CONCATENATE((SIP[[#This Row],[Frequency]]-1),SIP[[#This Row],[Investor ID]]),SIP[Unique Code],0),0)),0)</f>
        <v>0</v>
      </c>
      <c r="V884" s="74">
        <f>IF(SIP[[#This Row],[BO TRANSFER]]="YES",SIP[[#This Row],[Unit]],)</f>
        <v>0</v>
      </c>
      <c r="W884" s="74">
        <f>SUMIFS(SIP[[#Headers],[BO UNIT TRANSFER]]:SIP[[#This Row],[BO UNIT TRANSFER]],SIP[[#Headers],[Investor ID]]:SIP[[#This Row],[Investor ID]],SIP[[#This Row],[Investor ID]])</f>
        <v>0</v>
      </c>
    </row>
    <row r="885" spans="1:23" ht="15" customHeight="1">
      <c r="A885" s="46">
        <v>2024</v>
      </c>
      <c r="B885" s="46">
        <v>12</v>
      </c>
      <c r="C885" s="46">
        <v>11</v>
      </c>
      <c r="D885" s="65">
        <f>DATE(SIP[[#This Row],[Year]],SIP[[#This Row],[Month]],SIP[[#This Row],[Day]])</f>
        <v>45637</v>
      </c>
      <c r="E885" s="66" t="str" cm="1">
        <f t="array" ref="E885">INDEX(INVESTORS_LIST[INVESTOR NAME],MATCH(SIP[[#This Row],[Investor ID]],INVESTORS_LIST[INVESTOR CODE],0),)</f>
        <v>NUSRAT JAHAN TISHA</v>
      </c>
      <c r="F885" s="169" t="s">
        <v>926</v>
      </c>
      <c r="G885" s="46">
        <f>COUNTIF(SIP[[#Headers],[Investor ID]]:SIP[[#This Row],[Investor ID]],SIP[[#This Row],[Investor ID]])</f>
        <v>15</v>
      </c>
      <c r="H885" s="46" t="str">
        <f>CONCATENATE(SIP[[#This Row],[Frequency]],SIP[[#This Row],[Investor ID]])</f>
        <v>15A00440</v>
      </c>
      <c r="I885" s="46" t="str">
        <f>IF(SIP[[#This Row],[B/S]]="B","BUY",(IF(SIP[[#This Row],[B/S]]="S","SELL"," ")))</f>
        <v>SELL</v>
      </c>
      <c r="J885" s="150" t="s">
        <v>1231</v>
      </c>
      <c r="K885" s="152">
        <v>-46865.09</v>
      </c>
      <c r="L885" s="122"/>
      <c r="M885" s="123">
        <f>SIP[[#This Row],[Amount]]/SIP[[#This Row],[Unit]]</f>
        <v>11.728000500500499</v>
      </c>
      <c r="N885" s="71">
        <f>SIP[[#This Row],[Unit Capital]]/10</f>
        <v>-3996</v>
      </c>
      <c r="O885" s="71">
        <f>SUMIFS(SIP[[#Headers],[Unit]]:SIP[[#This Row],[Unit]],SIP[[#Headers],[Investor ID]]:SIP[[#This Row],[Investor ID]],SIP[[#This Row],[Investor ID]])</f>
        <v>0</v>
      </c>
      <c r="P885" s="153">
        <v>-39960</v>
      </c>
      <c r="Q885" s="74">
        <f>SIP[[#This Row],[Amount]]-SIP[[#This Row],[Unit Capital]]</f>
        <v>-6905.0899999999965</v>
      </c>
      <c r="R8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85" s="68">
        <f t="shared" ref="S885:S898" si="41">NAV_MKT</f>
        <v>14.224</v>
      </c>
      <c r="T885" s="74">
        <f>IF(SIP[[#This Row],[B/S]]="B",0,ABS(SIP[[#This Row],[Unit]])*(SIP[[#This Row],[NAV (Strike Rate)]]-INDEX(SIP[NAV at Cost (Average)],MATCH(CONCATENATE(SIP[[#This Row],[Frequency]]-1,SIP[[#This Row],[Investor ID]]),SIP[Unique Code],0),)))</f>
        <v>2462.8573430894403</v>
      </c>
      <c r="U885" s="74" cm="1">
        <f t="array" ref="U885">IF(SIP[[#This Row],[B/S]]="S",ABS(SIP[[#This Row],[Unit]])*(INDEX(SIP[NAV at Cost (Average)],MATCH(CONCATENATE((SIP[[#This Row],[Frequency]]-1),SIP[[#This Row],[Investor ID]]),SIP[Unique Code],0),0)),0)</f>
        <v>44402.232656910557</v>
      </c>
      <c r="V885" s="74">
        <f>IF(SIP[[#This Row],[BO TRANSFER]]="YES",SIP[[#This Row],[Unit]],)</f>
        <v>0</v>
      </c>
      <c r="W885" s="74">
        <f>SUMIFS(SIP[[#Headers],[BO UNIT TRANSFER]]:SIP[[#This Row],[BO UNIT TRANSFER]],SIP[[#Headers],[Investor ID]]:SIP[[#This Row],[Investor ID]],SIP[[#This Row],[Investor ID]])</f>
        <v>0</v>
      </c>
    </row>
    <row r="886" spans="1:23" ht="15" customHeight="1">
      <c r="A886" s="46">
        <v>2024</v>
      </c>
      <c r="B886" s="46">
        <v>12</v>
      </c>
      <c r="C886" s="46">
        <v>15</v>
      </c>
      <c r="D886" s="65">
        <f>DATE(SIP[[#This Row],[Year]],SIP[[#This Row],[Month]],SIP[[#This Row],[Day]])</f>
        <v>45641</v>
      </c>
      <c r="E886" s="66" t="str" cm="1">
        <f t="array" ref="E886">INDEX(INVESTORS_LIST[INVESTOR NAME],MATCH(SIP[[#This Row],[Investor ID]],INVESTORS_LIST[INVESTOR CODE],0),)</f>
        <v>MD. RAFIQUR RAHMAN</v>
      </c>
      <c r="F886" s="46" t="s">
        <v>622</v>
      </c>
      <c r="G886" s="46">
        <f>COUNTIF(SIP[[#Headers],[Investor ID]]:SIP[[#This Row],[Investor ID]],SIP[[#This Row],[Investor ID]])</f>
        <v>16</v>
      </c>
      <c r="H886" s="46" t="str">
        <f>CONCATENATE(SIP[[#This Row],[Frequency]],SIP[[#This Row],[Investor ID]])</f>
        <v>16A00287</v>
      </c>
      <c r="I886" s="46" t="str">
        <f>IF(SIP[[#This Row],[B/S]]="B","BUY",(IF(SIP[[#This Row],[B/S]]="S","SELL"," ")))</f>
        <v>BUY</v>
      </c>
      <c r="J886" s="150" t="s">
        <v>1229</v>
      </c>
      <c r="K886" s="152">
        <v>20000</v>
      </c>
      <c r="L886" s="122"/>
      <c r="M886" s="123">
        <f>SIP[[#This Row],[Amount]]/SIP[[#This Row],[Unit]]</f>
        <v>11.750881316098708</v>
      </c>
      <c r="N886" s="71">
        <f>SIP[[#This Row],[Unit Capital]]/10</f>
        <v>1702</v>
      </c>
      <c r="O886" s="71">
        <f>SUMIFS(SIP[[#Headers],[Unit]]:SIP[[#This Row],[Unit]],SIP[[#Headers],[Investor ID]]:SIP[[#This Row],[Investor ID]],SIP[[#This Row],[Investor ID]])</f>
        <v>29025</v>
      </c>
      <c r="P886" s="153">
        <v>17020</v>
      </c>
      <c r="Q886" s="74">
        <f>SIP[[#This Row],[Amount]]-SIP[[#This Row],[Unit Capital]]</f>
        <v>2980</v>
      </c>
      <c r="R8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11.024978466838929</v>
      </c>
      <c r="S886" s="68">
        <f t="shared" si="41"/>
        <v>14.224</v>
      </c>
      <c r="T8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6" s="74" cm="1">
        <f t="array" ref="U886">IF(SIP[[#This Row],[B/S]]="S",ABS(SIP[[#This Row],[Unit]])*(INDEX(SIP[NAV at Cost (Average)],MATCH(CONCATENATE((SIP[[#This Row],[Frequency]]-1),SIP[[#This Row],[Investor ID]]),SIP[Unique Code],0),0)),0)</f>
        <v>0</v>
      </c>
      <c r="V886" s="74">
        <f>IF(SIP[[#This Row],[BO TRANSFER]]="YES",SIP[[#This Row],[Unit]],)</f>
        <v>0</v>
      </c>
      <c r="W886" s="74">
        <f>SUMIFS(SIP[[#Headers],[BO UNIT TRANSFER]]:SIP[[#This Row],[BO UNIT TRANSFER]],SIP[[#Headers],[Investor ID]]:SIP[[#This Row],[Investor ID]],SIP[[#This Row],[Investor ID]])</f>
        <v>0</v>
      </c>
    </row>
    <row r="887" spans="1:23" ht="15" customHeight="1">
      <c r="A887" s="46">
        <v>2024</v>
      </c>
      <c r="B887" s="46">
        <v>12</v>
      </c>
      <c r="C887" s="46">
        <v>15</v>
      </c>
      <c r="D887" s="65">
        <f>DATE(SIP[[#This Row],[Year]],SIP[[#This Row],[Month]],SIP[[#This Row],[Day]])</f>
        <v>45641</v>
      </c>
      <c r="E887" s="66" t="str" cm="1">
        <f t="array" ref="E887">INDEX(INVESTORS_LIST[INVESTOR NAME],MATCH(SIP[[#This Row],[Investor ID]],INVESTORS_LIST[INVESTOR CODE],0),)</f>
        <v>CHANCHAL KUMAR SAHA</v>
      </c>
      <c r="F887" s="46" t="s">
        <v>569</v>
      </c>
      <c r="G887" s="46">
        <f>COUNTIF(SIP[[#Headers],[Investor ID]]:SIP[[#This Row],[Investor ID]],SIP[[#This Row],[Investor ID]])</f>
        <v>11</v>
      </c>
      <c r="H887" s="46" t="str">
        <f>CONCATENATE(SIP[[#This Row],[Frequency]],SIP[[#This Row],[Investor ID]])</f>
        <v>11A00260</v>
      </c>
      <c r="I887" s="46" t="str">
        <f>IF(SIP[[#This Row],[B/S]]="B","BUY",(IF(SIP[[#This Row],[B/S]]="S","SELL"," ")))</f>
        <v>BUY</v>
      </c>
      <c r="J887" s="150" t="s">
        <v>1229</v>
      </c>
      <c r="K887" s="152">
        <v>15000</v>
      </c>
      <c r="L887" s="122"/>
      <c r="M887" s="123">
        <f>SIP[[#This Row],[Amount]]/SIP[[#This Row],[Unit]]</f>
        <v>11.755485893416928</v>
      </c>
      <c r="N887" s="71">
        <f>SIP[[#This Row],[Unit Capital]]/10</f>
        <v>1276</v>
      </c>
      <c r="O887" s="71">
        <f>SUMIFS(SIP[[#Headers],[Unit]]:SIP[[#This Row],[Unit]],SIP[[#Headers],[Investor ID]]:SIP[[#This Row],[Investor ID]],SIP[[#This Row],[Investor ID]])</f>
        <v>6819</v>
      </c>
      <c r="P887" s="153">
        <v>12760</v>
      </c>
      <c r="Q887" s="74">
        <f>SIP[[#This Row],[Amount]]-SIP[[#This Row],[Unit Capital]]</f>
        <v>2240</v>
      </c>
      <c r="R8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11.282530982842198</v>
      </c>
      <c r="S887" s="68">
        <f t="shared" si="41"/>
        <v>14.224</v>
      </c>
      <c r="T8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7" s="74" cm="1">
        <f t="array" ref="U887">IF(SIP[[#This Row],[B/S]]="S",ABS(SIP[[#This Row],[Unit]])*(INDEX(SIP[NAV at Cost (Average)],MATCH(CONCATENATE((SIP[[#This Row],[Frequency]]-1),SIP[[#This Row],[Investor ID]]),SIP[Unique Code],0),0)),0)</f>
        <v>0</v>
      </c>
      <c r="V887" s="74">
        <f>IF(SIP[[#This Row],[BO TRANSFER]]="YES",SIP[[#This Row],[Unit]],)</f>
        <v>0</v>
      </c>
      <c r="W887" s="74">
        <f>SUMIFS(SIP[[#Headers],[BO UNIT TRANSFER]]:SIP[[#This Row],[BO UNIT TRANSFER]],SIP[[#Headers],[Investor ID]]:SIP[[#This Row],[Investor ID]],SIP[[#This Row],[Investor ID]])</f>
        <v>0</v>
      </c>
    </row>
    <row r="888" spans="1:23" ht="15" customHeight="1">
      <c r="A888" s="46">
        <v>2024</v>
      </c>
      <c r="B888" s="46">
        <v>12</v>
      </c>
      <c r="C888" s="46">
        <v>15</v>
      </c>
      <c r="D888" s="65">
        <f>DATE(SIP[[#This Row],[Year]],SIP[[#This Row],[Month]],SIP[[#This Row],[Day]])</f>
        <v>45641</v>
      </c>
      <c r="E888" s="66" t="str" cm="1">
        <f t="array" ref="E888">INDEX(INVESTORS_LIST[INVESTOR NAME],MATCH(SIP[[#This Row],[Investor ID]],INVESTORS_LIST[INVESTOR CODE],0),)</f>
        <v>MAHMUD ALI ALAMGIR &amp; MOHAMMED ALI XAHANGIR</v>
      </c>
      <c r="F888" s="46" t="s">
        <v>1130</v>
      </c>
      <c r="G888" s="46">
        <f>COUNTIF(SIP[[#Headers],[Investor ID]]:SIP[[#This Row],[Investor ID]],SIP[[#This Row],[Investor ID]])</f>
        <v>7</v>
      </c>
      <c r="H888" s="46" t="str">
        <f>CONCATENATE(SIP[[#This Row],[Frequency]],SIP[[#This Row],[Investor ID]])</f>
        <v>7A00540</v>
      </c>
      <c r="I888" s="46" t="str">
        <f>IF(SIP[[#This Row],[B/S]]="B","BUY",(IF(SIP[[#This Row],[B/S]]="S","SELL"," ")))</f>
        <v>BUY</v>
      </c>
      <c r="J888" s="150" t="s">
        <v>1229</v>
      </c>
      <c r="K888" s="152">
        <v>40000</v>
      </c>
      <c r="L888" s="122"/>
      <c r="M888" s="123">
        <f>SIP[[#This Row],[Amount]]/SIP[[#This Row],[Unit]]</f>
        <v>11.754334410813987</v>
      </c>
      <c r="N888" s="71">
        <f>SIP[[#This Row],[Unit Capital]]/10</f>
        <v>3403</v>
      </c>
      <c r="O888" s="71">
        <f>SUMIFS(SIP[[#Headers],[Unit]]:SIP[[#This Row],[Unit]],SIP[[#Headers],[Investor ID]]:SIP[[#This Row],[Investor ID]],SIP[[#This Row],[Investor ID]])</f>
        <v>24495</v>
      </c>
      <c r="P888" s="153">
        <v>34030</v>
      </c>
      <c r="Q888" s="74">
        <f>SIP[[#This Row],[Amount]]-SIP[[#This Row],[Unit Capital]]</f>
        <v>5970</v>
      </c>
      <c r="R8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11.430904266176771</v>
      </c>
      <c r="S888" s="68">
        <f t="shared" si="41"/>
        <v>14.224</v>
      </c>
      <c r="T8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8" s="74" cm="1">
        <f t="array" ref="U888">IF(SIP[[#This Row],[B/S]]="S",ABS(SIP[[#This Row],[Unit]])*(INDEX(SIP[NAV at Cost (Average)],MATCH(CONCATENATE((SIP[[#This Row],[Frequency]]-1),SIP[[#This Row],[Investor ID]]),SIP[Unique Code],0),0)),0)</f>
        <v>0</v>
      </c>
      <c r="V888" s="74">
        <f>IF(SIP[[#This Row],[BO TRANSFER]]="YES",SIP[[#This Row],[Unit]],)</f>
        <v>0</v>
      </c>
      <c r="W888" s="74">
        <f>SUMIFS(SIP[[#Headers],[BO UNIT TRANSFER]]:SIP[[#This Row],[BO UNIT TRANSFER]],SIP[[#Headers],[Investor ID]]:SIP[[#This Row],[Investor ID]],SIP[[#This Row],[Investor ID]])</f>
        <v>0</v>
      </c>
    </row>
    <row r="889" spans="1:23" ht="15" customHeight="1">
      <c r="A889" s="46">
        <v>2024</v>
      </c>
      <c r="B889" s="46">
        <v>12</v>
      </c>
      <c r="C889" s="46">
        <v>15</v>
      </c>
      <c r="D889" s="65">
        <f>DATE(SIP[[#This Row],[Year]],SIP[[#This Row],[Month]],SIP[[#This Row],[Day]])</f>
        <v>45641</v>
      </c>
      <c r="E889" s="66" t="str" cm="1">
        <f t="array" ref="E889">INDEX(INVESTORS_LIST[INVESTOR NAME],MATCH(SIP[[#This Row],[Investor ID]],INVESTORS_LIST[INVESTOR CODE],0),)</f>
        <v>AKIB TANVIR ANJUM</v>
      </c>
      <c r="F889" s="46" t="s">
        <v>1116</v>
      </c>
      <c r="G889" s="46">
        <f>COUNTIF(SIP[[#Headers],[Investor ID]]:SIP[[#This Row],[Investor ID]],SIP[[#This Row],[Investor ID]])</f>
        <v>15</v>
      </c>
      <c r="H889" s="46" t="str">
        <f>CONCATENATE(SIP[[#This Row],[Frequency]],SIP[[#This Row],[Investor ID]])</f>
        <v>15A00533</v>
      </c>
      <c r="I889" s="46" t="str">
        <f>IF(SIP[[#This Row],[B/S]]="B","BUY",(IF(SIP[[#This Row],[B/S]]="S","SELL"," ")))</f>
        <v>BUY</v>
      </c>
      <c r="J889" s="150" t="s">
        <v>1229</v>
      </c>
      <c r="K889" s="152">
        <v>1000</v>
      </c>
      <c r="L889" s="122"/>
      <c r="M889" s="123">
        <f>SIP[[#This Row],[Amount]]/SIP[[#This Row],[Unit]]</f>
        <v>11.764705882352942</v>
      </c>
      <c r="N889" s="71">
        <f>SIP[[#This Row],[Unit Capital]]/10</f>
        <v>85</v>
      </c>
      <c r="O889" s="71">
        <f>SUMIFS(SIP[[#Headers],[Unit]]:SIP[[#This Row],[Unit]],SIP[[#Headers],[Investor ID]]:SIP[[#This Row],[Investor ID]],SIP[[#This Row],[Investor ID]])</f>
        <v>769</v>
      </c>
      <c r="P889" s="153">
        <v>850</v>
      </c>
      <c r="Q889" s="74">
        <f>SIP[[#This Row],[Amount]]-SIP[[#This Row],[Unit Capital]]</f>
        <v>150</v>
      </c>
      <c r="R8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11.411228938268733</v>
      </c>
      <c r="S889" s="68">
        <f t="shared" si="41"/>
        <v>14.224</v>
      </c>
      <c r="T8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9" s="74" cm="1">
        <f t="array" ref="U889">IF(SIP[[#This Row],[B/S]]="S",ABS(SIP[[#This Row],[Unit]])*(INDEX(SIP[NAV at Cost (Average)],MATCH(CONCATENATE((SIP[[#This Row],[Frequency]]-1),SIP[[#This Row],[Investor ID]]),SIP[Unique Code],0),0)),0)</f>
        <v>0</v>
      </c>
      <c r="V889" s="74">
        <f>IF(SIP[[#This Row],[BO TRANSFER]]="YES",SIP[[#This Row],[Unit]],)</f>
        <v>0</v>
      </c>
      <c r="W889" s="74">
        <f>SUMIFS(SIP[[#Headers],[BO UNIT TRANSFER]]:SIP[[#This Row],[BO UNIT TRANSFER]],SIP[[#Headers],[Investor ID]]:SIP[[#This Row],[Investor ID]],SIP[[#This Row],[Investor ID]])</f>
        <v>0</v>
      </c>
    </row>
    <row r="890" spans="1:23" ht="15" customHeight="1">
      <c r="A890" s="46">
        <v>2024</v>
      </c>
      <c r="B890" s="46">
        <v>12</v>
      </c>
      <c r="C890" s="46">
        <v>15</v>
      </c>
      <c r="D890" s="65">
        <f>DATE(SIP[[#This Row],[Year]],SIP[[#This Row],[Month]],SIP[[#This Row],[Day]])</f>
        <v>45641</v>
      </c>
      <c r="E890" s="66" t="str" cm="1">
        <f t="array" ref="E890">INDEX(INVESTORS_LIST[INVESTOR NAME],MATCH(SIP[[#This Row],[Investor ID]],INVESTORS_LIST[INVESTOR CODE],0),)</f>
        <v>MAHFUZA ANIKA</v>
      </c>
      <c r="F890" s="46" t="s">
        <v>1277</v>
      </c>
      <c r="G890" s="46">
        <f>COUNTIF(SIP[[#Headers],[Investor ID]]:SIP[[#This Row],[Investor ID]],SIP[[#This Row],[Investor ID]])</f>
        <v>6</v>
      </c>
      <c r="H890" s="46" t="str">
        <f>CONCATENATE(SIP[[#This Row],[Frequency]],SIP[[#This Row],[Investor ID]])</f>
        <v>6A00585</v>
      </c>
      <c r="I890" s="46" t="str">
        <f>IF(SIP[[#This Row],[B/S]]="B","BUY",(IF(SIP[[#This Row],[B/S]]="S","SELL"," ")))</f>
        <v>BUY</v>
      </c>
      <c r="J890" s="150" t="s">
        <v>1229</v>
      </c>
      <c r="K890" s="152">
        <v>2000</v>
      </c>
      <c r="L890" s="122"/>
      <c r="M890" s="123">
        <f>SIP[[#This Row],[Amount]]/SIP[[#This Row],[Unit]]</f>
        <v>11.764705882352942</v>
      </c>
      <c r="N890" s="71">
        <f>SIP[[#This Row],[Unit Capital]]/10</f>
        <v>170</v>
      </c>
      <c r="O890" s="71">
        <f>SUMIFS(SIP[[#Headers],[Unit]]:SIP[[#This Row],[Unit]],SIP[[#Headers],[Investor ID]]:SIP[[#This Row],[Investor ID]],SIP[[#This Row],[Investor ID]])</f>
        <v>866</v>
      </c>
      <c r="P890" s="153">
        <v>1700</v>
      </c>
      <c r="Q890" s="74">
        <f>SIP[[#This Row],[Amount]]-SIP[[#This Row],[Unit Capital]]</f>
        <v>300</v>
      </c>
      <c r="R8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11.547344110854505</v>
      </c>
      <c r="S890" s="68">
        <f t="shared" si="41"/>
        <v>14.224</v>
      </c>
      <c r="T8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0" s="74" cm="1">
        <f t="array" ref="U890">IF(SIP[[#This Row],[B/S]]="S",ABS(SIP[[#This Row],[Unit]])*(INDEX(SIP[NAV at Cost (Average)],MATCH(CONCATENATE((SIP[[#This Row],[Frequency]]-1),SIP[[#This Row],[Investor ID]]),SIP[Unique Code],0),0)),0)</f>
        <v>0</v>
      </c>
      <c r="V890" s="74">
        <f>IF(SIP[[#This Row],[BO TRANSFER]]="YES",SIP[[#This Row],[Unit]],)</f>
        <v>0</v>
      </c>
      <c r="W890" s="74">
        <f>SUMIFS(SIP[[#Headers],[BO UNIT TRANSFER]]:SIP[[#This Row],[BO UNIT TRANSFER]],SIP[[#Headers],[Investor ID]]:SIP[[#This Row],[Investor ID]],SIP[[#This Row],[Investor ID]])</f>
        <v>0</v>
      </c>
    </row>
    <row r="891" spans="1:23" ht="15" customHeight="1">
      <c r="A891" s="46">
        <v>2024</v>
      </c>
      <c r="B891" s="46">
        <v>12</v>
      </c>
      <c r="C891" s="46">
        <v>15</v>
      </c>
      <c r="D891" s="65">
        <f>DATE(SIP[[#This Row],[Year]],SIP[[#This Row],[Month]],SIP[[#This Row],[Day]])</f>
        <v>45641</v>
      </c>
      <c r="E891" s="66" t="str" cm="1">
        <f t="array" ref="E891">INDEX(INVESTORS_LIST[INVESTOR NAME],MATCH(SIP[[#This Row],[Investor ID]],INVESTORS_LIST[INVESTOR CODE],0),)</f>
        <v>SANJIB KUMAR ROY</v>
      </c>
      <c r="F891" s="46" t="s">
        <v>1020</v>
      </c>
      <c r="G891" s="46">
        <f>COUNTIF(SIP[[#Headers],[Investor ID]]:SIP[[#This Row],[Investor ID]],SIP[[#This Row],[Investor ID]])</f>
        <v>19</v>
      </c>
      <c r="H891" s="46" t="str">
        <f>CONCATENATE(SIP[[#This Row],[Frequency]],SIP[[#This Row],[Investor ID]])</f>
        <v>19A00487</v>
      </c>
      <c r="I891" s="46" t="str">
        <f>IF(SIP[[#This Row],[B/S]]="B","BUY",(IF(SIP[[#This Row],[B/S]]="S","SELL"," ")))</f>
        <v>BUY</v>
      </c>
      <c r="J891" s="150" t="s">
        <v>1229</v>
      </c>
      <c r="K891" s="152">
        <v>5000</v>
      </c>
      <c r="L891" s="122"/>
      <c r="M891" s="123">
        <f>SIP[[#This Row],[Amount]]/SIP[[#This Row],[Unit]]</f>
        <v>11.764705882352942</v>
      </c>
      <c r="N891" s="71">
        <f>SIP[[#This Row],[Unit Capital]]/10</f>
        <v>425</v>
      </c>
      <c r="O891" s="71">
        <f>SUMIFS(SIP[[#Headers],[Unit]]:SIP[[#This Row],[Unit]],SIP[[#Headers],[Investor ID]]:SIP[[#This Row],[Investor ID]],SIP[[#This Row],[Investor ID]])</f>
        <v>8713</v>
      </c>
      <c r="P891" s="153">
        <v>4250</v>
      </c>
      <c r="Q891" s="74">
        <f>SIP[[#This Row],[Amount]]-SIP[[#This Row],[Unit Capital]]</f>
        <v>750</v>
      </c>
      <c r="R8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10.903248020199701</v>
      </c>
      <c r="S891" s="68">
        <f t="shared" si="41"/>
        <v>14.224</v>
      </c>
      <c r="T8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1" s="74" cm="1">
        <f t="array" ref="U891">IF(SIP[[#This Row],[B/S]]="S",ABS(SIP[[#This Row],[Unit]])*(INDEX(SIP[NAV at Cost (Average)],MATCH(CONCATENATE((SIP[[#This Row],[Frequency]]-1),SIP[[#This Row],[Investor ID]]),SIP[Unique Code],0),0)),0)</f>
        <v>0</v>
      </c>
      <c r="V891" s="74">
        <f>IF(SIP[[#This Row],[BO TRANSFER]]="YES",SIP[[#This Row],[Unit]],)</f>
        <v>0</v>
      </c>
      <c r="W891" s="74">
        <f>SUMIFS(SIP[[#Headers],[BO UNIT TRANSFER]]:SIP[[#This Row],[BO UNIT TRANSFER]],SIP[[#Headers],[Investor ID]]:SIP[[#This Row],[Investor ID]],SIP[[#This Row],[Investor ID]])</f>
        <v>0</v>
      </c>
    </row>
    <row r="892" spans="1:23" ht="15" customHeight="1">
      <c r="A892" s="46">
        <v>2024</v>
      </c>
      <c r="B892" s="46">
        <v>12</v>
      </c>
      <c r="C892" s="46">
        <v>15</v>
      </c>
      <c r="D892" s="65">
        <f>DATE(SIP[[#This Row],[Year]],SIP[[#This Row],[Month]],SIP[[#This Row],[Day]])</f>
        <v>45641</v>
      </c>
      <c r="E892" s="66" t="str" cm="1">
        <f t="array" ref="E892">INDEX(INVESTORS_LIST[INVESTOR NAME],MATCH(SIP[[#This Row],[Investor ID]],INVESTORS_LIST[INVESTOR CODE],0),)</f>
        <v>ASRAAR HOSSAIN</v>
      </c>
      <c r="F892" s="46" t="s">
        <v>786</v>
      </c>
      <c r="G892" s="46">
        <f>COUNTIF(SIP[[#Headers],[Investor ID]]:SIP[[#This Row],[Investor ID]],SIP[[#This Row],[Investor ID]])</f>
        <v>3</v>
      </c>
      <c r="H892" s="46" t="str">
        <f>CONCATENATE(SIP[[#This Row],[Frequency]],SIP[[#This Row],[Investor ID]])</f>
        <v>3A00369</v>
      </c>
      <c r="I892" s="46" t="str">
        <f>IF(SIP[[#This Row],[B/S]]="B","BUY",(IF(SIP[[#This Row],[B/S]]="S","SELL"," ")))</f>
        <v>BUY</v>
      </c>
      <c r="J892" s="150" t="s">
        <v>1229</v>
      </c>
      <c r="K892" s="152">
        <v>15000</v>
      </c>
      <c r="L892" s="122"/>
      <c r="M892" s="123">
        <f>SIP[[#This Row],[Amount]]/SIP[[#This Row],[Unit]]</f>
        <v>11.755485893416928</v>
      </c>
      <c r="N892" s="71">
        <f>SIP[[#This Row],[Unit Capital]]/10</f>
        <v>1276</v>
      </c>
      <c r="O892" s="71">
        <f>SUMIFS(SIP[[#Headers],[Unit]]:SIP[[#This Row],[Unit]],SIP[[#Headers],[Investor ID]]:SIP[[#This Row],[Investor ID]],SIP[[#This Row],[Investor ID]])</f>
        <v>3861</v>
      </c>
      <c r="P892" s="153">
        <v>12760</v>
      </c>
      <c r="Q892" s="74">
        <f>SIP[[#This Row],[Amount]]-SIP[[#This Row],[Unit Capital]]</f>
        <v>2240</v>
      </c>
      <c r="R8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11.655011655011656</v>
      </c>
      <c r="S892" s="68">
        <f t="shared" si="41"/>
        <v>14.224</v>
      </c>
      <c r="T8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2" s="74" cm="1">
        <f t="array" ref="U892">IF(SIP[[#This Row],[B/S]]="S",ABS(SIP[[#This Row],[Unit]])*(INDEX(SIP[NAV at Cost (Average)],MATCH(CONCATENATE((SIP[[#This Row],[Frequency]]-1),SIP[[#This Row],[Investor ID]]),SIP[Unique Code],0),0)),0)</f>
        <v>0</v>
      </c>
      <c r="V892" s="74">
        <f>IF(SIP[[#This Row],[BO TRANSFER]]="YES",SIP[[#This Row],[Unit]],)</f>
        <v>0</v>
      </c>
      <c r="W892" s="74">
        <f>SUMIFS(SIP[[#Headers],[BO UNIT TRANSFER]]:SIP[[#This Row],[BO UNIT TRANSFER]],SIP[[#Headers],[Investor ID]]:SIP[[#This Row],[Investor ID]],SIP[[#This Row],[Investor ID]])</f>
        <v>0</v>
      </c>
    </row>
    <row r="893" spans="1:23" ht="15" customHeight="1">
      <c r="A893" s="46">
        <v>2024</v>
      </c>
      <c r="B893" s="46">
        <v>12</v>
      </c>
      <c r="C893" s="46">
        <v>15</v>
      </c>
      <c r="D893" s="65">
        <f>DATE(SIP[[#This Row],[Year]],SIP[[#This Row],[Month]],SIP[[#This Row],[Day]])</f>
        <v>45641</v>
      </c>
      <c r="E893" s="66" t="str" cm="1">
        <f t="array" ref="E893">INDEX(INVESTORS_LIST[INVESTOR NAME],MATCH(SIP[[#This Row],[Investor ID]],INVESTORS_LIST[INVESTOR CODE],0),)</f>
        <v>ASHIK CHOWDHURY OVI</v>
      </c>
      <c r="F893" s="46" t="s">
        <v>1101</v>
      </c>
      <c r="G893" s="46">
        <f>COUNTIF(SIP[[#Headers],[Investor ID]]:SIP[[#This Row],[Investor ID]],SIP[[#This Row],[Investor ID]])</f>
        <v>2</v>
      </c>
      <c r="H893" s="46" t="str">
        <f>CONCATENATE(SIP[[#This Row],[Frequency]],SIP[[#This Row],[Investor ID]])</f>
        <v>2A00527</v>
      </c>
      <c r="I893" s="46" t="str">
        <f>IF(SIP[[#This Row],[B/S]]="B","BUY",(IF(SIP[[#This Row],[B/S]]="S","SELL"," ")))</f>
        <v>BUY</v>
      </c>
      <c r="J893" s="150" t="s">
        <v>1229</v>
      </c>
      <c r="K893" s="152">
        <v>5000</v>
      </c>
      <c r="L893" s="122"/>
      <c r="M893" s="123">
        <f>SIP[[#This Row],[Amount]]/SIP[[#This Row],[Unit]]</f>
        <v>11.764705882352942</v>
      </c>
      <c r="N893" s="71">
        <f>SIP[[#This Row],[Unit Capital]]/10</f>
        <v>425</v>
      </c>
      <c r="O893" s="71">
        <f>SUMIFS(SIP[[#Headers],[Unit]]:SIP[[#This Row],[Unit]],SIP[[#Headers],[Investor ID]]:SIP[[#This Row],[Investor ID]],SIP[[#This Row],[Investor ID]])</f>
        <v>854</v>
      </c>
      <c r="P893" s="153">
        <v>4250</v>
      </c>
      <c r="Q893" s="74">
        <f>SIP[[#This Row],[Amount]]-SIP[[#This Row],[Unit Capital]]</f>
        <v>750</v>
      </c>
      <c r="R8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11.7096018735363</v>
      </c>
      <c r="S893" s="68">
        <f t="shared" si="41"/>
        <v>14.224</v>
      </c>
      <c r="T8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3" s="74" cm="1">
        <f t="array" ref="U893">IF(SIP[[#This Row],[B/S]]="S",ABS(SIP[[#This Row],[Unit]])*(INDEX(SIP[NAV at Cost (Average)],MATCH(CONCATENATE((SIP[[#This Row],[Frequency]]-1),SIP[[#This Row],[Investor ID]]),SIP[Unique Code],0),0)),0)</f>
        <v>0</v>
      </c>
      <c r="V893" s="74">
        <f>IF(SIP[[#This Row],[BO TRANSFER]]="YES",SIP[[#This Row],[Unit]],)</f>
        <v>0</v>
      </c>
      <c r="W893" s="74">
        <f>SUMIFS(SIP[[#Headers],[BO UNIT TRANSFER]]:SIP[[#This Row],[BO UNIT TRANSFER]],SIP[[#Headers],[Investor ID]]:SIP[[#This Row],[Investor ID]],SIP[[#This Row],[Investor ID]])</f>
        <v>0</v>
      </c>
    </row>
    <row r="894" spans="1:23" ht="15" customHeight="1">
      <c r="A894" s="46">
        <v>2024</v>
      </c>
      <c r="B894" s="46">
        <v>12</v>
      </c>
      <c r="C894" s="46">
        <v>15</v>
      </c>
      <c r="D894" s="65">
        <f>DATE(SIP[[#This Row],[Year]],SIP[[#This Row],[Month]],SIP[[#This Row],[Day]])</f>
        <v>45641</v>
      </c>
      <c r="E894" s="66" t="str" cm="1">
        <f t="array" ref="E894">INDEX(INVESTORS_LIST[INVESTOR NAME],MATCH(SIP[[#This Row],[Investor ID]],INVESTORS_LIST[INVESTOR CODE],0),)</f>
        <v>MAHMUD ALI ALAMGIR &amp; MOHAMMED ALI XAHANGIR</v>
      </c>
      <c r="F894" s="46" t="s">
        <v>1130</v>
      </c>
      <c r="G894" s="46">
        <f>COUNTIF(SIP[[#Headers],[Investor ID]]:SIP[[#This Row],[Investor ID]],SIP[[#This Row],[Investor ID]])</f>
        <v>8</v>
      </c>
      <c r="H894" s="46" t="str">
        <f>CONCATENATE(SIP[[#This Row],[Frequency]],SIP[[#This Row],[Investor ID]])</f>
        <v>8A00540</v>
      </c>
      <c r="I894" s="46" t="str">
        <f>IF(SIP[[#This Row],[B/S]]="B","BUY",(IF(SIP[[#This Row],[B/S]]="S","SELL"," ")))</f>
        <v>BUY</v>
      </c>
      <c r="J894" s="150" t="s">
        <v>1229</v>
      </c>
      <c r="K894" s="152">
        <v>10000</v>
      </c>
      <c r="L894" s="122"/>
      <c r="M894" s="123">
        <f>SIP[[#This Row],[Amount]]/SIP[[#This Row],[Unit]]</f>
        <v>11.750881316098708</v>
      </c>
      <c r="N894" s="71">
        <f>SIP[[#This Row],[Unit Capital]]/10</f>
        <v>851</v>
      </c>
      <c r="O894" s="71">
        <f>SUMIFS(SIP[[#Headers],[Unit]]:SIP[[#This Row],[Unit]],SIP[[#Headers],[Investor ID]]:SIP[[#This Row],[Investor ID]],SIP[[#This Row],[Investor ID]])</f>
        <v>25346</v>
      </c>
      <c r="P894" s="153">
        <v>8510</v>
      </c>
      <c r="Q894" s="74">
        <f>SIP[[#This Row],[Amount]]-SIP[[#This Row],[Unit Capital]]</f>
        <v>1490</v>
      </c>
      <c r="R8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11.441647597254006</v>
      </c>
      <c r="S894" s="68">
        <f t="shared" si="41"/>
        <v>14.224</v>
      </c>
      <c r="T8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4" s="74" cm="1">
        <f t="array" ref="U894">IF(SIP[[#This Row],[B/S]]="S",ABS(SIP[[#This Row],[Unit]])*(INDEX(SIP[NAV at Cost (Average)],MATCH(CONCATENATE((SIP[[#This Row],[Frequency]]-1),SIP[[#This Row],[Investor ID]]),SIP[Unique Code],0),0)),0)</f>
        <v>0</v>
      </c>
      <c r="V894" s="74">
        <f>IF(SIP[[#This Row],[BO TRANSFER]]="YES",SIP[[#This Row],[Unit]],)</f>
        <v>0</v>
      </c>
      <c r="W894" s="74">
        <f>SUMIFS(SIP[[#Headers],[BO UNIT TRANSFER]]:SIP[[#This Row],[BO UNIT TRANSFER]],SIP[[#Headers],[Investor ID]]:SIP[[#This Row],[Investor ID]],SIP[[#This Row],[Investor ID]])</f>
        <v>0</v>
      </c>
    </row>
    <row r="895" spans="1:23" ht="15" customHeight="1">
      <c r="A895" s="46">
        <v>2024</v>
      </c>
      <c r="B895" s="46">
        <v>12</v>
      </c>
      <c r="C895" s="46">
        <v>15</v>
      </c>
      <c r="D895" s="65">
        <f>DATE(SIP[[#This Row],[Year]],SIP[[#This Row],[Month]],SIP[[#This Row],[Day]])</f>
        <v>45641</v>
      </c>
      <c r="E895" s="66" t="str" cm="1">
        <f t="array" ref="E895">INDEX(INVESTORS_LIST[INVESTOR NAME],MATCH(SIP[[#This Row],[Investor ID]],INVESTORS_LIST[INVESTOR CODE],0),)</f>
        <v>MAHMUD ALI ALAMGIR &amp; MOHAMMED ALI XAHANGIR</v>
      </c>
      <c r="F895" s="46" t="s">
        <v>1130</v>
      </c>
      <c r="G895" s="46">
        <f>COUNTIF(SIP[[#Headers],[Investor ID]]:SIP[[#This Row],[Investor ID]],SIP[[#This Row],[Investor ID]])</f>
        <v>9</v>
      </c>
      <c r="H895" s="46" t="str">
        <f>CONCATENATE(SIP[[#This Row],[Frequency]],SIP[[#This Row],[Investor ID]])</f>
        <v>9A00540</v>
      </c>
      <c r="I895" s="46" t="str">
        <f>IF(SIP[[#This Row],[B/S]]="B","BUY",(IF(SIP[[#This Row],[B/S]]="S","SELL"," ")))</f>
        <v>BUY</v>
      </c>
      <c r="J895" s="150" t="s">
        <v>1229</v>
      </c>
      <c r="K895" s="152">
        <v>20000</v>
      </c>
      <c r="L895" s="122"/>
      <c r="M895" s="123">
        <f>SIP[[#This Row],[Amount]]/SIP[[#This Row],[Unit]]</f>
        <v>11.750881316098708</v>
      </c>
      <c r="N895" s="71">
        <f>SIP[[#This Row],[Unit Capital]]/10</f>
        <v>1702</v>
      </c>
      <c r="O895" s="71">
        <f>SUMIFS(SIP[[#Headers],[Unit]]:SIP[[#This Row],[Unit]],SIP[[#Headers],[Investor ID]]:SIP[[#This Row],[Investor ID]],SIP[[#This Row],[Investor ID]])</f>
        <v>27048</v>
      </c>
      <c r="P895" s="153">
        <v>17020</v>
      </c>
      <c r="Q895" s="74">
        <f>SIP[[#This Row],[Amount]]-SIP[[#This Row],[Unit Capital]]</f>
        <v>2980</v>
      </c>
      <c r="R8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11.461106181603078</v>
      </c>
      <c r="S895" s="68">
        <f t="shared" si="41"/>
        <v>14.224</v>
      </c>
      <c r="T8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5" s="74" cm="1">
        <f t="array" ref="U895">IF(SIP[[#This Row],[B/S]]="S",ABS(SIP[[#This Row],[Unit]])*(INDEX(SIP[NAV at Cost (Average)],MATCH(CONCATENATE((SIP[[#This Row],[Frequency]]-1),SIP[[#This Row],[Investor ID]]),SIP[Unique Code],0),0)),0)</f>
        <v>0</v>
      </c>
      <c r="V895" s="74">
        <f>IF(SIP[[#This Row],[BO TRANSFER]]="YES",SIP[[#This Row],[Unit]],)</f>
        <v>0</v>
      </c>
      <c r="W895" s="74">
        <f>SUMIFS(SIP[[#Headers],[BO UNIT TRANSFER]]:SIP[[#This Row],[BO UNIT TRANSFER]],SIP[[#Headers],[Investor ID]]:SIP[[#This Row],[Investor ID]],SIP[[#This Row],[Investor ID]])</f>
        <v>0</v>
      </c>
    </row>
    <row r="896" spans="1:23" ht="15" customHeight="1">
      <c r="A896" s="46">
        <v>2024</v>
      </c>
      <c r="B896" s="46">
        <v>12</v>
      </c>
      <c r="C896" s="46">
        <v>17</v>
      </c>
      <c r="D896" s="65">
        <f>DATE(SIP[[#This Row],[Year]],SIP[[#This Row],[Month]],SIP[[#This Row],[Day]])</f>
        <v>45643</v>
      </c>
      <c r="E896" s="66" t="str" cm="1">
        <f t="array" ref="E896">INDEX(INVESTORS_LIST[INVESTOR NAME],MATCH(SIP[[#This Row],[Investor ID]],INVESTORS_LIST[INVESTOR CODE],0),)</f>
        <v>ASHIK CHOWDHURY OVI</v>
      </c>
      <c r="F896" s="46" t="s">
        <v>1101</v>
      </c>
      <c r="G896" s="46">
        <f>COUNTIF(SIP[[#Headers],[Investor ID]]:SIP[[#This Row],[Investor ID]],SIP[[#This Row],[Investor ID]])</f>
        <v>3</v>
      </c>
      <c r="H896" s="46" t="str">
        <f>CONCATENATE(SIP[[#This Row],[Frequency]],SIP[[#This Row],[Investor ID]])</f>
        <v>3A00527</v>
      </c>
      <c r="I896" s="46" t="str">
        <f>IF(SIP[[#This Row],[B/S]]="B","BUY",(IF(SIP[[#This Row],[B/S]]="S","SELL"," ")))</f>
        <v>SELL</v>
      </c>
      <c r="J896" s="150" t="s">
        <v>1231</v>
      </c>
      <c r="K896" s="152">
        <v>-5000</v>
      </c>
      <c r="L896" s="122"/>
      <c r="M896" s="123">
        <f>SIP[[#This Row],[Amount]]/SIP[[#This Row],[Unit]]</f>
        <v>11.764705882352942</v>
      </c>
      <c r="N896" s="71">
        <f>SIP[[#This Row],[Unit Capital]]/10</f>
        <v>-425</v>
      </c>
      <c r="O896" s="71">
        <f>SUMIFS(SIP[[#Headers],[Unit]]:SIP[[#This Row],[Unit]],SIP[[#Headers],[Investor ID]]:SIP[[#This Row],[Investor ID]],SIP[[#This Row],[Investor ID]])</f>
        <v>429</v>
      </c>
      <c r="P896" s="153">
        <v>-4250</v>
      </c>
      <c r="Q896" s="74">
        <f>SIP[[#This Row],[Amount]]-SIP[[#This Row],[Unit Capital]]</f>
        <v>-750</v>
      </c>
      <c r="R8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11.7096018735363</v>
      </c>
      <c r="S896" s="68">
        <f t="shared" si="41"/>
        <v>14.224</v>
      </c>
      <c r="T896" s="74">
        <f>IF(SIP[[#This Row],[B/S]]="B",0,ABS(SIP[[#This Row],[Unit]])*(SIP[[#This Row],[NAV (Strike Rate)]]-INDEX(SIP[NAV at Cost (Average)],MATCH(CONCATENATE(SIP[[#This Row],[Frequency]]-1,SIP[[#This Row],[Investor ID]]),SIP[Unique Code],0),)))</f>
        <v>23.419203747072714</v>
      </c>
      <c r="U896" s="74" cm="1">
        <f t="array" ref="U896">IF(SIP[[#This Row],[B/S]]="S",ABS(SIP[[#This Row],[Unit]])*(INDEX(SIP[NAV at Cost (Average)],MATCH(CONCATENATE((SIP[[#This Row],[Frequency]]-1),SIP[[#This Row],[Investor ID]]),SIP[Unique Code],0),0)),0)</f>
        <v>4976.5807962529279</v>
      </c>
      <c r="V896" s="74">
        <f>IF(SIP[[#This Row],[BO TRANSFER]]="YES",SIP[[#This Row],[Unit]],)</f>
        <v>0</v>
      </c>
      <c r="W896" s="74">
        <f>SUMIFS(SIP[[#Headers],[BO UNIT TRANSFER]]:SIP[[#This Row],[BO UNIT TRANSFER]],SIP[[#Headers],[Investor ID]]:SIP[[#This Row],[Investor ID]],SIP[[#This Row],[Investor ID]])</f>
        <v>0</v>
      </c>
    </row>
    <row r="897" spans="1:23" ht="15" customHeight="1">
      <c r="A897" s="46">
        <v>2024</v>
      </c>
      <c r="B897" s="46">
        <v>12</v>
      </c>
      <c r="C897" s="46">
        <v>17</v>
      </c>
      <c r="D897" s="65">
        <f>DATE(SIP[[#This Row],[Year]],SIP[[#This Row],[Month]],SIP[[#This Row],[Day]])</f>
        <v>45643</v>
      </c>
      <c r="E897" s="66" t="str" cm="1">
        <f t="array" ref="E897">INDEX(INVESTORS_LIST[INVESTOR NAME],MATCH(SIP[[#This Row],[Investor ID]],INVESTORS_LIST[INVESTOR CODE],0),)</f>
        <v>MAHMUD ALI ALAMGIR &amp; MOHAMMED ALI XAHANGIR</v>
      </c>
      <c r="F897" s="46" t="s">
        <v>1130</v>
      </c>
      <c r="G897" s="46">
        <f>COUNTIF(SIP[[#Headers],[Investor ID]]:SIP[[#This Row],[Investor ID]],SIP[[#This Row],[Investor ID]])</f>
        <v>10</v>
      </c>
      <c r="H897" s="46" t="str">
        <f>CONCATENATE(SIP[[#This Row],[Frequency]],SIP[[#This Row],[Investor ID]])</f>
        <v>10A00540</v>
      </c>
      <c r="I897" s="46" t="str">
        <f>IF(SIP[[#This Row],[B/S]]="B","BUY",(IF(SIP[[#This Row],[B/S]]="S","SELL"," ")))</f>
        <v>SELL</v>
      </c>
      <c r="J897" s="150" t="s">
        <v>1231</v>
      </c>
      <c r="K897" s="152">
        <v>-10000</v>
      </c>
      <c r="L897" s="122"/>
      <c r="M897" s="123">
        <f>SIP[[#This Row],[Amount]]/SIP[[#This Row],[Unit]]</f>
        <v>11.750881316098708</v>
      </c>
      <c r="N897" s="71">
        <f>SIP[[#This Row],[Unit Capital]]/10</f>
        <v>-851</v>
      </c>
      <c r="O897" s="71">
        <f>SUMIFS(SIP[[#Headers],[Unit]]:SIP[[#This Row],[Unit]],SIP[[#Headers],[Investor ID]]:SIP[[#This Row],[Investor ID]],SIP[[#This Row],[Investor ID]])</f>
        <v>26197</v>
      </c>
      <c r="P897" s="153">
        <v>-8510</v>
      </c>
      <c r="Q897" s="74">
        <f>SIP[[#This Row],[Amount]]-SIP[[#This Row],[Unit Capital]]</f>
        <v>-1490</v>
      </c>
      <c r="R8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11.461106181603078</v>
      </c>
      <c r="S897" s="68">
        <f t="shared" si="41"/>
        <v>14.224</v>
      </c>
      <c r="T897" s="74">
        <f>IF(SIP[[#This Row],[B/S]]="B",0,ABS(SIP[[#This Row],[Unit]])*(SIP[[#This Row],[NAV (Strike Rate)]]-INDEX(SIP[NAV at Cost (Average)],MATCH(CONCATENATE(SIP[[#This Row],[Frequency]]-1,SIP[[#This Row],[Investor ID]]),SIP[Unique Code],0),)))</f>
        <v>246.59863945578064</v>
      </c>
      <c r="U897" s="74" cm="1">
        <f t="array" ref="U897">IF(SIP[[#This Row],[B/S]]="S",ABS(SIP[[#This Row],[Unit]])*(INDEX(SIP[NAV at Cost (Average)],MATCH(CONCATENATE((SIP[[#This Row],[Frequency]]-1),SIP[[#This Row],[Investor ID]]),SIP[Unique Code],0),0)),0)</f>
        <v>9753.4013605442196</v>
      </c>
      <c r="V897" s="74">
        <f>IF(SIP[[#This Row],[BO TRANSFER]]="YES",SIP[[#This Row],[Unit]],)</f>
        <v>0</v>
      </c>
      <c r="W897" s="74">
        <f>SUMIFS(SIP[[#Headers],[BO UNIT TRANSFER]]:SIP[[#This Row],[BO UNIT TRANSFER]],SIP[[#Headers],[Investor ID]]:SIP[[#This Row],[Investor ID]],SIP[[#This Row],[Investor ID]])</f>
        <v>0</v>
      </c>
    </row>
    <row r="898" spans="1:23" ht="15" customHeight="1">
      <c r="A898" s="46">
        <v>2024</v>
      </c>
      <c r="B898" s="46">
        <v>12</v>
      </c>
      <c r="C898" s="46">
        <v>17</v>
      </c>
      <c r="D898" s="65">
        <f>DATE(SIP[[#This Row],[Year]],SIP[[#This Row],[Month]],SIP[[#This Row],[Day]])</f>
        <v>45643</v>
      </c>
      <c r="E898" s="66" t="str" cm="1">
        <f t="array" ref="E898">INDEX(INVESTORS_LIST[INVESTOR NAME],MATCH(SIP[[#This Row],[Investor ID]],INVESTORS_LIST[INVESTOR CODE],0),)</f>
        <v>CHANCHAL KUMAR SAHA</v>
      </c>
      <c r="F898" s="46" t="s">
        <v>569</v>
      </c>
      <c r="G898" s="46">
        <f>COUNTIF(SIP[[#Headers],[Investor ID]]:SIP[[#This Row],[Investor ID]],SIP[[#This Row],[Investor ID]])</f>
        <v>12</v>
      </c>
      <c r="H898" s="46" t="str">
        <f>CONCATENATE(SIP[[#This Row],[Frequency]],SIP[[#This Row],[Investor ID]])</f>
        <v>12A00260</v>
      </c>
      <c r="I898" s="46" t="str">
        <f>IF(SIP[[#This Row],[B/S]]="B","BUY",(IF(SIP[[#This Row],[B/S]]="S","SELL"," ")))</f>
        <v>SELL</v>
      </c>
      <c r="J898" s="150" t="s">
        <v>1231</v>
      </c>
      <c r="K898" s="152">
        <v>-65146.879999999997</v>
      </c>
      <c r="L898" s="122"/>
      <c r="M898" s="123">
        <f>SIP[[#This Row],[Amount]]/SIP[[#This Row],[Unit]]</f>
        <v>11.753000180407721</v>
      </c>
      <c r="N898" s="71">
        <f>SIP[[#This Row],[Unit Capital]]/10</f>
        <v>-5543</v>
      </c>
      <c r="O898" s="71">
        <f>SUMIFS(SIP[[#Headers],[Unit]]:SIP[[#This Row],[Unit]],SIP[[#Headers],[Investor ID]]:SIP[[#This Row],[Investor ID]],SIP[[#This Row],[Investor ID]])</f>
        <v>1276</v>
      </c>
      <c r="P898" s="153">
        <v>-55430</v>
      </c>
      <c r="Q898" s="74">
        <f>SIP[[#This Row],[Amount]]-SIP[[#This Row],[Unit Capital]]</f>
        <v>-9716.8799999999974</v>
      </c>
      <c r="R8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11.282530982842198</v>
      </c>
      <c r="S898" s="68">
        <f t="shared" si="41"/>
        <v>14.224</v>
      </c>
      <c r="T898" s="74">
        <f>IF(SIP[[#This Row],[B/S]]="B",0,ABS(SIP[[#This Row],[Unit]])*(SIP[[#This Row],[NAV (Strike Rate)]]-INDEX(SIP[NAV at Cost (Average)],MATCH(CONCATENATE(SIP[[#This Row],[Frequency]]-1,SIP[[#This Row],[Investor ID]]),SIP[Unique Code],0),)))</f>
        <v>2607.810762105692</v>
      </c>
      <c r="U898" s="74" cm="1">
        <f t="array" ref="U898">IF(SIP[[#This Row],[B/S]]="S",ABS(SIP[[#This Row],[Unit]])*(INDEX(SIP[NAV at Cost (Average)],MATCH(CONCATENATE((SIP[[#This Row],[Frequency]]-1),SIP[[#This Row],[Investor ID]]),SIP[Unique Code],0),0)),0)</f>
        <v>62539.069237894306</v>
      </c>
      <c r="V898" s="74">
        <f>IF(SIP[[#This Row],[BO TRANSFER]]="YES",SIP[[#This Row],[Unit]],)</f>
        <v>0</v>
      </c>
      <c r="W898" s="74">
        <f>SUMIFS(SIP[[#Headers],[BO UNIT TRANSFER]]:SIP[[#This Row],[BO UNIT TRANSFER]],SIP[[#Headers],[Investor ID]]:SIP[[#This Row],[Investor ID]],SIP[[#This Row],[Investor ID]])</f>
        <v>0</v>
      </c>
    </row>
    <row r="899" spans="1:23" ht="15" customHeight="1">
      <c r="A899" s="46">
        <v>2024</v>
      </c>
      <c r="B899" s="46">
        <v>12</v>
      </c>
      <c r="C899" s="46">
        <v>26</v>
      </c>
      <c r="D899" s="65">
        <f>DATE(SIP[[#This Row],[Year]],SIP[[#This Row],[Month]],SIP[[#This Row],[Day]])</f>
        <v>45652</v>
      </c>
      <c r="E899" s="66" t="str" cm="1">
        <f t="array" ref="E899">INDEX(INVESTORS_LIST[INVESTOR NAME],MATCH(SIP[[#This Row],[Investor ID]],INVESTORS_LIST[INVESTOR CODE],0),)</f>
        <v>SADIA PARVIN</v>
      </c>
      <c r="F899" s="46" t="s">
        <v>1018</v>
      </c>
      <c r="G899" s="46">
        <f>COUNTIF(SIP[[#Headers],[Investor ID]]:SIP[[#This Row],[Investor ID]],SIP[[#This Row],[Investor ID]])</f>
        <v>26</v>
      </c>
      <c r="H899" s="46" t="str">
        <f>CONCATENATE(SIP[[#This Row],[Frequency]],SIP[[#This Row],[Investor ID]])</f>
        <v>26A00486</v>
      </c>
      <c r="I899" s="46" t="str">
        <f>IF(SIP[[#This Row],[B/S]]="B","BUY",(IF(SIP[[#This Row],[B/S]]="S","SELL"," ")))</f>
        <v>BUY</v>
      </c>
      <c r="J899" s="150" t="s">
        <v>1229</v>
      </c>
      <c r="K899" s="152">
        <v>5000</v>
      </c>
      <c r="L899" s="122"/>
      <c r="M899" s="123">
        <f>SIP[[#This Row],[Amount]]/SIP[[#This Row],[Unit]]</f>
        <v>11.79245283018868</v>
      </c>
      <c r="N899" s="71">
        <f>SIP[[#This Row],[Unit Capital]]/10</f>
        <v>424</v>
      </c>
      <c r="O899" s="71">
        <f>SUMIFS(SIP[[#Headers],[Unit]]:SIP[[#This Row],[Unit]],SIP[[#Headers],[Investor ID]]:SIP[[#This Row],[Investor ID]],SIP[[#This Row],[Investor ID]])</f>
        <v>11802</v>
      </c>
      <c r="P899" s="153">
        <v>4240</v>
      </c>
      <c r="Q899" s="74">
        <f>SIP[[#This Row],[Amount]]-SIP[[#This Row],[Unit Capital]]</f>
        <v>760</v>
      </c>
      <c r="R8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11.015082189459415</v>
      </c>
      <c r="S899" s="68">
        <f t="shared" ref="S899:S929" si="42">NAV_MKT</f>
        <v>14.224</v>
      </c>
      <c r="T8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99" s="74" cm="1">
        <f t="array" ref="U899">IF(SIP[[#This Row],[B/S]]="S",ABS(SIP[[#This Row],[Unit]])*(INDEX(SIP[NAV at Cost (Average)],MATCH(CONCATENATE((SIP[[#This Row],[Frequency]]-1),SIP[[#This Row],[Investor ID]]),SIP[Unique Code],0),0)),0)</f>
        <v>0</v>
      </c>
      <c r="V899" s="74">
        <f>IF(SIP[[#This Row],[BO TRANSFER]]="YES",SIP[[#This Row],[Unit]],)</f>
        <v>0</v>
      </c>
      <c r="W899" s="74">
        <f>SUMIFS(SIP[[#Headers],[BO UNIT TRANSFER]]:SIP[[#This Row],[BO UNIT TRANSFER]],SIP[[#Headers],[Investor ID]]:SIP[[#This Row],[Investor ID]],SIP[[#This Row],[Investor ID]])</f>
        <v>0</v>
      </c>
    </row>
    <row r="900" spans="1:23" ht="15" customHeight="1">
      <c r="A900" s="46">
        <v>2024</v>
      </c>
      <c r="B900" s="46">
        <v>12</v>
      </c>
      <c r="C900" s="46">
        <v>26</v>
      </c>
      <c r="D900" s="65">
        <f>DATE(SIP[[#This Row],[Year]],SIP[[#This Row],[Month]],SIP[[#This Row],[Day]])</f>
        <v>45652</v>
      </c>
      <c r="E900" s="66" t="str" cm="1">
        <f t="array" ref="E900">INDEX(INVESTORS_LIST[INVESTOR NAME],MATCH(SIP[[#This Row],[Investor ID]],INVESTORS_LIST[INVESTOR CODE],0),)</f>
        <v>MD. WALI ULLAH</v>
      </c>
      <c r="F900" s="46" t="s">
        <v>443</v>
      </c>
      <c r="G900" s="46">
        <f>COUNTIF(SIP[[#Headers],[Investor ID]]:SIP[[#This Row],[Investor ID]],SIP[[#This Row],[Investor ID]])</f>
        <v>20</v>
      </c>
      <c r="H900" s="46" t="str">
        <f>CONCATENATE(SIP[[#This Row],[Frequency]],SIP[[#This Row],[Investor ID]])</f>
        <v>20A00197</v>
      </c>
      <c r="I900" s="46" t="str">
        <f>IF(SIP[[#This Row],[B/S]]="B","BUY",(IF(SIP[[#This Row],[B/S]]="S","SELL"," ")))</f>
        <v>BUY</v>
      </c>
      <c r="J900" s="150" t="s">
        <v>1229</v>
      </c>
      <c r="K900" s="152">
        <v>15000</v>
      </c>
      <c r="L900" s="122"/>
      <c r="M900" s="123">
        <f>SIP[[#This Row],[Amount]]/SIP[[#This Row],[Unit]]</f>
        <v>11.801730920535011</v>
      </c>
      <c r="N900" s="71">
        <f>SIP[[#This Row],[Unit Capital]]/10</f>
        <v>1271</v>
      </c>
      <c r="O900" s="71">
        <f>SUMIFS(SIP[[#Headers],[Unit]]:SIP[[#This Row],[Unit]],SIP[[#Headers],[Investor ID]]:SIP[[#This Row],[Investor ID]],SIP[[#This Row],[Investor ID]])</f>
        <v>27535</v>
      </c>
      <c r="P900" s="153">
        <v>12710</v>
      </c>
      <c r="Q900" s="74">
        <f>SIP[[#This Row],[Amount]]-SIP[[#This Row],[Unit Capital]]</f>
        <v>2290</v>
      </c>
      <c r="R9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10.895224260032681</v>
      </c>
      <c r="S900" s="68">
        <f t="shared" si="42"/>
        <v>14.224</v>
      </c>
      <c r="T9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0" s="74" cm="1">
        <f t="array" ref="U900">IF(SIP[[#This Row],[B/S]]="S",ABS(SIP[[#This Row],[Unit]])*(INDEX(SIP[NAV at Cost (Average)],MATCH(CONCATENATE((SIP[[#This Row],[Frequency]]-1),SIP[[#This Row],[Investor ID]]),SIP[Unique Code],0),0)),0)</f>
        <v>0</v>
      </c>
      <c r="V900" s="74">
        <f>IF(SIP[[#This Row],[BO TRANSFER]]="YES",SIP[[#This Row],[Unit]],)</f>
        <v>0</v>
      </c>
      <c r="W900" s="74">
        <f>SUMIFS(SIP[[#Headers],[BO UNIT TRANSFER]]:SIP[[#This Row],[BO UNIT TRANSFER]],SIP[[#Headers],[Investor ID]]:SIP[[#This Row],[Investor ID]],SIP[[#This Row],[Investor ID]])</f>
        <v>0</v>
      </c>
    </row>
    <row r="901" spans="1:23" ht="15" customHeight="1">
      <c r="A901" s="46">
        <v>2024</v>
      </c>
      <c r="B901" s="46">
        <v>12</v>
      </c>
      <c r="C901" s="46">
        <v>26</v>
      </c>
      <c r="D901" s="65">
        <f>DATE(SIP[[#This Row],[Year]],SIP[[#This Row],[Month]],SIP[[#This Row],[Day]])</f>
        <v>45652</v>
      </c>
      <c r="E901" s="66" t="str" cm="1">
        <f t="array" ref="E901">INDEX(INVESTORS_LIST[INVESTOR NAME],MATCH(SIP[[#This Row],[Investor ID]],INVESTORS_LIST[INVESTOR CODE],0),)</f>
        <v>SIKDER FAZLE RABBI</v>
      </c>
      <c r="F901" s="46" t="s">
        <v>1032</v>
      </c>
      <c r="G901" s="46">
        <f>COUNTIF(SIP[[#Headers],[Investor ID]]:SIP[[#This Row],[Investor ID]],SIP[[#This Row],[Investor ID]])</f>
        <v>19</v>
      </c>
      <c r="H901" s="46" t="str">
        <f>CONCATENATE(SIP[[#This Row],[Frequency]],SIP[[#This Row],[Investor ID]])</f>
        <v>19A00493</v>
      </c>
      <c r="I901" s="46" t="str">
        <f>IF(SIP[[#This Row],[B/S]]="B","BUY",(IF(SIP[[#This Row],[B/S]]="S","SELL"," ")))</f>
        <v>BUY</v>
      </c>
      <c r="J901" s="150" t="s">
        <v>1229</v>
      </c>
      <c r="K901" s="152">
        <v>5000</v>
      </c>
      <c r="L901" s="122"/>
      <c r="M901" s="123">
        <f>SIP[[#This Row],[Amount]]/SIP[[#This Row],[Unit]]</f>
        <v>11.79245283018868</v>
      </c>
      <c r="N901" s="71">
        <f>SIP[[#This Row],[Unit Capital]]/10</f>
        <v>424</v>
      </c>
      <c r="O901" s="71">
        <f>SUMIFS(SIP[[#Headers],[Unit]]:SIP[[#This Row],[Unit]],SIP[[#Headers],[Investor ID]]:SIP[[#This Row],[Investor ID]],SIP[[#This Row],[Investor ID]])</f>
        <v>8686</v>
      </c>
      <c r="P901" s="153">
        <v>4240</v>
      </c>
      <c r="Q901" s="74">
        <f>SIP[[#This Row],[Amount]]-SIP[[#This Row],[Unit Capital]]</f>
        <v>760</v>
      </c>
      <c r="R9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10.937140225650474</v>
      </c>
      <c r="S901" s="68">
        <f t="shared" si="42"/>
        <v>14.224</v>
      </c>
      <c r="T9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1" s="74" cm="1">
        <f t="array" ref="U901">IF(SIP[[#This Row],[B/S]]="S",ABS(SIP[[#This Row],[Unit]])*(INDEX(SIP[NAV at Cost (Average)],MATCH(CONCATENATE((SIP[[#This Row],[Frequency]]-1),SIP[[#This Row],[Investor ID]]),SIP[Unique Code],0),0)),0)</f>
        <v>0</v>
      </c>
      <c r="V901" s="74">
        <f>IF(SIP[[#This Row],[BO TRANSFER]]="YES",SIP[[#This Row],[Unit]],)</f>
        <v>0</v>
      </c>
      <c r="W901" s="74">
        <f>SUMIFS(SIP[[#Headers],[BO UNIT TRANSFER]]:SIP[[#This Row],[BO UNIT TRANSFER]],SIP[[#Headers],[Investor ID]]:SIP[[#This Row],[Investor ID]],SIP[[#This Row],[Investor ID]])</f>
        <v>0</v>
      </c>
    </row>
    <row r="902" spans="1:23" ht="15" customHeight="1">
      <c r="A902" s="46">
        <v>2024</v>
      </c>
      <c r="B902" s="46">
        <v>12</v>
      </c>
      <c r="C902" s="46">
        <v>26</v>
      </c>
      <c r="D902" s="65">
        <f>DATE(SIP[[#This Row],[Year]],SIP[[#This Row],[Month]],SIP[[#This Row],[Day]])</f>
        <v>45652</v>
      </c>
      <c r="E902" s="66" t="str" cm="1">
        <f t="array" ref="E902">INDEX(INVESTORS_LIST[INVESTOR NAME],MATCH(SIP[[#This Row],[Investor ID]],INVESTORS_LIST[INVESTOR CODE],0),)</f>
        <v>SAJJAD CHOWDHURY</v>
      </c>
      <c r="F902" s="46" t="s">
        <v>461</v>
      </c>
      <c r="G902" s="46">
        <f>COUNTIF(SIP[[#Headers],[Investor ID]]:SIP[[#This Row],[Investor ID]],SIP[[#This Row],[Investor ID]])</f>
        <v>20</v>
      </c>
      <c r="H902" s="46" t="str">
        <f>CONCATENATE(SIP[[#This Row],[Frequency]],SIP[[#This Row],[Investor ID]])</f>
        <v>20A00206</v>
      </c>
      <c r="I902" s="46" t="str">
        <f>IF(SIP[[#This Row],[B/S]]="B","BUY",(IF(SIP[[#This Row],[B/S]]="S","SELL"," ")))</f>
        <v>BUY</v>
      </c>
      <c r="J902" s="150" t="s">
        <v>1229</v>
      </c>
      <c r="K902" s="152">
        <v>7500</v>
      </c>
      <c r="L902" s="122"/>
      <c r="M902" s="123">
        <f>SIP[[#This Row],[Amount]]/SIP[[#This Row],[Unit]]</f>
        <v>11.811023622047244</v>
      </c>
      <c r="N902" s="71">
        <f>SIP[[#This Row],[Unit Capital]]/10</f>
        <v>635</v>
      </c>
      <c r="O902" s="71">
        <f>SUMIFS(SIP[[#Headers],[Unit]]:SIP[[#This Row],[Unit]],SIP[[#Headers],[Investor ID]]:SIP[[#This Row],[Investor ID]],SIP[[#This Row],[Investor ID]])</f>
        <v>13766</v>
      </c>
      <c r="P902" s="153">
        <v>6350</v>
      </c>
      <c r="Q902" s="74">
        <f>SIP[[#This Row],[Amount]]-SIP[[#This Row],[Unit Capital]]</f>
        <v>1150</v>
      </c>
      <c r="R9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10.896411448496297</v>
      </c>
      <c r="S902" s="68">
        <f t="shared" si="42"/>
        <v>14.224</v>
      </c>
      <c r="T9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2" s="74" cm="1">
        <f t="array" ref="U902">IF(SIP[[#This Row],[B/S]]="S",ABS(SIP[[#This Row],[Unit]])*(INDEX(SIP[NAV at Cost (Average)],MATCH(CONCATENATE((SIP[[#This Row],[Frequency]]-1),SIP[[#This Row],[Investor ID]]),SIP[Unique Code],0),0)),0)</f>
        <v>0</v>
      </c>
      <c r="V902" s="74">
        <f>IF(SIP[[#This Row],[BO TRANSFER]]="YES",SIP[[#This Row],[Unit]],)</f>
        <v>0</v>
      </c>
      <c r="W902" s="74">
        <f>SUMIFS(SIP[[#Headers],[BO UNIT TRANSFER]]:SIP[[#This Row],[BO UNIT TRANSFER]],SIP[[#Headers],[Investor ID]]:SIP[[#This Row],[Investor ID]],SIP[[#This Row],[Investor ID]])</f>
        <v>0</v>
      </c>
    </row>
    <row r="903" spans="1:23" ht="15" customHeight="1">
      <c r="A903" s="46">
        <v>2024</v>
      </c>
      <c r="B903" s="46">
        <v>12</v>
      </c>
      <c r="C903" s="46">
        <v>26</v>
      </c>
      <c r="D903" s="65">
        <f>DATE(SIP[[#This Row],[Year]],SIP[[#This Row],[Month]],SIP[[#This Row],[Day]])</f>
        <v>45652</v>
      </c>
      <c r="E903" s="66" t="str" cm="1">
        <f t="array" ref="E903">INDEX(INVESTORS_LIST[INVESTOR NAME],MATCH(SIP[[#This Row],[Investor ID]],INVESTORS_LIST[INVESTOR CODE],0),)</f>
        <v>EKUSH WEALTH MANAGEMENT LIMITED EMPLOYEES CONTRIBUTORY PROVIDENT FUND</v>
      </c>
      <c r="F903" s="46" t="s">
        <v>831</v>
      </c>
      <c r="G903" s="46">
        <f>COUNTIF(SIP[[#Headers],[Investor ID]]:SIP[[#This Row],[Investor ID]],SIP[[#This Row],[Investor ID]])</f>
        <v>14</v>
      </c>
      <c r="H903" s="46" t="str">
        <f>CONCATENATE(SIP[[#This Row],[Frequency]],SIP[[#This Row],[Investor ID]])</f>
        <v>14A00392</v>
      </c>
      <c r="I903" s="46" t="str">
        <f>IF(SIP[[#This Row],[B/S]]="B","BUY",(IF(SIP[[#This Row],[B/S]]="S","SELL"," ")))</f>
        <v>BUY</v>
      </c>
      <c r="J903" s="150" t="s">
        <v>1229</v>
      </c>
      <c r="K903" s="152">
        <v>22040</v>
      </c>
      <c r="L903" s="122"/>
      <c r="M903" s="123">
        <f>SIP[[#This Row],[Amount]]/SIP[[#This Row],[Unit]]</f>
        <v>11.805034815211568</v>
      </c>
      <c r="N903" s="71">
        <f>SIP[[#This Row],[Unit Capital]]/10</f>
        <v>1867</v>
      </c>
      <c r="O903" s="71">
        <f>SUMIFS(SIP[[#Headers],[Unit]]:SIP[[#This Row],[Unit]],SIP[[#Headers],[Investor ID]]:SIP[[#This Row],[Investor ID]],SIP[[#This Row],[Investor ID]])</f>
        <v>24363</v>
      </c>
      <c r="P903" s="153">
        <v>18670</v>
      </c>
      <c r="Q903" s="74">
        <f>SIP[[#This Row],[Amount]]-SIP[[#This Row],[Unit Capital]]</f>
        <v>3370</v>
      </c>
      <c r="R9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10.819079299365635</v>
      </c>
      <c r="S903" s="68">
        <f t="shared" si="42"/>
        <v>14.224</v>
      </c>
      <c r="T9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3" s="74" cm="1">
        <f t="array" ref="U903">IF(SIP[[#This Row],[B/S]]="S",ABS(SIP[[#This Row],[Unit]])*(INDEX(SIP[NAV at Cost (Average)],MATCH(CONCATENATE((SIP[[#This Row],[Frequency]]-1),SIP[[#This Row],[Investor ID]]),SIP[Unique Code],0),0)),0)</f>
        <v>0</v>
      </c>
      <c r="V903" s="74">
        <f>IF(SIP[[#This Row],[BO TRANSFER]]="YES",SIP[[#This Row],[Unit]],)</f>
        <v>0</v>
      </c>
      <c r="W903" s="74">
        <f>SUMIFS(SIP[[#Headers],[BO UNIT TRANSFER]]:SIP[[#This Row],[BO UNIT TRANSFER]],SIP[[#Headers],[Investor ID]]:SIP[[#This Row],[Investor ID]],SIP[[#This Row],[Investor ID]])</f>
        <v>0</v>
      </c>
    </row>
    <row r="904" spans="1:23" ht="15" customHeight="1">
      <c r="A904" s="46">
        <v>2024</v>
      </c>
      <c r="B904" s="46">
        <v>12</v>
      </c>
      <c r="C904" s="46">
        <v>26</v>
      </c>
      <c r="D904" s="65">
        <f>DATE(SIP[[#This Row],[Year]],SIP[[#This Row],[Month]],SIP[[#This Row],[Day]])</f>
        <v>45652</v>
      </c>
      <c r="E904" s="66" t="str" cm="1">
        <f t="array" ref="E904">INDEX(INVESTORS_LIST[INVESTOR NAME],MATCH(SIP[[#This Row],[Investor ID]],INVESTORS_LIST[INVESTOR CODE],0),)</f>
        <v>S.M. SAIFUL ISLAM</v>
      </c>
      <c r="F904" s="46" t="s">
        <v>1002</v>
      </c>
      <c r="G904" s="46">
        <f>COUNTIF(SIP[[#Headers],[Investor ID]]:SIP[[#This Row],[Investor ID]],SIP[[#This Row],[Investor ID]])</f>
        <v>20</v>
      </c>
      <c r="H904" s="46" t="str">
        <f>CONCATENATE(SIP[[#This Row],[Frequency]],SIP[[#This Row],[Investor ID]])</f>
        <v>20A00478</v>
      </c>
      <c r="I904" s="46" t="str">
        <f>IF(SIP[[#This Row],[B/S]]="B","BUY",(IF(SIP[[#This Row],[B/S]]="S","SELL"," ")))</f>
        <v>BUY</v>
      </c>
      <c r="J904" s="150" t="s">
        <v>1229</v>
      </c>
      <c r="K904" s="152">
        <v>10000</v>
      </c>
      <c r="L904" s="122"/>
      <c r="M904" s="123">
        <f>SIP[[#This Row],[Amount]]/SIP[[#This Row],[Unit]]</f>
        <v>11.806375442739078</v>
      </c>
      <c r="N904" s="71">
        <f>SIP[[#This Row],[Unit Capital]]/10</f>
        <v>847</v>
      </c>
      <c r="O904" s="71">
        <f>SUMIFS(SIP[[#Headers],[Unit]]:SIP[[#This Row],[Unit]],SIP[[#Headers],[Investor ID]]:SIP[[#This Row],[Investor ID]],SIP[[#This Row],[Investor ID]])</f>
        <v>18358</v>
      </c>
      <c r="P904" s="153">
        <v>8470</v>
      </c>
      <c r="Q904" s="74">
        <f>SIP[[#This Row],[Amount]]-SIP[[#This Row],[Unit Capital]]</f>
        <v>1530</v>
      </c>
      <c r="R9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10.894432944765224</v>
      </c>
      <c r="S904" s="68">
        <f t="shared" si="42"/>
        <v>14.224</v>
      </c>
      <c r="T9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4" s="74" cm="1">
        <f t="array" ref="U904">IF(SIP[[#This Row],[B/S]]="S",ABS(SIP[[#This Row],[Unit]])*(INDEX(SIP[NAV at Cost (Average)],MATCH(CONCATENATE((SIP[[#This Row],[Frequency]]-1),SIP[[#This Row],[Investor ID]]),SIP[Unique Code],0),0)),0)</f>
        <v>0</v>
      </c>
      <c r="V904" s="74">
        <f>IF(SIP[[#This Row],[BO TRANSFER]]="YES",SIP[[#This Row],[Unit]],)</f>
        <v>0</v>
      </c>
      <c r="W904" s="74">
        <f>SUMIFS(SIP[[#Headers],[BO UNIT TRANSFER]]:SIP[[#This Row],[BO UNIT TRANSFER]],SIP[[#Headers],[Investor ID]]:SIP[[#This Row],[Investor ID]],SIP[[#This Row],[Investor ID]])</f>
        <v>0</v>
      </c>
    </row>
    <row r="905" spans="1:23" ht="15" customHeight="1">
      <c r="A905" s="46">
        <v>2024</v>
      </c>
      <c r="B905" s="46">
        <v>12</v>
      </c>
      <c r="C905" s="46">
        <v>26</v>
      </c>
      <c r="D905" s="65">
        <f>DATE(SIP[[#This Row],[Year]],SIP[[#This Row],[Month]],SIP[[#This Row],[Day]])</f>
        <v>45652</v>
      </c>
      <c r="E905" s="66" t="str" cm="1">
        <f t="array" ref="E905">INDEX(INVESTORS_LIST[INVESTOR NAME],MATCH(SIP[[#This Row],[Investor ID]],INVESTORS_LIST[INVESTOR CODE],0),)</f>
        <v>MOHAMMED SHARIFUL ISLAM</v>
      </c>
      <c r="F905" s="46" t="s">
        <v>1028</v>
      </c>
      <c r="G905" s="46">
        <f>COUNTIF(SIP[[#Headers],[Investor ID]]:SIP[[#This Row],[Investor ID]],SIP[[#This Row],[Investor ID]])</f>
        <v>19</v>
      </c>
      <c r="H905" s="46" t="str">
        <f>CONCATENATE(SIP[[#This Row],[Frequency]],SIP[[#This Row],[Investor ID]])</f>
        <v>19A00491</v>
      </c>
      <c r="I905" s="46" t="str">
        <f>IF(SIP[[#This Row],[B/S]]="B","BUY",(IF(SIP[[#This Row],[B/S]]="S","SELL"," ")))</f>
        <v>BUY</v>
      </c>
      <c r="J905" s="150" t="s">
        <v>1229</v>
      </c>
      <c r="K905" s="152">
        <v>5000</v>
      </c>
      <c r="L905" s="122"/>
      <c r="M905" s="123">
        <f>SIP[[#This Row],[Amount]]/SIP[[#This Row],[Unit]]</f>
        <v>11.79245283018868</v>
      </c>
      <c r="N905" s="71">
        <f>SIP[[#This Row],[Unit Capital]]/10</f>
        <v>424</v>
      </c>
      <c r="O905" s="71">
        <f>SUMIFS(SIP[[#Headers],[Unit]]:SIP[[#This Row],[Unit]],SIP[[#Headers],[Investor ID]]:SIP[[#This Row],[Investor ID]],SIP[[#This Row],[Investor ID]])</f>
        <v>8686</v>
      </c>
      <c r="P905" s="153">
        <v>4240</v>
      </c>
      <c r="Q905" s="74">
        <f>SIP[[#This Row],[Amount]]-SIP[[#This Row],[Unit Capital]]</f>
        <v>760</v>
      </c>
      <c r="R9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10.937140225650474</v>
      </c>
      <c r="S905" s="68">
        <f t="shared" si="42"/>
        <v>14.224</v>
      </c>
      <c r="T9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5" s="74" cm="1">
        <f t="array" ref="U905">IF(SIP[[#This Row],[B/S]]="S",ABS(SIP[[#This Row],[Unit]])*(INDEX(SIP[NAV at Cost (Average)],MATCH(CONCATENATE((SIP[[#This Row],[Frequency]]-1),SIP[[#This Row],[Investor ID]]),SIP[Unique Code],0),0)),0)</f>
        <v>0</v>
      </c>
      <c r="V905" s="74">
        <f>IF(SIP[[#This Row],[BO TRANSFER]]="YES",SIP[[#This Row],[Unit]],)</f>
        <v>0</v>
      </c>
      <c r="W905" s="74">
        <f>SUMIFS(SIP[[#Headers],[BO UNIT TRANSFER]]:SIP[[#This Row],[BO UNIT TRANSFER]],SIP[[#Headers],[Investor ID]]:SIP[[#This Row],[Investor ID]],SIP[[#This Row],[Investor ID]])</f>
        <v>0</v>
      </c>
    </row>
    <row r="906" spans="1:23" ht="15" customHeight="1">
      <c r="A906" s="46">
        <v>2024</v>
      </c>
      <c r="B906" s="46">
        <v>12</v>
      </c>
      <c r="C906" s="46">
        <v>26</v>
      </c>
      <c r="D906" s="65">
        <f>DATE(SIP[[#This Row],[Year]],SIP[[#This Row],[Month]],SIP[[#This Row],[Day]])</f>
        <v>45652</v>
      </c>
      <c r="E906" s="66" t="str" cm="1">
        <f t="array" ref="E906">INDEX(INVESTORS_LIST[INVESTOR NAME],MATCH(SIP[[#This Row],[Investor ID]],INVESTORS_LIST[INVESTOR CODE],0),)</f>
        <v>ABU MUSA MIRZA KAMRUZZAMAN SHAHEE</v>
      </c>
      <c r="F906" s="46" t="s">
        <v>1012</v>
      </c>
      <c r="G906" s="46">
        <f>COUNTIF(SIP[[#Headers],[Investor ID]]:SIP[[#This Row],[Investor ID]],SIP[[#This Row],[Investor ID]])</f>
        <v>19</v>
      </c>
      <c r="H906" s="46" t="str">
        <f>CONCATENATE(SIP[[#This Row],[Frequency]],SIP[[#This Row],[Investor ID]])</f>
        <v>19A00483</v>
      </c>
      <c r="I906" s="46" t="str">
        <f>IF(SIP[[#This Row],[B/S]]="B","BUY",(IF(SIP[[#This Row],[B/S]]="S","SELL"," ")))</f>
        <v>BUY</v>
      </c>
      <c r="J906" s="150" t="s">
        <v>1229</v>
      </c>
      <c r="K906" s="152">
        <v>5000</v>
      </c>
      <c r="L906" s="122"/>
      <c r="M906" s="123">
        <f>SIP[[#This Row],[Amount]]/SIP[[#This Row],[Unit]]</f>
        <v>11.79245283018868</v>
      </c>
      <c r="N906" s="71">
        <f>SIP[[#This Row],[Unit Capital]]/10</f>
        <v>424</v>
      </c>
      <c r="O906" s="71">
        <f>SUMIFS(SIP[[#Headers],[Unit]]:SIP[[#This Row],[Unit]],SIP[[#Headers],[Investor ID]]:SIP[[#This Row],[Investor ID]],SIP[[#This Row],[Investor ID]])</f>
        <v>8686</v>
      </c>
      <c r="P906" s="153">
        <v>4240</v>
      </c>
      <c r="Q906" s="74">
        <f>SIP[[#This Row],[Amount]]-SIP[[#This Row],[Unit Capital]]</f>
        <v>760</v>
      </c>
      <c r="R9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10.937140225650474</v>
      </c>
      <c r="S906" s="68">
        <f t="shared" si="42"/>
        <v>14.224</v>
      </c>
      <c r="T9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6" s="74" cm="1">
        <f t="array" ref="U906">IF(SIP[[#This Row],[B/S]]="S",ABS(SIP[[#This Row],[Unit]])*(INDEX(SIP[NAV at Cost (Average)],MATCH(CONCATENATE((SIP[[#This Row],[Frequency]]-1),SIP[[#This Row],[Investor ID]]),SIP[Unique Code],0),0)),0)</f>
        <v>0</v>
      </c>
      <c r="V906" s="74">
        <f>IF(SIP[[#This Row],[BO TRANSFER]]="YES",SIP[[#This Row],[Unit]],)</f>
        <v>0</v>
      </c>
      <c r="W906" s="74">
        <f>SUMIFS(SIP[[#Headers],[BO UNIT TRANSFER]]:SIP[[#This Row],[BO UNIT TRANSFER]],SIP[[#Headers],[Investor ID]]:SIP[[#This Row],[Investor ID]],SIP[[#This Row],[Investor ID]])</f>
        <v>0</v>
      </c>
    </row>
    <row r="907" spans="1:23" ht="15" customHeight="1">
      <c r="A907" s="46">
        <v>2024</v>
      </c>
      <c r="B907" s="46">
        <v>12</v>
      </c>
      <c r="C907" s="46">
        <v>26</v>
      </c>
      <c r="D907" s="65">
        <f>DATE(SIP[[#This Row],[Year]],SIP[[#This Row],[Month]],SIP[[#This Row],[Day]])</f>
        <v>45652</v>
      </c>
      <c r="E907" s="66" t="str" cm="1">
        <f t="array" ref="E907">INDEX(INVESTORS_LIST[INVESTOR NAME],MATCH(SIP[[#This Row],[Investor ID]],INVESTORS_LIST[INVESTOR CODE],0),)</f>
        <v>ASHIK IQBAL CHOWDHURY</v>
      </c>
      <c r="F907" s="46" t="s">
        <v>1016</v>
      </c>
      <c r="G907" s="46">
        <f>COUNTIF(SIP[[#Headers],[Investor ID]]:SIP[[#This Row],[Investor ID]],SIP[[#This Row],[Investor ID]])</f>
        <v>15</v>
      </c>
      <c r="H907" s="46" t="str">
        <f>CONCATENATE(SIP[[#This Row],[Frequency]],SIP[[#This Row],[Investor ID]])</f>
        <v>15A00485</v>
      </c>
      <c r="I907" s="46" t="str">
        <f>IF(SIP[[#This Row],[B/S]]="B","BUY",(IF(SIP[[#This Row],[B/S]]="S","SELL"," ")))</f>
        <v>BUY</v>
      </c>
      <c r="J907" s="150" t="s">
        <v>1229</v>
      </c>
      <c r="K907" s="152">
        <v>5000</v>
      </c>
      <c r="L907" s="122"/>
      <c r="M907" s="123">
        <f>SIP[[#This Row],[Amount]]/SIP[[#This Row],[Unit]]</f>
        <v>11.79245283018868</v>
      </c>
      <c r="N907" s="71">
        <f>SIP[[#This Row],[Unit Capital]]/10</f>
        <v>424</v>
      </c>
      <c r="O907" s="71">
        <f>SUMIFS(SIP[[#Headers],[Unit]]:SIP[[#This Row],[Unit]],SIP[[#Headers],[Investor ID]]:SIP[[#This Row],[Investor ID]],SIP[[#This Row],[Investor ID]])</f>
        <v>6931</v>
      </c>
      <c r="P907" s="153">
        <v>4240</v>
      </c>
      <c r="Q907" s="74">
        <f>SIP[[#This Row],[Amount]]-SIP[[#This Row],[Unit Capital]]</f>
        <v>760</v>
      </c>
      <c r="R9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10.820949357957005</v>
      </c>
      <c r="S907" s="68">
        <f t="shared" si="42"/>
        <v>14.224</v>
      </c>
      <c r="T9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7" s="74" cm="1">
        <f t="array" ref="U907">IF(SIP[[#This Row],[B/S]]="S",ABS(SIP[[#This Row],[Unit]])*(INDEX(SIP[NAV at Cost (Average)],MATCH(CONCATENATE((SIP[[#This Row],[Frequency]]-1),SIP[[#This Row],[Investor ID]]),SIP[Unique Code],0),0)),0)</f>
        <v>0</v>
      </c>
      <c r="V907" s="74">
        <f>IF(SIP[[#This Row],[BO TRANSFER]]="YES",SIP[[#This Row],[Unit]],)</f>
        <v>0</v>
      </c>
      <c r="W907" s="74">
        <f>SUMIFS(SIP[[#Headers],[BO UNIT TRANSFER]]:SIP[[#This Row],[BO UNIT TRANSFER]],SIP[[#Headers],[Investor ID]]:SIP[[#This Row],[Investor ID]],SIP[[#This Row],[Investor ID]])</f>
        <v>0</v>
      </c>
    </row>
    <row r="908" spans="1:23" ht="15" customHeight="1">
      <c r="A908" s="46">
        <v>2024</v>
      </c>
      <c r="B908" s="46">
        <v>12</v>
      </c>
      <c r="C908" s="46">
        <v>26</v>
      </c>
      <c r="D908" s="65">
        <f>DATE(SIP[[#This Row],[Year]],SIP[[#This Row],[Month]],SIP[[#This Row],[Day]])</f>
        <v>45652</v>
      </c>
      <c r="E908" s="66" t="str" cm="1">
        <f t="array" ref="E908">INDEX(INVESTORS_LIST[INVESTOR NAME],MATCH(SIP[[#This Row],[Investor ID]],INVESTORS_LIST[INVESTOR CODE],0),)</f>
        <v>SUMAN SAHA</v>
      </c>
      <c r="F908" s="46" t="s">
        <v>1022</v>
      </c>
      <c r="G908" s="46">
        <f>COUNTIF(SIP[[#Headers],[Investor ID]]:SIP[[#This Row],[Investor ID]],SIP[[#This Row],[Investor ID]])</f>
        <v>19</v>
      </c>
      <c r="H908" s="46" t="str">
        <f>CONCATENATE(SIP[[#This Row],[Frequency]],SIP[[#This Row],[Investor ID]])</f>
        <v>19A00488</v>
      </c>
      <c r="I908" s="46" t="str">
        <f>IF(SIP[[#This Row],[B/S]]="B","BUY",(IF(SIP[[#This Row],[B/S]]="S","SELL"," ")))</f>
        <v>BUY</v>
      </c>
      <c r="J908" s="150" t="s">
        <v>1229</v>
      </c>
      <c r="K908" s="152">
        <v>5000</v>
      </c>
      <c r="L908" s="122"/>
      <c r="M908" s="123">
        <f>SIP[[#This Row],[Amount]]/SIP[[#This Row],[Unit]]</f>
        <v>11.79245283018868</v>
      </c>
      <c r="N908" s="71">
        <f>SIP[[#This Row],[Unit Capital]]/10</f>
        <v>424</v>
      </c>
      <c r="O908" s="71">
        <f>SUMIFS(SIP[[#Headers],[Unit]]:SIP[[#This Row],[Unit]],SIP[[#Headers],[Investor ID]]:SIP[[#This Row],[Investor ID]],SIP[[#This Row],[Investor ID]])</f>
        <v>8686</v>
      </c>
      <c r="P908" s="153">
        <v>4240</v>
      </c>
      <c r="Q908" s="74">
        <f>SIP[[#This Row],[Amount]]-SIP[[#This Row],[Unit Capital]]</f>
        <v>760</v>
      </c>
      <c r="R9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10.937140225650474</v>
      </c>
      <c r="S908" s="68">
        <f t="shared" si="42"/>
        <v>14.224</v>
      </c>
      <c r="T9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8" s="74" cm="1">
        <f t="array" ref="U908">IF(SIP[[#This Row],[B/S]]="S",ABS(SIP[[#This Row],[Unit]])*(INDEX(SIP[NAV at Cost (Average)],MATCH(CONCATENATE((SIP[[#This Row],[Frequency]]-1),SIP[[#This Row],[Investor ID]]),SIP[Unique Code],0),0)),0)</f>
        <v>0</v>
      </c>
      <c r="V908" s="74">
        <f>IF(SIP[[#This Row],[BO TRANSFER]]="YES",SIP[[#This Row],[Unit]],)</f>
        <v>0</v>
      </c>
      <c r="W908" s="74">
        <f>SUMIFS(SIP[[#Headers],[BO UNIT TRANSFER]]:SIP[[#This Row],[BO UNIT TRANSFER]],SIP[[#Headers],[Investor ID]]:SIP[[#This Row],[Investor ID]],SIP[[#This Row],[Investor ID]])</f>
        <v>0</v>
      </c>
    </row>
    <row r="909" spans="1:23" ht="15" customHeight="1">
      <c r="A909" s="46">
        <v>2024</v>
      </c>
      <c r="B909" s="46">
        <v>12</v>
      </c>
      <c r="C909" s="46">
        <v>26</v>
      </c>
      <c r="D909" s="65">
        <f>DATE(SIP[[#This Row],[Year]],SIP[[#This Row],[Month]],SIP[[#This Row],[Day]])</f>
        <v>45652</v>
      </c>
      <c r="E909" s="66" t="str" cm="1">
        <f t="array" ref="E909">INDEX(INVESTORS_LIST[INVESTOR NAME],MATCH(SIP[[#This Row],[Investor ID]],INVESTORS_LIST[INVESTOR CODE],0),)</f>
        <v>JUBAIDA FARHANA HAQUE</v>
      </c>
      <c r="F909" s="46" t="s">
        <v>1065</v>
      </c>
      <c r="G909" s="46">
        <f>COUNTIF(SIP[[#Headers],[Investor ID]]:SIP[[#This Row],[Investor ID]],SIP[[#This Row],[Investor ID]])</f>
        <v>17</v>
      </c>
      <c r="H909" s="46" t="str">
        <f>CONCATENATE(SIP[[#This Row],[Frequency]],SIP[[#This Row],[Investor ID]])</f>
        <v>17A00510</v>
      </c>
      <c r="I909" s="46" t="str">
        <f>IF(SIP[[#This Row],[B/S]]="B","BUY",(IF(SIP[[#This Row],[B/S]]="S","SELL"," ")))</f>
        <v>BUY</v>
      </c>
      <c r="J909" s="150" t="s">
        <v>1229</v>
      </c>
      <c r="K909" s="152">
        <v>5000</v>
      </c>
      <c r="L909" s="122"/>
      <c r="M909" s="123">
        <f>SIP[[#This Row],[Amount]]/SIP[[#This Row],[Unit]]</f>
        <v>11.79245283018868</v>
      </c>
      <c r="N909" s="71">
        <f>SIP[[#This Row],[Unit Capital]]/10</f>
        <v>424</v>
      </c>
      <c r="O909" s="71">
        <f>SUMIFS(SIP[[#Headers],[Unit]]:SIP[[#This Row],[Unit]],SIP[[#Headers],[Investor ID]]:SIP[[#This Row],[Investor ID]],SIP[[#This Row],[Investor ID]])</f>
        <v>6762</v>
      </c>
      <c r="P909" s="153">
        <v>4240</v>
      </c>
      <c r="Q909" s="74">
        <f>SIP[[#This Row],[Amount]]-SIP[[#This Row],[Unit Capital]]</f>
        <v>760</v>
      </c>
      <c r="R9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11.093725653750734</v>
      </c>
      <c r="S909" s="68">
        <f t="shared" si="42"/>
        <v>14.224</v>
      </c>
      <c r="T9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9" s="74" cm="1">
        <f t="array" ref="U909">IF(SIP[[#This Row],[B/S]]="S",ABS(SIP[[#This Row],[Unit]])*(INDEX(SIP[NAV at Cost (Average)],MATCH(CONCATENATE((SIP[[#This Row],[Frequency]]-1),SIP[[#This Row],[Investor ID]]),SIP[Unique Code],0),0)),0)</f>
        <v>0</v>
      </c>
      <c r="V909" s="74">
        <f>IF(SIP[[#This Row],[BO TRANSFER]]="YES",SIP[[#This Row],[Unit]],)</f>
        <v>0</v>
      </c>
      <c r="W909" s="74">
        <f>SUMIFS(SIP[[#Headers],[BO UNIT TRANSFER]]:SIP[[#This Row],[BO UNIT TRANSFER]],SIP[[#Headers],[Investor ID]]:SIP[[#This Row],[Investor ID]],SIP[[#This Row],[Investor ID]])</f>
        <v>0</v>
      </c>
    </row>
    <row r="910" spans="1:23" ht="15" customHeight="1">
      <c r="A910" s="46">
        <v>2024</v>
      </c>
      <c r="B910" s="46">
        <v>12</v>
      </c>
      <c r="C910" s="46">
        <v>26</v>
      </c>
      <c r="D910" s="65">
        <f>DATE(SIP[[#This Row],[Year]],SIP[[#This Row],[Month]],SIP[[#This Row],[Day]])</f>
        <v>45652</v>
      </c>
      <c r="E910" s="66" t="str" cm="1">
        <f t="array" ref="E910">INDEX(INVESTORS_LIST[INVESTOR NAME],MATCH(SIP[[#This Row],[Investor ID]],INVESTORS_LIST[INVESTOR CODE],0),)</f>
        <v>MAYA RANI SAHA</v>
      </c>
      <c r="F910" s="46" t="s">
        <v>224</v>
      </c>
      <c r="G910" s="46">
        <f>COUNTIF(SIP[[#Headers],[Investor ID]]:SIP[[#This Row],[Investor ID]],SIP[[#This Row],[Investor ID]])</f>
        <v>29</v>
      </c>
      <c r="H910" s="46" t="str">
        <f>CONCATENATE(SIP[[#This Row],[Frequency]],SIP[[#This Row],[Investor ID]])</f>
        <v>29A00088</v>
      </c>
      <c r="I910" s="46" t="str">
        <f>IF(SIP[[#This Row],[B/S]]="B","BUY",(IF(SIP[[#This Row],[B/S]]="S","SELL"," ")))</f>
        <v>BUY</v>
      </c>
      <c r="J910" s="150" t="s">
        <v>1229</v>
      </c>
      <c r="K910" s="152">
        <v>14000</v>
      </c>
      <c r="L910" s="122"/>
      <c r="M910" s="123">
        <f>SIP[[#This Row],[Amount]]/SIP[[#This Row],[Unit]]</f>
        <v>11.804384485666105</v>
      </c>
      <c r="N910" s="71">
        <f>SIP[[#This Row],[Unit Capital]]/10</f>
        <v>1186</v>
      </c>
      <c r="O910" s="71">
        <f>SUMIFS(SIP[[#Headers],[Unit]]:SIP[[#This Row],[Unit]],SIP[[#Headers],[Investor ID]]:SIP[[#This Row],[Investor ID]],SIP[[#This Row],[Investor ID]])</f>
        <v>41445</v>
      </c>
      <c r="P910" s="153">
        <v>11860</v>
      </c>
      <c r="Q910" s="74">
        <f>SIP[[#This Row],[Amount]]-SIP[[#This Row],[Unit Capital]]</f>
        <v>2140</v>
      </c>
      <c r="R9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11.099046929665823</v>
      </c>
      <c r="S910" s="68">
        <f t="shared" si="42"/>
        <v>14.224</v>
      </c>
      <c r="T9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0" s="74" cm="1">
        <f t="array" ref="U910">IF(SIP[[#This Row],[B/S]]="S",ABS(SIP[[#This Row],[Unit]])*(INDEX(SIP[NAV at Cost (Average)],MATCH(CONCATENATE((SIP[[#This Row],[Frequency]]-1),SIP[[#This Row],[Investor ID]]),SIP[Unique Code],0),0)),0)</f>
        <v>0</v>
      </c>
      <c r="V910" s="74">
        <f>IF(SIP[[#This Row],[BO TRANSFER]]="YES",SIP[[#This Row],[Unit]],)</f>
        <v>0</v>
      </c>
      <c r="W910" s="74">
        <f>SUMIFS(SIP[[#Headers],[BO UNIT TRANSFER]]:SIP[[#This Row],[BO UNIT TRANSFER]],SIP[[#Headers],[Investor ID]]:SIP[[#This Row],[Investor ID]],SIP[[#This Row],[Investor ID]])</f>
        <v>0</v>
      </c>
    </row>
    <row r="911" spans="1:23" ht="15" customHeight="1">
      <c r="A911" s="46">
        <v>2024</v>
      </c>
      <c r="B911" s="46">
        <v>12</v>
      </c>
      <c r="C911" s="46">
        <v>26</v>
      </c>
      <c r="D911" s="65">
        <f>DATE(SIP[[#This Row],[Year]],SIP[[#This Row],[Month]],SIP[[#This Row],[Day]])</f>
        <v>45652</v>
      </c>
      <c r="E911" s="66" t="str" cm="1">
        <f t="array" ref="E911">INDEX(INVESTORS_LIST[INVESTOR NAME],MATCH(SIP[[#This Row],[Investor ID]],INVESTORS_LIST[INVESTOR CODE],0),)</f>
        <v>MUHAMMAD SHOHIDUZZAMAN</v>
      </c>
      <c r="F911" s="46" t="s">
        <v>986</v>
      </c>
      <c r="G911" s="46">
        <f>COUNTIF(SIP[[#Headers],[Investor ID]]:SIP[[#This Row],[Investor ID]],SIP[[#This Row],[Investor ID]])</f>
        <v>14</v>
      </c>
      <c r="H911" s="46" t="str">
        <f>CONCATENATE(SIP[[#This Row],[Frequency]],SIP[[#This Row],[Investor ID]])</f>
        <v>14A00470</v>
      </c>
      <c r="I911" s="46" t="str">
        <f>IF(SIP[[#This Row],[B/S]]="B","BUY",(IF(SIP[[#This Row],[B/S]]="S","SELL"," ")))</f>
        <v>BUY</v>
      </c>
      <c r="J911" s="150" t="s">
        <v>1229</v>
      </c>
      <c r="K911" s="152">
        <v>10000</v>
      </c>
      <c r="L911" s="122" t="s">
        <v>1230</v>
      </c>
      <c r="M911" s="123">
        <f>SIP[[#This Row],[Amount]]/SIP[[#This Row],[Unit]]</f>
        <v>11.806375442739078</v>
      </c>
      <c r="N911" s="71">
        <f>SIP[[#This Row],[Unit Capital]]/10</f>
        <v>847</v>
      </c>
      <c r="O911" s="71">
        <f>SUMIFS(SIP[[#Headers],[Unit]]:SIP[[#This Row],[Unit]],SIP[[#Headers],[Investor ID]]:SIP[[#This Row],[Investor ID]],SIP[[#This Row],[Investor ID]])</f>
        <v>12573</v>
      </c>
      <c r="P911" s="153">
        <v>8470</v>
      </c>
      <c r="Q911" s="74">
        <f>SIP[[#This Row],[Amount]]-SIP[[#This Row],[Unit Capital]]</f>
        <v>1530</v>
      </c>
      <c r="R9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11.134971764893022</v>
      </c>
      <c r="S911" s="68">
        <f t="shared" si="42"/>
        <v>14.224</v>
      </c>
      <c r="T9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1" s="74" cm="1">
        <f t="array" ref="U911">IF(SIP[[#This Row],[B/S]]="S",ABS(SIP[[#This Row],[Unit]])*(INDEX(SIP[NAV at Cost (Average)],MATCH(CONCATENATE((SIP[[#This Row],[Frequency]]-1),SIP[[#This Row],[Investor ID]]),SIP[Unique Code],0),0)),0)</f>
        <v>0</v>
      </c>
      <c r="V911" s="74">
        <f>IF(SIP[[#This Row],[BO TRANSFER]]="YES",SIP[[#This Row],[Unit]],)</f>
        <v>847</v>
      </c>
      <c r="W911" s="74">
        <f>SUMIFS(SIP[[#Headers],[BO UNIT TRANSFER]]:SIP[[#This Row],[BO UNIT TRANSFER]],SIP[[#Headers],[Investor ID]]:SIP[[#This Row],[Investor ID]],SIP[[#This Row],[Investor ID]])</f>
        <v>12573</v>
      </c>
    </row>
    <row r="912" spans="1:23" ht="15" customHeight="1">
      <c r="A912" s="46">
        <v>2024</v>
      </c>
      <c r="B912" s="46">
        <v>12</v>
      </c>
      <c r="C912" s="46">
        <v>26</v>
      </c>
      <c r="D912" s="65">
        <f>DATE(SIP[[#This Row],[Year]],SIP[[#This Row],[Month]],SIP[[#This Row],[Day]])</f>
        <v>45652</v>
      </c>
      <c r="E912" s="66" t="str" cm="1">
        <f t="array" ref="E912">INDEX(INVESTORS_LIST[INVESTOR NAME],MATCH(SIP[[#This Row],[Investor ID]],INVESTORS_LIST[INVESTOR CODE],0),)</f>
        <v>MOHAMMAD SAMIUL ALAM</v>
      </c>
      <c r="F912" s="46" t="s">
        <v>537</v>
      </c>
      <c r="G912" s="46">
        <f>COUNTIF(SIP[[#Headers],[Investor ID]]:SIP[[#This Row],[Investor ID]],SIP[[#This Row],[Investor ID]])</f>
        <v>17</v>
      </c>
      <c r="H912" s="46" t="str">
        <f>CONCATENATE(SIP[[#This Row],[Frequency]],SIP[[#This Row],[Investor ID]])</f>
        <v>17A00244</v>
      </c>
      <c r="I912" s="46" t="str">
        <f>IF(SIP[[#This Row],[B/S]]="B","BUY",(IF(SIP[[#This Row],[B/S]]="S","SELL"," ")))</f>
        <v>BUY</v>
      </c>
      <c r="J912" s="150" t="s">
        <v>1229</v>
      </c>
      <c r="K912" s="152">
        <v>20000</v>
      </c>
      <c r="L912" s="69"/>
      <c r="M912" s="123">
        <f>SIP[[#This Row],[Amount]]/SIP[[#This Row],[Unit]]</f>
        <v>11.806375442739078</v>
      </c>
      <c r="N912" s="71">
        <f>SIP[[#This Row],[Unit Capital]]/10</f>
        <v>1694</v>
      </c>
      <c r="O912" s="71">
        <f>SUMIFS(SIP[[#Headers],[Unit]]:SIP[[#This Row],[Unit]],SIP[[#Headers],[Investor ID]]:SIP[[#This Row],[Investor ID]],SIP[[#This Row],[Investor ID]])</f>
        <v>30869</v>
      </c>
      <c r="P912" s="153">
        <v>16940</v>
      </c>
      <c r="Q912" s="74">
        <f>SIP[[#This Row],[Amount]]-SIP[[#This Row],[Unit Capital]]</f>
        <v>3060</v>
      </c>
      <c r="R9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11.014286177070852</v>
      </c>
      <c r="S912" s="68">
        <f t="shared" si="42"/>
        <v>14.224</v>
      </c>
      <c r="T9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2" s="74" cm="1">
        <f t="array" ref="U912">IF(SIP[[#This Row],[B/S]]="S",ABS(SIP[[#This Row],[Unit]])*(INDEX(SIP[NAV at Cost (Average)],MATCH(CONCATENATE((SIP[[#This Row],[Frequency]]-1),SIP[[#This Row],[Investor ID]]),SIP[Unique Code],0),0)),0)</f>
        <v>0</v>
      </c>
      <c r="V912" s="74">
        <f>IF(SIP[[#This Row],[BO TRANSFER]]="YES",SIP[[#This Row],[Unit]],)</f>
        <v>0</v>
      </c>
      <c r="W912" s="74">
        <f>SUMIFS(SIP[[#Headers],[BO UNIT TRANSFER]]:SIP[[#This Row],[BO UNIT TRANSFER]],SIP[[#Headers],[Investor ID]]:SIP[[#This Row],[Investor ID]],SIP[[#This Row],[Investor ID]])</f>
        <v>0</v>
      </c>
    </row>
    <row r="913" spans="1:23" ht="15" customHeight="1">
      <c r="A913" s="46">
        <v>2024</v>
      </c>
      <c r="B913" s="46">
        <v>12</v>
      </c>
      <c r="C913" s="46">
        <v>26</v>
      </c>
      <c r="D913" s="65">
        <f>DATE(SIP[[#This Row],[Year]],SIP[[#This Row],[Month]],SIP[[#This Row],[Day]])</f>
        <v>45652</v>
      </c>
      <c r="E913" s="66" t="str" cm="1">
        <f t="array" ref="E913">INDEX(INVESTORS_LIST[INVESTOR NAME],MATCH(SIP[[#This Row],[Investor ID]],INVESTORS_LIST[INVESTOR CODE],0),)</f>
        <v>MRINMOY GHOSH</v>
      </c>
      <c r="F913" s="46" t="s">
        <v>69</v>
      </c>
      <c r="G913" s="46">
        <f>COUNTIF(SIP[[#Headers],[Investor ID]]:SIP[[#This Row],[Investor ID]],SIP[[#This Row],[Investor ID]])</f>
        <v>16</v>
      </c>
      <c r="H913" s="46" t="str">
        <f>CONCATENATE(SIP[[#This Row],[Frequency]],SIP[[#This Row],[Investor ID]])</f>
        <v>16A00012</v>
      </c>
      <c r="I913" s="46" t="str">
        <f>IF(SIP[[#This Row],[B/S]]="B","BUY",(IF(SIP[[#This Row],[B/S]]="S","SELL"," ")))</f>
        <v>BUY</v>
      </c>
      <c r="J913" s="150" t="s">
        <v>1229</v>
      </c>
      <c r="K913" s="152">
        <v>10000</v>
      </c>
      <c r="L913" s="122"/>
      <c r="M913" s="123">
        <f>SIP[[#This Row],[Amount]]/SIP[[#This Row],[Unit]]</f>
        <v>11.806375442739078</v>
      </c>
      <c r="N913" s="71">
        <f>SIP[[#This Row],[Unit Capital]]/10</f>
        <v>847</v>
      </c>
      <c r="O913" s="71">
        <f>SUMIFS(SIP[[#Headers],[Unit]]:SIP[[#This Row],[Unit]],SIP[[#Headers],[Investor ID]]:SIP[[#This Row],[Investor ID]],SIP[[#This Row],[Investor ID]])</f>
        <v>3461</v>
      </c>
      <c r="P913" s="153">
        <v>8470</v>
      </c>
      <c r="Q913" s="74">
        <f>SIP[[#This Row],[Amount]]-SIP[[#This Row],[Unit Capital]]</f>
        <v>1530</v>
      </c>
      <c r="R9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11.55735336607917</v>
      </c>
      <c r="S913" s="68">
        <f t="shared" si="42"/>
        <v>14.224</v>
      </c>
      <c r="T9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3" s="74" cm="1">
        <f t="array" ref="U913">IF(SIP[[#This Row],[B/S]]="S",ABS(SIP[[#This Row],[Unit]])*(INDEX(SIP[NAV at Cost (Average)],MATCH(CONCATENATE((SIP[[#This Row],[Frequency]]-1),SIP[[#This Row],[Investor ID]]),SIP[Unique Code],0),0)),0)</f>
        <v>0</v>
      </c>
      <c r="V913" s="74">
        <f>IF(SIP[[#This Row],[BO TRANSFER]]="YES",SIP[[#This Row],[Unit]],)</f>
        <v>0</v>
      </c>
      <c r="W913" s="74">
        <f>SUMIFS(SIP[[#Headers],[BO UNIT TRANSFER]]:SIP[[#This Row],[BO UNIT TRANSFER]],SIP[[#Headers],[Investor ID]]:SIP[[#This Row],[Investor ID]],SIP[[#This Row],[Investor ID]])</f>
        <v>0</v>
      </c>
    </row>
    <row r="914" spans="1:23" ht="15" customHeight="1">
      <c r="A914" s="46">
        <v>2024</v>
      </c>
      <c r="B914" s="46">
        <v>12</v>
      </c>
      <c r="C914" s="46">
        <v>26</v>
      </c>
      <c r="D914" s="65">
        <f>DATE(SIP[[#This Row],[Year]],SIP[[#This Row],[Month]],SIP[[#This Row],[Day]])</f>
        <v>45652</v>
      </c>
      <c r="E914" s="66" t="str" cm="1">
        <f t="array" ref="E914">INDEX(INVESTORS_LIST[INVESTOR NAME],MATCH(SIP[[#This Row],[Investor ID]],INVESTORS_LIST[INVESTOR CODE],0),)</f>
        <v>ADNAN RASHID</v>
      </c>
      <c r="F914" s="46" t="s">
        <v>252</v>
      </c>
      <c r="G914" s="46">
        <f>COUNTIF(SIP[[#Headers],[Investor ID]]:SIP[[#This Row],[Investor ID]],SIP[[#This Row],[Investor ID]])</f>
        <v>17</v>
      </c>
      <c r="H914" s="46" t="str">
        <f>CONCATENATE(SIP[[#This Row],[Frequency]],SIP[[#This Row],[Investor ID]])</f>
        <v>17A00102</v>
      </c>
      <c r="I914" s="46" t="str">
        <f>IF(SIP[[#This Row],[B/S]]="B","BUY",(IF(SIP[[#This Row],[B/S]]="S","SELL"," ")))</f>
        <v>BUY</v>
      </c>
      <c r="J914" s="150" t="s">
        <v>1229</v>
      </c>
      <c r="K914" s="152">
        <v>30000</v>
      </c>
      <c r="L914" s="122"/>
      <c r="M914" s="123">
        <f>SIP[[#This Row],[Amount]]/SIP[[#This Row],[Unit]]</f>
        <v>11.801730920535011</v>
      </c>
      <c r="N914" s="71">
        <f>SIP[[#This Row],[Unit Capital]]/10</f>
        <v>2542</v>
      </c>
      <c r="O914" s="71">
        <f>SUMIFS(SIP[[#Headers],[Unit]]:SIP[[#This Row],[Unit]],SIP[[#Headers],[Investor ID]]:SIP[[#This Row],[Investor ID]],SIP[[#This Row],[Investor ID]])</f>
        <v>25229</v>
      </c>
      <c r="P914" s="153">
        <v>25420</v>
      </c>
      <c r="Q914" s="74">
        <f>SIP[[#This Row],[Amount]]-SIP[[#This Row],[Unit Capital]]</f>
        <v>4580</v>
      </c>
      <c r="R9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11.299522484287179</v>
      </c>
      <c r="S914" s="68">
        <f t="shared" si="42"/>
        <v>14.224</v>
      </c>
      <c r="T9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4" s="74" cm="1">
        <f t="array" ref="U914">IF(SIP[[#This Row],[B/S]]="S",ABS(SIP[[#This Row],[Unit]])*(INDEX(SIP[NAV at Cost (Average)],MATCH(CONCATENATE((SIP[[#This Row],[Frequency]]-1),SIP[[#This Row],[Investor ID]]),SIP[Unique Code],0),0)),0)</f>
        <v>0</v>
      </c>
      <c r="V914" s="74">
        <f>IF(SIP[[#This Row],[BO TRANSFER]]="YES",SIP[[#This Row],[Unit]],)</f>
        <v>0</v>
      </c>
      <c r="W914" s="74">
        <f>SUMIFS(SIP[[#Headers],[BO UNIT TRANSFER]]:SIP[[#This Row],[BO UNIT TRANSFER]],SIP[[#Headers],[Investor ID]]:SIP[[#This Row],[Investor ID]],SIP[[#This Row],[Investor ID]])</f>
        <v>0</v>
      </c>
    </row>
    <row r="915" spans="1:23" ht="15" customHeight="1">
      <c r="A915" s="46">
        <v>2024</v>
      </c>
      <c r="B915" s="46">
        <v>12</v>
      </c>
      <c r="C915" s="46">
        <v>26</v>
      </c>
      <c r="D915" s="65">
        <f>DATE(SIP[[#This Row],[Year]],SIP[[#This Row],[Month]],SIP[[#This Row],[Day]])</f>
        <v>45652</v>
      </c>
      <c r="E915" s="66" t="str" cm="1">
        <f t="array" ref="E915">INDEX(INVESTORS_LIST[INVESTOR NAME],MATCH(SIP[[#This Row],[Investor ID]],INVESTORS_LIST[INVESTOR CODE],0),)</f>
        <v>MD ABDULLAH-AL- MAMUN</v>
      </c>
      <c r="F915" s="46" t="s">
        <v>533</v>
      </c>
      <c r="G915" s="46">
        <f>COUNTIF(SIP[[#Headers],[Investor ID]]:SIP[[#This Row],[Investor ID]],SIP[[#This Row],[Investor ID]])</f>
        <v>15</v>
      </c>
      <c r="H915" s="46" t="str">
        <f>CONCATENATE(SIP[[#This Row],[Frequency]],SIP[[#This Row],[Investor ID]])</f>
        <v>15A00242</v>
      </c>
      <c r="I915" s="46" t="str">
        <f>IF(SIP[[#This Row],[B/S]]="B","BUY",(IF(SIP[[#This Row],[B/S]]="S","SELL"," ")))</f>
        <v>BUY</v>
      </c>
      <c r="J915" s="150" t="s">
        <v>1229</v>
      </c>
      <c r="K915" s="152">
        <v>15000</v>
      </c>
      <c r="L915" s="122"/>
      <c r="M915" s="123">
        <f>SIP[[#This Row],[Amount]]/SIP[[#This Row],[Unit]]</f>
        <v>11.801730920535011</v>
      </c>
      <c r="N915" s="71">
        <f>SIP[[#This Row],[Unit Capital]]/10</f>
        <v>1271</v>
      </c>
      <c r="O915" s="71">
        <f>SUMIFS(SIP[[#Headers],[Unit]]:SIP[[#This Row],[Unit]],SIP[[#Headers],[Investor ID]]:SIP[[#This Row],[Investor ID]],SIP[[#This Row],[Investor ID]])</f>
        <v>20281</v>
      </c>
      <c r="P915" s="153">
        <v>12710</v>
      </c>
      <c r="Q915" s="74">
        <f>SIP[[#This Row],[Amount]]-SIP[[#This Row],[Unit Capital]]</f>
        <v>2290</v>
      </c>
      <c r="R9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11.094127508505501</v>
      </c>
      <c r="S915" s="68">
        <f t="shared" si="42"/>
        <v>14.224</v>
      </c>
      <c r="T9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5" s="74" cm="1">
        <f t="array" ref="U915">IF(SIP[[#This Row],[B/S]]="S",ABS(SIP[[#This Row],[Unit]])*(INDEX(SIP[NAV at Cost (Average)],MATCH(CONCATENATE((SIP[[#This Row],[Frequency]]-1),SIP[[#This Row],[Investor ID]]),SIP[Unique Code],0),0)),0)</f>
        <v>0</v>
      </c>
      <c r="V915" s="74">
        <f>IF(SIP[[#This Row],[BO TRANSFER]]="YES",SIP[[#This Row],[Unit]],)</f>
        <v>0</v>
      </c>
      <c r="W915" s="74">
        <f>SUMIFS(SIP[[#Headers],[BO UNIT TRANSFER]]:SIP[[#This Row],[BO UNIT TRANSFER]],SIP[[#Headers],[Investor ID]]:SIP[[#This Row],[Investor ID]],SIP[[#This Row],[Investor ID]])</f>
        <v>0</v>
      </c>
    </row>
    <row r="916" spans="1:23" ht="15" customHeight="1">
      <c r="A916" s="46">
        <v>2024</v>
      </c>
      <c r="B916" s="46">
        <v>12</v>
      </c>
      <c r="C916" s="46">
        <v>26</v>
      </c>
      <c r="D916" s="65">
        <f>DATE(SIP[[#This Row],[Year]],SIP[[#This Row],[Month]],SIP[[#This Row],[Day]])</f>
        <v>45652</v>
      </c>
      <c r="E916" s="66" t="str" cm="1">
        <f t="array" ref="E916">INDEX(INVESTORS_LIST[INVESTOR NAME],MATCH(SIP[[#This Row],[Investor ID]],INVESTORS_LIST[INVESTOR CODE],0),)</f>
        <v>MOHAMMAD HASAN IMAM</v>
      </c>
      <c r="F916" s="46" t="s">
        <v>1122</v>
      </c>
      <c r="G916" s="46">
        <f>COUNTIF(SIP[[#Headers],[Investor ID]]:SIP[[#This Row],[Investor ID]],SIP[[#This Row],[Investor ID]])</f>
        <v>9</v>
      </c>
      <c r="H916" s="46" t="str">
        <f>CONCATENATE(SIP[[#This Row],[Frequency]],SIP[[#This Row],[Investor ID]])</f>
        <v>9A00536</v>
      </c>
      <c r="I916" s="46" t="str">
        <f>IF(SIP[[#This Row],[B/S]]="B","BUY",(IF(SIP[[#This Row],[B/S]]="S","SELL"," ")))</f>
        <v>BUY</v>
      </c>
      <c r="J916" s="150" t="s">
        <v>1229</v>
      </c>
      <c r="K916" s="152">
        <v>5000</v>
      </c>
      <c r="L916" s="122"/>
      <c r="M916" s="123">
        <f>SIP[[#This Row],[Amount]]/SIP[[#This Row],[Unit]]</f>
        <v>11.79245283018868</v>
      </c>
      <c r="N916" s="71">
        <f>SIP[[#This Row],[Unit Capital]]/10</f>
        <v>424</v>
      </c>
      <c r="O916" s="71">
        <f>SUMIFS(SIP[[#Headers],[Unit]]:SIP[[#This Row],[Unit]],SIP[[#Headers],[Investor ID]]:SIP[[#This Row],[Investor ID]],SIP[[#This Row],[Investor ID]])</f>
        <v>3958</v>
      </c>
      <c r="P916" s="153">
        <v>4240</v>
      </c>
      <c r="Q916" s="74">
        <f>SIP[[#This Row],[Amount]]-SIP[[#This Row],[Unit Capital]]</f>
        <v>760</v>
      </c>
      <c r="R9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11.369378473976756</v>
      </c>
      <c r="S916" s="68">
        <f t="shared" si="42"/>
        <v>14.224</v>
      </c>
      <c r="T9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6" s="74" cm="1">
        <f t="array" ref="U916">IF(SIP[[#This Row],[B/S]]="S",ABS(SIP[[#This Row],[Unit]])*(INDEX(SIP[NAV at Cost (Average)],MATCH(CONCATENATE((SIP[[#This Row],[Frequency]]-1),SIP[[#This Row],[Investor ID]]),SIP[Unique Code],0),0)),0)</f>
        <v>0</v>
      </c>
      <c r="V916" s="74">
        <f>IF(SIP[[#This Row],[BO TRANSFER]]="YES",SIP[[#This Row],[Unit]],)</f>
        <v>0</v>
      </c>
      <c r="W916" s="74">
        <f>SUMIFS(SIP[[#Headers],[BO UNIT TRANSFER]]:SIP[[#This Row],[BO UNIT TRANSFER]],SIP[[#Headers],[Investor ID]]:SIP[[#This Row],[Investor ID]],SIP[[#This Row],[Investor ID]])</f>
        <v>0</v>
      </c>
    </row>
    <row r="917" spans="1:23" ht="15" customHeight="1">
      <c r="A917" s="46">
        <v>2024</v>
      </c>
      <c r="B917" s="46">
        <v>12</v>
      </c>
      <c r="C917" s="46">
        <v>26</v>
      </c>
      <c r="D917" s="65">
        <f>DATE(SIP[[#This Row],[Year]],SIP[[#This Row],[Month]],SIP[[#This Row],[Day]])</f>
        <v>45652</v>
      </c>
      <c r="E917" s="66" t="str" cm="1">
        <f t="array" ref="E917">INDEX(INVESTORS_LIST[INVESTOR NAME],MATCH(SIP[[#This Row],[Investor ID]],INVESTORS_LIST[INVESTOR CODE],0),)</f>
        <v>MAYA RANI SAHA</v>
      </c>
      <c r="F917" s="46" t="s">
        <v>224</v>
      </c>
      <c r="G917" s="46">
        <f>COUNTIF(SIP[[#Headers],[Investor ID]]:SIP[[#This Row],[Investor ID]],SIP[[#This Row],[Investor ID]])</f>
        <v>30</v>
      </c>
      <c r="H917" s="46" t="str">
        <f>CONCATENATE(SIP[[#This Row],[Frequency]],SIP[[#This Row],[Investor ID]])</f>
        <v>30A00088</v>
      </c>
      <c r="I917" s="46" t="str">
        <f>IF(SIP[[#This Row],[B/S]]="B","BUY",(IF(SIP[[#This Row],[B/S]]="S","SELL"," ")))</f>
        <v>BUY</v>
      </c>
      <c r="J917" s="150" t="s">
        <v>1229</v>
      </c>
      <c r="K917" s="152">
        <v>20000</v>
      </c>
      <c r="L917" s="122"/>
      <c r="M917" s="123">
        <f>SIP[[#This Row],[Amount]]/SIP[[#This Row],[Unit]]</f>
        <v>11.806375442739078</v>
      </c>
      <c r="N917" s="71">
        <f>SIP[[#This Row],[Unit Capital]]/10</f>
        <v>1694</v>
      </c>
      <c r="O917" s="71">
        <f>SUMIFS(SIP[[#Headers],[Unit]]:SIP[[#This Row],[Unit]],SIP[[#Headers],[Investor ID]]:SIP[[#This Row],[Investor ID]],SIP[[#This Row],[Investor ID]])</f>
        <v>43139</v>
      </c>
      <c r="P917" s="153">
        <v>16940</v>
      </c>
      <c r="Q917" s="74">
        <f>SIP[[#This Row],[Amount]]-SIP[[#This Row],[Unit Capital]]</f>
        <v>3060</v>
      </c>
      <c r="R9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11.126822596722224</v>
      </c>
      <c r="S917" s="68">
        <f t="shared" si="42"/>
        <v>14.224</v>
      </c>
      <c r="T9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7" s="74" cm="1">
        <f t="array" ref="U917">IF(SIP[[#This Row],[B/S]]="S",ABS(SIP[[#This Row],[Unit]])*(INDEX(SIP[NAV at Cost (Average)],MATCH(CONCATENATE((SIP[[#This Row],[Frequency]]-1),SIP[[#This Row],[Investor ID]]),SIP[Unique Code],0),0)),0)</f>
        <v>0</v>
      </c>
      <c r="V917" s="74">
        <f>IF(SIP[[#This Row],[BO TRANSFER]]="YES",SIP[[#This Row],[Unit]],)</f>
        <v>0</v>
      </c>
      <c r="W917" s="74">
        <f>SUMIFS(SIP[[#Headers],[BO UNIT TRANSFER]]:SIP[[#This Row],[BO UNIT TRANSFER]],SIP[[#Headers],[Investor ID]]:SIP[[#This Row],[Investor ID]],SIP[[#This Row],[Investor ID]])</f>
        <v>0</v>
      </c>
    </row>
    <row r="918" spans="1:23" ht="15" customHeight="1">
      <c r="A918" s="46">
        <v>2024</v>
      </c>
      <c r="B918" s="46">
        <v>12</v>
      </c>
      <c r="C918" s="46">
        <v>26</v>
      </c>
      <c r="D918" s="65">
        <f>DATE(SIP[[#This Row],[Year]],SIP[[#This Row],[Month]],SIP[[#This Row],[Day]])</f>
        <v>45652</v>
      </c>
      <c r="E918" s="66" t="str" cm="1">
        <f t="array" ref="E918">INDEX(INVESTORS_LIST[INVESTOR NAME],MATCH(SIP[[#This Row],[Investor ID]],INVESTORS_LIST[INVESTOR CODE],0),)</f>
        <v>SHAPNA RANI BARMAN</v>
      </c>
      <c r="F918" s="46" t="s">
        <v>1292</v>
      </c>
      <c r="G918" s="46">
        <f>COUNTIF(SIP[[#Headers],[Investor ID]]:SIP[[#This Row],[Investor ID]],SIP[[#This Row],[Investor ID]])</f>
        <v>2</v>
      </c>
      <c r="H918" s="46" t="str">
        <f>CONCATENATE(SIP[[#This Row],[Frequency]],SIP[[#This Row],[Investor ID]])</f>
        <v>2A00593</v>
      </c>
      <c r="I918" s="46" t="str">
        <f>IF(SIP[[#This Row],[B/S]]="B","BUY",(IF(SIP[[#This Row],[B/S]]="S","SELL"," ")))</f>
        <v>BUY</v>
      </c>
      <c r="J918" s="150" t="s">
        <v>1229</v>
      </c>
      <c r="K918" s="152">
        <v>1000</v>
      </c>
      <c r="L918" s="122"/>
      <c r="M918" s="123">
        <f>SIP[[#This Row],[Amount]]/SIP[[#This Row],[Unit]]</f>
        <v>11.764705882352942</v>
      </c>
      <c r="N918" s="71">
        <f>SIP[[#This Row],[Unit Capital]]/10</f>
        <v>85</v>
      </c>
      <c r="O918" s="71">
        <f>SUMIFS(SIP[[#Headers],[Unit]]:SIP[[#This Row],[Unit]],SIP[[#Headers],[Investor ID]]:SIP[[#This Row],[Investor ID]],SIP[[#This Row],[Investor ID]])</f>
        <v>171</v>
      </c>
      <c r="P918" s="153">
        <v>850</v>
      </c>
      <c r="Q918" s="74">
        <f>SIP[[#This Row],[Amount]]-SIP[[#This Row],[Unit Capital]]</f>
        <v>150</v>
      </c>
      <c r="R9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11.695906432748536</v>
      </c>
      <c r="S918" s="68">
        <f t="shared" si="42"/>
        <v>14.224</v>
      </c>
      <c r="T9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8" s="74" cm="1">
        <f t="array" ref="U918">IF(SIP[[#This Row],[B/S]]="S",ABS(SIP[[#This Row],[Unit]])*(INDEX(SIP[NAV at Cost (Average)],MATCH(CONCATENATE((SIP[[#This Row],[Frequency]]-1),SIP[[#This Row],[Investor ID]]),SIP[Unique Code],0),0)),0)</f>
        <v>0</v>
      </c>
      <c r="V918" s="74">
        <f>IF(SIP[[#This Row],[BO TRANSFER]]="YES",SIP[[#This Row],[Unit]],)</f>
        <v>0</v>
      </c>
      <c r="W918" s="74">
        <f>SUMIFS(SIP[[#Headers],[BO UNIT TRANSFER]]:SIP[[#This Row],[BO UNIT TRANSFER]],SIP[[#Headers],[Investor ID]]:SIP[[#This Row],[Investor ID]],SIP[[#This Row],[Investor ID]])</f>
        <v>0</v>
      </c>
    </row>
    <row r="919" spans="1:23" ht="15" customHeight="1">
      <c r="A919" s="46">
        <v>2024</v>
      </c>
      <c r="B919" s="46">
        <v>12</v>
      </c>
      <c r="C919" s="46">
        <v>26</v>
      </c>
      <c r="D919" s="65">
        <f>DATE(SIP[[#This Row],[Year]],SIP[[#This Row],[Month]],SIP[[#This Row],[Day]])</f>
        <v>45652</v>
      </c>
      <c r="E919" s="66" t="str" cm="1">
        <f t="array" ref="E919">INDEX(INVESTORS_LIST[INVESTOR NAME],MATCH(SIP[[#This Row],[Investor ID]],INVESTORS_LIST[INVESTOR CODE],0),)</f>
        <v>SADIA PARVIN</v>
      </c>
      <c r="F919" s="46" t="s">
        <v>1018</v>
      </c>
      <c r="G919" s="46">
        <f>COUNTIF(SIP[[#Headers],[Investor ID]]:SIP[[#This Row],[Investor ID]],SIP[[#This Row],[Investor ID]])</f>
        <v>27</v>
      </c>
      <c r="H919" s="46" t="str">
        <f>CONCATENATE(SIP[[#This Row],[Frequency]],SIP[[#This Row],[Investor ID]])</f>
        <v>27A00486</v>
      </c>
      <c r="I919" s="46" t="str">
        <f>IF(SIP[[#This Row],[B/S]]="B","BUY",(IF(SIP[[#This Row],[B/S]]="S","SELL"," ")))</f>
        <v>BUY</v>
      </c>
      <c r="J919" s="150" t="s">
        <v>1229</v>
      </c>
      <c r="K919" s="152">
        <v>5000</v>
      </c>
      <c r="L919" s="122"/>
      <c r="M919" s="123">
        <f>SIP[[#This Row],[Amount]]/SIP[[#This Row],[Unit]]</f>
        <v>11.79245283018868</v>
      </c>
      <c r="N919" s="71">
        <f>SIP[[#This Row],[Unit Capital]]/10</f>
        <v>424</v>
      </c>
      <c r="O919" s="71">
        <f>SUMIFS(SIP[[#Headers],[Unit]]:SIP[[#This Row],[Unit]],SIP[[#Headers],[Investor ID]]:SIP[[#This Row],[Investor ID]],SIP[[#This Row],[Investor ID]])</f>
        <v>12226</v>
      </c>
      <c r="P919" s="153">
        <v>4240</v>
      </c>
      <c r="Q919" s="74">
        <f>SIP[[#This Row],[Amount]]-SIP[[#This Row],[Unit Capital]]</f>
        <v>760</v>
      </c>
      <c r="R9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11.042041550793391</v>
      </c>
      <c r="S919" s="68">
        <f t="shared" si="42"/>
        <v>14.224</v>
      </c>
      <c r="T9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9" s="74" cm="1">
        <f t="array" ref="U919">IF(SIP[[#This Row],[B/S]]="S",ABS(SIP[[#This Row],[Unit]])*(INDEX(SIP[NAV at Cost (Average)],MATCH(CONCATENATE((SIP[[#This Row],[Frequency]]-1),SIP[[#This Row],[Investor ID]]),SIP[Unique Code],0),0)),0)</f>
        <v>0</v>
      </c>
      <c r="V919" s="74">
        <f>IF(SIP[[#This Row],[BO TRANSFER]]="YES",SIP[[#This Row],[Unit]],)</f>
        <v>0</v>
      </c>
      <c r="W919" s="74">
        <f>SUMIFS(SIP[[#Headers],[BO UNIT TRANSFER]]:SIP[[#This Row],[BO UNIT TRANSFER]],SIP[[#Headers],[Investor ID]]:SIP[[#This Row],[Investor ID]],SIP[[#This Row],[Investor ID]])</f>
        <v>0</v>
      </c>
    </row>
    <row r="920" spans="1:23" ht="15" customHeight="1">
      <c r="A920" s="46">
        <v>2024</v>
      </c>
      <c r="B920" s="46">
        <v>12</v>
      </c>
      <c r="C920" s="46">
        <v>26</v>
      </c>
      <c r="D920" s="65">
        <f>DATE(SIP[[#This Row],[Year]],SIP[[#This Row],[Month]],SIP[[#This Row],[Day]])</f>
        <v>45652</v>
      </c>
      <c r="E920" s="66" t="str" cm="1">
        <f t="array" ref="E920">INDEX(INVESTORS_LIST[INVESTOR NAME],MATCH(SIP[[#This Row],[Investor ID]],INVESTORS_LIST[INVESTOR CODE],0),)</f>
        <v>MAYA RANI SAHA</v>
      </c>
      <c r="F920" s="46" t="s">
        <v>224</v>
      </c>
      <c r="G920" s="46">
        <f>COUNTIF(SIP[[#Headers],[Investor ID]]:SIP[[#This Row],[Investor ID]],SIP[[#This Row],[Investor ID]])</f>
        <v>31</v>
      </c>
      <c r="H920" s="46" t="str">
        <f>CONCATENATE(SIP[[#This Row],[Frequency]],SIP[[#This Row],[Investor ID]])</f>
        <v>31A00088</v>
      </c>
      <c r="I920" s="46" t="str">
        <f>IF(SIP[[#This Row],[B/S]]="B","BUY",(IF(SIP[[#This Row],[B/S]]="S","SELL"," ")))</f>
        <v>BUY</v>
      </c>
      <c r="J920" s="150" t="s">
        <v>1229</v>
      </c>
      <c r="K920" s="152">
        <v>6000</v>
      </c>
      <c r="L920" s="122"/>
      <c r="M920" s="123">
        <f>SIP[[#This Row],[Amount]]/SIP[[#This Row],[Unit]]</f>
        <v>11.811023622047244</v>
      </c>
      <c r="N920" s="71">
        <f>SIP[[#This Row],[Unit Capital]]/10</f>
        <v>508</v>
      </c>
      <c r="O920" s="71">
        <f>SUMIFS(SIP[[#Headers],[Unit]]:SIP[[#This Row],[Unit]],SIP[[#Headers],[Investor ID]]:SIP[[#This Row],[Investor ID]],SIP[[#This Row],[Investor ID]])</f>
        <v>43647</v>
      </c>
      <c r="P920" s="153">
        <v>5080</v>
      </c>
      <c r="Q920" s="74">
        <f>SIP[[#This Row],[Amount]]-SIP[[#This Row],[Unit Capital]]</f>
        <v>920</v>
      </c>
      <c r="R9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11.134785895937865</v>
      </c>
      <c r="S920" s="68">
        <f t="shared" si="42"/>
        <v>14.224</v>
      </c>
      <c r="T9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0" s="74" cm="1">
        <f t="array" ref="U920">IF(SIP[[#This Row],[B/S]]="S",ABS(SIP[[#This Row],[Unit]])*(INDEX(SIP[NAV at Cost (Average)],MATCH(CONCATENATE((SIP[[#This Row],[Frequency]]-1),SIP[[#This Row],[Investor ID]]),SIP[Unique Code],0),0)),0)</f>
        <v>0</v>
      </c>
      <c r="V920" s="74">
        <f>IF(SIP[[#This Row],[BO TRANSFER]]="YES",SIP[[#This Row],[Unit]],)</f>
        <v>0</v>
      </c>
      <c r="W920" s="74">
        <f>SUMIFS(SIP[[#Headers],[BO UNIT TRANSFER]]:SIP[[#This Row],[BO UNIT TRANSFER]],SIP[[#Headers],[Investor ID]]:SIP[[#This Row],[Investor ID]],SIP[[#This Row],[Investor ID]])</f>
        <v>0</v>
      </c>
    </row>
    <row r="921" spans="1:23" ht="15" customHeight="1">
      <c r="A921" s="46">
        <v>2024</v>
      </c>
      <c r="B921" s="46">
        <v>12</v>
      </c>
      <c r="C921" s="46">
        <v>26</v>
      </c>
      <c r="D921" s="65">
        <f>DATE(SIP[[#This Row],[Year]],SIP[[#This Row],[Month]],SIP[[#This Row],[Day]])</f>
        <v>45652</v>
      </c>
      <c r="E921" s="66" t="str" cm="1">
        <f t="array" ref="E921">INDEX(INVESTORS_LIST[INVESTOR NAME],MATCH(SIP[[#This Row],[Investor ID]],INVESTORS_LIST[INVESTOR CODE],0),)</f>
        <v>MAHBUB-UL-ANAM KHAN</v>
      </c>
      <c r="F921" s="46" t="s">
        <v>626</v>
      </c>
      <c r="G921" s="46">
        <f>COUNTIF(SIP[[#Headers],[Investor ID]]:SIP[[#This Row],[Investor ID]],SIP[[#This Row],[Investor ID]])</f>
        <v>5</v>
      </c>
      <c r="H921" s="46" t="str">
        <f>CONCATENATE(SIP[[#This Row],[Frequency]],SIP[[#This Row],[Investor ID]])</f>
        <v>5A00289</v>
      </c>
      <c r="I921" s="46" t="str">
        <f>IF(SIP[[#This Row],[B/S]]="B","BUY",(IF(SIP[[#This Row],[B/S]]="S","SELL"," ")))</f>
        <v>BUY</v>
      </c>
      <c r="J921" s="150" t="s">
        <v>1229</v>
      </c>
      <c r="K921" s="152">
        <v>5000</v>
      </c>
      <c r="L921" s="122"/>
      <c r="M921" s="123">
        <f>SIP[[#This Row],[Amount]]/SIP[[#This Row],[Unit]]</f>
        <v>11.79245283018868</v>
      </c>
      <c r="N921" s="71">
        <f>SIP[[#This Row],[Unit Capital]]/10</f>
        <v>424</v>
      </c>
      <c r="O921" s="71">
        <f>SUMIFS(SIP[[#Headers],[Unit]]:SIP[[#This Row],[Unit]],SIP[[#Headers],[Investor ID]]:SIP[[#This Row],[Investor ID]],SIP[[#This Row],[Investor ID]])</f>
        <v>2158</v>
      </c>
      <c r="P921" s="153">
        <v>4240</v>
      </c>
      <c r="Q921" s="74">
        <f>SIP[[#This Row],[Amount]]-SIP[[#This Row],[Unit Capital]]</f>
        <v>760</v>
      </c>
      <c r="R9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11.584800741427246</v>
      </c>
      <c r="S921" s="68">
        <f t="shared" si="42"/>
        <v>14.224</v>
      </c>
      <c r="T9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1" s="74" cm="1">
        <f t="array" ref="U921">IF(SIP[[#This Row],[B/S]]="S",ABS(SIP[[#This Row],[Unit]])*(INDEX(SIP[NAV at Cost (Average)],MATCH(CONCATENATE((SIP[[#This Row],[Frequency]]-1),SIP[[#This Row],[Investor ID]]),SIP[Unique Code],0),0)),0)</f>
        <v>0</v>
      </c>
      <c r="V921" s="74">
        <f>IF(SIP[[#This Row],[BO TRANSFER]]="YES",SIP[[#This Row],[Unit]],)</f>
        <v>0</v>
      </c>
      <c r="W921" s="74">
        <f>SUMIFS(SIP[[#Headers],[BO UNIT TRANSFER]]:SIP[[#This Row],[BO UNIT TRANSFER]],SIP[[#Headers],[Investor ID]]:SIP[[#This Row],[Investor ID]],SIP[[#This Row],[Investor ID]])</f>
        <v>0</v>
      </c>
    </row>
    <row r="922" spans="1:23" ht="15" customHeight="1">
      <c r="A922" s="46">
        <v>2024</v>
      </c>
      <c r="B922" s="46">
        <v>12</v>
      </c>
      <c r="C922" s="46">
        <v>26</v>
      </c>
      <c r="D922" s="65">
        <f>DATE(SIP[[#This Row],[Year]],SIP[[#This Row],[Month]],SIP[[#This Row],[Day]])</f>
        <v>45652</v>
      </c>
      <c r="E922" s="66" t="str" cm="1">
        <f t="array" ref="E922">INDEX(INVESTORS_LIST[INVESTOR NAME],MATCH(SIP[[#This Row],[Investor ID]],INVESTORS_LIST[INVESTOR CODE],0),)</f>
        <v>SYED ADNAN HUDA</v>
      </c>
      <c r="F922" s="46" t="s">
        <v>236</v>
      </c>
      <c r="G922" s="46">
        <f>COUNTIF(SIP[[#Headers],[Investor ID]]:SIP[[#This Row],[Investor ID]],SIP[[#This Row],[Investor ID]])</f>
        <v>6</v>
      </c>
      <c r="H922" s="46" t="str">
        <f>CONCATENATE(SIP[[#This Row],[Frequency]],SIP[[#This Row],[Investor ID]])</f>
        <v>6A00094</v>
      </c>
      <c r="I922" s="46" t="str">
        <f>IF(SIP[[#This Row],[B/S]]="B","BUY",(IF(SIP[[#This Row],[B/S]]="S","SELL"," ")))</f>
        <v>BUY</v>
      </c>
      <c r="J922" s="150" t="s">
        <v>1229</v>
      </c>
      <c r="K922" s="152">
        <v>50000</v>
      </c>
      <c r="L922" s="122"/>
      <c r="M922" s="123">
        <f>SIP[[#This Row],[Amount]]/SIP[[#This Row],[Unit]]</f>
        <v>11.803588290840416</v>
      </c>
      <c r="N922" s="71">
        <f>SIP[[#This Row],[Unit Capital]]/10</f>
        <v>4236</v>
      </c>
      <c r="O922" s="71">
        <f>SUMIFS(SIP[[#Headers],[Unit]]:SIP[[#This Row],[Unit]],SIP[[#Headers],[Investor ID]]:SIP[[#This Row],[Investor ID]],SIP[[#This Row],[Investor ID]])</f>
        <v>26029</v>
      </c>
      <c r="P922" s="153">
        <v>42360</v>
      </c>
      <c r="Q922" s="74">
        <f>SIP[[#This Row],[Amount]]-SIP[[#This Row],[Unit Capital]]</f>
        <v>7640</v>
      </c>
      <c r="R9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11.525606054785049</v>
      </c>
      <c r="S922" s="68">
        <f t="shared" si="42"/>
        <v>14.224</v>
      </c>
      <c r="T9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2" s="74" cm="1">
        <f t="array" ref="U922">IF(SIP[[#This Row],[B/S]]="S",ABS(SIP[[#This Row],[Unit]])*(INDEX(SIP[NAV at Cost (Average)],MATCH(CONCATENATE((SIP[[#This Row],[Frequency]]-1),SIP[[#This Row],[Investor ID]]),SIP[Unique Code],0),0)),0)</f>
        <v>0</v>
      </c>
      <c r="V922" s="74">
        <f>IF(SIP[[#This Row],[BO TRANSFER]]="YES",SIP[[#This Row],[Unit]],)</f>
        <v>0</v>
      </c>
      <c r="W922" s="74">
        <f>SUMIFS(SIP[[#Headers],[BO UNIT TRANSFER]]:SIP[[#This Row],[BO UNIT TRANSFER]],SIP[[#Headers],[Investor ID]]:SIP[[#This Row],[Investor ID]],SIP[[#This Row],[Investor ID]])</f>
        <v>0</v>
      </c>
    </row>
    <row r="923" spans="1:23" ht="15" customHeight="1">
      <c r="A923" s="46">
        <v>2024</v>
      </c>
      <c r="B923" s="46">
        <v>12</v>
      </c>
      <c r="C923" s="46">
        <v>26</v>
      </c>
      <c r="D923" s="65">
        <f>DATE(SIP[[#This Row],[Year]],SIP[[#This Row],[Month]],SIP[[#This Row],[Day]])</f>
        <v>45652</v>
      </c>
      <c r="E923" s="66" t="str" cm="1">
        <f t="array" ref="E923">INDEX(INVESTORS_LIST[INVESTOR NAME],MATCH(SIP[[#This Row],[Investor ID]],INVESTORS_LIST[INVESTOR CODE],0),)</f>
        <v>MAHFUZUL ISLAM</v>
      </c>
      <c r="F923" s="46" t="s">
        <v>473</v>
      </c>
      <c r="G923" s="46">
        <f>COUNTIF(SIP[[#Headers],[Investor ID]]:SIP[[#This Row],[Investor ID]],SIP[[#This Row],[Investor ID]])</f>
        <v>12</v>
      </c>
      <c r="H923" s="46" t="str">
        <f>CONCATENATE(SIP[[#This Row],[Frequency]],SIP[[#This Row],[Investor ID]])</f>
        <v>12A00212</v>
      </c>
      <c r="I923" s="46" t="str">
        <f>IF(SIP[[#This Row],[B/S]]="B","BUY",(IF(SIP[[#This Row],[B/S]]="S","SELL"," ")))</f>
        <v>BUY</v>
      </c>
      <c r="J923" s="150" t="s">
        <v>1229</v>
      </c>
      <c r="K923" s="152">
        <v>3000</v>
      </c>
      <c r="L923" s="122" t="s">
        <v>1230</v>
      </c>
      <c r="M923" s="123">
        <f>SIP[[#This Row],[Amount]]/SIP[[#This Row],[Unit]]</f>
        <v>11.811023622047244</v>
      </c>
      <c r="N923" s="71">
        <f>SIP[[#This Row],[Unit Capital]]/10</f>
        <v>254</v>
      </c>
      <c r="O923" s="71">
        <f>SUMIFS(SIP[[#Headers],[Unit]]:SIP[[#This Row],[Unit]],SIP[[#Headers],[Investor ID]]:SIP[[#This Row],[Investor ID]],SIP[[#This Row],[Investor ID]])</f>
        <v>1924</v>
      </c>
      <c r="P923" s="153">
        <v>2540</v>
      </c>
      <c r="Q923" s="74">
        <f>SIP[[#This Row],[Amount]]-SIP[[#This Row],[Unit Capital]]</f>
        <v>460</v>
      </c>
      <c r="R9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11.434511434511435</v>
      </c>
      <c r="S923" s="68">
        <f t="shared" si="42"/>
        <v>14.224</v>
      </c>
      <c r="T9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3" s="74" cm="1">
        <f t="array" ref="U923">IF(SIP[[#This Row],[B/S]]="S",ABS(SIP[[#This Row],[Unit]])*(INDEX(SIP[NAV at Cost (Average)],MATCH(CONCATENATE((SIP[[#This Row],[Frequency]]-1),SIP[[#This Row],[Investor ID]]),SIP[Unique Code],0),0)),0)</f>
        <v>0</v>
      </c>
      <c r="V923" s="74">
        <f>IF(SIP[[#This Row],[BO TRANSFER]]="YES",SIP[[#This Row],[Unit]],)</f>
        <v>254</v>
      </c>
      <c r="W923" s="74">
        <f>SUMIFS(SIP[[#Headers],[BO UNIT TRANSFER]]:SIP[[#This Row],[BO UNIT TRANSFER]],SIP[[#Headers],[Investor ID]]:SIP[[#This Row],[Investor ID]],SIP[[#This Row],[Investor ID]])</f>
        <v>1924</v>
      </c>
    </row>
    <row r="924" spans="1:23" ht="15" customHeight="1">
      <c r="A924" s="46">
        <v>2024</v>
      </c>
      <c r="B924" s="46">
        <v>12</v>
      </c>
      <c r="C924" s="46">
        <v>26</v>
      </c>
      <c r="D924" s="65">
        <f>DATE(SIP[[#This Row],[Year]],SIP[[#This Row],[Month]],SIP[[#This Row],[Day]])</f>
        <v>45652</v>
      </c>
      <c r="E924" s="66" t="str" cm="1">
        <f t="array" ref="E924">INDEX(INVESTORS_LIST[INVESTOR NAME],MATCH(SIP[[#This Row],[Investor ID]],INVESTORS_LIST[INVESTOR CODE],0),)</f>
        <v>HUMAIRA TABASSUM READDHE</v>
      </c>
      <c r="F924" s="46" t="s">
        <v>1052</v>
      </c>
      <c r="G924" s="46">
        <f>COUNTIF(SIP[[#Headers],[Investor ID]]:SIP[[#This Row],[Investor ID]],SIP[[#This Row],[Investor ID]])</f>
        <v>5</v>
      </c>
      <c r="H924" s="46" t="str">
        <f>CONCATENATE(SIP[[#This Row],[Frequency]],SIP[[#This Row],[Investor ID]])</f>
        <v>5A00503</v>
      </c>
      <c r="I924" s="46" t="str">
        <f>IF(SIP[[#This Row],[B/S]]="B","BUY",(IF(SIP[[#This Row],[B/S]]="S","SELL"," ")))</f>
        <v>BUY</v>
      </c>
      <c r="J924" s="150" t="s">
        <v>1229</v>
      </c>
      <c r="K924" s="152">
        <v>3000</v>
      </c>
      <c r="L924" s="122"/>
      <c r="M924" s="123">
        <f>SIP[[#This Row],[Amount]]/SIP[[#This Row],[Unit]]</f>
        <v>11.811023622047244</v>
      </c>
      <c r="N924" s="71">
        <f>SIP[[#This Row],[Unit Capital]]/10</f>
        <v>254</v>
      </c>
      <c r="O924" s="71">
        <f>SUMIFS(SIP[[#Headers],[Unit]]:SIP[[#This Row],[Unit]],SIP[[#Headers],[Investor ID]]:SIP[[#This Row],[Investor ID]],SIP[[#This Row],[Investor ID]])</f>
        <v>1295</v>
      </c>
      <c r="P924" s="153">
        <v>2540</v>
      </c>
      <c r="Q924" s="74">
        <f>SIP[[#This Row],[Amount]]-SIP[[#This Row],[Unit Capital]]</f>
        <v>460</v>
      </c>
      <c r="R9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11.583011583011583</v>
      </c>
      <c r="S924" s="68">
        <f t="shared" si="42"/>
        <v>14.224</v>
      </c>
      <c r="T9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4" s="74" cm="1">
        <f t="array" ref="U924">IF(SIP[[#This Row],[B/S]]="S",ABS(SIP[[#This Row],[Unit]])*(INDEX(SIP[NAV at Cost (Average)],MATCH(CONCATENATE((SIP[[#This Row],[Frequency]]-1),SIP[[#This Row],[Investor ID]]),SIP[Unique Code],0),0)),0)</f>
        <v>0</v>
      </c>
      <c r="V924" s="74">
        <f>IF(SIP[[#This Row],[BO TRANSFER]]="YES",SIP[[#This Row],[Unit]],)</f>
        <v>0</v>
      </c>
      <c r="W924" s="74">
        <f>SUMIFS(SIP[[#Headers],[BO UNIT TRANSFER]]:SIP[[#This Row],[BO UNIT TRANSFER]],SIP[[#Headers],[Investor ID]]:SIP[[#This Row],[Investor ID]],SIP[[#This Row],[Investor ID]])</f>
        <v>0</v>
      </c>
    </row>
    <row r="925" spans="1:23" ht="15" customHeight="1">
      <c r="A925" s="46">
        <v>2024</v>
      </c>
      <c r="B925" s="46">
        <v>12</v>
      </c>
      <c r="C925" s="46">
        <v>26</v>
      </c>
      <c r="D925" s="65">
        <f>DATE(SIP[[#This Row],[Year]],SIP[[#This Row],[Month]],SIP[[#This Row],[Day]])</f>
        <v>45652</v>
      </c>
      <c r="E925" s="66" t="str" cm="1">
        <f t="array" ref="E925">INDEX(INVESTORS_LIST[INVESTOR NAME],MATCH(SIP[[#This Row],[Investor ID]],INVESTORS_LIST[INVESTOR CODE],0),)</f>
        <v>MST. GOLENUR</v>
      </c>
      <c r="F925" s="46" t="s">
        <v>1075</v>
      </c>
      <c r="G925" s="46">
        <f>COUNTIF(SIP[[#Headers],[Investor ID]]:SIP[[#This Row],[Investor ID]],SIP[[#This Row],[Investor ID]])</f>
        <v>1</v>
      </c>
      <c r="H925" s="46" t="str">
        <f>CONCATENATE(SIP[[#This Row],[Frequency]],SIP[[#This Row],[Investor ID]])</f>
        <v>1A00515</v>
      </c>
      <c r="I925" s="46" t="str">
        <f>IF(SIP[[#This Row],[B/S]]="B","BUY",(IF(SIP[[#This Row],[B/S]]="S","SELL"," ")))</f>
        <v>BUY</v>
      </c>
      <c r="J925" s="150" t="s">
        <v>1229</v>
      </c>
      <c r="K925" s="152">
        <v>2000</v>
      </c>
      <c r="L925" s="122"/>
      <c r="M925" s="123">
        <f>SIP[[#This Row],[Amount]]/SIP[[#This Row],[Unit]]</f>
        <v>11.834319526627219</v>
      </c>
      <c r="N925" s="71">
        <f>SIP[[#This Row],[Unit Capital]]/10</f>
        <v>169</v>
      </c>
      <c r="O925" s="71">
        <f>SUMIFS(SIP[[#Headers],[Unit]]:SIP[[#This Row],[Unit]],SIP[[#Headers],[Investor ID]]:SIP[[#This Row],[Investor ID]],SIP[[#This Row],[Investor ID]])</f>
        <v>169</v>
      </c>
      <c r="P925" s="153">
        <v>1690</v>
      </c>
      <c r="Q925" s="74">
        <f>SIP[[#This Row],[Amount]]-SIP[[#This Row],[Unit Capital]]</f>
        <v>310</v>
      </c>
      <c r="R9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11.834319526627219</v>
      </c>
      <c r="S925" s="68">
        <f t="shared" si="42"/>
        <v>14.224</v>
      </c>
      <c r="T9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5" s="74" cm="1">
        <f t="array" ref="U925">IF(SIP[[#This Row],[B/S]]="S",ABS(SIP[[#This Row],[Unit]])*(INDEX(SIP[NAV at Cost (Average)],MATCH(CONCATENATE((SIP[[#This Row],[Frequency]]-1),SIP[[#This Row],[Investor ID]]),SIP[Unique Code],0),0)),0)</f>
        <v>0</v>
      </c>
      <c r="V925" s="74">
        <f>IF(SIP[[#This Row],[BO TRANSFER]]="YES",SIP[[#This Row],[Unit]],)</f>
        <v>0</v>
      </c>
      <c r="W925" s="74">
        <f>SUMIFS(SIP[[#Headers],[BO UNIT TRANSFER]]:SIP[[#This Row],[BO UNIT TRANSFER]],SIP[[#Headers],[Investor ID]]:SIP[[#This Row],[Investor ID]],SIP[[#This Row],[Investor ID]])</f>
        <v>0</v>
      </c>
    </row>
    <row r="926" spans="1:23" ht="15" customHeight="1">
      <c r="A926" s="46">
        <v>2024</v>
      </c>
      <c r="B926" s="46">
        <v>12</v>
      </c>
      <c r="C926" s="46">
        <v>26</v>
      </c>
      <c r="D926" s="65">
        <f>DATE(SIP[[#This Row],[Year]],SIP[[#This Row],[Month]],SIP[[#This Row],[Day]])</f>
        <v>45652</v>
      </c>
      <c r="E926" s="66" t="str" cm="1">
        <f t="array" ref="E926">INDEX(INVESTORS_LIST[INVESTOR NAME],MATCH(SIP[[#This Row],[Investor ID]],INVESTORS_LIST[INVESTOR CODE],0),)</f>
        <v>KHAN MUHAMMAD FAISOL</v>
      </c>
      <c r="F926" s="46" t="s">
        <v>930</v>
      </c>
      <c r="G926" s="46">
        <f>COUNTIF(SIP[[#Headers],[Investor ID]]:SIP[[#This Row],[Investor ID]],SIP[[#This Row],[Investor ID]])</f>
        <v>20</v>
      </c>
      <c r="H926" s="46" t="str">
        <f>CONCATENATE(SIP[[#This Row],[Frequency]],SIP[[#This Row],[Investor ID]])</f>
        <v>20A00442</v>
      </c>
      <c r="I926" s="46" t="str">
        <f>IF(SIP[[#This Row],[B/S]]="B","BUY",(IF(SIP[[#This Row],[B/S]]="S","SELL"," ")))</f>
        <v>BUY</v>
      </c>
      <c r="J926" s="150" t="s">
        <v>1229</v>
      </c>
      <c r="K926" s="152">
        <v>1000</v>
      </c>
      <c r="L926" s="69"/>
      <c r="M926" s="123">
        <f>SIP[[#This Row],[Amount]]/SIP[[#This Row],[Unit]]</f>
        <v>11.764705882352942</v>
      </c>
      <c r="N926" s="71">
        <f>SIP[[#This Row],[Unit Capital]]/10</f>
        <v>85</v>
      </c>
      <c r="O926" s="71">
        <f>SUMIFS(SIP[[#Headers],[Unit]]:SIP[[#This Row],[Unit]],SIP[[#Headers],[Investor ID]]:SIP[[#This Row],[Investor ID]],SIP[[#This Row],[Investor ID]])</f>
        <v>1835</v>
      </c>
      <c r="P926" s="153">
        <v>850</v>
      </c>
      <c r="Q926" s="74">
        <f>SIP[[#This Row],[Amount]]-SIP[[#This Row],[Unit Capital]]</f>
        <v>150</v>
      </c>
      <c r="R9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10.899182561307905</v>
      </c>
      <c r="S926" s="68">
        <f t="shared" si="42"/>
        <v>14.224</v>
      </c>
      <c r="T9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6" s="74" cm="1">
        <f t="array" ref="U926">IF(SIP[[#This Row],[B/S]]="S",ABS(SIP[[#This Row],[Unit]])*(INDEX(SIP[NAV at Cost (Average)],MATCH(CONCATENATE((SIP[[#This Row],[Frequency]]-1),SIP[[#This Row],[Investor ID]]),SIP[Unique Code],0),0)),0)</f>
        <v>0</v>
      </c>
      <c r="V926" s="74">
        <f>IF(SIP[[#This Row],[BO TRANSFER]]="YES",SIP[[#This Row],[Unit]],)</f>
        <v>0</v>
      </c>
      <c r="W926" s="74">
        <f>SUMIFS(SIP[[#Headers],[BO UNIT TRANSFER]]:SIP[[#This Row],[BO UNIT TRANSFER]],SIP[[#Headers],[Investor ID]]:SIP[[#This Row],[Investor ID]],SIP[[#This Row],[Investor ID]])</f>
        <v>0</v>
      </c>
    </row>
    <row r="927" spans="1:23" ht="15" customHeight="1">
      <c r="A927" s="46">
        <v>2024</v>
      </c>
      <c r="B927" s="46">
        <v>12</v>
      </c>
      <c r="C927" s="46">
        <v>26</v>
      </c>
      <c r="D927" s="65">
        <f>DATE(SIP[[#This Row],[Year]],SIP[[#This Row],[Month]],SIP[[#This Row],[Day]])</f>
        <v>45652</v>
      </c>
      <c r="E927" s="66" t="str" cm="1">
        <f t="array" ref="E927">INDEX(INVESTORS_LIST[INVESTOR NAME],MATCH(SIP[[#This Row],[Investor ID]],INVESTORS_LIST[INVESTOR CODE],0),)</f>
        <v>MD. ARIFUL ISLAM</v>
      </c>
      <c r="F927" s="46" t="s">
        <v>222</v>
      </c>
      <c r="G927" s="46">
        <f>COUNTIF(SIP[[#Headers],[Investor ID]]:SIP[[#This Row],[Investor ID]],SIP[[#This Row],[Investor ID]])</f>
        <v>20</v>
      </c>
      <c r="H927" s="46" t="str">
        <f>CONCATENATE(SIP[[#This Row],[Frequency]],SIP[[#This Row],[Investor ID]])</f>
        <v>20A00087</v>
      </c>
      <c r="I927" s="46" t="str">
        <f>IF(SIP[[#This Row],[B/S]]="B","BUY",(IF(SIP[[#This Row],[B/S]]="S","SELL"," ")))</f>
        <v>BUY</v>
      </c>
      <c r="J927" s="150" t="s">
        <v>1229</v>
      </c>
      <c r="K927" s="152">
        <v>10000</v>
      </c>
      <c r="L927" s="69"/>
      <c r="M927" s="123">
        <f>SIP[[#This Row],[Amount]]/SIP[[#This Row],[Unit]]</f>
        <v>11.806375442739078</v>
      </c>
      <c r="N927" s="71">
        <f>SIP[[#This Row],[Unit Capital]]/10</f>
        <v>847</v>
      </c>
      <c r="O927" s="71">
        <f>SUMIFS(SIP[[#Headers],[Unit]]:SIP[[#This Row],[Unit]],SIP[[#Headers],[Investor ID]]:SIP[[#This Row],[Investor ID]],SIP[[#This Row],[Investor ID]])</f>
        <v>18356</v>
      </c>
      <c r="P927" s="153">
        <v>8470</v>
      </c>
      <c r="Q927" s="74">
        <f>SIP[[#This Row],[Amount]]-SIP[[#This Row],[Unit Capital]]</f>
        <v>1530</v>
      </c>
      <c r="R9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10.895619960775768</v>
      </c>
      <c r="S927" s="68">
        <f t="shared" si="42"/>
        <v>14.224</v>
      </c>
      <c r="T9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7" s="74" cm="1">
        <f t="array" ref="U927">IF(SIP[[#This Row],[B/S]]="S",ABS(SIP[[#This Row],[Unit]])*(INDEX(SIP[NAV at Cost (Average)],MATCH(CONCATENATE((SIP[[#This Row],[Frequency]]-1),SIP[[#This Row],[Investor ID]]),SIP[Unique Code],0),0)),0)</f>
        <v>0</v>
      </c>
      <c r="V927" s="74">
        <f>IF(SIP[[#This Row],[BO TRANSFER]]="YES",SIP[[#This Row],[Unit]],)</f>
        <v>0</v>
      </c>
      <c r="W927" s="74">
        <f>SUMIFS(SIP[[#Headers],[BO UNIT TRANSFER]]:SIP[[#This Row],[BO UNIT TRANSFER]],SIP[[#Headers],[Investor ID]]:SIP[[#This Row],[Investor ID]],SIP[[#This Row],[Investor ID]])</f>
        <v>0</v>
      </c>
    </row>
    <row r="928" spans="1:23" ht="15" customHeight="1">
      <c r="A928" s="46">
        <v>2024</v>
      </c>
      <c r="B928" s="46">
        <v>12</v>
      </c>
      <c r="C928" s="46">
        <v>29</v>
      </c>
      <c r="D928" s="65">
        <f>DATE(SIP[[#This Row],[Year]],SIP[[#This Row],[Month]],SIP[[#This Row],[Day]])</f>
        <v>45655</v>
      </c>
      <c r="E928" s="66" t="str" cm="1">
        <f t="array" ref="E928">INDEX(INVESTORS_LIST[INVESTOR NAME],MATCH(SIP[[#This Row],[Investor ID]],INVESTORS_LIST[INVESTOR CODE],0),)</f>
        <v>EKUSH WEALTH MANAGEMENT LIMITED EMPLOYEES CONTRIBUTORY PROVIDENT FUND</v>
      </c>
      <c r="F928" s="46" t="s">
        <v>831</v>
      </c>
      <c r="G928" s="46">
        <f>COUNTIF(SIP[[#Headers],[Investor ID]]:SIP[[#This Row],[Investor ID]],SIP[[#This Row],[Investor ID]])</f>
        <v>15</v>
      </c>
      <c r="H928" s="46" t="str">
        <f>CONCATENATE(SIP[[#This Row],[Frequency]],SIP[[#This Row],[Investor ID]])</f>
        <v>15A00392</v>
      </c>
      <c r="I928" s="46" t="str">
        <f>IF(SIP[[#This Row],[B/S]]="B","BUY",(IF(SIP[[#This Row],[B/S]]="S","SELL"," ")))</f>
        <v>SELL</v>
      </c>
      <c r="J928" s="150" t="s">
        <v>1231</v>
      </c>
      <c r="K928" s="152">
        <v>-22040</v>
      </c>
      <c r="L928" s="122"/>
      <c r="M928" s="123">
        <f>SIP[[#This Row],[Amount]]/SIP[[#This Row],[Unit]]</f>
        <v>11.805034815211568</v>
      </c>
      <c r="N928" s="71">
        <f>SIP[[#This Row],[Unit Capital]]/10</f>
        <v>-1867</v>
      </c>
      <c r="O928" s="71">
        <f>SUMIFS(SIP[[#Headers],[Unit]]:SIP[[#This Row],[Unit]],SIP[[#Headers],[Investor ID]]:SIP[[#This Row],[Investor ID]],SIP[[#This Row],[Investor ID]])</f>
        <v>22496</v>
      </c>
      <c r="P928" s="153">
        <v>-18670</v>
      </c>
      <c r="Q928" s="74">
        <f>SIP[[#This Row],[Amount]]-SIP[[#This Row],[Unit Capital]]</f>
        <v>-3370</v>
      </c>
      <c r="R9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10.819079299365635</v>
      </c>
      <c r="S928" s="68">
        <f t="shared" si="42"/>
        <v>14.224</v>
      </c>
      <c r="T928" s="74">
        <f>IF(SIP[[#This Row],[B/S]]="B",0,ABS(SIP[[#This Row],[Unit]])*(SIP[[#This Row],[NAV (Strike Rate)]]-INDEX(SIP[NAV at Cost (Average)],MATCH(CONCATENATE(SIP[[#This Row],[Frequency]]-1,SIP[[#This Row],[Investor ID]]),SIP[Unique Code],0),)))</f>
        <v>1840.778948084358</v>
      </c>
      <c r="U928" s="74" cm="1">
        <f t="array" ref="U928">IF(SIP[[#This Row],[B/S]]="S",ABS(SIP[[#This Row],[Unit]])*(INDEX(SIP[NAV at Cost (Average)],MATCH(CONCATENATE((SIP[[#This Row],[Frequency]]-1),SIP[[#This Row],[Investor ID]]),SIP[Unique Code],0),0)),0)</f>
        <v>20199.22105191564</v>
      </c>
      <c r="V928" s="74">
        <f>IF(SIP[[#This Row],[BO TRANSFER]]="YES",SIP[[#This Row],[Unit]],)</f>
        <v>0</v>
      </c>
      <c r="W928" s="74">
        <f>SUMIFS(SIP[[#Headers],[BO UNIT TRANSFER]]:SIP[[#This Row],[BO UNIT TRANSFER]],SIP[[#Headers],[Investor ID]]:SIP[[#This Row],[Investor ID]],SIP[[#This Row],[Investor ID]])</f>
        <v>0</v>
      </c>
    </row>
    <row r="929" spans="1:23" ht="15" customHeight="1">
      <c r="A929" s="46">
        <v>2024</v>
      </c>
      <c r="B929" s="46">
        <v>12</v>
      </c>
      <c r="C929" s="46">
        <v>29</v>
      </c>
      <c r="D929" s="65">
        <f>DATE(SIP[[#This Row],[Year]],SIP[[#This Row],[Month]],SIP[[#This Row],[Day]])</f>
        <v>45655</v>
      </c>
      <c r="E929" s="66" t="str" cm="1">
        <f t="array" ref="E929">INDEX(INVESTORS_LIST[INVESTOR NAME],MATCH(SIP[[#This Row],[Investor ID]],INVESTORS_LIST[INVESTOR CODE],0),)</f>
        <v>ASHIK IQBAL CHOWDHURY</v>
      </c>
      <c r="F929" s="46" t="s">
        <v>1016</v>
      </c>
      <c r="G929" s="46">
        <f>COUNTIF(SIP[[#Headers],[Investor ID]]:SIP[[#This Row],[Investor ID]],SIP[[#This Row],[Investor ID]])</f>
        <v>16</v>
      </c>
      <c r="H929" s="46" t="str">
        <f>CONCATENATE(SIP[[#This Row],[Frequency]],SIP[[#This Row],[Investor ID]])</f>
        <v>16A00485</v>
      </c>
      <c r="I929" s="46" t="str">
        <f>IF(SIP[[#This Row],[B/S]]="B","BUY",(IF(SIP[[#This Row],[B/S]]="S","SELL"," ")))</f>
        <v>SELL</v>
      </c>
      <c r="J929" s="150" t="s">
        <v>1231</v>
      </c>
      <c r="K929" s="152">
        <v>-5000</v>
      </c>
      <c r="L929" s="122"/>
      <c r="M929" s="123">
        <f>SIP[[#This Row],[Amount]]/SIP[[#This Row],[Unit]]</f>
        <v>11.79245283018868</v>
      </c>
      <c r="N929" s="71">
        <f>SIP[[#This Row],[Unit Capital]]/10</f>
        <v>-424</v>
      </c>
      <c r="O929" s="71">
        <f>SUMIFS(SIP[[#Headers],[Unit]]:SIP[[#This Row],[Unit]],SIP[[#Headers],[Investor ID]]:SIP[[#This Row],[Investor ID]],SIP[[#This Row],[Investor ID]])</f>
        <v>6507</v>
      </c>
      <c r="P929" s="153">
        <v>-4240</v>
      </c>
      <c r="Q929" s="74">
        <f>SIP[[#This Row],[Amount]]-SIP[[#This Row],[Unit Capital]]</f>
        <v>-760</v>
      </c>
      <c r="R9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10.820949357957005</v>
      </c>
      <c r="S929" s="68">
        <f t="shared" si="42"/>
        <v>14.224</v>
      </c>
      <c r="T929" s="74">
        <f>IF(SIP[[#This Row],[B/S]]="B",0,ABS(SIP[[#This Row],[Unit]])*(SIP[[#This Row],[NAV (Strike Rate)]]-INDEX(SIP[NAV at Cost (Average)],MATCH(CONCATENATE(SIP[[#This Row],[Frequency]]-1,SIP[[#This Row],[Investor ID]]),SIP[Unique Code],0),)))</f>
        <v>411.91747222622996</v>
      </c>
      <c r="U929" s="74" cm="1">
        <f t="array" ref="U929">IF(SIP[[#This Row],[B/S]]="S",ABS(SIP[[#This Row],[Unit]])*(INDEX(SIP[NAV at Cost (Average)],MATCH(CONCATENATE((SIP[[#This Row],[Frequency]]-1),SIP[[#This Row],[Investor ID]]),SIP[Unique Code],0),0)),0)</f>
        <v>4588.0825277737704</v>
      </c>
      <c r="V929" s="74">
        <f>IF(SIP[[#This Row],[BO TRANSFER]]="YES",SIP[[#This Row],[Unit]],)</f>
        <v>0</v>
      </c>
      <c r="W929" s="74">
        <f>SUMIFS(SIP[[#Headers],[BO UNIT TRANSFER]]:SIP[[#This Row],[BO UNIT TRANSFER]],SIP[[#Headers],[Investor ID]]:SIP[[#This Row],[Investor ID]],SIP[[#This Row],[Investor ID]])</f>
        <v>0</v>
      </c>
    </row>
    <row r="930" spans="1:23" ht="15" customHeight="1">
      <c r="A930" s="46">
        <v>2025</v>
      </c>
      <c r="B930" s="46">
        <v>1</v>
      </c>
      <c r="C930" s="46">
        <v>5</v>
      </c>
      <c r="D930" s="65">
        <f>DATE(SIP[[#This Row],[Year]],SIP[[#This Row],[Month]],SIP[[#This Row],[Day]])</f>
        <v>45662</v>
      </c>
      <c r="E930" s="66" t="str" cm="1">
        <f t="array" ref="E930">INDEX(INVESTORS_LIST[INVESTOR NAME],MATCH(SIP[[#This Row],[Investor ID]],INVESTORS_LIST[INVESTOR CODE],0),)</f>
        <v>MONIR AHMED</v>
      </c>
      <c r="F930" s="46" t="s">
        <v>125</v>
      </c>
      <c r="G930" s="46">
        <f>COUNTIF(SIP[[#Headers],[Investor ID]]:SIP[[#This Row],[Investor ID]],SIP[[#This Row],[Investor ID]])</f>
        <v>20</v>
      </c>
      <c r="H930" s="46" t="str">
        <f>CONCATENATE(SIP[[#This Row],[Frequency]],SIP[[#This Row],[Investor ID]])</f>
        <v>20A00039</v>
      </c>
      <c r="I930" s="46" t="str">
        <f>IF(SIP[[#This Row],[B/S]]="B","BUY",(IF(SIP[[#This Row],[B/S]]="S","SELL"," ")))</f>
        <v>BUY</v>
      </c>
      <c r="J930" s="150" t="s">
        <v>1229</v>
      </c>
      <c r="K930" s="152">
        <v>5000</v>
      </c>
      <c r="L930" s="122"/>
      <c r="M930" s="123">
        <f>SIP[[#This Row],[Amount]]/SIP[[#This Row],[Unit]]</f>
        <v>11.82033096926714</v>
      </c>
      <c r="N930" s="71">
        <f>SIP[[#This Row],[Unit Capital]]/10</f>
        <v>423</v>
      </c>
      <c r="O930" s="71">
        <f>SUMIFS(SIP[[#Headers],[Unit]]:SIP[[#This Row],[Unit]],SIP[[#Headers],[Investor ID]]:SIP[[#This Row],[Investor ID]],SIP[[#This Row],[Investor ID]])</f>
        <v>6763</v>
      </c>
      <c r="P930" s="153">
        <v>4230</v>
      </c>
      <c r="Q930" s="74">
        <f>SIP[[#This Row],[Amount]]-SIP[[#This Row],[Unit Capital]]</f>
        <v>770</v>
      </c>
      <c r="R9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11.089753068165015</v>
      </c>
      <c r="S930" s="68">
        <f t="shared" ref="S930:S942" si="43">NAV_MKT</f>
        <v>14.224</v>
      </c>
      <c r="T9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0" s="74" cm="1">
        <f t="array" ref="U930">IF(SIP[[#This Row],[B/S]]="S",ABS(SIP[[#This Row],[Unit]])*(INDEX(SIP[NAV at Cost (Average)],MATCH(CONCATENATE((SIP[[#This Row],[Frequency]]-1),SIP[[#This Row],[Investor ID]]),SIP[Unique Code],0),0)),0)</f>
        <v>0</v>
      </c>
      <c r="V930" s="74">
        <f>IF(SIP[[#This Row],[BO TRANSFER]]="YES",SIP[[#This Row],[Unit]],)</f>
        <v>0</v>
      </c>
      <c r="W930" s="74">
        <f>SUMIFS(SIP[[#Headers],[BO UNIT TRANSFER]]:SIP[[#This Row],[BO UNIT TRANSFER]],SIP[[#Headers],[Investor ID]]:SIP[[#This Row],[Investor ID]],SIP[[#This Row],[Investor ID]])</f>
        <v>0</v>
      </c>
    </row>
    <row r="931" spans="1:23" ht="15" customHeight="1">
      <c r="A931" s="46">
        <v>2025</v>
      </c>
      <c r="B931" s="46">
        <v>1</v>
      </c>
      <c r="C931" s="46">
        <v>5</v>
      </c>
      <c r="D931" s="65">
        <f>DATE(SIP[[#This Row],[Year]],SIP[[#This Row],[Month]],SIP[[#This Row],[Day]])</f>
        <v>45662</v>
      </c>
      <c r="E931" s="66" t="str" cm="1">
        <f t="array" ref="E931">INDEX(INVESTORS_LIST[INVESTOR NAME],MATCH(SIP[[#This Row],[Investor ID]],INVESTORS_LIST[INVESTOR CODE],0),)</f>
        <v>NANDINI SAHA</v>
      </c>
      <c r="F931" s="46" t="s">
        <v>242</v>
      </c>
      <c r="G931" s="46">
        <f>COUNTIF(SIP[[#Headers],[Investor ID]]:SIP[[#This Row],[Investor ID]],SIP[[#This Row],[Investor ID]])</f>
        <v>20</v>
      </c>
      <c r="H931" s="46" t="str">
        <f>CONCATENATE(SIP[[#This Row],[Frequency]],SIP[[#This Row],[Investor ID]])</f>
        <v>20A00097</v>
      </c>
      <c r="I931" s="46" t="str">
        <f>IF(SIP[[#This Row],[B/S]]="B","BUY",(IF(SIP[[#This Row],[B/S]]="S","SELL"," ")))</f>
        <v>BUY</v>
      </c>
      <c r="J931" s="150" t="s">
        <v>1229</v>
      </c>
      <c r="K931" s="152">
        <v>30000</v>
      </c>
      <c r="L931" s="122"/>
      <c r="M931" s="123">
        <f>SIP[[#This Row],[Amount]]/SIP[[#This Row],[Unit]]</f>
        <v>11.824990145841545</v>
      </c>
      <c r="N931" s="71">
        <f>SIP[[#This Row],[Unit Capital]]/10</f>
        <v>2537</v>
      </c>
      <c r="O931" s="71">
        <f>SUMIFS(SIP[[#Headers],[Unit]]:SIP[[#This Row],[Unit]],SIP[[#Headers],[Investor ID]]:SIP[[#This Row],[Investor ID]],SIP[[#This Row],[Investor ID]])</f>
        <v>55097</v>
      </c>
      <c r="P931" s="153">
        <v>25370</v>
      </c>
      <c r="Q931" s="74">
        <f>SIP[[#This Row],[Amount]]-SIP[[#This Row],[Unit Capital]]</f>
        <v>4630</v>
      </c>
      <c r="R9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10.88988511171207</v>
      </c>
      <c r="S931" s="68">
        <f t="shared" si="43"/>
        <v>14.224</v>
      </c>
      <c r="T9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1" s="74" cm="1">
        <f t="array" ref="U931">IF(SIP[[#This Row],[B/S]]="S",ABS(SIP[[#This Row],[Unit]])*(INDEX(SIP[NAV at Cost (Average)],MATCH(CONCATENATE((SIP[[#This Row],[Frequency]]-1),SIP[[#This Row],[Investor ID]]),SIP[Unique Code],0),0)),0)</f>
        <v>0</v>
      </c>
      <c r="V931" s="74">
        <f>IF(SIP[[#This Row],[BO TRANSFER]]="YES",SIP[[#This Row],[Unit]],)</f>
        <v>0</v>
      </c>
      <c r="W931" s="74">
        <f>SUMIFS(SIP[[#Headers],[BO UNIT TRANSFER]]:SIP[[#This Row],[BO UNIT TRANSFER]],SIP[[#Headers],[Investor ID]]:SIP[[#This Row],[Investor ID]],SIP[[#This Row],[Investor ID]])</f>
        <v>0</v>
      </c>
    </row>
    <row r="932" spans="1:23" ht="15" customHeight="1">
      <c r="A932" s="46">
        <v>2025</v>
      </c>
      <c r="B932" s="46">
        <v>1</v>
      </c>
      <c r="C932" s="46">
        <v>5</v>
      </c>
      <c r="D932" s="65">
        <f>DATE(SIP[[#This Row],[Year]],SIP[[#This Row],[Month]],SIP[[#This Row],[Day]])</f>
        <v>45662</v>
      </c>
      <c r="E932" s="66" t="str" cm="1">
        <f t="array" ref="E932">INDEX(INVESTORS_LIST[INVESTOR NAME],MATCH(SIP[[#This Row],[Investor ID]],INVESTORS_LIST[INVESTOR CODE],0),)</f>
        <v>ROKSABA KASEM</v>
      </c>
      <c r="F932" s="46" t="s">
        <v>900</v>
      </c>
      <c r="G932" s="46">
        <f>COUNTIF(SIP[[#Headers],[Investor ID]]:SIP[[#This Row],[Investor ID]],SIP[[#This Row],[Investor ID]])</f>
        <v>20</v>
      </c>
      <c r="H932" s="46" t="str">
        <f>CONCATENATE(SIP[[#This Row],[Frequency]],SIP[[#This Row],[Investor ID]])</f>
        <v>20A00427</v>
      </c>
      <c r="I932" s="46" t="str">
        <f>IF(SIP[[#This Row],[B/S]]="B","BUY",(IF(SIP[[#This Row],[B/S]]="S","SELL"," ")))</f>
        <v>BUY</v>
      </c>
      <c r="J932" s="150" t="s">
        <v>1229</v>
      </c>
      <c r="K932" s="152">
        <v>20000</v>
      </c>
      <c r="L932" s="122"/>
      <c r="M932" s="123">
        <f>SIP[[#This Row],[Amount]]/SIP[[#This Row],[Unit]]</f>
        <v>11.827321111768185</v>
      </c>
      <c r="N932" s="71">
        <f>SIP[[#This Row],[Unit Capital]]/10</f>
        <v>1691</v>
      </c>
      <c r="O932" s="71">
        <f>SUMIFS(SIP[[#Headers],[Unit]]:SIP[[#This Row],[Unit]],SIP[[#Headers],[Investor ID]]:SIP[[#This Row],[Investor ID]],SIP[[#This Row],[Investor ID]])</f>
        <v>36625</v>
      </c>
      <c r="P932" s="153">
        <v>16910</v>
      </c>
      <c r="Q932" s="74">
        <f>SIP[[#This Row],[Amount]]-SIP[[#This Row],[Unit Capital]]</f>
        <v>3090</v>
      </c>
      <c r="R9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10.921501706484646</v>
      </c>
      <c r="S932" s="68">
        <f t="shared" si="43"/>
        <v>14.224</v>
      </c>
      <c r="T9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2" s="74" cm="1">
        <f t="array" ref="U932">IF(SIP[[#This Row],[B/S]]="S",ABS(SIP[[#This Row],[Unit]])*(INDEX(SIP[NAV at Cost (Average)],MATCH(CONCATENATE((SIP[[#This Row],[Frequency]]-1),SIP[[#This Row],[Investor ID]]),SIP[Unique Code],0),0)),0)</f>
        <v>0</v>
      </c>
      <c r="V932" s="74">
        <f>IF(SIP[[#This Row],[BO TRANSFER]]="YES",SIP[[#This Row],[Unit]],)</f>
        <v>0</v>
      </c>
      <c r="W932" s="74">
        <f>SUMIFS(SIP[[#Headers],[BO UNIT TRANSFER]]:SIP[[#This Row],[BO UNIT TRANSFER]],SIP[[#Headers],[Investor ID]]:SIP[[#This Row],[Investor ID]],SIP[[#This Row],[Investor ID]])</f>
        <v>0</v>
      </c>
    </row>
    <row r="933" spans="1:23" ht="15" customHeight="1">
      <c r="A933" s="46">
        <v>2025</v>
      </c>
      <c r="B933" s="46">
        <v>1</v>
      </c>
      <c r="C933" s="46">
        <v>5</v>
      </c>
      <c r="D933" s="65">
        <f>DATE(SIP[[#This Row],[Year]],SIP[[#This Row],[Month]],SIP[[#This Row],[Day]])</f>
        <v>45662</v>
      </c>
      <c r="E933" s="66" t="str" cm="1">
        <f t="array" ref="E933">INDEX(INVESTORS_LIST[INVESTOR NAME],MATCH(SIP[[#This Row],[Investor ID]],INVESTORS_LIST[INVESTOR CODE],0),)</f>
        <v>MD. MONIRUL ISLAM</v>
      </c>
      <c r="F933" s="46" t="s">
        <v>996</v>
      </c>
      <c r="G933" s="46">
        <f>COUNTIF(SIP[[#Headers],[Investor ID]]:SIP[[#This Row],[Investor ID]],SIP[[#This Row],[Investor ID]])</f>
        <v>21</v>
      </c>
      <c r="H933" s="46" t="str">
        <f>CONCATENATE(SIP[[#This Row],[Frequency]],SIP[[#This Row],[Investor ID]])</f>
        <v>21A00475</v>
      </c>
      <c r="I933" s="46" t="str">
        <f>IF(SIP[[#This Row],[B/S]]="B","BUY",(IF(SIP[[#This Row],[B/S]]="S","SELL"," ")))</f>
        <v>BUY</v>
      </c>
      <c r="J933" s="150" t="s">
        <v>1229</v>
      </c>
      <c r="K933" s="152">
        <v>10000</v>
      </c>
      <c r="L933" s="122"/>
      <c r="M933" s="123">
        <f>SIP[[#This Row],[Amount]]/SIP[[#This Row],[Unit]]</f>
        <v>11.82033096926714</v>
      </c>
      <c r="N933" s="71">
        <f>SIP[[#This Row],[Unit Capital]]/10</f>
        <v>846</v>
      </c>
      <c r="O933" s="71">
        <f>SUMIFS(SIP[[#Headers],[Unit]]:SIP[[#This Row],[Unit]],SIP[[#Headers],[Investor ID]]:SIP[[#This Row],[Investor ID]],SIP[[#This Row],[Investor ID]])</f>
        <v>19300</v>
      </c>
      <c r="P933" s="153">
        <v>8460</v>
      </c>
      <c r="Q933" s="74">
        <f>SIP[[#This Row],[Amount]]-SIP[[#This Row],[Unit Capital]]</f>
        <v>1540</v>
      </c>
      <c r="R9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10.880829015544039</v>
      </c>
      <c r="S933" s="68">
        <f t="shared" si="43"/>
        <v>14.224</v>
      </c>
      <c r="T9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3" s="74" cm="1">
        <f t="array" ref="U933">IF(SIP[[#This Row],[B/S]]="S",ABS(SIP[[#This Row],[Unit]])*(INDEX(SIP[NAV at Cost (Average)],MATCH(CONCATENATE((SIP[[#This Row],[Frequency]]-1),SIP[[#This Row],[Investor ID]]),SIP[Unique Code],0),0)),0)</f>
        <v>0</v>
      </c>
      <c r="V933" s="74">
        <f>IF(SIP[[#This Row],[BO TRANSFER]]="YES",SIP[[#This Row],[Unit]],)</f>
        <v>0</v>
      </c>
      <c r="W933" s="74">
        <f>SUMIFS(SIP[[#Headers],[BO UNIT TRANSFER]]:SIP[[#This Row],[BO UNIT TRANSFER]],SIP[[#Headers],[Investor ID]]:SIP[[#This Row],[Investor ID]],SIP[[#This Row],[Investor ID]])</f>
        <v>0</v>
      </c>
    </row>
    <row r="934" spans="1:23" ht="15" customHeight="1">
      <c r="A934" s="46">
        <v>2025</v>
      </c>
      <c r="B934" s="46">
        <v>1</v>
      </c>
      <c r="C934" s="46">
        <v>5</v>
      </c>
      <c r="D934" s="65">
        <f>DATE(SIP[[#This Row],[Year]],SIP[[#This Row],[Month]],SIP[[#This Row],[Day]])</f>
        <v>45662</v>
      </c>
      <c r="E934" s="66" t="str" cm="1">
        <f t="array" ref="E934">INDEX(INVESTORS_LIST[INVESTOR NAME],MATCH(SIP[[#This Row],[Investor ID]],INVESTORS_LIST[INVESTOR CODE],0),)</f>
        <v>FAKARUDDIN ALI AHMED</v>
      </c>
      <c r="F934" s="46" t="s">
        <v>228</v>
      </c>
      <c r="G934" s="46">
        <f>COUNTIF(SIP[[#Headers],[Investor ID]]:SIP[[#This Row],[Investor ID]],SIP[[#This Row],[Investor ID]])</f>
        <v>21</v>
      </c>
      <c r="H934" s="46" t="str">
        <f>CONCATENATE(SIP[[#This Row],[Frequency]],SIP[[#This Row],[Investor ID]])</f>
        <v>21A00090</v>
      </c>
      <c r="I934" s="46" t="str">
        <f>IF(SIP[[#This Row],[B/S]]="B","BUY",(IF(SIP[[#This Row],[B/S]]="S","SELL"," ")))</f>
        <v>BUY</v>
      </c>
      <c r="J934" s="150" t="s">
        <v>1229</v>
      </c>
      <c r="K934" s="152">
        <v>10000</v>
      </c>
      <c r="L934" s="122"/>
      <c r="M934" s="123">
        <f>SIP[[#This Row],[Amount]]/SIP[[#This Row],[Unit]]</f>
        <v>11.82033096926714</v>
      </c>
      <c r="N934" s="71">
        <f>SIP[[#This Row],[Unit Capital]]/10</f>
        <v>846</v>
      </c>
      <c r="O934" s="71">
        <f>SUMIFS(SIP[[#Headers],[Unit]]:SIP[[#This Row],[Unit]],SIP[[#Headers],[Investor ID]]:SIP[[#This Row],[Investor ID]],SIP[[#This Row],[Investor ID]])</f>
        <v>9815</v>
      </c>
      <c r="P934" s="153">
        <v>8460</v>
      </c>
      <c r="Q934" s="74">
        <f>SIP[[#This Row],[Amount]]-SIP[[#This Row],[Unit Capital]]</f>
        <v>1540</v>
      </c>
      <c r="R9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11.296686819365815</v>
      </c>
      <c r="S934" s="68">
        <f t="shared" si="43"/>
        <v>14.224</v>
      </c>
      <c r="T9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4" s="74" cm="1">
        <f t="array" ref="U934">IF(SIP[[#This Row],[B/S]]="S",ABS(SIP[[#This Row],[Unit]])*(INDEX(SIP[NAV at Cost (Average)],MATCH(CONCATENATE((SIP[[#This Row],[Frequency]]-1),SIP[[#This Row],[Investor ID]]),SIP[Unique Code],0),0)),0)</f>
        <v>0</v>
      </c>
      <c r="V934" s="74">
        <f>IF(SIP[[#This Row],[BO TRANSFER]]="YES",SIP[[#This Row],[Unit]],)</f>
        <v>0</v>
      </c>
      <c r="W934" s="74">
        <f>SUMIFS(SIP[[#Headers],[BO UNIT TRANSFER]]:SIP[[#This Row],[BO UNIT TRANSFER]],SIP[[#Headers],[Investor ID]]:SIP[[#This Row],[Investor ID]],SIP[[#This Row],[Investor ID]])</f>
        <v>0</v>
      </c>
    </row>
    <row r="935" spans="1:23" ht="15" customHeight="1">
      <c r="A935" s="46">
        <v>2025</v>
      </c>
      <c r="B935" s="46">
        <v>1</v>
      </c>
      <c r="C935" s="46">
        <v>5</v>
      </c>
      <c r="D935" s="65">
        <f>DATE(SIP[[#This Row],[Year]],SIP[[#This Row],[Month]],SIP[[#This Row],[Day]])</f>
        <v>45662</v>
      </c>
      <c r="E935" s="66" t="str" cm="1">
        <f t="array" ref="E935">INDEX(INVESTORS_LIST[INVESTOR NAME],MATCH(SIP[[#This Row],[Investor ID]],INVESTORS_LIST[INVESTOR CODE],0),)</f>
        <v>SABRIA ISLAM TALUKDER</v>
      </c>
      <c r="F935" s="46" t="s">
        <v>409</v>
      </c>
      <c r="G935" s="46">
        <f>COUNTIF(SIP[[#Headers],[Investor ID]]:SIP[[#This Row],[Investor ID]],SIP[[#This Row],[Investor ID]])</f>
        <v>17</v>
      </c>
      <c r="H935" s="46" t="str">
        <f>CONCATENATE(SIP[[#This Row],[Frequency]],SIP[[#This Row],[Investor ID]])</f>
        <v>17A00180</v>
      </c>
      <c r="I935" s="46" t="str">
        <f>IF(SIP[[#This Row],[B/S]]="B","BUY",(IF(SIP[[#This Row],[B/S]]="S","SELL"," ")))</f>
        <v>BUY</v>
      </c>
      <c r="J935" s="150" t="s">
        <v>1229</v>
      </c>
      <c r="K935" s="152">
        <v>5000</v>
      </c>
      <c r="L935" s="122"/>
      <c r="M935" s="123">
        <f>SIP[[#This Row],[Amount]]/SIP[[#This Row],[Unit]]</f>
        <v>11.82033096926714</v>
      </c>
      <c r="N935" s="71">
        <f>SIP[[#This Row],[Unit Capital]]/10</f>
        <v>423</v>
      </c>
      <c r="O935" s="71">
        <f>SUMIFS(SIP[[#Headers],[Unit]]:SIP[[#This Row],[Unit]],SIP[[#Headers],[Investor ID]]:SIP[[#This Row],[Investor ID]],SIP[[#This Row],[Investor ID]])</f>
        <v>7696</v>
      </c>
      <c r="P935" s="153">
        <v>4230</v>
      </c>
      <c r="Q935" s="74">
        <f>SIP[[#This Row],[Amount]]-SIP[[#This Row],[Unit Capital]]</f>
        <v>770</v>
      </c>
      <c r="R9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11.044698544698544</v>
      </c>
      <c r="S935" s="68">
        <f t="shared" si="43"/>
        <v>14.224</v>
      </c>
      <c r="T9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5" s="74" cm="1">
        <f t="array" ref="U935">IF(SIP[[#This Row],[B/S]]="S",ABS(SIP[[#This Row],[Unit]])*(INDEX(SIP[NAV at Cost (Average)],MATCH(CONCATENATE((SIP[[#This Row],[Frequency]]-1),SIP[[#This Row],[Investor ID]]),SIP[Unique Code],0),0)),0)</f>
        <v>0</v>
      </c>
      <c r="V935" s="74">
        <f>IF(SIP[[#This Row],[BO TRANSFER]]="YES",SIP[[#This Row],[Unit]],)</f>
        <v>0</v>
      </c>
      <c r="W935" s="74">
        <f>SUMIFS(SIP[[#Headers],[BO UNIT TRANSFER]]:SIP[[#This Row],[BO UNIT TRANSFER]],SIP[[#Headers],[Investor ID]]:SIP[[#This Row],[Investor ID]],SIP[[#This Row],[Investor ID]])</f>
        <v>0</v>
      </c>
    </row>
    <row r="936" spans="1:23" ht="15" customHeight="1">
      <c r="A936" s="46">
        <v>2025</v>
      </c>
      <c r="B936" s="46">
        <v>1</v>
      </c>
      <c r="C936" s="46">
        <v>5</v>
      </c>
      <c r="D936" s="65">
        <f>DATE(SIP[[#This Row],[Year]],SIP[[#This Row],[Month]],SIP[[#This Row],[Day]])</f>
        <v>45662</v>
      </c>
      <c r="E936" s="66" t="str" cm="1">
        <f t="array" ref="E936">INDEX(INVESTORS_LIST[INVESTOR NAME],MATCH(SIP[[#This Row],[Investor ID]],INVESTORS_LIST[INVESTOR CODE],0),)</f>
        <v>FAIYEAD AHMEDUL HYE</v>
      </c>
      <c r="F936" s="46" t="s">
        <v>368</v>
      </c>
      <c r="G936" s="46">
        <f>COUNTIF(SIP[[#Headers],[Investor ID]]:SIP[[#This Row],[Investor ID]],SIP[[#This Row],[Investor ID]])</f>
        <v>20</v>
      </c>
      <c r="H936" s="46" t="str">
        <f>CONCATENATE(SIP[[#This Row],[Frequency]],SIP[[#This Row],[Investor ID]])</f>
        <v>20A00160</v>
      </c>
      <c r="I936" s="46" t="str">
        <f>IF(SIP[[#This Row],[B/S]]="B","BUY",(IF(SIP[[#This Row],[B/S]]="S","SELL"," ")))</f>
        <v>BUY</v>
      </c>
      <c r="J936" s="150" t="s">
        <v>1229</v>
      </c>
      <c r="K936" s="152">
        <v>15000</v>
      </c>
      <c r="L936" s="122"/>
      <c r="M936" s="123">
        <f>SIP[[#This Row],[Amount]]/SIP[[#This Row],[Unit]]</f>
        <v>11.829652996845425</v>
      </c>
      <c r="N936" s="71">
        <f>SIP[[#This Row],[Unit Capital]]/10</f>
        <v>1268</v>
      </c>
      <c r="O936" s="71">
        <f>SUMIFS(SIP[[#Headers],[Unit]]:SIP[[#This Row],[Unit]],SIP[[#Headers],[Investor ID]]:SIP[[#This Row],[Investor ID]],SIP[[#This Row],[Investor ID]])</f>
        <v>27467</v>
      </c>
      <c r="P936" s="153">
        <v>12680</v>
      </c>
      <c r="Q936" s="74">
        <f>SIP[[#This Row],[Amount]]-SIP[[#This Row],[Unit Capital]]</f>
        <v>2320</v>
      </c>
      <c r="R9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10.922197546146284</v>
      </c>
      <c r="S936" s="68">
        <f t="shared" si="43"/>
        <v>14.224</v>
      </c>
      <c r="T9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6" s="74" cm="1">
        <f t="array" ref="U936">IF(SIP[[#This Row],[B/S]]="S",ABS(SIP[[#This Row],[Unit]])*(INDEX(SIP[NAV at Cost (Average)],MATCH(CONCATENATE((SIP[[#This Row],[Frequency]]-1),SIP[[#This Row],[Investor ID]]),SIP[Unique Code],0),0)),0)</f>
        <v>0</v>
      </c>
      <c r="V936" s="74">
        <f>IF(SIP[[#This Row],[BO TRANSFER]]="YES",SIP[[#This Row],[Unit]],)</f>
        <v>0</v>
      </c>
      <c r="W936" s="74">
        <f>SUMIFS(SIP[[#Headers],[BO UNIT TRANSFER]]:SIP[[#This Row],[BO UNIT TRANSFER]],SIP[[#Headers],[Investor ID]]:SIP[[#This Row],[Investor ID]],SIP[[#This Row],[Investor ID]])</f>
        <v>0</v>
      </c>
    </row>
    <row r="937" spans="1:23" ht="15" customHeight="1">
      <c r="A937" s="46">
        <v>2025</v>
      </c>
      <c r="B937" s="46">
        <v>1</v>
      </c>
      <c r="C937" s="46">
        <v>5</v>
      </c>
      <c r="D937" s="65">
        <f>DATE(SIP[[#This Row],[Year]],SIP[[#This Row],[Month]],SIP[[#This Row],[Day]])</f>
        <v>45662</v>
      </c>
      <c r="E937" s="66" t="str" cm="1">
        <f t="array" ref="E937">INDEX(INVESTORS_LIST[INVESTOR NAME],MATCH(SIP[[#This Row],[Investor ID]],INVESTORS_LIST[INVESTOR CODE],0),)</f>
        <v>CHAONIKA SAHA</v>
      </c>
      <c r="F937" s="46" t="s">
        <v>238</v>
      </c>
      <c r="G937" s="46">
        <f>COUNTIF(SIP[[#Headers],[Investor ID]]:SIP[[#This Row],[Investor ID]],SIP[[#This Row],[Investor ID]])</f>
        <v>17</v>
      </c>
      <c r="H937" s="46" t="str">
        <f>CONCATENATE(SIP[[#This Row],[Frequency]],SIP[[#This Row],[Investor ID]])</f>
        <v>17A00095</v>
      </c>
      <c r="I937" s="46" t="str">
        <f>IF(SIP[[#This Row],[B/S]]="B","BUY",(IF(SIP[[#This Row],[B/S]]="S","SELL"," ")))</f>
        <v>BUY</v>
      </c>
      <c r="J937" s="150" t="s">
        <v>1229</v>
      </c>
      <c r="K937" s="152">
        <v>1000</v>
      </c>
      <c r="L937" s="122"/>
      <c r="M937" s="123">
        <f>SIP[[#This Row],[Amount]]/SIP[[#This Row],[Unit]]</f>
        <v>11.764705882352942</v>
      </c>
      <c r="N937" s="71">
        <f>SIP[[#This Row],[Unit Capital]]/10</f>
        <v>85</v>
      </c>
      <c r="O937" s="71">
        <f>SUMIFS(SIP[[#Headers],[Unit]]:SIP[[#This Row],[Unit]],SIP[[#Headers],[Investor ID]]:SIP[[#This Row],[Investor ID]],SIP[[#This Row],[Investor ID]])</f>
        <v>1540</v>
      </c>
      <c r="P937" s="153">
        <v>850</v>
      </c>
      <c r="Q937" s="74">
        <f>SIP[[#This Row],[Amount]]-SIP[[#This Row],[Unit Capital]]</f>
        <v>150</v>
      </c>
      <c r="R9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11.038961038961039</v>
      </c>
      <c r="S937" s="68">
        <f t="shared" si="43"/>
        <v>14.224</v>
      </c>
      <c r="T9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7" s="74" cm="1">
        <f t="array" ref="U937">IF(SIP[[#This Row],[B/S]]="S",ABS(SIP[[#This Row],[Unit]])*(INDEX(SIP[NAV at Cost (Average)],MATCH(CONCATENATE((SIP[[#This Row],[Frequency]]-1),SIP[[#This Row],[Investor ID]]),SIP[Unique Code],0),0)),0)</f>
        <v>0</v>
      </c>
      <c r="V937" s="74">
        <f>IF(SIP[[#This Row],[BO TRANSFER]]="YES",SIP[[#This Row],[Unit]],)</f>
        <v>0</v>
      </c>
      <c r="W937" s="74">
        <f>SUMIFS(SIP[[#Headers],[BO UNIT TRANSFER]]:SIP[[#This Row],[BO UNIT TRANSFER]],SIP[[#Headers],[Investor ID]]:SIP[[#This Row],[Investor ID]],SIP[[#This Row],[Investor ID]])</f>
        <v>0</v>
      </c>
    </row>
    <row r="938" spans="1:23" ht="15" customHeight="1">
      <c r="A938" s="46">
        <v>2025</v>
      </c>
      <c r="B938" s="46">
        <v>1</v>
      </c>
      <c r="C938" s="46">
        <v>5</v>
      </c>
      <c r="D938" s="65">
        <f>DATE(SIP[[#This Row],[Year]],SIP[[#This Row],[Month]],SIP[[#This Row],[Day]])</f>
        <v>45662</v>
      </c>
      <c r="E938" s="66" t="str" cm="1">
        <f t="array" ref="E938">INDEX(INVESTORS_LIST[INVESTOR NAME],MATCH(SIP[[#This Row],[Investor ID]],INVESTORS_LIST[INVESTOR CODE],0),)</f>
        <v>KAZI AHSAN MARUF</v>
      </c>
      <c r="F938" s="46" t="s">
        <v>158</v>
      </c>
      <c r="G938" s="46">
        <f>COUNTIF(SIP[[#Headers],[Investor ID]]:SIP[[#This Row],[Investor ID]],SIP[[#This Row],[Investor ID]])</f>
        <v>22</v>
      </c>
      <c r="H938" s="46" t="str">
        <f>CONCATENATE(SIP[[#This Row],[Frequency]],SIP[[#This Row],[Investor ID]])</f>
        <v>22A00055</v>
      </c>
      <c r="I938" s="46" t="str">
        <f>IF(SIP[[#This Row],[B/S]]="B","BUY",(IF(SIP[[#This Row],[B/S]]="S","SELL"," ")))</f>
        <v>BUY</v>
      </c>
      <c r="J938" s="150" t="s">
        <v>1229</v>
      </c>
      <c r="K938" s="152">
        <v>10000</v>
      </c>
      <c r="L938" s="122"/>
      <c r="M938" s="123">
        <f>SIP[[#This Row],[Amount]]/SIP[[#This Row],[Unit]]</f>
        <v>11.82033096926714</v>
      </c>
      <c r="N938" s="71">
        <f>SIP[[#This Row],[Unit Capital]]/10</f>
        <v>846</v>
      </c>
      <c r="O938" s="71">
        <f>SUMIFS(SIP[[#Headers],[Unit]]:SIP[[#This Row],[Unit]],SIP[[#Headers],[Investor ID]]:SIP[[#This Row],[Investor ID]],SIP[[#This Row],[Investor ID]])</f>
        <v>4574</v>
      </c>
      <c r="P938" s="153">
        <v>8460</v>
      </c>
      <c r="Q938" s="74">
        <f>SIP[[#This Row],[Amount]]-SIP[[#This Row],[Unit Capital]]</f>
        <v>1540</v>
      </c>
      <c r="R9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10.988170303877517</v>
      </c>
      <c r="S938" s="68">
        <f t="shared" si="43"/>
        <v>14.224</v>
      </c>
      <c r="T9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8" s="74" cm="1">
        <f t="array" ref="U938">IF(SIP[[#This Row],[B/S]]="S",ABS(SIP[[#This Row],[Unit]])*(INDEX(SIP[NAV at Cost (Average)],MATCH(CONCATENATE((SIP[[#This Row],[Frequency]]-1),SIP[[#This Row],[Investor ID]]),SIP[Unique Code],0),0)),0)</f>
        <v>0</v>
      </c>
      <c r="V938" s="74">
        <f>IF(SIP[[#This Row],[BO TRANSFER]]="YES",SIP[[#This Row],[Unit]],)</f>
        <v>0</v>
      </c>
      <c r="W938" s="74">
        <f>SUMIFS(SIP[[#Headers],[BO UNIT TRANSFER]]:SIP[[#This Row],[BO UNIT TRANSFER]],SIP[[#Headers],[Investor ID]]:SIP[[#This Row],[Investor ID]],SIP[[#This Row],[Investor ID]])</f>
        <v>0</v>
      </c>
    </row>
    <row r="939" spans="1:23" ht="15" customHeight="1">
      <c r="A939" s="46">
        <v>2025</v>
      </c>
      <c r="B939" s="46">
        <v>1</v>
      </c>
      <c r="C939" s="46">
        <v>5</v>
      </c>
      <c r="D939" s="65">
        <f>DATE(SIP[[#This Row],[Year]],SIP[[#This Row],[Month]],SIP[[#This Row],[Day]])</f>
        <v>45662</v>
      </c>
      <c r="E939" s="66" t="str" cm="1">
        <f t="array" ref="E939">INDEX(INVESTORS_LIST[INVESTOR NAME],MATCH(SIP[[#This Row],[Investor ID]],INVESTORS_LIST[INVESTOR CODE],0),)</f>
        <v>AHMED BIN MONSUR</v>
      </c>
      <c r="F939" s="46" t="s">
        <v>692</v>
      </c>
      <c r="G939" s="46">
        <f>COUNTIF(SIP[[#Headers],[Investor ID]]:SIP[[#This Row],[Investor ID]],SIP[[#This Row],[Investor ID]])</f>
        <v>8</v>
      </c>
      <c r="H939" s="46" t="str">
        <f>CONCATENATE(SIP[[#This Row],[Frequency]],SIP[[#This Row],[Investor ID]])</f>
        <v>8A00322</v>
      </c>
      <c r="I939" s="46" t="str">
        <f>IF(SIP[[#This Row],[B/S]]="B","BUY",(IF(SIP[[#This Row],[B/S]]="S","SELL"," ")))</f>
        <v>BUY</v>
      </c>
      <c r="J939" s="150" t="s">
        <v>1229</v>
      </c>
      <c r="K939" s="152">
        <v>20000</v>
      </c>
      <c r="L939" s="122"/>
      <c r="M939" s="123">
        <f>SIP[[#This Row],[Amount]]/SIP[[#This Row],[Unit]]</f>
        <v>11.827321111768185</v>
      </c>
      <c r="N939" s="71">
        <f>SIP[[#This Row],[Unit Capital]]/10</f>
        <v>1691</v>
      </c>
      <c r="O939" s="71">
        <f>SUMIFS(SIP[[#Headers],[Unit]]:SIP[[#This Row],[Unit]],SIP[[#Headers],[Investor ID]]:SIP[[#This Row],[Investor ID]],SIP[[#This Row],[Investor ID]])</f>
        <v>13973</v>
      </c>
      <c r="P939" s="153">
        <v>16910</v>
      </c>
      <c r="Q939" s="74">
        <f>SIP[[#This Row],[Amount]]-SIP[[#This Row],[Unit Capital]]</f>
        <v>3090</v>
      </c>
      <c r="R9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11.450654834323339</v>
      </c>
      <c r="S939" s="68">
        <f t="shared" si="43"/>
        <v>14.224</v>
      </c>
      <c r="T9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9" s="74" cm="1">
        <f t="array" ref="U939">IF(SIP[[#This Row],[B/S]]="S",ABS(SIP[[#This Row],[Unit]])*(INDEX(SIP[NAV at Cost (Average)],MATCH(CONCATENATE((SIP[[#This Row],[Frequency]]-1),SIP[[#This Row],[Investor ID]]),SIP[Unique Code],0),0)),0)</f>
        <v>0</v>
      </c>
      <c r="V939" s="74">
        <f>IF(SIP[[#This Row],[BO TRANSFER]]="YES",SIP[[#This Row],[Unit]],)</f>
        <v>0</v>
      </c>
      <c r="W939" s="74">
        <f>SUMIFS(SIP[[#Headers],[BO UNIT TRANSFER]]:SIP[[#This Row],[BO UNIT TRANSFER]],SIP[[#Headers],[Investor ID]]:SIP[[#This Row],[Investor ID]],SIP[[#This Row],[Investor ID]])</f>
        <v>0</v>
      </c>
    </row>
    <row r="940" spans="1:23" ht="15" customHeight="1">
      <c r="A940" s="46">
        <v>2025</v>
      </c>
      <c r="B940" s="46">
        <v>1</v>
      </c>
      <c r="C940" s="46">
        <v>5</v>
      </c>
      <c r="D940" s="65">
        <f>DATE(SIP[[#This Row],[Year]],SIP[[#This Row],[Month]],SIP[[#This Row],[Day]])</f>
        <v>45662</v>
      </c>
      <c r="E940" s="66" t="str" cm="1">
        <f t="array" ref="E940">INDEX(INVESTORS_LIST[INVESTOR NAME],MATCH(SIP[[#This Row],[Investor ID]],INVESTORS_LIST[INVESTOR CODE],0),)</f>
        <v>AKIB TANVIR ANJUM</v>
      </c>
      <c r="F940" s="46" t="s">
        <v>1116</v>
      </c>
      <c r="G940" s="46">
        <f>COUNTIF(SIP[[#Headers],[Investor ID]]:SIP[[#This Row],[Investor ID]],SIP[[#This Row],[Investor ID]])</f>
        <v>16</v>
      </c>
      <c r="H940" s="46" t="str">
        <f>CONCATENATE(SIP[[#This Row],[Frequency]],SIP[[#This Row],[Investor ID]])</f>
        <v>16A00533</v>
      </c>
      <c r="I940" s="46" t="str">
        <f>IF(SIP[[#This Row],[B/S]]="B","BUY",(IF(SIP[[#This Row],[B/S]]="S","SELL"," ")))</f>
        <v>BUY</v>
      </c>
      <c r="J940" s="150" t="s">
        <v>1229</v>
      </c>
      <c r="K940" s="152">
        <v>4000</v>
      </c>
      <c r="L940" s="122"/>
      <c r="M940" s="123">
        <f>SIP[[#This Row],[Amount]]/SIP[[#This Row],[Unit]]</f>
        <v>11.834319526627219</v>
      </c>
      <c r="N940" s="71">
        <f>SIP[[#This Row],[Unit Capital]]/10</f>
        <v>338</v>
      </c>
      <c r="O940" s="71">
        <f>SUMIFS(SIP[[#Headers],[Unit]]:SIP[[#This Row],[Unit]],SIP[[#Headers],[Investor ID]]:SIP[[#This Row],[Investor ID]],SIP[[#This Row],[Investor ID]])</f>
        <v>1107</v>
      </c>
      <c r="P940" s="153">
        <v>3380</v>
      </c>
      <c r="Q940" s="74">
        <f>SIP[[#This Row],[Amount]]-SIP[[#This Row],[Unit Capital]]</f>
        <v>620</v>
      </c>
      <c r="R9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11.540411069131578</v>
      </c>
      <c r="S940" s="68">
        <f t="shared" si="43"/>
        <v>14.224</v>
      </c>
      <c r="T9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0" s="74" cm="1">
        <f t="array" ref="U940">IF(SIP[[#This Row],[B/S]]="S",ABS(SIP[[#This Row],[Unit]])*(INDEX(SIP[NAV at Cost (Average)],MATCH(CONCATENATE((SIP[[#This Row],[Frequency]]-1),SIP[[#This Row],[Investor ID]]),SIP[Unique Code],0),0)),0)</f>
        <v>0</v>
      </c>
      <c r="V940" s="74">
        <f>IF(SIP[[#This Row],[BO TRANSFER]]="YES",SIP[[#This Row],[Unit]],)</f>
        <v>0</v>
      </c>
      <c r="W940" s="74">
        <f>SUMIFS(SIP[[#Headers],[BO UNIT TRANSFER]]:SIP[[#This Row],[BO UNIT TRANSFER]],SIP[[#Headers],[Investor ID]]:SIP[[#This Row],[Investor ID]],SIP[[#This Row],[Investor ID]])</f>
        <v>0</v>
      </c>
    </row>
    <row r="941" spans="1:23" ht="15" customHeight="1">
      <c r="A941" s="101">
        <v>2025</v>
      </c>
      <c r="B941" s="101">
        <v>1</v>
      </c>
      <c r="C941" s="101">
        <v>5</v>
      </c>
      <c r="D941" s="65">
        <f>DATE(SIP[[#This Row],[Year]],SIP[[#This Row],[Month]],SIP[[#This Row],[Day]])</f>
        <v>45662</v>
      </c>
      <c r="E941" s="66" t="str" cm="1">
        <f t="array" ref="E941">INDEX(INVESTORS_LIST[INVESTOR NAME],MATCH(SIP[[#This Row],[Investor ID]],INVESTORS_LIST[INVESTOR CODE],0),)</f>
        <v>AHMED BIN MONSUR</v>
      </c>
      <c r="F941" s="166" t="s">
        <v>692</v>
      </c>
      <c r="G941" s="46">
        <f>COUNTIF(SIP[[#Headers],[Investor ID]]:SIP[[#This Row],[Investor ID]],SIP[[#This Row],[Investor ID]])</f>
        <v>9</v>
      </c>
      <c r="H941" s="46" t="str">
        <f>CONCATENATE(SIP[[#This Row],[Frequency]],SIP[[#This Row],[Investor ID]])</f>
        <v>9A00322</v>
      </c>
      <c r="I941" s="46" t="str">
        <f>IF(SIP[[#This Row],[B/S]]="B","BUY",(IF(SIP[[#This Row],[B/S]]="S","SELL"," ")))</f>
        <v>SELL</v>
      </c>
      <c r="J941" s="150" t="s">
        <v>1231</v>
      </c>
      <c r="K941" s="152">
        <v>-145259.21</v>
      </c>
      <c r="L941" s="122"/>
      <c r="M941" s="123">
        <f>SIP[[#This Row],[Amount]]/SIP[[#This Row],[Unit]]</f>
        <v>11.826999674320142</v>
      </c>
      <c r="N941" s="71">
        <f>SIP[[#This Row],[Unit Capital]]/10</f>
        <v>-12282</v>
      </c>
      <c r="O941" s="71">
        <f>SUMIFS(SIP[[#Headers],[Unit]]:SIP[[#This Row],[Unit]],SIP[[#Headers],[Investor ID]]:SIP[[#This Row],[Investor ID]],SIP[[#This Row],[Investor ID]])</f>
        <v>1691</v>
      </c>
      <c r="P941" s="153">
        <v>-122820</v>
      </c>
      <c r="Q941" s="74">
        <f>SIP[[#This Row],[Amount]]-SIP[[#This Row],[Unit Capital]]</f>
        <v>-22439.209999999992</v>
      </c>
      <c r="R9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11.450654834323339</v>
      </c>
      <c r="S941" s="68">
        <f t="shared" si="43"/>
        <v>14.224</v>
      </c>
      <c r="T941" s="74">
        <f>IF(SIP[[#This Row],[B/S]]="B",0,ABS(SIP[[#This Row],[Unit]])*(SIP[[#This Row],[NAV (Strike Rate)]]-INDEX(SIP[NAV at Cost (Average)],MATCH(CONCATENATE(SIP[[#This Row],[Frequency]]-1,SIP[[#This Row],[Investor ID]]),SIP[Unique Code],0),)))</f>
        <v>4622.2673248407264</v>
      </c>
      <c r="U941" s="74" cm="1">
        <f t="array" ref="U941">IF(SIP[[#This Row],[B/S]]="S",ABS(SIP[[#This Row],[Unit]])*(INDEX(SIP[NAV at Cost (Average)],MATCH(CONCATENATE((SIP[[#This Row],[Frequency]]-1),SIP[[#This Row],[Investor ID]]),SIP[Unique Code],0),0)),0)</f>
        <v>140636.94267515925</v>
      </c>
      <c r="V941" s="74">
        <f>IF(SIP[[#This Row],[BO TRANSFER]]="YES",SIP[[#This Row],[Unit]],)</f>
        <v>0</v>
      </c>
      <c r="W941" s="74">
        <f>SUMIFS(SIP[[#Headers],[BO UNIT TRANSFER]]:SIP[[#This Row],[BO UNIT TRANSFER]],SIP[[#Headers],[Investor ID]]:SIP[[#This Row],[Investor ID]],SIP[[#This Row],[Investor ID]])</f>
        <v>0</v>
      </c>
    </row>
    <row r="942" spans="1:23" ht="15" customHeight="1">
      <c r="A942" s="101">
        <v>2025</v>
      </c>
      <c r="B942" s="101">
        <v>1</v>
      </c>
      <c r="C942" s="101">
        <v>8</v>
      </c>
      <c r="D942" s="65">
        <f>DATE(SIP[[#This Row],[Year]],SIP[[#This Row],[Month]],SIP[[#This Row],[Day]])</f>
        <v>45665</v>
      </c>
      <c r="E942" s="66" t="str" cm="1">
        <f t="array" ref="E942">INDEX(INVESTORS_LIST[INVESTOR NAME],MATCH(SIP[[#This Row],[Investor ID]],INVESTORS_LIST[INVESTOR CODE],0),)</f>
        <v>SHUVA SAHA</v>
      </c>
      <c r="F942" s="150" t="s">
        <v>154</v>
      </c>
      <c r="G942" s="46">
        <f>COUNTIF(SIP[[#Headers],[Investor ID]]:SIP[[#This Row],[Investor ID]],SIP[[#This Row],[Investor ID]])</f>
        <v>20</v>
      </c>
      <c r="H942" s="46" t="str">
        <f>CONCATENATE(SIP[[#This Row],[Frequency]],SIP[[#This Row],[Investor ID]])</f>
        <v>20A00053</v>
      </c>
      <c r="I942" s="46" t="str">
        <f>IF(SIP[[#This Row],[B/S]]="B","BUY",(IF(SIP[[#This Row],[B/S]]="S","SELL"," ")))</f>
        <v>SELL</v>
      </c>
      <c r="J942" s="150" t="s">
        <v>1231</v>
      </c>
      <c r="K942" s="152">
        <v>-700000</v>
      </c>
      <c r="L942" s="69"/>
      <c r="M942" s="123">
        <f>SIP[[#This Row],[Amount]]/SIP[[#This Row],[Unit]]</f>
        <v>11.826921452345955</v>
      </c>
      <c r="N942" s="71">
        <f>SIP[[#This Row],[Unit Capital]]/10</f>
        <v>-59187</v>
      </c>
      <c r="O942" s="71">
        <f>SUMIFS(SIP[[#Headers],[Unit]]:SIP[[#This Row],[Unit]],SIP[[#Headers],[Investor ID]]:SIP[[#This Row],[Investor ID]],SIP[[#This Row],[Investor ID]])</f>
        <v>41438</v>
      </c>
      <c r="P942" s="153">
        <v>-591870</v>
      </c>
      <c r="Q942" s="74">
        <f>SIP[[#This Row],[Amount]]-SIP[[#This Row],[Unit Capital]]</f>
        <v>-108130</v>
      </c>
      <c r="R9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10.687749614110915</v>
      </c>
      <c r="S942" s="68">
        <f t="shared" si="43"/>
        <v>14.224</v>
      </c>
      <c r="T942" s="74">
        <f>IF(SIP[[#This Row],[B/S]]="B",0,ABS(SIP[[#This Row],[Unit]])*(SIP[[#This Row],[NAV (Strike Rate)]]-INDEX(SIP[NAV at Cost (Average)],MATCH(CONCATENATE(SIP[[#This Row],[Frequency]]-1,SIP[[#This Row],[Investor ID]]),SIP[Unique Code],0),)))</f>
        <v>67424.163589617296</v>
      </c>
      <c r="U942" s="74" cm="1">
        <f t="array" ref="U942">IF(SIP[[#This Row],[B/S]]="S",ABS(SIP[[#This Row],[Unit]])*(INDEX(SIP[NAV at Cost (Average)],MATCH(CONCATENATE((SIP[[#This Row],[Frequency]]-1),SIP[[#This Row],[Investor ID]]),SIP[Unique Code],0),0)),0)</f>
        <v>632575.83641038276</v>
      </c>
      <c r="V942" s="74">
        <f>IF(SIP[[#This Row],[BO TRANSFER]]="YES",SIP[[#This Row],[Unit]],)</f>
        <v>0</v>
      </c>
      <c r="W942" s="74">
        <f>SUMIFS(SIP[[#Headers],[BO UNIT TRANSFER]]:SIP[[#This Row],[BO UNIT TRANSFER]],SIP[[#Headers],[Investor ID]]:SIP[[#This Row],[Investor ID]],SIP[[#This Row],[Investor ID]])</f>
        <v>0</v>
      </c>
    </row>
    <row r="943" spans="1:23" ht="15" customHeight="1">
      <c r="A943" s="101">
        <v>2025</v>
      </c>
      <c r="B943" s="101">
        <v>1</v>
      </c>
      <c r="C943" s="101">
        <v>15</v>
      </c>
      <c r="D943" s="65">
        <f>DATE(SIP[[#This Row],[Year]],SIP[[#This Row],[Month]],SIP[[#This Row],[Day]])</f>
        <v>45672</v>
      </c>
      <c r="E943" s="66" t="str" cm="1">
        <f t="array" ref="E943">INDEX(INVESTORS_LIST[INVESTOR NAME],MATCH(SIP[[#This Row],[Investor ID]],INVESTORS_LIST[INVESTOR CODE],0),)</f>
        <v>MAHFUZA ANIKA</v>
      </c>
      <c r="F943" s="150" t="s">
        <v>1277</v>
      </c>
      <c r="G943" s="46">
        <f>COUNTIF(SIP[[#Headers],[Investor ID]]:SIP[[#This Row],[Investor ID]],SIP[[#This Row],[Investor ID]])</f>
        <v>7</v>
      </c>
      <c r="H943" s="46" t="str">
        <f>CONCATENATE(SIP[[#This Row],[Frequency]],SIP[[#This Row],[Investor ID]])</f>
        <v>7A00585</v>
      </c>
      <c r="I943" s="46" t="str">
        <f>IF(SIP[[#This Row],[B/S]]="B","BUY",(IF(SIP[[#This Row],[B/S]]="S","SELL"," ")))</f>
        <v>BUY</v>
      </c>
      <c r="J943" s="150" t="s">
        <v>1229</v>
      </c>
      <c r="K943" s="152">
        <v>2000</v>
      </c>
      <c r="L943" s="122"/>
      <c r="M943" s="123">
        <f>SIP[[#This Row],[Amount]]/SIP[[#This Row],[Unit]]</f>
        <v>11.834319526627219</v>
      </c>
      <c r="N943" s="71">
        <f>SIP[[#This Row],[Unit Capital]]/10</f>
        <v>169</v>
      </c>
      <c r="O943" s="71">
        <f>SUMIFS(SIP[[#Headers],[Unit]]:SIP[[#This Row],[Unit]],SIP[[#Headers],[Investor ID]]:SIP[[#This Row],[Investor ID]],SIP[[#This Row],[Investor ID]])</f>
        <v>1035</v>
      </c>
      <c r="P943" s="153">
        <v>1690</v>
      </c>
      <c r="Q943" s="74">
        <f>SIP[[#This Row],[Amount]]-SIP[[#This Row],[Unit Capital]]</f>
        <v>310</v>
      </c>
      <c r="R9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11.594202898550726</v>
      </c>
      <c r="S943" s="68">
        <f t="shared" ref="S943:S948" si="44">NAV_MKT</f>
        <v>14.224</v>
      </c>
      <c r="T9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3" s="74" cm="1">
        <f t="array" ref="U943">IF(SIP[[#This Row],[B/S]]="S",ABS(SIP[[#This Row],[Unit]])*(INDEX(SIP[NAV at Cost (Average)],MATCH(CONCATENATE((SIP[[#This Row],[Frequency]]-1),SIP[[#This Row],[Investor ID]]),SIP[Unique Code],0),0)),0)</f>
        <v>0</v>
      </c>
      <c r="V943" s="74">
        <f>IF(SIP[[#This Row],[BO TRANSFER]]="YES",SIP[[#This Row],[Unit]],)</f>
        <v>0</v>
      </c>
      <c r="W943" s="74">
        <f>SUMIFS(SIP[[#Headers],[BO UNIT TRANSFER]]:SIP[[#This Row],[BO UNIT TRANSFER]],SIP[[#Headers],[Investor ID]]:SIP[[#This Row],[Investor ID]],SIP[[#This Row],[Investor ID]])</f>
        <v>0</v>
      </c>
    </row>
    <row r="944" spans="1:23" ht="15" customHeight="1">
      <c r="A944" s="101">
        <v>2025</v>
      </c>
      <c r="B944" s="101">
        <v>1</v>
      </c>
      <c r="C944" s="101">
        <v>15</v>
      </c>
      <c r="D944" s="65">
        <f>DATE(SIP[[#This Row],[Year]],SIP[[#This Row],[Month]],SIP[[#This Row],[Day]])</f>
        <v>45672</v>
      </c>
      <c r="E944" s="66" t="str" cm="1">
        <f t="array" ref="E944">INDEX(INVESTORS_LIST[INVESTOR NAME],MATCH(SIP[[#This Row],[Investor ID]],INVESTORS_LIST[INVESTOR CODE],0),)</f>
        <v>ASRAAR HOSSAIN</v>
      </c>
      <c r="F944" s="150" t="s">
        <v>786</v>
      </c>
      <c r="G944" s="46">
        <f>COUNTIF(SIP[[#Headers],[Investor ID]]:SIP[[#This Row],[Investor ID]],SIP[[#This Row],[Investor ID]])</f>
        <v>4</v>
      </c>
      <c r="H944" s="46" t="str">
        <f>CONCATENATE(SIP[[#This Row],[Frequency]],SIP[[#This Row],[Investor ID]])</f>
        <v>4A00369</v>
      </c>
      <c r="I944" s="46" t="str">
        <f>IF(SIP[[#This Row],[B/S]]="B","BUY",(IF(SIP[[#This Row],[B/S]]="S","SELL"," ")))</f>
        <v>BUY</v>
      </c>
      <c r="J944" s="150" t="s">
        <v>1229</v>
      </c>
      <c r="K944" s="152">
        <v>15000</v>
      </c>
      <c r="L944" s="122"/>
      <c r="M944" s="123">
        <f>SIP[[#This Row],[Amount]]/SIP[[#This Row],[Unit]]</f>
        <v>11.848341232227488</v>
      </c>
      <c r="N944" s="71">
        <f>SIP[[#This Row],[Unit Capital]]/10</f>
        <v>1266</v>
      </c>
      <c r="O944" s="71">
        <f>SUMIFS(SIP[[#Headers],[Unit]]:SIP[[#This Row],[Unit]],SIP[[#Headers],[Investor ID]]:SIP[[#This Row],[Investor ID]],SIP[[#This Row],[Investor ID]])</f>
        <v>5127</v>
      </c>
      <c r="P944" s="153">
        <v>12660</v>
      </c>
      <c r="Q944" s="74">
        <f>SIP[[#This Row],[Amount]]-SIP[[#This Row],[Unit Capital]]</f>
        <v>2340</v>
      </c>
      <c r="R9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11.702750146284377</v>
      </c>
      <c r="S944" s="68">
        <f t="shared" si="44"/>
        <v>14.224</v>
      </c>
      <c r="T9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4" s="74" cm="1">
        <f t="array" ref="U944">IF(SIP[[#This Row],[B/S]]="S",ABS(SIP[[#This Row],[Unit]])*(INDEX(SIP[NAV at Cost (Average)],MATCH(CONCATENATE((SIP[[#This Row],[Frequency]]-1),SIP[[#This Row],[Investor ID]]),SIP[Unique Code],0),0)),0)</f>
        <v>0</v>
      </c>
      <c r="V944" s="74">
        <f>IF(SIP[[#This Row],[BO TRANSFER]]="YES",SIP[[#This Row],[Unit]],)</f>
        <v>0</v>
      </c>
      <c r="W944" s="74">
        <f>SUMIFS(SIP[[#Headers],[BO UNIT TRANSFER]]:SIP[[#This Row],[BO UNIT TRANSFER]],SIP[[#Headers],[Investor ID]]:SIP[[#This Row],[Investor ID]],SIP[[#This Row],[Investor ID]])</f>
        <v>0</v>
      </c>
    </row>
    <row r="945" spans="1:23" ht="15" customHeight="1">
      <c r="A945" s="101">
        <v>2025</v>
      </c>
      <c r="B945" s="101">
        <v>1</v>
      </c>
      <c r="C945" s="101">
        <v>15</v>
      </c>
      <c r="D945" s="65">
        <f>DATE(SIP[[#This Row],[Year]],SIP[[#This Row],[Month]],SIP[[#This Row],[Day]])</f>
        <v>45672</v>
      </c>
      <c r="E945" s="66" t="str" cm="1">
        <f t="array" ref="E945">INDEX(INVESTORS_LIST[INVESTOR NAME],MATCH(SIP[[#This Row],[Investor ID]],INVESTORS_LIST[INVESTOR CODE],0),)</f>
        <v>MD. RAFIQUR RAHMAN</v>
      </c>
      <c r="F945" s="150" t="s">
        <v>622</v>
      </c>
      <c r="G945" s="46">
        <f>COUNTIF(SIP[[#Headers],[Investor ID]]:SIP[[#This Row],[Investor ID]],SIP[[#This Row],[Investor ID]])</f>
        <v>17</v>
      </c>
      <c r="H945" s="46" t="str">
        <f>CONCATENATE(SIP[[#This Row],[Frequency]],SIP[[#This Row],[Investor ID]])</f>
        <v>17A00287</v>
      </c>
      <c r="I945" s="46" t="str">
        <f>IF(SIP[[#This Row],[B/S]]="B","BUY",(IF(SIP[[#This Row],[B/S]]="S","SELL"," ")))</f>
        <v>BUY</v>
      </c>
      <c r="J945" s="150" t="s">
        <v>1229</v>
      </c>
      <c r="K945" s="152">
        <v>20000</v>
      </c>
      <c r="L945" s="122"/>
      <c r="M945" s="123">
        <f>SIP[[#This Row],[Amount]]/SIP[[#This Row],[Unit]]</f>
        <v>11.855364552459989</v>
      </c>
      <c r="N945" s="71">
        <f>SIP[[#This Row],[Unit Capital]]/10</f>
        <v>1687</v>
      </c>
      <c r="O945" s="71">
        <f>SUMIFS(SIP[[#Headers],[Unit]]:SIP[[#This Row],[Unit]],SIP[[#Headers],[Investor ID]]:SIP[[#This Row],[Investor ID]],SIP[[#This Row],[Investor ID]])</f>
        <v>30712</v>
      </c>
      <c r="P945" s="153">
        <v>16870</v>
      </c>
      <c r="Q945" s="74">
        <f>SIP[[#This Row],[Amount]]-SIP[[#This Row],[Unit Capital]]</f>
        <v>3130</v>
      </c>
      <c r="R9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11.070591299817657</v>
      </c>
      <c r="S945" s="68">
        <f t="shared" si="44"/>
        <v>14.224</v>
      </c>
      <c r="T9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5" s="74" cm="1">
        <f t="array" ref="U945">IF(SIP[[#This Row],[B/S]]="S",ABS(SIP[[#This Row],[Unit]])*(INDEX(SIP[NAV at Cost (Average)],MATCH(CONCATENATE((SIP[[#This Row],[Frequency]]-1),SIP[[#This Row],[Investor ID]]),SIP[Unique Code],0),0)),0)</f>
        <v>0</v>
      </c>
      <c r="V945" s="74">
        <f>IF(SIP[[#This Row],[BO TRANSFER]]="YES",SIP[[#This Row],[Unit]],)</f>
        <v>0</v>
      </c>
      <c r="W945" s="74">
        <f>SUMIFS(SIP[[#Headers],[BO UNIT TRANSFER]]:SIP[[#This Row],[BO UNIT TRANSFER]],SIP[[#Headers],[Investor ID]]:SIP[[#This Row],[Investor ID]],SIP[[#This Row],[Investor ID]])</f>
        <v>0</v>
      </c>
    </row>
    <row r="946" spans="1:23" ht="15" customHeight="1">
      <c r="A946" s="101">
        <v>2025</v>
      </c>
      <c r="B946" s="101">
        <v>1</v>
      </c>
      <c r="C946" s="101">
        <v>15</v>
      </c>
      <c r="D946" s="65">
        <f>DATE(SIP[[#This Row],[Year]],SIP[[#This Row],[Month]],SIP[[#This Row],[Day]])</f>
        <v>45672</v>
      </c>
      <c r="E946" s="66" t="str" cm="1">
        <f t="array" ref="E946">INDEX(INVESTORS_LIST[INVESTOR NAME],MATCH(SIP[[#This Row],[Investor ID]],INVESTORS_LIST[INVESTOR CODE],0),)</f>
        <v>MAHMUD ALI ALAMGIR &amp; MOHAMMED ALI XAHANGIR</v>
      </c>
      <c r="F946" s="150" t="s">
        <v>1130</v>
      </c>
      <c r="G946" s="46">
        <f>COUNTIF(SIP[[#Headers],[Investor ID]]:SIP[[#This Row],[Investor ID]],SIP[[#This Row],[Investor ID]])</f>
        <v>11</v>
      </c>
      <c r="H946" s="46" t="str">
        <f>CONCATENATE(SIP[[#This Row],[Frequency]],SIP[[#This Row],[Investor ID]])</f>
        <v>11A00540</v>
      </c>
      <c r="I946" s="46" t="str">
        <f>IF(SIP[[#This Row],[B/S]]="B","BUY",(IF(SIP[[#This Row],[B/S]]="S","SELL"," ")))</f>
        <v>BUY</v>
      </c>
      <c r="J946" s="150" t="s">
        <v>1229</v>
      </c>
      <c r="K946" s="152">
        <v>40000</v>
      </c>
      <c r="L946" s="122"/>
      <c r="M946" s="123">
        <f>SIP[[#This Row],[Amount]]/SIP[[#This Row],[Unit]]</f>
        <v>11.851851851851851</v>
      </c>
      <c r="N946" s="71">
        <f>SIP[[#This Row],[Unit Capital]]/10</f>
        <v>3375</v>
      </c>
      <c r="O946" s="71">
        <f>SUMIFS(SIP[[#Headers],[Unit]]:SIP[[#This Row],[Unit]],SIP[[#Headers],[Investor ID]]:SIP[[#This Row],[Investor ID]],SIP[[#This Row],[Investor ID]])</f>
        <v>29572</v>
      </c>
      <c r="P946" s="153">
        <v>33750</v>
      </c>
      <c r="Q946" s="74">
        <f>SIP[[#This Row],[Amount]]-SIP[[#This Row],[Unit Capital]]</f>
        <v>6250</v>
      </c>
      <c r="R9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11.505701293096708</v>
      </c>
      <c r="S946" s="68">
        <f t="shared" si="44"/>
        <v>14.224</v>
      </c>
      <c r="T9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6" s="74" cm="1">
        <f t="array" ref="U946">IF(SIP[[#This Row],[B/S]]="S",ABS(SIP[[#This Row],[Unit]])*(INDEX(SIP[NAV at Cost (Average)],MATCH(CONCATENATE((SIP[[#This Row],[Frequency]]-1),SIP[[#This Row],[Investor ID]]),SIP[Unique Code],0),0)),0)</f>
        <v>0</v>
      </c>
      <c r="V946" s="74">
        <f>IF(SIP[[#This Row],[BO TRANSFER]]="YES",SIP[[#This Row],[Unit]],)</f>
        <v>0</v>
      </c>
      <c r="W946" s="74">
        <f>SUMIFS(SIP[[#Headers],[BO UNIT TRANSFER]]:SIP[[#This Row],[BO UNIT TRANSFER]],SIP[[#Headers],[Investor ID]]:SIP[[#This Row],[Investor ID]],SIP[[#This Row],[Investor ID]])</f>
        <v>0</v>
      </c>
    </row>
    <row r="947" spans="1:23" ht="15" customHeight="1">
      <c r="A947" s="101">
        <v>2025</v>
      </c>
      <c r="B947" s="101">
        <v>1</v>
      </c>
      <c r="C947" s="101">
        <v>15</v>
      </c>
      <c r="D947" s="65">
        <f>DATE(SIP[[#This Row],[Year]],SIP[[#This Row],[Month]],SIP[[#This Row],[Day]])</f>
        <v>45672</v>
      </c>
      <c r="E947" s="66" t="str" cm="1">
        <f t="array" ref="E947">INDEX(INVESTORS_LIST[INVESTOR NAME],MATCH(SIP[[#This Row],[Investor ID]],INVESTORS_LIST[INVESTOR CODE],0),)</f>
        <v>MAHMUD ALI ALAMGIR &amp; MOHAMMED ALI XAHANGIR</v>
      </c>
      <c r="F947" s="150" t="s">
        <v>1130</v>
      </c>
      <c r="G947" s="46">
        <f>COUNTIF(SIP[[#Headers],[Investor ID]]:SIP[[#This Row],[Investor ID]],SIP[[#This Row],[Investor ID]])</f>
        <v>12</v>
      </c>
      <c r="H947" s="46" t="str">
        <f>CONCATENATE(SIP[[#This Row],[Frequency]],SIP[[#This Row],[Investor ID]])</f>
        <v>12A00540</v>
      </c>
      <c r="I947" s="46" t="str">
        <f>IF(SIP[[#This Row],[B/S]]="B","BUY",(IF(SIP[[#This Row],[B/S]]="S","SELL"," ")))</f>
        <v>BUY</v>
      </c>
      <c r="J947" s="150" t="s">
        <v>1229</v>
      </c>
      <c r="K947" s="152">
        <v>20000</v>
      </c>
      <c r="L947" s="122"/>
      <c r="M947" s="123">
        <f>SIP[[#This Row],[Amount]]/SIP[[#This Row],[Unit]]</f>
        <v>11.855364552459989</v>
      </c>
      <c r="N947" s="71">
        <f>SIP[[#This Row],[Unit Capital]]/10</f>
        <v>1687</v>
      </c>
      <c r="O947" s="71">
        <f>SUMIFS(SIP[[#Headers],[Unit]]:SIP[[#This Row],[Unit]],SIP[[#Headers],[Investor ID]]:SIP[[#This Row],[Investor ID]],SIP[[#This Row],[Investor ID]])</f>
        <v>31259</v>
      </c>
      <c r="P947" s="153">
        <v>16870</v>
      </c>
      <c r="Q947" s="74">
        <f>SIP[[#This Row],[Amount]]-SIP[[#This Row],[Unit Capital]]</f>
        <v>3130</v>
      </c>
      <c r="R9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11.524572079703631</v>
      </c>
      <c r="S947" s="68">
        <f t="shared" si="44"/>
        <v>14.224</v>
      </c>
      <c r="T9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7" s="74" cm="1">
        <f t="array" ref="U947">IF(SIP[[#This Row],[B/S]]="S",ABS(SIP[[#This Row],[Unit]])*(INDEX(SIP[NAV at Cost (Average)],MATCH(CONCATENATE((SIP[[#This Row],[Frequency]]-1),SIP[[#This Row],[Investor ID]]),SIP[Unique Code],0),0)),0)</f>
        <v>0</v>
      </c>
      <c r="V947" s="74">
        <f>IF(SIP[[#This Row],[BO TRANSFER]]="YES",SIP[[#This Row],[Unit]],)</f>
        <v>0</v>
      </c>
      <c r="W947" s="74">
        <f>SUMIFS(SIP[[#Headers],[BO UNIT TRANSFER]]:SIP[[#This Row],[BO UNIT TRANSFER]],SIP[[#Headers],[Investor ID]]:SIP[[#This Row],[Investor ID]],SIP[[#This Row],[Investor ID]])</f>
        <v>0</v>
      </c>
    </row>
    <row r="948" spans="1:23" ht="15" customHeight="1">
      <c r="A948" s="101">
        <v>2025</v>
      </c>
      <c r="B948" s="101">
        <v>1</v>
      </c>
      <c r="C948" s="101">
        <v>15</v>
      </c>
      <c r="D948" s="65">
        <f>DATE(SIP[[#This Row],[Year]],SIP[[#This Row],[Month]],SIP[[#This Row],[Day]])</f>
        <v>45672</v>
      </c>
      <c r="E948" s="66" t="str" cm="1">
        <f t="array" ref="E948">INDEX(INVESTORS_LIST[INVESTOR NAME],MATCH(SIP[[#This Row],[Investor ID]],INVESTORS_LIST[INVESTOR CODE],0),)</f>
        <v>SANJIB KUMAR ROY</v>
      </c>
      <c r="F948" s="150" t="s">
        <v>1020</v>
      </c>
      <c r="G948" s="46">
        <f>COUNTIF(SIP[[#Headers],[Investor ID]]:SIP[[#This Row],[Investor ID]],SIP[[#This Row],[Investor ID]])</f>
        <v>20</v>
      </c>
      <c r="H948" s="46" t="str">
        <f>CONCATENATE(SIP[[#This Row],[Frequency]],SIP[[#This Row],[Investor ID]])</f>
        <v>20A00487</v>
      </c>
      <c r="I948" s="46" t="str">
        <f>IF(SIP[[#This Row],[B/S]]="B","BUY",(IF(SIP[[#This Row],[B/S]]="S","SELL"," ")))</f>
        <v>BUY</v>
      </c>
      <c r="J948" s="150" t="s">
        <v>1229</v>
      </c>
      <c r="K948" s="152">
        <v>5000</v>
      </c>
      <c r="L948" s="122"/>
      <c r="M948" s="123">
        <f>SIP[[#This Row],[Amount]]/SIP[[#This Row],[Unit]]</f>
        <v>11.848341232227488</v>
      </c>
      <c r="N948" s="71">
        <f>SIP[[#This Row],[Unit Capital]]/10</f>
        <v>422</v>
      </c>
      <c r="O948" s="71">
        <f>SUMIFS(SIP[[#Headers],[Unit]]:SIP[[#This Row],[Unit]],SIP[[#Headers],[Investor ID]]:SIP[[#This Row],[Investor ID]],SIP[[#This Row],[Investor ID]])</f>
        <v>9135</v>
      </c>
      <c r="P948" s="153">
        <v>4220</v>
      </c>
      <c r="Q948" s="74">
        <f>SIP[[#This Row],[Amount]]-SIP[[#This Row],[Unit Capital]]</f>
        <v>780</v>
      </c>
      <c r="R9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10.946907498631637</v>
      </c>
      <c r="S948" s="68">
        <f t="shared" si="44"/>
        <v>14.224</v>
      </c>
      <c r="T9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8" s="74" cm="1">
        <f t="array" ref="U948">IF(SIP[[#This Row],[B/S]]="S",ABS(SIP[[#This Row],[Unit]])*(INDEX(SIP[NAV at Cost (Average)],MATCH(CONCATENATE((SIP[[#This Row],[Frequency]]-1),SIP[[#This Row],[Investor ID]]),SIP[Unique Code],0),0)),0)</f>
        <v>0</v>
      </c>
      <c r="V948" s="74">
        <f>IF(SIP[[#This Row],[BO TRANSFER]]="YES",SIP[[#This Row],[Unit]],)</f>
        <v>0</v>
      </c>
      <c r="W948" s="74">
        <f>SUMIFS(SIP[[#Headers],[BO UNIT TRANSFER]]:SIP[[#This Row],[BO UNIT TRANSFER]],SIP[[#Headers],[Investor ID]]:SIP[[#This Row],[Investor ID]],SIP[[#This Row],[Investor ID]])</f>
        <v>0</v>
      </c>
    </row>
    <row r="949" spans="1:23" ht="15" customHeight="1">
      <c r="A949" s="101">
        <v>2025</v>
      </c>
      <c r="B949" s="101">
        <v>1</v>
      </c>
      <c r="C949" s="101">
        <v>23</v>
      </c>
      <c r="D949" s="65">
        <f>DATE(SIP[[#This Row],[Year]],SIP[[#This Row],[Month]],SIP[[#This Row],[Day]])</f>
        <v>45680</v>
      </c>
      <c r="E949" s="66" t="str" cm="1">
        <f t="array" ref="E949">INDEX(INVESTORS_LIST[INVESTOR NAME],MATCH(SIP[[#This Row],[Investor ID]],INVESTORS_LIST[INVESTOR CODE],0),)</f>
        <v>SWADESH RANJAN SAHA</v>
      </c>
      <c r="F949" s="46" t="s">
        <v>234</v>
      </c>
      <c r="G949" s="46">
        <f>COUNTIF(SIP[[#Headers],[Investor ID]]:SIP[[#This Row],[Investor ID]],SIP[[#This Row],[Investor ID]])</f>
        <v>1</v>
      </c>
      <c r="H949" s="46" t="str">
        <f>CONCATENATE(SIP[[#This Row],[Frequency]],SIP[[#This Row],[Investor ID]])</f>
        <v>1A00093</v>
      </c>
      <c r="I949" s="46" t="str">
        <f>IF(SIP[[#This Row],[B/S]]="B","BUY",(IF(SIP[[#This Row],[B/S]]="S","SELL"," ")))</f>
        <v>BUY</v>
      </c>
      <c r="J949" s="150" t="s">
        <v>1229</v>
      </c>
      <c r="K949" s="152">
        <v>50000</v>
      </c>
      <c r="L949" s="122"/>
      <c r="M949" s="123">
        <f>SIP[[#This Row],[Amount]]/SIP[[#This Row],[Unit]]</f>
        <v>11.879306248515087</v>
      </c>
      <c r="N949" s="71">
        <f>SIP[[#This Row],[Unit Capital]]/10</f>
        <v>4209</v>
      </c>
      <c r="O949" s="71">
        <f>SUMIFS(SIP[[#Headers],[Unit]]:SIP[[#This Row],[Unit]],SIP[[#Headers],[Investor ID]]:SIP[[#This Row],[Investor ID]],SIP[[#This Row],[Investor ID]])</f>
        <v>4209</v>
      </c>
      <c r="P949" s="153">
        <v>42090</v>
      </c>
      <c r="Q949" s="74">
        <f>SIP[[#This Row],[Amount]]-SIP[[#This Row],[Unit Capital]]</f>
        <v>7910</v>
      </c>
      <c r="R9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11.879306248515087</v>
      </c>
      <c r="S949" s="68">
        <f t="shared" ref="S949:S979" si="45">NAV_MKT</f>
        <v>14.224</v>
      </c>
      <c r="T9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9" s="74" cm="1">
        <f t="array" ref="U949">IF(SIP[[#This Row],[B/S]]="S",ABS(SIP[[#This Row],[Unit]])*(INDEX(SIP[NAV at Cost (Average)],MATCH(CONCATENATE((SIP[[#This Row],[Frequency]]-1),SIP[[#This Row],[Investor ID]]),SIP[Unique Code],0),0)),0)</f>
        <v>0</v>
      </c>
      <c r="V949" s="74">
        <f>IF(SIP[[#This Row],[BO TRANSFER]]="YES",SIP[[#This Row],[Unit]],)</f>
        <v>0</v>
      </c>
      <c r="W949" s="74">
        <f>SUMIFS(SIP[[#Headers],[BO UNIT TRANSFER]]:SIP[[#This Row],[BO UNIT TRANSFER]],SIP[[#Headers],[Investor ID]]:SIP[[#This Row],[Investor ID]],SIP[[#This Row],[Investor ID]])</f>
        <v>0</v>
      </c>
    </row>
    <row r="950" spans="1:23" ht="15" customHeight="1">
      <c r="A950" s="101">
        <v>2025</v>
      </c>
      <c r="B950" s="101">
        <v>1</v>
      </c>
      <c r="C950" s="101">
        <v>26</v>
      </c>
      <c r="D950" s="65">
        <f>DATE(SIP[[#This Row],[Year]],SIP[[#This Row],[Month]],SIP[[#This Row],[Day]])</f>
        <v>45683</v>
      </c>
      <c r="E950" s="66" t="str" cm="1">
        <f t="array" ref="E950">INDEX(INVESTORS_LIST[INVESTOR NAME],MATCH(SIP[[#This Row],[Investor ID]],INVESTORS_LIST[INVESTOR CODE],0),)</f>
        <v>KHAN MUHAMMAD FAISOL</v>
      </c>
      <c r="F950" s="46" t="s">
        <v>930</v>
      </c>
      <c r="G950" s="46">
        <f>COUNTIF(SIP[[#Headers],[Investor ID]]:SIP[[#This Row],[Investor ID]],SIP[[#This Row],[Investor ID]])</f>
        <v>21</v>
      </c>
      <c r="H950" s="46" t="str">
        <f>CONCATENATE(SIP[[#This Row],[Frequency]],SIP[[#This Row],[Investor ID]])</f>
        <v>21A00442</v>
      </c>
      <c r="I950" s="46" t="str">
        <f>IF(SIP[[#This Row],[B/S]]="B","BUY",(IF(SIP[[#This Row],[B/S]]="S","SELL"," ")))</f>
        <v>BUY</v>
      </c>
      <c r="J950" s="150" t="s">
        <v>1229</v>
      </c>
      <c r="K950" s="152">
        <v>1000</v>
      </c>
      <c r="L950" s="69"/>
      <c r="M950" s="123">
        <f>SIP[[#This Row],[Amount]]/SIP[[#This Row],[Unit]]</f>
        <v>11.904761904761905</v>
      </c>
      <c r="N950" s="71">
        <f>SIP[[#This Row],[Unit Capital]]/10</f>
        <v>84</v>
      </c>
      <c r="O950" s="71">
        <f>SUMIFS(SIP[[#Headers],[Unit]]:SIP[[#This Row],[Unit]],SIP[[#Headers],[Investor ID]]:SIP[[#This Row],[Investor ID]],SIP[[#This Row],[Investor ID]])</f>
        <v>1919</v>
      </c>
      <c r="P950" s="153">
        <v>840</v>
      </c>
      <c r="Q950" s="74">
        <f>SIP[[#This Row],[Amount]]-SIP[[#This Row],[Unit Capital]]</f>
        <v>160</v>
      </c>
      <c r="R9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10.943199583116209</v>
      </c>
      <c r="S950" s="68">
        <f t="shared" si="45"/>
        <v>14.224</v>
      </c>
      <c r="T9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0" s="74" cm="1">
        <f t="array" ref="U950">IF(SIP[[#This Row],[B/S]]="S",ABS(SIP[[#This Row],[Unit]])*(INDEX(SIP[NAV at Cost (Average)],MATCH(CONCATENATE((SIP[[#This Row],[Frequency]]-1),SIP[[#This Row],[Investor ID]]),SIP[Unique Code],0),0)),0)</f>
        <v>0</v>
      </c>
      <c r="V950" s="74">
        <f>IF(SIP[[#This Row],[BO TRANSFER]]="YES",SIP[[#This Row],[Unit]],)</f>
        <v>0</v>
      </c>
      <c r="W950" s="74">
        <f>SUMIFS(SIP[[#Headers],[BO UNIT TRANSFER]]:SIP[[#This Row],[BO UNIT TRANSFER]],SIP[[#Headers],[Investor ID]]:SIP[[#This Row],[Investor ID]],SIP[[#This Row],[Investor ID]])</f>
        <v>0</v>
      </c>
    </row>
    <row r="951" spans="1:23" ht="15" customHeight="1">
      <c r="A951" s="101">
        <v>2025</v>
      </c>
      <c r="B951" s="101">
        <v>1</v>
      </c>
      <c r="C951" s="101">
        <v>26</v>
      </c>
      <c r="D951" s="65">
        <f>DATE(SIP[[#This Row],[Year]],SIP[[#This Row],[Month]],SIP[[#This Row],[Day]])</f>
        <v>45683</v>
      </c>
      <c r="E951" s="66" t="str" cm="1">
        <f t="array" ref="E951">INDEX(INVESTORS_LIST[INVESTOR NAME],MATCH(SIP[[#This Row],[Investor ID]],INVESTORS_LIST[INVESTOR CODE],0),)</f>
        <v>MD. ARIFUL ISLAM</v>
      </c>
      <c r="F951" s="46" t="s">
        <v>222</v>
      </c>
      <c r="G951" s="46">
        <f>COUNTIF(SIP[[#Headers],[Investor ID]]:SIP[[#This Row],[Investor ID]],SIP[[#This Row],[Investor ID]])</f>
        <v>21</v>
      </c>
      <c r="H951" s="46" t="str">
        <f>CONCATENATE(SIP[[#This Row],[Frequency]],SIP[[#This Row],[Investor ID]])</f>
        <v>21A00087</v>
      </c>
      <c r="I951" s="46" t="str">
        <f>IF(SIP[[#This Row],[B/S]]="B","BUY",(IF(SIP[[#This Row],[B/S]]="S","SELL"," ")))</f>
        <v>BUY</v>
      </c>
      <c r="J951" s="150" t="s">
        <v>1229</v>
      </c>
      <c r="K951" s="152">
        <v>10000</v>
      </c>
      <c r="L951" s="69"/>
      <c r="M951" s="123">
        <f>SIP[[#This Row],[Amount]]/SIP[[#This Row],[Unit]]</f>
        <v>11.904761904761905</v>
      </c>
      <c r="N951" s="71">
        <f>SIP[[#This Row],[Unit Capital]]/10</f>
        <v>840</v>
      </c>
      <c r="O951" s="71">
        <f>SUMIFS(SIP[[#Headers],[Unit]]:SIP[[#This Row],[Unit]],SIP[[#Headers],[Investor ID]]:SIP[[#This Row],[Investor ID]],SIP[[#This Row],[Investor ID]])</f>
        <v>19196</v>
      </c>
      <c r="P951" s="153">
        <v>8400</v>
      </c>
      <c r="Q951" s="74">
        <f>SIP[[#This Row],[Amount]]-SIP[[#This Row],[Unit Capital]]</f>
        <v>1600</v>
      </c>
      <c r="R9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10.939779120650135</v>
      </c>
      <c r="S951" s="68">
        <f t="shared" si="45"/>
        <v>14.224</v>
      </c>
      <c r="T9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1" s="74" cm="1">
        <f t="array" ref="U951">IF(SIP[[#This Row],[B/S]]="S",ABS(SIP[[#This Row],[Unit]])*(INDEX(SIP[NAV at Cost (Average)],MATCH(CONCATENATE((SIP[[#This Row],[Frequency]]-1),SIP[[#This Row],[Investor ID]]),SIP[Unique Code],0),0)),0)</f>
        <v>0</v>
      </c>
      <c r="V951" s="74">
        <f>IF(SIP[[#This Row],[BO TRANSFER]]="YES",SIP[[#This Row],[Unit]],)</f>
        <v>0</v>
      </c>
      <c r="W951" s="74">
        <f>SUMIFS(SIP[[#Headers],[BO UNIT TRANSFER]]:SIP[[#This Row],[BO UNIT TRANSFER]],SIP[[#Headers],[Investor ID]]:SIP[[#This Row],[Investor ID]],SIP[[#This Row],[Investor ID]])</f>
        <v>0</v>
      </c>
    </row>
    <row r="952" spans="1:23" ht="15" customHeight="1">
      <c r="A952" s="101">
        <v>2025</v>
      </c>
      <c r="B952" s="101">
        <v>1</v>
      </c>
      <c r="C952" s="101">
        <v>26</v>
      </c>
      <c r="D952" s="65">
        <f>DATE(SIP[[#This Row],[Year]],SIP[[#This Row],[Month]],SIP[[#This Row],[Day]])</f>
        <v>45683</v>
      </c>
      <c r="E952" s="66" t="str" cm="1">
        <f t="array" ref="E952">INDEX(INVESTORS_LIST[INVESTOR NAME],MATCH(SIP[[#This Row],[Investor ID]],INVESTORS_LIST[INVESTOR CODE],0),)</f>
        <v>SAJJAD CHOWDHURY</v>
      </c>
      <c r="F952" s="46" t="s">
        <v>461</v>
      </c>
      <c r="G952" s="46">
        <f>COUNTIF(SIP[[#Headers],[Investor ID]]:SIP[[#This Row],[Investor ID]],SIP[[#This Row],[Investor ID]])</f>
        <v>21</v>
      </c>
      <c r="H952" s="46" t="str">
        <f>CONCATENATE(SIP[[#This Row],[Frequency]],SIP[[#This Row],[Investor ID]])</f>
        <v>21A00206</v>
      </c>
      <c r="I952" s="46" t="str">
        <f>IF(SIP[[#This Row],[B/S]]="B","BUY",(IF(SIP[[#This Row],[B/S]]="S","SELL"," ")))</f>
        <v>BUY</v>
      </c>
      <c r="J952" s="150" t="s">
        <v>1229</v>
      </c>
      <c r="K952" s="152">
        <v>7500</v>
      </c>
      <c r="L952" s="122"/>
      <c r="M952" s="123">
        <f>SIP[[#This Row],[Amount]]/SIP[[#This Row],[Unit]]</f>
        <v>11.904761904761905</v>
      </c>
      <c r="N952" s="71">
        <f>SIP[[#This Row],[Unit Capital]]/10</f>
        <v>630</v>
      </c>
      <c r="O952" s="71">
        <f>SUMIFS(SIP[[#Headers],[Unit]]:SIP[[#This Row],[Unit]],SIP[[#Headers],[Investor ID]]:SIP[[#This Row],[Investor ID]],SIP[[#This Row],[Investor ID]])</f>
        <v>14396</v>
      </c>
      <c r="P952" s="153">
        <v>6300</v>
      </c>
      <c r="Q952" s="74">
        <f>SIP[[#This Row],[Amount]]-SIP[[#This Row],[Unit Capital]]</f>
        <v>1200</v>
      </c>
      <c r="R9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10.940539038621841</v>
      </c>
      <c r="S952" s="68">
        <f t="shared" si="45"/>
        <v>14.224</v>
      </c>
      <c r="T9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2" s="74" cm="1">
        <f t="array" ref="U952">IF(SIP[[#This Row],[B/S]]="S",ABS(SIP[[#This Row],[Unit]])*(INDEX(SIP[NAV at Cost (Average)],MATCH(CONCATENATE((SIP[[#This Row],[Frequency]]-1),SIP[[#This Row],[Investor ID]]),SIP[Unique Code],0),0)),0)</f>
        <v>0</v>
      </c>
      <c r="V952" s="74">
        <f>IF(SIP[[#This Row],[BO TRANSFER]]="YES",SIP[[#This Row],[Unit]],)</f>
        <v>0</v>
      </c>
      <c r="W952" s="74">
        <f>SUMIFS(SIP[[#Headers],[BO UNIT TRANSFER]]:SIP[[#This Row],[BO UNIT TRANSFER]],SIP[[#Headers],[Investor ID]]:SIP[[#This Row],[Investor ID]],SIP[[#This Row],[Investor ID]])</f>
        <v>0</v>
      </c>
    </row>
    <row r="953" spans="1:23" ht="15" customHeight="1">
      <c r="A953" s="101">
        <v>2025</v>
      </c>
      <c r="B953" s="101">
        <v>1</v>
      </c>
      <c r="C953" s="101">
        <v>26</v>
      </c>
      <c r="D953" s="65">
        <f>DATE(SIP[[#This Row],[Year]],SIP[[#This Row],[Month]],SIP[[#This Row],[Day]])</f>
        <v>45683</v>
      </c>
      <c r="E953" s="66" t="str" cm="1">
        <f t="array" ref="E953">INDEX(INVESTORS_LIST[INVESTOR NAME],MATCH(SIP[[#This Row],[Investor ID]],INVESTORS_LIST[INVESTOR CODE],0),)</f>
        <v>S.M. SAIFUL ISLAM</v>
      </c>
      <c r="F953" s="46" t="s">
        <v>1002</v>
      </c>
      <c r="G953" s="46">
        <f>COUNTIF(SIP[[#Headers],[Investor ID]]:SIP[[#This Row],[Investor ID]],SIP[[#This Row],[Investor ID]])</f>
        <v>21</v>
      </c>
      <c r="H953" s="46" t="str">
        <f>CONCATENATE(SIP[[#This Row],[Frequency]],SIP[[#This Row],[Investor ID]])</f>
        <v>21A00478</v>
      </c>
      <c r="I953" s="46" t="str">
        <f>IF(SIP[[#This Row],[B/S]]="B","BUY",(IF(SIP[[#This Row],[B/S]]="S","SELL"," ")))</f>
        <v>BUY</v>
      </c>
      <c r="J953" s="150" t="s">
        <v>1229</v>
      </c>
      <c r="K953" s="152">
        <v>10000</v>
      </c>
      <c r="L953" s="122"/>
      <c r="M953" s="123">
        <f>SIP[[#This Row],[Amount]]/SIP[[#This Row],[Unit]]</f>
        <v>11.904761904761905</v>
      </c>
      <c r="N953" s="71">
        <f>SIP[[#This Row],[Unit Capital]]/10</f>
        <v>840</v>
      </c>
      <c r="O953" s="71">
        <f>SUMIFS(SIP[[#Headers],[Unit]]:SIP[[#This Row],[Unit]],SIP[[#Headers],[Investor ID]]:SIP[[#This Row],[Investor ID]],SIP[[#This Row],[Investor ID]])</f>
        <v>19198</v>
      </c>
      <c r="P953" s="153">
        <v>8400</v>
      </c>
      <c r="Q953" s="74">
        <f>SIP[[#This Row],[Amount]]-SIP[[#This Row],[Unit Capital]]</f>
        <v>1600</v>
      </c>
      <c r="R9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10.938639441608501</v>
      </c>
      <c r="S953" s="68">
        <f t="shared" si="45"/>
        <v>14.224</v>
      </c>
      <c r="T9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3" s="74" cm="1">
        <f t="array" ref="U953">IF(SIP[[#This Row],[B/S]]="S",ABS(SIP[[#This Row],[Unit]])*(INDEX(SIP[NAV at Cost (Average)],MATCH(CONCATENATE((SIP[[#This Row],[Frequency]]-1),SIP[[#This Row],[Investor ID]]),SIP[Unique Code],0),0)),0)</f>
        <v>0</v>
      </c>
      <c r="V953" s="74">
        <f>IF(SIP[[#This Row],[BO TRANSFER]]="YES",SIP[[#This Row],[Unit]],)</f>
        <v>0</v>
      </c>
      <c r="W953" s="74">
        <f>SUMIFS(SIP[[#Headers],[BO UNIT TRANSFER]]:SIP[[#This Row],[BO UNIT TRANSFER]],SIP[[#Headers],[Investor ID]]:SIP[[#This Row],[Investor ID]],SIP[[#This Row],[Investor ID]])</f>
        <v>0</v>
      </c>
    </row>
    <row r="954" spans="1:23" ht="15" customHeight="1">
      <c r="A954" s="101">
        <v>2025</v>
      </c>
      <c r="B954" s="101">
        <v>1</v>
      </c>
      <c r="C954" s="101">
        <v>26</v>
      </c>
      <c r="D954" s="65">
        <f>DATE(SIP[[#This Row],[Year]],SIP[[#This Row],[Month]],SIP[[#This Row],[Day]])</f>
        <v>45683</v>
      </c>
      <c r="E954" s="66" t="str" cm="1">
        <f t="array" ref="E954">INDEX(INVESTORS_LIST[INVESTOR NAME],MATCH(SIP[[#This Row],[Investor ID]],INVESTORS_LIST[INVESTOR CODE],0),)</f>
        <v>MOHAMMED SHARIFUL ISLAM</v>
      </c>
      <c r="F954" s="46" t="s">
        <v>1028</v>
      </c>
      <c r="G954" s="46">
        <f>COUNTIF(SIP[[#Headers],[Investor ID]]:SIP[[#This Row],[Investor ID]],SIP[[#This Row],[Investor ID]])</f>
        <v>20</v>
      </c>
      <c r="H954" s="46" t="str">
        <f>CONCATENATE(SIP[[#This Row],[Frequency]],SIP[[#This Row],[Investor ID]])</f>
        <v>20A00491</v>
      </c>
      <c r="I954" s="46" t="str">
        <f>IF(SIP[[#This Row],[B/S]]="B","BUY",(IF(SIP[[#This Row],[B/S]]="S","SELL"," ")))</f>
        <v>BUY</v>
      </c>
      <c r="J954" s="150" t="s">
        <v>1229</v>
      </c>
      <c r="K954" s="152">
        <v>5000</v>
      </c>
      <c r="L954" s="122"/>
      <c r="M954" s="123">
        <f>SIP[[#This Row],[Amount]]/SIP[[#This Row],[Unit]]</f>
        <v>11.904761904761905</v>
      </c>
      <c r="N954" s="71">
        <f>SIP[[#This Row],[Unit Capital]]/10</f>
        <v>420</v>
      </c>
      <c r="O954" s="71">
        <f>SUMIFS(SIP[[#Headers],[Unit]]:SIP[[#This Row],[Unit]],SIP[[#Headers],[Investor ID]]:SIP[[#This Row],[Investor ID]],SIP[[#This Row],[Investor ID]])</f>
        <v>9106</v>
      </c>
      <c r="P954" s="153">
        <v>4200</v>
      </c>
      <c r="Q954" s="74">
        <f>SIP[[#This Row],[Amount]]-SIP[[#This Row],[Unit Capital]]</f>
        <v>800</v>
      </c>
      <c r="R9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10.981770261366135</v>
      </c>
      <c r="S954" s="68">
        <f t="shared" si="45"/>
        <v>14.224</v>
      </c>
      <c r="T9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4" s="74" cm="1">
        <f t="array" ref="U954">IF(SIP[[#This Row],[B/S]]="S",ABS(SIP[[#This Row],[Unit]])*(INDEX(SIP[NAV at Cost (Average)],MATCH(CONCATENATE((SIP[[#This Row],[Frequency]]-1),SIP[[#This Row],[Investor ID]]),SIP[Unique Code],0),0)),0)</f>
        <v>0</v>
      </c>
      <c r="V954" s="74">
        <f>IF(SIP[[#This Row],[BO TRANSFER]]="YES",SIP[[#This Row],[Unit]],)</f>
        <v>0</v>
      </c>
      <c r="W954" s="74">
        <f>SUMIFS(SIP[[#Headers],[BO UNIT TRANSFER]]:SIP[[#This Row],[BO UNIT TRANSFER]],SIP[[#Headers],[Investor ID]]:SIP[[#This Row],[Investor ID]],SIP[[#This Row],[Investor ID]])</f>
        <v>0</v>
      </c>
    </row>
    <row r="955" spans="1:23" ht="15" customHeight="1">
      <c r="A955" s="101">
        <v>2025</v>
      </c>
      <c r="B955" s="101">
        <v>1</v>
      </c>
      <c r="C955" s="101">
        <v>26</v>
      </c>
      <c r="D955" s="65">
        <f>DATE(SIP[[#This Row],[Year]],SIP[[#This Row],[Month]],SIP[[#This Row],[Day]])</f>
        <v>45683</v>
      </c>
      <c r="E955" s="66" t="str" cm="1">
        <f t="array" ref="E955">INDEX(INVESTORS_LIST[INVESTOR NAME],MATCH(SIP[[#This Row],[Investor ID]],INVESTORS_LIST[INVESTOR CODE],0),)</f>
        <v>JUBAIDA FARHANA HAQUE</v>
      </c>
      <c r="F955" s="46" t="s">
        <v>1065</v>
      </c>
      <c r="G955" s="46">
        <f>COUNTIF(SIP[[#Headers],[Investor ID]]:SIP[[#This Row],[Investor ID]],SIP[[#This Row],[Investor ID]])</f>
        <v>18</v>
      </c>
      <c r="H955" s="46" t="str">
        <f>CONCATENATE(SIP[[#This Row],[Frequency]],SIP[[#This Row],[Investor ID]])</f>
        <v>18A00510</v>
      </c>
      <c r="I955" s="46" t="str">
        <f>IF(SIP[[#This Row],[B/S]]="B","BUY",(IF(SIP[[#This Row],[B/S]]="S","SELL"," ")))</f>
        <v>BUY</v>
      </c>
      <c r="J955" s="150" t="s">
        <v>1229</v>
      </c>
      <c r="K955" s="152">
        <v>5000</v>
      </c>
      <c r="L955" s="122"/>
      <c r="M955" s="123">
        <f>SIP[[#This Row],[Amount]]/SIP[[#This Row],[Unit]]</f>
        <v>11.904761904761905</v>
      </c>
      <c r="N955" s="71">
        <f>SIP[[#This Row],[Unit Capital]]/10</f>
        <v>420</v>
      </c>
      <c r="O955" s="71">
        <f>SUMIFS(SIP[[#Headers],[Unit]]:SIP[[#This Row],[Unit]],SIP[[#Headers],[Investor ID]]:SIP[[#This Row],[Investor ID]],SIP[[#This Row],[Investor ID]])</f>
        <v>7182</v>
      </c>
      <c r="P955" s="153">
        <v>4200</v>
      </c>
      <c r="Q955" s="74">
        <f>SIP[[#This Row],[Amount]]-SIP[[#This Row],[Unit Capital]]</f>
        <v>800</v>
      </c>
      <c r="R9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11.141154674277704</v>
      </c>
      <c r="S955" s="68">
        <f t="shared" si="45"/>
        <v>14.224</v>
      </c>
      <c r="T9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5" s="74" cm="1">
        <f t="array" ref="U955">IF(SIP[[#This Row],[B/S]]="S",ABS(SIP[[#This Row],[Unit]])*(INDEX(SIP[NAV at Cost (Average)],MATCH(CONCATENATE((SIP[[#This Row],[Frequency]]-1),SIP[[#This Row],[Investor ID]]),SIP[Unique Code],0),0)),0)</f>
        <v>0</v>
      </c>
      <c r="V955" s="74">
        <f>IF(SIP[[#This Row],[BO TRANSFER]]="YES",SIP[[#This Row],[Unit]],)</f>
        <v>0</v>
      </c>
      <c r="W955" s="74">
        <f>SUMIFS(SIP[[#Headers],[BO UNIT TRANSFER]]:SIP[[#This Row],[BO UNIT TRANSFER]],SIP[[#Headers],[Investor ID]]:SIP[[#This Row],[Investor ID]],SIP[[#This Row],[Investor ID]])</f>
        <v>0</v>
      </c>
    </row>
    <row r="956" spans="1:23" ht="15" customHeight="1">
      <c r="A956" s="101">
        <v>2025</v>
      </c>
      <c r="B956" s="101">
        <v>1</v>
      </c>
      <c r="C956" s="101">
        <v>26</v>
      </c>
      <c r="D956" s="65">
        <f>DATE(SIP[[#This Row],[Year]],SIP[[#This Row],[Month]],SIP[[#This Row],[Day]])</f>
        <v>45683</v>
      </c>
      <c r="E956" s="66" t="str" cm="1">
        <f t="array" ref="E956">INDEX(INVESTORS_LIST[INVESTOR NAME],MATCH(SIP[[#This Row],[Investor ID]],INVESTORS_LIST[INVESTOR CODE],0),)</f>
        <v>MAYA RANI SAHA</v>
      </c>
      <c r="F956" s="46" t="s">
        <v>224</v>
      </c>
      <c r="G956" s="46">
        <f>COUNTIF(SIP[[#Headers],[Investor ID]]:SIP[[#This Row],[Investor ID]],SIP[[#This Row],[Investor ID]])</f>
        <v>32</v>
      </c>
      <c r="H956" s="46" t="str">
        <f>CONCATENATE(SIP[[#This Row],[Frequency]],SIP[[#This Row],[Investor ID]])</f>
        <v>32A00088</v>
      </c>
      <c r="I956" s="46" t="str">
        <f>IF(SIP[[#This Row],[B/S]]="B","BUY",(IF(SIP[[#This Row],[B/S]]="S","SELL"," ")))</f>
        <v>BUY</v>
      </c>
      <c r="J956" s="150" t="s">
        <v>1229</v>
      </c>
      <c r="K956" s="152">
        <v>14000</v>
      </c>
      <c r="L956" s="122"/>
      <c r="M956" s="123">
        <f>SIP[[#This Row],[Amount]]/SIP[[#This Row],[Unit]]</f>
        <v>11.904761904761905</v>
      </c>
      <c r="N956" s="71">
        <f>SIP[[#This Row],[Unit Capital]]/10</f>
        <v>1176</v>
      </c>
      <c r="O956" s="71">
        <f>SUMIFS(SIP[[#Headers],[Unit]]:SIP[[#This Row],[Unit]],SIP[[#Headers],[Investor ID]]:SIP[[#This Row],[Investor ID]],SIP[[#This Row],[Investor ID]])</f>
        <v>44823</v>
      </c>
      <c r="P956" s="153">
        <v>11760</v>
      </c>
      <c r="Q956" s="74">
        <f>SIP[[#This Row],[Amount]]-SIP[[#This Row],[Unit Capital]]</f>
        <v>2240</v>
      </c>
      <c r="R9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11.154987394864245</v>
      </c>
      <c r="S956" s="68">
        <f t="shared" si="45"/>
        <v>14.224</v>
      </c>
      <c r="T9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6" s="74" cm="1">
        <f t="array" ref="U956">IF(SIP[[#This Row],[B/S]]="S",ABS(SIP[[#This Row],[Unit]])*(INDEX(SIP[NAV at Cost (Average)],MATCH(CONCATENATE((SIP[[#This Row],[Frequency]]-1),SIP[[#This Row],[Investor ID]]),SIP[Unique Code],0),0)),0)</f>
        <v>0</v>
      </c>
      <c r="V956" s="74">
        <f>IF(SIP[[#This Row],[BO TRANSFER]]="YES",SIP[[#This Row],[Unit]],)</f>
        <v>0</v>
      </c>
      <c r="W956" s="74">
        <f>SUMIFS(SIP[[#Headers],[BO UNIT TRANSFER]]:SIP[[#This Row],[BO UNIT TRANSFER]],SIP[[#Headers],[Investor ID]]:SIP[[#This Row],[Investor ID]],SIP[[#This Row],[Investor ID]])</f>
        <v>0</v>
      </c>
    </row>
    <row r="957" spans="1:23" ht="15" customHeight="1">
      <c r="A957" s="101">
        <v>2025</v>
      </c>
      <c r="B957" s="101">
        <v>1</v>
      </c>
      <c r="C957" s="101">
        <v>26</v>
      </c>
      <c r="D957" s="65">
        <f>DATE(SIP[[#This Row],[Year]],SIP[[#This Row],[Month]],SIP[[#This Row],[Day]])</f>
        <v>45683</v>
      </c>
      <c r="E957" s="66" t="str" cm="1">
        <f t="array" ref="E957">INDEX(INVESTORS_LIST[INVESTOR NAME],MATCH(SIP[[#This Row],[Investor ID]],INVESTORS_LIST[INVESTOR CODE],0),)</f>
        <v>MUHAMMAD SHOHIDUZZAMAN</v>
      </c>
      <c r="F957" s="46" t="s">
        <v>986</v>
      </c>
      <c r="G957" s="46">
        <f>COUNTIF(SIP[[#Headers],[Investor ID]]:SIP[[#This Row],[Investor ID]],SIP[[#This Row],[Investor ID]])</f>
        <v>15</v>
      </c>
      <c r="H957" s="46" t="str">
        <f>CONCATENATE(SIP[[#This Row],[Frequency]],SIP[[#This Row],[Investor ID]])</f>
        <v>15A00470</v>
      </c>
      <c r="I957" s="46" t="str">
        <f>IF(SIP[[#This Row],[B/S]]="B","BUY",(IF(SIP[[#This Row],[B/S]]="S","SELL"," ")))</f>
        <v>BUY</v>
      </c>
      <c r="J957" s="150" t="s">
        <v>1229</v>
      </c>
      <c r="K957" s="152">
        <v>10000</v>
      </c>
      <c r="L957" s="122" t="s">
        <v>1230</v>
      </c>
      <c r="M957" s="123">
        <f>SIP[[#This Row],[Amount]]/SIP[[#This Row],[Unit]]</f>
        <v>11.904761904761905</v>
      </c>
      <c r="N957" s="71">
        <f>SIP[[#This Row],[Unit Capital]]/10</f>
        <v>840</v>
      </c>
      <c r="O957" s="71">
        <f>SUMIFS(SIP[[#Headers],[Unit]]:SIP[[#This Row],[Unit]],SIP[[#Headers],[Investor ID]]:SIP[[#This Row],[Investor ID]],SIP[[#This Row],[Investor ID]])</f>
        <v>13413</v>
      </c>
      <c r="P957" s="153">
        <v>8400</v>
      </c>
      <c r="Q957" s="74">
        <f>SIP[[#This Row],[Amount]]-SIP[[#This Row],[Unit Capital]]</f>
        <v>1600</v>
      </c>
      <c r="R9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11.183180496533211</v>
      </c>
      <c r="S957" s="68">
        <f t="shared" si="45"/>
        <v>14.224</v>
      </c>
      <c r="T9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7" s="74" cm="1">
        <f t="array" ref="U957">IF(SIP[[#This Row],[B/S]]="S",ABS(SIP[[#This Row],[Unit]])*(INDEX(SIP[NAV at Cost (Average)],MATCH(CONCATENATE((SIP[[#This Row],[Frequency]]-1),SIP[[#This Row],[Investor ID]]),SIP[Unique Code],0),0)),0)</f>
        <v>0</v>
      </c>
      <c r="V957" s="74">
        <f>IF(SIP[[#This Row],[BO TRANSFER]]="YES",SIP[[#This Row],[Unit]],)</f>
        <v>840</v>
      </c>
      <c r="W957" s="74">
        <f>SUMIFS(SIP[[#Headers],[BO UNIT TRANSFER]]:SIP[[#This Row],[BO UNIT TRANSFER]],SIP[[#Headers],[Investor ID]]:SIP[[#This Row],[Investor ID]],SIP[[#This Row],[Investor ID]])</f>
        <v>13413</v>
      </c>
    </row>
    <row r="958" spans="1:23" ht="15" customHeight="1">
      <c r="A958" s="101">
        <v>2025</v>
      </c>
      <c r="B958" s="101">
        <v>1</v>
      </c>
      <c r="C958" s="101">
        <v>26</v>
      </c>
      <c r="D958" s="65">
        <f>DATE(SIP[[#This Row],[Year]],SIP[[#This Row],[Month]],SIP[[#This Row],[Day]])</f>
        <v>45683</v>
      </c>
      <c r="E958" s="66" t="str" cm="1">
        <f t="array" ref="E958">INDEX(INVESTORS_LIST[INVESTOR NAME],MATCH(SIP[[#This Row],[Investor ID]],INVESTORS_LIST[INVESTOR CODE],0),)</f>
        <v>MOHAMMAD SAMIUL ALAM</v>
      </c>
      <c r="F958" s="46" t="s">
        <v>537</v>
      </c>
      <c r="G958" s="46">
        <f>COUNTIF(SIP[[#Headers],[Investor ID]]:SIP[[#This Row],[Investor ID]],SIP[[#This Row],[Investor ID]])</f>
        <v>18</v>
      </c>
      <c r="H958" s="46" t="str">
        <f>CONCATENATE(SIP[[#This Row],[Frequency]],SIP[[#This Row],[Investor ID]])</f>
        <v>18A00244</v>
      </c>
      <c r="I958" s="46" t="str">
        <f>IF(SIP[[#This Row],[B/S]]="B","BUY",(IF(SIP[[#This Row],[B/S]]="S","SELL"," ")))</f>
        <v>BUY</v>
      </c>
      <c r="J958" s="150" t="s">
        <v>1229</v>
      </c>
      <c r="K958" s="152">
        <v>20000</v>
      </c>
      <c r="L958" s="122"/>
      <c r="M958" s="123">
        <f>SIP[[#This Row],[Amount]]/SIP[[#This Row],[Unit]]</f>
        <v>11.904761904761905</v>
      </c>
      <c r="N958" s="71">
        <f>SIP[[#This Row],[Unit Capital]]/10</f>
        <v>1680</v>
      </c>
      <c r="O958" s="71">
        <f>SUMIFS(SIP[[#Headers],[Unit]]:SIP[[#This Row],[Unit]],SIP[[#Headers],[Investor ID]]:SIP[[#This Row],[Investor ID]],SIP[[#This Row],[Investor ID]])</f>
        <v>32549</v>
      </c>
      <c r="P958" s="153">
        <v>16800</v>
      </c>
      <c r="Q958" s="74">
        <f>SIP[[#This Row],[Amount]]-SIP[[#This Row],[Unit Capital]]</f>
        <v>3200</v>
      </c>
      <c r="R9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11.060247626655201</v>
      </c>
      <c r="S958" s="68">
        <f t="shared" si="45"/>
        <v>14.224</v>
      </c>
      <c r="T9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8" s="74" cm="1">
        <f t="array" ref="U958">IF(SIP[[#This Row],[B/S]]="S",ABS(SIP[[#This Row],[Unit]])*(INDEX(SIP[NAV at Cost (Average)],MATCH(CONCATENATE((SIP[[#This Row],[Frequency]]-1),SIP[[#This Row],[Investor ID]]),SIP[Unique Code],0),0)),0)</f>
        <v>0</v>
      </c>
      <c r="V958" s="74">
        <f>IF(SIP[[#This Row],[BO TRANSFER]]="YES",SIP[[#This Row],[Unit]],)</f>
        <v>0</v>
      </c>
      <c r="W958" s="74">
        <f>SUMIFS(SIP[[#Headers],[BO UNIT TRANSFER]]:SIP[[#This Row],[BO UNIT TRANSFER]],SIP[[#Headers],[Investor ID]]:SIP[[#This Row],[Investor ID]],SIP[[#This Row],[Investor ID]])</f>
        <v>0</v>
      </c>
    </row>
    <row r="959" spans="1:23" ht="15" customHeight="1">
      <c r="A959" s="101">
        <v>2025</v>
      </c>
      <c r="B959" s="101">
        <v>1</v>
      </c>
      <c r="C959" s="101">
        <v>26</v>
      </c>
      <c r="D959" s="65">
        <f>DATE(SIP[[#This Row],[Year]],SIP[[#This Row],[Month]],SIP[[#This Row],[Day]])</f>
        <v>45683</v>
      </c>
      <c r="E959" s="66" t="str" cm="1">
        <f t="array" ref="E959">INDEX(INVESTORS_LIST[INVESTOR NAME],MATCH(SIP[[#This Row],[Investor ID]],INVESTORS_LIST[INVESTOR CODE],0),)</f>
        <v>MD ABDULLAH-AL- MAMUN</v>
      </c>
      <c r="F959" s="46" t="s">
        <v>533</v>
      </c>
      <c r="G959" s="46">
        <f>COUNTIF(SIP[[#Headers],[Investor ID]]:SIP[[#This Row],[Investor ID]],SIP[[#This Row],[Investor ID]])</f>
        <v>16</v>
      </c>
      <c r="H959" s="46" t="str">
        <f>CONCATENATE(SIP[[#This Row],[Frequency]],SIP[[#This Row],[Investor ID]])</f>
        <v>16A00242</v>
      </c>
      <c r="I959" s="46" t="str">
        <f>IF(SIP[[#This Row],[B/S]]="B","BUY",(IF(SIP[[#This Row],[B/S]]="S","SELL"," ")))</f>
        <v>BUY</v>
      </c>
      <c r="J959" s="150" t="s">
        <v>1229</v>
      </c>
      <c r="K959" s="152">
        <v>15000</v>
      </c>
      <c r="L959" s="122"/>
      <c r="M959" s="123">
        <f>SIP[[#This Row],[Amount]]/SIP[[#This Row],[Unit]]</f>
        <v>11.904761904761905</v>
      </c>
      <c r="N959" s="71">
        <f>SIP[[#This Row],[Unit Capital]]/10</f>
        <v>1260</v>
      </c>
      <c r="O959" s="71">
        <f>SUMIFS(SIP[[#Headers],[Unit]]:SIP[[#This Row],[Unit]],SIP[[#Headers],[Investor ID]]:SIP[[#This Row],[Investor ID]],SIP[[#This Row],[Investor ID]])</f>
        <v>21541</v>
      </c>
      <c r="P959" s="153">
        <v>12600</v>
      </c>
      <c r="Q959" s="74">
        <f>SIP[[#This Row],[Amount]]-SIP[[#This Row],[Unit Capital]]</f>
        <v>2400</v>
      </c>
      <c r="R9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11.141544032310481</v>
      </c>
      <c r="S959" s="68">
        <f t="shared" si="45"/>
        <v>14.224</v>
      </c>
      <c r="T9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9" s="74" cm="1">
        <f t="array" ref="U959">IF(SIP[[#This Row],[B/S]]="S",ABS(SIP[[#This Row],[Unit]])*(INDEX(SIP[NAV at Cost (Average)],MATCH(CONCATENATE((SIP[[#This Row],[Frequency]]-1),SIP[[#This Row],[Investor ID]]),SIP[Unique Code],0),0)),0)</f>
        <v>0</v>
      </c>
      <c r="V959" s="74">
        <f>IF(SIP[[#This Row],[BO TRANSFER]]="YES",SIP[[#This Row],[Unit]],)</f>
        <v>0</v>
      </c>
      <c r="W959" s="74">
        <f>SUMIFS(SIP[[#Headers],[BO UNIT TRANSFER]]:SIP[[#This Row],[BO UNIT TRANSFER]],SIP[[#Headers],[Investor ID]]:SIP[[#This Row],[Investor ID]],SIP[[#This Row],[Investor ID]])</f>
        <v>0</v>
      </c>
    </row>
    <row r="960" spans="1:23" ht="15" customHeight="1">
      <c r="A960" s="101">
        <v>2025</v>
      </c>
      <c r="B960" s="101">
        <v>1</v>
      </c>
      <c r="C960" s="101">
        <v>26</v>
      </c>
      <c r="D960" s="65">
        <f>DATE(SIP[[#This Row],[Year]],SIP[[#This Row],[Month]],SIP[[#This Row],[Day]])</f>
        <v>45683</v>
      </c>
      <c r="E960" s="66" t="str" cm="1">
        <f t="array" ref="E960">INDEX(INVESTORS_LIST[INVESTOR NAME],MATCH(SIP[[#This Row],[Investor ID]],INVESTORS_LIST[INVESTOR CODE],0),)</f>
        <v>MAYA RANI SAHA</v>
      </c>
      <c r="F960" s="46" t="s">
        <v>224</v>
      </c>
      <c r="G960" s="46">
        <f>COUNTIF(SIP[[#Headers],[Investor ID]]:SIP[[#This Row],[Investor ID]],SIP[[#This Row],[Investor ID]])</f>
        <v>33</v>
      </c>
      <c r="H960" s="46" t="str">
        <f>CONCATENATE(SIP[[#This Row],[Frequency]],SIP[[#This Row],[Investor ID]])</f>
        <v>33A00088</v>
      </c>
      <c r="I960" s="46" t="str">
        <f>IF(SIP[[#This Row],[B/S]]="B","BUY",(IF(SIP[[#This Row],[B/S]]="S","SELL"," ")))</f>
        <v>BUY</v>
      </c>
      <c r="J960" s="150" t="s">
        <v>1229</v>
      </c>
      <c r="K960" s="152">
        <v>20000</v>
      </c>
      <c r="L960" s="122"/>
      <c r="M960" s="123">
        <f>SIP[[#This Row],[Amount]]/SIP[[#This Row],[Unit]]</f>
        <v>11.904761904761905</v>
      </c>
      <c r="N960" s="71">
        <f>SIP[[#This Row],[Unit Capital]]/10</f>
        <v>1680</v>
      </c>
      <c r="O960" s="71">
        <f>SUMIFS(SIP[[#Headers],[Unit]]:SIP[[#This Row],[Unit]],SIP[[#Headers],[Investor ID]]:SIP[[#This Row],[Investor ID]],SIP[[#This Row],[Investor ID]])</f>
        <v>46503</v>
      </c>
      <c r="P960" s="153">
        <v>16800</v>
      </c>
      <c r="Q960" s="74">
        <f>SIP[[#This Row],[Amount]]-SIP[[#This Row],[Unit Capital]]</f>
        <v>3200</v>
      </c>
      <c r="R9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11.182074274777973</v>
      </c>
      <c r="S960" s="68">
        <f t="shared" si="45"/>
        <v>14.224</v>
      </c>
      <c r="T9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0" s="74" cm="1">
        <f t="array" ref="U960">IF(SIP[[#This Row],[B/S]]="S",ABS(SIP[[#This Row],[Unit]])*(INDEX(SIP[NAV at Cost (Average)],MATCH(CONCATENATE((SIP[[#This Row],[Frequency]]-1),SIP[[#This Row],[Investor ID]]),SIP[Unique Code],0),0)),0)</f>
        <v>0</v>
      </c>
      <c r="V960" s="74">
        <f>IF(SIP[[#This Row],[BO TRANSFER]]="YES",SIP[[#This Row],[Unit]],)</f>
        <v>0</v>
      </c>
      <c r="W960" s="74">
        <f>SUMIFS(SIP[[#Headers],[BO UNIT TRANSFER]]:SIP[[#This Row],[BO UNIT TRANSFER]],SIP[[#Headers],[Investor ID]]:SIP[[#This Row],[Investor ID]],SIP[[#This Row],[Investor ID]])</f>
        <v>0</v>
      </c>
    </row>
    <row r="961" spans="1:23" ht="15" customHeight="1">
      <c r="A961" s="101">
        <v>2025</v>
      </c>
      <c r="B961" s="101">
        <v>1</v>
      </c>
      <c r="C961" s="101">
        <v>26</v>
      </c>
      <c r="D961" s="65">
        <f>DATE(SIP[[#This Row],[Year]],SIP[[#This Row],[Month]],SIP[[#This Row],[Day]])</f>
        <v>45683</v>
      </c>
      <c r="E961" s="66" t="str" cm="1">
        <f t="array" ref="E961">INDEX(INVESTORS_LIST[INVESTOR NAME],MATCH(SIP[[#This Row],[Investor ID]],INVESTORS_LIST[INVESTOR CODE],0),)</f>
        <v>SADIA PARVIN</v>
      </c>
      <c r="F961" s="46" t="s">
        <v>1018</v>
      </c>
      <c r="G961" s="46">
        <f>COUNTIF(SIP[[#Headers],[Investor ID]]:SIP[[#This Row],[Investor ID]],SIP[[#This Row],[Investor ID]])</f>
        <v>28</v>
      </c>
      <c r="H961" s="46" t="str">
        <f>CONCATENATE(SIP[[#This Row],[Frequency]],SIP[[#This Row],[Investor ID]])</f>
        <v>28A00486</v>
      </c>
      <c r="I961" s="46" t="str">
        <f>IF(SIP[[#This Row],[B/S]]="B","BUY",(IF(SIP[[#This Row],[B/S]]="S","SELL"," ")))</f>
        <v>BUY</v>
      </c>
      <c r="J961" s="150" t="s">
        <v>1229</v>
      </c>
      <c r="K961" s="152">
        <v>5000</v>
      </c>
      <c r="L961" s="122"/>
      <c r="M961" s="123">
        <f>SIP[[#This Row],[Amount]]/SIP[[#This Row],[Unit]]</f>
        <v>11.904761904761905</v>
      </c>
      <c r="N961" s="71">
        <f>SIP[[#This Row],[Unit Capital]]/10</f>
        <v>420</v>
      </c>
      <c r="O961" s="71">
        <f>SUMIFS(SIP[[#Headers],[Unit]]:SIP[[#This Row],[Unit]],SIP[[#Headers],[Investor ID]]:SIP[[#This Row],[Investor ID]],SIP[[#This Row],[Investor ID]])</f>
        <v>12646</v>
      </c>
      <c r="P961" s="153">
        <v>4200</v>
      </c>
      <c r="Q961" s="74">
        <f>SIP[[#This Row],[Amount]]-SIP[[#This Row],[Unit Capital]]</f>
        <v>800</v>
      </c>
      <c r="R9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11.070694290684802</v>
      </c>
      <c r="S961" s="68">
        <f t="shared" si="45"/>
        <v>14.224</v>
      </c>
      <c r="T9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1" s="74" cm="1">
        <f t="array" ref="U961">IF(SIP[[#This Row],[B/S]]="S",ABS(SIP[[#This Row],[Unit]])*(INDEX(SIP[NAV at Cost (Average)],MATCH(CONCATENATE((SIP[[#This Row],[Frequency]]-1),SIP[[#This Row],[Investor ID]]),SIP[Unique Code],0),0)),0)</f>
        <v>0</v>
      </c>
      <c r="V961" s="74">
        <f>IF(SIP[[#This Row],[BO TRANSFER]]="YES",SIP[[#This Row],[Unit]],)</f>
        <v>0</v>
      </c>
      <c r="W961" s="74">
        <f>SUMIFS(SIP[[#Headers],[BO UNIT TRANSFER]]:SIP[[#This Row],[BO UNIT TRANSFER]],SIP[[#Headers],[Investor ID]]:SIP[[#This Row],[Investor ID]],SIP[[#This Row],[Investor ID]])</f>
        <v>0</v>
      </c>
    </row>
    <row r="962" spans="1:23" ht="15" customHeight="1">
      <c r="A962" s="101">
        <v>2025</v>
      </c>
      <c r="B962" s="101">
        <v>1</v>
      </c>
      <c r="C962" s="101">
        <v>26</v>
      </c>
      <c r="D962" s="65">
        <f>DATE(SIP[[#This Row],[Year]],SIP[[#This Row],[Month]],SIP[[#This Row],[Day]])</f>
        <v>45683</v>
      </c>
      <c r="E962" s="66" t="str" cm="1">
        <f t="array" ref="E962">INDEX(INVESTORS_LIST[INVESTOR NAME],MATCH(SIP[[#This Row],[Investor ID]],INVESTORS_LIST[INVESTOR CODE],0),)</f>
        <v>SYED ADNAN HUDA</v>
      </c>
      <c r="F962" s="46" t="s">
        <v>236</v>
      </c>
      <c r="G962" s="46">
        <f>COUNTIF(SIP[[#Headers],[Investor ID]]:SIP[[#This Row],[Investor ID]],SIP[[#This Row],[Investor ID]])</f>
        <v>7</v>
      </c>
      <c r="H962" s="46" t="str">
        <f>CONCATENATE(SIP[[#This Row],[Frequency]],SIP[[#This Row],[Investor ID]])</f>
        <v>7A00094</v>
      </c>
      <c r="I962" s="46" t="str">
        <f>IF(SIP[[#This Row],[B/S]]="B","BUY",(IF(SIP[[#This Row],[B/S]]="S","SELL"," ")))</f>
        <v>BUY</v>
      </c>
      <c r="J962" s="150" t="s">
        <v>1229</v>
      </c>
      <c r="K962" s="152">
        <v>50000</v>
      </c>
      <c r="L962" s="122"/>
      <c r="M962" s="123">
        <f>SIP[[#This Row],[Amount]]/SIP[[#This Row],[Unit]]</f>
        <v>11.901928112354202</v>
      </c>
      <c r="N962" s="71">
        <f>SIP[[#This Row],[Unit Capital]]/10</f>
        <v>4201</v>
      </c>
      <c r="O962" s="71">
        <f>SUMIFS(SIP[[#Headers],[Unit]]:SIP[[#This Row],[Unit]],SIP[[#Headers],[Investor ID]]:SIP[[#This Row],[Investor ID]],SIP[[#This Row],[Investor ID]])</f>
        <v>30230</v>
      </c>
      <c r="P962" s="153">
        <v>42010</v>
      </c>
      <c r="Q962" s="74">
        <f>SIP[[#This Row],[Amount]]-SIP[[#This Row],[Unit Capital]]</f>
        <v>7990</v>
      </c>
      <c r="R9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11.577902745616937</v>
      </c>
      <c r="S962" s="68">
        <f t="shared" si="45"/>
        <v>14.224</v>
      </c>
      <c r="T9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2" s="74" cm="1">
        <f t="array" ref="U962">IF(SIP[[#This Row],[B/S]]="S",ABS(SIP[[#This Row],[Unit]])*(INDEX(SIP[NAV at Cost (Average)],MATCH(CONCATENATE((SIP[[#This Row],[Frequency]]-1),SIP[[#This Row],[Investor ID]]),SIP[Unique Code],0),0)),0)</f>
        <v>0</v>
      </c>
      <c r="V962" s="74">
        <f>IF(SIP[[#This Row],[BO TRANSFER]]="YES",SIP[[#This Row],[Unit]],)</f>
        <v>0</v>
      </c>
      <c r="W962" s="74">
        <f>SUMIFS(SIP[[#Headers],[BO UNIT TRANSFER]]:SIP[[#This Row],[BO UNIT TRANSFER]],SIP[[#Headers],[Investor ID]]:SIP[[#This Row],[Investor ID]],SIP[[#This Row],[Investor ID]])</f>
        <v>0</v>
      </c>
    </row>
    <row r="963" spans="1:23" ht="15" customHeight="1">
      <c r="A963" s="101">
        <v>2025</v>
      </c>
      <c r="B963" s="101">
        <v>1</v>
      </c>
      <c r="C963" s="101">
        <v>26</v>
      </c>
      <c r="D963" s="65">
        <f>DATE(SIP[[#This Row],[Year]],SIP[[#This Row],[Month]],SIP[[#This Row],[Day]])</f>
        <v>45683</v>
      </c>
      <c r="E963" s="66" t="str" cm="1">
        <f t="array" ref="E963">INDEX(INVESTORS_LIST[INVESTOR NAME],MATCH(SIP[[#This Row],[Investor ID]],INVESTORS_LIST[INVESTOR CODE],0),)</f>
        <v>HUMAIRA TABASSUM READDHE</v>
      </c>
      <c r="F963" s="46" t="s">
        <v>1052</v>
      </c>
      <c r="G963" s="46">
        <f>COUNTIF(SIP[[#Headers],[Investor ID]]:SIP[[#This Row],[Investor ID]],SIP[[#This Row],[Investor ID]])</f>
        <v>6</v>
      </c>
      <c r="H963" s="46" t="str">
        <f>CONCATENATE(SIP[[#This Row],[Frequency]],SIP[[#This Row],[Investor ID]])</f>
        <v>6A00503</v>
      </c>
      <c r="I963" s="46" t="str">
        <f>IF(SIP[[#This Row],[B/S]]="B","BUY",(IF(SIP[[#This Row],[B/S]]="S","SELL"," ")))</f>
        <v>BUY</v>
      </c>
      <c r="J963" s="150" t="s">
        <v>1229</v>
      </c>
      <c r="K963" s="152">
        <v>3000</v>
      </c>
      <c r="L963" s="122"/>
      <c r="M963" s="123">
        <f>SIP[[#This Row],[Amount]]/SIP[[#This Row],[Unit]]</f>
        <v>11.904761904761905</v>
      </c>
      <c r="N963" s="71">
        <f>SIP[[#This Row],[Unit Capital]]/10</f>
        <v>252</v>
      </c>
      <c r="O963" s="71">
        <f>SUMIFS(SIP[[#Headers],[Unit]]:SIP[[#This Row],[Unit]],SIP[[#Headers],[Investor ID]]:SIP[[#This Row],[Investor ID]],SIP[[#This Row],[Investor ID]])</f>
        <v>1547</v>
      </c>
      <c r="P963" s="153">
        <v>2520</v>
      </c>
      <c r="Q963" s="74">
        <f>SIP[[#This Row],[Amount]]-SIP[[#This Row],[Unit Capital]]</f>
        <v>480</v>
      </c>
      <c r="R9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11.635423400129284</v>
      </c>
      <c r="S963" s="68">
        <f t="shared" si="45"/>
        <v>14.224</v>
      </c>
      <c r="T9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3" s="74" cm="1">
        <f t="array" ref="U963">IF(SIP[[#This Row],[B/S]]="S",ABS(SIP[[#This Row],[Unit]])*(INDEX(SIP[NAV at Cost (Average)],MATCH(CONCATENATE((SIP[[#This Row],[Frequency]]-1),SIP[[#This Row],[Investor ID]]),SIP[Unique Code],0),0)),0)</f>
        <v>0</v>
      </c>
      <c r="V963" s="74">
        <f>IF(SIP[[#This Row],[BO TRANSFER]]="YES",SIP[[#This Row],[Unit]],)</f>
        <v>0</v>
      </c>
      <c r="W963" s="74">
        <f>SUMIFS(SIP[[#Headers],[BO UNIT TRANSFER]]:SIP[[#This Row],[BO UNIT TRANSFER]],SIP[[#Headers],[Investor ID]]:SIP[[#This Row],[Investor ID]],SIP[[#This Row],[Investor ID]])</f>
        <v>0</v>
      </c>
    </row>
    <row r="964" spans="1:23" ht="15" customHeight="1">
      <c r="A964" s="101">
        <v>2025</v>
      </c>
      <c r="B964" s="101">
        <v>1</v>
      </c>
      <c r="C964" s="101">
        <v>26</v>
      </c>
      <c r="D964" s="65">
        <f>DATE(SIP[[#This Row],[Year]],SIP[[#This Row],[Month]],SIP[[#This Row],[Day]])</f>
        <v>45683</v>
      </c>
      <c r="E964" s="66" t="str" cm="1">
        <f t="array" ref="E964">INDEX(INVESTORS_LIST[INVESTOR NAME],MATCH(SIP[[#This Row],[Investor ID]],INVESTORS_LIST[INVESTOR CODE],0),)</f>
        <v>MAYA RANI SAHA</v>
      </c>
      <c r="F964" s="46" t="s">
        <v>224</v>
      </c>
      <c r="G964" s="46">
        <f>COUNTIF(SIP[[#Headers],[Investor ID]]:SIP[[#This Row],[Investor ID]],SIP[[#This Row],[Investor ID]])</f>
        <v>34</v>
      </c>
      <c r="H964" s="46" t="str">
        <f>CONCATENATE(SIP[[#This Row],[Frequency]],SIP[[#This Row],[Investor ID]])</f>
        <v>34A00088</v>
      </c>
      <c r="I964" s="46" t="str">
        <f>IF(SIP[[#This Row],[B/S]]="B","BUY",(IF(SIP[[#This Row],[B/S]]="S","SELL"," ")))</f>
        <v>BUY</v>
      </c>
      <c r="J964" s="150" t="s">
        <v>1229</v>
      </c>
      <c r="K964" s="152">
        <v>10000</v>
      </c>
      <c r="L964" s="122"/>
      <c r="M964" s="123">
        <f>SIP[[#This Row],[Amount]]/SIP[[#This Row],[Unit]]</f>
        <v>11.904761904761905</v>
      </c>
      <c r="N964" s="71">
        <f>SIP[[#This Row],[Unit Capital]]/10</f>
        <v>840</v>
      </c>
      <c r="O964" s="71">
        <f>SUMIFS(SIP[[#Headers],[Unit]]:SIP[[#This Row],[Unit]],SIP[[#Headers],[Investor ID]]:SIP[[#This Row],[Investor ID]],SIP[[#This Row],[Investor ID]])</f>
        <v>47343</v>
      </c>
      <c r="P964" s="153">
        <v>8400</v>
      </c>
      <c r="Q964" s="74">
        <f>SIP[[#This Row],[Amount]]-SIP[[#This Row],[Unit Capital]]</f>
        <v>1600</v>
      </c>
      <c r="R9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11.194896816847264</v>
      </c>
      <c r="S964" s="68">
        <f t="shared" si="45"/>
        <v>14.224</v>
      </c>
      <c r="T9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4" s="74" cm="1">
        <f t="array" ref="U964">IF(SIP[[#This Row],[B/S]]="S",ABS(SIP[[#This Row],[Unit]])*(INDEX(SIP[NAV at Cost (Average)],MATCH(CONCATENATE((SIP[[#This Row],[Frequency]]-1),SIP[[#This Row],[Investor ID]]),SIP[Unique Code],0),0)),0)</f>
        <v>0</v>
      </c>
      <c r="V964" s="74">
        <f>IF(SIP[[#This Row],[BO TRANSFER]]="YES",SIP[[#This Row],[Unit]],)</f>
        <v>0</v>
      </c>
      <c r="W964" s="74">
        <f>SUMIFS(SIP[[#Headers],[BO UNIT TRANSFER]]:SIP[[#This Row],[BO UNIT TRANSFER]],SIP[[#Headers],[Investor ID]]:SIP[[#This Row],[Investor ID]],SIP[[#This Row],[Investor ID]])</f>
        <v>0</v>
      </c>
    </row>
    <row r="965" spans="1:23" ht="15" customHeight="1">
      <c r="A965" s="101">
        <v>2025</v>
      </c>
      <c r="B965" s="101">
        <v>1</v>
      </c>
      <c r="C965" s="101">
        <v>26</v>
      </c>
      <c r="D965" s="65">
        <f>DATE(SIP[[#This Row],[Year]],SIP[[#This Row],[Month]],SIP[[#This Row],[Day]])</f>
        <v>45683</v>
      </c>
      <c r="E965" s="66" t="str" cm="1">
        <f t="array" ref="E965">INDEX(INVESTORS_LIST[INVESTOR NAME],MATCH(SIP[[#This Row],[Investor ID]],INVESTORS_LIST[INVESTOR CODE],0),)</f>
        <v>MAYA RANI SAHA</v>
      </c>
      <c r="F965" s="46" t="s">
        <v>224</v>
      </c>
      <c r="G965" s="46">
        <f>COUNTIF(SIP[[#Headers],[Investor ID]]:SIP[[#This Row],[Investor ID]],SIP[[#This Row],[Investor ID]])</f>
        <v>35</v>
      </c>
      <c r="H965" s="46" t="str">
        <f>CONCATENATE(SIP[[#This Row],[Frequency]],SIP[[#This Row],[Investor ID]])</f>
        <v>35A00088</v>
      </c>
      <c r="I965" s="46" t="str">
        <f>IF(SIP[[#This Row],[B/S]]="B","BUY",(IF(SIP[[#This Row],[B/S]]="S","SELL"," ")))</f>
        <v>BUY</v>
      </c>
      <c r="J965" s="150" t="s">
        <v>1229</v>
      </c>
      <c r="K965" s="152">
        <v>10000</v>
      </c>
      <c r="L965" s="122"/>
      <c r="M965" s="123">
        <f>SIP[[#This Row],[Amount]]/SIP[[#This Row],[Unit]]</f>
        <v>11.904761904761905</v>
      </c>
      <c r="N965" s="71">
        <f>SIP[[#This Row],[Unit Capital]]/10</f>
        <v>840</v>
      </c>
      <c r="O965" s="71">
        <f>SUMIFS(SIP[[#Headers],[Unit]]:SIP[[#This Row],[Unit]],SIP[[#Headers],[Investor ID]]:SIP[[#This Row],[Investor ID]],SIP[[#This Row],[Investor ID]])</f>
        <v>48183</v>
      </c>
      <c r="P965" s="153">
        <v>8400</v>
      </c>
      <c r="Q965" s="74">
        <f>SIP[[#This Row],[Amount]]-SIP[[#This Row],[Unit Capital]]</f>
        <v>1600</v>
      </c>
      <c r="R9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11.207272274453647</v>
      </c>
      <c r="S965" s="68">
        <f t="shared" si="45"/>
        <v>14.224</v>
      </c>
      <c r="T9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5" s="74" cm="1">
        <f t="array" ref="U965">IF(SIP[[#This Row],[B/S]]="S",ABS(SIP[[#This Row],[Unit]])*(INDEX(SIP[NAV at Cost (Average)],MATCH(CONCATENATE((SIP[[#This Row],[Frequency]]-1),SIP[[#This Row],[Investor ID]]),SIP[Unique Code],0),0)),0)</f>
        <v>0</v>
      </c>
      <c r="V965" s="74">
        <f>IF(SIP[[#This Row],[BO TRANSFER]]="YES",SIP[[#This Row],[Unit]],)</f>
        <v>0</v>
      </c>
      <c r="W965" s="74">
        <f>SUMIFS(SIP[[#Headers],[BO UNIT TRANSFER]]:SIP[[#This Row],[BO UNIT TRANSFER]],SIP[[#Headers],[Investor ID]]:SIP[[#This Row],[Investor ID]],SIP[[#This Row],[Investor ID]])</f>
        <v>0</v>
      </c>
    </row>
    <row r="966" spans="1:23" ht="15" customHeight="1">
      <c r="A966" s="101">
        <v>2025</v>
      </c>
      <c r="B966" s="101">
        <v>1</v>
      </c>
      <c r="C966" s="101">
        <v>26</v>
      </c>
      <c r="D966" s="65">
        <f>DATE(SIP[[#This Row],[Year]],SIP[[#This Row],[Month]],SIP[[#This Row],[Day]])</f>
        <v>45683</v>
      </c>
      <c r="E966" s="66" t="str" cm="1">
        <f t="array" ref="E966">INDEX(INVESTORS_LIST[INVESTOR NAME],MATCH(SIP[[#This Row],[Investor ID]],INVESTORS_LIST[INVESTOR CODE],0),)</f>
        <v>MD. WALI ULLAH</v>
      </c>
      <c r="F966" s="46" t="s">
        <v>443</v>
      </c>
      <c r="G966" s="46">
        <f>COUNTIF(SIP[[#Headers],[Investor ID]]:SIP[[#This Row],[Investor ID]],SIP[[#This Row],[Investor ID]])</f>
        <v>21</v>
      </c>
      <c r="H966" s="46" t="str">
        <f>CONCATENATE(SIP[[#This Row],[Frequency]],SIP[[#This Row],[Investor ID]])</f>
        <v>21A00197</v>
      </c>
      <c r="I966" s="46" t="str">
        <f>IF(SIP[[#This Row],[B/S]]="B","BUY",(IF(SIP[[#This Row],[B/S]]="S","SELL"," ")))</f>
        <v>BUY</v>
      </c>
      <c r="J966" s="150" t="s">
        <v>1229</v>
      </c>
      <c r="K966" s="152">
        <v>15000</v>
      </c>
      <c r="L966" s="122"/>
      <c r="M966" s="123">
        <f>SIP[[#This Row],[Amount]]/SIP[[#This Row],[Unit]]</f>
        <v>11.904761904761905</v>
      </c>
      <c r="N966" s="71">
        <f>SIP[[#This Row],[Unit Capital]]/10</f>
        <v>1260</v>
      </c>
      <c r="O966" s="71">
        <f>SUMIFS(SIP[[#Headers],[Unit]]:SIP[[#This Row],[Unit]],SIP[[#Headers],[Investor ID]]:SIP[[#This Row],[Investor ID]],SIP[[#This Row],[Investor ID]])</f>
        <v>28795</v>
      </c>
      <c r="P966" s="153">
        <v>12600</v>
      </c>
      <c r="Q966" s="74">
        <f>SIP[[#This Row],[Amount]]-SIP[[#This Row],[Unit Capital]]</f>
        <v>2400</v>
      </c>
      <c r="R9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10.939399201250211</v>
      </c>
      <c r="S966" s="68">
        <f t="shared" si="45"/>
        <v>14.224</v>
      </c>
      <c r="T9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6" s="74" cm="1">
        <f t="array" ref="U966">IF(SIP[[#This Row],[B/S]]="S",ABS(SIP[[#This Row],[Unit]])*(INDEX(SIP[NAV at Cost (Average)],MATCH(CONCATENATE((SIP[[#This Row],[Frequency]]-1),SIP[[#This Row],[Investor ID]]),SIP[Unique Code],0),0)),0)</f>
        <v>0</v>
      </c>
      <c r="V966" s="74">
        <f>IF(SIP[[#This Row],[BO TRANSFER]]="YES",SIP[[#This Row],[Unit]],)</f>
        <v>0</v>
      </c>
      <c r="W966" s="74">
        <f>SUMIFS(SIP[[#Headers],[BO UNIT TRANSFER]]:SIP[[#This Row],[BO UNIT TRANSFER]],SIP[[#Headers],[Investor ID]]:SIP[[#This Row],[Investor ID]],SIP[[#This Row],[Investor ID]])</f>
        <v>0</v>
      </c>
    </row>
    <row r="967" spans="1:23" ht="15" customHeight="1">
      <c r="A967" s="101">
        <v>2025</v>
      </c>
      <c r="B967" s="101">
        <v>1</v>
      </c>
      <c r="C967" s="101">
        <v>26</v>
      </c>
      <c r="D967" s="65">
        <f>DATE(SIP[[#This Row],[Year]],SIP[[#This Row],[Month]],SIP[[#This Row],[Day]])</f>
        <v>45683</v>
      </c>
      <c r="E967" s="66" t="str" cm="1">
        <f t="array" ref="E967">INDEX(INVESTORS_LIST[INVESTOR NAME],MATCH(SIP[[#This Row],[Investor ID]],INVESTORS_LIST[INVESTOR CODE],0),)</f>
        <v>SIKDER FAZLE RABBI</v>
      </c>
      <c r="F967" s="46" t="s">
        <v>1032</v>
      </c>
      <c r="G967" s="46">
        <f>COUNTIF(SIP[[#Headers],[Investor ID]]:SIP[[#This Row],[Investor ID]],SIP[[#This Row],[Investor ID]])</f>
        <v>20</v>
      </c>
      <c r="H967" s="46" t="str">
        <f>CONCATENATE(SIP[[#This Row],[Frequency]],SIP[[#This Row],[Investor ID]])</f>
        <v>20A00493</v>
      </c>
      <c r="I967" s="46" t="str">
        <f>IF(SIP[[#This Row],[B/S]]="B","BUY",(IF(SIP[[#This Row],[B/S]]="S","SELL"," ")))</f>
        <v>BUY</v>
      </c>
      <c r="J967" s="150" t="s">
        <v>1229</v>
      </c>
      <c r="K967" s="152">
        <v>5000</v>
      </c>
      <c r="L967" s="122"/>
      <c r="M967" s="123">
        <f>SIP[[#This Row],[Amount]]/SIP[[#This Row],[Unit]]</f>
        <v>11.904761904761905</v>
      </c>
      <c r="N967" s="71">
        <f>SIP[[#This Row],[Unit Capital]]/10</f>
        <v>420</v>
      </c>
      <c r="O967" s="71">
        <f>SUMIFS(SIP[[#Headers],[Unit]]:SIP[[#This Row],[Unit]],SIP[[#Headers],[Investor ID]]:SIP[[#This Row],[Investor ID]],SIP[[#This Row],[Investor ID]])</f>
        <v>9106</v>
      </c>
      <c r="P967" s="153">
        <v>4200</v>
      </c>
      <c r="Q967" s="74">
        <f>SIP[[#This Row],[Amount]]-SIP[[#This Row],[Unit Capital]]</f>
        <v>800</v>
      </c>
      <c r="R9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10.981770261366135</v>
      </c>
      <c r="S967" s="68">
        <f t="shared" si="45"/>
        <v>14.224</v>
      </c>
      <c r="T9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7" s="74" cm="1">
        <f t="array" ref="U967">IF(SIP[[#This Row],[B/S]]="S",ABS(SIP[[#This Row],[Unit]])*(INDEX(SIP[NAV at Cost (Average)],MATCH(CONCATENATE((SIP[[#This Row],[Frequency]]-1),SIP[[#This Row],[Investor ID]]),SIP[Unique Code],0),0)),0)</f>
        <v>0</v>
      </c>
      <c r="V967" s="74">
        <f>IF(SIP[[#This Row],[BO TRANSFER]]="YES",SIP[[#This Row],[Unit]],)</f>
        <v>0</v>
      </c>
      <c r="W967" s="74">
        <f>SUMIFS(SIP[[#Headers],[BO UNIT TRANSFER]]:SIP[[#This Row],[BO UNIT TRANSFER]],SIP[[#Headers],[Investor ID]]:SIP[[#This Row],[Investor ID]],SIP[[#This Row],[Investor ID]])</f>
        <v>0</v>
      </c>
    </row>
    <row r="968" spans="1:23" ht="15" customHeight="1">
      <c r="A968" s="101">
        <v>2025</v>
      </c>
      <c r="B968" s="101">
        <v>1</v>
      </c>
      <c r="C968" s="101">
        <v>26</v>
      </c>
      <c r="D968" s="65">
        <f>DATE(SIP[[#This Row],[Year]],SIP[[#This Row],[Month]],SIP[[#This Row],[Day]])</f>
        <v>45683</v>
      </c>
      <c r="E968" s="66" t="str" cm="1">
        <f t="array" ref="E968">INDEX(INVESTORS_LIST[INVESTOR NAME],MATCH(SIP[[#This Row],[Investor ID]],INVESTORS_LIST[INVESTOR CODE],0),)</f>
        <v>SADIA PARVIN</v>
      </c>
      <c r="F968" s="46" t="s">
        <v>1018</v>
      </c>
      <c r="G968" s="46">
        <f>COUNTIF(SIP[[#Headers],[Investor ID]]:SIP[[#This Row],[Investor ID]],SIP[[#This Row],[Investor ID]])</f>
        <v>29</v>
      </c>
      <c r="H968" s="46" t="str">
        <f>CONCATENATE(SIP[[#This Row],[Frequency]],SIP[[#This Row],[Investor ID]])</f>
        <v>29A00486</v>
      </c>
      <c r="I968" s="46" t="str">
        <f>IF(SIP[[#This Row],[B/S]]="B","BUY",(IF(SIP[[#This Row],[B/S]]="S","SELL"," ")))</f>
        <v>BUY</v>
      </c>
      <c r="J968" s="150" t="s">
        <v>1229</v>
      </c>
      <c r="K968" s="152">
        <v>5000</v>
      </c>
      <c r="L968" s="122"/>
      <c r="M968" s="123">
        <f>SIP[[#This Row],[Amount]]/SIP[[#This Row],[Unit]]</f>
        <v>11.904761904761905</v>
      </c>
      <c r="N968" s="71">
        <f>SIP[[#This Row],[Unit Capital]]/10</f>
        <v>420</v>
      </c>
      <c r="O968" s="71">
        <f>SUMIFS(SIP[[#Headers],[Unit]]:SIP[[#This Row],[Unit]],SIP[[#Headers],[Investor ID]]:SIP[[#This Row],[Investor ID]],SIP[[#This Row],[Investor ID]])</f>
        <v>13066</v>
      </c>
      <c r="P968" s="153">
        <v>4200</v>
      </c>
      <c r="Q968" s="74">
        <f>SIP[[#This Row],[Amount]]-SIP[[#This Row],[Unit Capital]]</f>
        <v>800</v>
      </c>
      <c r="R9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11.097504974743611</v>
      </c>
      <c r="S968" s="68">
        <f t="shared" si="45"/>
        <v>14.224</v>
      </c>
      <c r="T9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8" s="74" cm="1">
        <f t="array" ref="U968">IF(SIP[[#This Row],[B/S]]="S",ABS(SIP[[#This Row],[Unit]])*(INDEX(SIP[NAV at Cost (Average)],MATCH(CONCATENATE((SIP[[#This Row],[Frequency]]-1),SIP[[#This Row],[Investor ID]]),SIP[Unique Code],0),0)),0)</f>
        <v>0</v>
      </c>
      <c r="V968" s="74">
        <f>IF(SIP[[#This Row],[BO TRANSFER]]="YES",SIP[[#This Row],[Unit]],)</f>
        <v>0</v>
      </c>
      <c r="W968" s="74">
        <f>SUMIFS(SIP[[#Headers],[BO UNIT TRANSFER]]:SIP[[#This Row],[BO UNIT TRANSFER]],SIP[[#Headers],[Investor ID]]:SIP[[#This Row],[Investor ID]],SIP[[#This Row],[Investor ID]])</f>
        <v>0</v>
      </c>
    </row>
    <row r="969" spans="1:23" ht="15" customHeight="1">
      <c r="A969" s="101">
        <v>2025</v>
      </c>
      <c r="B969" s="101">
        <v>1</v>
      </c>
      <c r="C969" s="101">
        <v>26</v>
      </c>
      <c r="D969" s="65">
        <f>DATE(SIP[[#This Row],[Year]],SIP[[#This Row],[Month]],SIP[[#This Row],[Day]])</f>
        <v>45683</v>
      </c>
      <c r="E969" s="66" t="str" cm="1">
        <f t="array" ref="E969">INDEX(INVESTORS_LIST[INVESTOR NAME],MATCH(SIP[[#This Row],[Investor ID]],INVESTORS_LIST[INVESTOR CODE],0),)</f>
        <v>ABU MUSA MIRZA KAMRUZZAMAN SHAHEE</v>
      </c>
      <c r="F969" s="46" t="s">
        <v>1012</v>
      </c>
      <c r="G969" s="46">
        <f>COUNTIF(SIP[[#Headers],[Investor ID]]:SIP[[#This Row],[Investor ID]],SIP[[#This Row],[Investor ID]])</f>
        <v>20</v>
      </c>
      <c r="H969" s="46" t="str">
        <f>CONCATENATE(SIP[[#This Row],[Frequency]],SIP[[#This Row],[Investor ID]])</f>
        <v>20A00483</v>
      </c>
      <c r="I969" s="46" t="str">
        <f>IF(SIP[[#This Row],[B/S]]="B","BUY",(IF(SIP[[#This Row],[B/S]]="S","SELL"," ")))</f>
        <v>BUY</v>
      </c>
      <c r="J969" s="150" t="s">
        <v>1229</v>
      </c>
      <c r="K969" s="152">
        <v>5000</v>
      </c>
      <c r="L969" s="122"/>
      <c r="M969" s="123">
        <f>SIP[[#This Row],[Amount]]/SIP[[#This Row],[Unit]]</f>
        <v>11.904761904761905</v>
      </c>
      <c r="N969" s="71">
        <f>SIP[[#This Row],[Unit Capital]]/10</f>
        <v>420</v>
      </c>
      <c r="O969" s="71">
        <f>SUMIFS(SIP[[#Headers],[Unit]]:SIP[[#This Row],[Unit]],SIP[[#Headers],[Investor ID]]:SIP[[#This Row],[Investor ID]],SIP[[#This Row],[Investor ID]])</f>
        <v>9106</v>
      </c>
      <c r="P969" s="153">
        <v>4200</v>
      </c>
      <c r="Q969" s="74">
        <f>SIP[[#This Row],[Amount]]-SIP[[#This Row],[Unit Capital]]</f>
        <v>800</v>
      </c>
      <c r="R9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10.981770261366135</v>
      </c>
      <c r="S969" s="68">
        <f t="shared" si="45"/>
        <v>14.224</v>
      </c>
      <c r="T9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9" s="74" cm="1">
        <f t="array" ref="U969">IF(SIP[[#This Row],[B/S]]="S",ABS(SIP[[#This Row],[Unit]])*(INDEX(SIP[NAV at Cost (Average)],MATCH(CONCATENATE((SIP[[#This Row],[Frequency]]-1),SIP[[#This Row],[Investor ID]]),SIP[Unique Code],0),0)),0)</f>
        <v>0</v>
      </c>
      <c r="V969" s="74">
        <f>IF(SIP[[#This Row],[BO TRANSFER]]="YES",SIP[[#This Row],[Unit]],)</f>
        <v>0</v>
      </c>
      <c r="W969" s="74">
        <f>SUMIFS(SIP[[#Headers],[BO UNIT TRANSFER]]:SIP[[#This Row],[BO UNIT TRANSFER]],SIP[[#Headers],[Investor ID]]:SIP[[#This Row],[Investor ID]],SIP[[#This Row],[Investor ID]])</f>
        <v>0</v>
      </c>
    </row>
    <row r="970" spans="1:23" ht="15" customHeight="1">
      <c r="A970" s="101">
        <v>2025</v>
      </c>
      <c r="B970" s="101">
        <v>1</v>
      </c>
      <c r="C970" s="101">
        <v>26</v>
      </c>
      <c r="D970" s="65">
        <f>DATE(SIP[[#This Row],[Year]],SIP[[#This Row],[Month]],SIP[[#This Row],[Day]])</f>
        <v>45683</v>
      </c>
      <c r="E970" s="66" t="str" cm="1">
        <f t="array" ref="E970">INDEX(INVESTORS_LIST[INVESTOR NAME],MATCH(SIP[[#This Row],[Investor ID]],INVESTORS_LIST[INVESTOR CODE],0),)</f>
        <v>SUMAN SAHA</v>
      </c>
      <c r="F970" s="46" t="s">
        <v>1022</v>
      </c>
      <c r="G970" s="46">
        <f>COUNTIF(SIP[[#Headers],[Investor ID]]:SIP[[#This Row],[Investor ID]],SIP[[#This Row],[Investor ID]])</f>
        <v>20</v>
      </c>
      <c r="H970" s="46" t="str">
        <f>CONCATENATE(SIP[[#This Row],[Frequency]],SIP[[#This Row],[Investor ID]])</f>
        <v>20A00488</v>
      </c>
      <c r="I970" s="46" t="str">
        <f>IF(SIP[[#This Row],[B/S]]="B","BUY",(IF(SIP[[#This Row],[B/S]]="S","SELL"," ")))</f>
        <v>BUY</v>
      </c>
      <c r="J970" s="150" t="s">
        <v>1229</v>
      </c>
      <c r="K970" s="152">
        <v>5000</v>
      </c>
      <c r="L970" s="122"/>
      <c r="M970" s="123">
        <f>SIP[[#This Row],[Amount]]/SIP[[#This Row],[Unit]]</f>
        <v>11.904761904761905</v>
      </c>
      <c r="N970" s="71">
        <f>SIP[[#This Row],[Unit Capital]]/10</f>
        <v>420</v>
      </c>
      <c r="O970" s="71">
        <f>SUMIFS(SIP[[#Headers],[Unit]]:SIP[[#This Row],[Unit]],SIP[[#Headers],[Investor ID]]:SIP[[#This Row],[Investor ID]],SIP[[#This Row],[Investor ID]])</f>
        <v>9106</v>
      </c>
      <c r="P970" s="153">
        <v>4200</v>
      </c>
      <c r="Q970" s="74">
        <f>SIP[[#This Row],[Amount]]-SIP[[#This Row],[Unit Capital]]</f>
        <v>800</v>
      </c>
      <c r="R9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10.981770261366135</v>
      </c>
      <c r="S970" s="68">
        <f t="shared" si="45"/>
        <v>14.224</v>
      </c>
      <c r="T9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0" s="74" cm="1">
        <f t="array" ref="U970">IF(SIP[[#This Row],[B/S]]="S",ABS(SIP[[#This Row],[Unit]])*(INDEX(SIP[NAV at Cost (Average)],MATCH(CONCATENATE((SIP[[#This Row],[Frequency]]-1),SIP[[#This Row],[Investor ID]]),SIP[Unique Code],0),0)),0)</f>
        <v>0</v>
      </c>
      <c r="V970" s="74">
        <f>IF(SIP[[#This Row],[BO TRANSFER]]="YES",SIP[[#This Row],[Unit]],)</f>
        <v>0</v>
      </c>
      <c r="W970" s="74">
        <f>SUMIFS(SIP[[#Headers],[BO UNIT TRANSFER]]:SIP[[#This Row],[BO UNIT TRANSFER]],SIP[[#Headers],[Investor ID]]:SIP[[#This Row],[Investor ID]],SIP[[#This Row],[Investor ID]])</f>
        <v>0</v>
      </c>
    </row>
    <row r="971" spans="1:23" ht="15" customHeight="1">
      <c r="A971" s="101">
        <v>2025</v>
      </c>
      <c r="B971" s="101">
        <v>1</v>
      </c>
      <c r="C971" s="101">
        <v>26</v>
      </c>
      <c r="D971" s="65">
        <f>DATE(SIP[[#This Row],[Year]],SIP[[#This Row],[Month]],SIP[[#This Row],[Day]])</f>
        <v>45683</v>
      </c>
      <c r="E971" s="66" t="str" cm="1">
        <f t="array" ref="E971">INDEX(INVESTORS_LIST[INVESTOR NAME],MATCH(SIP[[#This Row],[Investor ID]],INVESTORS_LIST[INVESTOR CODE],0),)</f>
        <v>MRINMOY GHOSH</v>
      </c>
      <c r="F971" s="46" t="s">
        <v>69</v>
      </c>
      <c r="G971" s="46">
        <f>COUNTIF(SIP[[#Headers],[Investor ID]]:SIP[[#This Row],[Investor ID]],SIP[[#This Row],[Investor ID]])</f>
        <v>17</v>
      </c>
      <c r="H971" s="46" t="str">
        <f>CONCATENATE(SIP[[#This Row],[Frequency]],SIP[[#This Row],[Investor ID]])</f>
        <v>17A00012</v>
      </c>
      <c r="I971" s="46" t="str">
        <f>IF(SIP[[#This Row],[B/S]]="B","BUY",(IF(SIP[[#This Row],[B/S]]="S","SELL"," ")))</f>
        <v>BUY</v>
      </c>
      <c r="J971" s="150" t="s">
        <v>1229</v>
      </c>
      <c r="K971" s="152">
        <v>10000</v>
      </c>
      <c r="L971" s="122"/>
      <c r="M971" s="123">
        <f>SIP[[#This Row],[Amount]]/SIP[[#This Row],[Unit]]</f>
        <v>11.904761904761905</v>
      </c>
      <c r="N971" s="71">
        <f>SIP[[#This Row],[Unit Capital]]/10</f>
        <v>840</v>
      </c>
      <c r="O971" s="71">
        <f>SUMIFS(SIP[[#Headers],[Unit]]:SIP[[#This Row],[Unit]],SIP[[#Headers],[Investor ID]]:SIP[[#This Row],[Investor ID]],SIP[[#This Row],[Investor ID]])</f>
        <v>4301</v>
      </c>
      <c r="P971" s="153">
        <v>8400</v>
      </c>
      <c r="Q971" s="74">
        <f>SIP[[#This Row],[Amount]]-SIP[[#This Row],[Unit Capital]]</f>
        <v>1600</v>
      </c>
      <c r="R9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11.62520344106022</v>
      </c>
      <c r="S971" s="68">
        <f t="shared" si="45"/>
        <v>14.224</v>
      </c>
      <c r="T9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1" s="74" cm="1">
        <f t="array" ref="U971">IF(SIP[[#This Row],[B/S]]="S",ABS(SIP[[#This Row],[Unit]])*(INDEX(SIP[NAV at Cost (Average)],MATCH(CONCATENATE((SIP[[#This Row],[Frequency]]-1),SIP[[#This Row],[Investor ID]]),SIP[Unique Code],0),0)),0)</f>
        <v>0</v>
      </c>
      <c r="V971" s="74">
        <f>IF(SIP[[#This Row],[BO TRANSFER]]="YES",SIP[[#This Row],[Unit]],)</f>
        <v>0</v>
      </c>
      <c r="W971" s="74">
        <f>SUMIFS(SIP[[#Headers],[BO UNIT TRANSFER]]:SIP[[#This Row],[BO UNIT TRANSFER]],SIP[[#Headers],[Investor ID]]:SIP[[#This Row],[Investor ID]],SIP[[#This Row],[Investor ID]])</f>
        <v>0</v>
      </c>
    </row>
    <row r="972" spans="1:23" ht="15" customHeight="1">
      <c r="A972" s="101">
        <v>2025</v>
      </c>
      <c r="B972" s="101">
        <v>1</v>
      </c>
      <c r="C972" s="101">
        <v>26</v>
      </c>
      <c r="D972" s="65">
        <f>DATE(SIP[[#This Row],[Year]],SIP[[#This Row],[Month]],SIP[[#This Row],[Day]])</f>
        <v>45683</v>
      </c>
      <c r="E972" s="66" t="str" cm="1">
        <f t="array" ref="E972">INDEX(INVESTORS_LIST[INVESTOR NAME],MATCH(SIP[[#This Row],[Investor ID]],INVESTORS_LIST[INVESTOR CODE],0),)</f>
        <v>ADNAN RASHID</v>
      </c>
      <c r="F972" s="46" t="s">
        <v>252</v>
      </c>
      <c r="G972" s="46">
        <f>COUNTIF(SIP[[#Headers],[Investor ID]]:SIP[[#This Row],[Investor ID]],SIP[[#This Row],[Investor ID]])</f>
        <v>18</v>
      </c>
      <c r="H972" s="46" t="str">
        <f>CONCATENATE(SIP[[#This Row],[Frequency]],SIP[[#This Row],[Investor ID]])</f>
        <v>18A00102</v>
      </c>
      <c r="I972" s="46" t="str">
        <f>IF(SIP[[#This Row],[B/S]]="B","BUY",(IF(SIP[[#This Row],[B/S]]="S","SELL"," ")))</f>
        <v>BUY</v>
      </c>
      <c r="J972" s="150" t="s">
        <v>1229</v>
      </c>
      <c r="K972" s="152">
        <v>30000</v>
      </c>
      <c r="L972" s="122"/>
      <c r="M972" s="123">
        <f>SIP[[#This Row],[Amount]]/SIP[[#This Row],[Unit]]</f>
        <v>11.904761904761905</v>
      </c>
      <c r="N972" s="71">
        <f>SIP[[#This Row],[Unit Capital]]/10</f>
        <v>2520</v>
      </c>
      <c r="O972" s="71">
        <f>SUMIFS(SIP[[#Headers],[Unit]]:SIP[[#This Row],[Unit]],SIP[[#Headers],[Investor ID]]:SIP[[#This Row],[Investor ID]],SIP[[#This Row],[Investor ID]])</f>
        <v>27749</v>
      </c>
      <c r="P972" s="153">
        <v>25200</v>
      </c>
      <c r="Q972" s="74">
        <f>SIP[[#This Row],[Amount]]-SIP[[#This Row],[Unit Capital]]</f>
        <v>4800</v>
      </c>
      <c r="R9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11.354486747489323</v>
      </c>
      <c r="S972" s="68">
        <f t="shared" si="45"/>
        <v>14.224</v>
      </c>
      <c r="T9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2" s="74" cm="1">
        <f t="array" ref="U972">IF(SIP[[#This Row],[B/S]]="S",ABS(SIP[[#This Row],[Unit]])*(INDEX(SIP[NAV at Cost (Average)],MATCH(CONCATENATE((SIP[[#This Row],[Frequency]]-1),SIP[[#This Row],[Investor ID]]),SIP[Unique Code],0),0)),0)</f>
        <v>0</v>
      </c>
      <c r="V972" s="74">
        <f>IF(SIP[[#This Row],[BO TRANSFER]]="YES",SIP[[#This Row],[Unit]],)</f>
        <v>0</v>
      </c>
      <c r="W972" s="74">
        <f>SUMIFS(SIP[[#Headers],[BO UNIT TRANSFER]]:SIP[[#This Row],[BO UNIT TRANSFER]],SIP[[#Headers],[Investor ID]]:SIP[[#This Row],[Investor ID]],SIP[[#This Row],[Investor ID]])</f>
        <v>0</v>
      </c>
    </row>
    <row r="973" spans="1:23" ht="15" customHeight="1">
      <c r="A973" s="101">
        <v>2025</v>
      </c>
      <c r="B973" s="101">
        <v>1</v>
      </c>
      <c r="C973" s="101">
        <v>26</v>
      </c>
      <c r="D973" s="65">
        <f>DATE(SIP[[#This Row],[Year]],SIP[[#This Row],[Month]],SIP[[#This Row],[Day]])</f>
        <v>45683</v>
      </c>
      <c r="E973" s="66" t="str" cm="1">
        <f t="array" ref="E973">INDEX(INVESTORS_LIST[INVESTOR NAME],MATCH(SIP[[#This Row],[Investor ID]],INVESTORS_LIST[INVESTOR CODE],0),)</f>
        <v>MOHAMMAD HASAN IMAM</v>
      </c>
      <c r="F973" s="46" t="s">
        <v>1122</v>
      </c>
      <c r="G973" s="46">
        <f>COUNTIF(SIP[[#Headers],[Investor ID]]:SIP[[#This Row],[Investor ID]],SIP[[#This Row],[Investor ID]])</f>
        <v>10</v>
      </c>
      <c r="H973" s="46" t="str">
        <f>CONCATENATE(SIP[[#This Row],[Frequency]],SIP[[#This Row],[Investor ID]])</f>
        <v>10A00536</v>
      </c>
      <c r="I973" s="46" t="str">
        <f>IF(SIP[[#This Row],[B/S]]="B","BUY",(IF(SIP[[#This Row],[B/S]]="S","SELL"," ")))</f>
        <v>BUY</v>
      </c>
      <c r="J973" s="150" t="s">
        <v>1229</v>
      </c>
      <c r="K973" s="152">
        <v>5000</v>
      </c>
      <c r="L973" s="122"/>
      <c r="M973" s="123">
        <f>SIP[[#This Row],[Amount]]/SIP[[#This Row],[Unit]]</f>
        <v>11.904761904761905</v>
      </c>
      <c r="N973" s="71">
        <f>SIP[[#This Row],[Unit Capital]]/10</f>
        <v>420</v>
      </c>
      <c r="O973" s="71">
        <f>SUMIFS(SIP[[#Headers],[Unit]]:SIP[[#This Row],[Unit]],SIP[[#Headers],[Investor ID]]:SIP[[#This Row],[Investor ID]],SIP[[#This Row],[Investor ID]])</f>
        <v>4378</v>
      </c>
      <c r="P973" s="153">
        <v>4200</v>
      </c>
      <c r="Q973" s="74">
        <f>SIP[[#This Row],[Amount]]-SIP[[#This Row],[Unit Capital]]</f>
        <v>800</v>
      </c>
      <c r="R9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11.420740063956144</v>
      </c>
      <c r="S973" s="68">
        <f t="shared" si="45"/>
        <v>14.224</v>
      </c>
      <c r="T9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3" s="74" cm="1">
        <f t="array" ref="U973">IF(SIP[[#This Row],[B/S]]="S",ABS(SIP[[#This Row],[Unit]])*(INDEX(SIP[NAV at Cost (Average)],MATCH(CONCATENATE((SIP[[#This Row],[Frequency]]-1),SIP[[#This Row],[Investor ID]]),SIP[Unique Code],0),0)),0)</f>
        <v>0</v>
      </c>
      <c r="V973" s="74">
        <f>IF(SIP[[#This Row],[BO TRANSFER]]="YES",SIP[[#This Row],[Unit]],)</f>
        <v>0</v>
      </c>
      <c r="W973" s="74">
        <f>SUMIFS(SIP[[#Headers],[BO UNIT TRANSFER]]:SIP[[#This Row],[BO UNIT TRANSFER]],SIP[[#Headers],[Investor ID]]:SIP[[#This Row],[Investor ID]],SIP[[#This Row],[Investor ID]])</f>
        <v>0</v>
      </c>
    </row>
    <row r="974" spans="1:23" ht="15" customHeight="1">
      <c r="A974" s="101">
        <v>2025</v>
      </c>
      <c r="B974" s="101">
        <v>1</v>
      </c>
      <c r="C974" s="101">
        <v>26</v>
      </c>
      <c r="D974" s="65">
        <f>DATE(SIP[[#This Row],[Year]],SIP[[#This Row],[Month]],SIP[[#This Row],[Day]])</f>
        <v>45683</v>
      </c>
      <c r="E974" s="66" t="str" cm="1">
        <f t="array" ref="E974">INDEX(INVESTORS_LIST[INVESTOR NAME],MATCH(SIP[[#This Row],[Investor ID]],INVESTORS_LIST[INVESTOR CODE],0),)</f>
        <v>SHAPNA RANI BARMAN</v>
      </c>
      <c r="F974" s="46" t="s">
        <v>1292</v>
      </c>
      <c r="G974" s="46">
        <f>COUNTIF(SIP[[#Headers],[Investor ID]]:SIP[[#This Row],[Investor ID]],SIP[[#This Row],[Investor ID]])</f>
        <v>3</v>
      </c>
      <c r="H974" s="46" t="str">
        <f>CONCATENATE(SIP[[#This Row],[Frequency]],SIP[[#This Row],[Investor ID]])</f>
        <v>3A00593</v>
      </c>
      <c r="I974" s="46" t="str">
        <f>IF(SIP[[#This Row],[B/S]]="B","BUY",(IF(SIP[[#This Row],[B/S]]="S","SELL"," ")))</f>
        <v>BUY</v>
      </c>
      <c r="J974" s="150" t="s">
        <v>1229</v>
      </c>
      <c r="K974" s="152">
        <v>1000</v>
      </c>
      <c r="L974" s="122"/>
      <c r="M974" s="123">
        <f>SIP[[#This Row],[Amount]]/SIP[[#This Row],[Unit]]</f>
        <v>11.904761904761905</v>
      </c>
      <c r="N974" s="71">
        <f>SIP[[#This Row],[Unit Capital]]/10</f>
        <v>84</v>
      </c>
      <c r="O974" s="71">
        <f>SUMIFS(SIP[[#Headers],[Unit]]:SIP[[#This Row],[Unit]],SIP[[#Headers],[Investor ID]]:SIP[[#This Row],[Investor ID]],SIP[[#This Row],[Investor ID]])</f>
        <v>255</v>
      </c>
      <c r="P974" s="153">
        <v>840</v>
      </c>
      <c r="Q974" s="74">
        <f>SIP[[#This Row],[Amount]]-SIP[[#This Row],[Unit Capital]]</f>
        <v>160</v>
      </c>
      <c r="R9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11.76470588235294</v>
      </c>
      <c r="S974" s="68">
        <f t="shared" si="45"/>
        <v>14.224</v>
      </c>
      <c r="T9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4" s="74" cm="1">
        <f t="array" ref="U974">IF(SIP[[#This Row],[B/S]]="S",ABS(SIP[[#This Row],[Unit]])*(INDEX(SIP[NAV at Cost (Average)],MATCH(CONCATENATE((SIP[[#This Row],[Frequency]]-1),SIP[[#This Row],[Investor ID]]),SIP[Unique Code],0),0)),0)</f>
        <v>0</v>
      </c>
      <c r="V974" s="74">
        <f>IF(SIP[[#This Row],[BO TRANSFER]]="YES",SIP[[#This Row],[Unit]],)</f>
        <v>0</v>
      </c>
      <c r="W974" s="74">
        <f>SUMIFS(SIP[[#Headers],[BO UNIT TRANSFER]]:SIP[[#This Row],[BO UNIT TRANSFER]],SIP[[#Headers],[Investor ID]]:SIP[[#This Row],[Investor ID]],SIP[[#This Row],[Investor ID]])</f>
        <v>0</v>
      </c>
    </row>
    <row r="975" spans="1:23" ht="15" customHeight="1">
      <c r="A975" s="101">
        <v>2025</v>
      </c>
      <c r="B975" s="101">
        <v>1</v>
      </c>
      <c r="C975" s="101">
        <v>26</v>
      </c>
      <c r="D975" s="65">
        <f>DATE(SIP[[#This Row],[Year]],SIP[[#This Row],[Month]],SIP[[#This Row],[Day]])</f>
        <v>45683</v>
      </c>
      <c r="E975" s="66" t="str" cm="1">
        <f t="array" ref="E975">INDEX(INVESTORS_LIST[INVESTOR NAME],MATCH(SIP[[#This Row],[Investor ID]],INVESTORS_LIST[INVESTOR CODE],0),)</f>
        <v>MAYA RANI SAHA</v>
      </c>
      <c r="F975" s="46" t="s">
        <v>224</v>
      </c>
      <c r="G975" s="46">
        <f>COUNTIF(SIP[[#Headers],[Investor ID]]:SIP[[#This Row],[Investor ID]],SIP[[#This Row],[Investor ID]])</f>
        <v>36</v>
      </c>
      <c r="H975" s="46" t="str">
        <f>CONCATENATE(SIP[[#This Row],[Frequency]],SIP[[#This Row],[Investor ID]])</f>
        <v>36A00088</v>
      </c>
      <c r="I975" s="46" t="str">
        <f>IF(SIP[[#This Row],[B/S]]="B","BUY",(IF(SIP[[#This Row],[B/S]]="S","SELL"," ")))</f>
        <v>BUY</v>
      </c>
      <c r="J975" s="150" t="s">
        <v>1229</v>
      </c>
      <c r="K975" s="152">
        <v>6000</v>
      </c>
      <c r="L975" s="122"/>
      <c r="M975" s="123">
        <f>SIP[[#This Row],[Amount]]/SIP[[#This Row],[Unit]]</f>
        <v>11.904761904761905</v>
      </c>
      <c r="N975" s="71">
        <f>SIP[[#This Row],[Unit Capital]]/10</f>
        <v>504</v>
      </c>
      <c r="O975" s="71">
        <f>SUMIFS(SIP[[#Headers],[Unit]]:SIP[[#This Row],[Unit]],SIP[[#Headers],[Investor ID]]:SIP[[#This Row],[Investor ID]],SIP[[#This Row],[Investor ID]])</f>
        <v>48687</v>
      </c>
      <c r="P975" s="153">
        <v>5040</v>
      </c>
      <c r="Q975" s="74">
        <f>SIP[[#This Row],[Amount]]-SIP[[#This Row],[Unit Capital]]</f>
        <v>960</v>
      </c>
      <c r="R9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11.214492575020028</v>
      </c>
      <c r="S975" s="68">
        <f t="shared" si="45"/>
        <v>14.224</v>
      </c>
      <c r="T9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5" s="74" cm="1">
        <f t="array" ref="U975">IF(SIP[[#This Row],[B/S]]="S",ABS(SIP[[#This Row],[Unit]])*(INDEX(SIP[NAV at Cost (Average)],MATCH(CONCATENATE((SIP[[#This Row],[Frequency]]-1),SIP[[#This Row],[Investor ID]]),SIP[Unique Code],0),0)),0)</f>
        <v>0</v>
      </c>
      <c r="V975" s="74">
        <f>IF(SIP[[#This Row],[BO TRANSFER]]="YES",SIP[[#This Row],[Unit]],)</f>
        <v>0</v>
      </c>
      <c r="W975" s="74">
        <f>SUMIFS(SIP[[#Headers],[BO UNIT TRANSFER]]:SIP[[#This Row],[BO UNIT TRANSFER]],SIP[[#Headers],[Investor ID]]:SIP[[#This Row],[Investor ID]],SIP[[#This Row],[Investor ID]])</f>
        <v>0</v>
      </c>
    </row>
    <row r="976" spans="1:23" ht="15" customHeight="1">
      <c r="A976" s="101">
        <v>2025</v>
      </c>
      <c r="B976" s="101">
        <v>1</v>
      </c>
      <c r="C976" s="101">
        <v>26</v>
      </c>
      <c r="D976" s="65">
        <f>DATE(SIP[[#This Row],[Year]],SIP[[#This Row],[Month]],SIP[[#This Row],[Day]])</f>
        <v>45683</v>
      </c>
      <c r="E976" s="66" t="str" cm="1">
        <f t="array" ref="E976">INDEX(INVESTORS_LIST[INVESTOR NAME],MATCH(SIP[[#This Row],[Investor ID]],INVESTORS_LIST[INVESTOR CODE],0),)</f>
        <v>MAHBUB-UL-ANAM KHAN</v>
      </c>
      <c r="F976" s="46" t="s">
        <v>626</v>
      </c>
      <c r="G976" s="46">
        <f>COUNTIF(SIP[[#Headers],[Investor ID]]:SIP[[#This Row],[Investor ID]],SIP[[#This Row],[Investor ID]])</f>
        <v>6</v>
      </c>
      <c r="H976" s="46" t="str">
        <f>CONCATENATE(SIP[[#This Row],[Frequency]],SIP[[#This Row],[Investor ID]])</f>
        <v>6A00289</v>
      </c>
      <c r="I976" s="46" t="str">
        <f>IF(SIP[[#This Row],[B/S]]="B","BUY",(IF(SIP[[#This Row],[B/S]]="S","SELL"," ")))</f>
        <v>BUY</v>
      </c>
      <c r="J976" s="150" t="s">
        <v>1229</v>
      </c>
      <c r="K976" s="152">
        <v>5000</v>
      </c>
      <c r="L976" s="122"/>
      <c r="M976" s="123">
        <f>SIP[[#This Row],[Amount]]/SIP[[#This Row],[Unit]]</f>
        <v>11.904761904761905</v>
      </c>
      <c r="N976" s="71">
        <f>SIP[[#This Row],[Unit Capital]]/10</f>
        <v>420</v>
      </c>
      <c r="O976" s="71">
        <f>SUMIFS(SIP[[#Headers],[Unit]]:SIP[[#This Row],[Unit]],SIP[[#Headers],[Investor ID]]:SIP[[#This Row],[Investor ID]],SIP[[#This Row],[Investor ID]])</f>
        <v>2578</v>
      </c>
      <c r="P976" s="153">
        <v>4200</v>
      </c>
      <c r="Q976" s="74">
        <f>SIP[[#This Row],[Amount]]-SIP[[#This Row],[Unit Capital]]</f>
        <v>800</v>
      </c>
      <c r="R9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11.636927851047323</v>
      </c>
      <c r="S976" s="68">
        <f t="shared" si="45"/>
        <v>14.224</v>
      </c>
      <c r="T9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6" s="74" cm="1">
        <f t="array" ref="U976">IF(SIP[[#This Row],[B/S]]="S",ABS(SIP[[#This Row],[Unit]])*(INDEX(SIP[NAV at Cost (Average)],MATCH(CONCATENATE((SIP[[#This Row],[Frequency]]-1),SIP[[#This Row],[Investor ID]]),SIP[Unique Code],0),0)),0)</f>
        <v>0</v>
      </c>
      <c r="V976" s="74">
        <f>IF(SIP[[#This Row],[BO TRANSFER]]="YES",SIP[[#This Row],[Unit]],)</f>
        <v>0</v>
      </c>
      <c r="W976" s="74">
        <f>SUMIFS(SIP[[#Headers],[BO UNIT TRANSFER]]:SIP[[#This Row],[BO UNIT TRANSFER]],SIP[[#Headers],[Investor ID]]:SIP[[#This Row],[Investor ID]],SIP[[#This Row],[Investor ID]])</f>
        <v>0</v>
      </c>
    </row>
    <row r="977" spans="1:23" ht="15" customHeight="1">
      <c r="A977" s="101">
        <v>2025</v>
      </c>
      <c r="B977" s="101">
        <v>1</v>
      </c>
      <c r="C977" s="101">
        <v>26</v>
      </c>
      <c r="D977" s="65">
        <f>DATE(SIP[[#This Row],[Year]],SIP[[#This Row],[Month]],SIP[[#This Row],[Day]])</f>
        <v>45683</v>
      </c>
      <c r="E977" s="66" t="str" cm="1">
        <f t="array" ref="E977">INDEX(INVESTORS_LIST[INVESTOR NAME],MATCH(SIP[[#This Row],[Investor ID]],INVESTORS_LIST[INVESTOR CODE],0),)</f>
        <v>MAHFUZUL ISLAM</v>
      </c>
      <c r="F977" s="46" t="s">
        <v>473</v>
      </c>
      <c r="G977" s="46">
        <f>COUNTIF(SIP[[#Headers],[Investor ID]]:SIP[[#This Row],[Investor ID]],SIP[[#This Row],[Investor ID]])</f>
        <v>13</v>
      </c>
      <c r="H977" s="46" t="str">
        <f>CONCATENATE(SIP[[#This Row],[Frequency]],SIP[[#This Row],[Investor ID]])</f>
        <v>13A00212</v>
      </c>
      <c r="I977" s="46" t="str">
        <f>IF(SIP[[#This Row],[B/S]]="B","BUY",(IF(SIP[[#This Row],[B/S]]="S","SELL"," ")))</f>
        <v>BUY</v>
      </c>
      <c r="J977" s="150" t="s">
        <v>1229</v>
      </c>
      <c r="K977" s="152">
        <v>3000</v>
      </c>
      <c r="L977" s="122" t="s">
        <v>1230</v>
      </c>
      <c r="M977" s="123">
        <f>SIP[[#This Row],[Amount]]/SIP[[#This Row],[Unit]]</f>
        <v>11.904761904761905</v>
      </c>
      <c r="N977" s="71">
        <f>SIP[[#This Row],[Unit Capital]]/10</f>
        <v>252</v>
      </c>
      <c r="O977" s="71">
        <f>SUMIFS(SIP[[#Headers],[Unit]]:SIP[[#This Row],[Unit]],SIP[[#Headers],[Investor ID]]:SIP[[#This Row],[Investor ID]],SIP[[#This Row],[Investor ID]])</f>
        <v>2176</v>
      </c>
      <c r="P977" s="153">
        <v>2520</v>
      </c>
      <c r="Q977" s="74">
        <f>SIP[[#This Row],[Amount]]-SIP[[#This Row],[Unit Capital]]</f>
        <v>480</v>
      </c>
      <c r="R9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11.488970588235295</v>
      </c>
      <c r="S977" s="68">
        <f t="shared" si="45"/>
        <v>14.224</v>
      </c>
      <c r="T9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7" s="74" cm="1">
        <f t="array" ref="U977">IF(SIP[[#This Row],[B/S]]="S",ABS(SIP[[#This Row],[Unit]])*(INDEX(SIP[NAV at Cost (Average)],MATCH(CONCATENATE((SIP[[#This Row],[Frequency]]-1),SIP[[#This Row],[Investor ID]]),SIP[Unique Code],0),0)),0)</f>
        <v>0</v>
      </c>
      <c r="V977" s="74">
        <f>IF(SIP[[#This Row],[BO TRANSFER]]="YES",SIP[[#This Row],[Unit]],)</f>
        <v>252</v>
      </c>
      <c r="W977" s="74">
        <f>SUMIFS(SIP[[#Headers],[BO UNIT TRANSFER]]:SIP[[#This Row],[BO UNIT TRANSFER]],SIP[[#Headers],[Investor ID]]:SIP[[#This Row],[Investor ID]],SIP[[#This Row],[Investor ID]])</f>
        <v>2176</v>
      </c>
    </row>
    <row r="978" spans="1:23" ht="15" customHeight="1">
      <c r="A978" s="101">
        <v>2025</v>
      </c>
      <c r="B978" s="101">
        <v>1</v>
      </c>
      <c r="C978" s="101">
        <v>26</v>
      </c>
      <c r="D978" s="65">
        <f>DATE(SIP[[#This Row],[Year]],SIP[[#This Row],[Month]],SIP[[#This Row],[Day]])</f>
        <v>45683</v>
      </c>
      <c r="E978" s="66" t="str" cm="1">
        <f t="array" ref="E978">INDEX(INVESTORS_LIST[INVESTOR NAME],MATCH(SIP[[#This Row],[Investor ID]],INVESTORS_LIST[INVESTOR CODE],0),)</f>
        <v>MST. GOLENUR</v>
      </c>
      <c r="F978" s="46" t="s">
        <v>1075</v>
      </c>
      <c r="G978" s="46">
        <f>COUNTIF(SIP[[#Headers],[Investor ID]]:SIP[[#This Row],[Investor ID]],SIP[[#This Row],[Investor ID]])</f>
        <v>2</v>
      </c>
      <c r="H978" s="46" t="str">
        <f>CONCATENATE(SIP[[#This Row],[Frequency]],SIP[[#This Row],[Investor ID]])</f>
        <v>2A00515</v>
      </c>
      <c r="I978" s="46" t="str">
        <f>IF(SIP[[#This Row],[B/S]]="B","BUY",(IF(SIP[[#This Row],[B/S]]="S","SELL"," ")))</f>
        <v>BUY</v>
      </c>
      <c r="J978" s="150" t="s">
        <v>1229</v>
      </c>
      <c r="K978" s="152">
        <v>2000</v>
      </c>
      <c r="L978" s="122"/>
      <c r="M978" s="123">
        <f>SIP[[#This Row],[Amount]]/SIP[[#This Row],[Unit]]</f>
        <v>11.904761904761905</v>
      </c>
      <c r="N978" s="71">
        <f>SIP[[#This Row],[Unit Capital]]/10</f>
        <v>168</v>
      </c>
      <c r="O978" s="71">
        <f>SUMIFS(SIP[[#Headers],[Unit]]:SIP[[#This Row],[Unit]],SIP[[#Headers],[Investor ID]]:SIP[[#This Row],[Investor ID]],SIP[[#This Row],[Investor ID]])</f>
        <v>337</v>
      </c>
      <c r="P978" s="153">
        <v>1680</v>
      </c>
      <c r="Q978" s="74">
        <f>SIP[[#This Row],[Amount]]-SIP[[#This Row],[Unit Capital]]</f>
        <v>320</v>
      </c>
      <c r="R9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11.869436201780417</v>
      </c>
      <c r="S978" s="68">
        <f t="shared" si="45"/>
        <v>14.224</v>
      </c>
      <c r="T9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8" s="74" cm="1">
        <f t="array" ref="U978">IF(SIP[[#This Row],[B/S]]="S",ABS(SIP[[#This Row],[Unit]])*(INDEX(SIP[NAV at Cost (Average)],MATCH(CONCATENATE((SIP[[#This Row],[Frequency]]-1),SIP[[#This Row],[Investor ID]]),SIP[Unique Code],0),0)),0)</f>
        <v>0</v>
      </c>
      <c r="V978" s="74">
        <f>IF(SIP[[#This Row],[BO TRANSFER]]="YES",SIP[[#This Row],[Unit]],)</f>
        <v>0</v>
      </c>
      <c r="W978" s="74">
        <f>SUMIFS(SIP[[#Headers],[BO UNIT TRANSFER]]:SIP[[#This Row],[BO UNIT TRANSFER]],SIP[[#Headers],[Investor ID]]:SIP[[#This Row],[Investor ID]],SIP[[#This Row],[Investor ID]])</f>
        <v>0</v>
      </c>
    </row>
    <row r="979" spans="1:23" ht="15" customHeight="1">
      <c r="A979" s="101">
        <v>2025</v>
      </c>
      <c r="B979" s="101">
        <v>1</v>
      </c>
      <c r="C979" s="101">
        <v>26</v>
      </c>
      <c r="D979" s="65">
        <f>DATE(SIP[[#This Row],[Year]],SIP[[#This Row],[Month]],SIP[[#This Row],[Day]])</f>
        <v>45683</v>
      </c>
      <c r="E979" s="66" t="str" cm="1">
        <f t="array" ref="E979">INDEX(INVESTORS_LIST[INVESTOR NAME],MATCH(SIP[[#This Row],[Investor ID]],INVESTORS_LIST[INVESTOR CODE],0),)</f>
        <v>SWADESH RANJAN SAHA</v>
      </c>
      <c r="F979" s="46" t="s">
        <v>234</v>
      </c>
      <c r="G979" s="46">
        <f>COUNTIF(SIP[[#Headers],[Investor ID]]:SIP[[#This Row],[Investor ID]],SIP[[#This Row],[Investor ID]])</f>
        <v>2</v>
      </c>
      <c r="H979" s="46" t="str">
        <f>CONCATENATE(SIP[[#This Row],[Frequency]],SIP[[#This Row],[Investor ID]])</f>
        <v>2A00093</v>
      </c>
      <c r="I979" s="46" t="str">
        <f>IF(SIP[[#This Row],[B/S]]="B","BUY",(IF(SIP[[#This Row],[B/S]]="S","SELL"," ")))</f>
        <v>BUY</v>
      </c>
      <c r="J979" s="150" t="s">
        <v>1229</v>
      </c>
      <c r="K979" s="152">
        <v>50000</v>
      </c>
      <c r="L979" s="122"/>
      <c r="M979" s="123">
        <f>SIP[[#This Row],[Amount]]/SIP[[#This Row],[Unit]]</f>
        <v>11.901928112354202</v>
      </c>
      <c r="N979" s="71">
        <f>SIP[[#This Row],[Unit Capital]]/10</f>
        <v>4201</v>
      </c>
      <c r="O979" s="71">
        <f>SUMIFS(SIP[[#Headers],[Unit]]:SIP[[#This Row],[Unit]],SIP[[#Headers],[Investor ID]]:SIP[[#This Row],[Investor ID]],SIP[[#This Row],[Investor ID]])</f>
        <v>8410</v>
      </c>
      <c r="P979" s="153">
        <v>42010</v>
      </c>
      <c r="Q979" s="74">
        <f>SIP[[#This Row],[Amount]]-SIP[[#This Row],[Unit Capital]]</f>
        <v>7990</v>
      </c>
      <c r="R9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11.890606420927469</v>
      </c>
      <c r="S979" s="68">
        <f t="shared" si="45"/>
        <v>14.224</v>
      </c>
      <c r="T9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9" s="74" cm="1">
        <f t="array" ref="U979">IF(SIP[[#This Row],[B/S]]="S",ABS(SIP[[#This Row],[Unit]])*(INDEX(SIP[NAV at Cost (Average)],MATCH(CONCATENATE((SIP[[#This Row],[Frequency]]-1),SIP[[#This Row],[Investor ID]]),SIP[Unique Code],0),0)),0)</f>
        <v>0</v>
      </c>
      <c r="V979" s="74">
        <f>IF(SIP[[#This Row],[BO TRANSFER]]="YES",SIP[[#This Row],[Unit]],)</f>
        <v>0</v>
      </c>
      <c r="W979" s="74">
        <f>SUMIFS(SIP[[#Headers],[BO UNIT TRANSFER]]:SIP[[#This Row],[BO UNIT TRANSFER]],SIP[[#Headers],[Investor ID]]:SIP[[#This Row],[Investor ID]],SIP[[#This Row],[Investor ID]])</f>
        <v>0</v>
      </c>
    </row>
    <row r="980" spans="1:23" ht="15" customHeight="1">
      <c r="A980" s="101">
        <v>2025</v>
      </c>
      <c r="B980" s="101">
        <v>2</v>
      </c>
      <c r="C980" s="101">
        <v>4</v>
      </c>
      <c r="D980" s="65">
        <f>DATE(SIP[[#This Row],[Year]],SIP[[#This Row],[Month]],SIP[[#This Row],[Day]])</f>
        <v>45692</v>
      </c>
      <c r="E980" s="66" t="str" cm="1">
        <f t="array" ref="E980">INDEX(INVESTORS_LIST[INVESTOR NAME],MATCH(SIP[[#This Row],[Investor ID]],INVESTORS_LIST[INVESTOR CODE],0),)</f>
        <v>MD MIZANUR RAHMAN</v>
      </c>
      <c r="F980" s="150" t="s">
        <v>1304</v>
      </c>
      <c r="G980" s="46">
        <f>COUNTIF(SIP[[#Headers],[Investor ID]]:SIP[[#This Row],[Investor ID]],SIP[[#This Row],[Investor ID]])</f>
        <v>1</v>
      </c>
      <c r="H980" s="46" t="str">
        <f>CONCATENATE(SIP[[#This Row],[Frequency]],SIP[[#This Row],[Investor ID]])</f>
        <v>1A00599</v>
      </c>
      <c r="I980" s="46" t="str">
        <f>IF(SIP[[#This Row],[B/S]]="B","BUY",(IF(SIP[[#This Row],[B/S]]="S","SELL"," ")))</f>
        <v>BUY</v>
      </c>
      <c r="J980" s="150" t="s">
        <v>1229</v>
      </c>
      <c r="K980" s="152">
        <v>10000</v>
      </c>
      <c r="L980" s="122"/>
      <c r="M980" s="123">
        <f>SIP[[#This Row],[Amount]]/SIP[[#This Row],[Unit]]</f>
        <v>11.933174224343675</v>
      </c>
      <c r="N980" s="71">
        <f>SIP[[#This Row],[Unit Capital]]/10</f>
        <v>838</v>
      </c>
      <c r="O980" s="71">
        <f>SUMIFS(SIP[[#Headers],[Unit]]:SIP[[#This Row],[Unit]],SIP[[#Headers],[Investor ID]]:SIP[[#This Row],[Investor ID]],SIP[[#This Row],[Investor ID]])</f>
        <v>838</v>
      </c>
      <c r="P980" s="153">
        <v>8380</v>
      </c>
      <c r="Q980" s="74">
        <f>SIP[[#This Row],[Amount]]-SIP[[#This Row],[Unit Capital]]</f>
        <v>1620</v>
      </c>
      <c r="R9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11.933174224343675</v>
      </c>
      <c r="S980" s="68">
        <f t="shared" ref="S980:S995" si="46">NAV_MKT</f>
        <v>14.224</v>
      </c>
      <c r="T9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0" s="74" cm="1">
        <f t="array" ref="U980">IF(SIP[[#This Row],[B/S]]="S",ABS(SIP[[#This Row],[Unit]])*(INDEX(SIP[NAV at Cost (Average)],MATCH(CONCATENATE((SIP[[#This Row],[Frequency]]-1),SIP[[#This Row],[Investor ID]]),SIP[Unique Code],0),0)),0)</f>
        <v>0</v>
      </c>
      <c r="V980" s="74">
        <f>IF(SIP[[#This Row],[BO TRANSFER]]="YES",SIP[[#This Row],[Unit]],)</f>
        <v>0</v>
      </c>
      <c r="W980" s="74">
        <f>SUMIFS(SIP[[#Headers],[BO UNIT TRANSFER]]:SIP[[#This Row],[BO UNIT TRANSFER]],SIP[[#Headers],[Investor ID]]:SIP[[#This Row],[Investor ID]],SIP[[#This Row],[Investor ID]])</f>
        <v>0</v>
      </c>
    </row>
    <row r="981" spans="1:23" ht="15" customHeight="1">
      <c r="A981" s="101">
        <v>2025</v>
      </c>
      <c r="B981" s="101">
        <v>2</v>
      </c>
      <c r="C981" s="101">
        <v>5</v>
      </c>
      <c r="D981" s="65">
        <f>DATE(SIP[[#This Row],[Year]],SIP[[#This Row],[Month]],SIP[[#This Row],[Day]])</f>
        <v>45693</v>
      </c>
      <c r="E981" s="66" t="str" cm="1">
        <f t="array" ref="E981">INDEX(INVESTORS_LIST[INVESTOR NAME],MATCH(SIP[[#This Row],[Investor ID]],INVESTORS_LIST[INVESTOR CODE],0),)</f>
        <v>SHUVA SAHA</v>
      </c>
      <c r="F981" s="46" t="s">
        <v>154</v>
      </c>
      <c r="G981" s="46">
        <f>COUNTIF(SIP[[#Headers],[Investor ID]]:SIP[[#This Row],[Investor ID]],SIP[[#This Row],[Investor ID]])</f>
        <v>21</v>
      </c>
      <c r="H981" s="46" t="str">
        <f>CONCATENATE(SIP[[#This Row],[Frequency]],SIP[[#This Row],[Investor ID]])</f>
        <v>21A00053</v>
      </c>
      <c r="I981" s="46" t="str">
        <f>IF(SIP[[#This Row],[B/S]]="B","BUY",(IF(SIP[[#This Row],[B/S]]="S","SELL"," ")))</f>
        <v>BUY</v>
      </c>
      <c r="J981" s="150" t="s">
        <v>1229</v>
      </c>
      <c r="K981" s="288">
        <v>70000</v>
      </c>
      <c r="L981" s="69"/>
      <c r="M981" s="123">
        <f>SIP[[#This Row],[Amount]]/SIP[[#This Row],[Unit]]</f>
        <v>11.929107021131561</v>
      </c>
      <c r="N981" s="71">
        <f>SIP[[#This Row],[Unit Capital]]/10</f>
        <v>5868</v>
      </c>
      <c r="O981" s="71">
        <f>SUMIFS(SIP[[#Headers],[Unit]]:SIP[[#This Row],[Unit]],SIP[[#Headers],[Investor ID]]:SIP[[#This Row],[Investor ID]],SIP[[#This Row],[Investor ID]])</f>
        <v>47306</v>
      </c>
      <c r="P981" s="175">
        <v>58680</v>
      </c>
      <c r="Q981" s="74">
        <f>SIP[[#This Row],[Amount]]-SIP[[#This Row],[Unit Capital]]</f>
        <v>11320</v>
      </c>
      <c r="R9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10.841731884106204</v>
      </c>
      <c r="S981" s="68">
        <f t="shared" si="46"/>
        <v>14.224</v>
      </c>
      <c r="T9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1" s="74" cm="1">
        <f t="array" ref="U981">IF(SIP[[#This Row],[B/S]]="S",ABS(SIP[[#This Row],[Unit]])*(INDEX(SIP[NAV at Cost (Average)],MATCH(CONCATENATE((SIP[[#This Row],[Frequency]]-1),SIP[[#This Row],[Investor ID]]),SIP[Unique Code],0),0)),0)</f>
        <v>0</v>
      </c>
      <c r="V981" s="74">
        <f>IF(SIP[[#This Row],[BO TRANSFER]]="YES",SIP[[#This Row],[Unit]],)</f>
        <v>0</v>
      </c>
      <c r="W981" s="74">
        <f>SUMIFS(SIP[[#Headers],[BO UNIT TRANSFER]]:SIP[[#This Row],[BO UNIT TRANSFER]],SIP[[#Headers],[Investor ID]]:SIP[[#This Row],[Investor ID]],SIP[[#This Row],[Investor ID]])</f>
        <v>0</v>
      </c>
    </row>
    <row r="982" spans="1:23" ht="15" customHeight="1">
      <c r="A982" s="101">
        <v>2025</v>
      </c>
      <c r="B982" s="101">
        <v>2</v>
      </c>
      <c r="C982" s="101">
        <v>5</v>
      </c>
      <c r="D982" s="65">
        <f>DATE(SIP[[#This Row],[Year]],SIP[[#This Row],[Month]],SIP[[#This Row],[Day]])</f>
        <v>45693</v>
      </c>
      <c r="E982" s="66" t="str" cm="1">
        <f t="array" ref="E982">INDEX(INVESTORS_LIST[INVESTOR NAME],MATCH(SIP[[#This Row],[Investor ID]],INVESTORS_LIST[INVESTOR CODE],0),)</f>
        <v>FAIYEAD AHMEDUL HYE</v>
      </c>
      <c r="F982" s="46" t="s">
        <v>368</v>
      </c>
      <c r="G982" s="46">
        <f>COUNTIF(SIP[[#Headers],[Investor ID]]:SIP[[#This Row],[Investor ID]],SIP[[#This Row],[Investor ID]])</f>
        <v>21</v>
      </c>
      <c r="H982" s="46" t="str">
        <f>CONCATENATE(SIP[[#This Row],[Frequency]],SIP[[#This Row],[Investor ID]])</f>
        <v>21A00160</v>
      </c>
      <c r="I982" s="46" t="str">
        <f>IF(SIP[[#This Row],[B/S]]="B","BUY",(IF(SIP[[#This Row],[B/S]]="S","SELL"," ")))</f>
        <v>BUY</v>
      </c>
      <c r="J982" s="150" t="s">
        <v>1229</v>
      </c>
      <c r="K982" s="288">
        <v>15000</v>
      </c>
      <c r="L982" s="174"/>
      <c r="M982" s="123">
        <f>SIP[[#This Row],[Amount]]/SIP[[#This Row],[Unit]]</f>
        <v>11.933174224343675</v>
      </c>
      <c r="N982" s="71">
        <f>SIP[[#This Row],[Unit Capital]]/10</f>
        <v>1257</v>
      </c>
      <c r="O982" s="71">
        <f>SUMIFS(SIP[[#Headers],[Unit]]:SIP[[#This Row],[Unit]],SIP[[#Headers],[Investor ID]]:SIP[[#This Row],[Investor ID]],SIP[[#This Row],[Investor ID]])</f>
        <v>28724</v>
      </c>
      <c r="P982" s="175">
        <v>12570</v>
      </c>
      <c r="Q982" s="74">
        <f>SIP[[#This Row],[Amount]]-SIP[[#This Row],[Unit Capital]]</f>
        <v>2430</v>
      </c>
      <c r="R9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10.966439214594066</v>
      </c>
      <c r="S982" s="68">
        <f t="shared" si="46"/>
        <v>14.224</v>
      </c>
      <c r="T9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2" s="74" cm="1">
        <f t="array" ref="U982">IF(SIP[[#This Row],[B/S]]="S",ABS(SIP[[#This Row],[Unit]])*(INDEX(SIP[NAV at Cost (Average)],MATCH(CONCATENATE((SIP[[#This Row],[Frequency]]-1),SIP[[#This Row],[Investor ID]]),SIP[Unique Code],0),0)),0)</f>
        <v>0</v>
      </c>
      <c r="V982" s="74">
        <f>IF(SIP[[#This Row],[BO TRANSFER]]="YES",SIP[[#This Row],[Unit]],)</f>
        <v>0</v>
      </c>
      <c r="W982" s="74">
        <f>SUMIFS(SIP[[#Headers],[BO UNIT TRANSFER]]:SIP[[#This Row],[BO UNIT TRANSFER]],SIP[[#Headers],[Investor ID]]:SIP[[#This Row],[Investor ID]],SIP[[#This Row],[Investor ID]])</f>
        <v>0</v>
      </c>
    </row>
    <row r="983" spans="1:23" ht="15" customHeight="1">
      <c r="A983" s="101">
        <v>2025</v>
      </c>
      <c r="B983" s="101">
        <v>2</v>
      </c>
      <c r="C983" s="101">
        <v>5</v>
      </c>
      <c r="D983" s="65">
        <f>DATE(SIP[[#This Row],[Year]],SIP[[#This Row],[Month]],SIP[[#This Row],[Day]])</f>
        <v>45693</v>
      </c>
      <c r="E983" s="66" t="str" cm="1">
        <f t="array" ref="E983">INDEX(INVESTORS_LIST[INVESTOR NAME],MATCH(SIP[[#This Row],[Investor ID]],INVESTORS_LIST[INVESTOR CODE],0),)</f>
        <v>CHAONIKA SAHA</v>
      </c>
      <c r="F983" s="46" t="s">
        <v>238</v>
      </c>
      <c r="G983" s="46">
        <f>COUNTIF(SIP[[#Headers],[Investor ID]]:SIP[[#This Row],[Investor ID]],SIP[[#This Row],[Investor ID]])</f>
        <v>18</v>
      </c>
      <c r="H983" s="46" t="str">
        <f>CONCATENATE(SIP[[#This Row],[Frequency]],SIP[[#This Row],[Investor ID]])</f>
        <v>18A00095</v>
      </c>
      <c r="I983" s="46" t="str">
        <f>IF(SIP[[#This Row],[B/S]]="B","BUY",(IF(SIP[[#This Row],[B/S]]="S","SELL"," ")))</f>
        <v>BUY</v>
      </c>
      <c r="J983" s="150" t="s">
        <v>1229</v>
      </c>
      <c r="K983" s="288">
        <v>1000</v>
      </c>
      <c r="L983" s="174"/>
      <c r="M983" s="123">
        <f>SIP[[#This Row],[Amount]]/SIP[[#This Row],[Unit]]</f>
        <v>11.904761904761905</v>
      </c>
      <c r="N983" s="71">
        <f>SIP[[#This Row],[Unit Capital]]/10</f>
        <v>84</v>
      </c>
      <c r="O983" s="71">
        <f>SUMIFS(SIP[[#Headers],[Unit]]:SIP[[#This Row],[Unit]],SIP[[#Headers],[Investor ID]]:SIP[[#This Row],[Investor ID]],SIP[[#This Row],[Investor ID]])</f>
        <v>1624</v>
      </c>
      <c r="P983" s="175">
        <v>840</v>
      </c>
      <c r="Q983" s="74">
        <f>SIP[[#This Row],[Amount]]-SIP[[#This Row],[Unit Capital]]</f>
        <v>160</v>
      </c>
      <c r="R9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11.083743842364534</v>
      </c>
      <c r="S983" s="68">
        <f t="shared" si="46"/>
        <v>14.224</v>
      </c>
      <c r="T9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3" s="74" cm="1">
        <f t="array" ref="U983">IF(SIP[[#This Row],[B/S]]="S",ABS(SIP[[#This Row],[Unit]])*(INDEX(SIP[NAV at Cost (Average)],MATCH(CONCATENATE((SIP[[#This Row],[Frequency]]-1),SIP[[#This Row],[Investor ID]]),SIP[Unique Code],0),0)),0)</f>
        <v>0</v>
      </c>
      <c r="V983" s="74">
        <f>IF(SIP[[#This Row],[BO TRANSFER]]="YES",SIP[[#This Row],[Unit]],)</f>
        <v>0</v>
      </c>
      <c r="W983" s="74">
        <f>SUMIFS(SIP[[#Headers],[BO UNIT TRANSFER]]:SIP[[#This Row],[BO UNIT TRANSFER]],SIP[[#Headers],[Investor ID]]:SIP[[#This Row],[Investor ID]],SIP[[#This Row],[Investor ID]])</f>
        <v>0</v>
      </c>
    </row>
    <row r="984" spans="1:23" ht="15" customHeight="1">
      <c r="A984" s="101">
        <v>2025</v>
      </c>
      <c r="B984" s="101">
        <v>2</v>
      </c>
      <c r="C984" s="101">
        <v>5</v>
      </c>
      <c r="D984" s="65">
        <f>DATE(SIP[[#This Row],[Year]],SIP[[#This Row],[Month]],SIP[[#This Row],[Day]])</f>
        <v>45693</v>
      </c>
      <c r="E984" s="66" t="str" cm="1">
        <f t="array" ref="E984">INDEX(INVESTORS_LIST[INVESTOR NAME],MATCH(SIP[[#This Row],[Investor ID]],INVESTORS_LIST[INVESTOR CODE],0),)</f>
        <v>KAZI AHSAN MARUF</v>
      </c>
      <c r="F984" s="46" t="s">
        <v>158</v>
      </c>
      <c r="G984" s="46">
        <f>COUNTIF(SIP[[#Headers],[Investor ID]]:SIP[[#This Row],[Investor ID]],SIP[[#This Row],[Investor ID]])</f>
        <v>23</v>
      </c>
      <c r="H984" s="46" t="str">
        <f>CONCATENATE(SIP[[#This Row],[Frequency]],SIP[[#This Row],[Investor ID]])</f>
        <v>23A00055</v>
      </c>
      <c r="I984" s="46" t="str">
        <f>IF(SIP[[#This Row],[B/S]]="B","BUY",(IF(SIP[[#This Row],[B/S]]="S","SELL"," ")))</f>
        <v>BUY</v>
      </c>
      <c r="J984" s="150" t="s">
        <v>1229</v>
      </c>
      <c r="K984" s="288">
        <v>10000</v>
      </c>
      <c r="L984" s="122"/>
      <c r="M984" s="123">
        <f>SIP[[#This Row],[Amount]]/SIP[[#This Row],[Unit]]</f>
        <v>11.933174224343675</v>
      </c>
      <c r="N984" s="71">
        <f>SIP[[#This Row],[Unit Capital]]/10</f>
        <v>838</v>
      </c>
      <c r="O984" s="71">
        <f>SUMIFS(SIP[[#Headers],[Unit]]:SIP[[#This Row],[Unit]],SIP[[#Headers],[Investor ID]]:SIP[[#This Row],[Investor ID]],SIP[[#This Row],[Investor ID]])</f>
        <v>5412</v>
      </c>
      <c r="P984" s="175">
        <v>8380</v>
      </c>
      <c r="Q984" s="74">
        <f>SIP[[#This Row],[Amount]]-SIP[[#This Row],[Unit Capital]]</f>
        <v>1620</v>
      </c>
      <c r="R9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11.134495744629669</v>
      </c>
      <c r="S984" s="68">
        <f t="shared" si="46"/>
        <v>14.224</v>
      </c>
      <c r="T9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4" s="74" cm="1">
        <f t="array" ref="U984">IF(SIP[[#This Row],[B/S]]="S",ABS(SIP[[#This Row],[Unit]])*(INDEX(SIP[NAV at Cost (Average)],MATCH(CONCATENATE((SIP[[#This Row],[Frequency]]-1),SIP[[#This Row],[Investor ID]]),SIP[Unique Code],0),0)),0)</f>
        <v>0</v>
      </c>
      <c r="V984" s="74">
        <f>IF(SIP[[#This Row],[BO TRANSFER]]="YES",SIP[[#This Row],[Unit]],)</f>
        <v>0</v>
      </c>
      <c r="W984" s="74">
        <f>SUMIFS(SIP[[#Headers],[BO UNIT TRANSFER]]:SIP[[#This Row],[BO UNIT TRANSFER]],SIP[[#Headers],[Investor ID]]:SIP[[#This Row],[Investor ID]],SIP[[#This Row],[Investor ID]])</f>
        <v>0</v>
      </c>
    </row>
    <row r="985" spans="1:23" ht="15" customHeight="1">
      <c r="A985" s="101">
        <v>2025</v>
      </c>
      <c r="B985" s="101">
        <v>2</v>
      </c>
      <c r="C985" s="101">
        <v>5</v>
      </c>
      <c r="D985" s="65">
        <f>DATE(SIP[[#This Row],[Year]],SIP[[#This Row],[Month]],SIP[[#This Row],[Day]])</f>
        <v>45693</v>
      </c>
      <c r="E985" s="66" t="str" cm="1">
        <f t="array" ref="E985">INDEX(INVESTORS_LIST[INVESTOR NAME],MATCH(SIP[[#This Row],[Investor ID]],INVESTORS_LIST[INVESTOR CODE],0),)</f>
        <v>FAKARUDDIN ALI AHMED</v>
      </c>
      <c r="F985" s="46" t="s">
        <v>228</v>
      </c>
      <c r="G985" s="46">
        <f>COUNTIF(SIP[[#Headers],[Investor ID]]:SIP[[#This Row],[Investor ID]],SIP[[#This Row],[Investor ID]])</f>
        <v>22</v>
      </c>
      <c r="H985" s="46" t="str">
        <f>CONCATENATE(SIP[[#This Row],[Frequency]],SIP[[#This Row],[Investor ID]])</f>
        <v>22A00090</v>
      </c>
      <c r="I985" s="46" t="str">
        <f>IF(SIP[[#This Row],[B/S]]="B","BUY",(IF(SIP[[#This Row],[B/S]]="S","SELL"," ")))</f>
        <v>BUY</v>
      </c>
      <c r="J985" s="150" t="s">
        <v>1229</v>
      </c>
      <c r="K985" s="288">
        <v>10000</v>
      </c>
      <c r="L985" s="174"/>
      <c r="M985" s="123">
        <f>SIP[[#This Row],[Amount]]/SIP[[#This Row],[Unit]]</f>
        <v>11.933174224343675</v>
      </c>
      <c r="N985" s="71">
        <f>SIP[[#This Row],[Unit Capital]]/10</f>
        <v>838</v>
      </c>
      <c r="O985" s="71">
        <f>SUMIFS(SIP[[#Headers],[Unit]]:SIP[[#This Row],[Unit]],SIP[[#Headers],[Investor ID]]:SIP[[#This Row],[Investor ID]],SIP[[#This Row],[Investor ID]])</f>
        <v>10653</v>
      </c>
      <c r="P985" s="175">
        <v>8380</v>
      </c>
      <c r="Q985" s="74">
        <f>SIP[[#This Row],[Amount]]-SIP[[#This Row],[Unit Capital]]</f>
        <v>1620</v>
      </c>
      <c r="R9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11.346755010989908</v>
      </c>
      <c r="S985" s="68">
        <f t="shared" si="46"/>
        <v>14.224</v>
      </c>
      <c r="T9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5" s="74" cm="1">
        <f t="array" ref="U985">IF(SIP[[#This Row],[B/S]]="S",ABS(SIP[[#This Row],[Unit]])*(INDEX(SIP[NAV at Cost (Average)],MATCH(CONCATENATE((SIP[[#This Row],[Frequency]]-1),SIP[[#This Row],[Investor ID]]),SIP[Unique Code],0),0)),0)</f>
        <v>0</v>
      </c>
      <c r="V985" s="74">
        <f>IF(SIP[[#This Row],[BO TRANSFER]]="YES",SIP[[#This Row],[Unit]],)</f>
        <v>0</v>
      </c>
      <c r="W985" s="74">
        <f>SUMIFS(SIP[[#Headers],[BO UNIT TRANSFER]]:SIP[[#This Row],[BO UNIT TRANSFER]],SIP[[#Headers],[Investor ID]]:SIP[[#This Row],[Investor ID]],SIP[[#This Row],[Investor ID]])</f>
        <v>0</v>
      </c>
    </row>
    <row r="986" spans="1:23" ht="15" customHeight="1">
      <c r="A986" s="101">
        <v>2025</v>
      </c>
      <c r="B986" s="101">
        <v>2</v>
      </c>
      <c r="C986" s="101">
        <v>5</v>
      </c>
      <c r="D986" s="65">
        <f>DATE(SIP[[#This Row],[Year]],SIP[[#This Row],[Month]],SIP[[#This Row],[Day]])</f>
        <v>45693</v>
      </c>
      <c r="E986" s="66" t="str" cm="1">
        <f t="array" ref="E986">INDEX(INVESTORS_LIST[INVESTOR NAME],MATCH(SIP[[#This Row],[Investor ID]],INVESTORS_LIST[INVESTOR CODE],0),)</f>
        <v>ROKSABA KASEM</v>
      </c>
      <c r="F986" s="46" t="s">
        <v>900</v>
      </c>
      <c r="G986" s="46">
        <f>COUNTIF(SIP[[#Headers],[Investor ID]]:SIP[[#This Row],[Investor ID]],SIP[[#This Row],[Investor ID]])</f>
        <v>21</v>
      </c>
      <c r="H986" s="46" t="str">
        <f>CONCATENATE(SIP[[#This Row],[Frequency]],SIP[[#This Row],[Investor ID]])</f>
        <v>21A00427</v>
      </c>
      <c r="I986" s="46" t="str">
        <f>IF(SIP[[#This Row],[B/S]]="B","BUY",(IF(SIP[[#This Row],[B/S]]="S","SELL"," ")))</f>
        <v>BUY</v>
      </c>
      <c r="J986" s="150" t="s">
        <v>1229</v>
      </c>
      <c r="K986" s="288">
        <v>20000</v>
      </c>
      <c r="L986" s="122"/>
      <c r="M986" s="123">
        <f>SIP[[#This Row],[Amount]]/SIP[[#This Row],[Unit]]</f>
        <v>11.926058437686345</v>
      </c>
      <c r="N986" s="71">
        <f>SIP[[#This Row],[Unit Capital]]/10</f>
        <v>1677</v>
      </c>
      <c r="O986" s="71">
        <f>SUMIFS(SIP[[#Headers],[Unit]]:SIP[[#This Row],[Unit]],SIP[[#Headers],[Investor ID]]:SIP[[#This Row],[Investor ID]],SIP[[#This Row],[Investor ID]])</f>
        <v>38302</v>
      </c>
      <c r="P986" s="175">
        <v>16770</v>
      </c>
      <c r="Q986" s="74">
        <f>SIP[[#This Row],[Amount]]-SIP[[#This Row],[Unit Capital]]</f>
        <v>3230</v>
      </c>
      <c r="R9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10.965484831079323</v>
      </c>
      <c r="S986" s="68">
        <f t="shared" si="46"/>
        <v>14.224</v>
      </c>
      <c r="T9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6" s="74" cm="1">
        <f t="array" ref="U986">IF(SIP[[#This Row],[B/S]]="S",ABS(SIP[[#This Row],[Unit]])*(INDEX(SIP[NAV at Cost (Average)],MATCH(CONCATENATE((SIP[[#This Row],[Frequency]]-1),SIP[[#This Row],[Investor ID]]),SIP[Unique Code],0),0)),0)</f>
        <v>0</v>
      </c>
      <c r="V986" s="74">
        <f>IF(SIP[[#This Row],[BO TRANSFER]]="YES",SIP[[#This Row],[Unit]],)</f>
        <v>0</v>
      </c>
      <c r="W986" s="74">
        <f>SUMIFS(SIP[[#Headers],[BO UNIT TRANSFER]]:SIP[[#This Row],[BO UNIT TRANSFER]],SIP[[#Headers],[Investor ID]]:SIP[[#This Row],[Investor ID]],SIP[[#This Row],[Investor ID]])</f>
        <v>0</v>
      </c>
    </row>
    <row r="987" spans="1:23" ht="15" customHeight="1">
      <c r="A987" s="101">
        <v>2025</v>
      </c>
      <c r="B987" s="101">
        <v>2</v>
      </c>
      <c r="C987" s="101">
        <v>5</v>
      </c>
      <c r="D987" s="65">
        <f>DATE(SIP[[#This Row],[Year]],SIP[[#This Row],[Month]],SIP[[#This Row],[Day]])</f>
        <v>45693</v>
      </c>
      <c r="E987" s="66" t="str" cm="1">
        <f t="array" ref="E987">INDEX(INVESTORS_LIST[INVESTOR NAME],MATCH(SIP[[#This Row],[Investor ID]],INVESTORS_LIST[INVESTOR CODE],0),)</f>
        <v>MD. MONIRUL ISLAM</v>
      </c>
      <c r="F987" s="46" t="s">
        <v>996</v>
      </c>
      <c r="G987" s="46">
        <f>COUNTIF(SIP[[#Headers],[Investor ID]]:SIP[[#This Row],[Investor ID]],SIP[[#This Row],[Investor ID]])</f>
        <v>22</v>
      </c>
      <c r="H987" s="46" t="str">
        <f>CONCATENATE(SIP[[#This Row],[Frequency]],SIP[[#This Row],[Investor ID]])</f>
        <v>22A00475</v>
      </c>
      <c r="I987" s="46" t="str">
        <f>IF(SIP[[#This Row],[B/S]]="B","BUY",(IF(SIP[[#This Row],[B/S]]="S","SELL"," ")))</f>
        <v>BUY</v>
      </c>
      <c r="J987" s="150" t="s">
        <v>1229</v>
      </c>
      <c r="K987" s="288">
        <v>10000</v>
      </c>
      <c r="L987" s="174"/>
      <c r="M987" s="123">
        <f>SIP[[#This Row],[Amount]]/SIP[[#This Row],[Unit]]</f>
        <v>11.933174224343675</v>
      </c>
      <c r="N987" s="71">
        <f>SIP[[#This Row],[Unit Capital]]/10</f>
        <v>838</v>
      </c>
      <c r="O987" s="71">
        <f>SUMIFS(SIP[[#Headers],[Unit]]:SIP[[#This Row],[Unit]],SIP[[#Headers],[Investor ID]]:SIP[[#This Row],[Investor ID]],SIP[[#This Row],[Investor ID]])</f>
        <v>20138</v>
      </c>
      <c r="P987" s="175">
        <v>8380</v>
      </c>
      <c r="Q987" s="74">
        <f>SIP[[#This Row],[Amount]]-SIP[[#This Row],[Unit Capital]]</f>
        <v>1620</v>
      </c>
      <c r="R9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10.924620121163967</v>
      </c>
      <c r="S987" s="68">
        <f t="shared" si="46"/>
        <v>14.224</v>
      </c>
      <c r="T9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7" s="74" cm="1">
        <f t="array" ref="U987">IF(SIP[[#This Row],[B/S]]="S",ABS(SIP[[#This Row],[Unit]])*(INDEX(SIP[NAV at Cost (Average)],MATCH(CONCATENATE((SIP[[#This Row],[Frequency]]-1),SIP[[#This Row],[Investor ID]]),SIP[Unique Code],0),0)),0)</f>
        <v>0</v>
      </c>
      <c r="V987" s="74">
        <f>IF(SIP[[#This Row],[BO TRANSFER]]="YES",SIP[[#This Row],[Unit]],)</f>
        <v>0</v>
      </c>
      <c r="W987" s="74">
        <f>SUMIFS(SIP[[#Headers],[BO UNIT TRANSFER]]:SIP[[#This Row],[BO UNIT TRANSFER]],SIP[[#Headers],[Investor ID]]:SIP[[#This Row],[Investor ID]],SIP[[#This Row],[Investor ID]])</f>
        <v>0</v>
      </c>
    </row>
    <row r="988" spans="1:23" ht="15" customHeight="1">
      <c r="A988" s="101">
        <v>2025</v>
      </c>
      <c r="B988" s="101">
        <v>2</v>
      </c>
      <c r="C988" s="101">
        <v>5</v>
      </c>
      <c r="D988" s="65">
        <f>DATE(SIP[[#This Row],[Year]],SIP[[#This Row],[Month]],SIP[[#This Row],[Day]])</f>
        <v>45693</v>
      </c>
      <c r="E988" s="66" t="str" cm="1">
        <f t="array" ref="E988">INDEX(INVESTORS_LIST[INVESTOR NAME],MATCH(SIP[[#This Row],[Investor ID]],INVESTORS_LIST[INVESTOR CODE],0),)</f>
        <v>BIJOY CHANDRA DAS</v>
      </c>
      <c r="F988" s="46" t="s">
        <v>497</v>
      </c>
      <c r="G988" s="46">
        <f>COUNTIF(SIP[[#Headers],[Investor ID]]:SIP[[#This Row],[Investor ID]],SIP[[#This Row],[Investor ID]])</f>
        <v>10</v>
      </c>
      <c r="H988" s="46" t="str">
        <f>CONCATENATE(SIP[[#This Row],[Frequency]],SIP[[#This Row],[Investor ID]])</f>
        <v>10A00224</v>
      </c>
      <c r="I988" s="46" t="str">
        <f>IF(SIP[[#This Row],[B/S]]="B","BUY",(IF(SIP[[#This Row],[B/S]]="S","SELL"," ")))</f>
        <v>BUY</v>
      </c>
      <c r="J988" s="150" t="s">
        <v>1229</v>
      </c>
      <c r="K988" s="288">
        <v>5000</v>
      </c>
      <c r="L988" s="122"/>
      <c r="M988" s="123">
        <f>SIP[[#This Row],[Amount]]/SIP[[#This Row],[Unit]]</f>
        <v>11.933174224343675</v>
      </c>
      <c r="N988" s="71">
        <f>SIP[[#This Row],[Unit Capital]]/10</f>
        <v>419</v>
      </c>
      <c r="O988" s="71">
        <f>SUMIFS(SIP[[#Headers],[Unit]]:SIP[[#This Row],[Unit]],SIP[[#Headers],[Investor ID]]:SIP[[#This Row],[Investor ID]],SIP[[#This Row],[Investor ID]])</f>
        <v>4400</v>
      </c>
      <c r="P988" s="175">
        <v>4190</v>
      </c>
      <c r="Q988" s="74">
        <f>SIP[[#This Row],[Amount]]-SIP[[#This Row],[Unit Capital]]</f>
        <v>810</v>
      </c>
      <c r="R9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988" s="68">
        <f t="shared" si="46"/>
        <v>14.224</v>
      </c>
      <c r="T9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8" s="74" cm="1">
        <f t="array" ref="U988">IF(SIP[[#This Row],[B/S]]="S",ABS(SIP[[#This Row],[Unit]])*(INDEX(SIP[NAV at Cost (Average)],MATCH(CONCATENATE((SIP[[#This Row],[Frequency]]-1),SIP[[#This Row],[Investor ID]]),SIP[Unique Code],0),0)),0)</f>
        <v>0</v>
      </c>
      <c r="V988" s="74">
        <f>IF(SIP[[#This Row],[BO TRANSFER]]="YES",SIP[[#This Row],[Unit]],)</f>
        <v>0</v>
      </c>
      <c r="W988" s="74">
        <f>SUMIFS(SIP[[#Headers],[BO UNIT TRANSFER]]:SIP[[#This Row],[BO UNIT TRANSFER]],SIP[[#Headers],[Investor ID]]:SIP[[#This Row],[Investor ID]],SIP[[#This Row],[Investor ID]])</f>
        <v>0</v>
      </c>
    </row>
    <row r="989" spans="1:23" ht="15" customHeight="1">
      <c r="A989" s="101">
        <v>2025</v>
      </c>
      <c r="B989" s="101">
        <v>2</v>
      </c>
      <c r="C989" s="101">
        <v>5</v>
      </c>
      <c r="D989" s="65">
        <f>DATE(SIP[[#This Row],[Year]],SIP[[#This Row],[Month]],SIP[[#This Row],[Day]])</f>
        <v>45693</v>
      </c>
      <c r="E989" s="66" t="str" cm="1">
        <f t="array" ref="E989">INDEX(INVESTORS_LIST[INVESTOR NAME],MATCH(SIP[[#This Row],[Investor ID]],INVESTORS_LIST[INVESTOR CODE],0),)</f>
        <v>MONIR AHMED</v>
      </c>
      <c r="F989" s="46" t="s">
        <v>125</v>
      </c>
      <c r="G989" s="46">
        <f>COUNTIF(SIP[[#Headers],[Investor ID]]:SIP[[#This Row],[Investor ID]],SIP[[#This Row],[Investor ID]])</f>
        <v>21</v>
      </c>
      <c r="H989" s="46" t="str">
        <f>CONCATENATE(SIP[[#This Row],[Frequency]],SIP[[#This Row],[Investor ID]])</f>
        <v>21A00039</v>
      </c>
      <c r="I989" s="46" t="str">
        <f>IF(SIP[[#This Row],[B/S]]="B","BUY",(IF(SIP[[#This Row],[B/S]]="S","SELL"," ")))</f>
        <v>BUY</v>
      </c>
      <c r="J989" s="150" t="s">
        <v>1229</v>
      </c>
      <c r="K989" s="288">
        <v>10000</v>
      </c>
      <c r="L989" s="174"/>
      <c r="M989" s="123">
        <f>SIP[[#This Row],[Amount]]/SIP[[#This Row],[Unit]]</f>
        <v>11.933174224343675</v>
      </c>
      <c r="N989" s="71">
        <f>SIP[[#This Row],[Unit Capital]]/10</f>
        <v>838</v>
      </c>
      <c r="O989" s="71">
        <f>SUMIFS(SIP[[#Headers],[Unit]]:SIP[[#This Row],[Unit]],SIP[[#Headers],[Investor ID]]:SIP[[#This Row],[Investor ID]],SIP[[#This Row],[Investor ID]])</f>
        <v>7601</v>
      </c>
      <c r="P989" s="175">
        <v>8380</v>
      </c>
      <c r="Q989" s="74">
        <f>SIP[[#This Row],[Amount]]-SIP[[#This Row],[Unit Capital]]</f>
        <v>1620</v>
      </c>
      <c r="R9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11.182739113274568</v>
      </c>
      <c r="S989" s="68">
        <f t="shared" si="46"/>
        <v>14.224</v>
      </c>
      <c r="T9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9" s="74" cm="1">
        <f t="array" ref="U989">IF(SIP[[#This Row],[B/S]]="S",ABS(SIP[[#This Row],[Unit]])*(INDEX(SIP[NAV at Cost (Average)],MATCH(CONCATENATE((SIP[[#This Row],[Frequency]]-1),SIP[[#This Row],[Investor ID]]),SIP[Unique Code],0),0)),0)</f>
        <v>0</v>
      </c>
      <c r="V989" s="74">
        <f>IF(SIP[[#This Row],[BO TRANSFER]]="YES",SIP[[#This Row],[Unit]],)</f>
        <v>0</v>
      </c>
      <c r="W989" s="74">
        <f>SUMIFS(SIP[[#Headers],[BO UNIT TRANSFER]]:SIP[[#This Row],[BO UNIT TRANSFER]],SIP[[#Headers],[Investor ID]]:SIP[[#This Row],[Investor ID]],SIP[[#This Row],[Investor ID]])</f>
        <v>0</v>
      </c>
    </row>
    <row r="990" spans="1:23" ht="15" customHeight="1">
      <c r="A990" s="101">
        <v>2025</v>
      </c>
      <c r="B990" s="101">
        <v>2</v>
      </c>
      <c r="C990" s="101">
        <v>5</v>
      </c>
      <c r="D990" s="65">
        <f>DATE(SIP[[#This Row],[Year]],SIP[[#This Row],[Month]],SIP[[#This Row],[Day]])</f>
        <v>45693</v>
      </c>
      <c r="E990" s="66" t="str" cm="1">
        <f t="array" ref="E990">INDEX(INVESTORS_LIST[INVESTOR NAME],MATCH(SIP[[#This Row],[Investor ID]],INVESTORS_LIST[INVESTOR CODE],0),)</f>
        <v>AKIB TANVIR ANJUM</v>
      </c>
      <c r="F990" s="46" t="s">
        <v>1116</v>
      </c>
      <c r="G990" s="46">
        <f>COUNTIF(SIP[[#Headers],[Investor ID]]:SIP[[#This Row],[Investor ID]],SIP[[#This Row],[Investor ID]])</f>
        <v>17</v>
      </c>
      <c r="H990" s="46" t="str">
        <f>CONCATENATE(SIP[[#This Row],[Frequency]],SIP[[#This Row],[Investor ID]])</f>
        <v>17A00533</v>
      </c>
      <c r="I990" s="46" t="str">
        <f>IF(SIP[[#This Row],[B/S]]="B","BUY",(IF(SIP[[#This Row],[B/S]]="S","SELL"," ")))</f>
        <v>BUY</v>
      </c>
      <c r="J990" s="150" t="s">
        <v>1229</v>
      </c>
      <c r="K990" s="288">
        <v>4000</v>
      </c>
      <c r="L990" s="174"/>
      <c r="M990" s="123">
        <f>SIP[[#This Row],[Amount]]/SIP[[#This Row],[Unit]]</f>
        <v>11.940298507462687</v>
      </c>
      <c r="N990" s="71">
        <f>SIP[[#This Row],[Unit Capital]]/10</f>
        <v>335</v>
      </c>
      <c r="O990" s="71">
        <f>SUMIFS(SIP[[#Headers],[Unit]]:SIP[[#This Row],[Unit]],SIP[[#Headers],[Investor ID]]:SIP[[#This Row],[Investor ID]],SIP[[#This Row],[Investor ID]])</f>
        <v>1442</v>
      </c>
      <c r="P990" s="175">
        <v>3350</v>
      </c>
      <c r="Q990" s="74">
        <f>SIP[[#This Row],[Amount]]-SIP[[#This Row],[Unit Capital]]</f>
        <v>650</v>
      </c>
      <c r="R9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11.633311410214048</v>
      </c>
      <c r="S990" s="68">
        <f t="shared" si="46"/>
        <v>14.224</v>
      </c>
      <c r="T9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0" s="74" cm="1">
        <f t="array" ref="U990">IF(SIP[[#This Row],[B/S]]="S",ABS(SIP[[#This Row],[Unit]])*(INDEX(SIP[NAV at Cost (Average)],MATCH(CONCATENATE((SIP[[#This Row],[Frequency]]-1),SIP[[#This Row],[Investor ID]]),SIP[Unique Code],0),0)),0)</f>
        <v>0</v>
      </c>
      <c r="V990" s="74">
        <f>IF(SIP[[#This Row],[BO TRANSFER]]="YES",SIP[[#This Row],[Unit]],)</f>
        <v>0</v>
      </c>
      <c r="W990" s="74">
        <f>SUMIFS(SIP[[#Headers],[BO UNIT TRANSFER]]:SIP[[#This Row],[BO UNIT TRANSFER]],SIP[[#Headers],[Investor ID]]:SIP[[#This Row],[Investor ID]],SIP[[#This Row],[Investor ID]])</f>
        <v>0</v>
      </c>
    </row>
    <row r="991" spans="1:23" ht="15" customHeight="1">
      <c r="A991" s="101">
        <v>2025</v>
      </c>
      <c r="B991" s="101">
        <v>2</v>
      </c>
      <c r="C991" s="101">
        <v>5</v>
      </c>
      <c r="D991" s="65">
        <f>DATE(SIP[[#This Row],[Year]],SIP[[#This Row],[Month]],SIP[[#This Row],[Day]])</f>
        <v>45693</v>
      </c>
      <c r="E991" s="66" t="str" cm="1">
        <f t="array" ref="E991">INDEX(INVESTORS_LIST[INVESTOR NAME],MATCH(SIP[[#This Row],[Investor ID]],INVESTORS_LIST[INVESTOR CODE],0),)</f>
        <v>AHMED BIN MONSUR</v>
      </c>
      <c r="F991" s="46" t="s">
        <v>692</v>
      </c>
      <c r="G991" s="46">
        <f>COUNTIF(SIP[[#Headers],[Investor ID]]:SIP[[#This Row],[Investor ID]],SIP[[#This Row],[Investor ID]])</f>
        <v>10</v>
      </c>
      <c r="H991" s="46" t="str">
        <f>CONCATENATE(SIP[[#This Row],[Frequency]],SIP[[#This Row],[Investor ID]])</f>
        <v>10A00322</v>
      </c>
      <c r="I991" s="46" t="str">
        <f>IF(SIP[[#This Row],[B/S]]="B","BUY",(IF(SIP[[#This Row],[B/S]]="S","SELL"," ")))</f>
        <v>BUY</v>
      </c>
      <c r="J991" s="150" t="s">
        <v>1229</v>
      </c>
      <c r="K991" s="288">
        <v>20000</v>
      </c>
      <c r="L991" s="174"/>
      <c r="M991" s="123">
        <f>SIP[[#This Row],[Amount]]/SIP[[#This Row],[Unit]]</f>
        <v>11.926058437686345</v>
      </c>
      <c r="N991" s="71">
        <f>SIP[[#This Row],[Unit Capital]]/10</f>
        <v>1677</v>
      </c>
      <c r="O991" s="71">
        <f>SUMIFS(SIP[[#Headers],[Unit]]:SIP[[#This Row],[Unit]],SIP[[#Headers],[Investor ID]]:SIP[[#This Row],[Investor ID]],SIP[[#This Row],[Investor ID]])</f>
        <v>3368</v>
      </c>
      <c r="P991" s="175">
        <v>16770</v>
      </c>
      <c r="Q991" s="74">
        <f>SIP[[#This Row],[Amount]]-SIP[[#This Row],[Unit Capital]]</f>
        <v>3230</v>
      </c>
      <c r="R9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11.68736856438265</v>
      </c>
      <c r="S991" s="68">
        <f t="shared" si="46"/>
        <v>14.224</v>
      </c>
      <c r="T9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1" s="74" cm="1">
        <f t="array" ref="U991">IF(SIP[[#This Row],[B/S]]="S",ABS(SIP[[#This Row],[Unit]])*(INDEX(SIP[NAV at Cost (Average)],MATCH(CONCATENATE((SIP[[#This Row],[Frequency]]-1),SIP[[#This Row],[Investor ID]]),SIP[Unique Code],0),0)),0)</f>
        <v>0</v>
      </c>
      <c r="V991" s="74">
        <f>IF(SIP[[#This Row],[BO TRANSFER]]="YES",SIP[[#This Row],[Unit]],)</f>
        <v>0</v>
      </c>
      <c r="W991" s="74">
        <f>SUMIFS(SIP[[#Headers],[BO UNIT TRANSFER]]:SIP[[#This Row],[BO UNIT TRANSFER]],SIP[[#Headers],[Investor ID]]:SIP[[#This Row],[Investor ID]],SIP[[#This Row],[Investor ID]])</f>
        <v>0</v>
      </c>
    </row>
    <row r="992" spans="1:23" ht="15" customHeight="1">
      <c r="A992" s="101">
        <v>2025</v>
      </c>
      <c r="B992" s="101">
        <v>2</v>
      </c>
      <c r="C992" s="101">
        <v>5</v>
      </c>
      <c r="D992" s="65">
        <f>DATE(SIP[[#This Row],[Year]],SIP[[#This Row],[Month]],SIP[[#This Row],[Day]])</f>
        <v>45693</v>
      </c>
      <c r="E992" s="66" t="str" cm="1">
        <f t="array" ref="E992">INDEX(INVESTORS_LIST[INVESTOR NAME],MATCH(SIP[[#This Row],[Investor ID]],INVESTORS_LIST[INVESTOR CODE],0),)</f>
        <v>SABRIA ISLAM TALUKDER</v>
      </c>
      <c r="F992" s="46" t="s">
        <v>409</v>
      </c>
      <c r="G992" s="46">
        <f>COUNTIF(SIP[[#Headers],[Investor ID]]:SIP[[#This Row],[Investor ID]],SIP[[#This Row],[Investor ID]])</f>
        <v>18</v>
      </c>
      <c r="H992" s="46" t="str">
        <f>CONCATENATE(SIP[[#This Row],[Frequency]],SIP[[#This Row],[Investor ID]])</f>
        <v>18A00180</v>
      </c>
      <c r="I992" s="46" t="str">
        <f>IF(SIP[[#This Row],[B/S]]="B","BUY",(IF(SIP[[#This Row],[B/S]]="S","SELL"," ")))</f>
        <v>BUY</v>
      </c>
      <c r="J992" s="150" t="s">
        <v>1229</v>
      </c>
      <c r="K992" s="288">
        <v>5000</v>
      </c>
      <c r="L992" s="174"/>
      <c r="M992" s="123">
        <f>SIP[[#This Row],[Amount]]/SIP[[#This Row],[Unit]]</f>
        <v>11.933174224343675</v>
      </c>
      <c r="N992" s="71">
        <f>SIP[[#This Row],[Unit Capital]]/10</f>
        <v>419</v>
      </c>
      <c r="O992" s="71">
        <f>SUMIFS(SIP[[#Headers],[Unit]]:SIP[[#This Row],[Unit]],SIP[[#Headers],[Investor ID]]:SIP[[#This Row],[Investor ID]],SIP[[#This Row],[Investor ID]])</f>
        <v>8115</v>
      </c>
      <c r="P992" s="175">
        <v>4190</v>
      </c>
      <c r="Q992" s="74">
        <f>SIP[[#This Row],[Amount]]-SIP[[#This Row],[Unit Capital]]</f>
        <v>810</v>
      </c>
      <c r="R9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11.090573012939002</v>
      </c>
      <c r="S992" s="68">
        <f t="shared" si="46"/>
        <v>14.224</v>
      </c>
      <c r="T9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2" s="74" cm="1">
        <f t="array" ref="U992">IF(SIP[[#This Row],[B/S]]="S",ABS(SIP[[#This Row],[Unit]])*(INDEX(SIP[NAV at Cost (Average)],MATCH(CONCATENATE((SIP[[#This Row],[Frequency]]-1),SIP[[#This Row],[Investor ID]]),SIP[Unique Code],0),0)),0)</f>
        <v>0</v>
      </c>
      <c r="V992" s="74">
        <f>IF(SIP[[#This Row],[BO TRANSFER]]="YES",SIP[[#This Row],[Unit]],)</f>
        <v>0</v>
      </c>
      <c r="W992" s="74">
        <f>SUMIFS(SIP[[#Headers],[BO UNIT TRANSFER]]:SIP[[#This Row],[BO UNIT TRANSFER]],SIP[[#Headers],[Investor ID]]:SIP[[#This Row],[Investor ID]],SIP[[#This Row],[Investor ID]])</f>
        <v>0</v>
      </c>
    </row>
    <row r="993" spans="1:23" ht="15" customHeight="1">
      <c r="A993" s="101">
        <v>2025</v>
      </c>
      <c r="B993" s="101">
        <v>2</v>
      </c>
      <c r="C993" s="101">
        <v>5</v>
      </c>
      <c r="D993" s="65">
        <f>DATE(SIP[[#This Row],[Year]],SIP[[#This Row],[Month]],SIP[[#This Row],[Day]])</f>
        <v>45693</v>
      </c>
      <c r="E993" s="66" t="str" cm="1">
        <f t="array" ref="E993">INDEX(INVESTORS_LIST[INVESTOR NAME],MATCH(SIP[[#This Row],[Investor ID]],INVESTORS_LIST[INVESTOR CODE],0),)</f>
        <v>NANI GOPAL DATTA</v>
      </c>
      <c r="F993" s="46" t="s">
        <v>232</v>
      </c>
      <c r="G993" s="46">
        <f>COUNTIF(SIP[[#Headers],[Investor ID]]:SIP[[#This Row],[Investor ID]],SIP[[#This Row],[Investor ID]])</f>
        <v>13</v>
      </c>
      <c r="H993" s="46" t="str">
        <f>CONCATENATE(SIP[[#This Row],[Frequency]],SIP[[#This Row],[Investor ID]])</f>
        <v>13A00092</v>
      </c>
      <c r="I993" s="46" t="str">
        <f>IF(SIP[[#This Row],[B/S]]="B","BUY",(IF(SIP[[#This Row],[B/S]]="S","SELL"," ")))</f>
        <v>BUY</v>
      </c>
      <c r="J993" s="150" t="s">
        <v>1229</v>
      </c>
      <c r="K993" s="288">
        <v>2000</v>
      </c>
      <c r="L993" s="174"/>
      <c r="M993" s="123">
        <f>SIP[[#This Row],[Amount]]/SIP[[#This Row],[Unit]]</f>
        <v>11.904761904761905</v>
      </c>
      <c r="N993" s="71">
        <f>SIP[[#This Row],[Unit Capital]]/10</f>
        <v>168</v>
      </c>
      <c r="O993" s="71">
        <f>SUMIFS(SIP[[#Headers],[Unit]]:SIP[[#This Row],[Unit]],SIP[[#Headers],[Investor ID]]:SIP[[#This Row],[Investor ID]],SIP[[#This Row],[Investor ID]])</f>
        <v>1997</v>
      </c>
      <c r="P993" s="175">
        <v>1680</v>
      </c>
      <c r="Q993" s="74">
        <f>SIP[[#This Row],[Amount]]-SIP[[#This Row],[Unit Capital]]</f>
        <v>320</v>
      </c>
      <c r="R9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11.060306306454219</v>
      </c>
      <c r="S993" s="68">
        <f t="shared" si="46"/>
        <v>14.224</v>
      </c>
      <c r="T9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3" s="74" cm="1">
        <f t="array" ref="U993">IF(SIP[[#This Row],[B/S]]="S",ABS(SIP[[#This Row],[Unit]])*(INDEX(SIP[NAV at Cost (Average)],MATCH(CONCATENATE((SIP[[#This Row],[Frequency]]-1),SIP[[#This Row],[Investor ID]]),SIP[Unique Code],0),0)),0)</f>
        <v>0</v>
      </c>
      <c r="V993" s="74">
        <f>IF(SIP[[#This Row],[BO TRANSFER]]="YES",SIP[[#This Row],[Unit]],)</f>
        <v>0</v>
      </c>
      <c r="W993" s="74">
        <f>SUMIFS(SIP[[#Headers],[BO UNIT TRANSFER]]:SIP[[#This Row],[BO UNIT TRANSFER]],SIP[[#Headers],[Investor ID]]:SIP[[#This Row],[Investor ID]],SIP[[#This Row],[Investor ID]])</f>
        <v>0</v>
      </c>
    </row>
    <row r="994" spans="1:23" ht="15" customHeight="1">
      <c r="A994" s="101">
        <v>2025</v>
      </c>
      <c r="B994" s="101">
        <v>2</v>
      </c>
      <c r="C994" s="101">
        <v>5</v>
      </c>
      <c r="D994" s="65">
        <f>DATE(SIP[[#This Row],[Year]],SIP[[#This Row],[Month]],SIP[[#This Row],[Day]])</f>
        <v>45693</v>
      </c>
      <c r="E994" s="66" t="str" cm="1">
        <f t="array" ref="E994">INDEX(INVESTORS_LIST[INVESTOR NAME],MATCH(SIP[[#This Row],[Investor ID]],INVESTORS_LIST[INVESTOR CODE],0),)</f>
        <v>NANDINI SAHA</v>
      </c>
      <c r="F994" s="46" t="s">
        <v>242</v>
      </c>
      <c r="G994" s="46">
        <f>COUNTIF(SIP[[#Headers],[Investor ID]]:SIP[[#This Row],[Investor ID]],SIP[[#This Row],[Investor ID]])</f>
        <v>21</v>
      </c>
      <c r="H994" s="46" t="str">
        <f>CONCATENATE(SIP[[#This Row],[Frequency]],SIP[[#This Row],[Investor ID]])</f>
        <v>21A00097</v>
      </c>
      <c r="I994" s="46" t="str">
        <f>IF(SIP[[#This Row],[B/S]]="B","BUY",(IF(SIP[[#This Row],[B/S]]="S","SELL"," ")))</f>
        <v>BUY</v>
      </c>
      <c r="J994" s="150" t="s">
        <v>1229</v>
      </c>
      <c r="K994" s="288">
        <v>30000</v>
      </c>
      <c r="L994" s="174"/>
      <c r="M994" s="123">
        <f>SIP[[#This Row],[Amount]]/SIP[[#This Row],[Unit]]</f>
        <v>11.928429423459244</v>
      </c>
      <c r="N994" s="71">
        <f>SIP[[#This Row],[Unit Capital]]/10</f>
        <v>2515</v>
      </c>
      <c r="O994" s="71">
        <f>SUMIFS(SIP[[#Headers],[Unit]]:SIP[[#This Row],[Unit]],SIP[[#Headers],[Investor ID]]:SIP[[#This Row],[Investor ID]],SIP[[#This Row],[Investor ID]])</f>
        <v>57612</v>
      </c>
      <c r="P994" s="175">
        <v>25150</v>
      </c>
      <c r="Q994" s="74">
        <f>SIP[[#This Row],[Amount]]-SIP[[#This Row],[Unit Capital]]</f>
        <v>4850</v>
      </c>
      <c r="R9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10.935221828785668</v>
      </c>
      <c r="S994" s="68">
        <f t="shared" si="46"/>
        <v>14.224</v>
      </c>
      <c r="T9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4" s="74" cm="1">
        <f t="array" ref="U994">IF(SIP[[#This Row],[B/S]]="S",ABS(SIP[[#This Row],[Unit]])*(INDEX(SIP[NAV at Cost (Average)],MATCH(CONCATENATE((SIP[[#This Row],[Frequency]]-1),SIP[[#This Row],[Investor ID]]),SIP[Unique Code],0),0)),0)</f>
        <v>0</v>
      </c>
      <c r="V994" s="74">
        <f>IF(SIP[[#This Row],[BO TRANSFER]]="YES",SIP[[#This Row],[Unit]],)</f>
        <v>0</v>
      </c>
      <c r="W994" s="74">
        <f>SUMIFS(SIP[[#Headers],[BO UNIT TRANSFER]]:SIP[[#This Row],[BO UNIT TRANSFER]],SIP[[#Headers],[Investor ID]]:SIP[[#This Row],[Investor ID]],SIP[[#This Row],[Investor ID]])</f>
        <v>0</v>
      </c>
    </row>
    <row r="995" spans="1:23" ht="15" customHeight="1">
      <c r="A995" s="101">
        <v>2025</v>
      </c>
      <c r="B995" s="101">
        <v>2</v>
      </c>
      <c r="C995" s="101">
        <v>5</v>
      </c>
      <c r="D995" s="65">
        <f>DATE(SIP[[#This Row],[Year]],SIP[[#This Row],[Month]],SIP[[#This Row],[Day]])</f>
        <v>45693</v>
      </c>
      <c r="E995" s="66" t="str" cm="1">
        <f t="array" ref="E995">INDEX(INVESTORS_LIST[INVESTOR NAME],MATCH(SIP[[#This Row],[Investor ID]],INVESTORS_LIST[INVESTOR CODE],0),)</f>
        <v>SHANTA PAUL</v>
      </c>
      <c r="F995" s="46" t="s">
        <v>544</v>
      </c>
      <c r="G995" s="46">
        <f>COUNTIF(SIP[[#Headers],[Investor ID]]:SIP[[#This Row],[Investor ID]],SIP[[#This Row],[Investor ID]])</f>
        <v>22</v>
      </c>
      <c r="H995" s="46" t="str">
        <f>CONCATENATE(SIP[[#This Row],[Frequency]],SIP[[#This Row],[Investor ID]])</f>
        <v>22A00247</v>
      </c>
      <c r="I995" s="46" t="str">
        <f>IF(SIP[[#This Row],[B/S]]="B","BUY",(IF(SIP[[#This Row],[B/S]]="S","SELL"," ")))</f>
        <v>BUY</v>
      </c>
      <c r="J995" s="150" t="s">
        <v>1229</v>
      </c>
      <c r="K995" s="288">
        <v>20000</v>
      </c>
      <c r="L995" s="174"/>
      <c r="M995" s="123">
        <f>SIP[[#This Row],[Amount]]/SIP[[#This Row],[Unit]]</f>
        <v>11.926058437686345</v>
      </c>
      <c r="N995" s="71">
        <f>SIP[[#This Row],[Unit Capital]]/10</f>
        <v>1677</v>
      </c>
      <c r="O995" s="71">
        <f>SUMIFS(SIP[[#Headers],[Unit]]:SIP[[#This Row],[Unit]],SIP[[#Headers],[Investor ID]]:SIP[[#This Row],[Investor ID]],SIP[[#This Row],[Investor ID]])</f>
        <v>40568</v>
      </c>
      <c r="P995" s="175">
        <v>16770</v>
      </c>
      <c r="Q995" s="74">
        <f>SIP[[#This Row],[Amount]]-SIP[[#This Row],[Unit Capital]]</f>
        <v>3230</v>
      </c>
      <c r="R9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10.845986984815617</v>
      </c>
      <c r="S995" s="68">
        <f t="shared" si="46"/>
        <v>14.224</v>
      </c>
      <c r="T9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5" s="74" cm="1">
        <f t="array" ref="U995">IF(SIP[[#This Row],[B/S]]="S",ABS(SIP[[#This Row],[Unit]])*(INDEX(SIP[NAV at Cost (Average)],MATCH(CONCATENATE((SIP[[#This Row],[Frequency]]-1),SIP[[#This Row],[Investor ID]]),SIP[Unique Code],0),0)),0)</f>
        <v>0</v>
      </c>
      <c r="V995" s="74">
        <f>IF(SIP[[#This Row],[BO TRANSFER]]="YES",SIP[[#This Row],[Unit]],)</f>
        <v>0</v>
      </c>
      <c r="W995" s="74">
        <f>SUMIFS(SIP[[#Headers],[BO UNIT TRANSFER]]:SIP[[#This Row],[BO UNIT TRANSFER]],SIP[[#Headers],[Investor ID]]:SIP[[#This Row],[Investor ID]],SIP[[#This Row],[Investor ID]])</f>
        <v>0</v>
      </c>
    </row>
    <row r="996" spans="1:23" ht="15" customHeight="1">
      <c r="A996" s="101">
        <v>2025</v>
      </c>
      <c r="B996" s="101">
        <v>2</v>
      </c>
      <c r="C996" s="101">
        <v>15</v>
      </c>
      <c r="D996" s="65">
        <f>DATE(SIP[[#This Row],[Year]],SIP[[#This Row],[Month]],SIP[[#This Row],[Day]])</f>
        <v>45703</v>
      </c>
      <c r="E996" s="66" t="str" cm="1">
        <f t="array" ref="E996">INDEX(INVESTORS_LIST[INVESTOR NAME],MATCH(SIP[[#This Row],[Investor ID]],INVESTORS_LIST[INVESTOR CODE],0),)</f>
        <v>SANJIB KUMAR ROY</v>
      </c>
      <c r="F996" s="46" t="s">
        <v>1020</v>
      </c>
      <c r="G996" s="46">
        <f>COUNTIF(SIP[[#Headers],[Investor ID]]:SIP[[#This Row],[Investor ID]],SIP[[#This Row],[Investor ID]])</f>
        <v>21</v>
      </c>
      <c r="H996" s="46" t="str">
        <f>CONCATENATE(SIP[[#This Row],[Frequency]],SIP[[#This Row],[Investor ID]])</f>
        <v>21A00487</v>
      </c>
      <c r="I996" s="46" t="str">
        <f>IF(SIP[[#This Row],[B/S]]="B","BUY",(IF(SIP[[#This Row],[B/S]]="S","SELL"," ")))</f>
        <v>BUY</v>
      </c>
      <c r="J996" s="150" t="s">
        <v>1229</v>
      </c>
      <c r="K996" s="288">
        <v>5000</v>
      </c>
      <c r="L996" s="122"/>
      <c r="M996" s="123">
        <f>SIP[[#This Row],[Amount]]/SIP[[#This Row],[Unit]]</f>
        <v>12.376237623762377</v>
      </c>
      <c r="N996" s="71">
        <f>SIP[[#This Row],[Unit Capital]]/10</f>
        <v>404</v>
      </c>
      <c r="O996" s="71">
        <f>SUMIFS(SIP[[#Headers],[Unit]]:SIP[[#This Row],[Unit]],SIP[[#Headers],[Investor ID]]:SIP[[#This Row],[Investor ID]],SIP[[#This Row],[Investor ID]])</f>
        <v>9539</v>
      </c>
      <c r="P996" s="153">
        <v>4040</v>
      </c>
      <c r="Q996" s="74">
        <f>SIP[[#This Row],[Amount]]-SIP[[#This Row],[Unit Capital]]</f>
        <v>960</v>
      </c>
      <c r="R9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11.007443128210504</v>
      </c>
      <c r="S996" s="68">
        <f t="shared" ref="S996:S1001" si="47">NAV_MKT</f>
        <v>14.224</v>
      </c>
      <c r="T9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6" s="74" cm="1">
        <f t="array" ref="U996">IF(SIP[[#This Row],[B/S]]="S",ABS(SIP[[#This Row],[Unit]])*(INDEX(SIP[NAV at Cost (Average)],MATCH(CONCATENATE((SIP[[#This Row],[Frequency]]-1),SIP[[#This Row],[Investor ID]]),SIP[Unique Code],0),0)),0)</f>
        <v>0</v>
      </c>
      <c r="V996" s="74">
        <f>IF(SIP[[#This Row],[BO TRANSFER]]="YES",SIP[[#This Row],[Unit]],)</f>
        <v>0</v>
      </c>
      <c r="W996" s="74">
        <f>SUMIFS(SIP[[#Headers],[BO UNIT TRANSFER]]:SIP[[#This Row],[BO UNIT TRANSFER]],SIP[[#Headers],[Investor ID]]:SIP[[#This Row],[Investor ID]],SIP[[#This Row],[Investor ID]])</f>
        <v>0</v>
      </c>
    </row>
    <row r="997" spans="1:23" ht="15" customHeight="1">
      <c r="A997" s="101">
        <v>2025</v>
      </c>
      <c r="B997" s="101">
        <v>2</v>
      </c>
      <c r="C997" s="101">
        <v>15</v>
      </c>
      <c r="D997" s="65">
        <f>DATE(SIP[[#This Row],[Year]],SIP[[#This Row],[Month]],SIP[[#This Row],[Day]])</f>
        <v>45703</v>
      </c>
      <c r="E997" s="66" t="str" cm="1">
        <f t="array" ref="E997">INDEX(INVESTORS_LIST[INVESTOR NAME],MATCH(SIP[[#This Row],[Investor ID]],INVESTORS_LIST[INVESTOR CODE],0),)</f>
        <v>MAHMUD ALI ALAMGIR &amp; MOHAMMED ALI XAHANGIR</v>
      </c>
      <c r="F997" s="46" t="s">
        <v>1130</v>
      </c>
      <c r="G997" s="46">
        <f>COUNTIF(SIP[[#Headers],[Investor ID]]:SIP[[#This Row],[Investor ID]],SIP[[#This Row],[Investor ID]])</f>
        <v>13</v>
      </c>
      <c r="H997" s="46" t="str">
        <f>CONCATENATE(SIP[[#This Row],[Frequency]],SIP[[#This Row],[Investor ID]])</f>
        <v>13A00540</v>
      </c>
      <c r="I997" s="46" t="str">
        <f>IF(SIP[[#This Row],[B/S]]="B","BUY",(IF(SIP[[#This Row],[B/S]]="S","SELL"," ")))</f>
        <v>BUY</v>
      </c>
      <c r="J997" s="150" t="s">
        <v>1229</v>
      </c>
      <c r="K997" s="288">
        <v>20000</v>
      </c>
      <c r="L997" s="122"/>
      <c r="M997" s="123">
        <f>SIP[[#This Row],[Amount]]/SIP[[#This Row],[Unit]]</f>
        <v>12.368583797155226</v>
      </c>
      <c r="N997" s="71">
        <f>SIP[[#This Row],[Unit Capital]]/10</f>
        <v>1617</v>
      </c>
      <c r="O997" s="71">
        <f>SUMIFS(SIP[[#Headers],[Unit]]:SIP[[#This Row],[Unit]],SIP[[#Headers],[Investor ID]]:SIP[[#This Row],[Investor ID]],SIP[[#This Row],[Investor ID]])</f>
        <v>32876</v>
      </c>
      <c r="P997" s="153">
        <v>16170</v>
      </c>
      <c r="Q997" s="74">
        <f>SIP[[#This Row],[Amount]]-SIP[[#This Row],[Unit Capital]]</f>
        <v>3830</v>
      </c>
      <c r="R9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11.566084640450658</v>
      </c>
      <c r="S997" s="68">
        <f t="shared" si="47"/>
        <v>14.224</v>
      </c>
      <c r="T9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7" s="74" cm="1">
        <f t="array" ref="U997">IF(SIP[[#This Row],[B/S]]="S",ABS(SIP[[#This Row],[Unit]])*(INDEX(SIP[NAV at Cost (Average)],MATCH(CONCATENATE((SIP[[#This Row],[Frequency]]-1),SIP[[#This Row],[Investor ID]]),SIP[Unique Code],0),0)),0)</f>
        <v>0</v>
      </c>
      <c r="V997" s="74">
        <f>IF(SIP[[#This Row],[BO TRANSFER]]="YES",SIP[[#This Row],[Unit]],)</f>
        <v>0</v>
      </c>
      <c r="W997" s="74">
        <f>SUMIFS(SIP[[#Headers],[BO UNIT TRANSFER]]:SIP[[#This Row],[BO UNIT TRANSFER]],SIP[[#Headers],[Investor ID]]:SIP[[#This Row],[Investor ID]],SIP[[#This Row],[Investor ID]])</f>
        <v>0</v>
      </c>
    </row>
    <row r="998" spans="1:23" ht="15" customHeight="1">
      <c r="A998" s="101">
        <v>2025</v>
      </c>
      <c r="B998" s="101">
        <v>2</v>
      </c>
      <c r="C998" s="101">
        <v>15</v>
      </c>
      <c r="D998" s="65">
        <f>DATE(SIP[[#This Row],[Year]],SIP[[#This Row],[Month]],SIP[[#This Row],[Day]])</f>
        <v>45703</v>
      </c>
      <c r="E998" s="66" t="str" cm="1">
        <f t="array" ref="E998">INDEX(INVESTORS_LIST[INVESTOR NAME],MATCH(SIP[[#This Row],[Investor ID]],INVESTORS_LIST[INVESTOR CODE],0),)</f>
        <v>ASRAAR HOSSAIN</v>
      </c>
      <c r="F998" s="46" t="s">
        <v>786</v>
      </c>
      <c r="G998" s="46">
        <f>COUNTIF(SIP[[#Headers],[Investor ID]]:SIP[[#This Row],[Investor ID]],SIP[[#This Row],[Investor ID]])</f>
        <v>5</v>
      </c>
      <c r="H998" s="46" t="str">
        <f>CONCATENATE(SIP[[#This Row],[Frequency]],SIP[[#This Row],[Investor ID]])</f>
        <v>5A00369</v>
      </c>
      <c r="I998" s="46" t="str">
        <f>IF(SIP[[#This Row],[B/S]]="B","BUY",(IF(SIP[[#This Row],[B/S]]="S","SELL"," ")))</f>
        <v>BUY</v>
      </c>
      <c r="J998" s="150" t="s">
        <v>1229</v>
      </c>
      <c r="K998" s="288">
        <v>15000</v>
      </c>
      <c r="L998" s="122"/>
      <c r="M998" s="123">
        <f>SIP[[#This Row],[Amount]]/SIP[[#This Row],[Unit]]</f>
        <v>12.366034624896949</v>
      </c>
      <c r="N998" s="71">
        <f>SIP[[#This Row],[Unit Capital]]/10</f>
        <v>1213</v>
      </c>
      <c r="O998" s="71">
        <f>SUMIFS(SIP[[#Headers],[Unit]]:SIP[[#This Row],[Unit]],SIP[[#Headers],[Investor ID]]:SIP[[#This Row],[Investor ID]],SIP[[#This Row],[Investor ID]])</f>
        <v>6340</v>
      </c>
      <c r="P998" s="153">
        <v>12130</v>
      </c>
      <c r="Q998" s="74">
        <f>SIP[[#This Row],[Amount]]-SIP[[#This Row],[Unit Capital]]</f>
        <v>2870</v>
      </c>
      <c r="R9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11.829652996845425</v>
      </c>
      <c r="S998" s="68">
        <f t="shared" si="47"/>
        <v>14.224</v>
      </c>
      <c r="T9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8" s="74" cm="1">
        <f t="array" ref="U998">IF(SIP[[#This Row],[B/S]]="S",ABS(SIP[[#This Row],[Unit]])*(INDEX(SIP[NAV at Cost (Average)],MATCH(CONCATENATE((SIP[[#This Row],[Frequency]]-1),SIP[[#This Row],[Investor ID]]),SIP[Unique Code],0),0)),0)</f>
        <v>0</v>
      </c>
      <c r="V998" s="74">
        <f>IF(SIP[[#This Row],[BO TRANSFER]]="YES",SIP[[#This Row],[Unit]],)</f>
        <v>0</v>
      </c>
      <c r="W998" s="74">
        <f>SUMIFS(SIP[[#Headers],[BO UNIT TRANSFER]]:SIP[[#This Row],[BO UNIT TRANSFER]],SIP[[#Headers],[Investor ID]]:SIP[[#This Row],[Investor ID]],SIP[[#This Row],[Investor ID]])</f>
        <v>0</v>
      </c>
    </row>
    <row r="999" spans="1:23" ht="15" customHeight="1">
      <c r="A999" s="101">
        <v>2025</v>
      </c>
      <c r="B999" s="101">
        <v>2</v>
      </c>
      <c r="C999" s="101">
        <v>15</v>
      </c>
      <c r="D999" s="65">
        <f>DATE(SIP[[#This Row],[Year]],SIP[[#This Row],[Month]],SIP[[#This Row],[Day]])</f>
        <v>45703</v>
      </c>
      <c r="E999" s="66" t="str" cm="1">
        <f t="array" ref="E999">INDEX(INVESTORS_LIST[INVESTOR NAME],MATCH(SIP[[#This Row],[Investor ID]],INVESTORS_LIST[INVESTOR CODE],0),)</f>
        <v>MD. RAFIQUR RAHMAN</v>
      </c>
      <c r="F999" s="46" t="s">
        <v>622</v>
      </c>
      <c r="G999" s="46">
        <f>COUNTIF(SIP[[#Headers],[Investor ID]]:SIP[[#This Row],[Investor ID]],SIP[[#This Row],[Investor ID]])</f>
        <v>18</v>
      </c>
      <c r="H999" s="46" t="str">
        <f>CONCATENATE(SIP[[#This Row],[Frequency]],SIP[[#This Row],[Investor ID]])</f>
        <v>18A00287</v>
      </c>
      <c r="I999" s="46" t="str">
        <f>IF(SIP[[#This Row],[B/S]]="B","BUY",(IF(SIP[[#This Row],[B/S]]="S","SELL"," ")))</f>
        <v>BUY</v>
      </c>
      <c r="J999" s="150" t="s">
        <v>1229</v>
      </c>
      <c r="K999" s="288">
        <v>20000</v>
      </c>
      <c r="L999" s="122"/>
      <c r="M999" s="123">
        <f>SIP[[#This Row],[Amount]]/SIP[[#This Row],[Unit]]</f>
        <v>12.368583797155226</v>
      </c>
      <c r="N999" s="71">
        <f>SIP[[#This Row],[Unit Capital]]/10</f>
        <v>1617</v>
      </c>
      <c r="O999" s="71">
        <f>SUMIFS(SIP[[#Headers],[Unit]]:SIP[[#This Row],[Unit]],SIP[[#Headers],[Investor ID]]:SIP[[#This Row],[Investor ID]],SIP[[#This Row],[Investor ID]])</f>
        <v>32329</v>
      </c>
      <c r="P999" s="153">
        <v>16170</v>
      </c>
      <c r="Q999" s="74">
        <f>SIP[[#This Row],[Amount]]-SIP[[#This Row],[Unit Capital]]</f>
        <v>3830</v>
      </c>
      <c r="R9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11.135513006897828</v>
      </c>
      <c r="S999" s="68">
        <f t="shared" si="47"/>
        <v>14.224</v>
      </c>
      <c r="T9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9" s="74" cm="1">
        <f t="array" ref="U999">IF(SIP[[#This Row],[B/S]]="S",ABS(SIP[[#This Row],[Unit]])*(INDEX(SIP[NAV at Cost (Average)],MATCH(CONCATENATE((SIP[[#This Row],[Frequency]]-1),SIP[[#This Row],[Investor ID]]),SIP[Unique Code],0),0)),0)</f>
        <v>0</v>
      </c>
      <c r="V999" s="74">
        <f>IF(SIP[[#This Row],[BO TRANSFER]]="YES",SIP[[#This Row],[Unit]],)</f>
        <v>0</v>
      </c>
      <c r="W999" s="74">
        <f>SUMIFS(SIP[[#Headers],[BO UNIT TRANSFER]]:SIP[[#This Row],[BO UNIT TRANSFER]],SIP[[#Headers],[Investor ID]]:SIP[[#This Row],[Investor ID]],SIP[[#This Row],[Investor ID]])</f>
        <v>0</v>
      </c>
    </row>
    <row r="1000" spans="1:23" ht="15" customHeight="1">
      <c r="A1000" s="101">
        <v>2025</v>
      </c>
      <c r="B1000" s="101">
        <v>2</v>
      </c>
      <c r="C1000" s="101">
        <v>15</v>
      </c>
      <c r="D1000" s="65">
        <f>DATE(SIP[[#This Row],[Year]],SIP[[#This Row],[Month]],SIP[[#This Row],[Day]])</f>
        <v>45703</v>
      </c>
      <c r="E1000" s="66" t="str" cm="1">
        <f t="array" ref="E1000">INDEX(INVESTORS_LIST[INVESTOR NAME],MATCH(SIP[[#This Row],[Investor ID]],INVESTORS_LIST[INVESTOR CODE],0),)</f>
        <v>MAHMUD ALI ALAMGIR &amp; MOHAMMED ALI XAHANGIR</v>
      </c>
      <c r="F1000" s="46" t="s">
        <v>1130</v>
      </c>
      <c r="G1000" s="46">
        <f>COUNTIF(SIP[[#Headers],[Investor ID]]:SIP[[#This Row],[Investor ID]],SIP[[#This Row],[Investor ID]])</f>
        <v>14</v>
      </c>
      <c r="H1000" s="46" t="str">
        <f>CONCATENATE(SIP[[#This Row],[Frequency]],SIP[[#This Row],[Investor ID]])</f>
        <v>14A00540</v>
      </c>
      <c r="I1000" s="46" t="str">
        <f>IF(SIP[[#This Row],[B/S]]="B","BUY",(IF(SIP[[#This Row],[B/S]]="S","SELL"," ")))</f>
        <v>BUY</v>
      </c>
      <c r="J1000" s="150" t="s">
        <v>1229</v>
      </c>
      <c r="K1000" s="288">
        <v>40000</v>
      </c>
      <c r="L1000" s="122"/>
      <c r="M1000" s="123">
        <f>SIP[[#This Row],[Amount]]/SIP[[#This Row],[Unit]]</f>
        <v>12.364760432766616</v>
      </c>
      <c r="N1000" s="71">
        <f>SIP[[#This Row],[Unit Capital]]/10</f>
        <v>3235</v>
      </c>
      <c r="O1000" s="71">
        <f>SUMIFS(SIP[[#Headers],[Unit]]:SIP[[#This Row],[Unit]],SIP[[#Headers],[Investor ID]]:SIP[[#This Row],[Investor ID]],SIP[[#This Row],[Investor ID]])</f>
        <v>36111</v>
      </c>
      <c r="P1000" s="153">
        <v>32350</v>
      </c>
      <c r="Q1000" s="74">
        <f>SIP[[#This Row],[Amount]]-SIP[[#This Row],[Unit Capital]]</f>
        <v>7650</v>
      </c>
      <c r="R10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11.637633924273928</v>
      </c>
      <c r="S1000" s="68">
        <f t="shared" si="47"/>
        <v>14.224</v>
      </c>
      <c r="T10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0" s="74" cm="1">
        <f t="array" ref="U1000">IF(SIP[[#This Row],[B/S]]="S",ABS(SIP[[#This Row],[Unit]])*(INDEX(SIP[NAV at Cost (Average)],MATCH(CONCATENATE((SIP[[#This Row],[Frequency]]-1),SIP[[#This Row],[Investor ID]]),SIP[Unique Code],0),0)),0)</f>
        <v>0</v>
      </c>
      <c r="V1000" s="74">
        <f>IF(SIP[[#This Row],[BO TRANSFER]]="YES",SIP[[#This Row],[Unit]],)</f>
        <v>0</v>
      </c>
      <c r="W1000" s="74">
        <f>SUMIFS(SIP[[#Headers],[BO UNIT TRANSFER]]:SIP[[#This Row],[BO UNIT TRANSFER]],SIP[[#Headers],[Investor ID]]:SIP[[#This Row],[Investor ID]],SIP[[#This Row],[Investor ID]])</f>
        <v>0</v>
      </c>
    </row>
    <row r="1001" spans="1:23" ht="15" customHeight="1">
      <c r="A1001" s="101">
        <v>2025</v>
      </c>
      <c r="B1001" s="101">
        <v>2</v>
      </c>
      <c r="C1001" s="101">
        <v>15</v>
      </c>
      <c r="D1001" s="65">
        <f>DATE(SIP[[#This Row],[Year]],SIP[[#This Row],[Month]],SIP[[#This Row],[Day]])</f>
        <v>45703</v>
      </c>
      <c r="E1001" s="66" t="str" cm="1">
        <f t="array" ref="E1001">INDEX(INVESTORS_LIST[INVESTOR NAME],MATCH(SIP[[#This Row],[Investor ID]],INVESTORS_LIST[INVESTOR CODE],0),)</f>
        <v>MAHFUZA ANIKA</v>
      </c>
      <c r="F1001" s="46" t="s">
        <v>1277</v>
      </c>
      <c r="G1001" s="46">
        <f>COUNTIF(SIP[[#Headers],[Investor ID]]:SIP[[#This Row],[Investor ID]],SIP[[#This Row],[Investor ID]])</f>
        <v>8</v>
      </c>
      <c r="H1001" s="46" t="str">
        <f>CONCATENATE(SIP[[#This Row],[Frequency]],SIP[[#This Row],[Investor ID]])</f>
        <v>8A00585</v>
      </c>
      <c r="I1001" s="46" t="str">
        <f>IF(SIP[[#This Row],[B/S]]="B","BUY",(IF(SIP[[#This Row],[B/S]]="S","SELL"," ")))</f>
        <v>BUY</v>
      </c>
      <c r="J1001" s="150" t="s">
        <v>1229</v>
      </c>
      <c r="K1001" s="288">
        <v>2000</v>
      </c>
      <c r="L1001" s="122"/>
      <c r="M1001" s="123">
        <f>SIP[[#This Row],[Amount]]/SIP[[#This Row],[Unit]]</f>
        <v>12.345679012345679</v>
      </c>
      <c r="N1001" s="71">
        <f>SIP[[#This Row],[Unit Capital]]/10</f>
        <v>162</v>
      </c>
      <c r="O1001" s="71">
        <f>SUMIFS(SIP[[#Headers],[Unit]]:SIP[[#This Row],[Unit]],SIP[[#Headers],[Investor ID]]:SIP[[#This Row],[Investor ID]],SIP[[#This Row],[Investor ID]])</f>
        <v>1197</v>
      </c>
      <c r="P1001" s="153">
        <v>1620</v>
      </c>
      <c r="Q1001" s="74">
        <f>SIP[[#This Row],[Amount]]-SIP[[#This Row],[Unit Capital]]</f>
        <v>380</v>
      </c>
      <c r="R10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11.69590643274854</v>
      </c>
      <c r="S1001" s="68">
        <f t="shared" si="47"/>
        <v>14.224</v>
      </c>
      <c r="T10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1" s="74" cm="1">
        <f t="array" ref="U1001">IF(SIP[[#This Row],[B/S]]="S",ABS(SIP[[#This Row],[Unit]])*(INDEX(SIP[NAV at Cost (Average)],MATCH(CONCATENATE((SIP[[#This Row],[Frequency]]-1),SIP[[#This Row],[Investor ID]]),SIP[Unique Code],0),0)),0)</f>
        <v>0</v>
      </c>
      <c r="V1001" s="74">
        <f>IF(SIP[[#This Row],[BO TRANSFER]]="YES",SIP[[#This Row],[Unit]],)</f>
        <v>0</v>
      </c>
      <c r="W1001" s="74">
        <f>SUMIFS(SIP[[#Headers],[BO UNIT TRANSFER]]:SIP[[#This Row],[BO UNIT TRANSFER]],SIP[[#Headers],[Investor ID]]:SIP[[#This Row],[Investor ID]],SIP[[#This Row],[Investor ID]])</f>
        <v>0</v>
      </c>
    </row>
    <row r="1002" spans="1:23" ht="15" customHeight="1">
      <c r="A1002" s="101">
        <v>2025</v>
      </c>
      <c r="B1002" s="101">
        <v>2</v>
      </c>
      <c r="C1002" s="101">
        <v>25</v>
      </c>
      <c r="D1002" s="65">
        <f>DATE(SIP[[#This Row],[Year]],SIP[[#This Row],[Month]],SIP[[#This Row],[Day]])</f>
        <v>45713</v>
      </c>
      <c r="E1002" s="66" t="str" cm="1">
        <f t="array" ref="E1002">INDEX(INVESTORS_LIST[INVESTOR NAME],MATCH(SIP[[#This Row],[Investor ID]],INVESTORS_LIST[INVESTOR CODE],0),)</f>
        <v>FAKARUDDIN ALI AHMED</v>
      </c>
      <c r="F1002" s="166" t="s">
        <v>228</v>
      </c>
      <c r="G1002" s="46">
        <f>COUNTIF(SIP[[#Headers],[Investor ID]]:SIP[[#This Row],[Investor ID]],SIP[[#This Row],[Investor ID]])</f>
        <v>23</v>
      </c>
      <c r="H1002" s="46" t="str">
        <f>CONCATENATE(SIP[[#This Row],[Frequency]],SIP[[#This Row],[Investor ID]])</f>
        <v>23A00090</v>
      </c>
      <c r="I1002" s="46" t="str">
        <f>IF(SIP[[#This Row],[B/S]]="B","BUY",(IF(SIP[[#This Row],[B/S]]="S","SELL"," ")))</f>
        <v>SELL</v>
      </c>
      <c r="J1002" s="150" t="s">
        <v>1231</v>
      </c>
      <c r="K1002" s="152">
        <v>-135101.35</v>
      </c>
      <c r="L1002" s="122"/>
      <c r="M1002" s="123">
        <f>SIP[[#This Row],[Amount]]/SIP[[#This Row],[Unit]]</f>
        <v>12.682000375481085</v>
      </c>
      <c r="N1002" s="71">
        <f>SIP[[#This Row],[Unit Capital]]/10</f>
        <v>-10653</v>
      </c>
      <c r="O1002" s="71">
        <f>SUMIFS(SIP[[#Headers],[Unit]]:SIP[[#This Row],[Unit]],SIP[[#Headers],[Investor ID]]:SIP[[#This Row],[Investor ID]],SIP[[#This Row],[Investor ID]])</f>
        <v>0</v>
      </c>
      <c r="P1002" s="153">
        <v>-106530</v>
      </c>
      <c r="Q1002" s="74">
        <f>SIP[[#This Row],[Amount]]-SIP[[#This Row],[Unit Capital]]</f>
        <v>-28571.350000000006</v>
      </c>
      <c r="R10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02" s="68">
        <f t="shared" ref="S1002:S1034" si="48">NAV_MKT</f>
        <v>14.224</v>
      </c>
      <c r="T1002" s="74">
        <f>IF(SIP[[#This Row],[B/S]]="B",0,ABS(SIP[[#This Row],[Unit]])*(SIP[[#This Row],[NAV (Strike Rate)]]-INDEX(SIP[NAV at Cost (Average)],MATCH(CONCATENATE(SIP[[#This Row],[Frequency]]-1,SIP[[#This Row],[Investor ID]]),SIP[Unique Code],0),)))</f>
        <v>14224.368867924512</v>
      </c>
      <c r="U1002" s="74" cm="1">
        <f t="array" ref="U1002">IF(SIP[[#This Row],[B/S]]="S",ABS(SIP[[#This Row],[Unit]])*(INDEX(SIP[NAV at Cost (Average)],MATCH(CONCATENATE((SIP[[#This Row],[Frequency]]-1),SIP[[#This Row],[Investor ID]]),SIP[Unique Code],0),0)),0)</f>
        <v>120876.98113207548</v>
      </c>
      <c r="V1002" s="74">
        <f>IF(SIP[[#This Row],[BO TRANSFER]]="YES",SIP[[#This Row],[Unit]],)</f>
        <v>0</v>
      </c>
      <c r="W1002" s="74">
        <f>SUMIFS(SIP[[#Headers],[BO UNIT TRANSFER]]:SIP[[#This Row],[BO UNIT TRANSFER]],SIP[[#Headers],[Investor ID]]:SIP[[#This Row],[Investor ID]],SIP[[#This Row],[Investor ID]])</f>
        <v>0</v>
      </c>
    </row>
    <row r="1003" spans="1:23" ht="15" customHeight="1">
      <c r="A1003" s="101">
        <v>2025</v>
      </c>
      <c r="B1003" s="101">
        <v>2</v>
      </c>
      <c r="C1003" s="101">
        <v>26</v>
      </c>
      <c r="D1003" s="65">
        <f>DATE(SIP[[#This Row],[Year]],SIP[[#This Row],[Month]],SIP[[#This Row],[Day]])</f>
        <v>45714</v>
      </c>
      <c r="E1003" s="66" t="str" cm="1">
        <f t="array" ref="E1003">INDEX(INVESTORS_LIST[INVESTOR NAME],MATCH(SIP[[#This Row],[Investor ID]],INVESTORS_LIST[INVESTOR CODE],0),)</f>
        <v>KHAN MUHAMMAD FAISOL</v>
      </c>
      <c r="F1003" s="46" t="s">
        <v>930</v>
      </c>
      <c r="G1003" s="46">
        <f>COUNTIF(SIP[[#Headers],[Investor ID]]:SIP[[#This Row],[Investor ID]],SIP[[#This Row],[Investor ID]])</f>
        <v>22</v>
      </c>
      <c r="H1003" s="46" t="str">
        <f>CONCATENATE(SIP[[#This Row],[Frequency]],SIP[[#This Row],[Investor ID]])</f>
        <v>22A00442</v>
      </c>
      <c r="I1003" s="46" t="str">
        <f>IF(SIP[[#This Row],[B/S]]="B","BUY",(IF(SIP[[#This Row],[B/S]]="S","SELL"," ")))</f>
        <v>BUY</v>
      </c>
      <c r="J1003" s="150" t="s">
        <v>1229</v>
      </c>
      <c r="K1003" s="152">
        <v>1000</v>
      </c>
      <c r="L1003" s="69"/>
      <c r="M1003" s="123">
        <f>SIP[[#This Row],[Amount]]/SIP[[#This Row],[Unit]]</f>
        <v>12.658227848101266</v>
      </c>
      <c r="N1003" s="71">
        <f>SIP[[#This Row],[Unit Capital]]/10</f>
        <v>79</v>
      </c>
      <c r="O1003" s="71">
        <f>SUMIFS(SIP[[#Headers],[Unit]]:SIP[[#This Row],[Unit]],SIP[[#Headers],[Investor ID]]:SIP[[#This Row],[Investor ID]],SIP[[#This Row],[Investor ID]])</f>
        <v>1998</v>
      </c>
      <c r="P1003" s="153">
        <v>790</v>
      </c>
      <c r="Q1003" s="74">
        <f>SIP[[#This Row],[Amount]]-SIP[[#This Row],[Unit Capital]]</f>
        <v>210</v>
      </c>
      <c r="R10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11.011011011011012</v>
      </c>
      <c r="S1003" s="68">
        <f t="shared" si="48"/>
        <v>14.224</v>
      </c>
      <c r="T10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3" s="74" cm="1">
        <f t="array" ref="U1003">IF(SIP[[#This Row],[B/S]]="S",ABS(SIP[[#This Row],[Unit]])*(INDEX(SIP[NAV at Cost (Average)],MATCH(CONCATENATE((SIP[[#This Row],[Frequency]]-1),SIP[[#This Row],[Investor ID]]),SIP[Unique Code],0),0)),0)</f>
        <v>0</v>
      </c>
      <c r="V1003" s="74">
        <f>IF(SIP[[#This Row],[BO TRANSFER]]="YES",SIP[[#This Row],[Unit]],)</f>
        <v>0</v>
      </c>
      <c r="W1003" s="74">
        <f>SUMIFS(SIP[[#Headers],[BO UNIT TRANSFER]]:SIP[[#This Row],[BO UNIT TRANSFER]],SIP[[#Headers],[Investor ID]]:SIP[[#This Row],[Investor ID]],SIP[[#This Row],[Investor ID]])</f>
        <v>0</v>
      </c>
    </row>
    <row r="1004" spans="1:23" ht="15" customHeight="1">
      <c r="A1004" s="101">
        <v>2025</v>
      </c>
      <c r="B1004" s="101">
        <v>2</v>
      </c>
      <c r="C1004" s="101">
        <v>26</v>
      </c>
      <c r="D1004" s="65">
        <f>DATE(SIP[[#This Row],[Year]],SIP[[#This Row],[Month]],SIP[[#This Row],[Day]])</f>
        <v>45714</v>
      </c>
      <c r="E1004" s="66" t="str" cm="1">
        <f t="array" ref="E1004">INDEX(INVESTORS_LIST[INVESTOR NAME],MATCH(SIP[[#This Row],[Investor ID]],INVESTORS_LIST[INVESTOR CODE],0),)</f>
        <v>MD. ARIFUL ISLAM</v>
      </c>
      <c r="F1004" s="46" t="s">
        <v>222</v>
      </c>
      <c r="G1004" s="46">
        <f>COUNTIF(SIP[[#Headers],[Investor ID]]:SIP[[#This Row],[Investor ID]],SIP[[#This Row],[Investor ID]])</f>
        <v>22</v>
      </c>
      <c r="H1004" s="46" t="str">
        <f>CONCATENATE(SIP[[#This Row],[Frequency]],SIP[[#This Row],[Investor ID]])</f>
        <v>22A00087</v>
      </c>
      <c r="I1004" s="46" t="str">
        <f>IF(SIP[[#This Row],[B/S]]="B","BUY",(IF(SIP[[#This Row],[B/S]]="S","SELL"," ")))</f>
        <v>BUY</v>
      </c>
      <c r="J1004" s="150" t="s">
        <v>1229</v>
      </c>
      <c r="K1004" s="152">
        <v>10000</v>
      </c>
      <c r="L1004" s="69"/>
      <c r="M1004" s="123">
        <f>SIP[[#This Row],[Amount]]/SIP[[#This Row],[Unit]]</f>
        <v>12.67427122940431</v>
      </c>
      <c r="N1004" s="71">
        <f>SIP[[#This Row],[Unit Capital]]/10</f>
        <v>789</v>
      </c>
      <c r="O1004" s="71">
        <f>SUMIFS(SIP[[#Headers],[Unit]]:SIP[[#This Row],[Unit]],SIP[[#Headers],[Investor ID]]:SIP[[#This Row],[Investor ID]],SIP[[#This Row],[Investor ID]])</f>
        <v>19985</v>
      </c>
      <c r="P1004" s="153">
        <v>7890</v>
      </c>
      <c r="Q1004" s="74">
        <f>SIP[[#This Row],[Amount]]-SIP[[#This Row],[Unit Capital]]</f>
        <v>2110</v>
      </c>
      <c r="R10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11.008256192144108</v>
      </c>
      <c r="S1004" s="68">
        <f t="shared" si="48"/>
        <v>14.224</v>
      </c>
      <c r="T10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4" s="74" cm="1">
        <f t="array" ref="U1004">IF(SIP[[#This Row],[B/S]]="S",ABS(SIP[[#This Row],[Unit]])*(INDEX(SIP[NAV at Cost (Average)],MATCH(CONCATENATE((SIP[[#This Row],[Frequency]]-1),SIP[[#This Row],[Investor ID]]),SIP[Unique Code],0),0)),0)</f>
        <v>0</v>
      </c>
      <c r="V1004" s="74">
        <f>IF(SIP[[#This Row],[BO TRANSFER]]="YES",SIP[[#This Row],[Unit]],)</f>
        <v>0</v>
      </c>
      <c r="W1004" s="74">
        <f>SUMIFS(SIP[[#Headers],[BO UNIT TRANSFER]]:SIP[[#This Row],[BO UNIT TRANSFER]],SIP[[#Headers],[Investor ID]]:SIP[[#This Row],[Investor ID]],SIP[[#This Row],[Investor ID]])</f>
        <v>0</v>
      </c>
    </row>
    <row r="1005" spans="1:23" ht="15" customHeight="1">
      <c r="A1005" s="101">
        <v>2025</v>
      </c>
      <c r="B1005" s="101">
        <v>2</v>
      </c>
      <c r="C1005" s="101">
        <v>26</v>
      </c>
      <c r="D1005" s="65">
        <f>DATE(SIP[[#This Row],[Year]],SIP[[#This Row],[Month]],SIP[[#This Row],[Day]])</f>
        <v>45714</v>
      </c>
      <c r="E1005" s="66" t="str" cm="1">
        <f t="array" ref="E1005">INDEX(INVESTORS_LIST[INVESTOR NAME],MATCH(SIP[[#This Row],[Investor ID]],INVESTORS_LIST[INVESTOR CODE],0),)</f>
        <v>SADIA PARVIN</v>
      </c>
      <c r="F1005" s="46" t="s">
        <v>1018</v>
      </c>
      <c r="G1005" s="46">
        <f>COUNTIF(SIP[[#Headers],[Investor ID]]:SIP[[#This Row],[Investor ID]],SIP[[#This Row],[Investor ID]])</f>
        <v>30</v>
      </c>
      <c r="H1005" s="46" t="str">
        <f>CONCATENATE(SIP[[#This Row],[Frequency]],SIP[[#This Row],[Investor ID]])</f>
        <v>30A00486</v>
      </c>
      <c r="I1005" s="46" t="str">
        <f>IF(SIP[[#This Row],[B/S]]="B","BUY",(IF(SIP[[#This Row],[B/S]]="S","SELL"," ")))</f>
        <v>BUY</v>
      </c>
      <c r="J1005" s="150" t="s">
        <v>1229</v>
      </c>
      <c r="K1005" s="152">
        <v>5000</v>
      </c>
      <c r="L1005" s="122"/>
      <c r="M1005" s="123">
        <f>SIP[[#This Row],[Amount]]/SIP[[#This Row],[Unit]]</f>
        <v>12.690355329949238</v>
      </c>
      <c r="N1005" s="71">
        <f>SIP[[#This Row],[Unit Capital]]/10</f>
        <v>394</v>
      </c>
      <c r="O1005" s="71">
        <f>SUMIFS(SIP[[#Headers],[Unit]]:SIP[[#This Row],[Unit]],SIP[[#Headers],[Investor ID]]:SIP[[#This Row],[Investor ID]],SIP[[#This Row],[Investor ID]])</f>
        <v>13460</v>
      </c>
      <c r="P1005" s="153">
        <v>3940</v>
      </c>
      <c r="Q1005" s="74">
        <f>SIP[[#This Row],[Amount]]-SIP[[#This Row],[Unit Capital]]</f>
        <v>1060</v>
      </c>
      <c r="R10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11.144130757800893</v>
      </c>
      <c r="S1005" s="68">
        <f t="shared" si="48"/>
        <v>14.224</v>
      </c>
      <c r="T10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5" s="74" cm="1">
        <f t="array" ref="U1005">IF(SIP[[#This Row],[B/S]]="S",ABS(SIP[[#This Row],[Unit]])*(INDEX(SIP[NAV at Cost (Average)],MATCH(CONCATENATE((SIP[[#This Row],[Frequency]]-1),SIP[[#This Row],[Investor ID]]),SIP[Unique Code],0),0)),0)</f>
        <v>0</v>
      </c>
      <c r="V1005" s="74">
        <f>IF(SIP[[#This Row],[BO TRANSFER]]="YES",SIP[[#This Row],[Unit]],)</f>
        <v>0</v>
      </c>
      <c r="W1005" s="74">
        <f>SUMIFS(SIP[[#Headers],[BO UNIT TRANSFER]]:SIP[[#This Row],[BO UNIT TRANSFER]],SIP[[#Headers],[Investor ID]]:SIP[[#This Row],[Investor ID]],SIP[[#This Row],[Investor ID]])</f>
        <v>0</v>
      </c>
    </row>
    <row r="1006" spans="1:23" ht="15" customHeight="1">
      <c r="A1006" s="101">
        <v>2025</v>
      </c>
      <c r="B1006" s="101">
        <v>2</v>
      </c>
      <c r="C1006" s="101">
        <v>26</v>
      </c>
      <c r="D1006" s="65">
        <f>DATE(SIP[[#This Row],[Year]],SIP[[#This Row],[Month]],SIP[[#This Row],[Day]])</f>
        <v>45714</v>
      </c>
      <c r="E1006" s="66" t="str" cm="1">
        <f t="array" ref="E1006">INDEX(INVESTORS_LIST[INVESTOR NAME],MATCH(SIP[[#This Row],[Investor ID]],INVESTORS_LIST[INVESTOR CODE],0),)</f>
        <v>MD. WALI ULLAH</v>
      </c>
      <c r="F1006" s="46" t="s">
        <v>443</v>
      </c>
      <c r="G1006" s="46">
        <f>COUNTIF(SIP[[#Headers],[Investor ID]]:SIP[[#This Row],[Investor ID]],SIP[[#This Row],[Investor ID]])</f>
        <v>22</v>
      </c>
      <c r="H1006" s="46" t="str">
        <f>CONCATENATE(SIP[[#This Row],[Frequency]],SIP[[#This Row],[Investor ID]])</f>
        <v>22A00197</v>
      </c>
      <c r="I1006" s="46" t="str">
        <f>IF(SIP[[#This Row],[B/S]]="B","BUY",(IF(SIP[[#This Row],[B/S]]="S","SELL"," ")))</f>
        <v>BUY</v>
      </c>
      <c r="J1006" s="150" t="s">
        <v>1229</v>
      </c>
      <c r="K1006" s="152">
        <v>15000</v>
      </c>
      <c r="L1006" s="122"/>
      <c r="M1006" s="123">
        <f>SIP[[#This Row],[Amount]]/SIP[[#This Row],[Unit]]</f>
        <v>12.679628064243449</v>
      </c>
      <c r="N1006" s="71">
        <f>SIP[[#This Row],[Unit Capital]]/10</f>
        <v>1183</v>
      </c>
      <c r="O1006" s="71">
        <f>SUMIFS(SIP[[#Headers],[Unit]]:SIP[[#This Row],[Unit]],SIP[[#Headers],[Investor ID]]:SIP[[#This Row],[Investor ID]],SIP[[#This Row],[Investor ID]])</f>
        <v>29978</v>
      </c>
      <c r="P1006" s="153">
        <v>11830</v>
      </c>
      <c r="Q1006" s="74">
        <f>SIP[[#This Row],[Amount]]-SIP[[#This Row],[Unit Capital]]</f>
        <v>3170</v>
      </c>
      <c r="R10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11.008072586563474</v>
      </c>
      <c r="S1006" s="68">
        <f t="shared" si="48"/>
        <v>14.224</v>
      </c>
      <c r="T10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6" s="74" cm="1">
        <f t="array" ref="U1006">IF(SIP[[#This Row],[B/S]]="S",ABS(SIP[[#This Row],[Unit]])*(INDEX(SIP[NAV at Cost (Average)],MATCH(CONCATENATE((SIP[[#This Row],[Frequency]]-1),SIP[[#This Row],[Investor ID]]),SIP[Unique Code],0),0)),0)</f>
        <v>0</v>
      </c>
      <c r="V1006" s="74">
        <f>IF(SIP[[#This Row],[BO TRANSFER]]="YES",SIP[[#This Row],[Unit]],)</f>
        <v>0</v>
      </c>
      <c r="W1006" s="74">
        <f>SUMIFS(SIP[[#Headers],[BO UNIT TRANSFER]]:SIP[[#This Row],[BO UNIT TRANSFER]],SIP[[#Headers],[Investor ID]]:SIP[[#This Row],[Investor ID]],SIP[[#This Row],[Investor ID]])</f>
        <v>0</v>
      </c>
    </row>
    <row r="1007" spans="1:23" ht="15" customHeight="1">
      <c r="A1007" s="101">
        <v>2025</v>
      </c>
      <c r="B1007" s="101">
        <v>2</v>
      </c>
      <c r="C1007" s="101">
        <v>26</v>
      </c>
      <c r="D1007" s="65">
        <f>DATE(SIP[[#This Row],[Year]],SIP[[#This Row],[Month]],SIP[[#This Row],[Day]])</f>
        <v>45714</v>
      </c>
      <c r="E1007" s="66" t="str" cm="1">
        <f t="array" ref="E1007">INDEX(INVESTORS_LIST[INVESTOR NAME],MATCH(SIP[[#This Row],[Investor ID]],INVESTORS_LIST[INVESTOR CODE],0),)</f>
        <v>SIKDER FAZLE RABBI</v>
      </c>
      <c r="F1007" s="46" t="s">
        <v>1032</v>
      </c>
      <c r="G1007" s="46">
        <f>COUNTIF(SIP[[#Headers],[Investor ID]]:SIP[[#This Row],[Investor ID]],SIP[[#This Row],[Investor ID]])</f>
        <v>21</v>
      </c>
      <c r="H1007" s="46" t="str">
        <f>CONCATENATE(SIP[[#This Row],[Frequency]],SIP[[#This Row],[Investor ID]])</f>
        <v>21A00493</v>
      </c>
      <c r="I1007" s="46" t="str">
        <f>IF(SIP[[#This Row],[B/S]]="B","BUY",(IF(SIP[[#This Row],[B/S]]="S","SELL"," ")))</f>
        <v>BUY</v>
      </c>
      <c r="J1007" s="150" t="s">
        <v>1229</v>
      </c>
      <c r="K1007" s="152">
        <v>5000</v>
      </c>
      <c r="L1007" s="122"/>
      <c r="M1007" s="123">
        <f>SIP[[#This Row],[Amount]]/SIP[[#This Row],[Unit]]</f>
        <v>12.690355329949238</v>
      </c>
      <c r="N1007" s="71">
        <f>SIP[[#This Row],[Unit Capital]]/10</f>
        <v>394</v>
      </c>
      <c r="O1007" s="71">
        <f>SUMIFS(SIP[[#Headers],[Unit]]:SIP[[#This Row],[Unit]],SIP[[#Headers],[Investor ID]]:SIP[[#This Row],[Investor ID]],SIP[[#This Row],[Investor ID]])</f>
        <v>9500</v>
      </c>
      <c r="P1007" s="153">
        <v>3940</v>
      </c>
      <c r="Q1007" s="74">
        <f>SIP[[#This Row],[Amount]]-SIP[[#This Row],[Unit Capital]]</f>
        <v>1060</v>
      </c>
      <c r="R10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11.052631578947372</v>
      </c>
      <c r="S1007" s="68">
        <f t="shared" si="48"/>
        <v>14.224</v>
      </c>
      <c r="T10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7" s="74" cm="1">
        <f t="array" ref="U1007">IF(SIP[[#This Row],[B/S]]="S",ABS(SIP[[#This Row],[Unit]])*(INDEX(SIP[NAV at Cost (Average)],MATCH(CONCATENATE((SIP[[#This Row],[Frequency]]-1),SIP[[#This Row],[Investor ID]]),SIP[Unique Code],0),0)),0)</f>
        <v>0</v>
      </c>
      <c r="V1007" s="74">
        <f>IF(SIP[[#This Row],[BO TRANSFER]]="YES",SIP[[#This Row],[Unit]],)</f>
        <v>0</v>
      </c>
      <c r="W1007" s="74">
        <f>SUMIFS(SIP[[#Headers],[BO UNIT TRANSFER]]:SIP[[#This Row],[BO UNIT TRANSFER]],SIP[[#Headers],[Investor ID]]:SIP[[#This Row],[Investor ID]],SIP[[#This Row],[Investor ID]])</f>
        <v>0</v>
      </c>
    </row>
    <row r="1008" spans="1:23" ht="15" customHeight="1">
      <c r="A1008" s="101">
        <v>2025</v>
      </c>
      <c r="B1008" s="101">
        <v>2</v>
      </c>
      <c r="C1008" s="101">
        <v>26</v>
      </c>
      <c r="D1008" s="65">
        <f>DATE(SIP[[#This Row],[Year]],SIP[[#This Row],[Month]],SIP[[#This Row],[Day]])</f>
        <v>45714</v>
      </c>
      <c r="E1008" s="66" t="str" cm="1">
        <f t="array" ref="E1008">INDEX(INVESTORS_LIST[INVESTOR NAME],MATCH(SIP[[#This Row],[Investor ID]],INVESTORS_LIST[INVESTOR CODE],0),)</f>
        <v>SAJJAD CHOWDHURY</v>
      </c>
      <c r="F1008" s="46" t="s">
        <v>461</v>
      </c>
      <c r="G1008" s="46">
        <f>COUNTIF(SIP[[#Headers],[Investor ID]]:SIP[[#This Row],[Investor ID]],SIP[[#This Row],[Investor ID]])</f>
        <v>22</v>
      </c>
      <c r="H1008" s="46" t="str">
        <f>CONCATENATE(SIP[[#This Row],[Frequency]],SIP[[#This Row],[Investor ID]])</f>
        <v>22A00206</v>
      </c>
      <c r="I1008" s="46" t="str">
        <f>IF(SIP[[#This Row],[B/S]]="B","BUY",(IF(SIP[[#This Row],[B/S]]="S","SELL"," ")))</f>
        <v>BUY</v>
      </c>
      <c r="J1008" s="150" t="s">
        <v>1229</v>
      </c>
      <c r="K1008" s="152">
        <v>7500</v>
      </c>
      <c r="L1008" s="122"/>
      <c r="M1008" s="123">
        <f>SIP[[#This Row],[Amount]]/SIP[[#This Row],[Unit]]</f>
        <v>12.690355329949238</v>
      </c>
      <c r="N1008" s="71">
        <f>SIP[[#This Row],[Unit Capital]]/10</f>
        <v>591</v>
      </c>
      <c r="O1008" s="71">
        <f>SUMIFS(SIP[[#Headers],[Unit]]:SIP[[#This Row],[Unit]],SIP[[#Headers],[Investor ID]]:SIP[[#This Row],[Investor ID]],SIP[[#This Row],[Investor ID]])</f>
        <v>14987</v>
      </c>
      <c r="P1008" s="153">
        <v>5910</v>
      </c>
      <c r="Q1008" s="74">
        <f>SIP[[#This Row],[Amount]]-SIP[[#This Row],[Unit Capital]]</f>
        <v>1590</v>
      </c>
      <c r="R10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11.00954160272236</v>
      </c>
      <c r="S1008" s="68">
        <f t="shared" si="48"/>
        <v>14.224</v>
      </c>
      <c r="T10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8" s="74" cm="1">
        <f t="array" ref="U1008">IF(SIP[[#This Row],[B/S]]="S",ABS(SIP[[#This Row],[Unit]])*(INDEX(SIP[NAV at Cost (Average)],MATCH(CONCATENATE((SIP[[#This Row],[Frequency]]-1),SIP[[#This Row],[Investor ID]]),SIP[Unique Code],0),0)),0)</f>
        <v>0</v>
      </c>
      <c r="V1008" s="74">
        <f>IF(SIP[[#This Row],[BO TRANSFER]]="YES",SIP[[#This Row],[Unit]],)</f>
        <v>0</v>
      </c>
      <c r="W1008" s="74">
        <f>SUMIFS(SIP[[#Headers],[BO UNIT TRANSFER]]:SIP[[#This Row],[BO UNIT TRANSFER]],SIP[[#Headers],[Investor ID]]:SIP[[#This Row],[Investor ID]],SIP[[#This Row],[Investor ID]])</f>
        <v>0</v>
      </c>
    </row>
    <row r="1009" spans="1:23" ht="15" customHeight="1">
      <c r="A1009" s="101">
        <v>2025</v>
      </c>
      <c r="B1009" s="101">
        <v>2</v>
      </c>
      <c r="C1009" s="101">
        <v>26</v>
      </c>
      <c r="D1009" s="65">
        <f>DATE(SIP[[#This Row],[Year]],SIP[[#This Row],[Month]],SIP[[#This Row],[Day]])</f>
        <v>45714</v>
      </c>
      <c r="E1009" s="66" t="str" cm="1">
        <f t="array" ref="E1009">INDEX(INVESTORS_LIST[INVESTOR NAME],MATCH(SIP[[#This Row],[Investor ID]],INVESTORS_LIST[INVESTOR CODE],0),)</f>
        <v>EKUSH WEALTH MANAGEMENT LIMITED EMPLOYEES CONTRIBUTORY PROVIDENT FUND</v>
      </c>
      <c r="F1009" s="46" t="s">
        <v>831</v>
      </c>
      <c r="G1009" s="46">
        <f>COUNTIF(SIP[[#Headers],[Investor ID]]:SIP[[#This Row],[Investor ID]],SIP[[#This Row],[Investor ID]])</f>
        <v>16</v>
      </c>
      <c r="H1009" s="46" t="str">
        <f>CONCATENATE(SIP[[#This Row],[Frequency]],SIP[[#This Row],[Investor ID]])</f>
        <v>16A00392</v>
      </c>
      <c r="I1009" s="46" t="str">
        <f>IF(SIP[[#This Row],[B/S]]="B","BUY",(IF(SIP[[#This Row],[B/S]]="S","SELL"," ")))</f>
        <v>BUY</v>
      </c>
      <c r="J1009" s="150" t="s">
        <v>1229</v>
      </c>
      <c r="K1009" s="152">
        <v>22040</v>
      </c>
      <c r="L1009" s="122"/>
      <c r="M1009" s="123">
        <f>SIP[[#This Row],[Amount]]/SIP[[#This Row],[Unit]]</f>
        <v>12.681242807825086</v>
      </c>
      <c r="N1009" s="71">
        <f>SIP[[#This Row],[Unit Capital]]/10</f>
        <v>1738</v>
      </c>
      <c r="O1009" s="71">
        <f>SUMIFS(SIP[[#Headers],[Unit]]:SIP[[#This Row],[Unit]],SIP[[#Headers],[Investor ID]]:SIP[[#This Row],[Investor ID]],SIP[[#This Row],[Investor ID]])</f>
        <v>24234</v>
      </c>
      <c r="P1009" s="153">
        <v>17380</v>
      </c>
      <c r="Q1009" s="74">
        <f>SIP[[#This Row],[Amount]]-SIP[[#This Row],[Unit Capital]]</f>
        <v>4660</v>
      </c>
      <c r="R10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10.952628865169981</v>
      </c>
      <c r="S1009" s="68">
        <f t="shared" si="48"/>
        <v>14.224</v>
      </c>
      <c r="T10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9" s="74" cm="1">
        <f t="array" ref="U1009">IF(SIP[[#This Row],[B/S]]="S",ABS(SIP[[#This Row],[Unit]])*(INDEX(SIP[NAV at Cost (Average)],MATCH(CONCATENATE((SIP[[#This Row],[Frequency]]-1),SIP[[#This Row],[Investor ID]]),SIP[Unique Code],0),0)),0)</f>
        <v>0</v>
      </c>
      <c r="V1009" s="74">
        <f>IF(SIP[[#This Row],[BO TRANSFER]]="YES",SIP[[#This Row],[Unit]],)</f>
        <v>0</v>
      </c>
      <c r="W1009" s="74">
        <f>SUMIFS(SIP[[#Headers],[BO UNIT TRANSFER]]:SIP[[#This Row],[BO UNIT TRANSFER]],SIP[[#Headers],[Investor ID]]:SIP[[#This Row],[Investor ID]],SIP[[#This Row],[Investor ID]])</f>
        <v>0</v>
      </c>
    </row>
    <row r="1010" spans="1:23" ht="15" customHeight="1">
      <c r="A1010" s="101">
        <v>2025</v>
      </c>
      <c r="B1010" s="101">
        <v>2</v>
      </c>
      <c r="C1010" s="101">
        <v>26</v>
      </c>
      <c r="D1010" s="65">
        <f>DATE(SIP[[#This Row],[Year]],SIP[[#This Row],[Month]],SIP[[#This Row],[Day]])</f>
        <v>45714</v>
      </c>
      <c r="E1010" s="66" t="str" cm="1">
        <f t="array" ref="E1010">INDEX(INVESTORS_LIST[INVESTOR NAME],MATCH(SIP[[#This Row],[Investor ID]],INVESTORS_LIST[INVESTOR CODE],0),)</f>
        <v>S.M. SAIFUL ISLAM</v>
      </c>
      <c r="F1010" s="46" t="s">
        <v>1002</v>
      </c>
      <c r="G1010" s="46">
        <f>COUNTIF(SIP[[#Headers],[Investor ID]]:SIP[[#This Row],[Investor ID]],SIP[[#This Row],[Investor ID]])</f>
        <v>22</v>
      </c>
      <c r="H1010" s="46" t="str">
        <f>CONCATENATE(SIP[[#This Row],[Frequency]],SIP[[#This Row],[Investor ID]])</f>
        <v>22A00478</v>
      </c>
      <c r="I1010" s="46" t="str">
        <f>IF(SIP[[#This Row],[B/S]]="B","BUY",(IF(SIP[[#This Row],[B/S]]="S","SELL"," ")))</f>
        <v>BUY</v>
      </c>
      <c r="J1010" s="150" t="s">
        <v>1229</v>
      </c>
      <c r="K1010" s="152">
        <v>10000</v>
      </c>
      <c r="L1010" s="122"/>
      <c r="M1010" s="123">
        <f>SIP[[#This Row],[Amount]]/SIP[[#This Row],[Unit]]</f>
        <v>12.67427122940431</v>
      </c>
      <c r="N1010" s="71">
        <f>SIP[[#This Row],[Unit Capital]]/10</f>
        <v>789</v>
      </c>
      <c r="O1010" s="71">
        <f>SUMIFS(SIP[[#Headers],[Unit]]:SIP[[#This Row],[Unit]],SIP[[#Headers],[Investor ID]]:SIP[[#This Row],[Investor ID]],SIP[[#This Row],[Investor ID]])</f>
        <v>19987</v>
      </c>
      <c r="P1010" s="153">
        <v>7890</v>
      </c>
      <c r="Q1010" s="74">
        <f>SIP[[#This Row],[Amount]]-SIP[[#This Row],[Unit Capital]]</f>
        <v>2110</v>
      </c>
      <c r="R10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11.007154650522841</v>
      </c>
      <c r="S1010" s="68">
        <f t="shared" si="48"/>
        <v>14.224</v>
      </c>
      <c r="T10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0" s="74" cm="1">
        <f t="array" ref="U1010">IF(SIP[[#This Row],[B/S]]="S",ABS(SIP[[#This Row],[Unit]])*(INDEX(SIP[NAV at Cost (Average)],MATCH(CONCATENATE((SIP[[#This Row],[Frequency]]-1),SIP[[#This Row],[Investor ID]]),SIP[Unique Code],0),0)),0)</f>
        <v>0</v>
      </c>
      <c r="V1010" s="74">
        <f>IF(SIP[[#This Row],[BO TRANSFER]]="YES",SIP[[#This Row],[Unit]],)</f>
        <v>0</v>
      </c>
      <c r="W1010" s="74">
        <f>SUMIFS(SIP[[#Headers],[BO UNIT TRANSFER]]:SIP[[#This Row],[BO UNIT TRANSFER]],SIP[[#Headers],[Investor ID]]:SIP[[#This Row],[Investor ID]],SIP[[#This Row],[Investor ID]])</f>
        <v>0</v>
      </c>
    </row>
    <row r="1011" spans="1:23" ht="15" customHeight="1">
      <c r="A1011" s="101">
        <v>2025</v>
      </c>
      <c r="B1011" s="101">
        <v>2</v>
      </c>
      <c r="C1011" s="101">
        <v>26</v>
      </c>
      <c r="D1011" s="65">
        <f>DATE(SIP[[#This Row],[Year]],SIP[[#This Row],[Month]],SIP[[#This Row],[Day]])</f>
        <v>45714</v>
      </c>
      <c r="E1011" s="66" t="str" cm="1">
        <f t="array" ref="E1011">INDEX(INVESTORS_LIST[INVESTOR NAME],MATCH(SIP[[#This Row],[Investor ID]],INVESTORS_LIST[INVESTOR CODE],0),)</f>
        <v>MOHAMMED SHARIFUL ISLAM</v>
      </c>
      <c r="F1011" s="46" t="s">
        <v>1028</v>
      </c>
      <c r="G1011" s="46">
        <f>COUNTIF(SIP[[#Headers],[Investor ID]]:SIP[[#This Row],[Investor ID]],SIP[[#This Row],[Investor ID]])</f>
        <v>21</v>
      </c>
      <c r="H1011" s="46" t="str">
        <f>CONCATENATE(SIP[[#This Row],[Frequency]],SIP[[#This Row],[Investor ID]])</f>
        <v>21A00491</v>
      </c>
      <c r="I1011" s="46" t="str">
        <f>IF(SIP[[#This Row],[B/S]]="B","BUY",(IF(SIP[[#This Row],[B/S]]="S","SELL"," ")))</f>
        <v>BUY</v>
      </c>
      <c r="J1011" s="150" t="s">
        <v>1229</v>
      </c>
      <c r="K1011" s="152">
        <v>5000</v>
      </c>
      <c r="L1011" s="122"/>
      <c r="M1011" s="123">
        <f>SIP[[#This Row],[Amount]]/SIP[[#This Row],[Unit]]</f>
        <v>12.690355329949238</v>
      </c>
      <c r="N1011" s="71">
        <f>SIP[[#This Row],[Unit Capital]]/10</f>
        <v>394</v>
      </c>
      <c r="O1011" s="71">
        <f>SUMIFS(SIP[[#Headers],[Unit]]:SIP[[#This Row],[Unit]],SIP[[#Headers],[Investor ID]]:SIP[[#This Row],[Investor ID]],SIP[[#This Row],[Investor ID]])</f>
        <v>9500</v>
      </c>
      <c r="P1011" s="153">
        <v>3940</v>
      </c>
      <c r="Q1011" s="74">
        <f>SIP[[#This Row],[Amount]]-SIP[[#This Row],[Unit Capital]]</f>
        <v>1060</v>
      </c>
      <c r="R10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11.052631578947372</v>
      </c>
      <c r="S1011" s="68">
        <f t="shared" si="48"/>
        <v>14.224</v>
      </c>
      <c r="T10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1" s="74" cm="1">
        <f t="array" ref="U1011">IF(SIP[[#This Row],[B/S]]="S",ABS(SIP[[#This Row],[Unit]])*(INDEX(SIP[NAV at Cost (Average)],MATCH(CONCATENATE((SIP[[#This Row],[Frequency]]-1),SIP[[#This Row],[Investor ID]]),SIP[Unique Code],0),0)),0)</f>
        <v>0</v>
      </c>
      <c r="V1011" s="74">
        <f>IF(SIP[[#This Row],[BO TRANSFER]]="YES",SIP[[#This Row],[Unit]],)</f>
        <v>0</v>
      </c>
      <c r="W1011" s="74">
        <f>SUMIFS(SIP[[#Headers],[BO UNIT TRANSFER]]:SIP[[#This Row],[BO UNIT TRANSFER]],SIP[[#Headers],[Investor ID]]:SIP[[#This Row],[Investor ID]],SIP[[#This Row],[Investor ID]])</f>
        <v>0</v>
      </c>
    </row>
    <row r="1012" spans="1:23" ht="15" customHeight="1">
      <c r="A1012" s="101">
        <v>2025</v>
      </c>
      <c r="B1012" s="101">
        <v>2</v>
      </c>
      <c r="C1012" s="101">
        <v>26</v>
      </c>
      <c r="D1012" s="65">
        <f>DATE(SIP[[#This Row],[Year]],SIP[[#This Row],[Month]],SIP[[#This Row],[Day]])</f>
        <v>45714</v>
      </c>
      <c r="E1012" s="66" t="str" cm="1">
        <f t="array" ref="E1012">INDEX(INVESTORS_LIST[INVESTOR NAME],MATCH(SIP[[#This Row],[Investor ID]],INVESTORS_LIST[INVESTOR CODE],0),)</f>
        <v>ABU MUSA MIRZA KAMRUZZAMAN SHAHEE</v>
      </c>
      <c r="F1012" s="46" t="s">
        <v>1012</v>
      </c>
      <c r="G1012" s="46">
        <f>COUNTIF(SIP[[#Headers],[Investor ID]]:SIP[[#This Row],[Investor ID]],SIP[[#This Row],[Investor ID]])</f>
        <v>21</v>
      </c>
      <c r="H1012" s="46" t="str">
        <f>CONCATENATE(SIP[[#This Row],[Frequency]],SIP[[#This Row],[Investor ID]])</f>
        <v>21A00483</v>
      </c>
      <c r="I1012" s="46" t="str">
        <f>IF(SIP[[#This Row],[B/S]]="B","BUY",(IF(SIP[[#This Row],[B/S]]="S","SELL"," ")))</f>
        <v>BUY</v>
      </c>
      <c r="J1012" s="150" t="s">
        <v>1229</v>
      </c>
      <c r="K1012" s="152">
        <v>5000</v>
      </c>
      <c r="L1012" s="122"/>
      <c r="M1012" s="123">
        <f>SIP[[#This Row],[Amount]]/SIP[[#This Row],[Unit]]</f>
        <v>12.690355329949238</v>
      </c>
      <c r="N1012" s="71">
        <f>SIP[[#This Row],[Unit Capital]]/10</f>
        <v>394</v>
      </c>
      <c r="O1012" s="71">
        <f>SUMIFS(SIP[[#Headers],[Unit]]:SIP[[#This Row],[Unit]],SIP[[#Headers],[Investor ID]]:SIP[[#This Row],[Investor ID]],SIP[[#This Row],[Investor ID]])</f>
        <v>9500</v>
      </c>
      <c r="P1012" s="153">
        <v>3940</v>
      </c>
      <c r="Q1012" s="74">
        <f>SIP[[#This Row],[Amount]]-SIP[[#This Row],[Unit Capital]]</f>
        <v>1060</v>
      </c>
      <c r="R10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11.052631578947372</v>
      </c>
      <c r="S1012" s="68">
        <f t="shared" si="48"/>
        <v>14.224</v>
      </c>
      <c r="T10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2" s="74" cm="1">
        <f t="array" ref="U1012">IF(SIP[[#This Row],[B/S]]="S",ABS(SIP[[#This Row],[Unit]])*(INDEX(SIP[NAV at Cost (Average)],MATCH(CONCATENATE((SIP[[#This Row],[Frequency]]-1),SIP[[#This Row],[Investor ID]]),SIP[Unique Code],0),0)),0)</f>
        <v>0</v>
      </c>
      <c r="V1012" s="74">
        <f>IF(SIP[[#This Row],[BO TRANSFER]]="YES",SIP[[#This Row],[Unit]],)</f>
        <v>0</v>
      </c>
      <c r="W1012" s="74">
        <f>SUMIFS(SIP[[#Headers],[BO UNIT TRANSFER]]:SIP[[#This Row],[BO UNIT TRANSFER]],SIP[[#Headers],[Investor ID]]:SIP[[#This Row],[Investor ID]],SIP[[#This Row],[Investor ID]])</f>
        <v>0</v>
      </c>
    </row>
    <row r="1013" spans="1:23" ht="15" customHeight="1">
      <c r="A1013" s="101">
        <v>2025</v>
      </c>
      <c r="B1013" s="101">
        <v>2</v>
      </c>
      <c r="C1013" s="101">
        <v>26</v>
      </c>
      <c r="D1013" s="65">
        <f>DATE(SIP[[#This Row],[Year]],SIP[[#This Row],[Month]],SIP[[#This Row],[Day]])</f>
        <v>45714</v>
      </c>
      <c r="E1013" s="66" t="str" cm="1">
        <f t="array" ref="E1013">INDEX(INVESTORS_LIST[INVESTOR NAME],MATCH(SIP[[#This Row],[Investor ID]],INVESTORS_LIST[INVESTOR CODE],0),)</f>
        <v>ASHIK IQBAL CHOWDHURY</v>
      </c>
      <c r="F1013" s="46" t="s">
        <v>1016</v>
      </c>
      <c r="G1013" s="46">
        <f>COUNTIF(SIP[[#Headers],[Investor ID]]:SIP[[#This Row],[Investor ID]],SIP[[#This Row],[Investor ID]])</f>
        <v>17</v>
      </c>
      <c r="H1013" s="46" t="str">
        <f>CONCATENATE(SIP[[#This Row],[Frequency]],SIP[[#This Row],[Investor ID]])</f>
        <v>17A00485</v>
      </c>
      <c r="I1013" s="46" t="str">
        <f>IF(SIP[[#This Row],[B/S]]="B","BUY",(IF(SIP[[#This Row],[B/S]]="S","SELL"," ")))</f>
        <v>BUY</v>
      </c>
      <c r="J1013" s="150" t="s">
        <v>1229</v>
      </c>
      <c r="K1013" s="152">
        <v>5000</v>
      </c>
      <c r="L1013" s="122"/>
      <c r="M1013" s="123">
        <f>SIP[[#This Row],[Amount]]/SIP[[#This Row],[Unit]]</f>
        <v>12.690355329949238</v>
      </c>
      <c r="N1013" s="71">
        <f>SIP[[#This Row],[Unit Capital]]/10</f>
        <v>394</v>
      </c>
      <c r="O1013" s="71">
        <f>SUMIFS(SIP[[#Headers],[Unit]]:SIP[[#This Row],[Unit]],SIP[[#Headers],[Investor ID]]:SIP[[#This Row],[Investor ID]],SIP[[#This Row],[Investor ID]])</f>
        <v>6901</v>
      </c>
      <c r="P1013" s="153">
        <v>3940</v>
      </c>
      <c r="Q1013" s="74">
        <f>SIP[[#This Row],[Amount]]-SIP[[#This Row],[Unit Capital]]</f>
        <v>1060</v>
      </c>
      <c r="R10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10.927679680079152</v>
      </c>
      <c r="S1013" s="68">
        <f t="shared" si="48"/>
        <v>14.224</v>
      </c>
      <c r="T10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3" s="74" cm="1">
        <f t="array" ref="U1013">IF(SIP[[#This Row],[B/S]]="S",ABS(SIP[[#This Row],[Unit]])*(INDEX(SIP[NAV at Cost (Average)],MATCH(CONCATENATE((SIP[[#This Row],[Frequency]]-1),SIP[[#This Row],[Investor ID]]),SIP[Unique Code],0),0)),0)</f>
        <v>0</v>
      </c>
      <c r="V1013" s="74">
        <f>IF(SIP[[#This Row],[BO TRANSFER]]="YES",SIP[[#This Row],[Unit]],)</f>
        <v>0</v>
      </c>
      <c r="W1013" s="74">
        <f>SUMIFS(SIP[[#Headers],[BO UNIT TRANSFER]]:SIP[[#This Row],[BO UNIT TRANSFER]],SIP[[#Headers],[Investor ID]]:SIP[[#This Row],[Investor ID]],SIP[[#This Row],[Investor ID]])</f>
        <v>0</v>
      </c>
    </row>
    <row r="1014" spans="1:23" ht="15" customHeight="1">
      <c r="A1014" s="101">
        <v>2025</v>
      </c>
      <c r="B1014" s="101">
        <v>2</v>
      </c>
      <c r="C1014" s="101">
        <v>26</v>
      </c>
      <c r="D1014" s="65">
        <f>DATE(SIP[[#This Row],[Year]],SIP[[#This Row],[Month]],SIP[[#This Row],[Day]])</f>
        <v>45714</v>
      </c>
      <c r="E1014" s="66" t="str" cm="1">
        <f t="array" ref="E1014">INDEX(INVESTORS_LIST[INVESTOR NAME],MATCH(SIP[[#This Row],[Investor ID]],INVESTORS_LIST[INVESTOR CODE],0),)</f>
        <v>SUMAN SAHA</v>
      </c>
      <c r="F1014" s="46" t="s">
        <v>1022</v>
      </c>
      <c r="G1014" s="46">
        <f>COUNTIF(SIP[[#Headers],[Investor ID]]:SIP[[#This Row],[Investor ID]],SIP[[#This Row],[Investor ID]])</f>
        <v>21</v>
      </c>
      <c r="H1014" s="46" t="str">
        <f>CONCATENATE(SIP[[#This Row],[Frequency]],SIP[[#This Row],[Investor ID]])</f>
        <v>21A00488</v>
      </c>
      <c r="I1014" s="46" t="str">
        <f>IF(SIP[[#This Row],[B/S]]="B","BUY",(IF(SIP[[#This Row],[B/S]]="S","SELL"," ")))</f>
        <v>BUY</v>
      </c>
      <c r="J1014" s="150" t="s">
        <v>1229</v>
      </c>
      <c r="K1014" s="152">
        <v>5000</v>
      </c>
      <c r="L1014" s="122"/>
      <c r="M1014" s="123">
        <f>SIP[[#This Row],[Amount]]/SIP[[#This Row],[Unit]]</f>
        <v>12.690355329949238</v>
      </c>
      <c r="N1014" s="71">
        <f>SIP[[#This Row],[Unit Capital]]/10</f>
        <v>394</v>
      </c>
      <c r="O1014" s="71">
        <f>SUMIFS(SIP[[#Headers],[Unit]]:SIP[[#This Row],[Unit]],SIP[[#Headers],[Investor ID]]:SIP[[#This Row],[Investor ID]],SIP[[#This Row],[Investor ID]])</f>
        <v>9500</v>
      </c>
      <c r="P1014" s="153">
        <v>3940</v>
      </c>
      <c r="Q1014" s="74">
        <f>SIP[[#This Row],[Amount]]-SIP[[#This Row],[Unit Capital]]</f>
        <v>1060</v>
      </c>
      <c r="R10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11.052631578947372</v>
      </c>
      <c r="S1014" s="68">
        <f t="shared" si="48"/>
        <v>14.224</v>
      </c>
      <c r="T10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4" s="74" cm="1">
        <f t="array" ref="U1014">IF(SIP[[#This Row],[B/S]]="S",ABS(SIP[[#This Row],[Unit]])*(INDEX(SIP[NAV at Cost (Average)],MATCH(CONCATENATE((SIP[[#This Row],[Frequency]]-1),SIP[[#This Row],[Investor ID]]),SIP[Unique Code],0),0)),0)</f>
        <v>0</v>
      </c>
      <c r="V1014" s="74">
        <f>IF(SIP[[#This Row],[BO TRANSFER]]="YES",SIP[[#This Row],[Unit]],)</f>
        <v>0</v>
      </c>
      <c r="W1014" s="74">
        <f>SUMIFS(SIP[[#Headers],[BO UNIT TRANSFER]]:SIP[[#This Row],[BO UNIT TRANSFER]],SIP[[#Headers],[Investor ID]]:SIP[[#This Row],[Investor ID]],SIP[[#This Row],[Investor ID]])</f>
        <v>0</v>
      </c>
    </row>
    <row r="1015" spans="1:23" ht="15" customHeight="1">
      <c r="A1015" s="101">
        <v>2025</v>
      </c>
      <c r="B1015" s="101">
        <v>2</v>
      </c>
      <c r="C1015" s="101">
        <v>26</v>
      </c>
      <c r="D1015" s="65">
        <f>DATE(SIP[[#This Row],[Year]],SIP[[#This Row],[Month]],SIP[[#This Row],[Day]])</f>
        <v>45714</v>
      </c>
      <c r="E1015" s="66" t="str" cm="1">
        <f t="array" ref="E1015">INDEX(INVESTORS_LIST[INVESTOR NAME],MATCH(SIP[[#This Row],[Investor ID]],INVESTORS_LIST[INVESTOR CODE],0),)</f>
        <v>JUBAIDA FARHANA HAQUE</v>
      </c>
      <c r="F1015" s="46" t="s">
        <v>1065</v>
      </c>
      <c r="G1015" s="46">
        <f>COUNTIF(SIP[[#Headers],[Investor ID]]:SIP[[#This Row],[Investor ID]],SIP[[#This Row],[Investor ID]])</f>
        <v>19</v>
      </c>
      <c r="H1015" s="46" t="str">
        <f>CONCATENATE(SIP[[#This Row],[Frequency]],SIP[[#This Row],[Investor ID]])</f>
        <v>19A00510</v>
      </c>
      <c r="I1015" s="46" t="str">
        <f>IF(SIP[[#This Row],[B/S]]="B","BUY",(IF(SIP[[#This Row],[B/S]]="S","SELL"," ")))</f>
        <v>BUY</v>
      </c>
      <c r="J1015" s="150" t="s">
        <v>1229</v>
      </c>
      <c r="K1015" s="152">
        <v>5000</v>
      </c>
      <c r="L1015" s="122"/>
      <c r="M1015" s="123">
        <f>SIP[[#This Row],[Amount]]/SIP[[#This Row],[Unit]]</f>
        <v>12.690355329949238</v>
      </c>
      <c r="N1015" s="71">
        <f>SIP[[#This Row],[Unit Capital]]/10</f>
        <v>394</v>
      </c>
      <c r="O1015" s="71">
        <f>SUMIFS(SIP[[#Headers],[Unit]]:SIP[[#This Row],[Unit]],SIP[[#Headers],[Investor ID]]:SIP[[#This Row],[Investor ID]],SIP[[#This Row],[Investor ID]])</f>
        <v>7576</v>
      </c>
      <c r="P1015" s="153">
        <v>3940</v>
      </c>
      <c r="Q1015" s="74">
        <f>SIP[[#This Row],[Amount]]-SIP[[#This Row],[Unit Capital]]</f>
        <v>1060</v>
      </c>
      <c r="R10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11.221722923793886</v>
      </c>
      <c r="S1015" s="68">
        <f t="shared" si="48"/>
        <v>14.224</v>
      </c>
      <c r="T10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5" s="74" cm="1">
        <f t="array" ref="U1015">IF(SIP[[#This Row],[B/S]]="S",ABS(SIP[[#This Row],[Unit]])*(INDEX(SIP[NAV at Cost (Average)],MATCH(CONCATENATE((SIP[[#This Row],[Frequency]]-1),SIP[[#This Row],[Investor ID]]),SIP[Unique Code],0),0)),0)</f>
        <v>0</v>
      </c>
      <c r="V1015" s="74">
        <f>IF(SIP[[#This Row],[BO TRANSFER]]="YES",SIP[[#This Row],[Unit]],)</f>
        <v>0</v>
      </c>
      <c r="W1015" s="74">
        <f>SUMIFS(SIP[[#Headers],[BO UNIT TRANSFER]]:SIP[[#This Row],[BO UNIT TRANSFER]],SIP[[#Headers],[Investor ID]]:SIP[[#This Row],[Investor ID]],SIP[[#This Row],[Investor ID]])</f>
        <v>0</v>
      </c>
    </row>
    <row r="1016" spans="1:23" ht="15" customHeight="1">
      <c r="A1016" s="101">
        <v>2025</v>
      </c>
      <c r="B1016" s="101">
        <v>2</v>
      </c>
      <c r="C1016" s="101">
        <v>26</v>
      </c>
      <c r="D1016" s="65">
        <f>DATE(SIP[[#This Row],[Year]],SIP[[#This Row],[Month]],SIP[[#This Row],[Day]])</f>
        <v>45714</v>
      </c>
      <c r="E1016" s="66" t="str" cm="1">
        <f t="array" ref="E1016">INDEX(INVESTORS_LIST[INVESTOR NAME],MATCH(SIP[[#This Row],[Investor ID]],INVESTORS_LIST[INVESTOR CODE],0),)</f>
        <v>MAYA RANI SAHA</v>
      </c>
      <c r="F1016" s="46" t="s">
        <v>224</v>
      </c>
      <c r="G1016" s="46">
        <f>COUNTIF(SIP[[#Headers],[Investor ID]]:SIP[[#This Row],[Investor ID]],SIP[[#This Row],[Investor ID]])</f>
        <v>37</v>
      </c>
      <c r="H1016" s="46" t="str">
        <f>CONCATENATE(SIP[[#This Row],[Frequency]],SIP[[#This Row],[Investor ID]])</f>
        <v>37A00088</v>
      </c>
      <c r="I1016" s="46" t="str">
        <f>IF(SIP[[#This Row],[B/S]]="B","BUY",(IF(SIP[[#This Row],[B/S]]="S","SELL"," ")))</f>
        <v>BUY</v>
      </c>
      <c r="J1016" s="150" t="s">
        <v>1229</v>
      </c>
      <c r="K1016" s="152">
        <v>14000</v>
      </c>
      <c r="L1016" s="122"/>
      <c r="M1016" s="123">
        <f>SIP[[#This Row],[Amount]]/SIP[[#This Row],[Unit]]</f>
        <v>12.681159420289855</v>
      </c>
      <c r="N1016" s="71">
        <f>SIP[[#This Row],[Unit Capital]]/10</f>
        <v>1104</v>
      </c>
      <c r="O1016" s="71">
        <f>SUMIFS(SIP[[#Headers],[Unit]]:SIP[[#This Row],[Unit]],SIP[[#Headers],[Investor ID]]:SIP[[#This Row],[Investor ID]],SIP[[#This Row],[Investor ID]])</f>
        <v>49791</v>
      </c>
      <c r="P1016" s="153">
        <v>11040</v>
      </c>
      <c r="Q1016" s="74">
        <f>SIP[[#This Row],[Amount]]-SIP[[#This Row],[Unit Capital]]</f>
        <v>2960</v>
      </c>
      <c r="R10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11.247012512301422</v>
      </c>
      <c r="S1016" s="68">
        <f t="shared" si="48"/>
        <v>14.224</v>
      </c>
      <c r="T10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6" s="74" cm="1">
        <f t="array" ref="U1016">IF(SIP[[#This Row],[B/S]]="S",ABS(SIP[[#This Row],[Unit]])*(INDEX(SIP[NAV at Cost (Average)],MATCH(CONCATENATE((SIP[[#This Row],[Frequency]]-1),SIP[[#This Row],[Investor ID]]),SIP[Unique Code],0),0)),0)</f>
        <v>0</v>
      </c>
      <c r="V1016" s="74">
        <f>IF(SIP[[#This Row],[BO TRANSFER]]="YES",SIP[[#This Row],[Unit]],)</f>
        <v>0</v>
      </c>
      <c r="W1016" s="74">
        <f>SUMIFS(SIP[[#Headers],[BO UNIT TRANSFER]]:SIP[[#This Row],[BO UNIT TRANSFER]],SIP[[#Headers],[Investor ID]]:SIP[[#This Row],[Investor ID]],SIP[[#This Row],[Investor ID]])</f>
        <v>0</v>
      </c>
    </row>
    <row r="1017" spans="1:23" ht="15" customHeight="1">
      <c r="A1017" s="101">
        <v>2025</v>
      </c>
      <c r="B1017" s="101">
        <v>2</v>
      </c>
      <c r="C1017" s="101">
        <v>26</v>
      </c>
      <c r="D1017" s="65">
        <f>DATE(SIP[[#This Row],[Year]],SIP[[#This Row],[Month]],SIP[[#This Row],[Day]])</f>
        <v>45714</v>
      </c>
      <c r="E1017" s="66" t="str" cm="1">
        <f t="array" ref="E1017">INDEX(INVESTORS_LIST[INVESTOR NAME],MATCH(SIP[[#This Row],[Investor ID]],INVESTORS_LIST[INVESTOR CODE],0),)</f>
        <v>MUHAMMAD SHOHIDUZZAMAN</v>
      </c>
      <c r="F1017" s="46" t="s">
        <v>986</v>
      </c>
      <c r="G1017" s="46">
        <f>COUNTIF(SIP[[#Headers],[Investor ID]]:SIP[[#This Row],[Investor ID]],SIP[[#This Row],[Investor ID]])</f>
        <v>16</v>
      </c>
      <c r="H1017" s="46" t="str">
        <f>CONCATENATE(SIP[[#This Row],[Frequency]],SIP[[#This Row],[Investor ID]])</f>
        <v>16A00470</v>
      </c>
      <c r="I1017" s="46" t="str">
        <f>IF(SIP[[#This Row],[B/S]]="B","BUY",(IF(SIP[[#This Row],[B/S]]="S","SELL"," ")))</f>
        <v>BUY</v>
      </c>
      <c r="J1017" s="150" t="s">
        <v>1229</v>
      </c>
      <c r="K1017" s="152">
        <v>10000</v>
      </c>
      <c r="L1017" s="122" t="s">
        <v>1230</v>
      </c>
      <c r="M1017" s="123">
        <f>SIP[[#This Row],[Amount]]/SIP[[#This Row],[Unit]]</f>
        <v>12.67427122940431</v>
      </c>
      <c r="N1017" s="71">
        <f>SIP[[#This Row],[Unit Capital]]/10</f>
        <v>789</v>
      </c>
      <c r="O1017" s="71">
        <f>SUMIFS(SIP[[#Headers],[Unit]]:SIP[[#This Row],[Unit]],SIP[[#Headers],[Investor ID]]:SIP[[#This Row],[Investor ID]],SIP[[#This Row],[Investor ID]])</f>
        <v>14202</v>
      </c>
      <c r="P1017" s="153">
        <v>7890</v>
      </c>
      <c r="Q1017" s="74">
        <f>SIP[[#This Row],[Amount]]-SIP[[#This Row],[Unit Capital]]</f>
        <v>2110</v>
      </c>
      <c r="R10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11.266018870581606</v>
      </c>
      <c r="S1017" s="68">
        <f t="shared" si="48"/>
        <v>14.224</v>
      </c>
      <c r="T10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7" s="74" cm="1">
        <f t="array" ref="U1017">IF(SIP[[#This Row],[B/S]]="S",ABS(SIP[[#This Row],[Unit]])*(INDEX(SIP[NAV at Cost (Average)],MATCH(CONCATENATE((SIP[[#This Row],[Frequency]]-1),SIP[[#This Row],[Investor ID]]),SIP[Unique Code],0),0)),0)</f>
        <v>0</v>
      </c>
      <c r="V1017" s="74">
        <f>IF(SIP[[#This Row],[BO TRANSFER]]="YES",SIP[[#This Row],[Unit]],)</f>
        <v>789</v>
      </c>
      <c r="W1017" s="74">
        <f>SUMIFS(SIP[[#Headers],[BO UNIT TRANSFER]]:SIP[[#This Row],[BO UNIT TRANSFER]],SIP[[#Headers],[Investor ID]]:SIP[[#This Row],[Investor ID]],SIP[[#This Row],[Investor ID]])</f>
        <v>14202</v>
      </c>
    </row>
    <row r="1018" spans="1:23" ht="15" customHeight="1">
      <c r="A1018" s="101">
        <v>2025</v>
      </c>
      <c r="B1018" s="101">
        <v>2</v>
      </c>
      <c r="C1018" s="101">
        <v>26</v>
      </c>
      <c r="D1018" s="65">
        <f>DATE(SIP[[#This Row],[Year]],SIP[[#This Row],[Month]],SIP[[#This Row],[Day]])</f>
        <v>45714</v>
      </c>
      <c r="E1018" s="66" t="str" cm="1">
        <f t="array" ref="E1018">INDEX(INVESTORS_LIST[INVESTOR NAME],MATCH(SIP[[#This Row],[Investor ID]],INVESTORS_LIST[INVESTOR CODE],0),)</f>
        <v>MOHAMMAD SAMIUL ALAM</v>
      </c>
      <c r="F1018" s="46" t="s">
        <v>537</v>
      </c>
      <c r="G1018" s="46">
        <f>COUNTIF(SIP[[#Headers],[Investor ID]]:SIP[[#This Row],[Investor ID]],SIP[[#This Row],[Investor ID]])</f>
        <v>19</v>
      </c>
      <c r="H1018" s="46" t="str">
        <f>CONCATENATE(SIP[[#This Row],[Frequency]],SIP[[#This Row],[Investor ID]])</f>
        <v>19A00244</v>
      </c>
      <c r="I1018" s="46" t="str">
        <f>IF(SIP[[#This Row],[B/S]]="B","BUY",(IF(SIP[[#This Row],[B/S]]="S","SELL"," ")))</f>
        <v>BUY</v>
      </c>
      <c r="J1018" s="150" t="s">
        <v>1229</v>
      </c>
      <c r="K1018" s="152">
        <v>20000</v>
      </c>
      <c r="L1018" s="122"/>
      <c r="M1018" s="123">
        <f>SIP[[#This Row],[Amount]]/SIP[[#This Row],[Unit]]</f>
        <v>12.682308180088777</v>
      </c>
      <c r="N1018" s="71">
        <f>SIP[[#This Row],[Unit Capital]]/10</f>
        <v>1577</v>
      </c>
      <c r="O1018" s="71">
        <f>SUMIFS(SIP[[#Headers],[Unit]]:SIP[[#This Row],[Unit]],SIP[[#Headers],[Investor ID]]:SIP[[#This Row],[Investor ID]],SIP[[#This Row],[Investor ID]])</f>
        <v>34126</v>
      </c>
      <c r="P1018" s="153">
        <v>15770</v>
      </c>
      <c r="Q1018" s="74">
        <f>SIP[[#This Row],[Amount]]-SIP[[#This Row],[Unit Capital]]</f>
        <v>4230</v>
      </c>
      <c r="R10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11.135204829162518</v>
      </c>
      <c r="S1018" s="68">
        <f t="shared" si="48"/>
        <v>14.224</v>
      </c>
      <c r="T10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8" s="74" cm="1">
        <f t="array" ref="U1018">IF(SIP[[#This Row],[B/S]]="S",ABS(SIP[[#This Row],[Unit]])*(INDEX(SIP[NAV at Cost (Average)],MATCH(CONCATENATE((SIP[[#This Row],[Frequency]]-1),SIP[[#This Row],[Investor ID]]),SIP[Unique Code],0),0)),0)</f>
        <v>0</v>
      </c>
      <c r="V1018" s="74">
        <f>IF(SIP[[#This Row],[BO TRANSFER]]="YES",SIP[[#This Row],[Unit]],)</f>
        <v>0</v>
      </c>
      <c r="W1018" s="74">
        <f>SUMIFS(SIP[[#Headers],[BO UNIT TRANSFER]]:SIP[[#This Row],[BO UNIT TRANSFER]],SIP[[#Headers],[Investor ID]]:SIP[[#This Row],[Investor ID]],SIP[[#This Row],[Investor ID]])</f>
        <v>0</v>
      </c>
    </row>
    <row r="1019" spans="1:23" ht="15" customHeight="1">
      <c r="A1019" s="101">
        <v>2025</v>
      </c>
      <c r="B1019" s="101">
        <v>2</v>
      </c>
      <c r="C1019" s="101">
        <v>26</v>
      </c>
      <c r="D1019" s="65">
        <f>DATE(SIP[[#This Row],[Year]],SIP[[#This Row],[Month]],SIP[[#This Row],[Day]])</f>
        <v>45714</v>
      </c>
      <c r="E1019" s="66" t="str" cm="1">
        <f t="array" ref="E1019">INDEX(INVESTORS_LIST[INVESTOR NAME],MATCH(SIP[[#This Row],[Investor ID]],INVESTORS_LIST[INVESTOR CODE],0),)</f>
        <v>MRINMOY GHOSH</v>
      </c>
      <c r="F1019" s="46" t="s">
        <v>69</v>
      </c>
      <c r="G1019" s="46">
        <f>COUNTIF(SIP[[#Headers],[Investor ID]]:SIP[[#This Row],[Investor ID]],SIP[[#This Row],[Investor ID]])</f>
        <v>18</v>
      </c>
      <c r="H1019" s="46" t="str">
        <f>CONCATENATE(SIP[[#This Row],[Frequency]],SIP[[#This Row],[Investor ID]])</f>
        <v>18A00012</v>
      </c>
      <c r="I1019" s="46" t="str">
        <f>IF(SIP[[#This Row],[B/S]]="B","BUY",(IF(SIP[[#This Row],[B/S]]="S","SELL"," ")))</f>
        <v>BUY</v>
      </c>
      <c r="J1019" s="150" t="s">
        <v>1229</v>
      </c>
      <c r="K1019" s="152">
        <v>10000</v>
      </c>
      <c r="L1019" s="122"/>
      <c r="M1019" s="123">
        <f>SIP[[#This Row],[Amount]]/SIP[[#This Row],[Unit]]</f>
        <v>12.67427122940431</v>
      </c>
      <c r="N1019" s="71">
        <f>SIP[[#This Row],[Unit Capital]]/10</f>
        <v>789</v>
      </c>
      <c r="O1019" s="71">
        <f>SUMIFS(SIP[[#Headers],[Unit]]:SIP[[#This Row],[Unit]],SIP[[#Headers],[Investor ID]]:SIP[[#This Row],[Investor ID]],SIP[[#This Row],[Investor ID]])</f>
        <v>5090</v>
      </c>
      <c r="P1019" s="153">
        <v>7890</v>
      </c>
      <c r="Q1019" s="74">
        <f>SIP[[#This Row],[Amount]]-SIP[[#This Row],[Unit Capital]]</f>
        <v>2110</v>
      </c>
      <c r="R10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11.787819253438116</v>
      </c>
      <c r="S1019" s="68">
        <f t="shared" si="48"/>
        <v>14.224</v>
      </c>
      <c r="T10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9" s="74" cm="1">
        <f t="array" ref="U1019">IF(SIP[[#This Row],[B/S]]="S",ABS(SIP[[#This Row],[Unit]])*(INDEX(SIP[NAV at Cost (Average)],MATCH(CONCATENATE((SIP[[#This Row],[Frequency]]-1),SIP[[#This Row],[Investor ID]]),SIP[Unique Code],0),0)),0)</f>
        <v>0</v>
      </c>
      <c r="V1019" s="74">
        <f>IF(SIP[[#This Row],[BO TRANSFER]]="YES",SIP[[#This Row],[Unit]],)</f>
        <v>0</v>
      </c>
      <c r="W1019" s="74">
        <f>SUMIFS(SIP[[#Headers],[BO UNIT TRANSFER]]:SIP[[#This Row],[BO UNIT TRANSFER]],SIP[[#Headers],[Investor ID]]:SIP[[#This Row],[Investor ID]],SIP[[#This Row],[Investor ID]])</f>
        <v>0</v>
      </c>
    </row>
    <row r="1020" spans="1:23" ht="15" customHeight="1">
      <c r="A1020" s="101">
        <v>2025</v>
      </c>
      <c r="B1020" s="101">
        <v>2</v>
      </c>
      <c r="C1020" s="101">
        <v>26</v>
      </c>
      <c r="D1020" s="65">
        <f>DATE(SIP[[#This Row],[Year]],SIP[[#This Row],[Month]],SIP[[#This Row],[Day]])</f>
        <v>45714</v>
      </c>
      <c r="E1020" s="66" t="str" cm="1">
        <f t="array" ref="E1020">INDEX(INVESTORS_LIST[INVESTOR NAME],MATCH(SIP[[#This Row],[Investor ID]],INVESTORS_LIST[INVESTOR CODE],0),)</f>
        <v>ADNAN RASHID</v>
      </c>
      <c r="F1020" s="46" t="s">
        <v>252</v>
      </c>
      <c r="G1020" s="46">
        <f>COUNTIF(SIP[[#Headers],[Investor ID]]:SIP[[#This Row],[Investor ID]],SIP[[#This Row],[Investor ID]])</f>
        <v>19</v>
      </c>
      <c r="H1020" s="46" t="str">
        <f>CONCATENATE(SIP[[#This Row],[Frequency]],SIP[[#This Row],[Investor ID]])</f>
        <v>19A00102</v>
      </c>
      <c r="I1020" s="46" t="str">
        <f>IF(SIP[[#This Row],[B/S]]="B","BUY",(IF(SIP[[#This Row],[B/S]]="S","SELL"," ")))</f>
        <v>BUY</v>
      </c>
      <c r="J1020" s="150" t="s">
        <v>1229</v>
      </c>
      <c r="K1020" s="152">
        <v>30000</v>
      </c>
      <c r="L1020" s="122"/>
      <c r="M1020" s="123">
        <f>SIP[[#This Row],[Amount]]/SIP[[#This Row],[Unit]]</f>
        <v>12.679628064243449</v>
      </c>
      <c r="N1020" s="71">
        <f>SIP[[#This Row],[Unit Capital]]/10</f>
        <v>2366</v>
      </c>
      <c r="O1020" s="71">
        <f>SUMIFS(SIP[[#Headers],[Unit]]:SIP[[#This Row],[Unit]],SIP[[#Headers],[Investor ID]]:SIP[[#This Row],[Investor ID]],SIP[[#This Row],[Investor ID]])</f>
        <v>30115</v>
      </c>
      <c r="P1020" s="153">
        <v>23660</v>
      </c>
      <c r="Q1020" s="74">
        <f>SIP[[#This Row],[Amount]]-SIP[[#This Row],[Unit Capital]]</f>
        <v>6340</v>
      </c>
      <c r="R10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11.458597136180682</v>
      </c>
      <c r="S1020" s="68">
        <f t="shared" si="48"/>
        <v>14.224</v>
      </c>
      <c r="T10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0" s="74" cm="1">
        <f t="array" ref="U1020">IF(SIP[[#This Row],[B/S]]="S",ABS(SIP[[#This Row],[Unit]])*(INDEX(SIP[NAV at Cost (Average)],MATCH(CONCATENATE((SIP[[#This Row],[Frequency]]-1),SIP[[#This Row],[Investor ID]]),SIP[Unique Code],0),0)),0)</f>
        <v>0</v>
      </c>
      <c r="V1020" s="74">
        <f>IF(SIP[[#This Row],[BO TRANSFER]]="YES",SIP[[#This Row],[Unit]],)</f>
        <v>0</v>
      </c>
      <c r="W1020" s="74">
        <f>SUMIFS(SIP[[#Headers],[BO UNIT TRANSFER]]:SIP[[#This Row],[BO UNIT TRANSFER]],SIP[[#Headers],[Investor ID]]:SIP[[#This Row],[Investor ID]],SIP[[#This Row],[Investor ID]])</f>
        <v>0</v>
      </c>
    </row>
    <row r="1021" spans="1:23" ht="15" customHeight="1">
      <c r="A1021" s="101">
        <v>2025</v>
      </c>
      <c r="B1021" s="101">
        <v>2</v>
      </c>
      <c r="C1021" s="101">
        <v>26</v>
      </c>
      <c r="D1021" s="65">
        <f>DATE(SIP[[#This Row],[Year]],SIP[[#This Row],[Month]],SIP[[#This Row],[Day]])</f>
        <v>45714</v>
      </c>
      <c r="E1021" s="66" t="str" cm="1">
        <f t="array" ref="E1021">INDEX(INVESTORS_LIST[INVESTOR NAME],MATCH(SIP[[#This Row],[Investor ID]],INVESTORS_LIST[INVESTOR CODE],0),)</f>
        <v>MD ABDULLAH-AL- MAMUN</v>
      </c>
      <c r="F1021" s="46" t="s">
        <v>533</v>
      </c>
      <c r="G1021" s="46">
        <f>COUNTIF(SIP[[#Headers],[Investor ID]]:SIP[[#This Row],[Investor ID]],SIP[[#This Row],[Investor ID]])</f>
        <v>17</v>
      </c>
      <c r="H1021" s="46" t="str">
        <f>CONCATENATE(SIP[[#This Row],[Frequency]],SIP[[#This Row],[Investor ID]])</f>
        <v>17A00242</v>
      </c>
      <c r="I1021" s="46" t="str">
        <f>IF(SIP[[#This Row],[B/S]]="B","BUY",(IF(SIP[[#This Row],[B/S]]="S","SELL"," ")))</f>
        <v>BUY</v>
      </c>
      <c r="J1021" s="150" t="s">
        <v>1229</v>
      </c>
      <c r="K1021" s="152">
        <v>15000</v>
      </c>
      <c r="L1021" s="122"/>
      <c r="M1021" s="123">
        <f>SIP[[#This Row],[Amount]]/SIP[[#This Row],[Unit]]</f>
        <v>12.679628064243449</v>
      </c>
      <c r="N1021" s="71">
        <f>SIP[[#This Row],[Unit Capital]]/10</f>
        <v>1183</v>
      </c>
      <c r="O1021" s="71">
        <f>SUMIFS(SIP[[#Headers],[Unit]]:SIP[[#This Row],[Unit]],SIP[[#Headers],[Investor ID]]:SIP[[#This Row],[Investor ID]],SIP[[#This Row],[Investor ID]])</f>
        <v>22724</v>
      </c>
      <c r="P1021" s="153">
        <v>11830</v>
      </c>
      <c r="Q1021" s="74">
        <f>SIP[[#This Row],[Amount]]-SIP[[#This Row],[Unit Capital]]</f>
        <v>3170</v>
      </c>
      <c r="R10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11.221615912691432</v>
      </c>
      <c r="S1021" s="68">
        <f t="shared" si="48"/>
        <v>14.224</v>
      </c>
      <c r="T10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1" s="74" cm="1">
        <f t="array" ref="U1021">IF(SIP[[#This Row],[B/S]]="S",ABS(SIP[[#This Row],[Unit]])*(INDEX(SIP[NAV at Cost (Average)],MATCH(CONCATENATE((SIP[[#This Row],[Frequency]]-1),SIP[[#This Row],[Investor ID]]),SIP[Unique Code],0),0)),0)</f>
        <v>0</v>
      </c>
      <c r="V1021" s="74">
        <f>IF(SIP[[#This Row],[BO TRANSFER]]="YES",SIP[[#This Row],[Unit]],)</f>
        <v>0</v>
      </c>
      <c r="W1021" s="74">
        <f>SUMIFS(SIP[[#Headers],[BO UNIT TRANSFER]]:SIP[[#This Row],[BO UNIT TRANSFER]],SIP[[#Headers],[Investor ID]]:SIP[[#This Row],[Investor ID]],SIP[[#This Row],[Investor ID]])</f>
        <v>0</v>
      </c>
    </row>
    <row r="1022" spans="1:23" ht="15" customHeight="1">
      <c r="A1022" s="101">
        <v>2025</v>
      </c>
      <c r="B1022" s="101">
        <v>2</v>
      </c>
      <c r="C1022" s="101">
        <v>26</v>
      </c>
      <c r="D1022" s="65">
        <f>DATE(SIP[[#This Row],[Year]],SIP[[#This Row],[Month]],SIP[[#This Row],[Day]])</f>
        <v>45714</v>
      </c>
      <c r="E1022" s="66" t="str" cm="1">
        <f t="array" ref="E1022">INDEX(INVESTORS_LIST[INVESTOR NAME],MATCH(SIP[[#This Row],[Investor ID]],INVESTORS_LIST[INVESTOR CODE],0),)</f>
        <v>MOHAMMAD HASAN IMAM</v>
      </c>
      <c r="F1022" s="46" t="s">
        <v>1122</v>
      </c>
      <c r="G1022" s="46">
        <f>COUNTIF(SIP[[#Headers],[Investor ID]]:SIP[[#This Row],[Investor ID]],SIP[[#This Row],[Investor ID]])</f>
        <v>11</v>
      </c>
      <c r="H1022" s="46" t="str">
        <f>CONCATENATE(SIP[[#This Row],[Frequency]],SIP[[#This Row],[Investor ID]])</f>
        <v>11A00536</v>
      </c>
      <c r="I1022" s="46" t="str">
        <f>IF(SIP[[#This Row],[B/S]]="B","BUY",(IF(SIP[[#This Row],[B/S]]="S","SELL"," ")))</f>
        <v>BUY</v>
      </c>
      <c r="J1022" s="150" t="s">
        <v>1229</v>
      </c>
      <c r="K1022" s="152">
        <v>5000</v>
      </c>
      <c r="L1022" s="122"/>
      <c r="M1022" s="123">
        <f>SIP[[#This Row],[Amount]]/SIP[[#This Row],[Unit]]</f>
        <v>12.690355329949238</v>
      </c>
      <c r="N1022" s="71">
        <f>SIP[[#This Row],[Unit Capital]]/10</f>
        <v>394</v>
      </c>
      <c r="O1022" s="71">
        <f>SUMIFS(SIP[[#Headers],[Unit]]:SIP[[#This Row],[Unit]],SIP[[#Headers],[Investor ID]]:SIP[[#This Row],[Investor ID]],SIP[[#This Row],[Investor ID]])</f>
        <v>4772</v>
      </c>
      <c r="P1022" s="153">
        <v>3940</v>
      </c>
      <c r="Q1022" s="74">
        <f>SIP[[#This Row],[Amount]]-SIP[[#This Row],[Unit Capital]]</f>
        <v>1060</v>
      </c>
      <c r="R10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11.525565800502932</v>
      </c>
      <c r="S1022" s="68">
        <f t="shared" si="48"/>
        <v>14.224</v>
      </c>
      <c r="T10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2" s="74" cm="1">
        <f t="array" ref="U1022">IF(SIP[[#This Row],[B/S]]="S",ABS(SIP[[#This Row],[Unit]])*(INDEX(SIP[NAV at Cost (Average)],MATCH(CONCATENATE((SIP[[#This Row],[Frequency]]-1),SIP[[#This Row],[Investor ID]]),SIP[Unique Code],0),0)),0)</f>
        <v>0</v>
      </c>
      <c r="V1022" s="74">
        <f>IF(SIP[[#This Row],[BO TRANSFER]]="YES",SIP[[#This Row],[Unit]],)</f>
        <v>0</v>
      </c>
      <c r="W1022" s="74">
        <f>SUMIFS(SIP[[#Headers],[BO UNIT TRANSFER]]:SIP[[#This Row],[BO UNIT TRANSFER]],SIP[[#Headers],[Investor ID]]:SIP[[#This Row],[Investor ID]],SIP[[#This Row],[Investor ID]])</f>
        <v>0</v>
      </c>
    </row>
    <row r="1023" spans="1:23" ht="15" customHeight="1">
      <c r="A1023" s="101">
        <v>2025</v>
      </c>
      <c r="B1023" s="101">
        <v>2</v>
      </c>
      <c r="C1023" s="101">
        <v>26</v>
      </c>
      <c r="D1023" s="65">
        <f>DATE(SIP[[#This Row],[Year]],SIP[[#This Row],[Month]],SIP[[#This Row],[Day]])</f>
        <v>45714</v>
      </c>
      <c r="E1023" s="66" t="str" cm="1">
        <f t="array" ref="E1023">INDEX(INVESTORS_LIST[INVESTOR NAME],MATCH(SIP[[#This Row],[Investor ID]],INVESTORS_LIST[INVESTOR CODE],0),)</f>
        <v>MAYA RANI SAHA</v>
      </c>
      <c r="F1023" s="46" t="s">
        <v>224</v>
      </c>
      <c r="G1023" s="46">
        <f>COUNTIF(SIP[[#Headers],[Investor ID]]:SIP[[#This Row],[Investor ID]],SIP[[#This Row],[Investor ID]])</f>
        <v>38</v>
      </c>
      <c r="H1023" s="46" t="str">
        <f>CONCATENATE(SIP[[#This Row],[Frequency]],SIP[[#This Row],[Investor ID]])</f>
        <v>38A00088</v>
      </c>
      <c r="I1023" s="46" t="str">
        <f>IF(SIP[[#This Row],[B/S]]="B","BUY",(IF(SIP[[#This Row],[B/S]]="S","SELL"," ")))</f>
        <v>BUY</v>
      </c>
      <c r="J1023" s="150" t="s">
        <v>1229</v>
      </c>
      <c r="K1023" s="152">
        <v>20000</v>
      </c>
      <c r="L1023" s="122"/>
      <c r="M1023" s="123">
        <f>SIP[[#This Row],[Amount]]/SIP[[#This Row],[Unit]]</f>
        <v>12.682308180088777</v>
      </c>
      <c r="N1023" s="71">
        <f>SIP[[#This Row],[Unit Capital]]/10</f>
        <v>1577</v>
      </c>
      <c r="O1023" s="71">
        <f>SUMIFS(SIP[[#Headers],[Unit]]:SIP[[#This Row],[Unit]],SIP[[#Headers],[Investor ID]]:SIP[[#This Row],[Investor ID]],SIP[[#This Row],[Investor ID]])</f>
        <v>51368</v>
      </c>
      <c r="P1023" s="153">
        <v>15770</v>
      </c>
      <c r="Q1023" s="74">
        <f>SIP[[#This Row],[Amount]]-SIP[[#This Row],[Unit Capital]]</f>
        <v>4230</v>
      </c>
      <c r="R10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11.291076156361941</v>
      </c>
      <c r="S1023" s="68">
        <f t="shared" si="48"/>
        <v>14.224</v>
      </c>
      <c r="T10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3" s="74" cm="1">
        <f t="array" ref="U1023">IF(SIP[[#This Row],[B/S]]="S",ABS(SIP[[#This Row],[Unit]])*(INDEX(SIP[NAV at Cost (Average)],MATCH(CONCATENATE((SIP[[#This Row],[Frequency]]-1),SIP[[#This Row],[Investor ID]]),SIP[Unique Code],0),0)),0)</f>
        <v>0</v>
      </c>
      <c r="V1023" s="74">
        <f>IF(SIP[[#This Row],[BO TRANSFER]]="YES",SIP[[#This Row],[Unit]],)</f>
        <v>0</v>
      </c>
      <c r="W1023" s="74">
        <f>SUMIFS(SIP[[#Headers],[BO UNIT TRANSFER]]:SIP[[#This Row],[BO UNIT TRANSFER]],SIP[[#Headers],[Investor ID]]:SIP[[#This Row],[Investor ID]],SIP[[#This Row],[Investor ID]])</f>
        <v>0</v>
      </c>
    </row>
    <row r="1024" spans="1:23" ht="15" customHeight="1">
      <c r="A1024" s="101">
        <v>2025</v>
      </c>
      <c r="B1024" s="101">
        <v>2</v>
      </c>
      <c r="C1024" s="101">
        <v>26</v>
      </c>
      <c r="D1024" s="65">
        <f>DATE(SIP[[#This Row],[Year]],SIP[[#This Row],[Month]],SIP[[#This Row],[Day]])</f>
        <v>45714</v>
      </c>
      <c r="E1024" s="66" t="str" cm="1">
        <f t="array" ref="E1024">INDEX(INVESTORS_LIST[INVESTOR NAME],MATCH(SIP[[#This Row],[Investor ID]],INVESTORS_LIST[INVESTOR CODE],0),)</f>
        <v>SHAPNA RANI BARMAN</v>
      </c>
      <c r="F1024" s="46" t="s">
        <v>1292</v>
      </c>
      <c r="G1024" s="46">
        <f>COUNTIF(SIP[[#Headers],[Investor ID]]:SIP[[#This Row],[Investor ID]],SIP[[#This Row],[Investor ID]])</f>
        <v>4</v>
      </c>
      <c r="H1024" s="46" t="str">
        <f>CONCATENATE(SIP[[#This Row],[Frequency]],SIP[[#This Row],[Investor ID]])</f>
        <v>4A00593</v>
      </c>
      <c r="I1024" s="46" t="str">
        <f>IF(SIP[[#This Row],[B/S]]="B","BUY",(IF(SIP[[#This Row],[B/S]]="S","SELL"," ")))</f>
        <v>BUY</v>
      </c>
      <c r="J1024" s="150" t="s">
        <v>1229</v>
      </c>
      <c r="K1024" s="152">
        <v>1000</v>
      </c>
      <c r="L1024" s="122"/>
      <c r="M1024" s="123">
        <f>SIP[[#This Row],[Amount]]/SIP[[#This Row],[Unit]]</f>
        <v>12.658227848101266</v>
      </c>
      <c r="N1024" s="71">
        <f>SIP[[#This Row],[Unit Capital]]/10</f>
        <v>79</v>
      </c>
      <c r="O1024" s="71">
        <f>SUMIFS(SIP[[#Headers],[Unit]]:SIP[[#This Row],[Unit]],SIP[[#Headers],[Investor ID]]:SIP[[#This Row],[Investor ID]],SIP[[#This Row],[Investor ID]])</f>
        <v>334</v>
      </c>
      <c r="P1024" s="153">
        <v>790</v>
      </c>
      <c r="Q1024" s="74">
        <f>SIP[[#This Row],[Amount]]-SIP[[#This Row],[Unit Capital]]</f>
        <v>210</v>
      </c>
      <c r="R10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11.976047904191615</v>
      </c>
      <c r="S1024" s="68">
        <f t="shared" si="48"/>
        <v>14.224</v>
      </c>
      <c r="T10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4" s="74" cm="1">
        <f t="array" ref="U1024">IF(SIP[[#This Row],[B/S]]="S",ABS(SIP[[#This Row],[Unit]])*(INDEX(SIP[NAV at Cost (Average)],MATCH(CONCATENATE((SIP[[#This Row],[Frequency]]-1),SIP[[#This Row],[Investor ID]]),SIP[Unique Code],0),0)),0)</f>
        <v>0</v>
      </c>
      <c r="V1024" s="74">
        <f>IF(SIP[[#This Row],[BO TRANSFER]]="YES",SIP[[#This Row],[Unit]],)</f>
        <v>0</v>
      </c>
      <c r="W1024" s="74">
        <f>SUMIFS(SIP[[#Headers],[BO UNIT TRANSFER]]:SIP[[#This Row],[BO UNIT TRANSFER]],SIP[[#Headers],[Investor ID]]:SIP[[#This Row],[Investor ID]],SIP[[#This Row],[Investor ID]])</f>
        <v>0</v>
      </c>
    </row>
    <row r="1025" spans="1:23" ht="15" customHeight="1">
      <c r="A1025" s="101">
        <v>2025</v>
      </c>
      <c r="B1025" s="101">
        <v>2</v>
      </c>
      <c r="C1025" s="101">
        <v>26</v>
      </c>
      <c r="D1025" s="65">
        <f>DATE(SIP[[#This Row],[Year]],SIP[[#This Row],[Month]],SIP[[#This Row],[Day]])</f>
        <v>45714</v>
      </c>
      <c r="E1025" s="66" t="str" cm="1">
        <f t="array" ref="E1025">INDEX(INVESTORS_LIST[INVESTOR NAME],MATCH(SIP[[#This Row],[Investor ID]],INVESTORS_LIST[INVESTOR CODE],0),)</f>
        <v>SADIA PARVIN</v>
      </c>
      <c r="F1025" s="46" t="s">
        <v>1018</v>
      </c>
      <c r="G1025" s="46">
        <f>COUNTIF(SIP[[#Headers],[Investor ID]]:SIP[[#This Row],[Investor ID]],SIP[[#This Row],[Investor ID]])</f>
        <v>31</v>
      </c>
      <c r="H1025" s="46" t="str">
        <f>CONCATENATE(SIP[[#This Row],[Frequency]],SIP[[#This Row],[Investor ID]])</f>
        <v>31A00486</v>
      </c>
      <c r="I1025" s="46" t="str">
        <f>IF(SIP[[#This Row],[B/S]]="B","BUY",(IF(SIP[[#This Row],[B/S]]="S","SELL"," ")))</f>
        <v>BUY</v>
      </c>
      <c r="J1025" s="150" t="s">
        <v>1229</v>
      </c>
      <c r="K1025" s="152">
        <v>5000</v>
      </c>
      <c r="L1025" s="122"/>
      <c r="M1025" s="123">
        <f>SIP[[#This Row],[Amount]]/SIP[[#This Row],[Unit]]</f>
        <v>12.690355329949238</v>
      </c>
      <c r="N1025" s="71">
        <f>SIP[[#This Row],[Unit Capital]]/10</f>
        <v>394</v>
      </c>
      <c r="O1025" s="71">
        <f>SUMIFS(SIP[[#Headers],[Unit]]:SIP[[#This Row],[Unit]],SIP[[#Headers],[Investor ID]]:SIP[[#This Row],[Investor ID]],SIP[[#This Row],[Investor ID]])</f>
        <v>13854</v>
      </c>
      <c r="P1025" s="153">
        <v>3940</v>
      </c>
      <c r="Q1025" s="74">
        <f>SIP[[#This Row],[Amount]]-SIP[[#This Row],[Unit Capital]]</f>
        <v>1060</v>
      </c>
      <c r="R10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11.188104518550601</v>
      </c>
      <c r="S1025" s="68">
        <f t="shared" si="48"/>
        <v>14.224</v>
      </c>
      <c r="T10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5" s="74" cm="1">
        <f t="array" ref="U1025">IF(SIP[[#This Row],[B/S]]="S",ABS(SIP[[#This Row],[Unit]])*(INDEX(SIP[NAV at Cost (Average)],MATCH(CONCATENATE((SIP[[#This Row],[Frequency]]-1),SIP[[#This Row],[Investor ID]]),SIP[Unique Code],0),0)),0)</f>
        <v>0</v>
      </c>
      <c r="V1025" s="74">
        <f>IF(SIP[[#This Row],[BO TRANSFER]]="YES",SIP[[#This Row],[Unit]],)</f>
        <v>0</v>
      </c>
      <c r="W1025" s="74">
        <f>SUMIFS(SIP[[#Headers],[BO UNIT TRANSFER]]:SIP[[#This Row],[BO UNIT TRANSFER]],SIP[[#Headers],[Investor ID]]:SIP[[#This Row],[Investor ID]],SIP[[#This Row],[Investor ID]])</f>
        <v>0</v>
      </c>
    </row>
    <row r="1026" spans="1:23" ht="15" customHeight="1">
      <c r="A1026" s="101">
        <v>2025</v>
      </c>
      <c r="B1026" s="101">
        <v>2</v>
      </c>
      <c r="C1026" s="101">
        <v>26</v>
      </c>
      <c r="D1026" s="65">
        <f>DATE(SIP[[#This Row],[Year]],SIP[[#This Row],[Month]],SIP[[#This Row],[Day]])</f>
        <v>45714</v>
      </c>
      <c r="E1026" s="66" t="str" cm="1">
        <f t="array" ref="E1026">INDEX(INVESTORS_LIST[INVESTOR NAME],MATCH(SIP[[#This Row],[Investor ID]],INVESTORS_LIST[INVESTOR CODE],0),)</f>
        <v>MAYA RANI SAHA</v>
      </c>
      <c r="F1026" s="46" t="s">
        <v>224</v>
      </c>
      <c r="G1026" s="46">
        <f>COUNTIF(SIP[[#Headers],[Investor ID]]:SIP[[#This Row],[Investor ID]],SIP[[#This Row],[Investor ID]])</f>
        <v>39</v>
      </c>
      <c r="H1026" s="46" t="str">
        <f>CONCATENATE(SIP[[#This Row],[Frequency]],SIP[[#This Row],[Investor ID]])</f>
        <v>39A00088</v>
      </c>
      <c r="I1026" s="46" t="str">
        <f>IF(SIP[[#This Row],[B/S]]="B","BUY",(IF(SIP[[#This Row],[B/S]]="S","SELL"," ")))</f>
        <v>BUY</v>
      </c>
      <c r="J1026" s="150" t="s">
        <v>1229</v>
      </c>
      <c r="K1026" s="152">
        <v>6000</v>
      </c>
      <c r="L1026" s="122"/>
      <c r="M1026" s="123">
        <f>SIP[[#This Row],[Amount]]/SIP[[#This Row],[Unit]]</f>
        <v>12.684989429175475</v>
      </c>
      <c r="N1026" s="71">
        <f>SIP[[#This Row],[Unit Capital]]/10</f>
        <v>473</v>
      </c>
      <c r="O1026" s="71">
        <f>SUMIFS(SIP[[#Headers],[Unit]]:SIP[[#This Row],[Unit]],SIP[[#Headers],[Investor ID]]:SIP[[#This Row],[Investor ID]],SIP[[#This Row],[Investor ID]])</f>
        <v>51841</v>
      </c>
      <c r="P1026" s="153">
        <v>4730</v>
      </c>
      <c r="Q1026" s="74">
        <f>SIP[[#This Row],[Amount]]-SIP[[#This Row],[Unit Capital]]</f>
        <v>1270</v>
      </c>
      <c r="R10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11.303794294091551</v>
      </c>
      <c r="S1026" s="68">
        <f t="shared" si="48"/>
        <v>14.224</v>
      </c>
      <c r="T10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6" s="74" cm="1">
        <f t="array" ref="U1026">IF(SIP[[#This Row],[B/S]]="S",ABS(SIP[[#This Row],[Unit]])*(INDEX(SIP[NAV at Cost (Average)],MATCH(CONCATENATE((SIP[[#This Row],[Frequency]]-1),SIP[[#This Row],[Investor ID]]),SIP[Unique Code],0),0)),0)</f>
        <v>0</v>
      </c>
      <c r="V1026" s="74">
        <f>IF(SIP[[#This Row],[BO TRANSFER]]="YES",SIP[[#This Row],[Unit]],)</f>
        <v>0</v>
      </c>
      <c r="W1026" s="74">
        <f>SUMIFS(SIP[[#Headers],[BO UNIT TRANSFER]]:SIP[[#This Row],[BO UNIT TRANSFER]],SIP[[#Headers],[Investor ID]]:SIP[[#This Row],[Investor ID]],SIP[[#This Row],[Investor ID]])</f>
        <v>0</v>
      </c>
    </row>
    <row r="1027" spans="1:23" ht="15" customHeight="1">
      <c r="A1027" s="101">
        <v>2025</v>
      </c>
      <c r="B1027" s="101">
        <v>2</v>
      </c>
      <c r="C1027" s="101">
        <v>26</v>
      </c>
      <c r="D1027" s="65">
        <f>DATE(SIP[[#This Row],[Year]],SIP[[#This Row],[Month]],SIP[[#This Row],[Day]])</f>
        <v>45714</v>
      </c>
      <c r="E1027" s="66" t="str" cm="1">
        <f t="array" ref="E1027">INDEX(INVESTORS_LIST[INVESTOR NAME],MATCH(SIP[[#This Row],[Investor ID]],INVESTORS_LIST[INVESTOR CODE],0),)</f>
        <v>MAYA RANI SAHA</v>
      </c>
      <c r="F1027" s="46" t="s">
        <v>224</v>
      </c>
      <c r="G1027" s="46">
        <f>COUNTIF(SIP[[#Headers],[Investor ID]]:SIP[[#This Row],[Investor ID]],SIP[[#This Row],[Investor ID]])</f>
        <v>40</v>
      </c>
      <c r="H1027" s="46" t="str">
        <f>CONCATENATE(SIP[[#This Row],[Frequency]],SIP[[#This Row],[Investor ID]])</f>
        <v>40A00088</v>
      </c>
      <c r="I1027" s="46" t="str">
        <f>IF(SIP[[#This Row],[B/S]]="B","BUY",(IF(SIP[[#This Row],[B/S]]="S","SELL"," ")))</f>
        <v>BUY</v>
      </c>
      <c r="J1027" s="150" t="s">
        <v>1229</v>
      </c>
      <c r="K1027" s="152">
        <v>10000</v>
      </c>
      <c r="L1027" s="122"/>
      <c r="M1027" s="123">
        <f>SIP[[#This Row],[Amount]]/SIP[[#This Row],[Unit]]</f>
        <v>12.67427122940431</v>
      </c>
      <c r="N1027" s="71">
        <f>SIP[[#This Row],[Unit Capital]]/10</f>
        <v>789</v>
      </c>
      <c r="O1027" s="71">
        <f>SUMIFS(SIP[[#Headers],[Unit]]:SIP[[#This Row],[Unit]],SIP[[#Headers],[Investor ID]]:SIP[[#This Row],[Investor ID]],SIP[[#This Row],[Investor ID]])</f>
        <v>52630</v>
      </c>
      <c r="P1027" s="153">
        <v>7890</v>
      </c>
      <c r="Q1027" s="74">
        <f>SIP[[#This Row],[Amount]]-SIP[[#This Row],[Unit Capital]]</f>
        <v>2110</v>
      </c>
      <c r="R10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11.324339730191907</v>
      </c>
      <c r="S1027" s="68">
        <f t="shared" si="48"/>
        <v>14.224</v>
      </c>
      <c r="T10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7" s="74" cm="1">
        <f t="array" ref="U1027">IF(SIP[[#This Row],[B/S]]="S",ABS(SIP[[#This Row],[Unit]])*(INDEX(SIP[NAV at Cost (Average)],MATCH(CONCATENATE((SIP[[#This Row],[Frequency]]-1),SIP[[#This Row],[Investor ID]]),SIP[Unique Code],0),0)),0)</f>
        <v>0</v>
      </c>
      <c r="V1027" s="74">
        <f>IF(SIP[[#This Row],[BO TRANSFER]]="YES",SIP[[#This Row],[Unit]],)</f>
        <v>0</v>
      </c>
      <c r="W1027" s="74">
        <f>SUMIFS(SIP[[#Headers],[BO UNIT TRANSFER]]:SIP[[#This Row],[BO UNIT TRANSFER]],SIP[[#Headers],[Investor ID]]:SIP[[#This Row],[Investor ID]],SIP[[#This Row],[Investor ID]])</f>
        <v>0</v>
      </c>
    </row>
    <row r="1028" spans="1:23" ht="15" customHeight="1">
      <c r="A1028" s="101">
        <v>2025</v>
      </c>
      <c r="B1028" s="101">
        <v>2</v>
      </c>
      <c r="C1028" s="101">
        <v>26</v>
      </c>
      <c r="D1028" s="65">
        <f>DATE(SIP[[#This Row],[Year]],SIP[[#This Row],[Month]],SIP[[#This Row],[Day]])</f>
        <v>45714</v>
      </c>
      <c r="E1028" s="66" t="str" cm="1">
        <f t="array" ref="E1028">INDEX(INVESTORS_LIST[INVESTOR NAME],MATCH(SIP[[#This Row],[Investor ID]],INVESTORS_LIST[INVESTOR CODE],0),)</f>
        <v>SWADESH RANJAN SAHA</v>
      </c>
      <c r="F1028" s="46" t="s">
        <v>234</v>
      </c>
      <c r="G1028" s="46">
        <f>COUNTIF(SIP[[#Headers],[Investor ID]]:SIP[[#This Row],[Investor ID]],SIP[[#This Row],[Investor ID]])</f>
        <v>3</v>
      </c>
      <c r="H1028" s="46" t="str">
        <f>CONCATENATE(SIP[[#This Row],[Frequency]],SIP[[#This Row],[Investor ID]])</f>
        <v>3A00093</v>
      </c>
      <c r="I1028" s="46" t="str">
        <f>IF(SIP[[#This Row],[B/S]]="B","BUY",(IF(SIP[[#This Row],[B/S]]="S","SELL"," ")))</f>
        <v>BUY</v>
      </c>
      <c r="J1028" s="150" t="s">
        <v>1229</v>
      </c>
      <c r="K1028" s="152">
        <v>50000</v>
      </c>
      <c r="L1028" s="122"/>
      <c r="M1028" s="123">
        <f>SIP[[#This Row],[Amount]]/SIP[[#This Row],[Unit]]</f>
        <v>12.6806999746386</v>
      </c>
      <c r="N1028" s="71">
        <f>SIP[[#This Row],[Unit Capital]]/10</f>
        <v>3943</v>
      </c>
      <c r="O1028" s="71">
        <f>SUMIFS(SIP[[#Headers],[Unit]]:SIP[[#This Row],[Unit]],SIP[[#Headers],[Investor ID]]:SIP[[#This Row],[Investor ID]],SIP[[#This Row],[Investor ID]])</f>
        <v>12353</v>
      </c>
      <c r="P1028" s="153">
        <v>39430</v>
      </c>
      <c r="Q1028" s="74">
        <f>SIP[[#This Row],[Amount]]-SIP[[#This Row],[Unit Capital]]</f>
        <v>10570</v>
      </c>
      <c r="R10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12.142799320003238</v>
      </c>
      <c r="S1028" s="68">
        <f t="shared" si="48"/>
        <v>14.224</v>
      </c>
      <c r="T10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8" s="74" cm="1">
        <f t="array" ref="U1028">IF(SIP[[#This Row],[B/S]]="S",ABS(SIP[[#This Row],[Unit]])*(INDEX(SIP[NAV at Cost (Average)],MATCH(CONCATENATE((SIP[[#This Row],[Frequency]]-1),SIP[[#This Row],[Investor ID]]),SIP[Unique Code],0),0)),0)</f>
        <v>0</v>
      </c>
      <c r="V1028" s="74">
        <f>IF(SIP[[#This Row],[BO TRANSFER]]="YES",SIP[[#This Row],[Unit]],)</f>
        <v>0</v>
      </c>
      <c r="W1028" s="74">
        <f>SUMIFS(SIP[[#Headers],[BO UNIT TRANSFER]]:SIP[[#This Row],[BO UNIT TRANSFER]],SIP[[#Headers],[Investor ID]]:SIP[[#This Row],[Investor ID]],SIP[[#This Row],[Investor ID]])</f>
        <v>0</v>
      </c>
    </row>
    <row r="1029" spans="1:23" ht="15" customHeight="1">
      <c r="A1029" s="101">
        <v>2025</v>
      </c>
      <c r="B1029" s="101">
        <v>2</v>
      </c>
      <c r="C1029" s="101">
        <v>26</v>
      </c>
      <c r="D1029" s="65">
        <f>DATE(SIP[[#This Row],[Year]],SIP[[#This Row],[Month]],SIP[[#This Row],[Day]])</f>
        <v>45714</v>
      </c>
      <c r="E1029" s="66" t="str" cm="1">
        <f t="array" ref="E1029">INDEX(INVESTORS_LIST[INVESTOR NAME],MATCH(SIP[[#This Row],[Investor ID]],INVESTORS_LIST[INVESTOR CODE],0),)</f>
        <v>MAHBUB-UL-ANAM KHAN</v>
      </c>
      <c r="F1029" s="46" t="s">
        <v>626</v>
      </c>
      <c r="G1029" s="46">
        <f>COUNTIF(SIP[[#Headers],[Investor ID]]:SIP[[#This Row],[Investor ID]],SIP[[#This Row],[Investor ID]])</f>
        <v>7</v>
      </c>
      <c r="H1029" s="46" t="str">
        <f>CONCATENATE(SIP[[#This Row],[Frequency]],SIP[[#This Row],[Investor ID]])</f>
        <v>7A00289</v>
      </c>
      <c r="I1029" s="46" t="str">
        <f>IF(SIP[[#This Row],[B/S]]="B","BUY",(IF(SIP[[#This Row],[B/S]]="S","SELL"," ")))</f>
        <v>BUY</v>
      </c>
      <c r="J1029" s="150" t="s">
        <v>1229</v>
      </c>
      <c r="K1029" s="152">
        <v>5000</v>
      </c>
      <c r="L1029" s="122"/>
      <c r="M1029" s="123">
        <f>SIP[[#This Row],[Amount]]/SIP[[#This Row],[Unit]]</f>
        <v>12.690355329949238</v>
      </c>
      <c r="N1029" s="71">
        <f>SIP[[#This Row],[Unit Capital]]/10</f>
        <v>394</v>
      </c>
      <c r="O1029" s="71">
        <f>SUMIFS(SIP[[#Headers],[Unit]]:SIP[[#This Row],[Unit]],SIP[[#Headers],[Investor ID]]:SIP[[#This Row],[Investor ID]],SIP[[#This Row],[Investor ID]])</f>
        <v>2972</v>
      </c>
      <c r="P1029" s="153">
        <v>3940</v>
      </c>
      <c r="Q1029" s="74">
        <f>SIP[[#This Row],[Amount]]-SIP[[#This Row],[Unit Capital]]</f>
        <v>1060</v>
      </c>
      <c r="R10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11.776581426648722</v>
      </c>
      <c r="S1029" s="68">
        <f t="shared" si="48"/>
        <v>14.224</v>
      </c>
      <c r="T10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29" s="74" cm="1">
        <f t="array" ref="U1029">IF(SIP[[#This Row],[B/S]]="S",ABS(SIP[[#This Row],[Unit]])*(INDEX(SIP[NAV at Cost (Average)],MATCH(CONCATENATE((SIP[[#This Row],[Frequency]]-1),SIP[[#This Row],[Investor ID]]),SIP[Unique Code],0),0)),0)</f>
        <v>0</v>
      </c>
      <c r="V1029" s="74">
        <f>IF(SIP[[#This Row],[BO TRANSFER]]="YES",SIP[[#This Row],[Unit]],)</f>
        <v>0</v>
      </c>
      <c r="W1029" s="74">
        <f>SUMIFS(SIP[[#Headers],[BO UNIT TRANSFER]]:SIP[[#This Row],[BO UNIT TRANSFER]],SIP[[#Headers],[Investor ID]]:SIP[[#This Row],[Investor ID]],SIP[[#This Row],[Investor ID]])</f>
        <v>0</v>
      </c>
    </row>
    <row r="1030" spans="1:23" ht="15" customHeight="1">
      <c r="A1030" s="101">
        <v>2025</v>
      </c>
      <c r="B1030" s="101">
        <v>2</v>
      </c>
      <c r="C1030" s="101">
        <v>26</v>
      </c>
      <c r="D1030" s="65">
        <f>DATE(SIP[[#This Row],[Year]],SIP[[#This Row],[Month]],SIP[[#This Row],[Day]])</f>
        <v>45714</v>
      </c>
      <c r="E1030" s="66" t="str" cm="1">
        <f t="array" ref="E1030">INDEX(INVESTORS_LIST[INVESTOR NAME],MATCH(SIP[[#This Row],[Investor ID]],INVESTORS_LIST[INVESTOR CODE],0),)</f>
        <v>SYED ADNAN HUDA</v>
      </c>
      <c r="F1030" s="46" t="s">
        <v>236</v>
      </c>
      <c r="G1030" s="46">
        <f>COUNTIF(SIP[[#Headers],[Investor ID]]:SIP[[#This Row],[Investor ID]],SIP[[#This Row],[Investor ID]])</f>
        <v>8</v>
      </c>
      <c r="H1030" s="46" t="str">
        <f>CONCATENATE(SIP[[#This Row],[Frequency]],SIP[[#This Row],[Investor ID]])</f>
        <v>8A00094</v>
      </c>
      <c r="I1030" s="46" t="str">
        <f>IF(SIP[[#This Row],[B/S]]="B","BUY",(IF(SIP[[#This Row],[B/S]]="S","SELL"," ")))</f>
        <v>BUY</v>
      </c>
      <c r="J1030" s="150" t="s">
        <v>1229</v>
      </c>
      <c r="K1030" s="152">
        <v>50000</v>
      </c>
      <c r="L1030" s="122"/>
      <c r="M1030" s="123">
        <f>SIP[[#This Row],[Amount]]/SIP[[#This Row],[Unit]]</f>
        <v>12.6806999746386</v>
      </c>
      <c r="N1030" s="71">
        <f>SIP[[#This Row],[Unit Capital]]/10</f>
        <v>3943</v>
      </c>
      <c r="O1030" s="71">
        <f>SUMIFS(SIP[[#Headers],[Unit]]:SIP[[#This Row],[Unit]],SIP[[#Headers],[Investor ID]]:SIP[[#This Row],[Investor ID]],SIP[[#This Row],[Investor ID]])</f>
        <v>34173</v>
      </c>
      <c r="P1030" s="153">
        <v>39430</v>
      </c>
      <c r="Q1030" s="74">
        <f>SIP[[#This Row],[Amount]]-SIP[[#This Row],[Unit Capital]]</f>
        <v>10570</v>
      </c>
      <c r="R10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11.705147338542124</v>
      </c>
      <c r="S1030" s="68">
        <f t="shared" si="48"/>
        <v>14.224</v>
      </c>
      <c r="T10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0" s="74" cm="1">
        <f t="array" ref="U1030">IF(SIP[[#This Row],[B/S]]="S",ABS(SIP[[#This Row],[Unit]])*(INDEX(SIP[NAV at Cost (Average)],MATCH(CONCATENATE((SIP[[#This Row],[Frequency]]-1),SIP[[#This Row],[Investor ID]]),SIP[Unique Code],0),0)),0)</f>
        <v>0</v>
      </c>
      <c r="V1030" s="74">
        <f>IF(SIP[[#This Row],[BO TRANSFER]]="YES",SIP[[#This Row],[Unit]],)</f>
        <v>0</v>
      </c>
      <c r="W1030" s="74">
        <f>SUMIFS(SIP[[#Headers],[BO UNIT TRANSFER]]:SIP[[#This Row],[BO UNIT TRANSFER]],SIP[[#Headers],[Investor ID]]:SIP[[#This Row],[Investor ID]],SIP[[#This Row],[Investor ID]])</f>
        <v>0</v>
      </c>
    </row>
    <row r="1031" spans="1:23" ht="15" customHeight="1">
      <c r="A1031" s="101">
        <v>2025</v>
      </c>
      <c r="B1031" s="101">
        <v>2</v>
      </c>
      <c r="C1031" s="101">
        <v>26</v>
      </c>
      <c r="D1031" s="65">
        <f>DATE(SIP[[#This Row],[Year]],SIP[[#This Row],[Month]],SIP[[#This Row],[Day]])</f>
        <v>45714</v>
      </c>
      <c r="E1031" s="66" t="str" cm="1">
        <f t="array" ref="E1031">INDEX(INVESTORS_LIST[INVESTOR NAME],MATCH(SIP[[#This Row],[Investor ID]],INVESTORS_LIST[INVESTOR CODE],0),)</f>
        <v>HUMAIRA TABASSUM READDHE</v>
      </c>
      <c r="F1031" s="46" t="s">
        <v>1052</v>
      </c>
      <c r="G1031" s="46">
        <f>COUNTIF(SIP[[#Headers],[Investor ID]]:SIP[[#This Row],[Investor ID]],SIP[[#This Row],[Investor ID]])</f>
        <v>7</v>
      </c>
      <c r="H1031" s="46" t="str">
        <f>CONCATENATE(SIP[[#This Row],[Frequency]],SIP[[#This Row],[Investor ID]])</f>
        <v>7A00503</v>
      </c>
      <c r="I1031" s="46" t="str">
        <f>IF(SIP[[#This Row],[B/S]]="B","BUY",(IF(SIP[[#This Row],[B/S]]="S","SELL"," ")))</f>
        <v>BUY</v>
      </c>
      <c r="J1031" s="150" t="s">
        <v>1229</v>
      </c>
      <c r="K1031" s="152">
        <v>3000</v>
      </c>
      <c r="L1031" s="122"/>
      <c r="M1031" s="123">
        <f>SIP[[#This Row],[Amount]]/SIP[[#This Row],[Unit]]</f>
        <v>12.658227848101266</v>
      </c>
      <c r="N1031" s="71">
        <f>SIP[[#This Row],[Unit Capital]]/10</f>
        <v>237</v>
      </c>
      <c r="O1031" s="71">
        <f>SUMIFS(SIP[[#Headers],[Unit]]:SIP[[#This Row],[Unit]],SIP[[#Headers],[Investor ID]]:SIP[[#This Row],[Investor ID]],SIP[[#This Row],[Investor ID]])</f>
        <v>1784</v>
      </c>
      <c r="P1031" s="153">
        <v>2370</v>
      </c>
      <c r="Q1031" s="74">
        <f>SIP[[#This Row],[Amount]]-SIP[[#This Row],[Unit Capital]]</f>
        <v>630</v>
      </c>
      <c r="R10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11.771300448430495</v>
      </c>
      <c r="S1031" s="68">
        <f t="shared" si="48"/>
        <v>14.224</v>
      </c>
      <c r="T10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1" s="74" cm="1">
        <f t="array" ref="U1031">IF(SIP[[#This Row],[B/S]]="S",ABS(SIP[[#This Row],[Unit]])*(INDEX(SIP[NAV at Cost (Average)],MATCH(CONCATENATE((SIP[[#This Row],[Frequency]]-1),SIP[[#This Row],[Investor ID]]),SIP[Unique Code],0),0)),0)</f>
        <v>0</v>
      </c>
      <c r="V1031" s="74">
        <f>IF(SIP[[#This Row],[BO TRANSFER]]="YES",SIP[[#This Row],[Unit]],)</f>
        <v>0</v>
      </c>
      <c r="W1031" s="74">
        <f>SUMIFS(SIP[[#Headers],[BO UNIT TRANSFER]]:SIP[[#This Row],[BO UNIT TRANSFER]],SIP[[#Headers],[Investor ID]]:SIP[[#This Row],[Investor ID]],SIP[[#This Row],[Investor ID]])</f>
        <v>0</v>
      </c>
    </row>
    <row r="1032" spans="1:23" ht="15" customHeight="1">
      <c r="A1032" s="101">
        <v>2025</v>
      </c>
      <c r="B1032" s="101">
        <v>2</v>
      </c>
      <c r="C1032" s="101">
        <v>26</v>
      </c>
      <c r="D1032" s="65">
        <f>DATE(SIP[[#This Row],[Year]],SIP[[#This Row],[Month]],SIP[[#This Row],[Day]])</f>
        <v>45714</v>
      </c>
      <c r="E1032" s="66" t="str" cm="1">
        <f t="array" ref="E1032">INDEX(INVESTORS_LIST[INVESTOR NAME],MATCH(SIP[[#This Row],[Investor ID]],INVESTORS_LIST[INVESTOR CODE],0),)</f>
        <v>MST. GOLENUR</v>
      </c>
      <c r="F1032" s="46" t="s">
        <v>1075</v>
      </c>
      <c r="G1032" s="46">
        <f>COUNTIF(SIP[[#Headers],[Investor ID]]:SIP[[#This Row],[Investor ID]],SIP[[#This Row],[Investor ID]])</f>
        <v>3</v>
      </c>
      <c r="H1032" s="46" t="str">
        <f>CONCATENATE(SIP[[#This Row],[Frequency]],SIP[[#This Row],[Investor ID]])</f>
        <v>3A00515</v>
      </c>
      <c r="I1032" s="46" t="str">
        <f>IF(SIP[[#This Row],[B/S]]="B","BUY",(IF(SIP[[#This Row],[B/S]]="S","SELL"," ")))</f>
        <v>BUY</v>
      </c>
      <c r="J1032" s="150" t="s">
        <v>1229</v>
      </c>
      <c r="K1032" s="152">
        <v>2000</v>
      </c>
      <c r="L1032" s="122"/>
      <c r="M1032" s="123">
        <f>SIP[[#This Row],[Amount]]/SIP[[#This Row],[Unit]]</f>
        <v>12.658227848101266</v>
      </c>
      <c r="N1032" s="71">
        <f>SIP[[#This Row],[Unit Capital]]/10</f>
        <v>158</v>
      </c>
      <c r="O1032" s="71">
        <f>SUMIFS(SIP[[#Headers],[Unit]]:SIP[[#This Row],[Unit]],SIP[[#Headers],[Investor ID]]:SIP[[#This Row],[Investor ID]],SIP[[#This Row],[Investor ID]])</f>
        <v>495</v>
      </c>
      <c r="P1032" s="153">
        <v>1580</v>
      </c>
      <c r="Q1032" s="74">
        <f>SIP[[#This Row],[Amount]]-SIP[[#This Row],[Unit Capital]]</f>
        <v>420</v>
      </c>
      <c r="R10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12.121212121212125</v>
      </c>
      <c r="S1032" s="68">
        <f t="shared" si="48"/>
        <v>14.224</v>
      </c>
      <c r="T10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2" s="74" cm="1">
        <f t="array" ref="U1032">IF(SIP[[#This Row],[B/S]]="S",ABS(SIP[[#This Row],[Unit]])*(INDEX(SIP[NAV at Cost (Average)],MATCH(CONCATENATE((SIP[[#This Row],[Frequency]]-1),SIP[[#This Row],[Investor ID]]),SIP[Unique Code],0),0)),0)</f>
        <v>0</v>
      </c>
      <c r="V1032" s="74">
        <f>IF(SIP[[#This Row],[BO TRANSFER]]="YES",SIP[[#This Row],[Unit]],)</f>
        <v>0</v>
      </c>
      <c r="W1032" s="74">
        <f>SUMIFS(SIP[[#Headers],[BO UNIT TRANSFER]]:SIP[[#This Row],[BO UNIT TRANSFER]],SIP[[#Headers],[Investor ID]]:SIP[[#This Row],[Investor ID]],SIP[[#This Row],[Investor ID]])</f>
        <v>0</v>
      </c>
    </row>
    <row r="1033" spans="1:23" ht="15" customHeight="1">
      <c r="A1033" s="101">
        <v>2025</v>
      </c>
      <c r="B1033" s="101">
        <v>2</v>
      </c>
      <c r="C1033" s="101">
        <v>26</v>
      </c>
      <c r="D1033" s="65">
        <f>DATE(SIP[[#This Row],[Year]],SIP[[#This Row],[Month]],SIP[[#This Row],[Day]])</f>
        <v>45714</v>
      </c>
      <c r="E1033" s="66" t="str" cm="1">
        <f t="array" ref="E1033">INDEX(INVESTORS_LIST[INVESTOR NAME],MATCH(SIP[[#This Row],[Investor ID]],INVESTORS_LIST[INVESTOR CODE],0),)</f>
        <v>MD MIZANUR RAHMAN</v>
      </c>
      <c r="F1033" s="46" t="s">
        <v>1304</v>
      </c>
      <c r="G1033" s="46">
        <f>COUNTIF(SIP[[#Headers],[Investor ID]]:SIP[[#This Row],[Investor ID]],SIP[[#This Row],[Investor ID]])</f>
        <v>2</v>
      </c>
      <c r="H1033" s="46" t="str">
        <f>CONCATENATE(SIP[[#This Row],[Frequency]],SIP[[#This Row],[Investor ID]])</f>
        <v>2A00599</v>
      </c>
      <c r="I1033" s="46" t="str">
        <f>IF(SIP[[#This Row],[B/S]]="B","BUY",(IF(SIP[[#This Row],[B/S]]="S","SELL"," ")))</f>
        <v>BUY</v>
      </c>
      <c r="J1033" s="150" t="s">
        <v>1229</v>
      </c>
      <c r="K1033" s="152">
        <v>5000</v>
      </c>
      <c r="L1033" s="122"/>
      <c r="M1033" s="123">
        <f>SIP[[#This Row],[Amount]]/SIP[[#This Row],[Unit]]</f>
        <v>12.690355329949238</v>
      </c>
      <c r="N1033" s="71">
        <f>SIP[[#This Row],[Unit Capital]]/10</f>
        <v>394</v>
      </c>
      <c r="O1033" s="71">
        <f>SUMIFS(SIP[[#Headers],[Unit]]:SIP[[#This Row],[Unit]],SIP[[#Headers],[Investor ID]]:SIP[[#This Row],[Investor ID]],SIP[[#This Row],[Investor ID]])</f>
        <v>1232</v>
      </c>
      <c r="P1033" s="153">
        <v>3940</v>
      </c>
      <c r="Q1033" s="74">
        <f>SIP[[#This Row],[Amount]]-SIP[[#This Row],[Unit Capital]]</f>
        <v>1060</v>
      </c>
      <c r="R10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12.175324675324676</v>
      </c>
      <c r="S1033" s="68">
        <f t="shared" si="48"/>
        <v>14.224</v>
      </c>
      <c r="T10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3" s="74" cm="1">
        <f t="array" ref="U1033">IF(SIP[[#This Row],[B/S]]="S",ABS(SIP[[#This Row],[Unit]])*(INDEX(SIP[NAV at Cost (Average)],MATCH(CONCATENATE((SIP[[#This Row],[Frequency]]-1),SIP[[#This Row],[Investor ID]]),SIP[Unique Code],0),0)),0)</f>
        <v>0</v>
      </c>
      <c r="V1033" s="74">
        <f>IF(SIP[[#This Row],[BO TRANSFER]]="YES",SIP[[#This Row],[Unit]],)</f>
        <v>0</v>
      </c>
      <c r="W1033" s="74">
        <f>SUMIFS(SIP[[#Headers],[BO UNIT TRANSFER]]:SIP[[#This Row],[BO UNIT TRANSFER]],SIP[[#Headers],[Investor ID]]:SIP[[#This Row],[Investor ID]],SIP[[#This Row],[Investor ID]])</f>
        <v>0</v>
      </c>
    </row>
    <row r="1034" spans="1:23" ht="15" customHeight="1">
      <c r="A1034" s="101">
        <v>2025</v>
      </c>
      <c r="B1034" s="101">
        <v>2</v>
      </c>
      <c r="C1034" s="101">
        <v>26</v>
      </c>
      <c r="D1034" s="65">
        <f>DATE(SIP[[#This Row],[Year]],SIP[[#This Row],[Month]],SIP[[#This Row],[Day]])</f>
        <v>45714</v>
      </c>
      <c r="E1034" s="66" t="str" cm="1">
        <f t="array" ref="E1034">INDEX(INVESTORS_LIST[INVESTOR NAME],MATCH(SIP[[#This Row],[Investor ID]],INVESTORS_LIST[INVESTOR CODE],0),)</f>
        <v>MD MIZANUR RAHMAN</v>
      </c>
      <c r="F1034" s="46" t="s">
        <v>1304</v>
      </c>
      <c r="G1034" s="46">
        <f>COUNTIF(SIP[[#Headers],[Investor ID]]:SIP[[#This Row],[Investor ID]],SIP[[#This Row],[Investor ID]])</f>
        <v>3</v>
      </c>
      <c r="H1034" s="46" t="str">
        <f>CONCATENATE(SIP[[#This Row],[Frequency]],SIP[[#This Row],[Investor ID]])</f>
        <v>3A00599</v>
      </c>
      <c r="I1034" s="46" t="str">
        <f>IF(SIP[[#This Row],[B/S]]="B","BUY",(IF(SIP[[#This Row],[B/S]]="S","SELL"," ")))</f>
        <v>BUY</v>
      </c>
      <c r="J1034" s="150" t="s">
        <v>1229</v>
      </c>
      <c r="K1034" s="152">
        <v>5000</v>
      </c>
      <c r="L1034" s="122"/>
      <c r="M1034" s="123">
        <f>SIP[[#This Row],[Amount]]/SIP[[#This Row],[Unit]]</f>
        <v>12.690355329949238</v>
      </c>
      <c r="N1034" s="71">
        <f>SIP[[#This Row],[Unit Capital]]/10</f>
        <v>394</v>
      </c>
      <c r="O1034" s="71">
        <f>SUMIFS(SIP[[#Headers],[Unit]]:SIP[[#This Row],[Unit]],SIP[[#Headers],[Investor ID]]:SIP[[#This Row],[Investor ID]],SIP[[#This Row],[Investor ID]])</f>
        <v>1626</v>
      </c>
      <c r="P1034" s="153">
        <v>3940</v>
      </c>
      <c r="Q1034" s="74">
        <f>SIP[[#This Row],[Amount]]-SIP[[#This Row],[Unit Capital]]</f>
        <v>1060</v>
      </c>
      <c r="R10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12.300123001230013</v>
      </c>
      <c r="S1034" s="68">
        <f t="shared" si="48"/>
        <v>14.224</v>
      </c>
      <c r="T10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4" s="74" cm="1">
        <f t="array" ref="U1034">IF(SIP[[#This Row],[B/S]]="S",ABS(SIP[[#This Row],[Unit]])*(INDEX(SIP[NAV at Cost (Average)],MATCH(CONCATENATE((SIP[[#This Row],[Frequency]]-1),SIP[[#This Row],[Investor ID]]),SIP[Unique Code],0),0)),0)</f>
        <v>0</v>
      </c>
      <c r="V1034" s="74">
        <f>IF(SIP[[#This Row],[BO TRANSFER]]="YES",SIP[[#This Row],[Unit]],)</f>
        <v>0</v>
      </c>
      <c r="W1034" s="74">
        <f>SUMIFS(SIP[[#Headers],[BO UNIT TRANSFER]]:SIP[[#This Row],[BO UNIT TRANSFER]],SIP[[#Headers],[Investor ID]]:SIP[[#This Row],[Investor ID]],SIP[[#This Row],[Investor ID]])</f>
        <v>0</v>
      </c>
    </row>
    <row r="1035" spans="1:23" ht="15" customHeight="1">
      <c r="A1035" s="101">
        <v>2025</v>
      </c>
      <c r="B1035" s="101">
        <v>2</v>
      </c>
      <c r="C1035" s="101">
        <v>26</v>
      </c>
      <c r="D1035" s="65">
        <f>DATE(SIP[[#This Row],[Year]],SIP[[#This Row],[Month]],SIP[[#This Row],[Day]])</f>
        <v>45714</v>
      </c>
      <c r="E1035" s="66" t="str" cm="1">
        <f t="array" ref="E1035">INDEX(INVESTORS_LIST[INVESTOR NAME],MATCH(SIP[[#This Row],[Investor ID]],INVESTORS_LIST[INVESTOR CODE],0),)</f>
        <v>ASHIK IQBAL CHOWDHURY</v>
      </c>
      <c r="F1035" s="46" t="s">
        <v>1016</v>
      </c>
      <c r="G1035" s="46">
        <f>COUNTIF(SIP[[#Headers],[Investor ID]]:SIP[[#This Row],[Investor ID]],SIP[[#This Row],[Investor ID]])</f>
        <v>18</v>
      </c>
      <c r="H1035" s="46" t="str">
        <f>CONCATENATE(SIP[[#This Row],[Frequency]],SIP[[#This Row],[Investor ID]])</f>
        <v>18A00485</v>
      </c>
      <c r="I1035" s="46" t="str">
        <f>IF(SIP[[#This Row],[B/S]]="B","BUY",(IF(SIP[[#This Row],[B/S]]="S","SELL"," ")))</f>
        <v>SELL</v>
      </c>
      <c r="J1035" s="150" t="s">
        <v>1231</v>
      </c>
      <c r="K1035" s="152">
        <v>-5000</v>
      </c>
      <c r="L1035" s="122"/>
      <c r="M1035" s="123">
        <f>SIP[[#This Row],[Amount]]/SIP[[#This Row],[Unit]]</f>
        <v>12.690355329949238</v>
      </c>
      <c r="N1035" s="71">
        <f>SIP[[#This Row],[Unit Capital]]/10</f>
        <v>-394</v>
      </c>
      <c r="O1035" s="71">
        <f>SUMIFS(SIP[[#Headers],[Unit]]:SIP[[#This Row],[Unit]],SIP[[#Headers],[Investor ID]]:SIP[[#This Row],[Investor ID]],SIP[[#This Row],[Investor ID]])</f>
        <v>6507</v>
      </c>
      <c r="P1035" s="153">
        <v>-3940</v>
      </c>
      <c r="Q1035" s="74">
        <f>SIP[[#This Row],[Amount]]-SIP[[#This Row],[Unit Capital]]</f>
        <v>-1060</v>
      </c>
      <c r="R10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10.927679680079152</v>
      </c>
      <c r="S1035" s="68">
        <f t="shared" ref="S1035:S1052" si="49">NAV_MKT</f>
        <v>14.224</v>
      </c>
      <c r="T1035" s="74">
        <f>IF(SIP[[#This Row],[B/S]]="B",0,ABS(SIP[[#This Row],[Unit]])*(SIP[[#This Row],[NAV (Strike Rate)]]-INDEX(SIP[NAV at Cost (Average)],MATCH(CONCATENATE(SIP[[#This Row],[Frequency]]-1,SIP[[#This Row],[Investor ID]]),SIP[Unique Code],0),)))</f>
        <v>694.49420604881402</v>
      </c>
      <c r="U1035" s="74" cm="1">
        <f t="array" ref="U1035">IF(SIP[[#This Row],[B/S]]="S",ABS(SIP[[#This Row],[Unit]])*(INDEX(SIP[NAV at Cost (Average)],MATCH(CONCATENATE((SIP[[#This Row],[Frequency]]-1),SIP[[#This Row],[Investor ID]]),SIP[Unique Code],0),0)),0)</f>
        <v>4305.5057939511853</v>
      </c>
      <c r="V1035" s="74">
        <f>IF(SIP[[#This Row],[BO TRANSFER]]="YES",SIP[[#This Row],[Unit]],)</f>
        <v>0</v>
      </c>
      <c r="W1035" s="74">
        <f>SUMIFS(SIP[[#Headers],[BO UNIT TRANSFER]]:SIP[[#This Row],[BO UNIT TRANSFER]],SIP[[#Headers],[Investor ID]]:SIP[[#This Row],[Investor ID]],SIP[[#This Row],[Investor ID]])</f>
        <v>0</v>
      </c>
    </row>
    <row r="1036" spans="1:23" ht="15" customHeight="1">
      <c r="A1036" s="101">
        <v>2025</v>
      </c>
      <c r="B1036" s="101">
        <v>2</v>
      </c>
      <c r="C1036" s="101">
        <v>26</v>
      </c>
      <c r="D1036" s="65">
        <f>DATE(SIP[[#This Row],[Year]],SIP[[#This Row],[Month]],SIP[[#This Row],[Day]])</f>
        <v>45714</v>
      </c>
      <c r="E1036" s="66" t="str" cm="1">
        <f t="array" ref="E1036">INDEX(INVESTORS_LIST[INVESTOR NAME],MATCH(SIP[[#This Row],[Investor ID]],INVESTORS_LIST[INVESTOR CODE],0),)</f>
        <v>MD MIZANUR RAHMAN</v>
      </c>
      <c r="F1036" s="46" t="s">
        <v>1304</v>
      </c>
      <c r="G1036" s="46">
        <f>COUNTIF(SIP[[#Headers],[Investor ID]]:SIP[[#This Row],[Investor ID]],SIP[[#This Row],[Investor ID]])</f>
        <v>4</v>
      </c>
      <c r="H1036" s="46" t="str">
        <f>CONCATENATE(SIP[[#This Row],[Frequency]],SIP[[#This Row],[Investor ID]])</f>
        <v>4A00599</v>
      </c>
      <c r="I1036" s="46" t="str">
        <f>IF(SIP[[#This Row],[B/S]]="B","BUY",(IF(SIP[[#This Row],[B/S]]="S","SELL"," ")))</f>
        <v>SELL</v>
      </c>
      <c r="J1036" s="150" t="s">
        <v>1231</v>
      </c>
      <c r="K1036" s="152">
        <v>-5000</v>
      </c>
      <c r="L1036" s="122"/>
      <c r="M1036" s="123">
        <f>SIP[[#This Row],[Amount]]/SIP[[#This Row],[Unit]]</f>
        <v>12.690355329949238</v>
      </c>
      <c r="N1036" s="71">
        <f>SIP[[#This Row],[Unit Capital]]/10</f>
        <v>-394</v>
      </c>
      <c r="O1036" s="71">
        <f>SUMIFS(SIP[[#Headers],[Unit]]:SIP[[#This Row],[Unit]],SIP[[#Headers],[Investor ID]]:SIP[[#This Row],[Investor ID]],SIP[[#This Row],[Investor ID]])</f>
        <v>1232</v>
      </c>
      <c r="P1036" s="153">
        <v>-3940</v>
      </c>
      <c r="Q1036" s="74">
        <f>SIP[[#This Row],[Amount]]-SIP[[#This Row],[Unit Capital]]</f>
        <v>-1060</v>
      </c>
      <c r="R10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12.300123001230013</v>
      </c>
      <c r="S1036" s="68">
        <f t="shared" si="49"/>
        <v>14.224</v>
      </c>
      <c r="T1036" s="74">
        <f>IF(SIP[[#This Row],[B/S]]="B",0,ABS(SIP[[#This Row],[Unit]])*(SIP[[#This Row],[NAV (Strike Rate)]]-INDEX(SIP[NAV at Cost (Average)],MATCH(CONCATENATE(SIP[[#This Row],[Frequency]]-1,SIP[[#This Row],[Investor ID]]),SIP[Unique Code],0),)))</f>
        <v>153.75153751537476</v>
      </c>
      <c r="U1036" s="74" cm="1">
        <f t="array" ref="U1036">IF(SIP[[#This Row],[B/S]]="S",ABS(SIP[[#This Row],[Unit]])*(INDEX(SIP[NAV at Cost (Average)],MATCH(CONCATENATE((SIP[[#This Row],[Frequency]]-1),SIP[[#This Row],[Investor ID]]),SIP[Unique Code],0),0)),0)</f>
        <v>4846.2484624846247</v>
      </c>
      <c r="V1036" s="74">
        <f>IF(SIP[[#This Row],[BO TRANSFER]]="YES",SIP[[#This Row],[Unit]],)</f>
        <v>0</v>
      </c>
      <c r="W1036" s="74">
        <f>SUMIFS(SIP[[#Headers],[BO UNIT TRANSFER]]:SIP[[#This Row],[BO UNIT TRANSFER]],SIP[[#Headers],[Investor ID]]:SIP[[#This Row],[Investor ID]],SIP[[#This Row],[Investor ID]])</f>
        <v>0</v>
      </c>
    </row>
    <row r="1037" spans="1:23" ht="15" customHeight="1">
      <c r="A1037" s="101">
        <v>2025</v>
      </c>
      <c r="B1037" s="101">
        <v>2</v>
      </c>
      <c r="C1037" s="101">
        <v>26</v>
      </c>
      <c r="D1037" s="65">
        <f>DATE(SIP[[#This Row],[Year]],SIP[[#This Row],[Month]],SIP[[#This Row],[Day]])</f>
        <v>45714</v>
      </c>
      <c r="E1037" s="66" t="str" cm="1">
        <f t="array" ref="E1037">INDEX(INVESTORS_LIST[INVESTOR NAME],MATCH(SIP[[#This Row],[Investor ID]],INVESTORS_LIST[INVESTOR CODE],0),)</f>
        <v>SAJJAD CHOWDHURY</v>
      </c>
      <c r="F1037" s="46" t="s">
        <v>461</v>
      </c>
      <c r="G1037" s="46">
        <f>COUNTIF(SIP[[#Headers],[Investor ID]]:SIP[[#This Row],[Investor ID]],SIP[[#This Row],[Investor ID]])</f>
        <v>23</v>
      </c>
      <c r="H1037" s="46" t="str">
        <f>CONCATENATE(SIP[[#This Row],[Frequency]],SIP[[#This Row],[Investor ID]])</f>
        <v>23A00206</v>
      </c>
      <c r="I1037" s="46" t="str">
        <f>IF(SIP[[#This Row],[B/S]]="B","BUY",(IF(SIP[[#This Row],[B/S]]="S","SELL"," ")))</f>
        <v>SELL</v>
      </c>
      <c r="J1037" s="150" t="s">
        <v>1231</v>
      </c>
      <c r="K1037" s="152">
        <v>-7500</v>
      </c>
      <c r="L1037" s="122"/>
      <c r="M1037" s="123">
        <f>SIP[[#This Row],[Amount]]/SIP[[#This Row],[Unit]]</f>
        <v>12.690355329949238</v>
      </c>
      <c r="N1037" s="71">
        <f>SIP[[#This Row],[Unit Capital]]/10</f>
        <v>-591</v>
      </c>
      <c r="O1037" s="71">
        <f>SUMIFS(SIP[[#Headers],[Unit]]:SIP[[#This Row],[Unit]],SIP[[#Headers],[Investor ID]]:SIP[[#This Row],[Investor ID]],SIP[[#This Row],[Investor ID]])</f>
        <v>14396</v>
      </c>
      <c r="P1037" s="153">
        <v>-5910</v>
      </c>
      <c r="Q1037" s="74">
        <f>SIP[[#This Row],[Amount]]-SIP[[#This Row],[Unit Capital]]</f>
        <v>-1590</v>
      </c>
      <c r="R10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11.00954160272236</v>
      </c>
      <c r="S1037" s="68">
        <f t="shared" si="49"/>
        <v>14.224</v>
      </c>
      <c r="T1037" s="74">
        <f>IF(SIP[[#This Row],[B/S]]="B",0,ABS(SIP[[#This Row],[Unit]])*(SIP[[#This Row],[NAV (Strike Rate)]]-INDEX(SIP[NAV at Cost (Average)],MATCH(CONCATENATE(SIP[[#This Row],[Frequency]]-1,SIP[[#This Row],[Investor ID]]),SIP[Unique Code],0),)))</f>
        <v>993.36091279108507</v>
      </c>
      <c r="U1037" s="74" cm="1">
        <f t="array" ref="U1037">IF(SIP[[#This Row],[B/S]]="S",ABS(SIP[[#This Row],[Unit]])*(INDEX(SIP[NAV at Cost (Average)],MATCH(CONCATENATE((SIP[[#This Row],[Frequency]]-1),SIP[[#This Row],[Investor ID]]),SIP[Unique Code],0),0)),0)</f>
        <v>6506.6390872089141</v>
      </c>
      <c r="V1037" s="74">
        <f>IF(SIP[[#This Row],[BO TRANSFER]]="YES",SIP[[#This Row],[Unit]],)</f>
        <v>0</v>
      </c>
      <c r="W1037" s="74">
        <f>SUMIFS(SIP[[#Headers],[BO UNIT TRANSFER]]:SIP[[#This Row],[BO UNIT TRANSFER]],SIP[[#Headers],[Investor ID]]:SIP[[#This Row],[Investor ID]],SIP[[#This Row],[Investor ID]])</f>
        <v>0</v>
      </c>
    </row>
    <row r="1038" spans="1:23" ht="15" customHeight="1">
      <c r="A1038" s="101">
        <v>2025</v>
      </c>
      <c r="B1038" s="101">
        <v>2</v>
      </c>
      <c r="C1038" s="101">
        <v>5</v>
      </c>
      <c r="D1038" s="65">
        <f>DATE(SIP[[#This Row],[Year]],SIP[[#This Row],[Month]],SIP[[#This Row],[Day]])</f>
        <v>45693</v>
      </c>
      <c r="E1038" s="66" t="str" cm="1">
        <f t="array" ref="E1038">INDEX(INVESTORS_LIST[INVESTOR NAME],MATCH(SIP[[#This Row],[Investor ID]],INVESTORS_LIST[INVESTOR CODE],0),)</f>
        <v>NANDINI SAHA</v>
      </c>
      <c r="F1038" s="46" t="s">
        <v>242</v>
      </c>
      <c r="G1038" s="46">
        <f>COUNTIF(SIP[[#Headers],[Investor ID]]:SIP[[#This Row],[Investor ID]],SIP[[#This Row],[Investor ID]])</f>
        <v>22</v>
      </c>
      <c r="H1038" s="46" t="str">
        <f>CONCATENATE(SIP[[#This Row],[Frequency]],SIP[[#This Row],[Investor ID]])</f>
        <v>22A00097</v>
      </c>
      <c r="I1038" s="46" t="str">
        <f>IF(SIP[[#This Row],[B/S]]="B","BUY",(IF(SIP[[#This Row],[B/S]]="S","SELL"," ")))</f>
        <v>BUY</v>
      </c>
      <c r="J1038" s="150" t="s">
        <v>1229</v>
      </c>
      <c r="K1038" s="152">
        <v>30000</v>
      </c>
      <c r="L1038" s="122"/>
      <c r="M1038" s="123">
        <f>SIP[[#This Row],[Amount]]/SIP[[#This Row],[Unit]]</f>
        <v>12.701100762066046</v>
      </c>
      <c r="N1038" s="71">
        <f>SIP[[#This Row],[Unit Capital]]/10</f>
        <v>2362</v>
      </c>
      <c r="O1038" s="71">
        <f>SUMIFS(SIP[[#Headers],[Unit]]:SIP[[#This Row],[Unit]],SIP[[#Headers],[Investor ID]]:SIP[[#This Row],[Investor ID]],SIP[[#This Row],[Investor ID]])</f>
        <v>59974</v>
      </c>
      <c r="P1038" s="153">
        <v>23620</v>
      </c>
      <c r="Q1038" s="74">
        <f>SIP[[#This Row],[Amount]]-SIP[[#This Row],[Unit Capital]]</f>
        <v>6380</v>
      </c>
      <c r="R10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11.004768733117682</v>
      </c>
      <c r="S1038" s="68">
        <f t="shared" si="49"/>
        <v>14.224</v>
      </c>
      <c r="T10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8" s="74" cm="1">
        <f t="array" ref="U1038">IF(SIP[[#This Row],[B/S]]="S",ABS(SIP[[#This Row],[Unit]])*(INDEX(SIP[NAV at Cost (Average)],MATCH(CONCATENATE((SIP[[#This Row],[Frequency]]-1),SIP[[#This Row],[Investor ID]]),SIP[Unique Code],0),0)),0)</f>
        <v>0</v>
      </c>
      <c r="V1038" s="74">
        <f>IF(SIP[[#This Row],[BO TRANSFER]]="YES",SIP[[#This Row],[Unit]],)</f>
        <v>0</v>
      </c>
      <c r="W1038" s="74">
        <f>SUMIFS(SIP[[#Headers],[BO UNIT TRANSFER]]:SIP[[#This Row],[BO UNIT TRANSFER]],SIP[[#Headers],[Investor ID]]:SIP[[#This Row],[Investor ID]],SIP[[#This Row],[Investor ID]])</f>
        <v>0</v>
      </c>
    </row>
    <row r="1039" spans="1:23" ht="15" customHeight="1">
      <c r="A1039" s="101">
        <v>2025</v>
      </c>
      <c r="B1039" s="101">
        <v>2</v>
      </c>
      <c r="C1039" s="101">
        <v>5</v>
      </c>
      <c r="D1039" s="65">
        <f>DATE(SIP[[#This Row],[Year]],SIP[[#This Row],[Month]],SIP[[#This Row],[Day]])</f>
        <v>45693</v>
      </c>
      <c r="E1039" s="66" t="str" cm="1">
        <f t="array" ref="E1039">INDEX(INVESTORS_LIST[INVESTOR NAME],MATCH(SIP[[#This Row],[Investor ID]],INVESTORS_LIST[INVESTOR CODE],0),)</f>
        <v>SHANTA PAUL</v>
      </c>
      <c r="F1039" s="46" t="s">
        <v>544</v>
      </c>
      <c r="G1039" s="46">
        <f>COUNTIF(SIP[[#Headers],[Investor ID]]:SIP[[#This Row],[Investor ID]],SIP[[#This Row],[Investor ID]])</f>
        <v>23</v>
      </c>
      <c r="H1039" s="46" t="str">
        <f>CONCATENATE(SIP[[#This Row],[Frequency]],SIP[[#This Row],[Investor ID]])</f>
        <v>23A00247</v>
      </c>
      <c r="I1039" s="46" t="str">
        <f>IF(SIP[[#This Row],[B/S]]="B","BUY",(IF(SIP[[#This Row],[B/S]]="S","SELL"," ")))</f>
        <v>BUY</v>
      </c>
      <c r="J1039" s="150" t="s">
        <v>1229</v>
      </c>
      <c r="K1039" s="152">
        <v>20000</v>
      </c>
      <c r="L1039" s="122"/>
      <c r="M1039" s="123">
        <f>SIP[[#This Row],[Amount]]/SIP[[#This Row],[Unit]]</f>
        <v>12.698412698412698</v>
      </c>
      <c r="N1039" s="71">
        <f>SIP[[#This Row],[Unit Capital]]/10</f>
        <v>1575</v>
      </c>
      <c r="O1039" s="71">
        <f>SUMIFS(SIP[[#Headers],[Unit]]:SIP[[#This Row],[Unit]],SIP[[#Headers],[Investor ID]]:SIP[[#This Row],[Investor ID]],SIP[[#This Row],[Investor ID]])</f>
        <v>42143</v>
      </c>
      <c r="P1039" s="153">
        <v>15750</v>
      </c>
      <c r="Q1039" s="74">
        <f>SIP[[#This Row],[Amount]]-SIP[[#This Row],[Unit Capital]]</f>
        <v>4250</v>
      </c>
      <c r="R10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10.91521723655174</v>
      </c>
      <c r="S1039" s="68">
        <f t="shared" si="49"/>
        <v>14.224</v>
      </c>
      <c r="T10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9" s="74" cm="1">
        <f t="array" ref="U1039">IF(SIP[[#This Row],[B/S]]="S",ABS(SIP[[#This Row],[Unit]])*(INDEX(SIP[NAV at Cost (Average)],MATCH(CONCATENATE((SIP[[#This Row],[Frequency]]-1),SIP[[#This Row],[Investor ID]]),SIP[Unique Code],0),0)),0)</f>
        <v>0</v>
      </c>
      <c r="V1039" s="74">
        <f>IF(SIP[[#This Row],[BO TRANSFER]]="YES",SIP[[#This Row],[Unit]],)</f>
        <v>0</v>
      </c>
      <c r="W1039" s="74">
        <f>SUMIFS(SIP[[#Headers],[BO UNIT TRANSFER]]:SIP[[#This Row],[BO UNIT TRANSFER]],SIP[[#Headers],[Investor ID]]:SIP[[#This Row],[Investor ID]],SIP[[#This Row],[Investor ID]])</f>
        <v>0</v>
      </c>
    </row>
    <row r="1040" spans="1:23" ht="15" customHeight="1">
      <c r="A1040" s="101">
        <v>2025</v>
      </c>
      <c r="B1040" s="101">
        <v>2</v>
      </c>
      <c r="C1040" s="101">
        <v>5</v>
      </c>
      <c r="D1040" s="65">
        <f>DATE(SIP[[#This Row],[Year]],SIP[[#This Row],[Month]],SIP[[#This Row],[Day]])</f>
        <v>45693</v>
      </c>
      <c r="E1040" s="66" t="str" cm="1">
        <f t="array" ref="E1040">INDEX(INVESTORS_LIST[INVESTOR NAME],MATCH(SIP[[#This Row],[Investor ID]],INVESTORS_LIST[INVESTOR CODE],0),)</f>
        <v>ROKSABA KASEM</v>
      </c>
      <c r="F1040" s="46" t="s">
        <v>900</v>
      </c>
      <c r="G1040" s="46">
        <f>COUNTIF(SIP[[#Headers],[Investor ID]]:SIP[[#This Row],[Investor ID]],SIP[[#This Row],[Investor ID]])</f>
        <v>22</v>
      </c>
      <c r="H1040" s="46" t="str">
        <f>CONCATENATE(SIP[[#This Row],[Frequency]],SIP[[#This Row],[Investor ID]])</f>
        <v>22A00427</v>
      </c>
      <c r="I1040" s="46" t="str">
        <f>IF(SIP[[#This Row],[B/S]]="B","BUY",(IF(SIP[[#This Row],[B/S]]="S","SELL"," ")))</f>
        <v>BUY</v>
      </c>
      <c r="J1040" s="150" t="s">
        <v>1229</v>
      </c>
      <c r="K1040" s="152">
        <v>20000</v>
      </c>
      <c r="L1040" s="122"/>
      <c r="M1040" s="123">
        <f>SIP[[#This Row],[Amount]]/SIP[[#This Row],[Unit]]</f>
        <v>12.698412698412698</v>
      </c>
      <c r="N1040" s="71">
        <f>SIP[[#This Row],[Unit Capital]]/10</f>
        <v>1575</v>
      </c>
      <c r="O1040" s="71">
        <f>SUMIFS(SIP[[#Headers],[Unit]]:SIP[[#This Row],[Unit]],SIP[[#Headers],[Investor ID]]:SIP[[#This Row],[Investor ID]],SIP[[#This Row],[Investor ID]])</f>
        <v>39877</v>
      </c>
      <c r="P1040" s="153">
        <v>15750</v>
      </c>
      <c r="Q1040" s="74">
        <f>SIP[[#This Row],[Amount]]-SIP[[#This Row],[Unit Capital]]</f>
        <v>4250</v>
      </c>
      <c r="R10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11.033929332698051</v>
      </c>
      <c r="S1040" s="68">
        <f t="shared" si="49"/>
        <v>14.224</v>
      </c>
      <c r="T10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0" s="74" cm="1">
        <f t="array" ref="U1040">IF(SIP[[#This Row],[B/S]]="S",ABS(SIP[[#This Row],[Unit]])*(INDEX(SIP[NAV at Cost (Average)],MATCH(CONCATENATE((SIP[[#This Row],[Frequency]]-1),SIP[[#This Row],[Investor ID]]),SIP[Unique Code],0),0)),0)</f>
        <v>0</v>
      </c>
      <c r="V1040" s="74">
        <f>IF(SIP[[#This Row],[BO TRANSFER]]="YES",SIP[[#This Row],[Unit]],)</f>
        <v>0</v>
      </c>
      <c r="W1040" s="74">
        <f>SUMIFS(SIP[[#Headers],[BO UNIT TRANSFER]]:SIP[[#This Row],[BO UNIT TRANSFER]],SIP[[#Headers],[Investor ID]]:SIP[[#This Row],[Investor ID]],SIP[[#This Row],[Investor ID]])</f>
        <v>0</v>
      </c>
    </row>
    <row r="1041" spans="1:23" ht="15" customHeight="1">
      <c r="A1041" s="101">
        <v>2025</v>
      </c>
      <c r="B1041" s="101">
        <v>2</v>
      </c>
      <c r="C1041" s="101">
        <v>5</v>
      </c>
      <c r="D1041" s="65">
        <f>DATE(SIP[[#This Row],[Year]],SIP[[#This Row],[Month]],SIP[[#This Row],[Day]])</f>
        <v>45693</v>
      </c>
      <c r="E1041" s="66" t="str" cm="1">
        <f t="array" ref="E1041">INDEX(INVESTORS_LIST[INVESTOR NAME],MATCH(SIP[[#This Row],[Investor ID]],INVESTORS_LIST[INVESTOR CODE],0),)</f>
        <v>MD. MONIRUL ISLAM</v>
      </c>
      <c r="F1041" s="46" t="s">
        <v>996</v>
      </c>
      <c r="G1041" s="46">
        <f>COUNTIF(SIP[[#Headers],[Investor ID]]:SIP[[#This Row],[Investor ID]],SIP[[#This Row],[Investor ID]])</f>
        <v>23</v>
      </c>
      <c r="H1041" s="46" t="str">
        <f>CONCATENATE(SIP[[#This Row],[Frequency]],SIP[[#This Row],[Investor ID]])</f>
        <v>23A00475</v>
      </c>
      <c r="I1041" s="46" t="str">
        <f>IF(SIP[[#This Row],[B/S]]="B","BUY",(IF(SIP[[#This Row],[B/S]]="S","SELL"," ")))</f>
        <v>BUY</v>
      </c>
      <c r="J1041" s="150" t="s">
        <v>1229</v>
      </c>
      <c r="K1041" s="152">
        <v>10000</v>
      </c>
      <c r="L1041" s="122"/>
      <c r="M1041" s="123">
        <f>SIP[[#This Row],[Amount]]/SIP[[#This Row],[Unit]]</f>
        <v>12.706480304955527</v>
      </c>
      <c r="N1041" s="71">
        <f>SIP[[#This Row],[Unit Capital]]/10</f>
        <v>787</v>
      </c>
      <c r="O1041" s="71">
        <f>SUMIFS(SIP[[#Headers],[Unit]]:SIP[[#This Row],[Unit]],SIP[[#Headers],[Investor ID]]:SIP[[#This Row],[Investor ID]],SIP[[#This Row],[Investor ID]])</f>
        <v>20925</v>
      </c>
      <c r="P1041" s="153">
        <v>7870</v>
      </c>
      <c r="Q1041" s="74">
        <f>SIP[[#This Row],[Amount]]-SIP[[#This Row],[Unit Capital]]</f>
        <v>2130</v>
      </c>
      <c r="R10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10.991636798088409</v>
      </c>
      <c r="S1041" s="68">
        <f t="shared" si="49"/>
        <v>14.224</v>
      </c>
      <c r="T10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1" s="74" cm="1">
        <f t="array" ref="U1041">IF(SIP[[#This Row],[B/S]]="S",ABS(SIP[[#This Row],[Unit]])*(INDEX(SIP[NAV at Cost (Average)],MATCH(CONCATENATE((SIP[[#This Row],[Frequency]]-1),SIP[[#This Row],[Investor ID]]),SIP[Unique Code],0),0)),0)</f>
        <v>0</v>
      </c>
      <c r="V1041" s="74">
        <f>IF(SIP[[#This Row],[BO TRANSFER]]="YES",SIP[[#This Row],[Unit]],)</f>
        <v>0</v>
      </c>
      <c r="W1041" s="74">
        <f>SUMIFS(SIP[[#Headers],[BO UNIT TRANSFER]]:SIP[[#This Row],[BO UNIT TRANSFER]],SIP[[#Headers],[Investor ID]]:SIP[[#This Row],[Investor ID]],SIP[[#This Row],[Investor ID]])</f>
        <v>0</v>
      </c>
    </row>
    <row r="1042" spans="1:23" ht="15" customHeight="1">
      <c r="A1042" s="101">
        <v>2025</v>
      </c>
      <c r="B1042" s="101">
        <v>2</v>
      </c>
      <c r="C1042" s="101">
        <v>5</v>
      </c>
      <c r="D1042" s="65">
        <f>DATE(SIP[[#This Row],[Year]],SIP[[#This Row],[Month]],SIP[[#This Row],[Day]])</f>
        <v>45693</v>
      </c>
      <c r="E1042" s="66" t="str" cm="1">
        <f t="array" ref="E1042">INDEX(INVESTORS_LIST[INVESTOR NAME],MATCH(SIP[[#This Row],[Investor ID]],INVESTORS_LIST[INVESTOR CODE],0),)</f>
        <v>SABRIA ISLAM TALUKDER</v>
      </c>
      <c r="F1042" s="46" t="s">
        <v>409</v>
      </c>
      <c r="G1042" s="46">
        <f>COUNTIF(SIP[[#Headers],[Investor ID]]:SIP[[#This Row],[Investor ID]],SIP[[#This Row],[Investor ID]])</f>
        <v>19</v>
      </c>
      <c r="H1042" s="46" t="str">
        <f>CONCATENATE(SIP[[#This Row],[Frequency]],SIP[[#This Row],[Investor ID]])</f>
        <v>19A00180</v>
      </c>
      <c r="I1042" s="46" t="str">
        <f>IF(SIP[[#This Row],[B/S]]="B","BUY",(IF(SIP[[#This Row],[B/S]]="S","SELL"," ")))</f>
        <v>BUY</v>
      </c>
      <c r="J1042" s="150" t="s">
        <v>1229</v>
      </c>
      <c r="K1042" s="152">
        <v>5000</v>
      </c>
      <c r="L1042" s="122"/>
      <c r="M1042" s="123">
        <f>SIP[[#This Row],[Amount]]/SIP[[#This Row],[Unit]]</f>
        <v>12.690355329949238</v>
      </c>
      <c r="N1042" s="71">
        <f>SIP[[#This Row],[Unit Capital]]/10</f>
        <v>394</v>
      </c>
      <c r="O1042" s="71">
        <f>SUMIFS(SIP[[#Headers],[Unit]]:SIP[[#This Row],[Unit]],SIP[[#Headers],[Investor ID]]:SIP[[#This Row],[Investor ID]],SIP[[#This Row],[Investor ID]])</f>
        <v>8509</v>
      </c>
      <c r="P1042" s="153">
        <v>3940</v>
      </c>
      <c r="Q1042" s="74">
        <f>SIP[[#This Row],[Amount]]-SIP[[#This Row],[Unit Capital]]</f>
        <v>1060</v>
      </c>
      <c r="R10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11.164649194970032</v>
      </c>
      <c r="S1042" s="68">
        <f t="shared" si="49"/>
        <v>14.224</v>
      </c>
      <c r="T10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2" s="74" cm="1">
        <f t="array" ref="U1042">IF(SIP[[#This Row],[B/S]]="S",ABS(SIP[[#This Row],[Unit]])*(INDEX(SIP[NAV at Cost (Average)],MATCH(CONCATENATE((SIP[[#This Row],[Frequency]]-1),SIP[[#This Row],[Investor ID]]),SIP[Unique Code],0),0)),0)</f>
        <v>0</v>
      </c>
      <c r="V1042" s="74">
        <f>IF(SIP[[#This Row],[BO TRANSFER]]="YES",SIP[[#This Row],[Unit]],)</f>
        <v>0</v>
      </c>
      <c r="W1042" s="74">
        <f>SUMIFS(SIP[[#Headers],[BO UNIT TRANSFER]]:SIP[[#This Row],[BO UNIT TRANSFER]],SIP[[#Headers],[Investor ID]]:SIP[[#This Row],[Investor ID]],SIP[[#This Row],[Investor ID]])</f>
        <v>0</v>
      </c>
    </row>
    <row r="1043" spans="1:23" ht="15" customHeight="1">
      <c r="A1043" s="101">
        <v>2025</v>
      </c>
      <c r="B1043" s="101">
        <v>2</v>
      </c>
      <c r="C1043" s="101">
        <v>5</v>
      </c>
      <c r="D1043" s="65">
        <f>DATE(SIP[[#This Row],[Year]],SIP[[#This Row],[Month]],SIP[[#This Row],[Day]])</f>
        <v>45693</v>
      </c>
      <c r="E1043" s="66" t="str" cm="1">
        <f t="array" ref="E1043">INDEX(INVESTORS_LIST[INVESTOR NAME],MATCH(SIP[[#This Row],[Investor ID]],INVESTORS_LIST[INVESTOR CODE],0),)</f>
        <v>MONIR AHMED</v>
      </c>
      <c r="F1043" s="46" t="s">
        <v>125</v>
      </c>
      <c r="G1043" s="46">
        <f>COUNTIF(SIP[[#Headers],[Investor ID]]:SIP[[#This Row],[Investor ID]],SIP[[#This Row],[Investor ID]])</f>
        <v>22</v>
      </c>
      <c r="H1043" s="46" t="str">
        <f>CONCATENATE(SIP[[#This Row],[Frequency]],SIP[[#This Row],[Investor ID]])</f>
        <v>22A00039</v>
      </c>
      <c r="I1043" s="46" t="str">
        <f>IF(SIP[[#This Row],[B/S]]="B","BUY",(IF(SIP[[#This Row],[B/S]]="S","SELL"," ")))</f>
        <v>BUY</v>
      </c>
      <c r="J1043" s="150" t="s">
        <v>1229</v>
      </c>
      <c r="K1043" s="152">
        <v>10000</v>
      </c>
      <c r="L1043" s="122"/>
      <c r="M1043" s="123">
        <f>SIP[[#This Row],[Amount]]/SIP[[#This Row],[Unit]]</f>
        <v>12.706480304955527</v>
      </c>
      <c r="N1043" s="71">
        <f>SIP[[#This Row],[Unit Capital]]/10</f>
        <v>787</v>
      </c>
      <c r="O1043" s="71">
        <f>SUMIFS(SIP[[#Headers],[Unit]]:SIP[[#This Row],[Unit]],SIP[[#Headers],[Investor ID]]:SIP[[#This Row],[Investor ID]],SIP[[#This Row],[Investor ID]])</f>
        <v>8388</v>
      </c>
      <c r="P1043" s="153">
        <v>7870</v>
      </c>
      <c r="Q1043" s="74">
        <f>SIP[[#This Row],[Amount]]-SIP[[#This Row],[Unit Capital]]</f>
        <v>2130</v>
      </c>
      <c r="R10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11.325703385789222</v>
      </c>
      <c r="S1043" s="68">
        <f t="shared" si="49"/>
        <v>14.224</v>
      </c>
      <c r="T10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3" s="74" cm="1">
        <f t="array" ref="U1043">IF(SIP[[#This Row],[B/S]]="S",ABS(SIP[[#This Row],[Unit]])*(INDEX(SIP[NAV at Cost (Average)],MATCH(CONCATENATE((SIP[[#This Row],[Frequency]]-1),SIP[[#This Row],[Investor ID]]),SIP[Unique Code],0),0)),0)</f>
        <v>0</v>
      </c>
      <c r="V1043" s="74">
        <f>IF(SIP[[#This Row],[BO TRANSFER]]="YES",SIP[[#This Row],[Unit]],)</f>
        <v>0</v>
      </c>
      <c r="W1043" s="74">
        <f>SUMIFS(SIP[[#Headers],[BO UNIT TRANSFER]]:SIP[[#This Row],[BO UNIT TRANSFER]],SIP[[#Headers],[Investor ID]]:SIP[[#This Row],[Investor ID]],SIP[[#This Row],[Investor ID]])</f>
        <v>0</v>
      </c>
    </row>
    <row r="1044" spans="1:23" ht="15" customHeight="1">
      <c r="A1044" s="101">
        <v>2025</v>
      </c>
      <c r="B1044" s="101">
        <v>2</v>
      </c>
      <c r="C1044" s="101">
        <v>5</v>
      </c>
      <c r="D1044" s="65">
        <f>DATE(SIP[[#This Row],[Year]],SIP[[#This Row],[Month]],SIP[[#This Row],[Day]])</f>
        <v>45693</v>
      </c>
      <c r="E1044" s="66" t="str" cm="1">
        <f t="array" ref="E1044">INDEX(INVESTORS_LIST[INVESTOR NAME],MATCH(SIP[[#This Row],[Investor ID]],INVESTORS_LIST[INVESTOR CODE],0),)</f>
        <v>AHMED BIN MONSUR</v>
      </c>
      <c r="F1044" s="46" t="s">
        <v>692</v>
      </c>
      <c r="G1044" s="46">
        <f>COUNTIF(SIP[[#Headers],[Investor ID]]:SIP[[#This Row],[Investor ID]],SIP[[#This Row],[Investor ID]])</f>
        <v>11</v>
      </c>
      <c r="H1044" s="46" t="str">
        <f>CONCATENATE(SIP[[#This Row],[Frequency]],SIP[[#This Row],[Investor ID]])</f>
        <v>11A00322</v>
      </c>
      <c r="I1044" s="46" t="str">
        <f>IF(SIP[[#This Row],[B/S]]="B","BUY",(IF(SIP[[#This Row],[B/S]]="S","SELL"," ")))</f>
        <v>BUY</v>
      </c>
      <c r="J1044" s="150" t="s">
        <v>1229</v>
      </c>
      <c r="K1044" s="152">
        <v>20000</v>
      </c>
      <c r="L1044" s="122"/>
      <c r="M1044" s="123">
        <f>SIP[[#This Row],[Amount]]/SIP[[#This Row],[Unit]]</f>
        <v>12.698412698412698</v>
      </c>
      <c r="N1044" s="71">
        <f>SIP[[#This Row],[Unit Capital]]/10</f>
        <v>1575</v>
      </c>
      <c r="O1044" s="71">
        <f>SUMIFS(SIP[[#Headers],[Unit]]:SIP[[#This Row],[Unit]],SIP[[#Headers],[Investor ID]]:SIP[[#This Row],[Investor ID]],SIP[[#This Row],[Investor ID]])</f>
        <v>4943</v>
      </c>
      <c r="P1044" s="153">
        <v>15750</v>
      </c>
      <c r="Q1044" s="74">
        <f>SIP[[#This Row],[Amount]]-SIP[[#This Row],[Unit Capital]]</f>
        <v>4250</v>
      </c>
      <c r="R10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12.009519992887064</v>
      </c>
      <c r="S1044" s="68">
        <f t="shared" si="49"/>
        <v>14.224</v>
      </c>
      <c r="T10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4" s="74" cm="1">
        <f t="array" ref="U1044">IF(SIP[[#This Row],[B/S]]="S",ABS(SIP[[#This Row],[Unit]])*(INDEX(SIP[NAV at Cost (Average)],MATCH(CONCATENATE((SIP[[#This Row],[Frequency]]-1),SIP[[#This Row],[Investor ID]]),SIP[Unique Code],0),0)),0)</f>
        <v>0</v>
      </c>
      <c r="V1044" s="74">
        <f>IF(SIP[[#This Row],[BO TRANSFER]]="YES",SIP[[#This Row],[Unit]],)</f>
        <v>0</v>
      </c>
      <c r="W1044" s="74">
        <f>SUMIFS(SIP[[#Headers],[BO UNIT TRANSFER]]:SIP[[#This Row],[BO UNIT TRANSFER]],SIP[[#Headers],[Investor ID]]:SIP[[#This Row],[Investor ID]],SIP[[#This Row],[Investor ID]])</f>
        <v>0</v>
      </c>
    </row>
    <row r="1045" spans="1:23" ht="15" customHeight="1">
      <c r="A1045" s="101">
        <v>2025</v>
      </c>
      <c r="B1045" s="101">
        <v>2</v>
      </c>
      <c r="C1045" s="101">
        <v>5</v>
      </c>
      <c r="D1045" s="65">
        <f>DATE(SIP[[#This Row],[Year]],SIP[[#This Row],[Month]],SIP[[#This Row],[Day]])</f>
        <v>45693</v>
      </c>
      <c r="E1045" s="66" t="str" cm="1">
        <f t="array" ref="E1045">INDEX(INVESTORS_LIST[INVESTOR NAME],MATCH(SIP[[#This Row],[Investor ID]],INVESTORS_LIST[INVESTOR CODE],0),)</f>
        <v>AKIB TANVIR ANJUM</v>
      </c>
      <c r="F1045" s="46" t="s">
        <v>1116</v>
      </c>
      <c r="G1045" s="46">
        <f>COUNTIF(SIP[[#Headers],[Investor ID]]:SIP[[#This Row],[Investor ID]],SIP[[#This Row],[Investor ID]])</f>
        <v>18</v>
      </c>
      <c r="H1045" s="46" t="str">
        <f>CONCATENATE(SIP[[#This Row],[Frequency]],SIP[[#This Row],[Investor ID]])</f>
        <v>18A00533</v>
      </c>
      <c r="I1045" s="46" t="str">
        <f>IF(SIP[[#This Row],[B/S]]="B","BUY",(IF(SIP[[#This Row],[B/S]]="S","SELL"," ")))</f>
        <v>BUY</v>
      </c>
      <c r="J1045" s="150" t="s">
        <v>1229</v>
      </c>
      <c r="K1045" s="152">
        <v>4000</v>
      </c>
      <c r="L1045" s="122"/>
      <c r="M1045" s="123">
        <f>SIP[[#This Row],[Amount]]/SIP[[#This Row],[Unit]]</f>
        <v>12.698412698412698</v>
      </c>
      <c r="N1045" s="71">
        <f>SIP[[#This Row],[Unit Capital]]/10</f>
        <v>315</v>
      </c>
      <c r="O1045" s="71">
        <f>SUMIFS(SIP[[#Headers],[Unit]]:SIP[[#This Row],[Unit]],SIP[[#Headers],[Investor ID]]:SIP[[#This Row],[Investor ID]],SIP[[#This Row],[Investor ID]])</f>
        <v>1757</v>
      </c>
      <c r="P1045" s="153">
        <v>3150</v>
      </c>
      <c r="Q1045" s="74">
        <f>SIP[[#This Row],[Amount]]-SIP[[#This Row],[Unit Capital]]</f>
        <v>850</v>
      </c>
      <c r="R10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11.824265824432931</v>
      </c>
      <c r="S1045" s="68">
        <f t="shared" si="49"/>
        <v>14.224</v>
      </c>
      <c r="T10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5" s="74" cm="1">
        <f t="array" ref="U1045">IF(SIP[[#This Row],[B/S]]="S",ABS(SIP[[#This Row],[Unit]])*(INDEX(SIP[NAV at Cost (Average)],MATCH(CONCATENATE((SIP[[#This Row],[Frequency]]-1),SIP[[#This Row],[Investor ID]]),SIP[Unique Code],0),0)),0)</f>
        <v>0</v>
      </c>
      <c r="V1045" s="74">
        <f>IF(SIP[[#This Row],[BO TRANSFER]]="YES",SIP[[#This Row],[Unit]],)</f>
        <v>0</v>
      </c>
      <c r="W1045" s="74">
        <f>SUMIFS(SIP[[#Headers],[BO UNIT TRANSFER]]:SIP[[#This Row],[BO UNIT TRANSFER]],SIP[[#Headers],[Investor ID]]:SIP[[#This Row],[Investor ID]],SIP[[#This Row],[Investor ID]])</f>
        <v>0</v>
      </c>
    </row>
    <row r="1046" spans="1:23" ht="15" customHeight="1">
      <c r="A1046" s="101">
        <v>2025</v>
      </c>
      <c r="B1046" s="101">
        <v>2</v>
      </c>
      <c r="C1046" s="101">
        <v>5</v>
      </c>
      <c r="D1046" s="65">
        <f>DATE(SIP[[#This Row],[Year]],SIP[[#This Row],[Month]],SIP[[#This Row],[Day]])</f>
        <v>45693</v>
      </c>
      <c r="E1046" s="66" t="str" cm="1">
        <f t="array" ref="E1046">INDEX(INVESTORS_LIST[INVESTOR NAME],MATCH(SIP[[#This Row],[Investor ID]],INVESTORS_LIST[INVESTOR CODE],0),)</f>
        <v>FAKARUDDIN ALI AHMED</v>
      </c>
      <c r="F1046" s="46" t="s">
        <v>228</v>
      </c>
      <c r="G1046" s="46">
        <f>COUNTIF(SIP[[#Headers],[Investor ID]]:SIP[[#This Row],[Investor ID]],SIP[[#This Row],[Investor ID]])</f>
        <v>24</v>
      </c>
      <c r="H1046" s="46" t="str">
        <f>CONCATENATE(SIP[[#This Row],[Frequency]],SIP[[#This Row],[Investor ID]])</f>
        <v>24A00090</v>
      </c>
      <c r="I1046" s="46" t="str">
        <f>IF(SIP[[#This Row],[B/S]]="B","BUY",(IF(SIP[[#This Row],[B/S]]="S","SELL"," ")))</f>
        <v>BUY</v>
      </c>
      <c r="J1046" s="150" t="s">
        <v>1229</v>
      </c>
      <c r="K1046" s="152">
        <v>10000</v>
      </c>
      <c r="L1046" s="122"/>
      <c r="M1046" s="123">
        <f>SIP[[#This Row],[Amount]]/SIP[[#This Row],[Unit]]</f>
        <v>12.706480304955527</v>
      </c>
      <c r="N1046" s="71">
        <f>SIP[[#This Row],[Unit Capital]]/10</f>
        <v>787</v>
      </c>
      <c r="O1046" s="71">
        <f>SUMIFS(SIP[[#Headers],[Unit]]:SIP[[#This Row],[Unit]],SIP[[#Headers],[Investor ID]]:SIP[[#This Row],[Investor ID]],SIP[[#This Row],[Investor ID]])</f>
        <v>787</v>
      </c>
      <c r="P1046" s="153">
        <v>7870</v>
      </c>
      <c r="Q1046" s="74">
        <f>SIP[[#This Row],[Amount]]-SIP[[#This Row],[Unit Capital]]</f>
        <v>2130</v>
      </c>
      <c r="R10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12.706480304955527</v>
      </c>
      <c r="S1046" s="68">
        <f t="shared" si="49"/>
        <v>14.224</v>
      </c>
      <c r="T10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6" s="74" cm="1">
        <f t="array" ref="U1046">IF(SIP[[#This Row],[B/S]]="S",ABS(SIP[[#This Row],[Unit]])*(INDEX(SIP[NAV at Cost (Average)],MATCH(CONCATENATE((SIP[[#This Row],[Frequency]]-1),SIP[[#This Row],[Investor ID]]),SIP[Unique Code],0),0)),0)</f>
        <v>0</v>
      </c>
      <c r="V1046" s="74">
        <f>IF(SIP[[#This Row],[BO TRANSFER]]="YES",SIP[[#This Row],[Unit]],)</f>
        <v>0</v>
      </c>
      <c r="W1046" s="74">
        <f>SUMIFS(SIP[[#Headers],[BO UNIT TRANSFER]]:SIP[[#This Row],[BO UNIT TRANSFER]],SIP[[#Headers],[Investor ID]]:SIP[[#This Row],[Investor ID]],SIP[[#This Row],[Investor ID]])</f>
        <v>0</v>
      </c>
    </row>
    <row r="1047" spans="1:23" ht="15" customHeight="1">
      <c r="A1047" s="101">
        <v>2025</v>
      </c>
      <c r="B1047" s="101">
        <v>2</v>
      </c>
      <c r="C1047" s="101">
        <v>5</v>
      </c>
      <c r="D1047" s="65">
        <f>DATE(SIP[[#This Row],[Year]],SIP[[#This Row],[Month]],SIP[[#This Row],[Day]])</f>
        <v>45693</v>
      </c>
      <c r="E1047" s="66" t="str" cm="1">
        <f t="array" ref="E1047">INDEX(INVESTORS_LIST[INVESTOR NAME],MATCH(SIP[[#This Row],[Investor ID]],INVESTORS_LIST[INVESTOR CODE],0),)</f>
        <v>NANI GOPAL DATTA</v>
      </c>
      <c r="F1047" s="46" t="s">
        <v>232</v>
      </c>
      <c r="G1047" s="46">
        <f>COUNTIF(SIP[[#Headers],[Investor ID]]:SIP[[#This Row],[Investor ID]],SIP[[#This Row],[Investor ID]])</f>
        <v>14</v>
      </c>
      <c r="H1047" s="46" t="str">
        <f>CONCATENATE(SIP[[#This Row],[Frequency]],SIP[[#This Row],[Investor ID]])</f>
        <v>14A00092</v>
      </c>
      <c r="I1047" s="46" t="str">
        <f>IF(SIP[[#This Row],[B/S]]="B","BUY",(IF(SIP[[#This Row],[B/S]]="S","SELL"," ")))</f>
        <v>BUY</v>
      </c>
      <c r="J1047" s="150" t="s">
        <v>1229</v>
      </c>
      <c r="K1047" s="152">
        <v>2000</v>
      </c>
      <c r="L1047" s="122"/>
      <c r="M1047" s="123">
        <f>SIP[[#This Row],[Amount]]/SIP[[#This Row],[Unit]]</f>
        <v>12.738853503184714</v>
      </c>
      <c r="N1047" s="71">
        <f>SIP[[#This Row],[Unit Capital]]/10</f>
        <v>157</v>
      </c>
      <c r="O1047" s="71">
        <f>SUMIFS(SIP[[#Headers],[Unit]]:SIP[[#This Row],[Unit]],SIP[[#Headers],[Investor ID]]:SIP[[#This Row],[Investor ID]],SIP[[#This Row],[Investor ID]])</f>
        <v>2154</v>
      </c>
      <c r="P1047" s="153">
        <v>1570</v>
      </c>
      <c r="Q1047" s="74">
        <f>SIP[[#This Row],[Amount]]-SIP[[#This Row],[Unit Capital]]</f>
        <v>430</v>
      </c>
      <c r="R10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11.182651668518606</v>
      </c>
      <c r="S1047" s="68">
        <f t="shared" si="49"/>
        <v>14.224</v>
      </c>
      <c r="T10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7" s="74" cm="1">
        <f t="array" ref="U1047">IF(SIP[[#This Row],[B/S]]="S",ABS(SIP[[#This Row],[Unit]])*(INDEX(SIP[NAV at Cost (Average)],MATCH(CONCATENATE((SIP[[#This Row],[Frequency]]-1),SIP[[#This Row],[Investor ID]]),SIP[Unique Code],0),0)),0)</f>
        <v>0</v>
      </c>
      <c r="V1047" s="74">
        <f>IF(SIP[[#This Row],[BO TRANSFER]]="YES",SIP[[#This Row],[Unit]],)</f>
        <v>0</v>
      </c>
      <c r="W1047" s="74">
        <f>SUMIFS(SIP[[#Headers],[BO UNIT TRANSFER]]:SIP[[#This Row],[BO UNIT TRANSFER]],SIP[[#Headers],[Investor ID]]:SIP[[#This Row],[Investor ID]],SIP[[#This Row],[Investor ID]])</f>
        <v>0</v>
      </c>
    </row>
    <row r="1048" spans="1:23" ht="15" customHeight="1">
      <c r="A1048" s="101">
        <v>2025</v>
      </c>
      <c r="B1048" s="101">
        <v>2</v>
      </c>
      <c r="C1048" s="101">
        <v>5</v>
      </c>
      <c r="D1048" s="65">
        <f>DATE(SIP[[#This Row],[Year]],SIP[[#This Row],[Month]],SIP[[#This Row],[Day]])</f>
        <v>45693</v>
      </c>
      <c r="E1048" s="66" t="str" cm="1">
        <f t="array" ref="E1048">INDEX(INVESTORS_LIST[INVESTOR NAME],MATCH(SIP[[#This Row],[Investor ID]],INVESTORS_LIST[INVESTOR CODE],0),)</f>
        <v>BIJOY CHANDRA DAS</v>
      </c>
      <c r="F1048" s="46" t="s">
        <v>497</v>
      </c>
      <c r="G1048" s="46">
        <f>COUNTIF(SIP[[#Headers],[Investor ID]]:SIP[[#This Row],[Investor ID]],SIP[[#This Row],[Investor ID]])</f>
        <v>11</v>
      </c>
      <c r="H1048" s="46" t="str">
        <f>CONCATENATE(SIP[[#This Row],[Frequency]],SIP[[#This Row],[Investor ID]])</f>
        <v>11A00224</v>
      </c>
      <c r="I1048" s="46" t="str">
        <f>IF(SIP[[#This Row],[B/S]]="B","BUY",(IF(SIP[[#This Row],[B/S]]="S","SELL"," ")))</f>
        <v>BUY</v>
      </c>
      <c r="J1048" s="150" t="s">
        <v>1229</v>
      </c>
      <c r="K1048" s="152">
        <v>5000</v>
      </c>
      <c r="L1048" s="122"/>
      <c r="M1048" s="123">
        <f>SIP[[#This Row],[Amount]]/SIP[[#This Row],[Unit]]</f>
        <v>12.690355329949238</v>
      </c>
      <c r="N1048" s="71">
        <f>SIP[[#This Row],[Unit Capital]]/10</f>
        <v>394</v>
      </c>
      <c r="O1048" s="71">
        <f>SUMIFS(SIP[[#Headers],[Unit]]:SIP[[#This Row],[Unit]],SIP[[#Headers],[Investor ID]]:SIP[[#This Row],[Investor ID]],SIP[[#This Row],[Investor ID]])</f>
        <v>4794</v>
      </c>
      <c r="P1048" s="153">
        <v>3940</v>
      </c>
      <c r="Q1048" s="74">
        <f>SIP[[#This Row],[Amount]]-SIP[[#This Row],[Unit Capital]]</f>
        <v>1060</v>
      </c>
      <c r="R10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11.472674176053401</v>
      </c>
      <c r="S1048" s="68">
        <f t="shared" si="49"/>
        <v>14.224</v>
      </c>
      <c r="T10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8" s="74" cm="1">
        <f t="array" ref="U1048">IF(SIP[[#This Row],[B/S]]="S",ABS(SIP[[#This Row],[Unit]])*(INDEX(SIP[NAV at Cost (Average)],MATCH(CONCATENATE((SIP[[#This Row],[Frequency]]-1),SIP[[#This Row],[Investor ID]]),SIP[Unique Code],0),0)),0)</f>
        <v>0</v>
      </c>
      <c r="V1048" s="74">
        <f>IF(SIP[[#This Row],[BO TRANSFER]]="YES",SIP[[#This Row],[Unit]],)</f>
        <v>0</v>
      </c>
      <c r="W1048" s="74">
        <f>SUMIFS(SIP[[#Headers],[BO UNIT TRANSFER]]:SIP[[#This Row],[BO UNIT TRANSFER]],SIP[[#Headers],[Investor ID]]:SIP[[#This Row],[Investor ID]],SIP[[#This Row],[Investor ID]])</f>
        <v>0</v>
      </c>
    </row>
    <row r="1049" spans="1:23" ht="15" customHeight="1">
      <c r="A1049" s="101">
        <v>2025</v>
      </c>
      <c r="B1049" s="101">
        <v>2</v>
      </c>
      <c r="C1049" s="101">
        <v>5</v>
      </c>
      <c r="D1049" s="65">
        <f>DATE(SIP[[#This Row],[Year]],SIP[[#This Row],[Month]],SIP[[#This Row],[Day]])</f>
        <v>45693</v>
      </c>
      <c r="E1049" s="66" t="str" cm="1">
        <f t="array" ref="E1049">INDEX(INVESTORS_LIST[INVESTOR NAME],MATCH(SIP[[#This Row],[Investor ID]],INVESTORS_LIST[INVESTOR CODE],0),)</f>
        <v>SHUVA SAHA</v>
      </c>
      <c r="F1049" s="46" t="s">
        <v>154</v>
      </c>
      <c r="G1049" s="46">
        <f>COUNTIF(SIP[[#Headers],[Investor ID]]:SIP[[#This Row],[Investor ID]],SIP[[#This Row],[Investor ID]])</f>
        <v>22</v>
      </c>
      <c r="H1049" s="46" t="str">
        <f>CONCATENATE(SIP[[#This Row],[Frequency]],SIP[[#This Row],[Investor ID]])</f>
        <v>22A00053</v>
      </c>
      <c r="I1049" s="46" t="str">
        <f>IF(SIP[[#This Row],[B/S]]="B","BUY",(IF(SIP[[#This Row],[B/S]]="S","SELL"," ")))</f>
        <v>BUY</v>
      </c>
      <c r="J1049" s="150" t="s">
        <v>1229</v>
      </c>
      <c r="K1049" s="152">
        <v>70000</v>
      </c>
      <c r="L1049" s="69"/>
      <c r="M1049" s="123">
        <f>SIP[[#This Row],[Amount]]/SIP[[#This Row],[Unit]]</f>
        <v>12.69956458635704</v>
      </c>
      <c r="N1049" s="71">
        <f>SIP[[#This Row],[Unit Capital]]/10</f>
        <v>5512</v>
      </c>
      <c r="O1049" s="71">
        <f>SUMIFS(SIP[[#Headers],[Unit]]:SIP[[#This Row],[Unit]],SIP[[#Headers],[Investor ID]]:SIP[[#This Row],[Investor ID]],SIP[[#This Row],[Investor ID]])</f>
        <v>52818</v>
      </c>
      <c r="P1049" s="153">
        <v>55120</v>
      </c>
      <c r="Q1049" s="74">
        <f>SIP[[#This Row],[Amount]]-SIP[[#This Row],[Unit Capital]]</f>
        <v>14880</v>
      </c>
      <c r="R10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11.035612263045328</v>
      </c>
      <c r="S1049" s="68">
        <f t="shared" si="49"/>
        <v>14.224</v>
      </c>
      <c r="T10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9" s="74" cm="1">
        <f t="array" ref="U1049">IF(SIP[[#This Row],[B/S]]="S",ABS(SIP[[#This Row],[Unit]])*(INDEX(SIP[NAV at Cost (Average)],MATCH(CONCATENATE((SIP[[#This Row],[Frequency]]-1),SIP[[#This Row],[Investor ID]]),SIP[Unique Code],0),0)),0)</f>
        <v>0</v>
      </c>
      <c r="V1049" s="74">
        <f>IF(SIP[[#This Row],[BO TRANSFER]]="YES",SIP[[#This Row],[Unit]],)</f>
        <v>0</v>
      </c>
      <c r="W1049" s="74">
        <f>SUMIFS(SIP[[#Headers],[BO UNIT TRANSFER]]:SIP[[#This Row],[BO UNIT TRANSFER]],SIP[[#Headers],[Investor ID]]:SIP[[#This Row],[Investor ID]],SIP[[#This Row],[Investor ID]])</f>
        <v>0</v>
      </c>
    </row>
    <row r="1050" spans="1:23" ht="15" customHeight="1">
      <c r="A1050" s="101">
        <v>2025</v>
      </c>
      <c r="B1050" s="101">
        <v>2</v>
      </c>
      <c r="C1050" s="101">
        <v>5</v>
      </c>
      <c r="D1050" s="65">
        <f>DATE(SIP[[#This Row],[Year]],SIP[[#This Row],[Month]],SIP[[#This Row],[Day]])</f>
        <v>45693</v>
      </c>
      <c r="E1050" s="66" t="str" cm="1">
        <f t="array" ref="E1050">INDEX(INVESTORS_LIST[INVESTOR NAME],MATCH(SIP[[#This Row],[Investor ID]],INVESTORS_LIST[INVESTOR CODE],0),)</f>
        <v>FAIYEAD AHMEDUL HYE</v>
      </c>
      <c r="F1050" s="46" t="s">
        <v>368</v>
      </c>
      <c r="G1050" s="46">
        <f>COUNTIF(SIP[[#Headers],[Investor ID]]:SIP[[#This Row],[Investor ID]],SIP[[#This Row],[Investor ID]])</f>
        <v>22</v>
      </c>
      <c r="H1050" s="46" t="str">
        <f>CONCATENATE(SIP[[#This Row],[Frequency]],SIP[[#This Row],[Investor ID]])</f>
        <v>22A00160</v>
      </c>
      <c r="I1050" s="46" t="str">
        <f>IF(SIP[[#This Row],[B/S]]="B","BUY",(IF(SIP[[#This Row],[B/S]]="S","SELL"," ")))</f>
        <v>BUY</v>
      </c>
      <c r="J1050" s="150" t="s">
        <v>1229</v>
      </c>
      <c r="K1050" s="152">
        <v>15000</v>
      </c>
      <c r="L1050" s="122"/>
      <c r="M1050" s="123">
        <f>SIP[[#This Row],[Amount]]/SIP[[#This Row],[Unit]]</f>
        <v>12.701100762066046</v>
      </c>
      <c r="N1050" s="71">
        <f>SIP[[#This Row],[Unit Capital]]/10</f>
        <v>1181</v>
      </c>
      <c r="O1050" s="71">
        <f>SUMIFS(SIP[[#Headers],[Unit]]:SIP[[#This Row],[Unit]],SIP[[#Headers],[Investor ID]]:SIP[[#This Row],[Investor ID]],SIP[[#This Row],[Investor ID]])</f>
        <v>29905</v>
      </c>
      <c r="P1050" s="153">
        <v>11810</v>
      </c>
      <c r="Q1050" s="74">
        <f>SIP[[#This Row],[Amount]]-SIP[[#This Row],[Unit Capital]]</f>
        <v>3190</v>
      </c>
      <c r="R10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11.034943989299448</v>
      </c>
      <c r="S1050" s="68">
        <f t="shared" si="49"/>
        <v>14.224</v>
      </c>
      <c r="T10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0" s="74" cm="1">
        <f t="array" ref="U1050">IF(SIP[[#This Row],[B/S]]="S",ABS(SIP[[#This Row],[Unit]])*(INDEX(SIP[NAV at Cost (Average)],MATCH(CONCATENATE((SIP[[#This Row],[Frequency]]-1),SIP[[#This Row],[Investor ID]]),SIP[Unique Code],0),0)),0)</f>
        <v>0</v>
      </c>
      <c r="V1050" s="74">
        <f>IF(SIP[[#This Row],[BO TRANSFER]]="YES",SIP[[#This Row],[Unit]],)</f>
        <v>0</v>
      </c>
      <c r="W1050" s="74">
        <f>SUMIFS(SIP[[#Headers],[BO UNIT TRANSFER]]:SIP[[#This Row],[BO UNIT TRANSFER]],SIP[[#Headers],[Investor ID]]:SIP[[#This Row],[Investor ID]],SIP[[#This Row],[Investor ID]])</f>
        <v>0</v>
      </c>
    </row>
    <row r="1051" spans="1:23" ht="15" customHeight="1">
      <c r="A1051" s="101">
        <v>2025</v>
      </c>
      <c r="B1051" s="101">
        <v>2</v>
      </c>
      <c r="C1051" s="101">
        <v>5</v>
      </c>
      <c r="D1051" s="65">
        <f>DATE(SIP[[#This Row],[Year]],SIP[[#This Row],[Month]],SIP[[#This Row],[Day]])</f>
        <v>45693</v>
      </c>
      <c r="E1051" s="66" t="str" cm="1">
        <f t="array" ref="E1051">INDEX(INVESTORS_LIST[INVESTOR NAME],MATCH(SIP[[#This Row],[Investor ID]],INVESTORS_LIST[INVESTOR CODE],0),)</f>
        <v>CHAONIKA SAHA</v>
      </c>
      <c r="F1051" s="46" t="s">
        <v>238</v>
      </c>
      <c r="G1051" s="46">
        <f>COUNTIF(SIP[[#Headers],[Investor ID]]:SIP[[#This Row],[Investor ID]],SIP[[#This Row],[Investor ID]])</f>
        <v>19</v>
      </c>
      <c r="H1051" s="46" t="str">
        <f>CONCATENATE(SIP[[#This Row],[Frequency]],SIP[[#This Row],[Investor ID]])</f>
        <v>19A00095</v>
      </c>
      <c r="I1051" s="46" t="str">
        <f>IF(SIP[[#This Row],[B/S]]="B","BUY",(IF(SIP[[#This Row],[B/S]]="S","SELL"," ")))</f>
        <v>BUY</v>
      </c>
      <c r="J1051" s="150" t="s">
        <v>1229</v>
      </c>
      <c r="K1051" s="152">
        <v>1000</v>
      </c>
      <c r="L1051" s="122"/>
      <c r="M1051" s="123">
        <f>SIP[[#This Row],[Amount]]/SIP[[#This Row],[Unit]]</f>
        <v>12.658227848101266</v>
      </c>
      <c r="N1051" s="71">
        <f>SIP[[#This Row],[Unit Capital]]/10</f>
        <v>79</v>
      </c>
      <c r="O1051" s="71">
        <f>SUMIFS(SIP[[#Headers],[Unit]]:SIP[[#This Row],[Unit]],SIP[[#Headers],[Investor ID]]:SIP[[#This Row],[Investor ID]],SIP[[#This Row],[Investor ID]])</f>
        <v>1703</v>
      </c>
      <c r="P1051" s="153">
        <v>790</v>
      </c>
      <c r="Q1051" s="74">
        <f>SIP[[#This Row],[Amount]]-SIP[[#This Row],[Unit Capital]]</f>
        <v>210</v>
      </c>
      <c r="R10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11.156782149148562</v>
      </c>
      <c r="S1051" s="68">
        <f t="shared" si="49"/>
        <v>14.224</v>
      </c>
      <c r="T10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1" s="74" cm="1">
        <f t="array" ref="U1051">IF(SIP[[#This Row],[B/S]]="S",ABS(SIP[[#This Row],[Unit]])*(INDEX(SIP[NAV at Cost (Average)],MATCH(CONCATENATE((SIP[[#This Row],[Frequency]]-1),SIP[[#This Row],[Investor ID]]),SIP[Unique Code],0),0)),0)</f>
        <v>0</v>
      </c>
      <c r="V1051" s="74">
        <f>IF(SIP[[#This Row],[BO TRANSFER]]="YES",SIP[[#This Row],[Unit]],)</f>
        <v>0</v>
      </c>
      <c r="W1051" s="74">
        <f>SUMIFS(SIP[[#Headers],[BO UNIT TRANSFER]]:SIP[[#This Row],[BO UNIT TRANSFER]],SIP[[#Headers],[Investor ID]]:SIP[[#This Row],[Investor ID]],SIP[[#This Row],[Investor ID]])</f>
        <v>0</v>
      </c>
    </row>
    <row r="1052" spans="1:23" ht="15" customHeight="1">
      <c r="A1052" s="101">
        <v>2025</v>
      </c>
      <c r="B1052" s="101">
        <v>2</v>
      </c>
      <c r="C1052" s="101">
        <v>5</v>
      </c>
      <c r="D1052" s="65">
        <f>DATE(SIP[[#This Row],[Year]],SIP[[#This Row],[Month]],SIP[[#This Row],[Day]])</f>
        <v>45693</v>
      </c>
      <c r="E1052" s="66" t="str" cm="1">
        <f t="array" ref="E1052">INDEX(INVESTORS_LIST[INVESTOR NAME],MATCH(SIP[[#This Row],[Investor ID]],INVESTORS_LIST[INVESTOR CODE],0),)</f>
        <v>KAZI AHSAN MARUF</v>
      </c>
      <c r="F1052" s="46" t="s">
        <v>158</v>
      </c>
      <c r="G1052" s="46">
        <f>COUNTIF(SIP[[#Headers],[Investor ID]]:SIP[[#This Row],[Investor ID]],SIP[[#This Row],[Investor ID]])</f>
        <v>24</v>
      </c>
      <c r="H1052" s="46" t="str">
        <f>CONCATENATE(SIP[[#This Row],[Frequency]],SIP[[#This Row],[Investor ID]])</f>
        <v>24A00055</v>
      </c>
      <c r="I1052" s="46" t="str">
        <f>IF(SIP[[#This Row],[B/S]]="B","BUY",(IF(SIP[[#This Row],[B/S]]="S","SELL"," ")))</f>
        <v>BUY</v>
      </c>
      <c r="J1052" s="150" t="s">
        <v>1229</v>
      </c>
      <c r="K1052" s="152">
        <v>10000</v>
      </c>
      <c r="L1052" s="122"/>
      <c r="M1052" s="123">
        <f>SIP[[#This Row],[Amount]]/SIP[[#This Row],[Unit]]</f>
        <v>12.706480304955527</v>
      </c>
      <c r="N1052" s="71">
        <f>SIP[[#This Row],[Unit Capital]]/10</f>
        <v>787</v>
      </c>
      <c r="O1052" s="71">
        <f>SUMIFS(SIP[[#Headers],[Unit]]:SIP[[#This Row],[Unit]],SIP[[#Headers],[Investor ID]]:SIP[[#This Row],[Investor ID]],SIP[[#This Row],[Investor ID]])</f>
        <v>6199</v>
      </c>
      <c r="P1052" s="153">
        <v>7870</v>
      </c>
      <c r="Q1052" s="74">
        <f>SIP[[#This Row],[Amount]]-SIP[[#This Row],[Unit Capital]]</f>
        <v>2130</v>
      </c>
      <c r="R10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11.33406855459522</v>
      </c>
      <c r="S1052" s="68">
        <f t="shared" si="49"/>
        <v>14.224</v>
      </c>
      <c r="T10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2" s="74" cm="1">
        <f t="array" ref="U1052">IF(SIP[[#This Row],[B/S]]="S",ABS(SIP[[#This Row],[Unit]])*(INDEX(SIP[NAV at Cost (Average)],MATCH(CONCATENATE((SIP[[#This Row],[Frequency]]-1),SIP[[#This Row],[Investor ID]]),SIP[Unique Code],0),0)),0)</f>
        <v>0</v>
      </c>
      <c r="V1052" s="74">
        <f>IF(SIP[[#This Row],[BO TRANSFER]]="YES",SIP[[#This Row],[Unit]],)</f>
        <v>0</v>
      </c>
      <c r="W1052" s="74">
        <f>SUMIFS(SIP[[#Headers],[BO UNIT TRANSFER]]:SIP[[#This Row],[BO UNIT TRANSFER]],SIP[[#Headers],[Investor ID]]:SIP[[#This Row],[Investor ID]],SIP[[#This Row],[Investor ID]])</f>
        <v>0</v>
      </c>
    </row>
    <row r="1053" spans="1:23" ht="15" customHeight="1">
      <c r="A1053" s="101">
        <v>2025</v>
      </c>
      <c r="B1053" s="101">
        <v>2</v>
      </c>
      <c r="C1053" s="101">
        <v>11</v>
      </c>
      <c r="D1053" s="65">
        <f>DATE(SIP[[#This Row],[Year]],SIP[[#This Row],[Month]],SIP[[#This Row],[Day]])</f>
        <v>45699</v>
      </c>
      <c r="E1053" s="66" t="str" cm="1">
        <f t="array" ref="E1053">INDEX(INVESTORS_LIST[INVESTOR NAME],MATCH(SIP[[#This Row],[Investor ID]],INVESTORS_LIST[INVESTOR CODE],0),)</f>
        <v>S.M. SAIFUL ISLAM</v>
      </c>
      <c r="F1053" s="46" t="s">
        <v>1002</v>
      </c>
      <c r="G1053" s="46">
        <f>COUNTIF(SIP[[#Headers],[Investor ID]]:SIP[[#This Row],[Investor ID]],SIP[[#This Row],[Investor ID]])</f>
        <v>23</v>
      </c>
      <c r="H1053" s="46" t="str">
        <f>CONCATENATE(SIP[[#This Row],[Frequency]],SIP[[#This Row],[Investor ID]])</f>
        <v>23A00478</v>
      </c>
      <c r="I1053" s="46" t="str">
        <f>IF(SIP[[#This Row],[B/S]]="B","BUY",(IF(SIP[[#This Row],[B/S]]="S","SELL"," ")))</f>
        <v>SELL</v>
      </c>
      <c r="J1053" s="150" t="s">
        <v>1231</v>
      </c>
      <c r="K1053" s="152">
        <v>-253914.85</v>
      </c>
      <c r="L1053" s="122"/>
      <c r="M1053" s="123">
        <f>SIP[[#This Row],[Amount]]/SIP[[#This Row],[Unit]]</f>
        <v>12.704000100065043</v>
      </c>
      <c r="N1053" s="71">
        <f>SIP[[#This Row],[Unit Capital]]/10</f>
        <v>-19987</v>
      </c>
      <c r="O1053" s="71">
        <f>SUMIFS(SIP[[#Headers],[Unit]]:SIP[[#This Row],[Unit]],SIP[[#Headers],[Investor ID]]:SIP[[#This Row],[Investor ID]],SIP[[#This Row],[Investor ID]])</f>
        <v>0</v>
      </c>
      <c r="P1053" s="153">
        <v>-199870</v>
      </c>
      <c r="Q1053" s="74">
        <f>SIP[[#This Row],[Amount]]-SIP[[#This Row],[Unit Capital]]</f>
        <v>-54044.850000000006</v>
      </c>
      <c r="R10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53" s="68">
        <f t="shared" ref="S1053:S1061" si="50">NAV_MKT</f>
        <v>14.224</v>
      </c>
      <c r="T1053" s="74">
        <f>IF(SIP[[#This Row],[B/S]]="B",0,ABS(SIP[[#This Row],[Unit]])*(SIP[[#This Row],[NAV (Strike Rate)]]-INDEX(SIP[NAV at Cost (Average)],MATCH(CONCATENATE(SIP[[#This Row],[Frequency]]-1,SIP[[#This Row],[Investor ID]]),SIP[Unique Code],0),)))</f>
        <v>33914.85</v>
      </c>
      <c r="U1053" s="74" cm="1">
        <f t="array" ref="U1053">IF(SIP[[#This Row],[B/S]]="S",ABS(SIP[[#This Row],[Unit]])*(INDEX(SIP[NAV at Cost (Average)],MATCH(CONCATENATE((SIP[[#This Row],[Frequency]]-1),SIP[[#This Row],[Investor ID]]),SIP[Unique Code],0),0)),0)</f>
        <v>220000.00000000003</v>
      </c>
      <c r="V1053" s="74">
        <f>IF(SIP[[#This Row],[BO TRANSFER]]="YES",SIP[[#This Row],[Unit]],)</f>
        <v>0</v>
      </c>
      <c r="W1053" s="74">
        <f>SUMIFS(SIP[[#Headers],[BO UNIT TRANSFER]]:SIP[[#This Row],[BO UNIT TRANSFER]],SIP[[#Headers],[Investor ID]]:SIP[[#This Row],[Investor ID]],SIP[[#This Row],[Investor ID]])</f>
        <v>0</v>
      </c>
    </row>
    <row r="1054" spans="1:23" ht="15" customHeight="1">
      <c r="A1054" s="101">
        <v>2025</v>
      </c>
      <c r="B1054" s="101">
        <v>3</v>
      </c>
      <c r="C1054" s="101">
        <v>4</v>
      </c>
      <c r="D1054" s="65">
        <f>DATE(SIP[[#This Row],[Year]],SIP[[#This Row],[Month]],SIP[[#This Row],[Day]])</f>
        <v>45720</v>
      </c>
      <c r="E1054" s="66" t="str">
        <f t="array" ref="E1054">INDEX(INVESTORS_LIST[INVESTOR NAME],MATCH(SIP[[#This Row],[Investor ID]],INVESTORS_LIST[INVESTOR CODE],0),)</f>
        <v>MONIR AHMED</v>
      </c>
      <c r="F1054" s="100" t="s">
        <v>125</v>
      </c>
      <c r="G1054" s="46">
        <f>COUNTIF(SIP[[#Headers],[Investor ID]]:SIP[[#This Row],[Investor ID]],SIP[[#This Row],[Investor ID]])</f>
        <v>23</v>
      </c>
      <c r="H1054" s="46" t="str">
        <f>CONCATENATE(SIP[[#This Row],[Frequency]],SIP[[#This Row],[Investor ID]])</f>
        <v>23A00039</v>
      </c>
      <c r="I1054" s="46" t="str">
        <f>IF(SIP[[#This Row],[B/S]]="B","BUY",(IF(SIP[[#This Row],[B/S]]="S","SELL"," ")))</f>
        <v>SELL</v>
      </c>
      <c r="J1054" s="150" t="s">
        <v>1231</v>
      </c>
      <c r="K1054" s="152">
        <v>-95262.7</v>
      </c>
      <c r="L1054" s="122"/>
      <c r="M1054" s="123">
        <f>SIP[[#This Row],[Amount]]/SIP[[#This Row],[Unit]]</f>
        <v>12.7</v>
      </c>
      <c r="N1054" s="71">
        <f>SIP[[#This Row],[Unit Capital]]/10</f>
        <v>-7501</v>
      </c>
      <c r="O1054" s="71">
        <f>SUMIFS(SIP[[#Headers],[Unit]]:SIP[[#This Row],[Unit]],SIP[[#Headers],[Investor ID]]:SIP[[#This Row],[Investor ID]],SIP[[#This Row],[Investor ID]])</f>
        <v>887</v>
      </c>
      <c r="P1054" s="153">
        <v>-75010</v>
      </c>
      <c r="Q1054" s="74">
        <f>SIP[[#This Row],[Amount]]-SIP[[#This Row],[Unit Capital]]</f>
        <v>-20252.699999999997</v>
      </c>
      <c r="R10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11.325703385789222</v>
      </c>
      <c r="S1054" s="68">
        <f>NAV_MKT</f>
        <v>14.224</v>
      </c>
      <c r="T1054" s="74">
        <f>IF(SIP[[#This Row],[B/S]]="B",0,ABS(SIP[[#This Row],[Unit]])*(SIP[[#This Row],[NAV (Strike Rate)]]-INDEX(SIP[NAV at Cost (Average)],MATCH(CONCATENATE(SIP[[#This Row],[Frequency]]-1,SIP[[#This Row],[Investor ID]]),SIP[Unique Code],0),)))</f>
        <v>10308.598903195043</v>
      </c>
      <c r="U1054" s="74">
        <f t="array" ref="U1054">IF(SIP[[#This Row],[B/S]]="S",ABS(SIP[[#This Row],[Unit]])*(INDEX(SIP[NAV at Cost (Average)],MATCH(CONCATENATE((SIP[[#This Row],[Frequency]]-1),SIP[[#This Row],[Investor ID]]),SIP[Unique Code],0),0)),0)</f>
        <v>84954.101096804952</v>
      </c>
      <c r="V1054" s="74">
        <f>IF(SIP[[#This Row],[BO TRANSFER]]="YES",SIP[[#This Row],[Unit]],)</f>
        <v>0</v>
      </c>
      <c r="W1054" s="74">
        <f>SUMIFS(SIP[[#Headers],[BO UNIT TRANSFER]]:SIP[[#This Row],[BO UNIT TRANSFER]],SIP[[#Headers],[Investor ID]]:SIP[[#This Row],[Investor ID]],SIP[[#This Row],[Investor ID]])</f>
        <v>0</v>
      </c>
    </row>
    <row r="1055" spans="1:23" ht="15" customHeight="1">
      <c r="A1055" s="101">
        <v>2025</v>
      </c>
      <c r="B1055" s="101">
        <v>3</v>
      </c>
      <c r="C1055" s="101">
        <v>15</v>
      </c>
      <c r="D1055" s="65">
        <f>DATE(SIP[[#This Row],[Year]],SIP[[#This Row],[Month]],SIP[[#This Row],[Day]])</f>
        <v>45731</v>
      </c>
      <c r="E1055" s="66" t="str" cm="1">
        <f t="array" ref="E1055">INDEX(INVESTORS_LIST[INVESTOR NAME],MATCH(SIP[[#This Row],[Investor ID]],INVESTORS_LIST[INVESTOR CODE],0),)</f>
        <v>SANJIB KUMAR ROY</v>
      </c>
      <c r="F1055" s="46" t="s">
        <v>1020</v>
      </c>
      <c r="G1055" s="46">
        <f>COUNTIF(SIP[[#Headers],[Investor ID]]:SIP[[#This Row],[Investor ID]],SIP[[#This Row],[Investor ID]])</f>
        <v>22</v>
      </c>
      <c r="H1055" s="46" t="str">
        <f>CONCATENATE(SIP[[#This Row],[Frequency]],SIP[[#This Row],[Investor ID]])</f>
        <v>22A00487</v>
      </c>
      <c r="I1055" s="46" t="str">
        <f>IF(SIP[[#This Row],[B/S]]="B","BUY",(IF(SIP[[#This Row],[B/S]]="S","SELL"," ")))</f>
        <v>BUY</v>
      </c>
      <c r="J1055" s="150" t="s">
        <v>1229</v>
      </c>
      <c r="K1055" s="152">
        <v>5000</v>
      </c>
      <c r="L1055" s="122"/>
      <c r="M1055" s="123">
        <f>SIP[[#This Row],[Amount]]/SIP[[#This Row],[Unit]]</f>
        <v>12.658227848101266</v>
      </c>
      <c r="N1055" s="71">
        <f>SIP[[#This Row],[Unit Capital]]/10</f>
        <v>395</v>
      </c>
      <c r="O1055" s="71">
        <f>SUMIFS(SIP[[#Headers],[Unit]]:SIP[[#This Row],[Unit]],SIP[[#Headers],[Investor ID]]:SIP[[#This Row],[Investor ID]],SIP[[#This Row],[Investor ID]])</f>
        <v>9934</v>
      </c>
      <c r="P1055" s="153">
        <v>3950</v>
      </c>
      <c r="Q1055" s="74">
        <f>SIP[[#This Row],[Amount]]-SIP[[#This Row],[Unit Capital]]</f>
        <v>1050</v>
      </c>
      <c r="R10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11.073082343466881</v>
      </c>
      <c r="S1055" s="68">
        <f t="shared" si="50"/>
        <v>14.224</v>
      </c>
      <c r="T10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5" s="74" cm="1">
        <f t="array" ref="U1055">IF(SIP[[#This Row],[B/S]]="S",ABS(SIP[[#This Row],[Unit]])*(INDEX(SIP[NAV at Cost (Average)],MATCH(CONCATENATE((SIP[[#This Row],[Frequency]]-1),SIP[[#This Row],[Investor ID]]),SIP[Unique Code],0),0)),0)</f>
        <v>0</v>
      </c>
      <c r="V1055" s="74">
        <f>IF(SIP[[#This Row],[BO TRANSFER]]="YES",SIP[[#This Row],[Unit]],)</f>
        <v>0</v>
      </c>
      <c r="W1055" s="74">
        <f>SUMIFS(SIP[[#Headers],[BO UNIT TRANSFER]]:SIP[[#This Row],[BO UNIT TRANSFER]],SIP[[#Headers],[Investor ID]]:SIP[[#This Row],[Investor ID]],SIP[[#This Row],[Investor ID]])</f>
        <v>0</v>
      </c>
    </row>
    <row r="1056" spans="1:23" ht="15" customHeight="1">
      <c r="A1056" s="101">
        <v>2025</v>
      </c>
      <c r="B1056" s="101">
        <v>3</v>
      </c>
      <c r="C1056" s="101">
        <v>16</v>
      </c>
      <c r="D1056" s="65">
        <f>DATE(SIP[[#This Row],[Year]],SIP[[#This Row],[Month]],SIP[[#This Row],[Day]])</f>
        <v>45732</v>
      </c>
      <c r="E1056" s="66" t="str" cm="1">
        <f t="array" ref="E1056">INDEX(INVESTORS_LIST[INVESTOR NAME],MATCH(SIP[[#This Row],[Investor ID]],INVESTORS_LIST[INVESTOR CODE],0),)</f>
        <v>MAHMUD ALI ALAMGIR &amp; MOHAMMED ALI XAHANGIR</v>
      </c>
      <c r="F1056" s="46" t="s">
        <v>1130</v>
      </c>
      <c r="G1056" s="46">
        <f>COUNTIF(SIP[[#Headers],[Investor ID]]:SIP[[#This Row],[Investor ID]],SIP[[#This Row],[Investor ID]])</f>
        <v>15</v>
      </c>
      <c r="H1056" s="46" t="str">
        <f>CONCATENATE(SIP[[#This Row],[Frequency]],SIP[[#This Row],[Investor ID]])</f>
        <v>15A00540</v>
      </c>
      <c r="I1056" s="46" t="str">
        <f>IF(SIP[[#This Row],[B/S]]="B","BUY",(IF(SIP[[#This Row],[B/S]]="S","SELL"," ")))</f>
        <v>BUY</v>
      </c>
      <c r="J1056" s="150" t="s">
        <v>1229</v>
      </c>
      <c r="K1056" s="152">
        <v>20000</v>
      </c>
      <c r="L1056" s="122"/>
      <c r="M1056" s="123">
        <f>SIP[[#This Row],[Amount]]/SIP[[#This Row],[Unit]]</f>
        <v>12.65022137887413</v>
      </c>
      <c r="N1056" s="71">
        <f>SIP[[#This Row],[Unit Capital]]/10</f>
        <v>1581</v>
      </c>
      <c r="O1056" s="71">
        <f>SUMIFS(SIP[[#Headers],[Unit]]:SIP[[#This Row],[Unit]],SIP[[#Headers],[Investor ID]]:SIP[[#This Row],[Investor ID]],SIP[[#This Row],[Investor ID]])</f>
        <v>37692</v>
      </c>
      <c r="P1056" s="153">
        <v>15810</v>
      </c>
      <c r="Q1056" s="74">
        <f>SIP[[#This Row],[Amount]]-SIP[[#This Row],[Unit Capital]]</f>
        <v>4190</v>
      </c>
      <c r="R10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11.68010714845208</v>
      </c>
      <c r="S1056" s="68">
        <f t="shared" si="50"/>
        <v>14.224</v>
      </c>
      <c r="T10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6" s="74" cm="1">
        <f t="array" ref="U1056">IF(SIP[[#This Row],[B/S]]="S",ABS(SIP[[#This Row],[Unit]])*(INDEX(SIP[NAV at Cost (Average)],MATCH(CONCATENATE((SIP[[#This Row],[Frequency]]-1),SIP[[#This Row],[Investor ID]]),SIP[Unique Code],0),0)),0)</f>
        <v>0</v>
      </c>
      <c r="V1056" s="74">
        <f>IF(SIP[[#This Row],[BO TRANSFER]]="YES",SIP[[#This Row],[Unit]],)</f>
        <v>0</v>
      </c>
      <c r="W1056" s="74">
        <f>SUMIFS(SIP[[#Headers],[BO UNIT TRANSFER]]:SIP[[#This Row],[BO UNIT TRANSFER]],SIP[[#Headers],[Investor ID]]:SIP[[#This Row],[Investor ID]],SIP[[#This Row],[Investor ID]])</f>
        <v>0</v>
      </c>
    </row>
    <row r="1057" spans="1:23" ht="15" customHeight="1">
      <c r="A1057" s="101">
        <v>2025</v>
      </c>
      <c r="B1057" s="101">
        <v>3</v>
      </c>
      <c r="C1057" s="101">
        <v>16</v>
      </c>
      <c r="D1057" s="65">
        <f>DATE(SIP[[#This Row],[Year]],SIP[[#This Row],[Month]],SIP[[#This Row],[Day]])</f>
        <v>45732</v>
      </c>
      <c r="E1057" s="66" t="str" cm="1">
        <f t="array" ref="E1057">INDEX(INVESTORS_LIST[INVESTOR NAME],MATCH(SIP[[#This Row],[Investor ID]],INVESTORS_LIST[INVESTOR CODE],0),)</f>
        <v>ASRAAR HOSSAIN</v>
      </c>
      <c r="F1057" s="46" t="s">
        <v>786</v>
      </c>
      <c r="G1057" s="46">
        <f>COUNTIF(SIP[[#Headers],[Investor ID]]:SIP[[#This Row],[Investor ID]],SIP[[#This Row],[Investor ID]])</f>
        <v>6</v>
      </c>
      <c r="H1057" s="46" t="str">
        <f>CONCATENATE(SIP[[#This Row],[Frequency]],SIP[[#This Row],[Investor ID]])</f>
        <v>6A00369</v>
      </c>
      <c r="I1057" s="46" t="str">
        <f>IF(SIP[[#This Row],[B/S]]="B","BUY",(IF(SIP[[#This Row],[B/S]]="S","SELL"," ")))</f>
        <v>BUY</v>
      </c>
      <c r="J1057" s="150" t="s">
        <v>1229</v>
      </c>
      <c r="K1057" s="152">
        <v>15000</v>
      </c>
      <c r="L1057" s="122"/>
      <c r="M1057" s="123">
        <f>SIP[[#This Row],[Amount]]/SIP[[#This Row],[Unit]]</f>
        <v>12.647554806070826</v>
      </c>
      <c r="N1057" s="71">
        <f>SIP[[#This Row],[Unit Capital]]/10</f>
        <v>1186</v>
      </c>
      <c r="O1057" s="71">
        <f>SUMIFS(SIP[[#Headers],[Unit]]:SIP[[#This Row],[Unit]],SIP[[#Headers],[Investor ID]]:SIP[[#This Row],[Investor ID]],SIP[[#This Row],[Investor ID]])</f>
        <v>7526</v>
      </c>
      <c r="P1057" s="153">
        <v>11860</v>
      </c>
      <c r="Q1057" s="74">
        <f>SIP[[#This Row],[Amount]]-SIP[[#This Row],[Unit Capital]]</f>
        <v>3140</v>
      </c>
      <c r="R10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11.958543715120914</v>
      </c>
      <c r="S1057" s="68">
        <f t="shared" si="50"/>
        <v>14.224</v>
      </c>
      <c r="T10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7" s="74" cm="1">
        <f t="array" ref="U1057">IF(SIP[[#This Row],[B/S]]="S",ABS(SIP[[#This Row],[Unit]])*(INDEX(SIP[NAV at Cost (Average)],MATCH(CONCATENATE((SIP[[#This Row],[Frequency]]-1),SIP[[#This Row],[Investor ID]]),SIP[Unique Code],0),0)),0)</f>
        <v>0</v>
      </c>
      <c r="V1057" s="74">
        <f>IF(SIP[[#This Row],[BO TRANSFER]]="YES",SIP[[#This Row],[Unit]],)</f>
        <v>0</v>
      </c>
      <c r="W1057" s="74">
        <f>SUMIFS(SIP[[#Headers],[BO UNIT TRANSFER]]:SIP[[#This Row],[BO UNIT TRANSFER]],SIP[[#Headers],[Investor ID]]:SIP[[#This Row],[Investor ID]],SIP[[#This Row],[Investor ID]])</f>
        <v>0</v>
      </c>
    </row>
    <row r="1058" spans="1:23" ht="15" customHeight="1">
      <c r="A1058" s="101">
        <v>2025</v>
      </c>
      <c r="B1058" s="101">
        <v>3</v>
      </c>
      <c r="C1058" s="101">
        <v>16</v>
      </c>
      <c r="D1058" s="65">
        <f>DATE(SIP[[#This Row],[Year]],SIP[[#This Row],[Month]],SIP[[#This Row],[Day]])</f>
        <v>45732</v>
      </c>
      <c r="E1058" s="66" t="str" cm="1">
        <f t="array" ref="E1058">INDEX(INVESTORS_LIST[INVESTOR NAME],MATCH(SIP[[#This Row],[Investor ID]],INVESTORS_LIST[INVESTOR CODE],0),)</f>
        <v>RUKAIYA FAHMIDA</v>
      </c>
      <c r="F1058" s="46" t="s">
        <v>1190</v>
      </c>
      <c r="G1058" s="46">
        <f>COUNTIF(SIP[[#Headers],[Investor ID]]:SIP[[#This Row],[Investor ID]],SIP[[#This Row],[Investor ID]])</f>
        <v>1</v>
      </c>
      <c r="H1058" s="46" t="str">
        <f>CONCATENATE(SIP[[#This Row],[Frequency]],SIP[[#This Row],[Investor ID]])</f>
        <v>1A00571</v>
      </c>
      <c r="I1058" s="46" t="str">
        <f>IF(SIP[[#This Row],[B/S]]="B","BUY",(IF(SIP[[#This Row],[B/S]]="S","SELL"," ")))</f>
        <v>BUY</v>
      </c>
      <c r="J1058" s="150" t="s">
        <v>1229</v>
      </c>
      <c r="K1058" s="152">
        <v>2000</v>
      </c>
      <c r="L1058" s="122"/>
      <c r="M1058" s="123">
        <f>SIP[[#This Row],[Amount]]/SIP[[#This Row],[Unit]]</f>
        <v>12.658227848101266</v>
      </c>
      <c r="N1058" s="71">
        <f>SIP[[#This Row],[Unit Capital]]/10</f>
        <v>158</v>
      </c>
      <c r="O1058" s="71">
        <f>SUMIFS(SIP[[#Headers],[Unit]]:SIP[[#This Row],[Unit]],SIP[[#Headers],[Investor ID]]:SIP[[#This Row],[Investor ID]],SIP[[#This Row],[Investor ID]])</f>
        <v>158</v>
      </c>
      <c r="P1058" s="153">
        <v>1580</v>
      </c>
      <c r="Q1058" s="74">
        <f>SIP[[#This Row],[Amount]]-SIP[[#This Row],[Unit Capital]]</f>
        <v>420</v>
      </c>
      <c r="R10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12.658227848101266</v>
      </c>
      <c r="S1058" s="68">
        <f t="shared" si="50"/>
        <v>14.224</v>
      </c>
      <c r="T10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8" s="74" cm="1">
        <f t="array" ref="U1058">IF(SIP[[#This Row],[B/S]]="S",ABS(SIP[[#This Row],[Unit]])*(INDEX(SIP[NAV at Cost (Average)],MATCH(CONCATENATE((SIP[[#This Row],[Frequency]]-1),SIP[[#This Row],[Investor ID]]),SIP[Unique Code],0),0)),0)</f>
        <v>0</v>
      </c>
      <c r="V1058" s="74">
        <f>IF(SIP[[#This Row],[BO TRANSFER]]="YES",SIP[[#This Row],[Unit]],)</f>
        <v>0</v>
      </c>
      <c r="W1058" s="74">
        <f>SUMIFS(SIP[[#Headers],[BO UNIT TRANSFER]]:SIP[[#This Row],[BO UNIT TRANSFER]],SIP[[#Headers],[Investor ID]]:SIP[[#This Row],[Investor ID]],SIP[[#This Row],[Investor ID]])</f>
        <v>0</v>
      </c>
    </row>
    <row r="1059" spans="1:23" ht="15" customHeight="1">
      <c r="A1059" s="101">
        <v>2025</v>
      </c>
      <c r="B1059" s="101">
        <v>3</v>
      </c>
      <c r="C1059" s="101">
        <v>16</v>
      </c>
      <c r="D1059" s="65">
        <f>DATE(SIP[[#This Row],[Year]],SIP[[#This Row],[Month]],SIP[[#This Row],[Day]])</f>
        <v>45732</v>
      </c>
      <c r="E1059" s="66" t="str" cm="1">
        <f t="array" ref="E1059">INDEX(INVESTORS_LIST[INVESTOR NAME],MATCH(SIP[[#This Row],[Investor ID]],INVESTORS_LIST[INVESTOR CODE],0),)</f>
        <v>MAHFUZA ANIKA</v>
      </c>
      <c r="F1059" s="46" t="s">
        <v>1277</v>
      </c>
      <c r="G1059" s="46">
        <f>COUNTIF(SIP[[#Headers],[Investor ID]]:SIP[[#This Row],[Investor ID]],SIP[[#This Row],[Investor ID]])</f>
        <v>9</v>
      </c>
      <c r="H1059" s="46" t="str">
        <f>CONCATENATE(SIP[[#This Row],[Frequency]],SIP[[#This Row],[Investor ID]])</f>
        <v>9A00585</v>
      </c>
      <c r="I1059" s="46" t="str">
        <f>IF(SIP[[#This Row],[B/S]]="B","BUY",(IF(SIP[[#This Row],[B/S]]="S","SELL"," ")))</f>
        <v>BUY</v>
      </c>
      <c r="J1059" s="150" t="s">
        <v>1229</v>
      </c>
      <c r="K1059" s="152">
        <v>2000</v>
      </c>
      <c r="L1059" s="122"/>
      <c r="M1059" s="123">
        <f>SIP[[#This Row],[Amount]]/SIP[[#This Row],[Unit]]</f>
        <v>12.658227848101266</v>
      </c>
      <c r="N1059" s="71">
        <f>SIP[[#This Row],[Unit Capital]]/10</f>
        <v>158</v>
      </c>
      <c r="O1059" s="71">
        <f>SUMIFS(SIP[[#Headers],[Unit]]:SIP[[#This Row],[Unit]],SIP[[#Headers],[Investor ID]]:SIP[[#This Row],[Investor ID]],SIP[[#This Row],[Investor ID]])</f>
        <v>1355</v>
      </c>
      <c r="P1059" s="153">
        <v>1580</v>
      </c>
      <c r="Q1059" s="74">
        <f>SIP[[#This Row],[Amount]]-SIP[[#This Row],[Unit Capital]]</f>
        <v>420</v>
      </c>
      <c r="R10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11.808118081180814</v>
      </c>
      <c r="S1059" s="68">
        <f t="shared" si="50"/>
        <v>14.224</v>
      </c>
      <c r="T10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9" s="74" cm="1">
        <f t="array" ref="U1059">IF(SIP[[#This Row],[B/S]]="S",ABS(SIP[[#This Row],[Unit]])*(INDEX(SIP[NAV at Cost (Average)],MATCH(CONCATENATE((SIP[[#This Row],[Frequency]]-1),SIP[[#This Row],[Investor ID]]),SIP[Unique Code],0),0)),0)</f>
        <v>0</v>
      </c>
      <c r="V1059" s="74">
        <f>IF(SIP[[#This Row],[BO TRANSFER]]="YES",SIP[[#This Row],[Unit]],)</f>
        <v>0</v>
      </c>
      <c r="W1059" s="74">
        <f>SUMIFS(SIP[[#Headers],[BO UNIT TRANSFER]]:SIP[[#This Row],[BO UNIT TRANSFER]],SIP[[#Headers],[Investor ID]]:SIP[[#This Row],[Investor ID]],SIP[[#This Row],[Investor ID]])</f>
        <v>0</v>
      </c>
    </row>
    <row r="1060" spans="1:23" ht="15" customHeight="1">
      <c r="A1060" s="101">
        <v>2025</v>
      </c>
      <c r="B1060" s="101">
        <v>3</v>
      </c>
      <c r="C1060" s="101">
        <v>16</v>
      </c>
      <c r="D1060" s="65">
        <f>DATE(SIP[[#This Row],[Year]],SIP[[#This Row],[Month]],SIP[[#This Row],[Day]])</f>
        <v>45732</v>
      </c>
      <c r="E1060" s="66" t="str" cm="1">
        <f t="array" ref="E1060">INDEX(INVESTORS_LIST[INVESTOR NAME],MATCH(SIP[[#This Row],[Investor ID]],INVESTORS_LIST[INVESTOR CODE],0),)</f>
        <v>MAHMUD ALI ALAMGIR &amp; MOHAMMED ALI XAHANGIR</v>
      </c>
      <c r="F1060" s="46" t="s">
        <v>1130</v>
      </c>
      <c r="G1060" s="46">
        <f>COUNTIF(SIP[[#Headers],[Investor ID]]:SIP[[#This Row],[Investor ID]],SIP[[#This Row],[Investor ID]])</f>
        <v>16</v>
      </c>
      <c r="H1060" s="46" t="str">
        <f>CONCATENATE(SIP[[#This Row],[Frequency]],SIP[[#This Row],[Investor ID]])</f>
        <v>16A00540</v>
      </c>
      <c r="I1060" s="46" t="str">
        <f>IF(SIP[[#This Row],[B/S]]="B","BUY",(IF(SIP[[#This Row],[B/S]]="S","SELL"," ")))</f>
        <v>BUY</v>
      </c>
      <c r="J1060" s="150" t="s">
        <v>1229</v>
      </c>
      <c r="K1060" s="152">
        <v>40000</v>
      </c>
      <c r="L1060" s="122"/>
      <c r="M1060" s="123">
        <f>SIP[[#This Row],[Amount]]/SIP[[#This Row],[Unit]]</f>
        <v>12.65022137887413</v>
      </c>
      <c r="N1060" s="71">
        <f>SIP[[#This Row],[Unit Capital]]/10</f>
        <v>3162</v>
      </c>
      <c r="O1060" s="71">
        <f>SUMIFS(SIP[[#Headers],[Unit]]:SIP[[#This Row],[Unit]],SIP[[#Headers],[Investor ID]]:SIP[[#This Row],[Investor ID]],SIP[[#This Row],[Investor ID]])</f>
        <v>40854</v>
      </c>
      <c r="P1060" s="153">
        <v>31620</v>
      </c>
      <c r="Q1060" s="74">
        <f>SIP[[#This Row],[Amount]]-SIP[[#This Row],[Unit Capital]]</f>
        <v>8380</v>
      </c>
      <c r="R10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11.75519162479698</v>
      </c>
      <c r="S1060" s="68">
        <f t="shared" si="50"/>
        <v>14.224</v>
      </c>
      <c r="T10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0" s="74" cm="1">
        <f t="array" ref="U1060">IF(SIP[[#This Row],[B/S]]="S",ABS(SIP[[#This Row],[Unit]])*(INDEX(SIP[NAV at Cost (Average)],MATCH(CONCATENATE((SIP[[#This Row],[Frequency]]-1),SIP[[#This Row],[Investor ID]]),SIP[Unique Code],0),0)),0)</f>
        <v>0</v>
      </c>
      <c r="V1060" s="74">
        <f>IF(SIP[[#This Row],[BO TRANSFER]]="YES",SIP[[#This Row],[Unit]],)</f>
        <v>0</v>
      </c>
      <c r="W1060" s="74">
        <f>SUMIFS(SIP[[#Headers],[BO UNIT TRANSFER]]:SIP[[#This Row],[BO UNIT TRANSFER]],SIP[[#Headers],[Investor ID]]:SIP[[#This Row],[Investor ID]],SIP[[#This Row],[Investor ID]])</f>
        <v>0</v>
      </c>
    </row>
    <row r="1061" spans="1:23" ht="15" customHeight="1">
      <c r="A1061" s="101">
        <v>2025</v>
      </c>
      <c r="B1061" s="101">
        <v>3</v>
      </c>
      <c r="C1061" s="101">
        <v>16</v>
      </c>
      <c r="D1061" s="65">
        <f>DATE(SIP[[#This Row],[Year]],SIP[[#This Row],[Month]],SIP[[#This Row],[Day]])</f>
        <v>45732</v>
      </c>
      <c r="E1061" s="66" t="str" cm="1">
        <f t="array" ref="E1061">INDEX(INVESTORS_LIST[INVESTOR NAME],MATCH(SIP[[#This Row],[Investor ID]],INVESTORS_LIST[INVESTOR CODE],0),)</f>
        <v>MD. RAFIQUR RAHMAN</v>
      </c>
      <c r="F1061" s="46" t="s">
        <v>622</v>
      </c>
      <c r="G1061" s="46">
        <f>COUNTIF(SIP[[#Headers],[Investor ID]]:SIP[[#This Row],[Investor ID]],SIP[[#This Row],[Investor ID]])</f>
        <v>19</v>
      </c>
      <c r="H1061" s="46" t="str">
        <f>CONCATENATE(SIP[[#This Row],[Frequency]],SIP[[#This Row],[Investor ID]])</f>
        <v>19A00287</v>
      </c>
      <c r="I1061" s="46" t="str">
        <f>IF(SIP[[#This Row],[B/S]]="B","BUY",(IF(SIP[[#This Row],[B/S]]="S","SELL"," ")))</f>
        <v>BUY</v>
      </c>
      <c r="J1061" s="150" t="s">
        <v>1229</v>
      </c>
      <c r="K1061" s="152">
        <v>20000</v>
      </c>
      <c r="L1061" s="122"/>
      <c r="M1061" s="123">
        <f>SIP[[#This Row],[Amount]]/SIP[[#This Row],[Unit]]</f>
        <v>12.65022137887413</v>
      </c>
      <c r="N1061" s="71">
        <f>SIP[[#This Row],[Unit Capital]]/10</f>
        <v>1581</v>
      </c>
      <c r="O1061" s="71">
        <f>SUMIFS(SIP[[#Headers],[Unit]]:SIP[[#This Row],[Unit]],SIP[[#Headers],[Investor ID]]:SIP[[#This Row],[Investor ID]],SIP[[#This Row],[Investor ID]])</f>
        <v>33910</v>
      </c>
      <c r="P1061" s="153">
        <v>15810</v>
      </c>
      <c r="Q1061" s="74">
        <f>SIP[[#This Row],[Amount]]-SIP[[#This Row],[Unit Capital]]</f>
        <v>4190</v>
      </c>
      <c r="R10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11.206133883810082</v>
      </c>
      <c r="S1061" s="68">
        <f t="shared" si="50"/>
        <v>14.224</v>
      </c>
      <c r="T10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1" s="74" cm="1">
        <f t="array" ref="U1061">IF(SIP[[#This Row],[B/S]]="S",ABS(SIP[[#This Row],[Unit]])*(INDEX(SIP[NAV at Cost (Average)],MATCH(CONCATENATE((SIP[[#This Row],[Frequency]]-1),SIP[[#This Row],[Investor ID]]),SIP[Unique Code],0),0)),0)</f>
        <v>0</v>
      </c>
      <c r="V1061" s="74">
        <f>IF(SIP[[#This Row],[BO TRANSFER]]="YES",SIP[[#This Row],[Unit]],)</f>
        <v>0</v>
      </c>
      <c r="W1061" s="74">
        <f>SUMIFS(SIP[[#Headers],[BO UNIT TRANSFER]]:SIP[[#This Row],[BO UNIT TRANSFER]],SIP[[#Headers],[Investor ID]]:SIP[[#This Row],[Investor ID]],SIP[[#This Row],[Investor ID]])</f>
        <v>0</v>
      </c>
    </row>
    <row r="1062" spans="1:23" ht="15" customHeight="1">
      <c r="A1062" s="101">
        <v>2025</v>
      </c>
      <c r="B1062" s="101">
        <v>3</v>
      </c>
      <c r="C1062" s="101">
        <v>20</v>
      </c>
      <c r="D1062" s="65">
        <f>DATE(SIP[[#This Row],[Year]],SIP[[#This Row],[Month]],SIP[[#This Row],[Day]])</f>
        <v>45736</v>
      </c>
      <c r="E1062" s="66" t="str" cm="1">
        <f t="array" ref="E1062">INDEX(INVESTORS_LIST[INVESTOR NAME],MATCH(SIP[[#This Row],[Investor ID]],INVESTORS_LIST[INVESTOR CODE],0),)</f>
        <v>ASHIK CHOWDHURY OVI</v>
      </c>
      <c r="F1062" s="166" t="s">
        <v>1101</v>
      </c>
      <c r="G1062" s="46">
        <f>COUNTIF(SIP[[#Headers],[Investor ID]]:SIP[[#This Row],[Investor ID]],SIP[[#This Row],[Investor ID]])</f>
        <v>4</v>
      </c>
      <c r="H1062" s="46" t="str">
        <f>CONCATENATE(SIP[[#This Row],[Frequency]],SIP[[#This Row],[Investor ID]])</f>
        <v>4A00527</v>
      </c>
      <c r="I1062" s="46" t="str">
        <f>IF(SIP[[#This Row],[B/S]]="B","BUY",(IF(SIP[[#This Row],[B/S]]="S","SELL"," ")))</f>
        <v>SELL</v>
      </c>
      <c r="J1062" s="150" t="s">
        <v>1231</v>
      </c>
      <c r="K1062" s="152">
        <v>-5426.4210000000003</v>
      </c>
      <c r="L1062" s="122"/>
      <c r="M1062" s="123">
        <f>SIP[[#This Row],[Amount]]/SIP[[#This Row],[Unit]]</f>
        <v>12.649000000000001</v>
      </c>
      <c r="N1062" s="71">
        <f>SIP[[#This Row],[Unit Capital]]/10</f>
        <v>-429</v>
      </c>
      <c r="O1062" s="71">
        <f>SUMIFS(SIP[[#Headers],[Unit]]:SIP[[#This Row],[Unit]],SIP[[#Headers],[Investor ID]]:SIP[[#This Row],[Investor ID]],SIP[[#This Row],[Investor ID]])</f>
        <v>0</v>
      </c>
      <c r="P1062" s="153">
        <v>-4290</v>
      </c>
      <c r="Q1062" s="74">
        <f>SIP[[#This Row],[Amount]]-SIP[[#This Row],[Unit Capital]]</f>
        <v>-1136.4210000000003</v>
      </c>
      <c r="R10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62" s="68">
        <f t="shared" ref="S1062:S1106" si="51">NAV_MKT</f>
        <v>14.224</v>
      </c>
      <c r="T1062" s="74">
        <f>IF(SIP[[#This Row],[B/S]]="B",0,ABS(SIP[[#This Row],[Unit]])*(SIP[[#This Row],[NAV (Strike Rate)]]-INDEX(SIP[NAV at Cost (Average)],MATCH(CONCATENATE(SIP[[#This Row],[Frequency]]-1,SIP[[#This Row],[Investor ID]]),SIP[Unique Code],0),)))</f>
        <v>403.00179625292753</v>
      </c>
      <c r="U1062" s="74" cm="1">
        <f t="array" ref="U1062">IF(SIP[[#This Row],[B/S]]="S",ABS(SIP[[#This Row],[Unit]])*(INDEX(SIP[NAV at Cost (Average)],MATCH(CONCATENATE((SIP[[#This Row],[Frequency]]-1),SIP[[#This Row],[Investor ID]]),SIP[Unique Code],0),0)),0)</f>
        <v>5023.419203747073</v>
      </c>
      <c r="V1062" s="74">
        <f>IF(SIP[[#This Row],[BO TRANSFER]]="YES",SIP[[#This Row],[Unit]],)</f>
        <v>0</v>
      </c>
      <c r="W1062" s="74">
        <f>SUMIFS(SIP[[#Headers],[BO UNIT TRANSFER]]:SIP[[#This Row],[BO UNIT TRANSFER]],SIP[[#Headers],[Investor ID]]:SIP[[#This Row],[Investor ID]],SIP[[#This Row],[Investor ID]])</f>
        <v>0</v>
      </c>
    </row>
    <row r="1063" spans="1:23" ht="15" customHeight="1">
      <c r="A1063" s="101">
        <v>2025</v>
      </c>
      <c r="B1063" s="101">
        <v>3</v>
      </c>
      <c r="C1063" s="101">
        <v>20</v>
      </c>
      <c r="D1063" s="65">
        <f>DATE(SIP[[#This Row],[Year]],SIP[[#This Row],[Month]],SIP[[#This Row],[Day]])</f>
        <v>45736</v>
      </c>
      <c r="E1063" s="66" t="str" cm="1">
        <f t="array" ref="E1063">INDEX(INVESTORS_LIST[INVESTOR NAME],MATCH(SIP[[#This Row],[Investor ID]],INVESTORS_LIST[INVESTOR CODE],0),)</f>
        <v>SYED FAZLE RABBY</v>
      </c>
      <c r="F1063" s="150" t="s">
        <v>166</v>
      </c>
      <c r="G1063" s="46">
        <f>COUNTIF(SIP[[#Headers],[Investor ID]]:SIP[[#This Row],[Investor ID]],SIP[[#This Row],[Investor ID]])</f>
        <v>9</v>
      </c>
      <c r="H1063" s="46" t="str">
        <f>CONCATENATE(SIP[[#This Row],[Frequency]],SIP[[#This Row],[Investor ID]])</f>
        <v>9A00059</v>
      </c>
      <c r="I1063" s="46" t="str">
        <f>IF(SIP[[#This Row],[B/S]]="B","BUY",(IF(SIP[[#This Row],[B/S]]="S","SELL"," ")))</f>
        <v>SELL</v>
      </c>
      <c r="J1063" s="150" t="s">
        <v>1231</v>
      </c>
      <c r="K1063" s="152">
        <v>-72187.842999999993</v>
      </c>
      <c r="L1063" s="122"/>
      <c r="M1063" s="123">
        <f>SIP[[#This Row],[Amount]]/SIP[[#This Row],[Unit]]</f>
        <v>12.648999999999999</v>
      </c>
      <c r="N1063" s="71">
        <f>SIP[[#This Row],[Unit Capital]]/10</f>
        <v>-5707</v>
      </c>
      <c r="O1063" s="71">
        <f>SUMIFS(SIP[[#Headers],[Unit]]:SIP[[#This Row],[Unit]],SIP[[#Headers],[Investor ID]]:SIP[[#This Row],[Investor ID]],SIP[[#This Row],[Investor ID]])</f>
        <v>0</v>
      </c>
      <c r="P1063" s="153">
        <v>-57070</v>
      </c>
      <c r="Q1063" s="74">
        <f>SIP[[#This Row],[Amount]]-SIP[[#This Row],[Unit Capital]]</f>
        <v>-15117.842999999993</v>
      </c>
      <c r="R10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63" s="68">
        <f t="shared" si="51"/>
        <v>14.224</v>
      </c>
      <c r="T1063" s="74">
        <f>IF(SIP[[#This Row],[B/S]]="B",0,ABS(SIP[[#This Row],[Unit]])*(SIP[[#This Row],[NAV (Strike Rate)]]-INDEX(SIP[NAV at Cost (Average)],MATCH(CONCATENATE(SIP[[#This Row],[Frequency]]-1,SIP[[#This Row],[Investor ID]]),SIP[Unique Code],0),)))</f>
        <v>11841.921549848936</v>
      </c>
      <c r="U1063" s="74" cm="1">
        <f t="array" ref="U1063">IF(SIP[[#This Row],[B/S]]="S",ABS(SIP[[#This Row],[Unit]])*(INDEX(SIP[NAV at Cost (Average)],MATCH(CONCATENATE((SIP[[#This Row],[Frequency]]-1),SIP[[#This Row],[Investor ID]]),SIP[Unique Code],0),0)),0)</f>
        <v>60345.921450151058</v>
      </c>
      <c r="V1063" s="74">
        <f>IF(SIP[[#This Row],[BO TRANSFER]]="YES",SIP[[#This Row],[Unit]],)</f>
        <v>0</v>
      </c>
      <c r="W1063" s="74">
        <f>SUMIFS(SIP[[#Headers],[BO UNIT TRANSFER]]:SIP[[#This Row],[BO UNIT TRANSFER]],SIP[[#Headers],[Investor ID]]:SIP[[#This Row],[Investor ID]],SIP[[#This Row],[Investor ID]])</f>
        <v>0</v>
      </c>
    </row>
    <row r="1064" spans="1:23" ht="15" customHeight="1">
      <c r="A1064" s="101">
        <v>2025</v>
      </c>
      <c r="B1064" s="101">
        <v>3</v>
      </c>
      <c r="C1064" s="101">
        <v>26</v>
      </c>
      <c r="D1064" s="65">
        <f>DATE(SIP[[#This Row],[Year]],SIP[[#This Row],[Month]],SIP[[#This Row],[Day]])</f>
        <v>45742</v>
      </c>
      <c r="E1064" s="66" t="str" cm="1">
        <f t="array" ref="E1064">INDEX(INVESTORS_LIST[INVESTOR NAME],MATCH(SIP[[#This Row],[Investor ID]],INVESTORS_LIST[INVESTOR CODE],0),)</f>
        <v>KHAN MUHAMMAD FAISOL</v>
      </c>
      <c r="F1064" s="150" t="s">
        <v>930</v>
      </c>
      <c r="G1064" s="46">
        <f>COUNTIF(SIP[[#Headers],[Investor ID]]:SIP[[#This Row],[Investor ID]],SIP[[#This Row],[Investor ID]])</f>
        <v>23</v>
      </c>
      <c r="H1064" s="46" t="str">
        <f>CONCATENATE(SIP[[#This Row],[Frequency]],SIP[[#This Row],[Investor ID]])</f>
        <v>23A00442</v>
      </c>
      <c r="I1064" s="46" t="str">
        <f>IF(SIP[[#This Row],[B/S]]="B","BUY",(IF(SIP[[#This Row],[B/S]]="S","SELL"," ")))</f>
        <v>BUY</v>
      </c>
      <c r="J1064" s="150" t="s">
        <v>1229</v>
      </c>
      <c r="K1064" s="152">
        <v>1000</v>
      </c>
      <c r="L1064" s="69"/>
      <c r="M1064" s="123">
        <f>SIP[[#This Row],[Amount]]/SIP[[#This Row],[Unit]]</f>
        <v>12.345679012345679</v>
      </c>
      <c r="N1064" s="71">
        <f>SIP[[#This Row],[Unit Capital]]/10</f>
        <v>81</v>
      </c>
      <c r="O1064" s="71">
        <f>SUMIFS(SIP[[#Headers],[Unit]]:SIP[[#This Row],[Unit]],SIP[[#Headers],[Investor ID]]:SIP[[#This Row],[Investor ID]],SIP[[#This Row],[Investor ID]])</f>
        <v>2079</v>
      </c>
      <c r="P1064" s="153">
        <v>810</v>
      </c>
      <c r="Q1064" s="74">
        <f>SIP[[#This Row],[Amount]]-SIP[[#This Row],[Unit Capital]]</f>
        <v>190</v>
      </c>
      <c r="R10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11.063011063011064</v>
      </c>
      <c r="S1064" s="68">
        <f>NAV_MKT</f>
        <v>14.224</v>
      </c>
      <c r="T10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4" s="74" cm="1">
        <f t="array" ref="U1064">IF(SIP[[#This Row],[B/S]]="S",ABS(SIP[[#This Row],[Unit]])*(INDEX(SIP[NAV at Cost (Average)],MATCH(CONCATENATE((SIP[[#This Row],[Frequency]]-1),SIP[[#This Row],[Investor ID]]),SIP[Unique Code],0),0)),0)</f>
        <v>0</v>
      </c>
      <c r="V1064" s="74">
        <f>IF(SIP[[#This Row],[BO TRANSFER]]="YES",SIP[[#This Row],[Unit]],)</f>
        <v>0</v>
      </c>
      <c r="W1064" s="74">
        <f>SUMIFS(SIP[[#Headers],[BO UNIT TRANSFER]]:SIP[[#This Row],[BO UNIT TRANSFER]],SIP[[#Headers],[Investor ID]]:SIP[[#This Row],[Investor ID]],SIP[[#This Row],[Investor ID]])</f>
        <v>0</v>
      </c>
    </row>
    <row r="1065" spans="1:23" ht="15" customHeight="1">
      <c r="A1065" s="101">
        <v>2025</v>
      </c>
      <c r="B1065" s="101">
        <v>3</v>
      </c>
      <c r="C1065" s="101">
        <v>26</v>
      </c>
      <c r="D1065" s="65">
        <f>DATE(SIP[[#This Row],[Year]],SIP[[#This Row],[Month]],SIP[[#This Row],[Day]])</f>
        <v>45742</v>
      </c>
      <c r="E1065" s="66" t="str" cm="1">
        <f t="array" ref="E1065">INDEX(INVESTORS_LIST[INVESTOR NAME],MATCH(SIP[[#This Row],[Investor ID]],INVESTORS_LIST[INVESTOR CODE],0),)</f>
        <v>MD. ARIFUL ISLAM</v>
      </c>
      <c r="F1065" s="150" t="s">
        <v>222</v>
      </c>
      <c r="G1065" s="46">
        <f>COUNTIF(SIP[[#Headers],[Investor ID]]:SIP[[#This Row],[Investor ID]],SIP[[#This Row],[Investor ID]])</f>
        <v>23</v>
      </c>
      <c r="H1065" s="46" t="str">
        <f>CONCATENATE(SIP[[#This Row],[Frequency]],SIP[[#This Row],[Investor ID]])</f>
        <v>23A00087</v>
      </c>
      <c r="I1065" s="46" t="str">
        <f>IF(SIP[[#This Row],[B/S]]="B","BUY",(IF(SIP[[#This Row],[B/S]]="S","SELL"," ")))</f>
        <v>BUY</v>
      </c>
      <c r="J1065" s="150" t="s">
        <v>1229</v>
      </c>
      <c r="K1065" s="152">
        <v>10000</v>
      </c>
      <c r="L1065" s="69"/>
      <c r="M1065" s="123">
        <f>SIP[[#This Row],[Amount]]/SIP[[#This Row],[Unit]]</f>
        <v>12.391573729863692</v>
      </c>
      <c r="N1065" s="71">
        <f>SIP[[#This Row],[Unit Capital]]/10</f>
        <v>807</v>
      </c>
      <c r="O1065" s="71">
        <f>SUMIFS(SIP[[#Headers],[Unit]]:SIP[[#This Row],[Unit]],SIP[[#Headers],[Investor ID]]:SIP[[#This Row],[Investor ID]],SIP[[#This Row],[Investor ID]])</f>
        <v>20792</v>
      </c>
      <c r="P1065" s="153">
        <v>8070</v>
      </c>
      <c r="Q1065" s="74">
        <f>SIP[[#This Row],[Amount]]-SIP[[#This Row],[Unit Capital]]</f>
        <v>1930</v>
      </c>
      <c r="R10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11.061946902654867</v>
      </c>
      <c r="S1065" s="68">
        <f>NAV_MKT</f>
        <v>14.224</v>
      </c>
      <c r="T10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5" s="74" cm="1">
        <f t="array" ref="U1065">IF(SIP[[#This Row],[B/S]]="S",ABS(SIP[[#This Row],[Unit]])*(INDEX(SIP[NAV at Cost (Average)],MATCH(CONCATENATE((SIP[[#This Row],[Frequency]]-1),SIP[[#This Row],[Investor ID]]),SIP[Unique Code],0),0)),0)</f>
        <v>0</v>
      </c>
      <c r="V1065" s="74">
        <f>IF(SIP[[#This Row],[BO TRANSFER]]="YES",SIP[[#This Row],[Unit]],)</f>
        <v>0</v>
      </c>
      <c r="W1065" s="74">
        <f>SUMIFS(SIP[[#Headers],[BO UNIT TRANSFER]]:SIP[[#This Row],[BO UNIT TRANSFER]],SIP[[#Headers],[Investor ID]]:SIP[[#This Row],[Investor ID]],SIP[[#This Row],[Investor ID]])</f>
        <v>0</v>
      </c>
    </row>
    <row r="1066" spans="1:23" ht="15" customHeight="1">
      <c r="A1066" s="101">
        <v>2025</v>
      </c>
      <c r="B1066" s="101">
        <v>3</v>
      </c>
      <c r="C1066" s="101">
        <v>26</v>
      </c>
      <c r="D1066" s="65">
        <f>DATE(SIP[[#This Row],[Year]],SIP[[#This Row],[Month]],SIP[[#This Row],[Day]])</f>
        <v>45742</v>
      </c>
      <c r="E1066" s="66" t="str" cm="1">
        <f t="array" ref="E1066">INDEX(INVESTORS_LIST[INVESTOR NAME],MATCH(SIP[[#This Row],[Investor ID]],INVESTORS_LIST[INVESTOR CODE],0),)</f>
        <v>MOHAMMAD SAMIUL ALAM</v>
      </c>
      <c r="F1066" s="46" t="s">
        <v>537</v>
      </c>
      <c r="G1066" s="46">
        <f>COUNTIF(SIP[[#Headers],[Investor ID]]:SIP[[#This Row],[Investor ID]],SIP[[#This Row],[Investor ID]])</f>
        <v>20</v>
      </c>
      <c r="H1066" s="46" t="str">
        <f>CONCATENATE(SIP[[#This Row],[Frequency]],SIP[[#This Row],[Investor ID]])</f>
        <v>20A00244</v>
      </c>
      <c r="I1066" s="46" t="str">
        <f>IF(SIP[[#This Row],[B/S]]="B","BUY",(IF(SIP[[#This Row],[B/S]]="S","SELL"," ")))</f>
        <v>BUY</v>
      </c>
      <c r="J1066" s="150" t="s">
        <v>1229</v>
      </c>
      <c r="K1066" s="152">
        <v>20000</v>
      </c>
      <c r="L1066" s="122"/>
      <c r="M1066" s="123">
        <f>SIP[[#This Row],[Amount]]/SIP[[#This Row],[Unit]]</f>
        <v>12.391573729863692</v>
      </c>
      <c r="N1066" s="71">
        <f>SIP[[#This Row],[Unit Capital]]/10</f>
        <v>1614</v>
      </c>
      <c r="O1066" s="71">
        <f>SUMIFS(SIP[[#Headers],[Unit]]:SIP[[#This Row],[Unit]],SIP[[#Headers],[Investor ID]]:SIP[[#This Row],[Investor ID]],SIP[[#This Row],[Investor ID]])</f>
        <v>35740</v>
      </c>
      <c r="P1066" s="153">
        <v>16140</v>
      </c>
      <c r="Q1066" s="74">
        <f>SIP[[#This Row],[Amount]]-SIP[[#This Row],[Unit Capital]]</f>
        <v>3860</v>
      </c>
      <c r="R10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11.191941801902633</v>
      </c>
      <c r="S1066" s="68">
        <f t="shared" si="51"/>
        <v>14.224</v>
      </c>
      <c r="T10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6" s="74" cm="1">
        <f t="array" ref="U1066">IF(SIP[[#This Row],[B/S]]="S",ABS(SIP[[#This Row],[Unit]])*(INDEX(SIP[NAV at Cost (Average)],MATCH(CONCATENATE((SIP[[#This Row],[Frequency]]-1),SIP[[#This Row],[Investor ID]]),SIP[Unique Code],0),0)),0)</f>
        <v>0</v>
      </c>
      <c r="V1066" s="74">
        <f>IF(SIP[[#This Row],[BO TRANSFER]]="YES",SIP[[#This Row],[Unit]],)</f>
        <v>0</v>
      </c>
      <c r="W1066" s="74">
        <f>SUMIFS(SIP[[#Headers],[BO UNIT TRANSFER]]:SIP[[#This Row],[BO UNIT TRANSFER]],SIP[[#Headers],[Investor ID]]:SIP[[#This Row],[Investor ID]],SIP[[#This Row],[Investor ID]])</f>
        <v>0</v>
      </c>
    </row>
    <row r="1067" spans="1:23" ht="15" customHeight="1">
      <c r="A1067" s="101">
        <v>2025</v>
      </c>
      <c r="B1067" s="101">
        <v>3</v>
      </c>
      <c r="C1067" s="101">
        <v>26</v>
      </c>
      <c r="D1067" s="65">
        <f>DATE(SIP[[#This Row],[Year]],SIP[[#This Row],[Month]],SIP[[#This Row],[Day]])</f>
        <v>45742</v>
      </c>
      <c r="E1067" s="66" t="str" cm="1">
        <f t="array" ref="E1067">INDEX(INVESTORS_LIST[INVESTOR NAME],MATCH(SIP[[#This Row],[Investor ID]],INVESTORS_LIST[INVESTOR CODE],0),)</f>
        <v>MRINMOY GHOSH</v>
      </c>
      <c r="F1067" s="46" t="s">
        <v>69</v>
      </c>
      <c r="G1067" s="46">
        <f>COUNTIF(SIP[[#Headers],[Investor ID]]:SIP[[#This Row],[Investor ID]],SIP[[#This Row],[Investor ID]])</f>
        <v>19</v>
      </c>
      <c r="H1067" s="46" t="str">
        <f>CONCATENATE(SIP[[#This Row],[Frequency]],SIP[[#This Row],[Investor ID]])</f>
        <v>19A00012</v>
      </c>
      <c r="I1067" s="46" t="str">
        <f>IF(SIP[[#This Row],[B/S]]="B","BUY",(IF(SIP[[#This Row],[B/S]]="S","SELL"," ")))</f>
        <v>BUY</v>
      </c>
      <c r="J1067" s="150" t="s">
        <v>1229</v>
      </c>
      <c r="K1067" s="152">
        <v>10000</v>
      </c>
      <c r="L1067" s="122"/>
      <c r="M1067" s="123">
        <f>SIP[[#This Row],[Amount]]/SIP[[#This Row],[Unit]]</f>
        <v>12.391573729863692</v>
      </c>
      <c r="N1067" s="71">
        <f>SIP[[#This Row],[Unit Capital]]/10</f>
        <v>807</v>
      </c>
      <c r="O1067" s="71">
        <f>SUMIFS(SIP[[#Headers],[Unit]]:SIP[[#This Row],[Unit]],SIP[[#Headers],[Investor ID]]:SIP[[#This Row],[Investor ID]],SIP[[#This Row],[Investor ID]])</f>
        <v>5897</v>
      </c>
      <c r="P1067" s="153">
        <v>8070</v>
      </c>
      <c r="Q1067" s="74">
        <f>SIP[[#This Row],[Amount]]-SIP[[#This Row],[Unit Capital]]</f>
        <v>1930</v>
      </c>
      <c r="R10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11.870442597931152</v>
      </c>
      <c r="S1067" s="68">
        <f t="shared" si="51"/>
        <v>14.224</v>
      </c>
      <c r="T10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7" s="74" cm="1">
        <f t="array" ref="U1067">IF(SIP[[#This Row],[B/S]]="S",ABS(SIP[[#This Row],[Unit]])*(INDEX(SIP[NAV at Cost (Average)],MATCH(CONCATENATE((SIP[[#This Row],[Frequency]]-1),SIP[[#This Row],[Investor ID]]),SIP[Unique Code],0),0)),0)</f>
        <v>0</v>
      </c>
      <c r="V1067" s="74">
        <f>IF(SIP[[#This Row],[BO TRANSFER]]="YES",SIP[[#This Row],[Unit]],)</f>
        <v>0</v>
      </c>
      <c r="W1067" s="74">
        <f>SUMIFS(SIP[[#Headers],[BO UNIT TRANSFER]]:SIP[[#This Row],[BO UNIT TRANSFER]],SIP[[#Headers],[Investor ID]]:SIP[[#This Row],[Investor ID]],SIP[[#This Row],[Investor ID]])</f>
        <v>0</v>
      </c>
    </row>
    <row r="1068" spans="1:23" ht="15" customHeight="1">
      <c r="A1068" s="101">
        <v>2025</v>
      </c>
      <c r="B1068" s="101">
        <v>3</v>
      </c>
      <c r="C1068" s="101">
        <v>26</v>
      </c>
      <c r="D1068" s="65">
        <f>DATE(SIP[[#This Row],[Year]],SIP[[#This Row],[Month]],SIP[[#This Row],[Day]])</f>
        <v>45742</v>
      </c>
      <c r="E1068" s="66" t="str" cm="1">
        <f t="array" ref="E1068">INDEX(INVESTORS_LIST[INVESTOR NAME],MATCH(SIP[[#This Row],[Investor ID]],INVESTORS_LIST[INVESTOR CODE],0),)</f>
        <v>ABU MUSA MIRZA KAMRUZZAMAN SHAHEE</v>
      </c>
      <c r="F1068" s="46" t="s">
        <v>1012</v>
      </c>
      <c r="G1068" s="46">
        <f>COUNTIF(SIP[[#Headers],[Investor ID]]:SIP[[#This Row],[Investor ID]],SIP[[#This Row],[Investor ID]])</f>
        <v>22</v>
      </c>
      <c r="H1068" s="46" t="str">
        <f>CONCATENATE(SIP[[#This Row],[Frequency]],SIP[[#This Row],[Investor ID]])</f>
        <v>22A00483</v>
      </c>
      <c r="I1068" s="46" t="str">
        <f>IF(SIP[[#This Row],[B/S]]="B","BUY",(IF(SIP[[#This Row],[B/S]]="S","SELL"," ")))</f>
        <v>BUY</v>
      </c>
      <c r="J1068" s="150" t="s">
        <v>1229</v>
      </c>
      <c r="K1068" s="152">
        <v>5000</v>
      </c>
      <c r="L1068" s="122"/>
      <c r="M1068" s="123">
        <f>SIP[[#This Row],[Amount]]/SIP[[#This Row],[Unit]]</f>
        <v>12.376237623762377</v>
      </c>
      <c r="N1068" s="71">
        <f>SIP[[#This Row],[Unit Capital]]/10</f>
        <v>404</v>
      </c>
      <c r="O1068" s="71">
        <f>SUMIFS(SIP[[#Headers],[Unit]]:SIP[[#This Row],[Unit]],SIP[[#Headers],[Investor ID]]:SIP[[#This Row],[Investor ID]],SIP[[#This Row],[Investor ID]])</f>
        <v>9904</v>
      </c>
      <c r="P1068" s="153">
        <v>4040</v>
      </c>
      <c r="Q1068" s="74">
        <f>SIP[[#This Row],[Amount]]-SIP[[#This Row],[Unit Capital]]</f>
        <v>960</v>
      </c>
      <c r="R10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11.106623586429729</v>
      </c>
      <c r="S1068" s="68">
        <f t="shared" si="51"/>
        <v>14.224</v>
      </c>
      <c r="T10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8" s="74" cm="1">
        <f t="array" ref="U1068">IF(SIP[[#This Row],[B/S]]="S",ABS(SIP[[#This Row],[Unit]])*(INDEX(SIP[NAV at Cost (Average)],MATCH(CONCATENATE((SIP[[#This Row],[Frequency]]-1),SIP[[#This Row],[Investor ID]]),SIP[Unique Code],0),0)),0)</f>
        <v>0</v>
      </c>
      <c r="V1068" s="74">
        <f>IF(SIP[[#This Row],[BO TRANSFER]]="YES",SIP[[#This Row],[Unit]],)</f>
        <v>0</v>
      </c>
      <c r="W1068" s="74">
        <f>SUMIFS(SIP[[#Headers],[BO UNIT TRANSFER]]:SIP[[#This Row],[BO UNIT TRANSFER]],SIP[[#Headers],[Investor ID]]:SIP[[#This Row],[Investor ID]],SIP[[#This Row],[Investor ID]])</f>
        <v>0</v>
      </c>
    </row>
    <row r="1069" spans="1:23" ht="15" customHeight="1">
      <c r="A1069" s="101">
        <v>2025</v>
      </c>
      <c r="B1069" s="101">
        <v>3</v>
      </c>
      <c r="C1069" s="101">
        <v>26</v>
      </c>
      <c r="D1069" s="65">
        <f>DATE(SIP[[#This Row],[Year]],SIP[[#This Row],[Month]],SIP[[#This Row],[Day]])</f>
        <v>45742</v>
      </c>
      <c r="E1069" s="66" t="str" cm="1">
        <f t="array" ref="E1069">INDEX(INVESTORS_LIST[INVESTOR NAME],MATCH(SIP[[#This Row],[Investor ID]],INVESTORS_LIST[INVESTOR CODE],0),)</f>
        <v>SUMAN SAHA</v>
      </c>
      <c r="F1069" s="46" t="s">
        <v>1022</v>
      </c>
      <c r="G1069" s="46">
        <f>COUNTIF(SIP[[#Headers],[Investor ID]]:SIP[[#This Row],[Investor ID]],SIP[[#This Row],[Investor ID]])</f>
        <v>22</v>
      </c>
      <c r="H1069" s="46" t="str">
        <f>CONCATENATE(SIP[[#This Row],[Frequency]],SIP[[#This Row],[Investor ID]])</f>
        <v>22A00488</v>
      </c>
      <c r="I1069" s="46" t="str">
        <f>IF(SIP[[#This Row],[B/S]]="B","BUY",(IF(SIP[[#This Row],[B/S]]="S","SELL"," ")))</f>
        <v>BUY</v>
      </c>
      <c r="J1069" s="150" t="s">
        <v>1229</v>
      </c>
      <c r="K1069" s="152">
        <v>5000</v>
      </c>
      <c r="L1069" s="122"/>
      <c r="M1069" s="123">
        <f>SIP[[#This Row],[Amount]]/SIP[[#This Row],[Unit]]</f>
        <v>12.376237623762377</v>
      </c>
      <c r="N1069" s="71">
        <f>SIP[[#This Row],[Unit Capital]]/10</f>
        <v>404</v>
      </c>
      <c r="O1069" s="71">
        <f>SUMIFS(SIP[[#Headers],[Unit]]:SIP[[#This Row],[Unit]],SIP[[#Headers],[Investor ID]]:SIP[[#This Row],[Investor ID]],SIP[[#This Row],[Investor ID]])</f>
        <v>9904</v>
      </c>
      <c r="P1069" s="153">
        <v>4040</v>
      </c>
      <c r="Q1069" s="74">
        <f>SIP[[#This Row],[Amount]]-SIP[[#This Row],[Unit Capital]]</f>
        <v>960</v>
      </c>
      <c r="R10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11.106623586429729</v>
      </c>
      <c r="S1069" s="68">
        <f t="shared" si="51"/>
        <v>14.224</v>
      </c>
      <c r="T10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69" s="74" cm="1">
        <f t="array" ref="U1069">IF(SIP[[#This Row],[B/S]]="S",ABS(SIP[[#This Row],[Unit]])*(INDEX(SIP[NAV at Cost (Average)],MATCH(CONCATENATE((SIP[[#This Row],[Frequency]]-1),SIP[[#This Row],[Investor ID]]),SIP[Unique Code],0),0)),0)</f>
        <v>0</v>
      </c>
      <c r="V1069" s="74">
        <f>IF(SIP[[#This Row],[BO TRANSFER]]="YES",SIP[[#This Row],[Unit]],)</f>
        <v>0</v>
      </c>
      <c r="W1069" s="74">
        <f>SUMIFS(SIP[[#Headers],[BO UNIT TRANSFER]]:SIP[[#This Row],[BO UNIT TRANSFER]],SIP[[#Headers],[Investor ID]]:SIP[[#This Row],[Investor ID]],SIP[[#This Row],[Investor ID]])</f>
        <v>0</v>
      </c>
    </row>
    <row r="1070" spans="1:23" ht="15" customHeight="1">
      <c r="A1070" s="101">
        <v>2025</v>
      </c>
      <c r="B1070" s="101">
        <v>3</v>
      </c>
      <c r="C1070" s="101">
        <v>26</v>
      </c>
      <c r="D1070" s="65">
        <f>DATE(SIP[[#This Row],[Year]],SIP[[#This Row],[Month]],SIP[[#This Row],[Day]])</f>
        <v>45742</v>
      </c>
      <c r="E1070" s="66" t="str" cm="1">
        <f t="array" ref="E1070">INDEX(INVESTORS_LIST[INVESTOR NAME],MATCH(SIP[[#This Row],[Investor ID]],INVESTORS_LIST[INVESTOR CODE],0),)</f>
        <v>JUBAIDA FARHANA HAQUE</v>
      </c>
      <c r="F1070" s="46" t="s">
        <v>1065</v>
      </c>
      <c r="G1070" s="46">
        <f>COUNTIF(SIP[[#Headers],[Investor ID]]:SIP[[#This Row],[Investor ID]],SIP[[#This Row],[Investor ID]])</f>
        <v>20</v>
      </c>
      <c r="H1070" s="46" t="str">
        <f>CONCATENATE(SIP[[#This Row],[Frequency]],SIP[[#This Row],[Investor ID]])</f>
        <v>20A00510</v>
      </c>
      <c r="I1070" s="46" t="str">
        <f>IF(SIP[[#This Row],[B/S]]="B","BUY",(IF(SIP[[#This Row],[B/S]]="S","SELL"," ")))</f>
        <v>BUY</v>
      </c>
      <c r="J1070" s="150" t="s">
        <v>1229</v>
      </c>
      <c r="K1070" s="152">
        <v>5000</v>
      </c>
      <c r="L1070" s="122"/>
      <c r="M1070" s="123">
        <f>SIP[[#This Row],[Amount]]/SIP[[#This Row],[Unit]]</f>
        <v>12.376237623762377</v>
      </c>
      <c r="N1070" s="71">
        <f>SIP[[#This Row],[Unit Capital]]/10</f>
        <v>404</v>
      </c>
      <c r="O1070" s="71">
        <f>SUMIFS(SIP[[#Headers],[Unit]]:SIP[[#This Row],[Unit]],SIP[[#Headers],[Investor ID]]:SIP[[#This Row],[Investor ID]],SIP[[#This Row],[Investor ID]])</f>
        <v>7980</v>
      </c>
      <c r="P1070" s="153">
        <v>4040</v>
      </c>
      <c r="Q1070" s="74">
        <f>SIP[[#This Row],[Amount]]-SIP[[#This Row],[Unit Capital]]</f>
        <v>960</v>
      </c>
      <c r="R10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11.280172038930134</v>
      </c>
      <c r="S1070" s="68">
        <f t="shared" si="51"/>
        <v>14.224</v>
      </c>
      <c r="T10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0" s="74" cm="1">
        <f t="array" ref="U1070">IF(SIP[[#This Row],[B/S]]="S",ABS(SIP[[#This Row],[Unit]])*(INDEX(SIP[NAV at Cost (Average)],MATCH(CONCATENATE((SIP[[#This Row],[Frequency]]-1),SIP[[#This Row],[Investor ID]]),SIP[Unique Code],0),0)),0)</f>
        <v>0</v>
      </c>
      <c r="V1070" s="74">
        <f>IF(SIP[[#This Row],[BO TRANSFER]]="YES",SIP[[#This Row],[Unit]],)</f>
        <v>0</v>
      </c>
      <c r="W1070" s="74">
        <f>SUMIFS(SIP[[#Headers],[BO UNIT TRANSFER]]:SIP[[#This Row],[BO UNIT TRANSFER]],SIP[[#Headers],[Investor ID]]:SIP[[#This Row],[Investor ID]],SIP[[#This Row],[Investor ID]])</f>
        <v>0</v>
      </c>
    </row>
    <row r="1071" spans="1:23" ht="15" customHeight="1">
      <c r="A1071" s="101">
        <v>2025</v>
      </c>
      <c r="B1071" s="101">
        <v>3</v>
      </c>
      <c r="C1071" s="101">
        <v>26</v>
      </c>
      <c r="D1071" s="65">
        <f>DATE(SIP[[#This Row],[Year]],SIP[[#This Row],[Month]],SIP[[#This Row],[Day]])</f>
        <v>45742</v>
      </c>
      <c r="E1071" s="66" t="str" cm="1">
        <f t="array" ref="E1071">INDEX(INVESTORS_LIST[INVESTOR NAME],MATCH(SIP[[#This Row],[Investor ID]],INVESTORS_LIST[INVESTOR CODE],0),)</f>
        <v>MAYA RANI SAHA</v>
      </c>
      <c r="F1071" s="46" t="s">
        <v>224</v>
      </c>
      <c r="G1071" s="46">
        <f>COUNTIF(SIP[[#Headers],[Investor ID]]:SIP[[#This Row],[Investor ID]],SIP[[#This Row],[Investor ID]])</f>
        <v>41</v>
      </c>
      <c r="H1071" s="46" t="str">
        <f>CONCATENATE(SIP[[#This Row],[Frequency]],SIP[[#This Row],[Investor ID]])</f>
        <v>41A00088</v>
      </c>
      <c r="I1071" s="46" t="str">
        <f>IF(SIP[[#This Row],[B/S]]="B","BUY",(IF(SIP[[#This Row],[B/S]]="S","SELL"," ")))</f>
        <v>BUY</v>
      </c>
      <c r="J1071" s="150" t="s">
        <v>1229</v>
      </c>
      <c r="K1071" s="152">
        <v>20000</v>
      </c>
      <c r="L1071" s="122"/>
      <c r="M1071" s="123">
        <f>SIP[[#This Row],[Amount]]/SIP[[#This Row],[Unit]]</f>
        <v>12.391573729863692</v>
      </c>
      <c r="N1071" s="71">
        <f>SIP[[#This Row],[Unit Capital]]/10</f>
        <v>1614</v>
      </c>
      <c r="O1071" s="71">
        <f>SUMIFS(SIP[[#Headers],[Unit]]:SIP[[#This Row],[Unit]],SIP[[#Headers],[Investor ID]]:SIP[[#This Row],[Investor ID]],SIP[[#This Row],[Investor ID]])</f>
        <v>54244</v>
      </c>
      <c r="P1071" s="153">
        <v>16140</v>
      </c>
      <c r="Q1071" s="74">
        <f>SIP[[#This Row],[Amount]]-SIP[[#This Row],[Unit Capital]]</f>
        <v>3860</v>
      </c>
      <c r="R10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11.356094683282945</v>
      </c>
      <c r="S1071" s="68">
        <f t="shared" si="51"/>
        <v>14.224</v>
      </c>
      <c r="T10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1" s="74" cm="1">
        <f t="array" ref="U1071">IF(SIP[[#This Row],[B/S]]="S",ABS(SIP[[#This Row],[Unit]])*(INDEX(SIP[NAV at Cost (Average)],MATCH(CONCATENATE((SIP[[#This Row],[Frequency]]-1),SIP[[#This Row],[Investor ID]]),SIP[Unique Code],0),0)),0)</f>
        <v>0</v>
      </c>
      <c r="V1071" s="74">
        <f>IF(SIP[[#This Row],[BO TRANSFER]]="YES",SIP[[#This Row],[Unit]],)</f>
        <v>0</v>
      </c>
      <c r="W1071" s="74">
        <f>SUMIFS(SIP[[#Headers],[BO UNIT TRANSFER]]:SIP[[#This Row],[BO UNIT TRANSFER]],SIP[[#Headers],[Investor ID]]:SIP[[#This Row],[Investor ID]],SIP[[#This Row],[Investor ID]])</f>
        <v>0</v>
      </c>
    </row>
    <row r="1072" spans="1:23" ht="15" customHeight="1">
      <c r="A1072" s="101">
        <v>2025</v>
      </c>
      <c r="B1072" s="101">
        <v>3</v>
      </c>
      <c r="C1072" s="101">
        <v>26</v>
      </c>
      <c r="D1072" s="65">
        <f>DATE(SIP[[#This Row],[Year]],SIP[[#This Row],[Month]],SIP[[#This Row],[Day]])</f>
        <v>45742</v>
      </c>
      <c r="E1072" s="66" t="str" cm="1">
        <f t="array" ref="E1072">INDEX(INVESTORS_LIST[INVESTOR NAME],MATCH(SIP[[#This Row],[Investor ID]],INVESTORS_LIST[INVESTOR CODE],0),)</f>
        <v>MUHAMMAD SHOHIDUZZAMAN</v>
      </c>
      <c r="F1072" s="46" t="s">
        <v>986</v>
      </c>
      <c r="G1072" s="46">
        <f>COUNTIF(SIP[[#Headers],[Investor ID]]:SIP[[#This Row],[Investor ID]],SIP[[#This Row],[Investor ID]])</f>
        <v>17</v>
      </c>
      <c r="H1072" s="46" t="str">
        <f>CONCATENATE(SIP[[#This Row],[Frequency]],SIP[[#This Row],[Investor ID]])</f>
        <v>17A00470</v>
      </c>
      <c r="I1072" s="46" t="str">
        <f>IF(SIP[[#This Row],[B/S]]="B","BUY",(IF(SIP[[#This Row],[B/S]]="S","SELL"," ")))</f>
        <v>BUY</v>
      </c>
      <c r="J1072" s="150" t="s">
        <v>1229</v>
      </c>
      <c r="K1072" s="152">
        <v>10000</v>
      </c>
      <c r="L1072" s="122" t="s">
        <v>1230</v>
      </c>
      <c r="M1072" s="123">
        <f>SIP[[#This Row],[Amount]]/SIP[[#This Row],[Unit]]</f>
        <v>12.391573729863692</v>
      </c>
      <c r="N1072" s="71">
        <f>SIP[[#This Row],[Unit Capital]]/10</f>
        <v>807</v>
      </c>
      <c r="O1072" s="71">
        <f>SUMIFS(SIP[[#Headers],[Unit]]:SIP[[#This Row],[Unit]],SIP[[#Headers],[Investor ID]]:SIP[[#This Row],[Investor ID]],SIP[[#This Row],[Investor ID]])</f>
        <v>15009</v>
      </c>
      <c r="P1072" s="153">
        <v>8070</v>
      </c>
      <c r="Q1072" s="74">
        <f>SIP[[#This Row],[Amount]]-SIP[[#This Row],[Unit Capital]]</f>
        <v>1930</v>
      </c>
      <c r="R10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11.326537410886798</v>
      </c>
      <c r="S1072" s="68">
        <f t="shared" si="51"/>
        <v>14.224</v>
      </c>
      <c r="T10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2" s="74" cm="1">
        <f t="array" ref="U1072">IF(SIP[[#This Row],[B/S]]="S",ABS(SIP[[#This Row],[Unit]])*(INDEX(SIP[NAV at Cost (Average)],MATCH(CONCATENATE((SIP[[#This Row],[Frequency]]-1),SIP[[#This Row],[Investor ID]]),SIP[Unique Code],0),0)),0)</f>
        <v>0</v>
      </c>
      <c r="V1072" s="74">
        <f>IF(SIP[[#This Row],[BO TRANSFER]]="YES",SIP[[#This Row],[Unit]],)</f>
        <v>807</v>
      </c>
      <c r="W1072" s="74">
        <f>SUMIFS(SIP[[#Headers],[BO UNIT TRANSFER]]:SIP[[#This Row],[BO UNIT TRANSFER]],SIP[[#Headers],[Investor ID]]:SIP[[#This Row],[Investor ID]],SIP[[#This Row],[Investor ID]])</f>
        <v>15009</v>
      </c>
    </row>
    <row r="1073" spans="1:23" ht="15" customHeight="1">
      <c r="A1073" s="101">
        <v>2025</v>
      </c>
      <c r="B1073" s="101">
        <v>3</v>
      </c>
      <c r="C1073" s="101">
        <v>26</v>
      </c>
      <c r="D1073" s="65">
        <f>DATE(SIP[[#This Row],[Year]],SIP[[#This Row],[Month]],SIP[[#This Row],[Day]])</f>
        <v>45742</v>
      </c>
      <c r="E1073" s="66" t="str" cm="1">
        <f t="array" ref="E1073">INDEX(INVESTORS_LIST[INVESTOR NAME],MATCH(SIP[[#This Row],[Investor ID]],INVESTORS_LIST[INVESTOR CODE],0),)</f>
        <v>MD ABDULLAH-AL- MAMUN</v>
      </c>
      <c r="F1073" s="46" t="s">
        <v>533</v>
      </c>
      <c r="G1073" s="46">
        <f>COUNTIF(SIP[[#Headers],[Investor ID]]:SIP[[#This Row],[Investor ID]],SIP[[#This Row],[Investor ID]])</f>
        <v>18</v>
      </c>
      <c r="H1073" s="46" t="str">
        <f>CONCATENATE(SIP[[#This Row],[Frequency]],SIP[[#This Row],[Investor ID]])</f>
        <v>18A00242</v>
      </c>
      <c r="I1073" s="46" t="str">
        <f>IF(SIP[[#This Row],[B/S]]="B","BUY",(IF(SIP[[#This Row],[B/S]]="S","SELL"," ")))</f>
        <v>BUY</v>
      </c>
      <c r="J1073" s="150" t="s">
        <v>1229</v>
      </c>
      <c r="K1073" s="152">
        <v>15000</v>
      </c>
      <c r="L1073" s="122"/>
      <c r="M1073" s="123">
        <f>SIP[[#This Row],[Amount]]/SIP[[#This Row],[Unit]]</f>
        <v>12.386457473162675</v>
      </c>
      <c r="N1073" s="71">
        <f>SIP[[#This Row],[Unit Capital]]/10</f>
        <v>1211</v>
      </c>
      <c r="O1073" s="71">
        <f>SUMIFS(SIP[[#Headers],[Unit]]:SIP[[#This Row],[Unit]],SIP[[#Headers],[Investor ID]]:SIP[[#This Row],[Investor ID]],SIP[[#This Row],[Investor ID]])</f>
        <v>23935</v>
      </c>
      <c r="P1073" s="153">
        <v>12110</v>
      </c>
      <c r="Q1073" s="74">
        <f>SIP[[#This Row],[Amount]]-SIP[[#This Row],[Unit Capital]]</f>
        <v>2890</v>
      </c>
      <c r="R10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11.280551493628582</v>
      </c>
      <c r="S1073" s="68">
        <f t="shared" si="51"/>
        <v>14.224</v>
      </c>
      <c r="T10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3" s="74" cm="1">
        <f t="array" ref="U1073">IF(SIP[[#This Row],[B/S]]="S",ABS(SIP[[#This Row],[Unit]])*(INDEX(SIP[NAV at Cost (Average)],MATCH(CONCATENATE((SIP[[#This Row],[Frequency]]-1),SIP[[#This Row],[Investor ID]]),SIP[Unique Code],0),0)),0)</f>
        <v>0</v>
      </c>
      <c r="V1073" s="74">
        <f>IF(SIP[[#This Row],[BO TRANSFER]]="YES",SIP[[#This Row],[Unit]],)</f>
        <v>0</v>
      </c>
      <c r="W1073" s="74">
        <f>SUMIFS(SIP[[#Headers],[BO UNIT TRANSFER]]:SIP[[#This Row],[BO UNIT TRANSFER]],SIP[[#Headers],[Investor ID]]:SIP[[#This Row],[Investor ID]],SIP[[#This Row],[Investor ID]])</f>
        <v>0</v>
      </c>
    </row>
    <row r="1074" spans="1:23" ht="15" customHeight="1">
      <c r="A1074" s="101">
        <v>2025</v>
      </c>
      <c r="B1074" s="101">
        <v>3</v>
      </c>
      <c r="C1074" s="101">
        <v>26</v>
      </c>
      <c r="D1074" s="65">
        <f>DATE(SIP[[#This Row],[Year]],SIP[[#This Row],[Month]],SIP[[#This Row],[Day]])</f>
        <v>45742</v>
      </c>
      <c r="E1074" s="66" t="str" cm="1">
        <f t="array" ref="E1074">INDEX(INVESTORS_LIST[INVESTOR NAME],MATCH(SIP[[#This Row],[Investor ID]],INVESTORS_LIST[INVESTOR CODE],0),)</f>
        <v>MOHAMMAD HASAN IMAM</v>
      </c>
      <c r="F1074" s="46" t="s">
        <v>1122</v>
      </c>
      <c r="G1074" s="46">
        <f>COUNTIF(SIP[[#Headers],[Investor ID]]:SIP[[#This Row],[Investor ID]],SIP[[#This Row],[Investor ID]])</f>
        <v>12</v>
      </c>
      <c r="H1074" s="46" t="str">
        <f>CONCATENATE(SIP[[#This Row],[Frequency]],SIP[[#This Row],[Investor ID]])</f>
        <v>12A00536</v>
      </c>
      <c r="I1074" s="46" t="str">
        <f>IF(SIP[[#This Row],[B/S]]="B","BUY",(IF(SIP[[#This Row],[B/S]]="S","SELL"," ")))</f>
        <v>BUY</v>
      </c>
      <c r="J1074" s="150" t="s">
        <v>1229</v>
      </c>
      <c r="K1074" s="152">
        <v>5000</v>
      </c>
      <c r="L1074" s="122"/>
      <c r="M1074" s="123">
        <f>SIP[[#This Row],[Amount]]/SIP[[#This Row],[Unit]]</f>
        <v>12.376237623762377</v>
      </c>
      <c r="N1074" s="71">
        <f>SIP[[#This Row],[Unit Capital]]/10</f>
        <v>404</v>
      </c>
      <c r="O1074" s="71">
        <f>SUMIFS(SIP[[#Headers],[Unit]]:SIP[[#This Row],[Unit]],SIP[[#Headers],[Investor ID]]:SIP[[#This Row],[Investor ID]],SIP[[#This Row],[Investor ID]])</f>
        <v>5176</v>
      </c>
      <c r="P1074" s="153">
        <v>4040</v>
      </c>
      <c r="Q1074" s="74">
        <f>SIP[[#This Row],[Amount]]-SIP[[#This Row],[Unit Capital]]</f>
        <v>960</v>
      </c>
      <c r="R10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11.591962905718701</v>
      </c>
      <c r="S1074" s="68">
        <f t="shared" si="51"/>
        <v>14.224</v>
      </c>
      <c r="T10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4" s="74" cm="1">
        <f t="array" ref="U1074">IF(SIP[[#This Row],[B/S]]="S",ABS(SIP[[#This Row],[Unit]])*(INDEX(SIP[NAV at Cost (Average)],MATCH(CONCATENATE((SIP[[#This Row],[Frequency]]-1),SIP[[#This Row],[Investor ID]]),SIP[Unique Code],0),0)),0)</f>
        <v>0</v>
      </c>
      <c r="V1074" s="74">
        <f>IF(SIP[[#This Row],[BO TRANSFER]]="YES",SIP[[#This Row],[Unit]],)</f>
        <v>0</v>
      </c>
      <c r="W1074" s="74">
        <f>SUMIFS(SIP[[#Headers],[BO UNIT TRANSFER]]:SIP[[#This Row],[BO UNIT TRANSFER]],SIP[[#Headers],[Investor ID]]:SIP[[#This Row],[Investor ID]],SIP[[#This Row],[Investor ID]])</f>
        <v>0</v>
      </c>
    </row>
    <row r="1075" spans="1:23" ht="15" customHeight="1">
      <c r="A1075" s="101">
        <v>2025</v>
      </c>
      <c r="B1075" s="101">
        <v>3</v>
      </c>
      <c r="C1075" s="101">
        <v>26</v>
      </c>
      <c r="D1075" s="65">
        <f>DATE(SIP[[#This Row],[Year]],SIP[[#This Row],[Month]],SIP[[#This Row],[Day]])</f>
        <v>45742</v>
      </c>
      <c r="E1075" s="66" t="str" cm="1">
        <f t="array" ref="E1075">INDEX(INVESTORS_LIST[INVESTOR NAME],MATCH(SIP[[#This Row],[Investor ID]],INVESTORS_LIST[INVESTOR CODE],0),)</f>
        <v>SADIA PARVIN</v>
      </c>
      <c r="F1075" s="46" t="s">
        <v>1018</v>
      </c>
      <c r="G1075" s="46">
        <f>COUNTIF(SIP[[#Headers],[Investor ID]]:SIP[[#This Row],[Investor ID]],SIP[[#This Row],[Investor ID]])</f>
        <v>32</v>
      </c>
      <c r="H1075" s="46" t="str">
        <f>CONCATENATE(SIP[[#This Row],[Frequency]],SIP[[#This Row],[Investor ID]])</f>
        <v>32A00486</v>
      </c>
      <c r="I1075" s="46" t="str">
        <f>IF(SIP[[#This Row],[B/S]]="B","BUY",(IF(SIP[[#This Row],[B/S]]="S","SELL"," ")))</f>
        <v>BUY</v>
      </c>
      <c r="J1075" s="150" t="s">
        <v>1229</v>
      </c>
      <c r="K1075" s="152">
        <v>5000</v>
      </c>
      <c r="L1075" s="122"/>
      <c r="M1075" s="123">
        <f>SIP[[#This Row],[Amount]]/SIP[[#This Row],[Unit]]</f>
        <v>12.376237623762377</v>
      </c>
      <c r="N1075" s="71">
        <f>SIP[[#This Row],[Unit Capital]]/10</f>
        <v>404</v>
      </c>
      <c r="O1075" s="71">
        <f>SUMIFS(SIP[[#Headers],[Unit]]:SIP[[#This Row],[Unit]],SIP[[#Headers],[Investor ID]]:SIP[[#This Row],[Investor ID]],SIP[[#This Row],[Investor ID]])</f>
        <v>14258</v>
      </c>
      <c r="P1075" s="153">
        <v>4040</v>
      </c>
      <c r="Q1075" s="74">
        <f>SIP[[#This Row],[Amount]]-SIP[[#This Row],[Unit Capital]]</f>
        <v>960</v>
      </c>
      <c r="R10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11.221770234254455</v>
      </c>
      <c r="S1075" s="68">
        <f t="shared" si="51"/>
        <v>14.224</v>
      </c>
      <c r="T10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5" s="74" cm="1">
        <f t="array" ref="U1075">IF(SIP[[#This Row],[B/S]]="S",ABS(SIP[[#This Row],[Unit]])*(INDEX(SIP[NAV at Cost (Average)],MATCH(CONCATENATE((SIP[[#This Row],[Frequency]]-1),SIP[[#This Row],[Investor ID]]),SIP[Unique Code],0),0)),0)</f>
        <v>0</v>
      </c>
      <c r="V1075" s="74">
        <f>IF(SIP[[#This Row],[BO TRANSFER]]="YES",SIP[[#This Row],[Unit]],)</f>
        <v>0</v>
      </c>
      <c r="W1075" s="74">
        <f>SUMIFS(SIP[[#Headers],[BO UNIT TRANSFER]]:SIP[[#This Row],[BO UNIT TRANSFER]],SIP[[#Headers],[Investor ID]]:SIP[[#This Row],[Investor ID]],SIP[[#This Row],[Investor ID]])</f>
        <v>0</v>
      </c>
    </row>
    <row r="1076" spans="1:23" ht="15" customHeight="1">
      <c r="A1076" s="101">
        <v>2025</v>
      </c>
      <c r="B1076" s="101">
        <v>3</v>
      </c>
      <c r="C1076" s="101">
        <v>26</v>
      </c>
      <c r="D1076" s="65">
        <f>DATE(SIP[[#This Row],[Year]],SIP[[#This Row],[Month]],SIP[[#This Row],[Day]])</f>
        <v>45742</v>
      </c>
      <c r="E1076" s="66" t="str" cm="1">
        <f t="array" ref="E1076">INDEX(INVESTORS_LIST[INVESTOR NAME],MATCH(SIP[[#This Row],[Investor ID]],INVESTORS_LIST[INVESTOR CODE],0),)</f>
        <v>SHAPNA RANI BARMAN</v>
      </c>
      <c r="F1076" s="46" t="s">
        <v>1292</v>
      </c>
      <c r="G1076" s="46">
        <f>COUNTIF(SIP[[#Headers],[Investor ID]]:SIP[[#This Row],[Investor ID]],SIP[[#This Row],[Investor ID]])</f>
        <v>5</v>
      </c>
      <c r="H1076" s="46" t="str">
        <f>CONCATENATE(SIP[[#This Row],[Frequency]],SIP[[#This Row],[Investor ID]])</f>
        <v>5A00593</v>
      </c>
      <c r="I1076" s="46" t="str">
        <f>IF(SIP[[#This Row],[B/S]]="B","BUY",(IF(SIP[[#This Row],[B/S]]="S","SELL"," ")))</f>
        <v>BUY</v>
      </c>
      <c r="J1076" s="150" t="s">
        <v>1229</v>
      </c>
      <c r="K1076" s="152">
        <v>1000</v>
      </c>
      <c r="L1076" s="122"/>
      <c r="M1076" s="123">
        <f>SIP[[#This Row],[Amount]]/SIP[[#This Row],[Unit]]</f>
        <v>12.345679012345679</v>
      </c>
      <c r="N1076" s="71">
        <f>SIP[[#This Row],[Unit Capital]]/10</f>
        <v>81</v>
      </c>
      <c r="O1076" s="71">
        <f>SUMIFS(SIP[[#Headers],[Unit]]:SIP[[#This Row],[Unit]],SIP[[#Headers],[Investor ID]]:SIP[[#This Row],[Investor ID]],SIP[[#This Row],[Investor ID]])</f>
        <v>415</v>
      </c>
      <c r="P1076" s="153">
        <v>810</v>
      </c>
      <c r="Q1076" s="74">
        <f>SIP[[#This Row],[Amount]]-SIP[[#This Row],[Unit Capital]]</f>
        <v>190</v>
      </c>
      <c r="R10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12.048192771084336</v>
      </c>
      <c r="S1076" s="68">
        <f t="shared" si="51"/>
        <v>14.224</v>
      </c>
      <c r="T10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6" s="74" cm="1">
        <f t="array" ref="U1076">IF(SIP[[#This Row],[B/S]]="S",ABS(SIP[[#This Row],[Unit]])*(INDEX(SIP[NAV at Cost (Average)],MATCH(CONCATENATE((SIP[[#This Row],[Frequency]]-1),SIP[[#This Row],[Investor ID]]),SIP[Unique Code],0),0)),0)</f>
        <v>0</v>
      </c>
      <c r="V1076" s="74">
        <f>IF(SIP[[#This Row],[BO TRANSFER]]="YES",SIP[[#This Row],[Unit]],)</f>
        <v>0</v>
      </c>
      <c r="W1076" s="74">
        <f>SUMIFS(SIP[[#Headers],[BO UNIT TRANSFER]]:SIP[[#This Row],[BO UNIT TRANSFER]],SIP[[#Headers],[Investor ID]]:SIP[[#This Row],[Investor ID]],SIP[[#This Row],[Investor ID]])</f>
        <v>0</v>
      </c>
    </row>
    <row r="1077" spans="1:23" ht="15" customHeight="1">
      <c r="A1077" s="101">
        <v>2025</v>
      </c>
      <c r="B1077" s="101">
        <v>3</v>
      </c>
      <c r="C1077" s="101">
        <v>26</v>
      </c>
      <c r="D1077" s="65">
        <f>DATE(SIP[[#This Row],[Year]],SIP[[#This Row],[Month]],SIP[[#This Row],[Day]])</f>
        <v>45742</v>
      </c>
      <c r="E1077" s="66" t="str" cm="1">
        <f t="array" ref="E1077">INDEX(INVESTORS_LIST[INVESTOR NAME],MATCH(SIP[[#This Row],[Investor ID]],INVESTORS_LIST[INVESTOR CODE],0),)</f>
        <v>MAYA RANI SAHA</v>
      </c>
      <c r="F1077" s="46" t="s">
        <v>224</v>
      </c>
      <c r="G1077" s="46">
        <f>COUNTIF(SIP[[#Headers],[Investor ID]]:SIP[[#This Row],[Investor ID]],SIP[[#This Row],[Investor ID]])</f>
        <v>42</v>
      </c>
      <c r="H1077" s="46" t="str">
        <f>CONCATENATE(SIP[[#This Row],[Frequency]],SIP[[#This Row],[Investor ID]])</f>
        <v>42A00088</v>
      </c>
      <c r="I1077" s="46" t="str">
        <f>IF(SIP[[#This Row],[B/S]]="B","BUY",(IF(SIP[[#This Row],[B/S]]="S","SELL"," ")))</f>
        <v>BUY</v>
      </c>
      <c r="J1077" s="150" t="s">
        <v>1229</v>
      </c>
      <c r="K1077" s="152">
        <v>6000</v>
      </c>
      <c r="L1077" s="122"/>
      <c r="M1077" s="123">
        <f>SIP[[#This Row],[Amount]]/SIP[[#This Row],[Unit]]</f>
        <v>12.396694214876034</v>
      </c>
      <c r="N1077" s="71">
        <f>SIP[[#This Row],[Unit Capital]]/10</f>
        <v>484</v>
      </c>
      <c r="O1077" s="71">
        <f>SUMIFS(SIP[[#Headers],[Unit]]:SIP[[#This Row],[Unit]],SIP[[#Headers],[Investor ID]]:SIP[[#This Row],[Investor ID]],SIP[[#This Row],[Investor ID]])</f>
        <v>54728</v>
      </c>
      <c r="P1077" s="153">
        <v>4840</v>
      </c>
      <c r="Q1077" s="74">
        <f>SIP[[#This Row],[Amount]]-SIP[[#This Row],[Unit Capital]]</f>
        <v>1160</v>
      </c>
      <c r="R10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11.365297471129953</v>
      </c>
      <c r="S1077" s="68">
        <f t="shared" si="51"/>
        <v>14.224</v>
      </c>
      <c r="T10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7" s="74" cm="1">
        <f t="array" ref="U1077">IF(SIP[[#This Row],[B/S]]="S",ABS(SIP[[#This Row],[Unit]])*(INDEX(SIP[NAV at Cost (Average)],MATCH(CONCATENATE((SIP[[#This Row],[Frequency]]-1),SIP[[#This Row],[Investor ID]]),SIP[Unique Code],0),0)),0)</f>
        <v>0</v>
      </c>
      <c r="V1077" s="74">
        <f>IF(SIP[[#This Row],[BO TRANSFER]]="YES",SIP[[#This Row],[Unit]],)</f>
        <v>0</v>
      </c>
      <c r="W1077" s="74">
        <f>SUMIFS(SIP[[#Headers],[BO UNIT TRANSFER]]:SIP[[#This Row],[BO UNIT TRANSFER]],SIP[[#Headers],[Investor ID]]:SIP[[#This Row],[Investor ID]],SIP[[#This Row],[Investor ID]])</f>
        <v>0</v>
      </c>
    </row>
    <row r="1078" spans="1:23" ht="15" customHeight="1">
      <c r="A1078" s="101">
        <v>2025</v>
      </c>
      <c r="B1078" s="101">
        <v>3</v>
      </c>
      <c r="C1078" s="101">
        <v>26</v>
      </c>
      <c r="D1078" s="65">
        <f>DATE(SIP[[#This Row],[Year]],SIP[[#This Row],[Month]],SIP[[#This Row],[Day]])</f>
        <v>45742</v>
      </c>
      <c r="E1078" s="66" t="str" cm="1">
        <f t="array" ref="E1078">INDEX(INVESTORS_LIST[INVESTOR NAME],MATCH(SIP[[#This Row],[Investor ID]],INVESTORS_LIST[INVESTOR CODE],0),)</f>
        <v>MAYA RANI SAHA</v>
      </c>
      <c r="F1078" s="46" t="s">
        <v>224</v>
      </c>
      <c r="G1078" s="46">
        <f>COUNTIF(SIP[[#Headers],[Investor ID]]:SIP[[#This Row],[Investor ID]],SIP[[#This Row],[Investor ID]])</f>
        <v>43</v>
      </c>
      <c r="H1078" s="46" t="str">
        <f>CONCATENATE(SIP[[#This Row],[Frequency]],SIP[[#This Row],[Investor ID]])</f>
        <v>43A00088</v>
      </c>
      <c r="I1078" s="46" t="str">
        <f>IF(SIP[[#This Row],[B/S]]="B","BUY",(IF(SIP[[#This Row],[B/S]]="S","SELL"," ")))</f>
        <v>BUY</v>
      </c>
      <c r="J1078" s="150" t="s">
        <v>1229</v>
      </c>
      <c r="K1078" s="152">
        <v>10000</v>
      </c>
      <c r="L1078" s="122"/>
      <c r="M1078" s="123">
        <f>SIP[[#This Row],[Amount]]/SIP[[#This Row],[Unit]]</f>
        <v>12.391573729863692</v>
      </c>
      <c r="N1078" s="71">
        <f>SIP[[#This Row],[Unit Capital]]/10</f>
        <v>807</v>
      </c>
      <c r="O1078" s="71">
        <f>SUMIFS(SIP[[#Headers],[Unit]]:SIP[[#This Row],[Unit]],SIP[[#Headers],[Investor ID]]:SIP[[#This Row],[Investor ID]],SIP[[#This Row],[Investor ID]])</f>
        <v>55535</v>
      </c>
      <c r="P1078" s="153">
        <v>8070</v>
      </c>
      <c r="Q1078" s="74">
        <f>SIP[[#This Row],[Amount]]-SIP[[#This Row],[Unit Capital]]</f>
        <v>1930</v>
      </c>
      <c r="R10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11.380210677950842</v>
      </c>
      <c r="S1078" s="68">
        <f t="shared" si="51"/>
        <v>14.224</v>
      </c>
      <c r="T10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8" s="74" cm="1">
        <f t="array" ref="U1078">IF(SIP[[#This Row],[B/S]]="S",ABS(SIP[[#This Row],[Unit]])*(INDEX(SIP[NAV at Cost (Average)],MATCH(CONCATENATE((SIP[[#This Row],[Frequency]]-1),SIP[[#This Row],[Investor ID]]),SIP[Unique Code],0),0)),0)</f>
        <v>0</v>
      </c>
      <c r="V1078" s="74">
        <f>IF(SIP[[#This Row],[BO TRANSFER]]="YES",SIP[[#This Row],[Unit]],)</f>
        <v>0</v>
      </c>
      <c r="W1078" s="74">
        <f>SUMIFS(SIP[[#Headers],[BO UNIT TRANSFER]]:SIP[[#This Row],[BO UNIT TRANSFER]],SIP[[#Headers],[Investor ID]]:SIP[[#This Row],[Investor ID]],SIP[[#This Row],[Investor ID]])</f>
        <v>0</v>
      </c>
    </row>
    <row r="1079" spans="1:23" ht="15" customHeight="1">
      <c r="A1079" s="101">
        <v>2025</v>
      </c>
      <c r="B1079" s="101">
        <v>3</v>
      </c>
      <c r="C1079" s="101">
        <v>26</v>
      </c>
      <c r="D1079" s="65">
        <f>DATE(SIP[[#This Row],[Year]],SIP[[#This Row],[Month]],SIP[[#This Row],[Day]])</f>
        <v>45742</v>
      </c>
      <c r="E1079" s="66" t="str" cm="1">
        <f t="array" ref="E1079">INDEX(INVESTORS_LIST[INVESTOR NAME],MATCH(SIP[[#This Row],[Investor ID]],INVESTORS_LIST[INVESTOR CODE],0),)</f>
        <v>SWADESH RANJAN SAHA</v>
      </c>
      <c r="F1079" s="46" t="s">
        <v>234</v>
      </c>
      <c r="G1079" s="46">
        <f>COUNTIF(SIP[[#Headers],[Investor ID]]:SIP[[#This Row],[Investor ID]],SIP[[#This Row],[Investor ID]])</f>
        <v>4</v>
      </c>
      <c r="H1079" s="46" t="str">
        <f>CONCATENATE(SIP[[#This Row],[Frequency]],SIP[[#This Row],[Investor ID]])</f>
        <v>4A00093</v>
      </c>
      <c r="I1079" s="46" t="str">
        <f>IF(SIP[[#This Row],[B/S]]="B","BUY",(IF(SIP[[#This Row],[B/S]]="S","SELL"," ")))</f>
        <v>BUY</v>
      </c>
      <c r="J1079" s="150" t="s">
        <v>1229</v>
      </c>
      <c r="K1079" s="152">
        <v>50000</v>
      </c>
      <c r="L1079" s="122"/>
      <c r="M1079" s="123">
        <f>SIP[[#This Row],[Amount]]/SIP[[#This Row],[Unit]]</f>
        <v>12.388503468780971</v>
      </c>
      <c r="N1079" s="71">
        <f>SIP[[#This Row],[Unit Capital]]/10</f>
        <v>4036</v>
      </c>
      <c r="O1079" s="71">
        <f>SUMIFS(SIP[[#Headers],[Unit]]:SIP[[#This Row],[Unit]],SIP[[#Headers],[Investor ID]]:SIP[[#This Row],[Investor ID]],SIP[[#This Row],[Investor ID]])</f>
        <v>16389</v>
      </c>
      <c r="P1079" s="153">
        <v>40360</v>
      </c>
      <c r="Q1079" s="74">
        <f>SIP[[#This Row],[Amount]]-SIP[[#This Row],[Unit Capital]]</f>
        <v>9640</v>
      </c>
      <c r="R10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12.203307096223076</v>
      </c>
      <c r="S1079" s="68">
        <f t="shared" si="51"/>
        <v>14.224</v>
      </c>
      <c r="T10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9" s="74" cm="1">
        <f t="array" ref="U1079">IF(SIP[[#This Row],[B/S]]="S",ABS(SIP[[#This Row],[Unit]])*(INDEX(SIP[NAV at Cost (Average)],MATCH(CONCATENATE((SIP[[#This Row],[Frequency]]-1),SIP[[#This Row],[Investor ID]]),SIP[Unique Code],0),0)),0)</f>
        <v>0</v>
      </c>
      <c r="V1079" s="74">
        <f>IF(SIP[[#This Row],[BO TRANSFER]]="YES",SIP[[#This Row],[Unit]],)</f>
        <v>0</v>
      </c>
      <c r="W1079" s="74">
        <f>SUMIFS(SIP[[#Headers],[BO UNIT TRANSFER]]:SIP[[#This Row],[BO UNIT TRANSFER]],SIP[[#Headers],[Investor ID]]:SIP[[#This Row],[Investor ID]],SIP[[#This Row],[Investor ID]])</f>
        <v>0</v>
      </c>
    </row>
    <row r="1080" spans="1:23" ht="15" customHeight="1">
      <c r="A1080" s="101">
        <v>2025</v>
      </c>
      <c r="B1080" s="101">
        <v>3</v>
      </c>
      <c r="C1080" s="101">
        <v>26</v>
      </c>
      <c r="D1080" s="65">
        <f>DATE(SIP[[#This Row],[Year]],SIP[[#This Row],[Month]],SIP[[#This Row],[Day]])</f>
        <v>45742</v>
      </c>
      <c r="E1080" s="66" t="str" cm="1">
        <f t="array" ref="E1080">INDEX(INVESTORS_LIST[INVESTOR NAME],MATCH(SIP[[#This Row],[Investor ID]],INVESTORS_LIST[INVESTOR CODE],0),)</f>
        <v>MAHBUB-UL-ANAM KHAN</v>
      </c>
      <c r="F1080" s="46" t="s">
        <v>626</v>
      </c>
      <c r="G1080" s="46">
        <f>COUNTIF(SIP[[#Headers],[Investor ID]]:SIP[[#This Row],[Investor ID]],SIP[[#This Row],[Investor ID]])</f>
        <v>8</v>
      </c>
      <c r="H1080" s="46" t="str">
        <f>CONCATENATE(SIP[[#This Row],[Frequency]],SIP[[#This Row],[Investor ID]])</f>
        <v>8A00289</v>
      </c>
      <c r="I1080" s="46" t="str">
        <f>IF(SIP[[#This Row],[B/S]]="B","BUY",(IF(SIP[[#This Row],[B/S]]="S","SELL"," ")))</f>
        <v>BUY</v>
      </c>
      <c r="J1080" s="150" t="s">
        <v>1229</v>
      </c>
      <c r="K1080" s="152">
        <v>5000</v>
      </c>
      <c r="L1080" s="122"/>
      <c r="M1080" s="123">
        <f>SIP[[#This Row],[Amount]]/SIP[[#This Row],[Unit]]</f>
        <v>12.376237623762377</v>
      </c>
      <c r="N1080" s="71">
        <f>SIP[[#This Row],[Unit Capital]]/10</f>
        <v>404</v>
      </c>
      <c r="O1080" s="71">
        <f>SUMIFS(SIP[[#Headers],[Unit]]:SIP[[#This Row],[Unit]],SIP[[#Headers],[Investor ID]]:SIP[[#This Row],[Investor ID]],SIP[[#This Row],[Investor ID]])</f>
        <v>3376</v>
      </c>
      <c r="P1080" s="153">
        <v>4040</v>
      </c>
      <c r="Q1080" s="74">
        <f>SIP[[#This Row],[Amount]]-SIP[[#This Row],[Unit Capital]]</f>
        <v>960</v>
      </c>
      <c r="R10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11.848341232227487</v>
      </c>
      <c r="S1080" s="68">
        <f t="shared" si="51"/>
        <v>14.224</v>
      </c>
      <c r="T10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0" s="74" cm="1">
        <f t="array" ref="U1080">IF(SIP[[#This Row],[B/S]]="S",ABS(SIP[[#This Row],[Unit]])*(INDEX(SIP[NAV at Cost (Average)],MATCH(CONCATENATE((SIP[[#This Row],[Frequency]]-1),SIP[[#This Row],[Investor ID]]),SIP[Unique Code],0),0)),0)</f>
        <v>0</v>
      </c>
      <c r="V1080" s="74">
        <f>IF(SIP[[#This Row],[BO TRANSFER]]="YES",SIP[[#This Row],[Unit]],)</f>
        <v>0</v>
      </c>
      <c r="W1080" s="74">
        <f>SUMIFS(SIP[[#Headers],[BO UNIT TRANSFER]]:SIP[[#This Row],[BO UNIT TRANSFER]],SIP[[#Headers],[Investor ID]]:SIP[[#This Row],[Investor ID]],SIP[[#This Row],[Investor ID]])</f>
        <v>0</v>
      </c>
    </row>
    <row r="1081" spans="1:23" ht="15" customHeight="1">
      <c r="A1081" s="101">
        <v>2025</v>
      </c>
      <c r="B1081" s="101">
        <v>3</v>
      </c>
      <c r="C1081" s="101">
        <v>26</v>
      </c>
      <c r="D1081" s="65">
        <f>DATE(SIP[[#This Row],[Year]],SIP[[#This Row],[Month]],SIP[[#This Row],[Day]])</f>
        <v>45742</v>
      </c>
      <c r="E1081" s="66" t="str" cm="1">
        <f t="array" ref="E1081">INDEX(INVESTORS_LIST[INVESTOR NAME],MATCH(SIP[[#This Row],[Investor ID]],INVESTORS_LIST[INVESTOR CODE],0),)</f>
        <v>SYED ADNAN HUDA</v>
      </c>
      <c r="F1081" s="46" t="s">
        <v>236</v>
      </c>
      <c r="G1081" s="46">
        <f>COUNTIF(SIP[[#Headers],[Investor ID]]:SIP[[#This Row],[Investor ID]],SIP[[#This Row],[Investor ID]])</f>
        <v>9</v>
      </c>
      <c r="H1081" s="46" t="str">
        <f>CONCATENATE(SIP[[#This Row],[Frequency]],SIP[[#This Row],[Investor ID]])</f>
        <v>9A00094</v>
      </c>
      <c r="I1081" s="46" t="str">
        <f>IF(SIP[[#This Row],[B/S]]="B","BUY",(IF(SIP[[#This Row],[B/S]]="S","SELL"," ")))</f>
        <v>BUY</v>
      </c>
      <c r="J1081" s="150" t="s">
        <v>1229</v>
      </c>
      <c r="K1081" s="152">
        <v>50000</v>
      </c>
      <c r="L1081" s="122"/>
      <c r="M1081" s="123">
        <f>SIP[[#This Row],[Amount]]/SIP[[#This Row],[Unit]]</f>
        <v>12.388503468780971</v>
      </c>
      <c r="N1081" s="71">
        <f>SIP[[#This Row],[Unit Capital]]/10</f>
        <v>4036</v>
      </c>
      <c r="O1081" s="71">
        <f>SUMIFS(SIP[[#Headers],[Unit]]:SIP[[#This Row],[Unit]],SIP[[#Headers],[Investor ID]]:SIP[[#This Row],[Investor ID]],SIP[[#This Row],[Investor ID]])</f>
        <v>38209</v>
      </c>
      <c r="P1081" s="153">
        <v>40360</v>
      </c>
      <c r="Q1081" s="74">
        <f>SIP[[#This Row],[Amount]]-SIP[[#This Row],[Unit Capital]]</f>
        <v>9640</v>
      </c>
      <c r="R10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11.777329948441466</v>
      </c>
      <c r="S1081" s="68">
        <f t="shared" si="51"/>
        <v>14.224</v>
      </c>
      <c r="T10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1" s="74" cm="1">
        <f t="array" ref="U1081">IF(SIP[[#This Row],[B/S]]="S",ABS(SIP[[#This Row],[Unit]])*(INDEX(SIP[NAV at Cost (Average)],MATCH(CONCATENATE((SIP[[#This Row],[Frequency]]-1),SIP[[#This Row],[Investor ID]]),SIP[Unique Code],0),0)),0)</f>
        <v>0</v>
      </c>
      <c r="V1081" s="74">
        <f>IF(SIP[[#This Row],[BO TRANSFER]]="YES",SIP[[#This Row],[Unit]],)</f>
        <v>0</v>
      </c>
      <c r="W1081" s="74">
        <f>SUMIFS(SIP[[#Headers],[BO UNIT TRANSFER]]:SIP[[#This Row],[BO UNIT TRANSFER]],SIP[[#Headers],[Investor ID]]:SIP[[#This Row],[Investor ID]],SIP[[#This Row],[Investor ID]])</f>
        <v>0</v>
      </c>
    </row>
    <row r="1082" spans="1:23" ht="15" customHeight="1">
      <c r="A1082" s="101">
        <v>2025</v>
      </c>
      <c r="B1082" s="101">
        <v>3</v>
      </c>
      <c r="C1082" s="101">
        <v>26</v>
      </c>
      <c r="D1082" s="65">
        <f>DATE(SIP[[#This Row],[Year]],SIP[[#This Row],[Month]],SIP[[#This Row],[Day]])</f>
        <v>45742</v>
      </c>
      <c r="E1082" s="66" t="str" cm="1">
        <f t="array" ref="E1082">INDEX(INVESTORS_LIST[INVESTOR NAME],MATCH(SIP[[#This Row],[Investor ID]],INVESTORS_LIST[INVESTOR CODE],0),)</f>
        <v>MD MIZANUR RAHMAN</v>
      </c>
      <c r="F1082" s="46" t="s">
        <v>1304</v>
      </c>
      <c r="G1082" s="46">
        <f>COUNTIF(SIP[[#Headers],[Investor ID]]:SIP[[#This Row],[Investor ID]],SIP[[#This Row],[Investor ID]])</f>
        <v>5</v>
      </c>
      <c r="H1082" s="46" t="str">
        <f>CONCATENATE(SIP[[#This Row],[Frequency]],SIP[[#This Row],[Investor ID]])</f>
        <v>5A00599</v>
      </c>
      <c r="I1082" s="46" t="str">
        <f>IF(SIP[[#This Row],[B/S]]="B","BUY",(IF(SIP[[#This Row],[B/S]]="S","SELL"," ")))</f>
        <v>BUY</v>
      </c>
      <c r="J1082" s="150" t="s">
        <v>1229</v>
      </c>
      <c r="K1082" s="152">
        <v>5000</v>
      </c>
      <c r="L1082" s="122"/>
      <c r="M1082" s="123">
        <f>SIP[[#This Row],[Amount]]/SIP[[#This Row],[Unit]]</f>
        <v>12.376237623762377</v>
      </c>
      <c r="N1082" s="71">
        <f>SIP[[#This Row],[Unit Capital]]/10</f>
        <v>404</v>
      </c>
      <c r="O1082" s="71">
        <f>SUMIFS(SIP[[#Headers],[Unit]]:SIP[[#This Row],[Unit]],SIP[[#Headers],[Investor ID]]:SIP[[#This Row],[Investor ID]],SIP[[#This Row],[Investor ID]])</f>
        <v>1636</v>
      </c>
      <c r="P1082" s="153">
        <v>4040</v>
      </c>
      <c r="Q1082" s="74">
        <f>SIP[[#This Row],[Amount]]-SIP[[#This Row],[Unit Capital]]</f>
        <v>960</v>
      </c>
      <c r="R10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12.318919032711111</v>
      </c>
      <c r="S1082" s="68">
        <f t="shared" si="51"/>
        <v>14.224</v>
      </c>
      <c r="T10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2" s="74" cm="1">
        <f t="array" ref="U1082">IF(SIP[[#This Row],[B/S]]="S",ABS(SIP[[#This Row],[Unit]])*(INDEX(SIP[NAV at Cost (Average)],MATCH(CONCATENATE((SIP[[#This Row],[Frequency]]-1),SIP[[#This Row],[Investor ID]]),SIP[Unique Code],0),0)),0)</f>
        <v>0</v>
      </c>
      <c r="V1082" s="74">
        <f>IF(SIP[[#This Row],[BO TRANSFER]]="YES",SIP[[#This Row],[Unit]],)</f>
        <v>0</v>
      </c>
      <c r="W1082" s="74">
        <f>SUMIFS(SIP[[#Headers],[BO UNIT TRANSFER]]:SIP[[#This Row],[BO UNIT TRANSFER]],SIP[[#Headers],[Investor ID]]:SIP[[#This Row],[Investor ID]],SIP[[#This Row],[Investor ID]])</f>
        <v>0</v>
      </c>
    </row>
    <row r="1083" spans="1:23" ht="15" customHeight="1">
      <c r="A1083" s="101">
        <v>2025</v>
      </c>
      <c r="B1083" s="101">
        <v>3</v>
      </c>
      <c r="C1083" s="101">
        <v>26</v>
      </c>
      <c r="D1083" s="65">
        <f>DATE(SIP[[#This Row],[Year]],SIP[[#This Row],[Month]],SIP[[#This Row],[Day]])</f>
        <v>45742</v>
      </c>
      <c r="E1083" s="66" t="str" cm="1">
        <f t="array" ref="E1083">INDEX(INVESTORS_LIST[INVESTOR NAME],MATCH(SIP[[#This Row],[Investor ID]],INVESTORS_LIST[INVESTOR CODE],0),)</f>
        <v>HUMAIRA TABASSUM READDHE</v>
      </c>
      <c r="F1083" s="46" t="s">
        <v>1052</v>
      </c>
      <c r="G1083" s="46">
        <f>COUNTIF(SIP[[#Headers],[Investor ID]]:SIP[[#This Row],[Investor ID]],SIP[[#This Row],[Investor ID]])</f>
        <v>8</v>
      </c>
      <c r="H1083" s="46" t="str">
        <f>CONCATENATE(SIP[[#This Row],[Frequency]],SIP[[#This Row],[Investor ID]])</f>
        <v>8A00503</v>
      </c>
      <c r="I1083" s="46" t="str">
        <f>IF(SIP[[#This Row],[B/S]]="B","BUY",(IF(SIP[[#This Row],[B/S]]="S","SELL"," ")))</f>
        <v>BUY</v>
      </c>
      <c r="J1083" s="150" t="s">
        <v>1229</v>
      </c>
      <c r="K1083" s="152">
        <v>3000</v>
      </c>
      <c r="L1083" s="122"/>
      <c r="M1083" s="123">
        <f>SIP[[#This Row],[Amount]]/SIP[[#This Row],[Unit]]</f>
        <v>12.396694214876034</v>
      </c>
      <c r="N1083" s="71">
        <f>SIP[[#This Row],[Unit Capital]]/10</f>
        <v>242</v>
      </c>
      <c r="O1083" s="71">
        <f>SUMIFS(SIP[[#Headers],[Unit]]:SIP[[#This Row],[Unit]],SIP[[#Headers],[Investor ID]]:SIP[[#This Row],[Investor ID]],SIP[[#This Row],[Investor ID]])</f>
        <v>2026</v>
      </c>
      <c r="P1083" s="153">
        <v>2420</v>
      </c>
      <c r="Q1083" s="74">
        <f>SIP[[#This Row],[Amount]]-SIP[[#This Row],[Unit Capital]]</f>
        <v>580</v>
      </c>
      <c r="R10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11.846001974333664</v>
      </c>
      <c r="S1083" s="68">
        <f t="shared" si="51"/>
        <v>14.224</v>
      </c>
      <c r="T10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3" s="74" cm="1">
        <f t="array" ref="U1083">IF(SIP[[#This Row],[B/S]]="S",ABS(SIP[[#This Row],[Unit]])*(INDEX(SIP[NAV at Cost (Average)],MATCH(CONCATENATE((SIP[[#This Row],[Frequency]]-1),SIP[[#This Row],[Investor ID]]),SIP[Unique Code],0),0)),0)</f>
        <v>0</v>
      </c>
      <c r="V1083" s="74">
        <f>IF(SIP[[#This Row],[BO TRANSFER]]="YES",SIP[[#This Row],[Unit]],)</f>
        <v>0</v>
      </c>
      <c r="W1083" s="74">
        <f>SUMIFS(SIP[[#Headers],[BO UNIT TRANSFER]]:SIP[[#This Row],[BO UNIT TRANSFER]],SIP[[#Headers],[Investor ID]]:SIP[[#This Row],[Investor ID]],SIP[[#This Row],[Investor ID]])</f>
        <v>0</v>
      </c>
    </row>
    <row r="1084" spans="1:23" ht="15" customHeight="1">
      <c r="A1084" s="101">
        <v>2025</v>
      </c>
      <c r="B1084" s="101">
        <v>3</v>
      </c>
      <c r="C1084" s="101">
        <v>26</v>
      </c>
      <c r="D1084" s="65">
        <f>DATE(SIP[[#This Row],[Year]],SIP[[#This Row],[Month]],SIP[[#This Row],[Day]])</f>
        <v>45742</v>
      </c>
      <c r="E1084" s="66" t="str" cm="1">
        <f t="array" ref="E1084">INDEX(INVESTORS_LIST[INVESTOR NAME],MATCH(SIP[[#This Row],[Investor ID]],INVESTORS_LIST[INVESTOR CODE],0),)</f>
        <v>MST. GOLENUR</v>
      </c>
      <c r="F1084" s="46" t="s">
        <v>1075</v>
      </c>
      <c r="G1084" s="46">
        <f>COUNTIF(SIP[[#Headers],[Investor ID]]:SIP[[#This Row],[Investor ID]],SIP[[#This Row],[Investor ID]])</f>
        <v>4</v>
      </c>
      <c r="H1084" s="46" t="str">
        <f>CONCATENATE(SIP[[#This Row],[Frequency]],SIP[[#This Row],[Investor ID]])</f>
        <v>4A00515</v>
      </c>
      <c r="I1084" s="46" t="str">
        <f>IF(SIP[[#This Row],[B/S]]="B","BUY",(IF(SIP[[#This Row],[B/S]]="S","SELL"," ")))</f>
        <v>BUY</v>
      </c>
      <c r="J1084" s="150" t="s">
        <v>1229</v>
      </c>
      <c r="K1084" s="152">
        <v>2000</v>
      </c>
      <c r="L1084" s="122"/>
      <c r="M1084" s="123">
        <f>SIP[[#This Row],[Amount]]/SIP[[#This Row],[Unit]]</f>
        <v>12.422360248447205</v>
      </c>
      <c r="N1084" s="71">
        <f>SIP[[#This Row],[Unit Capital]]/10</f>
        <v>161</v>
      </c>
      <c r="O1084" s="71">
        <f>SUMIFS(SIP[[#Headers],[Unit]]:SIP[[#This Row],[Unit]],SIP[[#Headers],[Investor ID]]:SIP[[#This Row],[Investor ID]],SIP[[#This Row],[Investor ID]])</f>
        <v>656</v>
      </c>
      <c r="P1084" s="153">
        <v>1610</v>
      </c>
      <c r="Q1084" s="74">
        <f>SIP[[#This Row],[Amount]]-SIP[[#This Row],[Unit Capital]]</f>
        <v>390</v>
      </c>
      <c r="R10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12.195121951219514</v>
      </c>
      <c r="S1084" s="68">
        <f t="shared" si="51"/>
        <v>14.224</v>
      </c>
      <c r="T10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4" s="74" cm="1">
        <f t="array" ref="U1084">IF(SIP[[#This Row],[B/S]]="S",ABS(SIP[[#This Row],[Unit]])*(INDEX(SIP[NAV at Cost (Average)],MATCH(CONCATENATE((SIP[[#This Row],[Frequency]]-1),SIP[[#This Row],[Investor ID]]),SIP[Unique Code],0),0)),0)</f>
        <v>0</v>
      </c>
      <c r="V1084" s="74">
        <f>IF(SIP[[#This Row],[BO TRANSFER]]="YES",SIP[[#This Row],[Unit]],)</f>
        <v>0</v>
      </c>
      <c r="W1084" s="74">
        <f>SUMIFS(SIP[[#Headers],[BO UNIT TRANSFER]]:SIP[[#This Row],[BO UNIT TRANSFER]],SIP[[#Headers],[Investor ID]]:SIP[[#This Row],[Investor ID]],SIP[[#This Row],[Investor ID]])</f>
        <v>0</v>
      </c>
    </row>
    <row r="1085" spans="1:23" ht="15" customHeight="1">
      <c r="A1085" s="101">
        <v>2025</v>
      </c>
      <c r="B1085" s="101">
        <v>3</v>
      </c>
      <c r="C1085" s="101">
        <v>26</v>
      </c>
      <c r="D1085" s="65">
        <f>DATE(SIP[[#This Row],[Year]],SIP[[#This Row],[Month]],SIP[[#This Row],[Day]])</f>
        <v>45742</v>
      </c>
      <c r="E1085" s="66" t="str" cm="1">
        <f t="array" ref="E1085">INDEX(INVESTORS_LIST[INVESTOR NAME],MATCH(SIP[[#This Row],[Investor ID]],INVESTORS_LIST[INVESTOR CODE],0),)</f>
        <v>SADIA PARVIN</v>
      </c>
      <c r="F1085" s="46" t="s">
        <v>1018</v>
      </c>
      <c r="G1085" s="46">
        <f>COUNTIF(SIP[[#Headers],[Investor ID]]:SIP[[#This Row],[Investor ID]],SIP[[#This Row],[Investor ID]])</f>
        <v>33</v>
      </c>
      <c r="H1085" s="46" t="str">
        <f>CONCATENATE(SIP[[#This Row],[Frequency]],SIP[[#This Row],[Investor ID]])</f>
        <v>33A00486</v>
      </c>
      <c r="I1085" s="46" t="str">
        <f>IF(SIP[[#This Row],[B/S]]="B","BUY",(IF(SIP[[#This Row],[B/S]]="S","SELL"," ")))</f>
        <v>BUY</v>
      </c>
      <c r="J1085" s="150" t="s">
        <v>1229</v>
      </c>
      <c r="K1085" s="152">
        <v>5000</v>
      </c>
      <c r="L1085" s="122"/>
      <c r="M1085" s="123">
        <f>SIP[[#This Row],[Amount]]/SIP[[#This Row],[Unit]]</f>
        <v>12.376237623762377</v>
      </c>
      <c r="N1085" s="71">
        <f>SIP[[#This Row],[Unit Capital]]/10</f>
        <v>404</v>
      </c>
      <c r="O1085" s="71">
        <f>SUMIFS(SIP[[#Headers],[Unit]]:SIP[[#This Row],[Unit]],SIP[[#Headers],[Investor ID]]:SIP[[#This Row],[Investor ID]],SIP[[#This Row],[Investor ID]])</f>
        <v>14662</v>
      </c>
      <c r="P1085" s="153">
        <v>4040</v>
      </c>
      <c r="Q1085" s="74">
        <f>SIP[[#This Row],[Amount]]-SIP[[#This Row],[Unit Capital]]</f>
        <v>960</v>
      </c>
      <c r="R10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11.253580684763335</v>
      </c>
      <c r="S1085" s="68">
        <f t="shared" si="51"/>
        <v>14.224</v>
      </c>
      <c r="T10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5" s="74" cm="1">
        <f t="array" ref="U1085">IF(SIP[[#This Row],[B/S]]="S",ABS(SIP[[#This Row],[Unit]])*(INDEX(SIP[NAV at Cost (Average)],MATCH(CONCATENATE((SIP[[#This Row],[Frequency]]-1),SIP[[#This Row],[Investor ID]]),SIP[Unique Code],0),0)),0)</f>
        <v>0</v>
      </c>
      <c r="V1085" s="74">
        <f>IF(SIP[[#This Row],[BO TRANSFER]]="YES",SIP[[#This Row],[Unit]],)</f>
        <v>0</v>
      </c>
      <c r="W1085" s="74">
        <f>SUMIFS(SIP[[#Headers],[BO UNIT TRANSFER]]:SIP[[#This Row],[BO UNIT TRANSFER]],SIP[[#Headers],[Investor ID]]:SIP[[#This Row],[Investor ID]],SIP[[#This Row],[Investor ID]])</f>
        <v>0</v>
      </c>
    </row>
    <row r="1086" spans="1:23" ht="15" customHeight="1">
      <c r="A1086" s="101">
        <v>2025</v>
      </c>
      <c r="B1086" s="101">
        <v>3</v>
      </c>
      <c r="C1086" s="101">
        <v>26</v>
      </c>
      <c r="D1086" s="65">
        <f>DATE(SIP[[#This Row],[Year]],SIP[[#This Row],[Month]],SIP[[#This Row],[Day]])</f>
        <v>45742</v>
      </c>
      <c r="E1086" s="66" t="str" cm="1">
        <f t="array" ref="E1086">INDEX(INVESTORS_LIST[INVESTOR NAME],MATCH(SIP[[#This Row],[Investor ID]],INVESTORS_LIST[INVESTOR CODE],0),)</f>
        <v>MD. WALI ULLAH</v>
      </c>
      <c r="F1086" s="46" t="s">
        <v>443</v>
      </c>
      <c r="G1086" s="46">
        <f>COUNTIF(SIP[[#Headers],[Investor ID]]:SIP[[#This Row],[Investor ID]],SIP[[#This Row],[Investor ID]])</f>
        <v>23</v>
      </c>
      <c r="H1086" s="46" t="str">
        <f>CONCATENATE(SIP[[#This Row],[Frequency]],SIP[[#This Row],[Investor ID]])</f>
        <v>23A00197</v>
      </c>
      <c r="I1086" s="46" t="str">
        <f>IF(SIP[[#This Row],[B/S]]="B","BUY",(IF(SIP[[#This Row],[B/S]]="S","SELL"," ")))</f>
        <v>BUY</v>
      </c>
      <c r="J1086" s="150" t="s">
        <v>1229</v>
      </c>
      <c r="K1086" s="152">
        <v>15000</v>
      </c>
      <c r="L1086" s="122"/>
      <c r="M1086" s="123">
        <f>SIP[[#This Row],[Amount]]/SIP[[#This Row],[Unit]]</f>
        <v>12.386457473162675</v>
      </c>
      <c r="N1086" s="71">
        <f>SIP[[#This Row],[Unit Capital]]/10</f>
        <v>1211</v>
      </c>
      <c r="O1086" s="71">
        <f>SUMIFS(SIP[[#Headers],[Unit]]:SIP[[#This Row],[Unit]],SIP[[#Headers],[Investor ID]]:SIP[[#This Row],[Investor ID]],SIP[[#This Row],[Investor ID]])</f>
        <v>31189</v>
      </c>
      <c r="P1086" s="153">
        <v>12110</v>
      </c>
      <c r="Q1086" s="74">
        <f>SIP[[#This Row],[Amount]]-SIP[[#This Row],[Unit Capital]]</f>
        <v>2890</v>
      </c>
      <c r="R10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11.061592228029108</v>
      </c>
      <c r="S1086" s="68">
        <f t="shared" si="51"/>
        <v>14.224</v>
      </c>
      <c r="T10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6" s="74" cm="1">
        <f t="array" ref="U1086">IF(SIP[[#This Row],[B/S]]="S",ABS(SIP[[#This Row],[Unit]])*(INDEX(SIP[NAV at Cost (Average)],MATCH(CONCATENATE((SIP[[#This Row],[Frequency]]-1),SIP[[#This Row],[Investor ID]]),SIP[Unique Code],0),0)),0)</f>
        <v>0</v>
      </c>
      <c r="V1086" s="74">
        <f>IF(SIP[[#This Row],[BO TRANSFER]]="YES",SIP[[#This Row],[Unit]],)</f>
        <v>0</v>
      </c>
      <c r="W1086" s="74">
        <f>SUMIFS(SIP[[#Headers],[BO UNIT TRANSFER]]:SIP[[#This Row],[BO UNIT TRANSFER]],SIP[[#Headers],[Investor ID]]:SIP[[#This Row],[Investor ID]],SIP[[#This Row],[Investor ID]])</f>
        <v>0</v>
      </c>
    </row>
    <row r="1087" spans="1:23" ht="15" customHeight="1">
      <c r="A1087" s="101">
        <v>2025</v>
      </c>
      <c r="B1087" s="101">
        <v>3</v>
      </c>
      <c r="C1087" s="101">
        <v>26</v>
      </c>
      <c r="D1087" s="65">
        <f>DATE(SIP[[#This Row],[Year]],SIP[[#This Row],[Month]],SIP[[#This Row],[Day]])</f>
        <v>45742</v>
      </c>
      <c r="E1087" s="66" t="str" cm="1">
        <f t="array" ref="E1087">INDEX(INVESTORS_LIST[INVESTOR NAME],MATCH(SIP[[#This Row],[Investor ID]],INVESTORS_LIST[INVESTOR CODE],0),)</f>
        <v>MAYA RANI SAHA</v>
      </c>
      <c r="F1087" s="46" t="s">
        <v>224</v>
      </c>
      <c r="G1087" s="46">
        <f>COUNTIF(SIP[[#Headers],[Investor ID]]:SIP[[#This Row],[Investor ID]],SIP[[#This Row],[Investor ID]])</f>
        <v>44</v>
      </c>
      <c r="H1087" s="46" t="str">
        <f>CONCATENATE(SIP[[#This Row],[Frequency]],SIP[[#This Row],[Investor ID]])</f>
        <v>44A00088</v>
      </c>
      <c r="I1087" s="46" t="str">
        <f>IF(SIP[[#This Row],[B/S]]="B","BUY",(IF(SIP[[#This Row],[B/S]]="S","SELL"," ")))</f>
        <v>BUY</v>
      </c>
      <c r="J1087" s="150" t="s">
        <v>1229</v>
      </c>
      <c r="K1087" s="152">
        <v>14000</v>
      </c>
      <c r="L1087" s="122"/>
      <c r="M1087" s="123">
        <f>SIP[[#This Row],[Amount]]/SIP[[#This Row],[Unit]]</f>
        <v>12.389380530973451</v>
      </c>
      <c r="N1087" s="71">
        <f>SIP[[#This Row],[Unit Capital]]/10</f>
        <v>1130</v>
      </c>
      <c r="O1087" s="71">
        <f>SUMIFS(SIP[[#Headers],[Unit]]:SIP[[#This Row],[Unit]],SIP[[#Headers],[Investor ID]]:SIP[[#This Row],[Investor ID]],SIP[[#This Row],[Investor ID]])</f>
        <v>56665</v>
      </c>
      <c r="P1087" s="153">
        <v>11300</v>
      </c>
      <c r="Q1087" s="74">
        <f>SIP[[#This Row],[Amount]]-SIP[[#This Row],[Unit Capital]]</f>
        <v>2700</v>
      </c>
      <c r="R10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11.40033530397953</v>
      </c>
      <c r="S1087" s="68">
        <f t="shared" si="51"/>
        <v>14.224</v>
      </c>
      <c r="T10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7" s="74" cm="1">
        <f t="array" ref="U1087">IF(SIP[[#This Row],[B/S]]="S",ABS(SIP[[#This Row],[Unit]])*(INDEX(SIP[NAV at Cost (Average)],MATCH(CONCATENATE((SIP[[#This Row],[Frequency]]-1),SIP[[#This Row],[Investor ID]]),SIP[Unique Code],0),0)),0)</f>
        <v>0</v>
      </c>
      <c r="V1087" s="74">
        <f>IF(SIP[[#This Row],[BO TRANSFER]]="YES",SIP[[#This Row],[Unit]],)</f>
        <v>0</v>
      </c>
      <c r="W1087" s="74">
        <f>SUMIFS(SIP[[#Headers],[BO UNIT TRANSFER]]:SIP[[#This Row],[BO UNIT TRANSFER]],SIP[[#Headers],[Investor ID]]:SIP[[#This Row],[Investor ID]],SIP[[#This Row],[Investor ID]])</f>
        <v>0</v>
      </c>
    </row>
    <row r="1088" spans="1:23" ht="15" customHeight="1">
      <c r="A1088" s="101">
        <v>2025</v>
      </c>
      <c r="B1088" s="101">
        <v>3</v>
      </c>
      <c r="C1088" s="101">
        <v>26</v>
      </c>
      <c r="D1088" s="65">
        <f>DATE(SIP[[#This Row],[Year]],SIP[[#This Row],[Month]],SIP[[#This Row],[Day]])</f>
        <v>45742</v>
      </c>
      <c r="E1088" s="66" t="str" cm="1">
        <f t="array" ref="E1088">INDEX(INVESTORS_LIST[INVESTOR NAME],MATCH(SIP[[#This Row],[Investor ID]],INVESTORS_LIST[INVESTOR CODE],0),)</f>
        <v>SIKDER FAZLE RABBI</v>
      </c>
      <c r="F1088" s="46" t="s">
        <v>1032</v>
      </c>
      <c r="G1088" s="46">
        <f>COUNTIF(SIP[[#Headers],[Investor ID]]:SIP[[#This Row],[Investor ID]],SIP[[#This Row],[Investor ID]])</f>
        <v>22</v>
      </c>
      <c r="H1088" s="46" t="str">
        <f>CONCATENATE(SIP[[#This Row],[Frequency]],SIP[[#This Row],[Investor ID]])</f>
        <v>22A00493</v>
      </c>
      <c r="I1088" s="46" t="str">
        <f>IF(SIP[[#This Row],[B/S]]="B","BUY",(IF(SIP[[#This Row],[B/S]]="S","SELL"," ")))</f>
        <v>BUY</v>
      </c>
      <c r="J1088" s="150" t="s">
        <v>1229</v>
      </c>
      <c r="K1088" s="152">
        <v>5000</v>
      </c>
      <c r="L1088" s="122"/>
      <c r="M1088" s="123">
        <f>SIP[[#This Row],[Amount]]/SIP[[#This Row],[Unit]]</f>
        <v>12.376237623762377</v>
      </c>
      <c r="N1088" s="71">
        <f>SIP[[#This Row],[Unit Capital]]/10</f>
        <v>404</v>
      </c>
      <c r="O1088" s="71">
        <f>SUMIFS(SIP[[#Headers],[Unit]]:SIP[[#This Row],[Unit]],SIP[[#Headers],[Investor ID]]:SIP[[#This Row],[Investor ID]],SIP[[#This Row],[Investor ID]])</f>
        <v>9904</v>
      </c>
      <c r="P1088" s="153">
        <v>4040</v>
      </c>
      <c r="Q1088" s="74">
        <f>SIP[[#This Row],[Amount]]-SIP[[#This Row],[Unit Capital]]</f>
        <v>960</v>
      </c>
      <c r="R10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11.106623586429729</v>
      </c>
      <c r="S1088" s="68">
        <f t="shared" si="51"/>
        <v>14.224</v>
      </c>
      <c r="T10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8" s="74" cm="1">
        <f t="array" ref="U1088">IF(SIP[[#This Row],[B/S]]="S",ABS(SIP[[#This Row],[Unit]])*(INDEX(SIP[NAV at Cost (Average)],MATCH(CONCATENATE((SIP[[#This Row],[Frequency]]-1),SIP[[#This Row],[Investor ID]]),SIP[Unique Code],0),0)),0)</f>
        <v>0</v>
      </c>
      <c r="V1088" s="74">
        <f>IF(SIP[[#This Row],[BO TRANSFER]]="YES",SIP[[#This Row],[Unit]],)</f>
        <v>0</v>
      </c>
      <c r="W1088" s="74">
        <f>SUMIFS(SIP[[#Headers],[BO UNIT TRANSFER]]:SIP[[#This Row],[BO UNIT TRANSFER]],SIP[[#Headers],[Investor ID]]:SIP[[#This Row],[Investor ID]],SIP[[#This Row],[Investor ID]])</f>
        <v>0</v>
      </c>
    </row>
    <row r="1089" spans="1:23" ht="15" customHeight="1">
      <c r="A1089" s="101">
        <v>2025</v>
      </c>
      <c r="B1089" s="101">
        <v>3</v>
      </c>
      <c r="C1089" s="101">
        <v>26</v>
      </c>
      <c r="D1089" s="65">
        <f>DATE(SIP[[#This Row],[Year]],SIP[[#This Row],[Month]],SIP[[#This Row],[Day]])</f>
        <v>45742</v>
      </c>
      <c r="E1089" s="66" t="str" cm="1">
        <f t="array" ref="E1089">INDEX(INVESTORS_LIST[INVESTOR NAME],MATCH(SIP[[#This Row],[Investor ID]],INVESTORS_LIST[INVESTOR CODE],0),)</f>
        <v>EKUSH WEALTH MANAGEMENT LIMITED EMPLOYEES CONTRIBUTORY PROVIDENT FUND</v>
      </c>
      <c r="F1089" s="46" t="s">
        <v>831</v>
      </c>
      <c r="G1089" s="46">
        <f>COUNTIF(SIP[[#Headers],[Investor ID]]:SIP[[#This Row],[Investor ID]],SIP[[#This Row],[Investor ID]])</f>
        <v>17</v>
      </c>
      <c r="H1089" s="46" t="str">
        <f>CONCATENATE(SIP[[#This Row],[Frequency]],SIP[[#This Row],[Investor ID]])</f>
        <v>17A00392</v>
      </c>
      <c r="I1089" s="46" t="str">
        <f>IF(SIP[[#This Row],[B/S]]="B","BUY",(IF(SIP[[#This Row],[B/S]]="S","SELL"," ")))</f>
        <v>BUY</v>
      </c>
      <c r="J1089" s="150" t="s">
        <v>1229</v>
      </c>
      <c r="K1089" s="152">
        <v>22040</v>
      </c>
      <c r="L1089" s="122"/>
      <c r="M1089" s="123">
        <f>SIP[[#This Row],[Amount]]/SIP[[#This Row],[Unit]]</f>
        <v>12.388982574480044</v>
      </c>
      <c r="N1089" s="71">
        <f>SIP[[#This Row],[Unit Capital]]/10</f>
        <v>1779</v>
      </c>
      <c r="O1089" s="71">
        <f>SUMIFS(SIP[[#Headers],[Unit]]:SIP[[#This Row],[Unit]],SIP[[#Headers],[Investor ID]]:SIP[[#This Row],[Investor ID]],SIP[[#This Row],[Investor ID]])</f>
        <v>26013</v>
      </c>
      <c r="P1089" s="153">
        <v>17790</v>
      </c>
      <c r="Q1089" s="74">
        <f>SIP[[#This Row],[Amount]]-SIP[[#This Row],[Unit Capital]]</f>
        <v>4250</v>
      </c>
      <c r="R10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11.050859490198336</v>
      </c>
      <c r="S1089" s="68">
        <f t="shared" si="51"/>
        <v>14.224</v>
      </c>
      <c r="T10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9" s="74" cm="1">
        <f t="array" ref="U1089">IF(SIP[[#This Row],[B/S]]="S",ABS(SIP[[#This Row],[Unit]])*(INDEX(SIP[NAV at Cost (Average)],MATCH(CONCATENATE((SIP[[#This Row],[Frequency]]-1),SIP[[#This Row],[Investor ID]]),SIP[Unique Code],0),0)),0)</f>
        <v>0</v>
      </c>
      <c r="V1089" s="74">
        <f>IF(SIP[[#This Row],[BO TRANSFER]]="YES",SIP[[#This Row],[Unit]],)</f>
        <v>0</v>
      </c>
      <c r="W1089" s="74">
        <f>SUMIFS(SIP[[#Headers],[BO UNIT TRANSFER]]:SIP[[#This Row],[BO UNIT TRANSFER]],SIP[[#Headers],[Investor ID]]:SIP[[#This Row],[Investor ID]],SIP[[#This Row],[Investor ID]])</f>
        <v>0</v>
      </c>
    </row>
    <row r="1090" spans="1:23" ht="15" customHeight="1">
      <c r="A1090" s="101">
        <v>2025</v>
      </c>
      <c r="B1090" s="101">
        <v>3</v>
      </c>
      <c r="C1090" s="101">
        <v>26</v>
      </c>
      <c r="D1090" s="65">
        <f>DATE(SIP[[#This Row],[Year]],SIP[[#This Row],[Month]],SIP[[#This Row],[Day]])</f>
        <v>45742</v>
      </c>
      <c r="E1090" s="66" t="str" cm="1">
        <f t="array" ref="E1090">INDEX(INVESTORS_LIST[INVESTOR NAME],MATCH(SIP[[#This Row],[Investor ID]],INVESTORS_LIST[INVESTOR CODE],0),)</f>
        <v>S.M. SAIFUL ISLAM</v>
      </c>
      <c r="F1090" s="46" t="s">
        <v>1002</v>
      </c>
      <c r="G1090" s="46">
        <f>COUNTIF(SIP[[#Headers],[Investor ID]]:SIP[[#This Row],[Investor ID]],SIP[[#This Row],[Investor ID]])</f>
        <v>24</v>
      </c>
      <c r="H1090" s="46" t="str">
        <f>CONCATENATE(SIP[[#This Row],[Frequency]],SIP[[#This Row],[Investor ID]])</f>
        <v>24A00478</v>
      </c>
      <c r="I1090" s="46" t="str">
        <f>IF(SIP[[#This Row],[B/S]]="B","BUY",(IF(SIP[[#This Row],[B/S]]="S","SELL"," ")))</f>
        <v>BUY</v>
      </c>
      <c r="J1090" s="150" t="s">
        <v>1229</v>
      </c>
      <c r="K1090" s="152">
        <v>10000</v>
      </c>
      <c r="L1090" s="122"/>
      <c r="M1090" s="123">
        <f>SIP[[#This Row],[Amount]]/SIP[[#This Row],[Unit]]</f>
        <v>12.391573729863692</v>
      </c>
      <c r="N1090" s="71">
        <f>SIP[[#This Row],[Unit Capital]]/10</f>
        <v>807</v>
      </c>
      <c r="O1090" s="71">
        <f>SUMIFS(SIP[[#Headers],[Unit]]:SIP[[#This Row],[Unit]],SIP[[#Headers],[Investor ID]]:SIP[[#This Row],[Investor ID]],SIP[[#This Row],[Investor ID]])</f>
        <v>807</v>
      </c>
      <c r="P1090" s="153">
        <v>8070</v>
      </c>
      <c r="Q1090" s="74">
        <f>SIP[[#This Row],[Amount]]-SIP[[#This Row],[Unit Capital]]</f>
        <v>1930</v>
      </c>
      <c r="R10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12.391573729863692</v>
      </c>
      <c r="S1090" s="68">
        <f t="shared" si="51"/>
        <v>14.224</v>
      </c>
      <c r="T10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0" s="74" cm="1">
        <f t="array" ref="U1090">IF(SIP[[#This Row],[B/S]]="S",ABS(SIP[[#This Row],[Unit]])*(INDEX(SIP[NAV at Cost (Average)],MATCH(CONCATENATE((SIP[[#This Row],[Frequency]]-1),SIP[[#This Row],[Investor ID]]),SIP[Unique Code],0),0)),0)</f>
        <v>0</v>
      </c>
      <c r="V1090" s="74">
        <f>IF(SIP[[#This Row],[BO TRANSFER]]="YES",SIP[[#This Row],[Unit]],)</f>
        <v>0</v>
      </c>
      <c r="W1090" s="74">
        <f>SUMIFS(SIP[[#Headers],[BO UNIT TRANSFER]]:SIP[[#This Row],[BO UNIT TRANSFER]],SIP[[#Headers],[Investor ID]]:SIP[[#This Row],[Investor ID]],SIP[[#This Row],[Investor ID]])</f>
        <v>0</v>
      </c>
    </row>
    <row r="1091" spans="1:23" ht="15" customHeight="1">
      <c r="A1091" s="101">
        <v>2025</v>
      </c>
      <c r="B1091" s="101">
        <v>3</v>
      </c>
      <c r="C1091" s="101">
        <v>26</v>
      </c>
      <c r="D1091" s="65">
        <f>DATE(SIP[[#This Row],[Year]],SIP[[#This Row],[Month]],SIP[[#This Row],[Day]])</f>
        <v>45742</v>
      </c>
      <c r="E1091" s="66" t="str" cm="1">
        <f t="array" ref="E1091">INDEX(INVESTORS_LIST[INVESTOR NAME],MATCH(SIP[[#This Row],[Investor ID]],INVESTORS_LIST[INVESTOR CODE],0),)</f>
        <v>MOHAMMED SHARIFUL ISLAM</v>
      </c>
      <c r="F1091" s="46" t="s">
        <v>1028</v>
      </c>
      <c r="G1091" s="46">
        <f>COUNTIF(SIP[[#Headers],[Investor ID]]:SIP[[#This Row],[Investor ID]],SIP[[#This Row],[Investor ID]])</f>
        <v>22</v>
      </c>
      <c r="H1091" s="46" t="str">
        <f>CONCATENATE(SIP[[#This Row],[Frequency]],SIP[[#This Row],[Investor ID]])</f>
        <v>22A00491</v>
      </c>
      <c r="I1091" s="46" t="str">
        <f>IF(SIP[[#This Row],[B/S]]="B","BUY",(IF(SIP[[#This Row],[B/S]]="S","SELL"," ")))</f>
        <v>BUY</v>
      </c>
      <c r="J1091" s="150" t="s">
        <v>1229</v>
      </c>
      <c r="K1091" s="152">
        <v>5000</v>
      </c>
      <c r="L1091" s="122"/>
      <c r="M1091" s="123">
        <f>SIP[[#This Row],[Amount]]/SIP[[#This Row],[Unit]]</f>
        <v>12.376237623762377</v>
      </c>
      <c r="N1091" s="71">
        <f>SIP[[#This Row],[Unit Capital]]/10</f>
        <v>404</v>
      </c>
      <c r="O1091" s="71">
        <f>SUMIFS(SIP[[#Headers],[Unit]]:SIP[[#This Row],[Unit]],SIP[[#Headers],[Investor ID]]:SIP[[#This Row],[Investor ID]],SIP[[#This Row],[Investor ID]])</f>
        <v>9904</v>
      </c>
      <c r="P1091" s="153">
        <v>4040</v>
      </c>
      <c r="Q1091" s="74">
        <f>SIP[[#This Row],[Amount]]-SIP[[#This Row],[Unit Capital]]</f>
        <v>960</v>
      </c>
      <c r="R10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11.106623586429729</v>
      </c>
      <c r="S1091" s="68">
        <f t="shared" si="51"/>
        <v>14.224</v>
      </c>
      <c r="T10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1" s="74" cm="1">
        <f t="array" ref="U1091">IF(SIP[[#This Row],[B/S]]="S",ABS(SIP[[#This Row],[Unit]])*(INDEX(SIP[NAV at Cost (Average)],MATCH(CONCATENATE((SIP[[#This Row],[Frequency]]-1),SIP[[#This Row],[Investor ID]]),SIP[Unique Code],0),0)),0)</f>
        <v>0</v>
      </c>
      <c r="V1091" s="74">
        <f>IF(SIP[[#This Row],[BO TRANSFER]]="YES",SIP[[#This Row],[Unit]],)</f>
        <v>0</v>
      </c>
      <c r="W1091" s="74">
        <f>SUMIFS(SIP[[#Headers],[BO UNIT TRANSFER]]:SIP[[#This Row],[BO UNIT TRANSFER]],SIP[[#Headers],[Investor ID]]:SIP[[#This Row],[Investor ID]],SIP[[#This Row],[Investor ID]])</f>
        <v>0</v>
      </c>
    </row>
    <row r="1092" spans="1:23" ht="15" customHeight="1">
      <c r="A1092" s="101">
        <v>2025</v>
      </c>
      <c r="B1092" s="101">
        <v>4</v>
      </c>
      <c r="C1092" s="101">
        <v>5</v>
      </c>
      <c r="D1092" s="65">
        <f>DATE(SIP[[#This Row],[Year]],SIP[[#This Row],[Month]],SIP[[#This Row],[Day]])</f>
        <v>45752</v>
      </c>
      <c r="E1092" s="66" t="str" cm="1">
        <f t="array" ref="E1092">INDEX(INVESTORS_LIST[INVESTOR NAME],MATCH(SIP[[#This Row],[Investor ID]],INVESTORS_LIST[INVESTOR CODE],0),)</f>
        <v>SHUVA SAHA</v>
      </c>
      <c r="F1092" s="46" t="s">
        <v>154</v>
      </c>
      <c r="G1092" s="46">
        <f>COUNTIF(SIP[[#Headers],[Investor ID]]:SIP[[#This Row],[Investor ID]],SIP[[#This Row],[Investor ID]])</f>
        <v>23</v>
      </c>
      <c r="H1092" s="46" t="str">
        <f>CONCATENATE(SIP[[#This Row],[Frequency]],SIP[[#This Row],[Investor ID]])</f>
        <v>23A00053</v>
      </c>
      <c r="I1092" s="46" t="str">
        <f>IF(SIP[[#This Row],[B/S]]="B","BUY",(IF(SIP[[#This Row],[B/S]]="S","SELL"," ")))</f>
        <v>BUY</v>
      </c>
      <c r="J1092" s="150" t="s">
        <v>1229</v>
      </c>
      <c r="K1092" s="152">
        <v>70000</v>
      </c>
      <c r="L1092" s="69"/>
      <c r="M1092" s="123">
        <f>SIP[[#This Row],[Amount]]/SIP[[#This Row],[Unit]]</f>
        <v>12.39596245794227</v>
      </c>
      <c r="N1092" s="71">
        <f>SIP[[#This Row],[Unit Capital]]/10</f>
        <v>5647</v>
      </c>
      <c r="O1092" s="71">
        <f>SUMIFS(SIP[[#Headers],[Unit]]:SIP[[#This Row],[Unit]],SIP[[#Headers],[Investor ID]]:SIP[[#This Row],[Investor ID]],SIP[[#This Row],[Investor ID]])</f>
        <v>58465</v>
      </c>
      <c r="P1092" s="153">
        <v>56470</v>
      </c>
      <c r="Q1092" s="74">
        <f>SIP[[#This Row],[Amount]]-SIP[[#This Row],[Unit Capital]]</f>
        <v>13530</v>
      </c>
      <c r="R10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11.167005362345474</v>
      </c>
      <c r="S1092" s="68">
        <f t="shared" si="51"/>
        <v>14.224</v>
      </c>
      <c r="T10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2" s="74" cm="1">
        <f t="array" ref="U1092">IF(SIP[[#This Row],[B/S]]="S",ABS(SIP[[#This Row],[Unit]])*(INDEX(SIP[NAV at Cost (Average)],MATCH(CONCATENATE((SIP[[#This Row],[Frequency]]-1),SIP[[#This Row],[Investor ID]]),SIP[Unique Code],0),0)),0)</f>
        <v>0</v>
      </c>
      <c r="V1092" s="74">
        <f>IF(SIP[[#This Row],[BO TRANSFER]]="YES",SIP[[#This Row],[Unit]],)</f>
        <v>0</v>
      </c>
      <c r="W1092" s="74">
        <f>SUMIFS(SIP[[#Headers],[BO UNIT TRANSFER]]:SIP[[#This Row],[BO UNIT TRANSFER]],SIP[[#Headers],[Investor ID]]:SIP[[#This Row],[Investor ID]],SIP[[#This Row],[Investor ID]])</f>
        <v>0</v>
      </c>
    </row>
    <row r="1093" spans="1:23" ht="15" customHeight="1">
      <c r="A1093" s="101">
        <v>2025</v>
      </c>
      <c r="B1093" s="101">
        <v>4</v>
      </c>
      <c r="C1093" s="101">
        <v>5</v>
      </c>
      <c r="D1093" s="65">
        <f>DATE(SIP[[#This Row],[Year]],SIP[[#This Row],[Month]],SIP[[#This Row],[Day]])</f>
        <v>45752</v>
      </c>
      <c r="E1093" s="66" t="str" cm="1">
        <f t="array" ref="E1093">INDEX(INVESTORS_LIST[INVESTOR NAME],MATCH(SIP[[#This Row],[Investor ID]],INVESTORS_LIST[INVESTOR CODE],0),)</f>
        <v>FAIYEAD AHMEDUL HYE</v>
      </c>
      <c r="F1093" s="46" t="s">
        <v>368</v>
      </c>
      <c r="G1093" s="46">
        <f>COUNTIF(SIP[[#Headers],[Investor ID]]:SIP[[#This Row],[Investor ID]],SIP[[#This Row],[Investor ID]])</f>
        <v>23</v>
      </c>
      <c r="H1093" s="46" t="str">
        <f>CONCATENATE(SIP[[#This Row],[Frequency]],SIP[[#This Row],[Investor ID]])</f>
        <v>23A00160</v>
      </c>
      <c r="I1093" s="46" t="str">
        <f>IF(SIP[[#This Row],[B/S]]="B","BUY",(IF(SIP[[#This Row],[B/S]]="S","SELL"," ")))</f>
        <v>BUY</v>
      </c>
      <c r="J1093" s="150" t="s">
        <v>1229</v>
      </c>
      <c r="K1093" s="152">
        <v>15000</v>
      </c>
      <c r="L1093" s="122"/>
      <c r="M1093" s="123">
        <f>SIP[[#This Row],[Amount]]/SIP[[#This Row],[Unit]]</f>
        <v>12.396694214876034</v>
      </c>
      <c r="N1093" s="71">
        <f>SIP[[#This Row],[Unit Capital]]/10</f>
        <v>1210</v>
      </c>
      <c r="O1093" s="71">
        <f>SUMIFS(SIP[[#Headers],[Unit]]:SIP[[#This Row],[Unit]],SIP[[#Headers],[Investor ID]]:SIP[[#This Row],[Investor ID]],SIP[[#This Row],[Investor ID]])</f>
        <v>31115</v>
      </c>
      <c r="P1093" s="153">
        <v>12100</v>
      </c>
      <c r="Q1093" s="74">
        <f>SIP[[#This Row],[Amount]]-SIP[[#This Row],[Unit Capital]]</f>
        <v>2900</v>
      </c>
      <c r="R10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11.087899726819861</v>
      </c>
      <c r="S1093" s="68">
        <f t="shared" si="51"/>
        <v>14.224</v>
      </c>
      <c r="T10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3" s="74" cm="1">
        <f t="array" ref="U1093">IF(SIP[[#This Row],[B/S]]="S",ABS(SIP[[#This Row],[Unit]])*(INDEX(SIP[NAV at Cost (Average)],MATCH(CONCATENATE((SIP[[#This Row],[Frequency]]-1),SIP[[#This Row],[Investor ID]]),SIP[Unique Code],0),0)),0)</f>
        <v>0</v>
      </c>
      <c r="V1093" s="74">
        <f>IF(SIP[[#This Row],[BO TRANSFER]]="YES",SIP[[#This Row],[Unit]],)</f>
        <v>0</v>
      </c>
      <c r="W1093" s="74">
        <f>SUMIFS(SIP[[#Headers],[BO UNIT TRANSFER]]:SIP[[#This Row],[BO UNIT TRANSFER]],SIP[[#Headers],[Investor ID]]:SIP[[#This Row],[Investor ID]],SIP[[#This Row],[Investor ID]])</f>
        <v>0</v>
      </c>
    </row>
    <row r="1094" spans="1:23" ht="15" customHeight="1">
      <c r="A1094" s="101">
        <v>2025</v>
      </c>
      <c r="B1094" s="101">
        <v>4</v>
      </c>
      <c r="C1094" s="101">
        <v>5</v>
      </c>
      <c r="D1094" s="65">
        <f>DATE(SIP[[#This Row],[Year]],SIP[[#This Row],[Month]],SIP[[#This Row],[Day]])</f>
        <v>45752</v>
      </c>
      <c r="E1094" s="66" t="str" cm="1">
        <f t="array" ref="E1094">INDEX(INVESTORS_LIST[INVESTOR NAME],MATCH(SIP[[#This Row],[Investor ID]],INVESTORS_LIST[INVESTOR CODE],0),)</f>
        <v>CHAONIKA SAHA</v>
      </c>
      <c r="F1094" s="46" t="s">
        <v>238</v>
      </c>
      <c r="G1094" s="46">
        <f>COUNTIF(SIP[[#Headers],[Investor ID]]:SIP[[#This Row],[Investor ID]],SIP[[#This Row],[Investor ID]])</f>
        <v>20</v>
      </c>
      <c r="H1094" s="46" t="str">
        <f>CONCATENATE(SIP[[#This Row],[Frequency]],SIP[[#This Row],[Investor ID]])</f>
        <v>20A00095</v>
      </c>
      <c r="I1094" s="46" t="str">
        <f>IF(SIP[[#This Row],[B/S]]="B","BUY",(IF(SIP[[#This Row],[B/S]]="S","SELL"," ")))</f>
        <v>BUY</v>
      </c>
      <c r="J1094" s="150" t="s">
        <v>1229</v>
      </c>
      <c r="K1094" s="152">
        <v>1000</v>
      </c>
      <c r="L1094" s="122"/>
      <c r="M1094" s="123">
        <f>SIP[[#This Row],[Amount]]/SIP[[#This Row],[Unit]]</f>
        <v>12.345679012345679</v>
      </c>
      <c r="N1094" s="71">
        <f>SIP[[#This Row],[Unit Capital]]/10</f>
        <v>81</v>
      </c>
      <c r="O1094" s="71">
        <f>SUMIFS(SIP[[#Headers],[Unit]]:SIP[[#This Row],[Unit]],SIP[[#Headers],[Investor ID]]:SIP[[#This Row],[Investor ID]],SIP[[#This Row],[Investor ID]])</f>
        <v>1784</v>
      </c>
      <c r="P1094" s="153">
        <v>810</v>
      </c>
      <c r="Q1094" s="74">
        <f>SIP[[#This Row],[Amount]]-SIP[[#This Row],[Unit Capital]]</f>
        <v>190</v>
      </c>
      <c r="R10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11.210762331838565</v>
      </c>
      <c r="S1094" s="68">
        <f t="shared" si="51"/>
        <v>14.224</v>
      </c>
      <c r="T10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4" s="74" cm="1">
        <f t="array" ref="U1094">IF(SIP[[#This Row],[B/S]]="S",ABS(SIP[[#This Row],[Unit]])*(INDEX(SIP[NAV at Cost (Average)],MATCH(CONCATENATE((SIP[[#This Row],[Frequency]]-1),SIP[[#This Row],[Investor ID]]),SIP[Unique Code],0),0)),0)</f>
        <v>0</v>
      </c>
      <c r="V1094" s="74">
        <f>IF(SIP[[#This Row],[BO TRANSFER]]="YES",SIP[[#This Row],[Unit]],)</f>
        <v>0</v>
      </c>
      <c r="W1094" s="74">
        <f>SUMIFS(SIP[[#Headers],[BO UNIT TRANSFER]]:SIP[[#This Row],[BO UNIT TRANSFER]],SIP[[#Headers],[Investor ID]]:SIP[[#This Row],[Investor ID]],SIP[[#This Row],[Investor ID]])</f>
        <v>0</v>
      </c>
    </row>
    <row r="1095" spans="1:23" ht="15" customHeight="1">
      <c r="A1095" s="101">
        <v>2025</v>
      </c>
      <c r="B1095" s="101">
        <v>4</v>
      </c>
      <c r="C1095" s="101">
        <v>5</v>
      </c>
      <c r="D1095" s="65">
        <f>DATE(SIP[[#This Row],[Year]],SIP[[#This Row],[Month]],SIP[[#This Row],[Day]])</f>
        <v>45752</v>
      </c>
      <c r="E1095" s="66" t="str" cm="1">
        <f t="array" ref="E1095">INDEX(INVESTORS_LIST[INVESTOR NAME],MATCH(SIP[[#This Row],[Investor ID]],INVESTORS_LIST[INVESTOR CODE],0),)</f>
        <v>KAZI AHSAN MARUF</v>
      </c>
      <c r="F1095" s="46" t="s">
        <v>158</v>
      </c>
      <c r="G1095" s="46">
        <f>COUNTIF(SIP[[#Headers],[Investor ID]]:SIP[[#This Row],[Investor ID]],SIP[[#This Row],[Investor ID]])</f>
        <v>25</v>
      </c>
      <c r="H1095" s="46" t="str">
        <f>CONCATENATE(SIP[[#This Row],[Frequency]],SIP[[#This Row],[Investor ID]])</f>
        <v>25A00055</v>
      </c>
      <c r="I1095" s="46" t="str">
        <f>IF(SIP[[#This Row],[B/S]]="B","BUY",(IF(SIP[[#This Row],[B/S]]="S","SELL"," ")))</f>
        <v>BUY</v>
      </c>
      <c r="J1095" s="150" t="s">
        <v>1229</v>
      </c>
      <c r="K1095" s="152">
        <v>10000</v>
      </c>
      <c r="L1095" s="122"/>
      <c r="M1095" s="123">
        <f>SIP[[#This Row],[Amount]]/SIP[[#This Row],[Unit]]</f>
        <v>12.391573729863692</v>
      </c>
      <c r="N1095" s="71">
        <f>SIP[[#This Row],[Unit Capital]]/10</f>
        <v>807</v>
      </c>
      <c r="O1095" s="71">
        <f>SUMIFS(SIP[[#Headers],[Unit]]:SIP[[#This Row],[Unit]],SIP[[#Headers],[Investor ID]]:SIP[[#This Row],[Investor ID]],SIP[[#This Row],[Investor ID]])</f>
        <v>7006</v>
      </c>
      <c r="P1095" s="153">
        <v>8070</v>
      </c>
      <c r="Q1095" s="74">
        <f>SIP[[#This Row],[Amount]]-SIP[[#This Row],[Unit Capital]]</f>
        <v>1930</v>
      </c>
      <c r="R10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11.45587938480385</v>
      </c>
      <c r="S1095" s="68">
        <f t="shared" si="51"/>
        <v>14.224</v>
      </c>
      <c r="T10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5" s="74" cm="1">
        <f t="array" ref="U1095">IF(SIP[[#This Row],[B/S]]="S",ABS(SIP[[#This Row],[Unit]])*(INDEX(SIP[NAV at Cost (Average)],MATCH(CONCATENATE((SIP[[#This Row],[Frequency]]-1),SIP[[#This Row],[Investor ID]]),SIP[Unique Code],0),0)),0)</f>
        <v>0</v>
      </c>
      <c r="V1095" s="74">
        <f>IF(SIP[[#This Row],[BO TRANSFER]]="YES",SIP[[#This Row],[Unit]],)</f>
        <v>0</v>
      </c>
      <c r="W1095" s="74">
        <f>SUMIFS(SIP[[#Headers],[BO UNIT TRANSFER]]:SIP[[#This Row],[BO UNIT TRANSFER]],SIP[[#Headers],[Investor ID]]:SIP[[#This Row],[Investor ID]],SIP[[#This Row],[Investor ID]])</f>
        <v>0</v>
      </c>
    </row>
    <row r="1096" spans="1:23" ht="15" customHeight="1">
      <c r="A1096" s="101">
        <v>2025</v>
      </c>
      <c r="B1096" s="101">
        <v>4</v>
      </c>
      <c r="C1096" s="101">
        <v>5</v>
      </c>
      <c r="D1096" s="65">
        <f>DATE(SIP[[#This Row],[Year]],SIP[[#This Row],[Month]],SIP[[#This Row],[Day]])</f>
        <v>45752</v>
      </c>
      <c r="E1096" s="66" t="str" cm="1">
        <f t="array" ref="E1096">INDEX(INVESTORS_LIST[INVESTOR NAME],MATCH(SIP[[#This Row],[Investor ID]],INVESTORS_LIST[INVESTOR CODE],0),)</f>
        <v>ROKSABA KASEM</v>
      </c>
      <c r="F1096" s="46" t="s">
        <v>900</v>
      </c>
      <c r="G1096" s="46">
        <f>COUNTIF(SIP[[#Headers],[Investor ID]]:SIP[[#This Row],[Investor ID]],SIP[[#This Row],[Investor ID]])</f>
        <v>23</v>
      </c>
      <c r="H1096" s="46" t="str">
        <f>CONCATENATE(SIP[[#This Row],[Frequency]],SIP[[#This Row],[Investor ID]])</f>
        <v>23A00427</v>
      </c>
      <c r="I1096" s="46" t="str">
        <f>IF(SIP[[#This Row],[B/S]]="B","BUY",(IF(SIP[[#This Row],[B/S]]="S","SELL"," ")))</f>
        <v>BUY</v>
      </c>
      <c r="J1096" s="150" t="s">
        <v>1229</v>
      </c>
      <c r="K1096" s="152">
        <v>20000</v>
      </c>
      <c r="L1096" s="122"/>
      <c r="M1096" s="123">
        <f>SIP[[#This Row],[Amount]]/SIP[[#This Row],[Unit]]</f>
        <v>12.399256044637323</v>
      </c>
      <c r="N1096" s="71">
        <f>SIP[[#This Row],[Unit Capital]]/10</f>
        <v>1613</v>
      </c>
      <c r="O1096" s="71">
        <f>SUMIFS(SIP[[#Headers],[Unit]]:SIP[[#This Row],[Unit]],SIP[[#Headers],[Investor ID]]:SIP[[#This Row],[Investor ID]],SIP[[#This Row],[Investor ID]])</f>
        <v>41490</v>
      </c>
      <c r="P1096" s="153">
        <v>16130</v>
      </c>
      <c r="Q1096" s="74">
        <f>SIP[[#This Row],[Amount]]-SIP[[#This Row],[Unit Capital]]</f>
        <v>3870</v>
      </c>
      <c r="R10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11.087008917811525</v>
      </c>
      <c r="S1096" s="68">
        <f t="shared" si="51"/>
        <v>14.224</v>
      </c>
      <c r="T10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6" s="74" cm="1">
        <f t="array" ref="U1096">IF(SIP[[#This Row],[B/S]]="S",ABS(SIP[[#This Row],[Unit]])*(INDEX(SIP[NAV at Cost (Average)],MATCH(CONCATENATE((SIP[[#This Row],[Frequency]]-1),SIP[[#This Row],[Investor ID]]),SIP[Unique Code],0),0)),0)</f>
        <v>0</v>
      </c>
      <c r="V1096" s="74">
        <f>IF(SIP[[#This Row],[BO TRANSFER]]="YES",SIP[[#This Row],[Unit]],)</f>
        <v>0</v>
      </c>
      <c r="W1096" s="74">
        <f>SUMIFS(SIP[[#Headers],[BO UNIT TRANSFER]]:SIP[[#This Row],[BO UNIT TRANSFER]],SIP[[#Headers],[Investor ID]]:SIP[[#This Row],[Investor ID]],SIP[[#This Row],[Investor ID]])</f>
        <v>0</v>
      </c>
    </row>
    <row r="1097" spans="1:23" ht="15" customHeight="1">
      <c r="A1097" s="101">
        <v>2025</v>
      </c>
      <c r="B1097" s="101">
        <v>4</v>
      </c>
      <c r="C1097" s="101">
        <v>5</v>
      </c>
      <c r="D1097" s="65">
        <f>DATE(SIP[[#This Row],[Year]],SIP[[#This Row],[Month]],SIP[[#This Row],[Day]])</f>
        <v>45752</v>
      </c>
      <c r="E1097" s="66" t="str" cm="1">
        <f t="array" ref="E1097">INDEX(INVESTORS_LIST[INVESTOR NAME],MATCH(SIP[[#This Row],[Investor ID]],INVESTORS_LIST[INVESTOR CODE],0),)</f>
        <v>AHMED BIN MONSUR</v>
      </c>
      <c r="F1097" s="46" t="s">
        <v>692</v>
      </c>
      <c r="G1097" s="46">
        <f>COUNTIF(SIP[[#Headers],[Investor ID]]:SIP[[#This Row],[Investor ID]],SIP[[#This Row],[Investor ID]])</f>
        <v>12</v>
      </c>
      <c r="H1097" s="46" t="str">
        <f>CONCATENATE(SIP[[#This Row],[Frequency]],SIP[[#This Row],[Investor ID]])</f>
        <v>12A00322</v>
      </c>
      <c r="I1097" s="46" t="str">
        <f>IF(SIP[[#This Row],[B/S]]="B","BUY",(IF(SIP[[#This Row],[B/S]]="S","SELL"," ")))</f>
        <v>BUY</v>
      </c>
      <c r="J1097" s="150" t="s">
        <v>1229</v>
      </c>
      <c r="K1097" s="152">
        <v>20000</v>
      </c>
      <c r="L1097" s="122"/>
      <c r="M1097" s="123">
        <f>SIP[[#This Row],[Amount]]/SIP[[#This Row],[Unit]]</f>
        <v>12.399256044637323</v>
      </c>
      <c r="N1097" s="71">
        <f>SIP[[#This Row],[Unit Capital]]/10</f>
        <v>1613</v>
      </c>
      <c r="O1097" s="71">
        <f>SUMIFS(SIP[[#Headers],[Unit]]:SIP[[#This Row],[Unit]],SIP[[#Headers],[Investor ID]]:SIP[[#This Row],[Investor ID]],SIP[[#This Row],[Investor ID]])</f>
        <v>6556</v>
      </c>
      <c r="P1097" s="153">
        <v>16130</v>
      </c>
      <c r="Q1097" s="74">
        <f>SIP[[#This Row],[Amount]]-SIP[[#This Row],[Unit Capital]]</f>
        <v>3870</v>
      </c>
      <c r="R10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12.105408377797554</v>
      </c>
      <c r="S1097" s="68">
        <f t="shared" si="51"/>
        <v>14.224</v>
      </c>
      <c r="T10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7" s="74" cm="1">
        <f t="array" ref="U1097">IF(SIP[[#This Row],[B/S]]="S",ABS(SIP[[#This Row],[Unit]])*(INDEX(SIP[NAV at Cost (Average)],MATCH(CONCATENATE((SIP[[#This Row],[Frequency]]-1),SIP[[#This Row],[Investor ID]]),SIP[Unique Code],0),0)),0)</f>
        <v>0</v>
      </c>
      <c r="V1097" s="74">
        <f>IF(SIP[[#This Row],[BO TRANSFER]]="YES",SIP[[#This Row],[Unit]],)</f>
        <v>0</v>
      </c>
      <c r="W1097" s="74">
        <f>SUMIFS(SIP[[#Headers],[BO UNIT TRANSFER]]:SIP[[#This Row],[BO UNIT TRANSFER]],SIP[[#Headers],[Investor ID]]:SIP[[#This Row],[Investor ID]],SIP[[#This Row],[Investor ID]])</f>
        <v>0</v>
      </c>
    </row>
    <row r="1098" spans="1:23" ht="15" customHeight="1">
      <c r="A1098" s="101">
        <v>2025</v>
      </c>
      <c r="B1098" s="101">
        <v>4</v>
      </c>
      <c r="C1098" s="101">
        <v>5</v>
      </c>
      <c r="D1098" s="65">
        <f>DATE(SIP[[#This Row],[Year]],SIP[[#This Row],[Month]],SIP[[#This Row],[Day]])</f>
        <v>45752</v>
      </c>
      <c r="E1098" s="66" t="str" cm="1">
        <f t="array" ref="E1098">INDEX(INVESTORS_LIST[INVESTOR NAME],MATCH(SIP[[#This Row],[Investor ID]],INVESTORS_LIST[INVESTOR CODE],0),)</f>
        <v>BIJOY CHANDRA DAS</v>
      </c>
      <c r="F1098" s="46" t="s">
        <v>497</v>
      </c>
      <c r="G1098" s="46">
        <f>COUNTIF(SIP[[#Headers],[Investor ID]]:SIP[[#This Row],[Investor ID]],SIP[[#This Row],[Investor ID]])</f>
        <v>12</v>
      </c>
      <c r="H1098" s="46" t="str">
        <f>CONCATENATE(SIP[[#This Row],[Frequency]],SIP[[#This Row],[Investor ID]])</f>
        <v>12A00224</v>
      </c>
      <c r="I1098" s="46" t="str">
        <f>IF(SIP[[#This Row],[B/S]]="B","BUY",(IF(SIP[[#This Row],[B/S]]="S","SELL"," ")))</f>
        <v>BUY</v>
      </c>
      <c r="J1098" s="150" t="s">
        <v>1229</v>
      </c>
      <c r="K1098" s="152">
        <v>5000</v>
      </c>
      <c r="L1098" s="122"/>
      <c r="M1098" s="123">
        <f>SIP[[#This Row],[Amount]]/SIP[[#This Row],[Unit]]</f>
        <v>12.406947890818859</v>
      </c>
      <c r="N1098" s="71">
        <f>SIP[[#This Row],[Unit Capital]]/10</f>
        <v>403</v>
      </c>
      <c r="O1098" s="71">
        <f>SUMIFS(SIP[[#Headers],[Unit]]:SIP[[#This Row],[Unit]],SIP[[#Headers],[Investor ID]]:SIP[[#This Row],[Investor ID]],SIP[[#This Row],[Investor ID]])</f>
        <v>5197</v>
      </c>
      <c r="P1098" s="153">
        <v>4030</v>
      </c>
      <c r="Q1098" s="74">
        <f>SIP[[#This Row],[Amount]]-SIP[[#This Row],[Unit Capital]]</f>
        <v>970</v>
      </c>
      <c r="R10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11.545122185876469</v>
      </c>
      <c r="S1098" s="68">
        <f t="shared" si="51"/>
        <v>14.224</v>
      </c>
      <c r="T10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8" s="74" cm="1">
        <f t="array" ref="U1098">IF(SIP[[#This Row],[B/S]]="S",ABS(SIP[[#This Row],[Unit]])*(INDEX(SIP[NAV at Cost (Average)],MATCH(CONCATENATE((SIP[[#This Row],[Frequency]]-1),SIP[[#This Row],[Investor ID]]),SIP[Unique Code],0),0)),0)</f>
        <v>0</v>
      </c>
      <c r="V1098" s="74">
        <f>IF(SIP[[#This Row],[BO TRANSFER]]="YES",SIP[[#This Row],[Unit]],)</f>
        <v>0</v>
      </c>
      <c r="W1098" s="74">
        <f>SUMIFS(SIP[[#Headers],[BO UNIT TRANSFER]]:SIP[[#This Row],[BO UNIT TRANSFER]],SIP[[#Headers],[Investor ID]]:SIP[[#This Row],[Investor ID]],SIP[[#This Row],[Investor ID]])</f>
        <v>0</v>
      </c>
    </row>
    <row r="1099" spans="1:23" ht="15" customHeight="1">
      <c r="A1099" s="101">
        <v>2025</v>
      </c>
      <c r="B1099" s="101">
        <v>4</v>
      </c>
      <c r="C1099" s="101">
        <v>5</v>
      </c>
      <c r="D1099" s="65">
        <f>DATE(SIP[[#This Row],[Year]],SIP[[#This Row],[Month]],SIP[[#This Row],[Day]])</f>
        <v>45752</v>
      </c>
      <c r="E1099" s="66" t="str" cm="1">
        <f t="array" ref="E1099">INDEX(INVESTORS_LIST[INVESTOR NAME],MATCH(SIP[[#This Row],[Investor ID]],INVESTORS_LIST[INVESTOR CODE],0),)</f>
        <v>NANDINI SAHA</v>
      </c>
      <c r="F1099" s="46" t="s">
        <v>242</v>
      </c>
      <c r="G1099" s="46">
        <f>COUNTIF(SIP[[#Headers],[Investor ID]]:SIP[[#This Row],[Investor ID]],SIP[[#This Row],[Investor ID]])</f>
        <v>23</v>
      </c>
      <c r="H1099" s="46" t="str">
        <f>CONCATENATE(SIP[[#This Row],[Frequency]],SIP[[#This Row],[Investor ID]])</f>
        <v>23A00097</v>
      </c>
      <c r="I1099" s="46" t="str">
        <f>IF(SIP[[#This Row],[B/S]]="B","BUY",(IF(SIP[[#This Row],[B/S]]="S","SELL"," ")))</f>
        <v>BUY</v>
      </c>
      <c r="J1099" s="150" t="s">
        <v>1229</v>
      </c>
      <c r="K1099" s="152">
        <v>30000</v>
      </c>
      <c r="L1099" s="122"/>
      <c r="M1099" s="123">
        <f>SIP[[#This Row],[Amount]]/SIP[[#This Row],[Unit]]</f>
        <v>12.396694214876034</v>
      </c>
      <c r="N1099" s="71">
        <f>SIP[[#This Row],[Unit Capital]]/10</f>
        <v>2420</v>
      </c>
      <c r="O1099" s="71">
        <f>SUMIFS(SIP[[#Headers],[Unit]]:SIP[[#This Row],[Unit]],SIP[[#Headers],[Investor ID]]:SIP[[#This Row],[Investor ID]],SIP[[#This Row],[Investor ID]])</f>
        <v>62394</v>
      </c>
      <c r="P1099" s="153">
        <v>24200</v>
      </c>
      <c r="Q1099" s="74">
        <f>SIP[[#This Row],[Amount]]-SIP[[#This Row],[Unit Capital]]</f>
        <v>5800</v>
      </c>
      <c r="R10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11.058755649581688</v>
      </c>
      <c r="S1099" s="68">
        <f t="shared" si="51"/>
        <v>14.224</v>
      </c>
      <c r="T10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9" s="74" cm="1">
        <f t="array" ref="U1099">IF(SIP[[#This Row],[B/S]]="S",ABS(SIP[[#This Row],[Unit]])*(INDEX(SIP[NAV at Cost (Average)],MATCH(CONCATENATE((SIP[[#This Row],[Frequency]]-1),SIP[[#This Row],[Investor ID]]),SIP[Unique Code],0),0)),0)</f>
        <v>0</v>
      </c>
      <c r="V1099" s="74">
        <f>IF(SIP[[#This Row],[BO TRANSFER]]="YES",SIP[[#This Row],[Unit]],)</f>
        <v>0</v>
      </c>
      <c r="W1099" s="74">
        <f>SUMIFS(SIP[[#Headers],[BO UNIT TRANSFER]]:SIP[[#This Row],[BO UNIT TRANSFER]],SIP[[#Headers],[Investor ID]]:SIP[[#This Row],[Investor ID]],SIP[[#This Row],[Investor ID]])</f>
        <v>0</v>
      </c>
    </row>
    <row r="1100" spans="1:23" ht="15" customHeight="1">
      <c r="A1100" s="101">
        <v>2025</v>
      </c>
      <c r="B1100" s="101">
        <v>4</v>
      </c>
      <c r="C1100" s="101">
        <v>5</v>
      </c>
      <c r="D1100" s="65">
        <f>DATE(SIP[[#This Row],[Year]],SIP[[#This Row],[Month]],SIP[[#This Row],[Day]])</f>
        <v>45752</v>
      </c>
      <c r="E1100" s="66" t="str" cm="1">
        <f t="array" ref="E1100">INDEX(INVESTORS_LIST[INVESTOR NAME],MATCH(SIP[[#This Row],[Investor ID]],INVESTORS_LIST[INVESTOR CODE],0),)</f>
        <v>FAKARUDDIN ALI AHMED</v>
      </c>
      <c r="F1100" s="46" t="s">
        <v>228</v>
      </c>
      <c r="G1100" s="46">
        <f>COUNTIF(SIP[[#Headers],[Investor ID]]:SIP[[#This Row],[Investor ID]],SIP[[#This Row],[Investor ID]])</f>
        <v>25</v>
      </c>
      <c r="H1100" s="46" t="str">
        <f>CONCATENATE(SIP[[#This Row],[Frequency]],SIP[[#This Row],[Investor ID]])</f>
        <v>25A00090</v>
      </c>
      <c r="I1100" s="46" t="str">
        <f>IF(SIP[[#This Row],[B/S]]="B","BUY",(IF(SIP[[#This Row],[B/S]]="S","SELL"," ")))</f>
        <v>BUY</v>
      </c>
      <c r="J1100" s="150" t="s">
        <v>1229</v>
      </c>
      <c r="K1100" s="152">
        <v>10000</v>
      </c>
      <c r="L1100" s="122"/>
      <c r="M1100" s="123">
        <f>SIP[[#This Row],[Amount]]/SIP[[#This Row],[Unit]]</f>
        <v>12.391573729863692</v>
      </c>
      <c r="N1100" s="71">
        <f>SIP[[#This Row],[Unit Capital]]/10</f>
        <v>807</v>
      </c>
      <c r="O1100" s="71">
        <f>SUMIFS(SIP[[#Headers],[Unit]]:SIP[[#This Row],[Unit]],SIP[[#Headers],[Investor ID]]:SIP[[#This Row],[Investor ID]],SIP[[#This Row],[Investor ID]])</f>
        <v>1594</v>
      </c>
      <c r="P1100" s="153">
        <v>8070</v>
      </c>
      <c r="Q1100" s="74">
        <f>SIP[[#This Row],[Amount]]-SIP[[#This Row],[Unit Capital]]</f>
        <v>1930</v>
      </c>
      <c r="R11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12.547051442910915</v>
      </c>
      <c r="S1100" s="68">
        <f t="shared" si="51"/>
        <v>14.224</v>
      </c>
      <c r="T11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0" s="74" cm="1">
        <f t="array" ref="U1100">IF(SIP[[#This Row],[B/S]]="S",ABS(SIP[[#This Row],[Unit]])*(INDEX(SIP[NAV at Cost (Average)],MATCH(CONCATENATE((SIP[[#This Row],[Frequency]]-1),SIP[[#This Row],[Investor ID]]),SIP[Unique Code],0),0)),0)</f>
        <v>0</v>
      </c>
      <c r="V1100" s="74">
        <f>IF(SIP[[#This Row],[BO TRANSFER]]="YES",SIP[[#This Row],[Unit]],)</f>
        <v>0</v>
      </c>
      <c r="W1100" s="74">
        <f>SUMIFS(SIP[[#Headers],[BO UNIT TRANSFER]]:SIP[[#This Row],[BO UNIT TRANSFER]],SIP[[#Headers],[Investor ID]]:SIP[[#This Row],[Investor ID]],SIP[[#This Row],[Investor ID]])</f>
        <v>0</v>
      </c>
    </row>
    <row r="1101" spans="1:23" ht="15" customHeight="1">
      <c r="A1101" s="101">
        <v>2025</v>
      </c>
      <c r="B1101" s="101">
        <v>4</v>
      </c>
      <c r="C1101" s="101">
        <v>5</v>
      </c>
      <c r="D1101" s="65">
        <f>DATE(SIP[[#This Row],[Year]],SIP[[#This Row],[Month]],SIP[[#This Row],[Day]])</f>
        <v>45752</v>
      </c>
      <c r="E1101" s="66" t="str" cm="1">
        <f t="array" ref="E1101">INDEX(INVESTORS_LIST[INVESTOR NAME],MATCH(SIP[[#This Row],[Investor ID]],INVESTORS_LIST[INVESTOR CODE],0),)</f>
        <v>SHANTA PAUL</v>
      </c>
      <c r="F1101" s="46" t="s">
        <v>544</v>
      </c>
      <c r="G1101" s="46">
        <f>COUNTIF(SIP[[#Headers],[Investor ID]]:SIP[[#This Row],[Investor ID]],SIP[[#This Row],[Investor ID]])</f>
        <v>24</v>
      </c>
      <c r="H1101" s="46" t="str">
        <f>CONCATENATE(SIP[[#This Row],[Frequency]],SIP[[#This Row],[Investor ID]])</f>
        <v>24A00247</v>
      </c>
      <c r="I1101" s="46" t="str">
        <f>IF(SIP[[#This Row],[B/S]]="B","BUY",(IF(SIP[[#This Row],[B/S]]="S","SELL"," ")))</f>
        <v>BUY</v>
      </c>
      <c r="J1101" s="150" t="s">
        <v>1229</v>
      </c>
      <c r="K1101" s="152">
        <v>20000</v>
      </c>
      <c r="L1101" s="122"/>
      <c r="M1101" s="123">
        <f>SIP[[#This Row],[Amount]]/SIP[[#This Row],[Unit]]</f>
        <v>12.399256044637323</v>
      </c>
      <c r="N1101" s="71">
        <f>SIP[[#This Row],[Unit Capital]]/10</f>
        <v>1613</v>
      </c>
      <c r="O1101" s="71">
        <f>SUMIFS(SIP[[#Headers],[Unit]]:SIP[[#This Row],[Unit]],SIP[[#Headers],[Investor ID]]:SIP[[#This Row],[Investor ID]],SIP[[#This Row],[Investor ID]])</f>
        <v>43756</v>
      </c>
      <c r="P1101" s="153">
        <v>16130</v>
      </c>
      <c r="Q1101" s="74">
        <f>SIP[[#This Row],[Amount]]-SIP[[#This Row],[Unit Capital]]</f>
        <v>3870</v>
      </c>
      <c r="R11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10.969924124691472</v>
      </c>
      <c r="S1101" s="68">
        <f t="shared" si="51"/>
        <v>14.224</v>
      </c>
      <c r="T11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1" s="74" cm="1">
        <f t="array" ref="U1101">IF(SIP[[#This Row],[B/S]]="S",ABS(SIP[[#This Row],[Unit]])*(INDEX(SIP[NAV at Cost (Average)],MATCH(CONCATENATE((SIP[[#This Row],[Frequency]]-1),SIP[[#This Row],[Investor ID]]),SIP[Unique Code],0),0)),0)</f>
        <v>0</v>
      </c>
      <c r="V1101" s="74">
        <f>IF(SIP[[#This Row],[BO TRANSFER]]="YES",SIP[[#This Row],[Unit]],)</f>
        <v>0</v>
      </c>
      <c r="W1101" s="74">
        <f>SUMIFS(SIP[[#Headers],[BO UNIT TRANSFER]]:SIP[[#This Row],[BO UNIT TRANSFER]],SIP[[#Headers],[Investor ID]]:SIP[[#This Row],[Investor ID]],SIP[[#This Row],[Investor ID]])</f>
        <v>0</v>
      </c>
    </row>
    <row r="1102" spans="1:23" ht="15" customHeight="1">
      <c r="A1102" s="101">
        <v>2025</v>
      </c>
      <c r="B1102" s="101">
        <v>4</v>
      </c>
      <c r="C1102" s="101">
        <v>5</v>
      </c>
      <c r="D1102" s="65">
        <f>DATE(SIP[[#This Row],[Year]],SIP[[#This Row],[Month]],SIP[[#This Row],[Day]])</f>
        <v>45752</v>
      </c>
      <c r="E1102" s="66" t="str" cm="1">
        <f t="array" ref="E1102">INDEX(INVESTORS_LIST[INVESTOR NAME],MATCH(SIP[[#This Row],[Investor ID]],INVESTORS_LIST[INVESTOR CODE],0),)</f>
        <v>MONIR AHMED</v>
      </c>
      <c r="F1102" s="46" t="s">
        <v>125</v>
      </c>
      <c r="G1102" s="46">
        <f>COUNTIF(SIP[[#Headers],[Investor ID]]:SIP[[#This Row],[Investor ID]],SIP[[#This Row],[Investor ID]])</f>
        <v>24</v>
      </c>
      <c r="H1102" s="46" t="str">
        <f>CONCATENATE(SIP[[#This Row],[Frequency]],SIP[[#This Row],[Investor ID]])</f>
        <v>24A00039</v>
      </c>
      <c r="I1102" s="46" t="str">
        <f>IF(SIP[[#This Row],[B/S]]="B","BUY",(IF(SIP[[#This Row],[B/S]]="S","SELL"," ")))</f>
        <v>BUY</v>
      </c>
      <c r="J1102" s="150" t="s">
        <v>1229</v>
      </c>
      <c r="K1102" s="152">
        <v>10000</v>
      </c>
      <c r="L1102" s="122"/>
      <c r="M1102" s="123">
        <f>SIP[[#This Row],[Amount]]/SIP[[#This Row],[Unit]]</f>
        <v>12.391573729863692</v>
      </c>
      <c r="N1102" s="71">
        <f>SIP[[#This Row],[Unit Capital]]/10</f>
        <v>807</v>
      </c>
      <c r="O1102" s="71">
        <f>SUMIFS(SIP[[#Headers],[Unit]]:SIP[[#This Row],[Unit]],SIP[[#Headers],[Investor ID]]:SIP[[#This Row],[Investor ID]],SIP[[#This Row],[Investor ID]])</f>
        <v>1694</v>
      </c>
      <c r="P1102" s="153">
        <v>8070</v>
      </c>
      <c r="Q1102" s="74">
        <f>SIP[[#This Row],[Amount]]-SIP[[#This Row],[Unit Capital]]</f>
        <v>1930</v>
      </c>
      <c r="R11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11.833470426915607</v>
      </c>
      <c r="S1102" s="68">
        <f t="shared" si="51"/>
        <v>14.224</v>
      </c>
      <c r="T11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2" s="74" cm="1">
        <f t="array" ref="U1102">IF(SIP[[#This Row],[B/S]]="S",ABS(SIP[[#This Row],[Unit]])*(INDEX(SIP[NAV at Cost (Average)],MATCH(CONCATENATE((SIP[[#This Row],[Frequency]]-1),SIP[[#This Row],[Investor ID]]),SIP[Unique Code],0),0)),0)</f>
        <v>0</v>
      </c>
      <c r="V1102" s="74">
        <f>IF(SIP[[#This Row],[BO TRANSFER]]="YES",SIP[[#This Row],[Unit]],)</f>
        <v>0</v>
      </c>
      <c r="W1102" s="74">
        <f>SUMIFS(SIP[[#Headers],[BO UNIT TRANSFER]]:SIP[[#This Row],[BO UNIT TRANSFER]],SIP[[#Headers],[Investor ID]]:SIP[[#This Row],[Investor ID]],SIP[[#This Row],[Investor ID]])</f>
        <v>0</v>
      </c>
    </row>
    <row r="1103" spans="1:23" ht="15" customHeight="1">
      <c r="A1103" s="101">
        <v>2025</v>
      </c>
      <c r="B1103" s="101">
        <v>4</v>
      </c>
      <c r="C1103" s="101">
        <v>5</v>
      </c>
      <c r="D1103" s="65">
        <f>DATE(SIP[[#This Row],[Year]],SIP[[#This Row],[Month]],SIP[[#This Row],[Day]])</f>
        <v>45752</v>
      </c>
      <c r="E1103" s="66" t="str" cm="1">
        <f t="array" ref="E1103">INDEX(INVESTORS_LIST[INVESTOR NAME],MATCH(SIP[[#This Row],[Investor ID]],INVESTORS_LIST[INVESTOR CODE],0),)</f>
        <v>SABRIA ISLAM TALUKDER</v>
      </c>
      <c r="F1103" s="46" t="s">
        <v>409</v>
      </c>
      <c r="G1103" s="46">
        <f>COUNTIF(SIP[[#Headers],[Investor ID]]:SIP[[#This Row],[Investor ID]],SIP[[#This Row],[Investor ID]])</f>
        <v>20</v>
      </c>
      <c r="H1103" s="46" t="str">
        <f>CONCATENATE(SIP[[#This Row],[Frequency]],SIP[[#This Row],[Investor ID]])</f>
        <v>20A00180</v>
      </c>
      <c r="I1103" s="46" t="str">
        <f>IF(SIP[[#This Row],[B/S]]="B","BUY",(IF(SIP[[#This Row],[B/S]]="S","SELL"," ")))</f>
        <v>BUY</v>
      </c>
      <c r="J1103" s="150" t="s">
        <v>1229</v>
      </c>
      <c r="K1103" s="152">
        <v>5000</v>
      </c>
      <c r="L1103" s="122"/>
      <c r="M1103" s="123">
        <f>SIP[[#This Row],[Amount]]/SIP[[#This Row],[Unit]]</f>
        <v>12.406947890818859</v>
      </c>
      <c r="N1103" s="71">
        <f>SIP[[#This Row],[Unit Capital]]/10</f>
        <v>403</v>
      </c>
      <c r="O1103" s="71">
        <f>SUMIFS(SIP[[#Headers],[Unit]]:SIP[[#This Row],[Unit]],SIP[[#Headers],[Investor ID]]:SIP[[#This Row],[Investor ID]],SIP[[#This Row],[Investor ID]])</f>
        <v>8912</v>
      </c>
      <c r="P1103" s="153">
        <v>4030</v>
      </c>
      <c r="Q1103" s="74">
        <f>SIP[[#This Row],[Amount]]-SIP[[#This Row],[Unit Capital]]</f>
        <v>970</v>
      </c>
      <c r="R11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11.220825852782767</v>
      </c>
      <c r="S1103" s="68">
        <f t="shared" si="51"/>
        <v>14.224</v>
      </c>
      <c r="T11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3" s="74" cm="1">
        <f t="array" ref="U1103">IF(SIP[[#This Row],[B/S]]="S",ABS(SIP[[#This Row],[Unit]])*(INDEX(SIP[NAV at Cost (Average)],MATCH(CONCATENATE((SIP[[#This Row],[Frequency]]-1),SIP[[#This Row],[Investor ID]]),SIP[Unique Code],0),0)),0)</f>
        <v>0</v>
      </c>
      <c r="V1103" s="74">
        <f>IF(SIP[[#This Row],[BO TRANSFER]]="YES",SIP[[#This Row],[Unit]],)</f>
        <v>0</v>
      </c>
      <c r="W1103" s="74">
        <f>SUMIFS(SIP[[#Headers],[BO UNIT TRANSFER]]:SIP[[#This Row],[BO UNIT TRANSFER]],SIP[[#Headers],[Investor ID]]:SIP[[#This Row],[Investor ID]],SIP[[#This Row],[Investor ID]])</f>
        <v>0</v>
      </c>
    </row>
    <row r="1104" spans="1:23" ht="15" customHeight="1">
      <c r="A1104" s="101">
        <v>2025</v>
      </c>
      <c r="B1104" s="101">
        <v>4</v>
      </c>
      <c r="C1104" s="101">
        <v>5</v>
      </c>
      <c r="D1104" s="65">
        <f>DATE(SIP[[#This Row],[Year]],SIP[[#This Row],[Month]],SIP[[#This Row],[Day]])</f>
        <v>45752</v>
      </c>
      <c r="E1104" s="66" t="str" cm="1">
        <f t="array" ref="E1104">INDEX(INVESTORS_LIST[INVESTOR NAME],MATCH(SIP[[#This Row],[Investor ID]],INVESTORS_LIST[INVESTOR CODE],0),)</f>
        <v>NANI GOPAL DATTA</v>
      </c>
      <c r="F1104" s="46" t="s">
        <v>232</v>
      </c>
      <c r="G1104" s="46">
        <f>COUNTIF(SIP[[#Headers],[Investor ID]]:SIP[[#This Row],[Investor ID]],SIP[[#This Row],[Investor ID]])</f>
        <v>15</v>
      </c>
      <c r="H1104" s="46" t="str">
        <f>CONCATENATE(SIP[[#This Row],[Frequency]],SIP[[#This Row],[Investor ID]])</f>
        <v>15A00092</v>
      </c>
      <c r="I1104" s="46" t="str">
        <f>IF(SIP[[#This Row],[B/S]]="B","BUY",(IF(SIP[[#This Row],[B/S]]="S","SELL"," ")))</f>
        <v>BUY</v>
      </c>
      <c r="J1104" s="150" t="s">
        <v>1229</v>
      </c>
      <c r="K1104" s="152">
        <v>2000</v>
      </c>
      <c r="L1104" s="122"/>
      <c r="M1104" s="123">
        <f>SIP[[#This Row],[Amount]]/SIP[[#This Row],[Unit]]</f>
        <v>12.422360248447205</v>
      </c>
      <c r="N1104" s="71">
        <f>SIP[[#This Row],[Unit Capital]]/10</f>
        <v>161</v>
      </c>
      <c r="O1104" s="71">
        <f>SUMIFS(SIP[[#Headers],[Unit]]:SIP[[#This Row],[Unit]],SIP[[#Headers],[Investor ID]]:SIP[[#This Row],[Investor ID]],SIP[[#This Row],[Investor ID]])</f>
        <v>2315</v>
      </c>
      <c r="P1104" s="153">
        <v>1610</v>
      </c>
      <c r="Q1104" s="74">
        <f>SIP[[#This Row],[Amount]]-SIP[[#This Row],[Unit Capital]]</f>
        <v>390</v>
      </c>
      <c r="R11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11.268868982284699</v>
      </c>
      <c r="S1104" s="68">
        <f t="shared" si="51"/>
        <v>14.224</v>
      </c>
      <c r="T11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4" s="74" cm="1">
        <f t="array" ref="U1104">IF(SIP[[#This Row],[B/S]]="S",ABS(SIP[[#This Row],[Unit]])*(INDEX(SIP[NAV at Cost (Average)],MATCH(CONCATENATE((SIP[[#This Row],[Frequency]]-1),SIP[[#This Row],[Investor ID]]),SIP[Unique Code],0),0)),0)</f>
        <v>0</v>
      </c>
      <c r="V1104" s="74">
        <f>IF(SIP[[#This Row],[BO TRANSFER]]="YES",SIP[[#This Row],[Unit]],)</f>
        <v>0</v>
      </c>
      <c r="W1104" s="74">
        <f>SUMIFS(SIP[[#Headers],[BO UNIT TRANSFER]]:SIP[[#This Row],[BO UNIT TRANSFER]],SIP[[#Headers],[Investor ID]]:SIP[[#This Row],[Investor ID]],SIP[[#This Row],[Investor ID]])</f>
        <v>0</v>
      </c>
    </row>
    <row r="1105" spans="1:23" ht="15" customHeight="1">
      <c r="A1105" s="101">
        <v>2025</v>
      </c>
      <c r="B1105" s="101">
        <v>4</v>
      </c>
      <c r="C1105" s="101">
        <v>5</v>
      </c>
      <c r="D1105" s="65">
        <f>DATE(SIP[[#This Row],[Year]],SIP[[#This Row],[Month]],SIP[[#This Row],[Day]])</f>
        <v>45752</v>
      </c>
      <c r="E1105" s="66" t="str" cm="1">
        <f t="array" ref="E1105">INDEX(INVESTORS_LIST[INVESTOR NAME],MATCH(SIP[[#This Row],[Investor ID]],INVESTORS_LIST[INVESTOR CODE],0),)</f>
        <v>AKIB TANVIR ANJUM</v>
      </c>
      <c r="F1105" s="46" t="s">
        <v>1116</v>
      </c>
      <c r="G1105" s="46">
        <f>COUNTIF(SIP[[#Headers],[Investor ID]]:SIP[[#This Row],[Investor ID]],SIP[[#This Row],[Investor ID]])</f>
        <v>19</v>
      </c>
      <c r="H1105" s="46" t="str">
        <f>CONCATENATE(SIP[[#This Row],[Frequency]],SIP[[#This Row],[Investor ID]])</f>
        <v>19A00533</v>
      </c>
      <c r="I1105" s="46" t="str">
        <f>IF(SIP[[#This Row],[B/S]]="B","BUY",(IF(SIP[[#This Row],[B/S]]="S","SELL"," ")))</f>
        <v>BUY</v>
      </c>
      <c r="J1105" s="150" t="s">
        <v>1229</v>
      </c>
      <c r="K1105" s="152">
        <v>4000</v>
      </c>
      <c r="L1105" s="122"/>
      <c r="M1105" s="123">
        <f>SIP[[#This Row],[Amount]]/SIP[[#This Row],[Unit]]</f>
        <v>12.383900928792571</v>
      </c>
      <c r="N1105" s="71">
        <f>SIP[[#This Row],[Unit Capital]]/10</f>
        <v>323</v>
      </c>
      <c r="O1105" s="71">
        <f>SUMIFS(SIP[[#Headers],[Unit]]:SIP[[#This Row],[Unit]],SIP[[#Headers],[Investor ID]]:SIP[[#This Row],[Investor ID]],SIP[[#This Row],[Investor ID]])</f>
        <v>2080</v>
      </c>
      <c r="P1105" s="153">
        <v>3230</v>
      </c>
      <c r="Q1105" s="74">
        <f>SIP[[#This Row],[Amount]]-SIP[[#This Row],[Unit Capital]]</f>
        <v>770</v>
      </c>
      <c r="R11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11.911170698811857</v>
      </c>
      <c r="S1105" s="68">
        <f t="shared" si="51"/>
        <v>14.224</v>
      </c>
      <c r="T11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5" s="74" cm="1">
        <f t="array" ref="U1105">IF(SIP[[#This Row],[B/S]]="S",ABS(SIP[[#This Row],[Unit]])*(INDEX(SIP[NAV at Cost (Average)],MATCH(CONCATENATE((SIP[[#This Row],[Frequency]]-1),SIP[[#This Row],[Investor ID]]),SIP[Unique Code],0),0)),0)</f>
        <v>0</v>
      </c>
      <c r="V1105" s="74">
        <f>IF(SIP[[#This Row],[BO TRANSFER]]="YES",SIP[[#This Row],[Unit]],)</f>
        <v>0</v>
      </c>
      <c r="W1105" s="74">
        <f>SUMIFS(SIP[[#Headers],[BO UNIT TRANSFER]]:SIP[[#This Row],[BO UNIT TRANSFER]],SIP[[#Headers],[Investor ID]]:SIP[[#This Row],[Investor ID]],SIP[[#This Row],[Investor ID]])</f>
        <v>0</v>
      </c>
    </row>
    <row r="1106" spans="1:23" ht="15" customHeight="1">
      <c r="A1106" s="101">
        <v>2025</v>
      </c>
      <c r="B1106" s="101">
        <v>4</v>
      </c>
      <c r="C1106" s="101">
        <v>5</v>
      </c>
      <c r="D1106" s="65">
        <f>DATE(SIP[[#This Row],[Year]],SIP[[#This Row],[Month]],SIP[[#This Row],[Day]])</f>
        <v>45752</v>
      </c>
      <c r="E1106" s="66" t="str" cm="1">
        <f t="array" ref="E1106">INDEX(INVESTORS_LIST[INVESTOR NAME],MATCH(SIP[[#This Row],[Investor ID]],INVESTORS_LIST[INVESTOR CODE],0),)</f>
        <v>MD. MONIRUL ISLAM</v>
      </c>
      <c r="F1106" s="46" t="s">
        <v>996</v>
      </c>
      <c r="G1106" s="46">
        <f>COUNTIF(SIP[[#Headers],[Investor ID]]:SIP[[#This Row],[Investor ID]],SIP[[#This Row],[Investor ID]])</f>
        <v>24</v>
      </c>
      <c r="H1106" s="46" t="str">
        <f>CONCATENATE(SIP[[#This Row],[Frequency]],SIP[[#This Row],[Investor ID]])</f>
        <v>24A00475</v>
      </c>
      <c r="I1106" s="46" t="str">
        <f>IF(SIP[[#This Row],[B/S]]="B","BUY",(IF(SIP[[#This Row],[B/S]]="S","SELL"," ")))</f>
        <v>BUY</v>
      </c>
      <c r="J1106" s="150" t="s">
        <v>1229</v>
      </c>
      <c r="K1106" s="152">
        <v>10000</v>
      </c>
      <c r="L1106" s="122"/>
      <c r="M1106" s="123">
        <f>SIP[[#This Row],[Amount]]/SIP[[#This Row],[Unit]]</f>
        <v>12.391573729863692</v>
      </c>
      <c r="N1106" s="71">
        <f>SIP[[#This Row],[Unit Capital]]/10</f>
        <v>807</v>
      </c>
      <c r="O1106" s="71">
        <f>SUMIFS(SIP[[#Headers],[Unit]]:SIP[[#This Row],[Unit]],SIP[[#Headers],[Investor ID]]:SIP[[#This Row],[Investor ID]],SIP[[#This Row],[Investor ID]])</f>
        <v>21732</v>
      </c>
      <c r="P1106" s="153">
        <v>8070</v>
      </c>
      <c r="Q1106" s="74">
        <f>SIP[[#This Row],[Amount]]-SIP[[#This Row],[Unit Capital]]</f>
        <v>1930</v>
      </c>
      <c r="R11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11.04362230811706</v>
      </c>
      <c r="S1106" s="68">
        <f t="shared" si="51"/>
        <v>14.224</v>
      </c>
      <c r="T11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6" s="74" cm="1">
        <f t="array" ref="U1106">IF(SIP[[#This Row],[B/S]]="S",ABS(SIP[[#This Row],[Unit]])*(INDEX(SIP[NAV at Cost (Average)],MATCH(CONCATENATE((SIP[[#This Row],[Frequency]]-1),SIP[[#This Row],[Investor ID]]),SIP[Unique Code],0),0)),0)</f>
        <v>0</v>
      </c>
      <c r="V1106" s="74">
        <f>IF(SIP[[#This Row],[BO TRANSFER]]="YES",SIP[[#This Row],[Unit]],)</f>
        <v>0</v>
      </c>
      <c r="W1106" s="74">
        <f>SUMIFS(SIP[[#Headers],[BO UNIT TRANSFER]]:SIP[[#This Row],[BO UNIT TRANSFER]],SIP[[#Headers],[Investor ID]]:SIP[[#This Row],[Investor ID]],SIP[[#This Row],[Investor ID]])</f>
        <v>0</v>
      </c>
    </row>
    <row r="1107" spans="1:23" ht="15" customHeight="1">
      <c r="A1107" s="101">
        <v>2025</v>
      </c>
      <c r="B1107" s="101">
        <v>4</v>
      </c>
      <c r="C1107" s="101">
        <v>15</v>
      </c>
      <c r="D1107" s="65">
        <f>DATE(SIP[[#This Row],[Year]],SIP[[#This Row],[Month]],SIP[[#This Row],[Day]])</f>
        <v>45762</v>
      </c>
      <c r="E1107" s="66" t="str" cm="1">
        <f t="array" ref="E1107">INDEX(INVESTORS_LIST[INVESTOR NAME],MATCH(SIP[[#This Row],[Investor ID]],INVESTORS_LIST[INVESTOR CODE],0),)</f>
        <v>SANJIB KUMAR ROY</v>
      </c>
      <c r="F1107" s="46" t="s">
        <v>1020</v>
      </c>
      <c r="G1107" s="46">
        <f>COUNTIF(SIP[[#Headers],[Investor ID]]:SIP[[#This Row],[Investor ID]],SIP[[#This Row],[Investor ID]])</f>
        <v>23</v>
      </c>
      <c r="H1107" s="46" t="str">
        <f>CONCATENATE(SIP[[#This Row],[Frequency]],SIP[[#This Row],[Investor ID]])</f>
        <v>23A00487</v>
      </c>
      <c r="I1107" s="46" t="str">
        <f>IF(SIP[[#This Row],[B/S]]="B","BUY",(IF(SIP[[#This Row],[B/S]]="S","SELL"," ")))</f>
        <v>BUY</v>
      </c>
      <c r="J1107" s="150" t="s">
        <v>1229</v>
      </c>
      <c r="K1107" s="152">
        <v>5000</v>
      </c>
      <c r="L1107" s="122"/>
      <c r="M1107" s="123">
        <f>SIP[[#This Row],[Amount]]/SIP[[#This Row],[Unit]]</f>
        <v>12.406947890818859</v>
      </c>
      <c r="N1107" s="71">
        <f>SIP[[#This Row],[Unit Capital]]/10</f>
        <v>403</v>
      </c>
      <c r="O1107" s="71">
        <f>SUMIFS(SIP[[#Headers],[Unit]]:SIP[[#This Row],[Unit]],SIP[[#Headers],[Investor ID]]:SIP[[#This Row],[Investor ID]],SIP[[#This Row],[Investor ID]])</f>
        <v>10337</v>
      </c>
      <c r="P1107" s="153">
        <v>4030</v>
      </c>
      <c r="Q1107" s="74">
        <f>SIP[[#This Row],[Amount]]-SIP[[#This Row],[Unit Capital]]</f>
        <v>970</v>
      </c>
      <c r="R11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11.125084647383186</v>
      </c>
      <c r="S1107" s="68">
        <f t="shared" ref="S1107:S1113" si="52">NAV_MKT</f>
        <v>14.224</v>
      </c>
      <c r="T11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7" s="74" cm="1">
        <f t="array" ref="U1107">IF(SIP[[#This Row],[B/S]]="S",ABS(SIP[[#This Row],[Unit]])*(INDEX(SIP[NAV at Cost (Average)],MATCH(CONCATENATE((SIP[[#This Row],[Frequency]]-1),SIP[[#This Row],[Investor ID]]),SIP[Unique Code],0),0)),0)</f>
        <v>0</v>
      </c>
      <c r="V1107" s="74">
        <f>IF(SIP[[#This Row],[BO TRANSFER]]="YES",SIP[[#This Row],[Unit]],)</f>
        <v>0</v>
      </c>
      <c r="W1107" s="74">
        <f>SUMIFS(SIP[[#Headers],[BO UNIT TRANSFER]]:SIP[[#This Row],[BO UNIT TRANSFER]],SIP[[#Headers],[Investor ID]]:SIP[[#This Row],[Investor ID]],SIP[[#This Row],[Investor ID]])</f>
        <v>0</v>
      </c>
    </row>
    <row r="1108" spans="1:23" ht="15" customHeight="1">
      <c r="A1108" s="101">
        <v>2025</v>
      </c>
      <c r="B1108" s="101">
        <v>4</v>
      </c>
      <c r="C1108" s="101">
        <v>15</v>
      </c>
      <c r="D1108" s="65">
        <f>DATE(SIP[[#This Row],[Year]],SIP[[#This Row],[Month]],SIP[[#This Row],[Day]])</f>
        <v>45762</v>
      </c>
      <c r="E1108" s="66" t="str" cm="1">
        <f t="array" ref="E1108">INDEX(INVESTORS_LIST[INVESTOR NAME],MATCH(SIP[[#This Row],[Investor ID]],INVESTORS_LIST[INVESTOR CODE],0),)</f>
        <v>MD. RAFIQUR RAHMAN</v>
      </c>
      <c r="F1108" s="46" t="s">
        <v>622</v>
      </c>
      <c r="G1108" s="46">
        <f>COUNTIF(SIP[[#Headers],[Investor ID]]:SIP[[#This Row],[Investor ID]],SIP[[#This Row],[Investor ID]])</f>
        <v>20</v>
      </c>
      <c r="H1108" s="46" t="str">
        <f>CONCATENATE(SIP[[#This Row],[Frequency]],SIP[[#This Row],[Investor ID]])</f>
        <v>20A00287</v>
      </c>
      <c r="I1108" s="46" t="str">
        <f>IF(SIP[[#This Row],[B/S]]="B","BUY",(IF(SIP[[#This Row],[B/S]]="S","SELL"," ")))</f>
        <v>BUY</v>
      </c>
      <c r="J1108" s="150" t="s">
        <v>1229</v>
      </c>
      <c r="K1108" s="152">
        <v>20000</v>
      </c>
      <c r="L1108" s="122"/>
      <c r="M1108" s="123">
        <f>SIP[[#This Row],[Amount]]/SIP[[#This Row],[Unit]]</f>
        <v>12.399256044637323</v>
      </c>
      <c r="N1108" s="71">
        <f>SIP[[#This Row],[Unit Capital]]/10</f>
        <v>1613</v>
      </c>
      <c r="O1108" s="71">
        <f>SUMIFS(SIP[[#Headers],[Unit]]:SIP[[#This Row],[Unit]],SIP[[#Headers],[Investor ID]]:SIP[[#This Row],[Investor ID]],SIP[[#This Row],[Investor ID]])</f>
        <v>35523</v>
      </c>
      <c r="P1108" s="153">
        <v>16130</v>
      </c>
      <c r="Q1108" s="74">
        <f>SIP[[#This Row],[Amount]]-SIP[[#This Row],[Unit Capital]]</f>
        <v>3870</v>
      </c>
      <c r="R11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11.2603102215466</v>
      </c>
      <c r="S1108" s="68">
        <f t="shared" si="52"/>
        <v>14.224</v>
      </c>
      <c r="T11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8" s="74" cm="1">
        <f t="array" ref="U1108">IF(SIP[[#This Row],[B/S]]="S",ABS(SIP[[#This Row],[Unit]])*(INDEX(SIP[NAV at Cost (Average)],MATCH(CONCATENATE((SIP[[#This Row],[Frequency]]-1),SIP[[#This Row],[Investor ID]]),SIP[Unique Code],0),0)),0)</f>
        <v>0</v>
      </c>
      <c r="V1108" s="74">
        <f>IF(SIP[[#This Row],[BO TRANSFER]]="YES",SIP[[#This Row],[Unit]],)</f>
        <v>0</v>
      </c>
      <c r="W1108" s="74">
        <f>SUMIFS(SIP[[#Headers],[BO UNIT TRANSFER]]:SIP[[#This Row],[BO UNIT TRANSFER]],SIP[[#Headers],[Investor ID]]:SIP[[#This Row],[Investor ID]],SIP[[#This Row],[Investor ID]])</f>
        <v>0</v>
      </c>
    </row>
    <row r="1109" spans="1:23" ht="15" customHeight="1">
      <c r="A1109" s="101">
        <v>2025</v>
      </c>
      <c r="B1109" s="101">
        <v>4</v>
      </c>
      <c r="C1109" s="101">
        <v>15</v>
      </c>
      <c r="D1109" s="65">
        <f>DATE(SIP[[#This Row],[Year]],SIP[[#This Row],[Month]],SIP[[#This Row],[Day]])</f>
        <v>45762</v>
      </c>
      <c r="E1109" s="66" t="str" cm="1">
        <f t="array" ref="E1109">INDEX(INVESTORS_LIST[INVESTOR NAME],MATCH(SIP[[#This Row],[Investor ID]],INVESTORS_LIST[INVESTOR CODE],0),)</f>
        <v>MAHFUZA ANIKA</v>
      </c>
      <c r="F1109" s="46" t="s">
        <v>1277</v>
      </c>
      <c r="G1109" s="46">
        <f>COUNTIF(SIP[[#Headers],[Investor ID]]:SIP[[#This Row],[Investor ID]],SIP[[#This Row],[Investor ID]])</f>
        <v>10</v>
      </c>
      <c r="H1109" s="46" t="str">
        <f>CONCATENATE(SIP[[#This Row],[Frequency]],SIP[[#This Row],[Investor ID]])</f>
        <v>10A00585</v>
      </c>
      <c r="I1109" s="46" t="str">
        <f>IF(SIP[[#This Row],[B/S]]="B","BUY",(IF(SIP[[#This Row],[B/S]]="S","SELL"," ")))</f>
        <v>BUY</v>
      </c>
      <c r="J1109" s="150" t="s">
        <v>1229</v>
      </c>
      <c r="K1109" s="152">
        <v>2000</v>
      </c>
      <c r="L1109" s="122"/>
      <c r="M1109" s="123">
        <f>SIP[[#This Row],[Amount]]/SIP[[#This Row],[Unit]]</f>
        <v>12.422360248447205</v>
      </c>
      <c r="N1109" s="71">
        <f>SIP[[#This Row],[Unit Capital]]/10</f>
        <v>161</v>
      </c>
      <c r="O1109" s="71">
        <f>SUMIFS(SIP[[#Headers],[Unit]]:SIP[[#This Row],[Unit]],SIP[[#Headers],[Investor ID]]:SIP[[#This Row],[Investor ID]],SIP[[#This Row],[Investor ID]])</f>
        <v>1516</v>
      </c>
      <c r="P1109" s="153">
        <v>1610</v>
      </c>
      <c r="Q1109" s="74">
        <f>SIP[[#This Row],[Amount]]-SIP[[#This Row],[Unit Capital]]</f>
        <v>390</v>
      </c>
      <c r="R11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11.873350923482851</v>
      </c>
      <c r="S1109" s="68">
        <f t="shared" si="52"/>
        <v>14.224</v>
      </c>
      <c r="T11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9" s="74" cm="1">
        <f t="array" ref="U1109">IF(SIP[[#This Row],[B/S]]="S",ABS(SIP[[#This Row],[Unit]])*(INDEX(SIP[NAV at Cost (Average)],MATCH(CONCATENATE((SIP[[#This Row],[Frequency]]-1),SIP[[#This Row],[Investor ID]]),SIP[Unique Code],0),0)),0)</f>
        <v>0</v>
      </c>
      <c r="V1109" s="74">
        <f>IF(SIP[[#This Row],[BO TRANSFER]]="YES",SIP[[#This Row],[Unit]],)</f>
        <v>0</v>
      </c>
      <c r="W1109" s="74">
        <f>SUMIFS(SIP[[#Headers],[BO UNIT TRANSFER]]:SIP[[#This Row],[BO UNIT TRANSFER]],SIP[[#Headers],[Investor ID]]:SIP[[#This Row],[Investor ID]],SIP[[#This Row],[Investor ID]])</f>
        <v>0</v>
      </c>
    </row>
    <row r="1110" spans="1:23" ht="15" customHeight="1">
      <c r="A1110" s="101">
        <v>2025</v>
      </c>
      <c r="B1110" s="101">
        <v>4</v>
      </c>
      <c r="C1110" s="101">
        <v>15</v>
      </c>
      <c r="D1110" s="65">
        <f>DATE(SIP[[#This Row],[Year]],SIP[[#This Row],[Month]],SIP[[#This Row],[Day]])</f>
        <v>45762</v>
      </c>
      <c r="E1110" s="66" t="str" cm="1">
        <f t="array" ref="E1110">INDEX(INVESTORS_LIST[INVESTOR NAME],MATCH(SIP[[#This Row],[Investor ID]],INVESTORS_LIST[INVESTOR CODE],0),)</f>
        <v>MAHMUD ALI ALAMGIR &amp; MOHAMMED ALI XAHANGIR</v>
      </c>
      <c r="F1110" s="46" t="s">
        <v>1130</v>
      </c>
      <c r="G1110" s="46">
        <f>COUNTIF(SIP[[#Headers],[Investor ID]]:SIP[[#This Row],[Investor ID]],SIP[[#This Row],[Investor ID]])</f>
        <v>17</v>
      </c>
      <c r="H1110" s="46" t="str">
        <f>CONCATENATE(SIP[[#This Row],[Frequency]],SIP[[#This Row],[Investor ID]])</f>
        <v>17A00540</v>
      </c>
      <c r="I1110" s="46" t="str">
        <f>IF(SIP[[#This Row],[B/S]]="B","BUY",(IF(SIP[[#This Row],[B/S]]="S","SELL"," ")))</f>
        <v>BUY</v>
      </c>
      <c r="J1110" s="150" t="s">
        <v>1229</v>
      </c>
      <c r="K1110" s="152">
        <v>40000</v>
      </c>
      <c r="L1110" s="122"/>
      <c r="M1110" s="123">
        <f>SIP[[#This Row],[Amount]]/SIP[[#This Row],[Unit]]</f>
        <v>12.399256044637323</v>
      </c>
      <c r="N1110" s="71">
        <f>SIP[[#This Row],[Unit Capital]]/10</f>
        <v>3226</v>
      </c>
      <c r="O1110" s="71">
        <f>SUMIFS(SIP[[#Headers],[Unit]]:SIP[[#This Row],[Unit]],SIP[[#Headers],[Investor ID]]:SIP[[#This Row],[Investor ID]],SIP[[#This Row],[Investor ID]])</f>
        <v>44080</v>
      </c>
      <c r="P1110" s="153">
        <v>32260</v>
      </c>
      <c r="Q1110" s="74">
        <f>SIP[[#This Row],[Amount]]-SIP[[#This Row],[Unit Capital]]</f>
        <v>7740</v>
      </c>
      <c r="R11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11.802327555341558</v>
      </c>
      <c r="S1110" s="68">
        <f t="shared" si="52"/>
        <v>14.224</v>
      </c>
      <c r="T11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0" s="74" cm="1">
        <f t="array" ref="U1110">IF(SIP[[#This Row],[B/S]]="S",ABS(SIP[[#This Row],[Unit]])*(INDEX(SIP[NAV at Cost (Average)],MATCH(CONCATENATE((SIP[[#This Row],[Frequency]]-1),SIP[[#This Row],[Investor ID]]),SIP[Unique Code],0),0)),0)</f>
        <v>0</v>
      </c>
      <c r="V1110" s="74">
        <f>IF(SIP[[#This Row],[BO TRANSFER]]="YES",SIP[[#This Row],[Unit]],)</f>
        <v>0</v>
      </c>
      <c r="W1110" s="74">
        <f>SUMIFS(SIP[[#Headers],[BO UNIT TRANSFER]]:SIP[[#This Row],[BO UNIT TRANSFER]],SIP[[#Headers],[Investor ID]]:SIP[[#This Row],[Investor ID]],SIP[[#This Row],[Investor ID]])</f>
        <v>0</v>
      </c>
    </row>
    <row r="1111" spans="1:23" ht="15" customHeight="1">
      <c r="A1111" s="101">
        <v>2025</v>
      </c>
      <c r="B1111" s="101">
        <v>4</v>
      </c>
      <c r="C1111" s="101">
        <v>15</v>
      </c>
      <c r="D1111" s="65">
        <f>DATE(SIP[[#This Row],[Year]],SIP[[#This Row],[Month]],SIP[[#This Row],[Day]])</f>
        <v>45762</v>
      </c>
      <c r="E1111" s="66" t="str" cm="1">
        <f t="array" ref="E1111">INDEX(INVESTORS_LIST[INVESTOR NAME],MATCH(SIP[[#This Row],[Investor ID]],INVESTORS_LIST[INVESTOR CODE],0),)</f>
        <v>MAHMUD ALI ALAMGIR &amp; MOHAMMED ALI XAHANGIR</v>
      </c>
      <c r="F1111" s="46" t="s">
        <v>1130</v>
      </c>
      <c r="G1111" s="46">
        <f>COUNTIF(SIP[[#Headers],[Investor ID]]:SIP[[#This Row],[Investor ID]],SIP[[#This Row],[Investor ID]])</f>
        <v>18</v>
      </c>
      <c r="H1111" s="46" t="str">
        <f>CONCATENATE(SIP[[#This Row],[Frequency]],SIP[[#This Row],[Investor ID]])</f>
        <v>18A00540</v>
      </c>
      <c r="I1111" s="46" t="str">
        <f>IF(SIP[[#This Row],[B/S]]="B","BUY",(IF(SIP[[#This Row],[B/S]]="S","SELL"," ")))</f>
        <v>BUY</v>
      </c>
      <c r="J1111" s="150" t="s">
        <v>1229</v>
      </c>
      <c r="K1111" s="152">
        <v>20000</v>
      </c>
      <c r="L1111" s="122"/>
      <c r="M1111" s="123">
        <f>SIP[[#This Row],[Amount]]/SIP[[#This Row],[Unit]]</f>
        <v>12.399256044637323</v>
      </c>
      <c r="N1111" s="71">
        <f>SIP[[#This Row],[Unit Capital]]/10</f>
        <v>1613</v>
      </c>
      <c r="O1111" s="71">
        <f>SUMIFS(SIP[[#Headers],[Unit]]:SIP[[#This Row],[Unit]],SIP[[#Headers],[Investor ID]]:SIP[[#This Row],[Investor ID]],SIP[[#This Row],[Investor ID]])</f>
        <v>45693</v>
      </c>
      <c r="P1111" s="153">
        <v>16130</v>
      </c>
      <c r="Q1111" s="74">
        <f>SIP[[#This Row],[Amount]]-SIP[[#This Row],[Unit Capital]]</f>
        <v>3870</v>
      </c>
      <c r="R11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11.823399615684149</v>
      </c>
      <c r="S1111" s="68">
        <f t="shared" si="52"/>
        <v>14.224</v>
      </c>
      <c r="T11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1" s="74" cm="1">
        <f t="array" ref="U1111">IF(SIP[[#This Row],[B/S]]="S",ABS(SIP[[#This Row],[Unit]])*(INDEX(SIP[NAV at Cost (Average)],MATCH(CONCATENATE((SIP[[#This Row],[Frequency]]-1),SIP[[#This Row],[Investor ID]]),SIP[Unique Code],0),0)),0)</f>
        <v>0</v>
      </c>
      <c r="V1111" s="74">
        <f>IF(SIP[[#This Row],[BO TRANSFER]]="YES",SIP[[#This Row],[Unit]],)</f>
        <v>0</v>
      </c>
      <c r="W1111" s="74">
        <f>SUMIFS(SIP[[#Headers],[BO UNIT TRANSFER]]:SIP[[#This Row],[BO UNIT TRANSFER]],SIP[[#Headers],[Investor ID]]:SIP[[#This Row],[Investor ID]],SIP[[#This Row],[Investor ID]])</f>
        <v>0</v>
      </c>
    </row>
    <row r="1112" spans="1:23" ht="15" customHeight="1">
      <c r="A1112" s="101">
        <v>2025</v>
      </c>
      <c r="B1112" s="101">
        <v>4</v>
      </c>
      <c r="C1112" s="101">
        <v>15</v>
      </c>
      <c r="D1112" s="65">
        <f>DATE(SIP[[#This Row],[Year]],SIP[[#This Row],[Month]],SIP[[#This Row],[Day]])</f>
        <v>45762</v>
      </c>
      <c r="E1112" s="66" t="str" cm="1">
        <f t="array" ref="E1112">INDEX(INVESTORS_LIST[INVESTOR NAME],MATCH(SIP[[#This Row],[Investor ID]],INVESTORS_LIST[INVESTOR CODE],0),)</f>
        <v>RUKAIYA FAHMIDA</v>
      </c>
      <c r="F1112" s="46" t="s">
        <v>1190</v>
      </c>
      <c r="G1112" s="46">
        <f>COUNTIF(SIP[[#Headers],[Investor ID]]:SIP[[#This Row],[Investor ID]],SIP[[#This Row],[Investor ID]])</f>
        <v>2</v>
      </c>
      <c r="H1112" s="46" t="str">
        <f>CONCATENATE(SIP[[#This Row],[Frequency]],SIP[[#This Row],[Investor ID]])</f>
        <v>2A00571</v>
      </c>
      <c r="I1112" s="46" t="str">
        <f>IF(SIP[[#This Row],[B/S]]="B","BUY",(IF(SIP[[#This Row],[B/S]]="S","SELL"," ")))</f>
        <v>BUY</v>
      </c>
      <c r="J1112" s="150" t="s">
        <v>1229</v>
      </c>
      <c r="K1112" s="152">
        <v>2000</v>
      </c>
      <c r="L1112" s="122"/>
      <c r="M1112" s="123">
        <f>SIP[[#This Row],[Amount]]/SIP[[#This Row],[Unit]]</f>
        <v>12.422360248447205</v>
      </c>
      <c r="N1112" s="71">
        <f>SIP[[#This Row],[Unit Capital]]/10</f>
        <v>161</v>
      </c>
      <c r="O1112" s="71">
        <f>SUMIFS(SIP[[#Headers],[Unit]]:SIP[[#This Row],[Unit]],SIP[[#Headers],[Investor ID]]:SIP[[#This Row],[Investor ID]],SIP[[#This Row],[Investor ID]])</f>
        <v>319</v>
      </c>
      <c r="P1112" s="153">
        <v>1610</v>
      </c>
      <c r="Q1112" s="74">
        <f>SIP[[#This Row],[Amount]]-SIP[[#This Row],[Unit Capital]]</f>
        <v>390</v>
      </c>
      <c r="R11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12.539184952978056</v>
      </c>
      <c r="S1112" s="68">
        <f t="shared" si="52"/>
        <v>14.224</v>
      </c>
      <c r="T11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2" s="74" cm="1">
        <f t="array" ref="U1112">IF(SIP[[#This Row],[B/S]]="S",ABS(SIP[[#This Row],[Unit]])*(INDEX(SIP[NAV at Cost (Average)],MATCH(CONCATENATE((SIP[[#This Row],[Frequency]]-1),SIP[[#This Row],[Investor ID]]),SIP[Unique Code],0),0)),0)</f>
        <v>0</v>
      </c>
      <c r="V1112" s="74">
        <f>IF(SIP[[#This Row],[BO TRANSFER]]="YES",SIP[[#This Row],[Unit]],)</f>
        <v>0</v>
      </c>
      <c r="W1112" s="74">
        <f>SUMIFS(SIP[[#Headers],[BO UNIT TRANSFER]]:SIP[[#This Row],[BO UNIT TRANSFER]],SIP[[#Headers],[Investor ID]]:SIP[[#This Row],[Investor ID]],SIP[[#This Row],[Investor ID]])</f>
        <v>0</v>
      </c>
    </row>
    <row r="1113" spans="1:23" ht="15" customHeight="1">
      <c r="A1113" s="101">
        <v>2025</v>
      </c>
      <c r="B1113" s="101">
        <v>4</v>
      </c>
      <c r="C1113" s="101">
        <v>15</v>
      </c>
      <c r="D1113" s="65">
        <f>DATE(SIP[[#This Row],[Year]],SIP[[#This Row],[Month]],SIP[[#This Row],[Day]])</f>
        <v>45762</v>
      </c>
      <c r="E1113" s="66" t="str" cm="1">
        <f t="array" ref="E1113">INDEX(INVESTORS_LIST[INVESTOR NAME],MATCH(SIP[[#This Row],[Investor ID]],INVESTORS_LIST[INVESTOR CODE],0),)</f>
        <v>ASRAAR HOSSAIN</v>
      </c>
      <c r="F1113" s="46" t="s">
        <v>786</v>
      </c>
      <c r="G1113" s="46">
        <f>COUNTIF(SIP[[#Headers],[Investor ID]]:SIP[[#This Row],[Investor ID]],SIP[[#This Row],[Investor ID]])</f>
        <v>7</v>
      </c>
      <c r="H1113" s="46" t="str">
        <f>CONCATENATE(SIP[[#This Row],[Frequency]],SIP[[#This Row],[Investor ID]])</f>
        <v>7A00369</v>
      </c>
      <c r="I1113" s="46" t="str">
        <f>IF(SIP[[#This Row],[B/S]]="B","BUY",(IF(SIP[[#This Row],[B/S]]="S","SELL"," ")))</f>
        <v>BUY</v>
      </c>
      <c r="J1113" s="150" t="s">
        <v>1229</v>
      </c>
      <c r="K1113" s="152">
        <v>15000</v>
      </c>
      <c r="L1113" s="122"/>
      <c r="M1113" s="123">
        <f>SIP[[#This Row],[Amount]]/SIP[[#This Row],[Unit]]</f>
        <v>12.396694214876034</v>
      </c>
      <c r="N1113" s="71">
        <f>SIP[[#This Row],[Unit Capital]]/10</f>
        <v>1210</v>
      </c>
      <c r="O1113" s="71">
        <f>SUMIFS(SIP[[#Headers],[Unit]]:SIP[[#This Row],[Unit]],SIP[[#Headers],[Investor ID]]:SIP[[#This Row],[Investor ID]],SIP[[#This Row],[Investor ID]])</f>
        <v>8736</v>
      </c>
      <c r="P1113" s="153">
        <v>12100</v>
      </c>
      <c r="Q1113" s="74">
        <f>SIP[[#This Row],[Amount]]-SIP[[#This Row],[Unit Capital]]</f>
        <v>2900</v>
      </c>
      <c r="R11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12.01923076923077</v>
      </c>
      <c r="S1113" s="68">
        <f t="shared" si="52"/>
        <v>14.224</v>
      </c>
      <c r="T11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3" s="74" cm="1">
        <f t="array" ref="U1113">IF(SIP[[#This Row],[B/S]]="S",ABS(SIP[[#This Row],[Unit]])*(INDEX(SIP[NAV at Cost (Average)],MATCH(CONCATENATE((SIP[[#This Row],[Frequency]]-1),SIP[[#This Row],[Investor ID]]),SIP[Unique Code],0),0)),0)</f>
        <v>0</v>
      </c>
      <c r="V1113" s="74">
        <f>IF(SIP[[#This Row],[BO TRANSFER]]="YES",SIP[[#This Row],[Unit]],)</f>
        <v>0</v>
      </c>
      <c r="W1113" s="74">
        <f>SUMIFS(SIP[[#Headers],[BO UNIT TRANSFER]]:SIP[[#This Row],[BO UNIT TRANSFER]],SIP[[#Headers],[Investor ID]]:SIP[[#This Row],[Investor ID]],SIP[[#This Row],[Investor ID]])</f>
        <v>0</v>
      </c>
    </row>
    <row r="1114" spans="1:23" ht="15" customHeight="1">
      <c r="A1114" s="101">
        <v>2025</v>
      </c>
      <c r="B1114" s="101">
        <v>4</v>
      </c>
      <c r="C1114" s="101">
        <v>24</v>
      </c>
      <c r="D1114" s="65">
        <f>DATE(SIP[[#This Row],[Year]],SIP[[#This Row],[Month]],SIP[[#This Row],[Day]])</f>
        <v>45771</v>
      </c>
      <c r="E1114" s="66" t="str" cm="1">
        <f t="array" ref="E1114">INDEX(INVESTORS_LIST[INVESTOR NAME],MATCH(SIP[[#This Row],[Investor ID]],INVESTORS_LIST[INVESTOR CODE],0),)</f>
        <v>S.M. SAIFUL ISLAM</v>
      </c>
      <c r="F1114" s="166" t="s">
        <v>1002</v>
      </c>
      <c r="G1114" s="46">
        <f>COUNTIF(SIP[[#Headers],[Investor ID]]:SIP[[#This Row],[Investor ID]],SIP[[#This Row],[Investor ID]])</f>
        <v>25</v>
      </c>
      <c r="H1114" s="46" t="str">
        <f>CONCATENATE(SIP[[#This Row],[Frequency]],SIP[[#This Row],[Investor ID]])</f>
        <v>25A00478</v>
      </c>
      <c r="I1114" s="46" t="str">
        <f>IF(SIP[[#This Row],[B/S]]="B","BUY",(IF(SIP[[#This Row],[B/S]]="S","SELL"," ")))</f>
        <v>SELL</v>
      </c>
      <c r="J1114" s="150" t="s">
        <v>1231</v>
      </c>
      <c r="K1114" s="287">
        <v>-10000</v>
      </c>
      <c r="L1114" s="122"/>
      <c r="M1114" s="123">
        <f>SIP[[#This Row],[Amount]]/SIP[[#This Row],[Unit]]</f>
        <v>12.391573729863692</v>
      </c>
      <c r="N1114" s="71">
        <f>SIP[[#This Row],[Unit Capital]]/10</f>
        <v>-807</v>
      </c>
      <c r="O1114" s="71">
        <f>SUMIFS(SIP[[#Headers],[Unit]]:SIP[[#This Row],[Unit]],SIP[[#Headers],[Investor ID]]:SIP[[#This Row],[Investor ID]],SIP[[#This Row],[Investor ID]])</f>
        <v>0</v>
      </c>
      <c r="P1114" s="153">
        <v>-8070</v>
      </c>
      <c r="Q1114" s="74">
        <f>SIP[[#This Row],[Amount]]-SIP[[#This Row],[Unit Capital]]</f>
        <v>-1930</v>
      </c>
      <c r="R11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114" s="68">
        <f t="shared" ref="S1114:S1145" si="53">NAV_MKT</f>
        <v>14.224</v>
      </c>
      <c r="T11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4" s="74" cm="1">
        <f t="array" ref="U1114">IF(SIP[[#This Row],[B/S]]="S",ABS(SIP[[#This Row],[Unit]])*(INDEX(SIP[NAV at Cost (Average)],MATCH(CONCATENATE((SIP[[#This Row],[Frequency]]-1),SIP[[#This Row],[Investor ID]]),SIP[Unique Code],0),0)),0)</f>
        <v>10000</v>
      </c>
      <c r="V1114" s="74">
        <f>IF(SIP[[#This Row],[BO TRANSFER]]="YES",SIP[[#This Row],[Unit]],)</f>
        <v>0</v>
      </c>
      <c r="W1114" s="74">
        <f>SUMIFS(SIP[[#Headers],[BO UNIT TRANSFER]]:SIP[[#This Row],[BO UNIT TRANSFER]],SIP[[#Headers],[Investor ID]]:SIP[[#This Row],[Investor ID]],SIP[[#This Row],[Investor ID]])</f>
        <v>0</v>
      </c>
    </row>
    <row r="1115" spans="1:23" ht="15" customHeight="1">
      <c r="A1115" s="101">
        <v>2025</v>
      </c>
      <c r="B1115" s="101">
        <v>4</v>
      </c>
      <c r="C1115" s="101">
        <v>26</v>
      </c>
      <c r="D1115" s="65">
        <f>DATE(SIP[[#This Row],[Year]],SIP[[#This Row],[Month]],SIP[[#This Row],[Day]])</f>
        <v>45773</v>
      </c>
      <c r="E1115" s="66" t="str" cm="1">
        <f t="array" ref="E1115">INDEX(INVESTORS_LIST[INVESTOR NAME],MATCH(SIP[[#This Row],[Investor ID]],INVESTORS_LIST[INVESTOR CODE],0),)</f>
        <v>KHAN MUHAMMAD FAISOL</v>
      </c>
      <c r="F1115" s="46" t="s">
        <v>930</v>
      </c>
      <c r="G1115" s="46">
        <f>COUNTIF(SIP[[#Headers],[Investor ID]]:SIP[[#This Row],[Investor ID]],SIP[[#This Row],[Investor ID]])</f>
        <v>24</v>
      </c>
      <c r="H1115" s="46" t="str">
        <f>CONCATENATE(SIP[[#This Row],[Frequency]],SIP[[#This Row],[Investor ID]])</f>
        <v>24A00442</v>
      </c>
      <c r="I1115" s="46" t="str">
        <f>IF(SIP[[#This Row],[B/S]]="B","BUY",(IF(SIP[[#This Row],[B/S]]="S","SELL"," ")))</f>
        <v>BUY</v>
      </c>
      <c r="J1115" s="150" t="s">
        <v>1229</v>
      </c>
      <c r="K1115" s="152">
        <v>1000</v>
      </c>
      <c r="L1115" s="69"/>
      <c r="M1115" s="123">
        <f>SIP[[#This Row],[Amount]]/SIP[[#This Row],[Unit]]</f>
        <v>12.345679012345679</v>
      </c>
      <c r="N1115" s="71">
        <f>SIP[[#This Row],[Unit Capital]]/10</f>
        <v>81</v>
      </c>
      <c r="O1115" s="71">
        <f>SUMIFS(SIP[[#Headers],[Unit]]:SIP[[#This Row],[Unit]],SIP[[#Headers],[Investor ID]]:SIP[[#This Row],[Investor ID]],SIP[[#This Row],[Investor ID]])</f>
        <v>2160</v>
      </c>
      <c r="P1115" s="153">
        <v>810</v>
      </c>
      <c r="Q1115" s="74">
        <f>SIP[[#This Row],[Amount]]-SIP[[#This Row],[Unit Capital]]</f>
        <v>190</v>
      </c>
      <c r="R11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11.111111111111112</v>
      </c>
      <c r="S1115" s="68">
        <f t="shared" si="53"/>
        <v>14.224</v>
      </c>
      <c r="T11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5" s="74" cm="1">
        <f t="array" ref="U1115">IF(SIP[[#This Row],[B/S]]="S",ABS(SIP[[#This Row],[Unit]])*(INDEX(SIP[NAV at Cost (Average)],MATCH(CONCATENATE((SIP[[#This Row],[Frequency]]-1),SIP[[#This Row],[Investor ID]]),SIP[Unique Code],0),0)),0)</f>
        <v>0</v>
      </c>
      <c r="V1115" s="74">
        <f>IF(SIP[[#This Row],[BO TRANSFER]]="YES",SIP[[#This Row],[Unit]],)</f>
        <v>0</v>
      </c>
      <c r="W1115" s="74">
        <f>SUMIFS(SIP[[#Headers],[BO UNIT TRANSFER]]:SIP[[#This Row],[BO UNIT TRANSFER]],SIP[[#Headers],[Investor ID]]:SIP[[#This Row],[Investor ID]],SIP[[#This Row],[Investor ID]])</f>
        <v>0</v>
      </c>
    </row>
    <row r="1116" spans="1:23" ht="15" customHeight="1">
      <c r="A1116" s="101">
        <v>2025</v>
      </c>
      <c r="B1116" s="101">
        <v>4</v>
      </c>
      <c r="C1116" s="101">
        <v>26</v>
      </c>
      <c r="D1116" s="65">
        <f>DATE(SIP[[#This Row],[Year]],SIP[[#This Row],[Month]],SIP[[#This Row],[Day]])</f>
        <v>45773</v>
      </c>
      <c r="E1116" s="66" t="str" cm="1">
        <f t="array" ref="E1116">INDEX(INVESTORS_LIST[INVESTOR NAME],MATCH(SIP[[#This Row],[Investor ID]],INVESTORS_LIST[INVESTOR CODE],0),)</f>
        <v>MD. ARIFUL ISLAM</v>
      </c>
      <c r="F1116" s="46" t="s">
        <v>222</v>
      </c>
      <c r="G1116" s="46">
        <f>COUNTIF(SIP[[#Headers],[Investor ID]]:SIP[[#This Row],[Investor ID]],SIP[[#This Row],[Investor ID]])</f>
        <v>24</v>
      </c>
      <c r="H1116" s="46" t="str">
        <f>CONCATENATE(SIP[[#This Row],[Frequency]],SIP[[#This Row],[Investor ID]])</f>
        <v>24A00087</v>
      </c>
      <c r="I1116" s="46" t="str">
        <f>IF(SIP[[#This Row],[B/S]]="B","BUY",(IF(SIP[[#This Row],[B/S]]="S","SELL"," ")))</f>
        <v>BUY</v>
      </c>
      <c r="J1116" s="150" t="s">
        <v>1229</v>
      </c>
      <c r="K1116" s="152">
        <v>10000</v>
      </c>
      <c r="L1116" s="69"/>
      <c r="M1116" s="123">
        <f>SIP[[#This Row],[Amount]]/SIP[[#This Row],[Unit]]</f>
        <v>12.330456226880395</v>
      </c>
      <c r="N1116" s="71">
        <f>SIP[[#This Row],[Unit Capital]]/10</f>
        <v>811</v>
      </c>
      <c r="O1116" s="71">
        <f>SUMIFS(SIP[[#Headers],[Unit]]:SIP[[#This Row],[Unit]],SIP[[#Headers],[Investor ID]]:SIP[[#This Row],[Investor ID]],SIP[[#This Row],[Investor ID]])</f>
        <v>21603</v>
      </c>
      <c r="P1116" s="153">
        <v>8110</v>
      </c>
      <c r="Q1116" s="74">
        <f>SIP[[#This Row],[Amount]]-SIP[[#This Row],[Unit Capital]]</f>
        <v>1890</v>
      </c>
      <c r="R11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11.109568115539508</v>
      </c>
      <c r="S1116" s="68">
        <f t="shared" si="53"/>
        <v>14.224</v>
      </c>
      <c r="T11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6" s="74" cm="1">
        <f t="array" ref="U1116">IF(SIP[[#This Row],[B/S]]="S",ABS(SIP[[#This Row],[Unit]])*(INDEX(SIP[NAV at Cost (Average)],MATCH(CONCATENATE((SIP[[#This Row],[Frequency]]-1),SIP[[#This Row],[Investor ID]]),SIP[Unique Code],0),0)),0)</f>
        <v>0</v>
      </c>
      <c r="V1116" s="74">
        <f>IF(SIP[[#This Row],[BO TRANSFER]]="YES",SIP[[#This Row],[Unit]],)</f>
        <v>0</v>
      </c>
      <c r="W1116" s="74">
        <f>SUMIFS(SIP[[#Headers],[BO UNIT TRANSFER]]:SIP[[#This Row],[BO UNIT TRANSFER]],SIP[[#Headers],[Investor ID]]:SIP[[#This Row],[Investor ID]],SIP[[#This Row],[Investor ID]])</f>
        <v>0</v>
      </c>
    </row>
    <row r="1117" spans="1:23" ht="15" customHeight="1">
      <c r="A1117" s="101">
        <v>2025</v>
      </c>
      <c r="B1117" s="101">
        <v>4</v>
      </c>
      <c r="C1117" s="101">
        <v>27</v>
      </c>
      <c r="D1117" s="65">
        <f>DATE(SIP[[#This Row],[Year]],SIP[[#This Row],[Month]],SIP[[#This Row],[Day]])</f>
        <v>45774</v>
      </c>
      <c r="E1117" s="66" t="str" cm="1">
        <f t="array" ref="E1117">INDEX(INVESTORS_LIST[INVESTOR NAME],MATCH(SIP[[#This Row],[Investor ID]],INVESTORS_LIST[INVESTOR CODE],0),)</f>
        <v>SYED ADNAN HUDA</v>
      </c>
      <c r="F1117" s="46" t="s">
        <v>236</v>
      </c>
      <c r="G1117" s="46">
        <f>COUNTIF(SIP[[#Headers],[Investor ID]]:SIP[[#This Row],[Investor ID]],SIP[[#This Row],[Investor ID]])</f>
        <v>10</v>
      </c>
      <c r="H1117" s="46" t="str">
        <f>CONCATENATE(SIP[[#This Row],[Frequency]],SIP[[#This Row],[Investor ID]])</f>
        <v>10A00094</v>
      </c>
      <c r="I1117" s="46" t="str">
        <f>IF(SIP[[#This Row],[B/S]]="B","BUY",(IF(SIP[[#This Row],[B/S]]="S","SELL"," ")))</f>
        <v>BUY</v>
      </c>
      <c r="J1117" s="150" t="s">
        <v>1229</v>
      </c>
      <c r="K1117" s="152">
        <v>50000</v>
      </c>
      <c r="L1117" s="122"/>
      <c r="M1117" s="123">
        <f>SIP[[#This Row],[Amount]]/SIP[[#This Row],[Unit]]</f>
        <v>12.333497779970399</v>
      </c>
      <c r="N1117" s="71">
        <f>SIP[[#This Row],[Unit Capital]]/10</f>
        <v>4054</v>
      </c>
      <c r="O1117" s="71">
        <f>SUMIFS(SIP[[#Headers],[Unit]]:SIP[[#This Row],[Unit]],SIP[[#Headers],[Investor ID]]:SIP[[#This Row],[Investor ID]],SIP[[#This Row],[Investor ID]])</f>
        <v>42263</v>
      </c>
      <c r="P1117" s="153">
        <v>40540</v>
      </c>
      <c r="Q1117" s="74">
        <f>SIP[[#This Row],[Amount]]-SIP[[#This Row],[Unit Capital]]</f>
        <v>9460</v>
      </c>
      <c r="R11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11.830679317606416</v>
      </c>
      <c r="S1117" s="68">
        <f t="shared" si="53"/>
        <v>14.224</v>
      </c>
      <c r="T11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7" s="74" cm="1">
        <f t="array" ref="U1117">IF(SIP[[#This Row],[B/S]]="S",ABS(SIP[[#This Row],[Unit]])*(INDEX(SIP[NAV at Cost (Average)],MATCH(CONCATENATE((SIP[[#This Row],[Frequency]]-1),SIP[[#This Row],[Investor ID]]),SIP[Unique Code],0),0)),0)</f>
        <v>0</v>
      </c>
      <c r="V1117" s="74">
        <f>IF(SIP[[#This Row],[BO TRANSFER]]="YES",SIP[[#This Row],[Unit]],)</f>
        <v>0</v>
      </c>
      <c r="W1117" s="74">
        <f>SUMIFS(SIP[[#Headers],[BO UNIT TRANSFER]]:SIP[[#This Row],[BO UNIT TRANSFER]],SIP[[#Headers],[Investor ID]]:SIP[[#This Row],[Investor ID]],SIP[[#This Row],[Investor ID]])</f>
        <v>0</v>
      </c>
    </row>
    <row r="1118" spans="1:23" ht="15" customHeight="1">
      <c r="A1118" s="101">
        <v>2025</v>
      </c>
      <c r="B1118" s="101">
        <v>4</v>
      </c>
      <c r="C1118" s="101">
        <v>27</v>
      </c>
      <c r="D1118" s="65">
        <f>DATE(SIP[[#This Row],[Year]],SIP[[#This Row],[Month]],SIP[[#This Row],[Day]])</f>
        <v>45774</v>
      </c>
      <c r="E1118" s="66" t="str" cm="1">
        <f t="array" ref="E1118">INDEX(INVESTORS_LIST[INVESTOR NAME],MATCH(SIP[[#This Row],[Investor ID]],INVESTORS_LIST[INVESTOR CODE],0),)</f>
        <v>MD MIZANUR RAHMAN</v>
      </c>
      <c r="F1118" s="46" t="s">
        <v>1304</v>
      </c>
      <c r="G1118" s="46">
        <f>COUNTIF(SIP[[#Headers],[Investor ID]]:SIP[[#This Row],[Investor ID]],SIP[[#This Row],[Investor ID]])</f>
        <v>6</v>
      </c>
      <c r="H1118" s="46" t="str">
        <f>CONCATENATE(SIP[[#This Row],[Frequency]],SIP[[#This Row],[Investor ID]])</f>
        <v>6A00599</v>
      </c>
      <c r="I1118" s="46" t="str">
        <f>IF(SIP[[#This Row],[B/S]]="B","BUY",(IF(SIP[[#This Row],[B/S]]="S","SELL"," ")))</f>
        <v>BUY</v>
      </c>
      <c r="J1118" s="150" t="s">
        <v>1229</v>
      </c>
      <c r="K1118" s="152">
        <v>5000</v>
      </c>
      <c r="L1118" s="122"/>
      <c r="M1118" s="123">
        <f>SIP[[#This Row],[Amount]]/SIP[[#This Row],[Unit]]</f>
        <v>12.345679012345679</v>
      </c>
      <c r="N1118" s="71">
        <f>SIP[[#This Row],[Unit Capital]]/10</f>
        <v>405</v>
      </c>
      <c r="O1118" s="71">
        <f>SUMIFS(SIP[[#Headers],[Unit]]:SIP[[#This Row],[Unit]],SIP[[#Headers],[Investor ID]]:SIP[[#This Row],[Investor ID]],SIP[[#This Row],[Investor ID]])</f>
        <v>2041</v>
      </c>
      <c r="P1118" s="153">
        <v>4050</v>
      </c>
      <c r="Q1118" s="74">
        <f>SIP[[#This Row],[Amount]]-SIP[[#This Row],[Unit Capital]]</f>
        <v>950</v>
      </c>
      <c r="R11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12.324229072765988</v>
      </c>
      <c r="S1118" s="68">
        <f t="shared" si="53"/>
        <v>14.224</v>
      </c>
      <c r="T11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8" s="74" cm="1">
        <f t="array" ref="U1118">IF(SIP[[#This Row],[B/S]]="S",ABS(SIP[[#This Row],[Unit]])*(INDEX(SIP[NAV at Cost (Average)],MATCH(CONCATENATE((SIP[[#This Row],[Frequency]]-1),SIP[[#This Row],[Investor ID]]),SIP[Unique Code],0),0)),0)</f>
        <v>0</v>
      </c>
      <c r="V1118" s="74">
        <f>IF(SIP[[#This Row],[BO TRANSFER]]="YES",SIP[[#This Row],[Unit]],)</f>
        <v>0</v>
      </c>
      <c r="W1118" s="74">
        <f>SUMIFS(SIP[[#Headers],[BO UNIT TRANSFER]]:SIP[[#This Row],[BO UNIT TRANSFER]],SIP[[#Headers],[Investor ID]]:SIP[[#This Row],[Investor ID]],SIP[[#This Row],[Investor ID]])</f>
        <v>0</v>
      </c>
    </row>
    <row r="1119" spans="1:23" ht="15" customHeight="1">
      <c r="A1119" s="101">
        <v>2025</v>
      </c>
      <c r="B1119" s="101">
        <v>4</v>
      </c>
      <c r="C1119" s="101">
        <v>27</v>
      </c>
      <c r="D1119" s="65">
        <f>DATE(SIP[[#This Row],[Year]],SIP[[#This Row],[Month]],SIP[[#This Row],[Day]])</f>
        <v>45774</v>
      </c>
      <c r="E1119" s="66" t="str" cm="1">
        <f t="array" ref="E1119">INDEX(INVESTORS_LIST[INVESTOR NAME],MATCH(SIP[[#This Row],[Investor ID]],INVESTORS_LIST[INVESTOR CODE],0),)</f>
        <v>MAYA RANI SAHA</v>
      </c>
      <c r="F1119" s="46" t="s">
        <v>224</v>
      </c>
      <c r="G1119" s="46">
        <f>COUNTIF(SIP[[#Headers],[Investor ID]]:SIP[[#This Row],[Investor ID]],SIP[[#This Row],[Investor ID]])</f>
        <v>45</v>
      </c>
      <c r="H1119" s="46" t="str">
        <f>CONCATENATE(SIP[[#This Row],[Frequency]],SIP[[#This Row],[Investor ID]])</f>
        <v>45A00088</v>
      </c>
      <c r="I1119" s="46" t="str">
        <f>IF(SIP[[#This Row],[B/S]]="B","BUY",(IF(SIP[[#This Row],[B/S]]="S","SELL"," ")))</f>
        <v>BUY</v>
      </c>
      <c r="J1119" s="150" t="s">
        <v>1229</v>
      </c>
      <c r="K1119" s="152">
        <v>6000</v>
      </c>
      <c r="L1119" s="122"/>
      <c r="M1119" s="123">
        <f>SIP[[#This Row],[Amount]]/SIP[[#This Row],[Unit]]</f>
        <v>12.345679012345679</v>
      </c>
      <c r="N1119" s="71">
        <f>SIP[[#This Row],[Unit Capital]]/10</f>
        <v>486</v>
      </c>
      <c r="O1119" s="71">
        <f>SUMIFS(SIP[[#Headers],[Unit]]:SIP[[#This Row],[Unit]],SIP[[#Headers],[Investor ID]]:SIP[[#This Row],[Investor ID]],SIP[[#This Row],[Investor ID]])</f>
        <v>57151</v>
      </c>
      <c r="P1119" s="153">
        <v>4860</v>
      </c>
      <c r="Q1119" s="74">
        <f>SIP[[#This Row],[Amount]]-SIP[[#This Row],[Unit Capital]]</f>
        <v>1140</v>
      </c>
      <c r="R11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11.408374306661301</v>
      </c>
      <c r="S1119" s="68">
        <f t="shared" si="53"/>
        <v>14.224</v>
      </c>
      <c r="T11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9" s="74" cm="1">
        <f t="array" ref="U1119">IF(SIP[[#This Row],[B/S]]="S",ABS(SIP[[#This Row],[Unit]])*(INDEX(SIP[NAV at Cost (Average)],MATCH(CONCATENATE((SIP[[#This Row],[Frequency]]-1),SIP[[#This Row],[Investor ID]]),SIP[Unique Code],0),0)),0)</f>
        <v>0</v>
      </c>
      <c r="V1119" s="74">
        <f>IF(SIP[[#This Row],[BO TRANSFER]]="YES",SIP[[#This Row],[Unit]],)</f>
        <v>0</v>
      </c>
      <c r="W1119" s="74">
        <f>SUMIFS(SIP[[#Headers],[BO UNIT TRANSFER]]:SIP[[#This Row],[BO UNIT TRANSFER]],SIP[[#Headers],[Investor ID]]:SIP[[#This Row],[Investor ID]],SIP[[#This Row],[Investor ID]])</f>
        <v>0</v>
      </c>
    </row>
    <row r="1120" spans="1:23" ht="15" customHeight="1">
      <c r="A1120" s="101">
        <v>2025</v>
      </c>
      <c r="B1120" s="101">
        <v>4</v>
      </c>
      <c r="C1120" s="101">
        <v>27</v>
      </c>
      <c r="D1120" s="65">
        <f>DATE(SIP[[#This Row],[Year]],SIP[[#This Row],[Month]],SIP[[#This Row],[Day]])</f>
        <v>45774</v>
      </c>
      <c r="E1120" s="66" t="str" cm="1">
        <f t="array" ref="E1120">INDEX(INVESTORS_LIST[INVESTOR NAME],MATCH(SIP[[#This Row],[Investor ID]],INVESTORS_LIST[INVESTOR CODE],0),)</f>
        <v>SWADESH RANJAN SAHA</v>
      </c>
      <c r="F1120" s="46" t="s">
        <v>234</v>
      </c>
      <c r="G1120" s="46">
        <f>COUNTIF(SIP[[#Headers],[Investor ID]]:SIP[[#This Row],[Investor ID]],SIP[[#This Row],[Investor ID]])</f>
        <v>5</v>
      </c>
      <c r="H1120" s="46" t="str">
        <f>CONCATENATE(SIP[[#This Row],[Frequency]],SIP[[#This Row],[Investor ID]])</f>
        <v>5A00093</v>
      </c>
      <c r="I1120" s="46" t="str">
        <f>IF(SIP[[#This Row],[B/S]]="B","BUY",(IF(SIP[[#This Row],[B/S]]="S","SELL"," ")))</f>
        <v>BUY</v>
      </c>
      <c r="J1120" s="150" t="s">
        <v>1229</v>
      </c>
      <c r="K1120" s="152">
        <v>50000</v>
      </c>
      <c r="L1120" s="122"/>
      <c r="M1120" s="123">
        <f>SIP[[#This Row],[Amount]]/SIP[[#This Row],[Unit]]</f>
        <v>12.333497779970399</v>
      </c>
      <c r="N1120" s="71">
        <f>SIP[[#This Row],[Unit Capital]]/10</f>
        <v>4054</v>
      </c>
      <c r="O1120" s="71">
        <f>SUMIFS(SIP[[#Headers],[Unit]]:SIP[[#This Row],[Unit]],SIP[[#Headers],[Investor ID]]:SIP[[#This Row],[Investor ID]],SIP[[#This Row],[Investor ID]])</f>
        <v>20443</v>
      </c>
      <c r="P1120" s="153">
        <v>40540</v>
      </c>
      <c r="Q1120" s="74">
        <f>SIP[[#This Row],[Amount]]-SIP[[#This Row],[Unit Capital]]</f>
        <v>9460</v>
      </c>
      <c r="R11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12.229124883823312</v>
      </c>
      <c r="S1120" s="68">
        <f t="shared" si="53"/>
        <v>14.224</v>
      </c>
      <c r="T11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0" s="74" cm="1">
        <f t="array" ref="U1120">IF(SIP[[#This Row],[B/S]]="S",ABS(SIP[[#This Row],[Unit]])*(INDEX(SIP[NAV at Cost (Average)],MATCH(CONCATENATE((SIP[[#This Row],[Frequency]]-1),SIP[[#This Row],[Investor ID]]),SIP[Unique Code],0),0)),0)</f>
        <v>0</v>
      </c>
      <c r="V1120" s="74">
        <f>IF(SIP[[#This Row],[BO TRANSFER]]="YES",SIP[[#This Row],[Unit]],)</f>
        <v>0</v>
      </c>
      <c r="W1120" s="74">
        <f>SUMIFS(SIP[[#Headers],[BO UNIT TRANSFER]]:SIP[[#This Row],[BO UNIT TRANSFER]],SIP[[#Headers],[Investor ID]]:SIP[[#This Row],[Investor ID]],SIP[[#This Row],[Investor ID]])</f>
        <v>0</v>
      </c>
    </row>
    <row r="1121" spans="1:23" ht="15" customHeight="1">
      <c r="A1121" s="101">
        <v>2025</v>
      </c>
      <c r="B1121" s="101">
        <v>4</v>
      </c>
      <c r="C1121" s="101">
        <v>27</v>
      </c>
      <c r="D1121" s="65">
        <f>DATE(SIP[[#This Row],[Year]],SIP[[#This Row],[Month]],SIP[[#This Row],[Day]])</f>
        <v>45774</v>
      </c>
      <c r="E1121" s="66" t="str" cm="1">
        <f t="array" ref="E1121">INDEX(INVESTORS_LIST[INVESTOR NAME],MATCH(SIP[[#This Row],[Investor ID]],INVESTORS_LIST[INVESTOR CODE],0),)</f>
        <v>MAHFUZUL ISLAM &amp; HUMAIRA TABASSUM READDHE</v>
      </c>
      <c r="F1121" s="46" t="s">
        <v>1315</v>
      </c>
      <c r="G1121" s="46">
        <f>COUNTIF(SIP[[#Headers],[Investor ID]]:SIP[[#This Row],[Investor ID]],SIP[[#This Row],[Investor ID]])</f>
        <v>1</v>
      </c>
      <c r="H1121" s="46" t="str">
        <f>CONCATENATE(SIP[[#This Row],[Frequency]],SIP[[#This Row],[Investor ID]])</f>
        <v>1A00605</v>
      </c>
      <c r="I1121" s="46" t="str">
        <f>IF(SIP[[#This Row],[B/S]]="B","BUY",(IF(SIP[[#This Row],[B/S]]="S","SELL"," ")))</f>
        <v>BUY</v>
      </c>
      <c r="J1121" s="150" t="s">
        <v>1229</v>
      </c>
      <c r="K1121" s="152">
        <v>18140</v>
      </c>
      <c r="L1121" s="122"/>
      <c r="M1121" s="123">
        <f>SIP[[#This Row],[Amount]]/SIP[[#This Row],[Unit]]</f>
        <v>12.331747110808973</v>
      </c>
      <c r="N1121" s="71">
        <f>SIP[[#This Row],[Unit Capital]]/10</f>
        <v>1471</v>
      </c>
      <c r="O1121" s="71">
        <f>SUMIFS(SIP[[#Headers],[Unit]]:SIP[[#This Row],[Unit]],SIP[[#Headers],[Investor ID]]:SIP[[#This Row],[Investor ID]],SIP[[#This Row],[Investor ID]])</f>
        <v>1471</v>
      </c>
      <c r="P1121" s="153">
        <v>14710</v>
      </c>
      <c r="Q1121" s="74">
        <f>SIP[[#This Row],[Amount]]-SIP[[#This Row],[Unit Capital]]</f>
        <v>3430</v>
      </c>
      <c r="R11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12.331747110808973</v>
      </c>
      <c r="S1121" s="68">
        <f t="shared" si="53"/>
        <v>14.224</v>
      </c>
      <c r="T11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1" s="74" cm="1">
        <f t="array" ref="U1121">IF(SIP[[#This Row],[B/S]]="S",ABS(SIP[[#This Row],[Unit]])*(INDEX(SIP[NAV at Cost (Average)],MATCH(CONCATENATE((SIP[[#This Row],[Frequency]]-1),SIP[[#This Row],[Investor ID]]),SIP[Unique Code],0),0)),0)</f>
        <v>0</v>
      </c>
      <c r="V1121" s="74">
        <f>IF(SIP[[#This Row],[BO TRANSFER]]="YES",SIP[[#This Row],[Unit]],)</f>
        <v>0</v>
      </c>
      <c r="W1121" s="74">
        <f>SUMIFS(SIP[[#Headers],[BO UNIT TRANSFER]]:SIP[[#This Row],[BO UNIT TRANSFER]],SIP[[#Headers],[Investor ID]]:SIP[[#This Row],[Investor ID]],SIP[[#This Row],[Investor ID]])</f>
        <v>0</v>
      </c>
    </row>
    <row r="1122" spans="1:23" ht="15" customHeight="1">
      <c r="A1122" s="101">
        <v>2025</v>
      </c>
      <c r="B1122" s="101">
        <v>4</v>
      </c>
      <c r="C1122" s="101">
        <v>27</v>
      </c>
      <c r="D1122" s="65">
        <f>DATE(SIP[[#This Row],[Year]],SIP[[#This Row],[Month]],SIP[[#This Row],[Day]])</f>
        <v>45774</v>
      </c>
      <c r="E1122" s="66" t="str" cm="1">
        <f t="array" ref="E1122">INDEX(INVESTORS_LIST[INVESTOR NAME],MATCH(SIP[[#This Row],[Investor ID]],INVESTORS_LIST[INVESTOR CODE],0),)</f>
        <v>TANVIR HASAN</v>
      </c>
      <c r="F1122" s="46" t="s">
        <v>561</v>
      </c>
      <c r="G1122" s="46">
        <f>COUNTIF(SIP[[#Headers],[Investor ID]]:SIP[[#This Row],[Investor ID]],SIP[[#This Row],[Investor ID]])</f>
        <v>1</v>
      </c>
      <c r="H1122" s="46" t="str">
        <f>CONCATENATE(SIP[[#This Row],[Frequency]],SIP[[#This Row],[Investor ID]])</f>
        <v>1A00256</v>
      </c>
      <c r="I1122" s="46" t="str">
        <f>IF(SIP[[#This Row],[B/S]]="B","BUY",(IF(SIP[[#This Row],[B/S]]="S","SELL"," ")))</f>
        <v>BUY</v>
      </c>
      <c r="J1122" s="150" t="s">
        <v>1229</v>
      </c>
      <c r="K1122" s="152">
        <v>10000</v>
      </c>
      <c r="L1122" s="122"/>
      <c r="M1122" s="123">
        <f>SIP[[#This Row],[Amount]]/SIP[[#This Row],[Unit]]</f>
        <v>12.330456226880395</v>
      </c>
      <c r="N1122" s="71">
        <f>SIP[[#This Row],[Unit Capital]]/10</f>
        <v>811</v>
      </c>
      <c r="O1122" s="71">
        <f>SUMIFS(SIP[[#Headers],[Unit]]:SIP[[#This Row],[Unit]],SIP[[#Headers],[Investor ID]]:SIP[[#This Row],[Investor ID]],SIP[[#This Row],[Investor ID]])</f>
        <v>811</v>
      </c>
      <c r="P1122" s="153">
        <v>8110</v>
      </c>
      <c r="Q1122" s="74">
        <f>SIP[[#This Row],[Amount]]-SIP[[#This Row],[Unit Capital]]</f>
        <v>1890</v>
      </c>
      <c r="R11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12.330456226880395</v>
      </c>
      <c r="S1122" s="68">
        <f t="shared" si="53"/>
        <v>14.224</v>
      </c>
      <c r="T11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2" s="74" cm="1">
        <f t="array" ref="U1122">IF(SIP[[#This Row],[B/S]]="S",ABS(SIP[[#This Row],[Unit]])*(INDEX(SIP[NAV at Cost (Average)],MATCH(CONCATENATE((SIP[[#This Row],[Frequency]]-1),SIP[[#This Row],[Investor ID]]),SIP[Unique Code],0),0)),0)</f>
        <v>0</v>
      </c>
      <c r="V1122" s="74">
        <f>IF(SIP[[#This Row],[BO TRANSFER]]="YES",SIP[[#This Row],[Unit]],)</f>
        <v>0</v>
      </c>
      <c r="W1122" s="74">
        <f>SUMIFS(SIP[[#Headers],[BO UNIT TRANSFER]]:SIP[[#This Row],[BO UNIT TRANSFER]],SIP[[#Headers],[Investor ID]]:SIP[[#This Row],[Investor ID]],SIP[[#This Row],[Investor ID]])</f>
        <v>0</v>
      </c>
    </row>
    <row r="1123" spans="1:23" ht="15" customHeight="1">
      <c r="A1123" s="101">
        <v>2025</v>
      </c>
      <c r="B1123" s="101">
        <v>4</v>
      </c>
      <c r="C1123" s="101">
        <v>27</v>
      </c>
      <c r="D1123" s="65">
        <f>DATE(SIP[[#This Row],[Year]],SIP[[#This Row],[Month]],SIP[[#This Row],[Day]])</f>
        <v>45774</v>
      </c>
      <c r="E1123" s="66" t="str" cm="1">
        <f t="array" ref="E1123">INDEX(INVESTORS_LIST[INVESTOR NAME],MATCH(SIP[[#This Row],[Investor ID]],INVESTORS_LIST[INVESTOR CODE],0),)</f>
        <v>SADIA PARVIN</v>
      </c>
      <c r="F1123" s="46" t="s">
        <v>1018</v>
      </c>
      <c r="G1123" s="46">
        <f>COUNTIF(SIP[[#Headers],[Investor ID]]:SIP[[#This Row],[Investor ID]],SIP[[#This Row],[Investor ID]])</f>
        <v>34</v>
      </c>
      <c r="H1123" s="46" t="str">
        <f>CONCATENATE(SIP[[#This Row],[Frequency]],SIP[[#This Row],[Investor ID]])</f>
        <v>34A00486</v>
      </c>
      <c r="I1123" s="46" t="str">
        <f>IF(SIP[[#This Row],[B/S]]="B","BUY",(IF(SIP[[#This Row],[B/S]]="S","SELL"," ")))</f>
        <v>BUY</v>
      </c>
      <c r="J1123" s="150" t="s">
        <v>1229</v>
      </c>
      <c r="K1123" s="152">
        <v>5000</v>
      </c>
      <c r="L1123" s="122"/>
      <c r="M1123" s="123">
        <f>SIP[[#This Row],[Amount]]/SIP[[#This Row],[Unit]]</f>
        <v>12.345679012345679</v>
      </c>
      <c r="N1123" s="71">
        <f>SIP[[#This Row],[Unit Capital]]/10</f>
        <v>405</v>
      </c>
      <c r="O1123" s="71">
        <f>SUMIFS(SIP[[#Headers],[Unit]]:SIP[[#This Row],[Unit]],SIP[[#Headers],[Investor ID]]:SIP[[#This Row],[Investor ID]],SIP[[#This Row],[Investor ID]])</f>
        <v>15067</v>
      </c>
      <c r="P1123" s="153">
        <v>4050</v>
      </c>
      <c r="Q1123" s="74">
        <f>SIP[[#This Row],[Amount]]-SIP[[#This Row],[Unit Capital]]</f>
        <v>950</v>
      </c>
      <c r="R11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11.282936218225261</v>
      </c>
      <c r="S1123" s="68">
        <f t="shared" si="53"/>
        <v>14.224</v>
      </c>
      <c r="T11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3" s="74" cm="1">
        <f t="array" ref="U1123">IF(SIP[[#This Row],[B/S]]="S",ABS(SIP[[#This Row],[Unit]])*(INDEX(SIP[NAV at Cost (Average)],MATCH(CONCATENATE((SIP[[#This Row],[Frequency]]-1),SIP[[#This Row],[Investor ID]]),SIP[Unique Code],0),0)),0)</f>
        <v>0</v>
      </c>
      <c r="V1123" s="74">
        <f>IF(SIP[[#This Row],[BO TRANSFER]]="YES",SIP[[#This Row],[Unit]],)</f>
        <v>0</v>
      </c>
      <c r="W1123" s="74">
        <f>SUMIFS(SIP[[#Headers],[BO UNIT TRANSFER]]:SIP[[#This Row],[BO UNIT TRANSFER]],SIP[[#Headers],[Investor ID]]:SIP[[#This Row],[Investor ID]],SIP[[#This Row],[Investor ID]])</f>
        <v>0</v>
      </c>
    </row>
    <row r="1124" spans="1:23" ht="15" customHeight="1">
      <c r="A1124" s="101">
        <v>2025</v>
      </c>
      <c r="B1124" s="101">
        <v>4</v>
      </c>
      <c r="C1124" s="101">
        <v>27</v>
      </c>
      <c r="D1124" s="65">
        <f>DATE(SIP[[#This Row],[Year]],SIP[[#This Row],[Month]],SIP[[#This Row],[Day]])</f>
        <v>45774</v>
      </c>
      <c r="E1124" s="66" t="str" cm="1">
        <f t="array" ref="E1124">INDEX(INVESTORS_LIST[INVESTOR NAME],MATCH(SIP[[#This Row],[Investor ID]],INVESTORS_LIST[INVESTOR CODE],0),)</f>
        <v>MAYA RANI SAHA</v>
      </c>
      <c r="F1124" s="46" t="s">
        <v>224</v>
      </c>
      <c r="G1124" s="46">
        <f>COUNTIF(SIP[[#Headers],[Investor ID]]:SIP[[#This Row],[Investor ID]],SIP[[#This Row],[Investor ID]])</f>
        <v>46</v>
      </c>
      <c r="H1124" s="46" t="str">
        <f>CONCATENATE(SIP[[#This Row],[Frequency]],SIP[[#This Row],[Investor ID]])</f>
        <v>46A00088</v>
      </c>
      <c r="I1124" s="46" t="str">
        <f>IF(SIP[[#This Row],[B/S]]="B","BUY",(IF(SIP[[#This Row],[B/S]]="S","SELL"," ")))</f>
        <v>BUY</v>
      </c>
      <c r="J1124" s="150" t="s">
        <v>1229</v>
      </c>
      <c r="K1124" s="152">
        <v>14000</v>
      </c>
      <c r="L1124" s="122"/>
      <c r="M1124" s="123">
        <f>SIP[[#This Row],[Amount]]/SIP[[#This Row],[Unit]]</f>
        <v>12.334801762114537</v>
      </c>
      <c r="N1124" s="71">
        <f>SIP[[#This Row],[Unit Capital]]/10</f>
        <v>1135</v>
      </c>
      <c r="O1124" s="71">
        <f>SUMIFS(SIP[[#Headers],[Unit]]:SIP[[#This Row],[Unit]],SIP[[#Headers],[Investor ID]]:SIP[[#This Row],[Investor ID]],SIP[[#This Row],[Investor ID]])</f>
        <v>58286</v>
      </c>
      <c r="P1124" s="153">
        <v>11350</v>
      </c>
      <c r="Q1124" s="74">
        <f>SIP[[#This Row],[Amount]]-SIP[[#This Row],[Unit Capital]]</f>
        <v>2650</v>
      </c>
      <c r="R11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11.426414576399136</v>
      </c>
      <c r="S1124" s="68">
        <f t="shared" si="53"/>
        <v>14.224</v>
      </c>
      <c r="T11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4" s="74" cm="1">
        <f t="array" ref="U1124">IF(SIP[[#This Row],[B/S]]="S",ABS(SIP[[#This Row],[Unit]])*(INDEX(SIP[NAV at Cost (Average)],MATCH(CONCATENATE((SIP[[#This Row],[Frequency]]-1),SIP[[#This Row],[Investor ID]]),SIP[Unique Code],0),0)),0)</f>
        <v>0</v>
      </c>
      <c r="V1124" s="74">
        <f>IF(SIP[[#This Row],[BO TRANSFER]]="YES",SIP[[#This Row],[Unit]],)</f>
        <v>0</v>
      </c>
      <c r="W1124" s="74">
        <f>SUMIFS(SIP[[#Headers],[BO UNIT TRANSFER]]:SIP[[#This Row],[BO UNIT TRANSFER]],SIP[[#Headers],[Investor ID]]:SIP[[#This Row],[Investor ID]],SIP[[#This Row],[Investor ID]])</f>
        <v>0</v>
      </c>
    </row>
    <row r="1125" spans="1:23" ht="15" customHeight="1">
      <c r="A1125" s="101">
        <v>2025</v>
      </c>
      <c r="B1125" s="101">
        <v>4</v>
      </c>
      <c r="C1125" s="101">
        <v>27</v>
      </c>
      <c r="D1125" s="65">
        <f>DATE(SIP[[#This Row],[Year]],SIP[[#This Row],[Month]],SIP[[#This Row],[Day]])</f>
        <v>45774</v>
      </c>
      <c r="E1125" s="66" t="str" cm="1">
        <f t="array" ref="E1125">INDEX(INVESTORS_LIST[INVESTOR NAME],MATCH(SIP[[#This Row],[Investor ID]],INVESTORS_LIST[INVESTOR CODE],0),)</f>
        <v>SIKDER FAZLE RABBI</v>
      </c>
      <c r="F1125" s="46" t="s">
        <v>1032</v>
      </c>
      <c r="G1125" s="46">
        <f>COUNTIF(SIP[[#Headers],[Investor ID]]:SIP[[#This Row],[Investor ID]],SIP[[#This Row],[Investor ID]])</f>
        <v>23</v>
      </c>
      <c r="H1125" s="46" t="str">
        <f>CONCATENATE(SIP[[#This Row],[Frequency]],SIP[[#This Row],[Investor ID]])</f>
        <v>23A00493</v>
      </c>
      <c r="I1125" s="46" t="str">
        <f>IF(SIP[[#This Row],[B/S]]="B","BUY",(IF(SIP[[#This Row],[B/S]]="S","SELL"," ")))</f>
        <v>BUY</v>
      </c>
      <c r="J1125" s="150" t="s">
        <v>1229</v>
      </c>
      <c r="K1125" s="152">
        <v>5000</v>
      </c>
      <c r="L1125" s="122"/>
      <c r="M1125" s="123">
        <f>SIP[[#This Row],[Amount]]/SIP[[#This Row],[Unit]]</f>
        <v>12.345679012345679</v>
      </c>
      <c r="N1125" s="71">
        <f>SIP[[#This Row],[Unit Capital]]/10</f>
        <v>405</v>
      </c>
      <c r="O1125" s="71">
        <f>SUMIFS(SIP[[#Headers],[Unit]]:SIP[[#This Row],[Unit]],SIP[[#Headers],[Investor ID]]:SIP[[#This Row],[Investor ID]],SIP[[#This Row],[Investor ID]])</f>
        <v>10309</v>
      </c>
      <c r="P1125" s="153">
        <v>4050</v>
      </c>
      <c r="Q1125" s="74">
        <f>SIP[[#This Row],[Amount]]-SIP[[#This Row],[Unit Capital]]</f>
        <v>950</v>
      </c>
      <c r="R11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11.155301193132217</v>
      </c>
      <c r="S1125" s="68">
        <f t="shared" si="53"/>
        <v>14.224</v>
      </c>
      <c r="T11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5" s="74" cm="1">
        <f t="array" ref="U1125">IF(SIP[[#This Row],[B/S]]="S",ABS(SIP[[#This Row],[Unit]])*(INDEX(SIP[NAV at Cost (Average)],MATCH(CONCATENATE((SIP[[#This Row],[Frequency]]-1),SIP[[#This Row],[Investor ID]]),SIP[Unique Code],0),0)),0)</f>
        <v>0</v>
      </c>
      <c r="V1125" s="74">
        <f>IF(SIP[[#This Row],[BO TRANSFER]]="YES",SIP[[#This Row],[Unit]],)</f>
        <v>0</v>
      </c>
      <c r="W1125" s="74">
        <f>SUMIFS(SIP[[#Headers],[BO UNIT TRANSFER]]:SIP[[#This Row],[BO UNIT TRANSFER]],SIP[[#Headers],[Investor ID]]:SIP[[#This Row],[Investor ID]],SIP[[#This Row],[Investor ID]])</f>
        <v>0</v>
      </c>
    </row>
    <row r="1126" spans="1:23" ht="15" customHeight="1">
      <c r="A1126" s="101">
        <v>2025</v>
      </c>
      <c r="B1126" s="101">
        <v>4</v>
      </c>
      <c r="C1126" s="101">
        <v>27</v>
      </c>
      <c r="D1126" s="65">
        <f>DATE(SIP[[#This Row],[Year]],SIP[[#This Row],[Month]],SIP[[#This Row],[Day]])</f>
        <v>45774</v>
      </c>
      <c r="E1126" s="66" t="str" cm="1">
        <f t="array" ref="E1126">INDEX(INVESTORS_LIST[INVESTOR NAME],MATCH(SIP[[#This Row],[Investor ID]],INVESTORS_LIST[INVESTOR CODE],0),)</f>
        <v>ADNAN RASHID</v>
      </c>
      <c r="F1126" s="46" t="s">
        <v>252</v>
      </c>
      <c r="G1126" s="46">
        <f>COUNTIF(SIP[[#Headers],[Investor ID]]:SIP[[#This Row],[Investor ID]],SIP[[#This Row],[Investor ID]])</f>
        <v>20</v>
      </c>
      <c r="H1126" s="46" t="str">
        <f>CONCATENATE(SIP[[#This Row],[Frequency]],SIP[[#This Row],[Investor ID]])</f>
        <v>20A00102</v>
      </c>
      <c r="I1126" s="46" t="str">
        <f>IF(SIP[[#This Row],[B/S]]="B","BUY",(IF(SIP[[#This Row],[B/S]]="S","SELL"," ")))</f>
        <v>BUY</v>
      </c>
      <c r="J1126" s="150" t="s">
        <v>1229</v>
      </c>
      <c r="K1126" s="152">
        <v>30000</v>
      </c>
      <c r="L1126" s="122"/>
      <c r="M1126" s="123">
        <f>SIP[[#This Row],[Amount]]/SIP[[#This Row],[Unit]]</f>
        <v>12.335526315789474</v>
      </c>
      <c r="N1126" s="71">
        <f>SIP[[#This Row],[Unit Capital]]/10</f>
        <v>2432</v>
      </c>
      <c r="O1126" s="71">
        <f>SUMIFS(SIP[[#Headers],[Unit]]:SIP[[#This Row],[Unit]],SIP[[#Headers],[Investor ID]]:SIP[[#This Row],[Investor ID]],SIP[[#This Row],[Investor ID]])</f>
        <v>32547</v>
      </c>
      <c r="P1126" s="153">
        <v>24320</v>
      </c>
      <c r="Q1126" s="74">
        <f>SIP[[#This Row],[Amount]]-SIP[[#This Row],[Unit Capital]]</f>
        <v>5680</v>
      </c>
      <c r="R11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11.524123659817532</v>
      </c>
      <c r="S1126" s="68">
        <f t="shared" si="53"/>
        <v>14.224</v>
      </c>
      <c r="T11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6" s="74" cm="1">
        <f t="array" ref="U1126">IF(SIP[[#This Row],[B/S]]="S",ABS(SIP[[#This Row],[Unit]])*(INDEX(SIP[NAV at Cost (Average)],MATCH(CONCATENATE((SIP[[#This Row],[Frequency]]-1),SIP[[#This Row],[Investor ID]]),SIP[Unique Code],0),0)),0)</f>
        <v>0</v>
      </c>
      <c r="V1126" s="74">
        <f>IF(SIP[[#This Row],[BO TRANSFER]]="YES",SIP[[#This Row],[Unit]],)</f>
        <v>0</v>
      </c>
      <c r="W1126" s="74">
        <f>SUMIFS(SIP[[#Headers],[BO UNIT TRANSFER]]:SIP[[#This Row],[BO UNIT TRANSFER]],SIP[[#Headers],[Investor ID]]:SIP[[#This Row],[Investor ID]],SIP[[#This Row],[Investor ID]])</f>
        <v>0</v>
      </c>
    </row>
    <row r="1127" spans="1:23" ht="15" customHeight="1">
      <c r="A1127" s="101">
        <v>2025</v>
      </c>
      <c r="B1127" s="101">
        <v>4</v>
      </c>
      <c r="C1127" s="101">
        <v>27</v>
      </c>
      <c r="D1127" s="65">
        <f>DATE(SIP[[#This Row],[Year]],SIP[[#This Row],[Month]],SIP[[#This Row],[Day]])</f>
        <v>45774</v>
      </c>
      <c r="E1127" s="66" t="str" cm="1">
        <f t="array" ref="E1127">INDEX(INVESTORS_LIST[INVESTOR NAME],MATCH(SIP[[#This Row],[Investor ID]],INVESTORS_LIST[INVESTOR CODE],0),)</f>
        <v>ABU MUSA MIRZA KAMRUZZAMAN SHAHEE</v>
      </c>
      <c r="F1127" s="46" t="s">
        <v>1012</v>
      </c>
      <c r="G1127" s="46">
        <f>COUNTIF(SIP[[#Headers],[Investor ID]]:SIP[[#This Row],[Investor ID]],SIP[[#This Row],[Investor ID]])</f>
        <v>23</v>
      </c>
      <c r="H1127" s="46" t="str">
        <f>CONCATENATE(SIP[[#This Row],[Frequency]],SIP[[#This Row],[Investor ID]])</f>
        <v>23A00483</v>
      </c>
      <c r="I1127" s="46" t="str">
        <f>IF(SIP[[#This Row],[B/S]]="B","BUY",(IF(SIP[[#This Row],[B/S]]="S","SELL"," ")))</f>
        <v>BUY</v>
      </c>
      <c r="J1127" s="150" t="s">
        <v>1229</v>
      </c>
      <c r="K1127" s="152">
        <v>5000</v>
      </c>
      <c r="L1127" s="122"/>
      <c r="M1127" s="123">
        <f>SIP[[#This Row],[Amount]]/SIP[[#This Row],[Unit]]</f>
        <v>12.345679012345679</v>
      </c>
      <c r="N1127" s="71">
        <f>SIP[[#This Row],[Unit Capital]]/10</f>
        <v>405</v>
      </c>
      <c r="O1127" s="71">
        <f>SUMIFS(SIP[[#Headers],[Unit]]:SIP[[#This Row],[Unit]],SIP[[#Headers],[Investor ID]]:SIP[[#This Row],[Investor ID]],SIP[[#This Row],[Investor ID]])</f>
        <v>10309</v>
      </c>
      <c r="P1127" s="153">
        <v>4050</v>
      </c>
      <c r="Q1127" s="74">
        <f>SIP[[#This Row],[Amount]]-SIP[[#This Row],[Unit Capital]]</f>
        <v>950</v>
      </c>
      <c r="R11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11.155301193132217</v>
      </c>
      <c r="S1127" s="68">
        <f t="shared" si="53"/>
        <v>14.224</v>
      </c>
      <c r="T11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7" s="74" cm="1">
        <f t="array" ref="U1127">IF(SIP[[#This Row],[B/S]]="S",ABS(SIP[[#This Row],[Unit]])*(INDEX(SIP[NAV at Cost (Average)],MATCH(CONCATENATE((SIP[[#This Row],[Frequency]]-1),SIP[[#This Row],[Investor ID]]),SIP[Unique Code],0),0)),0)</f>
        <v>0</v>
      </c>
      <c r="V1127" s="74">
        <f>IF(SIP[[#This Row],[BO TRANSFER]]="YES",SIP[[#This Row],[Unit]],)</f>
        <v>0</v>
      </c>
      <c r="W1127" s="74">
        <f>SUMIFS(SIP[[#Headers],[BO UNIT TRANSFER]]:SIP[[#This Row],[BO UNIT TRANSFER]],SIP[[#Headers],[Investor ID]]:SIP[[#This Row],[Investor ID]],SIP[[#This Row],[Investor ID]])</f>
        <v>0</v>
      </c>
    </row>
    <row r="1128" spans="1:23" ht="15" customHeight="1">
      <c r="A1128" s="101">
        <v>2025</v>
      </c>
      <c r="B1128" s="101">
        <v>4</v>
      </c>
      <c r="C1128" s="101">
        <v>27</v>
      </c>
      <c r="D1128" s="65">
        <f>DATE(SIP[[#This Row],[Year]],SIP[[#This Row],[Month]],SIP[[#This Row],[Day]])</f>
        <v>45774</v>
      </c>
      <c r="E1128" s="66" t="str" cm="1">
        <f t="array" ref="E1128">INDEX(INVESTORS_LIST[INVESTOR NAME],MATCH(SIP[[#This Row],[Investor ID]],INVESTORS_LIST[INVESTOR CODE],0),)</f>
        <v>SUMAN SAHA</v>
      </c>
      <c r="F1128" s="46" t="s">
        <v>1022</v>
      </c>
      <c r="G1128" s="46">
        <f>COUNTIF(SIP[[#Headers],[Investor ID]]:SIP[[#This Row],[Investor ID]],SIP[[#This Row],[Investor ID]])</f>
        <v>23</v>
      </c>
      <c r="H1128" s="46" t="str">
        <f>CONCATENATE(SIP[[#This Row],[Frequency]],SIP[[#This Row],[Investor ID]])</f>
        <v>23A00488</v>
      </c>
      <c r="I1128" s="46" t="str">
        <f>IF(SIP[[#This Row],[B/S]]="B","BUY",(IF(SIP[[#This Row],[B/S]]="S","SELL"," ")))</f>
        <v>BUY</v>
      </c>
      <c r="J1128" s="150" t="s">
        <v>1229</v>
      </c>
      <c r="K1128" s="152">
        <v>5000</v>
      </c>
      <c r="L1128" s="122"/>
      <c r="M1128" s="123">
        <f>SIP[[#This Row],[Amount]]/SIP[[#This Row],[Unit]]</f>
        <v>12.345679012345679</v>
      </c>
      <c r="N1128" s="71">
        <f>SIP[[#This Row],[Unit Capital]]/10</f>
        <v>405</v>
      </c>
      <c r="O1128" s="71">
        <f>SUMIFS(SIP[[#Headers],[Unit]]:SIP[[#This Row],[Unit]],SIP[[#Headers],[Investor ID]]:SIP[[#This Row],[Investor ID]],SIP[[#This Row],[Investor ID]])</f>
        <v>10309</v>
      </c>
      <c r="P1128" s="153">
        <v>4050</v>
      </c>
      <c r="Q1128" s="74">
        <f>SIP[[#This Row],[Amount]]-SIP[[#This Row],[Unit Capital]]</f>
        <v>950</v>
      </c>
      <c r="R11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11.155301193132217</v>
      </c>
      <c r="S1128" s="68">
        <f t="shared" si="53"/>
        <v>14.224</v>
      </c>
      <c r="T11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8" s="74" cm="1">
        <f t="array" ref="U1128">IF(SIP[[#This Row],[B/S]]="S",ABS(SIP[[#This Row],[Unit]])*(INDEX(SIP[NAV at Cost (Average)],MATCH(CONCATENATE((SIP[[#This Row],[Frequency]]-1),SIP[[#This Row],[Investor ID]]),SIP[Unique Code],0),0)),0)</f>
        <v>0</v>
      </c>
      <c r="V1128" s="74">
        <f>IF(SIP[[#This Row],[BO TRANSFER]]="YES",SIP[[#This Row],[Unit]],)</f>
        <v>0</v>
      </c>
      <c r="W1128" s="74">
        <f>SUMIFS(SIP[[#Headers],[BO UNIT TRANSFER]]:SIP[[#This Row],[BO UNIT TRANSFER]],SIP[[#Headers],[Investor ID]]:SIP[[#This Row],[Investor ID]],SIP[[#This Row],[Investor ID]])</f>
        <v>0</v>
      </c>
    </row>
    <row r="1129" spans="1:23" ht="15" customHeight="1">
      <c r="A1129" s="101">
        <v>2025</v>
      </c>
      <c r="B1129" s="101">
        <v>4</v>
      </c>
      <c r="C1129" s="101">
        <v>27</v>
      </c>
      <c r="D1129" s="65">
        <f>DATE(SIP[[#This Row],[Year]],SIP[[#This Row],[Month]],SIP[[#This Row],[Day]])</f>
        <v>45774</v>
      </c>
      <c r="E1129" s="66" t="str" cm="1">
        <f t="array" ref="E1129">INDEX(INVESTORS_LIST[INVESTOR NAME],MATCH(SIP[[#This Row],[Investor ID]],INVESTORS_LIST[INVESTOR CODE],0),)</f>
        <v>JUBAIDA FARHANA HAQUE</v>
      </c>
      <c r="F1129" s="46" t="s">
        <v>1065</v>
      </c>
      <c r="G1129" s="46">
        <f>COUNTIF(SIP[[#Headers],[Investor ID]]:SIP[[#This Row],[Investor ID]],SIP[[#This Row],[Investor ID]])</f>
        <v>21</v>
      </c>
      <c r="H1129" s="46" t="str">
        <f>CONCATENATE(SIP[[#This Row],[Frequency]],SIP[[#This Row],[Investor ID]])</f>
        <v>21A00510</v>
      </c>
      <c r="I1129" s="46" t="str">
        <f>IF(SIP[[#This Row],[B/S]]="B","BUY",(IF(SIP[[#This Row],[B/S]]="S","SELL"," ")))</f>
        <v>BUY</v>
      </c>
      <c r="J1129" s="150" t="s">
        <v>1229</v>
      </c>
      <c r="K1129" s="152">
        <v>5000</v>
      </c>
      <c r="L1129" s="122"/>
      <c r="M1129" s="123">
        <f>SIP[[#This Row],[Amount]]/SIP[[#This Row],[Unit]]</f>
        <v>12.345679012345679</v>
      </c>
      <c r="N1129" s="71">
        <f>SIP[[#This Row],[Unit Capital]]/10</f>
        <v>405</v>
      </c>
      <c r="O1129" s="71">
        <f>SUMIFS(SIP[[#Headers],[Unit]]:SIP[[#This Row],[Unit]],SIP[[#Headers],[Investor ID]]:SIP[[#This Row],[Investor ID]],SIP[[#This Row],[Investor ID]])</f>
        <v>8385</v>
      </c>
      <c r="P1129" s="153">
        <v>4050</v>
      </c>
      <c r="Q1129" s="74">
        <f>SIP[[#This Row],[Amount]]-SIP[[#This Row],[Unit Capital]]</f>
        <v>950</v>
      </c>
      <c r="R11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11.331636597574535</v>
      </c>
      <c r="S1129" s="68">
        <f t="shared" si="53"/>
        <v>14.224</v>
      </c>
      <c r="T11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9" s="74" cm="1">
        <f t="array" ref="U1129">IF(SIP[[#This Row],[B/S]]="S",ABS(SIP[[#This Row],[Unit]])*(INDEX(SIP[NAV at Cost (Average)],MATCH(CONCATENATE((SIP[[#This Row],[Frequency]]-1),SIP[[#This Row],[Investor ID]]),SIP[Unique Code],0),0)),0)</f>
        <v>0</v>
      </c>
      <c r="V1129" s="74">
        <f>IF(SIP[[#This Row],[BO TRANSFER]]="YES",SIP[[#This Row],[Unit]],)</f>
        <v>0</v>
      </c>
      <c r="W1129" s="74">
        <f>SUMIFS(SIP[[#Headers],[BO UNIT TRANSFER]]:SIP[[#This Row],[BO UNIT TRANSFER]],SIP[[#Headers],[Investor ID]]:SIP[[#This Row],[Investor ID]],SIP[[#This Row],[Investor ID]])</f>
        <v>0</v>
      </c>
    </row>
    <row r="1130" spans="1:23" ht="15" customHeight="1">
      <c r="A1130" s="101">
        <v>2025</v>
      </c>
      <c r="B1130" s="101">
        <v>4</v>
      </c>
      <c r="C1130" s="101">
        <v>27</v>
      </c>
      <c r="D1130" s="65">
        <f>DATE(SIP[[#This Row],[Year]],SIP[[#This Row],[Month]],SIP[[#This Row],[Day]])</f>
        <v>45774</v>
      </c>
      <c r="E1130" s="66" t="str" cm="1">
        <f t="array" ref="E1130">INDEX(INVESTORS_LIST[INVESTOR NAME],MATCH(SIP[[#This Row],[Investor ID]],INVESTORS_LIST[INVESTOR CODE],0),)</f>
        <v>MAYA RANI SAHA</v>
      </c>
      <c r="F1130" s="46" t="s">
        <v>224</v>
      </c>
      <c r="G1130" s="46">
        <f>COUNTIF(SIP[[#Headers],[Investor ID]]:SIP[[#This Row],[Investor ID]],SIP[[#This Row],[Investor ID]])</f>
        <v>47</v>
      </c>
      <c r="H1130" s="46" t="str">
        <f>CONCATENATE(SIP[[#This Row],[Frequency]],SIP[[#This Row],[Investor ID]])</f>
        <v>47A00088</v>
      </c>
      <c r="I1130" s="46" t="str">
        <f>IF(SIP[[#This Row],[B/S]]="B","BUY",(IF(SIP[[#This Row],[B/S]]="S","SELL"," ")))</f>
        <v>BUY</v>
      </c>
      <c r="J1130" s="150" t="s">
        <v>1229</v>
      </c>
      <c r="K1130" s="152">
        <v>20000</v>
      </c>
      <c r="L1130" s="122"/>
      <c r="M1130" s="123">
        <f>SIP[[#This Row],[Amount]]/SIP[[#This Row],[Unit]]</f>
        <v>12.338062924120914</v>
      </c>
      <c r="N1130" s="71">
        <f>SIP[[#This Row],[Unit Capital]]/10</f>
        <v>1621</v>
      </c>
      <c r="O1130" s="71">
        <f>SUMIFS(SIP[[#Headers],[Unit]]:SIP[[#This Row],[Unit]],SIP[[#Headers],[Investor ID]]:SIP[[#This Row],[Investor ID]],SIP[[#This Row],[Investor ID]])</f>
        <v>59907</v>
      </c>
      <c r="P1130" s="153">
        <v>16210</v>
      </c>
      <c r="Q1130" s="74">
        <f>SIP[[#This Row],[Amount]]-SIP[[#This Row],[Unit Capital]]</f>
        <v>3790</v>
      </c>
      <c r="R11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11.451082511225733</v>
      </c>
      <c r="S1130" s="68">
        <f t="shared" si="53"/>
        <v>14.224</v>
      </c>
      <c r="T11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0" s="74" cm="1">
        <f t="array" ref="U1130">IF(SIP[[#This Row],[B/S]]="S",ABS(SIP[[#This Row],[Unit]])*(INDEX(SIP[NAV at Cost (Average)],MATCH(CONCATENATE((SIP[[#This Row],[Frequency]]-1),SIP[[#This Row],[Investor ID]]),SIP[Unique Code],0),0)),0)</f>
        <v>0</v>
      </c>
      <c r="V1130" s="74">
        <f>IF(SIP[[#This Row],[BO TRANSFER]]="YES",SIP[[#This Row],[Unit]],)</f>
        <v>0</v>
      </c>
      <c r="W1130" s="74">
        <f>SUMIFS(SIP[[#Headers],[BO UNIT TRANSFER]]:SIP[[#This Row],[BO UNIT TRANSFER]],SIP[[#Headers],[Investor ID]]:SIP[[#This Row],[Investor ID]],SIP[[#This Row],[Investor ID]])</f>
        <v>0</v>
      </c>
    </row>
    <row r="1131" spans="1:23" ht="15" customHeight="1">
      <c r="A1131" s="101">
        <v>2025</v>
      </c>
      <c r="B1131" s="101">
        <v>4</v>
      </c>
      <c r="C1131" s="101">
        <v>27</v>
      </c>
      <c r="D1131" s="65">
        <f>DATE(SIP[[#This Row],[Year]],SIP[[#This Row],[Month]],SIP[[#This Row],[Day]])</f>
        <v>45774</v>
      </c>
      <c r="E1131" s="66" t="str" cm="1">
        <f t="array" ref="E1131">INDEX(INVESTORS_LIST[INVESTOR NAME],MATCH(SIP[[#This Row],[Investor ID]],INVESTORS_LIST[INVESTOR CODE],0),)</f>
        <v>MOHAMMAD HASAN IMAM</v>
      </c>
      <c r="F1131" s="46" t="s">
        <v>1122</v>
      </c>
      <c r="G1131" s="46">
        <f>COUNTIF(SIP[[#Headers],[Investor ID]]:SIP[[#This Row],[Investor ID]],SIP[[#This Row],[Investor ID]])</f>
        <v>13</v>
      </c>
      <c r="H1131" s="46" t="str">
        <f>CONCATENATE(SIP[[#This Row],[Frequency]],SIP[[#This Row],[Investor ID]])</f>
        <v>13A00536</v>
      </c>
      <c r="I1131" s="46" t="str">
        <f>IF(SIP[[#This Row],[B/S]]="B","BUY",(IF(SIP[[#This Row],[B/S]]="S","SELL"," ")))</f>
        <v>BUY</v>
      </c>
      <c r="J1131" s="150" t="s">
        <v>1229</v>
      </c>
      <c r="K1131" s="152">
        <v>5000</v>
      </c>
      <c r="L1131" s="122"/>
      <c r="M1131" s="123">
        <f>SIP[[#This Row],[Amount]]/SIP[[#This Row],[Unit]]</f>
        <v>12.345679012345679</v>
      </c>
      <c r="N1131" s="71">
        <f>SIP[[#This Row],[Unit Capital]]/10</f>
        <v>405</v>
      </c>
      <c r="O1131" s="71">
        <f>SUMIFS(SIP[[#Headers],[Unit]]:SIP[[#This Row],[Unit]],SIP[[#Headers],[Investor ID]]:SIP[[#This Row],[Investor ID]],SIP[[#This Row],[Investor ID]])</f>
        <v>5581</v>
      </c>
      <c r="P1131" s="153">
        <v>4050</v>
      </c>
      <c r="Q1131" s="74">
        <f>SIP[[#This Row],[Amount]]-SIP[[#This Row],[Unit Capital]]</f>
        <v>950</v>
      </c>
      <c r="R11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11.646658304963267</v>
      </c>
      <c r="S1131" s="68">
        <f t="shared" si="53"/>
        <v>14.224</v>
      </c>
      <c r="T11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1" s="74" cm="1">
        <f t="array" ref="U1131">IF(SIP[[#This Row],[B/S]]="S",ABS(SIP[[#This Row],[Unit]])*(INDEX(SIP[NAV at Cost (Average)],MATCH(CONCATENATE((SIP[[#This Row],[Frequency]]-1),SIP[[#This Row],[Investor ID]]),SIP[Unique Code],0),0)),0)</f>
        <v>0</v>
      </c>
      <c r="V1131" s="74">
        <f>IF(SIP[[#This Row],[BO TRANSFER]]="YES",SIP[[#This Row],[Unit]],)</f>
        <v>0</v>
      </c>
      <c r="W1131" s="74">
        <f>SUMIFS(SIP[[#Headers],[BO UNIT TRANSFER]]:SIP[[#This Row],[BO UNIT TRANSFER]],SIP[[#Headers],[Investor ID]]:SIP[[#This Row],[Investor ID]],SIP[[#This Row],[Investor ID]])</f>
        <v>0</v>
      </c>
    </row>
    <row r="1132" spans="1:23" ht="15" customHeight="1">
      <c r="A1132" s="101">
        <v>2025</v>
      </c>
      <c r="B1132" s="101">
        <v>4</v>
      </c>
      <c r="C1132" s="101">
        <v>27</v>
      </c>
      <c r="D1132" s="65">
        <f>DATE(SIP[[#This Row],[Year]],SIP[[#This Row],[Month]],SIP[[#This Row],[Day]])</f>
        <v>45774</v>
      </c>
      <c r="E1132" s="66" t="str" cm="1">
        <f t="array" ref="E1132">INDEX(INVESTORS_LIST[INVESTOR NAME],MATCH(SIP[[#This Row],[Investor ID]],INVESTORS_LIST[INVESTOR CODE],0),)</f>
        <v>SADIA PARVIN</v>
      </c>
      <c r="F1132" s="46" t="s">
        <v>1018</v>
      </c>
      <c r="G1132" s="46">
        <f>COUNTIF(SIP[[#Headers],[Investor ID]]:SIP[[#This Row],[Investor ID]],SIP[[#This Row],[Investor ID]])</f>
        <v>35</v>
      </c>
      <c r="H1132" s="46" t="str">
        <f>CONCATENATE(SIP[[#This Row],[Frequency]],SIP[[#This Row],[Investor ID]])</f>
        <v>35A00486</v>
      </c>
      <c r="I1132" s="46" t="str">
        <f>IF(SIP[[#This Row],[B/S]]="B","BUY",(IF(SIP[[#This Row],[B/S]]="S","SELL"," ")))</f>
        <v>BUY</v>
      </c>
      <c r="J1132" s="150" t="s">
        <v>1229</v>
      </c>
      <c r="K1132" s="152">
        <v>5000</v>
      </c>
      <c r="L1132" s="122"/>
      <c r="M1132" s="123">
        <f>SIP[[#This Row],[Amount]]/SIP[[#This Row],[Unit]]</f>
        <v>12.345679012345679</v>
      </c>
      <c r="N1132" s="71">
        <f>SIP[[#This Row],[Unit Capital]]/10</f>
        <v>405</v>
      </c>
      <c r="O1132" s="71">
        <f>SUMIFS(SIP[[#Headers],[Unit]]:SIP[[#This Row],[Unit]],SIP[[#Headers],[Investor ID]]:SIP[[#This Row],[Investor ID]],SIP[[#This Row],[Investor ID]])</f>
        <v>15472</v>
      </c>
      <c r="P1132" s="153">
        <v>4050</v>
      </c>
      <c r="Q1132" s="74">
        <f>SIP[[#This Row],[Amount]]-SIP[[#This Row],[Unit Capital]]</f>
        <v>950</v>
      </c>
      <c r="R11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11.310754912099275</v>
      </c>
      <c r="S1132" s="68">
        <f t="shared" si="53"/>
        <v>14.224</v>
      </c>
      <c r="T11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2" s="74" cm="1">
        <f t="array" ref="U1132">IF(SIP[[#This Row],[B/S]]="S",ABS(SIP[[#This Row],[Unit]])*(INDEX(SIP[NAV at Cost (Average)],MATCH(CONCATENATE((SIP[[#This Row],[Frequency]]-1),SIP[[#This Row],[Investor ID]]),SIP[Unique Code],0),0)),0)</f>
        <v>0</v>
      </c>
      <c r="V1132" s="74">
        <f>IF(SIP[[#This Row],[BO TRANSFER]]="YES",SIP[[#This Row],[Unit]],)</f>
        <v>0</v>
      </c>
      <c r="W1132" s="74">
        <f>SUMIFS(SIP[[#Headers],[BO UNIT TRANSFER]]:SIP[[#This Row],[BO UNIT TRANSFER]],SIP[[#Headers],[Investor ID]]:SIP[[#This Row],[Investor ID]],SIP[[#This Row],[Investor ID]])</f>
        <v>0</v>
      </c>
    </row>
    <row r="1133" spans="1:23" ht="15" customHeight="1">
      <c r="A1133" s="101">
        <v>2025</v>
      </c>
      <c r="B1133" s="101">
        <v>4</v>
      </c>
      <c r="C1133" s="101">
        <v>27</v>
      </c>
      <c r="D1133" s="65">
        <f>DATE(SIP[[#This Row],[Year]],SIP[[#This Row],[Month]],SIP[[#This Row],[Day]])</f>
        <v>45774</v>
      </c>
      <c r="E1133" s="66" t="str" cm="1">
        <f t="array" ref="E1133">INDEX(INVESTORS_LIST[INVESTOR NAME],MATCH(SIP[[#This Row],[Investor ID]],INVESTORS_LIST[INVESTOR CODE],0),)</f>
        <v>MD. WALI ULLAH</v>
      </c>
      <c r="F1133" s="46" t="s">
        <v>443</v>
      </c>
      <c r="G1133" s="46">
        <f>COUNTIF(SIP[[#Headers],[Investor ID]]:SIP[[#This Row],[Investor ID]],SIP[[#This Row],[Investor ID]])</f>
        <v>24</v>
      </c>
      <c r="H1133" s="46" t="str">
        <f>CONCATENATE(SIP[[#This Row],[Frequency]],SIP[[#This Row],[Investor ID]])</f>
        <v>24A00197</v>
      </c>
      <c r="I1133" s="46" t="str">
        <f>IF(SIP[[#This Row],[B/S]]="B","BUY",(IF(SIP[[#This Row],[B/S]]="S","SELL"," ")))</f>
        <v>BUY</v>
      </c>
      <c r="J1133" s="150" t="s">
        <v>1229</v>
      </c>
      <c r="K1133" s="152">
        <v>15000</v>
      </c>
      <c r="L1133" s="122"/>
      <c r="M1133" s="123">
        <f>SIP[[#This Row],[Amount]]/SIP[[#This Row],[Unit]]</f>
        <v>12.335526315789474</v>
      </c>
      <c r="N1133" s="71">
        <f>SIP[[#This Row],[Unit Capital]]/10</f>
        <v>1216</v>
      </c>
      <c r="O1133" s="71">
        <f>SUMIFS(SIP[[#Headers],[Unit]]:SIP[[#This Row],[Unit]],SIP[[#Headers],[Investor ID]]:SIP[[#This Row],[Investor ID]],SIP[[#This Row],[Investor ID]])</f>
        <v>32405</v>
      </c>
      <c r="P1133" s="153">
        <v>12160</v>
      </c>
      <c r="Q1133" s="74">
        <f>SIP[[#This Row],[Amount]]-SIP[[#This Row],[Unit Capital]]</f>
        <v>2840</v>
      </c>
      <c r="R11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11.109396698040422</v>
      </c>
      <c r="S1133" s="68">
        <f t="shared" si="53"/>
        <v>14.224</v>
      </c>
      <c r="T11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3" s="74" cm="1">
        <f t="array" ref="U1133">IF(SIP[[#This Row],[B/S]]="S",ABS(SIP[[#This Row],[Unit]])*(INDEX(SIP[NAV at Cost (Average)],MATCH(CONCATENATE((SIP[[#This Row],[Frequency]]-1),SIP[[#This Row],[Investor ID]]),SIP[Unique Code],0),0)),0)</f>
        <v>0</v>
      </c>
      <c r="V1133" s="74">
        <f>IF(SIP[[#This Row],[BO TRANSFER]]="YES",SIP[[#This Row],[Unit]],)</f>
        <v>0</v>
      </c>
      <c r="W1133" s="74">
        <f>SUMIFS(SIP[[#Headers],[BO UNIT TRANSFER]]:SIP[[#This Row],[BO UNIT TRANSFER]],SIP[[#Headers],[Investor ID]]:SIP[[#This Row],[Investor ID]],SIP[[#This Row],[Investor ID]])</f>
        <v>0</v>
      </c>
    </row>
    <row r="1134" spans="1:23" ht="15" customHeight="1">
      <c r="A1134" s="101">
        <v>2025</v>
      </c>
      <c r="B1134" s="101">
        <v>4</v>
      </c>
      <c r="C1134" s="101">
        <v>27</v>
      </c>
      <c r="D1134" s="65">
        <f>DATE(SIP[[#This Row],[Year]],SIP[[#This Row],[Month]],SIP[[#This Row],[Day]])</f>
        <v>45774</v>
      </c>
      <c r="E1134" s="66" t="str" cm="1">
        <f t="array" ref="E1134">INDEX(INVESTORS_LIST[INVESTOR NAME],MATCH(SIP[[#This Row],[Investor ID]],INVESTORS_LIST[INVESTOR CODE],0),)</f>
        <v>S.M. SAIFUL ISLAM</v>
      </c>
      <c r="F1134" s="46" t="s">
        <v>1002</v>
      </c>
      <c r="G1134" s="46">
        <f>COUNTIF(SIP[[#Headers],[Investor ID]]:SIP[[#This Row],[Investor ID]],SIP[[#This Row],[Investor ID]])</f>
        <v>26</v>
      </c>
      <c r="H1134" s="46" t="str">
        <f>CONCATENATE(SIP[[#This Row],[Frequency]],SIP[[#This Row],[Investor ID]])</f>
        <v>26A00478</v>
      </c>
      <c r="I1134" s="46" t="str">
        <f>IF(SIP[[#This Row],[B/S]]="B","BUY",(IF(SIP[[#This Row],[B/S]]="S","SELL"," ")))</f>
        <v>BUY</v>
      </c>
      <c r="J1134" s="150" t="s">
        <v>1229</v>
      </c>
      <c r="K1134" s="152">
        <v>10000</v>
      </c>
      <c r="L1134" s="122"/>
      <c r="M1134" s="123">
        <f>SIP[[#This Row],[Amount]]/SIP[[#This Row],[Unit]]</f>
        <v>12.330456226880395</v>
      </c>
      <c r="N1134" s="71">
        <f>SIP[[#This Row],[Unit Capital]]/10</f>
        <v>811</v>
      </c>
      <c r="O1134" s="71">
        <f>SUMIFS(SIP[[#Headers],[Unit]]:SIP[[#This Row],[Unit]],SIP[[#Headers],[Investor ID]]:SIP[[#This Row],[Investor ID]],SIP[[#This Row],[Investor ID]])</f>
        <v>811</v>
      </c>
      <c r="P1134" s="153">
        <v>8110</v>
      </c>
      <c r="Q1134" s="74">
        <f>SIP[[#This Row],[Amount]]-SIP[[#This Row],[Unit Capital]]</f>
        <v>1890</v>
      </c>
      <c r="R11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12.330456226880395</v>
      </c>
      <c r="S1134" s="68">
        <f t="shared" si="53"/>
        <v>14.224</v>
      </c>
      <c r="T11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4" s="74" cm="1">
        <f t="array" ref="U1134">IF(SIP[[#This Row],[B/S]]="S",ABS(SIP[[#This Row],[Unit]])*(INDEX(SIP[NAV at Cost (Average)],MATCH(CONCATENATE((SIP[[#This Row],[Frequency]]-1),SIP[[#This Row],[Investor ID]]),SIP[Unique Code],0),0)),0)</f>
        <v>0</v>
      </c>
      <c r="V1134" s="74">
        <f>IF(SIP[[#This Row],[BO TRANSFER]]="YES",SIP[[#This Row],[Unit]],)</f>
        <v>0</v>
      </c>
      <c r="W1134" s="74">
        <f>SUMIFS(SIP[[#Headers],[BO UNIT TRANSFER]]:SIP[[#This Row],[BO UNIT TRANSFER]],SIP[[#Headers],[Investor ID]]:SIP[[#This Row],[Investor ID]],SIP[[#This Row],[Investor ID]])</f>
        <v>0</v>
      </c>
    </row>
    <row r="1135" spans="1:23" ht="15" customHeight="1">
      <c r="A1135" s="101">
        <v>2025</v>
      </c>
      <c r="B1135" s="101">
        <v>4</v>
      </c>
      <c r="C1135" s="101">
        <v>27</v>
      </c>
      <c r="D1135" s="65">
        <f>DATE(SIP[[#This Row],[Year]],SIP[[#This Row],[Month]],SIP[[#This Row],[Day]])</f>
        <v>45774</v>
      </c>
      <c r="E1135" s="66" t="str" cm="1">
        <f t="array" ref="E1135">INDEX(INVESTORS_LIST[INVESTOR NAME],MATCH(SIP[[#This Row],[Investor ID]],INVESTORS_LIST[INVESTOR CODE],0),)</f>
        <v>MOHAMMED SHARIFUL ISLAM</v>
      </c>
      <c r="F1135" s="46" t="s">
        <v>1028</v>
      </c>
      <c r="G1135" s="46">
        <f>COUNTIF(SIP[[#Headers],[Investor ID]]:SIP[[#This Row],[Investor ID]],SIP[[#This Row],[Investor ID]])</f>
        <v>23</v>
      </c>
      <c r="H1135" s="46" t="str">
        <f>CONCATENATE(SIP[[#This Row],[Frequency]],SIP[[#This Row],[Investor ID]])</f>
        <v>23A00491</v>
      </c>
      <c r="I1135" s="46" t="str">
        <f>IF(SIP[[#This Row],[B/S]]="B","BUY",(IF(SIP[[#This Row],[B/S]]="S","SELL"," ")))</f>
        <v>BUY</v>
      </c>
      <c r="J1135" s="150" t="s">
        <v>1229</v>
      </c>
      <c r="K1135" s="152">
        <v>5000</v>
      </c>
      <c r="L1135" s="122"/>
      <c r="M1135" s="123">
        <f>SIP[[#This Row],[Amount]]/SIP[[#This Row],[Unit]]</f>
        <v>12.345679012345679</v>
      </c>
      <c r="N1135" s="71">
        <f>SIP[[#This Row],[Unit Capital]]/10</f>
        <v>405</v>
      </c>
      <c r="O1135" s="71">
        <f>SUMIFS(SIP[[#Headers],[Unit]]:SIP[[#This Row],[Unit]],SIP[[#Headers],[Investor ID]]:SIP[[#This Row],[Investor ID]],SIP[[#This Row],[Investor ID]])</f>
        <v>10309</v>
      </c>
      <c r="P1135" s="153">
        <v>4050</v>
      </c>
      <c r="Q1135" s="74">
        <f>SIP[[#This Row],[Amount]]-SIP[[#This Row],[Unit Capital]]</f>
        <v>950</v>
      </c>
      <c r="R11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11.155301193132217</v>
      </c>
      <c r="S1135" s="68">
        <f t="shared" si="53"/>
        <v>14.224</v>
      </c>
      <c r="T11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5" s="74" cm="1">
        <f t="array" ref="U1135">IF(SIP[[#This Row],[B/S]]="S",ABS(SIP[[#This Row],[Unit]])*(INDEX(SIP[NAV at Cost (Average)],MATCH(CONCATENATE((SIP[[#This Row],[Frequency]]-1),SIP[[#This Row],[Investor ID]]),SIP[Unique Code],0),0)),0)</f>
        <v>0</v>
      </c>
      <c r="V1135" s="74">
        <f>IF(SIP[[#This Row],[BO TRANSFER]]="YES",SIP[[#This Row],[Unit]],)</f>
        <v>0</v>
      </c>
      <c r="W1135" s="74">
        <f>SUMIFS(SIP[[#Headers],[BO UNIT TRANSFER]]:SIP[[#This Row],[BO UNIT TRANSFER]],SIP[[#Headers],[Investor ID]]:SIP[[#This Row],[Investor ID]],SIP[[#This Row],[Investor ID]])</f>
        <v>0</v>
      </c>
    </row>
    <row r="1136" spans="1:23" ht="15" customHeight="1">
      <c r="A1136" s="101">
        <v>2025</v>
      </c>
      <c r="B1136" s="101">
        <v>4</v>
      </c>
      <c r="C1136" s="101">
        <v>27</v>
      </c>
      <c r="D1136" s="65">
        <f>DATE(SIP[[#This Row],[Year]],SIP[[#This Row],[Month]],SIP[[#This Row],[Day]])</f>
        <v>45774</v>
      </c>
      <c r="E1136" s="66" t="str" cm="1">
        <f t="array" ref="E1136">INDEX(INVESTORS_LIST[INVESTOR NAME],MATCH(SIP[[#This Row],[Investor ID]],INVESTORS_LIST[INVESTOR CODE],0),)</f>
        <v>MOHAMMAD SAMIUL ALAM</v>
      </c>
      <c r="F1136" s="46" t="s">
        <v>537</v>
      </c>
      <c r="G1136" s="46">
        <f>COUNTIF(SIP[[#Headers],[Investor ID]]:SIP[[#This Row],[Investor ID]],SIP[[#This Row],[Investor ID]])</f>
        <v>21</v>
      </c>
      <c r="H1136" s="46" t="str">
        <f>CONCATENATE(SIP[[#This Row],[Frequency]],SIP[[#This Row],[Investor ID]])</f>
        <v>21A00244</v>
      </c>
      <c r="I1136" s="46" t="str">
        <f>IF(SIP[[#This Row],[B/S]]="B","BUY",(IF(SIP[[#This Row],[B/S]]="S","SELL"," ")))</f>
        <v>BUY</v>
      </c>
      <c r="J1136" s="150" t="s">
        <v>1229</v>
      </c>
      <c r="K1136" s="152">
        <v>20000</v>
      </c>
      <c r="L1136" s="122"/>
      <c r="M1136" s="123">
        <f>SIP[[#This Row],[Amount]]/SIP[[#This Row],[Unit]]</f>
        <v>12.338062924120914</v>
      </c>
      <c r="N1136" s="71">
        <f>SIP[[#This Row],[Unit Capital]]/10</f>
        <v>1621</v>
      </c>
      <c r="O1136" s="71">
        <f>SUMIFS(SIP[[#Headers],[Unit]]:SIP[[#This Row],[Unit]],SIP[[#Headers],[Investor ID]]:SIP[[#This Row],[Investor ID]],SIP[[#This Row],[Investor ID]])</f>
        <v>37361</v>
      </c>
      <c r="P1136" s="153">
        <v>16210</v>
      </c>
      <c r="Q1136" s="74">
        <f>SIP[[#This Row],[Amount]]-SIP[[#This Row],[Unit Capital]]</f>
        <v>3790</v>
      </c>
      <c r="R11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11.241669120205566</v>
      </c>
      <c r="S1136" s="68">
        <f t="shared" si="53"/>
        <v>14.224</v>
      </c>
      <c r="T11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6" s="74" cm="1">
        <f t="array" ref="U1136">IF(SIP[[#This Row],[B/S]]="S",ABS(SIP[[#This Row],[Unit]])*(INDEX(SIP[NAV at Cost (Average)],MATCH(CONCATENATE((SIP[[#This Row],[Frequency]]-1),SIP[[#This Row],[Investor ID]]),SIP[Unique Code],0),0)),0)</f>
        <v>0</v>
      </c>
      <c r="V1136" s="74">
        <f>IF(SIP[[#This Row],[BO TRANSFER]]="YES",SIP[[#This Row],[Unit]],)</f>
        <v>0</v>
      </c>
      <c r="W1136" s="74">
        <f>SUMIFS(SIP[[#Headers],[BO UNIT TRANSFER]]:SIP[[#This Row],[BO UNIT TRANSFER]],SIP[[#Headers],[Investor ID]]:SIP[[#This Row],[Investor ID]],SIP[[#This Row],[Investor ID]])</f>
        <v>0</v>
      </c>
    </row>
    <row r="1137" spans="1:23" ht="15" customHeight="1">
      <c r="A1137" s="101">
        <v>2025</v>
      </c>
      <c r="B1137" s="101">
        <v>4</v>
      </c>
      <c r="C1137" s="101">
        <v>27</v>
      </c>
      <c r="D1137" s="65">
        <f>DATE(SIP[[#This Row],[Year]],SIP[[#This Row],[Month]],SIP[[#This Row],[Day]])</f>
        <v>45774</v>
      </c>
      <c r="E1137" s="66" t="str" cm="1">
        <f t="array" ref="E1137">INDEX(INVESTORS_LIST[INVESTOR NAME],MATCH(SIP[[#This Row],[Investor ID]],INVESTORS_LIST[INVESTOR CODE],0),)</f>
        <v>MD ABDULLAH-AL- MAMUN</v>
      </c>
      <c r="F1137" s="46" t="s">
        <v>533</v>
      </c>
      <c r="G1137" s="46">
        <f>COUNTIF(SIP[[#Headers],[Investor ID]]:SIP[[#This Row],[Investor ID]],SIP[[#This Row],[Investor ID]])</f>
        <v>19</v>
      </c>
      <c r="H1137" s="46" t="str">
        <f>CONCATENATE(SIP[[#This Row],[Frequency]],SIP[[#This Row],[Investor ID]])</f>
        <v>19A00242</v>
      </c>
      <c r="I1137" s="46" t="str">
        <f>IF(SIP[[#This Row],[B/S]]="B","BUY",(IF(SIP[[#This Row],[B/S]]="S","SELL"," ")))</f>
        <v>BUY</v>
      </c>
      <c r="J1137" s="150" t="s">
        <v>1229</v>
      </c>
      <c r="K1137" s="152">
        <v>15000</v>
      </c>
      <c r="L1137" s="122"/>
      <c r="M1137" s="123">
        <f>SIP[[#This Row],[Amount]]/SIP[[#This Row],[Unit]]</f>
        <v>12.335526315789474</v>
      </c>
      <c r="N1137" s="71">
        <f>SIP[[#This Row],[Unit Capital]]/10</f>
        <v>1216</v>
      </c>
      <c r="O1137" s="71">
        <f>SUMIFS(SIP[[#Headers],[Unit]]:SIP[[#This Row],[Unit]],SIP[[#Headers],[Investor ID]]:SIP[[#This Row],[Investor ID]],SIP[[#This Row],[Investor ID]])</f>
        <v>25151</v>
      </c>
      <c r="P1137" s="153">
        <v>12160</v>
      </c>
      <c r="Q1137" s="74">
        <f>SIP[[#This Row],[Amount]]-SIP[[#This Row],[Unit Capital]]</f>
        <v>2840</v>
      </c>
      <c r="R11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11.331557393344205</v>
      </c>
      <c r="S1137" s="68">
        <f t="shared" si="53"/>
        <v>14.224</v>
      </c>
      <c r="T11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7" s="74" cm="1">
        <f t="array" ref="U1137">IF(SIP[[#This Row],[B/S]]="S",ABS(SIP[[#This Row],[Unit]])*(INDEX(SIP[NAV at Cost (Average)],MATCH(CONCATENATE((SIP[[#This Row],[Frequency]]-1),SIP[[#This Row],[Investor ID]]),SIP[Unique Code],0),0)),0)</f>
        <v>0</v>
      </c>
      <c r="V1137" s="74">
        <f>IF(SIP[[#This Row],[BO TRANSFER]]="YES",SIP[[#This Row],[Unit]],)</f>
        <v>0</v>
      </c>
      <c r="W1137" s="74">
        <f>SUMIFS(SIP[[#Headers],[BO UNIT TRANSFER]]:SIP[[#This Row],[BO UNIT TRANSFER]],SIP[[#Headers],[Investor ID]]:SIP[[#This Row],[Investor ID]],SIP[[#This Row],[Investor ID]])</f>
        <v>0</v>
      </c>
    </row>
    <row r="1138" spans="1:23" ht="15" customHeight="1">
      <c r="A1138" s="101">
        <v>2025</v>
      </c>
      <c r="B1138" s="101">
        <v>4</v>
      </c>
      <c r="C1138" s="101">
        <v>27</v>
      </c>
      <c r="D1138" s="65">
        <f>DATE(SIP[[#This Row],[Year]],SIP[[#This Row],[Month]],SIP[[#This Row],[Day]])</f>
        <v>45774</v>
      </c>
      <c r="E1138" s="66" t="str" cm="1">
        <f t="array" ref="E1138">INDEX(INVESTORS_LIST[INVESTOR NAME],MATCH(SIP[[#This Row],[Investor ID]],INVESTORS_LIST[INVESTOR CODE],0),)</f>
        <v>MUHAMMAD SHOHIDUZZAMAN</v>
      </c>
      <c r="F1138" s="46" t="s">
        <v>986</v>
      </c>
      <c r="G1138" s="46">
        <f>COUNTIF(SIP[[#Headers],[Investor ID]]:SIP[[#This Row],[Investor ID]],SIP[[#This Row],[Investor ID]])</f>
        <v>18</v>
      </c>
      <c r="H1138" s="46" t="str">
        <f>CONCATENATE(SIP[[#This Row],[Frequency]],SIP[[#This Row],[Investor ID]])</f>
        <v>18A00470</v>
      </c>
      <c r="I1138" s="46" t="str">
        <f>IF(SIP[[#This Row],[B/S]]="B","BUY",(IF(SIP[[#This Row],[B/S]]="S","SELL"," ")))</f>
        <v>BUY</v>
      </c>
      <c r="J1138" s="150" t="s">
        <v>1229</v>
      </c>
      <c r="K1138" s="152">
        <v>10000</v>
      </c>
      <c r="L1138" s="122" t="s">
        <v>1230</v>
      </c>
      <c r="M1138" s="123">
        <f>SIP[[#This Row],[Amount]]/SIP[[#This Row],[Unit]]</f>
        <v>12.330456226880395</v>
      </c>
      <c r="N1138" s="71">
        <f>SIP[[#This Row],[Unit Capital]]/10</f>
        <v>811</v>
      </c>
      <c r="O1138" s="71">
        <f>SUMIFS(SIP[[#Headers],[Unit]]:SIP[[#This Row],[Unit]],SIP[[#Headers],[Investor ID]]:SIP[[#This Row],[Investor ID]],SIP[[#This Row],[Investor ID]])</f>
        <v>15820</v>
      </c>
      <c r="P1138" s="153">
        <v>8110</v>
      </c>
      <c r="Q1138" s="74">
        <f>SIP[[#This Row],[Amount]]-SIP[[#This Row],[Unit Capital]]</f>
        <v>1890</v>
      </c>
      <c r="R11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11.378002528445004</v>
      </c>
      <c r="S1138" s="68">
        <f t="shared" si="53"/>
        <v>14.224</v>
      </c>
      <c r="T11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8" s="74" cm="1">
        <f t="array" ref="U1138">IF(SIP[[#This Row],[B/S]]="S",ABS(SIP[[#This Row],[Unit]])*(INDEX(SIP[NAV at Cost (Average)],MATCH(CONCATENATE((SIP[[#This Row],[Frequency]]-1),SIP[[#This Row],[Investor ID]]),SIP[Unique Code],0),0)),0)</f>
        <v>0</v>
      </c>
      <c r="V1138" s="74">
        <f>IF(SIP[[#This Row],[BO TRANSFER]]="YES",SIP[[#This Row],[Unit]],)</f>
        <v>811</v>
      </c>
      <c r="W1138" s="74">
        <f>SUMIFS(SIP[[#Headers],[BO UNIT TRANSFER]]:SIP[[#This Row],[BO UNIT TRANSFER]],SIP[[#Headers],[Investor ID]]:SIP[[#This Row],[Investor ID]],SIP[[#This Row],[Investor ID]])</f>
        <v>15820</v>
      </c>
    </row>
    <row r="1139" spans="1:23" ht="15" customHeight="1">
      <c r="A1139" s="101">
        <v>2025</v>
      </c>
      <c r="B1139" s="101">
        <v>4</v>
      </c>
      <c r="C1139" s="101">
        <v>27</v>
      </c>
      <c r="D1139" s="65">
        <f>DATE(SIP[[#This Row],[Year]],SIP[[#This Row],[Month]],SIP[[#This Row],[Day]])</f>
        <v>45774</v>
      </c>
      <c r="E1139" s="66" t="str" cm="1">
        <f t="array" ref="E1139">INDEX(INVESTORS_LIST[INVESTOR NAME],MATCH(SIP[[#This Row],[Investor ID]],INVESTORS_LIST[INVESTOR CODE],0),)</f>
        <v>HUMAIRA TABASSUM READDHE</v>
      </c>
      <c r="F1139" s="46" t="s">
        <v>1052</v>
      </c>
      <c r="G1139" s="46">
        <f>COUNTIF(SIP[[#Headers],[Investor ID]]:SIP[[#This Row],[Investor ID]],SIP[[#This Row],[Investor ID]])</f>
        <v>9</v>
      </c>
      <c r="H1139" s="46" t="str">
        <f>CONCATENATE(SIP[[#This Row],[Frequency]],SIP[[#This Row],[Investor ID]])</f>
        <v>9A00503</v>
      </c>
      <c r="I1139" s="46" t="str">
        <f>IF(SIP[[#This Row],[B/S]]="B","BUY",(IF(SIP[[#This Row],[B/S]]="S","SELL"," ")))</f>
        <v>BUY</v>
      </c>
      <c r="J1139" s="150" t="s">
        <v>1229</v>
      </c>
      <c r="K1139" s="152">
        <v>3000</v>
      </c>
      <c r="L1139" s="122"/>
      <c r="M1139" s="123">
        <f>SIP[[#This Row],[Amount]]/SIP[[#This Row],[Unit]]</f>
        <v>12.345679012345679</v>
      </c>
      <c r="N1139" s="71">
        <f>SIP[[#This Row],[Unit Capital]]/10</f>
        <v>243</v>
      </c>
      <c r="O1139" s="71">
        <f>SUMIFS(SIP[[#Headers],[Unit]]:SIP[[#This Row],[Unit]],SIP[[#Headers],[Investor ID]]:SIP[[#This Row],[Investor ID]],SIP[[#This Row],[Investor ID]])</f>
        <v>2269</v>
      </c>
      <c r="P1139" s="153">
        <v>2430</v>
      </c>
      <c r="Q1139" s="74">
        <f>SIP[[#This Row],[Amount]]-SIP[[#This Row],[Unit Capital]]</f>
        <v>570</v>
      </c>
      <c r="R11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11.899515204936096</v>
      </c>
      <c r="S1139" s="68">
        <f t="shared" si="53"/>
        <v>14.224</v>
      </c>
      <c r="T11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9" s="74" cm="1">
        <f t="array" ref="U1139">IF(SIP[[#This Row],[B/S]]="S",ABS(SIP[[#This Row],[Unit]])*(INDEX(SIP[NAV at Cost (Average)],MATCH(CONCATENATE((SIP[[#This Row],[Frequency]]-1),SIP[[#This Row],[Investor ID]]),SIP[Unique Code],0),0)),0)</f>
        <v>0</v>
      </c>
      <c r="V1139" s="74">
        <f>IF(SIP[[#This Row],[BO TRANSFER]]="YES",SIP[[#This Row],[Unit]],)</f>
        <v>0</v>
      </c>
      <c r="W1139" s="74">
        <f>SUMIFS(SIP[[#Headers],[BO UNIT TRANSFER]]:SIP[[#This Row],[BO UNIT TRANSFER]],SIP[[#Headers],[Investor ID]]:SIP[[#This Row],[Investor ID]],SIP[[#This Row],[Investor ID]])</f>
        <v>0</v>
      </c>
    </row>
    <row r="1140" spans="1:23" ht="15" customHeight="1">
      <c r="A1140" s="101">
        <v>2025</v>
      </c>
      <c r="B1140" s="101">
        <v>4</v>
      </c>
      <c r="C1140" s="101">
        <v>27</v>
      </c>
      <c r="D1140" s="65">
        <f>DATE(SIP[[#This Row],[Year]],SIP[[#This Row],[Month]],SIP[[#This Row],[Day]])</f>
        <v>45774</v>
      </c>
      <c r="E1140" s="66" t="str" cm="1">
        <f t="array" ref="E1140">INDEX(INVESTORS_LIST[INVESTOR NAME],MATCH(SIP[[#This Row],[Investor ID]],INVESTORS_LIST[INVESTOR CODE],0),)</f>
        <v>SHAPNA RANI BARMAN</v>
      </c>
      <c r="F1140" s="46" t="s">
        <v>1292</v>
      </c>
      <c r="G1140" s="46">
        <f>COUNTIF(SIP[[#Headers],[Investor ID]]:SIP[[#This Row],[Investor ID]],SIP[[#This Row],[Investor ID]])</f>
        <v>6</v>
      </c>
      <c r="H1140" s="46" t="str">
        <f>CONCATENATE(SIP[[#This Row],[Frequency]],SIP[[#This Row],[Investor ID]])</f>
        <v>6A00593</v>
      </c>
      <c r="I1140" s="46" t="str">
        <f>IF(SIP[[#This Row],[B/S]]="B","BUY",(IF(SIP[[#This Row],[B/S]]="S","SELL"," ")))</f>
        <v>BUY</v>
      </c>
      <c r="J1140" s="150" t="s">
        <v>1229</v>
      </c>
      <c r="K1140" s="152">
        <v>1000</v>
      </c>
      <c r="L1140" s="122"/>
      <c r="M1140" s="123">
        <f>SIP[[#This Row],[Amount]]/SIP[[#This Row],[Unit]]</f>
        <v>12.345679012345679</v>
      </c>
      <c r="N1140" s="71">
        <f>SIP[[#This Row],[Unit Capital]]/10</f>
        <v>81</v>
      </c>
      <c r="O1140" s="71">
        <f>SUMIFS(SIP[[#Headers],[Unit]]:SIP[[#This Row],[Unit]],SIP[[#Headers],[Investor ID]]:SIP[[#This Row],[Investor ID]],SIP[[#This Row],[Investor ID]])</f>
        <v>496</v>
      </c>
      <c r="P1140" s="153">
        <v>810</v>
      </c>
      <c r="Q1140" s="74">
        <f>SIP[[#This Row],[Amount]]-SIP[[#This Row],[Unit Capital]]</f>
        <v>190</v>
      </c>
      <c r="R11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12.096774193548386</v>
      </c>
      <c r="S1140" s="68">
        <f t="shared" si="53"/>
        <v>14.224</v>
      </c>
      <c r="T11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0" s="74" cm="1">
        <f t="array" ref="U1140">IF(SIP[[#This Row],[B/S]]="S",ABS(SIP[[#This Row],[Unit]])*(INDEX(SIP[NAV at Cost (Average)],MATCH(CONCATENATE((SIP[[#This Row],[Frequency]]-1),SIP[[#This Row],[Investor ID]]),SIP[Unique Code],0),0)),0)</f>
        <v>0</v>
      </c>
      <c r="V1140" s="74">
        <f>IF(SIP[[#This Row],[BO TRANSFER]]="YES",SIP[[#This Row],[Unit]],)</f>
        <v>0</v>
      </c>
      <c r="W1140" s="74">
        <f>SUMIFS(SIP[[#Headers],[BO UNIT TRANSFER]]:SIP[[#This Row],[BO UNIT TRANSFER]],SIP[[#Headers],[Investor ID]]:SIP[[#This Row],[Investor ID]],SIP[[#This Row],[Investor ID]])</f>
        <v>0</v>
      </c>
    </row>
    <row r="1141" spans="1:23" ht="15" customHeight="1">
      <c r="A1141" s="101">
        <v>2025</v>
      </c>
      <c r="B1141" s="101">
        <v>4</v>
      </c>
      <c r="C1141" s="101">
        <v>27</v>
      </c>
      <c r="D1141" s="65">
        <f>DATE(SIP[[#This Row],[Year]],SIP[[#This Row],[Month]],SIP[[#This Row],[Day]])</f>
        <v>45774</v>
      </c>
      <c r="E1141" s="66" t="str" cm="1">
        <f t="array" ref="E1141">INDEX(INVESTORS_LIST[INVESTOR NAME],MATCH(SIP[[#This Row],[Investor ID]],INVESTORS_LIST[INVESTOR CODE],0),)</f>
        <v>MAYA RANI SAHA</v>
      </c>
      <c r="F1141" s="46" t="s">
        <v>224</v>
      </c>
      <c r="G1141" s="46">
        <f>COUNTIF(SIP[[#Headers],[Investor ID]]:SIP[[#This Row],[Investor ID]],SIP[[#This Row],[Investor ID]])</f>
        <v>48</v>
      </c>
      <c r="H1141" s="46" t="str">
        <f>CONCATENATE(SIP[[#This Row],[Frequency]],SIP[[#This Row],[Investor ID]])</f>
        <v>48A00088</v>
      </c>
      <c r="I1141" s="46" t="str">
        <f>IF(SIP[[#This Row],[B/S]]="B","BUY",(IF(SIP[[#This Row],[B/S]]="S","SELL"," ")))</f>
        <v>BUY</v>
      </c>
      <c r="J1141" s="150" t="s">
        <v>1229</v>
      </c>
      <c r="K1141" s="152">
        <v>10000</v>
      </c>
      <c r="L1141" s="122"/>
      <c r="M1141" s="123">
        <f>SIP[[#This Row],[Amount]]/SIP[[#This Row],[Unit]]</f>
        <v>12.330456226880395</v>
      </c>
      <c r="N1141" s="71">
        <f>SIP[[#This Row],[Unit Capital]]/10</f>
        <v>811</v>
      </c>
      <c r="O1141" s="71">
        <f>SUMIFS(SIP[[#Headers],[Unit]]:SIP[[#This Row],[Unit]],SIP[[#Headers],[Investor ID]]:SIP[[#This Row],[Investor ID]],SIP[[#This Row],[Investor ID]])</f>
        <v>60718</v>
      </c>
      <c r="P1141" s="153">
        <v>8110</v>
      </c>
      <c r="Q1141" s="74">
        <f>SIP[[#This Row],[Amount]]-SIP[[#This Row],[Unit Capital]]</f>
        <v>1890</v>
      </c>
      <c r="R11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11.462828156395139</v>
      </c>
      <c r="S1141" s="68">
        <f t="shared" si="53"/>
        <v>14.224</v>
      </c>
      <c r="T11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1" s="74" cm="1">
        <f t="array" ref="U1141">IF(SIP[[#This Row],[B/S]]="S",ABS(SIP[[#This Row],[Unit]])*(INDEX(SIP[NAV at Cost (Average)],MATCH(CONCATENATE((SIP[[#This Row],[Frequency]]-1),SIP[[#This Row],[Investor ID]]),SIP[Unique Code],0),0)),0)</f>
        <v>0</v>
      </c>
      <c r="V1141" s="74">
        <f>IF(SIP[[#This Row],[BO TRANSFER]]="YES",SIP[[#This Row],[Unit]],)</f>
        <v>0</v>
      </c>
      <c r="W1141" s="74">
        <f>SUMIFS(SIP[[#Headers],[BO UNIT TRANSFER]]:SIP[[#This Row],[BO UNIT TRANSFER]],SIP[[#Headers],[Investor ID]]:SIP[[#This Row],[Investor ID]],SIP[[#This Row],[Investor ID]])</f>
        <v>0</v>
      </c>
    </row>
    <row r="1142" spans="1:23" ht="15" customHeight="1">
      <c r="A1142" s="101">
        <v>2025</v>
      </c>
      <c r="B1142" s="101">
        <v>4</v>
      </c>
      <c r="C1142" s="101">
        <v>27</v>
      </c>
      <c r="D1142" s="65">
        <f>DATE(SIP[[#This Row],[Year]],SIP[[#This Row],[Month]],SIP[[#This Row],[Day]])</f>
        <v>45774</v>
      </c>
      <c r="E1142" s="66" t="str" cm="1">
        <f t="array" ref="E1142">INDEX(INVESTORS_LIST[INVESTOR NAME],MATCH(SIP[[#This Row],[Investor ID]],INVESTORS_LIST[INVESTOR CODE],0),)</f>
        <v>MAHBUB-UL-ANAM KHAN</v>
      </c>
      <c r="F1142" s="46" t="s">
        <v>626</v>
      </c>
      <c r="G1142" s="46">
        <f>COUNTIF(SIP[[#Headers],[Investor ID]]:SIP[[#This Row],[Investor ID]],SIP[[#This Row],[Investor ID]])</f>
        <v>9</v>
      </c>
      <c r="H1142" s="46" t="str">
        <f>CONCATENATE(SIP[[#This Row],[Frequency]],SIP[[#This Row],[Investor ID]])</f>
        <v>9A00289</v>
      </c>
      <c r="I1142" s="46" t="str">
        <f>IF(SIP[[#This Row],[B/S]]="B","BUY",(IF(SIP[[#This Row],[B/S]]="S","SELL"," ")))</f>
        <v>BUY</v>
      </c>
      <c r="J1142" s="150" t="s">
        <v>1229</v>
      </c>
      <c r="K1142" s="152">
        <v>5000</v>
      </c>
      <c r="L1142" s="122"/>
      <c r="M1142" s="123">
        <f>SIP[[#This Row],[Amount]]/SIP[[#This Row],[Unit]]</f>
        <v>12.345679012345679</v>
      </c>
      <c r="N1142" s="71">
        <f>SIP[[#This Row],[Unit Capital]]/10</f>
        <v>405</v>
      </c>
      <c r="O1142" s="71">
        <f>SUMIFS(SIP[[#Headers],[Unit]]:SIP[[#This Row],[Unit]],SIP[[#Headers],[Investor ID]]:SIP[[#This Row],[Investor ID]],SIP[[#This Row],[Investor ID]])</f>
        <v>3781</v>
      </c>
      <c r="P1142" s="153">
        <v>4050</v>
      </c>
      <c r="Q1142" s="74">
        <f>SIP[[#This Row],[Amount]]-SIP[[#This Row],[Unit Capital]]</f>
        <v>950</v>
      </c>
      <c r="R11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11.901613329806928</v>
      </c>
      <c r="S1142" s="68">
        <f t="shared" si="53"/>
        <v>14.224</v>
      </c>
      <c r="T11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2" s="74" cm="1">
        <f t="array" ref="U1142">IF(SIP[[#This Row],[B/S]]="S",ABS(SIP[[#This Row],[Unit]])*(INDEX(SIP[NAV at Cost (Average)],MATCH(CONCATENATE((SIP[[#This Row],[Frequency]]-1),SIP[[#This Row],[Investor ID]]),SIP[Unique Code],0),0)),0)</f>
        <v>0</v>
      </c>
      <c r="V1142" s="74">
        <f>IF(SIP[[#This Row],[BO TRANSFER]]="YES",SIP[[#This Row],[Unit]],)</f>
        <v>0</v>
      </c>
      <c r="W1142" s="74">
        <f>SUMIFS(SIP[[#Headers],[BO UNIT TRANSFER]]:SIP[[#This Row],[BO UNIT TRANSFER]],SIP[[#Headers],[Investor ID]]:SIP[[#This Row],[Investor ID]],SIP[[#This Row],[Investor ID]])</f>
        <v>0</v>
      </c>
    </row>
    <row r="1143" spans="1:23" ht="15" customHeight="1">
      <c r="A1143" s="101">
        <v>2025</v>
      </c>
      <c r="B1143" s="101">
        <v>4</v>
      </c>
      <c r="C1143" s="101">
        <v>27</v>
      </c>
      <c r="D1143" s="65">
        <f>DATE(SIP[[#This Row],[Year]],SIP[[#This Row],[Month]],SIP[[#This Row],[Day]])</f>
        <v>45774</v>
      </c>
      <c r="E1143" s="66" t="str" cm="1">
        <f t="array" ref="E1143">INDEX(INVESTORS_LIST[INVESTOR NAME],MATCH(SIP[[#This Row],[Investor ID]],INVESTORS_LIST[INVESTOR CODE],0),)</f>
        <v>MST. GOLENUR</v>
      </c>
      <c r="F1143" s="46" t="s">
        <v>1075</v>
      </c>
      <c r="G1143" s="46">
        <f>COUNTIF(SIP[[#Headers],[Investor ID]]:SIP[[#This Row],[Investor ID]],SIP[[#This Row],[Investor ID]])</f>
        <v>5</v>
      </c>
      <c r="H1143" s="46" t="str">
        <f>CONCATENATE(SIP[[#This Row],[Frequency]],SIP[[#This Row],[Investor ID]])</f>
        <v>5A00515</v>
      </c>
      <c r="I1143" s="46" t="str">
        <f>IF(SIP[[#This Row],[B/S]]="B","BUY",(IF(SIP[[#This Row],[B/S]]="S","SELL"," ")))</f>
        <v>BUY</v>
      </c>
      <c r="J1143" s="150" t="s">
        <v>1229</v>
      </c>
      <c r="K1143" s="152">
        <v>2000</v>
      </c>
      <c r="L1143" s="122"/>
      <c r="M1143" s="123">
        <f>SIP[[#This Row],[Amount]]/SIP[[#This Row],[Unit]]</f>
        <v>12.345679012345679</v>
      </c>
      <c r="N1143" s="71">
        <f>SIP[[#This Row],[Unit Capital]]/10</f>
        <v>162</v>
      </c>
      <c r="O1143" s="71">
        <f>SUMIFS(SIP[[#Headers],[Unit]]:SIP[[#This Row],[Unit]],SIP[[#Headers],[Investor ID]]:SIP[[#This Row],[Investor ID]],SIP[[#This Row],[Investor ID]])</f>
        <v>818</v>
      </c>
      <c r="P1143" s="153">
        <v>1620</v>
      </c>
      <c r="Q1143" s="74">
        <f>SIP[[#This Row],[Amount]]-SIP[[#This Row],[Unit Capital]]</f>
        <v>380</v>
      </c>
      <c r="R11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12.224938875305625</v>
      </c>
      <c r="S1143" s="68">
        <f t="shared" si="53"/>
        <v>14.224</v>
      </c>
      <c r="T11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3" s="74" cm="1">
        <f t="array" ref="U1143">IF(SIP[[#This Row],[B/S]]="S",ABS(SIP[[#This Row],[Unit]])*(INDEX(SIP[NAV at Cost (Average)],MATCH(CONCATENATE((SIP[[#This Row],[Frequency]]-1),SIP[[#This Row],[Investor ID]]),SIP[Unique Code],0),0)),0)</f>
        <v>0</v>
      </c>
      <c r="V1143" s="74">
        <f>IF(SIP[[#This Row],[BO TRANSFER]]="YES",SIP[[#This Row],[Unit]],)</f>
        <v>0</v>
      </c>
      <c r="W1143" s="74">
        <f>SUMIFS(SIP[[#Headers],[BO UNIT TRANSFER]]:SIP[[#This Row],[BO UNIT TRANSFER]],SIP[[#Headers],[Investor ID]]:SIP[[#This Row],[Investor ID]],SIP[[#This Row],[Investor ID]])</f>
        <v>0</v>
      </c>
    </row>
    <row r="1144" spans="1:23" ht="15" customHeight="1">
      <c r="A1144" s="101">
        <v>2025</v>
      </c>
      <c r="B1144" s="101">
        <v>4</v>
      </c>
      <c r="C1144" s="101">
        <v>29</v>
      </c>
      <c r="D1144" s="65">
        <f>DATE(SIP[[#This Row],[Year]],SIP[[#This Row],[Month]],SIP[[#This Row],[Day]])</f>
        <v>45776</v>
      </c>
      <c r="E1144" s="66" t="str" cm="1">
        <f t="array" ref="E1144">INDEX(INVESTORS_LIST[INVESTOR NAME],MATCH(SIP[[#This Row],[Investor ID]],INVESTORS_LIST[INVESTOR CODE],0),)</f>
        <v>RAJIB</v>
      </c>
      <c r="F1144" s="46" t="s">
        <v>1321</v>
      </c>
      <c r="G1144" s="46">
        <f>COUNTIF(SIP[[#Headers],[Investor ID]]:SIP[[#This Row],[Investor ID]],SIP[[#This Row],[Investor ID]])</f>
        <v>1</v>
      </c>
      <c r="H1144" s="46" t="str">
        <f>CONCATENATE(SIP[[#This Row],[Frequency]],SIP[[#This Row],[Investor ID]])</f>
        <v>1A00607</v>
      </c>
      <c r="I1144" s="46" t="str">
        <f>IF(SIP[[#This Row],[B/S]]="B","BUY",(IF(SIP[[#This Row],[B/S]]="S","SELL"," ")))</f>
        <v>BUY</v>
      </c>
      <c r="J1144" s="150" t="s">
        <v>1229</v>
      </c>
      <c r="K1144" s="152">
        <v>1000</v>
      </c>
      <c r="L1144" s="122"/>
      <c r="M1144" s="123">
        <f>SIP[[#This Row],[Amount]]/SIP[[#This Row],[Unit]]</f>
        <v>12.345679012345679</v>
      </c>
      <c r="N1144" s="71">
        <f>SIP[[#This Row],[Unit Capital]]/10</f>
        <v>81</v>
      </c>
      <c r="O1144" s="71">
        <f>SUMIFS(SIP[[#Headers],[Unit]]:SIP[[#This Row],[Unit]],SIP[[#Headers],[Investor ID]]:SIP[[#This Row],[Investor ID]],SIP[[#This Row],[Investor ID]])</f>
        <v>81</v>
      </c>
      <c r="P1144" s="153">
        <v>810</v>
      </c>
      <c r="Q1144" s="74">
        <f>SIP[[#This Row],[Amount]]-SIP[[#This Row],[Unit Capital]]</f>
        <v>190</v>
      </c>
      <c r="R11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12.345679012345679</v>
      </c>
      <c r="S1144" s="68">
        <f t="shared" si="53"/>
        <v>14.224</v>
      </c>
      <c r="T11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4" s="74" cm="1">
        <f t="array" ref="U1144">IF(SIP[[#This Row],[B/S]]="S",ABS(SIP[[#This Row],[Unit]])*(INDEX(SIP[NAV at Cost (Average)],MATCH(CONCATENATE((SIP[[#This Row],[Frequency]]-1),SIP[[#This Row],[Investor ID]]),SIP[Unique Code],0),0)),0)</f>
        <v>0</v>
      </c>
      <c r="V1144" s="74">
        <f>IF(SIP[[#This Row],[BO TRANSFER]]="YES",SIP[[#This Row],[Unit]],)</f>
        <v>0</v>
      </c>
      <c r="W1144" s="74">
        <f>SUMIFS(SIP[[#Headers],[BO UNIT TRANSFER]]:SIP[[#This Row],[BO UNIT TRANSFER]],SIP[[#Headers],[Investor ID]]:SIP[[#This Row],[Investor ID]],SIP[[#This Row],[Investor ID]])</f>
        <v>0</v>
      </c>
    </row>
    <row r="1145" spans="1:23" ht="15" customHeight="1">
      <c r="A1145" s="101">
        <v>2025</v>
      </c>
      <c r="B1145" s="101">
        <v>4</v>
      </c>
      <c r="C1145" s="101">
        <v>29</v>
      </c>
      <c r="D1145" s="65">
        <f>DATE(SIP[[#This Row],[Year]],SIP[[#This Row],[Month]],SIP[[#This Row],[Day]])</f>
        <v>45776</v>
      </c>
      <c r="E1145" s="66" t="str" cm="1">
        <f t="array" ref="E1145">INDEX(INVESTORS_LIST[INVESTOR NAME],MATCH(SIP[[#This Row],[Investor ID]],INVESTORS_LIST[INVESTOR CODE],0),)</f>
        <v>RUMA AKTER</v>
      </c>
      <c r="F1145" s="46" t="s">
        <v>1323</v>
      </c>
      <c r="G1145" s="46">
        <f>COUNTIF(SIP[[#Headers],[Investor ID]]:SIP[[#This Row],[Investor ID]],SIP[[#This Row],[Investor ID]])</f>
        <v>1</v>
      </c>
      <c r="H1145" s="46" t="str">
        <f>CONCATENATE(SIP[[#This Row],[Frequency]],SIP[[#This Row],[Investor ID]])</f>
        <v>1A00608</v>
      </c>
      <c r="I1145" s="46" t="str">
        <f>IF(SIP[[#This Row],[B/S]]="B","BUY",(IF(SIP[[#This Row],[B/S]]="S","SELL"," ")))</f>
        <v>BUY</v>
      </c>
      <c r="J1145" s="150" t="s">
        <v>1229</v>
      </c>
      <c r="K1145" s="152">
        <v>1000</v>
      </c>
      <c r="L1145" s="122"/>
      <c r="M1145" s="123">
        <f>SIP[[#This Row],[Amount]]/SIP[[#This Row],[Unit]]</f>
        <v>12.345679012345679</v>
      </c>
      <c r="N1145" s="71">
        <f>SIP[[#This Row],[Unit Capital]]/10</f>
        <v>81</v>
      </c>
      <c r="O1145" s="71">
        <f>SUMIFS(SIP[[#Headers],[Unit]]:SIP[[#This Row],[Unit]],SIP[[#Headers],[Investor ID]]:SIP[[#This Row],[Investor ID]],SIP[[#This Row],[Investor ID]])</f>
        <v>81</v>
      </c>
      <c r="P1145" s="153">
        <v>810</v>
      </c>
      <c r="Q1145" s="74">
        <f>SIP[[#This Row],[Amount]]-SIP[[#This Row],[Unit Capital]]</f>
        <v>190</v>
      </c>
      <c r="R11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12.345679012345679</v>
      </c>
      <c r="S1145" s="68">
        <f t="shared" si="53"/>
        <v>14.224</v>
      </c>
      <c r="T11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5" s="74" cm="1">
        <f t="array" ref="U1145">IF(SIP[[#This Row],[B/S]]="S",ABS(SIP[[#This Row],[Unit]])*(INDEX(SIP[NAV at Cost (Average)],MATCH(CONCATENATE((SIP[[#This Row],[Frequency]]-1),SIP[[#This Row],[Investor ID]]),SIP[Unique Code],0),0)),0)</f>
        <v>0</v>
      </c>
      <c r="V1145" s="74">
        <f>IF(SIP[[#This Row],[BO TRANSFER]]="YES",SIP[[#This Row],[Unit]],)</f>
        <v>0</v>
      </c>
      <c r="W1145" s="74">
        <f>SUMIFS(SIP[[#Headers],[BO UNIT TRANSFER]]:SIP[[#This Row],[BO UNIT TRANSFER]],SIP[[#Headers],[Investor ID]]:SIP[[#This Row],[Investor ID]],SIP[[#This Row],[Investor ID]])</f>
        <v>0</v>
      </c>
    </row>
    <row r="1146" spans="1:23" ht="15" customHeight="1">
      <c r="A1146" s="101">
        <v>2025</v>
      </c>
      <c r="B1146" s="101">
        <v>4</v>
      </c>
      <c r="C1146" s="101">
        <v>29</v>
      </c>
      <c r="D1146" s="65">
        <f>DATE(SIP[[#This Row],[Year]],SIP[[#This Row],[Month]],SIP[[#This Row],[Day]])</f>
        <v>45776</v>
      </c>
      <c r="E1146" s="66" t="str" cm="1">
        <f t="array" ref="E1146">INDEX(INVESTORS_LIST[INVESTOR NAME],MATCH(SIP[[#This Row],[Investor ID]],INVESTORS_LIST[INVESTOR CODE],0),)</f>
        <v>S.M. SAIFUL ISLAM</v>
      </c>
      <c r="F1146" s="166" t="s">
        <v>1002</v>
      </c>
      <c r="G1146" s="46">
        <f>COUNTIF(SIP[[#Headers],[Investor ID]]:SIP[[#This Row],[Investor ID]],SIP[[#This Row],[Investor ID]])</f>
        <v>27</v>
      </c>
      <c r="H1146" s="46" t="str">
        <f>CONCATENATE(SIP[[#This Row],[Frequency]],SIP[[#This Row],[Investor ID]])</f>
        <v>27A00478</v>
      </c>
      <c r="I1146" s="46" t="str">
        <f>IF(SIP[[#This Row],[B/S]]="B","BUY",(IF(SIP[[#This Row],[B/S]]="S","SELL"," ")))</f>
        <v>SELL</v>
      </c>
      <c r="J1146" s="150" t="s">
        <v>1231</v>
      </c>
      <c r="K1146" s="152">
        <v>-10000</v>
      </c>
      <c r="L1146" s="122"/>
      <c r="M1146" s="123">
        <f>SIP[[#This Row],[Amount]]/SIP[[#This Row],[Unit]]</f>
        <v>12.330456226880395</v>
      </c>
      <c r="N1146" s="71">
        <f>SIP[[#This Row],[Unit Capital]]/10</f>
        <v>-811</v>
      </c>
      <c r="O1146" s="71">
        <f>SUMIFS(SIP[[#Headers],[Unit]]:SIP[[#This Row],[Unit]],SIP[[#Headers],[Investor ID]]:SIP[[#This Row],[Investor ID]],SIP[[#This Row],[Investor ID]])</f>
        <v>0</v>
      </c>
      <c r="P1146" s="153">
        <v>-8110</v>
      </c>
      <c r="Q1146" s="74">
        <f>SIP[[#This Row],[Amount]]-SIP[[#This Row],[Unit Capital]]</f>
        <v>-1890</v>
      </c>
      <c r="R11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146" s="68">
        <f t="shared" ref="S1146:S1160" si="54">NAV_MKT</f>
        <v>14.224</v>
      </c>
      <c r="T11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6" s="74" cm="1">
        <f t="array" ref="U1146">IF(SIP[[#This Row],[B/S]]="S",ABS(SIP[[#This Row],[Unit]])*(INDEX(SIP[NAV at Cost (Average)],MATCH(CONCATENATE((SIP[[#This Row],[Frequency]]-1),SIP[[#This Row],[Investor ID]]),SIP[Unique Code],0),0)),0)</f>
        <v>10000</v>
      </c>
      <c r="V1146" s="74">
        <f>IF(SIP[[#This Row],[BO TRANSFER]]="YES",SIP[[#This Row],[Unit]],)</f>
        <v>0</v>
      </c>
      <c r="W1146" s="74">
        <f>SUMIFS(SIP[[#Headers],[BO UNIT TRANSFER]]:SIP[[#This Row],[BO UNIT TRANSFER]],SIP[[#Headers],[Investor ID]]:SIP[[#This Row],[Investor ID]],SIP[[#This Row],[Investor ID]])</f>
        <v>0</v>
      </c>
    </row>
    <row r="1147" spans="1:23" ht="15" customHeight="1">
      <c r="A1147" s="101">
        <v>2025</v>
      </c>
      <c r="B1147" s="101">
        <v>5</v>
      </c>
      <c r="C1147" s="101">
        <v>5</v>
      </c>
      <c r="D1147" s="65">
        <f>DATE(SIP[[#This Row],[Year]],SIP[[#This Row],[Month]],SIP[[#This Row],[Day]])</f>
        <v>45782</v>
      </c>
      <c r="E1147" s="66" t="str" cm="1">
        <f t="array" ref="E1147">INDEX(INVESTORS_LIST[INVESTOR NAME],MATCH(SIP[[#This Row],[Investor ID]],INVESTORS_LIST[INVESTOR CODE],0),)</f>
        <v>SHUVA SAHA</v>
      </c>
      <c r="F1147" s="46" t="s">
        <v>154</v>
      </c>
      <c r="G1147" s="46">
        <f>COUNTIF(SIP[[#Headers],[Investor ID]]:SIP[[#This Row],[Investor ID]],SIP[[#This Row],[Investor ID]])</f>
        <v>24</v>
      </c>
      <c r="H1147" s="46" t="str">
        <f>CONCATENATE(SIP[[#This Row],[Frequency]],SIP[[#This Row],[Investor ID]])</f>
        <v>24A00053</v>
      </c>
      <c r="I1147" s="46" t="str">
        <f>IF(SIP[[#This Row],[B/S]]="B","BUY",(IF(SIP[[#This Row],[B/S]]="S","SELL"," ")))</f>
        <v>BUY</v>
      </c>
      <c r="J1147" s="150" t="s">
        <v>1229</v>
      </c>
      <c r="K1147" s="152">
        <v>70000</v>
      </c>
      <c r="L1147" s="69"/>
      <c r="M1147" s="123">
        <f>SIP[[#This Row],[Amount]]/SIP[[#This Row],[Unit]]</f>
        <v>12.400354295837024</v>
      </c>
      <c r="N1147" s="71">
        <f>SIP[[#This Row],[Unit Capital]]/10</f>
        <v>5645</v>
      </c>
      <c r="O1147" s="71">
        <f>SUMIFS(SIP[[#Headers],[Unit]]:SIP[[#This Row],[Unit]],SIP[[#Headers],[Investor ID]]:SIP[[#This Row],[Investor ID]],SIP[[#This Row],[Investor ID]])</f>
        <v>64110</v>
      </c>
      <c r="P1147" s="153">
        <v>56450</v>
      </c>
      <c r="Q1147" s="74">
        <f>SIP[[#This Row],[Amount]]-SIP[[#This Row],[Unit Capital]]</f>
        <v>13550</v>
      </c>
      <c r="R11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11.27560393869175</v>
      </c>
      <c r="S1147" s="68">
        <f t="shared" si="54"/>
        <v>14.224</v>
      </c>
      <c r="T11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7" s="74" cm="1">
        <f t="array" ref="U1147">IF(SIP[[#This Row],[B/S]]="S",ABS(SIP[[#This Row],[Unit]])*(INDEX(SIP[NAV at Cost (Average)],MATCH(CONCATENATE((SIP[[#This Row],[Frequency]]-1),SIP[[#This Row],[Investor ID]]),SIP[Unique Code],0),0)),0)</f>
        <v>0</v>
      </c>
      <c r="V1147" s="74">
        <f>IF(SIP[[#This Row],[BO TRANSFER]]="YES",SIP[[#This Row],[Unit]],)</f>
        <v>0</v>
      </c>
      <c r="W1147" s="74">
        <f>SUMIFS(SIP[[#Headers],[BO UNIT TRANSFER]]:SIP[[#This Row],[BO UNIT TRANSFER]],SIP[[#Headers],[Investor ID]]:SIP[[#This Row],[Investor ID]],SIP[[#This Row],[Investor ID]])</f>
        <v>0</v>
      </c>
    </row>
    <row r="1148" spans="1:23" ht="15" customHeight="1">
      <c r="A1148" s="101">
        <v>2025</v>
      </c>
      <c r="B1148" s="101">
        <v>5</v>
      </c>
      <c r="C1148" s="101">
        <v>5</v>
      </c>
      <c r="D1148" s="65">
        <f>DATE(SIP[[#This Row],[Year]],SIP[[#This Row],[Month]],SIP[[#This Row],[Day]])</f>
        <v>45782</v>
      </c>
      <c r="E1148" s="66" t="str" cm="1">
        <f t="array" ref="E1148">INDEX(INVESTORS_LIST[INVESTOR NAME],MATCH(SIP[[#This Row],[Investor ID]],INVESTORS_LIST[INVESTOR CODE],0),)</f>
        <v>FAIYEAD AHMEDUL HYE</v>
      </c>
      <c r="F1148" s="46" t="s">
        <v>368</v>
      </c>
      <c r="G1148" s="46">
        <f>COUNTIF(SIP[[#Headers],[Investor ID]]:SIP[[#This Row],[Investor ID]],SIP[[#This Row],[Investor ID]])</f>
        <v>24</v>
      </c>
      <c r="H1148" s="46" t="str">
        <f>CONCATENATE(SIP[[#This Row],[Frequency]],SIP[[#This Row],[Investor ID]])</f>
        <v>24A00160</v>
      </c>
      <c r="I1148" s="46" t="str">
        <f>IF(SIP[[#This Row],[B/S]]="B","BUY",(IF(SIP[[#This Row],[B/S]]="S","SELL"," ")))</f>
        <v>BUY</v>
      </c>
      <c r="J1148" s="150" t="s">
        <v>1229</v>
      </c>
      <c r="K1148" s="152">
        <v>15000</v>
      </c>
      <c r="L1148" s="122"/>
      <c r="M1148" s="123">
        <f>SIP[[#This Row],[Amount]]/SIP[[#This Row],[Unit]]</f>
        <v>12.396694214876034</v>
      </c>
      <c r="N1148" s="71">
        <f>SIP[[#This Row],[Unit Capital]]/10</f>
        <v>1210</v>
      </c>
      <c r="O1148" s="71">
        <f>SUMIFS(SIP[[#Headers],[Unit]]:SIP[[#This Row],[Unit]],SIP[[#Headers],[Investor ID]]:SIP[[#This Row],[Investor ID]],SIP[[#This Row],[Investor ID]])</f>
        <v>32325</v>
      </c>
      <c r="P1148" s="153">
        <v>12100</v>
      </c>
      <c r="Q1148" s="74">
        <f>SIP[[#This Row],[Amount]]-SIP[[#This Row],[Unit Capital]]</f>
        <v>2900</v>
      </c>
      <c r="R11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11.136890951276103</v>
      </c>
      <c r="S1148" s="68">
        <f t="shared" si="54"/>
        <v>14.224</v>
      </c>
      <c r="T11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8" s="74" cm="1">
        <f t="array" ref="U1148">IF(SIP[[#This Row],[B/S]]="S",ABS(SIP[[#This Row],[Unit]])*(INDEX(SIP[NAV at Cost (Average)],MATCH(CONCATENATE((SIP[[#This Row],[Frequency]]-1),SIP[[#This Row],[Investor ID]]),SIP[Unique Code],0),0)),0)</f>
        <v>0</v>
      </c>
      <c r="V1148" s="74">
        <f>IF(SIP[[#This Row],[BO TRANSFER]]="YES",SIP[[#This Row],[Unit]],)</f>
        <v>0</v>
      </c>
      <c r="W1148" s="74">
        <f>SUMIFS(SIP[[#Headers],[BO UNIT TRANSFER]]:SIP[[#This Row],[BO UNIT TRANSFER]],SIP[[#Headers],[Investor ID]]:SIP[[#This Row],[Investor ID]],SIP[[#This Row],[Investor ID]])</f>
        <v>0</v>
      </c>
    </row>
    <row r="1149" spans="1:23" ht="15" customHeight="1">
      <c r="A1149" s="101">
        <v>2025</v>
      </c>
      <c r="B1149" s="101">
        <v>5</v>
      </c>
      <c r="C1149" s="101">
        <v>5</v>
      </c>
      <c r="D1149" s="65">
        <f>DATE(SIP[[#This Row],[Year]],SIP[[#This Row],[Month]],SIP[[#This Row],[Day]])</f>
        <v>45782</v>
      </c>
      <c r="E1149" s="66" t="str" cm="1">
        <f t="array" ref="E1149">INDEX(INVESTORS_LIST[INVESTOR NAME],MATCH(SIP[[#This Row],[Investor ID]],INVESTORS_LIST[INVESTOR CODE],0),)</f>
        <v>CHAONIKA SAHA</v>
      </c>
      <c r="F1149" s="46" t="s">
        <v>238</v>
      </c>
      <c r="G1149" s="46">
        <f>COUNTIF(SIP[[#Headers],[Investor ID]]:SIP[[#This Row],[Investor ID]],SIP[[#This Row],[Investor ID]])</f>
        <v>21</v>
      </c>
      <c r="H1149" s="46" t="str">
        <f>CONCATENATE(SIP[[#This Row],[Frequency]],SIP[[#This Row],[Investor ID]])</f>
        <v>21A00095</v>
      </c>
      <c r="I1149" s="46" t="str">
        <f>IF(SIP[[#This Row],[B/S]]="B","BUY",(IF(SIP[[#This Row],[B/S]]="S","SELL"," ")))</f>
        <v>BUY</v>
      </c>
      <c r="J1149" s="150" t="s">
        <v>1229</v>
      </c>
      <c r="K1149" s="152">
        <v>1000</v>
      </c>
      <c r="L1149" s="122"/>
      <c r="M1149" s="123">
        <f>SIP[[#This Row],[Amount]]/SIP[[#This Row],[Unit]]</f>
        <v>12.345679012345679</v>
      </c>
      <c r="N1149" s="71">
        <f>SIP[[#This Row],[Unit Capital]]/10</f>
        <v>81</v>
      </c>
      <c r="O1149" s="71">
        <f>SUMIFS(SIP[[#Headers],[Unit]]:SIP[[#This Row],[Unit]],SIP[[#Headers],[Investor ID]]:SIP[[#This Row],[Investor ID]],SIP[[#This Row],[Investor ID]])</f>
        <v>1865</v>
      </c>
      <c r="P1149" s="153">
        <v>810</v>
      </c>
      <c r="Q1149" s="74">
        <f>SIP[[#This Row],[Amount]]-SIP[[#This Row],[Unit Capital]]</f>
        <v>190</v>
      </c>
      <c r="R11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11.260053619302949</v>
      </c>
      <c r="S1149" s="68">
        <f t="shared" si="54"/>
        <v>14.224</v>
      </c>
      <c r="T11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9" s="74" cm="1">
        <f t="array" ref="U1149">IF(SIP[[#This Row],[B/S]]="S",ABS(SIP[[#This Row],[Unit]])*(INDEX(SIP[NAV at Cost (Average)],MATCH(CONCATENATE((SIP[[#This Row],[Frequency]]-1),SIP[[#This Row],[Investor ID]]),SIP[Unique Code],0),0)),0)</f>
        <v>0</v>
      </c>
      <c r="V1149" s="74">
        <f>IF(SIP[[#This Row],[BO TRANSFER]]="YES",SIP[[#This Row],[Unit]],)</f>
        <v>0</v>
      </c>
      <c r="W1149" s="74">
        <f>SUMIFS(SIP[[#Headers],[BO UNIT TRANSFER]]:SIP[[#This Row],[BO UNIT TRANSFER]],SIP[[#Headers],[Investor ID]]:SIP[[#This Row],[Investor ID]],SIP[[#This Row],[Investor ID]])</f>
        <v>0</v>
      </c>
    </row>
    <row r="1150" spans="1:23" ht="15" customHeight="1">
      <c r="A1150" s="101">
        <v>2025</v>
      </c>
      <c r="B1150" s="101">
        <v>5</v>
      </c>
      <c r="C1150" s="101">
        <v>5</v>
      </c>
      <c r="D1150" s="65">
        <f>DATE(SIP[[#This Row],[Year]],SIP[[#This Row],[Month]],SIP[[#This Row],[Day]])</f>
        <v>45782</v>
      </c>
      <c r="E1150" s="66" t="str" cm="1">
        <f t="array" ref="E1150">INDEX(INVESTORS_LIST[INVESTOR NAME],MATCH(SIP[[#This Row],[Investor ID]],INVESTORS_LIST[INVESTOR CODE],0),)</f>
        <v>KAZI AHSAN MARUF</v>
      </c>
      <c r="F1150" s="46" t="s">
        <v>158</v>
      </c>
      <c r="G1150" s="46">
        <f>COUNTIF(SIP[[#Headers],[Investor ID]]:SIP[[#This Row],[Investor ID]],SIP[[#This Row],[Investor ID]])</f>
        <v>26</v>
      </c>
      <c r="H1150" s="46" t="str">
        <f>CONCATENATE(SIP[[#This Row],[Frequency]],SIP[[#This Row],[Investor ID]])</f>
        <v>26A00055</v>
      </c>
      <c r="I1150" s="46" t="str">
        <f>IF(SIP[[#This Row],[B/S]]="B","BUY",(IF(SIP[[#This Row],[B/S]]="S","SELL"," ")))</f>
        <v>BUY</v>
      </c>
      <c r="J1150" s="150" t="s">
        <v>1229</v>
      </c>
      <c r="K1150" s="152">
        <v>10000</v>
      </c>
      <c r="L1150" s="122"/>
      <c r="M1150" s="123">
        <f>SIP[[#This Row],[Amount]]/SIP[[#This Row],[Unit]]</f>
        <v>12.406947890818859</v>
      </c>
      <c r="N1150" s="71">
        <f>SIP[[#This Row],[Unit Capital]]/10</f>
        <v>806</v>
      </c>
      <c r="O1150" s="71">
        <f>SUMIFS(SIP[[#Headers],[Unit]]:SIP[[#This Row],[Unit]],SIP[[#Headers],[Investor ID]]:SIP[[#This Row],[Investor ID]],SIP[[#This Row],[Investor ID]])</f>
        <v>7812</v>
      </c>
      <c r="P1150" s="153">
        <v>8060</v>
      </c>
      <c r="Q1150" s="74">
        <f>SIP[[#This Row],[Amount]]-SIP[[#This Row],[Unit Capital]]</f>
        <v>1940</v>
      </c>
      <c r="R11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11.554005500503813</v>
      </c>
      <c r="S1150" s="68">
        <f t="shared" si="54"/>
        <v>14.224</v>
      </c>
      <c r="T11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0" s="74" cm="1">
        <f t="array" ref="U1150">IF(SIP[[#This Row],[B/S]]="S",ABS(SIP[[#This Row],[Unit]])*(INDEX(SIP[NAV at Cost (Average)],MATCH(CONCATENATE((SIP[[#This Row],[Frequency]]-1),SIP[[#This Row],[Investor ID]]),SIP[Unique Code],0),0)),0)</f>
        <v>0</v>
      </c>
      <c r="V1150" s="74">
        <f>IF(SIP[[#This Row],[BO TRANSFER]]="YES",SIP[[#This Row],[Unit]],)</f>
        <v>0</v>
      </c>
      <c r="W1150" s="74">
        <f>SUMIFS(SIP[[#Headers],[BO UNIT TRANSFER]]:SIP[[#This Row],[BO UNIT TRANSFER]],SIP[[#Headers],[Investor ID]]:SIP[[#This Row],[Investor ID]],SIP[[#This Row],[Investor ID]])</f>
        <v>0</v>
      </c>
    </row>
    <row r="1151" spans="1:23" ht="15" customHeight="1">
      <c r="A1151" s="101">
        <v>2025</v>
      </c>
      <c r="B1151" s="101">
        <v>5</v>
      </c>
      <c r="C1151" s="101">
        <v>5</v>
      </c>
      <c r="D1151" s="65">
        <f>DATE(SIP[[#This Row],[Year]],SIP[[#This Row],[Month]],SIP[[#This Row],[Day]])</f>
        <v>45782</v>
      </c>
      <c r="E1151" s="66" t="str" cm="1">
        <f t="array" ref="E1151">INDEX(INVESTORS_LIST[INVESTOR NAME],MATCH(SIP[[#This Row],[Investor ID]],INVESTORS_LIST[INVESTOR CODE],0),)</f>
        <v>NANDINI SAHA</v>
      </c>
      <c r="F1151" s="46" t="s">
        <v>242</v>
      </c>
      <c r="G1151" s="46">
        <f>COUNTIF(SIP[[#Headers],[Investor ID]]:SIP[[#This Row],[Investor ID]],SIP[[#This Row],[Investor ID]])</f>
        <v>24</v>
      </c>
      <c r="H1151" s="46" t="str">
        <f>CONCATENATE(SIP[[#This Row],[Frequency]],SIP[[#This Row],[Investor ID]])</f>
        <v>24A00097</v>
      </c>
      <c r="I1151" s="46" t="str">
        <f>IF(SIP[[#This Row],[B/S]]="B","BUY",(IF(SIP[[#This Row],[B/S]]="S","SELL"," ")))</f>
        <v>BUY</v>
      </c>
      <c r="J1151" s="150" t="s">
        <v>1229</v>
      </c>
      <c r="K1151" s="152">
        <v>30000</v>
      </c>
      <c r="L1151" s="122"/>
      <c r="M1151" s="123">
        <f>SIP[[#This Row],[Amount]]/SIP[[#This Row],[Unit]]</f>
        <v>12.401818933443572</v>
      </c>
      <c r="N1151" s="71">
        <f>SIP[[#This Row],[Unit Capital]]/10</f>
        <v>2419</v>
      </c>
      <c r="O1151" s="71">
        <f>SUMIFS(SIP[[#Headers],[Unit]]:SIP[[#This Row],[Unit]],SIP[[#Headers],[Investor ID]]:SIP[[#This Row],[Investor ID]],SIP[[#This Row],[Investor ID]])</f>
        <v>64813</v>
      </c>
      <c r="P1151" s="153">
        <v>24190</v>
      </c>
      <c r="Q1151" s="74">
        <f>SIP[[#This Row],[Amount]]-SIP[[#This Row],[Unit Capital]]</f>
        <v>5810</v>
      </c>
      <c r="R11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11.108882477280789</v>
      </c>
      <c r="S1151" s="68">
        <f t="shared" si="54"/>
        <v>14.224</v>
      </c>
      <c r="T11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1" s="74" cm="1">
        <f t="array" ref="U1151">IF(SIP[[#This Row],[B/S]]="S",ABS(SIP[[#This Row],[Unit]])*(INDEX(SIP[NAV at Cost (Average)],MATCH(CONCATENATE((SIP[[#This Row],[Frequency]]-1),SIP[[#This Row],[Investor ID]]),SIP[Unique Code],0),0)),0)</f>
        <v>0</v>
      </c>
      <c r="V1151" s="74">
        <f>IF(SIP[[#This Row],[BO TRANSFER]]="YES",SIP[[#This Row],[Unit]],)</f>
        <v>0</v>
      </c>
      <c r="W1151" s="74">
        <f>SUMIFS(SIP[[#Headers],[BO UNIT TRANSFER]]:SIP[[#This Row],[BO UNIT TRANSFER]],SIP[[#Headers],[Investor ID]]:SIP[[#This Row],[Investor ID]],SIP[[#This Row],[Investor ID]])</f>
        <v>0</v>
      </c>
    </row>
    <row r="1152" spans="1:23" ht="15" customHeight="1">
      <c r="A1152" s="101">
        <v>2025</v>
      </c>
      <c r="B1152" s="101">
        <v>5</v>
      </c>
      <c r="C1152" s="101">
        <v>5</v>
      </c>
      <c r="D1152" s="65">
        <f>DATE(SIP[[#This Row],[Year]],SIP[[#This Row],[Month]],SIP[[#This Row],[Day]])</f>
        <v>45782</v>
      </c>
      <c r="E1152" s="66" t="str" cm="1">
        <f t="array" ref="E1152">INDEX(INVESTORS_LIST[INVESTOR NAME],MATCH(SIP[[#This Row],[Investor ID]],INVESTORS_LIST[INVESTOR CODE],0),)</f>
        <v>SHANTA PAUL</v>
      </c>
      <c r="F1152" s="46" t="s">
        <v>544</v>
      </c>
      <c r="G1152" s="46">
        <f>COUNTIF(SIP[[#Headers],[Investor ID]]:SIP[[#This Row],[Investor ID]],SIP[[#This Row],[Investor ID]])</f>
        <v>25</v>
      </c>
      <c r="H1152" s="46" t="str">
        <f>CONCATENATE(SIP[[#This Row],[Frequency]],SIP[[#This Row],[Investor ID]])</f>
        <v>25A00247</v>
      </c>
      <c r="I1152" s="46" t="str">
        <f>IF(SIP[[#This Row],[B/S]]="B","BUY",(IF(SIP[[#This Row],[B/S]]="S","SELL"," ")))</f>
        <v>BUY</v>
      </c>
      <c r="J1152" s="150" t="s">
        <v>1229</v>
      </c>
      <c r="K1152" s="152">
        <v>20000</v>
      </c>
      <c r="L1152" s="122"/>
      <c r="M1152" s="123">
        <f>SIP[[#This Row],[Amount]]/SIP[[#This Row],[Unit]]</f>
        <v>12.399256044637323</v>
      </c>
      <c r="N1152" s="71">
        <f>SIP[[#This Row],[Unit Capital]]/10</f>
        <v>1613</v>
      </c>
      <c r="O1152" s="71">
        <f>SUMIFS(SIP[[#Headers],[Unit]]:SIP[[#This Row],[Unit]],SIP[[#Headers],[Investor ID]]:SIP[[#This Row],[Investor ID]],SIP[[#This Row],[Investor ID]])</f>
        <v>45369</v>
      </c>
      <c r="P1152" s="153">
        <v>16130</v>
      </c>
      <c r="Q1152" s="74">
        <f>SIP[[#This Row],[Amount]]-SIP[[#This Row],[Unit Capital]]</f>
        <v>3870</v>
      </c>
      <c r="R11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11.020741034627168</v>
      </c>
      <c r="S1152" s="68">
        <f t="shared" si="54"/>
        <v>14.224</v>
      </c>
      <c r="T11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2" s="74" cm="1">
        <f t="array" ref="U1152">IF(SIP[[#This Row],[B/S]]="S",ABS(SIP[[#This Row],[Unit]])*(INDEX(SIP[NAV at Cost (Average)],MATCH(CONCATENATE((SIP[[#This Row],[Frequency]]-1),SIP[[#This Row],[Investor ID]]),SIP[Unique Code],0),0)),0)</f>
        <v>0</v>
      </c>
      <c r="V1152" s="74">
        <f>IF(SIP[[#This Row],[BO TRANSFER]]="YES",SIP[[#This Row],[Unit]],)</f>
        <v>0</v>
      </c>
      <c r="W1152" s="74">
        <f>SUMIFS(SIP[[#Headers],[BO UNIT TRANSFER]]:SIP[[#This Row],[BO UNIT TRANSFER]],SIP[[#Headers],[Investor ID]]:SIP[[#This Row],[Investor ID]],SIP[[#This Row],[Investor ID]])</f>
        <v>0</v>
      </c>
    </row>
    <row r="1153" spans="1:23" ht="15" customHeight="1">
      <c r="A1153" s="101">
        <v>2025</v>
      </c>
      <c r="B1153" s="101">
        <v>5</v>
      </c>
      <c r="C1153" s="101">
        <v>5</v>
      </c>
      <c r="D1153" s="65">
        <f>DATE(SIP[[#This Row],[Year]],SIP[[#This Row],[Month]],SIP[[#This Row],[Day]])</f>
        <v>45782</v>
      </c>
      <c r="E1153" s="66" t="str" cm="1">
        <f t="array" ref="E1153">INDEX(INVESTORS_LIST[INVESTOR NAME],MATCH(SIP[[#This Row],[Investor ID]],INVESTORS_LIST[INVESTOR CODE],0),)</f>
        <v>ROKSABA KASEM</v>
      </c>
      <c r="F1153" s="46" t="s">
        <v>900</v>
      </c>
      <c r="G1153" s="46">
        <f>COUNTIF(SIP[[#Headers],[Investor ID]]:SIP[[#This Row],[Investor ID]],SIP[[#This Row],[Investor ID]])</f>
        <v>24</v>
      </c>
      <c r="H1153" s="46" t="str">
        <f>CONCATENATE(SIP[[#This Row],[Frequency]],SIP[[#This Row],[Investor ID]])</f>
        <v>24A00427</v>
      </c>
      <c r="I1153" s="46" t="str">
        <f>IF(SIP[[#This Row],[B/S]]="B","BUY",(IF(SIP[[#This Row],[B/S]]="S","SELL"," ")))</f>
        <v>BUY</v>
      </c>
      <c r="J1153" s="150" t="s">
        <v>1229</v>
      </c>
      <c r="K1153" s="152">
        <v>20000</v>
      </c>
      <c r="L1153" s="122"/>
      <c r="M1153" s="123">
        <f>SIP[[#This Row],[Amount]]/SIP[[#This Row],[Unit]]</f>
        <v>12.399256044637323</v>
      </c>
      <c r="N1153" s="71">
        <f>SIP[[#This Row],[Unit Capital]]/10</f>
        <v>1613</v>
      </c>
      <c r="O1153" s="71">
        <f>SUMIFS(SIP[[#Headers],[Unit]]:SIP[[#This Row],[Unit]],SIP[[#Headers],[Investor ID]]:SIP[[#This Row],[Investor ID]],SIP[[#This Row],[Investor ID]])</f>
        <v>43103</v>
      </c>
      <c r="P1153" s="153">
        <v>16130</v>
      </c>
      <c r="Q1153" s="74">
        <f>SIP[[#This Row],[Amount]]-SIP[[#This Row],[Unit Capital]]</f>
        <v>3870</v>
      </c>
      <c r="R11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11.136115815604487</v>
      </c>
      <c r="S1153" s="68">
        <f t="shared" si="54"/>
        <v>14.224</v>
      </c>
      <c r="T11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3" s="74" cm="1">
        <f t="array" ref="U1153">IF(SIP[[#This Row],[B/S]]="S",ABS(SIP[[#This Row],[Unit]])*(INDEX(SIP[NAV at Cost (Average)],MATCH(CONCATENATE((SIP[[#This Row],[Frequency]]-1),SIP[[#This Row],[Investor ID]]),SIP[Unique Code],0),0)),0)</f>
        <v>0</v>
      </c>
      <c r="V1153" s="74">
        <f>IF(SIP[[#This Row],[BO TRANSFER]]="YES",SIP[[#This Row],[Unit]],)</f>
        <v>0</v>
      </c>
      <c r="W1153" s="74">
        <f>SUMIFS(SIP[[#Headers],[BO UNIT TRANSFER]]:SIP[[#This Row],[BO UNIT TRANSFER]],SIP[[#Headers],[Investor ID]]:SIP[[#This Row],[Investor ID]],SIP[[#This Row],[Investor ID]])</f>
        <v>0</v>
      </c>
    </row>
    <row r="1154" spans="1:23" ht="15" customHeight="1">
      <c r="A1154" s="101">
        <v>2025</v>
      </c>
      <c r="B1154" s="101">
        <v>5</v>
      </c>
      <c r="C1154" s="101">
        <v>5</v>
      </c>
      <c r="D1154" s="65">
        <f>DATE(SIP[[#This Row],[Year]],SIP[[#This Row],[Month]],SIP[[#This Row],[Day]])</f>
        <v>45782</v>
      </c>
      <c r="E1154" s="66" t="str" cm="1">
        <f t="array" ref="E1154">INDEX(INVESTORS_LIST[INVESTOR NAME],MATCH(SIP[[#This Row],[Investor ID]],INVESTORS_LIST[INVESTOR CODE],0),)</f>
        <v>SABRIA ISLAM TALUKDER</v>
      </c>
      <c r="F1154" s="46" t="s">
        <v>409</v>
      </c>
      <c r="G1154" s="46">
        <f>COUNTIF(SIP[[#Headers],[Investor ID]]:SIP[[#This Row],[Investor ID]],SIP[[#This Row],[Investor ID]])</f>
        <v>21</v>
      </c>
      <c r="H1154" s="46" t="str">
        <f>CONCATENATE(SIP[[#This Row],[Frequency]],SIP[[#This Row],[Investor ID]])</f>
        <v>21A00180</v>
      </c>
      <c r="I1154" s="46" t="str">
        <f>IF(SIP[[#This Row],[B/S]]="B","BUY",(IF(SIP[[#This Row],[B/S]]="S","SELL"," ")))</f>
        <v>BUY</v>
      </c>
      <c r="J1154" s="150" t="s">
        <v>1229</v>
      </c>
      <c r="K1154" s="152">
        <v>5000</v>
      </c>
      <c r="L1154" s="122"/>
      <c r="M1154" s="123">
        <f>SIP[[#This Row],[Amount]]/SIP[[#This Row],[Unit]]</f>
        <v>12.406947890818859</v>
      </c>
      <c r="N1154" s="71">
        <f>SIP[[#This Row],[Unit Capital]]/10</f>
        <v>403</v>
      </c>
      <c r="O1154" s="71">
        <f>SUMIFS(SIP[[#Headers],[Unit]]:SIP[[#This Row],[Unit]],SIP[[#Headers],[Investor ID]]:SIP[[#This Row],[Investor ID]],SIP[[#This Row],[Investor ID]])</f>
        <v>9315</v>
      </c>
      <c r="P1154" s="153">
        <v>4030</v>
      </c>
      <c r="Q1154" s="74">
        <f>SIP[[#This Row],[Amount]]-SIP[[#This Row],[Unit Capital]]</f>
        <v>970</v>
      </c>
      <c r="R11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11.272141706924318</v>
      </c>
      <c r="S1154" s="68">
        <f t="shared" si="54"/>
        <v>14.224</v>
      </c>
      <c r="T11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4" s="74" cm="1">
        <f t="array" ref="U1154">IF(SIP[[#This Row],[B/S]]="S",ABS(SIP[[#This Row],[Unit]])*(INDEX(SIP[NAV at Cost (Average)],MATCH(CONCATENATE((SIP[[#This Row],[Frequency]]-1),SIP[[#This Row],[Investor ID]]),SIP[Unique Code],0),0)),0)</f>
        <v>0</v>
      </c>
      <c r="V1154" s="74">
        <f>IF(SIP[[#This Row],[BO TRANSFER]]="YES",SIP[[#This Row],[Unit]],)</f>
        <v>0</v>
      </c>
      <c r="W1154" s="74">
        <f>SUMIFS(SIP[[#Headers],[BO UNIT TRANSFER]]:SIP[[#This Row],[BO UNIT TRANSFER]],SIP[[#Headers],[Investor ID]]:SIP[[#This Row],[Investor ID]],SIP[[#This Row],[Investor ID]])</f>
        <v>0</v>
      </c>
    </row>
    <row r="1155" spans="1:23" ht="15" customHeight="1">
      <c r="A1155" s="101">
        <v>2025</v>
      </c>
      <c r="B1155" s="101">
        <v>5</v>
      </c>
      <c r="C1155" s="101">
        <v>5</v>
      </c>
      <c r="D1155" s="65">
        <f>DATE(SIP[[#This Row],[Year]],SIP[[#This Row],[Month]],SIP[[#This Row],[Day]])</f>
        <v>45782</v>
      </c>
      <c r="E1155" s="66" t="str" cm="1">
        <f t="array" ref="E1155">INDEX(INVESTORS_LIST[INVESTOR NAME],MATCH(SIP[[#This Row],[Investor ID]],INVESTORS_LIST[INVESTOR CODE],0),)</f>
        <v>BIJOY CHANDRA DAS</v>
      </c>
      <c r="F1155" s="46" t="s">
        <v>497</v>
      </c>
      <c r="G1155" s="46">
        <f>COUNTIF(SIP[[#Headers],[Investor ID]]:SIP[[#This Row],[Investor ID]],SIP[[#This Row],[Investor ID]])</f>
        <v>13</v>
      </c>
      <c r="H1155" s="46" t="str">
        <f>CONCATENATE(SIP[[#This Row],[Frequency]],SIP[[#This Row],[Investor ID]])</f>
        <v>13A00224</v>
      </c>
      <c r="I1155" s="46" t="str">
        <f>IF(SIP[[#This Row],[B/S]]="B","BUY",(IF(SIP[[#This Row],[B/S]]="S","SELL"," ")))</f>
        <v>BUY</v>
      </c>
      <c r="J1155" s="150" t="s">
        <v>1229</v>
      </c>
      <c r="K1155" s="152">
        <v>5000</v>
      </c>
      <c r="L1155" s="122"/>
      <c r="M1155" s="123">
        <f>SIP[[#This Row],[Amount]]/SIP[[#This Row],[Unit]]</f>
        <v>12.406947890818859</v>
      </c>
      <c r="N1155" s="71">
        <f>SIP[[#This Row],[Unit Capital]]/10</f>
        <v>403</v>
      </c>
      <c r="O1155" s="71">
        <f>SUMIFS(SIP[[#Headers],[Unit]]:SIP[[#This Row],[Unit]],SIP[[#Headers],[Investor ID]]:SIP[[#This Row],[Investor ID]],SIP[[#This Row],[Investor ID]])</f>
        <v>5600</v>
      </c>
      <c r="P1155" s="153">
        <v>4030</v>
      </c>
      <c r="Q1155" s="74">
        <f>SIP[[#This Row],[Amount]]-SIP[[#This Row],[Unit Capital]]</f>
        <v>970</v>
      </c>
      <c r="R11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11.607142857142858</v>
      </c>
      <c r="S1155" s="68">
        <f t="shared" si="54"/>
        <v>14.224</v>
      </c>
      <c r="T11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5" s="74" cm="1">
        <f t="array" ref="U1155">IF(SIP[[#This Row],[B/S]]="S",ABS(SIP[[#This Row],[Unit]])*(INDEX(SIP[NAV at Cost (Average)],MATCH(CONCATENATE((SIP[[#This Row],[Frequency]]-1),SIP[[#This Row],[Investor ID]]),SIP[Unique Code],0),0)),0)</f>
        <v>0</v>
      </c>
      <c r="V1155" s="74">
        <f>IF(SIP[[#This Row],[BO TRANSFER]]="YES",SIP[[#This Row],[Unit]],)</f>
        <v>0</v>
      </c>
      <c r="W1155" s="74">
        <f>SUMIFS(SIP[[#Headers],[BO UNIT TRANSFER]]:SIP[[#This Row],[BO UNIT TRANSFER]],SIP[[#Headers],[Investor ID]]:SIP[[#This Row],[Investor ID]],SIP[[#This Row],[Investor ID]])</f>
        <v>0</v>
      </c>
    </row>
    <row r="1156" spans="1:23" ht="15" customHeight="1">
      <c r="A1156" s="101">
        <v>2025</v>
      </c>
      <c r="B1156" s="101">
        <v>5</v>
      </c>
      <c r="C1156" s="101">
        <v>5</v>
      </c>
      <c r="D1156" s="65">
        <f>DATE(SIP[[#This Row],[Year]],SIP[[#This Row],[Month]],SIP[[#This Row],[Day]])</f>
        <v>45782</v>
      </c>
      <c r="E1156" s="66" t="str" cm="1">
        <f t="array" ref="E1156">INDEX(INVESTORS_LIST[INVESTOR NAME],MATCH(SIP[[#This Row],[Investor ID]],INVESTORS_LIST[INVESTOR CODE],0),)</f>
        <v>MONIR AHMED</v>
      </c>
      <c r="F1156" s="46" t="s">
        <v>125</v>
      </c>
      <c r="G1156" s="46">
        <f>COUNTIF(SIP[[#Headers],[Investor ID]]:SIP[[#This Row],[Investor ID]],SIP[[#This Row],[Investor ID]])</f>
        <v>25</v>
      </c>
      <c r="H1156" s="46" t="str">
        <f>CONCATENATE(SIP[[#This Row],[Frequency]],SIP[[#This Row],[Investor ID]])</f>
        <v>25A00039</v>
      </c>
      <c r="I1156" s="46" t="str">
        <f>IF(SIP[[#This Row],[B/S]]="B","BUY",(IF(SIP[[#This Row],[B/S]]="S","SELL"," ")))</f>
        <v>BUY</v>
      </c>
      <c r="J1156" s="150" t="s">
        <v>1229</v>
      </c>
      <c r="K1156" s="152">
        <v>10000</v>
      </c>
      <c r="L1156" s="122"/>
      <c r="M1156" s="123">
        <f>SIP[[#This Row],[Amount]]/SIP[[#This Row],[Unit]]</f>
        <v>12.406947890818859</v>
      </c>
      <c r="N1156" s="71">
        <f>SIP[[#This Row],[Unit Capital]]/10</f>
        <v>806</v>
      </c>
      <c r="O1156" s="71">
        <f>SUMIFS(SIP[[#Headers],[Unit]]:SIP[[#This Row],[Unit]],SIP[[#Headers],[Investor ID]]:SIP[[#This Row],[Investor ID]],SIP[[#This Row],[Investor ID]])</f>
        <v>2500</v>
      </c>
      <c r="P1156" s="153">
        <v>8060</v>
      </c>
      <c r="Q1156" s="74">
        <f>SIP[[#This Row],[Amount]]-SIP[[#This Row],[Unit Capital]]</f>
        <v>1940</v>
      </c>
      <c r="R11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12.018359561278015</v>
      </c>
      <c r="S1156" s="68">
        <f t="shared" si="54"/>
        <v>14.224</v>
      </c>
      <c r="T11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6" s="74" cm="1">
        <f t="array" ref="U1156">IF(SIP[[#This Row],[B/S]]="S",ABS(SIP[[#This Row],[Unit]])*(INDEX(SIP[NAV at Cost (Average)],MATCH(CONCATENATE((SIP[[#This Row],[Frequency]]-1),SIP[[#This Row],[Investor ID]]),SIP[Unique Code],0),0)),0)</f>
        <v>0</v>
      </c>
      <c r="V1156" s="74">
        <f>IF(SIP[[#This Row],[BO TRANSFER]]="YES",SIP[[#This Row],[Unit]],)</f>
        <v>0</v>
      </c>
      <c r="W1156" s="74">
        <f>SUMIFS(SIP[[#Headers],[BO UNIT TRANSFER]]:SIP[[#This Row],[BO UNIT TRANSFER]],SIP[[#Headers],[Investor ID]]:SIP[[#This Row],[Investor ID]],SIP[[#This Row],[Investor ID]])</f>
        <v>0</v>
      </c>
    </row>
    <row r="1157" spans="1:23" ht="15" customHeight="1">
      <c r="A1157" s="101">
        <v>2025</v>
      </c>
      <c r="B1157" s="101">
        <v>5</v>
      </c>
      <c r="C1157" s="101">
        <v>5</v>
      </c>
      <c r="D1157" s="65">
        <f>DATE(SIP[[#This Row],[Year]],SIP[[#This Row],[Month]],SIP[[#This Row],[Day]])</f>
        <v>45782</v>
      </c>
      <c r="E1157" s="66" t="str" cm="1">
        <f t="array" ref="E1157">INDEX(INVESTORS_LIST[INVESTOR NAME],MATCH(SIP[[#This Row],[Investor ID]],INVESTORS_LIST[INVESTOR CODE],0),)</f>
        <v>AHMED BIN MONSUR</v>
      </c>
      <c r="F1157" s="46" t="s">
        <v>692</v>
      </c>
      <c r="G1157" s="46">
        <f>COUNTIF(SIP[[#Headers],[Investor ID]]:SIP[[#This Row],[Investor ID]],SIP[[#This Row],[Investor ID]])</f>
        <v>13</v>
      </c>
      <c r="H1157" s="46" t="str">
        <f>CONCATENATE(SIP[[#This Row],[Frequency]],SIP[[#This Row],[Investor ID]])</f>
        <v>13A00322</v>
      </c>
      <c r="I1157" s="46" t="str">
        <f>IF(SIP[[#This Row],[B/S]]="B","BUY",(IF(SIP[[#This Row],[B/S]]="S","SELL"," ")))</f>
        <v>BUY</v>
      </c>
      <c r="J1157" s="150" t="s">
        <v>1229</v>
      </c>
      <c r="K1157" s="152">
        <v>20000</v>
      </c>
      <c r="L1157" s="122"/>
      <c r="M1157" s="123">
        <f>SIP[[#This Row],[Amount]]/SIP[[#This Row],[Unit]]</f>
        <v>12.399256044637323</v>
      </c>
      <c r="N1157" s="71">
        <f>SIP[[#This Row],[Unit Capital]]/10</f>
        <v>1613</v>
      </c>
      <c r="O1157" s="71">
        <f>SUMIFS(SIP[[#Headers],[Unit]]:SIP[[#This Row],[Unit]],SIP[[#Headers],[Investor ID]]:SIP[[#This Row],[Investor ID]],SIP[[#This Row],[Investor ID]])</f>
        <v>8169</v>
      </c>
      <c r="P1157" s="153">
        <v>16130</v>
      </c>
      <c r="Q1157" s="74">
        <f>SIP[[#This Row],[Amount]]-SIP[[#This Row],[Unit Capital]]</f>
        <v>3870</v>
      </c>
      <c r="R11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12.163429712919667</v>
      </c>
      <c r="S1157" s="68">
        <f t="shared" si="54"/>
        <v>14.224</v>
      </c>
      <c r="T11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7" s="74" cm="1">
        <f t="array" ref="U1157">IF(SIP[[#This Row],[B/S]]="S",ABS(SIP[[#This Row],[Unit]])*(INDEX(SIP[NAV at Cost (Average)],MATCH(CONCATENATE((SIP[[#This Row],[Frequency]]-1),SIP[[#This Row],[Investor ID]]),SIP[Unique Code],0),0)),0)</f>
        <v>0</v>
      </c>
      <c r="V1157" s="74">
        <f>IF(SIP[[#This Row],[BO TRANSFER]]="YES",SIP[[#This Row],[Unit]],)</f>
        <v>0</v>
      </c>
      <c r="W1157" s="74">
        <f>SUMIFS(SIP[[#Headers],[BO UNIT TRANSFER]]:SIP[[#This Row],[BO UNIT TRANSFER]],SIP[[#Headers],[Investor ID]]:SIP[[#This Row],[Investor ID]],SIP[[#This Row],[Investor ID]])</f>
        <v>0</v>
      </c>
    </row>
    <row r="1158" spans="1:23" ht="15" customHeight="1">
      <c r="A1158" s="101">
        <v>2025</v>
      </c>
      <c r="B1158" s="101">
        <v>5</v>
      </c>
      <c r="C1158" s="101">
        <v>5</v>
      </c>
      <c r="D1158" s="65">
        <f>DATE(SIP[[#This Row],[Year]],SIP[[#This Row],[Month]],SIP[[#This Row],[Day]])</f>
        <v>45782</v>
      </c>
      <c r="E1158" s="66" t="str" cm="1">
        <f t="array" ref="E1158">INDEX(INVESTORS_LIST[INVESTOR NAME],MATCH(SIP[[#This Row],[Investor ID]],INVESTORS_LIST[INVESTOR CODE],0),)</f>
        <v>AKIB TANVIR ANJUM</v>
      </c>
      <c r="F1158" s="46" t="s">
        <v>1116</v>
      </c>
      <c r="G1158" s="46">
        <f>COUNTIF(SIP[[#Headers],[Investor ID]]:SIP[[#This Row],[Investor ID]],SIP[[#This Row],[Investor ID]])</f>
        <v>20</v>
      </c>
      <c r="H1158" s="46" t="str">
        <f>CONCATENATE(SIP[[#This Row],[Frequency]],SIP[[#This Row],[Investor ID]])</f>
        <v>20A00533</v>
      </c>
      <c r="I1158" s="46" t="str">
        <f>IF(SIP[[#This Row],[B/S]]="B","BUY",(IF(SIP[[#This Row],[B/S]]="S","SELL"," ")))</f>
        <v>BUY</v>
      </c>
      <c r="J1158" s="150" t="s">
        <v>1229</v>
      </c>
      <c r="K1158" s="152">
        <v>4000</v>
      </c>
      <c r="L1158" s="122"/>
      <c r="M1158" s="123">
        <f>SIP[[#This Row],[Amount]]/SIP[[#This Row],[Unit]]</f>
        <v>12.383900928792571</v>
      </c>
      <c r="N1158" s="71">
        <f>SIP[[#This Row],[Unit Capital]]/10</f>
        <v>323</v>
      </c>
      <c r="O1158" s="71">
        <f>SUMIFS(SIP[[#Headers],[Unit]]:SIP[[#This Row],[Unit]],SIP[[#Headers],[Investor ID]]:SIP[[#This Row],[Investor ID]],SIP[[#This Row],[Investor ID]])</f>
        <v>2403</v>
      </c>
      <c r="P1158" s="153">
        <v>3230</v>
      </c>
      <c r="Q1158" s="74">
        <f>SIP[[#This Row],[Amount]]-SIP[[#This Row],[Unit Capital]]</f>
        <v>770</v>
      </c>
      <c r="R11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11.974712881202109</v>
      </c>
      <c r="S1158" s="68">
        <f t="shared" si="54"/>
        <v>14.224</v>
      </c>
      <c r="T11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8" s="74" cm="1">
        <f t="array" ref="U1158">IF(SIP[[#This Row],[B/S]]="S",ABS(SIP[[#This Row],[Unit]])*(INDEX(SIP[NAV at Cost (Average)],MATCH(CONCATENATE((SIP[[#This Row],[Frequency]]-1),SIP[[#This Row],[Investor ID]]),SIP[Unique Code],0),0)),0)</f>
        <v>0</v>
      </c>
      <c r="V1158" s="74">
        <f>IF(SIP[[#This Row],[BO TRANSFER]]="YES",SIP[[#This Row],[Unit]],)</f>
        <v>0</v>
      </c>
      <c r="W1158" s="74">
        <f>SUMIFS(SIP[[#Headers],[BO UNIT TRANSFER]]:SIP[[#This Row],[BO UNIT TRANSFER]],SIP[[#Headers],[Investor ID]]:SIP[[#This Row],[Investor ID]],SIP[[#This Row],[Investor ID]])</f>
        <v>0</v>
      </c>
    </row>
    <row r="1159" spans="1:23" ht="15" customHeight="1">
      <c r="A1159" s="101">
        <v>2025</v>
      </c>
      <c r="B1159" s="101">
        <v>5</v>
      </c>
      <c r="C1159" s="101">
        <v>5</v>
      </c>
      <c r="D1159" s="65">
        <f>DATE(SIP[[#This Row],[Year]],SIP[[#This Row],[Month]],SIP[[#This Row],[Day]])</f>
        <v>45782</v>
      </c>
      <c r="E1159" s="66" t="str" cm="1">
        <f t="array" ref="E1159">INDEX(INVESTORS_LIST[INVESTOR NAME],MATCH(SIP[[#This Row],[Investor ID]],INVESTORS_LIST[INVESTOR CODE],0),)</f>
        <v>NANI GOPAL DATTA</v>
      </c>
      <c r="F1159" s="46" t="s">
        <v>232</v>
      </c>
      <c r="G1159" s="46">
        <f>COUNTIF(SIP[[#Headers],[Investor ID]]:SIP[[#This Row],[Investor ID]],SIP[[#This Row],[Investor ID]])</f>
        <v>16</v>
      </c>
      <c r="H1159" s="46" t="str">
        <f>CONCATENATE(SIP[[#This Row],[Frequency]],SIP[[#This Row],[Investor ID]])</f>
        <v>16A00092</v>
      </c>
      <c r="I1159" s="46" t="str">
        <f>IF(SIP[[#This Row],[B/S]]="B","BUY",(IF(SIP[[#This Row],[B/S]]="S","SELL"," ")))</f>
        <v>BUY</v>
      </c>
      <c r="J1159" s="150" t="s">
        <v>1229</v>
      </c>
      <c r="K1159" s="152">
        <v>2000</v>
      </c>
      <c r="L1159" s="122"/>
      <c r="M1159" s="123">
        <f>SIP[[#This Row],[Amount]]/SIP[[#This Row],[Unit]]</f>
        <v>12.422360248447205</v>
      </c>
      <c r="N1159" s="71">
        <f>SIP[[#This Row],[Unit Capital]]/10</f>
        <v>161</v>
      </c>
      <c r="O1159" s="71">
        <f>SUMIFS(SIP[[#Headers],[Unit]]:SIP[[#This Row],[Unit]],SIP[[#Headers],[Investor ID]]:SIP[[#This Row],[Investor ID]],SIP[[#This Row],[Investor ID]])</f>
        <v>2476</v>
      </c>
      <c r="P1159" s="153">
        <v>1610</v>
      </c>
      <c r="Q1159" s="74">
        <f>SIP[[#This Row],[Amount]]-SIP[[#This Row],[Unit Capital]]</f>
        <v>390</v>
      </c>
      <c r="R11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11.343873866716105</v>
      </c>
      <c r="S1159" s="68">
        <f t="shared" si="54"/>
        <v>14.224</v>
      </c>
      <c r="T11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9" s="74" cm="1">
        <f t="array" ref="U1159">IF(SIP[[#This Row],[B/S]]="S",ABS(SIP[[#This Row],[Unit]])*(INDEX(SIP[NAV at Cost (Average)],MATCH(CONCATENATE((SIP[[#This Row],[Frequency]]-1),SIP[[#This Row],[Investor ID]]),SIP[Unique Code],0),0)),0)</f>
        <v>0</v>
      </c>
      <c r="V1159" s="74">
        <f>IF(SIP[[#This Row],[BO TRANSFER]]="YES",SIP[[#This Row],[Unit]],)</f>
        <v>0</v>
      </c>
      <c r="W1159" s="74">
        <f>SUMIFS(SIP[[#Headers],[BO UNIT TRANSFER]]:SIP[[#This Row],[BO UNIT TRANSFER]],SIP[[#Headers],[Investor ID]]:SIP[[#This Row],[Investor ID]],SIP[[#This Row],[Investor ID]])</f>
        <v>0</v>
      </c>
    </row>
    <row r="1160" spans="1:23" ht="15" customHeight="1">
      <c r="A1160" s="101">
        <v>2025</v>
      </c>
      <c r="B1160" s="101">
        <v>5</v>
      </c>
      <c r="C1160" s="101">
        <v>6</v>
      </c>
      <c r="D1160" s="65">
        <f>DATE(SIP[[#This Row],[Year]],SIP[[#This Row],[Month]],SIP[[#This Row],[Day]])</f>
        <v>45783</v>
      </c>
      <c r="E1160" s="66" t="str" cm="1">
        <f t="array" ref="E1160">INDEX(INVESTORS_LIST[INVESTOR NAME],MATCH(SIP[[#This Row],[Investor ID]],INVESTORS_LIST[INVESTOR CODE],0),)</f>
        <v>BALARAM CHANDRA SAHA</v>
      </c>
      <c r="F1160" s="46" t="s">
        <v>505</v>
      </c>
      <c r="G1160" s="46">
        <f>COUNTIF(SIP[[#Headers],[Investor ID]]:SIP[[#This Row],[Investor ID]],SIP[[#This Row],[Investor ID]])</f>
        <v>1</v>
      </c>
      <c r="H1160" s="46" t="str">
        <f>CONCATENATE(SIP[[#This Row],[Frequency]],SIP[[#This Row],[Investor ID]])</f>
        <v>1A00228</v>
      </c>
      <c r="I1160" s="46" t="str">
        <f>IF(SIP[[#This Row],[B/S]]="B","BUY",(IF(SIP[[#This Row],[B/S]]="S","SELL"," ")))</f>
        <v>BUY</v>
      </c>
      <c r="J1160" s="150" t="s">
        <v>1229</v>
      </c>
      <c r="K1160" s="152">
        <v>50000</v>
      </c>
      <c r="L1160" s="122"/>
      <c r="M1160" s="123">
        <f>SIP[[#This Row],[Amount]]/SIP[[#This Row],[Unit]]</f>
        <v>12.40079365079365</v>
      </c>
      <c r="N1160" s="71">
        <f>SIP[[#This Row],[Unit Capital]]/10</f>
        <v>4032</v>
      </c>
      <c r="O1160" s="71">
        <f>SUMIFS(SIP[[#Headers],[Unit]]:SIP[[#This Row],[Unit]],SIP[[#Headers],[Investor ID]]:SIP[[#This Row],[Investor ID]],SIP[[#This Row],[Investor ID]])</f>
        <v>4032</v>
      </c>
      <c r="P1160" s="153">
        <v>40320</v>
      </c>
      <c r="Q1160" s="74">
        <f>SIP[[#This Row],[Amount]]-SIP[[#This Row],[Unit Capital]]</f>
        <v>9680</v>
      </c>
      <c r="R11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12.40079365079365</v>
      </c>
      <c r="S1160" s="68">
        <f t="shared" si="54"/>
        <v>14.224</v>
      </c>
      <c r="T11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0" s="74" cm="1">
        <f t="array" ref="U1160">IF(SIP[[#This Row],[B/S]]="S",ABS(SIP[[#This Row],[Unit]])*(INDEX(SIP[NAV at Cost (Average)],MATCH(CONCATENATE((SIP[[#This Row],[Frequency]]-1),SIP[[#This Row],[Investor ID]]),SIP[Unique Code],0),0)),0)</f>
        <v>0</v>
      </c>
      <c r="V1160" s="74">
        <f>IF(SIP[[#This Row],[BO TRANSFER]]="YES",SIP[[#This Row],[Unit]],)</f>
        <v>0</v>
      </c>
      <c r="W1160" s="74">
        <f>SUMIFS(SIP[[#Headers],[BO UNIT TRANSFER]]:SIP[[#This Row],[BO UNIT TRANSFER]],SIP[[#Headers],[Investor ID]]:SIP[[#This Row],[Investor ID]],SIP[[#This Row],[Investor ID]])</f>
        <v>0</v>
      </c>
    </row>
    <row r="1161" spans="1:23" ht="15" customHeight="1">
      <c r="A1161" s="46">
        <v>2025</v>
      </c>
      <c r="B1161" s="46">
        <v>5</v>
      </c>
      <c r="C1161" s="46">
        <v>12</v>
      </c>
      <c r="D1161" s="65">
        <f>DATE(SIP[[#This Row],[Year]],SIP[[#This Row],[Month]],SIP[[#This Row],[Day]])</f>
        <v>45789</v>
      </c>
      <c r="E1161" s="66" t="str" cm="1">
        <f t="array" ref="E1161">INDEX(INVESTORS_LIST[INVESTOR NAME],MATCH(SIP[[#This Row],[Investor ID]],INVESTORS_LIST[INVESTOR CODE],0),)</f>
        <v>MRINMOY GHOSH</v>
      </c>
      <c r="F1161" s="46" t="s">
        <v>69</v>
      </c>
      <c r="G1161" s="46">
        <f>COUNTIF(SIP[[#Headers],[Investor ID]]:SIP[[#This Row],[Investor ID]],SIP[[#This Row],[Investor ID]])</f>
        <v>20</v>
      </c>
      <c r="H1161" s="46" t="str">
        <f>CONCATENATE(SIP[[#This Row],[Frequency]],SIP[[#This Row],[Investor ID]])</f>
        <v>20A00012</v>
      </c>
      <c r="I1161" s="46" t="str">
        <f>IF(SIP[[#This Row],[B/S]]="B","BUY",(IF(SIP[[#This Row],[B/S]]="S","SELL"," ")))</f>
        <v>SELL</v>
      </c>
      <c r="J1161" s="46" t="s">
        <v>1231</v>
      </c>
      <c r="K1161" s="152">
        <v>-73234.84</v>
      </c>
      <c r="L1161" s="122"/>
      <c r="M1161" s="123">
        <f>SIP[[#This Row],[Amount]]/SIP[[#This Row],[Unit]]</f>
        <v>12.418999491266746</v>
      </c>
      <c r="N1161" s="71">
        <f>SIP[[#This Row],[Unit Capital]]/10</f>
        <v>-5897</v>
      </c>
      <c r="O1161" s="71">
        <f>SUMIFS(SIP[[#Headers],[Unit]]:SIP[[#This Row],[Unit]],SIP[[#Headers],[Investor ID]]:SIP[[#This Row],[Investor ID]],SIP[[#This Row],[Investor ID]])</f>
        <v>0</v>
      </c>
      <c r="P1161" s="153">
        <v>-58970</v>
      </c>
      <c r="Q1161" s="74">
        <f>SIP[[#This Row],[Amount]]-SIP[[#This Row],[Unit Capital]]</f>
        <v>-14264.839999999997</v>
      </c>
      <c r="R11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161" s="68">
        <f t="shared" ref="S1161:S1170" si="55">NAV_MKT</f>
        <v>14.224</v>
      </c>
      <c r="T1161" s="74">
        <f>IF(SIP[[#This Row],[B/S]]="B",0,ABS(SIP[[#This Row],[Unit]])*(SIP[[#This Row],[NAV (Strike Rate)]]-INDEX(SIP[NAV at Cost (Average)],MATCH(CONCATENATE(SIP[[#This Row],[Frequency]]-1,SIP[[#This Row],[Investor ID]]),SIP[Unique Code],0),)))</f>
        <v>3234.8399999999951</v>
      </c>
      <c r="U1161" s="74" cm="1">
        <f t="array" ref="U1161">IF(SIP[[#This Row],[B/S]]="S",ABS(SIP[[#This Row],[Unit]])*(INDEX(SIP[NAV at Cost (Average)],MATCH(CONCATENATE((SIP[[#This Row],[Frequency]]-1),SIP[[#This Row],[Investor ID]]),SIP[Unique Code],0),0)),0)</f>
        <v>70000</v>
      </c>
      <c r="V1161" s="74">
        <f>IF(SIP[[#This Row],[BO TRANSFER]]="YES",SIP[[#This Row],[Unit]],)</f>
        <v>0</v>
      </c>
      <c r="W1161" s="74">
        <f>SUMIFS(SIP[[#Headers],[BO UNIT TRANSFER]]:SIP[[#This Row],[BO UNIT TRANSFER]],SIP[[#Headers],[Investor ID]]:SIP[[#This Row],[Investor ID]],SIP[[#This Row],[Investor ID]])</f>
        <v>0</v>
      </c>
    </row>
    <row r="1162" spans="1:23" ht="15" customHeight="1">
      <c r="A1162" s="46">
        <v>2025</v>
      </c>
      <c r="B1162" s="46">
        <v>5</v>
      </c>
      <c r="C1162" s="46">
        <v>15</v>
      </c>
      <c r="D1162" s="65">
        <f>DATE(SIP[[#This Row],[Year]],SIP[[#This Row],[Month]],SIP[[#This Row],[Day]])</f>
        <v>45792</v>
      </c>
      <c r="E1162" s="66" t="str" cm="1">
        <f t="array" ref="E1162">INDEX(INVESTORS_LIST[INVESTOR NAME],MATCH(SIP[[#This Row],[Investor ID]],INVESTORS_LIST[INVESTOR CODE],0),)</f>
        <v>MAHFUZA ANIKA</v>
      </c>
      <c r="F1162" s="46" t="s">
        <v>1277</v>
      </c>
      <c r="G1162" s="46">
        <f>COUNTIF(SIP[[#Headers],[Investor ID]]:SIP[[#This Row],[Investor ID]],SIP[[#This Row],[Investor ID]])</f>
        <v>11</v>
      </c>
      <c r="H1162" s="46" t="str">
        <f>CONCATENATE(SIP[[#This Row],[Frequency]],SIP[[#This Row],[Investor ID]])</f>
        <v>11A00585</v>
      </c>
      <c r="I1162" s="46" t="str">
        <f>IF(SIP[[#This Row],[B/S]]="B","BUY",(IF(SIP[[#This Row],[B/S]]="S","SELL"," ")))</f>
        <v>BUY</v>
      </c>
      <c r="J1162" s="150" t="s">
        <v>1229</v>
      </c>
      <c r="K1162" s="152">
        <v>2000</v>
      </c>
      <c r="L1162" s="122"/>
      <c r="M1162" s="123">
        <f>SIP[[#This Row],[Amount]]/SIP[[#This Row],[Unit]]</f>
        <v>12.422360248447205</v>
      </c>
      <c r="N1162" s="71">
        <f>SIP[[#This Row],[Unit Capital]]/10</f>
        <v>161</v>
      </c>
      <c r="O1162" s="71">
        <f>SUMIFS(SIP[[#Headers],[Unit]]:SIP[[#This Row],[Unit]],SIP[[#Headers],[Investor ID]]:SIP[[#This Row],[Investor ID]],SIP[[#This Row],[Investor ID]])</f>
        <v>1677</v>
      </c>
      <c r="P1162" s="153">
        <v>1610</v>
      </c>
      <c r="Q1162" s="74">
        <f>SIP[[#This Row],[Amount]]-SIP[[#This Row],[Unit Capital]]</f>
        <v>390</v>
      </c>
      <c r="R11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11.926058437686345</v>
      </c>
      <c r="S1162" s="68">
        <f t="shared" si="55"/>
        <v>14.224</v>
      </c>
      <c r="T11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2" s="74" cm="1">
        <f t="array" ref="U1162">IF(SIP[[#This Row],[B/S]]="S",ABS(SIP[[#This Row],[Unit]])*(INDEX(SIP[NAV at Cost (Average)],MATCH(CONCATENATE((SIP[[#This Row],[Frequency]]-1),SIP[[#This Row],[Investor ID]]),SIP[Unique Code],0),0)),0)</f>
        <v>0</v>
      </c>
      <c r="V1162" s="74">
        <f>IF(SIP[[#This Row],[BO TRANSFER]]="YES",SIP[[#This Row],[Unit]],)</f>
        <v>0</v>
      </c>
      <c r="W1162" s="74">
        <f>SUMIFS(SIP[[#Headers],[BO UNIT TRANSFER]]:SIP[[#This Row],[BO UNIT TRANSFER]],SIP[[#Headers],[Investor ID]]:SIP[[#This Row],[Investor ID]],SIP[[#This Row],[Investor ID]])</f>
        <v>0</v>
      </c>
    </row>
    <row r="1163" spans="1:23" ht="15" customHeight="1">
      <c r="A1163" s="46">
        <v>2025</v>
      </c>
      <c r="B1163" s="46">
        <v>5</v>
      </c>
      <c r="C1163" s="46">
        <v>15</v>
      </c>
      <c r="D1163" s="65">
        <f>DATE(SIP[[#This Row],[Year]],SIP[[#This Row],[Month]],SIP[[#This Row],[Day]])</f>
        <v>45792</v>
      </c>
      <c r="E1163" s="66" t="str" cm="1">
        <f t="array" ref="E1163">INDEX(INVESTORS_LIST[INVESTOR NAME],MATCH(SIP[[#This Row],[Investor ID]],INVESTORS_LIST[INVESTOR CODE],0),)</f>
        <v>ASRAAR HOSSAIN</v>
      </c>
      <c r="F1163" s="46" t="s">
        <v>786</v>
      </c>
      <c r="G1163" s="46">
        <f>COUNTIF(SIP[[#Headers],[Investor ID]]:SIP[[#This Row],[Investor ID]],SIP[[#This Row],[Investor ID]])</f>
        <v>8</v>
      </c>
      <c r="H1163" s="46" t="str">
        <f>CONCATENATE(SIP[[#This Row],[Frequency]],SIP[[#This Row],[Investor ID]])</f>
        <v>8A00369</v>
      </c>
      <c r="I1163" s="46" t="str">
        <f>IF(SIP[[#This Row],[B/S]]="B","BUY",(IF(SIP[[#This Row],[B/S]]="S","SELL"," ")))</f>
        <v>BUY</v>
      </c>
      <c r="J1163" s="150" t="s">
        <v>1229</v>
      </c>
      <c r="K1163" s="152">
        <v>15000</v>
      </c>
      <c r="L1163" s="122"/>
      <c r="M1163" s="123">
        <f>SIP[[#This Row],[Amount]]/SIP[[#This Row],[Unit]]</f>
        <v>12.417218543046358</v>
      </c>
      <c r="N1163" s="71">
        <f>SIP[[#This Row],[Unit Capital]]/10</f>
        <v>1208</v>
      </c>
      <c r="O1163" s="71">
        <f>SUMIFS(SIP[[#Headers],[Unit]]:SIP[[#This Row],[Unit]],SIP[[#Headers],[Investor ID]]:SIP[[#This Row],[Investor ID]],SIP[[#This Row],[Investor ID]])</f>
        <v>9944</v>
      </c>
      <c r="P1163" s="153">
        <v>12080</v>
      </c>
      <c r="Q1163" s="74">
        <f>SIP[[#This Row],[Amount]]-SIP[[#This Row],[Unit Capital]]</f>
        <v>2920</v>
      </c>
      <c r="R11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12.067578439259858</v>
      </c>
      <c r="S1163" s="68">
        <f t="shared" si="55"/>
        <v>14.224</v>
      </c>
      <c r="T11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3" s="74" cm="1">
        <f t="array" ref="U1163">IF(SIP[[#This Row],[B/S]]="S",ABS(SIP[[#This Row],[Unit]])*(INDEX(SIP[NAV at Cost (Average)],MATCH(CONCATENATE((SIP[[#This Row],[Frequency]]-1),SIP[[#This Row],[Investor ID]]),SIP[Unique Code],0),0)),0)</f>
        <v>0</v>
      </c>
      <c r="V1163" s="74">
        <f>IF(SIP[[#This Row],[BO TRANSFER]]="YES",SIP[[#This Row],[Unit]],)</f>
        <v>0</v>
      </c>
      <c r="W1163" s="74">
        <f>SUMIFS(SIP[[#Headers],[BO UNIT TRANSFER]]:SIP[[#This Row],[BO UNIT TRANSFER]],SIP[[#Headers],[Investor ID]]:SIP[[#This Row],[Investor ID]],SIP[[#This Row],[Investor ID]])</f>
        <v>0</v>
      </c>
    </row>
    <row r="1164" spans="1:23" ht="15" customHeight="1">
      <c r="A1164" s="46">
        <v>2025</v>
      </c>
      <c r="B1164" s="46">
        <v>5</v>
      </c>
      <c r="C1164" s="46">
        <v>15</v>
      </c>
      <c r="D1164" s="65">
        <f>DATE(SIP[[#This Row],[Year]],SIP[[#This Row],[Month]],SIP[[#This Row],[Day]])</f>
        <v>45792</v>
      </c>
      <c r="E1164" s="66" t="str" cm="1">
        <f t="array" ref="E1164">INDEX(INVESTORS_LIST[INVESTOR NAME],MATCH(SIP[[#This Row],[Investor ID]],INVESTORS_LIST[INVESTOR CODE],0),)</f>
        <v>MAHMUD ALI ALAMGIR &amp; MOHAMMED ALI XAHANGIR</v>
      </c>
      <c r="F1164" s="46" t="s">
        <v>1130</v>
      </c>
      <c r="G1164" s="46">
        <f>COUNTIF(SIP[[#Headers],[Investor ID]]:SIP[[#This Row],[Investor ID]],SIP[[#This Row],[Investor ID]])</f>
        <v>19</v>
      </c>
      <c r="H1164" s="46" t="str">
        <f>CONCATENATE(SIP[[#This Row],[Frequency]],SIP[[#This Row],[Investor ID]])</f>
        <v>19A00540</v>
      </c>
      <c r="I1164" s="46" t="str">
        <f>IF(SIP[[#This Row],[B/S]]="B","BUY",(IF(SIP[[#This Row],[B/S]]="S","SELL"," ")))</f>
        <v>BUY</v>
      </c>
      <c r="J1164" s="150" t="s">
        <v>1229</v>
      </c>
      <c r="K1164" s="152">
        <v>20000</v>
      </c>
      <c r="L1164" s="122"/>
      <c r="M1164" s="123">
        <f>SIP[[#This Row],[Amount]]/SIP[[#This Row],[Unit]]</f>
        <v>12.422360248447205</v>
      </c>
      <c r="N1164" s="71">
        <f>SIP[[#This Row],[Unit Capital]]/10</f>
        <v>1610</v>
      </c>
      <c r="O1164" s="71">
        <f>SUMIFS(SIP[[#Headers],[Unit]]:SIP[[#This Row],[Unit]],SIP[[#Headers],[Investor ID]]:SIP[[#This Row],[Investor ID]],SIP[[#This Row],[Investor ID]])</f>
        <v>47303</v>
      </c>
      <c r="P1164" s="153">
        <v>16100</v>
      </c>
      <c r="Q1164" s="74">
        <f>SIP[[#This Row],[Amount]]-SIP[[#This Row],[Unit Capital]]</f>
        <v>3900</v>
      </c>
      <c r="R11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11.843785777634736</v>
      </c>
      <c r="S1164" s="68">
        <f t="shared" si="55"/>
        <v>14.224</v>
      </c>
      <c r="T11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4" s="74" cm="1">
        <f t="array" ref="U1164">IF(SIP[[#This Row],[B/S]]="S",ABS(SIP[[#This Row],[Unit]])*(INDEX(SIP[NAV at Cost (Average)],MATCH(CONCATENATE((SIP[[#This Row],[Frequency]]-1),SIP[[#This Row],[Investor ID]]),SIP[Unique Code],0),0)),0)</f>
        <v>0</v>
      </c>
      <c r="V1164" s="74">
        <f>IF(SIP[[#This Row],[BO TRANSFER]]="YES",SIP[[#This Row],[Unit]],)</f>
        <v>0</v>
      </c>
      <c r="W1164" s="74">
        <f>SUMIFS(SIP[[#Headers],[BO UNIT TRANSFER]]:SIP[[#This Row],[BO UNIT TRANSFER]],SIP[[#Headers],[Investor ID]]:SIP[[#This Row],[Investor ID]],SIP[[#This Row],[Investor ID]])</f>
        <v>0</v>
      </c>
    </row>
    <row r="1165" spans="1:23" ht="15" customHeight="1">
      <c r="A1165" s="46">
        <v>2025</v>
      </c>
      <c r="B1165" s="46">
        <v>5</v>
      </c>
      <c r="C1165" s="46">
        <v>15</v>
      </c>
      <c r="D1165" s="65">
        <f>DATE(SIP[[#This Row],[Year]],SIP[[#This Row],[Month]],SIP[[#This Row],[Day]])</f>
        <v>45792</v>
      </c>
      <c r="E1165" s="66" t="str" cm="1">
        <f t="array" ref="E1165">INDEX(INVESTORS_LIST[INVESTOR NAME],MATCH(SIP[[#This Row],[Investor ID]],INVESTORS_LIST[INVESTOR CODE],0),)</f>
        <v>RUKAIYA FAHMIDA</v>
      </c>
      <c r="F1165" s="46" t="s">
        <v>1190</v>
      </c>
      <c r="G1165" s="46">
        <f>COUNTIF(SIP[[#Headers],[Investor ID]]:SIP[[#This Row],[Investor ID]],SIP[[#This Row],[Investor ID]])</f>
        <v>3</v>
      </c>
      <c r="H1165" s="46" t="str">
        <f>CONCATENATE(SIP[[#This Row],[Frequency]],SIP[[#This Row],[Investor ID]])</f>
        <v>3A00571</v>
      </c>
      <c r="I1165" s="46" t="str">
        <f>IF(SIP[[#This Row],[B/S]]="B","BUY",(IF(SIP[[#This Row],[B/S]]="S","SELL"," ")))</f>
        <v>BUY</v>
      </c>
      <c r="J1165" s="150" t="s">
        <v>1229</v>
      </c>
      <c r="K1165" s="152">
        <v>2000</v>
      </c>
      <c r="L1165" s="122"/>
      <c r="M1165" s="123">
        <f>SIP[[#This Row],[Amount]]/SIP[[#This Row],[Unit]]</f>
        <v>12.422360248447205</v>
      </c>
      <c r="N1165" s="71">
        <f>SIP[[#This Row],[Unit Capital]]/10</f>
        <v>161</v>
      </c>
      <c r="O1165" s="71">
        <f>SUMIFS(SIP[[#Headers],[Unit]]:SIP[[#This Row],[Unit]],SIP[[#Headers],[Investor ID]]:SIP[[#This Row],[Investor ID]],SIP[[#This Row],[Investor ID]])</f>
        <v>480</v>
      </c>
      <c r="P1165" s="153">
        <v>1610</v>
      </c>
      <c r="Q1165" s="74">
        <f>SIP[[#This Row],[Amount]]-SIP[[#This Row],[Unit Capital]]</f>
        <v>390</v>
      </c>
      <c r="R11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12.499999999999998</v>
      </c>
      <c r="S1165" s="68">
        <f t="shared" si="55"/>
        <v>14.224</v>
      </c>
      <c r="T11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5" s="74" cm="1">
        <f t="array" ref="U1165">IF(SIP[[#This Row],[B/S]]="S",ABS(SIP[[#This Row],[Unit]])*(INDEX(SIP[NAV at Cost (Average)],MATCH(CONCATENATE((SIP[[#This Row],[Frequency]]-1),SIP[[#This Row],[Investor ID]]),SIP[Unique Code],0),0)),0)</f>
        <v>0</v>
      </c>
      <c r="V1165" s="74">
        <f>IF(SIP[[#This Row],[BO TRANSFER]]="YES",SIP[[#This Row],[Unit]],)</f>
        <v>0</v>
      </c>
      <c r="W1165" s="74">
        <f>SUMIFS(SIP[[#Headers],[BO UNIT TRANSFER]]:SIP[[#This Row],[BO UNIT TRANSFER]],SIP[[#Headers],[Investor ID]]:SIP[[#This Row],[Investor ID]],SIP[[#This Row],[Investor ID]])</f>
        <v>0</v>
      </c>
    </row>
    <row r="1166" spans="1:23" ht="15" customHeight="1">
      <c r="A1166" s="46">
        <v>2025</v>
      </c>
      <c r="B1166" s="46">
        <v>5</v>
      </c>
      <c r="C1166" s="46">
        <v>15</v>
      </c>
      <c r="D1166" s="65">
        <f>DATE(SIP[[#This Row],[Year]],SIP[[#This Row],[Month]],SIP[[#This Row],[Day]])</f>
        <v>45792</v>
      </c>
      <c r="E1166" s="66" t="str" cm="1">
        <f t="array" ref="E1166">INDEX(INVESTORS_LIST[INVESTOR NAME],MATCH(SIP[[#This Row],[Investor ID]],INVESTORS_LIST[INVESTOR CODE],0),)</f>
        <v>MD. RAFIQUR RAHMAN</v>
      </c>
      <c r="F1166" s="46" t="s">
        <v>622</v>
      </c>
      <c r="G1166" s="46">
        <f>COUNTIF(SIP[[#Headers],[Investor ID]]:SIP[[#This Row],[Investor ID]],SIP[[#This Row],[Investor ID]])</f>
        <v>21</v>
      </c>
      <c r="H1166" s="46" t="str">
        <f>CONCATENATE(SIP[[#This Row],[Frequency]],SIP[[#This Row],[Investor ID]])</f>
        <v>21A00287</v>
      </c>
      <c r="I1166" s="46" t="str">
        <f>IF(SIP[[#This Row],[B/S]]="B","BUY",(IF(SIP[[#This Row],[B/S]]="S","SELL"," ")))</f>
        <v>BUY</v>
      </c>
      <c r="J1166" s="150" t="s">
        <v>1229</v>
      </c>
      <c r="K1166" s="152">
        <v>20000</v>
      </c>
      <c r="L1166" s="122"/>
      <c r="M1166" s="123">
        <f>SIP[[#This Row],[Amount]]/SIP[[#This Row],[Unit]]</f>
        <v>12.422360248447205</v>
      </c>
      <c r="N1166" s="71">
        <f>SIP[[#This Row],[Unit Capital]]/10</f>
        <v>1610</v>
      </c>
      <c r="O1166" s="71">
        <f>SUMIFS(SIP[[#Headers],[Unit]]:SIP[[#This Row],[Unit]],SIP[[#Headers],[Investor ID]]:SIP[[#This Row],[Investor ID]],SIP[[#This Row],[Investor ID]])</f>
        <v>37133</v>
      </c>
      <c r="P1166" s="153">
        <v>16100</v>
      </c>
      <c r="Q1166" s="74">
        <f>SIP[[#This Row],[Amount]]-SIP[[#This Row],[Unit Capital]]</f>
        <v>3900</v>
      </c>
      <c r="R11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11.310693991867069</v>
      </c>
      <c r="S1166" s="68">
        <f t="shared" si="55"/>
        <v>14.224</v>
      </c>
      <c r="T11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6" s="74" cm="1">
        <f t="array" ref="U1166">IF(SIP[[#This Row],[B/S]]="S",ABS(SIP[[#This Row],[Unit]])*(INDEX(SIP[NAV at Cost (Average)],MATCH(CONCATENATE((SIP[[#This Row],[Frequency]]-1),SIP[[#This Row],[Investor ID]]),SIP[Unique Code],0),0)),0)</f>
        <v>0</v>
      </c>
      <c r="V1166" s="74">
        <f>IF(SIP[[#This Row],[BO TRANSFER]]="YES",SIP[[#This Row],[Unit]],)</f>
        <v>0</v>
      </c>
      <c r="W1166" s="74">
        <f>SUMIFS(SIP[[#Headers],[BO UNIT TRANSFER]]:SIP[[#This Row],[BO UNIT TRANSFER]],SIP[[#Headers],[Investor ID]]:SIP[[#This Row],[Investor ID]],SIP[[#This Row],[Investor ID]])</f>
        <v>0</v>
      </c>
    </row>
    <row r="1167" spans="1:23" ht="15" customHeight="1">
      <c r="A1167" s="46">
        <v>2025</v>
      </c>
      <c r="B1167" s="46">
        <v>5</v>
      </c>
      <c r="C1167" s="46">
        <v>15</v>
      </c>
      <c r="D1167" s="65">
        <f>DATE(SIP[[#This Row],[Year]],SIP[[#This Row],[Month]],SIP[[#This Row],[Day]])</f>
        <v>45792</v>
      </c>
      <c r="E1167" s="66" t="str" cm="1">
        <f t="array" ref="E1167">INDEX(INVESTORS_LIST[INVESTOR NAME],MATCH(SIP[[#This Row],[Investor ID]],INVESTORS_LIST[INVESTOR CODE],0),)</f>
        <v>MAHMUD ALI ALAMGIR &amp; MOHAMMED ALI XAHANGIR</v>
      </c>
      <c r="F1167" s="46" t="s">
        <v>1130</v>
      </c>
      <c r="G1167" s="46">
        <f>COUNTIF(SIP[[#Headers],[Investor ID]]:SIP[[#This Row],[Investor ID]],SIP[[#This Row],[Investor ID]])</f>
        <v>20</v>
      </c>
      <c r="H1167" s="46" t="str">
        <f>CONCATENATE(SIP[[#This Row],[Frequency]],SIP[[#This Row],[Investor ID]])</f>
        <v>20A00540</v>
      </c>
      <c r="I1167" s="46" t="str">
        <f>IF(SIP[[#This Row],[B/S]]="B","BUY",(IF(SIP[[#This Row],[B/S]]="S","SELL"," ")))</f>
        <v>BUY</v>
      </c>
      <c r="J1167" s="150" t="s">
        <v>1229</v>
      </c>
      <c r="K1167" s="152">
        <v>40000</v>
      </c>
      <c r="L1167" s="122"/>
      <c r="M1167" s="123">
        <f>SIP[[#This Row],[Amount]]/SIP[[#This Row],[Unit]]</f>
        <v>12.418503570319777</v>
      </c>
      <c r="N1167" s="71">
        <f>SIP[[#This Row],[Unit Capital]]/10</f>
        <v>3221</v>
      </c>
      <c r="O1167" s="71">
        <f>SUMIFS(SIP[[#Headers],[Unit]]:SIP[[#This Row],[Unit]],SIP[[#Headers],[Investor ID]]:SIP[[#This Row],[Investor ID]],SIP[[#This Row],[Investor ID]])</f>
        <v>50524</v>
      </c>
      <c r="P1167" s="153">
        <v>32210</v>
      </c>
      <c r="Q1167" s="74">
        <f>SIP[[#This Row],[Amount]]-SIP[[#This Row],[Unit Capital]]</f>
        <v>7790</v>
      </c>
      <c r="R11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11.88042511755712</v>
      </c>
      <c r="S1167" s="68">
        <f t="shared" si="55"/>
        <v>14.224</v>
      </c>
      <c r="T11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7" s="74" cm="1">
        <f t="array" ref="U1167">IF(SIP[[#This Row],[B/S]]="S",ABS(SIP[[#This Row],[Unit]])*(INDEX(SIP[NAV at Cost (Average)],MATCH(CONCATENATE((SIP[[#This Row],[Frequency]]-1),SIP[[#This Row],[Investor ID]]),SIP[Unique Code],0),0)),0)</f>
        <v>0</v>
      </c>
      <c r="V1167" s="74">
        <f>IF(SIP[[#This Row],[BO TRANSFER]]="YES",SIP[[#This Row],[Unit]],)</f>
        <v>0</v>
      </c>
      <c r="W1167" s="74">
        <f>SUMIFS(SIP[[#Headers],[BO UNIT TRANSFER]]:SIP[[#This Row],[BO UNIT TRANSFER]],SIP[[#Headers],[Investor ID]]:SIP[[#This Row],[Investor ID]],SIP[[#This Row],[Investor ID]])</f>
        <v>0</v>
      </c>
    </row>
    <row r="1168" spans="1:23" ht="15" customHeight="1">
      <c r="A1168" s="46">
        <v>2025</v>
      </c>
      <c r="B1168" s="46">
        <v>5</v>
      </c>
      <c r="C1168" s="46">
        <v>15</v>
      </c>
      <c r="D1168" s="65">
        <f>DATE(SIP[[#This Row],[Year]],SIP[[#This Row],[Month]],SIP[[#This Row],[Day]])</f>
        <v>45792</v>
      </c>
      <c r="E1168" s="66" t="str" cm="1">
        <f t="array" ref="E1168">INDEX(INVESTORS_LIST[INVESTOR NAME],MATCH(SIP[[#This Row],[Investor ID]],INVESTORS_LIST[INVESTOR CODE],0),)</f>
        <v>ASHIK CHOWDHURY OVI</v>
      </c>
      <c r="F1168" s="46" t="s">
        <v>1101</v>
      </c>
      <c r="G1168" s="46">
        <f>COUNTIF(SIP[[#Headers],[Investor ID]]:SIP[[#This Row],[Investor ID]],SIP[[#This Row],[Investor ID]])</f>
        <v>5</v>
      </c>
      <c r="H1168" s="46" t="str">
        <f>CONCATENATE(SIP[[#This Row],[Frequency]],SIP[[#This Row],[Investor ID]])</f>
        <v>5A00527</v>
      </c>
      <c r="I1168" s="46" t="str">
        <f>IF(SIP[[#This Row],[B/S]]="B","BUY",(IF(SIP[[#This Row],[B/S]]="S","SELL"," ")))</f>
        <v>BUY</v>
      </c>
      <c r="J1168" s="150" t="s">
        <v>1229</v>
      </c>
      <c r="K1168" s="152">
        <v>5000</v>
      </c>
      <c r="L1168" s="122"/>
      <c r="M1168" s="123">
        <f>SIP[[#This Row],[Amount]]/SIP[[#This Row],[Unit]]</f>
        <v>12.406947890818859</v>
      </c>
      <c r="N1168" s="71">
        <f>SIP[[#This Row],[Unit Capital]]/10</f>
        <v>403</v>
      </c>
      <c r="O1168" s="71">
        <f>SUMIFS(SIP[[#Headers],[Unit]]:SIP[[#This Row],[Unit]],SIP[[#Headers],[Investor ID]]:SIP[[#This Row],[Investor ID]],SIP[[#This Row],[Investor ID]])</f>
        <v>403</v>
      </c>
      <c r="P1168" s="153">
        <v>4030</v>
      </c>
      <c r="Q1168" s="74">
        <f>SIP[[#This Row],[Amount]]-SIP[[#This Row],[Unit Capital]]</f>
        <v>970</v>
      </c>
      <c r="R11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12.406947890818859</v>
      </c>
      <c r="S1168" s="68">
        <f t="shared" si="55"/>
        <v>14.224</v>
      </c>
      <c r="T11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8" s="74" cm="1">
        <f t="array" ref="U1168">IF(SIP[[#This Row],[B/S]]="S",ABS(SIP[[#This Row],[Unit]])*(INDEX(SIP[NAV at Cost (Average)],MATCH(CONCATENATE((SIP[[#This Row],[Frequency]]-1),SIP[[#This Row],[Investor ID]]),SIP[Unique Code],0),0)),0)</f>
        <v>0</v>
      </c>
      <c r="V1168" s="74">
        <f>IF(SIP[[#This Row],[BO TRANSFER]]="YES",SIP[[#This Row],[Unit]],)</f>
        <v>0</v>
      </c>
      <c r="W1168" s="74">
        <f>SUMIFS(SIP[[#Headers],[BO UNIT TRANSFER]]:SIP[[#This Row],[BO UNIT TRANSFER]],SIP[[#Headers],[Investor ID]]:SIP[[#This Row],[Investor ID]],SIP[[#This Row],[Investor ID]])</f>
        <v>0</v>
      </c>
    </row>
    <row r="1169" spans="1:23" ht="15" customHeight="1">
      <c r="A1169" s="46">
        <v>2025</v>
      </c>
      <c r="B1169" s="46">
        <v>5</v>
      </c>
      <c r="C1169" s="46">
        <v>15</v>
      </c>
      <c r="D1169" s="65">
        <f>DATE(SIP[[#This Row],[Year]],SIP[[#This Row],[Month]],SIP[[#This Row],[Day]])</f>
        <v>45792</v>
      </c>
      <c r="E1169" s="66" t="str" cm="1">
        <f t="array" ref="E1169">INDEX(INVESTORS_LIST[INVESTOR NAME],MATCH(SIP[[#This Row],[Investor ID]],INVESTORS_LIST[INVESTOR CODE],0),)</f>
        <v>SANJIB KUMAR ROY</v>
      </c>
      <c r="F1169" s="46" t="s">
        <v>1020</v>
      </c>
      <c r="G1169" s="46">
        <f>COUNTIF(SIP[[#Headers],[Investor ID]]:SIP[[#This Row],[Investor ID]],SIP[[#This Row],[Investor ID]])</f>
        <v>24</v>
      </c>
      <c r="H1169" s="46" t="str">
        <f>CONCATENATE(SIP[[#This Row],[Frequency]],SIP[[#This Row],[Investor ID]])</f>
        <v>24A00487</v>
      </c>
      <c r="I1169" s="46" t="str">
        <f>IF(SIP[[#This Row],[B/S]]="B","BUY",(IF(SIP[[#This Row],[B/S]]="S","SELL"," ")))</f>
        <v>BUY</v>
      </c>
      <c r="J1169" s="150" t="s">
        <v>1229</v>
      </c>
      <c r="K1169" s="152">
        <v>5000</v>
      </c>
      <c r="L1169" s="122"/>
      <c r="M1169" s="123">
        <f>SIP[[#This Row],[Amount]]/SIP[[#This Row],[Unit]]</f>
        <v>12.406947890818859</v>
      </c>
      <c r="N1169" s="71">
        <f>SIP[[#This Row],[Unit Capital]]/10</f>
        <v>403</v>
      </c>
      <c r="O1169" s="71">
        <f>SUMIFS(SIP[[#Headers],[Unit]]:SIP[[#This Row],[Unit]],SIP[[#Headers],[Investor ID]]:SIP[[#This Row],[Investor ID]],SIP[[#This Row],[Investor ID]])</f>
        <v>10740</v>
      </c>
      <c r="P1169" s="153">
        <v>4030</v>
      </c>
      <c r="Q1169" s="74">
        <f>SIP[[#This Row],[Amount]]-SIP[[#This Row],[Unit Capital]]</f>
        <v>970</v>
      </c>
      <c r="R11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11.173184357541897</v>
      </c>
      <c r="S1169" s="68">
        <f t="shared" si="55"/>
        <v>14.224</v>
      </c>
      <c r="T11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9" s="74" cm="1">
        <f t="array" ref="U1169">IF(SIP[[#This Row],[B/S]]="S",ABS(SIP[[#This Row],[Unit]])*(INDEX(SIP[NAV at Cost (Average)],MATCH(CONCATENATE((SIP[[#This Row],[Frequency]]-1),SIP[[#This Row],[Investor ID]]),SIP[Unique Code],0),0)),0)</f>
        <v>0</v>
      </c>
      <c r="V1169" s="74">
        <f>IF(SIP[[#This Row],[BO TRANSFER]]="YES",SIP[[#This Row],[Unit]],)</f>
        <v>0</v>
      </c>
      <c r="W1169" s="74">
        <f>SUMIFS(SIP[[#Headers],[BO UNIT TRANSFER]]:SIP[[#This Row],[BO UNIT TRANSFER]],SIP[[#Headers],[Investor ID]]:SIP[[#This Row],[Investor ID]],SIP[[#This Row],[Investor ID]])</f>
        <v>0</v>
      </c>
    </row>
    <row r="1170" spans="1:23" ht="15" customHeight="1">
      <c r="A1170" s="46">
        <v>2025</v>
      </c>
      <c r="B1170" s="46">
        <v>5</v>
      </c>
      <c r="C1170" s="46">
        <v>19</v>
      </c>
      <c r="D1170" s="65">
        <f>DATE(SIP[[#This Row],[Year]],SIP[[#This Row],[Month]],SIP[[#This Row],[Day]])</f>
        <v>45796</v>
      </c>
      <c r="E1170" s="66" t="str" cm="1">
        <f t="array" ref="E1170">INDEX(INVESTORS_LIST[INVESTOR NAME],MATCH(SIP[[#This Row],[Investor ID]],INVESTORS_LIST[INVESTOR CODE],0),)</f>
        <v>AKIB TANVIR ANJUM</v>
      </c>
      <c r="F1170" s="46" t="s">
        <v>1116</v>
      </c>
      <c r="G1170" s="46">
        <f>COUNTIF(SIP[[#Headers],[Investor ID]]:SIP[[#This Row],[Investor ID]],SIP[[#This Row],[Investor ID]])</f>
        <v>21</v>
      </c>
      <c r="H1170" s="46" t="str">
        <f>CONCATENATE(SIP[[#This Row],[Frequency]],SIP[[#This Row],[Investor ID]])</f>
        <v>21A00533</v>
      </c>
      <c r="I1170" s="46" t="str">
        <f>IF(SIP[[#This Row],[B/S]]="B","BUY",(IF(SIP[[#This Row],[B/S]]="S","SELL"," ")))</f>
        <v>SELL</v>
      </c>
      <c r="J1170" s="150" t="s">
        <v>1231</v>
      </c>
      <c r="K1170" s="152">
        <v>-29890.92</v>
      </c>
      <c r="L1170" s="122"/>
      <c r="M1170" s="123">
        <f>SIP[[#This Row],[Amount]]/SIP[[#This Row],[Unit]]</f>
        <v>12.43900124843945</v>
      </c>
      <c r="N1170" s="71">
        <f>SIP[[#This Row],[Unit Capital]]/10</f>
        <v>-2403</v>
      </c>
      <c r="O1170" s="71">
        <f>SUMIFS(SIP[[#Headers],[Unit]]:SIP[[#This Row],[Unit]],SIP[[#Headers],[Investor ID]]:SIP[[#This Row],[Investor ID]],SIP[[#This Row],[Investor ID]])</f>
        <v>0</v>
      </c>
      <c r="P1170" s="153">
        <v>-24030</v>
      </c>
      <c r="Q1170" s="74">
        <f>SIP[[#This Row],[Amount]]-SIP[[#This Row],[Unit Capital]]</f>
        <v>-5860.9199999999983</v>
      </c>
      <c r="R11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170" s="68">
        <f t="shared" si="55"/>
        <v>14.224</v>
      </c>
      <c r="T1170" s="74">
        <f>IF(SIP[[#This Row],[B/S]]="B",0,ABS(SIP[[#This Row],[Unit]])*(SIP[[#This Row],[NAV (Strike Rate)]]-INDEX(SIP[NAV at Cost (Average)],MATCH(CONCATENATE(SIP[[#This Row],[Frequency]]-1,SIP[[#This Row],[Investor ID]]),SIP[Unique Code],0),)))</f>
        <v>1115.68494647133</v>
      </c>
      <c r="U1170" s="74" cm="1">
        <f t="array" ref="U1170">IF(SIP[[#This Row],[B/S]]="S",ABS(SIP[[#This Row],[Unit]])*(INDEX(SIP[NAV at Cost (Average)],MATCH(CONCATENATE((SIP[[#This Row],[Frequency]]-1),SIP[[#This Row],[Investor ID]]),SIP[Unique Code],0),0)),0)</f>
        <v>28775.235053528668</v>
      </c>
      <c r="V1170" s="74">
        <f>IF(SIP[[#This Row],[BO TRANSFER]]="YES",SIP[[#This Row],[Unit]],)</f>
        <v>0</v>
      </c>
      <c r="W1170" s="74">
        <f>SUMIFS(SIP[[#Headers],[BO UNIT TRANSFER]]:SIP[[#This Row],[BO UNIT TRANSFER]],SIP[[#Headers],[Investor ID]]:SIP[[#This Row],[Investor ID]],SIP[[#This Row],[Investor ID]])</f>
        <v>0</v>
      </c>
    </row>
    <row r="1171" spans="1:23" ht="15" customHeight="1">
      <c r="A1171" s="46">
        <v>2025</v>
      </c>
      <c r="B1171" s="46">
        <v>5</v>
      </c>
      <c r="C1171" s="46">
        <v>25</v>
      </c>
      <c r="D1171" s="65">
        <f>DATE(SIP[[#This Row],[Year]],SIP[[#This Row],[Month]],SIP[[#This Row],[Day]])</f>
        <v>45802</v>
      </c>
      <c r="E1171" s="66" t="str" cm="1">
        <f t="array" ref="E1171">INDEX(INVESTORS_LIST[INVESTOR NAME],MATCH(SIP[[#This Row],[Investor ID]],INVESTORS_LIST[INVESTOR CODE],0),)</f>
        <v>ASHIK CHOWDHURY OVI</v>
      </c>
      <c r="F1171" s="46" t="s">
        <v>1101</v>
      </c>
      <c r="G1171" s="46">
        <f>COUNTIF(SIP[[#Headers],[Investor ID]]:SIP[[#This Row],[Investor ID]],SIP[[#This Row],[Investor ID]])</f>
        <v>6</v>
      </c>
      <c r="H1171" s="46" t="str">
        <f>CONCATENATE(SIP[[#This Row],[Frequency]],SIP[[#This Row],[Investor ID]])</f>
        <v>6A00527</v>
      </c>
      <c r="I1171" s="46" t="str">
        <f>IF(SIP[[#This Row],[B/S]]="B","BUY",(IF(SIP[[#This Row],[B/S]]="S","SELL"," ")))</f>
        <v>SELL</v>
      </c>
      <c r="J1171" s="150" t="s">
        <v>1231</v>
      </c>
      <c r="K1171" s="152">
        <v>-5000</v>
      </c>
      <c r="L1171" s="122"/>
      <c r="M1171" s="123">
        <f>SIP[[#This Row],[Amount]]/SIP[[#This Row],[Unit]]</f>
        <v>12.406947890818859</v>
      </c>
      <c r="N1171" s="71">
        <f>SIP[[#This Row],[Unit Capital]]/10</f>
        <v>-403</v>
      </c>
      <c r="O1171" s="71">
        <f>SUMIFS(SIP[[#Headers],[Unit]]:SIP[[#This Row],[Unit]],SIP[[#Headers],[Investor ID]]:SIP[[#This Row],[Investor ID]],SIP[[#This Row],[Investor ID]])</f>
        <v>0</v>
      </c>
      <c r="P1171" s="153">
        <v>-4030</v>
      </c>
      <c r="Q1171" s="74">
        <f>SIP[[#This Row],[Amount]]-SIP[[#This Row],[Unit Capital]]</f>
        <v>-970</v>
      </c>
      <c r="R11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171" s="68">
        <f t="shared" ref="S1171:S1205" si="56">NAV_MKT</f>
        <v>14.224</v>
      </c>
      <c r="T11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1" s="74" cm="1">
        <f t="array" ref="U1171">IF(SIP[[#This Row],[B/S]]="S",ABS(SIP[[#This Row],[Unit]])*(INDEX(SIP[NAV at Cost (Average)],MATCH(CONCATENATE((SIP[[#This Row],[Frequency]]-1),SIP[[#This Row],[Investor ID]]),SIP[Unique Code],0),0)),0)</f>
        <v>5000</v>
      </c>
      <c r="V1171" s="74">
        <f>IF(SIP[[#This Row],[BO TRANSFER]]="YES",SIP[[#This Row],[Unit]],)</f>
        <v>0</v>
      </c>
      <c r="W1171" s="74">
        <f>SUMIFS(SIP[[#Headers],[BO UNIT TRANSFER]]:SIP[[#This Row],[BO UNIT TRANSFER]],SIP[[#Headers],[Investor ID]]:SIP[[#This Row],[Investor ID]],SIP[[#This Row],[Investor ID]])</f>
        <v>0</v>
      </c>
    </row>
    <row r="1172" spans="1:23" ht="15" customHeight="1">
      <c r="A1172" s="46">
        <v>2025</v>
      </c>
      <c r="B1172" s="46">
        <v>5</v>
      </c>
      <c r="C1172" s="46">
        <v>26</v>
      </c>
      <c r="D1172" s="65">
        <f>DATE(SIP[[#This Row],[Year]],SIP[[#This Row],[Month]],SIP[[#This Row],[Day]])</f>
        <v>45803</v>
      </c>
      <c r="E1172" s="66" t="str" cm="1">
        <f t="array" ref="E1172">INDEX(INVESTORS_LIST[INVESTOR NAME],MATCH(SIP[[#This Row],[Investor ID]],INVESTORS_LIST[INVESTOR CODE],0),)</f>
        <v>SWADESH RANJAN SAHA</v>
      </c>
      <c r="F1172" s="46" t="s">
        <v>234</v>
      </c>
      <c r="G1172" s="46">
        <f>COUNTIF(SIP[[#Headers],[Investor ID]]:SIP[[#This Row],[Investor ID]],SIP[[#This Row],[Investor ID]])</f>
        <v>6</v>
      </c>
      <c r="H1172" s="46" t="str">
        <f>CONCATENATE(SIP[[#This Row],[Frequency]],SIP[[#This Row],[Investor ID]])</f>
        <v>6A00093</v>
      </c>
      <c r="I1172" s="46" t="str">
        <f>IF(SIP[[#This Row],[B/S]]="B","BUY",(IF(SIP[[#This Row],[B/S]]="S","SELL"," ")))</f>
        <v>BUY</v>
      </c>
      <c r="J1172" s="150" t="s">
        <v>1229</v>
      </c>
      <c r="K1172" s="152">
        <v>50000</v>
      </c>
      <c r="L1172" s="122"/>
      <c r="M1172" s="123">
        <f>SIP[[#This Row],[Amount]]/SIP[[#This Row],[Unit]]</f>
        <v>12.468827930174564</v>
      </c>
      <c r="N1172" s="71">
        <f>SIP[[#This Row],[Unit Capital]]/10</f>
        <v>4010</v>
      </c>
      <c r="O1172" s="71">
        <f>SUMIFS(SIP[[#Headers],[Unit]]:SIP[[#This Row],[Unit]],SIP[[#Headers],[Investor ID]]:SIP[[#This Row],[Investor ID]],SIP[[#This Row],[Investor ID]])</f>
        <v>24453</v>
      </c>
      <c r="P1172" s="153">
        <v>40100</v>
      </c>
      <c r="Q1172" s="74">
        <f>SIP[[#This Row],[Amount]]-SIP[[#This Row],[Unit Capital]]</f>
        <v>9900</v>
      </c>
      <c r="R11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12.268433321064897</v>
      </c>
      <c r="S1172" s="68">
        <f t="shared" si="56"/>
        <v>14.224</v>
      </c>
      <c r="T11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2" s="74" cm="1">
        <f t="array" ref="U1172">IF(SIP[[#This Row],[B/S]]="S",ABS(SIP[[#This Row],[Unit]])*(INDEX(SIP[NAV at Cost (Average)],MATCH(CONCATENATE((SIP[[#This Row],[Frequency]]-1),SIP[[#This Row],[Investor ID]]),SIP[Unique Code],0),0)),0)</f>
        <v>0</v>
      </c>
      <c r="V1172" s="74">
        <f>IF(SIP[[#This Row],[BO TRANSFER]]="YES",SIP[[#This Row],[Unit]],)</f>
        <v>0</v>
      </c>
      <c r="W1172" s="74">
        <f>SUMIFS(SIP[[#Headers],[BO UNIT TRANSFER]]:SIP[[#This Row],[BO UNIT TRANSFER]],SIP[[#Headers],[Investor ID]]:SIP[[#This Row],[Investor ID]],SIP[[#This Row],[Investor ID]])</f>
        <v>0</v>
      </c>
    </row>
    <row r="1173" spans="1:23" ht="15" customHeight="1">
      <c r="A1173" s="46">
        <v>2025</v>
      </c>
      <c r="B1173" s="46">
        <v>5</v>
      </c>
      <c r="C1173" s="46">
        <v>26</v>
      </c>
      <c r="D1173" s="65">
        <f>DATE(SIP[[#This Row],[Year]],SIP[[#This Row],[Month]],SIP[[#This Row],[Day]])</f>
        <v>45803</v>
      </c>
      <c r="E1173" s="66" t="str" cm="1">
        <f t="array" ref="E1173">INDEX(INVESTORS_LIST[INVESTOR NAME],MATCH(SIP[[#This Row],[Investor ID]],INVESTORS_LIST[INVESTOR CODE],0),)</f>
        <v>MAHBUB-UL-ANAM KHAN</v>
      </c>
      <c r="F1173" s="46" t="s">
        <v>626</v>
      </c>
      <c r="G1173" s="46">
        <f>COUNTIF(SIP[[#Headers],[Investor ID]]:SIP[[#This Row],[Investor ID]],SIP[[#This Row],[Investor ID]])</f>
        <v>10</v>
      </c>
      <c r="H1173" s="46" t="str">
        <f>CONCATENATE(SIP[[#This Row],[Frequency]],SIP[[#This Row],[Investor ID]])</f>
        <v>10A00289</v>
      </c>
      <c r="I1173" s="46" t="str">
        <f>IF(SIP[[#This Row],[B/S]]="B","BUY",(IF(SIP[[#This Row],[B/S]]="S","SELL"," ")))</f>
        <v>BUY</v>
      </c>
      <c r="J1173" s="150" t="s">
        <v>1229</v>
      </c>
      <c r="K1173" s="152">
        <v>5000</v>
      </c>
      <c r="L1173" s="122"/>
      <c r="M1173" s="123">
        <f>SIP[[#This Row],[Amount]]/SIP[[#This Row],[Unit]]</f>
        <v>12.468827930174564</v>
      </c>
      <c r="N1173" s="71">
        <f>SIP[[#This Row],[Unit Capital]]/10</f>
        <v>401</v>
      </c>
      <c r="O1173" s="71">
        <f>SUMIFS(SIP[[#Headers],[Unit]]:SIP[[#This Row],[Unit]],SIP[[#Headers],[Investor ID]]:SIP[[#This Row],[Investor ID]],SIP[[#This Row],[Investor ID]])</f>
        <v>4182</v>
      </c>
      <c r="P1173" s="153">
        <v>4010</v>
      </c>
      <c r="Q1173" s="74">
        <f>SIP[[#This Row],[Amount]]-SIP[[#This Row],[Unit Capital]]</f>
        <v>990</v>
      </c>
      <c r="R11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11.956001912960303</v>
      </c>
      <c r="S1173" s="68">
        <f t="shared" si="56"/>
        <v>14.224</v>
      </c>
      <c r="T11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3" s="74" cm="1">
        <f t="array" ref="U1173">IF(SIP[[#This Row],[B/S]]="S",ABS(SIP[[#This Row],[Unit]])*(INDEX(SIP[NAV at Cost (Average)],MATCH(CONCATENATE((SIP[[#This Row],[Frequency]]-1),SIP[[#This Row],[Investor ID]]),SIP[Unique Code],0),0)),0)</f>
        <v>0</v>
      </c>
      <c r="V1173" s="74">
        <f>IF(SIP[[#This Row],[BO TRANSFER]]="YES",SIP[[#This Row],[Unit]],)</f>
        <v>0</v>
      </c>
      <c r="W1173" s="74">
        <f>SUMIFS(SIP[[#Headers],[BO UNIT TRANSFER]]:SIP[[#This Row],[BO UNIT TRANSFER]],SIP[[#Headers],[Investor ID]]:SIP[[#This Row],[Investor ID]],SIP[[#This Row],[Investor ID]])</f>
        <v>0</v>
      </c>
    </row>
    <row r="1174" spans="1:23" ht="15" customHeight="1">
      <c r="A1174" s="46">
        <v>2025</v>
      </c>
      <c r="B1174" s="46">
        <v>5</v>
      </c>
      <c r="C1174" s="46">
        <v>26</v>
      </c>
      <c r="D1174" s="65">
        <f>DATE(SIP[[#This Row],[Year]],SIP[[#This Row],[Month]],SIP[[#This Row],[Day]])</f>
        <v>45803</v>
      </c>
      <c r="E1174" s="66" t="str" cm="1">
        <f t="array" ref="E1174">INDEX(INVESTORS_LIST[INVESTOR NAME],MATCH(SIP[[#This Row],[Investor ID]],INVESTORS_LIST[INVESTOR CODE],0),)</f>
        <v>SYED ADNAN HUDA</v>
      </c>
      <c r="F1174" s="46" t="s">
        <v>236</v>
      </c>
      <c r="G1174" s="46">
        <f>COUNTIF(SIP[[#Headers],[Investor ID]]:SIP[[#This Row],[Investor ID]],SIP[[#This Row],[Investor ID]])</f>
        <v>11</v>
      </c>
      <c r="H1174" s="46" t="str">
        <f>CONCATENATE(SIP[[#This Row],[Frequency]],SIP[[#This Row],[Investor ID]])</f>
        <v>11A00094</v>
      </c>
      <c r="I1174" s="46" t="str">
        <f>IF(SIP[[#This Row],[B/S]]="B","BUY",(IF(SIP[[#This Row],[B/S]]="S","SELL"," ")))</f>
        <v>BUY</v>
      </c>
      <c r="J1174" s="150" t="s">
        <v>1229</v>
      </c>
      <c r="K1174" s="152">
        <v>50000</v>
      </c>
      <c r="L1174" s="122"/>
      <c r="M1174" s="123">
        <f>SIP[[#This Row],[Amount]]/SIP[[#This Row],[Unit]]</f>
        <v>12.468827930174564</v>
      </c>
      <c r="N1174" s="71">
        <f>SIP[[#This Row],[Unit Capital]]/10</f>
        <v>4010</v>
      </c>
      <c r="O1174" s="71">
        <f>SUMIFS(SIP[[#Headers],[Unit]]:SIP[[#This Row],[Unit]],SIP[[#Headers],[Investor ID]]:SIP[[#This Row],[Investor ID]],SIP[[#This Row],[Investor ID]])</f>
        <v>46273</v>
      </c>
      <c r="P1174" s="153">
        <v>40100</v>
      </c>
      <c r="Q1174" s="74">
        <f>SIP[[#This Row],[Amount]]-SIP[[#This Row],[Unit Capital]]</f>
        <v>9900</v>
      </c>
      <c r="R11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11.885981025652107</v>
      </c>
      <c r="S1174" s="68">
        <f t="shared" si="56"/>
        <v>14.224</v>
      </c>
      <c r="T11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4" s="74" cm="1">
        <f t="array" ref="U1174">IF(SIP[[#This Row],[B/S]]="S",ABS(SIP[[#This Row],[Unit]])*(INDEX(SIP[NAV at Cost (Average)],MATCH(CONCATENATE((SIP[[#This Row],[Frequency]]-1),SIP[[#This Row],[Investor ID]]),SIP[Unique Code],0),0)),0)</f>
        <v>0</v>
      </c>
      <c r="V1174" s="74">
        <f>IF(SIP[[#This Row],[BO TRANSFER]]="YES",SIP[[#This Row],[Unit]],)</f>
        <v>0</v>
      </c>
      <c r="W1174" s="74">
        <f>SUMIFS(SIP[[#Headers],[BO UNIT TRANSFER]]:SIP[[#This Row],[BO UNIT TRANSFER]],SIP[[#Headers],[Investor ID]]:SIP[[#This Row],[Investor ID]],SIP[[#This Row],[Investor ID]])</f>
        <v>0</v>
      </c>
    </row>
    <row r="1175" spans="1:23" ht="15" customHeight="1">
      <c r="A1175" s="46">
        <v>2025</v>
      </c>
      <c r="B1175" s="46">
        <v>5</v>
      </c>
      <c r="C1175" s="46">
        <v>26</v>
      </c>
      <c r="D1175" s="65">
        <f>DATE(SIP[[#This Row],[Year]],SIP[[#This Row],[Month]],SIP[[#This Row],[Day]])</f>
        <v>45803</v>
      </c>
      <c r="E1175" s="66" t="str" cm="1">
        <f t="array" ref="E1175">INDEX(INVESTORS_LIST[INVESTOR NAME],MATCH(SIP[[#This Row],[Investor ID]],INVESTORS_LIST[INVESTOR CODE],0),)</f>
        <v>MD MIZANUR RAHMAN</v>
      </c>
      <c r="F1175" s="46" t="s">
        <v>1304</v>
      </c>
      <c r="G1175" s="46">
        <f>COUNTIF(SIP[[#Headers],[Investor ID]]:SIP[[#This Row],[Investor ID]],SIP[[#This Row],[Investor ID]])</f>
        <v>7</v>
      </c>
      <c r="H1175" s="46" t="str">
        <f>CONCATENATE(SIP[[#This Row],[Frequency]],SIP[[#This Row],[Investor ID]])</f>
        <v>7A00599</v>
      </c>
      <c r="I1175" s="46" t="str">
        <f>IF(SIP[[#This Row],[B/S]]="B","BUY",(IF(SIP[[#This Row],[B/S]]="S","SELL"," ")))</f>
        <v>BUY</v>
      </c>
      <c r="J1175" s="150" t="s">
        <v>1229</v>
      </c>
      <c r="K1175" s="152">
        <v>5000</v>
      </c>
      <c r="L1175" s="122"/>
      <c r="M1175" s="123">
        <f>SIP[[#This Row],[Amount]]/SIP[[#This Row],[Unit]]</f>
        <v>12.468827930174564</v>
      </c>
      <c r="N1175" s="71">
        <f>SIP[[#This Row],[Unit Capital]]/10</f>
        <v>401</v>
      </c>
      <c r="O1175" s="71">
        <f>SUMIFS(SIP[[#Headers],[Unit]]:SIP[[#This Row],[Unit]],SIP[[#Headers],[Investor ID]]:SIP[[#This Row],[Investor ID]],SIP[[#This Row],[Investor ID]])</f>
        <v>2442</v>
      </c>
      <c r="P1175" s="153">
        <v>4010</v>
      </c>
      <c r="Q1175" s="74">
        <f>SIP[[#This Row],[Amount]]-SIP[[#This Row],[Unit Capital]]</f>
        <v>990</v>
      </c>
      <c r="R11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12.347973602586151</v>
      </c>
      <c r="S1175" s="68">
        <f t="shared" si="56"/>
        <v>14.224</v>
      </c>
      <c r="T11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5" s="74" cm="1">
        <f t="array" ref="U1175">IF(SIP[[#This Row],[B/S]]="S",ABS(SIP[[#This Row],[Unit]])*(INDEX(SIP[NAV at Cost (Average)],MATCH(CONCATENATE((SIP[[#This Row],[Frequency]]-1),SIP[[#This Row],[Investor ID]]),SIP[Unique Code],0),0)),0)</f>
        <v>0</v>
      </c>
      <c r="V1175" s="74">
        <f>IF(SIP[[#This Row],[BO TRANSFER]]="YES",SIP[[#This Row],[Unit]],)</f>
        <v>0</v>
      </c>
      <c r="W1175" s="74">
        <f>SUMIFS(SIP[[#Headers],[BO UNIT TRANSFER]]:SIP[[#This Row],[BO UNIT TRANSFER]],SIP[[#Headers],[Investor ID]]:SIP[[#This Row],[Investor ID]],SIP[[#This Row],[Investor ID]])</f>
        <v>0</v>
      </c>
    </row>
    <row r="1176" spans="1:23" ht="15" customHeight="1">
      <c r="A1176" s="46">
        <v>2025</v>
      </c>
      <c r="B1176" s="46">
        <v>5</v>
      </c>
      <c r="C1176" s="46">
        <v>26</v>
      </c>
      <c r="D1176" s="65">
        <f>DATE(SIP[[#This Row],[Year]],SIP[[#This Row],[Month]],SIP[[#This Row],[Day]])</f>
        <v>45803</v>
      </c>
      <c r="E1176" s="66" t="str" cm="1">
        <f t="array" ref="E1176">INDEX(INVESTORS_LIST[INVESTOR NAME],MATCH(SIP[[#This Row],[Investor ID]],INVESTORS_LIST[INVESTOR CODE],0),)</f>
        <v>MAHFUZUL ISLAM &amp; HUMAIRA TABASSUM READDHE</v>
      </c>
      <c r="F1176" s="46" t="s">
        <v>1315</v>
      </c>
      <c r="G1176" s="46">
        <f>COUNTIF(SIP[[#Headers],[Investor ID]]:SIP[[#This Row],[Investor ID]],SIP[[#This Row],[Investor ID]])</f>
        <v>2</v>
      </c>
      <c r="H1176" s="46" t="str">
        <f>CONCATENATE(SIP[[#This Row],[Frequency]],SIP[[#This Row],[Investor ID]])</f>
        <v>2A00605</v>
      </c>
      <c r="I1176" s="46" t="str">
        <f>IF(SIP[[#This Row],[B/S]]="B","BUY",(IF(SIP[[#This Row],[B/S]]="S","SELL"," ")))</f>
        <v>BUY</v>
      </c>
      <c r="J1176" s="150" t="s">
        <v>1229</v>
      </c>
      <c r="K1176" s="152">
        <v>18140</v>
      </c>
      <c r="L1176" s="122"/>
      <c r="M1176" s="123">
        <f>SIP[[#This Row],[Amount]]/SIP[[#This Row],[Unit]]</f>
        <v>12.467353951890034</v>
      </c>
      <c r="N1176" s="71">
        <f>SIP[[#This Row],[Unit Capital]]/10</f>
        <v>1455</v>
      </c>
      <c r="O1176" s="71">
        <f>SUMIFS(SIP[[#Headers],[Unit]]:SIP[[#This Row],[Unit]],SIP[[#Headers],[Investor ID]]:SIP[[#This Row],[Investor ID]],SIP[[#This Row],[Investor ID]])</f>
        <v>2926</v>
      </c>
      <c r="P1176" s="153">
        <v>14550</v>
      </c>
      <c r="Q1176" s="74">
        <f>SIP[[#This Row],[Amount]]-SIP[[#This Row],[Unit Capital]]</f>
        <v>3590</v>
      </c>
      <c r="R11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12.39917976760082</v>
      </c>
      <c r="S1176" s="68">
        <f t="shared" si="56"/>
        <v>14.224</v>
      </c>
      <c r="T11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6" s="74" cm="1">
        <f t="array" ref="U1176">IF(SIP[[#This Row],[B/S]]="S",ABS(SIP[[#This Row],[Unit]])*(INDEX(SIP[NAV at Cost (Average)],MATCH(CONCATENATE((SIP[[#This Row],[Frequency]]-1),SIP[[#This Row],[Investor ID]]),SIP[Unique Code],0),0)),0)</f>
        <v>0</v>
      </c>
      <c r="V1176" s="74">
        <f>IF(SIP[[#This Row],[BO TRANSFER]]="YES",SIP[[#This Row],[Unit]],)</f>
        <v>0</v>
      </c>
      <c r="W1176" s="74">
        <f>SUMIFS(SIP[[#Headers],[BO UNIT TRANSFER]]:SIP[[#This Row],[BO UNIT TRANSFER]],SIP[[#Headers],[Investor ID]]:SIP[[#This Row],[Investor ID]],SIP[[#This Row],[Investor ID]])</f>
        <v>0</v>
      </c>
    </row>
    <row r="1177" spans="1:23" ht="15" customHeight="1">
      <c r="A1177" s="46">
        <v>2025</v>
      </c>
      <c r="B1177" s="46">
        <v>5</v>
      </c>
      <c r="C1177" s="46">
        <v>26</v>
      </c>
      <c r="D1177" s="65">
        <f>DATE(SIP[[#This Row],[Year]],SIP[[#This Row],[Month]],SIP[[#This Row],[Day]])</f>
        <v>45803</v>
      </c>
      <c r="E1177" s="66" t="str" cm="1">
        <f t="array" ref="E1177">INDEX(INVESTORS_LIST[INVESTOR NAME],MATCH(SIP[[#This Row],[Investor ID]],INVESTORS_LIST[INVESTOR CODE],0),)</f>
        <v>HUMAIRA TABASSUM READDHE</v>
      </c>
      <c r="F1177" s="46" t="s">
        <v>1052</v>
      </c>
      <c r="G1177" s="46">
        <f>COUNTIF(SIP[[#Headers],[Investor ID]]:SIP[[#This Row],[Investor ID]],SIP[[#This Row],[Investor ID]])</f>
        <v>10</v>
      </c>
      <c r="H1177" s="46" t="str">
        <f>CONCATENATE(SIP[[#This Row],[Frequency]],SIP[[#This Row],[Investor ID]])</f>
        <v>10A00503</v>
      </c>
      <c r="I1177" s="46" t="str">
        <f>IF(SIP[[#This Row],[B/S]]="B","BUY",(IF(SIP[[#This Row],[B/S]]="S","SELL"," ")))</f>
        <v>BUY</v>
      </c>
      <c r="J1177" s="150" t="s">
        <v>1229</v>
      </c>
      <c r="K1177" s="152">
        <v>3000</v>
      </c>
      <c r="L1177" s="122"/>
      <c r="M1177" s="123">
        <f>SIP[[#This Row],[Amount]]/SIP[[#This Row],[Unit]]</f>
        <v>12.448132780082988</v>
      </c>
      <c r="N1177" s="71">
        <f>SIP[[#This Row],[Unit Capital]]/10</f>
        <v>241</v>
      </c>
      <c r="O1177" s="71">
        <f>SUMIFS(SIP[[#Headers],[Unit]]:SIP[[#This Row],[Unit]],SIP[[#Headers],[Investor ID]]:SIP[[#This Row],[Investor ID]],SIP[[#This Row],[Investor ID]])</f>
        <v>2510</v>
      </c>
      <c r="P1177" s="153">
        <v>2410</v>
      </c>
      <c r="Q1177" s="74">
        <f>SIP[[#This Row],[Amount]]-SIP[[#This Row],[Unit Capital]]</f>
        <v>590</v>
      </c>
      <c r="R11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11.952191235059763</v>
      </c>
      <c r="S1177" s="68">
        <f t="shared" si="56"/>
        <v>14.224</v>
      </c>
      <c r="T11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7" s="74" cm="1">
        <f t="array" ref="U1177">IF(SIP[[#This Row],[B/S]]="S",ABS(SIP[[#This Row],[Unit]])*(INDEX(SIP[NAV at Cost (Average)],MATCH(CONCATENATE((SIP[[#This Row],[Frequency]]-1),SIP[[#This Row],[Investor ID]]),SIP[Unique Code],0),0)),0)</f>
        <v>0</v>
      </c>
      <c r="V1177" s="74">
        <f>IF(SIP[[#This Row],[BO TRANSFER]]="YES",SIP[[#This Row],[Unit]],)</f>
        <v>0</v>
      </c>
      <c r="W1177" s="74">
        <f>SUMIFS(SIP[[#Headers],[BO UNIT TRANSFER]]:SIP[[#This Row],[BO UNIT TRANSFER]],SIP[[#Headers],[Investor ID]]:SIP[[#This Row],[Investor ID]],SIP[[#This Row],[Investor ID]])</f>
        <v>0</v>
      </c>
    </row>
    <row r="1178" spans="1:23" ht="15" customHeight="1">
      <c r="A1178" s="46">
        <v>2025</v>
      </c>
      <c r="B1178" s="46">
        <v>5</v>
      </c>
      <c r="C1178" s="46">
        <v>26</v>
      </c>
      <c r="D1178" s="65">
        <f>DATE(SIP[[#This Row],[Year]],SIP[[#This Row],[Month]],SIP[[#This Row],[Day]])</f>
        <v>45803</v>
      </c>
      <c r="E1178" s="66" t="str" cm="1">
        <f t="array" ref="E1178">INDEX(INVESTORS_LIST[INVESTOR NAME],MATCH(SIP[[#This Row],[Investor ID]],INVESTORS_LIST[INVESTOR CODE],0),)</f>
        <v>MST. GOLENUR</v>
      </c>
      <c r="F1178" s="46" t="s">
        <v>1075</v>
      </c>
      <c r="G1178" s="46">
        <f>COUNTIF(SIP[[#Headers],[Investor ID]]:SIP[[#This Row],[Investor ID]],SIP[[#This Row],[Investor ID]])</f>
        <v>6</v>
      </c>
      <c r="H1178" s="46" t="str">
        <f>CONCATENATE(SIP[[#This Row],[Frequency]],SIP[[#This Row],[Investor ID]])</f>
        <v>6A00515</v>
      </c>
      <c r="I1178" s="46" t="str">
        <f>IF(SIP[[#This Row],[B/S]]="B","BUY",(IF(SIP[[#This Row],[B/S]]="S","SELL"," ")))</f>
        <v>BUY</v>
      </c>
      <c r="J1178" s="150" t="s">
        <v>1229</v>
      </c>
      <c r="K1178" s="152">
        <v>2000</v>
      </c>
      <c r="L1178" s="122"/>
      <c r="M1178" s="123">
        <f>SIP[[#This Row],[Amount]]/SIP[[#This Row],[Unit]]</f>
        <v>12.5</v>
      </c>
      <c r="N1178" s="71">
        <f>SIP[[#This Row],[Unit Capital]]/10</f>
        <v>160</v>
      </c>
      <c r="O1178" s="71">
        <f>SUMIFS(SIP[[#Headers],[Unit]]:SIP[[#This Row],[Unit]],SIP[[#Headers],[Investor ID]]:SIP[[#This Row],[Investor ID]],SIP[[#This Row],[Investor ID]])</f>
        <v>978</v>
      </c>
      <c r="P1178" s="153">
        <v>1600</v>
      </c>
      <c r="Q1178" s="74">
        <f>SIP[[#This Row],[Amount]]-SIP[[#This Row],[Unit Capital]]</f>
        <v>400</v>
      </c>
      <c r="R11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12.26993865030675</v>
      </c>
      <c r="S1178" s="68">
        <f t="shared" si="56"/>
        <v>14.224</v>
      </c>
      <c r="T11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8" s="74" cm="1">
        <f t="array" ref="U1178">IF(SIP[[#This Row],[B/S]]="S",ABS(SIP[[#This Row],[Unit]])*(INDEX(SIP[NAV at Cost (Average)],MATCH(CONCATENATE((SIP[[#This Row],[Frequency]]-1),SIP[[#This Row],[Investor ID]]),SIP[Unique Code],0),0)),0)</f>
        <v>0</v>
      </c>
      <c r="V1178" s="74">
        <f>IF(SIP[[#This Row],[BO TRANSFER]]="YES",SIP[[#This Row],[Unit]],)</f>
        <v>0</v>
      </c>
      <c r="W1178" s="74">
        <f>SUMIFS(SIP[[#Headers],[BO UNIT TRANSFER]]:SIP[[#This Row],[BO UNIT TRANSFER]],SIP[[#Headers],[Investor ID]]:SIP[[#This Row],[Investor ID]],SIP[[#This Row],[Investor ID]])</f>
        <v>0</v>
      </c>
    </row>
    <row r="1179" spans="1:23" ht="15" customHeight="1">
      <c r="A1179" s="46">
        <v>2025</v>
      </c>
      <c r="B1179" s="46">
        <v>5</v>
      </c>
      <c r="C1179" s="46">
        <v>26</v>
      </c>
      <c r="D1179" s="65">
        <f>DATE(SIP[[#This Row],[Year]],SIP[[#This Row],[Month]],SIP[[#This Row],[Day]])</f>
        <v>45803</v>
      </c>
      <c r="E1179" s="66" t="str" cm="1">
        <f t="array" ref="E1179">INDEX(INVESTORS_LIST[INVESTOR NAME],MATCH(SIP[[#This Row],[Investor ID]],INVESTORS_LIST[INVESTOR CODE],0),)</f>
        <v>BALARAM CHANDRA SAHA</v>
      </c>
      <c r="F1179" s="46" t="s">
        <v>505</v>
      </c>
      <c r="G1179" s="46">
        <f>COUNTIF(SIP[[#Headers],[Investor ID]]:SIP[[#This Row],[Investor ID]],SIP[[#This Row],[Investor ID]])</f>
        <v>2</v>
      </c>
      <c r="H1179" s="46" t="str">
        <f>CONCATENATE(SIP[[#This Row],[Frequency]],SIP[[#This Row],[Investor ID]])</f>
        <v>2A00228</v>
      </c>
      <c r="I1179" s="46" t="str">
        <f>IF(SIP[[#This Row],[B/S]]="B","BUY",(IF(SIP[[#This Row],[B/S]]="S","SELL"," ")))</f>
        <v>BUY</v>
      </c>
      <c r="J1179" s="150" t="s">
        <v>1229</v>
      </c>
      <c r="K1179" s="153">
        <v>25000</v>
      </c>
      <c r="L1179" s="122"/>
      <c r="M1179" s="123">
        <f>SIP[[#This Row],[Amount]]/SIP[[#This Row],[Unit]]</f>
        <v>12.468827930174564</v>
      </c>
      <c r="N1179" s="71">
        <f>SIP[[#This Row],[Unit Capital]]/10</f>
        <v>2005</v>
      </c>
      <c r="O1179" s="71">
        <f>SUMIFS(SIP[[#Headers],[Unit]]:SIP[[#This Row],[Unit]],SIP[[#Headers],[Investor ID]]:SIP[[#This Row],[Investor ID]],SIP[[#This Row],[Investor ID]])</f>
        <v>6037</v>
      </c>
      <c r="P1179" s="153">
        <v>20050</v>
      </c>
      <c r="Q1179" s="74">
        <f>SIP[[#This Row],[Amount]]-SIP[[#This Row],[Unit Capital]]</f>
        <v>4950</v>
      </c>
      <c r="R11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12.423389100546629</v>
      </c>
      <c r="S1179" s="46">
        <f t="shared" si="56"/>
        <v>14.224</v>
      </c>
      <c r="T11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9" s="74" cm="1">
        <f t="array" ref="U1179">IF(SIP[[#This Row],[B/S]]="S",ABS(SIP[[#This Row],[Unit]])*(INDEX(SIP[NAV at Cost (Average)],MATCH(CONCATENATE((SIP[[#This Row],[Frequency]]-1),SIP[[#This Row],[Investor ID]]),SIP[Unique Code],0),0)),0)</f>
        <v>0</v>
      </c>
      <c r="V1179" s="74">
        <f>IF(SIP[[#This Row],[BO TRANSFER]]="YES",SIP[[#This Row],[Unit]],)</f>
        <v>0</v>
      </c>
      <c r="W1179" s="74">
        <f>SUMIFS(SIP[[#Headers],[BO UNIT TRANSFER]]:SIP[[#This Row],[BO UNIT TRANSFER]],SIP[[#Headers],[Investor ID]]:SIP[[#This Row],[Investor ID]],SIP[[#This Row],[Investor ID]])</f>
        <v>0</v>
      </c>
    </row>
    <row r="1180" spans="1:23" ht="15" customHeight="1">
      <c r="A1180" s="46">
        <v>2025</v>
      </c>
      <c r="B1180" s="46">
        <v>5</v>
      </c>
      <c r="C1180" s="46">
        <v>26</v>
      </c>
      <c r="D1180" s="65">
        <f>DATE(SIP[[#This Row],[Year]],SIP[[#This Row],[Month]],SIP[[#This Row],[Day]])</f>
        <v>45803</v>
      </c>
      <c r="E1180" s="66" t="str" cm="1">
        <f t="array" ref="E1180">INDEX(INVESTORS_LIST[INVESTOR NAME],MATCH(SIP[[#This Row],[Investor ID]],INVESTORS_LIST[INVESTOR CODE],0),)</f>
        <v>TANVIR HASAN</v>
      </c>
      <c r="F1180" s="46" t="s">
        <v>561</v>
      </c>
      <c r="G1180" s="46">
        <f>COUNTIF(SIP[[#Headers],[Investor ID]]:SIP[[#This Row],[Investor ID]],SIP[[#This Row],[Investor ID]])</f>
        <v>2</v>
      </c>
      <c r="H1180" s="46" t="str">
        <f>CONCATENATE(SIP[[#This Row],[Frequency]],SIP[[#This Row],[Investor ID]])</f>
        <v>2A00256</v>
      </c>
      <c r="I1180" s="46" t="str">
        <f>IF(SIP[[#This Row],[B/S]]="B","BUY",(IF(SIP[[#This Row],[B/S]]="S","SELL"," ")))</f>
        <v>BUY</v>
      </c>
      <c r="J1180" s="150" t="s">
        <v>1229</v>
      </c>
      <c r="K1180" s="153">
        <v>10000</v>
      </c>
      <c r="L1180" s="122"/>
      <c r="M1180" s="123">
        <f>SIP[[#This Row],[Amount]]/SIP[[#This Row],[Unit]]</f>
        <v>12.468827930174564</v>
      </c>
      <c r="N1180" s="71">
        <f>SIP[[#This Row],[Unit Capital]]/10</f>
        <v>802</v>
      </c>
      <c r="O1180" s="71">
        <f>SUMIFS(SIP[[#Headers],[Unit]]:SIP[[#This Row],[Unit]],SIP[[#Headers],[Investor ID]]:SIP[[#This Row],[Investor ID]],SIP[[#This Row],[Investor ID]])</f>
        <v>1613</v>
      </c>
      <c r="P1180" s="153">
        <v>8020</v>
      </c>
      <c r="Q1180" s="74">
        <f>SIP[[#This Row],[Amount]]-SIP[[#This Row],[Unit Capital]]</f>
        <v>1980</v>
      </c>
      <c r="R11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12.399256044637323</v>
      </c>
      <c r="S1180" s="46">
        <f t="shared" si="56"/>
        <v>14.224</v>
      </c>
      <c r="T11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0" s="74" cm="1">
        <f t="array" ref="U1180">IF(SIP[[#This Row],[B/S]]="S",ABS(SIP[[#This Row],[Unit]])*(INDEX(SIP[NAV at Cost (Average)],MATCH(CONCATENATE((SIP[[#This Row],[Frequency]]-1),SIP[[#This Row],[Investor ID]]),SIP[Unique Code],0),0)),0)</f>
        <v>0</v>
      </c>
      <c r="V1180" s="74">
        <f>IF(SIP[[#This Row],[BO TRANSFER]]="YES",SIP[[#This Row],[Unit]],)</f>
        <v>0</v>
      </c>
      <c r="W1180" s="74">
        <f>SUMIFS(SIP[[#Headers],[BO UNIT TRANSFER]]:SIP[[#This Row],[BO UNIT TRANSFER]],SIP[[#Headers],[Investor ID]]:SIP[[#This Row],[Investor ID]],SIP[[#This Row],[Investor ID]])</f>
        <v>0</v>
      </c>
    </row>
    <row r="1181" spans="1:23" ht="15" customHeight="1">
      <c r="A1181" s="46">
        <v>2025</v>
      </c>
      <c r="B1181" s="46">
        <v>5</v>
      </c>
      <c r="C1181" s="46">
        <v>26</v>
      </c>
      <c r="D1181" s="65">
        <f>DATE(SIP[[#This Row],[Year]],SIP[[#This Row],[Month]],SIP[[#This Row],[Day]])</f>
        <v>45803</v>
      </c>
      <c r="E1181" s="66" t="str" cm="1">
        <f t="array" ref="E1181">INDEX(INVESTORS_LIST[INVESTOR NAME],MATCH(SIP[[#This Row],[Investor ID]],INVESTORS_LIST[INVESTOR CODE],0),)</f>
        <v>RUMA AKTER</v>
      </c>
      <c r="F1181" s="46" t="s">
        <v>1323</v>
      </c>
      <c r="G1181" s="46">
        <f>COUNTIF(SIP[[#Headers],[Investor ID]]:SIP[[#This Row],[Investor ID]],SIP[[#This Row],[Investor ID]])</f>
        <v>2</v>
      </c>
      <c r="H1181" s="46" t="str">
        <f>CONCATENATE(SIP[[#This Row],[Frequency]],SIP[[#This Row],[Investor ID]])</f>
        <v>2A00608</v>
      </c>
      <c r="I1181" s="46" t="str">
        <f>IF(SIP[[#This Row],[B/S]]="B","BUY",(IF(SIP[[#This Row],[B/S]]="S","SELL"," ")))</f>
        <v>BUY</v>
      </c>
      <c r="J1181" s="150" t="s">
        <v>1229</v>
      </c>
      <c r="K1181" s="153">
        <v>1000</v>
      </c>
      <c r="L1181" s="122"/>
      <c r="M1181" s="123">
        <f>SIP[[#This Row],[Amount]]/SIP[[#This Row],[Unit]]</f>
        <v>12.5</v>
      </c>
      <c r="N1181" s="71">
        <f>SIP[[#This Row],[Unit Capital]]/10</f>
        <v>80</v>
      </c>
      <c r="O1181" s="71">
        <f>SUMIFS(SIP[[#Headers],[Unit]]:SIP[[#This Row],[Unit]],SIP[[#Headers],[Investor ID]]:SIP[[#This Row],[Investor ID]],SIP[[#This Row],[Investor ID]])</f>
        <v>161</v>
      </c>
      <c r="P1181" s="153">
        <v>800</v>
      </c>
      <c r="Q1181" s="74">
        <f>SIP[[#This Row],[Amount]]-SIP[[#This Row],[Unit Capital]]</f>
        <v>200</v>
      </c>
      <c r="R11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12.422360248447205</v>
      </c>
      <c r="S1181" s="46">
        <f t="shared" si="56"/>
        <v>14.224</v>
      </c>
      <c r="T11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1" s="74" cm="1">
        <f t="array" ref="U1181">IF(SIP[[#This Row],[B/S]]="S",ABS(SIP[[#This Row],[Unit]])*(INDEX(SIP[NAV at Cost (Average)],MATCH(CONCATENATE((SIP[[#This Row],[Frequency]]-1),SIP[[#This Row],[Investor ID]]),SIP[Unique Code],0),0)),0)</f>
        <v>0</v>
      </c>
      <c r="V1181" s="74">
        <f>IF(SIP[[#This Row],[BO TRANSFER]]="YES",SIP[[#This Row],[Unit]],)</f>
        <v>0</v>
      </c>
      <c r="W1181" s="74">
        <f>SUMIFS(SIP[[#Headers],[BO UNIT TRANSFER]]:SIP[[#This Row],[BO UNIT TRANSFER]],SIP[[#Headers],[Investor ID]]:SIP[[#This Row],[Investor ID]],SIP[[#This Row],[Investor ID]])</f>
        <v>0</v>
      </c>
    </row>
    <row r="1182" spans="1:23" ht="15" customHeight="1">
      <c r="A1182" s="46">
        <v>2025</v>
      </c>
      <c r="B1182" s="46">
        <v>5</v>
      </c>
      <c r="C1182" s="46">
        <v>26</v>
      </c>
      <c r="D1182" s="65">
        <f>DATE(SIP[[#This Row],[Year]],SIP[[#This Row],[Month]],SIP[[#This Row],[Day]])</f>
        <v>45803</v>
      </c>
      <c r="E1182" s="66" t="str" cm="1">
        <f t="array" ref="E1182">INDEX(INVESTORS_LIST[INVESTOR NAME],MATCH(SIP[[#This Row],[Investor ID]],INVESTORS_LIST[INVESTOR CODE],0),)</f>
        <v>RAJIB</v>
      </c>
      <c r="F1182" s="46" t="s">
        <v>1321</v>
      </c>
      <c r="G1182" s="46">
        <f>COUNTIF(SIP[[#Headers],[Investor ID]]:SIP[[#This Row],[Investor ID]],SIP[[#This Row],[Investor ID]])</f>
        <v>2</v>
      </c>
      <c r="H1182" s="46" t="str">
        <f>CONCATENATE(SIP[[#This Row],[Frequency]],SIP[[#This Row],[Investor ID]])</f>
        <v>2A00607</v>
      </c>
      <c r="I1182" s="46" t="str">
        <f>IF(SIP[[#This Row],[B/S]]="B","BUY",(IF(SIP[[#This Row],[B/S]]="S","SELL"," ")))</f>
        <v>BUY</v>
      </c>
      <c r="J1182" s="150" t="s">
        <v>1229</v>
      </c>
      <c r="K1182" s="153">
        <v>1000</v>
      </c>
      <c r="L1182" s="122"/>
      <c r="M1182" s="123">
        <f>SIP[[#This Row],[Amount]]/SIP[[#This Row],[Unit]]</f>
        <v>12.5</v>
      </c>
      <c r="N1182" s="71">
        <f>SIP[[#This Row],[Unit Capital]]/10</f>
        <v>80</v>
      </c>
      <c r="O1182" s="71">
        <f>SUMIFS(SIP[[#Headers],[Unit]]:SIP[[#This Row],[Unit]],SIP[[#Headers],[Investor ID]]:SIP[[#This Row],[Investor ID]],SIP[[#This Row],[Investor ID]])</f>
        <v>161</v>
      </c>
      <c r="P1182" s="153">
        <v>800</v>
      </c>
      <c r="Q1182" s="74">
        <f>SIP[[#This Row],[Amount]]-SIP[[#This Row],[Unit Capital]]</f>
        <v>200</v>
      </c>
      <c r="R11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12.422360248447205</v>
      </c>
      <c r="S1182" s="46">
        <f t="shared" si="56"/>
        <v>14.224</v>
      </c>
      <c r="T11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2" s="74" cm="1">
        <f t="array" ref="U1182">IF(SIP[[#This Row],[B/S]]="S",ABS(SIP[[#This Row],[Unit]])*(INDEX(SIP[NAV at Cost (Average)],MATCH(CONCATENATE((SIP[[#This Row],[Frequency]]-1),SIP[[#This Row],[Investor ID]]),SIP[Unique Code],0),0)),0)</f>
        <v>0</v>
      </c>
      <c r="V1182" s="74">
        <f>IF(SIP[[#This Row],[BO TRANSFER]]="YES",SIP[[#This Row],[Unit]],)</f>
        <v>0</v>
      </c>
      <c r="W1182" s="74">
        <f>SUMIFS(SIP[[#Headers],[BO UNIT TRANSFER]]:SIP[[#This Row],[BO UNIT TRANSFER]],SIP[[#Headers],[Investor ID]]:SIP[[#This Row],[Investor ID]],SIP[[#This Row],[Investor ID]])</f>
        <v>0</v>
      </c>
    </row>
    <row r="1183" spans="1:23" ht="15" customHeight="1">
      <c r="A1183" s="46">
        <v>2025</v>
      </c>
      <c r="B1183" s="46">
        <v>5</v>
      </c>
      <c r="C1183" s="46">
        <v>26</v>
      </c>
      <c r="D1183" s="65">
        <f>DATE(SIP[[#This Row],[Year]],SIP[[#This Row],[Month]],SIP[[#This Row],[Day]])</f>
        <v>45803</v>
      </c>
      <c r="E1183" s="66" t="str" cm="1">
        <f t="array" ref="E1183">INDEX(INVESTORS_LIST[INVESTOR NAME],MATCH(SIP[[#This Row],[Investor ID]],INVESTORS_LIST[INVESTOR CODE],0),)</f>
        <v>SADIA PARVIN</v>
      </c>
      <c r="F1183" s="46" t="s">
        <v>1018</v>
      </c>
      <c r="G1183" s="46">
        <f>COUNTIF(SIP[[#Headers],[Investor ID]]:SIP[[#This Row],[Investor ID]],SIP[[#This Row],[Investor ID]])</f>
        <v>36</v>
      </c>
      <c r="H1183" s="46" t="str">
        <f>CONCATENATE(SIP[[#This Row],[Frequency]],SIP[[#This Row],[Investor ID]])</f>
        <v>36A00486</v>
      </c>
      <c r="I1183" s="46" t="str">
        <f>IF(SIP[[#This Row],[B/S]]="B","BUY",(IF(SIP[[#This Row],[B/S]]="S","SELL"," ")))</f>
        <v>BUY</v>
      </c>
      <c r="J1183" s="150" t="s">
        <v>1229</v>
      </c>
      <c r="K1183" s="153">
        <v>5000</v>
      </c>
      <c r="L1183" s="122"/>
      <c r="M1183" s="123">
        <f>SIP[[#This Row],[Amount]]/SIP[[#This Row],[Unit]]</f>
        <v>12.468827930174564</v>
      </c>
      <c r="N1183" s="71">
        <f>SIP[[#This Row],[Unit Capital]]/10</f>
        <v>401</v>
      </c>
      <c r="O1183" s="71">
        <f>SUMIFS(SIP[[#Headers],[Unit]]:SIP[[#This Row],[Unit]],SIP[[#Headers],[Investor ID]]:SIP[[#This Row],[Investor ID]],SIP[[#This Row],[Investor ID]])</f>
        <v>15873</v>
      </c>
      <c r="P1183" s="153">
        <v>4010</v>
      </c>
      <c r="Q1183" s="74">
        <f>SIP[[#This Row],[Amount]]-SIP[[#This Row],[Unit Capital]]</f>
        <v>990</v>
      </c>
      <c r="R11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11.340011340011339</v>
      </c>
      <c r="S1183" s="46">
        <f t="shared" si="56"/>
        <v>14.224</v>
      </c>
      <c r="T11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3" s="74" cm="1">
        <f t="array" ref="U1183">IF(SIP[[#This Row],[B/S]]="S",ABS(SIP[[#This Row],[Unit]])*(INDEX(SIP[NAV at Cost (Average)],MATCH(CONCATENATE((SIP[[#This Row],[Frequency]]-1),SIP[[#This Row],[Investor ID]]),SIP[Unique Code],0),0)),0)</f>
        <v>0</v>
      </c>
      <c r="V1183" s="74">
        <f>IF(SIP[[#This Row],[BO TRANSFER]]="YES",SIP[[#This Row],[Unit]],)</f>
        <v>0</v>
      </c>
      <c r="W1183" s="74">
        <f>SUMIFS(SIP[[#Headers],[BO UNIT TRANSFER]]:SIP[[#This Row],[BO UNIT TRANSFER]],SIP[[#Headers],[Investor ID]]:SIP[[#This Row],[Investor ID]],SIP[[#This Row],[Investor ID]])</f>
        <v>0</v>
      </c>
    </row>
    <row r="1184" spans="1:23" ht="15" customHeight="1">
      <c r="A1184" s="46">
        <v>2025</v>
      </c>
      <c r="B1184" s="46">
        <v>5</v>
      </c>
      <c r="C1184" s="46">
        <v>26</v>
      </c>
      <c r="D1184" s="65">
        <f>DATE(SIP[[#This Row],[Year]],SIP[[#This Row],[Month]],SIP[[#This Row],[Day]])</f>
        <v>45803</v>
      </c>
      <c r="E1184" s="66" t="str" cm="1">
        <f t="array" ref="E1184">INDEX(INVESTORS_LIST[INVESTOR NAME],MATCH(SIP[[#This Row],[Investor ID]],INVESTORS_LIST[INVESTOR CODE],0),)</f>
        <v>MD. WALI ULLAH</v>
      </c>
      <c r="F1184" s="46" t="s">
        <v>443</v>
      </c>
      <c r="G1184" s="46">
        <f>COUNTIF(SIP[[#Headers],[Investor ID]]:SIP[[#This Row],[Investor ID]],SIP[[#This Row],[Investor ID]])</f>
        <v>25</v>
      </c>
      <c r="H1184" s="46" t="str">
        <f>CONCATENATE(SIP[[#This Row],[Frequency]],SIP[[#This Row],[Investor ID]])</f>
        <v>25A00197</v>
      </c>
      <c r="I1184" s="46" t="str">
        <f>IF(SIP[[#This Row],[B/S]]="B","BUY",(IF(SIP[[#This Row],[B/S]]="S","SELL"," ")))</f>
        <v>BUY</v>
      </c>
      <c r="J1184" s="150" t="s">
        <v>1229</v>
      </c>
      <c r="K1184" s="153">
        <v>15000</v>
      </c>
      <c r="L1184" s="122"/>
      <c r="M1184" s="123">
        <f>SIP[[#This Row],[Amount]]/SIP[[#This Row],[Unit]]</f>
        <v>12.468827930174564</v>
      </c>
      <c r="N1184" s="71">
        <f>SIP[[#This Row],[Unit Capital]]/10</f>
        <v>1203</v>
      </c>
      <c r="O1184" s="71">
        <f>SUMIFS(SIP[[#Headers],[Unit]]:SIP[[#This Row],[Unit]],SIP[[#Headers],[Investor ID]]:SIP[[#This Row],[Investor ID]],SIP[[#This Row],[Investor ID]])</f>
        <v>33608</v>
      </c>
      <c r="P1184" s="153">
        <v>12030</v>
      </c>
      <c r="Q1184" s="74">
        <f>SIP[[#This Row],[Amount]]-SIP[[#This Row],[Unit Capital]]</f>
        <v>2970</v>
      </c>
      <c r="R11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11.158057605332059</v>
      </c>
      <c r="S1184" s="46">
        <f t="shared" si="56"/>
        <v>14.224</v>
      </c>
      <c r="T11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4" s="74" cm="1">
        <f t="array" ref="U1184">IF(SIP[[#This Row],[B/S]]="S",ABS(SIP[[#This Row],[Unit]])*(INDEX(SIP[NAV at Cost (Average)],MATCH(CONCATENATE((SIP[[#This Row],[Frequency]]-1),SIP[[#This Row],[Investor ID]]),SIP[Unique Code],0),0)),0)</f>
        <v>0</v>
      </c>
      <c r="V1184" s="74">
        <f>IF(SIP[[#This Row],[BO TRANSFER]]="YES",SIP[[#This Row],[Unit]],)</f>
        <v>0</v>
      </c>
      <c r="W1184" s="74">
        <f>SUMIFS(SIP[[#Headers],[BO UNIT TRANSFER]]:SIP[[#This Row],[BO UNIT TRANSFER]],SIP[[#Headers],[Investor ID]]:SIP[[#This Row],[Investor ID]],SIP[[#This Row],[Investor ID]])</f>
        <v>0</v>
      </c>
    </row>
    <row r="1185" spans="1:23" ht="15" customHeight="1">
      <c r="A1185" s="46">
        <v>2025</v>
      </c>
      <c r="B1185" s="46">
        <v>5</v>
      </c>
      <c r="C1185" s="46">
        <v>26</v>
      </c>
      <c r="D1185" s="65">
        <f>DATE(SIP[[#This Row],[Year]],SIP[[#This Row],[Month]],SIP[[#This Row],[Day]])</f>
        <v>45803</v>
      </c>
      <c r="E1185" s="66" t="str" cm="1">
        <f t="array" ref="E1185">INDEX(INVESTORS_LIST[INVESTOR NAME],MATCH(SIP[[#This Row],[Investor ID]],INVESTORS_LIST[INVESTOR CODE],0),)</f>
        <v>SIKDER FAZLE RABBI</v>
      </c>
      <c r="F1185" s="46" t="s">
        <v>1032</v>
      </c>
      <c r="G1185" s="46">
        <f>COUNTIF(SIP[[#Headers],[Investor ID]]:SIP[[#This Row],[Investor ID]],SIP[[#This Row],[Investor ID]])</f>
        <v>24</v>
      </c>
      <c r="H1185" s="46" t="str">
        <f>CONCATENATE(SIP[[#This Row],[Frequency]],SIP[[#This Row],[Investor ID]])</f>
        <v>24A00493</v>
      </c>
      <c r="I1185" s="46" t="str">
        <f>IF(SIP[[#This Row],[B/S]]="B","BUY",(IF(SIP[[#This Row],[B/S]]="S","SELL"," ")))</f>
        <v>BUY</v>
      </c>
      <c r="J1185" s="150" t="s">
        <v>1229</v>
      </c>
      <c r="K1185" s="153">
        <v>5000</v>
      </c>
      <c r="L1185" s="122"/>
      <c r="M1185" s="123">
        <f>SIP[[#This Row],[Amount]]/SIP[[#This Row],[Unit]]</f>
        <v>12.468827930174564</v>
      </c>
      <c r="N1185" s="71">
        <f>SIP[[#This Row],[Unit Capital]]/10</f>
        <v>401</v>
      </c>
      <c r="O1185" s="71">
        <f>SUMIFS(SIP[[#Headers],[Unit]]:SIP[[#This Row],[Unit]],SIP[[#Headers],[Investor ID]]:SIP[[#This Row],[Investor ID]],SIP[[#This Row],[Investor ID]])</f>
        <v>10710</v>
      </c>
      <c r="P1185" s="153">
        <v>4010</v>
      </c>
      <c r="Q1185" s="74">
        <f>SIP[[#This Row],[Amount]]-SIP[[#This Row],[Unit Capital]]</f>
        <v>990</v>
      </c>
      <c r="R11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11.20448179271709</v>
      </c>
      <c r="S1185" s="46">
        <f t="shared" si="56"/>
        <v>14.224</v>
      </c>
      <c r="T11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5" s="74" cm="1">
        <f t="array" ref="U1185">IF(SIP[[#This Row],[B/S]]="S",ABS(SIP[[#This Row],[Unit]])*(INDEX(SIP[NAV at Cost (Average)],MATCH(CONCATENATE((SIP[[#This Row],[Frequency]]-1),SIP[[#This Row],[Investor ID]]),SIP[Unique Code],0),0)),0)</f>
        <v>0</v>
      </c>
      <c r="V1185" s="74">
        <f>IF(SIP[[#This Row],[BO TRANSFER]]="YES",SIP[[#This Row],[Unit]],)</f>
        <v>0</v>
      </c>
      <c r="W1185" s="74">
        <f>SUMIFS(SIP[[#Headers],[BO UNIT TRANSFER]]:SIP[[#This Row],[BO UNIT TRANSFER]],SIP[[#Headers],[Investor ID]]:SIP[[#This Row],[Investor ID]],SIP[[#This Row],[Investor ID]])</f>
        <v>0</v>
      </c>
    </row>
    <row r="1186" spans="1:23" ht="15" customHeight="1">
      <c r="A1186" s="46">
        <v>2025</v>
      </c>
      <c r="B1186" s="46">
        <v>5</v>
      </c>
      <c r="C1186" s="46">
        <v>26</v>
      </c>
      <c r="D1186" s="65">
        <f>DATE(SIP[[#This Row],[Year]],SIP[[#This Row],[Month]],SIP[[#This Row],[Day]])</f>
        <v>45803</v>
      </c>
      <c r="E1186" s="66" t="str" cm="1">
        <f t="array" ref="E1186">INDEX(INVESTORS_LIST[INVESTOR NAME],MATCH(SIP[[#This Row],[Investor ID]],INVESTORS_LIST[INVESTOR CODE],0),)</f>
        <v>SAJJAD CHOWDHURY</v>
      </c>
      <c r="F1186" s="46" t="s">
        <v>461</v>
      </c>
      <c r="G1186" s="46">
        <f>COUNTIF(SIP[[#Headers],[Investor ID]]:SIP[[#This Row],[Investor ID]],SIP[[#This Row],[Investor ID]])</f>
        <v>24</v>
      </c>
      <c r="H1186" s="46" t="str">
        <f>CONCATENATE(SIP[[#This Row],[Frequency]],SIP[[#This Row],[Investor ID]])</f>
        <v>24A00206</v>
      </c>
      <c r="I1186" s="46" t="str">
        <f>IF(SIP[[#This Row],[B/S]]="B","BUY",(IF(SIP[[#This Row],[B/S]]="S","SELL"," ")))</f>
        <v>BUY</v>
      </c>
      <c r="J1186" s="150" t="s">
        <v>1229</v>
      </c>
      <c r="K1186" s="153">
        <v>7500</v>
      </c>
      <c r="L1186" s="122"/>
      <c r="M1186" s="123">
        <f>SIP[[#This Row],[Amount]]/SIP[[#This Row],[Unit]]</f>
        <v>12.458471760797343</v>
      </c>
      <c r="N1186" s="71">
        <f>SIP[[#This Row],[Unit Capital]]/10</f>
        <v>602</v>
      </c>
      <c r="O1186" s="71">
        <f>SUMIFS(SIP[[#Headers],[Unit]]:SIP[[#This Row],[Unit]],SIP[[#Headers],[Investor ID]]:SIP[[#This Row],[Investor ID]],SIP[[#This Row],[Investor ID]])</f>
        <v>14998</v>
      </c>
      <c r="P1186" s="153">
        <v>6020</v>
      </c>
      <c r="Q1186" s="74">
        <f>SIP[[#This Row],[Amount]]-SIP[[#This Row],[Unit Capital]]</f>
        <v>1480</v>
      </c>
      <c r="R11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11.067699754153294</v>
      </c>
      <c r="S1186" s="46">
        <f t="shared" si="56"/>
        <v>14.224</v>
      </c>
      <c r="T11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6" s="74" cm="1">
        <f t="array" ref="U1186">IF(SIP[[#This Row],[B/S]]="S",ABS(SIP[[#This Row],[Unit]])*(INDEX(SIP[NAV at Cost (Average)],MATCH(CONCATENATE((SIP[[#This Row],[Frequency]]-1),SIP[[#This Row],[Investor ID]]),SIP[Unique Code],0),0)),0)</f>
        <v>0</v>
      </c>
      <c r="V1186" s="74">
        <f>IF(SIP[[#This Row],[BO TRANSFER]]="YES",SIP[[#This Row],[Unit]],)</f>
        <v>0</v>
      </c>
      <c r="W1186" s="74">
        <f>SUMIFS(SIP[[#Headers],[BO UNIT TRANSFER]]:SIP[[#This Row],[BO UNIT TRANSFER]],SIP[[#Headers],[Investor ID]]:SIP[[#This Row],[Investor ID]],SIP[[#This Row],[Investor ID]])</f>
        <v>0</v>
      </c>
    </row>
    <row r="1187" spans="1:23" ht="15" customHeight="1">
      <c r="A1187" s="46">
        <v>2025</v>
      </c>
      <c r="B1187" s="46">
        <v>5</v>
      </c>
      <c r="C1187" s="46">
        <v>26</v>
      </c>
      <c r="D1187" s="65">
        <f>DATE(SIP[[#This Row],[Year]],SIP[[#This Row],[Month]],SIP[[#This Row],[Day]])</f>
        <v>45803</v>
      </c>
      <c r="E1187" s="66" t="str" cm="1">
        <f t="array" ref="E1187">INDEX(INVESTORS_LIST[INVESTOR NAME],MATCH(SIP[[#This Row],[Investor ID]],INVESTORS_LIST[INVESTOR CODE],0),)</f>
        <v>S.M. SAIFUL ISLAM</v>
      </c>
      <c r="F1187" s="46" t="s">
        <v>1002</v>
      </c>
      <c r="G1187" s="46">
        <f>COUNTIF(SIP[[#Headers],[Investor ID]]:SIP[[#This Row],[Investor ID]],SIP[[#This Row],[Investor ID]])</f>
        <v>28</v>
      </c>
      <c r="H1187" s="46" t="str">
        <f>CONCATENATE(SIP[[#This Row],[Frequency]],SIP[[#This Row],[Investor ID]])</f>
        <v>28A00478</v>
      </c>
      <c r="I1187" s="46" t="str">
        <f>IF(SIP[[#This Row],[B/S]]="B","BUY",(IF(SIP[[#This Row],[B/S]]="S","SELL"," ")))</f>
        <v>BUY</v>
      </c>
      <c r="J1187" s="150" t="s">
        <v>1229</v>
      </c>
      <c r="K1187" s="153">
        <v>10000</v>
      </c>
      <c r="L1187" s="122"/>
      <c r="M1187" s="123">
        <f>SIP[[#This Row],[Amount]]/SIP[[#This Row],[Unit]]</f>
        <v>12.468827930174564</v>
      </c>
      <c r="N1187" s="71">
        <f>SIP[[#This Row],[Unit Capital]]/10</f>
        <v>802</v>
      </c>
      <c r="O1187" s="71">
        <f>SUMIFS(SIP[[#Headers],[Unit]]:SIP[[#This Row],[Unit]],SIP[[#Headers],[Investor ID]]:SIP[[#This Row],[Investor ID]],SIP[[#This Row],[Investor ID]])</f>
        <v>802</v>
      </c>
      <c r="P1187" s="153">
        <v>8020</v>
      </c>
      <c r="Q1187" s="74">
        <f>SIP[[#This Row],[Amount]]-SIP[[#This Row],[Unit Capital]]</f>
        <v>1980</v>
      </c>
      <c r="R11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12.468827930174564</v>
      </c>
      <c r="S1187" s="46">
        <f t="shared" si="56"/>
        <v>14.224</v>
      </c>
      <c r="T11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7" s="74" cm="1">
        <f t="array" ref="U1187">IF(SIP[[#This Row],[B/S]]="S",ABS(SIP[[#This Row],[Unit]])*(INDEX(SIP[NAV at Cost (Average)],MATCH(CONCATENATE((SIP[[#This Row],[Frequency]]-1),SIP[[#This Row],[Investor ID]]),SIP[Unique Code],0),0)),0)</f>
        <v>0</v>
      </c>
      <c r="V1187" s="74">
        <f>IF(SIP[[#This Row],[BO TRANSFER]]="YES",SIP[[#This Row],[Unit]],)</f>
        <v>0</v>
      </c>
      <c r="W1187" s="74">
        <f>SUMIFS(SIP[[#Headers],[BO UNIT TRANSFER]]:SIP[[#This Row],[BO UNIT TRANSFER]],SIP[[#Headers],[Investor ID]]:SIP[[#This Row],[Investor ID]],SIP[[#This Row],[Investor ID]])</f>
        <v>0</v>
      </c>
    </row>
    <row r="1188" spans="1:23" ht="15" customHeight="1">
      <c r="A1188" s="46">
        <v>2025</v>
      </c>
      <c r="B1188" s="46">
        <v>5</v>
      </c>
      <c r="C1188" s="46">
        <v>26</v>
      </c>
      <c r="D1188" s="65">
        <f>DATE(SIP[[#This Row],[Year]],SIP[[#This Row],[Month]],SIP[[#This Row],[Day]])</f>
        <v>45803</v>
      </c>
      <c r="E1188" s="66" t="str" cm="1">
        <f t="array" ref="E1188">INDEX(INVESTORS_LIST[INVESTOR NAME],MATCH(SIP[[#This Row],[Investor ID]],INVESTORS_LIST[INVESTOR CODE],0),)</f>
        <v>MOHAMMED SHARIFUL ISLAM</v>
      </c>
      <c r="F1188" s="46" t="s">
        <v>1028</v>
      </c>
      <c r="G1188" s="46">
        <f>COUNTIF(SIP[[#Headers],[Investor ID]]:SIP[[#This Row],[Investor ID]],SIP[[#This Row],[Investor ID]])</f>
        <v>24</v>
      </c>
      <c r="H1188" s="46" t="str">
        <f>CONCATENATE(SIP[[#This Row],[Frequency]],SIP[[#This Row],[Investor ID]])</f>
        <v>24A00491</v>
      </c>
      <c r="I1188" s="46" t="str">
        <f>IF(SIP[[#This Row],[B/S]]="B","BUY",(IF(SIP[[#This Row],[B/S]]="S","SELL"," ")))</f>
        <v>BUY</v>
      </c>
      <c r="J1188" s="150" t="s">
        <v>1229</v>
      </c>
      <c r="K1188" s="153">
        <v>5000</v>
      </c>
      <c r="L1188" s="122"/>
      <c r="M1188" s="123">
        <f>SIP[[#This Row],[Amount]]/SIP[[#This Row],[Unit]]</f>
        <v>12.468827930174564</v>
      </c>
      <c r="N1188" s="71">
        <f>SIP[[#This Row],[Unit Capital]]/10</f>
        <v>401</v>
      </c>
      <c r="O1188" s="71">
        <f>SUMIFS(SIP[[#Headers],[Unit]]:SIP[[#This Row],[Unit]],SIP[[#Headers],[Investor ID]]:SIP[[#This Row],[Investor ID]],SIP[[#This Row],[Investor ID]])</f>
        <v>10710</v>
      </c>
      <c r="P1188" s="153">
        <v>4010</v>
      </c>
      <c r="Q1188" s="74">
        <f>SIP[[#This Row],[Amount]]-SIP[[#This Row],[Unit Capital]]</f>
        <v>990</v>
      </c>
      <c r="R11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11.20448179271709</v>
      </c>
      <c r="S1188" s="46">
        <f t="shared" si="56"/>
        <v>14.224</v>
      </c>
      <c r="T11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8" s="74" cm="1">
        <f t="array" ref="U1188">IF(SIP[[#This Row],[B/S]]="S",ABS(SIP[[#This Row],[Unit]])*(INDEX(SIP[NAV at Cost (Average)],MATCH(CONCATENATE((SIP[[#This Row],[Frequency]]-1),SIP[[#This Row],[Investor ID]]),SIP[Unique Code],0),0)),0)</f>
        <v>0</v>
      </c>
      <c r="V1188" s="74">
        <f>IF(SIP[[#This Row],[BO TRANSFER]]="YES",SIP[[#This Row],[Unit]],)</f>
        <v>0</v>
      </c>
      <c r="W1188" s="74">
        <f>SUMIFS(SIP[[#Headers],[BO UNIT TRANSFER]]:SIP[[#This Row],[BO UNIT TRANSFER]],SIP[[#Headers],[Investor ID]]:SIP[[#This Row],[Investor ID]],SIP[[#This Row],[Investor ID]])</f>
        <v>0</v>
      </c>
    </row>
    <row r="1189" spans="1:23" ht="15" customHeight="1">
      <c r="A1189" s="46">
        <v>2025</v>
      </c>
      <c r="B1189" s="46">
        <v>5</v>
      </c>
      <c r="C1189" s="46">
        <v>26</v>
      </c>
      <c r="D1189" s="65">
        <f>DATE(SIP[[#This Row],[Year]],SIP[[#This Row],[Month]],SIP[[#This Row],[Day]])</f>
        <v>45803</v>
      </c>
      <c r="E1189" s="66" t="str" cm="1">
        <f t="array" ref="E1189">INDEX(INVESTORS_LIST[INVESTOR NAME],MATCH(SIP[[#This Row],[Investor ID]],INVESTORS_LIST[INVESTOR CODE],0),)</f>
        <v>ABU MUSA MIRZA KAMRUZZAMAN SHAHEE</v>
      </c>
      <c r="F1189" s="46" t="s">
        <v>1012</v>
      </c>
      <c r="G1189" s="46">
        <f>COUNTIF(SIP[[#Headers],[Investor ID]]:SIP[[#This Row],[Investor ID]],SIP[[#This Row],[Investor ID]])</f>
        <v>24</v>
      </c>
      <c r="H1189" s="46" t="str">
        <f>CONCATENATE(SIP[[#This Row],[Frequency]],SIP[[#This Row],[Investor ID]])</f>
        <v>24A00483</v>
      </c>
      <c r="I1189" s="46" t="str">
        <f>IF(SIP[[#This Row],[B/S]]="B","BUY",(IF(SIP[[#This Row],[B/S]]="S","SELL"," ")))</f>
        <v>BUY</v>
      </c>
      <c r="J1189" s="150" t="s">
        <v>1229</v>
      </c>
      <c r="K1189" s="153">
        <v>5000</v>
      </c>
      <c r="L1189" s="122"/>
      <c r="M1189" s="123">
        <f>SIP[[#This Row],[Amount]]/SIP[[#This Row],[Unit]]</f>
        <v>12.468827930174564</v>
      </c>
      <c r="N1189" s="71">
        <f>SIP[[#This Row],[Unit Capital]]/10</f>
        <v>401</v>
      </c>
      <c r="O1189" s="71">
        <f>SUMIFS(SIP[[#Headers],[Unit]]:SIP[[#This Row],[Unit]],SIP[[#Headers],[Investor ID]]:SIP[[#This Row],[Investor ID]],SIP[[#This Row],[Investor ID]])</f>
        <v>10710</v>
      </c>
      <c r="P1189" s="153">
        <v>4010</v>
      </c>
      <c r="Q1189" s="74">
        <f>SIP[[#This Row],[Amount]]-SIP[[#This Row],[Unit Capital]]</f>
        <v>990</v>
      </c>
      <c r="R11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11.20448179271709</v>
      </c>
      <c r="S1189" s="46">
        <f t="shared" si="56"/>
        <v>14.224</v>
      </c>
      <c r="T11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9" s="74" cm="1">
        <f t="array" ref="U1189">IF(SIP[[#This Row],[B/S]]="S",ABS(SIP[[#This Row],[Unit]])*(INDEX(SIP[NAV at Cost (Average)],MATCH(CONCATENATE((SIP[[#This Row],[Frequency]]-1),SIP[[#This Row],[Investor ID]]),SIP[Unique Code],0),0)),0)</f>
        <v>0</v>
      </c>
      <c r="V1189" s="74">
        <f>IF(SIP[[#This Row],[BO TRANSFER]]="YES",SIP[[#This Row],[Unit]],)</f>
        <v>0</v>
      </c>
      <c r="W1189" s="74">
        <f>SUMIFS(SIP[[#Headers],[BO UNIT TRANSFER]]:SIP[[#This Row],[BO UNIT TRANSFER]],SIP[[#Headers],[Investor ID]]:SIP[[#This Row],[Investor ID]],SIP[[#This Row],[Investor ID]])</f>
        <v>0</v>
      </c>
    </row>
    <row r="1190" spans="1:23" ht="15" customHeight="1">
      <c r="A1190" s="46">
        <v>2025</v>
      </c>
      <c r="B1190" s="46">
        <v>5</v>
      </c>
      <c r="C1190" s="46">
        <v>26</v>
      </c>
      <c r="D1190" s="65">
        <f>DATE(SIP[[#This Row],[Year]],SIP[[#This Row],[Month]],SIP[[#This Row],[Day]])</f>
        <v>45803</v>
      </c>
      <c r="E1190" s="66" t="str" cm="1">
        <f t="array" ref="E1190">INDEX(INVESTORS_LIST[INVESTOR NAME],MATCH(SIP[[#This Row],[Investor ID]],INVESTORS_LIST[INVESTOR CODE],0),)</f>
        <v>SUMAN SAHA</v>
      </c>
      <c r="F1190" s="46" t="s">
        <v>1022</v>
      </c>
      <c r="G1190" s="46">
        <f>COUNTIF(SIP[[#Headers],[Investor ID]]:SIP[[#This Row],[Investor ID]],SIP[[#This Row],[Investor ID]])</f>
        <v>24</v>
      </c>
      <c r="H1190" s="46" t="str">
        <f>CONCATENATE(SIP[[#This Row],[Frequency]],SIP[[#This Row],[Investor ID]])</f>
        <v>24A00488</v>
      </c>
      <c r="I1190" s="46" t="str">
        <f>IF(SIP[[#This Row],[B/S]]="B","BUY",(IF(SIP[[#This Row],[B/S]]="S","SELL"," ")))</f>
        <v>BUY</v>
      </c>
      <c r="J1190" s="150" t="s">
        <v>1229</v>
      </c>
      <c r="K1190" s="153">
        <v>5000</v>
      </c>
      <c r="L1190" s="122"/>
      <c r="M1190" s="123">
        <f>SIP[[#This Row],[Amount]]/SIP[[#This Row],[Unit]]</f>
        <v>12.468827930174564</v>
      </c>
      <c r="N1190" s="71">
        <f>SIP[[#This Row],[Unit Capital]]/10</f>
        <v>401</v>
      </c>
      <c r="O1190" s="71">
        <f>SUMIFS(SIP[[#Headers],[Unit]]:SIP[[#This Row],[Unit]],SIP[[#Headers],[Investor ID]]:SIP[[#This Row],[Investor ID]],SIP[[#This Row],[Investor ID]])</f>
        <v>10710</v>
      </c>
      <c r="P1190" s="153">
        <v>4010</v>
      </c>
      <c r="Q1190" s="74">
        <f>SIP[[#This Row],[Amount]]-SIP[[#This Row],[Unit Capital]]</f>
        <v>990</v>
      </c>
      <c r="R11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11.20448179271709</v>
      </c>
      <c r="S1190" s="46">
        <f t="shared" si="56"/>
        <v>14.224</v>
      </c>
      <c r="T11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0" s="74" cm="1">
        <f t="array" ref="U1190">IF(SIP[[#This Row],[B/S]]="S",ABS(SIP[[#This Row],[Unit]])*(INDEX(SIP[NAV at Cost (Average)],MATCH(CONCATENATE((SIP[[#This Row],[Frequency]]-1),SIP[[#This Row],[Investor ID]]),SIP[Unique Code],0),0)),0)</f>
        <v>0</v>
      </c>
      <c r="V1190" s="74">
        <f>IF(SIP[[#This Row],[BO TRANSFER]]="YES",SIP[[#This Row],[Unit]],)</f>
        <v>0</v>
      </c>
      <c r="W1190" s="74">
        <f>SUMIFS(SIP[[#Headers],[BO UNIT TRANSFER]]:SIP[[#This Row],[BO UNIT TRANSFER]],SIP[[#Headers],[Investor ID]]:SIP[[#This Row],[Investor ID]],SIP[[#This Row],[Investor ID]])</f>
        <v>0</v>
      </c>
    </row>
    <row r="1191" spans="1:23" ht="15" customHeight="1">
      <c r="A1191" s="46">
        <v>2025</v>
      </c>
      <c r="B1191" s="46">
        <v>5</v>
      </c>
      <c r="C1191" s="46">
        <v>26</v>
      </c>
      <c r="D1191" s="65">
        <f>DATE(SIP[[#This Row],[Year]],SIP[[#This Row],[Month]],SIP[[#This Row],[Day]])</f>
        <v>45803</v>
      </c>
      <c r="E1191" s="66" t="str" cm="1">
        <f t="array" ref="E1191">INDEX(INVESTORS_LIST[INVESTOR NAME],MATCH(SIP[[#This Row],[Investor ID]],INVESTORS_LIST[INVESTOR CODE],0),)</f>
        <v>JUBAIDA FARHANA HAQUE</v>
      </c>
      <c r="F1191" s="46" t="s">
        <v>1065</v>
      </c>
      <c r="G1191" s="46">
        <f>COUNTIF(SIP[[#Headers],[Investor ID]]:SIP[[#This Row],[Investor ID]],SIP[[#This Row],[Investor ID]])</f>
        <v>22</v>
      </c>
      <c r="H1191" s="46" t="str">
        <f>CONCATENATE(SIP[[#This Row],[Frequency]],SIP[[#This Row],[Investor ID]])</f>
        <v>22A00510</v>
      </c>
      <c r="I1191" s="46" t="str">
        <f>IF(SIP[[#This Row],[B/S]]="B","BUY",(IF(SIP[[#This Row],[B/S]]="S","SELL"," ")))</f>
        <v>BUY</v>
      </c>
      <c r="J1191" s="150" t="s">
        <v>1229</v>
      </c>
      <c r="K1191" s="153">
        <v>5000</v>
      </c>
      <c r="L1191" s="122"/>
      <c r="M1191" s="123">
        <f>SIP[[#This Row],[Amount]]/SIP[[#This Row],[Unit]]</f>
        <v>12.468827930174564</v>
      </c>
      <c r="N1191" s="71">
        <f>SIP[[#This Row],[Unit Capital]]/10</f>
        <v>401</v>
      </c>
      <c r="O1191" s="71">
        <f>SUMIFS(SIP[[#Headers],[Unit]]:SIP[[#This Row],[Unit]],SIP[[#Headers],[Investor ID]]:SIP[[#This Row],[Investor ID]],SIP[[#This Row],[Investor ID]])</f>
        <v>8786</v>
      </c>
      <c r="P1191" s="153">
        <v>4010</v>
      </c>
      <c r="Q1191" s="74">
        <f>SIP[[#This Row],[Amount]]-SIP[[#This Row],[Unit Capital]]</f>
        <v>990</v>
      </c>
      <c r="R11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11.383538910842532</v>
      </c>
      <c r="S1191" s="46">
        <f t="shared" si="56"/>
        <v>14.224</v>
      </c>
      <c r="T11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1" s="74" cm="1">
        <f t="array" ref="U1191">IF(SIP[[#This Row],[B/S]]="S",ABS(SIP[[#This Row],[Unit]])*(INDEX(SIP[NAV at Cost (Average)],MATCH(CONCATENATE((SIP[[#This Row],[Frequency]]-1),SIP[[#This Row],[Investor ID]]),SIP[Unique Code],0),0)),0)</f>
        <v>0</v>
      </c>
      <c r="V1191" s="74">
        <f>IF(SIP[[#This Row],[BO TRANSFER]]="YES",SIP[[#This Row],[Unit]],)</f>
        <v>0</v>
      </c>
      <c r="W1191" s="74">
        <f>SUMIFS(SIP[[#Headers],[BO UNIT TRANSFER]]:SIP[[#This Row],[BO UNIT TRANSFER]],SIP[[#Headers],[Investor ID]]:SIP[[#This Row],[Investor ID]],SIP[[#This Row],[Investor ID]])</f>
        <v>0</v>
      </c>
    </row>
    <row r="1192" spans="1:23" ht="15" customHeight="1">
      <c r="A1192" s="46">
        <v>2025</v>
      </c>
      <c r="B1192" s="46">
        <v>5</v>
      </c>
      <c r="C1192" s="46">
        <v>26</v>
      </c>
      <c r="D1192" s="65">
        <f>DATE(SIP[[#This Row],[Year]],SIP[[#This Row],[Month]],SIP[[#This Row],[Day]])</f>
        <v>45803</v>
      </c>
      <c r="E1192" s="66" t="str" cm="1">
        <f t="array" ref="E1192">INDEX(INVESTORS_LIST[INVESTOR NAME],MATCH(SIP[[#This Row],[Investor ID]],INVESTORS_LIST[INVESTOR CODE],0),)</f>
        <v>MAYA RANI SAHA</v>
      </c>
      <c r="F1192" s="46" t="s">
        <v>224</v>
      </c>
      <c r="G1192" s="46">
        <f>COUNTIF(SIP[[#Headers],[Investor ID]]:SIP[[#This Row],[Investor ID]],SIP[[#This Row],[Investor ID]])</f>
        <v>49</v>
      </c>
      <c r="H1192" s="46" t="str">
        <f>CONCATENATE(SIP[[#This Row],[Frequency]],SIP[[#This Row],[Investor ID]])</f>
        <v>49A00088</v>
      </c>
      <c r="I1192" s="46" t="str">
        <f>IF(SIP[[#This Row],[B/S]]="B","BUY",(IF(SIP[[#This Row],[B/S]]="S","SELL"," ")))</f>
        <v>BUY</v>
      </c>
      <c r="J1192" s="150" t="s">
        <v>1229</v>
      </c>
      <c r="K1192" s="153">
        <v>14000</v>
      </c>
      <c r="L1192" s="122"/>
      <c r="M1192" s="123">
        <f>SIP[[#This Row],[Amount]]/SIP[[#This Row],[Unit]]</f>
        <v>12.466607301869992</v>
      </c>
      <c r="N1192" s="71">
        <f>SIP[[#This Row],[Unit Capital]]/10</f>
        <v>1123</v>
      </c>
      <c r="O1192" s="71">
        <f>SUMIFS(SIP[[#Headers],[Unit]]:SIP[[#This Row],[Unit]],SIP[[#Headers],[Investor ID]]:SIP[[#This Row],[Investor ID]],SIP[[#This Row],[Investor ID]])</f>
        <v>61841</v>
      </c>
      <c r="P1192" s="153">
        <v>11230</v>
      </c>
      <c r="Q1192" s="74">
        <f>SIP[[#This Row],[Amount]]-SIP[[#This Row],[Unit Capital]]</f>
        <v>2770</v>
      </c>
      <c r="R11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11.481056257175659</v>
      </c>
      <c r="S1192" s="46">
        <f t="shared" si="56"/>
        <v>14.224</v>
      </c>
      <c r="T11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2" s="74" cm="1">
        <f t="array" ref="U1192">IF(SIP[[#This Row],[B/S]]="S",ABS(SIP[[#This Row],[Unit]])*(INDEX(SIP[NAV at Cost (Average)],MATCH(CONCATENATE((SIP[[#This Row],[Frequency]]-1),SIP[[#This Row],[Investor ID]]),SIP[Unique Code],0),0)),0)</f>
        <v>0</v>
      </c>
      <c r="V1192" s="74">
        <f>IF(SIP[[#This Row],[BO TRANSFER]]="YES",SIP[[#This Row],[Unit]],)</f>
        <v>0</v>
      </c>
      <c r="W1192" s="74">
        <f>SUMIFS(SIP[[#Headers],[BO UNIT TRANSFER]]:SIP[[#This Row],[BO UNIT TRANSFER]],SIP[[#Headers],[Investor ID]]:SIP[[#This Row],[Investor ID]],SIP[[#This Row],[Investor ID]])</f>
        <v>0</v>
      </c>
    </row>
    <row r="1193" spans="1:23" ht="15" customHeight="1">
      <c r="A1193" s="46">
        <v>2025</v>
      </c>
      <c r="B1193" s="46">
        <v>5</v>
      </c>
      <c r="C1193" s="46">
        <v>26</v>
      </c>
      <c r="D1193" s="65">
        <f>DATE(SIP[[#This Row],[Year]],SIP[[#This Row],[Month]],SIP[[#This Row],[Day]])</f>
        <v>45803</v>
      </c>
      <c r="E1193" s="66" t="str" cm="1">
        <f t="array" ref="E1193">INDEX(INVESTORS_LIST[INVESTOR NAME],MATCH(SIP[[#This Row],[Investor ID]],INVESTORS_LIST[INVESTOR CODE],0),)</f>
        <v>MAYA RANI SAHA</v>
      </c>
      <c r="F1193" s="46" t="s">
        <v>224</v>
      </c>
      <c r="G1193" s="46">
        <f>COUNTIF(SIP[[#Headers],[Investor ID]]:SIP[[#This Row],[Investor ID]],SIP[[#This Row],[Investor ID]])</f>
        <v>50</v>
      </c>
      <c r="H1193" s="46" t="str">
        <f>CONCATENATE(SIP[[#This Row],[Frequency]],SIP[[#This Row],[Investor ID]])</f>
        <v>50A00088</v>
      </c>
      <c r="I1193" s="46" t="str">
        <f>IF(SIP[[#This Row],[B/S]]="B","BUY",(IF(SIP[[#This Row],[B/S]]="S","SELL"," ")))</f>
        <v>BUY</v>
      </c>
      <c r="J1193" s="150" t="s">
        <v>1229</v>
      </c>
      <c r="K1193" s="153">
        <v>20000</v>
      </c>
      <c r="L1193" s="122"/>
      <c r="M1193" s="123">
        <f>SIP[[#This Row],[Amount]]/SIP[[#This Row],[Unit]]</f>
        <v>12.468827930174564</v>
      </c>
      <c r="N1193" s="71">
        <f>SIP[[#This Row],[Unit Capital]]/10</f>
        <v>1604</v>
      </c>
      <c r="O1193" s="71">
        <f>SUMIFS(SIP[[#Headers],[Unit]]:SIP[[#This Row],[Unit]],SIP[[#Headers],[Investor ID]]:SIP[[#This Row],[Investor ID]],SIP[[#This Row],[Investor ID]])</f>
        <v>63445</v>
      </c>
      <c r="P1193" s="153">
        <v>16040</v>
      </c>
      <c r="Q1193" s="74">
        <f>SIP[[#This Row],[Amount]]-SIP[[#This Row],[Unit Capital]]</f>
        <v>3960</v>
      </c>
      <c r="R11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11.506028843880525</v>
      </c>
      <c r="S1193" s="46">
        <f t="shared" si="56"/>
        <v>14.224</v>
      </c>
      <c r="T11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3" s="74" cm="1">
        <f t="array" ref="U1193">IF(SIP[[#This Row],[B/S]]="S",ABS(SIP[[#This Row],[Unit]])*(INDEX(SIP[NAV at Cost (Average)],MATCH(CONCATENATE((SIP[[#This Row],[Frequency]]-1),SIP[[#This Row],[Investor ID]]),SIP[Unique Code],0),0)),0)</f>
        <v>0</v>
      </c>
      <c r="V1193" s="74">
        <f>IF(SIP[[#This Row],[BO TRANSFER]]="YES",SIP[[#This Row],[Unit]],)</f>
        <v>0</v>
      </c>
      <c r="W1193" s="74">
        <f>SUMIFS(SIP[[#Headers],[BO UNIT TRANSFER]]:SIP[[#This Row],[BO UNIT TRANSFER]],SIP[[#Headers],[Investor ID]]:SIP[[#This Row],[Investor ID]],SIP[[#This Row],[Investor ID]])</f>
        <v>0</v>
      </c>
    </row>
    <row r="1194" spans="1:23" ht="15" customHeight="1">
      <c r="A1194" s="46">
        <v>2025</v>
      </c>
      <c r="B1194" s="46">
        <v>5</v>
      </c>
      <c r="C1194" s="46">
        <v>26</v>
      </c>
      <c r="D1194" s="65">
        <f>DATE(SIP[[#This Row],[Year]],SIP[[#This Row],[Month]],SIP[[#This Row],[Day]])</f>
        <v>45803</v>
      </c>
      <c r="E1194" s="66" t="str" cm="1">
        <f t="array" ref="E1194">INDEX(INVESTORS_LIST[INVESTOR NAME],MATCH(SIP[[#This Row],[Investor ID]],INVESTORS_LIST[INVESTOR CODE],0),)</f>
        <v>MUHAMMAD SHOHIDUZZAMAN</v>
      </c>
      <c r="F1194" s="46" t="s">
        <v>986</v>
      </c>
      <c r="G1194" s="46">
        <f>COUNTIF(SIP[[#Headers],[Investor ID]]:SIP[[#This Row],[Investor ID]],SIP[[#This Row],[Investor ID]])</f>
        <v>19</v>
      </c>
      <c r="H1194" s="46" t="str">
        <f>CONCATENATE(SIP[[#This Row],[Frequency]],SIP[[#This Row],[Investor ID]])</f>
        <v>19A00470</v>
      </c>
      <c r="I1194" s="46" t="str">
        <f>IF(SIP[[#This Row],[B/S]]="B","BUY",(IF(SIP[[#This Row],[B/S]]="S","SELL"," ")))</f>
        <v>BUY</v>
      </c>
      <c r="J1194" s="150" t="s">
        <v>1229</v>
      </c>
      <c r="K1194" s="153">
        <v>10000</v>
      </c>
      <c r="L1194" s="122" t="s">
        <v>1230</v>
      </c>
      <c r="M1194" s="123">
        <f>SIP[[#This Row],[Amount]]/SIP[[#This Row],[Unit]]</f>
        <v>12.468827930174564</v>
      </c>
      <c r="N1194" s="71">
        <f>SIP[[#This Row],[Unit Capital]]/10</f>
        <v>802</v>
      </c>
      <c r="O1194" s="71">
        <f>SUMIFS(SIP[[#Headers],[Unit]]:SIP[[#This Row],[Unit]],SIP[[#Headers],[Investor ID]]:SIP[[#This Row],[Investor ID]],SIP[[#This Row],[Investor ID]])</f>
        <v>16622</v>
      </c>
      <c r="P1194" s="153">
        <v>8020</v>
      </c>
      <c r="Q1194" s="74">
        <f>SIP[[#This Row],[Amount]]-SIP[[#This Row],[Unit Capital]]</f>
        <v>1980</v>
      </c>
      <c r="R11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11.430634099386353</v>
      </c>
      <c r="S1194" s="46">
        <f t="shared" si="56"/>
        <v>14.224</v>
      </c>
      <c r="T11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4" s="74" cm="1">
        <f t="array" ref="U1194">IF(SIP[[#This Row],[B/S]]="S",ABS(SIP[[#This Row],[Unit]])*(INDEX(SIP[NAV at Cost (Average)],MATCH(CONCATENATE((SIP[[#This Row],[Frequency]]-1),SIP[[#This Row],[Investor ID]]),SIP[Unique Code],0),0)),0)</f>
        <v>0</v>
      </c>
      <c r="V1194" s="74">
        <f>IF(SIP[[#This Row],[BO TRANSFER]]="YES",SIP[[#This Row],[Unit]],)</f>
        <v>802</v>
      </c>
      <c r="W1194" s="74">
        <f>SUMIFS(SIP[[#Headers],[BO UNIT TRANSFER]]:SIP[[#This Row],[BO UNIT TRANSFER]],SIP[[#Headers],[Investor ID]]:SIP[[#This Row],[Investor ID]],SIP[[#This Row],[Investor ID]])</f>
        <v>16622</v>
      </c>
    </row>
    <row r="1195" spans="1:23" ht="15" customHeight="1">
      <c r="A1195" s="46">
        <v>2025</v>
      </c>
      <c r="B1195" s="46">
        <v>5</v>
      </c>
      <c r="C1195" s="46">
        <v>26</v>
      </c>
      <c r="D1195" s="65">
        <f>DATE(SIP[[#This Row],[Year]],SIP[[#This Row],[Month]],SIP[[#This Row],[Day]])</f>
        <v>45803</v>
      </c>
      <c r="E1195" s="66" t="str" cm="1">
        <f t="array" ref="E1195">INDEX(INVESTORS_LIST[INVESTOR NAME],MATCH(SIP[[#This Row],[Investor ID]],INVESTORS_LIST[INVESTOR CODE],0),)</f>
        <v>MOHAMMAD SAMIUL ALAM</v>
      </c>
      <c r="F1195" s="46" t="s">
        <v>537</v>
      </c>
      <c r="G1195" s="46">
        <f>COUNTIF(SIP[[#Headers],[Investor ID]]:SIP[[#This Row],[Investor ID]],SIP[[#This Row],[Investor ID]])</f>
        <v>22</v>
      </c>
      <c r="H1195" s="46" t="str">
        <f>CONCATENATE(SIP[[#This Row],[Frequency]],SIP[[#This Row],[Investor ID]])</f>
        <v>22A00244</v>
      </c>
      <c r="I1195" s="46" t="str">
        <f>IF(SIP[[#This Row],[B/S]]="B","BUY",(IF(SIP[[#This Row],[B/S]]="S","SELL"," ")))</f>
        <v>BUY</v>
      </c>
      <c r="J1195" s="150" t="s">
        <v>1229</v>
      </c>
      <c r="K1195" s="153">
        <v>20000</v>
      </c>
      <c r="L1195" s="122"/>
      <c r="M1195" s="123">
        <f>SIP[[#This Row],[Amount]]/SIP[[#This Row],[Unit]]</f>
        <v>12.468827930174564</v>
      </c>
      <c r="N1195" s="71">
        <f>SIP[[#This Row],[Unit Capital]]/10</f>
        <v>1604</v>
      </c>
      <c r="O1195" s="71">
        <f>SUMIFS(SIP[[#Headers],[Unit]]:SIP[[#This Row],[Unit]],SIP[[#Headers],[Investor ID]]:SIP[[#This Row],[Investor ID]],SIP[[#This Row],[Investor ID]])</f>
        <v>38965</v>
      </c>
      <c r="P1195" s="153">
        <v>16040</v>
      </c>
      <c r="Q1195" s="74">
        <f>SIP[[#This Row],[Amount]]-SIP[[#This Row],[Unit Capital]]</f>
        <v>3960</v>
      </c>
      <c r="R11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11.292185294495065</v>
      </c>
      <c r="S1195" s="46">
        <f t="shared" si="56"/>
        <v>14.224</v>
      </c>
      <c r="T11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5" s="74" cm="1">
        <f t="array" ref="U1195">IF(SIP[[#This Row],[B/S]]="S",ABS(SIP[[#This Row],[Unit]])*(INDEX(SIP[NAV at Cost (Average)],MATCH(CONCATENATE((SIP[[#This Row],[Frequency]]-1),SIP[[#This Row],[Investor ID]]),SIP[Unique Code],0),0)),0)</f>
        <v>0</v>
      </c>
      <c r="V1195" s="74">
        <f>IF(SIP[[#This Row],[BO TRANSFER]]="YES",SIP[[#This Row],[Unit]],)</f>
        <v>0</v>
      </c>
      <c r="W1195" s="74">
        <f>SUMIFS(SIP[[#Headers],[BO UNIT TRANSFER]]:SIP[[#This Row],[BO UNIT TRANSFER]],SIP[[#Headers],[Investor ID]]:SIP[[#This Row],[Investor ID]],SIP[[#This Row],[Investor ID]])</f>
        <v>0</v>
      </c>
    </row>
    <row r="1196" spans="1:23" ht="15" customHeight="1">
      <c r="A1196" s="46">
        <v>2025</v>
      </c>
      <c r="B1196" s="46">
        <v>5</v>
      </c>
      <c r="C1196" s="46">
        <v>26</v>
      </c>
      <c r="D1196" s="65">
        <f>DATE(SIP[[#This Row],[Year]],SIP[[#This Row],[Month]],SIP[[#This Row],[Day]])</f>
        <v>45803</v>
      </c>
      <c r="E1196" s="66" t="str" cm="1">
        <f t="array" ref="E1196">INDEX(INVESTORS_LIST[INVESTOR NAME],MATCH(SIP[[#This Row],[Investor ID]],INVESTORS_LIST[INVESTOR CODE],0),)</f>
        <v>ADNAN RASHID</v>
      </c>
      <c r="F1196" s="46" t="s">
        <v>252</v>
      </c>
      <c r="G1196" s="46">
        <f>COUNTIF(SIP[[#Headers],[Investor ID]]:SIP[[#This Row],[Investor ID]],SIP[[#This Row],[Investor ID]])</f>
        <v>21</v>
      </c>
      <c r="H1196" s="46" t="str">
        <f>CONCATENATE(SIP[[#This Row],[Frequency]],SIP[[#This Row],[Investor ID]])</f>
        <v>21A00102</v>
      </c>
      <c r="I1196" s="46" t="str">
        <f>IF(SIP[[#This Row],[B/S]]="B","BUY",(IF(SIP[[#This Row],[B/S]]="S","SELL"," ")))</f>
        <v>BUY</v>
      </c>
      <c r="J1196" s="150" t="s">
        <v>1229</v>
      </c>
      <c r="K1196" s="153">
        <v>30000</v>
      </c>
      <c r="L1196" s="122"/>
      <c r="M1196" s="123">
        <f>SIP[[#This Row],[Amount]]/SIP[[#This Row],[Unit]]</f>
        <v>12.468827930174564</v>
      </c>
      <c r="N1196" s="71">
        <f>SIP[[#This Row],[Unit Capital]]/10</f>
        <v>2406</v>
      </c>
      <c r="O1196" s="71">
        <f>SUMIFS(SIP[[#Headers],[Unit]]:SIP[[#This Row],[Unit]],SIP[[#Headers],[Investor ID]]:SIP[[#This Row],[Investor ID]],SIP[[#This Row],[Investor ID]])</f>
        <v>34953</v>
      </c>
      <c r="P1196" s="153">
        <v>24060</v>
      </c>
      <c r="Q1196" s="74">
        <f>SIP[[#This Row],[Amount]]-SIP[[#This Row],[Unit Capital]]</f>
        <v>5940</v>
      </c>
      <c r="R11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11.589152655167831</v>
      </c>
      <c r="S1196" s="46">
        <f t="shared" si="56"/>
        <v>14.224</v>
      </c>
      <c r="T11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6" s="74" cm="1">
        <f t="array" ref="U1196">IF(SIP[[#This Row],[B/S]]="S",ABS(SIP[[#This Row],[Unit]])*(INDEX(SIP[NAV at Cost (Average)],MATCH(CONCATENATE((SIP[[#This Row],[Frequency]]-1),SIP[[#This Row],[Investor ID]]),SIP[Unique Code],0),0)),0)</f>
        <v>0</v>
      </c>
      <c r="V1196" s="74">
        <f>IF(SIP[[#This Row],[BO TRANSFER]]="YES",SIP[[#This Row],[Unit]],)</f>
        <v>0</v>
      </c>
      <c r="W1196" s="74">
        <f>SUMIFS(SIP[[#Headers],[BO UNIT TRANSFER]]:SIP[[#This Row],[BO UNIT TRANSFER]],SIP[[#Headers],[Investor ID]]:SIP[[#This Row],[Investor ID]],SIP[[#This Row],[Investor ID]])</f>
        <v>0</v>
      </c>
    </row>
    <row r="1197" spans="1:23" ht="15" customHeight="1">
      <c r="A1197" s="46">
        <v>2025</v>
      </c>
      <c r="B1197" s="46">
        <v>5</v>
      </c>
      <c r="C1197" s="46">
        <v>26</v>
      </c>
      <c r="D1197" s="65">
        <f>DATE(SIP[[#This Row],[Year]],SIP[[#This Row],[Month]],SIP[[#This Row],[Day]])</f>
        <v>45803</v>
      </c>
      <c r="E1197" s="66" t="str" cm="1">
        <f t="array" ref="E1197">INDEX(INVESTORS_LIST[INVESTOR NAME],MATCH(SIP[[#This Row],[Investor ID]],INVESTORS_LIST[INVESTOR CODE],0),)</f>
        <v>MD ABDULLAH-AL- MAMUN</v>
      </c>
      <c r="F1197" s="46" t="s">
        <v>533</v>
      </c>
      <c r="G1197" s="46">
        <f>COUNTIF(SIP[[#Headers],[Investor ID]]:SIP[[#This Row],[Investor ID]],SIP[[#This Row],[Investor ID]])</f>
        <v>20</v>
      </c>
      <c r="H1197" s="46" t="str">
        <f>CONCATENATE(SIP[[#This Row],[Frequency]],SIP[[#This Row],[Investor ID]])</f>
        <v>20A00242</v>
      </c>
      <c r="I1197" s="46" t="str">
        <f>IF(SIP[[#This Row],[B/S]]="B","BUY",(IF(SIP[[#This Row],[B/S]]="S","SELL"," ")))</f>
        <v>BUY</v>
      </c>
      <c r="J1197" s="150" t="s">
        <v>1229</v>
      </c>
      <c r="K1197" s="153">
        <v>15000</v>
      </c>
      <c r="L1197" s="122"/>
      <c r="M1197" s="123">
        <f>SIP[[#This Row],[Amount]]/SIP[[#This Row],[Unit]]</f>
        <v>12.468827930174564</v>
      </c>
      <c r="N1197" s="71">
        <f>SIP[[#This Row],[Unit Capital]]/10</f>
        <v>1203</v>
      </c>
      <c r="O1197" s="71">
        <f>SUMIFS(SIP[[#Headers],[Unit]]:SIP[[#This Row],[Unit]],SIP[[#Headers],[Investor ID]]:SIP[[#This Row],[Investor ID]],SIP[[#This Row],[Investor ID]])</f>
        <v>26354</v>
      </c>
      <c r="P1197" s="153">
        <v>12030</v>
      </c>
      <c r="Q1197" s="74">
        <f>SIP[[#This Row],[Amount]]-SIP[[#This Row],[Unit Capital]]</f>
        <v>2970</v>
      </c>
      <c r="R11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11.383471199817869</v>
      </c>
      <c r="S1197" s="46">
        <f t="shared" si="56"/>
        <v>14.224</v>
      </c>
      <c r="T11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7" s="74" cm="1">
        <f t="array" ref="U1197">IF(SIP[[#This Row],[B/S]]="S",ABS(SIP[[#This Row],[Unit]])*(INDEX(SIP[NAV at Cost (Average)],MATCH(CONCATENATE((SIP[[#This Row],[Frequency]]-1),SIP[[#This Row],[Investor ID]]),SIP[Unique Code],0),0)),0)</f>
        <v>0</v>
      </c>
      <c r="V1197" s="74">
        <f>IF(SIP[[#This Row],[BO TRANSFER]]="YES",SIP[[#This Row],[Unit]],)</f>
        <v>0</v>
      </c>
      <c r="W1197" s="74">
        <f>SUMIFS(SIP[[#Headers],[BO UNIT TRANSFER]]:SIP[[#This Row],[BO UNIT TRANSFER]],SIP[[#Headers],[Investor ID]]:SIP[[#This Row],[Investor ID]],SIP[[#This Row],[Investor ID]])</f>
        <v>0</v>
      </c>
    </row>
    <row r="1198" spans="1:23" ht="15" customHeight="1">
      <c r="A1198" s="46">
        <v>2025</v>
      </c>
      <c r="B1198" s="46">
        <v>5</v>
      </c>
      <c r="C1198" s="46">
        <v>26</v>
      </c>
      <c r="D1198" s="65">
        <f>DATE(SIP[[#This Row],[Year]],SIP[[#This Row],[Month]],SIP[[#This Row],[Day]])</f>
        <v>45803</v>
      </c>
      <c r="E1198" s="66" t="str" cm="1">
        <f t="array" ref="E1198">INDEX(INVESTORS_LIST[INVESTOR NAME],MATCH(SIP[[#This Row],[Investor ID]],INVESTORS_LIST[INVESTOR CODE],0),)</f>
        <v>MOHAMMAD HASAN IMAM</v>
      </c>
      <c r="F1198" s="46" t="s">
        <v>1122</v>
      </c>
      <c r="G1198" s="46">
        <f>COUNTIF(SIP[[#Headers],[Investor ID]]:SIP[[#This Row],[Investor ID]],SIP[[#This Row],[Investor ID]])</f>
        <v>14</v>
      </c>
      <c r="H1198" s="46" t="str">
        <f>CONCATENATE(SIP[[#This Row],[Frequency]],SIP[[#This Row],[Investor ID]])</f>
        <v>14A00536</v>
      </c>
      <c r="I1198" s="46" t="str">
        <f>IF(SIP[[#This Row],[B/S]]="B","BUY",(IF(SIP[[#This Row],[B/S]]="S","SELL"," ")))</f>
        <v>BUY</v>
      </c>
      <c r="J1198" s="150" t="s">
        <v>1229</v>
      </c>
      <c r="K1198" s="153">
        <v>5000</v>
      </c>
      <c r="L1198" s="122"/>
      <c r="M1198" s="123">
        <f>SIP[[#This Row],[Amount]]/SIP[[#This Row],[Unit]]</f>
        <v>12.468827930174564</v>
      </c>
      <c r="N1198" s="71">
        <f>SIP[[#This Row],[Unit Capital]]/10</f>
        <v>401</v>
      </c>
      <c r="O1198" s="71">
        <f>SUMIFS(SIP[[#Headers],[Unit]]:SIP[[#This Row],[Unit]],SIP[[#Headers],[Investor ID]]:SIP[[#This Row],[Investor ID]],SIP[[#This Row],[Investor ID]])</f>
        <v>5982</v>
      </c>
      <c r="P1198" s="153">
        <v>4010</v>
      </c>
      <c r="Q1198" s="74">
        <f>SIP[[#This Row],[Amount]]-SIP[[#This Row],[Unit Capital]]</f>
        <v>990</v>
      </c>
      <c r="R11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11.70177198261451</v>
      </c>
      <c r="S1198" s="46">
        <f t="shared" si="56"/>
        <v>14.224</v>
      </c>
      <c r="T11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8" s="74" cm="1">
        <f t="array" ref="U1198">IF(SIP[[#This Row],[B/S]]="S",ABS(SIP[[#This Row],[Unit]])*(INDEX(SIP[NAV at Cost (Average)],MATCH(CONCATENATE((SIP[[#This Row],[Frequency]]-1),SIP[[#This Row],[Investor ID]]),SIP[Unique Code],0),0)),0)</f>
        <v>0</v>
      </c>
      <c r="V1198" s="74">
        <f>IF(SIP[[#This Row],[BO TRANSFER]]="YES",SIP[[#This Row],[Unit]],)</f>
        <v>0</v>
      </c>
      <c r="W1198" s="74">
        <f>SUMIFS(SIP[[#Headers],[BO UNIT TRANSFER]]:SIP[[#This Row],[BO UNIT TRANSFER]],SIP[[#Headers],[Investor ID]]:SIP[[#This Row],[Investor ID]],SIP[[#This Row],[Investor ID]])</f>
        <v>0</v>
      </c>
    </row>
    <row r="1199" spans="1:23" ht="15" customHeight="1">
      <c r="A1199" s="46">
        <v>2025</v>
      </c>
      <c r="B1199" s="46">
        <v>5</v>
      </c>
      <c r="C1199" s="46">
        <v>26</v>
      </c>
      <c r="D1199" s="65">
        <f>DATE(SIP[[#This Row],[Year]],SIP[[#This Row],[Month]],SIP[[#This Row],[Day]])</f>
        <v>45803</v>
      </c>
      <c r="E1199" s="66" t="str" cm="1">
        <f t="array" ref="E1199">INDEX(INVESTORS_LIST[INVESTOR NAME],MATCH(SIP[[#This Row],[Investor ID]],INVESTORS_LIST[INVESTOR CODE],0),)</f>
        <v>SADIA PARVIN</v>
      </c>
      <c r="F1199" s="46" t="s">
        <v>1018</v>
      </c>
      <c r="G1199" s="46">
        <f>COUNTIF(SIP[[#Headers],[Investor ID]]:SIP[[#This Row],[Investor ID]],SIP[[#This Row],[Investor ID]])</f>
        <v>37</v>
      </c>
      <c r="H1199" s="46" t="str">
        <f>CONCATENATE(SIP[[#This Row],[Frequency]],SIP[[#This Row],[Investor ID]])</f>
        <v>37A00486</v>
      </c>
      <c r="I1199" s="46" t="str">
        <f>IF(SIP[[#This Row],[B/S]]="B","BUY",(IF(SIP[[#This Row],[B/S]]="S","SELL"," ")))</f>
        <v>BUY</v>
      </c>
      <c r="J1199" s="150" t="s">
        <v>1229</v>
      </c>
      <c r="K1199" s="153">
        <v>5000</v>
      </c>
      <c r="L1199" s="122"/>
      <c r="M1199" s="123">
        <f>SIP[[#This Row],[Amount]]/SIP[[#This Row],[Unit]]</f>
        <v>12.468827930174564</v>
      </c>
      <c r="N1199" s="71">
        <f>SIP[[#This Row],[Unit Capital]]/10</f>
        <v>401</v>
      </c>
      <c r="O1199" s="71">
        <f>SUMIFS(SIP[[#Headers],[Unit]]:SIP[[#This Row],[Unit]],SIP[[#Headers],[Investor ID]]:SIP[[#This Row],[Investor ID]],SIP[[#This Row],[Investor ID]])</f>
        <v>16274</v>
      </c>
      <c r="P1199" s="153">
        <v>4010</v>
      </c>
      <c r="Q1199" s="74">
        <f>SIP[[#This Row],[Amount]]-SIP[[#This Row],[Unit Capital]]</f>
        <v>990</v>
      </c>
      <c r="R11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11.367825980090942</v>
      </c>
      <c r="S1199" s="46">
        <f t="shared" si="56"/>
        <v>14.224</v>
      </c>
      <c r="T11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9" s="74" cm="1">
        <f t="array" ref="U1199">IF(SIP[[#This Row],[B/S]]="S",ABS(SIP[[#This Row],[Unit]])*(INDEX(SIP[NAV at Cost (Average)],MATCH(CONCATENATE((SIP[[#This Row],[Frequency]]-1),SIP[[#This Row],[Investor ID]]),SIP[Unique Code],0),0)),0)</f>
        <v>0</v>
      </c>
      <c r="V1199" s="74">
        <f>IF(SIP[[#This Row],[BO TRANSFER]]="YES",SIP[[#This Row],[Unit]],)</f>
        <v>0</v>
      </c>
      <c r="W1199" s="74">
        <f>SUMIFS(SIP[[#Headers],[BO UNIT TRANSFER]]:SIP[[#This Row],[BO UNIT TRANSFER]],SIP[[#Headers],[Investor ID]]:SIP[[#This Row],[Investor ID]],SIP[[#This Row],[Investor ID]])</f>
        <v>0</v>
      </c>
    </row>
    <row r="1200" spans="1:23" ht="15" customHeight="1">
      <c r="A1200" s="46">
        <v>2025</v>
      </c>
      <c r="B1200" s="46">
        <v>5</v>
      </c>
      <c r="C1200" s="46">
        <v>26</v>
      </c>
      <c r="D1200" s="65">
        <f>DATE(SIP[[#This Row],[Year]],SIP[[#This Row],[Month]],SIP[[#This Row],[Day]])</f>
        <v>45803</v>
      </c>
      <c r="E1200" s="66" t="str" cm="1">
        <f t="array" ref="E1200">INDEX(INVESTORS_LIST[INVESTOR NAME],MATCH(SIP[[#This Row],[Investor ID]],INVESTORS_LIST[INVESTOR CODE],0),)</f>
        <v>SHAPNA RANI BARMAN</v>
      </c>
      <c r="F1200" s="46" t="s">
        <v>1292</v>
      </c>
      <c r="G1200" s="46">
        <f>COUNTIF(SIP[[#Headers],[Investor ID]]:SIP[[#This Row],[Investor ID]],SIP[[#This Row],[Investor ID]])</f>
        <v>7</v>
      </c>
      <c r="H1200" s="46" t="str">
        <f>CONCATENATE(SIP[[#This Row],[Frequency]],SIP[[#This Row],[Investor ID]])</f>
        <v>7A00593</v>
      </c>
      <c r="I1200" s="46" t="str">
        <f>IF(SIP[[#This Row],[B/S]]="B","BUY",(IF(SIP[[#This Row],[B/S]]="S","SELL"," ")))</f>
        <v>BUY</v>
      </c>
      <c r="J1200" s="150" t="s">
        <v>1229</v>
      </c>
      <c r="K1200" s="153">
        <v>1000</v>
      </c>
      <c r="L1200" s="122"/>
      <c r="M1200" s="123">
        <f>SIP[[#This Row],[Amount]]/SIP[[#This Row],[Unit]]</f>
        <v>12.5</v>
      </c>
      <c r="N1200" s="71">
        <f>SIP[[#This Row],[Unit Capital]]/10</f>
        <v>80</v>
      </c>
      <c r="O1200" s="71">
        <f>SUMIFS(SIP[[#Headers],[Unit]]:SIP[[#This Row],[Unit]],SIP[[#Headers],[Investor ID]]:SIP[[#This Row],[Investor ID]],SIP[[#This Row],[Investor ID]])</f>
        <v>576</v>
      </c>
      <c r="P1200" s="153">
        <v>800</v>
      </c>
      <c r="Q1200" s="74">
        <f>SIP[[#This Row],[Amount]]-SIP[[#This Row],[Unit Capital]]</f>
        <v>200</v>
      </c>
      <c r="R12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12.152777777777777</v>
      </c>
      <c r="S1200" s="46">
        <f t="shared" si="56"/>
        <v>14.224</v>
      </c>
      <c r="T12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0" s="74" cm="1">
        <f t="array" ref="U1200">IF(SIP[[#This Row],[B/S]]="S",ABS(SIP[[#This Row],[Unit]])*(INDEX(SIP[NAV at Cost (Average)],MATCH(CONCATENATE((SIP[[#This Row],[Frequency]]-1),SIP[[#This Row],[Investor ID]]),SIP[Unique Code],0),0)),0)</f>
        <v>0</v>
      </c>
      <c r="V1200" s="74">
        <f>IF(SIP[[#This Row],[BO TRANSFER]]="YES",SIP[[#This Row],[Unit]],)</f>
        <v>0</v>
      </c>
      <c r="W1200" s="74">
        <f>SUMIFS(SIP[[#Headers],[BO UNIT TRANSFER]]:SIP[[#This Row],[BO UNIT TRANSFER]],SIP[[#Headers],[Investor ID]]:SIP[[#This Row],[Investor ID]],SIP[[#This Row],[Investor ID]])</f>
        <v>0</v>
      </c>
    </row>
    <row r="1201" spans="1:23" ht="15" customHeight="1">
      <c r="A1201" s="46">
        <v>2025</v>
      </c>
      <c r="B1201" s="46">
        <v>5</v>
      </c>
      <c r="C1201" s="46">
        <v>26</v>
      </c>
      <c r="D1201" s="65">
        <f>DATE(SIP[[#This Row],[Year]],SIP[[#This Row],[Month]],SIP[[#This Row],[Day]])</f>
        <v>45803</v>
      </c>
      <c r="E1201" s="66" t="str" cm="1">
        <f t="array" ref="E1201">INDEX(INVESTORS_LIST[INVESTOR NAME],MATCH(SIP[[#This Row],[Investor ID]],INVESTORS_LIST[INVESTOR CODE],0),)</f>
        <v>MAYA RANI SAHA</v>
      </c>
      <c r="F1201" s="46" t="s">
        <v>224</v>
      </c>
      <c r="G1201" s="46">
        <f>COUNTIF(SIP[[#Headers],[Investor ID]]:SIP[[#This Row],[Investor ID]],SIP[[#This Row],[Investor ID]])</f>
        <v>51</v>
      </c>
      <c r="H1201" s="46" t="str">
        <f>CONCATENATE(SIP[[#This Row],[Frequency]],SIP[[#This Row],[Investor ID]])</f>
        <v>51A00088</v>
      </c>
      <c r="I1201" s="46" t="str">
        <f>IF(SIP[[#This Row],[B/S]]="B","BUY",(IF(SIP[[#This Row],[B/S]]="S","SELL"," ")))</f>
        <v>BUY</v>
      </c>
      <c r="J1201" s="150" t="s">
        <v>1229</v>
      </c>
      <c r="K1201" s="153">
        <v>6000</v>
      </c>
      <c r="L1201" s="122"/>
      <c r="M1201" s="123">
        <f>SIP[[#This Row],[Amount]]/SIP[[#This Row],[Unit]]</f>
        <v>12.474012474012474</v>
      </c>
      <c r="N1201" s="71">
        <f>SIP[[#This Row],[Unit Capital]]/10</f>
        <v>481</v>
      </c>
      <c r="O1201" s="71">
        <f>SUMIFS(SIP[[#Headers],[Unit]]:SIP[[#This Row],[Unit]],SIP[[#Headers],[Investor ID]]:SIP[[#This Row],[Investor ID]],SIP[[#This Row],[Investor ID]])</f>
        <v>63926</v>
      </c>
      <c r="P1201" s="153">
        <v>4810</v>
      </c>
      <c r="Q1201" s="74">
        <f>SIP[[#This Row],[Amount]]-SIP[[#This Row],[Unit Capital]]</f>
        <v>1190</v>
      </c>
      <c r="R12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11.513312267309075</v>
      </c>
      <c r="S1201" s="46">
        <f t="shared" si="56"/>
        <v>14.224</v>
      </c>
      <c r="T12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1" s="74" cm="1">
        <f t="array" ref="U1201">IF(SIP[[#This Row],[B/S]]="S",ABS(SIP[[#This Row],[Unit]])*(INDEX(SIP[NAV at Cost (Average)],MATCH(CONCATENATE((SIP[[#This Row],[Frequency]]-1),SIP[[#This Row],[Investor ID]]),SIP[Unique Code],0),0)),0)</f>
        <v>0</v>
      </c>
      <c r="V1201" s="74">
        <f>IF(SIP[[#This Row],[BO TRANSFER]]="YES",SIP[[#This Row],[Unit]],)</f>
        <v>0</v>
      </c>
      <c r="W1201" s="74">
        <f>SUMIFS(SIP[[#Headers],[BO UNIT TRANSFER]]:SIP[[#This Row],[BO UNIT TRANSFER]],SIP[[#Headers],[Investor ID]]:SIP[[#This Row],[Investor ID]],SIP[[#This Row],[Investor ID]])</f>
        <v>0</v>
      </c>
    </row>
    <row r="1202" spans="1:23" ht="15" customHeight="1">
      <c r="A1202" s="46">
        <v>2025</v>
      </c>
      <c r="B1202" s="46">
        <v>5</v>
      </c>
      <c r="C1202" s="46">
        <v>26</v>
      </c>
      <c r="D1202" s="65">
        <f>DATE(SIP[[#This Row],[Year]],SIP[[#This Row],[Month]],SIP[[#This Row],[Day]])</f>
        <v>45803</v>
      </c>
      <c r="E1202" s="66" t="str" cm="1">
        <f t="array" ref="E1202">INDEX(INVESTORS_LIST[INVESTOR NAME],MATCH(SIP[[#This Row],[Investor ID]],INVESTORS_LIST[INVESTOR CODE],0),)</f>
        <v>MAYA RANI SAHA</v>
      </c>
      <c r="F1202" s="46" t="s">
        <v>224</v>
      </c>
      <c r="G1202" s="46">
        <f>COUNTIF(SIP[[#Headers],[Investor ID]]:SIP[[#This Row],[Investor ID]],SIP[[#This Row],[Investor ID]])</f>
        <v>52</v>
      </c>
      <c r="H1202" s="46" t="str">
        <f>CONCATENATE(SIP[[#This Row],[Frequency]],SIP[[#This Row],[Investor ID]])</f>
        <v>52A00088</v>
      </c>
      <c r="I1202" s="46" t="str">
        <f>IF(SIP[[#This Row],[B/S]]="B","BUY",(IF(SIP[[#This Row],[B/S]]="S","SELL"," ")))</f>
        <v>BUY</v>
      </c>
      <c r="J1202" s="150" t="s">
        <v>1229</v>
      </c>
      <c r="K1202" s="153">
        <v>10000</v>
      </c>
      <c r="L1202" s="122"/>
      <c r="M1202" s="123">
        <f>SIP[[#This Row],[Amount]]/SIP[[#This Row],[Unit]]</f>
        <v>12.468827930174564</v>
      </c>
      <c r="N1202" s="71">
        <f>SIP[[#This Row],[Unit Capital]]/10</f>
        <v>802</v>
      </c>
      <c r="O1202" s="71">
        <f>SUMIFS(SIP[[#Headers],[Unit]]:SIP[[#This Row],[Unit]],SIP[[#Headers],[Investor ID]]:SIP[[#This Row],[Investor ID]],SIP[[#This Row],[Investor ID]])</f>
        <v>64728</v>
      </c>
      <c r="P1202" s="153">
        <v>8020</v>
      </c>
      <c r="Q1202" s="74">
        <f>SIP[[#This Row],[Amount]]-SIP[[#This Row],[Unit Capital]]</f>
        <v>1980</v>
      </c>
      <c r="R12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11.525151402793226</v>
      </c>
      <c r="S1202" s="46">
        <f t="shared" si="56"/>
        <v>14.224</v>
      </c>
      <c r="T12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2" s="74" cm="1">
        <f t="array" ref="U1202">IF(SIP[[#This Row],[B/S]]="S",ABS(SIP[[#This Row],[Unit]])*(INDEX(SIP[NAV at Cost (Average)],MATCH(CONCATENATE((SIP[[#This Row],[Frequency]]-1),SIP[[#This Row],[Investor ID]]),SIP[Unique Code],0),0)),0)</f>
        <v>0</v>
      </c>
      <c r="V1202" s="74">
        <f>IF(SIP[[#This Row],[BO TRANSFER]]="YES",SIP[[#This Row],[Unit]],)</f>
        <v>0</v>
      </c>
      <c r="W1202" s="74">
        <f>SUMIFS(SIP[[#Headers],[BO UNIT TRANSFER]]:SIP[[#This Row],[BO UNIT TRANSFER]],SIP[[#Headers],[Investor ID]]:SIP[[#This Row],[Investor ID]],SIP[[#This Row],[Investor ID]])</f>
        <v>0</v>
      </c>
    </row>
    <row r="1203" spans="1:23" ht="15" customHeight="1">
      <c r="A1203" s="46">
        <v>2025</v>
      </c>
      <c r="B1203" s="46">
        <v>5</v>
      </c>
      <c r="C1203" s="46">
        <v>26</v>
      </c>
      <c r="D1203" s="65">
        <f>DATE(SIP[[#This Row],[Year]],SIP[[#This Row],[Month]],SIP[[#This Row],[Day]])</f>
        <v>45803</v>
      </c>
      <c r="E1203" s="66" t="str" cm="1">
        <f t="array" ref="E1203">INDEX(INVESTORS_LIST[INVESTOR NAME],MATCH(SIP[[#This Row],[Investor ID]],INVESTORS_LIST[INVESTOR CODE],0),)</f>
        <v>KHAN MUHAMMAD FAISOL</v>
      </c>
      <c r="F1203" s="46" t="s">
        <v>930</v>
      </c>
      <c r="G1203" s="46">
        <f>COUNTIF(SIP[[#Headers],[Investor ID]]:SIP[[#This Row],[Investor ID]],SIP[[#This Row],[Investor ID]])</f>
        <v>25</v>
      </c>
      <c r="H1203" s="46" t="str">
        <f>CONCATENATE(SIP[[#This Row],[Frequency]],SIP[[#This Row],[Investor ID]])</f>
        <v>25A00442</v>
      </c>
      <c r="I1203" s="46" t="str">
        <f>IF(SIP[[#This Row],[B/S]]="B","BUY",(IF(SIP[[#This Row],[B/S]]="S","SELL"," ")))</f>
        <v>BUY</v>
      </c>
      <c r="J1203" s="150" t="s">
        <v>1229</v>
      </c>
      <c r="K1203" s="153">
        <v>1000</v>
      </c>
      <c r="L1203" s="69"/>
      <c r="M1203" s="123">
        <f>SIP[[#This Row],[Amount]]/SIP[[#This Row],[Unit]]</f>
        <v>12.5</v>
      </c>
      <c r="N1203" s="71">
        <f>SIP[[#This Row],[Unit Capital]]/10</f>
        <v>80</v>
      </c>
      <c r="O1203" s="71">
        <f>SUMIFS(SIP[[#Headers],[Unit]]:SIP[[#This Row],[Unit]],SIP[[#Headers],[Investor ID]]:SIP[[#This Row],[Investor ID]],SIP[[#This Row],[Investor ID]])</f>
        <v>2240</v>
      </c>
      <c r="P1203" s="153">
        <v>800</v>
      </c>
      <c r="Q1203" s="74">
        <f>SIP[[#This Row],[Amount]]-SIP[[#This Row],[Unit Capital]]</f>
        <v>200</v>
      </c>
      <c r="R12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11.160714285714286</v>
      </c>
      <c r="S1203" s="46">
        <f t="shared" si="56"/>
        <v>14.224</v>
      </c>
      <c r="T12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3" s="74" cm="1">
        <f t="array" ref="U1203">IF(SIP[[#This Row],[B/S]]="S",ABS(SIP[[#This Row],[Unit]])*(INDEX(SIP[NAV at Cost (Average)],MATCH(CONCATENATE((SIP[[#This Row],[Frequency]]-1),SIP[[#This Row],[Investor ID]]),SIP[Unique Code],0),0)),0)</f>
        <v>0</v>
      </c>
      <c r="V1203" s="74">
        <f>IF(SIP[[#This Row],[BO TRANSFER]]="YES",SIP[[#This Row],[Unit]],)</f>
        <v>0</v>
      </c>
      <c r="W1203" s="74">
        <f>SUMIFS(SIP[[#Headers],[BO UNIT TRANSFER]]:SIP[[#This Row],[BO UNIT TRANSFER]],SIP[[#Headers],[Investor ID]]:SIP[[#This Row],[Investor ID]],SIP[[#This Row],[Investor ID]])</f>
        <v>0</v>
      </c>
    </row>
    <row r="1204" spans="1:23" ht="15" customHeight="1">
      <c r="A1204" s="46">
        <v>2025</v>
      </c>
      <c r="B1204" s="46">
        <v>5</v>
      </c>
      <c r="C1204" s="46">
        <v>26</v>
      </c>
      <c r="D1204" s="65">
        <f>DATE(SIP[[#This Row],[Year]],SIP[[#This Row],[Month]],SIP[[#This Row],[Day]])</f>
        <v>45803</v>
      </c>
      <c r="E1204" s="66" t="str" cm="1">
        <f t="array" ref="E1204">INDEX(INVESTORS_LIST[INVESTOR NAME],MATCH(SIP[[#This Row],[Investor ID]],INVESTORS_LIST[INVESTOR CODE],0),)</f>
        <v>MD. ARIFUL ISLAM</v>
      </c>
      <c r="F1204" s="46" t="s">
        <v>222</v>
      </c>
      <c r="G1204" s="46">
        <f>COUNTIF(SIP[[#Headers],[Investor ID]]:SIP[[#This Row],[Investor ID]],SIP[[#This Row],[Investor ID]])</f>
        <v>25</v>
      </c>
      <c r="H1204" s="46" t="str">
        <f>CONCATENATE(SIP[[#This Row],[Frequency]],SIP[[#This Row],[Investor ID]])</f>
        <v>25A00087</v>
      </c>
      <c r="I1204" s="46" t="str">
        <f>IF(SIP[[#This Row],[B/S]]="B","BUY",(IF(SIP[[#This Row],[B/S]]="S","SELL"," ")))</f>
        <v>BUY</v>
      </c>
      <c r="J1204" s="150" t="s">
        <v>1229</v>
      </c>
      <c r="K1204" s="153">
        <v>10000</v>
      </c>
      <c r="L1204" s="69"/>
      <c r="M1204" s="123">
        <f>SIP[[#This Row],[Amount]]/SIP[[#This Row],[Unit]]</f>
        <v>12.468827930174564</v>
      </c>
      <c r="N1204" s="71">
        <f>SIP[[#This Row],[Unit Capital]]/10</f>
        <v>802</v>
      </c>
      <c r="O1204" s="71">
        <f>SUMIFS(SIP[[#Headers],[Unit]]:SIP[[#This Row],[Unit]],SIP[[#Headers],[Investor ID]]:SIP[[#This Row],[Investor ID]],SIP[[#This Row],[Investor ID]])</f>
        <v>22405</v>
      </c>
      <c r="P1204" s="153">
        <v>8020</v>
      </c>
      <c r="Q1204" s="74">
        <f>SIP[[#This Row],[Amount]]-SIP[[#This Row],[Unit Capital]]</f>
        <v>1980</v>
      </c>
      <c r="R12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11.15822361080116</v>
      </c>
      <c r="S1204" s="46">
        <f t="shared" si="56"/>
        <v>14.224</v>
      </c>
      <c r="T12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4" s="74" cm="1">
        <f t="array" ref="U1204">IF(SIP[[#This Row],[B/S]]="S",ABS(SIP[[#This Row],[Unit]])*(INDEX(SIP[NAV at Cost (Average)],MATCH(CONCATENATE((SIP[[#This Row],[Frequency]]-1),SIP[[#This Row],[Investor ID]]),SIP[Unique Code],0),0)),0)</f>
        <v>0</v>
      </c>
      <c r="V1204" s="74">
        <f>IF(SIP[[#This Row],[BO TRANSFER]]="YES",SIP[[#This Row],[Unit]],)</f>
        <v>0</v>
      </c>
      <c r="W1204" s="74">
        <f>SUMIFS(SIP[[#Headers],[BO UNIT TRANSFER]]:SIP[[#This Row],[BO UNIT TRANSFER]],SIP[[#Headers],[Investor ID]]:SIP[[#This Row],[Investor ID]],SIP[[#This Row],[Investor ID]])</f>
        <v>0</v>
      </c>
    </row>
    <row r="1205" spans="1:23" ht="15" customHeight="1">
      <c r="A1205" s="46">
        <v>2025</v>
      </c>
      <c r="B1205" s="46">
        <v>5</v>
      </c>
      <c r="C1205" s="46">
        <v>26</v>
      </c>
      <c r="D1205" s="65">
        <f>DATE(SIP[[#This Row],[Year]],SIP[[#This Row],[Month]],SIP[[#This Row],[Day]])</f>
        <v>45803</v>
      </c>
      <c r="E1205" s="66" t="str" cm="1">
        <f t="array" ref="E1205">INDEX(INVESTORS_LIST[INVESTOR NAME],MATCH(SIP[[#This Row],[Investor ID]],INVESTORS_LIST[INVESTOR CODE],0),)</f>
        <v>NUSRAT JAHAN TISHA</v>
      </c>
      <c r="F1205" s="46" t="s">
        <v>926</v>
      </c>
      <c r="G1205" s="46">
        <f>COUNTIF(SIP[[#Headers],[Investor ID]]:SIP[[#This Row],[Investor ID]],SIP[[#This Row],[Investor ID]])</f>
        <v>16</v>
      </c>
      <c r="H1205" s="46" t="str">
        <f>CONCATENATE(SIP[[#This Row],[Frequency]],SIP[[#This Row],[Investor ID]])</f>
        <v>16A00440</v>
      </c>
      <c r="I1205" s="46" t="str">
        <f>IF(SIP[[#This Row],[B/S]]="B","BUY",(IF(SIP[[#This Row],[B/S]]="S","SELL"," ")))</f>
        <v>BUY</v>
      </c>
      <c r="J1205" s="150" t="s">
        <v>1229</v>
      </c>
      <c r="K1205" s="153">
        <v>5000</v>
      </c>
      <c r="L1205" s="122"/>
      <c r="M1205" s="123">
        <f>SIP[[#This Row],[Amount]]/SIP[[#This Row],[Unit]]</f>
        <v>12.468827930174564</v>
      </c>
      <c r="N1205" s="71">
        <f>SIP[[#This Row],[Unit Capital]]/10</f>
        <v>401</v>
      </c>
      <c r="O1205" s="71">
        <f>SUMIFS(SIP[[#Headers],[Unit]]:SIP[[#This Row],[Unit]],SIP[[#Headers],[Investor ID]]:SIP[[#This Row],[Investor ID]],SIP[[#This Row],[Investor ID]])</f>
        <v>401</v>
      </c>
      <c r="P1205" s="153">
        <v>4010</v>
      </c>
      <c r="Q1205" s="74">
        <f>SIP[[#This Row],[Amount]]-SIP[[#This Row],[Unit Capital]]</f>
        <v>990</v>
      </c>
      <c r="R12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12.468827930174564</v>
      </c>
      <c r="S1205" s="46">
        <f t="shared" si="56"/>
        <v>14.224</v>
      </c>
      <c r="T12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5" s="74" cm="1">
        <f t="array" ref="U1205">IF(SIP[[#This Row],[B/S]]="S",ABS(SIP[[#This Row],[Unit]])*(INDEX(SIP[NAV at Cost (Average)],MATCH(CONCATENATE((SIP[[#This Row],[Frequency]]-1),SIP[[#This Row],[Investor ID]]),SIP[Unique Code],0),0)),0)</f>
        <v>0</v>
      </c>
      <c r="V1205" s="74">
        <f>IF(SIP[[#This Row],[BO TRANSFER]]="YES",SIP[[#This Row],[Unit]],)</f>
        <v>0</v>
      </c>
      <c r="W1205" s="74">
        <f>SUMIFS(SIP[[#Headers],[BO UNIT TRANSFER]]:SIP[[#This Row],[BO UNIT TRANSFER]],SIP[[#Headers],[Investor ID]]:SIP[[#This Row],[Investor ID]],SIP[[#This Row],[Investor ID]])</f>
        <v>0</v>
      </c>
    </row>
    <row r="1206" spans="1:23" ht="15" customHeight="1">
      <c r="A1206" s="46">
        <v>2025</v>
      </c>
      <c r="B1206" s="46">
        <v>6</v>
      </c>
      <c r="C1206" s="46">
        <v>1</v>
      </c>
      <c r="D1206" s="65">
        <f>DATE(SIP[[#This Row],[Year]],SIP[[#This Row],[Month]],SIP[[#This Row],[Day]])</f>
        <v>45809</v>
      </c>
      <c r="E1206" s="66" t="str" cm="1">
        <f t="array" ref="E1206">INDEX(INVESTORS_LIST[INVESTOR NAME],MATCH(SIP[[#This Row],[Investor ID]],INVESTORS_LIST[INVESTOR CODE],0),)</f>
        <v>S.M. SAIFUL ISLAM</v>
      </c>
      <c r="F1206" s="46" t="s">
        <v>1002</v>
      </c>
      <c r="G1206" s="46">
        <f>COUNTIF(SIP[[#Headers],[Investor ID]]:SIP[[#This Row],[Investor ID]],SIP[[#This Row],[Investor ID]])</f>
        <v>29</v>
      </c>
      <c r="H1206" s="46" t="str">
        <f>CONCATENATE(SIP[[#This Row],[Frequency]],SIP[[#This Row],[Investor ID]])</f>
        <v>29A00478</v>
      </c>
      <c r="I1206" s="46" t="str">
        <f>IF(SIP[[#This Row],[B/S]]="B","BUY",(IF(SIP[[#This Row],[B/S]]="S","SELL"," ")))</f>
        <v>SELL</v>
      </c>
      <c r="J1206" s="150" t="s">
        <v>1231</v>
      </c>
      <c r="K1206" s="153">
        <v>-10021.790000000001</v>
      </c>
      <c r="L1206" s="122"/>
      <c r="M1206" s="123">
        <f>SIP[[#This Row],[Amount]]/SIP[[#This Row],[Unit]]</f>
        <v>12.495997506234415</v>
      </c>
      <c r="N1206" s="71">
        <f>SIP[[#This Row],[Unit Capital]]/10</f>
        <v>-802</v>
      </c>
      <c r="O1206" s="71">
        <f>SUMIFS(SIP[[#Headers],[Unit]]:SIP[[#This Row],[Unit]],SIP[[#Headers],[Investor ID]]:SIP[[#This Row],[Investor ID]],SIP[[#This Row],[Investor ID]])</f>
        <v>0</v>
      </c>
      <c r="P1206" s="153">
        <v>-8020</v>
      </c>
      <c r="Q1206" s="74">
        <f>SIP[[#This Row],[Amount]]-SIP[[#This Row],[Unit Capital]]</f>
        <v>-2001.7900000000009</v>
      </c>
      <c r="R12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206" s="46">
        <f t="shared" ref="S1206:S1227" si="57">NAV_MKT</f>
        <v>14.224</v>
      </c>
      <c r="T1206" s="74">
        <f>IF(SIP[[#This Row],[B/S]]="B",0,ABS(SIP[[#This Row],[Unit]])*(SIP[[#This Row],[NAV (Strike Rate)]]-INDEX(SIP[NAV at Cost (Average)],MATCH(CONCATENATE(SIP[[#This Row],[Frequency]]-1,SIP[[#This Row],[Investor ID]]),SIP[Unique Code],0),)))</f>
        <v>21.790000000000624</v>
      </c>
      <c r="U1206" s="74" cm="1">
        <f t="array" ref="U1206">IF(SIP[[#This Row],[B/S]]="S",ABS(SIP[[#This Row],[Unit]])*(INDEX(SIP[NAV at Cost (Average)],MATCH(CONCATENATE((SIP[[#This Row],[Frequency]]-1),SIP[[#This Row],[Investor ID]]),SIP[Unique Code],0),0)),0)</f>
        <v>10000</v>
      </c>
      <c r="V1206" s="74">
        <f>IF(SIP[[#This Row],[BO TRANSFER]]="YES",SIP[[#This Row],[Unit]],)</f>
        <v>0</v>
      </c>
      <c r="W1206" s="74">
        <f>SUMIFS(SIP[[#Headers],[BO UNIT TRANSFER]]:SIP[[#This Row],[BO UNIT TRANSFER]],SIP[[#Headers],[Investor ID]]:SIP[[#This Row],[Investor ID]],SIP[[#This Row],[Investor ID]])</f>
        <v>0</v>
      </c>
    </row>
    <row r="1207" spans="1:23" ht="15" customHeight="1">
      <c r="A1207" s="46">
        <v>2025</v>
      </c>
      <c r="B1207" s="46">
        <v>6</v>
      </c>
      <c r="C1207" s="46">
        <v>5</v>
      </c>
      <c r="D1207" s="65">
        <f>DATE(SIP[[#This Row],[Year]],SIP[[#This Row],[Month]],SIP[[#This Row],[Day]])</f>
        <v>45813</v>
      </c>
      <c r="E1207" s="66" t="str" cm="1">
        <f t="array" ref="E1207">INDEX(INVESTORS_LIST[INVESTOR NAME],MATCH(SIP[[#This Row],[Investor ID]],INVESTORS_LIST[INVESTOR CODE],0),)</f>
        <v>MD. MONIRUL ISLAM</v>
      </c>
      <c r="F1207" s="46" t="s">
        <v>996</v>
      </c>
      <c r="G1207" s="46">
        <f>COUNTIF(SIP[[#Headers],[Investor ID]]:SIP[[#This Row],[Investor ID]],SIP[[#This Row],[Investor ID]])</f>
        <v>25</v>
      </c>
      <c r="H1207" s="46" t="str">
        <f>CONCATENATE(SIP[[#This Row],[Frequency]],SIP[[#This Row],[Investor ID]])</f>
        <v>25A00475</v>
      </c>
      <c r="I1207" s="46" t="str">
        <f>IF(SIP[[#This Row],[B/S]]="B","BUY",(IF(SIP[[#This Row],[B/S]]="S","SELL"," ")))</f>
        <v>BUY</v>
      </c>
      <c r="J1207" s="150" t="s">
        <v>1229</v>
      </c>
      <c r="K1207" s="153">
        <v>10000</v>
      </c>
      <c r="L1207" s="122"/>
      <c r="M1207" s="123">
        <f>SIP[[#This Row],[Amount]]/SIP[[#This Row],[Unit]]</f>
        <v>12.547051442910917</v>
      </c>
      <c r="N1207" s="71">
        <f>SIP[[#This Row],[Unit Capital]]/10</f>
        <v>797</v>
      </c>
      <c r="O1207" s="71">
        <f>SUMIFS(SIP[[#Headers],[Unit]]:SIP[[#This Row],[Unit]],SIP[[#Headers],[Investor ID]]:SIP[[#This Row],[Investor ID]],SIP[[#This Row],[Investor ID]])</f>
        <v>22529</v>
      </c>
      <c r="P1207" s="197">
        <v>7970</v>
      </c>
      <c r="Q1207" s="74">
        <f>SIP[[#This Row],[Amount]]-SIP[[#This Row],[Unit Capital]]</f>
        <v>2030</v>
      </c>
      <c r="R12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11.096808557858758</v>
      </c>
      <c r="S1207" s="46">
        <f t="shared" si="57"/>
        <v>14.224</v>
      </c>
      <c r="T12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7" s="74" cm="1">
        <f t="array" ref="U1207">IF(SIP[[#This Row],[B/S]]="S",ABS(SIP[[#This Row],[Unit]])*(INDEX(SIP[NAV at Cost (Average)],MATCH(CONCATENATE((SIP[[#This Row],[Frequency]]-1),SIP[[#This Row],[Investor ID]]),SIP[Unique Code],0),0)),0)</f>
        <v>0</v>
      </c>
      <c r="V1207" s="74">
        <f>IF(SIP[[#This Row],[BO TRANSFER]]="YES",SIP[[#This Row],[Unit]],)</f>
        <v>0</v>
      </c>
      <c r="W1207" s="74">
        <f>SUMIFS(SIP[[#Headers],[BO UNIT TRANSFER]]:SIP[[#This Row],[BO UNIT TRANSFER]],SIP[[#Headers],[Investor ID]]:SIP[[#This Row],[Investor ID]],SIP[[#This Row],[Investor ID]])</f>
        <v>0</v>
      </c>
    </row>
    <row r="1208" spans="1:23" ht="15" customHeight="1">
      <c r="A1208" s="46">
        <v>2025</v>
      </c>
      <c r="B1208" s="46">
        <v>6</v>
      </c>
      <c r="C1208" s="46">
        <v>5</v>
      </c>
      <c r="D1208" s="65">
        <f>DATE(SIP[[#This Row],[Year]],SIP[[#This Row],[Month]],SIP[[#This Row],[Day]])</f>
        <v>45813</v>
      </c>
      <c r="E1208" s="66" t="str" cm="1">
        <f t="array" ref="E1208">INDEX(INVESTORS_LIST[INVESTOR NAME],MATCH(SIP[[#This Row],[Investor ID]],INVESTORS_LIST[INVESTOR CODE],0),)</f>
        <v>MONIR AHMED</v>
      </c>
      <c r="F1208" s="46" t="s">
        <v>125</v>
      </c>
      <c r="G1208" s="46">
        <f>COUNTIF(SIP[[#Headers],[Investor ID]]:SIP[[#This Row],[Investor ID]],SIP[[#This Row],[Investor ID]])</f>
        <v>26</v>
      </c>
      <c r="H1208" s="46" t="str">
        <f>CONCATENATE(SIP[[#This Row],[Frequency]],SIP[[#This Row],[Investor ID]])</f>
        <v>26A00039</v>
      </c>
      <c r="I1208" s="46" t="str">
        <f>IF(SIP[[#This Row],[B/S]]="B","BUY",(IF(SIP[[#This Row],[B/S]]="S","SELL"," ")))</f>
        <v>BUY</v>
      </c>
      <c r="J1208" s="150" t="s">
        <v>1229</v>
      </c>
      <c r="K1208" s="153">
        <v>10000</v>
      </c>
      <c r="L1208" s="122"/>
      <c r="M1208" s="123">
        <f>SIP[[#This Row],[Amount]]/SIP[[#This Row],[Unit]]</f>
        <v>12.547051442910917</v>
      </c>
      <c r="N1208" s="71">
        <f>SIP[[#This Row],[Unit Capital]]/10</f>
        <v>797</v>
      </c>
      <c r="O1208" s="71">
        <f>SUMIFS(SIP[[#Headers],[Unit]]:SIP[[#This Row],[Unit]],SIP[[#Headers],[Investor ID]]:SIP[[#This Row],[Investor ID]],SIP[[#This Row],[Investor ID]])</f>
        <v>3297</v>
      </c>
      <c r="P1208" s="197">
        <v>7970</v>
      </c>
      <c r="Q1208" s="74">
        <f>SIP[[#This Row],[Amount]]-SIP[[#This Row],[Unit Capital]]</f>
        <v>2030</v>
      </c>
      <c r="R12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12.14616284597969</v>
      </c>
      <c r="S1208" s="46">
        <f t="shared" si="57"/>
        <v>14.224</v>
      </c>
      <c r="T12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8" s="74" cm="1">
        <f t="array" ref="U1208">IF(SIP[[#This Row],[B/S]]="S",ABS(SIP[[#This Row],[Unit]])*(INDEX(SIP[NAV at Cost (Average)],MATCH(CONCATENATE((SIP[[#This Row],[Frequency]]-1),SIP[[#This Row],[Investor ID]]),SIP[Unique Code],0),0)),0)</f>
        <v>0</v>
      </c>
      <c r="V1208" s="74">
        <f>IF(SIP[[#This Row],[BO TRANSFER]]="YES",SIP[[#This Row],[Unit]],)</f>
        <v>0</v>
      </c>
      <c r="W1208" s="74">
        <f>SUMIFS(SIP[[#Headers],[BO UNIT TRANSFER]]:SIP[[#This Row],[BO UNIT TRANSFER]],SIP[[#Headers],[Investor ID]]:SIP[[#This Row],[Investor ID]],SIP[[#This Row],[Investor ID]])</f>
        <v>0</v>
      </c>
    </row>
    <row r="1209" spans="1:23" ht="15" customHeight="1">
      <c r="A1209" s="46">
        <v>2025</v>
      </c>
      <c r="B1209" s="46">
        <v>6</v>
      </c>
      <c r="C1209" s="46">
        <v>5</v>
      </c>
      <c r="D1209" s="65">
        <f>DATE(SIP[[#This Row],[Year]],SIP[[#This Row],[Month]],SIP[[#This Row],[Day]])</f>
        <v>45813</v>
      </c>
      <c r="E1209" s="66" t="str" cm="1">
        <f t="array" ref="E1209">INDEX(INVESTORS_LIST[INVESTOR NAME],MATCH(SIP[[#This Row],[Investor ID]],INVESTORS_LIST[INVESTOR CODE],0),)</f>
        <v>SABRIA ISLAM TALUKDER</v>
      </c>
      <c r="F1209" s="46" t="s">
        <v>409</v>
      </c>
      <c r="G1209" s="46">
        <f>COUNTIF(SIP[[#Headers],[Investor ID]]:SIP[[#This Row],[Investor ID]],SIP[[#This Row],[Investor ID]])</f>
        <v>22</v>
      </c>
      <c r="H1209" s="46" t="str">
        <f>CONCATENATE(SIP[[#This Row],[Frequency]],SIP[[#This Row],[Investor ID]])</f>
        <v>22A00180</v>
      </c>
      <c r="I1209" s="46" t="str">
        <f>IF(SIP[[#This Row],[B/S]]="B","BUY",(IF(SIP[[#This Row],[B/S]]="S","SELL"," ")))</f>
        <v>BUY</v>
      </c>
      <c r="J1209" s="150" t="s">
        <v>1229</v>
      </c>
      <c r="K1209" s="153">
        <v>5000</v>
      </c>
      <c r="L1209" s="122"/>
      <c r="M1209" s="123">
        <f>SIP[[#This Row],[Amount]]/SIP[[#This Row],[Unit]]</f>
        <v>12.531328320802006</v>
      </c>
      <c r="N1209" s="71">
        <f>SIP[[#This Row],[Unit Capital]]/10</f>
        <v>399</v>
      </c>
      <c r="O1209" s="71">
        <f>SUMIFS(SIP[[#Headers],[Unit]]:SIP[[#This Row],[Unit]],SIP[[#Headers],[Investor ID]]:SIP[[#This Row],[Investor ID]],SIP[[#This Row],[Investor ID]])</f>
        <v>9714</v>
      </c>
      <c r="P1209" s="197">
        <v>3990</v>
      </c>
      <c r="Q1209" s="74">
        <f>SIP[[#This Row],[Amount]]-SIP[[#This Row],[Unit Capital]]</f>
        <v>1010</v>
      </c>
      <c r="R12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11.323862466543137</v>
      </c>
      <c r="S1209" s="46">
        <f t="shared" si="57"/>
        <v>14.224</v>
      </c>
      <c r="T12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9" s="74" cm="1">
        <f t="array" ref="U1209">IF(SIP[[#This Row],[B/S]]="S",ABS(SIP[[#This Row],[Unit]])*(INDEX(SIP[NAV at Cost (Average)],MATCH(CONCATENATE((SIP[[#This Row],[Frequency]]-1),SIP[[#This Row],[Investor ID]]),SIP[Unique Code],0),0)),0)</f>
        <v>0</v>
      </c>
      <c r="V1209" s="74">
        <f>IF(SIP[[#This Row],[BO TRANSFER]]="YES",SIP[[#This Row],[Unit]],)</f>
        <v>0</v>
      </c>
      <c r="W1209" s="74">
        <f>SUMIFS(SIP[[#Headers],[BO UNIT TRANSFER]]:SIP[[#This Row],[BO UNIT TRANSFER]],SIP[[#Headers],[Investor ID]]:SIP[[#This Row],[Investor ID]],SIP[[#This Row],[Investor ID]])</f>
        <v>0</v>
      </c>
    </row>
    <row r="1210" spans="1:23" ht="15" customHeight="1">
      <c r="A1210" s="46">
        <v>2025</v>
      </c>
      <c r="B1210" s="46">
        <v>6</v>
      </c>
      <c r="C1210" s="46">
        <v>5</v>
      </c>
      <c r="D1210" s="65">
        <f>DATE(SIP[[#This Row],[Year]],SIP[[#This Row],[Month]],SIP[[#This Row],[Day]])</f>
        <v>45813</v>
      </c>
      <c r="E1210" s="66" t="str" cm="1">
        <f t="array" ref="E1210">INDEX(INVESTORS_LIST[INVESTOR NAME],MATCH(SIP[[#This Row],[Investor ID]],INVESTORS_LIST[INVESTOR CODE],0),)</f>
        <v>AKIB TANVIR ANJUM</v>
      </c>
      <c r="F1210" s="46" t="s">
        <v>1116</v>
      </c>
      <c r="G1210" s="46">
        <f>COUNTIF(SIP[[#Headers],[Investor ID]]:SIP[[#This Row],[Investor ID]],SIP[[#This Row],[Investor ID]])</f>
        <v>22</v>
      </c>
      <c r="H1210" s="46" t="str">
        <f>CONCATENATE(SIP[[#This Row],[Frequency]],SIP[[#This Row],[Investor ID]])</f>
        <v>22A00533</v>
      </c>
      <c r="I1210" s="46" t="str">
        <f>IF(SIP[[#This Row],[B/S]]="B","BUY",(IF(SIP[[#This Row],[B/S]]="S","SELL"," ")))</f>
        <v>BUY</v>
      </c>
      <c r="J1210" s="150" t="s">
        <v>1229</v>
      </c>
      <c r="K1210" s="153">
        <v>4000</v>
      </c>
      <c r="L1210" s="122"/>
      <c r="M1210" s="123">
        <f>SIP[[#This Row],[Amount]]/SIP[[#This Row],[Unit]]</f>
        <v>12.539184952978056</v>
      </c>
      <c r="N1210" s="71">
        <f>SIP[[#This Row],[Unit Capital]]/10</f>
        <v>319</v>
      </c>
      <c r="O1210" s="71">
        <f>SUMIFS(SIP[[#Headers],[Unit]]:SIP[[#This Row],[Unit]],SIP[[#Headers],[Investor ID]]:SIP[[#This Row],[Investor ID]],SIP[[#This Row],[Investor ID]])</f>
        <v>319</v>
      </c>
      <c r="P1210" s="197">
        <v>3190</v>
      </c>
      <c r="Q1210" s="74">
        <f>SIP[[#This Row],[Amount]]-SIP[[#This Row],[Unit Capital]]</f>
        <v>810</v>
      </c>
      <c r="R12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12.539184952978056</v>
      </c>
      <c r="S1210" s="46">
        <f t="shared" si="57"/>
        <v>14.224</v>
      </c>
      <c r="T12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0" s="74" cm="1">
        <f t="array" ref="U1210">IF(SIP[[#This Row],[B/S]]="S",ABS(SIP[[#This Row],[Unit]])*(INDEX(SIP[NAV at Cost (Average)],MATCH(CONCATENATE((SIP[[#This Row],[Frequency]]-1),SIP[[#This Row],[Investor ID]]),SIP[Unique Code],0),0)),0)</f>
        <v>0</v>
      </c>
      <c r="V1210" s="74">
        <f>IF(SIP[[#This Row],[BO TRANSFER]]="YES",SIP[[#This Row],[Unit]],)</f>
        <v>0</v>
      </c>
      <c r="W1210" s="74">
        <f>SUMIFS(SIP[[#Headers],[BO UNIT TRANSFER]]:SIP[[#This Row],[BO UNIT TRANSFER]],SIP[[#Headers],[Investor ID]]:SIP[[#This Row],[Investor ID]],SIP[[#This Row],[Investor ID]])</f>
        <v>0</v>
      </c>
    </row>
    <row r="1211" spans="1:23" ht="15" customHeight="1">
      <c r="A1211" s="46">
        <v>2025</v>
      </c>
      <c r="B1211" s="46">
        <v>6</v>
      </c>
      <c r="C1211" s="46">
        <v>5</v>
      </c>
      <c r="D1211" s="65">
        <f>DATE(SIP[[#This Row],[Year]],SIP[[#This Row],[Month]],SIP[[#This Row],[Day]])</f>
        <v>45813</v>
      </c>
      <c r="E1211" s="66" t="str" cm="1">
        <f t="array" ref="E1211">INDEX(INVESTORS_LIST[INVESTOR NAME],MATCH(SIP[[#This Row],[Investor ID]],INVESTORS_LIST[INVESTOR CODE],0),)</f>
        <v>SHANTA PAUL</v>
      </c>
      <c r="F1211" s="46" t="s">
        <v>544</v>
      </c>
      <c r="G1211" s="46">
        <f>COUNTIF(SIP[[#Headers],[Investor ID]]:SIP[[#This Row],[Investor ID]],SIP[[#This Row],[Investor ID]])</f>
        <v>26</v>
      </c>
      <c r="H1211" s="46" t="str">
        <f>CONCATENATE(SIP[[#This Row],[Frequency]],SIP[[#This Row],[Investor ID]])</f>
        <v>26A00247</v>
      </c>
      <c r="I1211" s="46" t="str">
        <f>IF(SIP[[#This Row],[B/S]]="B","BUY",(IF(SIP[[#This Row],[B/S]]="S","SELL"," ")))</f>
        <v>BUY</v>
      </c>
      <c r="J1211" s="150" t="s">
        <v>1229</v>
      </c>
      <c r="K1211" s="153">
        <v>20000</v>
      </c>
      <c r="L1211" s="122"/>
      <c r="M1211" s="123">
        <f>SIP[[#This Row],[Amount]]/SIP[[#This Row],[Unit]]</f>
        <v>12.547051442910917</v>
      </c>
      <c r="N1211" s="71">
        <f>SIP[[#This Row],[Unit Capital]]/10</f>
        <v>1594</v>
      </c>
      <c r="O1211" s="71">
        <f>SUMIFS(SIP[[#Headers],[Unit]]:SIP[[#This Row],[Unit]],SIP[[#Headers],[Investor ID]]:SIP[[#This Row],[Investor ID]],SIP[[#This Row],[Investor ID]])</f>
        <v>46963</v>
      </c>
      <c r="P1211" s="197">
        <v>15940</v>
      </c>
      <c r="Q1211" s="74">
        <f>SIP[[#This Row],[Amount]]-SIP[[#This Row],[Unit Capital]]</f>
        <v>4060</v>
      </c>
      <c r="R12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11.072546472755148</v>
      </c>
      <c r="S1211" s="46">
        <f t="shared" si="57"/>
        <v>14.224</v>
      </c>
      <c r="T12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1" s="74" cm="1">
        <f t="array" ref="U1211">IF(SIP[[#This Row],[B/S]]="S",ABS(SIP[[#This Row],[Unit]])*(INDEX(SIP[NAV at Cost (Average)],MATCH(CONCATENATE((SIP[[#This Row],[Frequency]]-1),SIP[[#This Row],[Investor ID]]),SIP[Unique Code],0),0)),0)</f>
        <v>0</v>
      </c>
      <c r="V1211" s="74">
        <f>IF(SIP[[#This Row],[BO TRANSFER]]="YES",SIP[[#This Row],[Unit]],)</f>
        <v>0</v>
      </c>
      <c r="W1211" s="74">
        <f>SUMIFS(SIP[[#Headers],[BO UNIT TRANSFER]]:SIP[[#This Row],[BO UNIT TRANSFER]],SIP[[#Headers],[Investor ID]]:SIP[[#This Row],[Investor ID]],SIP[[#This Row],[Investor ID]])</f>
        <v>0</v>
      </c>
    </row>
    <row r="1212" spans="1:23" ht="15" customHeight="1">
      <c r="A1212" s="46">
        <v>2025</v>
      </c>
      <c r="B1212" s="46">
        <v>6</v>
      </c>
      <c r="C1212" s="46">
        <v>5</v>
      </c>
      <c r="D1212" s="65">
        <f>DATE(SIP[[#This Row],[Year]],SIP[[#This Row],[Month]],SIP[[#This Row],[Day]])</f>
        <v>45813</v>
      </c>
      <c r="E1212" s="66" t="str" cm="1">
        <f t="array" ref="E1212">INDEX(INVESTORS_LIST[INVESTOR NAME],MATCH(SIP[[#This Row],[Investor ID]],INVESTORS_LIST[INVESTOR CODE],0),)</f>
        <v>NANI GOPAL DATTA</v>
      </c>
      <c r="F1212" s="46" t="s">
        <v>232</v>
      </c>
      <c r="G1212" s="46">
        <f>COUNTIF(SIP[[#Headers],[Investor ID]]:SIP[[#This Row],[Investor ID]],SIP[[#This Row],[Investor ID]])</f>
        <v>17</v>
      </c>
      <c r="H1212" s="46" t="str">
        <f>CONCATENATE(SIP[[#This Row],[Frequency]],SIP[[#This Row],[Investor ID]])</f>
        <v>17A00092</v>
      </c>
      <c r="I1212" s="46" t="str">
        <f>IF(SIP[[#This Row],[B/S]]="B","BUY",(IF(SIP[[#This Row],[B/S]]="S","SELL"," ")))</f>
        <v>BUY</v>
      </c>
      <c r="J1212" s="150" t="s">
        <v>1229</v>
      </c>
      <c r="K1212" s="153">
        <v>2000</v>
      </c>
      <c r="L1212" s="122"/>
      <c r="M1212" s="123">
        <f>SIP[[#This Row],[Amount]]/SIP[[#This Row],[Unit]]</f>
        <v>12.578616352201259</v>
      </c>
      <c r="N1212" s="71">
        <f>SIP[[#This Row],[Unit Capital]]/10</f>
        <v>159</v>
      </c>
      <c r="O1212" s="71">
        <f>SUMIFS(SIP[[#Headers],[Unit]]:SIP[[#This Row],[Unit]],SIP[[#Headers],[Investor ID]]:SIP[[#This Row],[Investor ID]],SIP[[#This Row],[Investor ID]])</f>
        <v>2635</v>
      </c>
      <c r="P1212" s="197">
        <v>1590</v>
      </c>
      <c r="Q1212" s="74">
        <f>SIP[[#This Row],[Amount]]-SIP[[#This Row],[Unit Capital]]</f>
        <v>410</v>
      </c>
      <c r="R12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11.418380149521472</v>
      </c>
      <c r="S1212" s="46">
        <f t="shared" si="57"/>
        <v>14.224</v>
      </c>
      <c r="T12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2" s="74" cm="1">
        <f t="array" ref="U1212">IF(SIP[[#This Row],[B/S]]="S",ABS(SIP[[#This Row],[Unit]])*(INDEX(SIP[NAV at Cost (Average)],MATCH(CONCATENATE((SIP[[#This Row],[Frequency]]-1),SIP[[#This Row],[Investor ID]]),SIP[Unique Code],0),0)),0)</f>
        <v>0</v>
      </c>
      <c r="V1212" s="74">
        <f>IF(SIP[[#This Row],[BO TRANSFER]]="YES",SIP[[#This Row],[Unit]],)</f>
        <v>0</v>
      </c>
      <c r="W1212" s="74">
        <f>SUMIFS(SIP[[#Headers],[BO UNIT TRANSFER]]:SIP[[#This Row],[BO UNIT TRANSFER]],SIP[[#Headers],[Investor ID]]:SIP[[#This Row],[Investor ID]],SIP[[#This Row],[Investor ID]])</f>
        <v>0</v>
      </c>
    </row>
    <row r="1213" spans="1:23" ht="15" customHeight="1">
      <c r="A1213" s="46">
        <v>2025</v>
      </c>
      <c r="B1213" s="46">
        <v>6</v>
      </c>
      <c r="C1213" s="46">
        <v>5</v>
      </c>
      <c r="D1213" s="65">
        <f>DATE(SIP[[#This Row],[Year]],SIP[[#This Row],[Month]],SIP[[#This Row],[Day]])</f>
        <v>45813</v>
      </c>
      <c r="E1213" s="66" t="str" cm="1">
        <f t="array" ref="E1213">INDEX(INVESTORS_LIST[INVESTOR NAME],MATCH(SIP[[#This Row],[Investor ID]],INVESTORS_LIST[INVESTOR CODE],0),)</f>
        <v>NANDINI SAHA</v>
      </c>
      <c r="F1213" s="46" t="s">
        <v>242</v>
      </c>
      <c r="G1213" s="46">
        <f>COUNTIF(SIP[[#Headers],[Investor ID]]:SIP[[#This Row],[Investor ID]],SIP[[#This Row],[Investor ID]])</f>
        <v>25</v>
      </c>
      <c r="H1213" s="46" t="str">
        <f>CONCATENATE(SIP[[#This Row],[Frequency]],SIP[[#This Row],[Investor ID]])</f>
        <v>25A00097</v>
      </c>
      <c r="I1213" s="46" t="str">
        <f>IF(SIP[[#This Row],[B/S]]="B","BUY",(IF(SIP[[#This Row],[B/S]]="S","SELL"," ")))</f>
        <v>BUY</v>
      </c>
      <c r="J1213" s="150" t="s">
        <v>1229</v>
      </c>
      <c r="K1213" s="153">
        <v>30000</v>
      </c>
      <c r="L1213" s="122"/>
      <c r="M1213" s="123">
        <f>SIP[[#This Row],[Amount]]/SIP[[#This Row],[Unit]]</f>
        <v>12.547051442910917</v>
      </c>
      <c r="N1213" s="71">
        <f>SIP[[#This Row],[Unit Capital]]/10</f>
        <v>2391</v>
      </c>
      <c r="O1213" s="71">
        <f>SUMIFS(SIP[[#Headers],[Unit]]:SIP[[#This Row],[Unit]],SIP[[#Headers],[Investor ID]]:SIP[[#This Row],[Investor ID]],SIP[[#This Row],[Investor ID]])</f>
        <v>67204</v>
      </c>
      <c r="P1213" s="197">
        <v>23910</v>
      </c>
      <c r="Q1213" s="74">
        <f>SIP[[#This Row],[Amount]]-SIP[[#This Row],[Unit Capital]]</f>
        <v>6090</v>
      </c>
      <c r="R12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11.160049997023982</v>
      </c>
      <c r="S1213" s="46">
        <f t="shared" si="57"/>
        <v>14.224</v>
      </c>
      <c r="T12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3" s="74" cm="1">
        <f t="array" ref="U1213">IF(SIP[[#This Row],[B/S]]="S",ABS(SIP[[#This Row],[Unit]])*(INDEX(SIP[NAV at Cost (Average)],MATCH(CONCATENATE((SIP[[#This Row],[Frequency]]-1),SIP[[#This Row],[Investor ID]]),SIP[Unique Code],0),0)),0)</f>
        <v>0</v>
      </c>
      <c r="V1213" s="74">
        <f>IF(SIP[[#This Row],[BO TRANSFER]]="YES",SIP[[#This Row],[Unit]],)</f>
        <v>0</v>
      </c>
      <c r="W1213" s="74">
        <f>SUMIFS(SIP[[#Headers],[BO UNIT TRANSFER]]:SIP[[#This Row],[BO UNIT TRANSFER]],SIP[[#Headers],[Investor ID]]:SIP[[#This Row],[Investor ID]],SIP[[#This Row],[Investor ID]])</f>
        <v>0</v>
      </c>
    </row>
    <row r="1214" spans="1:23" ht="15" customHeight="1">
      <c r="A1214" s="46">
        <v>2025</v>
      </c>
      <c r="B1214" s="46">
        <v>6</v>
      </c>
      <c r="C1214" s="46">
        <v>5</v>
      </c>
      <c r="D1214" s="65">
        <f>DATE(SIP[[#This Row],[Year]],SIP[[#This Row],[Month]],SIP[[#This Row],[Day]])</f>
        <v>45813</v>
      </c>
      <c r="E1214" s="66" t="str" cm="1">
        <f t="array" ref="E1214">INDEX(INVESTORS_LIST[INVESTOR NAME],MATCH(SIP[[#This Row],[Investor ID]],INVESTORS_LIST[INVESTOR CODE],0),)</f>
        <v>BIJOY CHANDRA DAS</v>
      </c>
      <c r="F1214" s="46" t="s">
        <v>497</v>
      </c>
      <c r="G1214" s="46">
        <f>COUNTIF(SIP[[#Headers],[Investor ID]]:SIP[[#This Row],[Investor ID]],SIP[[#This Row],[Investor ID]])</f>
        <v>14</v>
      </c>
      <c r="H1214" s="46" t="str">
        <f>CONCATENATE(SIP[[#This Row],[Frequency]],SIP[[#This Row],[Investor ID]])</f>
        <v>14A00224</v>
      </c>
      <c r="I1214" s="46" t="str">
        <f>IF(SIP[[#This Row],[B/S]]="B","BUY",(IF(SIP[[#This Row],[B/S]]="S","SELL"," ")))</f>
        <v>BUY</v>
      </c>
      <c r="J1214" s="150" t="s">
        <v>1229</v>
      </c>
      <c r="K1214" s="153">
        <v>5000</v>
      </c>
      <c r="L1214" s="122"/>
      <c r="M1214" s="123">
        <f>SIP[[#This Row],[Amount]]/SIP[[#This Row],[Unit]]</f>
        <v>12.531328320802006</v>
      </c>
      <c r="N1214" s="71">
        <f>SIP[[#This Row],[Unit Capital]]/10</f>
        <v>399</v>
      </c>
      <c r="O1214" s="71">
        <f>SUMIFS(SIP[[#Headers],[Unit]]:SIP[[#This Row],[Unit]],SIP[[#Headers],[Investor ID]]:SIP[[#This Row],[Investor ID]],SIP[[#This Row],[Investor ID]])</f>
        <v>5999</v>
      </c>
      <c r="P1214" s="197">
        <v>3990</v>
      </c>
      <c r="Q1214" s="74">
        <f>SIP[[#This Row],[Amount]]-SIP[[#This Row],[Unit Capital]]</f>
        <v>1010</v>
      </c>
      <c r="R12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11.668611435239209</v>
      </c>
      <c r="S1214" s="46">
        <f t="shared" si="57"/>
        <v>14.224</v>
      </c>
      <c r="T12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4" s="74" cm="1">
        <f t="array" ref="U1214">IF(SIP[[#This Row],[B/S]]="S",ABS(SIP[[#This Row],[Unit]])*(INDEX(SIP[NAV at Cost (Average)],MATCH(CONCATENATE((SIP[[#This Row],[Frequency]]-1),SIP[[#This Row],[Investor ID]]),SIP[Unique Code],0),0)),0)</f>
        <v>0</v>
      </c>
      <c r="V1214" s="74">
        <f>IF(SIP[[#This Row],[BO TRANSFER]]="YES",SIP[[#This Row],[Unit]],)</f>
        <v>0</v>
      </c>
      <c r="W1214" s="74">
        <f>SUMIFS(SIP[[#Headers],[BO UNIT TRANSFER]]:SIP[[#This Row],[BO UNIT TRANSFER]],SIP[[#Headers],[Investor ID]]:SIP[[#This Row],[Investor ID]],SIP[[#This Row],[Investor ID]])</f>
        <v>0</v>
      </c>
    </row>
    <row r="1215" spans="1:23" ht="15" customHeight="1">
      <c r="A1215" s="46">
        <v>2025</v>
      </c>
      <c r="B1215" s="46">
        <v>6</v>
      </c>
      <c r="C1215" s="46">
        <v>5</v>
      </c>
      <c r="D1215" s="65">
        <f>DATE(SIP[[#This Row],[Year]],SIP[[#This Row],[Month]],SIP[[#This Row],[Day]])</f>
        <v>45813</v>
      </c>
      <c r="E1215" s="66" t="str" cm="1">
        <f t="array" ref="E1215">INDEX(INVESTORS_LIST[INVESTOR NAME],MATCH(SIP[[#This Row],[Investor ID]],INVESTORS_LIST[INVESTOR CODE],0),)</f>
        <v>FAKARUDDIN ALI AHMED</v>
      </c>
      <c r="F1215" s="46" t="s">
        <v>228</v>
      </c>
      <c r="G1215" s="46">
        <f>COUNTIF(SIP[[#Headers],[Investor ID]]:SIP[[#This Row],[Investor ID]],SIP[[#This Row],[Investor ID]])</f>
        <v>26</v>
      </c>
      <c r="H1215" s="46" t="str">
        <f>CONCATENATE(SIP[[#This Row],[Frequency]],SIP[[#This Row],[Investor ID]])</f>
        <v>26A00090</v>
      </c>
      <c r="I1215" s="46" t="str">
        <f>IF(SIP[[#This Row],[B/S]]="B","BUY",(IF(SIP[[#This Row],[B/S]]="S","SELL"," ")))</f>
        <v>BUY</v>
      </c>
      <c r="J1215" s="150" t="s">
        <v>1229</v>
      </c>
      <c r="K1215" s="153">
        <v>10000</v>
      </c>
      <c r="L1215" s="122"/>
      <c r="M1215" s="123">
        <f>SIP[[#This Row],[Amount]]/SIP[[#This Row],[Unit]]</f>
        <v>12.547051442910917</v>
      </c>
      <c r="N1215" s="71">
        <f>SIP[[#This Row],[Unit Capital]]/10</f>
        <v>797</v>
      </c>
      <c r="O1215" s="71">
        <f>SUMIFS(SIP[[#Headers],[Unit]]:SIP[[#This Row],[Unit]],SIP[[#Headers],[Investor ID]]:SIP[[#This Row],[Investor ID]],SIP[[#This Row],[Investor ID]])</f>
        <v>2391</v>
      </c>
      <c r="P1215" s="197">
        <v>7970</v>
      </c>
      <c r="Q1215" s="74">
        <f>SIP[[#This Row],[Amount]]-SIP[[#This Row],[Unit Capital]]</f>
        <v>2030</v>
      </c>
      <c r="R12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12.547051442910915</v>
      </c>
      <c r="S1215" s="46">
        <f t="shared" si="57"/>
        <v>14.224</v>
      </c>
      <c r="T12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5" s="74" cm="1">
        <f t="array" ref="U1215">IF(SIP[[#This Row],[B/S]]="S",ABS(SIP[[#This Row],[Unit]])*(INDEX(SIP[NAV at Cost (Average)],MATCH(CONCATENATE((SIP[[#This Row],[Frequency]]-1),SIP[[#This Row],[Investor ID]]),SIP[Unique Code],0),0)),0)</f>
        <v>0</v>
      </c>
      <c r="V1215" s="74">
        <f>IF(SIP[[#This Row],[BO TRANSFER]]="YES",SIP[[#This Row],[Unit]],)</f>
        <v>0</v>
      </c>
      <c r="W1215" s="74">
        <f>SUMIFS(SIP[[#Headers],[BO UNIT TRANSFER]]:SIP[[#This Row],[BO UNIT TRANSFER]],SIP[[#Headers],[Investor ID]]:SIP[[#This Row],[Investor ID]],SIP[[#This Row],[Investor ID]])</f>
        <v>0</v>
      </c>
    </row>
    <row r="1216" spans="1:23" ht="15" customHeight="1">
      <c r="A1216" s="46">
        <v>2025</v>
      </c>
      <c r="B1216" s="46">
        <v>6</v>
      </c>
      <c r="C1216" s="46">
        <v>5</v>
      </c>
      <c r="D1216" s="65">
        <f>DATE(SIP[[#This Row],[Year]],SIP[[#This Row],[Month]],SIP[[#This Row],[Day]])</f>
        <v>45813</v>
      </c>
      <c r="E1216" s="66" t="str" cm="1">
        <f t="array" ref="E1216">INDEX(INVESTORS_LIST[INVESTOR NAME],MATCH(SIP[[#This Row],[Investor ID]],INVESTORS_LIST[INVESTOR CODE],0),)</f>
        <v>ROKSABA KASEM</v>
      </c>
      <c r="F1216" s="46" t="s">
        <v>900</v>
      </c>
      <c r="G1216" s="46">
        <f>COUNTIF(SIP[[#Headers],[Investor ID]]:SIP[[#This Row],[Investor ID]],SIP[[#This Row],[Investor ID]])</f>
        <v>25</v>
      </c>
      <c r="H1216" s="46" t="str">
        <f>CONCATENATE(SIP[[#This Row],[Frequency]],SIP[[#This Row],[Investor ID]])</f>
        <v>25A00427</v>
      </c>
      <c r="I1216" s="46" t="str">
        <f>IF(SIP[[#This Row],[B/S]]="B","BUY",(IF(SIP[[#This Row],[B/S]]="S","SELL"," ")))</f>
        <v>BUY</v>
      </c>
      <c r="J1216" s="150" t="s">
        <v>1229</v>
      </c>
      <c r="K1216" s="153">
        <v>20000</v>
      </c>
      <c r="L1216" s="122"/>
      <c r="M1216" s="123">
        <f>SIP[[#This Row],[Amount]]/SIP[[#This Row],[Unit]]</f>
        <v>12.547051442910917</v>
      </c>
      <c r="N1216" s="71">
        <f>SIP[[#This Row],[Unit Capital]]/10</f>
        <v>1594</v>
      </c>
      <c r="O1216" s="71">
        <f>SUMIFS(SIP[[#Headers],[Unit]]:SIP[[#This Row],[Unit]],SIP[[#Headers],[Investor ID]]:SIP[[#This Row],[Investor ID]],SIP[[#This Row],[Investor ID]])</f>
        <v>44697</v>
      </c>
      <c r="P1216" s="197">
        <v>15940</v>
      </c>
      <c r="Q1216" s="74">
        <f>SIP[[#This Row],[Amount]]-SIP[[#This Row],[Unit Capital]]</f>
        <v>4060</v>
      </c>
      <c r="R12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11.18643309394367</v>
      </c>
      <c r="S1216" s="46">
        <f t="shared" si="57"/>
        <v>14.224</v>
      </c>
      <c r="T12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6" s="74" cm="1">
        <f t="array" ref="U1216">IF(SIP[[#This Row],[B/S]]="S",ABS(SIP[[#This Row],[Unit]])*(INDEX(SIP[NAV at Cost (Average)],MATCH(CONCATENATE((SIP[[#This Row],[Frequency]]-1),SIP[[#This Row],[Investor ID]]),SIP[Unique Code],0),0)),0)</f>
        <v>0</v>
      </c>
      <c r="V1216" s="74">
        <f>IF(SIP[[#This Row],[BO TRANSFER]]="YES",SIP[[#This Row],[Unit]],)</f>
        <v>0</v>
      </c>
      <c r="W1216" s="74">
        <f>SUMIFS(SIP[[#Headers],[BO UNIT TRANSFER]]:SIP[[#This Row],[BO UNIT TRANSFER]],SIP[[#Headers],[Investor ID]]:SIP[[#This Row],[Investor ID]],SIP[[#This Row],[Investor ID]])</f>
        <v>0</v>
      </c>
    </row>
    <row r="1217" spans="1:23" ht="15" customHeight="1">
      <c r="A1217" s="46">
        <v>2025</v>
      </c>
      <c r="B1217" s="46">
        <v>6</v>
      </c>
      <c r="C1217" s="46">
        <v>5</v>
      </c>
      <c r="D1217" s="65">
        <f>DATE(SIP[[#This Row],[Year]],SIP[[#This Row],[Month]],SIP[[#This Row],[Day]])</f>
        <v>45813</v>
      </c>
      <c r="E1217" s="66" t="str" cm="1">
        <f t="array" ref="E1217">INDEX(INVESTORS_LIST[INVESTOR NAME],MATCH(SIP[[#This Row],[Investor ID]],INVESTORS_LIST[INVESTOR CODE],0),)</f>
        <v>FAIYEAD AHMEDUL HYE</v>
      </c>
      <c r="F1217" s="46" t="s">
        <v>368</v>
      </c>
      <c r="G1217" s="46">
        <f>COUNTIF(SIP[[#Headers],[Investor ID]]:SIP[[#This Row],[Investor ID]],SIP[[#This Row],[Investor ID]])</f>
        <v>25</v>
      </c>
      <c r="H1217" s="46" t="str">
        <f>CONCATENATE(SIP[[#This Row],[Frequency]],SIP[[#This Row],[Investor ID]])</f>
        <v>25A00160</v>
      </c>
      <c r="I1217" s="46" t="str">
        <f>IF(SIP[[#This Row],[B/S]]="B","BUY",(IF(SIP[[#This Row],[B/S]]="S","SELL"," ")))</f>
        <v>BUY</v>
      </c>
      <c r="J1217" s="150" t="s">
        <v>1229</v>
      </c>
      <c r="K1217" s="153">
        <v>15000</v>
      </c>
      <c r="L1217" s="122"/>
      <c r="M1217" s="123">
        <f>SIP[[#This Row],[Amount]]/SIP[[#This Row],[Unit]]</f>
        <v>12.54180602006689</v>
      </c>
      <c r="N1217" s="71">
        <f>SIP[[#This Row],[Unit Capital]]/10</f>
        <v>1196</v>
      </c>
      <c r="O1217" s="71">
        <f>SUMIFS(SIP[[#Headers],[Unit]]:SIP[[#This Row],[Unit]],SIP[[#Headers],[Investor ID]]:SIP[[#This Row],[Investor ID]],SIP[[#This Row],[Investor ID]])</f>
        <v>33521</v>
      </c>
      <c r="P1217" s="197">
        <v>11960</v>
      </c>
      <c r="Q1217" s="74">
        <f>SIP[[#This Row],[Amount]]-SIP[[#This Row],[Unit Capital]]</f>
        <v>3040</v>
      </c>
      <c r="R12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11.187017093762119</v>
      </c>
      <c r="S1217" s="46">
        <f t="shared" si="57"/>
        <v>14.224</v>
      </c>
      <c r="T12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7" s="74" cm="1">
        <f t="array" ref="U1217">IF(SIP[[#This Row],[B/S]]="S",ABS(SIP[[#This Row],[Unit]])*(INDEX(SIP[NAV at Cost (Average)],MATCH(CONCATENATE((SIP[[#This Row],[Frequency]]-1),SIP[[#This Row],[Investor ID]]),SIP[Unique Code],0),0)),0)</f>
        <v>0</v>
      </c>
      <c r="V1217" s="74">
        <f>IF(SIP[[#This Row],[BO TRANSFER]]="YES",SIP[[#This Row],[Unit]],)</f>
        <v>0</v>
      </c>
      <c r="W1217" s="74">
        <f>SUMIFS(SIP[[#Headers],[BO UNIT TRANSFER]]:SIP[[#This Row],[BO UNIT TRANSFER]],SIP[[#Headers],[Investor ID]]:SIP[[#This Row],[Investor ID]],SIP[[#This Row],[Investor ID]])</f>
        <v>0</v>
      </c>
    </row>
    <row r="1218" spans="1:23" ht="15" customHeight="1">
      <c r="A1218" s="46">
        <v>2025</v>
      </c>
      <c r="B1218" s="46">
        <v>6</v>
      </c>
      <c r="C1218" s="46">
        <v>5</v>
      </c>
      <c r="D1218" s="65">
        <f>DATE(SIP[[#This Row],[Year]],SIP[[#This Row],[Month]],SIP[[#This Row],[Day]])</f>
        <v>45813</v>
      </c>
      <c r="E1218" s="66" t="str" cm="1">
        <f t="array" ref="E1218">INDEX(INVESTORS_LIST[INVESTOR NAME],MATCH(SIP[[#This Row],[Investor ID]],INVESTORS_LIST[INVESTOR CODE],0),)</f>
        <v>CHAONIKA SAHA</v>
      </c>
      <c r="F1218" s="46" t="s">
        <v>238</v>
      </c>
      <c r="G1218" s="46">
        <f>COUNTIF(SIP[[#Headers],[Investor ID]]:SIP[[#This Row],[Investor ID]],SIP[[#This Row],[Investor ID]])</f>
        <v>22</v>
      </c>
      <c r="H1218" s="46" t="str">
        <f>CONCATENATE(SIP[[#This Row],[Frequency]],SIP[[#This Row],[Investor ID]])</f>
        <v>22A00095</v>
      </c>
      <c r="I1218" s="46" t="str">
        <f>IF(SIP[[#This Row],[B/S]]="B","BUY",(IF(SIP[[#This Row],[B/S]]="S","SELL"," ")))</f>
        <v>BUY</v>
      </c>
      <c r="J1218" s="150" t="s">
        <v>1229</v>
      </c>
      <c r="K1218" s="153">
        <v>1000</v>
      </c>
      <c r="L1218" s="122"/>
      <c r="M1218" s="123">
        <f>SIP[[#This Row],[Amount]]/SIP[[#This Row],[Unit]]</f>
        <v>12.5</v>
      </c>
      <c r="N1218" s="71">
        <f>SIP[[#This Row],[Unit Capital]]/10</f>
        <v>80</v>
      </c>
      <c r="O1218" s="71">
        <f>SUMIFS(SIP[[#Headers],[Unit]]:SIP[[#This Row],[Unit]],SIP[[#Headers],[Investor ID]]:SIP[[#This Row],[Investor ID]],SIP[[#This Row],[Investor ID]])</f>
        <v>1945</v>
      </c>
      <c r="P1218" s="197">
        <v>800</v>
      </c>
      <c r="Q1218" s="74">
        <f>SIP[[#This Row],[Amount]]-SIP[[#This Row],[Unit Capital]]</f>
        <v>200</v>
      </c>
      <c r="R12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11.311053984575837</v>
      </c>
      <c r="S1218" s="46">
        <f t="shared" si="57"/>
        <v>14.224</v>
      </c>
      <c r="T12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8" s="74" cm="1">
        <f t="array" ref="U1218">IF(SIP[[#This Row],[B/S]]="S",ABS(SIP[[#This Row],[Unit]])*(INDEX(SIP[NAV at Cost (Average)],MATCH(CONCATENATE((SIP[[#This Row],[Frequency]]-1),SIP[[#This Row],[Investor ID]]),SIP[Unique Code],0),0)),0)</f>
        <v>0</v>
      </c>
      <c r="V1218" s="74">
        <f>IF(SIP[[#This Row],[BO TRANSFER]]="YES",SIP[[#This Row],[Unit]],)</f>
        <v>0</v>
      </c>
      <c r="W1218" s="74">
        <f>SUMIFS(SIP[[#Headers],[BO UNIT TRANSFER]]:SIP[[#This Row],[BO UNIT TRANSFER]],SIP[[#Headers],[Investor ID]]:SIP[[#This Row],[Investor ID]],SIP[[#This Row],[Investor ID]])</f>
        <v>0</v>
      </c>
    </row>
    <row r="1219" spans="1:23" ht="15" customHeight="1">
      <c r="A1219" s="46">
        <v>2025</v>
      </c>
      <c r="B1219" s="46">
        <v>6</v>
      </c>
      <c r="C1219" s="46">
        <v>5</v>
      </c>
      <c r="D1219" s="65">
        <f>DATE(SIP[[#This Row],[Year]],SIP[[#This Row],[Month]],SIP[[#This Row],[Day]])</f>
        <v>45813</v>
      </c>
      <c r="E1219" s="66" t="str" cm="1">
        <f t="array" ref="E1219">INDEX(INVESTORS_LIST[INVESTOR NAME],MATCH(SIP[[#This Row],[Investor ID]],INVESTORS_LIST[INVESTOR CODE],0),)</f>
        <v>KAZI AHSAN MARUF</v>
      </c>
      <c r="F1219" s="46" t="s">
        <v>158</v>
      </c>
      <c r="G1219" s="46">
        <f>COUNTIF(SIP[[#Headers],[Investor ID]]:SIP[[#This Row],[Investor ID]],SIP[[#This Row],[Investor ID]])</f>
        <v>27</v>
      </c>
      <c r="H1219" s="46" t="str">
        <f>CONCATENATE(SIP[[#This Row],[Frequency]],SIP[[#This Row],[Investor ID]])</f>
        <v>27A00055</v>
      </c>
      <c r="I1219" s="46" t="str">
        <f>IF(SIP[[#This Row],[B/S]]="B","BUY",(IF(SIP[[#This Row],[B/S]]="S","SELL"," ")))</f>
        <v>BUY</v>
      </c>
      <c r="J1219" s="150" t="s">
        <v>1229</v>
      </c>
      <c r="K1219" s="153">
        <v>10000</v>
      </c>
      <c r="L1219" s="122"/>
      <c r="M1219" s="123">
        <f>SIP[[#This Row],[Amount]]/SIP[[#This Row],[Unit]]</f>
        <v>12.547051442910917</v>
      </c>
      <c r="N1219" s="71">
        <f>SIP[[#This Row],[Unit Capital]]/10</f>
        <v>797</v>
      </c>
      <c r="O1219" s="71">
        <f>SUMIFS(SIP[[#Headers],[Unit]]:SIP[[#This Row],[Unit]],SIP[[#Headers],[Investor ID]]:SIP[[#This Row],[Investor ID]],SIP[[#This Row],[Investor ID]])</f>
        <v>8609</v>
      </c>
      <c r="P1219" s="197">
        <v>7970</v>
      </c>
      <c r="Q1219" s="74">
        <f>SIP[[#This Row],[Amount]]-SIP[[#This Row],[Unit Capital]]</f>
        <v>2030</v>
      </c>
      <c r="R12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11.645939246130304</v>
      </c>
      <c r="S1219" s="46">
        <f t="shared" si="57"/>
        <v>14.224</v>
      </c>
      <c r="T12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9" s="74" cm="1">
        <f t="array" ref="U1219">IF(SIP[[#This Row],[B/S]]="S",ABS(SIP[[#This Row],[Unit]])*(INDEX(SIP[NAV at Cost (Average)],MATCH(CONCATENATE((SIP[[#This Row],[Frequency]]-1),SIP[[#This Row],[Investor ID]]),SIP[Unique Code],0),0)),0)</f>
        <v>0</v>
      </c>
      <c r="V1219" s="74">
        <f>IF(SIP[[#This Row],[BO TRANSFER]]="YES",SIP[[#This Row],[Unit]],)</f>
        <v>0</v>
      </c>
      <c r="W1219" s="74">
        <f>SUMIFS(SIP[[#Headers],[BO UNIT TRANSFER]]:SIP[[#This Row],[BO UNIT TRANSFER]],SIP[[#Headers],[Investor ID]]:SIP[[#This Row],[Investor ID]],SIP[[#This Row],[Investor ID]])</f>
        <v>0</v>
      </c>
    </row>
    <row r="1220" spans="1:23" ht="15" customHeight="1">
      <c r="A1220" s="46">
        <v>2025</v>
      </c>
      <c r="B1220" s="46">
        <v>6</v>
      </c>
      <c r="C1220" s="46">
        <v>15</v>
      </c>
      <c r="D1220" s="65">
        <f>DATE(SIP[[#This Row],[Year]],SIP[[#This Row],[Month]],SIP[[#This Row],[Day]])</f>
        <v>45823</v>
      </c>
      <c r="E1220" s="66" t="str" cm="1">
        <f t="array" ref="E1220">INDEX(INVESTORS_LIST[INVESTOR NAME],MATCH(SIP[[#This Row],[Investor ID]],INVESTORS_LIST[INVESTOR CODE],0),)</f>
        <v>MD. RAFIQUR RAHMAN</v>
      </c>
      <c r="F1220" s="46" t="s">
        <v>622</v>
      </c>
      <c r="G1220" s="46">
        <f>COUNTIF(SIP[[#Headers],[Investor ID]]:SIP[[#This Row],[Investor ID]],SIP[[#This Row],[Investor ID]])</f>
        <v>22</v>
      </c>
      <c r="H1220" s="46" t="str">
        <f>CONCATENATE(SIP[[#This Row],[Frequency]],SIP[[#This Row],[Investor ID]])</f>
        <v>22A00287</v>
      </c>
      <c r="I1220" s="46" t="str">
        <f>IF(SIP[[#This Row],[B/S]]="B","BUY",(IF(SIP[[#This Row],[B/S]]="S","SELL"," ")))</f>
        <v>BUY</v>
      </c>
      <c r="J1220" s="150" t="s">
        <v>1229</v>
      </c>
      <c r="K1220" s="153">
        <v>20000</v>
      </c>
      <c r="L1220" s="122"/>
      <c r="M1220" s="123">
        <f>SIP[[#This Row],[Amount]]/SIP[[#This Row],[Unit]]</f>
        <v>12.547051442910917</v>
      </c>
      <c r="N1220" s="71">
        <f>SIP[[#This Row],[Unit Capital]]/10</f>
        <v>1594</v>
      </c>
      <c r="O1220" s="71">
        <f>SUMIFS(SIP[[#Headers],[Unit]]:SIP[[#This Row],[Unit]],SIP[[#Headers],[Investor ID]]:SIP[[#This Row],[Investor ID]],SIP[[#This Row],[Investor ID]])</f>
        <v>38727</v>
      </c>
      <c r="P1220" s="197">
        <v>15940</v>
      </c>
      <c r="Q1220" s="74">
        <f>SIP[[#This Row],[Amount]]-SIP[[#This Row],[Unit Capital]]</f>
        <v>4060</v>
      </c>
      <c r="R12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11.361582358561208</v>
      </c>
      <c r="S1220" s="46">
        <f t="shared" si="57"/>
        <v>14.224</v>
      </c>
      <c r="T12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0" s="74" cm="1">
        <f t="array" ref="U1220">IF(SIP[[#This Row],[B/S]]="S",ABS(SIP[[#This Row],[Unit]])*(INDEX(SIP[NAV at Cost (Average)],MATCH(CONCATENATE((SIP[[#This Row],[Frequency]]-1),SIP[[#This Row],[Investor ID]]),SIP[Unique Code],0),0)),0)</f>
        <v>0</v>
      </c>
      <c r="V1220" s="74">
        <f>IF(SIP[[#This Row],[BO TRANSFER]]="YES",SIP[[#This Row],[Unit]],)</f>
        <v>0</v>
      </c>
      <c r="W1220" s="74">
        <f>SUMIFS(SIP[[#Headers],[BO UNIT TRANSFER]]:SIP[[#This Row],[BO UNIT TRANSFER]],SIP[[#Headers],[Investor ID]]:SIP[[#This Row],[Investor ID]],SIP[[#This Row],[Investor ID]])</f>
        <v>0</v>
      </c>
    </row>
    <row r="1221" spans="1:23" ht="15" customHeight="1">
      <c r="A1221" s="46">
        <v>2025</v>
      </c>
      <c r="B1221" s="46">
        <v>6</v>
      </c>
      <c r="C1221" s="46">
        <v>15</v>
      </c>
      <c r="D1221" s="65">
        <f>DATE(SIP[[#This Row],[Year]],SIP[[#This Row],[Month]],SIP[[#This Row],[Day]])</f>
        <v>45823</v>
      </c>
      <c r="E1221" s="66" t="str" cm="1">
        <f t="array" ref="E1221">INDEX(INVESTORS_LIST[INVESTOR NAME],MATCH(SIP[[#This Row],[Investor ID]],INVESTORS_LIST[INVESTOR CODE],0),)</f>
        <v>ASRAAR HOSSAIN</v>
      </c>
      <c r="F1221" s="46" t="s">
        <v>786</v>
      </c>
      <c r="G1221" s="46">
        <f>COUNTIF(SIP[[#Headers],[Investor ID]]:SIP[[#This Row],[Investor ID]],SIP[[#This Row],[Investor ID]])</f>
        <v>9</v>
      </c>
      <c r="H1221" s="46" t="str">
        <f>CONCATENATE(SIP[[#This Row],[Frequency]],SIP[[#This Row],[Investor ID]])</f>
        <v>9A00369</v>
      </c>
      <c r="I1221" s="46" t="str">
        <f>IF(SIP[[#This Row],[B/S]]="B","BUY",(IF(SIP[[#This Row],[B/S]]="S","SELL"," ")))</f>
        <v>BUY</v>
      </c>
      <c r="J1221" s="150" t="s">
        <v>1229</v>
      </c>
      <c r="K1221" s="153">
        <v>15000</v>
      </c>
      <c r="L1221" s="122"/>
      <c r="M1221" s="123">
        <f>SIP[[#This Row],[Amount]]/SIP[[#This Row],[Unit]]</f>
        <v>12.54180602006689</v>
      </c>
      <c r="N1221" s="71">
        <f>SIP[[#This Row],[Unit Capital]]/10</f>
        <v>1196</v>
      </c>
      <c r="O1221" s="71">
        <f>SUMIFS(SIP[[#Headers],[Unit]]:SIP[[#This Row],[Unit]],SIP[[#Headers],[Investor ID]]:SIP[[#This Row],[Investor ID]],SIP[[#This Row],[Investor ID]])</f>
        <v>11140</v>
      </c>
      <c r="P1221" s="197">
        <v>11960</v>
      </c>
      <c r="Q1221" s="74">
        <f>SIP[[#This Row],[Amount]]-SIP[[#This Row],[Unit Capital]]</f>
        <v>3040</v>
      </c>
      <c r="R12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12.118491921005388</v>
      </c>
      <c r="S1221" s="46">
        <f t="shared" si="57"/>
        <v>14.224</v>
      </c>
      <c r="T12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1" s="74" cm="1">
        <f t="array" ref="U1221">IF(SIP[[#This Row],[B/S]]="S",ABS(SIP[[#This Row],[Unit]])*(INDEX(SIP[NAV at Cost (Average)],MATCH(CONCATENATE((SIP[[#This Row],[Frequency]]-1),SIP[[#This Row],[Investor ID]]),SIP[Unique Code],0),0)),0)</f>
        <v>0</v>
      </c>
      <c r="V1221" s="74">
        <f>IF(SIP[[#This Row],[BO TRANSFER]]="YES",SIP[[#This Row],[Unit]],)</f>
        <v>0</v>
      </c>
      <c r="W1221" s="74">
        <f>SUMIFS(SIP[[#Headers],[BO UNIT TRANSFER]]:SIP[[#This Row],[BO UNIT TRANSFER]],SIP[[#Headers],[Investor ID]]:SIP[[#This Row],[Investor ID]],SIP[[#This Row],[Investor ID]])</f>
        <v>0</v>
      </c>
    </row>
    <row r="1222" spans="1:23" ht="15" customHeight="1">
      <c r="A1222" s="46">
        <v>2025</v>
      </c>
      <c r="B1222" s="46">
        <v>6</v>
      </c>
      <c r="C1222" s="46">
        <v>15</v>
      </c>
      <c r="D1222" s="65">
        <f>DATE(SIP[[#This Row],[Year]],SIP[[#This Row],[Month]],SIP[[#This Row],[Day]])</f>
        <v>45823</v>
      </c>
      <c r="E1222" s="66" t="str" cm="1">
        <f t="array" ref="E1222">INDEX(INVESTORS_LIST[INVESTOR NAME],MATCH(SIP[[#This Row],[Investor ID]],INVESTORS_LIST[INVESTOR CODE],0),)</f>
        <v>RUKAIYA FAHMIDA</v>
      </c>
      <c r="F1222" s="46" t="s">
        <v>1190</v>
      </c>
      <c r="G1222" s="46">
        <f>COUNTIF(SIP[[#Headers],[Investor ID]]:SIP[[#This Row],[Investor ID]],SIP[[#This Row],[Investor ID]])</f>
        <v>4</v>
      </c>
      <c r="H1222" s="46" t="str">
        <f>CONCATENATE(SIP[[#This Row],[Frequency]],SIP[[#This Row],[Investor ID]])</f>
        <v>4A00571</v>
      </c>
      <c r="I1222" s="46" t="str">
        <f>IF(SIP[[#This Row],[B/S]]="B","BUY",(IF(SIP[[#This Row],[B/S]]="S","SELL"," ")))</f>
        <v>BUY</v>
      </c>
      <c r="J1222" s="150" t="s">
        <v>1229</v>
      </c>
      <c r="K1222" s="153">
        <v>2000</v>
      </c>
      <c r="L1222" s="122"/>
      <c r="M1222" s="123">
        <f>SIP[[#This Row],[Amount]]/SIP[[#This Row],[Unit]]</f>
        <v>12.578616352201259</v>
      </c>
      <c r="N1222" s="71">
        <f>SIP[[#This Row],[Unit Capital]]/10</f>
        <v>159</v>
      </c>
      <c r="O1222" s="71">
        <f>SUMIFS(SIP[[#Headers],[Unit]]:SIP[[#This Row],[Unit]],SIP[[#Headers],[Investor ID]]:SIP[[#This Row],[Investor ID]],SIP[[#This Row],[Investor ID]])</f>
        <v>639</v>
      </c>
      <c r="P1222" s="197">
        <v>1590</v>
      </c>
      <c r="Q1222" s="74">
        <f>SIP[[#This Row],[Amount]]-SIP[[#This Row],[Unit Capital]]</f>
        <v>410</v>
      </c>
      <c r="R12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12.519561815336463</v>
      </c>
      <c r="S1222" s="46">
        <f t="shared" si="57"/>
        <v>14.224</v>
      </c>
      <c r="T12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2" s="74" cm="1">
        <f t="array" ref="U1222">IF(SIP[[#This Row],[B/S]]="S",ABS(SIP[[#This Row],[Unit]])*(INDEX(SIP[NAV at Cost (Average)],MATCH(CONCATENATE((SIP[[#This Row],[Frequency]]-1),SIP[[#This Row],[Investor ID]]),SIP[Unique Code],0),0)),0)</f>
        <v>0</v>
      </c>
      <c r="V1222" s="74">
        <f>IF(SIP[[#This Row],[BO TRANSFER]]="YES",SIP[[#This Row],[Unit]],)</f>
        <v>0</v>
      </c>
      <c r="W1222" s="74">
        <f>SUMIFS(SIP[[#Headers],[BO UNIT TRANSFER]]:SIP[[#This Row],[BO UNIT TRANSFER]],SIP[[#Headers],[Investor ID]]:SIP[[#This Row],[Investor ID]],SIP[[#This Row],[Investor ID]])</f>
        <v>0</v>
      </c>
    </row>
    <row r="1223" spans="1:23" ht="15" customHeight="1">
      <c r="A1223" s="46">
        <v>2025</v>
      </c>
      <c r="B1223" s="46">
        <v>6</v>
      </c>
      <c r="C1223" s="46">
        <v>15</v>
      </c>
      <c r="D1223" s="65">
        <f>DATE(SIP[[#This Row],[Year]],SIP[[#This Row],[Month]],SIP[[#This Row],[Day]])</f>
        <v>45823</v>
      </c>
      <c r="E1223" s="66" t="str" cm="1">
        <f t="array" ref="E1223">INDEX(INVESTORS_LIST[INVESTOR NAME],MATCH(SIP[[#This Row],[Investor ID]],INVESTORS_LIST[INVESTOR CODE],0),)</f>
        <v>SANJIB KUMAR ROY</v>
      </c>
      <c r="F1223" s="46" t="s">
        <v>1020</v>
      </c>
      <c r="G1223" s="46">
        <f>COUNTIF(SIP[[#Headers],[Investor ID]]:SIP[[#This Row],[Investor ID]],SIP[[#This Row],[Investor ID]])</f>
        <v>25</v>
      </c>
      <c r="H1223" s="46" t="str">
        <f>CONCATENATE(SIP[[#This Row],[Frequency]],SIP[[#This Row],[Investor ID]])</f>
        <v>25A00487</v>
      </c>
      <c r="I1223" s="46" t="str">
        <f>IF(SIP[[#This Row],[B/S]]="B","BUY",(IF(SIP[[#This Row],[B/S]]="S","SELL"," ")))</f>
        <v>BUY</v>
      </c>
      <c r="J1223" s="150" t="s">
        <v>1229</v>
      </c>
      <c r="K1223" s="153">
        <v>5000</v>
      </c>
      <c r="L1223" s="122"/>
      <c r="M1223" s="123">
        <f>SIP[[#This Row],[Amount]]/SIP[[#This Row],[Unit]]</f>
        <v>12.531328320802006</v>
      </c>
      <c r="N1223" s="71">
        <f>SIP[[#This Row],[Unit Capital]]/10</f>
        <v>399</v>
      </c>
      <c r="O1223" s="71">
        <f>SUMIFS(SIP[[#Headers],[Unit]]:SIP[[#This Row],[Unit]],SIP[[#Headers],[Investor ID]]:SIP[[#This Row],[Investor ID]],SIP[[#This Row],[Investor ID]])</f>
        <v>11139</v>
      </c>
      <c r="P1223" s="197">
        <v>3990</v>
      </c>
      <c r="Q1223" s="74">
        <f>SIP[[#This Row],[Amount]]-SIP[[#This Row],[Unit Capital]]</f>
        <v>1010</v>
      </c>
      <c r="R12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11.221833198671332</v>
      </c>
      <c r="S1223" s="46">
        <f t="shared" si="57"/>
        <v>14.224</v>
      </c>
      <c r="T12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3" s="74" cm="1">
        <f t="array" ref="U1223">IF(SIP[[#This Row],[B/S]]="S",ABS(SIP[[#This Row],[Unit]])*(INDEX(SIP[NAV at Cost (Average)],MATCH(CONCATENATE((SIP[[#This Row],[Frequency]]-1),SIP[[#This Row],[Investor ID]]),SIP[Unique Code],0),0)),0)</f>
        <v>0</v>
      </c>
      <c r="V1223" s="74">
        <f>IF(SIP[[#This Row],[BO TRANSFER]]="YES",SIP[[#This Row],[Unit]],)</f>
        <v>0</v>
      </c>
      <c r="W1223" s="74">
        <f>SUMIFS(SIP[[#Headers],[BO UNIT TRANSFER]]:SIP[[#This Row],[BO UNIT TRANSFER]],SIP[[#Headers],[Investor ID]]:SIP[[#This Row],[Investor ID]],SIP[[#This Row],[Investor ID]])</f>
        <v>0</v>
      </c>
    </row>
    <row r="1224" spans="1:23" ht="15" customHeight="1">
      <c r="A1224" s="46">
        <v>2025</v>
      </c>
      <c r="B1224" s="46">
        <v>6</v>
      </c>
      <c r="C1224" s="46">
        <v>15</v>
      </c>
      <c r="D1224" s="65">
        <f>DATE(SIP[[#This Row],[Year]],SIP[[#This Row],[Month]],SIP[[#This Row],[Day]])</f>
        <v>45823</v>
      </c>
      <c r="E1224" s="66" t="str" cm="1">
        <f t="array" ref="E1224">INDEX(INVESTORS_LIST[INVESTOR NAME],MATCH(SIP[[#This Row],[Investor ID]],INVESTORS_LIST[INVESTOR CODE],0),)</f>
        <v>ASHIK CHOWDHURY OVI</v>
      </c>
      <c r="F1224" s="46" t="s">
        <v>1101</v>
      </c>
      <c r="G1224" s="46">
        <f>COUNTIF(SIP[[#Headers],[Investor ID]]:SIP[[#This Row],[Investor ID]],SIP[[#This Row],[Investor ID]])</f>
        <v>7</v>
      </c>
      <c r="H1224" s="46" t="str">
        <f>CONCATENATE(SIP[[#This Row],[Frequency]],SIP[[#This Row],[Investor ID]])</f>
        <v>7A00527</v>
      </c>
      <c r="I1224" s="46" t="str">
        <f>IF(SIP[[#This Row],[B/S]]="B","BUY",(IF(SIP[[#This Row],[B/S]]="S","SELL"," ")))</f>
        <v>BUY</v>
      </c>
      <c r="J1224" s="150" t="s">
        <v>1229</v>
      </c>
      <c r="K1224" s="153">
        <v>5000</v>
      </c>
      <c r="L1224" s="122"/>
      <c r="M1224" s="123">
        <f>SIP[[#This Row],[Amount]]/SIP[[#This Row],[Unit]]</f>
        <v>12.531328320802006</v>
      </c>
      <c r="N1224" s="71">
        <f>SIP[[#This Row],[Unit Capital]]/10</f>
        <v>399</v>
      </c>
      <c r="O1224" s="71">
        <f>SUMIFS(SIP[[#Headers],[Unit]]:SIP[[#This Row],[Unit]],SIP[[#Headers],[Investor ID]]:SIP[[#This Row],[Investor ID]],SIP[[#This Row],[Investor ID]])</f>
        <v>399</v>
      </c>
      <c r="P1224" s="197">
        <v>3990</v>
      </c>
      <c r="Q1224" s="74">
        <f>SIP[[#This Row],[Amount]]-SIP[[#This Row],[Unit Capital]]</f>
        <v>1010</v>
      </c>
      <c r="R12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12.531328320802006</v>
      </c>
      <c r="S1224" s="46">
        <f t="shared" si="57"/>
        <v>14.224</v>
      </c>
      <c r="T12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4" s="74" cm="1">
        <f t="array" ref="U1224">IF(SIP[[#This Row],[B/S]]="S",ABS(SIP[[#This Row],[Unit]])*(INDEX(SIP[NAV at Cost (Average)],MATCH(CONCATENATE((SIP[[#This Row],[Frequency]]-1),SIP[[#This Row],[Investor ID]]),SIP[Unique Code],0),0)),0)</f>
        <v>0</v>
      </c>
      <c r="V1224" s="74">
        <f>IF(SIP[[#This Row],[BO TRANSFER]]="YES",SIP[[#This Row],[Unit]],)</f>
        <v>0</v>
      </c>
      <c r="W1224" s="74">
        <f>SUMIFS(SIP[[#Headers],[BO UNIT TRANSFER]]:SIP[[#This Row],[BO UNIT TRANSFER]],SIP[[#Headers],[Investor ID]]:SIP[[#This Row],[Investor ID]],SIP[[#This Row],[Investor ID]])</f>
        <v>0</v>
      </c>
    </row>
    <row r="1225" spans="1:23" ht="15" customHeight="1">
      <c r="A1225" s="46">
        <v>2025</v>
      </c>
      <c r="B1225" s="46">
        <v>6</v>
      </c>
      <c r="C1225" s="46">
        <v>15</v>
      </c>
      <c r="D1225" s="65">
        <f>DATE(SIP[[#This Row],[Year]],SIP[[#This Row],[Month]],SIP[[#This Row],[Day]])</f>
        <v>45823</v>
      </c>
      <c r="E1225" s="66" t="str" cm="1">
        <f t="array" ref="E1225">INDEX(INVESTORS_LIST[INVESTOR NAME],MATCH(SIP[[#This Row],[Investor ID]],INVESTORS_LIST[INVESTOR CODE],0),)</f>
        <v>MAHMUD ALI ALAMGIR &amp; MOHAMMED ALI XAHANGIR</v>
      </c>
      <c r="F1225" s="46" t="s">
        <v>1130</v>
      </c>
      <c r="G1225" s="46">
        <f>COUNTIF(SIP[[#Headers],[Investor ID]]:SIP[[#This Row],[Investor ID]],SIP[[#This Row],[Investor ID]])</f>
        <v>21</v>
      </c>
      <c r="H1225" s="46" t="str">
        <f>CONCATENATE(SIP[[#This Row],[Frequency]],SIP[[#This Row],[Investor ID]])</f>
        <v>21A00540</v>
      </c>
      <c r="I1225" s="46" t="str">
        <f>IF(SIP[[#This Row],[B/S]]="B","BUY",(IF(SIP[[#This Row],[B/S]]="S","SELL"," ")))</f>
        <v>BUY</v>
      </c>
      <c r="J1225" s="150" t="s">
        <v>1229</v>
      </c>
      <c r="K1225" s="153">
        <v>20000</v>
      </c>
      <c r="L1225" s="122"/>
      <c r="M1225" s="123">
        <f>SIP[[#This Row],[Amount]]/SIP[[#This Row],[Unit]]</f>
        <v>12.547051442910917</v>
      </c>
      <c r="N1225" s="71">
        <f>SIP[[#This Row],[Unit Capital]]/10</f>
        <v>1594</v>
      </c>
      <c r="O1225" s="71">
        <f>SUMIFS(SIP[[#Headers],[Unit]]:SIP[[#This Row],[Unit]],SIP[[#Headers],[Investor ID]]:SIP[[#This Row],[Investor ID]],SIP[[#This Row],[Investor ID]])</f>
        <v>52118</v>
      </c>
      <c r="P1225" s="197">
        <v>15940</v>
      </c>
      <c r="Q1225" s="74">
        <f>SIP[[#This Row],[Amount]]-SIP[[#This Row],[Unit Capital]]</f>
        <v>4060</v>
      </c>
      <c r="R12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11.900813512403698</v>
      </c>
      <c r="S1225" s="46">
        <f t="shared" si="57"/>
        <v>14.224</v>
      </c>
      <c r="T12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5" s="74" cm="1">
        <f t="array" ref="U1225">IF(SIP[[#This Row],[B/S]]="S",ABS(SIP[[#This Row],[Unit]])*(INDEX(SIP[NAV at Cost (Average)],MATCH(CONCATENATE((SIP[[#This Row],[Frequency]]-1),SIP[[#This Row],[Investor ID]]),SIP[Unique Code],0),0)),0)</f>
        <v>0</v>
      </c>
      <c r="V1225" s="74">
        <f>IF(SIP[[#This Row],[BO TRANSFER]]="YES",SIP[[#This Row],[Unit]],)</f>
        <v>0</v>
      </c>
      <c r="W1225" s="74">
        <f>SUMIFS(SIP[[#Headers],[BO UNIT TRANSFER]]:SIP[[#This Row],[BO UNIT TRANSFER]],SIP[[#Headers],[Investor ID]]:SIP[[#This Row],[Investor ID]],SIP[[#This Row],[Investor ID]])</f>
        <v>0</v>
      </c>
    </row>
    <row r="1226" spans="1:23" ht="15" customHeight="1">
      <c r="A1226" s="46">
        <v>2025</v>
      </c>
      <c r="B1226" s="46">
        <v>6</v>
      </c>
      <c r="C1226" s="46">
        <v>15</v>
      </c>
      <c r="D1226" s="65">
        <f>DATE(SIP[[#This Row],[Year]],SIP[[#This Row],[Month]],SIP[[#This Row],[Day]])</f>
        <v>45823</v>
      </c>
      <c r="E1226" s="66" t="str" cm="1">
        <f t="array" ref="E1226">INDEX(INVESTORS_LIST[INVESTOR NAME],MATCH(SIP[[#This Row],[Investor ID]],INVESTORS_LIST[INVESTOR CODE],0),)</f>
        <v>MAHMUD ALI ALAMGIR &amp; MOHAMMED ALI XAHANGIR</v>
      </c>
      <c r="F1226" s="46" t="s">
        <v>1130</v>
      </c>
      <c r="G1226" s="46">
        <f>COUNTIF(SIP[[#Headers],[Investor ID]]:SIP[[#This Row],[Investor ID]],SIP[[#This Row],[Investor ID]])</f>
        <v>22</v>
      </c>
      <c r="H1226" s="46" t="str">
        <f>CONCATENATE(SIP[[#This Row],[Frequency]],SIP[[#This Row],[Investor ID]])</f>
        <v>22A00540</v>
      </c>
      <c r="I1226" s="46" t="str">
        <f>IF(SIP[[#This Row],[B/S]]="B","BUY",(IF(SIP[[#This Row],[B/S]]="S","SELL"," ")))</f>
        <v>BUY</v>
      </c>
      <c r="J1226" s="150" t="s">
        <v>1229</v>
      </c>
      <c r="K1226" s="153">
        <v>40000</v>
      </c>
      <c r="L1226" s="122"/>
      <c r="M1226" s="123">
        <f>SIP[[#This Row],[Amount]]/SIP[[#This Row],[Unit]]</f>
        <v>12.543116964565694</v>
      </c>
      <c r="N1226" s="71">
        <f>SIP[[#This Row],[Unit Capital]]/10</f>
        <v>3189</v>
      </c>
      <c r="O1226" s="71">
        <f>SUMIFS(SIP[[#Headers],[Unit]]:SIP[[#This Row],[Unit]],SIP[[#Headers],[Investor ID]]:SIP[[#This Row],[Investor ID]],SIP[[#This Row],[Investor ID]])</f>
        <v>55307</v>
      </c>
      <c r="P1226" s="197">
        <v>31890</v>
      </c>
      <c r="Q1226" s="74">
        <f>SIP[[#This Row],[Amount]]-SIP[[#This Row],[Unit Capital]]</f>
        <v>8110</v>
      </c>
      <c r="R12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11.937848710641616</v>
      </c>
      <c r="S1226" s="46">
        <f t="shared" si="57"/>
        <v>14.224</v>
      </c>
      <c r="T12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6" s="74" cm="1">
        <f t="array" ref="U1226">IF(SIP[[#This Row],[B/S]]="S",ABS(SIP[[#This Row],[Unit]])*(INDEX(SIP[NAV at Cost (Average)],MATCH(CONCATENATE((SIP[[#This Row],[Frequency]]-1),SIP[[#This Row],[Investor ID]]),SIP[Unique Code],0),0)),0)</f>
        <v>0</v>
      </c>
      <c r="V1226" s="74">
        <f>IF(SIP[[#This Row],[BO TRANSFER]]="YES",SIP[[#This Row],[Unit]],)</f>
        <v>0</v>
      </c>
      <c r="W1226" s="74">
        <f>SUMIFS(SIP[[#Headers],[BO UNIT TRANSFER]]:SIP[[#This Row],[BO UNIT TRANSFER]],SIP[[#Headers],[Investor ID]]:SIP[[#This Row],[Investor ID]],SIP[[#This Row],[Investor ID]])</f>
        <v>0</v>
      </c>
    </row>
    <row r="1227" spans="1:23" ht="15" customHeight="1">
      <c r="A1227" s="46">
        <v>2025</v>
      </c>
      <c r="B1227" s="46">
        <v>6</v>
      </c>
      <c r="C1227" s="46">
        <v>15</v>
      </c>
      <c r="D1227" s="65">
        <f>DATE(SIP[[#This Row],[Year]],SIP[[#This Row],[Month]],SIP[[#This Row],[Day]])</f>
        <v>45823</v>
      </c>
      <c r="E1227" s="66" t="str" cm="1">
        <f t="array" ref="E1227">INDEX(INVESTORS_LIST[INVESTOR NAME],MATCH(SIP[[#This Row],[Investor ID]],INVESTORS_LIST[INVESTOR CODE],0),)</f>
        <v>MAHFUZA ANIKA</v>
      </c>
      <c r="F1227" s="46" t="s">
        <v>1277</v>
      </c>
      <c r="G1227" s="46">
        <f>COUNTIF(SIP[[#Headers],[Investor ID]]:SIP[[#This Row],[Investor ID]],SIP[[#This Row],[Investor ID]])</f>
        <v>12</v>
      </c>
      <c r="H1227" s="46" t="str">
        <f>CONCATENATE(SIP[[#This Row],[Frequency]],SIP[[#This Row],[Investor ID]])</f>
        <v>12A00585</v>
      </c>
      <c r="I1227" s="46" t="str">
        <f>IF(SIP[[#This Row],[B/S]]="B","BUY",(IF(SIP[[#This Row],[B/S]]="S","SELL"," ")))</f>
        <v>BUY</v>
      </c>
      <c r="J1227" s="150" t="s">
        <v>1229</v>
      </c>
      <c r="K1227" s="153">
        <v>2000</v>
      </c>
      <c r="L1227" s="122"/>
      <c r="M1227" s="123">
        <f>SIP[[#This Row],[Amount]]/SIP[[#This Row],[Unit]]</f>
        <v>12.578616352201259</v>
      </c>
      <c r="N1227" s="71">
        <f>SIP[[#This Row],[Unit Capital]]/10</f>
        <v>159</v>
      </c>
      <c r="O1227" s="71">
        <f>SUMIFS(SIP[[#Headers],[Unit]]:SIP[[#This Row],[Unit]],SIP[[#Headers],[Investor ID]]:SIP[[#This Row],[Investor ID]],SIP[[#This Row],[Investor ID]])</f>
        <v>1836</v>
      </c>
      <c r="P1227" s="197">
        <v>1590</v>
      </c>
      <c r="Q1227" s="74">
        <f>SIP[[#This Row],[Amount]]-SIP[[#This Row],[Unit Capital]]</f>
        <v>410</v>
      </c>
      <c r="R12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11.982570806100217</v>
      </c>
      <c r="S1227" s="46">
        <f t="shared" si="57"/>
        <v>14.224</v>
      </c>
      <c r="T12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7" s="74" cm="1">
        <f t="array" ref="U1227">IF(SIP[[#This Row],[B/S]]="S",ABS(SIP[[#This Row],[Unit]])*(INDEX(SIP[NAV at Cost (Average)],MATCH(CONCATENATE((SIP[[#This Row],[Frequency]]-1),SIP[[#This Row],[Investor ID]]),SIP[Unique Code],0),0)),0)</f>
        <v>0</v>
      </c>
      <c r="V1227" s="74">
        <f>IF(SIP[[#This Row],[BO TRANSFER]]="YES",SIP[[#This Row],[Unit]],)</f>
        <v>0</v>
      </c>
      <c r="W1227" s="74">
        <f>SUMIFS(SIP[[#Headers],[BO UNIT TRANSFER]]:SIP[[#This Row],[BO UNIT TRANSFER]],SIP[[#Headers],[Investor ID]]:SIP[[#This Row],[Investor ID]],SIP[[#This Row],[Investor ID]])</f>
        <v>0</v>
      </c>
    </row>
    <row r="1228" spans="1:23" ht="15" customHeight="1">
      <c r="A1228" s="46">
        <v>2025</v>
      </c>
      <c r="B1228" s="46">
        <v>6</v>
      </c>
      <c r="C1228" s="46">
        <v>19</v>
      </c>
      <c r="D1228" s="65">
        <f>DATE(SIP[[#This Row],[Year]],SIP[[#This Row],[Month]],SIP[[#This Row],[Day]])</f>
        <v>45827</v>
      </c>
      <c r="E1228" s="66" t="str" cm="1">
        <f t="array" ref="E1228">INDEX(INVESTORS_LIST[INVESTOR NAME],MATCH(SIP[[#This Row],[Investor ID]],INVESTORS_LIST[INVESTOR CODE],0),)</f>
        <v>MAHFUZA ANIKA</v>
      </c>
      <c r="F1228" s="46" t="s">
        <v>1277</v>
      </c>
      <c r="G1228" s="46">
        <f>COUNTIF(SIP[[#Headers],[Investor ID]]:SIP[[#This Row],[Investor ID]],SIP[[#This Row],[Investor ID]])</f>
        <v>13</v>
      </c>
      <c r="H1228" s="46" t="str">
        <f>CONCATENATE(SIP[[#This Row],[Frequency]],SIP[[#This Row],[Investor ID]])</f>
        <v>13A00585</v>
      </c>
      <c r="I1228" s="46" t="str">
        <f>IF(SIP[[#This Row],[B/S]]="B","BUY",(IF(SIP[[#This Row],[B/S]]="S","SELL"," ")))</f>
        <v>SELL</v>
      </c>
      <c r="J1228" s="150" t="s">
        <v>1231</v>
      </c>
      <c r="K1228" s="153">
        <v>-21037.97</v>
      </c>
      <c r="L1228" s="122"/>
      <c r="M1228" s="123">
        <f>SIP[[#This Row],[Amount]]/SIP[[#This Row],[Unit]]</f>
        <v>12.54500298151461</v>
      </c>
      <c r="N1228" s="71">
        <f>SIP[[#This Row],[Unit Capital]]/10</f>
        <v>-1677</v>
      </c>
      <c r="O1228" s="71">
        <f>SUMIFS(SIP[[#Headers],[Unit]]:SIP[[#This Row],[Unit]],SIP[[#Headers],[Investor ID]]:SIP[[#This Row],[Investor ID]],SIP[[#This Row],[Investor ID]])</f>
        <v>159</v>
      </c>
      <c r="P1228" s="197">
        <v>-16770</v>
      </c>
      <c r="Q1228" s="74">
        <f>SIP[[#This Row],[Amount]]-SIP[[#This Row],[Unit Capital]]</f>
        <v>-4267.9700000000012</v>
      </c>
      <c r="R12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11.982570806100217</v>
      </c>
      <c r="S1228" s="46">
        <f t="shared" ref="S1228:S1264" si="58">NAV_MKT</f>
        <v>14.224</v>
      </c>
      <c r="T1228" s="74">
        <f>IF(SIP[[#This Row],[B/S]]="B",0,ABS(SIP[[#This Row],[Unit]])*(SIP[[#This Row],[NAV (Strike Rate)]]-INDEX(SIP[NAV at Cost (Average)],MATCH(CONCATENATE(SIP[[#This Row],[Frequency]]-1,SIP[[#This Row],[Investor ID]]),SIP[Unique Code],0),)))</f>
        <v>943.19875816993795</v>
      </c>
      <c r="U1228" s="74" cm="1">
        <f t="array" ref="U1228">IF(SIP[[#This Row],[B/S]]="S",ABS(SIP[[#This Row],[Unit]])*(INDEX(SIP[NAV at Cost (Average)],MATCH(CONCATENATE((SIP[[#This Row],[Frequency]]-1),SIP[[#This Row],[Investor ID]]),SIP[Unique Code],0),0)),0)</f>
        <v>20094.771241830065</v>
      </c>
      <c r="V1228" s="74">
        <f>IF(SIP[[#This Row],[BO TRANSFER]]="YES",SIP[[#This Row],[Unit]],)</f>
        <v>0</v>
      </c>
      <c r="W1228" s="74">
        <f>SUMIFS(SIP[[#Headers],[BO UNIT TRANSFER]]:SIP[[#This Row],[BO UNIT TRANSFER]],SIP[[#Headers],[Investor ID]]:SIP[[#This Row],[Investor ID]],SIP[[#This Row],[Investor ID]])</f>
        <v>0</v>
      </c>
    </row>
    <row r="1229" spans="1:23" ht="15" customHeight="1">
      <c r="A1229" s="46">
        <v>2025</v>
      </c>
      <c r="B1229" s="46">
        <v>6</v>
      </c>
      <c r="C1229" s="46">
        <v>22</v>
      </c>
      <c r="D1229" s="65">
        <f>DATE(SIP[[#This Row],[Year]],SIP[[#This Row],[Month]],SIP[[#This Row],[Day]])</f>
        <v>45830</v>
      </c>
      <c r="E1229" s="66" t="str">
        <f t="array" ref="E1229">INDEX(INVESTORS_LIST[INVESTOR NAME],MATCH(SIP[[#This Row],[Investor ID]],INVESTORS_LIST[INVESTOR CODE],0),)</f>
        <v>FAKARUDDIN ALI AHMED</v>
      </c>
      <c r="F1229" s="46" t="s">
        <v>228</v>
      </c>
      <c r="G1229" s="46">
        <f>COUNTIF(SIP[[#Headers],[Investor ID]]:SIP[[#This Row],[Investor ID]],SIP[[#This Row],[Investor ID]])</f>
        <v>27</v>
      </c>
      <c r="H1229" s="46" t="str">
        <f>CONCATENATE(SIP[[#This Row],[Frequency]],SIP[[#This Row],[Investor ID]])</f>
        <v>27A00090</v>
      </c>
      <c r="I1229" s="46" t="str">
        <f>IF(SIP[[#This Row],[B/S]]="B","BUY",(IF(SIP[[#This Row],[B/S]]="S","SELL"," ")))</f>
        <v>SELL</v>
      </c>
      <c r="J1229" s="150" t="s">
        <v>1231</v>
      </c>
      <c r="K1229" s="153">
        <v>-29985.53</v>
      </c>
      <c r="L1229" s="122"/>
      <c r="M1229" s="123">
        <f>SIP[[#This Row],[Amount]]/SIP[[#This Row],[Unit]]</f>
        <v>12.540999581764952</v>
      </c>
      <c r="N1229" s="71">
        <f>SIP[[#This Row],[Unit Capital]]/10</f>
        <v>-2391</v>
      </c>
      <c r="O1229" s="71">
        <f>SUMIFS(SIP[[#Headers],[Unit]]:SIP[[#This Row],[Unit]],SIP[[#Headers],[Investor ID]]:SIP[[#This Row],[Investor ID]],SIP[[#This Row],[Investor ID]])</f>
        <v>0</v>
      </c>
      <c r="P1229" s="197">
        <v>-23910</v>
      </c>
      <c r="Q1229" s="74">
        <f>SIP[[#This Row],[Amount]]-SIP[[#This Row],[Unit Capital]]</f>
        <v>-6075.5299999999988</v>
      </c>
      <c r="R12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229" s="46">
        <f t="shared" si="58"/>
        <v>14.224</v>
      </c>
      <c r="T1229" s="74">
        <f>IF(SIP[[#This Row],[B/S]]="B",0,ABS(SIP[[#This Row],[Unit]])*(SIP[[#This Row],[NAV (Strike Rate)]]-INDEX(SIP[NAV at Cost (Average)],MATCH(CONCATENATE(SIP[[#This Row],[Frequency]]-1,SIP[[#This Row],[Investor ID]]),SIP[Unique Code],0),)))</f>
        <v>-14.469999999997029</v>
      </c>
      <c r="U1229" s="74">
        <f t="array" ref="U1229">IF(SIP[[#This Row],[B/S]]="S",ABS(SIP[[#This Row],[Unit]])*(INDEX(SIP[NAV at Cost (Average)],MATCH(CONCATENATE((SIP[[#This Row],[Frequency]]-1),SIP[[#This Row],[Investor ID]]),SIP[Unique Code],0),0)),0)</f>
        <v>29999.999999999996</v>
      </c>
      <c r="V1229" s="74">
        <f>IF(SIP[[#This Row],[BO TRANSFER]]="YES",SIP[[#This Row],[Unit]],)</f>
        <v>0</v>
      </c>
      <c r="W1229" s="74">
        <f>SUMIFS(SIP[[#Headers],[BO UNIT TRANSFER]]:SIP[[#This Row],[BO UNIT TRANSFER]],SIP[[#Headers],[Investor ID]]:SIP[[#This Row],[Investor ID]],SIP[[#This Row],[Investor ID]])</f>
        <v>0</v>
      </c>
    </row>
    <row r="1230" spans="1:23" ht="15" customHeight="1">
      <c r="A1230" s="46">
        <v>2025</v>
      </c>
      <c r="B1230" s="46">
        <v>6</v>
      </c>
      <c r="C1230" s="46">
        <v>26</v>
      </c>
      <c r="D1230" s="65">
        <f>DATE(SIP[[#This Row],[Year]],SIP[[#This Row],[Month]],SIP[[#This Row],[Day]])</f>
        <v>45834</v>
      </c>
      <c r="E1230" s="66" t="str">
        <f t="array" ref="E1230">INDEX(INVESTORS_LIST[INVESTOR NAME],MATCH(SIP[[#This Row],[Investor ID]],INVESTORS_LIST[INVESTOR CODE],0),)</f>
        <v>MOHAMMAD HASAN IMAM</v>
      </c>
      <c r="F1230" s="46" t="s">
        <v>1122</v>
      </c>
      <c r="G1230" s="46">
        <f>COUNTIF(SIP[[#Headers],[Investor ID]]:SIP[[#This Row],[Investor ID]],SIP[[#This Row],[Investor ID]])</f>
        <v>15</v>
      </c>
      <c r="H1230" s="46" t="str">
        <f>CONCATENATE(SIP[[#This Row],[Frequency]],SIP[[#This Row],[Investor ID]])</f>
        <v>15A00536</v>
      </c>
      <c r="I1230" s="46" t="str">
        <f>IF(SIP[[#This Row],[B/S]]="B","BUY",(IF(SIP[[#This Row],[B/S]]="S","SELL"," ")))</f>
        <v>BUY</v>
      </c>
      <c r="J1230" s="150" t="s">
        <v>1229</v>
      </c>
      <c r="K1230" s="153">
        <v>5000</v>
      </c>
      <c r="L1230" s="122"/>
      <c r="M1230" s="123">
        <f>SIP[[#This Row],[Amount]]/SIP[[#This Row],[Unit]]</f>
        <v>12.531328320802006</v>
      </c>
      <c r="N1230" s="71">
        <f>SIP[[#This Row],[Unit Capital]]/10</f>
        <v>399</v>
      </c>
      <c r="O1230" s="71">
        <f>SUMIFS(SIP[[#Headers],[Unit]]:SIP[[#This Row],[Unit]],SIP[[#Headers],[Investor ID]]:SIP[[#This Row],[Investor ID]],SIP[[#This Row],[Investor ID]])</f>
        <v>6381</v>
      </c>
      <c r="P1230" s="153">
        <v>3990</v>
      </c>
      <c r="Q1230" s="74">
        <f>SIP[[#This Row],[Amount]]-SIP[[#This Row],[Unit Capital]]</f>
        <v>1010</v>
      </c>
      <c r="R12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11.753643629525152</v>
      </c>
      <c r="S1230" s="46">
        <f t="shared" si="58"/>
        <v>14.224</v>
      </c>
      <c r="T12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0" s="74">
        <f t="array" ref="U1230">IF(SIP[[#This Row],[B/S]]="S",ABS(SIP[[#This Row],[Unit]])*(INDEX(SIP[NAV at Cost (Average)],MATCH(CONCATENATE((SIP[[#This Row],[Frequency]]-1),SIP[[#This Row],[Investor ID]]),SIP[Unique Code],0),0)),0)</f>
        <v>0</v>
      </c>
      <c r="V1230" s="74">
        <f>IF(SIP[[#This Row],[BO TRANSFER]]="YES",SIP[[#This Row],[Unit]],)</f>
        <v>0</v>
      </c>
      <c r="W1230" s="74">
        <f>SUMIFS(SIP[[#Headers],[BO UNIT TRANSFER]]:SIP[[#This Row],[BO UNIT TRANSFER]],SIP[[#Headers],[Investor ID]]:SIP[[#This Row],[Investor ID]],SIP[[#This Row],[Investor ID]])</f>
        <v>0</v>
      </c>
    </row>
    <row r="1231" spans="1:23" ht="15" customHeight="1">
      <c r="A1231" s="46">
        <v>2025</v>
      </c>
      <c r="B1231" s="46">
        <v>6</v>
      </c>
      <c r="C1231" s="46">
        <v>26</v>
      </c>
      <c r="D1231" s="65">
        <f>DATE(SIP[[#This Row],[Year]],SIP[[#This Row],[Month]],SIP[[#This Row],[Day]])</f>
        <v>45834</v>
      </c>
      <c r="E1231" s="66" t="str">
        <f t="array" ref="E1231">INDEX(INVESTORS_LIST[INVESTOR NAME],MATCH(SIP[[#This Row],[Investor ID]],INVESTORS_LIST[INVESTOR CODE],0),)</f>
        <v>SADIA PARVIN</v>
      </c>
      <c r="F1231" s="46" t="s">
        <v>1018</v>
      </c>
      <c r="G1231" s="46">
        <f>COUNTIF(SIP[[#Headers],[Investor ID]]:SIP[[#This Row],[Investor ID]],SIP[[#This Row],[Investor ID]])</f>
        <v>38</v>
      </c>
      <c r="H1231" s="46" t="str">
        <f>CONCATENATE(SIP[[#This Row],[Frequency]],SIP[[#This Row],[Investor ID]])</f>
        <v>38A00486</v>
      </c>
      <c r="I1231" s="46" t="str">
        <f>IF(SIP[[#This Row],[B/S]]="B","BUY",(IF(SIP[[#This Row],[B/S]]="S","SELL"," ")))</f>
        <v>BUY</v>
      </c>
      <c r="J1231" s="150" t="s">
        <v>1229</v>
      </c>
      <c r="K1231" s="153">
        <v>5000</v>
      </c>
      <c r="L1231" s="122"/>
      <c r="M1231" s="123">
        <f>SIP[[#This Row],[Amount]]/SIP[[#This Row],[Unit]]</f>
        <v>12.531328320802006</v>
      </c>
      <c r="N1231" s="71">
        <f>SIP[[#This Row],[Unit Capital]]/10</f>
        <v>399</v>
      </c>
      <c r="O1231" s="71">
        <f>SUMIFS(SIP[[#Headers],[Unit]]:SIP[[#This Row],[Unit]],SIP[[#Headers],[Investor ID]]:SIP[[#This Row],[Investor ID]],SIP[[#This Row],[Investor ID]])</f>
        <v>16673</v>
      </c>
      <c r="P1231" s="153">
        <v>3990</v>
      </c>
      <c r="Q1231" s="74">
        <f>SIP[[#This Row],[Amount]]-SIP[[#This Row],[Unit Capital]]</f>
        <v>1010</v>
      </c>
      <c r="R12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11.395669645534696</v>
      </c>
      <c r="S1231" s="46">
        <f t="shared" si="58"/>
        <v>14.224</v>
      </c>
      <c r="T12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1" s="74">
        <f t="array" ref="U1231">IF(SIP[[#This Row],[B/S]]="S",ABS(SIP[[#This Row],[Unit]])*(INDEX(SIP[NAV at Cost (Average)],MATCH(CONCATENATE((SIP[[#This Row],[Frequency]]-1),SIP[[#This Row],[Investor ID]]),SIP[Unique Code],0),0)),0)</f>
        <v>0</v>
      </c>
      <c r="V1231" s="74">
        <f>IF(SIP[[#This Row],[BO TRANSFER]]="YES",SIP[[#This Row],[Unit]],)</f>
        <v>0</v>
      </c>
      <c r="W1231" s="74">
        <f>SUMIFS(SIP[[#Headers],[BO UNIT TRANSFER]]:SIP[[#This Row],[BO UNIT TRANSFER]],SIP[[#Headers],[Investor ID]]:SIP[[#This Row],[Investor ID]],SIP[[#This Row],[Investor ID]])</f>
        <v>0</v>
      </c>
    </row>
    <row r="1232" spans="1:23" ht="15" customHeight="1">
      <c r="A1232" s="46">
        <v>2025</v>
      </c>
      <c r="B1232" s="46">
        <v>6</v>
      </c>
      <c r="C1232" s="46">
        <v>26</v>
      </c>
      <c r="D1232" s="65">
        <f>DATE(SIP[[#This Row],[Year]],SIP[[#This Row],[Month]],SIP[[#This Row],[Day]])</f>
        <v>45834</v>
      </c>
      <c r="E1232" s="66" t="str">
        <f t="array" ref="E1232">INDEX(INVESTORS_LIST[INVESTOR NAME],MATCH(SIP[[#This Row],[Investor ID]],INVESTORS_LIST[INVESTOR CODE],0),)</f>
        <v>SYED ADNAN HUDA</v>
      </c>
      <c r="F1232" s="46" t="s">
        <v>236</v>
      </c>
      <c r="G1232" s="46">
        <f>COUNTIF(SIP[[#Headers],[Investor ID]]:SIP[[#This Row],[Investor ID]],SIP[[#This Row],[Investor ID]])</f>
        <v>12</v>
      </c>
      <c r="H1232" s="46" t="str">
        <f>CONCATENATE(SIP[[#This Row],[Frequency]],SIP[[#This Row],[Investor ID]])</f>
        <v>12A00094</v>
      </c>
      <c r="I1232" s="46" t="str">
        <f>IF(SIP[[#This Row],[B/S]]="B","BUY",(IF(SIP[[#This Row],[B/S]]="S","SELL"," ")))</f>
        <v>BUY</v>
      </c>
      <c r="J1232" s="150" t="s">
        <v>1229</v>
      </c>
      <c r="K1232" s="153">
        <v>50000</v>
      </c>
      <c r="L1232" s="122"/>
      <c r="M1232" s="123">
        <f>SIP[[#This Row],[Amount]]/SIP[[#This Row],[Unit]]</f>
        <v>12.54075746175069</v>
      </c>
      <c r="N1232" s="71">
        <f>SIP[[#This Row],[Unit Capital]]/10</f>
        <v>3987</v>
      </c>
      <c r="O1232" s="71">
        <f>SUMIFS(SIP[[#Headers],[Unit]]:SIP[[#This Row],[Unit]],SIP[[#Headers],[Investor ID]]:SIP[[#This Row],[Investor ID]],SIP[[#This Row],[Investor ID]])</f>
        <v>50260</v>
      </c>
      <c r="P1232" s="153">
        <v>39870</v>
      </c>
      <c r="Q1232" s="74">
        <f>SIP[[#This Row],[Amount]]-SIP[[#This Row],[Unit Capital]]</f>
        <v>10130</v>
      </c>
      <c r="R12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11.937922801432549</v>
      </c>
      <c r="S1232" s="46">
        <f t="shared" si="58"/>
        <v>14.224</v>
      </c>
      <c r="T12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2" s="74">
        <f t="array" ref="U1232">IF(SIP[[#This Row],[B/S]]="S",ABS(SIP[[#This Row],[Unit]])*(INDEX(SIP[NAV at Cost (Average)],MATCH(CONCATENATE((SIP[[#This Row],[Frequency]]-1),SIP[[#This Row],[Investor ID]]),SIP[Unique Code],0),0)),0)</f>
        <v>0</v>
      </c>
      <c r="V1232" s="74">
        <f>IF(SIP[[#This Row],[BO TRANSFER]]="YES",SIP[[#This Row],[Unit]],)</f>
        <v>0</v>
      </c>
      <c r="W1232" s="74">
        <f>SUMIFS(SIP[[#Headers],[BO UNIT TRANSFER]]:SIP[[#This Row],[BO UNIT TRANSFER]],SIP[[#Headers],[Investor ID]]:SIP[[#This Row],[Investor ID]],SIP[[#This Row],[Investor ID]])</f>
        <v>0</v>
      </c>
    </row>
    <row r="1233" spans="1:23" ht="15" customHeight="1">
      <c r="A1233" s="46">
        <v>2025</v>
      </c>
      <c r="B1233" s="46">
        <v>6</v>
      </c>
      <c r="C1233" s="46">
        <v>26</v>
      </c>
      <c r="D1233" s="65">
        <f>DATE(SIP[[#This Row],[Year]],SIP[[#This Row],[Month]],SIP[[#This Row],[Day]])</f>
        <v>45834</v>
      </c>
      <c r="E1233" s="66" t="str">
        <f t="array" ref="E1233">INDEX(INVESTORS_LIST[INVESTOR NAME],MATCH(SIP[[#This Row],[Investor ID]],INVESTORS_LIST[INVESTOR CODE],0),)</f>
        <v>HUMAIRA TABASSUM READDHE</v>
      </c>
      <c r="F1233" s="46" t="s">
        <v>1052</v>
      </c>
      <c r="G1233" s="46">
        <f>COUNTIF(SIP[[#Headers],[Investor ID]]:SIP[[#This Row],[Investor ID]],SIP[[#This Row],[Investor ID]])</f>
        <v>11</v>
      </c>
      <c r="H1233" s="46" t="str">
        <f>CONCATENATE(SIP[[#This Row],[Frequency]],SIP[[#This Row],[Investor ID]])</f>
        <v>11A00503</v>
      </c>
      <c r="I1233" s="46" t="str">
        <f>IF(SIP[[#This Row],[B/S]]="B","BUY",(IF(SIP[[#This Row],[B/S]]="S","SELL"," ")))</f>
        <v>BUY</v>
      </c>
      <c r="J1233" s="150" t="s">
        <v>1229</v>
      </c>
      <c r="K1233" s="153">
        <v>3000</v>
      </c>
      <c r="L1233" s="122"/>
      <c r="M1233" s="123">
        <f>SIP[[#This Row],[Amount]]/SIP[[#This Row],[Unit]]</f>
        <v>12.552301255230125</v>
      </c>
      <c r="N1233" s="71">
        <f>SIP[[#This Row],[Unit Capital]]/10</f>
        <v>239</v>
      </c>
      <c r="O1233" s="71">
        <f>SUMIFS(SIP[[#Headers],[Unit]]:SIP[[#This Row],[Unit]],SIP[[#Headers],[Investor ID]]:SIP[[#This Row],[Investor ID]],SIP[[#This Row],[Investor ID]])</f>
        <v>2749</v>
      </c>
      <c r="P1233" s="153">
        <v>2390</v>
      </c>
      <c r="Q1233" s="74">
        <f>SIP[[#This Row],[Amount]]-SIP[[#This Row],[Unit Capital]]</f>
        <v>610</v>
      </c>
      <c r="R12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12.004365223717716</v>
      </c>
      <c r="S1233" s="46">
        <f t="shared" si="58"/>
        <v>14.224</v>
      </c>
      <c r="T12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3" s="74">
        <f t="array" ref="U1233">IF(SIP[[#This Row],[B/S]]="S",ABS(SIP[[#This Row],[Unit]])*(INDEX(SIP[NAV at Cost (Average)],MATCH(CONCATENATE((SIP[[#This Row],[Frequency]]-1),SIP[[#This Row],[Investor ID]]),SIP[Unique Code],0),0)),0)</f>
        <v>0</v>
      </c>
      <c r="V1233" s="74">
        <f>IF(SIP[[#This Row],[BO TRANSFER]]="YES",SIP[[#This Row],[Unit]],)</f>
        <v>0</v>
      </c>
      <c r="W1233" s="74">
        <f>SUMIFS(SIP[[#Headers],[BO UNIT TRANSFER]]:SIP[[#This Row],[BO UNIT TRANSFER]],SIP[[#Headers],[Investor ID]]:SIP[[#This Row],[Investor ID]],SIP[[#This Row],[Investor ID]])</f>
        <v>0</v>
      </c>
    </row>
    <row r="1234" spans="1:23" ht="15" customHeight="1">
      <c r="A1234" s="46">
        <v>2025</v>
      </c>
      <c r="B1234" s="46">
        <v>6</v>
      </c>
      <c r="C1234" s="46">
        <v>26</v>
      </c>
      <c r="D1234" s="65">
        <f>DATE(SIP[[#This Row],[Year]],SIP[[#This Row],[Month]],SIP[[#This Row],[Day]])</f>
        <v>45834</v>
      </c>
      <c r="E1234" s="66" t="str">
        <f t="array" ref="E1234">INDEX(INVESTORS_LIST[INVESTOR NAME],MATCH(SIP[[#This Row],[Investor ID]],INVESTORS_LIST[INVESTOR CODE],0),)</f>
        <v>MD MIZANUR RAHMAN</v>
      </c>
      <c r="F1234" s="46" t="s">
        <v>1304</v>
      </c>
      <c r="G1234" s="46">
        <f>COUNTIF(SIP[[#Headers],[Investor ID]]:SIP[[#This Row],[Investor ID]],SIP[[#This Row],[Investor ID]])</f>
        <v>8</v>
      </c>
      <c r="H1234" s="46" t="str">
        <f>CONCATENATE(SIP[[#This Row],[Frequency]],SIP[[#This Row],[Investor ID]])</f>
        <v>8A00599</v>
      </c>
      <c r="I1234" s="46" t="str">
        <f>IF(SIP[[#This Row],[B/S]]="B","BUY",(IF(SIP[[#This Row],[B/S]]="S","SELL"," ")))</f>
        <v>BUY</v>
      </c>
      <c r="J1234" s="150" t="s">
        <v>1229</v>
      </c>
      <c r="K1234" s="153">
        <v>5000</v>
      </c>
      <c r="L1234" s="122"/>
      <c r="M1234" s="123">
        <f>SIP[[#This Row],[Amount]]/SIP[[#This Row],[Unit]]</f>
        <v>12.531328320802006</v>
      </c>
      <c r="N1234" s="71">
        <f>SIP[[#This Row],[Unit Capital]]/10</f>
        <v>399</v>
      </c>
      <c r="O1234" s="71">
        <f>SUMIFS(SIP[[#Headers],[Unit]]:SIP[[#This Row],[Unit]],SIP[[#Headers],[Investor ID]]:SIP[[#This Row],[Investor ID]],SIP[[#This Row],[Investor ID]])</f>
        <v>2841</v>
      </c>
      <c r="P1234" s="153">
        <v>3990</v>
      </c>
      <c r="Q1234" s="74">
        <f>SIP[[#This Row],[Amount]]-SIP[[#This Row],[Unit Capital]]</f>
        <v>1010</v>
      </c>
      <c r="R12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12.37372458201879</v>
      </c>
      <c r="S1234" s="46">
        <f t="shared" si="58"/>
        <v>14.224</v>
      </c>
      <c r="T12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4" s="74">
        <f t="array" ref="U1234">IF(SIP[[#This Row],[B/S]]="S",ABS(SIP[[#This Row],[Unit]])*(INDEX(SIP[NAV at Cost (Average)],MATCH(CONCATENATE((SIP[[#This Row],[Frequency]]-1),SIP[[#This Row],[Investor ID]]),SIP[Unique Code],0),0)),0)</f>
        <v>0</v>
      </c>
      <c r="V1234" s="74">
        <f>IF(SIP[[#This Row],[BO TRANSFER]]="YES",SIP[[#This Row],[Unit]],)</f>
        <v>0</v>
      </c>
      <c r="W1234" s="74">
        <f>SUMIFS(SIP[[#Headers],[BO UNIT TRANSFER]]:SIP[[#This Row],[BO UNIT TRANSFER]],SIP[[#Headers],[Investor ID]]:SIP[[#This Row],[Investor ID]],SIP[[#This Row],[Investor ID]])</f>
        <v>0</v>
      </c>
    </row>
    <row r="1235" spans="1:23" ht="15" customHeight="1">
      <c r="A1235" s="46">
        <v>2025</v>
      </c>
      <c r="B1235" s="46">
        <v>6</v>
      </c>
      <c r="C1235" s="46">
        <v>26</v>
      </c>
      <c r="D1235" s="65">
        <f>DATE(SIP[[#This Row],[Year]],SIP[[#This Row],[Month]],SIP[[#This Row],[Day]])</f>
        <v>45834</v>
      </c>
      <c r="E1235" s="66" t="str">
        <f t="array" ref="E1235">INDEX(INVESTORS_LIST[INVESTOR NAME],MATCH(SIP[[#This Row],[Investor ID]],INVESTORS_LIST[INVESTOR CODE],0),)</f>
        <v>SHAPNA RANI BARMAN</v>
      </c>
      <c r="F1235" s="46" t="s">
        <v>1292</v>
      </c>
      <c r="G1235" s="46">
        <f>COUNTIF(SIP[[#Headers],[Investor ID]]:SIP[[#This Row],[Investor ID]],SIP[[#This Row],[Investor ID]])</f>
        <v>8</v>
      </c>
      <c r="H1235" s="46" t="str">
        <f>CONCATENATE(SIP[[#This Row],[Frequency]],SIP[[#This Row],[Investor ID]])</f>
        <v>8A00593</v>
      </c>
      <c r="I1235" s="46" t="str">
        <f>IF(SIP[[#This Row],[B/S]]="B","BUY",(IF(SIP[[#This Row],[B/S]]="S","SELL"," ")))</f>
        <v>BUY</v>
      </c>
      <c r="J1235" s="150" t="s">
        <v>1229</v>
      </c>
      <c r="K1235" s="153">
        <v>1000</v>
      </c>
      <c r="L1235" s="122"/>
      <c r="M1235" s="123">
        <f>SIP[[#This Row],[Amount]]/SIP[[#This Row],[Unit]]</f>
        <v>12.5</v>
      </c>
      <c r="N1235" s="71">
        <f>SIP[[#This Row],[Unit Capital]]/10</f>
        <v>80</v>
      </c>
      <c r="O1235" s="71">
        <f>SUMIFS(SIP[[#Headers],[Unit]]:SIP[[#This Row],[Unit]],SIP[[#Headers],[Investor ID]]:SIP[[#This Row],[Investor ID]],SIP[[#This Row],[Investor ID]])</f>
        <v>656</v>
      </c>
      <c r="P1235" s="153">
        <v>800</v>
      </c>
      <c r="Q1235" s="74">
        <f>SIP[[#This Row],[Amount]]-SIP[[#This Row],[Unit Capital]]</f>
        <v>200</v>
      </c>
      <c r="R12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12.195121951219512</v>
      </c>
      <c r="S1235" s="46">
        <f t="shared" si="58"/>
        <v>14.224</v>
      </c>
      <c r="T12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5" s="74">
        <f t="array" ref="U1235">IF(SIP[[#This Row],[B/S]]="S",ABS(SIP[[#This Row],[Unit]])*(INDEX(SIP[NAV at Cost (Average)],MATCH(CONCATENATE((SIP[[#This Row],[Frequency]]-1),SIP[[#This Row],[Investor ID]]),SIP[Unique Code],0),0)),0)</f>
        <v>0</v>
      </c>
      <c r="V1235" s="74">
        <f>IF(SIP[[#This Row],[BO TRANSFER]]="YES",SIP[[#This Row],[Unit]],)</f>
        <v>0</v>
      </c>
      <c r="W1235" s="74">
        <f>SUMIFS(SIP[[#Headers],[BO UNIT TRANSFER]]:SIP[[#This Row],[BO UNIT TRANSFER]],SIP[[#Headers],[Investor ID]]:SIP[[#This Row],[Investor ID]],SIP[[#This Row],[Investor ID]])</f>
        <v>0</v>
      </c>
    </row>
    <row r="1236" spans="1:23" ht="15" customHeight="1">
      <c r="A1236" s="46">
        <v>2025</v>
      </c>
      <c r="B1236" s="46">
        <v>6</v>
      </c>
      <c r="C1236" s="46">
        <v>26</v>
      </c>
      <c r="D1236" s="65">
        <f>DATE(SIP[[#This Row],[Year]],SIP[[#This Row],[Month]],SIP[[#This Row],[Day]])</f>
        <v>45834</v>
      </c>
      <c r="E1236" s="66" t="str">
        <f t="array" ref="E1236">INDEX(INVESTORS_LIST[INVESTOR NAME],MATCH(SIP[[#This Row],[Investor ID]],INVESTORS_LIST[INVESTOR CODE],0),)</f>
        <v>MAYA RANI SAHA</v>
      </c>
      <c r="F1236" s="46" t="s">
        <v>224</v>
      </c>
      <c r="G1236" s="46">
        <f>COUNTIF(SIP[[#Headers],[Investor ID]]:SIP[[#This Row],[Investor ID]],SIP[[#This Row],[Investor ID]])</f>
        <v>53</v>
      </c>
      <c r="H1236" s="46" t="str">
        <f>CONCATENATE(SIP[[#This Row],[Frequency]],SIP[[#This Row],[Investor ID]])</f>
        <v>53A00088</v>
      </c>
      <c r="I1236" s="46" t="str">
        <f>IF(SIP[[#This Row],[B/S]]="B","BUY",(IF(SIP[[#This Row],[B/S]]="S","SELL"," ")))</f>
        <v>BUY</v>
      </c>
      <c r="J1236" s="150" t="s">
        <v>1229</v>
      </c>
      <c r="K1236" s="153">
        <v>6000</v>
      </c>
      <c r="L1236" s="122"/>
      <c r="M1236" s="123">
        <f>SIP[[#This Row],[Amount]]/SIP[[#This Row],[Unit]]</f>
        <v>12.552301255230125</v>
      </c>
      <c r="N1236" s="71">
        <f>SIP[[#This Row],[Unit Capital]]/10</f>
        <v>478</v>
      </c>
      <c r="O1236" s="71">
        <f>SUMIFS(SIP[[#Headers],[Unit]]:SIP[[#This Row],[Unit]],SIP[[#Headers],[Investor ID]]:SIP[[#This Row],[Investor ID]],SIP[[#This Row],[Investor ID]])</f>
        <v>65206</v>
      </c>
      <c r="P1236" s="153">
        <v>4780</v>
      </c>
      <c r="Q1236" s="74">
        <f>SIP[[#This Row],[Amount]]-SIP[[#This Row],[Unit Capital]]</f>
        <v>1220</v>
      </c>
      <c r="R12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11.532681041621935</v>
      </c>
      <c r="S1236" s="46">
        <f t="shared" si="58"/>
        <v>14.224</v>
      </c>
      <c r="T12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6" s="74">
        <f t="array" ref="U1236">IF(SIP[[#This Row],[B/S]]="S",ABS(SIP[[#This Row],[Unit]])*(INDEX(SIP[NAV at Cost (Average)],MATCH(CONCATENATE((SIP[[#This Row],[Frequency]]-1),SIP[[#This Row],[Investor ID]]),SIP[Unique Code],0),0)),0)</f>
        <v>0</v>
      </c>
      <c r="V1236" s="74">
        <f>IF(SIP[[#This Row],[BO TRANSFER]]="YES",SIP[[#This Row],[Unit]],)</f>
        <v>0</v>
      </c>
      <c r="W1236" s="74">
        <f>SUMIFS(SIP[[#Headers],[BO UNIT TRANSFER]]:SIP[[#This Row],[BO UNIT TRANSFER]],SIP[[#Headers],[Investor ID]]:SIP[[#This Row],[Investor ID]],SIP[[#This Row],[Investor ID]])</f>
        <v>0</v>
      </c>
    </row>
    <row r="1237" spans="1:23" ht="15" customHeight="1">
      <c r="A1237" s="46">
        <v>2025</v>
      </c>
      <c r="B1237" s="46">
        <v>6</v>
      </c>
      <c r="C1237" s="46">
        <v>26</v>
      </c>
      <c r="D1237" s="65">
        <f>DATE(SIP[[#This Row],[Year]],SIP[[#This Row],[Month]],SIP[[#This Row],[Day]])</f>
        <v>45834</v>
      </c>
      <c r="E1237" s="66" t="str">
        <f t="array" ref="E1237">INDEX(INVESTORS_LIST[INVESTOR NAME],MATCH(SIP[[#This Row],[Investor ID]],INVESTORS_LIST[INVESTOR CODE],0),)</f>
        <v>MAYA RANI SAHA</v>
      </c>
      <c r="F1237" s="46" t="s">
        <v>224</v>
      </c>
      <c r="G1237" s="46">
        <f>COUNTIF(SIP[[#Headers],[Investor ID]]:SIP[[#This Row],[Investor ID]],SIP[[#This Row],[Investor ID]])</f>
        <v>54</v>
      </c>
      <c r="H1237" s="46" t="str">
        <f>CONCATENATE(SIP[[#This Row],[Frequency]],SIP[[#This Row],[Investor ID]])</f>
        <v>54A00088</v>
      </c>
      <c r="I1237" s="46" t="str">
        <f>IF(SIP[[#This Row],[B/S]]="B","BUY",(IF(SIP[[#This Row],[B/S]]="S","SELL"," ")))</f>
        <v>BUY</v>
      </c>
      <c r="J1237" s="150" t="s">
        <v>1229</v>
      </c>
      <c r="K1237" s="153">
        <v>10000</v>
      </c>
      <c r="L1237" s="122"/>
      <c r="M1237" s="123">
        <f>SIP[[#This Row],[Amount]]/SIP[[#This Row],[Unit]]</f>
        <v>12.547051442910917</v>
      </c>
      <c r="N1237" s="71">
        <f>SIP[[#This Row],[Unit Capital]]/10</f>
        <v>797</v>
      </c>
      <c r="O1237" s="71">
        <f>SUMIFS(SIP[[#Headers],[Unit]]:SIP[[#This Row],[Unit]],SIP[[#Headers],[Investor ID]]:SIP[[#This Row],[Investor ID]],SIP[[#This Row],[Investor ID]])</f>
        <v>66003</v>
      </c>
      <c r="P1237" s="153">
        <v>7970</v>
      </c>
      <c r="Q1237" s="74">
        <f>SIP[[#This Row],[Amount]]-SIP[[#This Row],[Unit Capital]]</f>
        <v>2030</v>
      </c>
      <c r="R12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11.544929775919275</v>
      </c>
      <c r="S1237" s="46">
        <f t="shared" si="58"/>
        <v>14.224</v>
      </c>
      <c r="T12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7" s="74">
        <f t="array" ref="U1237">IF(SIP[[#This Row],[B/S]]="S",ABS(SIP[[#This Row],[Unit]])*(INDEX(SIP[NAV at Cost (Average)],MATCH(CONCATENATE((SIP[[#This Row],[Frequency]]-1),SIP[[#This Row],[Investor ID]]),SIP[Unique Code],0),0)),0)</f>
        <v>0</v>
      </c>
      <c r="V1237" s="74">
        <f>IF(SIP[[#This Row],[BO TRANSFER]]="YES",SIP[[#This Row],[Unit]],)</f>
        <v>0</v>
      </c>
      <c r="W1237" s="74">
        <f>SUMIFS(SIP[[#Headers],[BO UNIT TRANSFER]]:SIP[[#This Row],[BO UNIT TRANSFER]],SIP[[#Headers],[Investor ID]]:SIP[[#This Row],[Investor ID]],SIP[[#This Row],[Investor ID]])</f>
        <v>0</v>
      </c>
    </row>
    <row r="1238" spans="1:23" ht="15" customHeight="1">
      <c r="A1238" s="46">
        <v>2025</v>
      </c>
      <c r="B1238" s="46">
        <v>6</v>
      </c>
      <c r="C1238" s="46">
        <v>26</v>
      </c>
      <c r="D1238" s="65">
        <f>DATE(SIP[[#This Row],[Year]],SIP[[#This Row],[Month]],SIP[[#This Row],[Day]])</f>
        <v>45834</v>
      </c>
      <c r="E1238" s="66" t="str">
        <f t="array" ref="E1238">INDEX(INVESTORS_LIST[INVESTOR NAME],MATCH(SIP[[#This Row],[Investor ID]],INVESTORS_LIST[INVESTOR CODE],0),)</f>
        <v>SWADESH RANJAN SAHA</v>
      </c>
      <c r="F1238" s="46" t="s">
        <v>234</v>
      </c>
      <c r="G1238" s="46">
        <f>COUNTIF(SIP[[#Headers],[Investor ID]]:SIP[[#This Row],[Investor ID]],SIP[[#This Row],[Investor ID]])</f>
        <v>7</v>
      </c>
      <c r="H1238" s="46" t="str">
        <f>CONCATENATE(SIP[[#This Row],[Frequency]],SIP[[#This Row],[Investor ID]])</f>
        <v>7A00093</v>
      </c>
      <c r="I1238" s="46" t="str">
        <f>IF(SIP[[#This Row],[B/S]]="B","BUY",(IF(SIP[[#This Row],[B/S]]="S","SELL"," ")))</f>
        <v>BUY</v>
      </c>
      <c r="J1238" s="150" t="s">
        <v>1229</v>
      </c>
      <c r="K1238" s="153">
        <v>50000</v>
      </c>
      <c r="L1238" s="122"/>
      <c r="M1238" s="123">
        <f>SIP[[#This Row],[Amount]]/SIP[[#This Row],[Unit]]</f>
        <v>12.54075746175069</v>
      </c>
      <c r="N1238" s="71">
        <f>SIP[[#This Row],[Unit Capital]]/10</f>
        <v>3987</v>
      </c>
      <c r="O1238" s="71">
        <f>SUMIFS(SIP[[#Headers],[Unit]]:SIP[[#This Row],[Unit]],SIP[[#Headers],[Investor ID]]:SIP[[#This Row],[Investor ID]],SIP[[#This Row],[Investor ID]])</f>
        <v>28440</v>
      </c>
      <c r="P1238" s="153">
        <v>39870</v>
      </c>
      <c r="Q1238" s="74">
        <f>SIP[[#This Row],[Amount]]-SIP[[#This Row],[Unit Capital]]</f>
        <v>10130</v>
      </c>
      <c r="R12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12.306610407876228</v>
      </c>
      <c r="S1238" s="46">
        <f t="shared" si="58"/>
        <v>14.224</v>
      </c>
      <c r="T12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8" s="74">
        <f t="array" ref="U1238">IF(SIP[[#This Row],[B/S]]="S",ABS(SIP[[#This Row],[Unit]])*(INDEX(SIP[NAV at Cost (Average)],MATCH(CONCATENATE((SIP[[#This Row],[Frequency]]-1),SIP[[#This Row],[Investor ID]]),SIP[Unique Code],0),0)),0)</f>
        <v>0</v>
      </c>
      <c r="V1238" s="74">
        <f>IF(SIP[[#This Row],[BO TRANSFER]]="YES",SIP[[#This Row],[Unit]],)</f>
        <v>0</v>
      </c>
      <c r="W1238" s="74">
        <f>SUMIFS(SIP[[#Headers],[BO UNIT TRANSFER]]:SIP[[#This Row],[BO UNIT TRANSFER]],SIP[[#Headers],[Investor ID]]:SIP[[#This Row],[Investor ID]],SIP[[#This Row],[Investor ID]])</f>
        <v>0</v>
      </c>
    </row>
    <row r="1239" spans="1:23" ht="15" customHeight="1">
      <c r="A1239" s="46">
        <v>2025</v>
      </c>
      <c r="B1239" s="46">
        <v>6</v>
      </c>
      <c r="C1239" s="46">
        <v>26</v>
      </c>
      <c r="D1239" s="65">
        <f>DATE(SIP[[#This Row],[Year]],SIP[[#This Row],[Month]],SIP[[#This Row],[Day]])</f>
        <v>45834</v>
      </c>
      <c r="E1239" s="66" t="str">
        <f t="array" ref="E1239">INDEX(INVESTORS_LIST[INVESTOR NAME],MATCH(SIP[[#This Row],[Investor ID]],INVESTORS_LIST[INVESTOR CODE],0),)</f>
        <v>BALARAM CHANDRA SAHA</v>
      </c>
      <c r="F1239" s="46" t="s">
        <v>505</v>
      </c>
      <c r="G1239" s="46">
        <f>COUNTIF(SIP[[#Headers],[Investor ID]]:SIP[[#This Row],[Investor ID]],SIP[[#This Row],[Investor ID]])</f>
        <v>3</v>
      </c>
      <c r="H1239" s="46" t="str">
        <f>CONCATENATE(SIP[[#This Row],[Frequency]],SIP[[#This Row],[Investor ID]])</f>
        <v>3A00228</v>
      </c>
      <c r="I1239" s="46" t="str">
        <f>IF(SIP[[#This Row],[B/S]]="B","BUY",(IF(SIP[[#This Row],[B/S]]="S","SELL"," ")))</f>
        <v>BUY</v>
      </c>
      <c r="J1239" s="150" t="s">
        <v>1229</v>
      </c>
      <c r="K1239" s="153">
        <v>25000</v>
      </c>
      <c r="L1239" s="122"/>
      <c r="M1239" s="123">
        <f>SIP[[#This Row],[Amount]]/SIP[[#This Row],[Unit]]</f>
        <v>12.54390366281987</v>
      </c>
      <c r="N1239" s="71">
        <f>SIP[[#This Row],[Unit Capital]]/10</f>
        <v>1993</v>
      </c>
      <c r="O1239" s="71">
        <f>SUMIFS(SIP[[#Headers],[Unit]]:SIP[[#This Row],[Unit]],SIP[[#Headers],[Investor ID]]:SIP[[#This Row],[Investor ID]],SIP[[#This Row],[Investor ID]])</f>
        <v>8030</v>
      </c>
      <c r="P1239" s="153">
        <v>19930</v>
      </c>
      <c r="Q1239" s="74">
        <f>SIP[[#This Row],[Amount]]-SIP[[#This Row],[Unit Capital]]</f>
        <v>5070</v>
      </c>
      <c r="R12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12.453300124533001</v>
      </c>
      <c r="S1239" s="46">
        <f t="shared" si="58"/>
        <v>14.224</v>
      </c>
      <c r="T12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39" s="74">
        <f t="array" ref="U1239">IF(SIP[[#This Row],[B/S]]="S",ABS(SIP[[#This Row],[Unit]])*(INDEX(SIP[NAV at Cost (Average)],MATCH(CONCATENATE((SIP[[#This Row],[Frequency]]-1),SIP[[#This Row],[Investor ID]]),SIP[Unique Code],0),0)),0)</f>
        <v>0</v>
      </c>
      <c r="V1239" s="74">
        <f>IF(SIP[[#This Row],[BO TRANSFER]]="YES",SIP[[#This Row],[Unit]],)</f>
        <v>0</v>
      </c>
      <c r="W1239" s="74">
        <f>SUMIFS(SIP[[#Headers],[BO UNIT TRANSFER]]:SIP[[#This Row],[BO UNIT TRANSFER]],SIP[[#Headers],[Investor ID]]:SIP[[#This Row],[Investor ID]],SIP[[#This Row],[Investor ID]])</f>
        <v>0</v>
      </c>
    </row>
    <row r="1240" spans="1:23" ht="15" customHeight="1">
      <c r="A1240" s="46">
        <v>2025</v>
      </c>
      <c r="B1240" s="46">
        <v>6</v>
      </c>
      <c r="C1240" s="46">
        <v>26</v>
      </c>
      <c r="D1240" s="65">
        <f>DATE(SIP[[#This Row],[Year]],SIP[[#This Row],[Month]],SIP[[#This Row],[Day]])</f>
        <v>45834</v>
      </c>
      <c r="E1240" s="66" t="str">
        <f t="array" ref="E1240">INDEX(INVESTORS_LIST[INVESTOR NAME],MATCH(SIP[[#This Row],[Investor ID]],INVESTORS_LIST[INVESTOR CODE],0),)</f>
        <v>MAHBUB-UL-ANAM KHAN</v>
      </c>
      <c r="F1240" s="46" t="s">
        <v>626</v>
      </c>
      <c r="G1240" s="46">
        <f>COUNTIF(SIP[[#Headers],[Investor ID]]:SIP[[#This Row],[Investor ID]],SIP[[#This Row],[Investor ID]])</f>
        <v>11</v>
      </c>
      <c r="H1240" s="46" t="str">
        <f>CONCATENATE(SIP[[#This Row],[Frequency]],SIP[[#This Row],[Investor ID]])</f>
        <v>11A00289</v>
      </c>
      <c r="I1240" s="46" t="str">
        <f>IF(SIP[[#This Row],[B/S]]="B","BUY",(IF(SIP[[#This Row],[B/S]]="S","SELL"," ")))</f>
        <v>BUY</v>
      </c>
      <c r="J1240" s="150" t="s">
        <v>1229</v>
      </c>
      <c r="K1240" s="153">
        <v>5000</v>
      </c>
      <c r="L1240" s="122"/>
      <c r="M1240" s="123">
        <f>SIP[[#This Row],[Amount]]/SIP[[#This Row],[Unit]]</f>
        <v>12.531328320802006</v>
      </c>
      <c r="N1240" s="71">
        <f>SIP[[#This Row],[Unit Capital]]/10</f>
        <v>399</v>
      </c>
      <c r="O1240" s="71">
        <f>SUMIFS(SIP[[#Headers],[Unit]]:SIP[[#This Row],[Unit]],SIP[[#Headers],[Investor ID]]:SIP[[#This Row],[Investor ID]],SIP[[#This Row],[Investor ID]])</f>
        <v>4581</v>
      </c>
      <c r="P1240" s="153">
        <v>3990</v>
      </c>
      <c r="Q1240" s="74">
        <f>SIP[[#This Row],[Amount]]-SIP[[#This Row],[Unit Capital]]</f>
        <v>1010</v>
      </c>
      <c r="R12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12.006112202575855</v>
      </c>
      <c r="S1240" s="46">
        <f t="shared" si="58"/>
        <v>14.224</v>
      </c>
      <c r="T12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0" s="74">
        <f t="array" ref="U1240">IF(SIP[[#This Row],[B/S]]="S",ABS(SIP[[#This Row],[Unit]])*(INDEX(SIP[NAV at Cost (Average)],MATCH(CONCATENATE((SIP[[#This Row],[Frequency]]-1),SIP[[#This Row],[Investor ID]]),SIP[Unique Code],0),0)),0)</f>
        <v>0</v>
      </c>
      <c r="V1240" s="74">
        <f>IF(SIP[[#This Row],[BO TRANSFER]]="YES",SIP[[#This Row],[Unit]],)</f>
        <v>0</v>
      </c>
      <c r="W1240" s="74">
        <f>SUMIFS(SIP[[#Headers],[BO UNIT TRANSFER]]:SIP[[#This Row],[BO UNIT TRANSFER]],SIP[[#Headers],[Investor ID]]:SIP[[#This Row],[Investor ID]],SIP[[#This Row],[Investor ID]])</f>
        <v>0</v>
      </c>
    </row>
    <row r="1241" spans="1:23" ht="15" customHeight="1">
      <c r="A1241" s="46">
        <v>2025</v>
      </c>
      <c r="B1241" s="46">
        <v>6</v>
      </c>
      <c r="C1241" s="46">
        <v>26</v>
      </c>
      <c r="D1241" s="65">
        <f>DATE(SIP[[#This Row],[Year]],SIP[[#This Row],[Month]],SIP[[#This Row],[Day]])</f>
        <v>45834</v>
      </c>
      <c r="E1241" s="66" t="str">
        <f t="array" ref="E1241">INDEX(INVESTORS_LIST[INVESTOR NAME],MATCH(SIP[[#This Row],[Investor ID]],INVESTORS_LIST[INVESTOR CODE],0),)</f>
        <v>MD ABDULLAH-AL- MAMUN</v>
      </c>
      <c r="F1241" s="46" t="s">
        <v>533</v>
      </c>
      <c r="G1241" s="46">
        <f>COUNTIF(SIP[[#Headers],[Investor ID]]:SIP[[#This Row],[Investor ID]],SIP[[#This Row],[Investor ID]])</f>
        <v>21</v>
      </c>
      <c r="H1241" s="46" t="str">
        <f>CONCATENATE(SIP[[#This Row],[Frequency]],SIP[[#This Row],[Investor ID]])</f>
        <v>21A00242</v>
      </c>
      <c r="I1241" s="46" t="str">
        <f>IF(SIP[[#This Row],[B/S]]="B","BUY",(IF(SIP[[#This Row],[B/S]]="S","SELL"," ")))</f>
        <v>BUY</v>
      </c>
      <c r="J1241" s="150" t="s">
        <v>1229</v>
      </c>
      <c r="K1241" s="153">
        <v>10000</v>
      </c>
      <c r="L1241" s="122"/>
      <c r="M1241" s="123">
        <f>SIP[[#This Row],[Amount]]/SIP[[#This Row],[Unit]]</f>
        <v>12.547051442910917</v>
      </c>
      <c r="N1241" s="71">
        <f>SIP[[#This Row],[Unit Capital]]/10</f>
        <v>797</v>
      </c>
      <c r="O1241" s="71">
        <f>SUMIFS(SIP[[#Headers],[Unit]]:SIP[[#This Row],[Unit]],SIP[[#Headers],[Investor ID]]:SIP[[#This Row],[Investor ID]],SIP[[#This Row],[Investor ID]])</f>
        <v>27151</v>
      </c>
      <c r="P1241" s="153">
        <v>7970</v>
      </c>
      <c r="Q1241" s="74">
        <f>SIP[[#This Row],[Amount]]-SIP[[#This Row],[Unit Capital]]</f>
        <v>2030</v>
      </c>
      <c r="R12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11.417627343375941</v>
      </c>
      <c r="S1241" s="46">
        <f t="shared" si="58"/>
        <v>14.224</v>
      </c>
      <c r="T12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1" s="74">
        <f t="array" ref="U1241">IF(SIP[[#This Row],[B/S]]="S",ABS(SIP[[#This Row],[Unit]])*(INDEX(SIP[NAV at Cost (Average)],MATCH(CONCATENATE((SIP[[#This Row],[Frequency]]-1),SIP[[#This Row],[Investor ID]]),SIP[Unique Code],0),0)),0)</f>
        <v>0</v>
      </c>
      <c r="V1241" s="74">
        <f>IF(SIP[[#This Row],[BO TRANSFER]]="YES",SIP[[#This Row],[Unit]],)</f>
        <v>0</v>
      </c>
      <c r="W1241" s="74">
        <f>SUMIFS(SIP[[#Headers],[BO UNIT TRANSFER]]:SIP[[#This Row],[BO UNIT TRANSFER]],SIP[[#Headers],[Investor ID]]:SIP[[#This Row],[Investor ID]],SIP[[#This Row],[Investor ID]])</f>
        <v>0</v>
      </c>
    </row>
    <row r="1242" spans="1:23" ht="15" customHeight="1">
      <c r="A1242" s="46">
        <v>2025</v>
      </c>
      <c r="B1242" s="46">
        <v>6</v>
      </c>
      <c r="C1242" s="46">
        <v>26</v>
      </c>
      <c r="D1242" s="65">
        <f>DATE(SIP[[#This Row],[Year]],SIP[[#This Row],[Month]],SIP[[#This Row],[Day]])</f>
        <v>45834</v>
      </c>
      <c r="E1242" s="66" t="str">
        <f t="array" ref="E1242">INDEX(INVESTORS_LIST[INVESTOR NAME],MATCH(SIP[[#This Row],[Investor ID]],INVESTORS_LIST[INVESTOR CODE],0),)</f>
        <v>MAHFUZUL ISLAM &amp; HUMAIRA TABASSUM READDHE</v>
      </c>
      <c r="F1242" s="46" t="s">
        <v>1315</v>
      </c>
      <c r="G1242" s="46">
        <f>COUNTIF(SIP[[#Headers],[Investor ID]]:SIP[[#This Row],[Investor ID]],SIP[[#This Row],[Investor ID]])</f>
        <v>3</v>
      </c>
      <c r="H1242" s="46" t="str">
        <f>CONCATENATE(SIP[[#This Row],[Frequency]],SIP[[#This Row],[Investor ID]])</f>
        <v>3A00605</v>
      </c>
      <c r="I1242" s="46" t="str">
        <f>IF(SIP[[#This Row],[B/S]]="B","BUY",(IF(SIP[[#This Row],[B/S]]="S","SELL"," ")))</f>
        <v>BUY</v>
      </c>
      <c r="J1242" s="150" t="s">
        <v>1229</v>
      </c>
      <c r="K1242" s="153">
        <v>18140</v>
      </c>
      <c r="L1242" s="122"/>
      <c r="M1242" s="123">
        <f>SIP[[#This Row],[Amount]]/SIP[[#This Row],[Unit]]</f>
        <v>12.544951590594744</v>
      </c>
      <c r="N1242" s="71">
        <f>SIP[[#This Row],[Unit Capital]]/10</f>
        <v>1446</v>
      </c>
      <c r="O1242" s="71">
        <f>SUMIFS(SIP[[#Headers],[Unit]]:SIP[[#This Row],[Unit]],SIP[[#Headers],[Investor ID]]:SIP[[#This Row],[Investor ID]],SIP[[#This Row],[Investor ID]])</f>
        <v>4372</v>
      </c>
      <c r="P1242" s="153">
        <v>14460</v>
      </c>
      <c r="Q1242" s="74">
        <f>SIP[[#This Row],[Amount]]-SIP[[#This Row],[Unit Capital]]</f>
        <v>3680</v>
      </c>
      <c r="R12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12.447392497712718</v>
      </c>
      <c r="S1242" s="46">
        <f t="shared" si="58"/>
        <v>14.224</v>
      </c>
      <c r="T12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2" s="74">
        <f t="array" ref="U1242">IF(SIP[[#This Row],[B/S]]="S",ABS(SIP[[#This Row],[Unit]])*(INDEX(SIP[NAV at Cost (Average)],MATCH(CONCATENATE((SIP[[#This Row],[Frequency]]-1),SIP[[#This Row],[Investor ID]]),SIP[Unique Code],0),0)),0)</f>
        <v>0</v>
      </c>
      <c r="V1242" s="74">
        <f>IF(SIP[[#This Row],[BO TRANSFER]]="YES",SIP[[#This Row],[Unit]],)</f>
        <v>0</v>
      </c>
      <c r="W1242" s="74">
        <f>SUMIFS(SIP[[#Headers],[BO UNIT TRANSFER]]:SIP[[#This Row],[BO UNIT TRANSFER]],SIP[[#Headers],[Investor ID]]:SIP[[#This Row],[Investor ID]],SIP[[#This Row],[Investor ID]])</f>
        <v>0</v>
      </c>
    </row>
    <row r="1243" spans="1:23" ht="15" customHeight="1">
      <c r="A1243" s="46">
        <v>2025</v>
      </c>
      <c r="B1243" s="46">
        <v>6</v>
      </c>
      <c r="C1243" s="46">
        <v>26</v>
      </c>
      <c r="D1243" s="65">
        <f>DATE(SIP[[#This Row],[Year]],SIP[[#This Row],[Month]],SIP[[#This Row],[Day]])</f>
        <v>45834</v>
      </c>
      <c r="E1243" s="66" t="str">
        <f t="array" ref="E1243">INDEX(INVESTORS_LIST[INVESTOR NAME],MATCH(SIP[[#This Row],[Investor ID]],INVESTORS_LIST[INVESTOR CODE],0),)</f>
        <v>TANVIR HASAN</v>
      </c>
      <c r="F1243" s="46" t="s">
        <v>561</v>
      </c>
      <c r="G1243" s="46">
        <f>COUNTIF(SIP[[#Headers],[Investor ID]]:SIP[[#This Row],[Investor ID]],SIP[[#This Row],[Investor ID]])</f>
        <v>3</v>
      </c>
      <c r="H1243" s="46" t="str">
        <f>CONCATENATE(SIP[[#This Row],[Frequency]],SIP[[#This Row],[Investor ID]])</f>
        <v>3A00256</v>
      </c>
      <c r="I1243" s="46" t="str">
        <f>IF(SIP[[#This Row],[B/S]]="B","BUY",(IF(SIP[[#This Row],[B/S]]="S","SELL"," ")))</f>
        <v>BUY</v>
      </c>
      <c r="J1243" s="150" t="s">
        <v>1229</v>
      </c>
      <c r="K1243" s="153">
        <v>10000</v>
      </c>
      <c r="L1243" s="122"/>
      <c r="M1243" s="123">
        <f>SIP[[#This Row],[Amount]]/SIP[[#This Row],[Unit]]</f>
        <v>12.547051442910917</v>
      </c>
      <c r="N1243" s="71">
        <f>SIP[[#This Row],[Unit Capital]]/10</f>
        <v>797</v>
      </c>
      <c r="O1243" s="71">
        <f>SUMIFS(SIP[[#Headers],[Unit]]:SIP[[#This Row],[Unit]],SIP[[#Headers],[Investor ID]]:SIP[[#This Row],[Investor ID]],SIP[[#This Row],[Investor ID]])</f>
        <v>2410</v>
      </c>
      <c r="P1243" s="153">
        <v>7970</v>
      </c>
      <c r="Q1243" s="74">
        <f>SIP[[#This Row],[Amount]]-SIP[[#This Row],[Unit Capital]]</f>
        <v>2030</v>
      </c>
      <c r="R12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12.44813278008299</v>
      </c>
      <c r="S1243" s="46">
        <f t="shared" si="58"/>
        <v>14.224</v>
      </c>
      <c r="T12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3" s="74">
        <f t="array" ref="U1243">IF(SIP[[#This Row],[B/S]]="S",ABS(SIP[[#This Row],[Unit]])*(INDEX(SIP[NAV at Cost (Average)],MATCH(CONCATENATE((SIP[[#This Row],[Frequency]]-1),SIP[[#This Row],[Investor ID]]),SIP[Unique Code],0),0)),0)</f>
        <v>0</v>
      </c>
      <c r="V1243" s="74">
        <f>IF(SIP[[#This Row],[BO TRANSFER]]="YES",SIP[[#This Row],[Unit]],)</f>
        <v>0</v>
      </c>
      <c r="W1243" s="74">
        <f>SUMIFS(SIP[[#Headers],[BO UNIT TRANSFER]]:SIP[[#This Row],[BO UNIT TRANSFER]],SIP[[#Headers],[Investor ID]]:SIP[[#This Row],[Investor ID]],SIP[[#This Row],[Investor ID]])</f>
        <v>0</v>
      </c>
    </row>
    <row r="1244" spans="1:23" ht="15" customHeight="1">
      <c r="A1244" s="46">
        <v>2025</v>
      </c>
      <c r="B1244" s="46">
        <v>6</v>
      </c>
      <c r="C1244" s="46">
        <v>26</v>
      </c>
      <c r="D1244" s="65">
        <f>DATE(SIP[[#This Row],[Year]],SIP[[#This Row],[Month]],SIP[[#This Row],[Day]])</f>
        <v>45834</v>
      </c>
      <c r="E1244" s="66" t="str">
        <f t="array" ref="E1244">INDEX(INVESTORS_LIST[INVESTOR NAME],MATCH(SIP[[#This Row],[Investor ID]],INVESTORS_LIST[INVESTOR CODE],0),)</f>
        <v>RUMA AKTER</v>
      </c>
      <c r="F1244" s="46" t="s">
        <v>1323</v>
      </c>
      <c r="G1244" s="46">
        <f>COUNTIF(SIP[[#Headers],[Investor ID]]:SIP[[#This Row],[Investor ID]],SIP[[#This Row],[Investor ID]])</f>
        <v>3</v>
      </c>
      <c r="H1244" s="46" t="str">
        <f>CONCATENATE(SIP[[#This Row],[Frequency]],SIP[[#This Row],[Investor ID]])</f>
        <v>3A00608</v>
      </c>
      <c r="I1244" s="46" t="str">
        <f>IF(SIP[[#This Row],[B/S]]="B","BUY",(IF(SIP[[#This Row],[B/S]]="S","SELL"," ")))</f>
        <v>BUY</v>
      </c>
      <c r="J1244" s="150" t="s">
        <v>1229</v>
      </c>
      <c r="K1244" s="153">
        <v>1000</v>
      </c>
      <c r="L1244" s="122"/>
      <c r="M1244" s="123">
        <f>SIP[[#This Row],[Amount]]/SIP[[#This Row],[Unit]]</f>
        <v>12.5</v>
      </c>
      <c r="N1244" s="71">
        <f>SIP[[#This Row],[Unit Capital]]/10</f>
        <v>80</v>
      </c>
      <c r="O1244" s="71">
        <f>SUMIFS(SIP[[#Headers],[Unit]]:SIP[[#This Row],[Unit]],SIP[[#Headers],[Investor ID]]:SIP[[#This Row],[Investor ID]],SIP[[#This Row],[Investor ID]])</f>
        <v>241</v>
      </c>
      <c r="P1244" s="153">
        <v>800</v>
      </c>
      <c r="Q1244" s="74">
        <f>SIP[[#This Row],[Amount]]-SIP[[#This Row],[Unit Capital]]</f>
        <v>200</v>
      </c>
      <c r="R12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12.448132780082986</v>
      </c>
      <c r="S1244" s="46">
        <f t="shared" si="58"/>
        <v>14.224</v>
      </c>
      <c r="T12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4" s="74">
        <f t="array" ref="U1244">IF(SIP[[#This Row],[B/S]]="S",ABS(SIP[[#This Row],[Unit]])*(INDEX(SIP[NAV at Cost (Average)],MATCH(CONCATENATE((SIP[[#This Row],[Frequency]]-1),SIP[[#This Row],[Investor ID]]),SIP[Unique Code],0),0)),0)</f>
        <v>0</v>
      </c>
      <c r="V1244" s="74">
        <f>IF(SIP[[#This Row],[BO TRANSFER]]="YES",SIP[[#This Row],[Unit]],)</f>
        <v>0</v>
      </c>
      <c r="W1244" s="74">
        <f>SUMIFS(SIP[[#Headers],[BO UNIT TRANSFER]]:SIP[[#This Row],[BO UNIT TRANSFER]],SIP[[#Headers],[Investor ID]]:SIP[[#This Row],[Investor ID]],SIP[[#This Row],[Investor ID]])</f>
        <v>0</v>
      </c>
    </row>
    <row r="1245" spans="1:23" ht="15" customHeight="1">
      <c r="A1245" s="46">
        <v>2025</v>
      </c>
      <c r="B1245" s="46">
        <v>6</v>
      </c>
      <c r="C1245" s="46">
        <v>26</v>
      </c>
      <c r="D1245" s="65">
        <f>DATE(SIP[[#This Row],[Year]],SIP[[#This Row],[Month]],SIP[[#This Row],[Day]])</f>
        <v>45834</v>
      </c>
      <c r="E1245" s="66" t="str">
        <f t="array" ref="E1245">INDEX(INVESTORS_LIST[INVESTOR NAME],MATCH(SIP[[#This Row],[Investor ID]],INVESTORS_LIST[INVESTOR CODE],0),)</f>
        <v>RAJIB</v>
      </c>
      <c r="F1245" s="46" t="s">
        <v>1321</v>
      </c>
      <c r="G1245" s="46">
        <f>COUNTIF(SIP[[#Headers],[Investor ID]]:SIP[[#This Row],[Investor ID]],SIP[[#This Row],[Investor ID]])</f>
        <v>3</v>
      </c>
      <c r="H1245" s="46" t="str">
        <f>CONCATENATE(SIP[[#This Row],[Frequency]],SIP[[#This Row],[Investor ID]])</f>
        <v>3A00607</v>
      </c>
      <c r="I1245" s="46" t="str">
        <f>IF(SIP[[#This Row],[B/S]]="B","BUY",(IF(SIP[[#This Row],[B/S]]="S","SELL"," ")))</f>
        <v>BUY</v>
      </c>
      <c r="J1245" s="150" t="s">
        <v>1229</v>
      </c>
      <c r="K1245" s="153">
        <v>1000</v>
      </c>
      <c r="L1245" s="122"/>
      <c r="M1245" s="123">
        <f>SIP[[#This Row],[Amount]]/SIP[[#This Row],[Unit]]</f>
        <v>12.5</v>
      </c>
      <c r="N1245" s="71">
        <f>SIP[[#This Row],[Unit Capital]]/10</f>
        <v>80</v>
      </c>
      <c r="O1245" s="71">
        <f>SUMIFS(SIP[[#Headers],[Unit]]:SIP[[#This Row],[Unit]],SIP[[#Headers],[Investor ID]]:SIP[[#This Row],[Investor ID]],SIP[[#This Row],[Investor ID]])</f>
        <v>241</v>
      </c>
      <c r="P1245" s="153">
        <v>800</v>
      </c>
      <c r="Q1245" s="74">
        <f>SIP[[#This Row],[Amount]]-SIP[[#This Row],[Unit Capital]]</f>
        <v>200</v>
      </c>
      <c r="R12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12.448132780082986</v>
      </c>
      <c r="S1245" s="46">
        <f t="shared" si="58"/>
        <v>14.224</v>
      </c>
      <c r="T12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5" s="74">
        <f t="array" ref="U1245">IF(SIP[[#This Row],[B/S]]="S",ABS(SIP[[#This Row],[Unit]])*(INDEX(SIP[NAV at Cost (Average)],MATCH(CONCATENATE((SIP[[#This Row],[Frequency]]-1),SIP[[#This Row],[Investor ID]]),SIP[Unique Code],0),0)),0)</f>
        <v>0</v>
      </c>
      <c r="V1245" s="74">
        <f>IF(SIP[[#This Row],[BO TRANSFER]]="YES",SIP[[#This Row],[Unit]],)</f>
        <v>0</v>
      </c>
      <c r="W1245" s="74">
        <f>SUMIFS(SIP[[#Headers],[BO UNIT TRANSFER]]:SIP[[#This Row],[BO UNIT TRANSFER]],SIP[[#Headers],[Investor ID]]:SIP[[#This Row],[Investor ID]],SIP[[#This Row],[Investor ID]])</f>
        <v>0</v>
      </c>
    </row>
    <row r="1246" spans="1:23" ht="15" customHeight="1">
      <c r="A1246" s="46">
        <v>2025</v>
      </c>
      <c r="B1246" s="46">
        <v>6</v>
      </c>
      <c r="C1246" s="46">
        <v>26</v>
      </c>
      <c r="D1246" s="65">
        <f>DATE(SIP[[#This Row],[Year]],SIP[[#This Row],[Month]],SIP[[#This Row],[Day]])</f>
        <v>45834</v>
      </c>
      <c r="E1246" s="66" t="str">
        <f t="array" ref="E1246">INDEX(INVESTORS_LIST[INVESTOR NAME],MATCH(SIP[[#This Row],[Investor ID]],INVESTORS_LIST[INVESTOR CODE],0),)</f>
        <v>MONIR AHMED</v>
      </c>
      <c r="F1246" s="46" t="s">
        <v>125</v>
      </c>
      <c r="G1246" s="46">
        <f>COUNTIF(SIP[[#Headers],[Investor ID]]:SIP[[#This Row],[Investor ID]],SIP[[#This Row],[Investor ID]])</f>
        <v>27</v>
      </c>
      <c r="H1246" s="46" t="str">
        <f>CONCATENATE(SIP[[#This Row],[Frequency]],SIP[[#This Row],[Investor ID]])</f>
        <v>27A00039</v>
      </c>
      <c r="I1246" s="46" t="str">
        <f>IF(SIP[[#This Row],[B/S]]="B","BUY",(IF(SIP[[#This Row],[B/S]]="S","SELL"," ")))</f>
        <v>BUY</v>
      </c>
      <c r="J1246" s="150" t="s">
        <v>1229</v>
      </c>
      <c r="K1246" s="153">
        <v>180000</v>
      </c>
      <c r="L1246" s="122"/>
      <c r="M1246" s="123">
        <f>SIP[[#This Row],[Amount]]/SIP[[#This Row],[Unit]]</f>
        <v>12.540932209294224</v>
      </c>
      <c r="N1246" s="71">
        <f>SIP[[#This Row],[Unit Capital]]/10</f>
        <v>14353</v>
      </c>
      <c r="O1246" s="71">
        <f>SUMIFS(SIP[[#Headers],[Unit]]:SIP[[#This Row],[Unit]],SIP[[#Headers],[Investor ID]]:SIP[[#This Row],[Investor ID]],SIP[[#This Row],[Investor ID]])</f>
        <v>17650</v>
      </c>
      <c r="P1246" s="153">
        <v>143530</v>
      </c>
      <c r="Q1246" s="74">
        <f>SIP[[#This Row],[Amount]]-SIP[[#This Row],[Unit Capital]]</f>
        <v>36470</v>
      </c>
      <c r="R12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12.467189739557792</v>
      </c>
      <c r="S1246" s="46">
        <f t="shared" si="58"/>
        <v>14.224</v>
      </c>
      <c r="T12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6" s="74">
        <f t="array" ref="U1246">IF(SIP[[#This Row],[B/S]]="S",ABS(SIP[[#This Row],[Unit]])*(INDEX(SIP[NAV at Cost (Average)],MATCH(CONCATENATE((SIP[[#This Row],[Frequency]]-1),SIP[[#This Row],[Investor ID]]),SIP[Unique Code],0),0)),0)</f>
        <v>0</v>
      </c>
      <c r="V1246" s="74">
        <f>IF(SIP[[#This Row],[BO TRANSFER]]="YES",SIP[[#This Row],[Unit]],)</f>
        <v>0</v>
      </c>
      <c r="W1246" s="74">
        <f>SUMIFS(SIP[[#Headers],[BO UNIT TRANSFER]]:SIP[[#This Row],[BO UNIT TRANSFER]],SIP[[#Headers],[Investor ID]]:SIP[[#This Row],[Investor ID]],SIP[[#This Row],[Investor ID]])</f>
        <v>0</v>
      </c>
    </row>
    <row r="1247" spans="1:23" ht="15" customHeight="1">
      <c r="A1247" s="46">
        <v>2025</v>
      </c>
      <c r="B1247" s="46">
        <v>6</v>
      </c>
      <c r="C1247" s="46">
        <v>26</v>
      </c>
      <c r="D1247" s="65">
        <f>DATE(SIP[[#This Row],[Year]],SIP[[#This Row],[Month]],SIP[[#This Row],[Day]])</f>
        <v>45834</v>
      </c>
      <c r="E1247" s="66" t="str">
        <f t="array" ref="E1247">INDEX(INVESTORS_LIST[INVESTOR NAME],MATCH(SIP[[#This Row],[Investor ID]],INVESTORS_LIST[INVESTOR CODE],0),)</f>
        <v>JUBAIDA FARHANA HAQUE</v>
      </c>
      <c r="F1247" s="46" t="s">
        <v>1065</v>
      </c>
      <c r="G1247" s="46">
        <f>COUNTIF(SIP[[#Headers],[Investor ID]]:SIP[[#This Row],[Investor ID]],SIP[[#This Row],[Investor ID]])</f>
        <v>23</v>
      </c>
      <c r="H1247" s="46" t="str">
        <f>CONCATENATE(SIP[[#This Row],[Frequency]],SIP[[#This Row],[Investor ID]])</f>
        <v>23A00510</v>
      </c>
      <c r="I1247" s="46" t="str">
        <f>IF(SIP[[#This Row],[B/S]]="B","BUY",(IF(SIP[[#This Row],[B/S]]="S","SELL"," ")))</f>
        <v>BUY</v>
      </c>
      <c r="J1247" s="150" t="s">
        <v>1229</v>
      </c>
      <c r="K1247" s="153">
        <v>5000</v>
      </c>
      <c r="L1247" s="122"/>
      <c r="M1247" s="123">
        <f>SIP[[#This Row],[Amount]]/SIP[[#This Row],[Unit]]</f>
        <v>12.531328320802006</v>
      </c>
      <c r="N1247" s="71">
        <f>SIP[[#This Row],[Unit Capital]]/10</f>
        <v>399</v>
      </c>
      <c r="O1247" s="71">
        <f>SUMIFS(SIP[[#Headers],[Unit]]:SIP[[#This Row],[Unit]],SIP[[#Headers],[Investor ID]]:SIP[[#This Row],[Investor ID]],SIP[[#This Row],[Investor ID]])</f>
        <v>9185</v>
      </c>
      <c r="P1247" s="153">
        <v>3990</v>
      </c>
      <c r="Q1247" s="74">
        <f>SIP[[#This Row],[Amount]]-SIP[[#This Row],[Unit Capital]]</f>
        <v>1010</v>
      </c>
      <c r="R12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11.433399332679638</v>
      </c>
      <c r="S1247" s="46">
        <f t="shared" si="58"/>
        <v>14.224</v>
      </c>
      <c r="T12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7" s="74">
        <f t="array" ref="U1247">IF(SIP[[#This Row],[B/S]]="S",ABS(SIP[[#This Row],[Unit]])*(INDEX(SIP[NAV at Cost (Average)],MATCH(CONCATENATE((SIP[[#This Row],[Frequency]]-1),SIP[[#This Row],[Investor ID]]),SIP[Unique Code],0),0)),0)</f>
        <v>0</v>
      </c>
      <c r="V1247" s="74">
        <f>IF(SIP[[#This Row],[BO TRANSFER]]="YES",SIP[[#This Row],[Unit]],)</f>
        <v>0</v>
      </c>
      <c r="W1247" s="74">
        <f>SUMIFS(SIP[[#Headers],[BO UNIT TRANSFER]]:SIP[[#This Row],[BO UNIT TRANSFER]],SIP[[#Headers],[Investor ID]]:SIP[[#This Row],[Investor ID]],SIP[[#This Row],[Investor ID]])</f>
        <v>0</v>
      </c>
    </row>
    <row r="1248" spans="1:23" ht="15" customHeight="1">
      <c r="A1248" s="46">
        <v>2025</v>
      </c>
      <c r="B1248" s="46">
        <v>6</v>
      </c>
      <c r="C1248" s="46">
        <v>26</v>
      </c>
      <c r="D1248" s="65">
        <f>DATE(SIP[[#This Row],[Year]],SIP[[#This Row],[Month]],SIP[[#This Row],[Day]])</f>
        <v>45834</v>
      </c>
      <c r="E1248" s="66" t="str">
        <f t="array" ref="E1248">INDEX(INVESTORS_LIST[INVESTOR NAME],MATCH(SIP[[#This Row],[Investor ID]],INVESTORS_LIST[INVESTOR CODE],0),)</f>
        <v>SADIA PARVIN</v>
      </c>
      <c r="F1248" s="46" t="s">
        <v>1018</v>
      </c>
      <c r="G1248" s="46">
        <f>COUNTIF(SIP[[#Headers],[Investor ID]]:SIP[[#This Row],[Investor ID]],SIP[[#This Row],[Investor ID]])</f>
        <v>39</v>
      </c>
      <c r="H1248" s="46" t="str">
        <f>CONCATENATE(SIP[[#This Row],[Frequency]],SIP[[#This Row],[Investor ID]])</f>
        <v>39A00486</v>
      </c>
      <c r="I1248" s="46" t="str">
        <f>IF(SIP[[#This Row],[B/S]]="B","BUY",(IF(SIP[[#This Row],[B/S]]="S","SELL"," ")))</f>
        <v>BUY</v>
      </c>
      <c r="J1248" s="150" t="s">
        <v>1229</v>
      </c>
      <c r="K1248" s="153">
        <v>5000</v>
      </c>
      <c r="L1248" s="122"/>
      <c r="M1248" s="123">
        <f>SIP[[#This Row],[Amount]]/SIP[[#This Row],[Unit]]</f>
        <v>12.531328320802006</v>
      </c>
      <c r="N1248" s="71">
        <f>SIP[[#This Row],[Unit Capital]]/10</f>
        <v>399</v>
      </c>
      <c r="O1248" s="71">
        <f>SUMIFS(SIP[[#Headers],[Unit]]:SIP[[#This Row],[Unit]],SIP[[#Headers],[Investor ID]]:SIP[[#This Row],[Investor ID]],SIP[[#This Row],[Investor ID]])</f>
        <v>17072</v>
      </c>
      <c r="P1248" s="153">
        <v>3990</v>
      </c>
      <c r="Q1248" s="74">
        <f>SIP[[#This Row],[Amount]]-SIP[[#This Row],[Unit Capital]]</f>
        <v>1010</v>
      </c>
      <c r="R12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11.422211808809747</v>
      </c>
      <c r="S1248" s="46">
        <f t="shared" si="58"/>
        <v>14.224</v>
      </c>
      <c r="T12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8" s="74">
        <f t="array" ref="U1248">IF(SIP[[#This Row],[B/S]]="S",ABS(SIP[[#This Row],[Unit]])*(INDEX(SIP[NAV at Cost (Average)],MATCH(CONCATENATE((SIP[[#This Row],[Frequency]]-1),SIP[[#This Row],[Investor ID]]),SIP[Unique Code],0),0)),0)</f>
        <v>0</v>
      </c>
      <c r="V1248" s="74">
        <f>IF(SIP[[#This Row],[BO TRANSFER]]="YES",SIP[[#This Row],[Unit]],)</f>
        <v>0</v>
      </c>
      <c r="W1248" s="74">
        <f>SUMIFS(SIP[[#Headers],[BO UNIT TRANSFER]]:SIP[[#This Row],[BO UNIT TRANSFER]],SIP[[#Headers],[Investor ID]]:SIP[[#This Row],[Investor ID]],SIP[[#This Row],[Investor ID]])</f>
        <v>0</v>
      </c>
    </row>
    <row r="1249" spans="1:23" ht="15" customHeight="1">
      <c r="A1249" s="46">
        <v>2025</v>
      </c>
      <c r="B1249" s="46">
        <v>6</v>
      </c>
      <c r="C1249" s="46">
        <v>26</v>
      </c>
      <c r="D1249" s="65">
        <f>DATE(SIP[[#This Row],[Year]],SIP[[#This Row],[Month]],SIP[[#This Row],[Day]])</f>
        <v>45834</v>
      </c>
      <c r="E1249" s="66" t="str">
        <f t="array" ref="E1249">INDEX(INVESTORS_LIST[INVESTOR NAME],MATCH(SIP[[#This Row],[Investor ID]],INVESTORS_LIST[INVESTOR CODE],0),)</f>
        <v>MD. WALI ULLAH</v>
      </c>
      <c r="F1249" s="46" t="s">
        <v>443</v>
      </c>
      <c r="G1249" s="46">
        <f>COUNTIF(SIP[[#Headers],[Investor ID]]:SIP[[#This Row],[Investor ID]],SIP[[#This Row],[Investor ID]])</f>
        <v>26</v>
      </c>
      <c r="H1249" s="46" t="str">
        <f>CONCATENATE(SIP[[#This Row],[Frequency]],SIP[[#This Row],[Investor ID]])</f>
        <v>26A00197</v>
      </c>
      <c r="I1249" s="46" t="str">
        <f>IF(SIP[[#This Row],[B/S]]="B","BUY",(IF(SIP[[#This Row],[B/S]]="S","SELL"," ")))</f>
        <v>BUY</v>
      </c>
      <c r="J1249" s="150" t="s">
        <v>1229</v>
      </c>
      <c r="K1249" s="153">
        <v>15000</v>
      </c>
      <c r="L1249" s="122"/>
      <c r="M1249" s="123">
        <f>SIP[[#This Row],[Amount]]/SIP[[#This Row],[Unit]]</f>
        <v>12.54180602006689</v>
      </c>
      <c r="N1249" s="71">
        <f>SIP[[#This Row],[Unit Capital]]/10</f>
        <v>1196</v>
      </c>
      <c r="O1249" s="71">
        <f>SUMIFS(SIP[[#Headers],[Unit]]:SIP[[#This Row],[Unit]],SIP[[#Headers],[Investor ID]]:SIP[[#This Row],[Investor ID]],SIP[[#This Row],[Investor ID]])</f>
        <v>34804</v>
      </c>
      <c r="P1249" s="153">
        <v>11960</v>
      </c>
      <c r="Q1249" s="74">
        <f>SIP[[#This Row],[Amount]]-SIP[[#This Row],[Unit Capital]]</f>
        <v>3040</v>
      </c>
      <c r="R12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11.205608550741291</v>
      </c>
      <c r="S1249" s="46">
        <f t="shared" si="58"/>
        <v>14.224</v>
      </c>
      <c r="T12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9" s="74">
        <f t="array" ref="U1249">IF(SIP[[#This Row],[B/S]]="S",ABS(SIP[[#This Row],[Unit]])*(INDEX(SIP[NAV at Cost (Average)],MATCH(CONCATENATE((SIP[[#This Row],[Frequency]]-1),SIP[[#This Row],[Investor ID]]),SIP[Unique Code],0),0)),0)</f>
        <v>0</v>
      </c>
      <c r="V1249" s="74">
        <f>IF(SIP[[#This Row],[BO TRANSFER]]="YES",SIP[[#This Row],[Unit]],)</f>
        <v>0</v>
      </c>
      <c r="W1249" s="74">
        <f>SUMIFS(SIP[[#Headers],[BO UNIT TRANSFER]]:SIP[[#This Row],[BO UNIT TRANSFER]],SIP[[#Headers],[Investor ID]]:SIP[[#This Row],[Investor ID]],SIP[[#This Row],[Investor ID]])</f>
        <v>0</v>
      </c>
    </row>
    <row r="1250" spans="1:23" ht="15" customHeight="1">
      <c r="A1250" s="46">
        <v>2025</v>
      </c>
      <c r="B1250" s="46">
        <v>6</v>
      </c>
      <c r="C1250" s="46">
        <v>26</v>
      </c>
      <c r="D1250" s="65">
        <f>DATE(SIP[[#This Row],[Year]],SIP[[#This Row],[Month]],SIP[[#This Row],[Day]])</f>
        <v>45834</v>
      </c>
      <c r="E1250" s="66" t="str">
        <f t="array" ref="E1250">INDEX(INVESTORS_LIST[INVESTOR NAME],MATCH(SIP[[#This Row],[Investor ID]],INVESTORS_LIST[INVESTOR CODE],0),)</f>
        <v>MAYA RANI SAHA</v>
      </c>
      <c r="F1250" s="46" t="s">
        <v>224</v>
      </c>
      <c r="G1250" s="46">
        <f>COUNTIF(SIP[[#Headers],[Investor ID]]:SIP[[#This Row],[Investor ID]],SIP[[#This Row],[Investor ID]])</f>
        <v>55</v>
      </c>
      <c r="H1250" s="46" t="str">
        <f>CONCATENATE(SIP[[#This Row],[Frequency]],SIP[[#This Row],[Investor ID]])</f>
        <v>55A00088</v>
      </c>
      <c r="I1250" s="46" t="str">
        <f>IF(SIP[[#This Row],[B/S]]="B","BUY",(IF(SIP[[#This Row],[B/S]]="S","SELL"," ")))</f>
        <v>BUY</v>
      </c>
      <c r="J1250" s="150" t="s">
        <v>1229</v>
      </c>
      <c r="K1250" s="153">
        <v>14000</v>
      </c>
      <c r="L1250" s="122"/>
      <c r="M1250" s="123">
        <f>SIP[[#This Row],[Amount]]/SIP[[#This Row],[Unit]]</f>
        <v>12.544802867383513</v>
      </c>
      <c r="N1250" s="71">
        <f>SIP[[#This Row],[Unit Capital]]/10</f>
        <v>1116</v>
      </c>
      <c r="O1250" s="71">
        <f>SUMIFS(SIP[[#Headers],[Unit]]:SIP[[#This Row],[Unit]],SIP[[#Headers],[Investor ID]]:SIP[[#This Row],[Investor ID]],SIP[[#This Row],[Investor ID]])</f>
        <v>67119</v>
      </c>
      <c r="P1250" s="153">
        <v>11160</v>
      </c>
      <c r="Q1250" s="74">
        <f>SIP[[#This Row],[Amount]]-SIP[[#This Row],[Unit Capital]]</f>
        <v>2840</v>
      </c>
      <c r="R12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11.561554850340437</v>
      </c>
      <c r="S1250" s="46">
        <f t="shared" si="58"/>
        <v>14.224</v>
      </c>
      <c r="T12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0" s="74">
        <f t="array" ref="U1250">IF(SIP[[#This Row],[B/S]]="S",ABS(SIP[[#This Row],[Unit]])*(INDEX(SIP[NAV at Cost (Average)],MATCH(CONCATENATE((SIP[[#This Row],[Frequency]]-1),SIP[[#This Row],[Investor ID]]),SIP[Unique Code],0),0)),0)</f>
        <v>0</v>
      </c>
      <c r="V1250" s="74">
        <f>IF(SIP[[#This Row],[BO TRANSFER]]="YES",SIP[[#This Row],[Unit]],)</f>
        <v>0</v>
      </c>
      <c r="W1250" s="74">
        <f>SUMIFS(SIP[[#Headers],[BO UNIT TRANSFER]]:SIP[[#This Row],[BO UNIT TRANSFER]],SIP[[#Headers],[Investor ID]]:SIP[[#This Row],[Investor ID]],SIP[[#This Row],[Investor ID]])</f>
        <v>0</v>
      </c>
    </row>
    <row r="1251" spans="1:23" ht="15" customHeight="1">
      <c r="A1251" s="46">
        <v>2025</v>
      </c>
      <c r="B1251" s="46">
        <v>6</v>
      </c>
      <c r="C1251" s="46">
        <v>26</v>
      </c>
      <c r="D1251" s="65">
        <f>DATE(SIP[[#This Row],[Year]],SIP[[#This Row],[Month]],SIP[[#This Row],[Day]])</f>
        <v>45834</v>
      </c>
      <c r="E1251" s="66" t="str">
        <f t="array" ref="E1251">INDEX(INVESTORS_LIST[INVESTOR NAME],MATCH(SIP[[#This Row],[Investor ID]],INVESTORS_LIST[INVESTOR CODE],0),)</f>
        <v>SIKDER FAZLE RABBI</v>
      </c>
      <c r="F1251" s="46" t="s">
        <v>1032</v>
      </c>
      <c r="G1251" s="46">
        <f>COUNTIF(SIP[[#Headers],[Investor ID]]:SIP[[#This Row],[Investor ID]],SIP[[#This Row],[Investor ID]])</f>
        <v>25</v>
      </c>
      <c r="H1251" s="46" t="str">
        <f>CONCATENATE(SIP[[#This Row],[Frequency]],SIP[[#This Row],[Investor ID]])</f>
        <v>25A00493</v>
      </c>
      <c r="I1251" s="46" t="str">
        <f>IF(SIP[[#This Row],[B/S]]="B","BUY",(IF(SIP[[#This Row],[B/S]]="S","SELL"," ")))</f>
        <v>BUY</v>
      </c>
      <c r="J1251" s="150" t="s">
        <v>1229</v>
      </c>
      <c r="K1251" s="153">
        <v>5000</v>
      </c>
      <c r="L1251" s="122"/>
      <c r="M1251" s="123">
        <f>SIP[[#This Row],[Amount]]/SIP[[#This Row],[Unit]]</f>
        <v>12.531328320802006</v>
      </c>
      <c r="N1251" s="71">
        <f>SIP[[#This Row],[Unit Capital]]/10</f>
        <v>399</v>
      </c>
      <c r="O1251" s="71">
        <f>SUMIFS(SIP[[#Headers],[Unit]]:SIP[[#This Row],[Unit]],SIP[[#Headers],[Investor ID]]:SIP[[#This Row],[Investor ID]],SIP[[#This Row],[Investor ID]])</f>
        <v>11109</v>
      </c>
      <c r="P1251" s="153">
        <v>3990</v>
      </c>
      <c r="Q1251" s="74">
        <f>SIP[[#This Row],[Amount]]-SIP[[#This Row],[Unit Capital]]</f>
        <v>1010</v>
      </c>
      <c r="R12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11.252137906202181</v>
      </c>
      <c r="S1251" s="46">
        <f t="shared" si="58"/>
        <v>14.224</v>
      </c>
      <c r="T12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1" s="74">
        <f t="array" ref="U1251">IF(SIP[[#This Row],[B/S]]="S",ABS(SIP[[#This Row],[Unit]])*(INDEX(SIP[NAV at Cost (Average)],MATCH(CONCATENATE((SIP[[#This Row],[Frequency]]-1),SIP[[#This Row],[Investor ID]]),SIP[Unique Code],0),0)),0)</f>
        <v>0</v>
      </c>
      <c r="V1251" s="74">
        <f>IF(SIP[[#This Row],[BO TRANSFER]]="YES",SIP[[#This Row],[Unit]],)</f>
        <v>0</v>
      </c>
      <c r="W1251" s="74">
        <f>SUMIFS(SIP[[#Headers],[BO UNIT TRANSFER]]:SIP[[#This Row],[BO UNIT TRANSFER]],SIP[[#Headers],[Investor ID]]:SIP[[#This Row],[Investor ID]],SIP[[#This Row],[Investor ID]])</f>
        <v>0</v>
      </c>
    </row>
    <row r="1252" spans="1:23" ht="15" customHeight="1">
      <c r="A1252" s="46">
        <v>2025</v>
      </c>
      <c r="B1252" s="46">
        <v>6</v>
      </c>
      <c r="C1252" s="46">
        <v>26</v>
      </c>
      <c r="D1252" s="65">
        <f>DATE(SIP[[#This Row],[Year]],SIP[[#This Row],[Month]],SIP[[#This Row],[Day]])</f>
        <v>45834</v>
      </c>
      <c r="E1252" s="66" t="str">
        <f t="array" ref="E1252">INDEX(INVESTORS_LIST[INVESTOR NAME],MATCH(SIP[[#This Row],[Investor ID]],INVESTORS_LIST[INVESTOR CODE],0),)</f>
        <v>SAJJAD CHOWDHURY</v>
      </c>
      <c r="F1252" s="46" t="s">
        <v>461</v>
      </c>
      <c r="G1252" s="46">
        <f>COUNTIF(SIP[[#Headers],[Investor ID]]:SIP[[#This Row],[Investor ID]],SIP[[#This Row],[Investor ID]])</f>
        <v>25</v>
      </c>
      <c r="H1252" s="46" t="str">
        <f>CONCATENATE(SIP[[#This Row],[Frequency]],SIP[[#This Row],[Investor ID]])</f>
        <v>25A00206</v>
      </c>
      <c r="I1252" s="46" t="str">
        <f>IF(SIP[[#This Row],[B/S]]="B","BUY",(IF(SIP[[#This Row],[B/S]]="S","SELL"," ")))</f>
        <v>BUY</v>
      </c>
      <c r="J1252" s="150" t="s">
        <v>1229</v>
      </c>
      <c r="K1252" s="153">
        <v>7500</v>
      </c>
      <c r="L1252" s="122"/>
      <c r="M1252" s="123">
        <f>SIP[[#This Row],[Amount]]/SIP[[#This Row],[Unit]]</f>
        <v>12.54180602006689</v>
      </c>
      <c r="N1252" s="71">
        <f>SIP[[#This Row],[Unit Capital]]/10</f>
        <v>598</v>
      </c>
      <c r="O1252" s="71">
        <f>SUMIFS(SIP[[#Headers],[Unit]]:SIP[[#This Row],[Unit]],SIP[[#Headers],[Investor ID]]:SIP[[#This Row],[Investor ID]],SIP[[#This Row],[Investor ID]])</f>
        <v>15596</v>
      </c>
      <c r="P1252" s="153">
        <v>5980</v>
      </c>
      <c r="Q1252" s="74">
        <f>SIP[[#This Row],[Amount]]-SIP[[#This Row],[Unit Capital]]</f>
        <v>1520</v>
      </c>
      <c r="R12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11.124221653808098</v>
      </c>
      <c r="S1252" s="46">
        <f t="shared" si="58"/>
        <v>14.224</v>
      </c>
      <c r="T12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2" s="74">
        <f t="array" ref="U1252">IF(SIP[[#This Row],[B/S]]="S",ABS(SIP[[#This Row],[Unit]])*(INDEX(SIP[NAV at Cost (Average)],MATCH(CONCATENATE((SIP[[#This Row],[Frequency]]-1),SIP[[#This Row],[Investor ID]]),SIP[Unique Code],0),0)),0)</f>
        <v>0</v>
      </c>
      <c r="V1252" s="74">
        <f>IF(SIP[[#This Row],[BO TRANSFER]]="YES",SIP[[#This Row],[Unit]],)</f>
        <v>0</v>
      </c>
      <c r="W1252" s="74">
        <f>SUMIFS(SIP[[#Headers],[BO UNIT TRANSFER]]:SIP[[#This Row],[BO UNIT TRANSFER]],SIP[[#Headers],[Investor ID]]:SIP[[#This Row],[Investor ID]],SIP[[#This Row],[Investor ID]])</f>
        <v>0</v>
      </c>
    </row>
    <row r="1253" spans="1:23" ht="15" customHeight="1">
      <c r="A1253" s="46">
        <v>2025</v>
      </c>
      <c r="B1253" s="46">
        <v>6</v>
      </c>
      <c r="C1253" s="46">
        <v>26</v>
      </c>
      <c r="D1253" s="65">
        <f>DATE(SIP[[#This Row],[Year]],SIP[[#This Row],[Month]],SIP[[#This Row],[Day]])</f>
        <v>45834</v>
      </c>
      <c r="E1253" s="66" t="str">
        <f t="array" ref="E1253">INDEX(INVESTORS_LIST[INVESTOR NAME],MATCH(SIP[[#This Row],[Investor ID]],INVESTORS_LIST[INVESTOR CODE],0),)</f>
        <v>EKUSH WEALTH MANAGEMENT LIMITED EMPLOYEES CONTRIBUTORY PROVIDENT FUND</v>
      </c>
      <c r="F1253" s="46" t="s">
        <v>831</v>
      </c>
      <c r="G1253" s="46">
        <f>COUNTIF(SIP[[#Headers],[Investor ID]]:SIP[[#This Row],[Investor ID]],SIP[[#This Row],[Investor ID]])</f>
        <v>18</v>
      </c>
      <c r="H1253" s="46" t="str">
        <f>CONCATENATE(SIP[[#This Row],[Frequency]],SIP[[#This Row],[Investor ID]])</f>
        <v>18A00392</v>
      </c>
      <c r="I1253" s="46" t="str">
        <f>IF(SIP[[#This Row],[B/S]]="B","BUY",(IF(SIP[[#This Row],[B/S]]="S","SELL"," ")))</f>
        <v>BUY</v>
      </c>
      <c r="J1253" s="150" t="s">
        <v>1229</v>
      </c>
      <c r="K1253" s="153">
        <v>22040</v>
      </c>
      <c r="L1253" s="122"/>
      <c r="M1253" s="123">
        <f>SIP[[#This Row],[Amount]]/SIP[[#This Row],[Unit]]</f>
        <v>12.544109277177006</v>
      </c>
      <c r="N1253" s="71">
        <f>SIP[[#This Row],[Unit Capital]]/10</f>
        <v>1757</v>
      </c>
      <c r="O1253" s="71">
        <f>SUMIFS(SIP[[#Headers],[Unit]]:SIP[[#This Row],[Unit]],SIP[[#Headers],[Investor ID]]:SIP[[#This Row],[Investor ID]],SIP[[#This Row],[Investor ID]])</f>
        <v>27770</v>
      </c>
      <c r="P1253" s="153">
        <v>17570</v>
      </c>
      <c r="Q1253" s="74">
        <f>SIP[[#This Row],[Amount]]-SIP[[#This Row],[Unit Capital]]</f>
        <v>4470</v>
      </c>
      <c r="R12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11.145336979421293</v>
      </c>
      <c r="S1253" s="46">
        <f t="shared" si="58"/>
        <v>14.224</v>
      </c>
      <c r="T12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3" s="74">
        <f t="array" ref="U1253">IF(SIP[[#This Row],[B/S]]="S",ABS(SIP[[#This Row],[Unit]])*(INDEX(SIP[NAV at Cost (Average)],MATCH(CONCATENATE((SIP[[#This Row],[Frequency]]-1),SIP[[#This Row],[Investor ID]]),SIP[Unique Code],0),0)),0)</f>
        <v>0</v>
      </c>
      <c r="V1253" s="74">
        <f>IF(SIP[[#This Row],[BO TRANSFER]]="YES",SIP[[#This Row],[Unit]],)</f>
        <v>0</v>
      </c>
      <c r="W1253" s="74">
        <f>SUMIFS(SIP[[#Headers],[BO UNIT TRANSFER]]:SIP[[#This Row],[BO UNIT TRANSFER]],SIP[[#Headers],[Investor ID]]:SIP[[#This Row],[Investor ID]],SIP[[#This Row],[Investor ID]])</f>
        <v>0</v>
      </c>
    </row>
    <row r="1254" spans="1:23" ht="15" customHeight="1">
      <c r="A1254" s="46">
        <v>2025</v>
      </c>
      <c r="B1254" s="46">
        <v>6</v>
      </c>
      <c r="C1254" s="46">
        <v>26</v>
      </c>
      <c r="D1254" s="65">
        <f>DATE(SIP[[#This Row],[Year]],SIP[[#This Row],[Month]],SIP[[#This Row],[Day]])</f>
        <v>45834</v>
      </c>
      <c r="E1254" s="66" t="str">
        <f t="array" ref="E1254">INDEX(INVESTORS_LIST[INVESTOR NAME],MATCH(SIP[[#This Row],[Investor ID]],INVESTORS_LIST[INVESTOR CODE],0),)</f>
        <v>MOHAMMED SHARIFUL ISLAM</v>
      </c>
      <c r="F1254" s="46" t="s">
        <v>1028</v>
      </c>
      <c r="G1254" s="46">
        <f>COUNTIF(SIP[[#Headers],[Investor ID]]:SIP[[#This Row],[Investor ID]],SIP[[#This Row],[Investor ID]])</f>
        <v>25</v>
      </c>
      <c r="H1254" s="46" t="str">
        <f>CONCATENATE(SIP[[#This Row],[Frequency]],SIP[[#This Row],[Investor ID]])</f>
        <v>25A00491</v>
      </c>
      <c r="I1254" s="46" t="str">
        <f>IF(SIP[[#This Row],[B/S]]="B","BUY",(IF(SIP[[#This Row],[B/S]]="S","SELL"," ")))</f>
        <v>BUY</v>
      </c>
      <c r="J1254" s="150" t="s">
        <v>1229</v>
      </c>
      <c r="K1254" s="153">
        <v>5000</v>
      </c>
      <c r="L1254" s="122"/>
      <c r="M1254" s="123">
        <f>SIP[[#This Row],[Amount]]/SIP[[#This Row],[Unit]]</f>
        <v>12.531328320802006</v>
      </c>
      <c r="N1254" s="71">
        <f>SIP[[#This Row],[Unit Capital]]/10</f>
        <v>399</v>
      </c>
      <c r="O1254" s="71">
        <f>SUMIFS(SIP[[#Headers],[Unit]]:SIP[[#This Row],[Unit]],SIP[[#Headers],[Investor ID]]:SIP[[#This Row],[Investor ID]],SIP[[#This Row],[Investor ID]])</f>
        <v>11109</v>
      </c>
      <c r="P1254" s="153">
        <v>3990</v>
      </c>
      <c r="Q1254" s="74">
        <f>SIP[[#This Row],[Amount]]-SIP[[#This Row],[Unit Capital]]</f>
        <v>1010</v>
      </c>
      <c r="R12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11.252137906202181</v>
      </c>
      <c r="S1254" s="46">
        <f t="shared" si="58"/>
        <v>14.224</v>
      </c>
      <c r="T12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4" s="74">
        <f t="array" ref="U1254">IF(SIP[[#This Row],[B/S]]="S",ABS(SIP[[#This Row],[Unit]])*(INDEX(SIP[NAV at Cost (Average)],MATCH(CONCATENATE((SIP[[#This Row],[Frequency]]-1),SIP[[#This Row],[Investor ID]]),SIP[Unique Code],0),0)),0)</f>
        <v>0</v>
      </c>
      <c r="V1254" s="74">
        <f>IF(SIP[[#This Row],[BO TRANSFER]]="YES",SIP[[#This Row],[Unit]],)</f>
        <v>0</v>
      </c>
      <c r="W1254" s="74">
        <f>SUMIFS(SIP[[#Headers],[BO UNIT TRANSFER]]:SIP[[#This Row],[BO UNIT TRANSFER]],SIP[[#Headers],[Investor ID]]:SIP[[#This Row],[Investor ID]],SIP[[#This Row],[Investor ID]])</f>
        <v>0</v>
      </c>
    </row>
    <row r="1255" spans="1:23" ht="15" customHeight="1">
      <c r="A1255" s="46">
        <v>2025</v>
      </c>
      <c r="B1255" s="46">
        <v>6</v>
      </c>
      <c r="C1255" s="46">
        <v>26</v>
      </c>
      <c r="D1255" s="65">
        <f>DATE(SIP[[#This Row],[Year]],SIP[[#This Row],[Month]],SIP[[#This Row],[Day]])</f>
        <v>45834</v>
      </c>
      <c r="E1255" s="66" t="str">
        <f t="array" ref="E1255">INDEX(INVESTORS_LIST[INVESTOR NAME],MATCH(SIP[[#This Row],[Investor ID]],INVESTORS_LIST[INVESTOR CODE],0),)</f>
        <v>MOHAMMAD SAMIUL ALAM</v>
      </c>
      <c r="F1255" s="46" t="s">
        <v>537</v>
      </c>
      <c r="G1255" s="46">
        <f>COUNTIF(SIP[[#Headers],[Investor ID]]:SIP[[#This Row],[Investor ID]],SIP[[#This Row],[Investor ID]])</f>
        <v>23</v>
      </c>
      <c r="H1255" s="46" t="str">
        <f>CONCATENATE(SIP[[#This Row],[Frequency]],SIP[[#This Row],[Investor ID]])</f>
        <v>23A00244</v>
      </c>
      <c r="I1255" s="46" t="str">
        <f>IF(SIP[[#This Row],[B/S]]="B","BUY",(IF(SIP[[#This Row],[B/S]]="S","SELL"," ")))</f>
        <v>BUY</v>
      </c>
      <c r="J1255" s="150" t="s">
        <v>1229</v>
      </c>
      <c r="K1255" s="153">
        <v>20000</v>
      </c>
      <c r="L1255" s="122"/>
      <c r="M1255" s="123">
        <f>SIP[[#This Row],[Amount]]/SIP[[#This Row],[Unit]]</f>
        <v>12.539184952978056</v>
      </c>
      <c r="N1255" s="71">
        <f>SIP[[#This Row],[Unit Capital]]/10</f>
        <v>1595</v>
      </c>
      <c r="O1255" s="71">
        <f>SUMIFS(SIP[[#Headers],[Unit]]:SIP[[#This Row],[Unit]],SIP[[#Headers],[Investor ID]]:SIP[[#This Row],[Investor ID]],SIP[[#This Row],[Investor ID]])</f>
        <v>40560</v>
      </c>
      <c r="P1255" s="153">
        <v>15950</v>
      </c>
      <c r="Q1255" s="74">
        <f>SIP[[#This Row],[Amount]]-SIP[[#This Row],[Unit Capital]]</f>
        <v>4050</v>
      </c>
      <c r="R12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11.341222879684423</v>
      </c>
      <c r="S1255" s="46">
        <f t="shared" si="58"/>
        <v>14.224</v>
      </c>
      <c r="T12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5" s="74">
        <f t="array" ref="U1255">IF(SIP[[#This Row],[B/S]]="S",ABS(SIP[[#This Row],[Unit]])*(INDEX(SIP[NAV at Cost (Average)],MATCH(CONCATENATE((SIP[[#This Row],[Frequency]]-1),SIP[[#This Row],[Investor ID]]),SIP[Unique Code],0),0)),0)</f>
        <v>0</v>
      </c>
      <c r="V1255" s="74">
        <f>IF(SIP[[#This Row],[BO TRANSFER]]="YES",SIP[[#This Row],[Unit]],)</f>
        <v>0</v>
      </c>
      <c r="W1255" s="74">
        <f>SUMIFS(SIP[[#Headers],[BO UNIT TRANSFER]]:SIP[[#This Row],[BO UNIT TRANSFER]],SIP[[#Headers],[Investor ID]]:SIP[[#This Row],[Investor ID]],SIP[[#This Row],[Investor ID]])</f>
        <v>0</v>
      </c>
    </row>
    <row r="1256" spans="1:23" ht="15" customHeight="1">
      <c r="A1256" s="46">
        <v>2025</v>
      </c>
      <c r="B1256" s="46">
        <v>6</v>
      </c>
      <c r="C1256" s="46">
        <v>26</v>
      </c>
      <c r="D1256" s="65">
        <f>DATE(SIP[[#This Row],[Year]],SIP[[#This Row],[Month]],SIP[[#This Row],[Day]])</f>
        <v>45834</v>
      </c>
      <c r="E1256" s="66" t="str">
        <f t="array" ref="E1256">INDEX(INVESTORS_LIST[INVESTOR NAME],MATCH(SIP[[#This Row],[Investor ID]],INVESTORS_LIST[INVESTOR CODE],0),)</f>
        <v>ADNAN RASHID</v>
      </c>
      <c r="F1256" s="46" t="s">
        <v>252</v>
      </c>
      <c r="G1256" s="46">
        <f>COUNTIF(SIP[[#Headers],[Investor ID]]:SIP[[#This Row],[Investor ID]],SIP[[#This Row],[Investor ID]])</f>
        <v>22</v>
      </c>
      <c r="H1256" s="46" t="str">
        <f>CONCATENATE(SIP[[#This Row],[Frequency]],SIP[[#This Row],[Investor ID]])</f>
        <v>22A00102</v>
      </c>
      <c r="I1256" s="46" t="str">
        <f>IF(SIP[[#This Row],[B/S]]="B","BUY",(IF(SIP[[#This Row],[B/S]]="S","SELL"," ")))</f>
        <v>BUY</v>
      </c>
      <c r="J1256" s="150" t="s">
        <v>1229</v>
      </c>
      <c r="K1256" s="153">
        <v>30000</v>
      </c>
      <c r="L1256" s="122"/>
      <c r="M1256" s="123">
        <f>SIP[[#This Row],[Amount]]/SIP[[#This Row],[Unit]]</f>
        <v>12.54180602006689</v>
      </c>
      <c r="N1256" s="71">
        <f>SIP[[#This Row],[Unit Capital]]/10</f>
        <v>2392</v>
      </c>
      <c r="O1256" s="71">
        <f>SUMIFS(SIP[[#Headers],[Unit]]:SIP[[#This Row],[Unit]],SIP[[#Headers],[Investor ID]]:SIP[[#This Row],[Investor ID]],SIP[[#This Row],[Investor ID]])</f>
        <v>37345</v>
      </c>
      <c r="P1256" s="153">
        <v>23920</v>
      </c>
      <c r="Q1256" s="74">
        <f>SIP[[#This Row],[Amount]]-SIP[[#This Row],[Unit Capital]]</f>
        <v>6080</v>
      </c>
      <c r="R12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11.650171448817277</v>
      </c>
      <c r="S1256" s="46">
        <f t="shared" si="58"/>
        <v>14.224</v>
      </c>
      <c r="T12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6" s="74">
        <f t="array" ref="U1256">IF(SIP[[#This Row],[B/S]]="S",ABS(SIP[[#This Row],[Unit]])*(INDEX(SIP[NAV at Cost (Average)],MATCH(CONCATENATE((SIP[[#This Row],[Frequency]]-1),SIP[[#This Row],[Investor ID]]),SIP[Unique Code],0),0)),0)</f>
        <v>0</v>
      </c>
      <c r="V1256" s="74">
        <f>IF(SIP[[#This Row],[BO TRANSFER]]="YES",SIP[[#This Row],[Unit]],)</f>
        <v>0</v>
      </c>
      <c r="W1256" s="74">
        <f>SUMIFS(SIP[[#Headers],[BO UNIT TRANSFER]]:SIP[[#This Row],[BO UNIT TRANSFER]],SIP[[#Headers],[Investor ID]]:SIP[[#This Row],[Investor ID]],SIP[[#This Row],[Investor ID]])</f>
        <v>0</v>
      </c>
    </row>
    <row r="1257" spans="1:23" ht="15" customHeight="1">
      <c r="A1257" s="46">
        <v>2025</v>
      </c>
      <c r="B1257" s="46">
        <v>6</v>
      </c>
      <c r="C1257" s="46">
        <v>26</v>
      </c>
      <c r="D1257" s="65">
        <f>DATE(SIP[[#This Row],[Year]],SIP[[#This Row],[Month]],SIP[[#This Row],[Day]])</f>
        <v>45834</v>
      </c>
      <c r="E1257" s="66" t="str">
        <f t="array" ref="E1257">INDEX(INVESTORS_LIST[INVESTOR NAME],MATCH(SIP[[#This Row],[Investor ID]],INVESTORS_LIST[INVESTOR CODE],0),)</f>
        <v>MD ABDULLAH-AL- MAMUN</v>
      </c>
      <c r="F1257" s="46" t="s">
        <v>533</v>
      </c>
      <c r="G1257" s="46">
        <f>COUNTIF(SIP[[#Headers],[Investor ID]]:SIP[[#This Row],[Investor ID]],SIP[[#This Row],[Investor ID]])</f>
        <v>22</v>
      </c>
      <c r="H1257" s="46" t="str">
        <f>CONCATENATE(SIP[[#This Row],[Frequency]],SIP[[#This Row],[Investor ID]])</f>
        <v>22A00242</v>
      </c>
      <c r="I1257" s="46" t="str">
        <f>IF(SIP[[#This Row],[B/S]]="B","BUY",(IF(SIP[[#This Row],[B/S]]="S","SELL"," ")))</f>
        <v>BUY</v>
      </c>
      <c r="J1257" s="150" t="s">
        <v>1229</v>
      </c>
      <c r="K1257" s="153">
        <v>15000</v>
      </c>
      <c r="L1257" s="122"/>
      <c r="M1257" s="123">
        <f>SIP[[#This Row],[Amount]]/SIP[[#This Row],[Unit]]</f>
        <v>12.54180602006689</v>
      </c>
      <c r="N1257" s="71">
        <f>SIP[[#This Row],[Unit Capital]]/10</f>
        <v>1196</v>
      </c>
      <c r="O1257" s="71">
        <f>SUMIFS(SIP[[#Headers],[Unit]]:SIP[[#This Row],[Unit]],SIP[[#Headers],[Investor ID]]:SIP[[#This Row],[Investor ID]],SIP[[#This Row],[Investor ID]])</f>
        <v>28347</v>
      </c>
      <c r="P1257" s="153">
        <v>11960</v>
      </c>
      <c r="Q1257" s="74">
        <f>SIP[[#This Row],[Amount]]-SIP[[#This Row],[Unit Capital]]</f>
        <v>3040</v>
      </c>
      <c r="R12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11.465058030832193</v>
      </c>
      <c r="S1257" s="46">
        <f t="shared" si="58"/>
        <v>14.224</v>
      </c>
      <c r="T12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7" s="74">
        <f t="array" ref="U1257">IF(SIP[[#This Row],[B/S]]="S",ABS(SIP[[#This Row],[Unit]])*(INDEX(SIP[NAV at Cost (Average)],MATCH(CONCATENATE((SIP[[#This Row],[Frequency]]-1),SIP[[#This Row],[Investor ID]]),SIP[Unique Code],0),0)),0)</f>
        <v>0</v>
      </c>
      <c r="V1257" s="74">
        <f>IF(SIP[[#This Row],[BO TRANSFER]]="YES",SIP[[#This Row],[Unit]],)</f>
        <v>0</v>
      </c>
      <c r="W1257" s="74">
        <f>SUMIFS(SIP[[#Headers],[BO UNIT TRANSFER]]:SIP[[#This Row],[BO UNIT TRANSFER]],SIP[[#Headers],[Investor ID]]:SIP[[#This Row],[Investor ID]],SIP[[#This Row],[Investor ID]])</f>
        <v>0</v>
      </c>
    </row>
    <row r="1258" spans="1:23" ht="15" customHeight="1">
      <c r="A1258" s="46">
        <v>2025</v>
      </c>
      <c r="B1258" s="46">
        <v>6</v>
      </c>
      <c r="C1258" s="46">
        <v>26</v>
      </c>
      <c r="D1258" s="65">
        <f>DATE(SIP[[#This Row],[Year]],SIP[[#This Row],[Month]],SIP[[#This Row],[Day]])</f>
        <v>45834</v>
      </c>
      <c r="E1258" s="66" t="str">
        <f t="array" ref="E1258">INDEX(INVESTORS_LIST[INVESTOR NAME],MATCH(SIP[[#This Row],[Investor ID]],INVESTORS_LIST[INVESTOR CODE],0),)</f>
        <v>ABU MUSA MIRZA KAMRUZZAMAN SHAHEE</v>
      </c>
      <c r="F1258" s="46" t="s">
        <v>1012</v>
      </c>
      <c r="G1258" s="46">
        <f>COUNTIF(SIP[[#Headers],[Investor ID]]:SIP[[#This Row],[Investor ID]],SIP[[#This Row],[Investor ID]])</f>
        <v>25</v>
      </c>
      <c r="H1258" s="46" t="str">
        <f>CONCATENATE(SIP[[#This Row],[Frequency]],SIP[[#This Row],[Investor ID]])</f>
        <v>25A00483</v>
      </c>
      <c r="I1258" s="46" t="str">
        <f>IF(SIP[[#This Row],[B/S]]="B","BUY",(IF(SIP[[#This Row],[B/S]]="S","SELL"," ")))</f>
        <v>BUY</v>
      </c>
      <c r="J1258" s="150" t="s">
        <v>1229</v>
      </c>
      <c r="K1258" s="153">
        <v>5000</v>
      </c>
      <c r="L1258" s="122"/>
      <c r="M1258" s="123">
        <f>SIP[[#This Row],[Amount]]/SIP[[#This Row],[Unit]]</f>
        <v>12.531328320802006</v>
      </c>
      <c r="N1258" s="71">
        <f>SIP[[#This Row],[Unit Capital]]/10</f>
        <v>399</v>
      </c>
      <c r="O1258" s="71">
        <f>SUMIFS(SIP[[#Headers],[Unit]]:SIP[[#This Row],[Unit]],SIP[[#Headers],[Investor ID]]:SIP[[#This Row],[Investor ID]],SIP[[#This Row],[Investor ID]])</f>
        <v>11109</v>
      </c>
      <c r="P1258" s="153">
        <v>3990</v>
      </c>
      <c r="Q1258" s="74">
        <f>SIP[[#This Row],[Amount]]-SIP[[#This Row],[Unit Capital]]</f>
        <v>1010</v>
      </c>
      <c r="R12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11.252137906202181</v>
      </c>
      <c r="S1258" s="46">
        <f t="shared" si="58"/>
        <v>14.224</v>
      </c>
      <c r="T12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8" s="74">
        <f t="array" ref="U1258">IF(SIP[[#This Row],[B/S]]="S",ABS(SIP[[#This Row],[Unit]])*(INDEX(SIP[NAV at Cost (Average)],MATCH(CONCATENATE((SIP[[#This Row],[Frequency]]-1),SIP[[#This Row],[Investor ID]]),SIP[Unique Code],0),0)),0)</f>
        <v>0</v>
      </c>
      <c r="V1258" s="74">
        <f>IF(SIP[[#This Row],[BO TRANSFER]]="YES",SIP[[#This Row],[Unit]],)</f>
        <v>0</v>
      </c>
      <c r="W1258" s="74">
        <f>SUMIFS(SIP[[#Headers],[BO UNIT TRANSFER]]:SIP[[#This Row],[BO UNIT TRANSFER]],SIP[[#Headers],[Investor ID]]:SIP[[#This Row],[Investor ID]],SIP[[#This Row],[Investor ID]])</f>
        <v>0</v>
      </c>
    </row>
    <row r="1259" spans="1:23" ht="15" customHeight="1">
      <c r="A1259" s="46">
        <v>2025</v>
      </c>
      <c r="B1259" s="46">
        <v>6</v>
      </c>
      <c r="C1259" s="46">
        <v>26</v>
      </c>
      <c r="D1259" s="65">
        <f>DATE(SIP[[#This Row],[Year]],SIP[[#This Row],[Month]],SIP[[#This Row],[Day]])</f>
        <v>45834</v>
      </c>
      <c r="E1259" s="66" t="str">
        <f t="array" ref="E1259">INDEX(INVESTORS_LIST[INVESTOR NAME],MATCH(SIP[[#This Row],[Investor ID]],INVESTORS_LIST[INVESTOR CODE],0),)</f>
        <v>SUMAN SAHA</v>
      </c>
      <c r="F1259" s="46" t="s">
        <v>1022</v>
      </c>
      <c r="G1259" s="46">
        <f>COUNTIF(SIP[[#Headers],[Investor ID]]:SIP[[#This Row],[Investor ID]],SIP[[#This Row],[Investor ID]])</f>
        <v>25</v>
      </c>
      <c r="H1259" s="46" t="str">
        <f>CONCATENATE(SIP[[#This Row],[Frequency]],SIP[[#This Row],[Investor ID]])</f>
        <v>25A00488</v>
      </c>
      <c r="I1259" s="46" t="str">
        <f>IF(SIP[[#This Row],[B/S]]="B","BUY",(IF(SIP[[#This Row],[B/S]]="S","SELL"," ")))</f>
        <v>BUY</v>
      </c>
      <c r="J1259" s="150" t="s">
        <v>1229</v>
      </c>
      <c r="K1259" s="153">
        <v>5000</v>
      </c>
      <c r="L1259" s="122"/>
      <c r="M1259" s="123">
        <f>SIP[[#This Row],[Amount]]/SIP[[#This Row],[Unit]]</f>
        <v>12.531328320802006</v>
      </c>
      <c r="N1259" s="71">
        <f>SIP[[#This Row],[Unit Capital]]/10</f>
        <v>399</v>
      </c>
      <c r="O1259" s="71">
        <f>SUMIFS(SIP[[#Headers],[Unit]]:SIP[[#This Row],[Unit]],SIP[[#Headers],[Investor ID]]:SIP[[#This Row],[Investor ID]],SIP[[#This Row],[Investor ID]])</f>
        <v>11109</v>
      </c>
      <c r="P1259" s="153">
        <v>3990</v>
      </c>
      <c r="Q1259" s="74">
        <f>SIP[[#This Row],[Amount]]-SIP[[#This Row],[Unit Capital]]</f>
        <v>1010</v>
      </c>
      <c r="R12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11.252137906202181</v>
      </c>
      <c r="S1259" s="46">
        <f t="shared" si="58"/>
        <v>14.224</v>
      </c>
      <c r="T12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9" s="74">
        <f t="array" ref="U1259">IF(SIP[[#This Row],[B/S]]="S",ABS(SIP[[#This Row],[Unit]])*(INDEX(SIP[NAV at Cost (Average)],MATCH(CONCATENATE((SIP[[#This Row],[Frequency]]-1),SIP[[#This Row],[Investor ID]]),SIP[Unique Code],0),0)),0)</f>
        <v>0</v>
      </c>
      <c r="V1259" s="74">
        <f>IF(SIP[[#This Row],[BO TRANSFER]]="YES",SIP[[#This Row],[Unit]],)</f>
        <v>0</v>
      </c>
      <c r="W1259" s="74">
        <f>SUMIFS(SIP[[#Headers],[BO UNIT TRANSFER]]:SIP[[#This Row],[BO UNIT TRANSFER]],SIP[[#Headers],[Investor ID]]:SIP[[#This Row],[Investor ID]],SIP[[#This Row],[Investor ID]])</f>
        <v>0</v>
      </c>
    </row>
    <row r="1260" spans="1:23" ht="15" customHeight="1">
      <c r="A1260" s="46">
        <v>2025</v>
      </c>
      <c r="B1260" s="46">
        <v>6</v>
      </c>
      <c r="C1260" s="46">
        <v>26</v>
      </c>
      <c r="D1260" s="65">
        <f>DATE(SIP[[#This Row],[Year]],SIP[[#This Row],[Month]],SIP[[#This Row],[Day]])</f>
        <v>45834</v>
      </c>
      <c r="E1260" s="66" t="str">
        <f t="array" ref="E1260">INDEX(INVESTORS_LIST[INVESTOR NAME],MATCH(SIP[[#This Row],[Investor ID]],INVESTORS_LIST[INVESTOR CODE],0),)</f>
        <v>MAYA RANI SAHA</v>
      </c>
      <c r="F1260" s="46" t="s">
        <v>224</v>
      </c>
      <c r="G1260" s="46">
        <f>COUNTIF(SIP[[#Headers],[Investor ID]]:SIP[[#This Row],[Investor ID]],SIP[[#This Row],[Investor ID]])</f>
        <v>56</v>
      </c>
      <c r="H1260" s="46" t="str">
        <f>CONCATENATE(SIP[[#This Row],[Frequency]],SIP[[#This Row],[Investor ID]])</f>
        <v>56A00088</v>
      </c>
      <c r="I1260" s="46" t="str">
        <f>IF(SIP[[#This Row],[B/S]]="B","BUY",(IF(SIP[[#This Row],[B/S]]="S","SELL"," ")))</f>
        <v>BUY</v>
      </c>
      <c r="J1260" s="150" t="s">
        <v>1229</v>
      </c>
      <c r="K1260" s="153">
        <v>20000</v>
      </c>
      <c r="L1260" s="122"/>
      <c r="M1260" s="123">
        <f>SIP[[#This Row],[Amount]]/SIP[[#This Row],[Unit]]</f>
        <v>12.539184952978056</v>
      </c>
      <c r="N1260" s="71">
        <f>SIP[[#This Row],[Unit Capital]]/10</f>
        <v>1595</v>
      </c>
      <c r="O1260" s="71">
        <f>SUMIFS(SIP[[#Headers],[Unit]]:SIP[[#This Row],[Unit]],SIP[[#Headers],[Investor ID]]:SIP[[#This Row],[Investor ID]],SIP[[#This Row],[Investor ID]])</f>
        <v>68714</v>
      </c>
      <c r="P1260" s="153">
        <v>15950</v>
      </c>
      <c r="Q1260" s="74">
        <f>SIP[[#This Row],[Amount]]-SIP[[#This Row],[Unit Capital]]</f>
        <v>4050</v>
      </c>
      <c r="R12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11.584247751549899</v>
      </c>
      <c r="S1260" s="46">
        <f t="shared" si="58"/>
        <v>14.224</v>
      </c>
      <c r="T12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0" s="74">
        <f t="array" ref="U1260">IF(SIP[[#This Row],[B/S]]="S",ABS(SIP[[#This Row],[Unit]])*(INDEX(SIP[NAV at Cost (Average)],MATCH(CONCATENATE((SIP[[#This Row],[Frequency]]-1),SIP[[#This Row],[Investor ID]]),SIP[Unique Code],0),0)),0)</f>
        <v>0</v>
      </c>
      <c r="V1260" s="74">
        <f>IF(SIP[[#This Row],[BO TRANSFER]]="YES",SIP[[#This Row],[Unit]],)</f>
        <v>0</v>
      </c>
      <c r="W1260" s="74">
        <f>SUMIFS(SIP[[#Headers],[BO UNIT TRANSFER]]:SIP[[#This Row],[BO UNIT TRANSFER]],SIP[[#Headers],[Investor ID]]:SIP[[#This Row],[Investor ID]],SIP[[#This Row],[Investor ID]])</f>
        <v>0</v>
      </c>
    </row>
    <row r="1261" spans="1:23" ht="15" customHeight="1">
      <c r="A1261" s="46">
        <v>2025</v>
      </c>
      <c r="B1261" s="46">
        <v>6</v>
      </c>
      <c r="C1261" s="46">
        <v>26</v>
      </c>
      <c r="D1261" s="65">
        <f>DATE(SIP[[#This Row],[Year]],SIP[[#This Row],[Month]],SIP[[#This Row],[Day]])</f>
        <v>45834</v>
      </c>
      <c r="E1261" s="66" t="str">
        <f t="array" ref="E1261">INDEX(INVESTORS_LIST[INVESTOR NAME],MATCH(SIP[[#This Row],[Investor ID]],INVESTORS_LIST[INVESTOR CODE],0),)</f>
        <v>MUHAMMAD SHOHIDUZZAMAN</v>
      </c>
      <c r="F1261" s="46" t="s">
        <v>986</v>
      </c>
      <c r="G1261" s="46">
        <f>COUNTIF(SIP[[#Headers],[Investor ID]]:SIP[[#This Row],[Investor ID]],SIP[[#This Row],[Investor ID]])</f>
        <v>20</v>
      </c>
      <c r="H1261" s="46" t="str">
        <f>CONCATENATE(SIP[[#This Row],[Frequency]],SIP[[#This Row],[Investor ID]])</f>
        <v>20A00470</v>
      </c>
      <c r="I1261" s="46" t="str">
        <f>IF(SIP[[#This Row],[B/S]]="B","BUY",(IF(SIP[[#This Row],[B/S]]="S","SELL"," ")))</f>
        <v>BUY</v>
      </c>
      <c r="J1261" s="150" t="s">
        <v>1229</v>
      </c>
      <c r="K1261" s="153">
        <v>10000</v>
      </c>
      <c r="L1261" s="122" t="s">
        <v>1230</v>
      </c>
      <c r="M1261" s="123">
        <f>SIP[[#This Row],[Amount]]/SIP[[#This Row],[Unit]]</f>
        <v>12.547051442910917</v>
      </c>
      <c r="N1261" s="71">
        <f>SIP[[#This Row],[Unit Capital]]/10</f>
        <v>797</v>
      </c>
      <c r="O1261" s="71">
        <f>SUMIFS(SIP[[#Headers],[Unit]]:SIP[[#This Row],[Unit]],SIP[[#Headers],[Investor ID]]:SIP[[#This Row],[Investor ID]],SIP[[#This Row],[Investor ID]])</f>
        <v>17419</v>
      </c>
      <c r="P1261" s="153">
        <v>7970</v>
      </c>
      <c r="Q1261" s="74">
        <f>SIP[[#This Row],[Amount]]-SIP[[#This Row],[Unit Capital]]</f>
        <v>2030</v>
      </c>
      <c r="R12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11.481715368276017</v>
      </c>
      <c r="S1261" s="46">
        <f t="shared" si="58"/>
        <v>14.224</v>
      </c>
      <c r="T12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1" s="74">
        <f t="array" ref="U1261">IF(SIP[[#This Row],[B/S]]="S",ABS(SIP[[#This Row],[Unit]])*(INDEX(SIP[NAV at Cost (Average)],MATCH(CONCATENATE((SIP[[#This Row],[Frequency]]-1),SIP[[#This Row],[Investor ID]]),SIP[Unique Code],0),0)),0)</f>
        <v>0</v>
      </c>
      <c r="V1261" s="74">
        <f>IF(SIP[[#This Row],[BO TRANSFER]]="YES",SIP[[#This Row],[Unit]],)</f>
        <v>797</v>
      </c>
      <c r="W1261" s="74">
        <f>SUMIFS(SIP[[#Headers],[BO UNIT TRANSFER]]:SIP[[#This Row],[BO UNIT TRANSFER]],SIP[[#Headers],[Investor ID]]:SIP[[#This Row],[Investor ID]],SIP[[#This Row],[Investor ID]])</f>
        <v>17419</v>
      </c>
    </row>
    <row r="1262" spans="1:23" ht="15" customHeight="1">
      <c r="A1262" s="46">
        <v>2025</v>
      </c>
      <c r="B1262" s="46">
        <v>6</v>
      </c>
      <c r="C1262" s="46">
        <v>26</v>
      </c>
      <c r="D1262" s="65">
        <f>DATE(SIP[[#This Row],[Year]],SIP[[#This Row],[Month]],SIP[[#This Row],[Day]])</f>
        <v>45834</v>
      </c>
      <c r="E1262" s="66" t="str">
        <f t="array" ref="E1262">INDEX(INVESTORS_LIST[INVESTOR NAME],MATCH(SIP[[#This Row],[Investor ID]],INVESTORS_LIST[INVESTOR CODE],0),)</f>
        <v>KHAN MUHAMMAD FAISOL</v>
      </c>
      <c r="F1262" s="46" t="s">
        <v>930</v>
      </c>
      <c r="G1262" s="46">
        <f>COUNTIF(SIP[[#Headers],[Investor ID]]:SIP[[#This Row],[Investor ID]],SIP[[#This Row],[Investor ID]])</f>
        <v>26</v>
      </c>
      <c r="H1262" s="46" t="str">
        <f>CONCATENATE(SIP[[#This Row],[Frequency]],SIP[[#This Row],[Investor ID]])</f>
        <v>26A00442</v>
      </c>
      <c r="I1262" s="46" t="str">
        <f>IF(SIP[[#This Row],[B/S]]="B","BUY",(IF(SIP[[#This Row],[B/S]]="S","SELL"," ")))</f>
        <v>BUY</v>
      </c>
      <c r="J1262" s="150" t="s">
        <v>1229</v>
      </c>
      <c r="K1262" s="153">
        <v>1000</v>
      </c>
      <c r="L1262" s="69"/>
      <c r="M1262" s="123">
        <f>SIP[[#This Row],[Amount]]/SIP[[#This Row],[Unit]]</f>
        <v>12.5</v>
      </c>
      <c r="N1262" s="71">
        <f>SIP[[#This Row],[Unit Capital]]/10</f>
        <v>80</v>
      </c>
      <c r="O1262" s="71">
        <f>SUMIFS(SIP[[#Headers],[Unit]]:SIP[[#This Row],[Unit]],SIP[[#Headers],[Investor ID]]:SIP[[#This Row],[Investor ID]],SIP[[#This Row],[Investor ID]])</f>
        <v>2320</v>
      </c>
      <c r="P1262" s="153">
        <v>800</v>
      </c>
      <c r="Q1262" s="74">
        <f>SIP[[#This Row],[Amount]]-SIP[[#This Row],[Unit Capital]]</f>
        <v>200</v>
      </c>
      <c r="R12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11.206896551724139</v>
      </c>
      <c r="S1262" s="46">
        <f t="shared" si="58"/>
        <v>14.224</v>
      </c>
      <c r="T12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2" s="74">
        <f t="array" ref="U1262">IF(SIP[[#This Row],[B/S]]="S",ABS(SIP[[#This Row],[Unit]])*(INDEX(SIP[NAV at Cost (Average)],MATCH(CONCATENATE((SIP[[#This Row],[Frequency]]-1),SIP[[#This Row],[Investor ID]]),SIP[Unique Code],0),0)),0)</f>
        <v>0</v>
      </c>
      <c r="V1262" s="74">
        <f>IF(SIP[[#This Row],[BO TRANSFER]]="YES",SIP[[#This Row],[Unit]],)</f>
        <v>0</v>
      </c>
      <c r="W1262" s="74">
        <f>SUMIFS(SIP[[#Headers],[BO UNIT TRANSFER]]:SIP[[#This Row],[BO UNIT TRANSFER]],SIP[[#Headers],[Investor ID]]:SIP[[#This Row],[Investor ID]],SIP[[#This Row],[Investor ID]])</f>
        <v>0</v>
      </c>
    </row>
    <row r="1263" spans="1:23" ht="15" customHeight="1">
      <c r="A1263" s="46">
        <v>2025</v>
      </c>
      <c r="B1263" s="46">
        <v>6</v>
      </c>
      <c r="C1263" s="46">
        <v>26</v>
      </c>
      <c r="D1263" s="65">
        <f>DATE(SIP[[#This Row],[Year]],SIP[[#This Row],[Month]],SIP[[#This Row],[Day]])</f>
        <v>45834</v>
      </c>
      <c r="E1263" s="66" t="str">
        <f t="array" ref="E1263">INDEX(INVESTORS_LIST[INVESTOR NAME],MATCH(SIP[[#This Row],[Investor ID]],INVESTORS_LIST[INVESTOR CODE],0),)</f>
        <v>MD. ARIFUL ISLAM</v>
      </c>
      <c r="F1263" s="46" t="s">
        <v>222</v>
      </c>
      <c r="G1263" s="46">
        <f>COUNTIF(SIP[[#Headers],[Investor ID]]:SIP[[#This Row],[Investor ID]],SIP[[#This Row],[Investor ID]])</f>
        <v>26</v>
      </c>
      <c r="H1263" s="46" t="str">
        <f>CONCATENATE(SIP[[#This Row],[Frequency]],SIP[[#This Row],[Investor ID]])</f>
        <v>26A00087</v>
      </c>
      <c r="I1263" s="46" t="str">
        <f>IF(SIP[[#This Row],[B/S]]="B","BUY",(IF(SIP[[#This Row],[B/S]]="S","SELL"," ")))</f>
        <v>BUY</v>
      </c>
      <c r="J1263" s="150" t="s">
        <v>1229</v>
      </c>
      <c r="K1263" s="153">
        <v>10000</v>
      </c>
      <c r="L1263" s="69"/>
      <c r="M1263" s="123">
        <f>SIP[[#This Row],[Amount]]/SIP[[#This Row],[Unit]]</f>
        <v>12.547051442910917</v>
      </c>
      <c r="N1263" s="71">
        <f>SIP[[#This Row],[Unit Capital]]/10</f>
        <v>797</v>
      </c>
      <c r="O1263" s="71">
        <f>SUMIFS(SIP[[#Headers],[Unit]]:SIP[[#This Row],[Unit]],SIP[[#Headers],[Investor ID]]:SIP[[#This Row],[Investor ID]],SIP[[#This Row],[Investor ID]])</f>
        <v>23202</v>
      </c>
      <c r="P1263" s="153">
        <v>7970</v>
      </c>
      <c r="Q1263" s="74">
        <f>SIP[[#This Row],[Amount]]-SIP[[#This Row],[Unit Capital]]</f>
        <v>2030</v>
      </c>
      <c r="R12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11.205930523230757</v>
      </c>
      <c r="S1263" s="46">
        <f t="shared" si="58"/>
        <v>14.224</v>
      </c>
      <c r="T12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3" s="74">
        <f t="array" ref="U1263">IF(SIP[[#This Row],[B/S]]="S",ABS(SIP[[#This Row],[Unit]])*(INDEX(SIP[NAV at Cost (Average)],MATCH(CONCATENATE((SIP[[#This Row],[Frequency]]-1),SIP[[#This Row],[Investor ID]]),SIP[Unique Code],0),0)),0)</f>
        <v>0</v>
      </c>
      <c r="V1263" s="74">
        <f>IF(SIP[[#This Row],[BO TRANSFER]]="YES",SIP[[#This Row],[Unit]],)</f>
        <v>0</v>
      </c>
      <c r="W1263" s="74">
        <f>SUMIFS(SIP[[#Headers],[BO UNIT TRANSFER]]:SIP[[#This Row],[BO UNIT TRANSFER]],SIP[[#Headers],[Investor ID]]:SIP[[#This Row],[Investor ID]],SIP[[#This Row],[Investor ID]])</f>
        <v>0</v>
      </c>
    </row>
    <row r="1264" spans="1:23" ht="15" customHeight="1">
      <c r="A1264" s="46">
        <v>2025</v>
      </c>
      <c r="B1264" s="46">
        <v>6</v>
      </c>
      <c r="C1264" s="46">
        <v>26</v>
      </c>
      <c r="D1264" s="65">
        <f>DATE(SIP[[#This Row],[Year]],SIP[[#This Row],[Month]],SIP[[#This Row],[Day]])</f>
        <v>45834</v>
      </c>
      <c r="E1264" s="66" t="str">
        <f t="array" ref="E1264">INDEX(INVESTORS_LIST[INVESTOR NAME],MATCH(SIP[[#This Row],[Investor ID]],INVESTORS_LIST[INVESTOR CODE],0),)</f>
        <v>NUSRAT JAHAN TISHA</v>
      </c>
      <c r="F1264" s="46" t="s">
        <v>926</v>
      </c>
      <c r="G1264" s="46">
        <f>COUNTIF(SIP[[#Headers],[Investor ID]]:SIP[[#This Row],[Investor ID]],SIP[[#This Row],[Investor ID]])</f>
        <v>17</v>
      </c>
      <c r="H1264" s="46" t="str">
        <f>CONCATENATE(SIP[[#This Row],[Frequency]],SIP[[#This Row],[Investor ID]])</f>
        <v>17A00440</v>
      </c>
      <c r="I1264" s="46" t="str">
        <f>IF(SIP[[#This Row],[B/S]]="B","BUY",(IF(SIP[[#This Row],[B/S]]="S","SELL"," ")))</f>
        <v>BUY</v>
      </c>
      <c r="J1264" s="150" t="s">
        <v>1229</v>
      </c>
      <c r="K1264" s="153">
        <v>5000</v>
      </c>
      <c r="L1264" s="122"/>
      <c r="M1264" s="123">
        <f>SIP[[#This Row],[Amount]]/SIP[[#This Row],[Unit]]</f>
        <v>12.531328320802006</v>
      </c>
      <c r="N1264" s="71">
        <f>SIP[[#This Row],[Unit Capital]]/10</f>
        <v>399</v>
      </c>
      <c r="O1264" s="71">
        <f>SUMIFS(SIP[[#Headers],[Unit]]:SIP[[#This Row],[Unit]],SIP[[#Headers],[Investor ID]]:SIP[[#This Row],[Investor ID]],SIP[[#This Row],[Investor ID]])</f>
        <v>800</v>
      </c>
      <c r="P1264" s="153">
        <v>3990</v>
      </c>
      <c r="Q1264" s="74">
        <f>SIP[[#This Row],[Amount]]-SIP[[#This Row],[Unit Capital]]</f>
        <v>1010</v>
      </c>
      <c r="R12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</v>
      </c>
      <c r="S1264" s="46">
        <f t="shared" si="58"/>
        <v>14.224</v>
      </c>
      <c r="T12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4" s="74">
        <f t="array" ref="U1264">IF(SIP[[#This Row],[B/S]]="S",ABS(SIP[[#This Row],[Unit]])*(INDEX(SIP[NAV at Cost (Average)],MATCH(CONCATENATE((SIP[[#This Row],[Frequency]]-1),SIP[[#This Row],[Investor ID]]),SIP[Unique Code],0),0)),0)</f>
        <v>0</v>
      </c>
      <c r="V1264" s="74">
        <f>IF(SIP[[#This Row],[BO TRANSFER]]="YES",SIP[[#This Row],[Unit]],)</f>
        <v>0</v>
      </c>
      <c r="W1264" s="74">
        <f>SUMIFS(SIP[[#Headers],[BO UNIT TRANSFER]]:SIP[[#This Row],[BO UNIT TRANSFER]],SIP[[#Headers],[Investor ID]]:SIP[[#This Row],[Investor ID]],SIP[[#This Row],[Investor ID]])</f>
        <v>0</v>
      </c>
    </row>
    <row r="1265" spans="1:23" ht="15" customHeight="1">
      <c r="A1265" s="46">
        <v>2025</v>
      </c>
      <c r="B1265" s="46">
        <v>7</v>
      </c>
      <c r="C1265" s="46">
        <v>5</v>
      </c>
      <c r="D1265" s="65">
        <f>DATE(SIP[[#This Row],[Year]],SIP[[#This Row],[Month]],SIP[[#This Row],[Day]])</f>
        <v>45843</v>
      </c>
      <c r="E1265" s="66" t="str" cm="1">
        <f t="array" ref="E1265">INDEX(INVESTORS_LIST[INVESTOR NAME],MATCH(SIP[[#This Row],[Investor ID]],INVESTORS_LIST[INVESTOR CODE],0),)</f>
        <v>CHAONIKA SAHA</v>
      </c>
      <c r="F1265" s="46" t="s">
        <v>238</v>
      </c>
      <c r="G1265" s="46">
        <f>COUNTIF(SIP[[#Headers],[Investor ID]]:SIP[[#This Row],[Investor ID]],SIP[[#This Row],[Investor ID]])</f>
        <v>23</v>
      </c>
      <c r="H1265" s="46" t="str">
        <f>CONCATENATE(SIP[[#This Row],[Frequency]],SIP[[#This Row],[Investor ID]])</f>
        <v>23A00095</v>
      </c>
      <c r="I1265" s="46" t="str">
        <f>IF(SIP[[#This Row],[B/S]]="B","BUY",(IF(SIP[[#This Row],[B/S]]="S","SELL"," ")))</f>
        <v>BUY</v>
      </c>
      <c r="J1265" s="150" t="s">
        <v>1229</v>
      </c>
      <c r="K1265" s="153">
        <v>1000</v>
      </c>
      <c r="L1265" s="122"/>
      <c r="M1265" s="123">
        <f>SIP[[#This Row],[Amount]]/SIP[[#This Row],[Unit]]</f>
        <v>12.658227848101266</v>
      </c>
      <c r="N1265" s="71">
        <f>SIP[[#This Row],[Unit Capital]]/10</f>
        <v>79</v>
      </c>
      <c r="O1265" s="71">
        <f>SUMIFS(SIP[[#Headers],[Unit]]:SIP[[#This Row],[Unit]],SIP[[#Headers],[Investor ID]]:SIP[[#This Row],[Investor ID]],SIP[[#This Row],[Investor ID]])</f>
        <v>2024</v>
      </c>
      <c r="P1265" s="153">
        <v>790</v>
      </c>
      <c r="Q1265" s="74">
        <f>SIP[[#This Row],[Amount]]-SIP[[#This Row],[Unit Capital]]</f>
        <v>210</v>
      </c>
      <c r="R12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11.363636363636363</v>
      </c>
      <c r="S1265" s="46">
        <f t="shared" ref="S1265:S1277" si="59">NAV_MKT</f>
        <v>14.224</v>
      </c>
      <c r="T12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5" s="74" cm="1">
        <f t="array" ref="U1265">IF(SIP[[#This Row],[B/S]]="S",ABS(SIP[[#This Row],[Unit]])*(INDEX(SIP[NAV at Cost (Average)],MATCH(CONCATENATE((SIP[[#This Row],[Frequency]]-1),SIP[[#This Row],[Investor ID]]),SIP[Unique Code],0),0)),0)</f>
        <v>0</v>
      </c>
      <c r="V1265" s="74">
        <f>IF(SIP[[#This Row],[BO TRANSFER]]="YES",SIP[[#This Row],[Unit]],)</f>
        <v>0</v>
      </c>
      <c r="W1265" s="74">
        <f>SUMIFS(SIP[[#Headers],[BO UNIT TRANSFER]]:SIP[[#This Row],[BO UNIT TRANSFER]],SIP[[#Headers],[Investor ID]]:SIP[[#This Row],[Investor ID]],SIP[[#This Row],[Investor ID]])</f>
        <v>0</v>
      </c>
    </row>
    <row r="1266" spans="1:23" ht="15" customHeight="1">
      <c r="A1266" s="46">
        <v>2025</v>
      </c>
      <c r="B1266" s="46">
        <v>7</v>
      </c>
      <c r="C1266" s="46">
        <v>5</v>
      </c>
      <c r="D1266" s="65">
        <f>DATE(SIP[[#This Row],[Year]],SIP[[#This Row],[Month]],SIP[[#This Row],[Day]])</f>
        <v>45843</v>
      </c>
      <c r="E1266" s="66" t="str" cm="1">
        <f t="array" ref="E1266">INDEX(INVESTORS_LIST[INVESTOR NAME],MATCH(SIP[[#This Row],[Investor ID]],INVESTORS_LIST[INVESTOR CODE],0),)</f>
        <v>KAZI AHSAN MARUF</v>
      </c>
      <c r="F1266" s="46" t="s">
        <v>158</v>
      </c>
      <c r="G1266" s="46">
        <f>COUNTIF(SIP[[#Headers],[Investor ID]]:SIP[[#This Row],[Investor ID]],SIP[[#This Row],[Investor ID]])</f>
        <v>28</v>
      </c>
      <c r="H1266" s="46" t="str">
        <f>CONCATENATE(SIP[[#This Row],[Frequency]],SIP[[#This Row],[Investor ID]])</f>
        <v>28A00055</v>
      </c>
      <c r="I1266" s="46" t="str">
        <f>IF(SIP[[#This Row],[B/S]]="B","BUY",(IF(SIP[[#This Row],[B/S]]="S","SELL"," ")))</f>
        <v>BUY</v>
      </c>
      <c r="J1266" s="150" t="s">
        <v>1229</v>
      </c>
      <c r="K1266" s="153">
        <v>10000</v>
      </c>
      <c r="L1266" s="122"/>
      <c r="M1266" s="123">
        <f>SIP[[#This Row],[Amount]]/SIP[[#This Row],[Unit]]</f>
        <v>12.578616352201259</v>
      </c>
      <c r="N1266" s="71">
        <f>SIP[[#This Row],[Unit Capital]]/10</f>
        <v>795</v>
      </c>
      <c r="O1266" s="71">
        <f>SUMIFS(SIP[[#Headers],[Unit]]:SIP[[#This Row],[Unit]],SIP[[#Headers],[Investor ID]]:SIP[[#This Row],[Investor ID]],SIP[[#This Row],[Investor ID]])</f>
        <v>9404</v>
      </c>
      <c r="P1266" s="153">
        <v>7950</v>
      </c>
      <c r="Q1266" s="74">
        <f>SIP[[#This Row],[Amount]]-SIP[[#This Row],[Unit Capital]]</f>
        <v>2050</v>
      </c>
      <c r="R12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11.72478636430623</v>
      </c>
      <c r="S1266" s="46">
        <f t="shared" si="59"/>
        <v>14.224</v>
      </c>
      <c r="T12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6" s="74" cm="1">
        <f t="array" ref="U1266">IF(SIP[[#This Row],[B/S]]="S",ABS(SIP[[#This Row],[Unit]])*(INDEX(SIP[NAV at Cost (Average)],MATCH(CONCATENATE((SIP[[#This Row],[Frequency]]-1),SIP[[#This Row],[Investor ID]]),SIP[Unique Code],0),0)),0)</f>
        <v>0</v>
      </c>
      <c r="V1266" s="74">
        <f>IF(SIP[[#This Row],[BO TRANSFER]]="YES",SIP[[#This Row],[Unit]],)</f>
        <v>0</v>
      </c>
      <c r="W1266" s="74">
        <f>SUMIFS(SIP[[#Headers],[BO UNIT TRANSFER]]:SIP[[#This Row],[BO UNIT TRANSFER]],SIP[[#Headers],[Investor ID]]:SIP[[#This Row],[Investor ID]],SIP[[#This Row],[Investor ID]])</f>
        <v>0</v>
      </c>
    </row>
    <row r="1267" spans="1:23" ht="15" customHeight="1">
      <c r="A1267" s="46">
        <v>2025</v>
      </c>
      <c r="B1267" s="46">
        <v>7</v>
      </c>
      <c r="C1267" s="46">
        <v>7</v>
      </c>
      <c r="D1267" s="65">
        <f>DATE(SIP[[#This Row],[Year]],SIP[[#This Row],[Month]],SIP[[#This Row],[Day]])</f>
        <v>45845</v>
      </c>
      <c r="E1267" s="66" t="str" cm="1">
        <f t="array" ref="E1267">INDEX(INVESTORS_LIST[INVESTOR NAME],MATCH(SIP[[#This Row],[Investor ID]],INVESTORS_LIST[INVESTOR CODE],0),)</f>
        <v>AKIB TANVIR ANJUM</v>
      </c>
      <c r="F1267" s="46" t="s">
        <v>1116</v>
      </c>
      <c r="G1267" s="46">
        <f>COUNTIF(SIP[[#Headers],[Investor ID]]:SIP[[#This Row],[Investor ID]],SIP[[#This Row],[Investor ID]])</f>
        <v>23</v>
      </c>
      <c r="H1267" s="46" t="str">
        <f>CONCATENATE(SIP[[#This Row],[Frequency]],SIP[[#This Row],[Investor ID]])</f>
        <v>23A00533</v>
      </c>
      <c r="I1267" s="46" t="str">
        <f>IF(SIP[[#This Row],[B/S]]="B","BUY",(IF(SIP[[#This Row],[B/S]]="S","SELL"," ")))</f>
        <v>BUY</v>
      </c>
      <c r="J1267" s="150" t="s">
        <v>1229</v>
      </c>
      <c r="K1267" s="153">
        <v>4000</v>
      </c>
      <c r="L1267" s="122"/>
      <c r="M1267" s="123">
        <f>SIP[[#This Row],[Amount]]/SIP[[#This Row],[Unit]]</f>
        <v>12.578616352201259</v>
      </c>
      <c r="N1267" s="71">
        <f>SIP[[#This Row],[Unit Capital]]/10</f>
        <v>318</v>
      </c>
      <c r="O1267" s="71">
        <f>SUMIFS(SIP[[#Headers],[Unit]]:SIP[[#This Row],[Unit]],SIP[[#Headers],[Investor ID]]:SIP[[#This Row],[Investor ID]],SIP[[#This Row],[Investor ID]])</f>
        <v>637</v>
      </c>
      <c r="P1267" s="153">
        <v>3180</v>
      </c>
      <c r="Q1267" s="74">
        <f>SIP[[#This Row],[Amount]]-SIP[[#This Row],[Unit Capital]]</f>
        <v>820</v>
      </c>
      <c r="R12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12.558869701726845</v>
      </c>
      <c r="S1267" s="46">
        <f t="shared" si="59"/>
        <v>14.224</v>
      </c>
      <c r="T12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7" s="74" cm="1">
        <f t="array" ref="U1267">IF(SIP[[#This Row],[B/S]]="S",ABS(SIP[[#This Row],[Unit]])*(INDEX(SIP[NAV at Cost (Average)],MATCH(CONCATENATE((SIP[[#This Row],[Frequency]]-1),SIP[[#This Row],[Investor ID]]),SIP[Unique Code],0),0)),0)</f>
        <v>0</v>
      </c>
      <c r="V1267" s="74">
        <f>IF(SIP[[#This Row],[BO TRANSFER]]="YES",SIP[[#This Row],[Unit]],)</f>
        <v>0</v>
      </c>
      <c r="W1267" s="74">
        <f>SUMIFS(SIP[[#Headers],[BO UNIT TRANSFER]]:SIP[[#This Row],[BO UNIT TRANSFER]],SIP[[#Headers],[Investor ID]]:SIP[[#This Row],[Investor ID]],SIP[[#This Row],[Investor ID]])</f>
        <v>0</v>
      </c>
    </row>
    <row r="1268" spans="1:23" ht="15" customHeight="1">
      <c r="A1268" s="46">
        <v>2025</v>
      </c>
      <c r="B1268" s="46">
        <v>7</v>
      </c>
      <c r="C1268" s="46">
        <v>7</v>
      </c>
      <c r="D1268" s="65">
        <f>DATE(SIP[[#This Row],[Year]],SIP[[#This Row],[Month]],SIP[[#This Row],[Day]])</f>
        <v>45845</v>
      </c>
      <c r="E1268" s="66" t="str" cm="1">
        <f t="array" ref="E1268">INDEX(INVESTORS_LIST[INVESTOR NAME],MATCH(SIP[[#This Row],[Investor ID]],INVESTORS_LIST[INVESTOR CODE],0),)</f>
        <v>NANDINI SAHA</v>
      </c>
      <c r="F1268" s="46" t="s">
        <v>242</v>
      </c>
      <c r="G1268" s="46">
        <f>COUNTIF(SIP[[#Headers],[Investor ID]]:SIP[[#This Row],[Investor ID]],SIP[[#This Row],[Investor ID]])</f>
        <v>26</v>
      </c>
      <c r="H1268" s="46" t="str">
        <f>CONCATENATE(SIP[[#This Row],[Frequency]],SIP[[#This Row],[Investor ID]])</f>
        <v>26A00097</v>
      </c>
      <c r="I1268" s="46" t="str">
        <f>IF(SIP[[#This Row],[B/S]]="B","BUY",(IF(SIP[[#This Row],[B/S]]="S","SELL"," ")))</f>
        <v>BUY</v>
      </c>
      <c r="J1268" s="150" t="s">
        <v>1229</v>
      </c>
      <c r="K1268" s="153">
        <v>5000</v>
      </c>
      <c r="L1268" s="122"/>
      <c r="M1268" s="123">
        <f>SIP[[#This Row],[Amount]]/SIP[[#This Row],[Unit]]</f>
        <v>12.594458438287154</v>
      </c>
      <c r="N1268" s="71">
        <f>SIP[[#This Row],[Unit Capital]]/10</f>
        <v>397</v>
      </c>
      <c r="O1268" s="71">
        <f>SUMIFS(SIP[[#Headers],[Unit]]:SIP[[#This Row],[Unit]],SIP[[#Headers],[Investor ID]]:SIP[[#This Row],[Investor ID]],SIP[[#This Row],[Investor ID]])</f>
        <v>67601</v>
      </c>
      <c r="P1268" s="153">
        <v>3970</v>
      </c>
      <c r="Q1268" s="74">
        <f>SIP[[#This Row],[Amount]]-SIP[[#This Row],[Unit Capital]]</f>
        <v>1030</v>
      </c>
      <c r="R12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11.168473839144388</v>
      </c>
      <c r="S1268" s="46">
        <f t="shared" si="59"/>
        <v>14.224</v>
      </c>
      <c r="T12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8" s="74" cm="1">
        <f t="array" ref="U1268">IF(SIP[[#This Row],[B/S]]="S",ABS(SIP[[#This Row],[Unit]])*(INDEX(SIP[NAV at Cost (Average)],MATCH(CONCATENATE((SIP[[#This Row],[Frequency]]-1),SIP[[#This Row],[Investor ID]]),SIP[Unique Code],0),0)),0)</f>
        <v>0</v>
      </c>
      <c r="V1268" s="74">
        <f>IF(SIP[[#This Row],[BO TRANSFER]]="YES",SIP[[#This Row],[Unit]],)</f>
        <v>0</v>
      </c>
      <c r="W1268" s="74">
        <f>SUMIFS(SIP[[#Headers],[BO UNIT TRANSFER]]:SIP[[#This Row],[BO UNIT TRANSFER]],SIP[[#Headers],[Investor ID]]:SIP[[#This Row],[Investor ID]],SIP[[#This Row],[Investor ID]])</f>
        <v>0</v>
      </c>
    </row>
    <row r="1269" spans="1:23" ht="15" customHeight="1">
      <c r="A1269" s="46">
        <v>2025</v>
      </c>
      <c r="B1269" s="46">
        <v>7</v>
      </c>
      <c r="C1269" s="46">
        <v>7</v>
      </c>
      <c r="D1269" s="65">
        <f>DATE(SIP[[#This Row],[Year]],SIP[[#This Row],[Month]],SIP[[#This Row],[Day]])</f>
        <v>45845</v>
      </c>
      <c r="E1269" s="66" t="str" cm="1">
        <f t="array" ref="E1269">INDEX(INVESTORS_LIST[INVESTOR NAME],MATCH(SIP[[#This Row],[Investor ID]],INVESTORS_LIST[INVESTOR CODE],0),)</f>
        <v>NANDINI SAHA</v>
      </c>
      <c r="F1269" s="46" t="s">
        <v>242</v>
      </c>
      <c r="G1269" s="46">
        <f>COUNTIF(SIP[[#Headers],[Investor ID]]:SIP[[#This Row],[Investor ID]],SIP[[#This Row],[Investor ID]])</f>
        <v>27</v>
      </c>
      <c r="H1269" s="46" t="str">
        <f>CONCATENATE(SIP[[#This Row],[Frequency]],SIP[[#This Row],[Investor ID]])</f>
        <v>27A00097</v>
      </c>
      <c r="I1269" s="46" t="str">
        <f>IF(SIP[[#This Row],[B/S]]="B","BUY",(IF(SIP[[#This Row],[B/S]]="S","SELL"," ")))</f>
        <v>BUY</v>
      </c>
      <c r="J1269" s="150" t="s">
        <v>1229</v>
      </c>
      <c r="K1269" s="153">
        <v>30000</v>
      </c>
      <c r="L1269" s="122"/>
      <c r="M1269" s="123">
        <f>SIP[[#This Row],[Amount]]/SIP[[#This Row],[Unit]]</f>
        <v>12.583892617449665</v>
      </c>
      <c r="N1269" s="71">
        <f>SIP[[#This Row],[Unit Capital]]/10</f>
        <v>2384</v>
      </c>
      <c r="O1269" s="71">
        <f>SUMIFS(SIP[[#Headers],[Unit]]:SIP[[#This Row],[Unit]],SIP[[#Headers],[Investor ID]]:SIP[[#This Row],[Investor ID]],SIP[[#This Row],[Investor ID]])</f>
        <v>69985</v>
      </c>
      <c r="P1269" s="153">
        <v>23840</v>
      </c>
      <c r="Q1269" s="74">
        <f>SIP[[#This Row],[Amount]]-SIP[[#This Row],[Unit Capital]]</f>
        <v>6160</v>
      </c>
      <c r="R12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11.216689290562261</v>
      </c>
      <c r="S1269" s="46">
        <f t="shared" si="59"/>
        <v>14.224</v>
      </c>
      <c r="T12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9" s="74" cm="1">
        <f t="array" ref="U1269">IF(SIP[[#This Row],[B/S]]="S",ABS(SIP[[#This Row],[Unit]])*(INDEX(SIP[NAV at Cost (Average)],MATCH(CONCATENATE((SIP[[#This Row],[Frequency]]-1),SIP[[#This Row],[Investor ID]]),SIP[Unique Code],0),0)),0)</f>
        <v>0</v>
      </c>
      <c r="V1269" s="74">
        <f>IF(SIP[[#This Row],[BO TRANSFER]]="YES",SIP[[#This Row],[Unit]],)</f>
        <v>0</v>
      </c>
      <c r="W1269" s="74">
        <f>SUMIFS(SIP[[#Headers],[BO UNIT TRANSFER]]:SIP[[#This Row],[BO UNIT TRANSFER]],SIP[[#Headers],[Investor ID]]:SIP[[#This Row],[Investor ID]],SIP[[#This Row],[Investor ID]])</f>
        <v>0</v>
      </c>
    </row>
    <row r="1270" spans="1:23" ht="15" customHeight="1">
      <c r="A1270" s="46">
        <v>2025</v>
      </c>
      <c r="B1270" s="46">
        <v>7</v>
      </c>
      <c r="C1270" s="46">
        <v>7</v>
      </c>
      <c r="D1270" s="65">
        <f>DATE(SIP[[#This Row],[Year]],SIP[[#This Row],[Month]],SIP[[#This Row],[Day]])</f>
        <v>45845</v>
      </c>
      <c r="E1270" s="66" t="str" cm="1">
        <f t="array" ref="E1270">INDEX(INVESTORS_LIST[INVESTOR NAME],MATCH(SIP[[#This Row],[Investor ID]],INVESTORS_LIST[INVESTOR CODE],0),)</f>
        <v>ROKSABA KASEM</v>
      </c>
      <c r="F1270" s="46" t="s">
        <v>900</v>
      </c>
      <c r="G1270" s="46">
        <f>COUNTIF(SIP[[#Headers],[Investor ID]]:SIP[[#This Row],[Investor ID]],SIP[[#This Row],[Investor ID]])</f>
        <v>26</v>
      </c>
      <c r="H1270" s="46" t="str">
        <f>CONCATENATE(SIP[[#This Row],[Frequency]],SIP[[#This Row],[Investor ID]])</f>
        <v>26A00427</v>
      </c>
      <c r="I1270" s="46" t="str">
        <f>IF(SIP[[#This Row],[B/S]]="B","BUY",(IF(SIP[[#This Row],[B/S]]="S","SELL"," ")))</f>
        <v>BUY</v>
      </c>
      <c r="J1270" s="150" t="s">
        <v>1229</v>
      </c>
      <c r="K1270" s="153">
        <v>20000</v>
      </c>
      <c r="L1270" s="122" t="s">
        <v>1230</v>
      </c>
      <c r="M1270" s="123">
        <f>SIP[[#This Row],[Amount]]/SIP[[#This Row],[Unit]]</f>
        <v>12.586532410320956</v>
      </c>
      <c r="N1270" s="71">
        <f>SIP[[#This Row],[Unit Capital]]/10</f>
        <v>1589</v>
      </c>
      <c r="O1270" s="71">
        <f>SUMIFS(SIP[[#Headers],[Unit]]:SIP[[#This Row],[Unit]],SIP[[#Headers],[Investor ID]]:SIP[[#This Row],[Investor ID]],SIP[[#This Row],[Investor ID]])</f>
        <v>46286</v>
      </c>
      <c r="P1270" s="153">
        <v>15890</v>
      </c>
      <c r="Q1270" s="74">
        <f>SIP[[#This Row],[Amount]]-SIP[[#This Row],[Unit Capital]]</f>
        <v>4110</v>
      </c>
      <c r="R12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11.234498552478076</v>
      </c>
      <c r="S1270" s="46">
        <f t="shared" si="59"/>
        <v>14.224</v>
      </c>
      <c r="T12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0" s="74" cm="1">
        <f t="array" ref="U1270">IF(SIP[[#This Row],[B/S]]="S",ABS(SIP[[#This Row],[Unit]])*(INDEX(SIP[NAV at Cost (Average)],MATCH(CONCATENATE((SIP[[#This Row],[Frequency]]-1),SIP[[#This Row],[Investor ID]]),SIP[Unique Code],0),0)),0)</f>
        <v>0</v>
      </c>
      <c r="V1270" s="74">
        <f>IF(SIP[[#This Row],[BO TRANSFER]]="YES",SIP[[#This Row],[Unit]],)</f>
        <v>1589</v>
      </c>
      <c r="W1270" s="74">
        <f>SUMIFS(SIP[[#Headers],[BO UNIT TRANSFER]]:SIP[[#This Row],[BO UNIT TRANSFER]],SIP[[#Headers],[Investor ID]]:SIP[[#This Row],[Investor ID]],SIP[[#This Row],[Investor ID]])</f>
        <v>1589</v>
      </c>
    </row>
    <row r="1271" spans="1:23" ht="15" customHeight="1">
      <c r="A1271" s="46">
        <v>2025</v>
      </c>
      <c r="B1271" s="46">
        <v>7</v>
      </c>
      <c r="C1271" s="46">
        <v>7</v>
      </c>
      <c r="D1271" s="65">
        <f>DATE(SIP[[#This Row],[Year]],SIP[[#This Row],[Month]],SIP[[#This Row],[Day]])</f>
        <v>45845</v>
      </c>
      <c r="E1271" s="66" t="str" cm="1">
        <f t="array" ref="E1271">INDEX(INVESTORS_LIST[INVESTOR NAME],MATCH(SIP[[#This Row],[Investor ID]],INVESTORS_LIST[INVESTOR CODE],0),)</f>
        <v>MD. MONIRUL ISLAM</v>
      </c>
      <c r="F1271" s="46" t="s">
        <v>996</v>
      </c>
      <c r="G1271" s="46">
        <f>COUNTIF(SIP[[#Headers],[Investor ID]]:SIP[[#This Row],[Investor ID]],SIP[[#This Row],[Investor ID]])</f>
        <v>26</v>
      </c>
      <c r="H1271" s="46" t="str">
        <f>CONCATENATE(SIP[[#This Row],[Frequency]],SIP[[#This Row],[Investor ID]])</f>
        <v>26A00475</v>
      </c>
      <c r="I1271" s="46" t="str">
        <f>IF(SIP[[#This Row],[B/S]]="B","BUY",(IF(SIP[[#This Row],[B/S]]="S","SELL"," ")))</f>
        <v>BUY</v>
      </c>
      <c r="J1271" s="150" t="s">
        <v>1229</v>
      </c>
      <c r="K1271" s="153">
        <v>10000</v>
      </c>
      <c r="L1271" s="122"/>
      <c r="M1271" s="123">
        <f>SIP[[#This Row],[Amount]]/SIP[[#This Row],[Unit]]</f>
        <v>12.578616352201259</v>
      </c>
      <c r="N1271" s="71">
        <f>SIP[[#This Row],[Unit Capital]]/10</f>
        <v>795</v>
      </c>
      <c r="O1271" s="71">
        <f>SUMIFS(SIP[[#Headers],[Unit]]:SIP[[#This Row],[Unit]],SIP[[#Headers],[Investor ID]]:SIP[[#This Row],[Investor ID]],SIP[[#This Row],[Investor ID]])</f>
        <v>23324</v>
      </c>
      <c r="P1271" s="153">
        <v>7950</v>
      </c>
      <c r="Q1271" s="74">
        <f>SIP[[#This Row],[Amount]]-SIP[[#This Row],[Unit Capital]]</f>
        <v>2050</v>
      </c>
      <c r="R12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11.147316069284853</v>
      </c>
      <c r="S1271" s="46">
        <f t="shared" si="59"/>
        <v>14.224</v>
      </c>
      <c r="T12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1" s="74" cm="1">
        <f t="array" ref="U1271">IF(SIP[[#This Row],[B/S]]="S",ABS(SIP[[#This Row],[Unit]])*(INDEX(SIP[NAV at Cost (Average)],MATCH(CONCATENATE((SIP[[#This Row],[Frequency]]-1),SIP[[#This Row],[Investor ID]]),SIP[Unique Code],0),0)),0)</f>
        <v>0</v>
      </c>
      <c r="V1271" s="74">
        <f>IF(SIP[[#This Row],[BO TRANSFER]]="YES",SIP[[#This Row],[Unit]],)</f>
        <v>0</v>
      </c>
      <c r="W1271" s="74">
        <f>SUMIFS(SIP[[#Headers],[BO UNIT TRANSFER]]:SIP[[#This Row],[BO UNIT TRANSFER]],SIP[[#Headers],[Investor ID]]:SIP[[#This Row],[Investor ID]],SIP[[#This Row],[Investor ID]])</f>
        <v>0</v>
      </c>
    </row>
    <row r="1272" spans="1:23" ht="15" customHeight="1">
      <c r="A1272" s="46">
        <v>2025</v>
      </c>
      <c r="B1272" s="46">
        <v>7</v>
      </c>
      <c r="C1272" s="46">
        <v>7</v>
      </c>
      <c r="D1272" s="65">
        <f>DATE(SIP[[#This Row],[Year]],SIP[[#This Row],[Month]],SIP[[#This Row],[Day]])</f>
        <v>45845</v>
      </c>
      <c r="E1272" s="66" t="str" cm="1">
        <f t="array" ref="E1272">INDEX(INVESTORS_LIST[INVESTOR NAME],MATCH(SIP[[#This Row],[Investor ID]],INVESTORS_LIST[INVESTOR CODE],0),)</f>
        <v>NANI GOPAL DATTA</v>
      </c>
      <c r="F1272" s="46" t="s">
        <v>232</v>
      </c>
      <c r="G1272" s="46">
        <f>COUNTIF(SIP[[#Headers],[Investor ID]]:SIP[[#This Row],[Investor ID]],SIP[[#This Row],[Investor ID]])</f>
        <v>18</v>
      </c>
      <c r="H1272" s="46" t="str">
        <f>CONCATENATE(SIP[[#This Row],[Frequency]],SIP[[#This Row],[Investor ID]])</f>
        <v>18A00092</v>
      </c>
      <c r="I1272" s="46" t="str">
        <f>IF(SIP[[#This Row],[B/S]]="B","BUY",(IF(SIP[[#This Row],[B/S]]="S","SELL"," ")))</f>
        <v>BUY</v>
      </c>
      <c r="J1272" s="150" t="s">
        <v>1229</v>
      </c>
      <c r="K1272" s="153">
        <v>2000</v>
      </c>
      <c r="L1272" s="122"/>
      <c r="M1272" s="123">
        <f>SIP[[#This Row],[Amount]]/SIP[[#This Row],[Unit]]</f>
        <v>12.578616352201259</v>
      </c>
      <c r="N1272" s="71">
        <f>SIP[[#This Row],[Unit Capital]]/10</f>
        <v>159</v>
      </c>
      <c r="O1272" s="71">
        <f>SUMIFS(SIP[[#Headers],[Unit]]:SIP[[#This Row],[Unit]],SIP[[#Headers],[Investor ID]]:SIP[[#This Row],[Investor ID]],SIP[[#This Row],[Investor ID]])</f>
        <v>2794</v>
      </c>
      <c r="P1272" s="153">
        <v>1590</v>
      </c>
      <c r="Q1272" s="74">
        <f>SIP[[#This Row],[Amount]]-SIP[[#This Row],[Unit Capital]]</f>
        <v>410</v>
      </c>
      <c r="R12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11.484406476016135</v>
      </c>
      <c r="S1272" s="46">
        <f t="shared" si="59"/>
        <v>14.224</v>
      </c>
      <c r="T12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2" s="74" cm="1">
        <f t="array" ref="U1272">IF(SIP[[#This Row],[B/S]]="S",ABS(SIP[[#This Row],[Unit]])*(INDEX(SIP[NAV at Cost (Average)],MATCH(CONCATENATE((SIP[[#This Row],[Frequency]]-1),SIP[[#This Row],[Investor ID]]),SIP[Unique Code],0),0)),0)</f>
        <v>0</v>
      </c>
      <c r="V1272" s="74">
        <f>IF(SIP[[#This Row],[BO TRANSFER]]="YES",SIP[[#This Row],[Unit]],)</f>
        <v>0</v>
      </c>
      <c r="W1272" s="74">
        <f>SUMIFS(SIP[[#Headers],[BO UNIT TRANSFER]]:SIP[[#This Row],[BO UNIT TRANSFER]],SIP[[#Headers],[Investor ID]]:SIP[[#This Row],[Investor ID]],SIP[[#This Row],[Investor ID]])</f>
        <v>0</v>
      </c>
    </row>
    <row r="1273" spans="1:23" ht="15" customHeight="1">
      <c r="A1273" s="46">
        <v>2025</v>
      </c>
      <c r="B1273" s="46">
        <v>7</v>
      </c>
      <c r="C1273" s="46">
        <v>7</v>
      </c>
      <c r="D1273" s="65">
        <f>DATE(SIP[[#This Row],[Year]],SIP[[#This Row],[Month]],SIP[[#This Row],[Day]])</f>
        <v>45845</v>
      </c>
      <c r="E1273" s="66" t="str" cm="1">
        <f t="array" ref="E1273">INDEX(INVESTORS_LIST[INVESTOR NAME],MATCH(SIP[[#This Row],[Investor ID]],INVESTORS_LIST[INVESTOR CODE],0),)</f>
        <v>SABRIA ISLAM TALUKDER</v>
      </c>
      <c r="F1273" s="46" t="s">
        <v>409</v>
      </c>
      <c r="G1273" s="46">
        <f>COUNTIF(SIP[[#Headers],[Investor ID]]:SIP[[#This Row],[Investor ID]],SIP[[#This Row],[Investor ID]])</f>
        <v>23</v>
      </c>
      <c r="H1273" s="46" t="str">
        <f>CONCATENATE(SIP[[#This Row],[Frequency]],SIP[[#This Row],[Investor ID]])</f>
        <v>23A00180</v>
      </c>
      <c r="I1273" s="46" t="str">
        <f>IF(SIP[[#This Row],[B/S]]="B","BUY",(IF(SIP[[#This Row],[B/S]]="S","SELL"," ")))</f>
        <v>BUY</v>
      </c>
      <c r="J1273" s="150" t="s">
        <v>1229</v>
      </c>
      <c r="K1273" s="153">
        <v>5000</v>
      </c>
      <c r="L1273" s="122"/>
      <c r="M1273" s="123">
        <f>SIP[[#This Row],[Amount]]/SIP[[#This Row],[Unit]]</f>
        <v>12.594458438287154</v>
      </c>
      <c r="N1273" s="71">
        <f>SIP[[#This Row],[Unit Capital]]/10</f>
        <v>397</v>
      </c>
      <c r="O1273" s="71">
        <f>SUMIFS(SIP[[#Headers],[Unit]]:SIP[[#This Row],[Unit]],SIP[[#Headers],[Investor ID]]:SIP[[#This Row],[Investor ID]],SIP[[#This Row],[Investor ID]])</f>
        <v>10111</v>
      </c>
      <c r="P1273" s="153">
        <v>3970</v>
      </c>
      <c r="Q1273" s="74">
        <f>SIP[[#This Row],[Amount]]-SIP[[#This Row],[Unit Capital]]</f>
        <v>1030</v>
      </c>
      <c r="R12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11.373751359905055</v>
      </c>
      <c r="S1273" s="46">
        <f t="shared" si="59"/>
        <v>14.224</v>
      </c>
      <c r="T12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3" s="74" cm="1">
        <f t="array" ref="U1273">IF(SIP[[#This Row],[B/S]]="S",ABS(SIP[[#This Row],[Unit]])*(INDEX(SIP[NAV at Cost (Average)],MATCH(CONCATENATE((SIP[[#This Row],[Frequency]]-1),SIP[[#This Row],[Investor ID]]),SIP[Unique Code],0),0)),0)</f>
        <v>0</v>
      </c>
      <c r="V1273" s="74">
        <f>IF(SIP[[#This Row],[BO TRANSFER]]="YES",SIP[[#This Row],[Unit]],)</f>
        <v>0</v>
      </c>
      <c r="W1273" s="74">
        <f>SUMIFS(SIP[[#Headers],[BO UNIT TRANSFER]]:SIP[[#This Row],[BO UNIT TRANSFER]],SIP[[#Headers],[Investor ID]]:SIP[[#This Row],[Investor ID]],SIP[[#This Row],[Investor ID]])</f>
        <v>0</v>
      </c>
    </row>
    <row r="1274" spans="1:23" ht="15" customHeight="1">
      <c r="A1274" s="46">
        <v>2025</v>
      </c>
      <c r="B1274" s="46">
        <v>7</v>
      </c>
      <c r="C1274" s="46">
        <v>7</v>
      </c>
      <c r="D1274" s="65">
        <f>DATE(SIP[[#This Row],[Year]],SIP[[#This Row],[Month]],SIP[[#This Row],[Day]])</f>
        <v>45845</v>
      </c>
      <c r="E1274" s="66" t="str" cm="1">
        <f t="array" ref="E1274">INDEX(INVESTORS_LIST[INVESTOR NAME],MATCH(SIP[[#This Row],[Investor ID]],INVESTORS_LIST[INVESTOR CODE],0),)</f>
        <v>BIJOY CHANDRA DAS</v>
      </c>
      <c r="F1274" s="46" t="s">
        <v>497</v>
      </c>
      <c r="G1274" s="46">
        <f>COUNTIF(SIP[[#Headers],[Investor ID]]:SIP[[#This Row],[Investor ID]],SIP[[#This Row],[Investor ID]])</f>
        <v>15</v>
      </c>
      <c r="H1274" s="46" t="str">
        <f>CONCATENATE(SIP[[#This Row],[Frequency]],SIP[[#This Row],[Investor ID]])</f>
        <v>15A00224</v>
      </c>
      <c r="I1274" s="46" t="str">
        <f>IF(SIP[[#This Row],[B/S]]="B","BUY",(IF(SIP[[#This Row],[B/S]]="S","SELL"," ")))</f>
        <v>BUY</v>
      </c>
      <c r="J1274" s="150" t="s">
        <v>1229</v>
      </c>
      <c r="K1274" s="153">
        <v>5000</v>
      </c>
      <c r="L1274" s="122"/>
      <c r="M1274" s="123">
        <f>SIP[[#This Row],[Amount]]/SIP[[#This Row],[Unit]]</f>
        <v>12.594458438287154</v>
      </c>
      <c r="N1274" s="71">
        <f>SIP[[#This Row],[Unit Capital]]/10</f>
        <v>397</v>
      </c>
      <c r="O1274" s="71">
        <f>SUMIFS(SIP[[#Headers],[Unit]]:SIP[[#This Row],[Unit]],SIP[[#Headers],[Investor ID]]:SIP[[#This Row],[Investor ID]],SIP[[#This Row],[Investor ID]])</f>
        <v>6396</v>
      </c>
      <c r="P1274" s="153">
        <v>3970</v>
      </c>
      <c r="Q1274" s="74">
        <f>SIP[[#This Row],[Amount]]-SIP[[#This Row],[Unit Capital]]</f>
        <v>1030</v>
      </c>
      <c r="R12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11.726078799249533</v>
      </c>
      <c r="S1274" s="46">
        <f t="shared" si="59"/>
        <v>14.224</v>
      </c>
      <c r="T12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4" s="74" cm="1">
        <f t="array" ref="U1274">IF(SIP[[#This Row],[B/S]]="S",ABS(SIP[[#This Row],[Unit]])*(INDEX(SIP[NAV at Cost (Average)],MATCH(CONCATENATE((SIP[[#This Row],[Frequency]]-1),SIP[[#This Row],[Investor ID]]),SIP[Unique Code],0),0)),0)</f>
        <v>0</v>
      </c>
      <c r="V1274" s="74">
        <f>IF(SIP[[#This Row],[BO TRANSFER]]="YES",SIP[[#This Row],[Unit]],)</f>
        <v>0</v>
      </c>
      <c r="W1274" s="74">
        <f>SUMIFS(SIP[[#Headers],[BO UNIT TRANSFER]]:SIP[[#This Row],[BO UNIT TRANSFER]],SIP[[#Headers],[Investor ID]]:SIP[[#This Row],[Investor ID]],SIP[[#This Row],[Investor ID]])</f>
        <v>0</v>
      </c>
    </row>
    <row r="1275" spans="1:23" ht="15" customHeight="1">
      <c r="A1275" s="46">
        <v>2025</v>
      </c>
      <c r="B1275" s="46">
        <v>7</v>
      </c>
      <c r="C1275" s="46">
        <v>7</v>
      </c>
      <c r="D1275" s="65">
        <f>DATE(SIP[[#This Row],[Year]],SIP[[#This Row],[Month]],SIP[[#This Row],[Day]])</f>
        <v>45845</v>
      </c>
      <c r="E1275" s="66" t="str" cm="1">
        <f t="array" ref="E1275">INDEX(INVESTORS_LIST[INVESTOR NAME],MATCH(SIP[[#This Row],[Investor ID]],INVESTORS_LIST[INVESTOR CODE],0),)</f>
        <v>MONIR AHMED</v>
      </c>
      <c r="F1275" s="46" t="s">
        <v>125</v>
      </c>
      <c r="G1275" s="46">
        <f>COUNTIF(SIP[[#Headers],[Investor ID]]:SIP[[#This Row],[Investor ID]],SIP[[#This Row],[Investor ID]])</f>
        <v>28</v>
      </c>
      <c r="H1275" s="46" t="str">
        <f>CONCATENATE(SIP[[#This Row],[Frequency]],SIP[[#This Row],[Investor ID]])</f>
        <v>28A00039</v>
      </c>
      <c r="I1275" s="46" t="str">
        <f>IF(SIP[[#This Row],[B/S]]="B","BUY",(IF(SIP[[#This Row],[B/S]]="S","SELL"," ")))</f>
        <v>BUY</v>
      </c>
      <c r="J1275" s="150" t="s">
        <v>1229</v>
      </c>
      <c r="K1275" s="153">
        <v>10000</v>
      </c>
      <c r="L1275" s="122"/>
      <c r="M1275" s="123">
        <f>SIP[[#This Row],[Amount]]/SIP[[#This Row],[Unit]]</f>
        <v>12.578616352201259</v>
      </c>
      <c r="N1275" s="71">
        <f>SIP[[#This Row],[Unit Capital]]/10</f>
        <v>795</v>
      </c>
      <c r="O1275" s="71">
        <f>SUMIFS(SIP[[#Headers],[Unit]]:SIP[[#This Row],[Unit]],SIP[[#Headers],[Investor ID]]:SIP[[#This Row],[Investor ID]],SIP[[#This Row],[Investor ID]])</f>
        <v>18445</v>
      </c>
      <c r="P1275" s="153">
        <v>7950</v>
      </c>
      <c r="Q1275" s="74">
        <f>SIP[[#This Row],[Amount]]-SIP[[#This Row],[Unit Capital]]</f>
        <v>2050</v>
      </c>
      <c r="R12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12.471992350403633</v>
      </c>
      <c r="S1275" s="46">
        <f t="shared" si="59"/>
        <v>14.224</v>
      </c>
      <c r="T12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5" s="74" cm="1">
        <f t="array" ref="U1275">IF(SIP[[#This Row],[B/S]]="S",ABS(SIP[[#This Row],[Unit]])*(INDEX(SIP[NAV at Cost (Average)],MATCH(CONCATENATE((SIP[[#This Row],[Frequency]]-1),SIP[[#This Row],[Investor ID]]),SIP[Unique Code],0),0)),0)</f>
        <v>0</v>
      </c>
      <c r="V1275" s="74">
        <f>IF(SIP[[#This Row],[BO TRANSFER]]="YES",SIP[[#This Row],[Unit]],)</f>
        <v>0</v>
      </c>
      <c r="W1275" s="74">
        <f>SUMIFS(SIP[[#Headers],[BO UNIT TRANSFER]]:SIP[[#This Row],[BO UNIT TRANSFER]],SIP[[#Headers],[Investor ID]]:SIP[[#This Row],[Investor ID]],SIP[[#This Row],[Investor ID]])</f>
        <v>0</v>
      </c>
    </row>
    <row r="1276" spans="1:23" ht="15" customHeight="1">
      <c r="A1276" s="46">
        <v>2025</v>
      </c>
      <c r="B1276" s="46">
        <v>7</v>
      </c>
      <c r="C1276" s="46">
        <v>7</v>
      </c>
      <c r="D1276" s="65">
        <f>DATE(SIP[[#This Row],[Year]],SIP[[#This Row],[Month]],SIP[[#This Row],[Day]])</f>
        <v>45845</v>
      </c>
      <c r="E1276" s="66" t="str" cm="1">
        <f t="array" ref="E1276">INDEX(INVESTORS_LIST[INVESTOR NAME],MATCH(SIP[[#This Row],[Investor ID]],INVESTORS_LIST[INVESTOR CODE],0),)</f>
        <v>SHANTA PAUL</v>
      </c>
      <c r="F1276" s="46" t="s">
        <v>544</v>
      </c>
      <c r="G1276" s="46">
        <f>COUNTIF(SIP[[#Headers],[Investor ID]]:SIP[[#This Row],[Investor ID]],SIP[[#This Row],[Investor ID]])</f>
        <v>27</v>
      </c>
      <c r="H1276" s="46" t="str">
        <f>CONCATENATE(SIP[[#This Row],[Frequency]],SIP[[#This Row],[Investor ID]])</f>
        <v>27A00247</v>
      </c>
      <c r="I1276" s="46" t="str">
        <f>IF(SIP[[#This Row],[B/S]]="B","BUY",(IF(SIP[[#This Row],[B/S]]="S","SELL"," ")))</f>
        <v>BUY</v>
      </c>
      <c r="J1276" s="150" t="s">
        <v>1229</v>
      </c>
      <c r="K1276" s="153">
        <v>20000</v>
      </c>
      <c r="L1276" s="122"/>
      <c r="M1276" s="123">
        <f>SIP[[#This Row],[Amount]]/SIP[[#This Row],[Unit]]</f>
        <v>12.586532410320956</v>
      </c>
      <c r="N1276" s="71">
        <f>SIP[[#This Row],[Unit Capital]]/10</f>
        <v>1589</v>
      </c>
      <c r="O1276" s="71">
        <f>SUMIFS(SIP[[#Headers],[Unit]]:SIP[[#This Row],[Unit]],SIP[[#Headers],[Investor ID]]:SIP[[#This Row],[Investor ID]],SIP[[#This Row],[Investor ID]])</f>
        <v>48552</v>
      </c>
      <c r="P1276" s="153">
        <v>15890</v>
      </c>
      <c r="Q1276" s="74">
        <f>SIP[[#This Row],[Amount]]-SIP[[#This Row],[Unit Capital]]</f>
        <v>4110</v>
      </c>
      <c r="R12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11.122095897182403</v>
      </c>
      <c r="S1276" s="46">
        <f t="shared" si="59"/>
        <v>14.224</v>
      </c>
      <c r="T12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6" s="74" cm="1">
        <f t="array" ref="U1276">IF(SIP[[#This Row],[B/S]]="S",ABS(SIP[[#This Row],[Unit]])*(INDEX(SIP[NAV at Cost (Average)],MATCH(CONCATENATE((SIP[[#This Row],[Frequency]]-1),SIP[[#This Row],[Investor ID]]),SIP[Unique Code],0),0)),0)</f>
        <v>0</v>
      </c>
      <c r="V1276" s="74">
        <f>IF(SIP[[#This Row],[BO TRANSFER]]="YES",SIP[[#This Row],[Unit]],)</f>
        <v>0</v>
      </c>
      <c r="W1276" s="74">
        <f>SUMIFS(SIP[[#Headers],[BO UNIT TRANSFER]]:SIP[[#This Row],[BO UNIT TRANSFER]],SIP[[#Headers],[Investor ID]]:SIP[[#This Row],[Investor ID]],SIP[[#This Row],[Investor ID]])</f>
        <v>0</v>
      </c>
    </row>
    <row r="1277" spans="1:23" ht="15" customHeight="1">
      <c r="A1277" s="46">
        <v>2025</v>
      </c>
      <c r="B1277" s="46">
        <v>7</v>
      </c>
      <c r="C1277" s="46">
        <v>10</v>
      </c>
      <c r="D1277" s="65">
        <f>DATE(SIP[[#This Row],[Year]],SIP[[#This Row],[Month]],SIP[[#This Row],[Day]])</f>
        <v>45848</v>
      </c>
      <c r="E1277" s="66" t="str" cm="1">
        <f t="array" ref="E1277">INDEX(INVESTORS_LIST[INVESTOR NAME],MATCH(SIP[[#This Row],[Investor ID]],INVESTORS_LIST[INVESTOR CODE],0),)</f>
        <v>MD MIZANUR RAHMAN</v>
      </c>
      <c r="F1277" s="208" t="s">
        <v>1304</v>
      </c>
      <c r="G1277" s="46">
        <f>COUNTIF(SIP[[#Headers],[Investor ID]]:SIP[[#This Row],[Investor ID]],SIP[[#This Row],[Investor ID]])</f>
        <v>9</v>
      </c>
      <c r="H1277" s="46" t="str">
        <f>CONCATENATE(SIP[[#This Row],[Frequency]],SIP[[#This Row],[Investor ID]])</f>
        <v>9A00599</v>
      </c>
      <c r="I1277" s="46" t="str">
        <f>IF(SIP[[#This Row],[B/S]]="B","BUY",(IF(SIP[[#This Row],[B/S]]="S","SELL"," ")))</f>
        <v>SELL</v>
      </c>
      <c r="J1277" s="150" t="s">
        <v>1231</v>
      </c>
      <c r="K1277" s="153">
        <v>-35753.19</v>
      </c>
      <c r="L1277" s="122"/>
      <c r="M1277" s="123">
        <f>SIP[[#This Row],[Amount]]/SIP[[#This Row],[Unit]]</f>
        <v>12.584720168954595</v>
      </c>
      <c r="N1277" s="71">
        <f>SIP[[#This Row],[Unit Capital]]/10</f>
        <v>-2841</v>
      </c>
      <c r="O1277" s="71">
        <f>SUMIFS(SIP[[#Headers],[Unit]]:SIP[[#This Row],[Unit]],SIP[[#Headers],[Investor ID]]:SIP[[#This Row],[Investor ID]],SIP[[#This Row],[Investor ID]])</f>
        <v>0</v>
      </c>
      <c r="P1277" s="153">
        <v>-28410</v>
      </c>
      <c r="Q1277" s="74">
        <f>SIP[[#This Row],[Amount]]-SIP[[#This Row],[Unit Capital]]</f>
        <v>-7343.1900000000023</v>
      </c>
      <c r="R12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277" s="46">
        <f t="shared" si="59"/>
        <v>14.224</v>
      </c>
      <c r="T1277" s="74">
        <f>IF(SIP[[#This Row],[B/S]]="B",0,ABS(SIP[[#This Row],[Unit]])*(SIP[[#This Row],[NAV (Strike Rate)]]-INDEX(SIP[NAV at Cost (Average)],MATCH(CONCATENATE(SIP[[#This Row],[Frequency]]-1,SIP[[#This Row],[Investor ID]]),SIP[Unique Code],0),)))</f>
        <v>599.43846248462296</v>
      </c>
      <c r="U1277" s="74" cm="1">
        <f t="array" ref="U1277">IF(SIP[[#This Row],[B/S]]="S",ABS(SIP[[#This Row],[Unit]])*(INDEX(SIP[NAV at Cost (Average)],MATCH(CONCATENATE((SIP[[#This Row],[Frequency]]-1),SIP[[#This Row],[Investor ID]]),SIP[Unique Code],0),0)),0)</f>
        <v>35153.751537515382</v>
      </c>
      <c r="V1277" s="74">
        <f>IF(SIP[[#This Row],[BO TRANSFER]]="YES",SIP[[#This Row],[Unit]],)</f>
        <v>0</v>
      </c>
      <c r="W1277" s="74">
        <f>SUMIFS(SIP[[#Headers],[BO UNIT TRANSFER]]:SIP[[#This Row],[BO UNIT TRANSFER]],SIP[[#Headers],[Investor ID]]:SIP[[#This Row],[Investor ID]],SIP[[#This Row],[Investor ID]])</f>
        <v>0</v>
      </c>
    </row>
    <row r="1278" spans="1:23" ht="15" customHeight="1">
      <c r="A1278" s="46">
        <v>2025</v>
      </c>
      <c r="B1278" s="46">
        <v>7</v>
      </c>
      <c r="C1278" s="46">
        <v>13</v>
      </c>
      <c r="D1278" s="65">
        <f>DATE(SIP[[#This Row],[Year]],SIP[[#This Row],[Month]],SIP[[#This Row],[Day]])</f>
        <v>45851</v>
      </c>
      <c r="E1278" s="66" t="str" cm="1">
        <f t="array" ref="E1278">INDEX(INVESTORS_LIST[INVESTOR NAME],MATCH(SIP[[#This Row],[Investor ID]],INVESTORS_LIST[INVESTOR CODE],0),)</f>
        <v>KHAN MUHAMMAD FAISOL</v>
      </c>
      <c r="F1278" s="208" t="s">
        <v>930</v>
      </c>
      <c r="G1278" s="46">
        <f>COUNTIF(SIP[[#Headers],[Investor ID]]:SIP[[#This Row],[Investor ID]],SIP[[#This Row],[Investor ID]])</f>
        <v>27</v>
      </c>
      <c r="H1278" s="46" t="str">
        <f>CONCATENATE(SIP[[#This Row],[Frequency]],SIP[[#This Row],[Investor ID]])</f>
        <v>27A00442</v>
      </c>
      <c r="I1278" s="46" t="str">
        <f>IF(SIP[[#This Row],[B/S]]="B","BUY",(IF(SIP[[#This Row],[B/S]]="S","SELL"," ")))</f>
        <v>SELL</v>
      </c>
      <c r="J1278" s="150" t="s">
        <v>1231</v>
      </c>
      <c r="K1278" s="153">
        <v>-29257.52</v>
      </c>
      <c r="L1278" s="122"/>
      <c r="M1278" s="123">
        <f>SIP[[#This Row],[Amount]]/SIP[[#This Row],[Unit]]</f>
        <v>12.611000000000001</v>
      </c>
      <c r="N1278" s="71">
        <f>SIP[[#This Row],[Unit Capital]]/10</f>
        <v>-2320</v>
      </c>
      <c r="O1278" s="71">
        <f>SUMIFS(SIP[[#Headers],[Unit]]:SIP[[#This Row],[Unit]],SIP[[#Headers],[Investor ID]]:SIP[[#This Row],[Investor ID]],SIP[[#This Row],[Investor ID]])</f>
        <v>0</v>
      </c>
      <c r="P1278" s="153">
        <v>-23200</v>
      </c>
      <c r="Q1278" s="74">
        <f>SIP[[#This Row],[Amount]]-SIP[[#This Row],[Unit Capital]]</f>
        <v>-6057.52</v>
      </c>
      <c r="R12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278" s="46">
        <f>NAV_MKT</f>
        <v>14.224</v>
      </c>
      <c r="T1278" s="74">
        <f>IF(SIP[[#This Row],[B/S]]="B",0,ABS(SIP[[#This Row],[Unit]])*(SIP[[#This Row],[NAV (Strike Rate)]]-INDEX(SIP[NAV at Cost (Average)],MATCH(CONCATENATE(SIP[[#This Row],[Frequency]]-1,SIP[[#This Row],[Investor ID]]),SIP[Unique Code],0),)))</f>
        <v>3257.5199999999995</v>
      </c>
      <c r="U1278" s="74" cm="1">
        <f t="array" ref="U1278">IF(SIP[[#This Row],[B/S]]="S",ABS(SIP[[#This Row],[Unit]])*(INDEX(SIP[NAV at Cost (Average)],MATCH(CONCATENATE((SIP[[#This Row],[Frequency]]-1),SIP[[#This Row],[Investor ID]]),SIP[Unique Code],0),0)),0)</f>
        <v>26000.000000000004</v>
      </c>
      <c r="V1278" s="74">
        <f>IF(SIP[[#This Row],[BO TRANSFER]]="YES",SIP[[#This Row],[Unit]],)</f>
        <v>0</v>
      </c>
      <c r="W1278" s="74">
        <f>SUMIFS(SIP[[#Headers],[BO UNIT TRANSFER]]:SIP[[#This Row],[BO UNIT TRANSFER]],SIP[[#Headers],[Investor ID]]:SIP[[#This Row],[Investor ID]],SIP[[#This Row],[Investor ID]])</f>
        <v>0</v>
      </c>
    </row>
    <row r="1279" spans="1:23" ht="15" customHeight="1">
      <c r="A1279" s="46">
        <v>2025</v>
      </c>
      <c r="B1279" s="46">
        <v>7</v>
      </c>
      <c r="C1279" s="46">
        <v>15</v>
      </c>
      <c r="D1279" s="65">
        <f>DATE(SIP[[#This Row],[Year]],SIP[[#This Row],[Month]],SIP[[#This Row],[Day]])</f>
        <v>45853</v>
      </c>
      <c r="E1279" s="66" t="str" cm="1">
        <f t="array" ref="E1279">INDEX(INVESTORS_LIST[INVESTOR NAME],MATCH(SIP[[#This Row],[Investor ID]],INVESTORS_LIST[INVESTOR CODE],0),)</f>
        <v>ASRAAR HOSSAIN</v>
      </c>
      <c r="F1279" s="46" t="s">
        <v>786</v>
      </c>
      <c r="G1279" s="46">
        <f>COUNTIF(SIP[[#Headers],[Investor ID]]:SIP[[#This Row],[Investor ID]],SIP[[#This Row],[Investor ID]])</f>
        <v>10</v>
      </c>
      <c r="H1279" s="46" t="str">
        <f>CONCATENATE(SIP[[#This Row],[Frequency]],SIP[[#This Row],[Investor ID]])</f>
        <v>10A00369</v>
      </c>
      <c r="I1279" s="46" t="str">
        <f>IF(SIP[[#This Row],[B/S]]="B","BUY",(IF(SIP[[#This Row],[B/S]]="S","SELL"," ")))</f>
        <v>BUY</v>
      </c>
      <c r="J1279" s="150" t="s">
        <v>1229</v>
      </c>
      <c r="K1279" s="153">
        <v>15000</v>
      </c>
      <c r="L1279" s="122" t="s">
        <v>1230</v>
      </c>
      <c r="M1279" s="123">
        <f>SIP[[#This Row],[Amount]]/SIP[[#This Row],[Unit]]</f>
        <v>12.615643397813288</v>
      </c>
      <c r="N1279" s="71">
        <f>SIP[[#This Row],[Unit Capital]]/10</f>
        <v>1189</v>
      </c>
      <c r="O1279" s="71">
        <f>SUMIFS(SIP[[#Headers],[Unit]]:SIP[[#This Row],[Unit]],SIP[[#Headers],[Investor ID]]:SIP[[#This Row],[Investor ID]],SIP[[#This Row],[Investor ID]])</f>
        <v>12329</v>
      </c>
      <c r="P1279" s="197">
        <v>11890</v>
      </c>
      <c r="Q1279" s="74">
        <f>SIP[[#This Row],[Amount]]-SIP[[#This Row],[Unit Capital]]</f>
        <v>3110</v>
      </c>
      <c r="R12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12.166436856192718</v>
      </c>
      <c r="S1279" s="46">
        <f t="shared" ref="S1279:S1285" si="60">NAV_MKT</f>
        <v>14.224</v>
      </c>
      <c r="T12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9" s="74" cm="1">
        <f t="array" ref="U1279">IF(SIP[[#This Row],[B/S]]="S",ABS(SIP[[#This Row],[Unit]])*(INDEX(SIP[NAV at Cost (Average)],MATCH(CONCATENATE((SIP[[#This Row],[Frequency]]-1),SIP[[#This Row],[Investor ID]]),SIP[Unique Code],0),0)),0)</f>
        <v>0</v>
      </c>
      <c r="V1279" s="74">
        <f>IF(SIP[[#This Row],[BO TRANSFER]]="YES",SIP[[#This Row],[Unit]],)</f>
        <v>1189</v>
      </c>
      <c r="W1279" s="74">
        <f>SUMIFS(SIP[[#Headers],[BO UNIT TRANSFER]]:SIP[[#This Row],[BO UNIT TRANSFER]],SIP[[#Headers],[Investor ID]]:SIP[[#This Row],[Investor ID]],SIP[[#This Row],[Investor ID]])</f>
        <v>1189</v>
      </c>
    </row>
    <row r="1280" spans="1:23" ht="15" customHeight="1">
      <c r="A1280" s="46">
        <v>2025</v>
      </c>
      <c r="B1280" s="46">
        <v>7</v>
      </c>
      <c r="C1280" s="46">
        <v>15</v>
      </c>
      <c r="D1280" s="65">
        <f>DATE(SIP[[#This Row],[Year]],SIP[[#This Row],[Month]],SIP[[#This Row],[Day]])</f>
        <v>45853</v>
      </c>
      <c r="E1280" s="66" t="str" cm="1">
        <f t="array" ref="E1280">INDEX(INVESTORS_LIST[INVESTOR NAME],MATCH(SIP[[#This Row],[Investor ID]],INVESTORS_LIST[INVESTOR CODE],0),)</f>
        <v>RUKAIYA FAHMIDA</v>
      </c>
      <c r="F1280" s="46" t="s">
        <v>1190</v>
      </c>
      <c r="G1280" s="46">
        <f>COUNTIF(SIP[[#Headers],[Investor ID]]:SIP[[#This Row],[Investor ID]],SIP[[#This Row],[Investor ID]])</f>
        <v>5</v>
      </c>
      <c r="H1280" s="46" t="str">
        <f>CONCATENATE(SIP[[#This Row],[Frequency]],SIP[[#This Row],[Investor ID]])</f>
        <v>5A00571</v>
      </c>
      <c r="I1280" s="46" t="str">
        <f>IF(SIP[[#This Row],[B/S]]="B","BUY",(IF(SIP[[#This Row],[B/S]]="S","SELL"," ")))</f>
        <v>BUY</v>
      </c>
      <c r="J1280" s="150" t="s">
        <v>1229</v>
      </c>
      <c r="K1280" s="153">
        <v>2000</v>
      </c>
      <c r="L1280" s="122"/>
      <c r="M1280" s="123">
        <f>SIP[[#This Row],[Amount]]/SIP[[#This Row],[Unit]]</f>
        <v>12.578616352201259</v>
      </c>
      <c r="N1280" s="71">
        <f>SIP[[#This Row],[Unit Capital]]/10</f>
        <v>159</v>
      </c>
      <c r="O1280" s="71">
        <f>SUMIFS(SIP[[#Headers],[Unit]]:SIP[[#This Row],[Unit]],SIP[[#Headers],[Investor ID]]:SIP[[#This Row],[Investor ID]],SIP[[#This Row],[Investor ID]])</f>
        <v>798</v>
      </c>
      <c r="P1280" s="197">
        <v>1590</v>
      </c>
      <c r="Q1280" s="74">
        <f>SIP[[#This Row],[Amount]]-SIP[[#This Row],[Unit Capital]]</f>
        <v>410</v>
      </c>
      <c r="R12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12.531328320802004</v>
      </c>
      <c r="S1280" s="46">
        <f t="shared" si="60"/>
        <v>14.224</v>
      </c>
      <c r="T12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0" s="74" cm="1">
        <f t="array" ref="U1280">IF(SIP[[#This Row],[B/S]]="S",ABS(SIP[[#This Row],[Unit]])*(INDEX(SIP[NAV at Cost (Average)],MATCH(CONCATENATE((SIP[[#This Row],[Frequency]]-1),SIP[[#This Row],[Investor ID]]),SIP[Unique Code],0),0)),0)</f>
        <v>0</v>
      </c>
      <c r="V1280" s="74">
        <f>IF(SIP[[#This Row],[BO TRANSFER]]="YES",SIP[[#This Row],[Unit]],)</f>
        <v>0</v>
      </c>
      <c r="W1280" s="74">
        <f>SUMIFS(SIP[[#Headers],[BO UNIT TRANSFER]]:SIP[[#This Row],[BO UNIT TRANSFER]],SIP[[#Headers],[Investor ID]]:SIP[[#This Row],[Investor ID]],SIP[[#This Row],[Investor ID]])</f>
        <v>0</v>
      </c>
    </row>
    <row r="1281" spans="1:23" ht="15" customHeight="1">
      <c r="A1281" s="46">
        <v>2025</v>
      </c>
      <c r="B1281" s="46">
        <v>7</v>
      </c>
      <c r="C1281" s="46">
        <v>15</v>
      </c>
      <c r="D1281" s="65">
        <f>DATE(SIP[[#This Row],[Year]],SIP[[#This Row],[Month]],SIP[[#This Row],[Day]])</f>
        <v>45853</v>
      </c>
      <c r="E1281" s="66" t="str" cm="1">
        <f t="array" ref="E1281">INDEX(INVESTORS_LIST[INVESTOR NAME],MATCH(SIP[[#This Row],[Investor ID]],INVESTORS_LIST[INVESTOR CODE],0),)</f>
        <v>MD. RAFIQUR RAHMAN</v>
      </c>
      <c r="F1281" s="46" t="s">
        <v>622</v>
      </c>
      <c r="G1281" s="46">
        <f>COUNTIF(SIP[[#Headers],[Investor ID]]:SIP[[#This Row],[Investor ID]],SIP[[#This Row],[Investor ID]])</f>
        <v>23</v>
      </c>
      <c r="H1281" s="46" t="str">
        <f>CONCATENATE(SIP[[#This Row],[Frequency]],SIP[[#This Row],[Investor ID]])</f>
        <v>23A00287</v>
      </c>
      <c r="I1281" s="46" t="str">
        <f>IF(SIP[[#This Row],[B/S]]="B","BUY",(IF(SIP[[#This Row],[B/S]]="S","SELL"," ")))</f>
        <v>BUY</v>
      </c>
      <c r="J1281" s="150" t="s">
        <v>1229</v>
      </c>
      <c r="K1281" s="153">
        <v>20000</v>
      </c>
      <c r="L1281" s="122"/>
      <c r="M1281" s="123">
        <f>SIP[[#This Row],[Amount]]/SIP[[#This Row],[Unit]]</f>
        <v>12.610340479192939</v>
      </c>
      <c r="N1281" s="71">
        <f>SIP[[#This Row],[Unit Capital]]/10</f>
        <v>1586</v>
      </c>
      <c r="O1281" s="71">
        <f>SUMIFS(SIP[[#Headers],[Unit]]:SIP[[#This Row],[Unit]],SIP[[#Headers],[Investor ID]]:SIP[[#This Row],[Investor ID]],SIP[[#This Row],[Investor ID]])</f>
        <v>40313</v>
      </c>
      <c r="P1281" s="197">
        <v>15860</v>
      </c>
      <c r="Q1281" s="74">
        <f>SIP[[#This Row],[Amount]]-SIP[[#This Row],[Unit Capital]]</f>
        <v>4140</v>
      </c>
      <c r="R12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11.410711184977549</v>
      </c>
      <c r="S1281" s="46">
        <f t="shared" si="60"/>
        <v>14.224</v>
      </c>
      <c r="T12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1" s="74" cm="1">
        <f t="array" ref="U1281">IF(SIP[[#This Row],[B/S]]="S",ABS(SIP[[#This Row],[Unit]])*(INDEX(SIP[NAV at Cost (Average)],MATCH(CONCATENATE((SIP[[#This Row],[Frequency]]-1),SIP[[#This Row],[Investor ID]]),SIP[Unique Code],0),0)),0)</f>
        <v>0</v>
      </c>
      <c r="V1281" s="74">
        <f>IF(SIP[[#This Row],[BO TRANSFER]]="YES",SIP[[#This Row],[Unit]],)</f>
        <v>0</v>
      </c>
      <c r="W1281" s="74">
        <f>SUMIFS(SIP[[#Headers],[BO UNIT TRANSFER]]:SIP[[#This Row],[BO UNIT TRANSFER]],SIP[[#Headers],[Investor ID]]:SIP[[#This Row],[Investor ID]],SIP[[#This Row],[Investor ID]])</f>
        <v>0</v>
      </c>
    </row>
    <row r="1282" spans="1:23" ht="15" customHeight="1">
      <c r="A1282" s="46">
        <v>2025</v>
      </c>
      <c r="B1282" s="46">
        <v>7</v>
      </c>
      <c r="C1282" s="46">
        <v>15</v>
      </c>
      <c r="D1282" s="65">
        <f>DATE(SIP[[#This Row],[Year]],SIP[[#This Row],[Month]],SIP[[#This Row],[Day]])</f>
        <v>45853</v>
      </c>
      <c r="E1282" s="66" t="str" cm="1">
        <f t="array" ref="E1282">INDEX(INVESTORS_LIST[INVESTOR NAME],MATCH(SIP[[#This Row],[Investor ID]],INVESTORS_LIST[INVESTOR CODE],0),)</f>
        <v>MAHMUD ALI ALAMGIR &amp; MOHAMMED ALI XAHANGIR</v>
      </c>
      <c r="F1282" s="46" t="s">
        <v>1130</v>
      </c>
      <c r="G1282" s="46">
        <f>COUNTIF(SIP[[#Headers],[Investor ID]]:SIP[[#This Row],[Investor ID]],SIP[[#This Row],[Investor ID]])</f>
        <v>23</v>
      </c>
      <c r="H1282" s="46" t="str">
        <f>CONCATENATE(SIP[[#This Row],[Frequency]],SIP[[#This Row],[Investor ID]])</f>
        <v>23A00540</v>
      </c>
      <c r="I1282" s="46" t="str">
        <f>IF(SIP[[#This Row],[B/S]]="B","BUY",(IF(SIP[[#This Row],[B/S]]="S","SELL"," ")))</f>
        <v>BUY</v>
      </c>
      <c r="J1282" s="150" t="s">
        <v>1229</v>
      </c>
      <c r="K1282" s="153">
        <v>40000</v>
      </c>
      <c r="L1282" s="122"/>
      <c r="M1282" s="123">
        <f>SIP[[#This Row],[Amount]]/SIP[[#This Row],[Unit]]</f>
        <v>12.610340479192939</v>
      </c>
      <c r="N1282" s="71">
        <f>SIP[[#This Row],[Unit Capital]]/10</f>
        <v>3172</v>
      </c>
      <c r="O1282" s="71">
        <f>SUMIFS(SIP[[#Headers],[Unit]]:SIP[[#This Row],[Unit]],SIP[[#Headers],[Investor ID]]:SIP[[#This Row],[Investor ID]],SIP[[#This Row],[Investor ID]])</f>
        <v>58479</v>
      </c>
      <c r="P1282" s="197">
        <v>31720</v>
      </c>
      <c r="Q1282" s="74">
        <f>SIP[[#This Row],[Amount]]-SIP[[#This Row],[Unit Capital]]</f>
        <v>8280</v>
      </c>
      <c r="R12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11.974325803099502</v>
      </c>
      <c r="S1282" s="46">
        <f t="shared" si="60"/>
        <v>14.224</v>
      </c>
      <c r="T12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2" s="74" cm="1">
        <f t="array" ref="U1282">IF(SIP[[#This Row],[B/S]]="S",ABS(SIP[[#This Row],[Unit]])*(INDEX(SIP[NAV at Cost (Average)],MATCH(CONCATENATE((SIP[[#This Row],[Frequency]]-1),SIP[[#This Row],[Investor ID]]),SIP[Unique Code],0),0)),0)</f>
        <v>0</v>
      </c>
      <c r="V1282" s="74">
        <f>IF(SIP[[#This Row],[BO TRANSFER]]="YES",SIP[[#This Row],[Unit]],)</f>
        <v>0</v>
      </c>
      <c r="W1282" s="74">
        <f>SUMIFS(SIP[[#Headers],[BO UNIT TRANSFER]]:SIP[[#This Row],[BO UNIT TRANSFER]],SIP[[#Headers],[Investor ID]]:SIP[[#This Row],[Investor ID]],SIP[[#This Row],[Investor ID]])</f>
        <v>0</v>
      </c>
    </row>
    <row r="1283" spans="1:23" ht="15" customHeight="1">
      <c r="A1283" s="46">
        <v>2025</v>
      </c>
      <c r="B1283" s="46">
        <v>7</v>
      </c>
      <c r="C1283" s="46">
        <v>15</v>
      </c>
      <c r="D1283" s="65">
        <f>DATE(SIP[[#This Row],[Year]],SIP[[#This Row],[Month]],SIP[[#This Row],[Day]])</f>
        <v>45853</v>
      </c>
      <c r="E1283" s="66" t="str" cm="1">
        <f t="array" ref="E1283">INDEX(INVESTORS_LIST[INVESTOR NAME],MATCH(SIP[[#This Row],[Investor ID]],INVESTORS_LIST[INVESTOR CODE],0),)</f>
        <v>MAHFUZA ANIKA</v>
      </c>
      <c r="F1283" s="46" t="s">
        <v>1277</v>
      </c>
      <c r="G1283" s="46">
        <f>COUNTIF(SIP[[#Headers],[Investor ID]]:SIP[[#This Row],[Investor ID]],SIP[[#This Row],[Investor ID]])</f>
        <v>14</v>
      </c>
      <c r="H1283" s="46" t="str">
        <f>CONCATENATE(SIP[[#This Row],[Frequency]],SIP[[#This Row],[Investor ID]])</f>
        <v>14A00585</v>
      </c>
      <c r="I1283" s="46" t="str">
        <f>IF(SIP[[#This Row],[B/S]]="B","BUY",(IF(SIP[[#This Row],[B/S]]="S","SELL"," ")))</f>
        <v>BUY</v>
      </c>
      <c r="J1283" s="150" t="s">
        <v>1229</v>
      </c>
      <c r="K1283" s="153">
        <v>2000</v>
      </c>
      <c r="L1283" s="122"/>
      <c r="M1283" s="123">
        <f>SIP[[#This Row],[Amount]]/SIP[[#This Row],[Unit]]</f>
        <v>12.578616352201259</v>
      </c>
      <c r="N1283" s="71">
        <f>SIP[[#This Row],[Unit Capital]]/10</f>
        <v>159</v>
      </c>
      <c r="O1283" s="71">
        <f>SUMIFS(SIP[[#Headers],[Unit]]:SIP[[#This Row],[Unit]],SIP[[#Headers],[Investor ID]]:SIP[[#This Row],[Investor ID]],SIP[[#This Row],[Investor ID]])</f>
        <v>318</v>
      </c>
      <c r="P1283" s="197">
        <v>1590</v>
      </c>
      <c r="Q1283" s="74">
        <f>SIP[[#This Row],[Amount]]-SIP[[#This Row],[Unit Capital]]</f>
        <v>410</v>
      </c>
      <c r="R12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12.280593579150738</v>
      </c>
      <c r="S1283" s="46">
        <f t="shared" si="60"/>
        <v>14.224</v>
      </c>
      <c r="T12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3" s="74" cm="1">
        <f t="array" ref="U1283">IF(SIP[[#This Row],[B/S]]="S",ABS(SIP[[#This Row],[Unit]])*(INDEX(SIP[NAV at Cost (Average)],MATCH(CONCATENATE((SIP[[#This Row],[Frequency]]-1),SIP[[#This Row],[Investor ID]]),SIP[Unique Code],0),0)),0)</f>
        <v>0</v>
      </c>
      <c r="V1283" s="74">
        <f>IF(SIP[[#This Row],[BO TRANSFER]]="YES",SIP[[#This Row],[Unit]],)</f>
        <v>0</v>
      </c>
      <c r="W1283" s="74">
        <f>SUMIFS(SIP[[#Headers],[BO UNIT TRANSFER]]:SIP[[#This Row],[BO UNIT TRANSFER]],SIP[[#Headers],[Investor ID]]:SIP[[#This Row],[Investor ID]],SIP[[#This Row],[Investor ID]])</f>
        <v>0</v>
      </c>
    </row>
    <row r="1284" spans="1:23" ht="15" customHeight="1">
      <c r="A1284" s="46">
        <v>2025</v>
      </c>
      <c r="B1284" s="46">
        <v>7</v>
      </c>
      <c r="C1284" s="46">
        <v>15</v>
      </c>
      <c r="D1284" s="65">
        <f>DATE(SIP[[#This Row],[Year]],SIP[[#This Row],[Month]],SIP[[#This Row],[Day]])</f>
        <v>45853</v>
      </c>
      <c r="E1284" s="66" t="str" cm="1">
        <f t="array" ref="E1284">INDEX(INVESTORS_LIST[INVESTOR NAME],MATCH(SIP[[#This Row],[Investor ID]],INVESTORS_LIST[INVESTOR CODE],0),)</f>
        <v>MAHMUD ALI ALAMGIR &amp; MOHAMMED ALI XAHANGIR</v>
      </c>
      <c r="F1284" s="46" t="s">
        <v>1130</v>
      </c>
      <c r="G1284" s="46">
        <f>COUNTIF(SIP[[#Headers],[Investor ID]]:SIP[[#This Row],[Investor ID]],SIP[[#This Row],[Investor ID]])</f>
        <v>24</v>
      </c>
      <c r="H1284" s="46" t="str">
        <f>CONCATENATE(SIP[[#This Row],[Frequency]],SIP[[#This Row],[Investor ID]])</f>
        <v>24A00540</v>
      </c>
      <c r="I1284" s="46" t="str">
        <f>IF(SIP[[#This Row],[B/S]]="B","BUY",(IF(SIP[[#This Row],[B/S]]="S","SELL"," ")))</f>
        <v>BUY</v>
      </c>
      <c r="J1284" s="150" t="s">
        <v>1229</v>
      </c>
      <c r="K1284" s="153">
        <v>20000</v>
      </c>
      <c r="L1284" s="122"/>
      <c r="M1284" s="123">
        <f>SIP[[#This Row],[Amount]]/SIP[[#This Row],[Unit]]</f>
        <v>12.610340479192939</v>
      </c>
      <c r="N1284" s="71">
        <f>SIP[[#This Row],[Unit Capital]]/10</f>
        <v>1586</v>
      </c>
      <c r="O1284" s="71">
        <f>SUMIFS(SIP[[#Headers],[Unit]]:SIP[[#This Row],[Unit]],SIP[[#Headers],[Investor ID]]:SIP[[#This Row],[Investor ID]],SIP[[#This Row],[Investor ID]])</f>
        <v>60065</v>
      </c>
      <c r="P1284" s="197">
        <v>15860</v>
      </c>
      <c r="Q1284" s="74">
        <f>SIP[[#This Row],[Amount]]-SIP[[#This Row],[Unit Capital]]</f>
        <v>4140</v>
      </c>
      <c r="R12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11.991119597760022</v>
      </c>
      <c r="S1284" s="46">
        <f t="shared" si="60"/>
        <v>14.224</v>
      </c>
      <c r="T12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4" s="74" cm="1">
        <f t="array" ref="U1284">IF(SIP[[#This Row],[B/S]]="S",ABS(SIP[[#This Row],[Unit]])*(INDEX(SIP[NAV at Cost (Average)],MATCH(CONCATENATE((SIP[[#This Row],[Frequency]]-1),SIP[[#This Row],[Investor ID]]),SIP[Unique Code],0),0)),0)</f>
        <v>0</v>
      </c>
      <c r="V1284" s="74">
        <f>IF(SIP[[#This Row],[BO TRANSFER]]="YES",SIP[[#This Row],[Unit]],)</f>
        <v>0</v>
      </c>
      <c r="W1284" s="74">
        <f>SUMIFS(SIP[[#Headers],[BO UNIT TRANSFER]]:SIP[[#This Row],[BO UNIT TRANSFER]],SIP[[#Headers],[Investor ID]]:SIP[[#This Row],[Investor ID]],SIP[[#This Row],[Investor ID]])</f>
        <v>0</v>
      </c>
    </row>
    <row r="1285" spans="1:23" ht="15" customHeight="1">
      <c r="A1285" s="46">
        <v>2025</v>
      </c>
      <c r="B1285" s="46">
        <v>7</v>
      </c>
      <c r="C1285" s="46">
        <v>15</v>
      </c>
      <c r="D1285" s="65">
        <f>DATE(SIP[[#This Row],[Year]],SIP[[#This Row],[Month]],SIP[[#This Row],[Day]])</f>
        <v>45853</v>
      </c>
      <c r="E1285" s="66" t="str" cm="1">
        <f t="array" ref="E1285">INDEX(INVESTORS_LIST[INVESTOR NAME],MATCH(SIP[[#This Row],[Investor ID]],INVESTORS_LIST[INVESTOR CODE],0),)</f>
        <v>SANJIB KUMAR ROY</v>
      </c>
      <c r="F1285" s="46" t="s">
        <v>1020</v>
      </c>
      <c r="G1285" s="46">
        <f>COUNTIF(SIP[[#Headers],[Investor ID]]:SIP[[#This Row],[Investor ID]],SIP[[#This Row],[Investor ID]])</f>
        <v>26</v>
      </c>
      <c r="H1285" s="46" t="str">
        <f>CONCATENATE(SIP[[#This Row],[Frequency]],SIP[[#This Row],[Investor ID]])</f>
        <v>26A00487</v>
      </c>
      <c r="I1285" s="46" t="str">
        <f>IF(SIP[[#This Row],[B/S]]="B","BUY",(IF(SIP[[#This Row],[B/S]]="S","SELL"," ")))</f>
        <v>BUY</v>
      </c>
      <c r="J1285" s="150" t="s">
        <v>1229</v>
      </c>
      <c r="K1285" s="153">
        <v>5000</v>
      </c>
      <c r="L1285" s="122"/>
      <c r="M1285" s="123">
        <f>SIP[[#This Row],[Amount]]/SIP[[#This Row],[Unit]]</f>
        <v>12.626262626262626</v>
      </c>
      <c r="N1285" s="71">
        <f>SIP[[#This Row],[Unit Capital]]/10</f>
        <v>396</v>
      </c>
      <c r="O1285" s="71">
        <f>SUMIFS(SIP[[#Headers],[Unit]]:SIP[[#This Row],[Unit]],SIP[[#Headers],[Investor ID]]:SIP[[#This Row],[Investor ID]],SIP[[#This Row],[Investor ID]])</f>
        <v>11535</v>
      </c>
      <c r="P1285" s="197">
        <v>3960</v>
      </c>
      <c r="Q1285" s="74">
        <f>SIP[[#This Row],[Amount]]-SIP[[#This Row],[Unit Capital]]</f>
        <v>1040</v>
      </c>
      <c r="R12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11.270047680970954</v>
      </c>
      <c r="S1285" s="46">
        <f t="shared" si="60"/>
        <v>14.224</v>
      </c>
      <c r="T12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5" s="74" cm="1">
        <f t="array" ref="U1285">IF(SIP[[#This Row],[B/S]]="S",ABS(SIP[[#This Row],[Unit]])*(INDEX(SIP[NAV at Cost (Average)],MATCH(CONCATENATE((SIP[[#This Row],[Frequency]]-1),SIP[[#This Row],[Investor ID]]),SIP[Unique Code],0),0)),0)</f>
        <v>0</v>
      </c>
      <c r="V1285" s="74">
        <f>IF(SIP[[#This Row],[BO TRANSFER]]="YES",SIP[[#This Row],[Unit]],)</f>
        <v>0</v>
      </c>
      <c r="W1285" s="74">
        <f>SUMIFS(SIP[[#Headers],[BO UNIT TRANSFER]]:SIP[[#This Row],[BO UNIT TRANSFER]],SIP[[#Headers],[Investor ID]]:SIP[[#This Row],[Investor ID]],SIP[[#This Row],[Investor ID]])</f>
        <v>0</v>
      </c>
    </row>
    <row r="1286" spans="1:23" ht="15" customHeight="1">
      <c r="A1286" s="46">
        <v>2025</v>
      </c>
      <c r="B1286" s="46">
        <v>7</v>
      </c>
      <c r="C1286" s="46">
        <v>27</v>
      </c>
      <c r="D1286" s="65">
        <f>DATE(SIP[[#This Row],[Year]],SIP[[#This Row],[Month]],SIP[[#This Row],[Day]])</f>
        <v>45865</v>
      </c>
      <c r="E1286" s="66" t="str" cm="1">
        <f t="array" ref="E1286">INDEX(INVESTORS_LIST[INVESTOR NAME],MATCH(SIP[[#This Row],[Investor ID]],INVESTORS_LIST[INVESTOR CODE],0),)</f>
        <v>KHAN MUHAMMAD FAISOL</v>
      </c>
      <c r="F1286" s="46" t="s">
        <v>930</v>
      </c>
      <c r="G1286" s="46">
        <f>COUNTIF(SIP[[#Headers],[Investor ID]]:SIP[[#This Row],[Investor ID]],SIP[[#This Row],[Investor ID]])</f>
        <v>28</v>
      </c>
      <c r="H1286" s="46" t="str">
        <f>CONCATENATE(SIP[[#This Row],[Frequency]],SIP[[#This Row],[Investor ID]])</f>
        <v>28A00442</v>
      </c>
      <c r="I1286" s="46" t="str">
        <f>IF(SIP[[#This Row],[B/S]]="B","BUY",(IF(SIP[[#This Row],[B/S]]="S","SELL"," ")))</f>
        <v>BUY</v>
      </c>
      <c r="J1286" s="150" t="s">
        <v>1229</v>
      </c>
      <c r="K1286" s="153">
        <v>1000</v>
      </c>
      <c r="L1286" s="122" t="s">
        <v>1230</v>
      </c>
      <c r="M1286" s="123">
        <f>SIP[[#This Row],[Amount]]/SIP[[#This Row],[Unit]]</f>
        <v>12.820512820512821</v>
      </c>
      <c r="N1286" s="71">
        <f>SIP[[#This Row],[Unit Capital]]/10</f>
        <v>78</v>
      </c>
      <c r="O1286" s="71">
        <f>SUMIFS(SIP[[#Headers],[Unit]]:SIP[[#This Row],[Unit]],SIP[[#Headers],[Investor ID]]:SIP[[#This Row],[Investor ID]],SIP[[#This Row],[Investor ID]])</f>
        <v>78</v>
      </c>
      <c r="P1286" s="197">
        <v>780</v>
      </c>
      <c r="Q1286" s="74">
        <f>SIP[[#This Row],[Amount]]-SIP[[#This Row],[Unit Capital]]</f>
        <v>220</v>
      </c>
      <c r="R12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12.820512820512821</v>
      </c>
      <c r="S1286" s="46">
        <f t="shared" ref="S1286:S1319" si="61">NAV_MKT</f>
        <v>14.224</v>
      </c>
      <c r="T12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6" s="74" cm="1">
        <f t="array" ref="U1286">IF(SIP[[#This Row],[B/S]]="S",ABS(SIP[[#This Row],[Unit]])*(INDEX(SIP[NAV at Cost (Average)],MATCH(CONCATENATE((SIP[[#This Row],[Frequency]]-1),SIP[[#This Row],[Investor ID]]),SIP[Unique Code],0),0)),0)</f>
        <v>0</v>
      </c>
      <c r="V1286" s="74">
        <f>IF(SIP[[#This Row],[BO TRANSFER]]="YES",SIP[[#This Row],[Unit]],)</f>
        <v>78</v>
      </c>
      <c r="W1286" s="74">
        <f>SUMIFS(SIP[[#Headers],[BO UNIT TRANSFER]]:SIP[[#This Row],[BO UNIT TRANSFER]],SIP[[#Headers],[Investor ID]]:SIP[[#This Row],[Investor ID]],SIP[[#This Row],[Investor ID]])</f>
        <v>78</v>
      </c>
    </row>
    <row r="1287" spans="1:23" ht="15" customHeight="1">
      <c r="A1287" s="46">
        <v>2025</v>
      </c>
      <c r="B1287" s="46">
        <v>7</v>
      </c>
      <c r="C1287" s="46">
        <v>27</v>
      </c>
      <c r="D1287" s="65">
        <f>DATE(SIP[[#This Row],[Year]],SIP[[#This Row],[Month]],SIP[[#This Row],[Day]])</f>
        <v>45865</v>
      </c>
      <c r="E1287" s="66" t="str" cm="1">
        <f t="array" ref="E1287">INDEX(INVESTORS_LIST[INVESTOR NAME],MATCH(SIP[[#This Row],[Investor ID]],INVESTORS_LIST[INVESTOR CODE],0),)</f>
        <v>MD. ARIFUL ISLAM</v>
      </c>
      <c r="F1287" s="46" t="s">
        <v>222</v>
      </c>
      <c r="G1287" s="46">
        <f>COUNTIF(SIP[[#Headers],[Investor ID]]:SIP[[#This Row],[Investor ID]],SIP[[#This Row],[Investor ID]])</f>
        <v>27</v>
      </c>
      <c r="H1287" s="46" t="str">
        <f>CONCATENATE(SIP[[#This Row],[Frequency]],SIP[[#This Row],[Investor ID]])</f>
        <v>27A00087</v>
      </c>
      <c r="I1287" s="46" t="str">
        <f>IF(SIP[[#This Row],[B/S]]="B","BUY",(IF(SIP[[#This Row],[B/S]]="S","SELL"," ")))</f>
        <v>BUY</v>
      </c>
      <c r="J1287" s="150" t="s">
        <v>1229</v>
      </c>
      <c r="K1287" s="153">
        <v>10000</v>
      </c>
      <c r="L1287" s="122"/>
      <c r="M1287" s="123">
        <f>SIP[[#This Row],[Amount]]/SIP[[#This Row],[Unit]]</f>
        <v>12.804097311139564</v>
      </c>
      <c r="N1287" s="71">
        <f>SIP[[#This Row],[Unit Capital]]/10</f>
        <v>781</v>
      </c>
      <c r="O1287" s="71">
        <f>SUMIFS(SIP[[#Headers],[Unit]]:SIP[[#This Row],[Unit]],SIP[[#Headers],[Investor ID]]:SIP[[#This Row],[Investor ID]],SIP[[#This Row],[Investor ID]])</f>
        <v>23983</v>
      </c>
      <c r="P1287" s="197">
        <v>7810</v>
      </c>
      <c r="Q1287" s="74">
        <f>SIP[[#This Row],[Amount]]-SIP[[#This Row],[Unit Capital]]</f>
        <v>2190</v>
      </c>
      <c r="R12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11.257974398532296</v>
      </c>
      <c r="S1287" s="46">
        <f t="shared" si="61"/>
        <v>14.224</v>
      </c>
      <c r="T12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7" s="74" cm="1">
        <f t="array" ref="U1287">IF(SIP[[#This Row],[B/S]]="S",ABS(SIP[[#This Row],[Unit]])*(INDEX(SIP[NAV at Cost (Average)],MATCH(CONCATENATE((SIP[[#This Row],[Frequency]]-1),SIP[[#This Row],[Investor ID]]),SIP[Unique Code],0),0)),0)</f>
        <v>0</v>
      </c>
      <c r="V1287" s="74">
        <f>IF(SIP[[#This Row],[BO TRANSFER]]="YES",SIP[[#This Row],[Unit]],)</f>
        <v>0</v>
      </c>
      <c r="W1287" s="74">
        <f>SUMIFS(SIP[[#Headers],[BO UNIT TRANSFER]]:SIP[[#This Row],[BO UNIT TRANSFER]],SIP[[#Headers],[Investor ID]]:SIP[[#This Row],[Investor ID]],SIP[[#This Row],[Investor ID]])</f>
        <v>0</v>
      </c>
    </row>
    <row r="1288" spans="1:23" ht="15" customHeight="1">
      <c r="A1288" s="46">
        <v>2025</v>
      </c>
      <c r="B1288" s="46">
        <v>7</v>
      </c>
      <c r="C1288" s="46">
        <v>27</v>
      </c>
      <c r="D1288" s="65">
        <f>DATE(SIP[[#This Row],[Year]],SIP[[#This Row],[Month]],SIP[[#This Row],[Day]])</f>
        <v>45865</v>
      </c>
      <c r="E1288" s="66" t="str" cm="1">
        <f t="array" ref="E1288">INDEX(INVESTORS_LIST[INVESTOR NAME],MATCH(SIP[[#This Row],[Investor ID]],INVESTORS_LIST[INVESTOR CODE],0),)</f>
        <v>ABU MUSA MIRZA KAMRUZZAMAN SHAHEE</v>
      </c>
      <c r="F1288" s="46" t="s">
        <v>1012</v>
      </c>
      <c r="G1288" s="46">
        <f>COUNTIF(SIP[[#Headers],[Investor ID]]:SIP[[#This Row],[Investor ID]],SIP[[#This Row],[Investor ID]])</f>
        <v>26</v>
      </c>
      <c r="H1288" s="46" t="str">
        <f>CONCATENATE(SIP[[#This Row],[Frequency]],SIP[[#This Row],[Investor ID]])</f>
        <v>26A00483</v>
      </c>
      <c r="I1288" s="46" t="str">
        <f>IF(SIP[[#This Row],[B/S]]="B","BUY",(IF(SIP[[#This Row],[B/S]]="S","SELL"," ")))</f>
        <v>BUY</v>
      </c>
      <c r="J1288" s="150" t="s">
        <v>1229</v>
      </c>
      <c r="K1288" s="153">
        <v>5000</v>
      </c>
      <c r="L1288" s="122"/>
      <c r="M1288" s="123">
        <f>SIP[[#This Row],[Amount]]/SIP[[#This Row],[Unit]]</f>
        <v>12.820512820512821</v>
      </c>
      <c r="N1288" s="71">
        <f>SIP[[#This Row],[Unit Capital]]/10</f>
        <v>390</v>
      </c>
      <c r="O1288" s="71">
        <f>SUMIFS(SIP[[#Headers],[Unit]]:SIP[[#This Row],[Unit]],SIP[[#Headers],[Investor ID]]:SIP[[#This Row],[Investor ID]],SIP[[#This Row],[Investor ID]])</f>
        <v>11499</v>
      </c>
      <c r="P1288" s="197">
        <v>3900</v>
      </c>
      <c r="Q1288" s="74">
        <f>SIP[[#This Row],[Amount]]-SIP[[#This Row],[Unit Capital]]</f>
        <v>1100</v>
      </c>
      <c r="R12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11.305330898338989</v>
      </c>
      <c r="S1288" s="46">
        <f t="shared" si="61"/>
        <v>14.224</v>
      </c>
      <c r="T12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8" s="74" cm="1">
        <f t="array" ref="U1288">IF(SIP[[#This Row],[B/S]]="S",ABS(SIP[[#This Row],[Unit]])*(INDEX(SIP[NAV at Cost (Average)],MATCH(CONCATENATE((SIP[[#This Row],[Frequency]]-1),SIP[[#This Row],[Investor ID]]),SIP[Unique Code],0),0)),0)</f>
        <v>0</v>
      </c>
      <c r="V1288" s="74">
        <f>IF(SIP[[#This Row],[BO TRANSFER]]="YES",SIP[[#This Row],[Unit]],)</f>
        <v>0</v>
      </c>
      <c r="W1288" s="74">
        <f>SUMIFS(SIP[[#Headers],[BO UNIT TRANSFER]]:SIP[[#This Row],[BO UNIT TRANSFER]],SIP[[#Headers],[Investor ID]]:SIP[[#This Row],[Investor ID]],SIP[[#This Row],[Investor ID]])</f>
        <v>0</v>
      </c>
    </row>
    <row r="1289" spans="1:23" ht="15" customHeight="1">
      <c r="A1289" s="46">
        <v>2025</v>
      </c>
      <c r="B1289" s="46">
        <v>7</v>
      </c>
      <c r="C1289" s="46">
        <v>27</v>
      </c>
      <c r="D1289" s="65">
        <f>DATE(SIP[[#This Row],[Year]],SIP[[#This Row],[Month]],SIP[[#This Row],[Day]])</f>
        <v>45865</v>
      </c>
      <c r="E1289" s="66" t="str" cm="1">
        <f t="array" ref="E1289">INDEX(INVESTORS_LIST[INVESTOR NAME],MATCH(SIP[[#This Row],[Investor ID]],INVESTORS_LIST[INVESTOR CODE],0),)</f>
        <v>MAYA RANI SAHA</v>
      </c>
      <c r="F1289" s="46" t="s">
        <v>224</v>
      </c>
      <c r="G1289" s="46">
        <f>COUNTIF(SIP[[#Headers],[Investor ID]]:SIP[[#This Row],[Investor ID]],SIP[[#This Row],[Investor ID]])</f>
        <v>57</v>
      </c>
      <c r="H1289" s="46" t="str">
        <f>CONCATENATE(SIP[[#This Row],[Frequency]],SIP[[#This Row],[Investor ID]])</f>
        <v>57A00088</v>
      </c>
      <c r="I1289" s="46" t="str">
        <f>IF(SIP[[#This Row],[B/S]]="B","BUY",(IF(SIP[[#This Row],[B/S]]="S","SELL"," ")))</f>
        <v>BUY</v>
      </c>
      <c r="J1289" s="150" t="s">
        <v>1229</v>
      </c>
      <c r="K1289" s="153">
        <v>20000</v>
      </c>
      <c r="L1289" s="122"/>
      <c r="M1289" s="123">
        <f>SIP[[#This Row],[Amount]]/SIP[[#This Row],[Unit]]</f>
        <v>12.812299807815503</v>
      </c>
      <c r="N1289" s="71">
        <f>SIP[[#This Row],[Unit Capital]]/10</f>
        <v>1561</v>
      </c>
      <c r="O1289" s="71">
        <f>SUMIFS(SIP[[#Headers],[Unit]]:SIP[[#This Row],[Unit]],SIP[[#Headers],[Investor ID]]:SIP[[#This Row],[Investor ID]],SIP[[#This Row],[Investor ID]])</f>
        <v>70275</v>
      </c>
      <c r="P1289" s="197">
        <v>15610</v>
      </c>
      <c r="Q1289" s="74">
        <f>SIP[[#This Row],[Amount]]-SIP[[#This Row],[Unit Capital]]</f>
        <v>4390</v>
      </c>
      <c r="R12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11.611526147278544</v>
      </c>
      <c r="S1289" s="46">
        <f t="shared" si="61"/>
        <v>14.224</v>
      </c>
      <c r="T12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9" s="74" cm="1">
        <f t="array" ref="U1289">IF(SIP[[#This Row],[B/S]]="S",ABS(SIP[[#This Row],[Unit]])*(INDEX(SIP[NAV at Cost (Average)],MATCH(CONCATENATE((SIP[[#This Row],[Frequency]]-1),SIP[[#This Row],[Investor ID]]),SIP[Unique Code],0),0)),0)</f>
        <v>0</v>
      </c>
      <c r="V1289" s="74">
        <f>IF(SIP[[#This Row],[BO TRANSFER]]="YES",SIP[[#This Row],[Unit]],)</f>
        <v>0</v>
      </c>
      <c r="W1289" s="74">
        <f>SUMIFS(SIP[[#Headers],[BO UNIT TRANSFER]]:SIP[[#This Row],[BO UNIT TRANSFER]],SIP[[#Headers],[Investor ID]]:SIP[[#This Row],[Investor ID]],SIP[[#This Row],[Investor ID]])</f>
        <v>0</v>
      </c>
    </row>
    <row r="1290" spans="1:23" ht="15" customHeight="1">
      <c r="A1290" s="46">
        <v>2025</v>
      </c>
      <c r="B1290" s="46">
        <v>7</v>
      </c>
      <c r="C1290" s="46">
        <v>27</v>
      </c>
      <c r="D1290" s="65">
        <f>DATE(SIP[[#This Row],[Year]],SIP[[#This Row],[Month]],SIP[[#This Row],[Day]])</f>
        <v>45865</v>
      </c>
      <c r="E1290" s="66" t="str" cm="1">
        <f t="array" ref="E1290">INDEX(INVESTORS_LIST[INVESTOR NAME],MATCH(SIP[[#This Row],[Investor ID]],INVESTORS_LIST[INVESTOR CODE],0),)</f>
        <v>MUHAMMAD SHOHIDUZZAMAN</v>
      </c>
      <c r="F1290" s="46" t="s">
        <v>986</v>
      </c>
      <c r="G1290" s="46">
        <f>COUNTIF(SIP[[#Headers],[Investor ID]]:SIP[[#This Row],[Investor ID]],SIP[[#This Row],[Investor ID]])</f>
        <v>21</v>
      </c>
      <c r="H1290" s="46" t="str">
        <f>CONCATENATE(SIP[[#This Row],[Frequency]],SIP[[#This Row],[Investor ID]])</f>
        <v>21A00470</v>
      </c>
      <c r="I1290" s="46" t="str">
        <f>IF(SIP[[#This Row],[B/S]]="B","BUY",(IF(SIP[[#This Row],[B/S]]="S","SELL"," ")))</f>
        <v>BUY</v>
      </c>
      <c r="J1290" s="150" t="s">
        <v>1229</v>
      </c>
      <c r="K1290" s="153">
        <v>10000</v>
      </c>
      <c r="L1290" s="122" t="s">
        <v>1230</v>
      </c>
      <c r="M1290" s="123">
        <f>SIP[[#This Row],[Amount]]/SIP[[#This Row],[Unit]]</f>
        <v>12.804097311139564</v>
      </c>
      <c r="N1290" s="71">
        <f>SIP[[#This Row],[Unit Capital]]/10</f>
        <v>781</v>
      </c>
      <c r="O1290" s="71">
        <f>SUMIFS(SIP[[#Headers],[Unit]]:SIP[[#This Row],[Unit]],SIP[[#Headers],[Investor ID]]:SIP[[#This Row],[Investor ID]],SIP[[#This Row],[Investor ID]])</f>
        <v>18200</v>
      </c>
      <c r="P1290" s="197">
        <v>7810</v>
      </c>
      <c r="Q1290" s="74">
        <f>SIP[[#This Row],[Amount]]-SIP[[#This Row],[Unit Capital]]</f>
        <v>2190</v>
      </c>
      <c r="R12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11.538461538461535</v>
      </c>
      <c r="S1290" s="46">
        <f t="shared" si="61"/>
        <v>14.224</v>
      </c>
      <c r="T12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0" s="74" cm="1">
        <f t="array" ref="U1290">IF(SIP[[#This Row],[B/S]]="S",ABS(SIP[[#This Row],[Unit]])*(INDEX(SIP[NAV at Cost (Average)],MATCH(CONCATENATE((SIP[[#This Row],[Frequency]]-1),SIP[[#This Row],[Investor ID]]),SIP[Unique Code],0),0)),0)</f>
        <v>0</v>
      </c>
      <c r="V1290" s="74">
        <f>IF(SIP[[#This Row],[BO TRANSFER]]="YES",SIP[[#This Row],[Unit]],)</f>
        <v>781</v>
      </c>
      <c r="W1290" s="74">
        <f>SUMIFS(SIP[[#Headers],[BO UNIT TRANSFER]]:SIP[[#This Row],[BO UNIT TRANSFER]],SIP[[#Headers],[Investor ID]]:SIP[[#This Row],[Investor ID]],SIP[[#This Row],[Investor ID]])</f>
        <v>18200</v>
      </c>
    </row>
    <row r="1291" spans="1:23" ht="15" customHeight="1">
      <c r="A1291" s="46">
        <v>2025</v>
      </c>
      <c r="B1291" s="46">
        <v>7</v>
      </c>
      <c r="C1291" s="46">
        <v>27</v>
      </c>
      <c r="D1291" s="65">
        <f>DATE(SIP[[#This Row],[Year]],SIP[[#This Row],[Month]],SIP[[#This Row],[Day]])</f>
        <v>45865</v>
      </c>
      <c r="E1291" s="66" t="str" cm="1">
        <f t="array" ref="E1291">INDEX(INVESTORS_LIST[INVESTOR NAME],MATCH(SIP[[#This Row],[Investor ID]],INVESTORS_LIST[INVESTOR CODE],0),)</f>
        <v>ADNAN RASHID</v>
      </c>
      <c r="F1291" s="46" t="s">
        <v>252</v>
      </c>
      <c r="G1291" s="46">
        <f>COUNTIF(SIP[[#Headers],[Investor ID]]:SIP[[#This Row],[Investor ID]],SIP[[#This Row],[Investor ID]])</f>
        <v>23</v>
      </c>
      <c r="H1291" s="46" t="str">
        <f>CONCATENATE(SIP[[#This Row],[Frequency]],SIP[[#This Row],[Investor ID]])</f>
        <v>23A00102</v>
      </c>
      <c r="I1291" s="46" t="str">
        <f>IF(SIP[[#This Row],[B/S]]="B","BUY",(IF(SIP[[#This Row],[B/S]]="S","SELL"," ")))</f>
        <v>BUY</v>
      </c>
      <c r="J1291" s="150" t="s">
        <v>1229</v>
      </c>
      <c r="K1291" s="153">
        <v>30000</v>
      </c>
      <c r="L1291" s="122"/>
      <c r="M1291" s="123">
        <f>SIP[[#This Row],[Amount]]/SIP[[#This Row],[Unit]]</f>
        <v>12.809564474807857</v>
      </c>
      <c r="N1291" s="71">
        <f>SIP[[#This Row],[Unit Capital]]/10</f>
        <v>2342</v>
      </c>
      <c r="O1291" s="71">
        <f>SUMIFS(SIP[[#Headers],[Unit]]:SIP[[#This Row],[Unit]],SIP[[#Headers],[Investor ID]]:SIP[[#This Row],[Investor ID]],SIP[[#This Row],[Investor ID]])</f>
        <v>39687</v>
      </c>
      <c r="P1291" s="197">
        <v>23420</v>
      </c>
      <c r="Q1291" s="74">
        <f>SIP[[#This Row],[Amount]]-SIP[[#This Row],[Unit Capital]]</f>
        <v>6580</v>
      </c>
      <c r="R12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11.718589280018172</v>
      </c>
      <c r="S1291" s="46">
        <f t="shared" si="61"/>
        <v>14.224</v>
      </c>
      <c r="T12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1" s="74" cm="1">
        <f t="array" ref="U1291">IF(SIP[[#This Row],[B/S]]="S",ABS(SIP[[#This Row],[Unit]])*(INDEX(SIP[NAV at Cost (Average)],MATCH(CONCATENATE((SIP[[#This Row],[Frequency]]-1),SIP[[#This Row],[Investor ID]]),SIP[Unique Code],0),0)),0)</f>
        <v>0</v>
      </c>
      <c r="V1291" s="74">
        <f>IF(SIP[[#This Row],[BO TRANSFER]]="YES",SIP[[#This Row],[Unit]],)</f>
        <v>0</v>
      </c>
      <c r="W1291" s="74">
        <f>SUMIFS(SIP[[#Headers],[BO UNIT TRANSFER]]:SIP[[#This Row],[BO UNIT TRANSFER]],SIP[[#Headers],[Investor ID]]:SIP[[#This Row],[Investor ID]],SIP[[#This Row],[Investor ID]])</f>
        <v>0</v>
      </c>
    </row>
    <row r="1292" spans="1:23" ht="15" customHeight="1">
      <c r="A1292" s="46">
        <v>2025</v>
      </c>
      <c r="B1292" s="46">
        <v>7</v>
      </c>
      <c r="C1292" s="46">
        <v>27</v>
      </c>
      <c r="D1292" s="65">
        <f>DATE(SIP[[#This Row],[Year]],SIP[[#This Row],[Month]],SIP[[#This Row],[Day]])</f>
        <v>45865</v>
      </c>
      <c r="E1292" s="66" t="str" cm="1">
        <f t="array" ref="E1292">INDEX(INVESTORS_LIST[INVESTOR NAME],MATCH(SIP[[#This Row],[Investor ID]],INVESTORS_LIST[INVESTOR CODE],0),)</f>
        <v>MD ABDULLAH-AL- MAMUN</v>
      </c>
      <c r="F1292" s="46" t="s">
        <v>533</v>
      </c>
      <c r="G1292" s="46">
        <f>COUNTIF(SIP[[#Headers],[Investor ID]]:SIP[[#This Row],[Investor ID]],SIP[[#This Row],[Investor ID]])</f>
        <v>23</v>
      </c>
      <c r="H1292" s="46" t="str">
        <f>CONCATENATE(SIP[[#This Row],[Frequency]],SIP[[#This Row],[Investor ID]])</f>
        <v>23A00242</v>
      </c>
      <c r="I1292" s="46" t="str">
        <f>IF(SIP[[#This Row],[B/S]]="B","BUY",(IF(SIP[[#This Row],[B/S]]="S","SELL"," ")))</f>
        <v>BUY</v>
      </c>
      <c r="J1292" s="150" t="s">
        <v>1229</v>
      </c>
      <c r="K1292" s="153">
        <v>15000</v>
      </c>
      <c r="L1292" s="122"/>
      <c r="M1292" s="123">
        <f>SIP[[#This Row],[Amount]]/SIP[[#This Row],[Unit]]</f>
        <v>12.809564474807857</v>
      </c>
      <c r="N1292" s="71">
        <f>SIP[[#This Row],[Unit Capital]]/10</f>
        <v>1171</v>
      </c>
      <c r="O1292" s="71">
        <f>SUMIFS(SIP[[#Headers],[Unit]]:SIP[[#This Row],[Unit]],SIP[[#Headers],[Investor ID]]:SIP[[#This Row],[Investor ID]],SIP[[#This Row],[Investor ID]])</f>
        <v>29518</v>
      </c>
      <c r="P1292" s="197">
        <v>11710</v>
      </c>
      <c r="Q1292" s="74">
        <f>SIP[[#This Row],[Amount]]-SIP[[#This Row],[Unit Capital]]</f>
        <v>3290</v>
      </c>
      <c r="R12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11.518395555254427</v>
      </c>
      <c r="S1292" s="46">
        <f t="shared" si="61"/>
        <v>14.224</v>
      </c>
      <c r="T12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2" s="74" cm="1">
        <f t="array" ref="U1292">IF(SIP[[#This Row],[B/S]]="S",ABS(SIP[[#This Row],[Unit]])*(INDEX(SIP[NAV at Cost (Average)],MATCH(CONCATENATE((SIP[[#This Row],[Frequency]]-1),SIP[[#This Row],[Investor ID]]),SIP[Unique Code],0),0)),0)</f>
        <v>0</v>
      </c>
      <c r="V1292" s="74">
        <f>IF(SIP[[#This Row],[BO TRANSFER]]="YES",SIP[[#This Row],[Unit]],)</f>
        <v>0</v>
      </c>
      <c r="W1292" s="74">
        <f>SUMIFS(SIP[[#Headers],[BO UNIT TRANSFER]]:SIP[[#This Row],[BO UNIT TRANSFER]],SIP[[#Headers],[Investor ID]]:SIP[[#This Row],[Investor ID]],SIP[[#This Row],[Investor ID]])</f>
        <v>0</v>
      </c>
    </row>
    <row r="1293" spans="1:23" ht="15" customHeight="1">
      <c r="A1293" s="46">
        <v>2025</v>
      </c>
      <c r="B1293" s="46">
        <v>7</v>
      </c>
      <c r="C1293" s="46">
        <v>27</v>
      </c>
      <c r="D1293" s="65">
        <f>DATE(SIP[[#This Row],[Year]],SIP[[#This Row],[Month]],SIP[[#This Row],[Day]])</f>
        <v>45865</v>
      </c>
      <c r="E1293" s="66" t="str" cm="1">
        <f t="array" ref="E1293">INDEX(INVESTORS_LIST[INVESTOR NAME],MATCH(SIP[[#This Row],[Investor ID]],INVESTORS_LIST[INVESTOR CODE],0),)</f>
        <v>MOHAMMAD HASAN IMAM</v>
      </c>
      <c r="F1293" s="46" t="s">
        <v>1122</v>
      </c>
      <c r="G1293" s="46">
        <f>COUNTIF(SIP[[#Headers],[Investor ID]]:SIP[[#This Row],[Investor ID]],SIP[[#This Row],[Investor ID]])</f>
        <v>16</v>
      </c>
      <c r="H1293" s="46" t="str">
        <f>CONCATENATE(SIP[[#This Row],[Frequency]],SIP[[#This Row],[Investor ID]])</f>
        <v>16A00536</v>
      </c>
      <c r="I1293" s="46" t="str">
        <f>IF(SIP[[#This Row],[B/S]]="B","BUY",(IF(SIP[[#This Row],[B/S]]="S","SELL"," ")))</f>
        <v>BUY</v>
      </c>
      <c r="J1293" s="150" t="s">
        <v>1229</v>
      </c>
      <c r="K1293" s="153">
        <v>5000</v>
      </c>
      <c r="L1293" s="122"/>
      <c r="M1293" s="123">
        <f>SIP[[#This Row],[Amount]]/SIP[[#This Row],[Unit]]</f>
        <v>12.820512820512821</v>
      </c>
      <c r="N1293" s="71">
        <f>SIP[[#This Row],[Unit Capital]]/10</f>
        <v>390</v>
      </c>
      <c r="O1293" s="71">
        <f>SUMIFS(SIP[[#Headers],[Unit]]:SIP[[#This Row],[Unit]],SIP[[#Headers],[Investor ID]]:SIP[[#This Row],[Investor ID]],SIP[[#This Row],[Investor ID]])</f>
        <v>6771</v>
      </c>
      <c r="P1293" s="197">
        <v>3900</v>
      </c>
      <c r="Q1293" s="74">
        <f>SIP[[#This Row],[Amount]]-SIP[[#This Row],[Unit Capital]]</f>
        <v>1100</v>
      </c>
      <c r="R12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11.815093782306896</v>
      </c>
      <c r="S1293" s="46">
        <f t="shared" si="61"/>
        <v>14.224</v>
      </c>
      <c r="T12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3" s="74" cm="1">
        <f t="array" ref="U1293">IF(SIP[[#This Row],[B/S]]="S",ABS(SIP[[#This Row],[Unit]])*(INDEX(SIP[NAV at Cost (Average)],MATCH(CONCATENATE((SIP[[#This Row],[Frequency]]-1),SIP[[#This Row],[Investor ID]]),SIP[Unique Code],0),0)),0)</f>
        <v>0</v>
      </c>
      <c r="V1293" s="74">
        <f>IF(SIP[[#This Row],[BO TRANSFER]]="YES",SIP[[#This Row],[Unit]],)</f>
        <v>0</v>
      </c>
      <c r="W1293" s="74">
        <f>SUMIFS(SIP[[#Headers],[BO UNIT TRANSFER]]:SIP[[#This Row],[BO UNIT TRANSFER]],SIP[[#Headers],[Investor ID]]:SIP[[#This Row],[Investor ID]],SIP[[#This Row],[Investor ID]])</f>
        <v>0</v>
      </c>
    </row>
    <row r="1294" spans="1:23" ht="15" customHeight="1">
      <c r="A1294" s="46">
        <v>2025</v>
      </c>
      <c r="B1294" s="46">
        <v>7</v>
      </c>
      <c r="C1294" s="46">
        <v>27</v>
      </c>
      <c r="D1294" s="65">
        <f>DATE(SIP[[#This Row],[Year]],SIP[[#This Row],[Month]],SIP[[#This Row],[Day]])</f>
        <v>45865</v>
      </c>
      <c r="E1294" s="66" t="str" cm="1">
        <f t="array" ref="E1294">INDEX(INVESTORS_LIST[INVESTOR NAME],MATCH(SIP[[#This Row],[Investor ID]],INVESTORS_LIST[INVESTOR CODE],0),)</f>
        <v>SADIA PARVIN</v>
      </c>
      <c r="F1294" s="46" t="s">
        <v>1018</v>
      </c>
      <c r="G1294" s="46">
        <f>COUNTIF(SIP[[#Headers],[Investor ID]]:SIP[[#This Row],[Investor ID]],SIP[[#This Row],[Investor ID]])</f>
        <v>40</v>
      </c>
      <c r="H1294" s="46" t="str">
        <f>CONCATENATE(SIP[[#This Row],[Frequency]],SIP[[#This Row],[Investor ID]])</f>
        <v>40A00486</v>
      </c>
      <c r="I1294" s="46" t="str">
        <f>IF(SIP[[#This Row],[B/S]]="B","BUY",(IF(SIP[[#This Row],[B/S]]="S","SELL"," ")))</f>
        <v>BUY</v>
      </c>
      <c r="J1294" s="150" t="s">
        <v>1229</v>
      </c>
      <c r="K1294" s="153">
        <v>5000</v>
      </c>
      <c r="L1294" s="122"/>
      <c r="M1294" s="123">
        <f>SIP[[#This Row],[Amount]]/SIP[[#This Row],[Unit]]</f>
        <v>12.820512820512821</v>
      </c>
      <c r="N1294" s="71">
        <f>SIP[[#This Row],[Unit Capital]]/10</f>
        <v>390</v>
      </c>
      <c r="O1294" s="71">
        <f>SUMIFS(SIP[[#Headers],[Unit]]:SIP[[#This Row],[Unit]],SIP[[#Headers],[Investor ID]]:SIP[[#This Row],[Investor ID]],SIP[[#This Row],[Investor ID]])</f>
        <v>17462</v>
      </c>
      <c r="P1294" s="197">
        <v>3900</v>
      </c>
      <c r="Q1294" s="74">
        <f>SIP[[#This Row],[Amount]]-SIP[[#This Row],[Unit Capital]]</f>
        <v>1100</v>
      </c>
      <c r="R12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11.453441759248655</v>
      </c>
      <c r="S1294" s="46">
        <f t="shared" si="61"/>
        <v>14.224</v>
      </c>
      <c r="T12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4" s="74" cm="1">
        <f t="array" ref="U1294">IF(SIP[[#This Row],[B/S]]="S",ABS(SIP[[#This Row],[Unit]])*(INDEX(SIP[NAV at Cost (Average)],MATCH(CONCATENATE((SIP[[#This Row],[Frequency]]-1),SIP[[#This Row],[Investor ID]]),SIP[Unique Code],0),0)),0)</f>
        <v>0</v>
      </c>
      <c r="V1294" s="74">
        <f>IF(SIP[[#This Row],[BO TRANSFER]]="YES",SIP[[#This Row],[Unit]],)</f>
        <v>0</v>
      </c>
      <c r="W1294" s="74">
        <f>SUMIFS(SIP[[#Headers],[BO UNIT TRANSFER]]:SIP[[#This Row],[BO UNIT TRANSFER]],SIP[[#Headers],[Investor ID]]:SIP[[#This Row],[Investor ID]],SIP[[#This Row],[Investor ID]])</f>
        <v>0</v>
      </c>
    </row>
    <row r="1295" spans="1:23" ht="15" customHeight="1">
      <c r="A1295" s="46">
        <v>2025</v>
      </c>
      <c r="B1295" s="46">
        <v>7</v>
      </c>
      <c r="C1295" s="46">
        <v>27</v>
      </c>
      <c r="D1295" s="65">
        <f>DATE(SIP[[#This Row],[Year]],SIP[[#This Row],[Month]],SIP[[#This Row],[Day]])</f>
        <v>45865</v>
      </c>
      <c r="E1295" s="66" t="str" cm="1">
        <f t="array" ref="E1295">INDEX(INVESTORS_LIST[INVESTOR NAME],MATCH(SIP[[#This Row],[Investor ID]],INVESTORS_LIST[INVESTOR CODE],0),)</f>
        <v>MAYA RANI SAHA</v>
      </c>
      <c r="F1295" s="46" t="s">
        <v>224</v>
      </c>
      <c r="G1295" s="46">
        <f>COUNTIF(SIP[[#Headers],[Investor ID]]:SIP[[#This Row],[Investor ID]],SIP[[#This Row],[Investor ID]])</f>
        <v>58</v>
      </c>
      <c r="H1295" s="46" t="str">
        <f>CONCATENATE(SIP[[#This Row],[Frequency]],SIP[[#This Row],[Investor ID]])</f>
        <v>58A00088</v>
      </c>
      <c r="I1295" s="46" t="str">
        <f>IF(SIP[[#This Row],[B/S]]="B","BUY",(IF(SIP[[#This Row],[B/S]]="S","SELL"," ")))</f>
        <v>BUY</v>
      </c>
      <c r="J1295" s="150" t="s">
        <v>1229</v>
      </c>
      <c r="K1295" s="153">
        <v>14000</v>
      </c>
      <c r="L1295" s="122"/>
      <c r="M1295" s="123">
        <f>SIP[[#This Row],[Amount]]/SIP[[#This Row],[Unit]]</f>
        <v>12.808783165599268</v>
      </c>
      <c r="N1295" s="71">
        <f>SIP[[#This Row],[Unit Capital]]/10</f>
        <v>1093</v>
      </c>
      <c r="O1295" s="71">
        <f>SUMIFS(SIP[[#Headers],[Unit]]:SIP[[#This Row],[Unit]],SIP[[#Headers],[Investor ID]]:SIP[[#This Row],[Investor ID]],SIP[[#This Row],[Investor ID]])</f>
        <v>71368</v>
      </c>
      <c r="P1295" s="197">
        <v>10930</v>
      </c>
      <c r="Q1295" s="74">
        <f>SIP[[#This Row],[Amount]]-SIP[[#This Row],[Unit Capital]]</f>
        <v>3070</v>
      </c>
      <c r="R12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11.629862123080366</v>
      </c>
      <c r="S1295" s="46">
        <f t="shared" si="61"/>
        <v>14.224</v>
      </c>
      <c r="T12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5" s="74" cm="1">
        <f t="array" ref="U1295">IF(SIP[[#This Row],[B/S]]="S",ABS(SIP[[#This Row],[Unit]])*(INDEX(SIP[NAV at Cost (Average)],MATCH(CONCATENATE((SIP[[#This Row],[Frequency]]-1),SIP[[#This Row],[Investor ID]]),SIP[Unique Code],0),0)),0)</f>
        <v>0</v>
      </c>
      <c r="V1295" s="74">
        <f>IF(SIP[[#This Row],[BO TRANSFER]]="YES",SIP[[#This Row],[Unit]],)</f>
        <v>0</v>
      </c>
      <c r="W1295" s="74">
        <f>SUMIFS(SIP[[#Headers],[BO UNIT TRANSFER]]:SIP[[#This Row],[BO UNIT TRANSFER]],SIP[[#Headers],[Investor ID]]:SIP[[#This Row],[Investor ID]],SIP[[#This Row],[Investor ID]])</f>
        <v>0</v>
      </c>
    </row>
    <row r="1296" spans="1:23" ht="15" customHeight="1">
      <c r="A1296" s="46">
        <v>2025</v>
      </c>
      <c r="B1296" s="46">
        <v>7</v>
      </c>
      <c r="C1296" s="46">
        <v>27</v>
      </c>
      <c r="D1296" s="65">
        <f>DATE(SIP[[#This Row],[Year]],SIP[[#This Row],[Month]],SIP[[#This Row],[Day]])</f>
        <v>45865</v>
      </c>
      <c r="E1296" s="66" t="str" cm="1">
        <f t="array" ref="E1296">INDEX(INVESTORS_LIST[INVESTOR NAME],MATCH(SIP[[#This Row],[Investor ID]],INVESTORS_LIST[INVESTOR CODE],0),)</f>
        <v>HUMAIRA TABASSUM READDHE</v>
      </c>
      <c r="F1296" s="46" t="s">
        <v>1052</v>
      </c>
      <c r="G1296" s="46">
        <f>COUNTIF(SIP[[#Headers],[Investor ID]]:SIP[[#This Row],[Investor ID]],SIP[[#This Row],[Investor ID]])</f>
        <v>12</v>
      </c>
      <c r="H1296" s="46" t="str">
        <f>CONCATENATE(SIP[[#This Row],[Frequency]],SIP[[#This Row],[Investor ID]])</f>
        <v>12A00503</v>
      </c>
      <c r="I1296" s="46" t="str">
        <f>IF(SIP[[#This Row],[B/S]]="B","BUY",(IF(SIP[[#This Row],[B/S]]="S","SELL"," ")))</f>
        <v>BUY</v>
      </c>
      <c r="J1296" s="150" t="s">
        <v>1229</v>
      </c>
      <c r="K1296" s="153">
        <v>3000</v>
      </c>
      <c r="L1296" s="122"/>
      <c r="M1296" s="123">
        <f>SIP[[#This Row],[Amount]]/SIP[[#This Row],[Unit]]</f>
        <v>12.820512820512821</v>
      </c>
      <c r="N1296" s="71">
        <f>SIP[[#This Row],[Unit Capital]]/10</f>
        <v>234</v>
      </c>
      <c r="O1296" s="71">
        <f>SUMIFS(SIP[[#Headers],[Unit]]:SIP[[#This Row],[Unit]],SIP[[#Headers],[Investor ID]]:SIP[[#This Row],[Investor ID]],SIP[[#This Row],[Investor ID]])</f>
        <v>2983</v>
      </c>
      <c r="P1296" s="197">
        <v>2340</v>
      </c>
      <c r="Q1296" s="74">
        <f>SIP[[#This Row],[Amount]]-SIP[[#This Row],[Unit Capital]]</f>
        <v>660</v>
      </c>
      <c r="R12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12.068387529332888</v>
      </c>
      <c r="S1296" s="46">
        <f t="shared" si="61"/>
        <v>14.224</v>
      </c>
      <c r="T12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6" s="74" cm="1">
        <f t="array" ref="U1296">IF(SIP[[#This Row],[B/S]]="S",ABS(SIP[[#This Row],[Unit]])*(INDEX(SIP[NAV at Cost (Average)],MATCH(CONCATENATE((SIP[[#This Row],[Frequency]]-1),SIP[[#This Row],[Investor ID]]),SIP[Unique Code],0),0)),0)</f>
        <v>0</v>
      </c>
      <c r="V1296" s="74">
        <f>IF(SIP[[#This Row],[BO TRANSFER]]="YES",SIP[[#This Row],[Unit]],)</f>
        <v>0</v>
      </c>
      <c r="W1296" s="74">
        <f>SUMIFS(SIP[[#Headers],[BO UNIT TRANSFER]]:SIP[[#This Row],[BO UNIT TRANSFER]],SIP[[#Headers],[Investor ID]]:SIP[[#This Row],[Investor ID]],SIP[[#This Row],[Investor ID]])</f>
        <v>0</v>
      </c>
    </row>
    <row r="1297" spans="1:23" ht="15" customHeight="1">
      <c r="A1297" s="46">
        <v>2025</v>
      </c>
      <c r="B1297" s="46">
        <v>7</v>
      </c>
      <c r="C1297" s="46">
        <v>27</v>
      </c>
      <c r="D1297" s="65">
        <f>DATE(SIP[[#This Row],[Year]],SIP[[#This Row],[Month]],SIP[[#This Row],[Day]])</f>
        <v>45865</v>
      </c>
      <c r="E1297" s="66" t="str" cm="1">
        <f t="array" ref="E1297">INDEX(INVESTORS_LIST[INVESTOR NAME],MATCH(SIP[[#This Row],[Investor ID]],INVESTORS_LIST[INVESTOR CODE],0),)</f>
        <v>SHAPNA RANI BARMAN</v>
      </c>
      <c r="F1297" s="46" t="s">
        <v>1292</v>
      </c>
      <c r="G1297" s="46">
        <f>COUNTIF(SIP[[#Headers],[Investor ID]]:SIP[[#This Row],[Investor ID]],SIP[[#This Row],[Investor ID]])</f>
        <v>9</v>
      </c>
      <c r="H1297" s="46" t="str">
        <f>CONCATENATE(SIP[[#This Row],[Frequency]],SIP[[#This Row],[Investor ID]])</f>
        <v>9A00593</v>
      </c>
      <c r="I1297" s="46" t="str">
        <f>IF(SIP[[#This Row],[B/S]]="B","BUY",(IF(SIP[[#This Row],[B/S]]="S","SELL"," ")))</f>
        <v>BUY</v>
      </c>
      <c r="J1297" s="150" t="s">
        <v>1229</v>
      </c>
      <c r="K1297" s="153">
        <v>1000</v>
      </c>
      <c r="L1297" s="122"/>
      <c r="M1297" s="123">
        <f>SIP[[#This Row],[Amount]]/SIP[[#This Row],[Unit]]</f>
        <v>12.820512820512821</v>
      </c>
      <c r="N1297" s="71">
        <f>SIP[[#This Row],[Unit Capital]]/10</f>
        <v>78</v>
      </c>
      <c r="O1297" s="71">
        <f>SUMIFS(SIP[[#Headers],[Unit]]:SIP[[#This Row],[Unit]],SIP[[#Headers],[Investor ID]]:SIP[[#This Row],[Investor ID]],SIP[[#This Row],[Investor ID]])</f>
        <v>734</v>
      </c>
      <c r="P1297" s="197">
        <v>780</v>
      </c>
      <c r="Q1297" s="74">
        <f>SIP[[#This Row],[Amount]]-SIP[[#This Row],[Unit Capital]]</f>
        <v>220</v>
      </c>
      <c r="R12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12.26158038147139</v>
      </c>
      <c r="S1297" s="46">
        <f t="shared" si="61"/>
        <v>14.224</v>
      </c>
      <c r="T12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7" s="74" cm="1">
        <f t="array" ref="U1297">IF(SIP[[#This Row],[B/S]]="S",ABS(SIP[[#This Row],[Unit]])*(INDEX(SIP[NAV at Cost (Average)],MATCH(CONCATENATE((SIP[[#This Row],[Frequency]]-1),SIP[[#This Row],[Investor ID]]),SIP[Unique Code],0),0)),0)</f>
        <v>0</v>
      </c>
      <c r="V1297" s="74">
        <f>IF(SIP[[#This Row],[BO TRANSFER]]="YES",SIP[[#This Row],[Unit]],)</f>
        <v>0</v>
      </c>
      <c r="W1297" s="74">
        <f>SUMIFS(SIP[[#Headers],[BO UNIT TRANSFER]]:SIP[[#This Row],[BO UNIT TRANSFER]],SIP[[#Headers],[Investor ID]]:SIP[[#This Row],[Investor ID]],SIP[[#This Row],[Investor ID]])</f>
        <v>0</v>
      </c>
    </row>
    <row r="1298" spans="1:23" ht="15" customHeight="1">
      <c r="A1298" s="46">
        <v>2025</v>
      </c>
      <c r="B1298" s="46">
        <v>7</v>
      </c>
      <c r="C1298" s="46">
        <v>27</v>
      </c>
      <c r="D1298" s="65">
        <f>DATE(SIP[[#This Row],[Year]],SIP[[#This Row],[Month]],SIP[[#This Row],[Day]])</f>
        <v>45865</v>
      </c>
      <c r="E1298" s="66" t="str" cm="1">
        <f t="array" ref="E1298">INDEX(INVESTORS_LIST[INVESTOR NAME],MATCH(SIP[[#This Row],[Investor ID]],INVESTORS_LIST[INVESTOR CODE],0),)</f>
        <v>BALARAM CHANDRA SAHA</v>
      </c>
      <c r="F1298" s="46" t="s">
        <v>505</v>
      </c>
      <c r="G1298" s="46">
        <f>COUNTIF(SIP[[#Headers],[Investor ID]]:SIP[[#This Row],[Investor ID]],SIP[[#This Row],[Investor ID]])</f>
        <v>4</v>
      </c>
      <c r="H1298" s="46" t="str">
        <f>CONCATENATE(SIP[[#This Row],[Frequency]],SIP[[#This Row],[Investor ID]])</f>
        <v>4A00228</v>
      </c>
      <c r="I1298" s="46" t="str">
        <f>IF(SIP[[#This Row],[B/S]]="B","BUY",(IF(SIP[[#This Row],[B/S]]="S","SELL"," ")))</f>
        <v>BUY</v>
      </c>
      <c r="J1298" s="150" t="s">
        <v>1229</v>
      </c>
      <c r="K1298" s="153">
        <v>25000</v>
      </c>
      <c r="L1298" s="122"/>
      <c r="M1298" s="123">
        <f>SIP[[#This Row],[Amount]]/SIP[[#This Row],[Unit]]</f>
        <v>12.807377049180328</v>
      </c>
      <c r="N1298" s="71">
        <f>SIP[[#This Row],[Unit Capital]]/10</f>
        <v>1952</v>
      </c>
      <c r="O1298" s="71">
        <f>SUMIFS(SIP[[#Headers],[Unit]]:SIP[[#This Row],[Unit]],SIP[[#Headers],[Investor ID]]:SIP[[#This Row],[Investor ID]],SIP[[#This Row],[Investor ID]])</f>
        <v>9982</v>
      </c>
      <c r="P1298" s="197">
        <v>19520</v>
      </c>
      <c r="Q1298" s="74">
        <f>SIP[[#This Row],[Amount]]-SIP[[#This Row],[Unit Capital]]</f>
        <v>5480</v>
      </c>
      <c r="R12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12.522540573031458</v>
      </c>
      <c r="S1298" s="46">
        <f t="shared" si="61"/>
        <v>14.224</v>
      </c>
      <c r="T12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8" s="74" cm="1">
        <f t="array" ref="U1298">IF(SIP[[#This Row],[B/S]]="S",ABS(SIP[[#This Row],[Unit]])*(INDEX(SIP[NAV at Cost (Average)],MATCH(CONCATENATE((SIP[[#This Row],[Frequency]]-1),SIP[[#This Row],[Investor ID]]),SIP[Unique Code],0),0)),0)</f>
        <v>0</v>
      </c>
      <c r="V1298" s="74">
        <f>IF(SIP[[#This Row],[BO TRANSFER]]="YES",SIP[[#This Row],[Unit]],)</f>
        <v>0</v>
      </c>
      <c r="W1298" s="74">
        <f>SUMIFS(SIP[[#Headers],[BO UNIT TRANSFER]]:SIP[[#This Row],[BO UNIT TRANSFER]],SIP[[#Headers],[Investor ID]]:SIP[[#This Row],[Investor ID]],SIP[[#This Row],[Investor ID]])</f>
        <v>0</v>
      </c>
    </row>
    <row r="1299" spans="1:23" ht="15" customHeight="1">
      <c r="A1299" s="46">
        <v>2025</v>
      </c>
      <c r="B1299" s="46">
        <v>7</v>
      </c>
      <c r="C1299" s="46">
        <v>27</v>
      </c>
      <c r="D1299" s="65">
        <f>DATE(SIP[[#This Row],[Year]],SIP[[#This Row],[Month]],SIP[[#This Row],[Day]])</f>
        <v>45865</v>
      </c>
      <c r="E1299" s="66" t="str" cm="1">
        <f t="array" ref="E1299">INDEX(INVESTORS_LIST[INVESTOR NAME],MATCH(SIP[[#This Row],[Investor ID]],INVESTORS_LIST[INVESTOR CODE],0),)</f>
        <v>MAYA RANI SAHA</v>
      </c>
      <c r="F1299" s="46" t="s">
        <v>224</v>
      </c>
      <c r="G1299" s="46">
        <f>COUNTIF(SIP[[#Headers],[Investor ID]]:SIP[[#This Row],[Investor ID]],SIP[[#This Row],[Investor ID]])</f>
        <v>59</v>
      </c>
      <c r="H1299" s="46" t="str">
        <f>CONCATENATE(SIP[[#This Row],[Frequency]],SIP[[#This Row],[Investor ID]])</f>
        <v>59A00088</v>
      </c>
      <c r="I1299" s="46" t="str">
        <f>IF(SIP[[#This Row],[B/S]]="B","BUY",(IF(SIP[[#This Row],[B/S]]="S","SELL"," ")))</f>
        <v>BUY</v>
      </c>
      <c r="J1299" s="150" t="s">
        <v>1229</v>
      </c>
      <c r="K1299" s="153">
        <v>10000</v>
      </c>
      <c r="L1299" s="122"/>
      <c r="M1299" s="123">
        <f>SIP[[#This Row],[Amount]]/SIP[[#This Row],[Unit]]</f>
        <v>12.804097311139564</v>
      </c>
      <c r="N1299" s="71">
        <f>SIP[[#This Row],[Unit Capital]]/10</f>
        <v>781</v>
      </c>
      <c r="O1299" s="71">
        <f>SUMIFS(SIP[[#Headers],[Unit]]:SIP[[#This Row],[Unit]],SIP[[#Headers],[Investor ID]]:SIP[[#This Row],[Investor ID]],SIP[[#This Row],[Investor ID]])</f>
        <v>72149</v>
      </c>
      <c r="P1299" s="197">
        <v>7810</v>
      </c>
      <c r="Q1299" s="74">
        <f>SIP[[#This Row],[Amount]]-SIP[[#This Row],[Unit Capital]]</f>
        <v>2190</v>
      </c>
      <c r="R12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11.642573008634903</v>
      </c>
      <c r="S1299" s="46">
        <f t="shared" si="61"/>
        <v>14.224</v>
      </c>
      <c r="T12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9" s="74" cm="1">
        <f t="array" ref="U1299">IF(SIP[[#This Row],[B/S]]="S",ABS(SIP[[#This Row],[Unit]])*(INDEX(SIP[NAV at Cost (Average)],MATCH(CONCATENATE((SIP[[#This Row],[Frequency]]-1),SIP[[#This Row],[Investor ID]]),SIP[Unique Code],0),0)),0)</f>
        <v>0</v>
      </c>
      <c r="V1299" s="74">
        <f>IF(SIP[[#This Row],[BO TRANSFER]]="YES",SIP[[#This Row],[Unit]],)</f>
        <v>0</v>
      </c>
      <c r="W1299" s="74">
        <f>SUMIFS(SIP[[#Headers],[BO UNIT TRANSFER]]:SIP[[#This Row],[BO UNIT TRANSFER]],SIP[[#Headers],[Investor ID]]:SIP[[#This Row],[Investor ID]],SIP[[#This Row],[Investor ID]])</f>
        <v>0</v>
      </c>
    </row>
    <row r="1300" spans="1:23" ht="15" customHeight="1">
      <c r="A1300" s="46">
        <v>2025</v>
      </c>
      <c r="B1300" s="46">
        <v>7</v>
      </c>
      <c r="C1300" s="46">
        <v>27</v>
      </c>
      <c r="D1300" s="65">
        <f>DATE(SIP[[#This Row],[Year]],SIP[[#This Row],[Month]],SIP[[#This Row],[Day]])</f>
        <v>45865</v>
      </c>
      <c r="E1300" s="66" t="str" cm="1">
        <f t="array" ref="E1300">INDEX(INVESTORS_LIST[INVESTOR NAME],MATCH(SIP[[#This Row],[Investor ID]],INVESTORS_LIST[INVESTOR CODE],0),)</f>
        <v>SWADESH RANJAN SAHA</v>
      </c>
      <c r="F1300" s="46" t="s">
        <v>234</v>
      </c>
      <c r="G1300" s="46">
        <f>COUNTIF(SIP[[#Headers],[Investor ID]]:SIP[[#This Row],[Investor ID]],SIP[[#This Row],[Investor ID]])</f>
        <v>8</v>
      </c>
      <c r="H1300" s="46" t="str">
        <f>CONCATENATE(SIP[[#This Row],[Frequency]],SIP[[#This Row],[Investor ID]])</f>
        <v>8A00093</v>
      </c>
      <c r="I1300" s="46" t="str">
        <f>IF(SIP[[#This Row],[B/S]]="B","BUY",(IF(SIP[[#This Row],[B/S]]="S","SELL"," ")))</f>
        <v>BUY</v>
      </c>
      <c r="J1300" s="150" t="s">
        <v>1229</v>
      </c>
      <c r="K1300" s="153">
        <v>50000</v>
      </c>
      <c r="L1300" s="122"/>
      <c r="M1300" s="123">
        <f>SIP[[#This Row],[Amount]]/SIP[[#This Row],[Unit]]</f>
        <v>12.810658467845247</v>
      </c>
      <c r="N1300" s="71">
        <f>SIP[[#This Row],[Unit Capital]]/10</f>
        <v>3903</v>
      </c>
      <c r="O1300" s="71">
        <f>SUMIFS(SIP[[#Headers],[Unit]]:SIP[[#This Row],[Unit]],SIP[[#Headers],[Investor ID]]:SIP[[#This Row],[Investor ID]],SIP[[#This Row],[Investor ID]])</f>
        <v>32343</v>
      </c>
      <c r="P1300" s="197">
        <v>39030</v>
      </c>
      <c r="Q1300" s="74">
        <f>SIP[[#This Row],[Amount]]-SIP[[#This Row],[Unit Capital]]</f>
        <v>10970</v>
      </c>
      <c r="R13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12.367436539591253</v>
      </c>
      <c r="S1300" s="46">
        <f t="shared" si="61"/>
        <v>14.224</v>
      </c>
      <c r="T13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0" s="74" cm="1">
        <f t="array" ref="U1300">IF(SIP[[#This Row],[B/S]]="S",ABS(SIP[[#This Row],[Unit]])*(INDEX(SIP[NAV at Cost (Average)],MATCH(CONCATENATE((SIP[[#This Row],[Frequency]]-1),SIP[[#This Row],[Investor ID]]),SIP[Unique Code],0),0)),0)</f>
        <v>0</v>
      </c>
      <c r="V1300" s="74">
        <f>IF(SIP[[#This Row],[BO TRANSFER]]="YES",SIP[[#This Row],[Unit]],)</f>
        <v>0</v>
      </c>
      <c r="W1300" s="74">
        <f>SUMIFS(SIP[[#Headers],[BO UNIT TRANSFER]]:SIP[[#This Row],[BO UNIT TRANSFER]],SIP[[#Headers],[Investor ID]]:SIP[[#This Row],[Investor ID]],SIP[[#This Row],[Investor ID]])</f>
        <v>0</v>
      </c>
    </row>
    <row r="1301" spans="1:23" ht="15" customHeight="1">
      <c r="A1301" s="46">
        <v>2025</v>
      </c>
      <c r="B1301" s="46">
        <v>7</v>
      </c>
      <c r="C1301" s="46">
        <v>27</v>
      </c>
      <c r="D1301" s="65">
        <f>DATE(SIP[[#This Row],[Year]],SIP[[#This Row],[Month]],SIP[[#This Row],[Day]])</f>
        <v>45865</v>
      </c>
      <c r="E1301" s="66" t="str" cm="1">
        <f t="array" ref="E1301">INDEX(INVESTORS_LIST[INVESTOR NAME],MATCH(SIP[[#This Row],[Investor ID]],INVESTORS_LIST[INVESTOR CODE],0),)</f>
        <v>MOHAMMAD SAMIUL ALAM</v>
      </c>
      <c r="F1301" s="46" t="s">
        <v>537</v>
      </c>
      <c r="G1301" s="46">
        <f>COUNTIF(SIP[[#Headers],[Investor ID]]:SIP[[#This Row],[Investor ID]],SIP[[#This Row],[Investor ID]])</f>
        <v>24</v>
      </c>
      <c r="H1301" s="46" t="str">
        <f>CONCATENATE(SIP[[#This Row],[Frequency]],SIP[[#This Row],[Investor ID]])</f>
        <v>24A00244</v>
      </c>
      <c r="I1301" s="46" t="str">
        <f>IF(SIP[[#This Row],[B/S]]="B","BUY",(IF(SIP[[#This Row],[B/S]]="S","SELL"," ")))</f>
        <v>BUY</v>
      </c>
      <c r="J1301" s="150" t="s">
        <v>1229</v>
      </c>
      <c r="K1301" s="153">
        <v>35000</v>
      </c>
      <c r="L1301" s="122" t="s">
        <v>1230</v>
      </c>
      <c r="M1301" s="123">
        <f>SIP[[#This Row],[Amount]]/SIP[[#This Row],[Unit]]</f>
        <v>12.811127379209371</v>
      </c>
      <c r="N1301" s="71">
        <f>SIP[[#This Row],[Unit Capital]]/10</f>
        <v>2732</v>
      </c>
      <c r="O1301" s="71">
        <f>SUMIFS(SIP[[#Headers],[Unit]]:SIP[[#This Row],[Unit]],SIP[[#Headers],[Investor ID]]:SIP[[#This Row],[Investor ID]],SIP[[#This Row],[Investor ID]])</f>
        <v>43292</v>
      </c>
      <c r="P1301" s="197">
        <v>27320</v>
      </c>
      <c r="Q1301" s="74">
        <f>SIP[[#This Row],[Amount]]-SIP[[#This Row],[Unit Capital]]</f>
        <v>7680</v>
      </c>
      <c r="R13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11.433983183960089</v>
      </c>
      <c r="S1301" s="46">
        <f t="shared" si="61"/>
        <v>14.224</v>
      </c>
      <c r="T13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1" s="74" cm="1">
        <f t="array" ref="U1301">IF(SIP[[#This Row],[B/S]]="S",ABS(SIP[[#This Row],[Unit]])*(INDEX(SIP[NAV at Cost (Average)],MATCH(CONCATENATE((SIP[[#This Row],[Frequency]]-1),SIP[[#This Row],[Investor ID]]),SIP[Unique Code],0),0)),0)</f>
        <v>0</v>
      </c>
      <c r="V1301" s="74">
        <f>IF(SIP[[#This Row],[BO TRANSFER]]="YES",SIP[[#This Row],[Unit]],)</f>
        <v>2732</v>
      </c>
      <c r="W1301" s="74">
        <f>SUMIFS(SIP[[#Headers],[BO UNIT TRANSFER]]:SIP[[#This Row],[BO UNIT TRANSFER]],SIP[[#Headers],[Investor ID]]:SIP[[#This Row],[Investor ID]],SIP[[#This Row],[Investor ID]])</f>
        <v>2732</v>
      </c>
    </row>
    <row r="1302" spans="1:23" ht="15" customHeight="1">
      <c r="A1302" s="46">
        <v>2025</v>
      </c>
      <c r="B1302" s="46">
        <v>7</v>
      </c>
      <c r="C1302" s="46">
        <v>27</v>
      </c>
      <c r="D1302" s="65">
        <f>DATE(SIP[[#This Row],[Year]],SIP[[#This Row],[Month]],SIP[[#This Row],[Day]])</f>
        <v>45865</v>
      </c>
      <c r="E1302" s="66" t="str" cm="1">
        <f t="array" ref="E1302">INDEX(INVESTORS_LIST[INVESTOR NAME],MATCH(SIP[[#This Row],[Investor ID]],INVESTORS_LIST[INVESTOR CODE],0),)</f>
        <v>MAHFUZUL ISLAM &amp; HUMAIRA TABASSUM READDHE</v>
      </c>
      <c r="F1302" s="46" t="s">
        <v>1315</v>
      </c>
      <c r="G1302" s="46">
        <f>COUNTIF(SIP[[#Headers],[Investor ID]]:SIP[[#This Row],[Investor ID]],SIP[[#This Row],[Investor ID]])</f>
        <v>4</v>
      </c>
      <c r="H1302" s="46" t="str">
        <f>CONCATENATE(SIP[[#This Row],[Frequency]],SIP[[#This Row],[Investor ID]])</f>
        <v>4A00605</v>
      </c>
      <c r="I1302" s="46" t="str">
        <f>IF(SIP[[#This Row],[B/S]]="B","BUY",(IF(SIP[[#This Row],[B/S]]="S","SELL"," ")))</f>
        <v>BUY</v>
      </c>
      <c r="J1302" s="150" t="s">
        <v>1229</v>
      </c>
      <c r="K1302" s="153">
        <v>18140</v>
      </c>
      <c r="L1302" s="122"/>
      <c r="M1302" s="123">
        <f>SIP[[#This Row],[Amount]]/SIP[[#This Row],[Unit]]</f>
        <v>12.810734463276836</v>
      </c>
      <c r="N1302" s="71">
        <f>SIP[[#This Row],[Unit Capital]]/10</f>
        <v>1416</v>
      </c>
      <c r="O1302" s="71">
        <f>SUMIFS(SIP[[#Headers],[Unit]]:SIP[[#This Row],[Unit]],SIP[[#Headers],[Investor ID]]:SIP[[#This Row],[Investor ID]],SIP[[#This Row],[Investor ID]])</f>
        <v>5788</v>
      </c>
      <c r="P1302" s="197">
        <v>14160</v>
      </c>
      <c r="Q1302" s="74">
        <f>SIP[[#This Row],[Amount]]-SIP[[#This Row],[Unit Capital]]</f>
        <v>3980</v>
      </c>
      <c r="R13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12.536281962681409</v>
      </c>
      <c r="S1302" s="46">
        <f t="shared" si="61"/>
        <v>14.224</v>
      </c>
      <c r="T13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2" s="74" cm="1">
        <f t="array" ref="U1302">IF(SIP[[#This Row],[B/S]]="S",ABS(SIP[[#This Row],[Unit]])*(INDEX(SIP[NAV at Cost (Average)],MATCH(CONCATENATE((SIP[[#This Row],[Frequency]]-1),SIP[[#This Row],[Investor ID]]),SIP[Unique Code],0),0)),0)</f>
        <v>0</v>
      </c>
      <c r="V1302" s="74">
        <f>IF(SIP[[#This Row],[BO TRANSFER]]="YES",SIP[[#This Row],[Unit]],)</f>
        <v>0</v>
      </c>
      <c r="W1302" s="74">
        <f>SUMIFS(SIP[[#Headers],[BO UNIT TRANSFER]]:SIP[[#This Row],[BO UNIT TRANSFER]],SIP[[#Headers],[Investor ID]]:SIP[[#This Row],[Investor ID]],SIP[[#This Row],[Investor ID]])</f>
        <v>0</v>
      </c>
    </row>
    <row r="1303" spans="1:23" ht="15" customHeight="1">
      <c r="A1303" s="46">
        <v>2025</v>
      </c>
      <c r="B1303" s="46">
        <v>7</v>
      </c>
      <c r="C1303" s="46">
        <v>27</v>
      </c>
      <c r="D1303" s="65">
        <f>DATE(SIP[[#This Row],[Year]],SIP[[#This Row],[Month]],SIP[[#This Row],[Day]])</f>
        <v>45865</v>
      </c>
      <c r="E1303" s="66" t="str" cm="1">
        <f t="array" ref="E1303">INDEX(INVESTORS_LIST[INVESTOR NAME],MATCH(SIP[[#This Row],[Investor ID]],INVESTORS_LIST[INVESTOR CODE],0),)</f>
        <v>TANVIR HASAN</v>
      </c>
      <c r="F1303" s="46" t="s">
        <v>561</v>
      </c>
      <c r="G1303" s="46">
        <f>COUNTIF(SIP[[#Headers],[Investor ID]]:SIP[[#This Row],[Investor ID]],SIP[[#This Row],[Investor ID]])</f>
        <v>4</v>
      </c>
      <c r="H1303" s="46" t="str">
        <f>CONCATENATE(SIP[[#This Row],[Frequency]],SIP[[#This Row],[Investor ID]])</f>
        <v>4A00256</v>
      </c>
      <c r="I1303" s="46" t="str">
        <f>IF(SIP[[#This Row],[B/S]]="B","BUY",(IF(SIP[[#This Row],[B/S]]="S","SELL"," ")))</f>
        <v>BUY</v>
      </c>
      <c r="J1303" s="150" t="s">
        <v>1229</v>
      </c>
      <c r="K1303" s="153">
        <v>10000</v>
      </c>
      <c r="L1303" s="122"/>
      <c r="M1303" s="123">
        <f>SIP[[#This Row],[Amount]]/SIP[[#This Row],[Unit]]</f>
        <v>12.804097311139564</v>
      </c>
      <c r="N1303" s="71">
        <f>SIP[[#This Row],[Unit Capital]]/10</f>
        <v>781</v>
      </c>
      <c r="O1303" s="71">
        <f>SUMIFS(SIP[[#Headers],[Unit]]:SIP[[#This Row],[Unit]],SIP[[#Headers],[Investor ID]]:SIP[[#This Row],[Investor ID]],SIP[[#This Row],[Investor ID]])</f>
        <v>3191</v>
      </c>
      <c r="P1303" s="197">
        <v>7810</v>
      </c>
      <c r="Q1303" s="74">
        <f>SIP[[#This Row],[Amount]]-SIP[[#This Row],[Unit Capital]]</f>
        <v>2190</v>
      </c>
      <c r="R13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12.535255405828895</v>
      </c>
      <c r="S1303" s="46">
        <f t="shared" si="61"/>
        <v>14.224</v>
      </c>
      <c r="T13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3" s="74" cm="1">
        <f t="array" ref="U1303">IF(SIP[[#This Row],[B/S]]="S",ABS(SIP[[#This Row],[Unit]])*(INDEX(SIP[NAV at Cost (Average)],MATCH(CONCATENATE((SIP[[#This Row],[Frequency]]-1),SIP[[#This Row],[Investor ID]]),SIP[Unique Code],0),0)),0)</f>
        <v>0</v>
      </c>
      <c r="V1303" s="74">
        <f>IF(SIP[[#This Row],[BO TRANSFER]]="YES",SIP[[#This Row],[Unit]],)</f>
        <v>0</v>
      </c>
      <c r="W1303" s="74">
        <f>SUMIFS(SIP[[#Headers],[BO UNIT TRANSFER]]:SIP[[#This Row],[BO UNIT TRANSFER]],SIP[[#Headers],[Investor ID]]:SIP[[#This Row],[Investor ID]],SIP[[#This Row],[Investor ID]])</f>
        <v>0</v>
      </c>
    </row>
    <row r="1304" spans="1:23" ht="15" customHeight="1">
      <c r="A1304" s="46">
        <v>2025</v>
      </c>
      <c r="B1304" s="46">
        <v>7</v>
      </c>
      <c r="C1304" s="46">
        <v>27</v>
      </c>
      <c r="D1304" s="65">
        <f>DATE(SIP[[#This Row],[Year]],SIP[[#This Row],[Month]],SIP[[#This Row],[Day]])</f>
        <v>45865</v>
      </c>
      <c r="E1304" s="66" t="str" cm="1">
        <f t="array" ref="E1304">INDEX(INVESTORS_LIST[INVESTOR NAME],MATCH(SIP[[#This Row],[Investor ID]],INVESTORS_LIST[INVESTOR CODE],0),)</f>
        <v>RUMA AKTER</v>
      </c>
      <c r="F1304" s="46" t="s">
        <v>1323</v>
      </c>
      <c r="G1304" s="46">
        <f>COUNTIF(SIP[[#Headers],[Investor ID]]:SIP[[#This Row],[Investor ID]],SIP[[#This Row],[Investor ID]])</f>
        <v>4</v>
      </c>
      <c r="H1304" s="46" t="str">
        <f>CONCATENATE(SIP[[#This Row],[Frequency]],SIP[[#This Row],[Investor ID]])</f>
        <v>4A00608</v>
      </c>
      <c r="I1304" s="46" t="str">
        <f>IF(SIP[[#This Row],[B/S]]="B","BUY",(IF(SIP[[#This Row],[B/S]]="S","SELL"," ")))</f>
        <v>BUY</v>
      </c>
      <c r="J1304" s="150" t="s">
        <v>1229</v>
      </c>
      <c r="K1304" s="153">
        <v>1000</v>
      </c>
      <c r="L1304" s="122"/>
      <c r="M1304" s="123">
        <f>SIP[[#This Row],[Amount]]/SIP[[#This Row],[Unit]]</f>
        <v>12.820512820512821</v>
      </c>
      <c r="N1304" s="71">
        <f>SIP[[#This Row],[Unit Capital]]/10</f>
        <v>78</v>
      </c>
      <c r="O1304" s="71">
        <f>SUMIFS(SIP[[#Headers],[Unit]]:SIP[[#This Row],[Unit]],SIP[[#Headers],[Investor ID]]:SIP[[#This Row],[Investor ID]],SIP[[#This Row],[Investor ID]])</f>
        <v>319</v>
      </c>
      <c r="P1304" s="197">
        <v>780</v>
      </c>
      <c r="Q1304" s="74">
        <f>SIP[[#This Row],[Amount]]-SIP[[#This Row],[Unit Capital]]</f>
        <v>220</v>
      </c>
      <c r="R13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12.539184952978054</v>
      </c>
      <c r="S1304" s="46">
        <f t="shared" si="61"/>
        <v>14.224</v>
      </c>
      <c r="T13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4" s="74" cm="1">
        <f t="array" ref="U1304">IF(SIP[[#This Row],[B/S]]="S",ABS(SIP[[#This Row],[Unit]])*(INDEX(SIP[NAV at Cost (Average)],MATCH(CONCATENATE((SIP[[#This Row],[Frequency]]-1),SIP[[#This Row],[Investor ID]]),SIP[Unique Code],0),0)),0)</f>
        <v>0</v>
      </c>
      <c r="V1304" s="74">
        <f>IF(SIP[[#This Row],[BO TRANSFER]]="YES",SIP[[#This Row],[Unit]],)</f>
        <v>0</v>
      </c>
      <c r="W1304" s="74">
        <f>SUMIFS(SIP[[#Headers],[BO UNIT TRANSFER]]:SIP[[#This Row],[BO UNIT TRANSFER]],SIP[[#Headers],[Investor ID]]:SIP[[#This Row],[Investor ID]],SIP[[#This Row],[Investor ID]])</f>
        <v>0</v>
      </c>
    </row>
    <row r="1305" spans="1:23" ht="15" customHeight="1">
      <c r="A1305" s="46">
        <v>2025</v>
      </c>
      <c r="B1305" s="46">
        <v>7</v>
      </c>
      <c r="C1305" s="46">
        <v>27</v>
      </c>
      <c r="D1305" s="65">
        <f>DATE(SIP[[#This Row],[Year]],SIP[[#This Row],[Month]],SIP[[#This Row],[Day]])</f>
        <v>45865</v>
      </c>
      <c r="E1305" s="66" t="str" cm="1">
        <f t="array" ref="E1305">INDEX(INVESTORS_LIST[INVESTOR NAME],MATCH(SIP[[#This Row],[Investor ID]],INVESTORS_LIST[INVESTOR CODE],0),)</f>
        <v>MST. GOLENUR</v>
      </c>
      <c r="F1305" s="46" t="s">
        <v>1075</v>
      </c>
      <c r="G1305" s="46">
        <f>COUNTIF(SIP[[#Headers],[Investor ID]]:SIP[[#This Row],[Investor ID]],SIP[[#This Row],[Investor ID]])</f>
        <v>7</v>
      </c>
      <c r="H1305" s="46" t="str">
        <f>CONCATENATE(SIP[[#This Row],[Frequency]],SIP[[#This Row],[Investor ID]])</f>
        <v>7A00515</v>
      </c>
      <c r="I1305" s="46" t="str">
        <f>IF(SIP[[#This Row],[B/S]]="B","BUY",(IF(SIP[[#This Row],[B/S]]="S","SELL"," ")))</f>
        <v>BUY</v>
      </c>
      <c r="J1305" s="150" t="s">
        <v>1229</v>
      </c>
      <c r="K1305" s="153">
        <v>2000</v>
      </c>
      <c r="L1305" s="122"/>
      <c r="M1305" s="123">
        <f>SIP[[#This Row],[Amount]]/SIP[[#This Row],[Unit]]</f>
        <v>12.820512820512821</v>
      </c>
      <c r="N1305" s="71">
        <f>SIP[[#This Row],[Unit Capital]]/10</f>
        <v>156</v>
      </c>
      <c r="O1305" s="71">
        <f>SUMIFS(SIP[[#Headers],[Unit]]:SIP[[#This Row],[Unit]],SIP[[#Headers],[Investor ID]]:SIP[[#This Row],[Investor ID]],SIP[[#This Row],[Investor ID]])</f>
        <v>1134</v>
      </c>
      <c r="P1305" s="197">
        <v>1560</v>
      </c>
      <c r="Q1305" s="74">
        <f>SIP[[#This Row],[Amount]]-SIP[[#This Row],[Unit Capital]]</f>
        <v>440</v>
      </c>
      <c r="R13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12.345679012345681</v>
      </c>
      <c r="S1305" s="46">
        <f t="shared" si="61"/>
        <v>14.224</v>
      </c>
      <c r="T13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5" s="74" cm="1">
        <f t="array" ref="U1305">IF(SIP[[#This Row],[B/S]]="S",ABS(SIP[[#This Row],[Unit]])*(INDEX(SIP[NAV at Cost (Average)],MATCH(CONCATENATE((SIP[[#This Row],[Frequency]]-1),SIP[[#This Row],[Investor ID]]),SIP[Unique Code],0),0)),0)</f>
        <v>0</v>
      </c>
      <c r="V1305" s="74">
        <f>IF(SIP[[#This Row],[BO TRANSFER]]="YES",SIP[[#This Row],[Unit]],)</f>
        <v>0</v>
      </c>
      <c r="W1305" s="74">
        <f>SUMIFS(SIP[[#Headers],[BO UNIT TRANSFER]]:SIP[[#This Row],[BO UNIT TRANSFER]],SIP[[#Headers],[Investor ID]]:SIP[[#This Row],[Investor ID]],SIP[[#This Row],[Investor ID]])</f>
        <v>0</v>
      </c>
    </row>
    <row r="1306" spans="1:23" ht="15" customHeight="1">
      <c r="A1306" s="46">
        <v>2025</v>
      </c>
      <c r="B1306" s="46">
        <v>7</v>
      </c>
      <c r="C1306" s="46">
        <v>27</v>
      </c>
      <c r="D1306" s="65">
        <f>DATE(SIP[[#This Row],[Year]],SIP[[#This Row],[Month]],SIP[[#This Row],[Day]])</f>
        <v>45865</v>
      </c>
      <c r="E1306" s="66" t="str" cm="1">
        <f t="array" ref="E1306">INDEX(INVESTORS_LIST[INVESTOR NAME],MATCH(SIP[[#This Row],[Investor ID]],INVESTORS_LIST[INVESTOR CODE],0),)</f>
        <v>MD ABDULLAH-AL- MAMUN</v>
      </c>
      <c r="F1306" s="46" t="s">
        <v>533</v>
      </c>
      <c r="G1306" s="46">
        <f>COUNTIF(SIP[[#Headers],[Investor ID]]:SIP[[#This Row],[Investor ID]],SIP[[#This Row],[Investor ID]])</f>
        <v>24</v>
      </c>
      <c r="H1306" s="46" t="str">
        <f>CONCATENATE(SIP[[#This Row],[Frequency]],SIP[[#This Row],[Investor ID]])</f>
        <v>24A00242</v>
      </c>
      <c r="I1306" s="46" t="str">
        <f>IF(SIP[[#This Row],[B/S]]="B","BUY",(IF(SIP[[#This Row],[B/S]]="S","SELL"," ")))</f>
        <v>BUY</v>
      </c>
      <c r="J1306" s="150" t="s">
        <v>1229</v>
      </c>
      <c r="K1306" s="153">
        <v>10000</v>
      </c>
      <c r="L1306" s="122"/>
      <c r="M1306" s="123">
        <f>SIP[[#This Row],[Amount]]/SIP[[#This Row],[Unit]]</f>
        <v>12.804097311139564</v>
      </c>
      <c r="N1306" s="71">
        <f>SIP[[#This Row],[Unit Capital]]/10</f>
        <v>781</v>
      </c>
      <c r="O1306" s="71">
        <f>SUMIFS(SIP[[#Headers],[Unit]]:SIP[[#This Row],[Unit]],SIP[[#Headers],[Investor ID]]:SIP[[#This Row],[Investor ID]],SIP[[#This Row],[Investor ID]])</f>
        <v>30299</v>
      </c>
      <c r="P1306" s="197">
        <v>7810</v>
      </c>
      <c r="Q1306" s="74">
        <f>SIP[[#This Row],[Amount]]-SIP[[#This Row],[Unit Capital]]</f>
        <v>2190</v>
      </c>
      <c r="R13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11.551536354335132</v>
      </c>
      <c r="S1306" s="46">
        <f t="shared" si="61"/>
        <v>14.224</v>
      </c>
      <c r="T13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6" s="74" cm="1">
        <f t="array" ref="U1306">IF(SIP[[#This Row],[B/S]]="S",ABS(SIP[[#This Row],[Unit]])*(INDEX(SIP[NAV at Cost (Average)],MATCH(CONCATENATE((SIP[[#This Row],[Frequency]]-1),SIP[[#This Row],[Investor ID]]),SIP[Unique Code],0),0)),0)</f>
        <v>0</v>
      </c>
      <c r="V1306" s="74">
        <f>IF(SIP[[#This Row],[BO TRANSFER]]="YES",SIP[[#This Row],[Unit]],)</f>
        <v>0</v>
      </c>
      <c r="W1306" s="74">
        <f>SUMIFS(SIP[[#Headers],[BO UNIT TRANSFER]]:SIP[[#This Row],[BO UNIT TRANSFER]],SIP[[#Headers],[Investor ID]]:SIP[[#This Row],[Investor ID]],SIP[[#This Row],[Investor ID]])</f>
        <v>0</v>
      </c>
    </row>
    <row r="1307" spans="1:23" ht="15" customHeight="1">
      <c r="A1307" s="46">
        <v>2025</v>
      </c>
      <c r="B1307" s="46">
        <v>7</v>
      </c>
      <c r="C1307" s="46">
        <v>27</v>
      </c>
      <c r="D1307" s="65">
        <f>DATE(SIP[[#This Row],[Year]],SIP[[#This Row],[Month]],SIP[[#This Row],[Day]])</f>
        <v>45865</v>
      </c>
      <c r="E1307" s="66" t="str" cm="1">
        <f t="array" ref="E1307">INDEX(INVESTORS_LIST[INVESTOR NAME],MATCH(SIP[[#This Row],[Investor ID]],INVESTORS_LIST[INVESTOR CODE],0),)</f>
        <v>RAJIB</v>
      </c>
      <c r="F1307" s="46" t="s">
        <v>1321</v>
      </c>
      <c r="G1307" s="46">
        <f>COUNTIF(SIP[[#Headers],[Investor ID]]:SIP[[#This Row],[Investor ID]],SIP[[#This Row],[Investor ID]])</f>
        <v>4</v>
      </c>
      <c r="H1307" s="46" t="str">
        <f>CONCATENATE(SIP[[#This Row],[Frequency]],SIP[[#This Row],[Investor ID]])</f>
        <v>4A00607</v>
      </c>
      <c r="I1307" s="46" t="str">
        <f>IF(SIP[[#This Row],[B/S]]="B","BUY",(IF(SIP[[#This Row],[B/S]]="S","SELL"," ")))</f>
        <v>BUY</v>
      </c>
      <c r="J1307" s="150" t="s">
        <v>1229</v>
      </c>
      <c r="K1307" s="153">
        <v>1000</v>
      </c>
      <c r="L1307" s="122"/>
      <c r="M1307" s="123">
        <f>SIP[[#This Row],[Amount]]/SIP[[#This Row],[Unit]]</f>
        <v>12.820512820512821</v>
      </c>
      <c r="N1307" s="71">
        <f>SIP[[#This Row],[Unit Capital]]/10</f>
        <v>78</v>
      </c>
      <c r="O1307" s="71">
        <f>SUMIFS(SIP[[#Headers],[Unit]]:SIP[[#This Row],[Unit]],SIP[[#Headers],[Investor ID]]:SIP[[#This Row],[Investor ID]],SIP[[#This Row],[Investor ID]])</f>
        <v>319</v>
      </c>
      <c r="P1307" s="197">
        <v>780</v>
      </c>
      <c r="Q1307" s="74">
        <f>SIP[[#This Row],[Amount]]-SIP[[#This Row],[Unit Capital]]</f>
        <v>220</v>
      </c>
      <c r="R13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12.539184952978054</v>
      </c>
      <c r="S1307" s="46">
        <f t="shared" si="61"/>
        <v>14.224</v>
      </c>
      <c r="T13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7" s="74" cm="1">
        <f t="array" ref="U1307">IF(SIP[[#This Row],[B/S]]="S",ABS(SIP[[#This Row],[Unit]])*(INDEX(SIP[NAV at Cost (Average)],MATCH(CONCATENATE((SIP[[#This Row],[Frequency]]-1),SIP[[#This Row],[Investor ID]]),SIP[Unique Code],0),0)),0)</f>
        <v>0</v>
      </c>
      <c r="V1307" s="74">
        <f>IF(SIP[[#This Row],[BO TRANSFER]]="YES",SIP[[#This Row],[Unit]],)</f>
        <v>0</v>
      </c>
      <c r="W1307" s="74">
        <f>SUMIFS(SIP[[#Headers],[BO UNIT TRANSFER]]:SIP[[#This Row],[BO UNIT TRANSFER]],SIP[[#Headers],[Investor ID]]:SIP[[#This Row],[Investor ID]],SIP[[#This Row],[Investor ID]])</f>
        <v>0</v>
      </c>
    </row>
    <row r="1308" spans="1:23" ht="15" customHeight="1">
      <c r="A1308" s="46">
        <v>2025</v>
      </c>
      <c r="B1308" s="46">
        <v>7</v>
      </c>
      <c r="C1308" s="46">
        <v>27</v>
      </c>
      <c r="D1308" s="65">
        <f>DATE(SIP[[#This Row],[Year]],SIP[[#This Row],[Month]],SIP[[#This Row],[Day]])</f>
        <v>45865</v>
      </c>
      <c r="E1308" s="66" t="str" cm="1">
        <f t="array" ref="E1308">INDEX(INVESTORS_LIST[INVESTOR NAME],MATCH(SIP[[#This Row],[Investor ID]],INVESTORS_LIST[INVESTOR CODE],0),)</f>
        <v>MOHAMMED SHARIFUL ISLAM</v>
      </c>
      <c r="F1308" s="46" t="s">
        <v>1028</v>
      </c>
      <c r="G1308" s="46">
        <f>COUNTIF(SIP[[#Headers],[Investor ID]]:SIP[[#This Row],[Investor ID]],SIP[[#This Row],[Investor ID]])</f>
        <v>26</v>
      </c>
      <c r="H1308" s="46" t="str">
        <f>CONCATENATE(SIP[[#This Row],[Frequency]],SIP[[#This Row],[Investor ID]])</f>
        <v>26A00491</v>
      </c>
      <c r="I1308" s="46" t="str">
        <f>IF(SIP[[#This Row],[B/S]]="B","BUY",(IF(SIP[[#This Row],[B/S]]="S","SELL"," ")))</f>
        <v>BUY</v>
      </c>
      <c r="J1308" s="150" t="s">
        <v>1229</v>
      </c>
      <c r="K1308" s="153">
        <v>5000</v>
      </c>
      <c r="L1308" s="122"/>
      <c r="M1308" s="123">
        <f>SIP[[#This Row],[Amount]]/SIP[[#This Row],[Unit]]</f>
        <v>12.820512820512821</v>
      </c>
      <c r="N1308" s="71">
        <f>SIP[[#This Row],[Unit Capital]]/10</f>
        <v>390</v>
      </c>
      <c r="O1308" s="71">
        <f>SUMIFS(SIP[[#Headers],[Unit]]:SIP[[#This Row],[Unit]],SIP[[#Headers],[Investor ID]]:SIP[[#This Row],[Investor ID]],SIP[[#This Row],[Investor ID]])</f>
        <v>11499</v>
      </c>
      <c r="P1308" s="197">
        <v>3900</v>
      </c>
      <c r="Q1308" s="74">
        <f>SIP[[#This Row],[Amount]]-SIP[[#This Row],[Unit Capital]]</f>
        <v>1100</v>
      </c>
      <c r="R13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11.305330898338989</v>
      </c>
      <c r="S1308" s="46">
        <f t="shared" si="61"/>
        <v>14.224</v>
      </c>
      <c r="T13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8" s="74" cm="1">
        <f t="array" ref="U1308">IF(SIP[[#This Row],[B/S]]="S",ABS(SIP[[#This Row],[Unit]])*(INDEX(SIP[NAV at Cost (Average)],MATCH(CONCATENATE((SIP[[#This Row],[Frequency]]-1),SIP[[#This Row],[Investor ID]]),SIP[Unique Code],0),0)),0)</f>
        <v>0</v>
      </c>
      <c r="V1308" s="74">
        <f>IF(SIP[[#This Row],[BO TRANSFER]]="YES",SIP[[#This Row],[Unit]],)</f>
        <v>0</v>
      </c>
      <c r="W1308" s="74">
        <f>SUMIFS(SIP[[#Headers],[BO UNIT TRANSFER]]:SIP[[#This Row],[BO UNIT TRANSFER]],SIP[[#Headers],[Investor ID]]:SIP[[#This Row],[Investor ID]],SIP[[#This Row],[Investor ID]])</f>
        <v>0</v>
      </c>
    </row>
    <row r="1309" spans="1:23" ht="15" customHeight="1">
      <c r="A1309" s="46">
        <v>2025</v>
      </c>
      <c r="B1309" s="46">
        <v>7</v>
      </c>
      <c r="C1309" s="46">
        <v>27</v>
      </c>
      <c r="D1309" s="65">
        <f>DATE(SIP[[#This Row],[Year]],SIP[[#This Row],[Month]],SIP[[#This Row],[Day]])</f>
        <v>45865</v>
      </c>
      <c r="E1309" s="66" t="str" cm="1">
        <f t="array" ref="E1309">INDEX(INVESTORS_LIST[INVESTOR NAME],MATCH(SIP[[#This Row],[Investor ID]],INVESTORS_LIST[INVESTOR CODE],0),)</f>
        <v>ASHIK IQBAL CHOWDHURY</v>
      </c>
      <c r="F1309" s="46" t="s">
        <v>1016</v>
      </c>
      <c r="G1309" s="46">
        <f>COUNTIF(SIP[[#Headers],[Investor ID]]:SIP[[#This Row],[Investor ID]],SIP[[#This Row],[Investor ID]])</f>
        <v>19</v>
      </c>
      <c r="H1309" s="46" t="str">
        <f>CONCATENATE(SIP[[#This Row],[Frequency]],SIP[[#This Row],[Investor ID]])</f>
        <v>19A00485</v>
      </c>
      <c r="I1309" s="46" t="str">
        <f>IF(SIP[[#This Row],[B/S]]="B","BUY",(IF(SIP[[#This Row],[B/S]]="S","SELL"," ")))</f>
        <v>BUY</v>
      </c>
      <c r="J1309" s="150" t="s">
        <v>1229</v>
      </c>
      <c r="K1309" s="153">
        <v>5000</v>
      </c>
      <c r="L1309" s="122"/>
      <c r="M1309" s="123">
        <f>SIP[[#This Row],[Amount]]/SIP[[#This Row],[Unit]]</f>
        <v>12.820512820512821</v>
      </c>
      <c r="N1309" s="71">
        <f>SIP[[#This Row],[Unit Capital]]/10</f>
        <v>390</v>
      </c>
      <c r="O1309" s="71">
        <f>SUMIFS(SIP[[#Headers],[Unit]]:SIP[[#This Row],[Unit]],SIP[[#Headers],[Investor ID]]:SIP[[#This Row],[Investor ID]],SIP[[#This Row],[Investor ID]])</f>
        <v>6897</v>
      </c>
      <c r="P1309" s="197">
        <v>3900</v>
      </c>
      <c r="Q1309" s="74">
        <f>SIP[[#This Row],[Amount]]-SIP[[#This Row],[Unit Capital]]</f>
        <v>1100</v>
      </c>
      <c r="R13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11.034712437041474</v>
      </c>
      <c r="S1309" s="46">
        <f t="shared" si="61"/>
        <v>14.224</v>
      </c>
      <c r="T13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9" s="74" cm="1">
        <f t="array" ref="U1309">IF(SIP[[#This Row],[B/S]]="S",ABS(SIP[[#This Row],[Unit]])*(INDEX(SIP[NAV at Cost (Average)],MATCH(CONCATENATE((SIP[[#This Row],[Frequency]]-1),SIP[[#This Row],[Investor ID]]),SIP[Unique Code],0),0)),0)</f>
        <v>0</v>
      </c>
      <c r="V1309" s="74">
        <f>IF(SIP[[#This Row],[BO TRANSFER]]="YES",SIP[[#This Row],[Unit]],)</f>
        <v>0</v>
      </c>
      <c r="W1309" s="74">
        <f>SUMIFS(SIP[[#Headers],[BO UNIT TRANSFER]]:SIP[[#This Row],[BO UNIT TRANSFER]],SIP[[#Headers],[Investor ID]]:SIP[[#This Row],[Investor ID]],SIP[[#This Row],[Investor ID]])</f>
        <v>0</v>
      </c>
    </row>
    <row r="1310" spans="1:23" ht="15" customHeight="1">
      <c r="A1310" s="46">
        <v>2025</v>
      </c>
      <c r="B1310" s="46">
        <v>7</v>
      </c>
      <c r="C1310" s="46">
        <v>27</v>
      </c>
      <c r="D1310" s="65">
        <f>DATE(SIP[[#This Row],[Year]],SIP[[#This Row],[Month]],SIP[[#This Row],[Day]])</f>
        <v>45865</v>
      </c>
      <c r="E1310" s="66" t="str" cm="1">
        <f t="array" ref="E1310">INDEX(INVESTORS_LIST[INVESTOR NAME],MATCH(SIP[[#This Row],[Investor ID]],INVESTORS_LIST[INVESTOR CODE],0),)</f>
        <v>SUMAN SAHA</v>
      </c>
      <c r="F1310" s="46" t="s">
        <v>1022</v>
      </c>
      <c r="G1310" s="46">
        <f>COUNTIF(SIP[[#Headers],[Investor ID]]:SIP[[#This Row],[Investor ID]],SIP[[#This Row],[Investor ID]])</f>
        <v>26</v>
      </c>
      <c r="H1310" s="46" t="str">
        <f>CONCATENATE(SIP[[#This Row],[Frequency]],SIP[[#This Row],[Investor ID]])</f>
        <v>26A00488</v>
      </c>
      <c r="I1310" s="46" t="str">
        <f>IF(SIP[[#This Row],[B/S]]="B","BUY",(IF(SIP[[#This Row],[B/S]]="S","SELL"," ")))</f>
        <v>BUY</v>
      </c>
      <c r="J1310" s="150" t="s">
        <v>1229</v>
      </c>
      <c r="K1310" s="153">
        <v>5000</v>
      </c>
      <c r="L1310" s="122"/>
      <c r="M1310" s="123">
        <f>SIP[[#This Row],[Amount]]/SIP[[#This Row],[Unit]]</f>
        <v>12.820512820512821</v>
      </c>
      <c r="N1310" s="71">
        <f>SIP[[#This Row],[Unit Capital]]/10</f>
        <v>390</v>
      </c>
      <c r="O1310" s="71">
        <f>SUMIFS(SIP[[#Headers],[Unit]]:SIP[[#This Row],[Unit]],SIP[[#Headers],[Investor ID]]:SIP[[#This Row],[Investor ID]],SIP[[#This Row],[Investor ID]])</f>
        <v>11499</v>
      </c>
      <c r="P1310" s="197">
        <v>3900</v>
      </c>
      <c r="Q1310" s="74">
        <f>SIP[[#This Row],[Amount]]-SIP[[#This Row],[Unit Capital]]</f>
        <v>1100</v>
      </c>
      <c r="R13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11.305330898338989</v>
      </c>
      <c r="S1310" s="46">
        <f t="shared" si="61"/>
        <v>14.224</v>
      </c>
      <c r="T13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0" s="74" cm="1">
        <f t="array" ref="U1310">IF(SIP[[#This Row],[B/S]]="S",ABS(SIP[[#This Row],[Unit]])*(INDEX(SIP[NAV at Cost (Average)],MATCH(CONCATENATE((SIP[[#This Row],[Frequency]]-1),SIP[[#This Row],[Investor ID]]),SIP[Unique Code],0),0)),0)</f>
        <v>0</v>
      </c>
      <c r="V1310" s="74">
        <f>IF(SIP[[#This Row],[BO TRANSFER]]="YES",SIP[[#This Row],[Unit]],)</f>
        <v>0</v>
      </c>
      <c r="W1310" s="74">
        <f>SUMIFS(SIP[[#Headers],[BO UNIT TRANSFER]]:SIP[[#This Row],[BO UNIT TRANSFER]],SIP[[#Headers],[Investor ID]]:SIP[[#This Row],[Investor ID]],SIP[[#This Row],[Investor ID]])</f>
        <v>0</v>
      </c>
    </row>
    <row r="1311" spans="1:23" ht="15" customHeight="1">
      <c r="A1311" s="46">
        <v>2025</v>
      </c>
      <c r="B1311" s="46">
        <v>7</v>
      </c>
      <c r="C1311" s="46">
        <v>27</v>
      </c>
      <c r="D1311" s="65">
        <f>DATE(SIP[[#This Row],[Year]],SIP[[#This Row],[Month]],SIP[[#This Row],[Day]])</f>
        <v>45865</v>
      </c>
      <c r="E1311" s="66" t="str" cm="1">
        <f t="array" ref="E1311">INDEX(INVESTORS_LIST[INVESTOR NAME],MATCH(SIP[[#This Row],[Investor ID]],INVESTORS_LIST[INVESTOR CODE],0),)</f>
        <v>JUBAIDA FARHANA HAQUE</v>
      </c>
      <c r="F1311" s="46" t="s">
        <v>1065</v>
      </c>
      <c r="G1311" s="46">
        <f>COUNTIF(SIP[[#Headers],[Investor ID]]:SIP[[#This Row],[Investor ID]],SIP[[#This Row],[Investor ID]])</f>
        <v>24</v>
      </c>
      <c r="H1311" s="46" t="str">
        <f>CONCATENATE(SIP[[#This Row],[Frequency]],SIP[[#This Row],[Investor ID]])</f>
        <v>24A00510</v>
      </c>
      <c r="I1311" s="46" t="str">
        <f>IF(SIP[[#This Row],[B/S]]="B","BUY",(IF(SIP[[#This Row],[B/S]]="S","SELL"," ")))</f>
        <v>BUY</v>
      </c>
      <c r="J1311" s="150" t="s">
        <v>1229</v>
      </c>
      <c r="K1311" s="153">
        <v>5000</v>
      </c>
      <c r="L1311" s="122"/>
      <c r="M1311" s="123">
        <f>SIP[[#This Row],[Amount]]/SIP[[#This Row],[Unit]]</f>
        <v>12.820512820512821</v>
      </c>
      <c r="N1311" s="71">
        <f>SIP[[#This Row],[Unit Capital]]/10</f>
        <v>390</v>
      </c>
      <c r="O1311" s="71">
        <f>SUMIFS(SIP[[#Headers],[Unit]]:SIP[[#This Row],[Unit]],SIP[[#Headers],[Investor ID]]:SIP[[#This Row],[Investor ID]],SIP[[#This Row],[Investor ID]])</f>
        <v>9575</v>
      </c>
      <c r="P1311" s="197">
        <v>3900</v>
      </c>
      <c r="Q1311" s="74">
        <f>SIP[[#This Row],[Amount]]-SIP[[#This Row],[Unit Capital]]</f>
        <v>1100</v>
      </c>
      <c r="R13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11.489897949938639</v>
      </c>
      <c r="S1311" s="46">
        <f t="shared" si="61"/>
        <v>14.224</v>
      </c>
      <c r="T13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1" s="74" cm="1">
        <f t="array" ref="U1311">IF(SIP[[#This Row],[B/S]]="S",ABS(SIP[[#This Row],[Unit]])*(INDEX(SIP[NAV at Cost (Average)],MATCH(CONCATENATE((SIP[[#This Row],[Frequency]]-1),SIP[[#This Row],[Investor ID]]),SIP[Unique Code],0),0)),0)</f>
        <v>0</v>
      </c>
      <c r="V1311" s="74">
        <f>IF(SIP[[#This Row],[BO TRANSFER]]="YES",SIP[[#This Row],[Unit]],)</f>
        <v>0</v>
      </c>
      <c r="W1311" s="74">
        <f>SUMIFS(SIP[[#Headers],[BO UNIT TRANSFER]]:SIP[[#This Row],[BO UNIT TRANSFER]],SIP[[#Headers],[Investor ID]]:SIP[[#This Row],[Investor ID]],SIP[[#This Row],[Investor ID]])</f>
        <v>0</v>
      </c>
    </row>
    <row r="1312" spans="1:23" ht="15" customHeight="1">
      <c r="A1312" s="46">
        <v>2025</v>
      </c>
      <c r="B1312" s="46">
        <v>7</v>
      </c>
      <c r="C1312" s="46">
        <v>27</v>
      </c>
      <c r="D1312" s="65">
        <f>DATE(SIP[[#This Row],[Year]],SIP[[#This Row],[Month]],SIP[[#This Row],[Day]])</f>
        <v>45865</v>
      </c>
      <c r="E1312" s="66" t="str" cm="1">
        <f t="array" ref="E1312">INDEX(INVESTORS_LIST[INVESTOR NAME],MATCH(SIP[[#This Row],[Investor ID]],INVESTORS_LIST[INVESTOR CODE],0),)</f>
        <v>SADIA PARVIN</v>
      </c>
      <c r="F1312" s="46" t="s">
        <v>1018</v>
      </c>
      <c r="G1312" s="46">
        <f>COUNTIF(SIP[[#Headers],[Investor ID]]:SIP[[#This Row],[Investor ID]],SIP[[#This Row],[Investor ID]])</f>
        <v>41</v>
      </c>
      <c r="H1312" s="46" t="str">
        <f>CONCATENATE(SIP[[#This Row],[Frequency]],SIP[[#This Row],[Investor ID]])</f>
        <v>41A00486</v>
      </c>
      <c r="I1312" s="46" t="str">
        <f>IF(SIP[[#This Row],[B/S]]="B","BUY",(IF(SIP[[#This Row],[B/S]]="S","SELL"," ")))</f>
        <v>BUY</v>
      </c>
      <c r="J1312" s="150" t="s">
        <v>1229</v>
      </c>
      <c r="K1312" s="153">
        <v>5000</v>
      </c>
      <c r="L1312" s="122"/>
      <c r="M1312" s="123">
        <f>SIP[[#This Row],[Amount]]/SIP[[#This Row],[Unit]]</f>
        <v>12.820512820512821</v>
      </c>
      <c r="N1312" s="71">
        <f>SIP[[#This Row],[Unit Capital]]/10</f>
        <v>390</v>
      </c>
      <c r="O1312" s="71">
        <f>SUMIFS(SIP[[#Headers],[Unit]]:SIP[[#This Row],[Unit]],SIP[[#Headers],[Investor ID]]:SIP[[#This Row],[Investor ID]],SIP[[#This Row],[Investor ID]])</f>
        <v>17852</v>
      </c>
      <c r="P1312" s="197">
        <v>3900</v>
      </c>
      <c r="Q1312" s="74">
        <f>SIP[[#This Row],[Amount]]-SIP[[#This Row],[Unit Capital]]</f>
        <v>1100</v>
      </c>
      <c r="R13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11.483307192471434</v>
      </c>
      <c r="S1312" s="46">
        <f t="shared" si="61"/>
        <v>14.224</v>
      </c>
      <c r="T13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2" s="74" cm="1">
        <f t="array" ref="U1312">IF(SIP[[#This Row],[B/S]]="S",ABS(SIP[[#This Row],[Unit]])*(INDEX(SIP[NAV at Cost (Average)],MATCH(CONCATENATE((SIP[[#This Row],[Frequency]]-1),SIP[[#This Row],[Investor ID]]),SIP[Unique Code],0),0)),0)</f>
        <v>0</v>
      </c>
      <c r="V1312" s="74">
        <f>IF(SIP[[#This Row],[BO TRANSFER]]="YES",SIP[[#This Row],[Unit]],)</f>
        <v>0</v>
      </c>
      <c r="W1312" s="74">
        <f>SUMIFS(SIP[[#Headers],[BO UNIT TRANSFER]]:SIP[[#This Row],[BO UNIT TRANSFER]],SIP[[#Headers],[Investor ID]]:SIP[[#This Row],[Investor ID]],SIP[[#This Row],[Investor ID]])</f>
        <v>0</v>
      </c>
    </row>
    <row r="1313" spans="1:23" ht="15" customHeight="1">
      <c r="A1313" s="46">
        <v>2025</v>
      </c>
      <c r="B1313" s="46">
        <v>7</v>
      </c>
      <c r="C1313" s="46">
        <v>27</v>
      </c>
      <c r="D1313" s="65">
        <f>DATE(SIP[[#This Row],[Year]],SIP[[#This Row],[Month]],SIP[[#This Row],[Day]])</f>
        <v>45865</v>
      </c>
      <c r="E1313" s="66" t="str" cm="1">
        <f t="array" ref="E1313">INDEX(INVESTORS_LIST[INVESTOR NAME],MATCH(SIP[[#This Row],[Investor ID]],INVESTORS_LIST[INVESTOR CODE],0),)</f>
        <v>SYED ADNAN HUDA</v>
      </c>
      <c r="F1313" s="46" t="s">
        <v>236</v>
      </c>
      <c r="G1313" s="46">
        <f>COUNTIF(SIP[[#Headers],[Investor ID]]:SIP[[#This Row],[Investor ID]],SIP[[#This Row],[Investor ID]])</f>
        <v>13</v>
      </c>
      <c r="H1313" s="46" t="str">
        <f>CONCATENATE(SIP[[#This Row],[Frequency]],SIP[[#This Row],[Investor ID]])</f>
        <v>13A00094</v>
      </c>
      <c r="I1313" s="46" t="str">
        <f>IF(SIP[[#This Row],[B/S]]="B","BUY",(IF(SIP[[#This Row],[B/S]]="S","SELL"," ")))</f>
        <v>BUY</v>
      </c>
      <c r="J1313" s="150" t="s">
        <v>1229</v>
      </c>
      <c r="K1313" s="153">
        <v>50000</v>
      </c>
      <c r="L1313" s="122"/>
      <c r="M1313" s="123">
        <f>SIP[[#This Row],[Amount]]/SIP[[#This Row],[Unit]]</f>
        <v>12.810658467845247</v>
      </c>
      <c r="N1313" s="71">
        <f>SIP[[#This Row],[Unit Capital]]/10</f>
        <v>3903</v>
      </c>
      <c r="O1313" s="71">
        <f>SUMIFS(SIP[[#Headers],[Unit]]:SIP[[#This Row],[Unit]],SIP[[#Headers],[Investor ID]]:SIP[[#This Row],[Investor ID]],SIP[[#This Row],[Investor ID]])</f>
        <v>54163</v>
      </c>
      <c r="P1313" s="197">
        <v>39030</v>
      </c>
      <c r="Q1313" s="74">
        <f>SIP[[#This Row],[Amount]]-SIP[[#This Row],[Unit Capital]]</f>
        <v>10970</v>
      </c>
      <c r="R13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12.000812362683011</v>
      </c>
      <c r="S1313" s="46">
        <f t="shared" si="61"/>
        <v>14.224</v>
      </c>
      <c r="T13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3" s="74" cm="1">
        <f t="array" ref="U1313">IF(SIP[[#This Row],[B/S]]="S",ABS(SIP[[#This Row],[Unit]])*(INDEX(SIP[NAV at Cost (Average)],MATCH(CONCATENATE((SIP[[#This Row],[Frequency]]-1),SIP[[#This Row],[Investor ID]]),SIP[Unique Code],0),0)),0)</f>
        <v>0</v>
      </c>
      <c r="V1313" s="74">
        <f>IF(SIP[[#This Row],[BO TRANSFER]]="YES",SIP[[#This Row],[Unit]],)</f>
        <v>0</v>
      </c>
      <c r="W1313" s="74">
        <f>SUMIFS(SIP[[#Headers],[BO UNIT TRANSFER]]:SIP[[#This Row],[BO UNIT TRANSFER]],SIP[[#Headers],[Investor ID]]:SIP[[#This Row],[Investor ID]],SIP[[#This Row],[Investor ID]])</f>
        <v>0</v>
      </c>
    </row>
    <row r="1314" spans="1:23" ht="15" customHeight="1">
      <c r="A1314" s="46">
        <v>2025</v>
      </c>
      <c r="B1314" s="46">
        <v>7</v>
      </c>
      <c r="C1314" s="46">
        <v>27</v>
      </c>
      <c r="D1314" s="65">
        <f>DATE(SIP[[#This Row],[Year]],SIP[[#This Row],[Month]],SIP[[#This Row],[Day]])</f>
        <v>45865</v>
      </c>
      <c r="E1314" s="66" t="str" cm="1">
        <f t="array" ref="E1314">INDEX(INVESTORS_LIST[INVESTOR NAME],MATCH(SIP[[#This Row],[Investor ID]],INVESTORS_LIST[INVESTOR CODE],0),)</f>
        <v>MAYA RANI SAHA</v>
      </c>
      <c r="F1314" s="46" t="s">
        <v>224</v>
      </c>
      <c r="G1314" s="46">
        <f>COUNTIF(SIP[[#Headers],[Investor ID]]:SIP[[#This Row],[Investor ID]],SIP[[#This Row],[Investor ID]])</f>
        <v>60</v>
      </c>
      <c r="H1314" s="46" t="str">
        <f>CONCATENATE(SIP[[#This Row],[Frequency]],SIP[[#This Row],[Investor ID]])</f>
        <v>60A00088</v>
      </c>
      <c r="I1314" s="46" t="str">
        <f>IF(SIP[[#This Row],[B/S]]="B","BUY",(IF(SIP[[#This Row],[B/S]]="S","SELL"," ")))</f>
        <v>BUY</v>
      </c>
      <c r="J1314" s="150" t="s">
        <v>1229</v>
      </c>
      <c r="K1314" s="153">
        <v>6000</v>
      </c>
      <c r="L1314" s="122"/>
      <c r="M1314" s="123">
        <f>SIP[[#This Row],[Amount]]/SIP[[#This Row],[Unit]]</f>
        <v>12.820512820512821</v>
      </c>
      <c r="N1314" s="71">
        <f>SIP[[#This Row],[Unit Capital]]/10</f>
        <v>468</v>
      </c>
      <c r="O1314" s="71">
        <f>SUMIFS(SIP[[#Headers],[Unit]]:SIP[[#This Row],[Unit]],SIP[[#Headers],[Investor ID]]:SIP[[#This Row],[Investor ID]],SIP[[#This Row],[Investor ID]])</f>
        <v>72617</v>
      </c>
      <c r="P1314" s="197">
        <v>4680</v>
      </c>
      <c r="Q1314" s="74">
        <f>SIP[[#This Row],[Amount]]-SIP[[#This Row],[Unit Capital]]</f>
        <v>1320</v>
      </c>
      <c r="R13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11.650164562017155</v>
      </c>
      <c r="S1314" s="46">
        <f t="shared" si="61"/>
        <v>14.224</v>
      </c>
      <c r="T13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4" s="74" cm="1">
        <f t="array" ref="U1314">IF(SIP[[#This Row],[B/S]]="S",ABS(SIP[[#This Row],[Unit]])*(INDEX(SIP[NAV at Cost (Average)],MATCH(CONCATENATE((SIP[[#This Row],[Frequency]]-1),SIP[[#This Row],[Investor ID]]),SIP[Unique Code],0),0)),0)</f>
        <v>0</v>
      </c>
      <c r="V1314" s="74">
        <f>IF(SIP[[#This Row],[BO TRANSFER]]="YES",SIP[[#This Row],[Unit]],)</f>
        <v>0</v>
      </c>
      <c r="W1314" s="74">
        <f>SUMIFS(SIP[[#Headers],[BO UNIT TRANSFER]]:SIP[[#This Row],[BO UNIT TRANSFER]],SIP[[#Headers],[Investor ID]]:SIP[[#This Row],[Investor ID]],SIP[[#This Row],[Investor ID]])</f>
        <v>0</v>
      </c>
    </row>
    <row r="1315" spans="1:23" ht="15" customHeight="1">
      <c r="A1315" s="46">
        <v>2025</v>
      </c>
      <c r="B1315" s="46">
        <v>7</v>
      </c>
      <c r="C1315" s="46">
        <v>27</v>
      </c>
      <c r="D1315" s="65">
        <f>DATE(SIP[[#This Row],[Year]],SIP[[#This Row],[Month]],SIP[[#This Row],[Day]])</f>
        <v>45865</v>
      </c>
      <c r="E1315" s="66" t="str" cm="1">
        <f t="array" ref="E1315">INDEX(INVESTORS_LIST[INVESTOR NAME],MATCH(SIP[[#This Row],[Investor ID]],INVESTORS_LIST[INVESTOR CODE],0),)</f>
        <v>MAHBUB-UL-ANAM KHAN</v>
      </c>
      <c r="F1315" s="46" t="s">
        <v>626</v>
      </c>
      <c r="G1315" s="46">
        <f>COUNTIF(SIP[[#Headers],[Investor ID]]:SIP[[#This Row],[Investor ID]],SIP[[#This Row],[Investor ID]])</f>
        <v>12</v>
      </c>
      <c r="H1315" s="46" t="str">
        <f>CONCATENATE(SIP[[#This Row],[Frequency]],SIP[[#This Row],[Investor ID]])</f>
        <v>12A00289</v>
      </c>
      <c r="I1315" s="46" t="str">
        <f>IF(SIP[[#This Row],[B/S]]="B","BUY",(IF(SIP[[#This Row],[B/S]]="S","SELL"," ")))</f>
        <v>BUY</v>
      </c>
      <c r="J1315" s="150" t="s">
        <v>1229</v>
      </c>
      <c r="K1315" s="153">
        <v>5000</v>
      </c>
      <c r="L1315" s="122"/>
      <c r="M1315" s="123">
        <f>SIP[[#This Row],[Amount]]/SIP[[#This Row],[Unit]]</f>
        <v>12.820512820512821</v>
      </c>
      <c r="N1315" s="71">
        <f>SIP[[#This Row],[Unit Capital]]/10</f>
        <v>390</v>
      </c>
      <c r="O1315" s="71">
        <f>SUMIFS(SIP[[#Headers],[Unit]]:SIP[[#This Row],[Unit]],SIP[[#Headers],[Investor ID]]:SIP[[#This Row],[Investor ID]],SIP[[#This Row],[Investor ID]])</f>
        <v>4971</v>
      </c>
      <c r="P1315" s="197">
        <v>3900</v>
      </c>
      <c r="Q1315" s="74">
        <f>SIP[[#This Row],[Amount]]-SIP[[#This Row],[Unit Capital]]</f>
        <v>1100</v>
      </c>
      <c r="R13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12.070006035003017</v>
      </c>
      <c r="S1315" s="46">
        <f t="shared" si="61"/>
        <v>14.224</v>
      </c>
      <c r="T13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5" s="74" cm="1">
        <f t="array" ref="U1315">IF(SIP[[#This Row],[B/S]]="S",ABS(SIP[[#This Row],[Unit]])*(INDEX(SIP[NAV at Cost (Average)],MATCH(CONCATENATE((SIP[[#This Row],[Frequency]]-1),SIP[[#This Row],[Investor ID]]),SIP[Unique Code],0),0)),0)</f>
        <v>0</v>
      </c>
      <c r="V1315" s="74">
        <f>IF(SIP[[#This Row],[BO TRANSFER]]="YES",SIP[[#This Row],[Unit]],)</f>
        <v>0</v>
      </c>
      <c r="W1315" s="74">
        <f>SUMIFS(SIP[[#Headers],[BO UNIT TRANSFER]]:SIP[[#This Row],[BO UNIT TRANSFER]],SIP[[#Headers],[Investor ID]]:SIP[[#This Row],[Investor ID]],SIP[[#This Row],[Investor ID]])</f>
        <v>0</v>
      </c>
    </row>
    <row r="1316" spans="1:23" ht="15" customHeight="1">
      <c r="A1316" s="46">
        <v>2025</v>
      </c>
      <c r="B1316" s="46">
        <v>7</v>
      </c>
      <c r="C1316" s="46">
        <v>27</v>
      </c>
      <c r="D1316" s="65">
        <f>DATE(SIP[[#This Row],[Year]],SIP[[#This Row],[Month]],SIP[[#This Row],[Day]])</f>
        <v>45865</v>
      </c>
      <c r="E1316" s="66" t="str" cm="1">
        <f t="array" ref="E1316">INDEX(INVESTORS_LIST[INVESTOR NAME],MATCH(SIP[[#This Row],[Investor ID]],INVESTORS_LIST[INVESTOR CODE],0),)</f>
        <v>MD. WALI ULLAH</v>
      </c>
      <c r="F1316" s="46" t="s">
        <v>443</v>
      </c>
      <c r="G1316" s="46">
        <f>COUNTIF(SIP[[#Headers],[Investor ID]]:SIP[[#This Row],[Investor ID]],SIP[[#This Row],[Investor ID]])</f>
        <v>27</v>
      </c>
      <c r="H1316" s="46" t="str">
        <f>CONCATENATE(SIP[[#This Row],[Frequency]],SIP[[#This Row],[Investor ID]])</f>
        <v>27A00197</v>
      </c>
      <c r="I1316" s="46" t="str">
        <f>IF(SIP[[#This Row],[B/S]]="B","BUY",(IF(SIP[[#This Row],[B/S]]="S","SELL"," ")))</f>
        <v>BUY</v>
      </c>
      <c r="J1316" s="150" t="s">
        <v>1229</v>
      </c>
      <c r="K1316" s="153">
        <v>15000</v>
      </c>
      <c r="L1316" s="122"/>
      <c r="M1316" s="123">
        <f>SIP[[#This Row],[Amount]]/SIP[[#This Row],[Unit]]</f>
        <v>12.809564474807857</v>
      </c>
      <c r="N1316" s="71">
        <f>SIP[[#This Row],[Unit Capital]]/10</f>
        <v>1171</v>
      </c>
      <c r="O1316" s="71">
        <f>SUMIFS(SIP[[#Headers],[Unit]]:SIP[[#This Row],[Unit]],SIP[[#Headers],[Investor ID]]:SIP[[#This Row],[Investor ID]],SIP[[#This Row],[Investor ID]])</f>
        <v>35975</v>
      </c>
      <c r="P1316" s="197">
        <v>11710</v>
      </c>
      <c r="Q1316" s="74">
        <f>SIP[[#This Row],[Amount]]-SIP[[#This Row],[Unit Capital]]</f>
        <v>3290</v>
      </c>
      <c r="R13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11.25781792911744</v>
      </c>
      <c r="S1316" s="46">
        <f t="shared" si="61"/>
        <v>14.224</v>
      </c>
      <c r="T13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6" s="74" cm="1">
        <f t="array" ref="U1316">IF(SIP[[#This Row],[B/S]]="S",ABS(SIP[[#This Row],[Unit]])*(INDEX(SIP[NAV at Cost (Average)],MATCH(CONCATENATE((SIP[[#This Row],[Frequency]]-1),SIP[[#This Row],[Investor ID]]),SIP[Unique Code],0),0)),0)</f>
        <v>0</v>
      </c>
      <c r="V1316" s="74">
        <f>IF(SIP[[#This Row],[BO TRANSFER]]="YES",SIP[[#This Row],[Unit]],)</f>
        <v>0</v>
      </c>
      <c r="W1316" s="74">
        <f>SUMIFS(SIP[[#Headers],[BO UNIT TRANSFER]]:SIP[[#This Row],[BO UNIT TRANSFER]],SIP[[#Headers],[Investor ID]]:SIP[[#This Row],[Investor ID]],SIP[[#This Row],[Investor ID]])</f>
        <v>0</v>
      </c>
    </row>
    <row r="1317" spans="1:23" ht="15" customHeight="1">
      <c r="A1317" s="46">
        <v>2025</v>
      </c>
      <c r="B1317" s="46">
        <v>7</v>
      </c>
      <c r="C1317" s="46">
        <v>27</v>
      </c>
      <c r="D1317" s="65">
        <f>DATE(SIP[[#This Row],[Year]],SIP[[#This Row],[Month]],SIP[[#This Row],[Day]])</f>
        <v>45865</v>
      </c>
      <c r="E1317" s="66" t="str" cm="1">
        <f t="array" ref="E1317">INDEX(INVESTORS_LIST[INVESTOR NAME],MATCH(SIP[[#This Row],[Investor ID]],INVESTORS_LIST[INVESTOR CODE],0),)</f>
        <v>SIKDER FAZLE RABBI</v>
      </c>
      <c r="F1317" s="46" t="s">
        <v>1032</v>
      </c>
      <c r="G1317" s="46">
        <f>COUNTIF(SIP[[#Headers],[Investor ID]]:SIP[[#This Row],[Investor ID]],SIP[[#This Row],[Investor ID]])</f>
        <v>26</v>
      </c>
      <c r="H1317" s="46" t="str">
        <f>CONCATENATE(SIP[[#This Row],[Frequency]],SIP[[#This Row],[Investor ID]])</f>
        <v>26A00493</v>
      </c>
      <c r="I1317" s="46" t="str">
        <f>IF(SIP[[#This Row],[B/S]]="B","BUY",(IF(SIP[[#This Row],[B/S]]="S","SELL"," ")))</f>
        <v>BUY</v>
      </c>
      <c r="J1317" s="150" t="s">
        <v>1229</v>
      </c>
      <c r="K1317" s="153">
        <v>5000</v>
      </c>
      <c r="L1317" s="122"/>
      <c r="M1317" s="123">
        <f>SIP[[#This Row],[Amount]]/SIP[[#This Row],[Unit]]</f>
        <v>12.820512820512821</v>
      </c>
      <c r="N1317" s="71">
        <f>SIP[[#This Row],[Unit Capital]]/10</f>
        <v>390</v>
      </c>
      <c r="O1317" s="71">
        <f>SUMIFS(SIP[[#Headers],[Unit]]:SIP[[#This Row],[Unit]],SIP[[#Headers],[Investor ID]]:SIP[[#This Row],[Investor ID]],SIP[[#This Row],[Investor ID]])</f>
        <v>11499</v>
      </c>
      <c r="P1317" s="197">
        <v>3900</v>
      </c>
      <c r="Q1317" s="74">
        <f>SIP[[#This Row],[Amount]]-SIP[[#This Row],[Unit Capital]]</f>
        <v>1100</v>
      </c>
      <c r="R13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11.305330898338989</v>
      </c>
      <c r="S1317" s="46">
        <f t="shared" si="61"/>
        <v>14.224</v>
      </c>
      <c r="T13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7" s="74" cm="1">
        <f t="array" ref="U1317">IF(SIP[[#This Row],[B/S]]="S",ABS(SIP[[#This Row],[Unit]])*(INDEX(SIP[NAV at Cost (Average)],MATCH(CONCATENATE((SIP[[#This Row],[Frequency]]-1),SIP[[#This Row],[Investor ID]]),SIP[Unique Code],0),0)),0)</f>
        <v>0</v>
      </c>
      <c r="V1317" s="74">
        <f>IF(SIP[[#This Row],[BO TRANSFER]]="YES",SIP[[#This Row],[Unit]],)</f>
        <v>0</v>
      </c>
      <c r="W1317" s="74">
        <f>SUMIFS(SIP[[#Headers],[BO UNIT TRANSFER]]:SIP[[#This Row],[BO UNIT TRANSFER]],SIP[[#Headers],[Investor ID]]:SIP[[#This Row],[Investor ID]],SIP[[#This Row],[Investor ID]])</f>
        <v>0</v>
      </c>
    </row>
    <row r="1318" spans="1:23" ht="15" customHeight="1">
      <c r="A1318" s="46">
        <v>2025</v>
      </c>
      <c r="B1318" s="46">
        <v>7</v>
      </c>
      <c r="C1318" s="46">
        <v>28</v>
      </c>
      <c r="D1318" s="65">
        <f>DATE(SIP[[#This Row],[Year]],SIP[[#This Row],[Month]],SIP[[#This Row],[Day]])</f>
        <v>45866</v>
      </c>
      <c r="E1318" s="66" t="str" cm="1">
        <f t="array" ref="E1318">INDEX(INVESTORS_LIST[INVESTOR NAME],MATCH(SIP[[#This Row],[Investor ID]],INVESTORS_LIST[INVESTOR CODE],0),)</f>
        <v>AHMED BIN MONSUR</v>
      </c>
      <c r="F1318" s="166" t="s">
        <v>692</v>
      </c>
      <c r="G1318" s="46">
        <f>COUNTIF(SIP[[#Headers],[Investor ID]]:SIP[[#This Row],[Investor ID]],SIP[[#This Row],[Investor ID]])</f>
        <v>14</v>
      </c>
      <c r="H1318" s="46" t="str">
        <f>CONCATENATE(SIP[[#This Row],[Frequency]],SIP[[#This Row],[Investor ID]])</f>
        <v>14A00322</v>
      </c>
      <c r="I1318" s="46" t="str">
        <f>IF(SIP[[#This Row],[B/S]]="B","BUY",(IF(SIP[[#This Row],[B/S]]="S","SELL"," ")))</f>
        <v>SELL</v>
      </c>
      <c r="J1318" s="150" t="s">
        <v>1231</v>
      </c>
      <c r="K1318" s="153">
        <v>-104644.89</v>
      </c>
      <c r="L1318" s="122"/>
      <c r="M1318" s="123">
        <f>SIP[[#This Row],[Amount]]/SIP[[#This Row],[Unit]]</f>
        <v>12.81</v>
      </c>
      <c r="N1318" s="71">
        <f>SIP[[#This Row],[Unit Capital]]/10</f>
        <v>-8169</v>
      </c>
      <c r="O1318" s="71">
        <f>SUMIFS(SIP[[#Headers],[Unit]]:SIP[[#This Row],[Unit]],SIP[[#Headers],[Investor ID]]:SIP[[#This Row],[Investor ID]],SIP[[#This Row],[Investor ID]])</f>
        <v>0</v>
      </c>
      <c r="P1318" s="197">
        <v>-81690</v>
      </c>
      <c r="Q1318" s="74">
        <f>SIP[[#This Row],[Amount]]-SIP[[#This Row],[Unit Capital]]</f>
        <v>-22954.89</v>
      </c>
      <c r="R13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18" s="46">
        <f t="shared" si="61"/>
        <v>14.224</v>
      </c>
      <c r="T1318" s="74">
        <f>IF(SIP[[#This Row],[B/S]]="B",0,ABS(SIP[[#This Row],[Unit]])*(SIP[[#This Row],[NAV (Strike Rate)]]-INDEX(SIP[NAV at Cost (Average)],MATCH(CONCATENATE(SIP[[#This Row],[Frequency]]-1,SIP[[#This Row],[Investor ID]]),SIP[Unique Code],0),)))</f>
        <v>5281.8326751592431</v>
      </c>
      <c r="U1318" s="74" cm="1">
        <f t="array" ref="U1318">IF(SIP[[#This Row],[B/S]]="S",ABS(SIP[[#This Row],[Unit]])*(INDEX(SIP[NAV at Cost (Average)],MATCH(CONCATENATE((SIP[[#This Row],[Frequency]]-1),SIP[[#This Row],[Investor ID]]),SIP[Unique Code],0),0)),0)</f>
        <v>99363.05732484076</v>
      </c>
      <c r="V1318" s="74">
        <f>IF(SIP[[#This Row],[BO TRANSFER]]="YES",SIP[[#This Row],[Unit]],)</f>
        <v>0</v>
      </c>
      <c r="W1318" s="74">
        <f>SUMIFS(SIP[[#Headers],[BO UNIT TRANSFER]]:SIP[[#This Row],[BO UNIT TRANSFER]],SIP[[#Headers],[Investor ID]]:SIP[[#This Row],[Investor ID]],SIP[[#This Row],[Investor ID]])</f>
        <v>0</v>
      </c>
    </row>
    <row r="1319" spans="1:23" ht="15" customHeight="1">
      <c r="A1319" s="46">
        <v>2025</v>
      </c>
      <c r="B1319" s="46">
        <v>7</v>
      </c>
      <c r="C1319" s="46">
        <v>28</v>
      </c>
      <c r="D1319" s="65">
        <f>DATE(SIP[[#This Row],[Year]],SIP[[#This Row],[Month]],SIP[[#This Row],[Day]])</f>
        <v>45866</v>
      </c>
      <c r="E1319" s="66" t="str" cm="1">
        <f t="array" ref="E1319">INDEX(INVESTORS_LIST[INVESTOR NAME],MATCH(SIP[[#This Row],[Investor ID]],INVESTORS_LIST[INVESTOR CODE],0),)</f>
        <v>SAJJAD CHOWDHURY</v>
      </c>
      <c r="F1319" s="166" t="s">
        <v>461</v>
      </c>
      <c r="G1319" s="46">
        <f>COUNTIF(SIP[[#Headers],[Investor ID]]:SIP[[#This Row],[Investor ID]],SIP[[#This Row],[Investor ID]])</f>
        <v>26</v>
      </c>
      <c r="H1319" s="46" t="str">
        <f>CONCATENATE(SIP[[#This Row],[Frequency]],SIP[[#This Row],[Investor ID]])</f>
        <v>26A00206</v>
      </c>
      <c r="I1319" s="46" t="str">
        <f>IF(SIP[[#This Row],[B/S]]="B","BUY",(IF(SIP[[#This Row],[B/S]]="S","SELL"," ")))</f>
        <v>SELL</v>
      </c>
      <c r="J1319" s="150" t="s">
        <v>1231</v>
      </c>
      <c r="K1319" s="153">
        <v>-190000</v>
      </c>
      <c r="L1319" s="122"/>
      <c r="M1319" s="123">
        <f>SIP[[#This Row],[Amount]]/SIP[[#This Row],[Unit]]</f>
        <v>12.810140237324703</v>
      </c>
      <c r="N1319" s="71">
        <f>SIP[[#This Row],[Unit Capital]]/10</f>
        <v>-14832</v>
      </c>
      <c r="O1319" s="71">
        <f>SUMIFS(SIP[[#Headers],[Unit]]:SIP[[#This Row],[Unit]],SIP[[#Headers],[Investor ID]]:SIP[[#This Row],[Investor ID]],SIP[[#This Row],[Investor ID]])</f>
        <v>764</v>
      </c>
      <c r="P1319" s="197">
        <v>-148320</v>
      </c>
      <c r="Q1319" s="74">
        <f>SIP[[#This Row],[Amount]]-SIP[[#This Row],[Unit Capital]]</f>
        <v>-41680</v>
      </c>
      <c r="R13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11.124221653808098</v>
      </c>
      <c r="S1319" s="46">
        <f t="shared" si="61"/>
        <v>14.224</v>
      </c>
      <c r="T1319" s="74">
        <f>IF(SIP[[#This Row],[B/S]]="B",0,ABS(SIP[[#This Row],[Unit]])*(SIP[[#This Row],[NAV (Strike Rate)]]-INDEX(SIP[NAV at Cost (Average)],MATCH(CONCATENATE(SIP[[#This Row],[Frequency]]-1,SIP[[#This Row],[Investor ID]]),SIP[Unique Code],0),)))</f>
        <v>25005.544430718284</v>
      </c>
      <c r="U1319" s="74" cm="1">
        <f t="array" ref="U1319">IF(SIP[[#This Row],[B/S]]="S",ABS(SIP[[#This Row],[Unit]])*(INDEX(SIP[NAV at Cost (Average)],MATCH(CONCATENATE((SIP[[#This Row],[Frequency]]-1),SIP[[#This Row],[Investor ID]]),SIP[Unique Code],0),0)),0)</f>
        <v>164994.45556928171</v>
      </c>
      <c r="V1319" s="74">
        <f>IF(SIP[[#This Row],[BO TRANSFER]]="YES",SIP[[#This Row],[Unit]],)</f>
        <v>0</v>
      </c>
      <c r="W1319" s="74">
        <f>SUMIFS(SIP[[#Headers],[BO UNIT TRANSFER]]:SIP[[#This Row],[BO UNIT TRANSFER]],SIP[[#Headers],[Investor ID]]:SIP[[#This Row],[Investor ID]],SIP[[#This Row],[Investor ID]])</f>
        <v>0</v>
      </c>
    </row>
    <row r="1320" spans="1:23" ht="15" customHeight="1">
      <c r="A1320" s="101">
        <v>2025</v>
      </c>
      <c r="B1320" s="101">
        <v>8</v>
      </c>
      <c r="C1320" s="101">
        <v>6</v>
      </c>
      <c r="D1320" s="65">
        <f>DATE(SIP[[#This Row],[Year]],SIP[[#This Row],[Month]],SIP[[#This Row],[Day]])</f>
        <v>45875</v>
      </c>
      <c r="E1320" s="66" t="str" cm="1">
        <f t="array" ref="E1320">INDEX(INVESTORS_LIST[INVESTOR NAME],MATCH(SIP[[#This Row],[Investor ID]],INVESTORS_LIST[INVESTOR CODE],0),)</f>
        <v>SK FEROZ ALAM</v>
      </c>
      <c r="F1320" s="46" t="s">
        <v>240</v>
      </c>
      <c r="G1320" s="46">
        <f>COUNTIF(SIP[[#Headers],[Investor ID]]:SIP[[#This Row],[Investor ID]],SIP[[#This Row],[Investor ID]])</f>
        <v>16</v>
      </c>
      <c r="H1320" s="46" t="str">
        <f>CONCATENATE(SIP[[#This Row],[Frequency]],SIP[[#This Row],[Investor ID]])</f>
        <v>16A00096</v>
      </c>
      <c r="I1320" s="46" t="str">
        <f>IF(SIP[[#This Row],[B/S]]="B","BUY",(IF(SIP[[#This Row],[B/S]]="S","SELL"," ")))</f>
        <v>SELL</v>
      </c>
      <c r="J1320" s="150" t="s">
        <v>1231</v>
      </c>
      <c r="K1320" s="153">
        <v>-15784.712</v>
      </c>
      <c r="L1320" s="122"/>
      <c r="M1320" s="123">
        <f>SIP[[#This Row],[Amount]]/SIP[[#This Row],[Unit]]</f>
        <v>12.853999999999999</v>
      </c>
      <c r="N1320" s="71">
        <f>SIP[[#This Row],[Unit Capital]]/10</f>
        <v>-1228</v>
      </c>
      <c r="O1320" s="71">
        <f>SUMIFS(SIP[[#Headers],[Unit]]:SIP[[#This Row],[Unit]],SIP[[#Headers],[Investor ID]]:SIP[[#This Row],[Investor ID]],SIP[[#This Row],[Investor ID]])</f>
        <v>0</v>
      </c>
      <c r="P1320" s="197">
        <v>-12280</v>
      </c>
      <c r="Q1320" s="74">
        <f>SIP[[#This Row],[Amount]]-SIP[[#This Row],[Unit Capital]]</f>
        <v>-3504.7119999999995</v>
      </c>
      <c r="R13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20" s="46">
        <f t="shared" ref="S1320:S1336" si="62">NAV_MKT</f>
        <v>14.224</v>
      </c>
      <c r="T1320" s="74">
        <f>IF(SIP[[#This Row],[B/S]]="B",0,ABS(SIP[[#This Row],[Unit]])*(SIP[[#This Row],[NAV (Strike Rate)]]-INDEX(SIP[NAV at Cost (Average)],MATCH(CONCATENATE(SIP[[#This Row],[Frequency]]-1,SIP[[#This Row],[Investor ID]]),SIP[Unique Code],0),)))</f>
        <v>1784.7119999999993</v>
      </c>
      <c r="U1320" s="74" cm="1">
        <f t="array" ref="U1320">IF(SIP[[#This Row],[B/S]]="S",ABS(SIP[[#This Row],[Unit]])*(INDEX(SIP[NAV at Cost (Average)],MATCH(CONCATENATE((SIP[[#This Row],[Frequency]]-1),SIP[[#This Row],[Investor ID]]),SIP[Unique Code],0),0)),0)</f>
        <v>14000</v>
      </c>
      <c r="V1320" s="74">
        <f>IF(SIP[[#This Row],[BO TRANSFER]]="YES",SIP[[#This Row],[Unit]],)</f>
        <v>0</v>
      </c>
      <c r="W1320" s="74">
        <f>SUMIFS(SIP[[#Headers],[BO UNIT TRANSFER]]:SIP[[#This Row],[BO UNIT TRANSFER]],SIP[[#Headers],[Investor ID]]:SIP[[#This Row],[Investor ID]],SIP[[#This Row],[Investor ID]])</f>
        <v>0</v>
      </c>
    </row>
    <row r="1321" spans="1:23" ht="15" customHeight="1">
      <c r="A1321" s="101">
        <v>2025</v>
      </c>
      <c r="B1321" s="101">
        <v>8</v>
      </c>
      <c r="C1321" s="101">
        <v>6</v>
      </c>
      <c r="D1321" s="65">
        <f>DATE(SIP[[#This Row],[Year]],SIP[[#This Row],[Month]],SIP[[#This Row],[Day]])</f>
        <v>45875</v>
      </c>
      <c r="E1321" s="66" t="str" cm="1">
        <f t="array" ref="E1321">INDEX(INVESTORS_LIST[INVESTOR NAME],MATCH(SIP[[#This Row],[Investor ID]],INVESTORS_LIST[INVESTOR CODE],0),)</f>
        <v>FAIYEAD AHMEDUL HYE</v>
      </c>
      <c r="F1321" s="46" t="s">
        <v>368</v>
      </c>
      <c r="G1321" s="46">
        <f>COUNTIF(SIP[[#Headers],[Investor ID]]:SIP[[#This Row],[Investor ID]],SIP[[#This Row],[Investor ID]])</f>
        <v>26</v>
      </c>
      <c r="H1321" s="46" t="str">
        <f>CONCATENATE(SIP[[#This Row],[Frequency]],SIP[[#This Row],[Investor ID]])</f>
        <v>26A00160</v>
      </c>
      <c r="I1321" s="46" t="str">
        <f>IF(SIP[[#This Row],[B/S]]="B","BUY",(IF(SIP[[#This Row],[B/S]]="S","SELL"," ")))</f>
        <v>BUY</v>
      </c>
      <c r="J1321" s="150" t="s">
        <v>1229</v>
      </c>
      <c r="K1321" s="153">
        <v>15000</v>
      </c>
      <c r="L1321" s="122"/>
      <c r="M1321" s="123">
        <f>SIP[[#This Row],[Amount]]/SIP[[#This Row],[Unit]]</f>
        <v>12.853470437017995</v>
      </c>
      <c r="N1321" s="71">
        <f>SIP[[#This Row],[Unit Capital]]/10</f>
        <v>1167</v>
      </c>
      <c r="O1321" s="71">
        <f>SUMIFS(SIP[[#Headers],[Unit]]:SIP[[#This Row],[Unit]],SIP[[#Headers],[Investor ID]]:SIP[[#This Row],[Investor ID]],SIP[[#This Row],[Investor ID]])</f>
        <v>34688</v>
      </c>
      <c r="P1321" s="197">
        <v>11670</v>
      </c>
      <c r="Q1321" s="74">
        <f>SIP[[#This Row],[Amount]]-SIP[[#This Row],[Unit Capital]]</f>
        <v>3330</v>
      </c>
      <c r="R13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11.243081180811808</v>
      </c>
      <c r="S1321" s="46">
        <f t="shared" si="62"/>
        <v>14.224</v>
      </c>
      <c r="T13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1" s="74" cm="1">
        <f t="array" ref="U1321">IF(SIP[[#This Row],[B/S]]="S",ABS(SIP[[#This Row],[Unit]])*(INDEX(SIP[NAV at Cost (Average)],MATCH(CONCATENATE((SIP[[#This Row],[Frequency]]-1),SIP[[#This Row],[Investor ID]]),SIP[Unique Code],0),0)),0)</f>
        <v>0</v>
      </c>
      <c r="V1321" s="74">
        <f>IF(SIP[[#This Row],[BO TRANSFER]]="YES",SIP[[#This Row],[Unit]],)</f>
        <v>0</v>
      </c>
      <c r="W1321" s="74">
        <f>SUMIFS(SIP[[#Headers],[BO UNIT TRANSFER]]:SIP[[#This Row],[BO UNIT TRANSFER]],SIP[[#Headers],[Investor ID]]:SIP[[#This Row],[Investor ID]],SIP[[#This Row],[Investor ID]])</f>
        <v>0</v>
      </c>
    </row>
    <row r="1322" spans="1:23" ht="15" customHeight="1">
      <c r="A1322" s="101">
        <v>2025</v>
      </c>
      <c r="B1322" s="101">
        <v>8</v>
      </c>
      <c r="C1322" s="101">
        <v>6</v>
      </c>
      <c r="D1322" s="65">
        <f>DATE(SIP[[#This Row],[Year]],SIP[[#This Row],[Month]],SIP[[#This Row],[Day]])</f>
        <v>45875</v>
      </c>
      <c r="E1322" s="66" t="str" cm="1">
        <f t="array" ref="E1322">INDEX(INVESTORS_LIST[INVESTOR NAME],MATCH(SIP[[#This Row],[Investor ID]],INVESTORS_LIST[INVESTOR CODE],0),)</f>
        <v>CHAONIKA SAHA</v>
      </c>
      <c r="F1322" s="46" t="s">
        <v>238</v>
      </c>
      <c r="G1322" s="46">
        <f>COUNTIF(SIP[[#Headers],[Investor ID]]:SIP[[#This Row],[Investor ID]],SIP[[#This Row],[Investor ID]])</f>
        <v>24</v>
      </c>
      <c r="H1322" s="46" t="str">
        <f>CONCATENATE(SIP[[#This Row],[Frequency]],SIP[[#This Row],[Investor ID]])</f>
        <v>24A00095</v>
      </c>
      <c r="I1322" s="46" t="str">
        <f>IF(SIP[[#This Row],[B/S]]="B","BUY",(IF(SIP[[#This Row],[B/S]]="S","SELL"," ")))</f>
        <v>BUY</v>
      </c>
      <c r="J1322" s="150" t="s">
        <v>1229</v>
      </c>
      <c r="K1322" s="153">
        <v>1000</v>
      </c>
      <c r="L1322" s="122"/>
      <c r="M1322" s="123">
        <f>SIP[[#This Row],[Amount]]/SIP[[#This Row],[Unit]]</f>
        <v>12.820512820512821</v>
      </c>
      <c r="N1322" s="71">
        <f>SIP[[#This Row],[Unit Capital]]/10</f>
        <v>78</v>
      </c>
      <c r="O1322" s="71">
        <f>SUMIFS(SIP[[#Headers],[Unit]]:SIP[[#This Row],[Unit]],SIP[[#Headers],[Investor ID]]:SIP[[#This Row],[Investor ID]],SIP[[#This Row],[Investor ID]])</f>
        <v>2102</v>
      </c>
      <c r="P1322" s="197">
        <v>780</v>
      </c>
      <c r="Q1322" s="74">
        <f>SIP[[#This Row],[Amount]]-SIP[[#This Row],[Unit Capital]]</f>
        <v>220</v>
      </c>
      <c r="R13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11.417697431018077</v>
      </c>
      <c r="S1322" s="46">
        <f t="shared" si="62"/>
        <v>14.224</v>
      </c>
      <c r="T13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2" s="74" cm="1">
        <f t="array" ref="U1322">IF(SIP[[#This Row],[B/S]]="S",ABS(SIP[[#This Row],[Unit]])*(INDEX(SIP[NAV at Cost (Average)],MATCH(CONCATENATE((SIP[[#This Row],[Frequency]]-1),SIP[[#This Row],[Investor ID]]),SIP[Unique Code],0),0)),0)</f>
        <v>0</v>
      </c>
      <c r="V1322" s="74">
        <f>IF(SIP[[#This Row],[BO TRANSFER]]="YES",SIP[[#This Row],[Unit]],)</f>
        <v>0</v>
      </c>
      <c r="W1322" s="74">
        <f>SUMIFS(SIP[[#Headers],[BO UNIT TRANSFER]]:SIP[[#This Row],[BO UNIT TRANSFER]],SIP[[#Headers],[Investor ID]]:SIP[[#This Row],[Investor ID]],SIP[[#This Row],[Investor ID]])</f>
        <v>0</v>
      </c>
    </row>
    <row r="1323" spans="1:23" ht="15" customHeight="1">
      <c r="A1323" s="101">
        <v>2025</v>
      </c>
      <c r="B1323" s="101">
        <v>8</v>
      </c>
      <c r="C1323" s="101">
        <v>6</v>
      </c>
      <c r="D1323" s="65">
        <f>DATE(SIP[[#This Row],[Year]],SIP[[#This Row],[Month]],SIP[[#This Row],[Day]])</f>
        <v>45875</v>
      </c>
      <c r="E1323" s="66" t="str" cm="1">
        <f t="array" ref="E1323">INDEX(INVESTORS_LIST[INVESTOR NAME],MATCH(SIP[[#This Row],[Investor ID]],INVESTORS_LIST[INVESTOR CODE],0),)</f>
        <v>KAZI AHSAN MARUF</v>
      </c>
      <c r="F1323" s="46" t="s">
        <v>158</v>
      </c>
      <c r="G1323" s="46">
        <f>COUNTIF(SIP[[#Headers],[Investor ID]]:SIP[[#This Row],[Investor ID]],SIP[[#This Row],[Investor ID]])</f>
        <v>29</v>
      </c>
      <c r="H1323" s="46" t="str">
        <f>CONCATENATE(SIP[[#This Row],[Frequency]],SIP[[#This Row],[Investor ID]])</f>
        <v>29A00055</v>
      </c>
      <c r="I1323" s="46" t="str">
        <f>IF(SIP[[#This Row],[B/S]]="B","BUY",(IF(SIP[[#This Row],[B/S]]="S","SELL"," ")))</f>
        <v>BUY</v>
      </c>
      <c r="J1323" s="150" t="s">
        <v>1229</v>
      </c>
      <c r="K1323" s="153">
        <v>10000</v>
      </c>
      <c r="L1323" s="122"/>
      <c r="M1323" s="123">
        <f>SIP[[#This Row],[Amount]]/SIP[[#This Row],[Unit]]</f>
        <v>12.853470437017995</v>
      </c>
      <c r="N1323" s="71">
        <f>SIP[[#This Row],[Unit Capital]]/10</f>
        <v>778</v>
      </c>
      <c r="O1323" s="71">
        <f>SUMIFS(SIP[[#Headers],[Unit]]:SIP[[#This Row],[Unit]],SIP[[#Headers],[Investor ID]]:SIP[[#This Row],[Investor ID]],SIP[[#This Row],[Investor ID]])</f>
        <v>10182</v>
      </c>
      <c r="P1323" s="197">
        <v>7780</v>
      </c>
      <c r="Q1323" s="74">
        <f>SIP[[#This Row],[Amount]]-SIP[[#This Row],[Unit Capital]]</f>
        <v>2220</v>
      </c>
      <c r="R13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11.811028380469041</v>
      </c>
      <c r="S1323" s="46">
        <f t="shared" si="62"/>
        <v>14.224</v>
      </c>
      <c r="T13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3" s="74" cm="1">
        <f t="array" ref="U1323">IF(SIP[[#This Row],[B/S]]="S",ABS(SIP[[#This Row],[Unit]])*(INDEX(SIP[NAV at Cost (Average)],MATCH(CONCATENATE((SIP[[#This Row],[Frequency]]-1),SIP[[#This Row],[Investor ID]]),SIP[Unique Code],0),0)),0)</f>
        <v>0</v>
      </c>
      <c r="V1323" s="74">
        <f>IF(SIP[[#This Row],[BO TRANSFER]]="YES",SIP[[#This Row],[Unit]],)</f>
        <v>0</v>
      </c>
      <c r="W1323" s="74">
        <f>SUMIFS(SIP[[#Headers],[BO UNIT TRANSFER]]:SIP[[#This Row],[BO UNIT TRANSFER]],SIP[[#Headers],[Investor ID]]:SIP[[#This Row],[Investor ID]],SIP[[#This Row],[Investor ID]])</f>
        <v>0</v>
      </c>
    </row>
    <row r="1324" spans="1:23" ht="15" customHeight="1">
      <c r="A1324" s="101">
        <v>2025</v>
      </c>
      <c r="B1324" s="101">
        <v>8</v>
      </c>
      <c r="C1324" s="101">
        <v>6</v>
      </c>
      <c r="D1324" s="65">
        <f>DATE(SIP[[#This Row],[Year]],SIP[[#This Row],[Month]],SIP[[#This Row],[Day]])</f>
        <v>45875</v>
      </c>
      <c r="E1324" s="66" t="str" cm="1">
        <f t="array" ref="E1324">INDEX(INVESTORS_LIST[INVESTOR NAME],MATCH(SIP[[#This Row],[Investor ID]],INVESTORS_LIST[INVESTOR CODE],0),)</f>
        <v>KAZI AHSAN MARUF</v>
      </c>
      <c r="F1324" s="46" t="s">
        <v>158</v>
      </c>
      <c r="G1324" s="46">
        <f>COUNTIF(SIP[[#Headers],[Investor ID]]:SIP[[#This Row],[Investor ID]],SIP[[#This Row],[Investor ID]])</f>
        <v>30</v>
      </c>
      <c r="H1324" s="46" t="str">
        <f>CONCATENATE(SIP[[#This Row],[Frequency]],SIP[[#This Row],[Investor ID]])</f>
        <v>30A00055</v>
      </c>
      <c r="I1324" s="46" t="str">
        <f>IF(SIP[[#This Row],[B/S]]="B","BUY",(IF(SIP[[#This Row],[B/S]]="S","SELL"," ")))</f>
        <v>BUY</v>
      </c>
      <c r="J1324" s="150" t="s">
        <v>1229</v>
      </c>
      <c r="K1324" s="153">
        <v>20000</v>
      </c>
      <c r="L1324" s="122"/>
      <c r="M1324" s="123">
        <f>SIP[[#This Row],[Amount]]/SIP[[#This Row],[Unit]]</f>
        <v>12.853470437017995</v>
      </c>
      <c r="N1324" s="71">
        <f>SIP[[#This Row],[Unit Capital]]/10</f>
        <v>1556</v>
      </c>
      <c r="O1324" s="71">
        <f>SUMIFS(SIP[[#Headers],[Unit]]:SIP[[#This Row],[Unit]],SIP[[#Headers],[Investor ID]]:SIP[[#This Row],[Investor ID]],SIP[[#This Row],[Investor ID]])</f>
        <v>11738</v>
      </c>
      <c r="P1324" s="197">
        <v>15560</v>
      </c>
      <c r="Q1324" s="74">
        <f>SIP[[#This Row],[Amount]]-SIP[[#This Row],[Unit Capital]]</f>
        <v>4440</v>
      </c>
      <c r="R13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11.949215451519489</v>
      </c>
      <c r="S1324" s="46">
        <f t="shared" si="62"/>
        <v>14.224</v>
      </c>
      <c r="T13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4" s="74" cm="1">
        <f t="array" ref="U1324">IF(SIP[[#This Row],[B/S]]="S",ABS(SIP[[#This Row],[Unit]])*(INDEX(SIP[NAV at Cost (Average)],MATCH(CONCATENATE((SIP[[#This Row],[Frequency]]-1),SIP[[#This Row],[Investor ID]]),SIP[Unique Code],0),0)),0)</f>
        <v>0</v>
      </c>
      <c r="V1324" s="74">
        <f>IF(SIP[[#This Row],[BO TRANSFER]]="YES",SIP[[#This Row],[Unit]],)</f>
        <v>0</v>
      </c>
      <c r="W1324" s="74">
        <f>SUMIFS(SIP[[#Headers],[BO UNIT TRANSFER]]:SIP[[#This Row],[BO UNIT TRANSFER]],SIP[[#Headers],[Investor ID]]:SIP[[#This Row],[Investor ID]],SIP[[#This Row],[Investor ID]])</f>
        <v>0</v>
      </c>
    </row>
    <row r="1325" spans="1:23" ht="15" customHeight="1">
      <c r="A1325" s="101">
        <v>2025</v>
      </c>
      <c r="B1325" s="101">
        <v>8</v>
      </c>
      <c r="C1325" s="101">
        <v>6</v>
      </c>
      <c r="D1325" s="65">
        <f>DATE(SIP[[#This Row],[Year]],SIP[[#This Row],[Month]],SIP[[#This Row],[Day]])</f>
        <v>45875</v>
      </c>
      <c r="E1325" s="66" t="str" cm="1">
        <f t="array" ref="E1325">INDEX(INVESTORS_LIST[INVESTOR NAME],MATCH(SIP[[#This Row],[Investor ID]],INVESTORS_LIST[INVESTOR CODE],0),)</f>
        <v>SABRIA ISLAM TALUKDER</v>
      </c>
      <c r="F1325" s="46" t="s">
        <v>409</v>
      </c>
      <c r="G1325" s="46">
        <f>COUNTIF(SIP[[#Headers],[Investor ID]]:SIP[[#This Row],[Investor ID]],SIP[[#This Row],[Investor ID]])</f>
        <v>24</v>
      </c>
      <c r="H1325" s="46" t="str">
        <f>CONCATENATE(SIP[[#This Row],[Frequency]],SIP[[#This Row],[Investor ID]])</f>
        <v>24A00180</v>
      </c>
      <c r="I1325" s="46" t="str">
        <f>IF(SIP[[#This Row],[B/S]]="B","BUY",(IF(SIP[[#This Row],[B/S]]="S","SELL"," ")))</f>
        <v>BUY</v>
      </c>
      <c r="J1325" s="150" t="s">
        <v>1229</v>
      </c>
      <c r="K1325" s="153">
        <v>5000</v>
      </c>
      <c r="L1325" s="122"/>
      <c r="M1325" s="123">
        <f>SIP[[#This Row],[Amount]]/SIP[[#This Row],[Unit]]</f>
        <v>12.853470437017995</v>
      </c>
      <c r="N1325" s="71">
        <f>SIP[[#This Row],[Unit Capital]]/10</f>
        <v>389</v>
      </c>
      <c r="O1325" s="71">
        <f>SUMIFS(SIP[[#Headers],[Unit]]:SIP[[#This Row],[Unit]],SIP[[#Headers],[Investor ID]]:SIP[[#This Row],[Investor ID]],SIP[[#This Row],[Investor ID]])</f>
        <v>10500</v>
      </c>
      <c r="P1325" s="197">
        <v>3890</v>
      </c>
      <c r="Q1325" s="74">
        <f>SIP[[#This Row],[Amount]]-SIP[[#This Row],[Unit Capital]]</f>
        <v>1110</v>
      </c>
      <c r="R13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11.428571428571431</v>
      </c>
      <c r="S1325" s="46">
        <f t="shared" si="62"/>
        <v>14.224</v>
      </c>
      <c r="T13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5" s="74" cm="1">
        <f t="array" ref="U1325">IF(SIP[[#This Row],[B/S]]="S",ABS(SIP[[#This Row],[Unit]])*(INDEX(SIP[NAV at Cost (Average)],MATCH(CONCATENATE((SIP[[#This Row],[Frequency]]-1),SIP[[#This Row],[Investor ID]]),SIP[Unique Code],0),0)),0)</f>
        <v>0</v>
      </c>
      <c r="V1325" s="74">
        <f>IF(SIP[[#This Row],[BO TRANSFER]]="YES",SIP[[#This Row],[Unit]],)</f>
        <v>0</v>
      </c>
      <c r="W1325" s="74">
        <f>SUMIFS(SIP[[#Headers],[BO UNIT TRANSFER]]:SIP[[#This Row],[BO UNIT TRANSFER]],SIP[[#Headers],[Investor ID]]:SIP[[#This Row],[Investor ID]],SIP[[#This Row],[Investor ID]])</f>
        <v>0</v>
      </c>
    </row>
    <row r="1326" spans="1:23" ht="15" customHeight="1">
      <c r="A1326" s="101">
        <v>2025</v>
      </c>
      <c r="B1326" s="101">
        <v>8</v>
      </c>
      <c r="C1326" s="101">
        <v>6</v>
      </c>
      <c r="D1326" s="65">
        <f>DATE(SIP[[#This Row],[Year]],SIP[[#This Row],[Month]],SIP[[#This Row],[Day]])</f>
        <v>45875</v>
      </c>
      <c r="E1326" s="66" t="str" cm="1">
        <f t="array" ref="E1326">INDEX(INVESTORS_LIST[INVESTOR NAME],MATCH(SIP[[#This Row],[Investor ID]],INVESTORS_LIST[INVESTOR CODE],0),)</f>
        <v>AKIB TANVIR ANJUM</v>
      </c>
      <c r="F1326" s="46" t="s">
        <v>1116</v>
      </c>
      <c r="G1326" s="46">
        <f>COUNTIF(SIP[[#Headers],[Investor ID]]:SIP[[#This Row],[Investor ID]],SIP[[#This Row],[Investor ID]])</f>
        <v>24</v>
      </c>
      <c r="H1326" s="46" t="str">
        <f>CONCATENATE(SIP[[#This Row],[Frequency]],SIP[[#This Row],[Investor ID]])</f>
        <v>24A00533</v>
      </c>
      <c r="I1326" s="46" t="str">
        <f>IF(SIP[[#This Row],[B/S]]="B","BUY",(IF(SIP[[#This Row],[B/S]]="S","SELL"," ")))</f>
        <v>BUY</v>
      </c>
      <c r="J1326" s="150" t="s">
        <v>1229</v>
      </c>
      <c r="K1326" s="153">
        <v>4000</v>
      </c>
      <c r="L1326" s="122"/>
      <c r="M1326" s="123">
        <f>SIP[[#This Row],[Amount]]/SIP[[#This Row],[Unit]]</f>
        <v>12.861736334405144</v>
      </c>
      <c r="N1326" s="71">
        <f>SIP[[#This Row],[Unit Capital]]/10</f>
        <v>311</v>
      </c>
      <c r="O1326" s="71">
        <f>SUMIFS(SIP[[#Headers],[Unit]]:SIP[[#This Row],[Unit]],SIP[[#Headers],[Investor ID]]:SIP[[#This Row],[Investor ID]],SIP[[#This Row],[Investor ID]])</f>
        <v>948</v>
      </c>
      <c r="P1326" s="197">
        <v>3110</v>
      </c>
      <c r="Q1326" s="74">
        <f>SIP[[#This Row],[Amount]]-SIP[[#This Row],[Unit Capital]]</f>
        <v>890</v>
      </c>
      <c r="R13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12.658227848101266</v>
      </c>
      <c r="S1326" s="46">
        <f t="shared" si="62"/>
        <v>14.224</v>
      </c>
      <c r="T13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6" s="74" cm="1">
        <f t="array" ref="U1326">IF(SIP[[#This Row],[B/S]]="S",ABS(SIP[[#This Row],[Unit]])*(INDEX(SIP[NAV at Cost (Average)],MATCH(CONCATENATE((SIP[[#This Row],[Frequency]]-1),SIP[[#This Row],[Investor ID]]),SIP[Unique Code],0),0)),0)</f>
        <v>0</v>
      </c>
      <c r="V1326" s="74">
        <f>IF(SIP[[#This Row],[BO TRANSFER]]="YES",SIP[[#This Row],[Unit]],)</f>
        <v>0</v>
      </c>
      <c r="W1326" s="74">
        <f>SUMIFS(SIP[[#Headers],[BO UNIT TRANSFER]]:SIP[[#This Row],[BO UNIT TRANSFER]],SIP[[#Headers],[Investor ID]]:SIP[[#This Row],[Investor ID]],SIP[[#This Row],[Investor ID]])</f>
        <v>0</v>
      </c>
    </row>
    <row r="1327" spans="1:23" ht="15" customHeight="1">
      <c r="A1327" s="101">
        <v>2025</v>
      </c>
      <c r="B1327" s="101">
        <v>8</v>
      </c>
      <c r="C1327" s="101">
        <v>6</v>
      </c>
      <c r="D1327" s="65">
        <f>DATE(SIP[[#This Row],[Year]],SIP[[#This Row],[Month]],SIP[[#This Row],[Day]])</f>
        <v>45875</v>
      </c>
      <c r="E1327" s="66" t="str" cm="1">
        <f t="array" ref="E1327">INDEX(INVESTORS_LIST[INVESTOR NAME],MATCH(SIP[[#This Row],[Investor ID]],INVESTORS_LIST[INVESTOR CODE],0),)</f>
        <v>NANDINI SAHA</v>
      </c>
      <c r="F1327" s="46" t="s">
        <v>242</v>
      </c>
      <c r="G1327" s="46">
        <f>COUNTIF(SIP[[#Headers],[Investor ID]]:SIP[[#This Row],[Investor ID]],SIP[[#This Row],[Investor ID]])</f>
        <v>28</v>
      </c>
      <c r="H1327" s="46" t="str">
        <f>CONCATENATE(SIP[[#This Row],[Frequency]],SIP[[#This Row],[Investor ID]])</f>
        <v>28A00097</v>
      </c>
      <c r="I1327" s="46" t="str">
        <f>IF(SIP[[#This Row],[B/S]]="B","BUY",(IF(SIP[[#This Row],[B/S]]="S","SELL"," ")))</f>
        <v>BUY</v>
      </c>
      <c r="J1327" s="150" t="s">
        <v>1229</v>
      </c>
      <c r="K1327" s="153">
        <v>5000</v>
      </c>
      <c r="L1327" s="122"/>
      <c r="M1327" s="123">
        <f>SIP[[#This Row],[Amount]]/SIP[[#This Row],[Unit]]</f>
        <v>12.853470437017995</v>
      </c>
      <c r="N1327" s="71">
        <f>SIP[[#This Row],[Unit Capital]]/10</f>
        <v>389</v>
      </c>
      <c r="O1327" s="71">
        <f>SUMIFS(SIP[[#Headers],[Unit]]:SIP[[#This Row],[Unit]],SIP[[#Headers],[Investor ID]]:SIP[[#This Row],[Investor ID]],SIP[[#This Row],[Investor ID]])</f>
        <v>70374</v>
      </c>
      <c r="P1327" s="197">
        <v>3890</v>
      </c>
      <c r="Q1327" s="74">
        <f>SIP[[#This Row],[Amount]]-SIP[[#This Row],[Unit Capital]]</f>
        <v>1110</v>
      </c>
      <c r="R13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11.225736777787249</v>
      </c>
      <c r="S1327" s="46">
        <f t="shared" si="62"/>
        <v>14.224</v>
      </c>
      <c r="T13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7" s="74" cm="1">
        <f t="array" ref="U1327">IF(SIP[[#This Row],[B/S]]="S",ABS(SIP[[#This Row],[Unit]])*(INDEX(SIP[NAV at Cost (Average)],MATCH(CONCATENATE((SIP[[#This Row],[Frequency]]-1),SIP[[#This Row],[Investor ID]]),SIP[Unique Code],0),0)),0)</f>
        <v>0</v>
      </c>
      <c r="V1327" s="74">
        <f>IF(SIP[[#This Row],[BO TRANSFER]]="YES",SIP[[#This Row],[Unit]],)</f>
        <v>0</v>
      </c>
      <c r="W1327" s="74">
        <f>SUMIFS(SIP[[#Headers],[BO UNIT TRANSFER]]:SIP[[#This Row],[BO UNIT TRANSFER]],SIP[[#Headers],[Investor ID]]:SIP[[#This Row],[Investor ID]],SIP[[#This Row],[Investor ID]])</f>
        <v>0</v>
      </c>
    </row>
    <row r="1328" spans="1:23" ht="15" customHeight="1">
      <c r="A1328" s="101">
        <v>2025</v>
      </c>
      <c r="B1328" s="101">
        <v>8</v>
      </c>
      <c r="C1328" s="101">
        <v>6</v>
      </c>
      <c r="D1328" s="65">
        <f>DATE(SIP[[#This Row],[Year]],SIP[[#This Row],[Month]],SIP[[#This Row],[Day]])</f>
        <v>45875</v>
      </c>
      <c r="E1328" s="66" t="str" cm="1">
        <f t="array" ref="E1328">INDEX(INVESTORS_LIST[INVESTOR NAME],MATCH(SIP[[#This Row],[Investor ID]],INVESTORS_LIST[INVESTOR CODE],0),)</f>
        <v>FAKARUDDIN ALI AHMED</v>
      </c>
      <c r="F1328" s="46" t="s">
        <v>228</v>
      </c>
      <c r="G1328" s="46">
        <f>COUNTIF(SIP[[#Headers],[Investor ID]]:SIP[[#This Row],[Investor ID]],SIP[[#This Row],[Investor ID]])</f>
        <v>28</v>
      </c>
      <c r="H1328" s="46" t="str">
        <f>CONCATENATE(SIP[[#This Row],[Frequency]],SIP[[#This Row],[Investor ID]])</f>
        <v>28A00090</v>
      </c>
      <c r="I1328" s="46" t="str">
        <f>IF(SIP[[#This Row],[B/S]]="B","BUY",(IF(SIP[[#This Row],[B/S]]="S","SELL"," ")))</f>
        <v>BUY</v>
      </c>
      <c r="J1328" s="150" t="s">
        <v>1229</v>
      </c>
      <c r="K1328" s="153">
        <v>10000</v>
      </c>
      <c r="L1328" s="122"/>
      <c r="M1328" s="123">
        <f>SIP[[#This Row],[Amount]]/SIP[[#This Row],[Unit]]</f>
        <v>12.853470437017995</v>
      </c>
      <c r="N1328" s="71">
        <f>SIP[[#This Row],[Unit Capital]]/10</f>
        <v>778</v>
      </c>
      <c r="O1328" s="71">
        <f>SUMIFS(SIP[[#Headers],[Unit]]:SIP[[#This Row],[Unit]],SIP[[#Headers],[Investor ID]]:SIP[[#This Row],[Investor ID]],SIP[[#This Row],[Investor ID]])</f>
        <v>778</v>
      </c>
      <c r="P1328" s="197">
        <v>7780</v>
      </c>
      <c r="Q1328" s="74">
        <f>SIP[[#This Row],[Amount]]-SIP[[#This Row],[Unit Capital]]</f>
        <v>2220</v>
      </c>
      <c r="R13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12.853470437017995</v>
      </c>
      <c r="S1328" s="46">
        <f t="shared" si="62"/>
        <v>14.224</v>
      </c>
      <c r="T13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8" s="74" cm="1">
        <f t="array" ref="U1328">IF(SIP[[#This Row],[B/S]]="S",ABS(SIP[[#This Row],[Unit]])*(INDEX(SIP[NAV at Cost (Average)],MATCH(CONCATENATE((SIP[[#This Row],[Frequency]]-1),SIP[[#This Row],[Investor ID]]),SIP[Unique Code],0),0)),0)</f>
        <v>0</v>
      </c>
      <c r="V1328" s="74">
        <f>IF(SIP[[#This Row],[BO TRANSFER]]="YES",SIP[[#This Row],[Unit]],)</f>
        <v>0</v>
      </c>
      <c r="W1328" s="74">
        <f>SUMIFS(SIP[[#Headers],[BO UNIT TRANSFER]]:SIP[[#This Row],[BO UNIT TRANSFER]],SIP[[#Headers],[Investor ID]]:SIP[[#This Row],[Investor ID]],SIP[[#This Row],[Investor ID]])</f>
        <v>0</v>
      </c>
    </row>
    <row r="1329" spans="1:23" ht="15" customHeight="1">
      <c r="A1329" s="101">
        <v>2025</v>
      </c>
      <c r="B1329" s="101">
        <v>8</v>
      </c>
      <c r="C1329" s="101">
        <v>6</v>
      </c>
      <c r="D1329" s="65">
        <f>DATE(SIP[[#This Row],[Year]],SIP[[#This Row],[Month]],SIP[[#This Row],[Day]])</f>
        <v>45875</v>
      </c>
      <c r="E1329" s="66" t="str" cm="1">
        <f t="array" ref="E1329">INDEX(INVESTORS_LIST[INVESTOR NAME],MATCH(SIP[[#This Row],[Investor ID]],INVESTORS_LIST[INVESTOR CODE],0),)</f>
        <v>BIJOY CHANDRA DAS</v>
      </c>
      <c r="F1329" s="46" t="s">
        <v>497</v>
      </c>
      <c r="G1329" s="46">
        <f>COUNTIF(SIP[[#Headers],[Investor ID]]:SIP[[#This Row],[Investor ID]],SIP[[#This Row],[Investor ID]])</f>
        <v>16</v>
      </c>
      <c r="H1329" s="46" t="str">
        <f>CONCATENATE(SIP[[#This Row],[Frequency]],SIP[[#This Row],[Investor ID]])</f>
        <v>16A00224</v>
      </c>
      <c r="I1329" s="46" t="str">
        <f>IF(SIP[[#This Row],[B/S]]="B","BUY",(IF(SIP[[#This Row],[B/S]]="S","SELL"," ")))</f>
        <v>BUY</v>
      </c>
      <c r="J1329" s="150" t="s">
        <v>1229</v>
      </c>
      <c r="K1329" s="153">
        <v>5000</v>
      </c>
      <c r="L1329" s="122"/>
      <c r="M1329" s="123">
        <f>SIP[[#This Row],[Amount]]/SIP[[#This Row],[Unit]]</f>
        <v>12.853470437017995</v>
      </c>
      <c r="N1329" s="71">
        <f>SIP[[#This Row],[Unit Capital]]/10</f>
        <v>389</v>
      </c>
      <c r="O1329" s="71">
        <f>SUMIFS(SIP[[#Headers],[Unit]]:SIP[[#This Row],[Unit]],SIP[[#Headers],[Investor ID]]:SIP[[#This Row],[Investor ID]],SIP[[#This Row],[Investor ID]])</f>
        <v>6785</v>
      </c>
      <c r="P1329" s="197">
        <v>3890</v>
      </c>
      <c r="Q1329" s="74">
        <f>SIP[[#This Row],[Amount]]-SIP[[#This Row],[Unit Capital]]</f>
        <v>1110</v>
      </c>
      <c r="R13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11.790714812085486</v>
      </c>
      <c r="S1329" s="46">
        <f t="shared" si="62"/>
        <v>14.224</v>
      </c>
      <c r="T13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9" s="74" cm="1">
        <f t="array" ref="U1329">IF(SIP[[#This Row],[B/S]]="S",ABS(SIP[[#This Row],[Unit]])*(INDEX(SIP[NAV at Cost (Average)],MATCH(CONCATENATE((SIP[[#This Row],[Frequency]]-1),SIP[[#This Row],[Investor ID]]),SIP[Unique Code],0),0)),0)</f>
        <v>0</v>
      </c>
      <c r="V1329" s="74">
        <f>IF(SIP[[#This Row],[BO TRANSFER]]="YES",SIP[[#This Row],[Unit]],)</f>
        <v>0</v>
      </c>
      <c r="W1329" s="74">
        <f>SUMIFS(SIP[[#Headers],[BO UNIT TRANSFER]]:SIP[[#This Row],[BO UNIT TRANSFER]],SIP[[#Headers],[Investor ID]]:SIP[[#This Row],[Investor ID]],SIP[[#This Row],[Investor ID]])</f>
        <v>0</v>
      </c>
    </row>
    <row r="1330" spans="1:23" ht="15" customHeight="1">
      <c r="A1330" s="101">
        <v>2025</v>
      </c>
      <c r="B1330" s="101">
        <v>8</v>
      </c>
      <c r="C1330" s="101">
        <v>6</v>
      </c>
      <c r="D1330" s="65">
        <f>DATE(SIP[[#This Row],[Year]],SIP[[#This Row],[Month]],SIP[[#This Row],[Day]])</f>
        <v>45875</v>
      </c>
      <c r="E1330" s="66" t="str" cm="1">
        <f t="array" ref="E1330">INDEX(INVESTORS_LIST[INVESTOR NAME],MATCH(SIP[[#This Row],[Investor ID]],INVESTORS_LIST[INVESTOR CODE],0),)</f>
        <v>MONIR AHMED</v>
      </c>
      <c r="F1330" s="46" t="s">
        <v>125</v>
      </c>
      <c r="G1330" s="46">
        <f>COUNTIF(SIP[[#Headers],[Investor ID]]:SIP[[#This Row],[Investor ID]],SIP[[#This Row],[Investor ID]])</f>
        <v>29</v>
      </c>
      <c r="H1330" s="46" t="str">
        <f>CONCATENATE(SIP[[#This Row],[Frequency]],SIP[[#This Row],[Investor ID]])</f>
        <v>29A00039</v>
      </c>
      <c r="I1330" s="46" t="str">
        <f>IF(SIP[[#This Row],[B/S]]="B","BUY",(IF(SIP[[#This Row],[B/S]]="S","SELL"," ")))</f>
        <v>BUY</v>
      </c>
      <c r="J1330" s="150" t="s">
        <v>1229</v>
      </c>
      <c r="K1330" s="153">
        <v>10000</v>
      </c>
      <c r="L1330" s="122"/>
      <c r="M1330" s="123">
        <f>SIP[[#This Row],[Amount]]/SIP[[#This Row],[Unit]]</f>
        <v>12.853470437017995</v>
      </c>
      <c r="N1330" s="71">
        <f>SIP[[#This Row],[Unit Capital]]/10</f>
        <v>778</v>
      </c>
      <c r="O1330" s="71">
        <f>SUMIFS(SIP[[#Headers],[Unit]]:SIP[[#This Row],[Unit]],SIP[[#Headers],[Investor ID]]:SIP[[#This Row],[Investor ID]],SIP[[#This Row],[Investor ID]])</f>
        <v>19223</v>
      </c>
      <c r="P1330" s="197">
        <v>7780</v>
      </c>
      <c r="Q1330" s="74">
        <f>SIP[[#This Row],[Amount]]-SIP[[#This Row],[Unit Capital]]</f>
        <v>2220</v>
      </c>
      <c r="R13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12.487431665358946</v>
      </c>
      <c r="S1330" s="46">
        <f t="shared" si="62"/>
        <v>14.224</v>
      </c>
      <c r="T13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0" s="74" cm="1">
        <f t="array" ref="U1330">IF(SIP[[#This Row],[B/S]]="S",ABS(SIP[[#This Row],[Unit]])*(INDEX(SIP[NAV at Cost (Average)],MATCH(CONCATENATE((SIP[[#This Row],[Frequency]]-1),SIP[[#This Row],[Investor ID]]),SIP[Unique Code],0),0)),0)</f>
        <v>0</v>
      </c>
      <c r="V1330" s="74">
        <f>IF(SIP[[#This Row],[BO TRANSFER]]="YES",SIP[[#This Row],[Unit]],)</f>
        <v>0</v>
      </c>
      <c r="W1330" s="74">
        <f>SUMIFS(SIP[[#Headers],[BO UNIT TRANSFER]]:SIP[[#This Row],[BO UNIT TRANSFER]],SIP[[#Headers],[Investor ID]]:SIP[[#This Row],[Investor ID]],SIP[[#This Row],[Investor ID]])</f>
        <v>0</v>
      </c>
    </row>
    <row r="1331" spans="1:23" ht="15" customHeight="1">
      <c r="A1331" s="101">
        <v>2025</v>
      </c>
      <c r="B1331" s="101">
        <v>8</v>
      </c>
      <c r="C1331" s="101">
        <v>6</v>
      </c>
      <c r="D1331" s="65">
        <f>DATE(SIP[[#This Row],[Year]],SIP[[#This Row],[Month]],SIP[[#This Row],[Day]])</f>
        <v>45875</v>
      </c>
      <c r="E1331" s="66" t="str" cm="1">
        <f t="array" ref="E1331">INDEX(INVESTORS_LIST[INVESTOR NAME],MATCH(SIP[[#This Row],[Investor ID]],INVESTORS_LIST[INVESTOR CODE],0),)</f>
        <v>SHANTA PAUL</v>
      </c>
      <c r="F1331" s="46" t="s">
        <v>544</v>
      </c>
      <c r="G1331" s="46">
        <f>COUNTIF(SIP[[#Headers],[Investor ID]]:SIP[[#This Row],[Investor ID]],SIP[[#This Row],[Investor ID]])</f>
        <v>28</v>
      </c>
      <c r="H1331" s="46" t="str">
        <f>CONCATENATE(SIP[[#This Row],[Frequency]],SIP[[#This Row],[Investor ID]])</f>
        <v>28A00247</v>
      </c>
      <c r="I1331" s="46" t="str">
        <f>IF(SIP[[#This Row],[B/S]]="B","BUY",(IF(SIP[[#This Row],[B/S]]="S","SELL"," ")))</f>
        <v>BUY</v>
      </c>
      <c r="J1331" s="150" t="s">
        <v>1229</v>
      </c>
      <c r="K1331" s="153">
        <v>20000</v>
      </c>
      <c r="L1331" s="122"/>
      <c r="M1331" s="123">
        <f>SIP[[#This Row],[Amount]]/SIP[[#This Row],[Unit]]</f>
        <v>12.853470437017995</v>
      </c>
      <c r="N1331" s="71">
        <f>SIP[[#This Row],[Unit Capital]]/10</f>
        <v>1556</v>
      </c>
      <c r="O1331" s="71">
        <f>SUMIFS(SIP[[#Headers],[Unit]]:SIP[[#This Row],[Unit]],SIP[[#Headers],[Investor ID]]:SIP[[#This Row],[Investor ID]],SIP[[#This Row],[Investor ID]])</f>
        <v>50108</v>
      </c>
      <c r="P1331" s="197">
        <v>15560</v>
      </c>
      <c r="Q1331" s="74">
        <f>SIP[[#This Row],[Amount]]-SIP[[#This Row],[Unit Capital]]</f>
        <v>4440</v>
      </c>
      <c r="R13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11.175860142093081</v>
      </c>
      <c r="S1331" s="46">
        <f t="shared" si="62"/>
        <v>14.224</v>
      </c>
      <c r="T13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1" s="74" cm="1">
        <f t="array" ref="U1331">IF(SIP[[#This Row],[B/S]]="S",ABS(SIP[[#This Row],[Unit]])*(INDEX(SIP[NAV at Cost (Average)],MATCH(CONCATENATE((SIP[[#This Row],[Frequency]]-1),SIP[[#This Row],[Investor ID]]),SIP[Unique Code],0),0)),0)</f>
        <v>0</v>
      </c>
      <c r="V1331" s="74">
        <f>IF(SIP[[#This Row],[BO TRANSFER]]="YES",SIP[[#This Row],[Unit]],)</f>
        <v>0</v>
      </c>
      <c r="W1331" s="74">
        <f>SUMIFS(SIP[[#Headers],[BO UNIT TRANSFER]]:SIP[[#This Row],[BO UNIT TRANSFER]],SIP[[#Headers],[Investor ID]]:SIP[[#This Row],[Investor ID]],SIP[[#This Row],[Investor ID]])</f>
        <v>0</v>
      </c>
    </row>
    <row r="1332" spans="1:23" ht="15" customHeight="1">
      <c r="A1332" s="101">
        <v>2025</v>
      </c>
      <c r="B1332" s="101">
        <v>8</v>
      </c>
      <c r="C1332" s="101">
        <v>6</v>
      </c>
      <c r="D1332" s="65">
        <f>DATE(SIP[[#This Row],[Year]],SIP[[#This Row],[Month]],SIP[[#This Row],[Day]])</f>
        <v>45875</v>
      </c>
      <c r="E1332" s="66" t="str" cm="1">
        <f t="array" ref="E1332">INDEX(INVESTORS_LIST[INVESTOR NAME],MATCH(SIP[[#This Row],[Investor ID]],INVESTORS_LIST[INVESTOR CODE],0),)</f>
        <v>ROKSABA KASEM</v>
      </c>
      <c r="F1332" s="46" t="s">
        <v>900</v>
      </c>
      <c r="G1332" s="46">
        <f>COUNTIF(SIP[[#Headers],[Investor ID]]:SIP[[#This Row],[Investor ID]],SIP[[#This Row],[Investor ID]])</f>
        <v>27</v>
      </c>
      <c r="H1332" s="46" t="str">
        <f>CONCATENATE(SIP[[#This Row],[Frequency]],SIP[[#This Row],[Investor ID]])</f>
        <v>27A00427</v>
      </c>
      <c r="I1332" s="46" t="str">
        <f>IF(SIP[[#This Row],[B/S]]="B","BUY",(IF(SIP[[#This Row],[B/S]]="S","SELL"," ")))</f>
        <v>BUY</v>
      </c>
      <c r="J1332" s="150" t="s">
        <v>1229</v>
      </c>
      <c r="K1332" s="153">
        <v>20000</v>
      </c>
      <c r="L1332" s="122" t="s">
        <v>1230</v>
      </c>
      <c r="M1332" s="123">
        <f>SIP[[#This Row],[Amount]]/SIP[[#This Row],[Unit]]</f>
        <v>12.853470437017995</v>
      </c>
      <c r="N1332" s="71">
        <f>SIP[[#This Row],[Unit Capital]]/10</f>
        <v>1556</v>
      </c>
      <c r="O1332" s="71">
        <f>SUMIFS(SIP[[#Headers],[Unit]]:SIP[[#This Row],[Unit]],SIP[[#Headers],[Investor ID]]:SIP[[#This Row],[Investor ID]],SIP[[#This Row],[Investor ID]])</f>
        <v>47842</v>
      </c>
      <c r="P1332" s="197">
        <v>15560</v>
      </c>
      <c r="Q1332" s="74">
        <f>SIP[[#This Row],[Amount]]-SIP[[#This Row],[Unit Capital]]</f>
        <v>4440</v>
      </c>
      <c r="R13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11.287153547092517</v>
      </c>
      <c r="S1332" s="46">
        <f t="shared" si="62"/>
        <v>14.224</v>
      </c>
      <c r="T13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2" s="74" cm="1">
        <f t="array" ref="U1332">IF(SIP[[#This Row],[B/S]]="S",ABS(SIP[[#This Row],[Unit]])*(INDEX(SIP[NAV at Cost (Average)],MATCH(CONCATENATE((SIP[[#This Row],[Frequency]]-1),SIP[[#This Row],[Investor ID]]),SIP[Unique Code],0),0)),0)</f>
        <v>0</v>
      </c>
      <c r="V1332" s="74">
        <f>IF(SIP[[#This Row],[BO TRANSFER]]="YES",SIP[[#This Row],[Unit]],)</f>
        <v>1556</v>
      </c>
      <c r="W1332" s="74">
        <f>SUMIFS(SIP[[#Headers],[BO UNIT TRANSFER]]:SIP[[#This Row],[BO UNIT TRANSFER]],SIP[[#Headers],[Investor ID]]:SIP[[#This Row],[Investor ID]],SIP[[#This Row],[Investor ID]])</f>
        <v>3145</v>
      </c>
    </row>
    <row r="1333" spans="1:23" ht="15" customHeight="1">
      <c r="A1333" s="101">
        <v>2025</v>
      </c>
      <c r="B1333" s="101">
        <v>8</v>
      </c>
      <c r="C1333" s="101">
        <v>6</v>
      </c>
      <c r="D1333" s="65">
        <f>DATE(SIP[[#This Row],[Year]],SIP[[#This Row],[Month]],SIP[[#This Row],[Day]])</f>
        <v>45875</v>
      </c>
      <c r="E1333" s="66" t="str" cm="1">
        <f t="array" ref="E1333">INDEX(INVESTORS_LIST[INVESTOR NAME],MATCH(SIP[[#This Row],[Investor ID]],INVESTORS_LIST[INVESTOR CODE],0),)</f>
        <v>AHMED BIN MONSUR</v>
      </c>
      <c r="F1333" s="46" t="s">
        <v>692</v>
      </c>
      <c r="G1333" s="46">
        <f>COUNTIF(SIP[[#Headers],[Investor ID]]:SIP[[#This Row],[Investor ID]],SIP[[#This Row],[Investor ID]])</f>
        <v>15</v>
      </c>
      <c r="H1333" s="46" t="str">
        <f>CONCATENATE(SIP[[#This Row],[Frequency]],SIP[[#This Row],[Investor ID]])</f>
        <v>15A00322</v>
      </c>
      <c r="I1333" s="46" t="str">
        <f>IF(SIP[[#This Row],[B/S]]="B","BUY",(IF(SIP[[#This Row],[B/S]]="S","SELL"," ")))</f>
        <v>BUY</v>
      </c>
      <c r="J1333" s="150" t="s">
        <v>1229</v>
      </c>
      <c r="K1333" s="153">
        <v>20000</v>
      </c>
      <c r="L1333" s="122"/>
      <c r="M1333" s="123">
        <f>SIP[[#This Row],[Amount]]/SIP[[#This Row],[Unit]]</f>
        <v>12.853470437017995</v>
      </c>
      <c r="N1333" s="71">
        <f>SIP[[#This Row],[Unit Capital]]/10</f>
        <v>1556</v>
      </c>
      <c r="O1333" s="71">
        <f>SUMIFS(SIP[[#Headers],[Unit]]:SIP[[#This Row],[Unit]],SIP[[#Headers],[Investor ID]]:SIP[[#This Row],[Investor ID]],SIP[[#This Row],[Investor ID]])</f>
        <v>1556</v>
      </c>
      <c r="P1333" s="197">
        <v>15560</v>
      </c>
      <c r="Q1333" s="74">
        <f>SIP[[#This Row],[Amount]]-SIP[[#This Row],[Unit Capital]]</f>
        <v>4440</v>
      </c>
      <c r="R13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12.853470437017995</v>
      </c>
      <c r="S1333" s="46">
        <f t="shared" si="62"/>
        <v>14.224</v>
      </c>
      <c r="T13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3" s="74" cm="1">
        <f t="array" ref="U1333">IF(SIP[[#This Row],[B/S]]="S",ABS(SIP[[#This Row],[Unit]])*(INDEX(SIP[NAV at Cost (Average)],MATCH(CONCATENATE((SIP[[#This Row],[Frequency]]-1),SIP[[#This Row],[Investor ID]]),SIP[Unique Code],0),0)),0)</f>
        <v>0</v>
      </c>
      <c r="V1333" s="74">
        <f>IF(SIP[[#This Row],[BO TRANSFER]]="YES",SIP[[#This Row],[Unit]],)</f>
        <v>0</v>
      </c>
      <c r="W1333" s="74">
        <f>SUMIFS(SIP[[#Headers],[BO UNIT TRANSFER]]:SIP[[#This Row],[BO UNIT TRANSFER]],SIP[[#Headers],[Investor ID]]:SIP[[#This Row],[Investor ID]],SIP[[#This Row],[Investor ID]])</f>
        <v>0</v>
      </c>
    </row>
    <row r="1334" spans="1:23" ht="15" customHeight="1">
      <c r="A1334" s="101">
        <v>2025</v>
      </c>
      <c r="B1334" s="101">
        <v>8</v>
      </c>
      <c r="C1334" s="101">
        <v>6</v>
      </c>
      <c r="D1334" s="65">
        <f>DATE(SIP[[#This Row],[Year]],SIP[[#This Row],[Month]],SIP[[#This Row],[Day]])</f>
        <v>45875</v>
      </c>
      <c r="E1334" s="66" t="str" cm="1">
        <f t="array" ref="E1334">INDEX(INVESTORS_LIST[INVESTOR NAME],MATCH(SIP[[#This Row],[Investor ID]],INVESTORS_LIST[INVESTOR CODE],0),)</f>
        <v>MD. MONIRUL ISLAM</v>
      </c>
      <c r="F1334" s="46" t="s">
        <v>996</v>
      </c>
      <c r="G1334" s="46">
        <f>COUNTIF(SIP[[#Headers],[Investor ID]]:SIP[[#This Row],[Investor ID]],SIP[[#This Row],[Investor ID]])</f>
        <v>27</v>
      </c>
      <c r="H1334" s="46" t="str">
        <f>CONCATENATE(SIP[[#This Row],[Frequency]],SIP[[#This Row],[Investor ID]])</f>
        <v>27A00475</v>
      </c>
      <c r="I1334" s="46" t="str">
        <f>IF(SIP[[#This Row],[B/S]]="B","BUY",(IF(SIP[[#This Row],[B/S]]="S","SELL"," ")))</f>
        <v>BUY</v>
      </c>
      <c r="J1334" s="150" t="s">
        <v>1229</v>
      </c>
      <c r="K1334" s="153">
        <v>10000</v>
      </c>
      <c r="L1334" s="122"/>
      <c r="M1334" s="123">
        <f>SIP[[#This Row],[Amount]]/SIP[[#This Row],[Unit]]</f>
        <v>12.853470437017995</v>
      </c>
      <c r="N1334" s="71">
        <f>SIP[[#This Row],[Unit Capital]]/10</f>
        <v>778</v>
      </c>
      <c r="O1334" s="71">
        <f>SUMIFS(SIP[[#Headers],[Unit]]:SIP[[#This Row],[Unit]],SIP[[#Headers],[Investor ID]]:SIP[[#This Row],[Investor ID]],SIP[[#This Row],[Investor ID]])</f>
        <v>24102</v>
      </c>
      <c r="P1334" s="197">
        <v>7780</v>
      </c>
      <c r="Q1334" s="74">
        <f>SIP[[#This Row],[Amount]]-SIP[[#This Row],[Unit Capital]]</f>
        <v>2220</v>
      </c>
      <c r="R13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11.202389843166539</v>
      </c>
      <c r="S1334" s="46">
        <f t="shared" si="62"/>
        <v>14.224</v>
      </c>
      <c r="T13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4" s="74" cm="1">
        <f t="array" ref="U1334">IF(SIP[[#This Row],[B/S]]="S",ABS(SIP[[#This Row],[Unit]])*(INDEX(SIP[NAV at Cost (Average)],MATCH(CONCATENATE((SIP[[#This Row],[Frequency]]-1),SIP[[#This Row],[Investor ID]]),SIP[Unique Code],0),0)),0)</f>
        <v>0</v>
      </c>
      <c r="V1334" s="74">
        <f>IF(SIP[[#This Row],[BO TRANSFER]]="YES",SIP[[#This Row],[Unit]],)</f>
        <v>0</v>
      </c>
      <c r="W1334" s="74">
        <f>SUMIFS(SIP[[#Headers],[BO UNIT TRANSFER]]:SIP[[#This Row],[BO UNIT TRANSFER]],SIP[[#Headers],[Investor ID]]:SIP[[#This Row],[Investor ID]],SIP[[#This Row],[Investor ID]])</f>
        <v>0</v>
      </c>
    </row>
    <row r="1335" spans="1:23" ht="15" customHeight="1">
      <c r="A1335" s="101">
        <v>2025</v>
      </c>
      <c r="B1335" s="101">
        <v>8</v>
      </c>
      <c r="C1335" s="101">
        <v>6</v>
      </c>
      <c r="D1335" s="65">
        <f>DATE(SIP[[#This Row],[Year]],SIP[[#This Row],[Month]],SIP[[#This Row],[Day]])</f>
        <v>45875</v>
      </c>
      <c r="E1335" s="66" t="str" cm="1">
        <f t="array" ref="E1335">INDEX(INVESTORS_LIST[INVESTOR NAME],MATCH(SIP[[#This Row],[Investor ID]],INVESTORS_LIST[INVESTOR CODE],0),)</f>
        <v>NANI GOPAL DATTA</v>
      </c>
      <c r="F1335" s="46" t="s">
        <v>232</v>
      </c>
      <c r="G1335" s="46">
        <f>COUNTIF(SIP[[#Headers],[Investor ID]]:SIP[[#This Row],[Investor ID]],SIP[[#This Row],[Investor ID]])</f>
        <v>19</v>
      </c>
      <c r="H1335" s="46" t="str">
        <f>CONCATENATE(SIP[[#This Row],[Frequency]],SIP[[#This Row],[Investor ID]])</f>
        <v>19A00092</v>
      </c>
      <c r="I1335" s="46" t="str">
        <f>IF(SIP[[#This Row],[B/S]]="B","BUY",(IF(SIP[[#This Row],[B/S]]="S","SELL"," ")))</f>
        <v>BUY</v>
      </c>
      <c r="J1335" s="150" t="s">
        <v>1229</v>
      </c>
      <c r="K1335" s="153">
        <v>2000</v>
      </c>
      <c r="L1335" s="122"/>
      <c r="M1335" s="123">
        <f>SIP[[#This Row],[Amount]]/SIP[[#This Row],[Unit]]</f>
        <v>12.820512820512821</v>
      </c>
      <c r="N1335" s="71">
        <f>SIP[[#This Row],[Unit Capital]]/10</f>
        <v>156</v>
      </c>
      <c r="O1335" s="71">
        <f>SUMIFS(SIP[[#Headers],[Unit]]:SIP[[#This Row],[Unit]],SIP[[#Headers],[Investor ID]]:SIP[[#This Row],[Investor ID]],SIP[[#This Row],[Investor ID]])</f>
        <v>2950</v>
      </c>
      <c r="P1335" s="197">
        <v>1560</v>
      </c>
      <c r="Q1335" s="74">
        <f>SIP[[#This Row],[Amount]]-SIP[[#This Row],[Unit Capital]]</f>
        <v>440</v>
      </c>
      <c r="R13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11.555061591182739</v>
      </c>
      <c r="S1335" s="46">
        <f t="shared" si="62"/>
        <v>14.224</v>
      </c>
      <c r="T13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5" s="74" cm="1">
        <f t="array" ref="U1335">IF(SIP[[#This Row],[B/S]]="S",ABS(SIP[[#This Row],[Unit]])*(INDEX(SIP[NAV at Cost (Average)],MATCH(CONCATENATE((SIP[[#This Row],[Frequency]]-1),SIP[[#This Row],[Investor ID]]),SIP[Unique Code],0),0)),0)</f>
        <v>0</v>
      </c>
      <c r="V1335" s="74">
        <f>IF(SIP[[#This Row],[BO TRANSFER]]="YES",SIP[[#This Row],[Unit]],)</f>
        <v>0</v>
      </c>
      <c r="W1335" s="74">
        <f>SUMIFS(SIP[[#Headers],[BO UNIT TRANSFER]]:SIP[[#This Row],[BO UNIT TRANSFER]],SIP[[#Headers],[Investor ID]]:SIP[[#This Row],[Investor ID]],SIP[[#This Row],[Investor ID]])</f>
        <v>0</v>
      </c>
    </row>
    <row r="1336" spans="1:23" ht="15" customHeight="1">
      <c r="A1336" s="101">
        <v>2025</v>
      </c>
      <c r="B1336" s="101">
        <v>8</v>
      </c>
      <c r="C1336" s="101">
        <v>7</v>
      </c>
      <c r="D1336" s="65">
        <f>DATE(SIP[[#This Row],[Year]],SIP[[#This Row],[Month]],SIP[[#This Row],[Day]])</f>
        <v>45876</v>
      </c>
      <c r="E1336" s="66" t="str" cm="1">
        <f t="array" ref="E1336">INDEX(INVESTORS_LIST[INVESTOR NAME],MATCH(SIP[[#This Row],[Investor ID]],INVESTORS_LIST[INVESTOR CODE],0),)</f>
        <v>SK FEROZ ALAM</v>
      </c>
      <c r="F1336" s="150" t="s">
        <v>240</v>
      </c>
      <c r="G1336" s="46">
        <f>COUNTIF(SIP[[#Headers],[Investor ID]]:SIP[[#This Row],[Investor ID]],SIP[[#This Row],[Investor ID]])</f>
        <v>17</v>
      </c>
      <c r="H1336" s="46" t="str">
        <f>CONCATENATE(SIP[[#This Row],[Frequency]],SIP[[#This Row],[Investor ID]])</f>
        <v>17A00096</v>
      </c>
      <c r="I1336" s="46" t="str">
        <f>IF(SIP[[#This Row],[B/S]]="B","BUY",(IF(SIP[[#This Row],[B/S]]="S","SELL"," ")))</f>
        <v>BUY</v>
      </c>
      <c r="J1336" s="150" t="s">
        <v>1229</v>
      </c>
      <c r="K1336" s="153">
        <v>1000</v>
      </c>
      <c r="L1336" s="122"/>
      <c r="M1336" s="123">
        <f>SIP[[#This Row],[Amount]]/SIP[[#This Row],[Unit]]</f>
        <v>12.820512820512821</v>
      </c>
      <c r="N1336" s="71">
        <f>SIP[[#This Row],[Unit Capital]]/10</f>
        <v>78</v>
      </c>
      <c r="O1336" s="71">
        <f>SUMIFS(SIP[[#Headers],[Unit]]:SIP[[#This Row],[Unit]],SIP[[#Headers],[Investor ID]]:SIP[[#This Row],[Investor ID]],SIP[[#This Row],[Investor ID]])</f>
        <v>78</v>
      </c>
      <c r="P1336" s="197">
        <v>780</v>
      </c>
      <c r="Q1336" s="74">
        <f>SIP[[#This Row],[Amount]]-SIP[[#This Row],[Unit Capital]]</f>
        <v>220</v>
      </c>
      <c r="R13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12.820512820512821</v>
      </c>
      <c r="S1336" s="46">
        <f t="shared" si="62"/>
        <v>14.224</v>
      </c>
      <c r="T13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6" s="74" cm="1">
        <f t="array" ref="U1336">IF(SIP[[#This Row],[B/S]]="S",ABS(SIP[[#This Row],[Unit]])*(INDEX(SIP[NAV at Cost (Average)],MATCH(CONCATENATE((SIP[[#This Row],[Frequency]]-1),SIP[[#This Row],[Investor ID]]),SIP[Unique Code],0),0)),0)</f>
        <v>0</v>
      </c>
      <c r="V1336" s="74">
        <f>IF(SIP[[#This Row],[BO TRANSFER]]="YES",SIP[[#This Row],[Unit]],)</f>
        <v>0</v>
      </c>
      <c r="W1336" s="74">
        <f>SUMIFS(SIP[[#Headers],[BO UNIT TRANSFER]]:SIP[[#This Row],[BO UNIT TRANSFER]],SIP[[#Headers],[Investor ID]]:SIP[[#This Row],[Investor ID]],SIP[[#This Row],[Investor ID]])</f>
        <v>0</v>
      </c>
    </row>
    <row r="1337" spans="1:23" ht="15" customHeight="1">
      <c r="A1337" s="101">
        <v>2025</v>
      </c>
      <c r="B1337" s="101">
        <v>8</v>
      </c>
      <c r="C1337" s="101">
        <v>10</v>
      </c>
      <c r="D1337" s="65">
        <f>DATE(SIP[[#This Row],[Year]],SIP[[#This Row],[Month]],SIP[[#This Row],[Day]])</f>
        <v>45879</v>
      </c>
      <c r="E1337" s="66" t="str" cm="1">
        <f t="array" ref="E1337">INDEX(INVESTORS_LIST[INVESTOR NAME],MATCH(SIP[[#This Row],[Investor ID]],INVESTORS_LIST[INVESTOR CODE],0),)</f>
        <v>MAHMUD ALI ALAMGIR &amp; MOHAMMED ALI XAHANGIR</v>
      </c>
      <c r="F1337" s="150" t="s">
        <v>1130</v>
      </c>
      <c r="G1337" s="46">
        <f>COUNTIF(SIP[[#Headers],[Investor ID]]:SIP[[#This Row],[Investor ID]],SIP[[#This Row],[Investor ID]])</f>
        <v>25</v>
      </c>
      <c r="H1337" s="46" t="str">
        <f>CONCATENATE(SIP[[#This Row],[Frequency]],SIP[[#This Row],[Investor ID]])</f>
        <v>25A00540</v>
      </c>
      <c r="I1337" s="46" t="str">
        <f>IF(SIP[[#This Row],[B/S]]="B","BUY",(IF(SIP[[#This Row],[B/S]]="S","SELL"," ")))</f>
        <v>SELL</v>
      </c>
      <c r="J1337" s="150" t="s">
        <v>1231</v>
      </c>
      <c r="K1337" s="289">
        <v>-727552.04</v>
      </c>
      <c r="L1337" s="245"/>
      <c r="M1337" s="123">
        <f>SIP[[#This Row],[Amount]]/SIP[[#This Row],[Unit]]</f>
        <v>12.917953161343016</v>
      </c>
      <c r="N1337" s="71">
        <f>SIP[[#This Row],[Unit Capital]]/10</f>
        <v>-56321</v>
      </c>
      <c r="O1337" s="71">
        <f>SUMIFS(SIP[[#Headers],[Unit]]:SIP[[#This Row],[Unit]],SIP[[#Headers],[Investor ID]]:SIP[[#This Row],[Investor ID]],SIP[[#This Row],[Investor ID]])</f>
        <v>3744</v>
      </c>
      <c r="P1337" s="246">
        <v>-563210</v>
      </c>
      <c r="Q1337" s="74">
        <f>SIP[[#This Row],[Amount]]-SIP[[#This Row],[Unit Capital]]</f>
        <v>-164342.04000000004</v>
      </c>
      <c r="R13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11.991119597760022</v>
      </c>
      <c r="S1337" s="46">
        <f>NAV_MKT</f>
        <v>14.224</v>
      </c>
      <c r="T1337" s="74">
        <f>IF(SIP[[#This Row],[B/S]]="B",0,ABS(SIP[[#This Row],[Unit]])*(SIP[[#This Row],[NAV (Strike Rate)]]-INDEX(SIP[NAV at Cost (Average)],MATCH(CONCATENATE(SIP[[#This Row],[Frequency]]-1,SIP[[#This Row],[Investor ID]]),SIP[Unique Code],0),)))</f>
        <v>52200.193134557798</v>
      </c>
      <c r="U1337" s="74" cm="1">
        <f t="array" ref="U1337">IF(SIP[[#This Row],[B/S]]="S",ABS(SIP[[#This Row],[Unit]])*(INDEX(SIP[NAV at Cost (Average)],MATCH(CONCATENATE((SIP[[#This Row],[Frequency]]-1),SIP[[#This Row],[Investor ID]]),SIP[Unique Code],0),0)),0)</f>
        <v>675351.84686544223</v>
      </c>
      <c r="V1337" s="74">
        <f>IF(SIP[[#This Row],[BO TRANSFER]]="YES",SIP[[#This Row],[Unit]],)</f>
        <v>0</v>
      </c>
      <c r="W1337" s="74">
        <f>SUMIFS(SIP[[#Headers],[BO UNIT TRANSFER]]:SIP[[#This Row],[BO UNIT TRANSFER]],SIP[[#Headers],[Investor ID]]:SIP[[#This Row],[Investor ID]],SIP[[#This Row],[Investor ID]])</f>
        <v>0</v>
      </c>
    </row>
    <row r="1338" spans="1:23" ht="15" customHeight="1">
      <c r="A1338" s="101">
        <v>2025</v>
      </c>
      <c r="B1338" s="101">
        <v>8</v>
      </c>
      <c r="C1338" s="101">
        <v>14</v>
      </c>
      <c r="D1338" s="65">
        <f>DATE(SIP[[#This Row],[Year]],SIP[[#This Row],[Month]],SIP[[#This Row],[Day]])</f>
        <v>45883</v>
      </c>
      <c r="E1338" s="66" t="str" cm="1">
        <f t="array" ref="E1338">INDEX(INVESTORS_LIST[INVESTOR NAME],MATCH(SIP[[#This Row],[Investor ID]],INVESTORS_LIST[INVESTOR CODE],0),)</f>
        <v>MD. ARIFUL ISLAM</v>
      </c>
      <c r="F1338" s="166" t="s">
        <v>222</v>
      </c>
      <c r="G1338" s="46">
        <f>COUNTIF(SIP[[#Headers],[Investor ID]]:SIP[[#This Row],[Investor ID]],SIP[[#This Row],[Investor ID]])</f>
        <v>28</v>
      </c>
      <c r="H1338" s="46" t="str">
        <f>CONCATENATE(SIP[[#This Row],[Frequency]],SIP[[#This Row],[Investor ID]])</f>
        <v>28A00087</v>
      </c>
      <c r="I1338" s="46" t="str">
        <f>IF(SIP[[#This Row],[B/S]]="B","BUY",(IF(SIP[[#This Row],[B/S]]="S","SELL"," ")))</f>
        <v>SELL</v>
      </c>
      <c r="J1338" s="150" t="s">
        <v>1231</v>
      </c>
      <c r="K1338" s="153">
        <v>-309812.39399999997</v>
      </c>
      <c r="L1338" s="122"/>
      <c r="M1338" s="123">
        <f>SIP[[#This Row],[Amount]]/SIP[[#This Row],[Unit]]</f>
        <v>12.917999999999999</v>
      </c>
      <c r="N1338" s="71">
        <f>SIP[[#This Row],[Unit Capital]]/10</f>
        <v>-23983</v>
      </c>
      <c r="O1338" s="71">
        <f>SUMIFS(SIP[[#Headers],[Unit]]:SIP[[#This Row],[Unit]],SIP[[#Headers],[Investor ID]]:SIP[[#This Row],[Investor ID]],SIP[[#This Row],[Investor ID]])</f>
        <v>0</v>
      </c>
      <c r="P1338" s="197">
        <v>-239830</v>
      </c>
      <c r="Q1338" s="74">
        <f>SIP[[#This Row],[Amount]]-SIP[[#This Row],[Unit Capital]]</f>
        <v>-69982.393999999971</v>
      </c>
      <c r="R13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38" s="46">
        <f t="shared" ref="S1338:S1346" si="63">NAV_MKT</f>
        <v>14.224</v>
      </c>
      <c r="T1338" s="74">
        <f>IF(SIP[[#This Row],[B/S]]="B",0,ABS(SIP[[#This Row],[Unit]])*(SIP[[#This Row],[NAV (Strike Rate)]]-INDEX(SIP[NAV at Cost (Average)],MATCH(CONCATENATE(SIP[[#This Row],[Frequency]]-1,SIP[[#This Row],[Investor ID]]),SIP[Unique Code],0),)))</f>
        <v>39812.393999999927</v>
      </c>
      <c r="U1338" s="74" cm="1">
        <f t="array" ref="U1338">IF(SIP[[#This Row],[B/S]]="S",ABS(SIP[[#This Row],[Unit]])*(INDEX(SIP[NAV at Cost (Average)],MATCH(CONCATENATE((SIP[[#This Row],[Frequency]]-1),SIP[[#This Row],[Investor ID]]),SIP[Unique Code],0),0)),0)</f>
        <v>270000.00000000006</v>
      </c>
      <c r="V1338" s="74">
        <f>IF(SIP[[#This Row],[BO TRANSFER]]="YES",SIP[[#This Row],[Unit]],)</f>
        <v>0</v>
      </c>
      <c r="W1338" s="74">
        <f>SUMIFS(SIP[[#Headers],[BO UNIT TRANSFER]]:SIP[[#This Row],[BO UNIT TRANSFER]],SIP[[#Headers],[Investor ID]]:SIP[[#This Row],[Investor ID]],SIP[[#This Row],[Investor ID]])</f>
        <v>0</v>
      </c>
    </row>
    <row r="1339" spans="1:23" ht="15" customHeight="1">
      <c r="A1339" s="101">
        <v>2025</v>
      </c>
      <c r="B1339" s="101">
        <v>8</v>
      </c>
      <c r="C1339" s="101">
        <v>14</v>
      </c>
      <c r="D1339" s="65">
        <f>DATE(SIP[[#This Row],[Year]],SIP[[#This Row],[Month]],SIP[[#This Row],[Day]])</f>
        <v>45883</v>
      </c>
      <c r="E1339" s="66" t="str" cm="1">
        <f t="array" ref="E1339">INDEX(INVESTORS_LIST[INVESTOR NAME],MATCH(SIP[[#This Row],[Investor ID]],INVESTORS_LIST[INVESTOR CODE],0),)</f>
        <v>MAHFUZUL ISLAM &amp; HUMAIRA TABASSUM READDHE</v>
      </c>
      <c r="F1339" s="166" t="s">
        <v>1315</v>
      </c>
      <c r="G1339" s="46">
        <f>COUNTIF(SIP[[#Headers],[Investor ID]]:SIP[[#This Row],[Investor ID]],SIP[[#This Row],[Investor ID]])</f>
        <v>5</v>
      </c>
      <c r="H1339" s="46" t="str">
        <f>CONCATENATE(SIP[[#This Row],[Frequency]],SIP[[#This Row],[Investor ID]])</f>
        <v>5A00605</v>
      </c>
      <c r="I1339" s="46" t="str">
        <f>IF(SIP[[#This Row],[B/S]]="B","BUY",(IF(SIP[[#This Row],[B/S]]="S","SELL"," ")))</f>
        <v>SELL</v>
      </c>
      <c r="J1339" s="150" t="s">
        <v>1231</v>
      </c>
      <c r="K1339" s="153">
        <v>-5621.0919999999996</v>
      </c>
      <c r="L1339" s="122"/>
      <c r="M1339" s="123">
        <f>SIP[[#This Row],[Amount]]/SIP[[#This Row],[Unit]]</f>
        <v>12.922050574712642</v>
      </c>
      <c r="N1339" s="71">
        <f>SIP[[#This Row],[Unit Capital]]/10</f>
        <v>-435</v>
      </c>
      <c r="O1339" s="71">
        <f>SUMIFS(SIP[[#Headers],[Unit]]:SIP[[#This Row],[Unit]],SIP[[#Headers],[Investor ID]]:SIP[[#This Row],[Investor ID]],SIP[[#This Row],[Investor ID]])</f>
        <v>5353</v>
      </c>
      <c r="P1339" s="197">
        <v>-4350</v>
      </c>
      <c r="Q1339" s="74">
        <f>SIP[[#This Row],[Amount]]-SIP[[#This Row],[Unit Capital]]</f>
        <v>-1271.0919999999996</v>
      </c>
      <c r="R13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12.536281962681409</v>
      </c>
      <c r="S1339" s="46">
        <f t="shared" si="63"/>
        <v>14.224</v>
      </c>
      <c r="T1339" s="74">
        <f>IF(SIP[[#This Row],[B/S]]="B",0,ABS(SIP[[#This Row],[Unit]])*(SIP[[#This Row],[NAV (Strike Rate)]]-INDEX(SIP[NAV at Cost (Average)],MATCH(CONCATENATE(SIP[[#This Row],[Frequency]]-1,SIP[[#This Row],[Investor ID]]),SIP[Unique Code],0),)))</f>
        <v>167.80934623358652</v>
      </c>
      <c r="U1339" s="74" cm="1">
        <f t="array" ref="U1339">IF(SIP[[#This Row],[B/S]]="S",ABS(SIP[[#This Row],[Unit]])*(INDEX(SIP[NAV at Cost (Average)],MATCH(CONCATENATE((SIP[[#This Row],[Frequency]]-1),SIP[[#This Row],[Investor ID]]),SIP[Unique Code],0),0)),0)</f>
        <v>5453.2826537664132</v>
      </c>
      <c r="V1339" s="74">
        <f>IF(SIP[[#This Row],[BO TRANSFER]]="YES",SIP[[#This Row],[Unit]],)</f>
        <v>0</v>
      </c>
      <c r="W1339" s="74">
        <f>SUMIFS(SIP[[#Headers],[BO UNIT TRANSFER]]:SIP[[#This Row],[BO UNIT TRANSFER]],SIP[[#Headers],[Investor ID]]:SIP[[#This Row],[Investor ID]],SIP[[#This Row],[Investor ID]])</f>
        <v>0</v>
      </c>
    </row>
    <row r="1340" spans="1:23" ht="15" customHeight="1">
      <c r="A1340" s="101">
        <v>2025</v>
      </c>
      <c r="B1340" s="101">
        <v>8</v>
      </c>
      <c r="C1340" s="101">
        <v>15</v>
      </c>
      <c r="D1340" s="65">
        <f>DATE(SIP[[#This Row],[Year]],SIP[[#This Row],[Month]],SIP[[#This Row],[Day]])</f>
        <v>45884</v>
      </c>
      <c r="E1340" s="66" t="str" cm="1">
        <f t="array" ref="E1340">INDEX(INVESTORS_LIST[INVESTOR NAME],MATCH(SIP[[#This Row],[Investor ID]],INVESTORS_LIST[INVESTOR CODE],0),)</f>
        <v>SANJIB KUMAR ROY</v>
      </c>
      <c r="F1340" s="46" t="s">
        <v>1020</v>
      </c>
      <c r="G1340" s="46">
        <f>COUNTIF(SIP[[#Headers],[Investor ID]]:SIP[[#This Row],[Investor ID]],SIP[[#This Row],[Investor ID]])</f>
        <v>27</v>
      </c>
      <c r="H1340" s="46" t="str">
        <f>CONCATENATE(SIP[[#This Row],[Frequency]],SIP[[#This Row],[Investor ID]])</f>
        <v>27A00487</v>
      </c>
      <c r="I1340" s="46" t="str">
        <f>IF(SIP[[#This Row],[B/S]]="B","BUY",(IF(SIP[[#This Row],[B/S]]="S","SELL"," ")))</f>
        <v>BUY</v>
      </c>
      <c r="J1340" s="150" t="s">
        <v>1229</v>
      </c>
      <c r="K1340" s="153">
        <v>5000</v>
      </c>
      <c r="L1340" s="122"/>
      <c r="M1340" s="123">
        <f>SIP[[#This Row],[Amount]]/SIP[[#This Row],[Unit]]</f>
        <v>13.089005235602095</v>
      </c>
      <c r="N1340" s="71">
        <f>SIP[[#This Row],[Unit Capital]]/10</f>
        <v>382</v>
      </c>
      <c r="O1340" s="71">
        <f>SUMIFS(SIP[[#Headers],[Unit]]:SIP[[#This Row],[Unit]],SIP[[#Headers],[Investor ID]]:SIP[[#This Row],[Investor ID]],SIP[[#This Row],[Investor ID]])</f>
        <v>11917</v>
      </c>
      <c r="P1340" s="197">
        <v>3820</v>
      </c>
      <c r="Q1340" s="74">
        <f>SIP[[#This Row],[Amount]]-SIP[[#This Row],[Unit Capital]]</f>
        <v>1180</v>
      </c>
      <c r="R13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11.328354451623728</v>
      </c>
      <c r="S1340" s="46">
        <f t="shared" si="63"/>
        <v>14.224</v>
      </c>
      <c r="T13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0" s="74" cm="1">
        <f t="array" ref="U1340">IF(SIP[[#This Row],[B/S]]="S",ABS(SIP[[#This Row],[Unit]])*(INDEX(SIP[NAV at Cost (Average)],MATCH(CONCATENATE((SIP[[#This Row],[Frequency]]-1),SIP[[#This Row],[Investor ID]]),SIP[Unique Code],0),0)),0)</f>
        <v>0</v>
      </c>
      <c r="V1340" s="74">
        <f>IF(SIP[[#This Row],[BO TRANSFER]]="YES",SIP[[#This Row],[Unit]],)</f>
        <v>0</v>
      </c>
      <c r="W1340" s="74">
        <f>SUMIFS(SIP[[#Headers],[BO UNIT TRANSFER]]:SIP[[#This Row],[BO UNIT TRANSFER]],SIP[[#Headers],[Investor ID]]:SIP[[#This Row],[Investor ID]],SIP[[#This Row],[Investor ID]])</f>
        <v>0</v>
      </c>
    </row>
    <row r="1341" spans="1:23" ht="15" customHeight="1">
      <c r="A1341" s="101">
        <v>2025</v>
      </c>
      <c r="B1341" s="101">
        <v>8</v>
      </c>
      <c r="C1341" s="101">
        <v>17</v>
      </c>
      <c r="D1341" s="65">
        <f>DATE(SIP[[#This Row],[Year]],SIP[[#This Row],[Month]],SIP[[#This Row],[Day]])</f>
        <v>45886</v>
      </c>
      <c r="E1341" s="66" t="str" cm="1">
        <f t="array" ref="E1341">INDEX(INVESTORS_LIST[INVESTOR NAME],MATCH(SIP[[#This Row],[Investor ID]],INVESTORS_LIST[INVESTOR CODE],0),)</f>
        <v>MD. RAFIQUR RAHMAN</v>
      </c>
      <c r="F1341" s="46" t="s">
        <v>622</v>
      </c>
      <c r="G1341" s="46">
        <f>COUNTIF(SIP[[#Headers],[Investor ID]]:SIP[[#This Row],[Investor ID]],SIP[[#This Row],[Investor ID]])</f>
        <v>24</v>
      </c>
      <c r="H1341" s="46" t="str">
        <f>CONCATENATE(SIP[[#This Row],[Frequency]],SIP[[#This Row],[Investor ID]])</f>
        <v>24A00287</v>
      </c>
      <c r="I1341" s="46" t="str">
        <f>IF(SIP[[#This Row],[B/S]]="B","BUY",(IF(SIP[[#This Row],[B/S]]="S","SELL"," ")))</f>
        <v>BUY</v>
      </c>
      <c r="J1341" s="150" t="s">
        <v>1229</v>
      </c>
      <c r="K1341" s="153">
        <v>20000</v>
      </c>
      <c r="L1341" s="122"/>
      <c r="M1341" s="123">
        <f>SIP[[#This Row],[Amount]]/SIP[[#This Row],[Unit]]</f>
        <v>13.089005235602095</v>
      </c>
      <c r="N1341" s="71">
        <f>SIP[[#This Row],[Unit Capital]]/10</f>
        <v>1528</v>
      </c>
      <c r="O1341" s="71">
        <f>SUMIFS(SIP[[#Headers],[Unit]]:SIP[[#This Row],[Unit]],SIP[[#Headers],[Investor ID]]:SIP[[#This Row],[Investor ID]],SIP[[#This Row],[Investor ID]])</f>
        <v>41841</v>
      </c>
      <c r="P1341" s="197">
        <v>15280</v>
      </c>
      <c r="Q1341" s="74">
        <f>SIP[[#This Row],[Amount]]-SIP[[#This Row],[Unit Capital]]</f>
        <v>4720</v>
      </c>
      <c r="R13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11.472001147200114</v>
      </c>
      <c r="S1341" s="46">
        <f t="shared" si="63"/>
        <v>14.224</v>
      </c>
      <c r="T13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1" s="74" cm="1">
        <f t="array" ref="U1341">IF(SIP[[#This Row],[B/S]]="S",ABS(SIP[[#This Row],[Unit]])*(INDEX(SIP[NAV at Cost (Average)],MATCH(CONCATENATE((SIP[[#This Row],[Frequency]]-1),SIP[[#This Row],[Investor ID]]),SIP[Unique Code],0),0)),0)</f>
        <v>0</v>
      </c>
      <c r="V1341" s="74">
        <f>IF(SIP[[#This Row],[BO TRANSFER]]="YES",SIP[[#This Row],[Unit]],)</f>
        <v>0</v>
      </c>
      <c r="W1341" s="74">
        <f>SUMIFS(SIP[[#Headers],[BO UNIT TRANSFER]]:SIP[[#This Row],[BO UNIT TRANSFER]],SIP[[#Headers],[Investor ID]]:SIP[[#This Row],[Investor ID]],SIP[[#This Row],[Investor ID]])</f>
        <v>0</v>
      </c>
    </row>
    <row r="1342" spans="1:23" ht="15" customHeight="1">
      <c r="A1342" s="101">
        <v>2025</v>
      </c>
      <c r="B1342" s="101">
        <v>8</v>
      </c>
      <c r="C1342" s="101">
        <v>17</v>
      </c>
      <c r="D1342" s="65">
        <f>DATE(SIP[[#This Row],[Year]],SIP[[#This Row],[Month]],SIP[[#This Row],[Day]])</f>
        <v>45886</v>
      </c>
      <c r="E1342" s="66" t="str" cm="1">
        <f t="array" ref="E1342">INDEX(INVESTORS_LIST[INVESTOR NAME],MATCH(SIP[[#This Row],[Investor ID]],INVESTORS_LIST[INVESTOR CODE],0),)</f>
        <v>MAHMUD ALI ALAMGIR &amp; MOHAMMED ALI XAHANGIR</v>
      </c>
      <c r="F1342" s="46" t="s">
        <v>1130</v>
      </c>
      <c r="G1342" s="46">
        <f>COUNTIF(SIP[[#Headers],[Investor ID]]:SIP[[#This Row],[Investor ID]],SIP[[#This Row],[Investor ID]])</f>
        <v>26</v>
      </c>
      <c r="H1342" s="46" t="str">
        <f>CONCATENATE(SIP[[#This Row],[Frequency]],SIP[[#This Row],[Investor ID]])</f>
        <v>26A00540</v>
      </c>
      <c r="I1342" s="46" t="str">
        <f>IF(SIP[[#This Row],[B/S]]="B","BUY",(IF(SIP[[#This Row],[B/S]]="S","SELL"," ")))</f>
        <v>BUY</v>
      </c>
      <c r="J1342" s="150" t="s">
        <v>1229</v>
      </c>
      <c r="K1342" s="153">
        <v>40000</v>
      </c>
      <c r="L1342" s="122"/>
      <c r="M1342" s="123">
        <f>SIP[[#This Row],[Amount]]/SIP[[#This Row],[Unit]]</f>
        <v>13.089005235602095</v>
      </c>
      <c r="N1342" s="71">
        <f>SIP[[#This Row],[Unit Capital]]/10</f>
        <v>3056</v>
      </c>
      <c r="O1342" s="71">
        <f>SUMIFS(SIP[[#Headers],[Unit]]:SIP[[#This Row],[Unit]],SIP[[#Headers],[Investor ID]]:SIP[[#This Row],[Investor ID]],SIP[[#This Row],[Investor ID]])</f>
        <v>6800</v>
      </c>
      <c r="P1342" s="197">
        <v>30560</v>
      </c>
      <c r="Q1342" s="74">
        <f>SIP[[#This Row],[Amount]]-SIP[[#This Row],[Unit Capital]]</f>
        <v>9440</v>
      </c>
      <c r="R13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12.484522319707871</v>
      </c>
      <c r="S1342" s="46">
        <f t="shared" si="63"/>
        <v>14.224</v>
      </c>
      <c r="T13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2" s="74" cm="1">
        <f t="array" ref="U1342">IF(SIP[[#This Row],[B/S]]="S",ABS(SIP[[#This Row],[Unit]])*(INDEX(SIP[NAV at Cost (Average)],MATCH(CONCATENATE((SIP[[#This Row],[Frequency]]-1),SIP[[#This Row],[Investor ID]]),SIP[Unique Code],0),0)),0)</f>
        <v>0</v>
      </c>
      <c r="V1342" s="74">
        <f>IF(SIP[[#This Row],[BO TRANSFER]]="YES",SIP[[#This Row],[Unit]],)</f>
        <v>0</v>
      </c>
      <c r="W1342" s="74">
        <f>SUMIFS(SIP[[#Headers],[BO UNIT TRANSFER]]:SIP[[#This Row],[BO UNIT TRANSFER]],SIP[[#Headers],[Investor ID]]:SIP[[#This Row],[Investor ID]],SIP[[#This Row],[Investor ID]])</f>
        <v>0</v>
      </c>
    </row>
    <row r="1343" spans="1:23" ht="15" customHeight="1">
      <c r="A1343" s="101">
        <v>2025</v>
      </c>
      <c r="B1343" s="101">
        <v>8</v>
      </c>
      <c r="C1343" s="101">
        <v>17</v>
      </c>
      <c r="D1343" s="65">
        <f>DATE(SIP[[#This Row],[Year]],SIP[[#This Row],[Month]],SIP[[#This Row],[Day]])</f>
        <v>45886</v>
      </c>
      <c r="E1343" s="66" t="str" cm="1">
        <f t="array" ref="E1343">INDEX(INVESTORS_LIST[INVESTOR NAME],MATCH(SIP[[#This Row],[Investor ID]],INVESTORS_LIST[INVESTOR CODE],0),)</f>
        <v>MAHFUZA ANIKA</v>
      </c>
      <c r="F1343" s="46" t="s">
        <v>1277</v>
      </c>
      <c r="G1343" s="46">
        <f>COUNTIF(SIP[[#Headers],[Investor ID]]:SIP[[#This Row],[Investor ID]],SIP[[#This Row],[Investor ID]])</f>
        <v>15</v>
      </c>
      <c r="H1343" s="46" t="str">
        <f>CONCATENATE(SIP[[#This Row],[Frequency]],SIP[[#This Row],[Investor ID]])</f>
        <v>15A00585</v>
      </c>
      <c r="I1343" s="46" t="str">
        <f>IF(SIP[[#This Row],[B/S]]="B","BUY",(IF(SIP[[#This Row],[B/S]]="S","SELL"," ")))</f>
        <v>BUY</v>
      </c>
      <c r="J1343" s="150" t="s">
        <v>1229</v>
      </c>
      <c r="K1343" s="153">
        <v>2000</v>
      </c>
      <c r="L1343" s="122"/>
      <c r="M1343" s="123">
        <f>SIP[[#This Row],[Amount]]/SIP[[#This Row],[Unit]]</f>
        <v>13.071895424836601</v>
      </c>
      <c r="N1343" s="71">
        <f>SIP[[#This Row],[Unit Capital]]/10</f>
        <v>153</v>
      </c>
      <c r="O1343" s="71">
        <f>SUMIFS(SIP[[#Headers],[Unit]]:SIP[[#This Row],[Unit]],SIP[[#Headers],[Investor ID]]:SIP[[#This Row],[Investor ID]],SIP[[#This Row],[Investor ID]])</f>
        <v>471</v>
      </c>
      <c r="P1343" s="197">
        <v>1530</v>
      </c>
      <c r="Q1343" s="74">
        <f>SIP[[#This Row],[Amount]]-SIP[[#This Row],[Unit Capital]]</f>
        <v>470</v>
      </c>
      <c r="R13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12.537640675520031</v>
      </c>
      <c r="S1343" s="46">
        <f t="shared" si="63"/>
        <v>14.224</v>
      </c>
      <c r="T13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3" s="74" cm="1">
        <f t="array" ref="U1343">IF(SIP[[#This Row],[B/S]]="S",ABS(SIP[[#This Row],[Unit]])*(INDEX(SIP[NAV at Cost (Average)],MATCH(CONCATENATE((SIP[[#This Row],[Frequency]]-1),SIP[[#This Row],[Investor ID]]),SIP[Unique Code],0),0)),0)</f>
        <v>0</v>
      </c>
      <c r="V1343" s="74">
        <f>IF(SIP[[#This Row],[BO TRANSFER]]="YES",SIP[[#This Row],[Unit]],)</f>
        <v>0</v>
      </c>
      <c r="W1343" s="74">
        <f>SUMIFS(SIP[[#Headers],[BO UNIT TRANSFER]]:SIP[[#This Row],[BO UNIT TRANSFER]],SIP[[#Headers],[Investor ID]]:SIP[[#This Row],[Investor ID]],SIP[[#This Row],[Investor ID]])</f>
        <v>0</v>
      </c>
    </row>
    <row r="1344" spans="1:23" ht="15" customHeight="1">
      <c r="A1344" s="101">
        <v>2025</v>
      </c>
      <c r="B1344" s="101">
        <v>8</v>
      </c>
      <c r="C1344" s="101">
        <v>17</v>
      </c>
      <c r="D1344" s="65">
        <f>DATE(SIP[[#This Row],[Year]],SIP[[#This Row],[Month]],SIP[[#This Row],[Day]])</f>
        <v>45886</v>
      </c>
      <c r="E1344" s="66" t="str" cm="1">
        <f t="array" ref="E1344">INDEX(INVESTORS_LIST[INVESTOR NAME],MATCH(SIP[[#This Row],[Investor ID]],INVESTORS_LIST[INVESTOR CODE],0),)</f>
        <v>ASRAAR HOSSAIN</v>
      </c>
      <c r="F1344" s="46" t="s">
        <v>786</v>
      </c>
      <c r="G1344" s="46">
        <f>COUNTIF(SIP[[#Headers],[Investor ID]]:SIP[[#This Row],[Investor ID]],SIP[[#This Row],[Investor ID]])</f>
        <v>11</v>
      </c>
      <c r="H1344" s="46" t="str">
        <f>CONCATENATE(SIP[[#This Row],[Frequency]],SIP[[#This Row],[Investor ID]])</f>
        <v>11A00369</v>
      </c>
      <c r="I1344" s="46" t="str">
        <f>IF(SIP[[#This Row],[B/S]]="B","BUY",(IF(SIP[[#This Row],[B/S]]="S","SELL"," ")))</f>
        <v>BUY</v>
      </c>
      <c r="J1344" s="150" t="s">
        <v>1229</v>
      </c>
      <c r="K1344" s="153">
        <v>15000</v>
      </c>
      <c r="L1344" s="122" t="s">
        <v>1230</v>
      </c>
      <c r="M1344" s="123">
        <f>SIP[[#This Row],[Amount]]/SIP[[#This Row],[Unit]]</f>
        <v>13.089005235602095</v>
      </c>
      <c r="N1344" s="71">
        <f>SIP[[#This Row],[Unit Capital]]/10</f>
        <v>1146</v>
      </c>
      <c r="O1344" s="71">
        <f>SUMIFS(SIP[[#Headers],[Unit]]:SIP[[#This Row],[Unit]],SIP[[#Headers],[Investor ID]]:SIP[[#This Row],[Investor ID]],SIP[[#This Row],[Investor ID]])</f>
        <v>13475</v>
      </c>
      <c r="P1344" s="197">
        <v>11460</v>
      </c>
      <c r="Q1344" s="74">
        <f>SIP[[#This Row],[Amount]]-SIP[[#This Row],[Unit Capital]]</f>
        <v>3540</v>
      </c>
      <c r="R13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12.244897959183675</v>
      </c>
      <c r="S1344" s="46">
        <f t="shared" si="63"/>
        <v>14.224</v>
      </c>
      <c r="T13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4" s="74" cm="1">
        <f t="array" ref="U1344">IF(SIP[[#This Row],[B/S]]="S",ABS(SIP[[#This Row],[Unit]])*(INDEX(SIP[NAV at Cost (Average)],MATCH(CONCATENATE((SIP[[#This Row],[Frequency]]-1),SIP[[#This Row],[Investor ID]]),SIP[Unique Code],0),0)),0)</f>
        <v>0</v>
      </c>
      <c r="V1344" s="74">
        <f>IF(SIP[[#This Row],[BO TRANSFER]]="YES",SIP[[#This Row],[Unit]],)</f>
        <v>1146</v>
      </c>
      <c r="W1344" s="74">
        <f>SUMIFS(SIP[[#Headers],[BO UNIT TRANSFER]]:SIP[[#This Row],[BO UNIT TRANSFER]],SIP[[#Headers],[Investor ID]]:SIP[[#This Row],[Investor ID]],SIP[[#This Row],[Investor ID]])</f>
        <v>2335</v>
      </c>
    </row>
    <row r="1345" spans="1:23" ht="15" customHeight="1">
      <c r="A1345" s="101">
        <v>2025</v>
      </c>
      <c r="B1345" s="101">
        <v>8</v>
      </c>
      <c r="C1345" s="101">
        <v>17</v>
      </c>
      <c r="D1345" s="65">
        <f>DATE(SIP[[#This Row],[Year]],SIP[[#This Row],[Month]],SIP[[#This Row],[Day]])</f>
        <v>45886</v>
      </c>
      <c r="E1345" s="66" t="str" cm="1">
        <f t="array" ref="E1345">INDEX(INVESTORS_LIST[INVESTOR NAME],MATCH(SIP[[#This Row],[Investor ID]],INVESTORS_LIST[INVESTOR CODE],0),)</f>
        <v>MAHMUD ALI ALAMGIR &amp; MOHAMMED ALI XAHANGIR</v>
      </c>
      <c r="F1345" s="46" t="s">
        <v>1130</v>
      </c>
      <c r="G1345" s="46">
        <f>COUNTIF(SIP[[#Headers],[Investor ID]]:SIP[[#This Row],[Investor ID]],SIP[[#This Row],[Investor ID]])</f>
        <v>27</v>
      </c>
      <c r="H1345" s="46" t="str">
        <f>CONCATENATE(SIP[[#This Row],[Frequency]],SIP[[#This Row],[Investor ID]])</f>
        <v>27A00540</v>
      </c>
      <c r="I1345" s="46" t="str">
        <f>IF(SIP[[#This Row],[B/S]]="B","BUY",(IF(SIP[[#This Row],[B/S]]="S","SELL"," ")))</f>
        <v>BUY</v>
      </c>
      <c r="J1345" s="150" t="s">
        <v>1229</v>
      </c>
      <c r="K1345" s="153">
        <v>20000</v>
      </c>
      <c r="L1345" s="122"/>
      <c r="M1345" s="123">
        <f>SIP[[#This Row],[Amount]]/SIP[[#This Row],[Unit]]</f>
        <v>13.089005235602095</v>
      </c>
      <c r="N1345" s="71">
        <f>SIP[[#This Row],[Unit Capital]]/10</f>
        <v>1528</v>
      </c>
      <c r="O1345" s="71">
        <f>SUMIFS(SIP[[#Headers],[Unit]]:SIP[[#This Row],[Unit]],SIP[[#Headers],[Investor ID]]:SIP[[#This Row],[Investor ID]],SIP[[#This Row],[Investor ID]])</f>
        <v>8328</v>
      </c>
      <c r="P1345" s="197">
        <v>15280</v>
      </c>
      <c r="Q1345" s="74">
        <f>SIP[[#This Row],[Amount]]-SIP[[#This Row],[Unit Capital]]</f>
        <v>4720</v>
      </c>
      <c r="R13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12.595431288906525</v>
      </c>
      <c r="S1345" s="46">
        <f t="shared" si="63"/>
        <v>14.224</v>
      </c>
      <c r="T13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5" s="74" cm="1">
        <f t="array" ref="U1345">IF(SIP[[#This Row],[B/S]]="S",ABS(SIP[[#This Row],[Unit]])*(INDEX(SIP[NAV at Cost (Average)],MATCH(CONCATENATE((SIP[[#This Row],[Frequency]]-1),SIP[[#This Row],[Investor ID]]),SIP[Unique Code],0),0)),0)</f>
        <v>0</v>
      </c>
      <c r="V1345" s="74">
        <f>IF(SIP[[#This Row],[BO TRANSFER]]="YES",SIP[[#This Row],[Unit]],)</f>
        <v>0</v>
      </c>
      <c r="W1345" s="74">
        <f>SUMIFS(SIP[[#Headers],[BO UNIT TRANSFER]]:SIP[[#This Row],[BO UNIT TRANSFER]],SIP[[#Headers],[Investor ID]]:SIP[[#This Row],[Investor ID]],SIP[[#This Row],[Investor ID]])</f>
        <v>0</v>
      </c>
    </row>
    <row r="1346" spans="1:23" ht="15" customHeight="1">
      <c r="A1346" s="101">
        <v>2025</v>
      </c>
      <c r="B1346" s="101">
        <v>8</v>
      </c>
      <c r="C1346" s="101">
        <v>17</v>
      </c>
      <c r="D1346" s="65">
        <f>DATE(SIP[[#This Row],[Year]],SIP[[#This Row],[Month]],SIP[[#This Row],[Day]])</f>
        <v>45886</v>
      </c>
      <c r="E1346" s="66" t="str" cm="1">
        <f t="array" ref="E1346">INDEX(INVESTORS_LIST[INVESTOR NAME],MATCH(SIP[[#This Row],[Investor ID]],INVESTORS_LIST[INVESTOR CODE],0),)</f>
        <v>RUKAIYA FAHMIDA</v>
      </c>
      <c r="F1346" s="46" t="s">
        <v>1190</v>
      </c>
      <c r="G1346" s="46">
        <f>COUNTIF(SIP[[#Headers],[Investor ID]]:SIP[[#This Row],[Investor ID]],SIP[[#This Row],[Investor ID]])</f>
        <v>6</v>
      </c>
      <c r="H1346" s="46" t="str">
        <f>CONCATENATE(SIP[[#This Row],[Frequency]],SIP[[#This Row],[Investor ID]])</f>
        <v>6A00571</v>
      </c>
      <c r="I1346" s="46" t="str">
        <f>IF(SIP[[#This Row],[B/S]]="B","BUY",(IF(SIP[[#This Row],[B/S]]="S","SELL"," ")))</f>
        <v>BUY</v>
      </c>
      <c r="J1346" s="150" t="s">
        <v>1229</v>
      </c>
      <c r="K1346" s="153">
        <v>2000</v>
      </c>
      <c r="L1346" s="122"/>
      <c r="M1346" s="123">
        <f>SIP[[#This Row],[Amount]]/SIP[[#This Row],[Unit]]</f>
        <v>13.071895424836601</v>
      </c>
      <c r="N1346" s="71">
        <f>SIP[[#This Row],[Unit Capital]]/10</f>
        <v>153</v>
      </c>
      <c r="O1346" s="71">
        <f>SUMIFS(SIP[[#Headers],[Unit]]:SIP[[#This Row],[Unit]],SIP[[#Headers],[Investor ID]]:SIP[[#This Row],[Investor ID]],SIP[[#This Row],[Investor ID]])</f>
        <v>951</v>
      </c>
      <c r="P1346" s="197">
        <v>1530</v>
      </c>
      <c r="Q1346" s="74">
        <f>SIP[[#This Row],[Amount]]-SIP[[#This Row],[Unit Capital]]</f>
        <v>470</v>
      </c>
      <c r="R13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12.618296529968452</v>
      </c>
      <c r="S1346" s="46">
        <f t="shared" si="63"/>
        <v>14.224</v>
      </c>
      <c r="T13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6" s="74" cm="1">
        <f t="array" ref="U1346">IF(SIP[[#This Row],[B/S]]="S",ABS(SIP[[#This Row],[Unit]])*(INDEX(SIP[NAV at Cost (Average)],MATCH(CONCATENATE((SIP[[#This Row],[Frequency]]-1),SIP[[#This Row],[Investor ID]]),SIP[Unique Code],0),0)),0)</f>
        <v>0</v>
      </c>
      <c r="V1346" s="74">
        <f>IF(SIP[[#This Row],[BO TRANSFER]]="YES",SIP[[#This Row],[Unit]],)</f>
        <v>0</v>
      </c>
      <c r="W1346" s="74">
        <f>SUMIFS(SIP[[#Headers],[BO UNIT TRANSFER]]:SIP[[#This Row],[BO UNIT TRANSFER]],SIP[[#Headers],[Investor ID]]:SIP[[#This Row],[Investor ID]],SIP[[#This Row],[Investor ID]])</f>
        <v>0</v>
      </c>
    </row>
    <row r="1347" spans="1:23" ht="15" customHeight="1">
      <c r="A1347" s="101">
        <v>2025</v>
      </c>
      <c r="B1347" s="101">
        <v>8</v>
      </c>
      <c r="C1347" s="101">
        <v>24</v>
      </c>
      <c r="D1347" s="65">
        <f>DATE(SIP[[#This Row],[Year]],SIP[[#This Row],[Month]],SIP[[#This Row],[Day]])</f>
        <v>45893</v>
      </c>
      <c r="E1347" s="66" t="str" cm="1">
        <f t="array" ref="E1347">INDEX(INVESTORS_LIST[INVESTOR NAME],MATCH(SIP[[#This Row],[Investor ID]],INVESTORS_LIST[INVESTOR CODE],0),)</f>
        <v>SHUVA SAHA</v>
      </c>
      <c r="F1347" s="46" t="s">
        <v>154</v>
      </c>
      <c r="G1347" s="46">
        <f>COUNTIF(SIP[[#Headers],[Investor ID]]:SIP[[#This Row],[Investor ID]],SIP[[#This Row],[Investor ID]])</f>
        <v>25</v>
      </c>
      <c r="H1347" s="46" t="str">
        <f>CONCATENATE(SIP[[#This Row],[Frequency]],SIP[[#This Row],[Investor ID]])</f>
        <v>25A00053</v>
      </c>
      <c r="I1347" s="46" t="str">
        <f>IF(SIP[[#This Row],[B/S]]="B","BUY",(IF(SIP[[#This Row],[B/S]]="S","SELL"," ")))</f>
        <v>SELL</v>
      </c>
      <c r="J1347" s="150" t="s">
        <v>1231</v>
      </c>
      <c r="K1347" s="153">
        <v>-20000</v>
      </c>
      <c r="L1347" s="122"/>
      <c r="M1347" s="123">
        <f>SIP[[#This Row],[Amount]]/SIP[[#This Row],[Unit]]</f>
        <v>13.166556945358789</v>
      </c>
      <c r="N1347" s="71">
        <f>SIP[[#This Row],[Unit Capital]]/10</f>
        <v>-1519</v>
      </c>
      <c r="O1347" s="71">
        <f>SUMIFS(SIP[[#Headers],[Unit]]:SIP[[#This Row],[Unit]],SIP[[#Headers],[Investor ID]]:SIP[[#This Row],[Investor ID]],SIP[[#This Row],[Investor ID]])</f>
        <v>62591</v>
      </c>
      <c r="P1347" s="197">
        <v>-15190</v>
      </c>
      <c r="Q1347" s="74">
        <f>SIP[[#This Row],[Amount]]-SIP[[#This Row],[Unit Capital]]</f>
        <v>-4810</v>
      </c>
      <c r="R13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11.27560393869175</v>
      </c>
      <c r="S1347" s="46">
        <f t="shared" ref="S1347:S1381" si="64">NAV_MKT</f>
        <v>14.224</v>
      </c>
      <c r="T1347" s="74">
        <f>IF(SIP[[#This Row],[B/S]]="B",0,ABS(SIP[[#This Row],[Unit]])*(SIP[[#This Row],[NAV (Strike Rate)]]-INDEX(SIP[NAV at Cost (Average)],MATCH(CONCATENATE(SIP[[#This Row],[Frequency]]-1,SIP[[#This Row],[Investor ID]]),SIP[Unique Code],0),)))</f>
        <v>2872.3576171272312</v>
      </c>
      <c r="U1347" s="74" cm="1">
        <f t="array" ref="U1347">IF(SIP[[#This Row],[B/S]]="S",ABS(SIP[[#This Row],[Unit]])*(INDEX(SIP[NAV at Cost (Average)],MATCH(CONCATENATE((SIP[[#This Row],[Frequency]]-1),SIP[[#This Row],[Investor ID]]),SIP[Unique Code],0),0)),0)</f>
        <v>17127.642382872767</v>
      </c>
      <c r="V1347" s="74">
        <f>IF(SIP[[#This Row],[BO TRANSFER]]="YES",SIP[[#This Row],[Unit]],)</f>
        <v>0</v>
      </c>
      <c r="W1347" s="74">
        <f>SUMIFS(SIP[[#Headers],[BO UNIT TRANSFER]]:SIP[[#This Row],[BO UNIT TRANSFER]],SIP[[#Headers],[Investor ID]]:SIP[[#This Row],[Investor ID]],SIP[[#This Row],[Investor ID]])</f>
        <v>0</v>
      </c>
    </row>
    <row r="1348" spans="1:23" ht="15" customHeight="1">
      <c r="A1348" s="101">
        <v>2025</v>
      </c>
      <c r="B1348" s="101">
        <v>8</v>
      </c>
      <c r="C1348" s="101">
        <v>26</v>
      </c>
      <c r="D1348" s="65">
        <f>DATE(SIP[[#This Row],[Year]],SIP[[#This Row],[Month]],SIP[[#This Row],[Day]])</f>
        <v>45895</v>
      </c>
      <c r="E1348" s="66" t="str" cm="1">
        <f t="array" ref="E1348">INDEX(INVESTORS_LIST[INVESTOR NAME],MATCH(SIP[[#This Row],[Investor ID]],INVESTORS_LIST[INVESTOR CODE],0),)</f>
        <v>MOHAMMAD HASAN IMAM</v>
      </c>
      <c r="F1348" s="46" t="s">
        <v>1122</v>
      </c>
      <c r="G1348" s="46">
        <f>COUNTIF(SIP[[#Headers],[Investor ID]]:SIP[[#This Row],[Investor ID]],SIP[[#This Row],[Investor ID]])</f>
        <v>17</v>
      </c>
      <c r="H1348" s="46" t="str">
        <f>CONCATENATE(SIP[[#This Row],[Frequency]],SIP[[#This Row],[Investor ID]])</f>
        <v>17A00536</v>
      </c>
      <c r="I1348" s="46" t="str">
        <f>IF(SIP[[#This Row],[B/S]]="B","BUY",(IF(SIP[[#This Row],[B/S]]="S","SELL"," ")))</f>
        <v>BUY</v>
      </c>
      <c r="J1348" s="150" t="s">
        <v>1229</v>
      </c>
      <c r="K1348" s="153">
        <v>5000</v>
      </c>
      <c r="L1348" s="122"/>
      <c r="M1348" s="123">
        <f>SIP[[#This Row],[Amount]]/SIP[[#This Row],[Unit]]</f>
        <v>13.157894736842104</v>
      </c>
      <c r="N1348" s="71">
        <f>SIP[[#This Row],[Unit Capital]]/10</f>
        <v>380</v>
      </c>
      <c r="O1348" s="71">
        <f>SUMIFS(SIP[[#Headers],[Unit]]:SIP[[#This Row],[Unit]],SIP[[#Headers],[Investor ID]]:SIP[[#This Row],[Investor ID]],SIP[[#This Row],[Investor ID]])</f>
        <v>7151</v>
      </c>
      <c r="P1348" s="197">
        <v>3800</v>
      </c>
      <c r="Q1348" s="74">
        <f>SIP[[#This Row],[Amount]]-SIP[[#This Row],[Unit Capital]]</f>
        <v>1200</v>
      </c>
      <c r="R13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11.886449447629701</v>
      </c>
      <c r="S1348" s="46">
        <f t="shared" si="64"/>
        <v>14.224</v>
      </c>
      <c r="T13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8" s="74" cm="1">
        <f t="array" ref="U1348">IF(SIP[[#This Row],[B/S]]="S",ABS(SIP[[#This Row],[Unit]])*(INDEX(SIP[NAV at Cost (Average)],MATCH(CONCATENATE((SIP[[#This Row],[Frequency]]-1),SIP[[#This Row],[Investor ID]]),SIP[Unique Code],0),0)),0)</f>
        <v>0</v>
      </c>
      <c r="V1348" s="74">
        <f>IF(SIP[[#This Row],[BO TRANSFER]]="YES",SIP[[#This Row],[Unit]],)</f>
        <v>0</v>
      </c>
      <c r="W1348" s="74">
        <f>SUMIFS(SIP[[#Headers],[BO UNIT TRANSFER]]:SIP[[#This Row],[BO UNIT TRANSFER]],SIP[[#Headers],[Investor ID]]:SIP[[#This Row],[Investor ID]],SIP[[#This Row],[Investor ID]])</f>
        <v>0</v>
      </c>
    </row>
    <row r="1349" spans="1:23" ht="15" customHeight="1">
      <c r="A1349" s="101">
        <v>2025</v>
      </c>
      <c r="B1349" s="101">
        <v>8</v>
      </c>
      <c r="C1349" s="101">
        <v>26</v>
      </c>
      <c r="D1349" s="65">
        <f>DATE(SIP[[#This Row],[Year]],SIP[[#This Row],[Month]],SIP[[#This Row],[Day]])</f>
        <v>45895</v>
      </c>
      <c r="E1349" s="66" t="str" cm="1">
        <f t="array" ref="E1349">INDEX(INVESTORS_LIST[INVESTOR NAME],MATCH(SIP[[#This Row],[Investor ID]],INVESTORS_LIST[INVESTOR CODE],0),)</f>
        <v>SADIA PARVIN</v>
      </c>
      <c r="F1349" s="46" t="s">
        <v>1018</v>
      </c>
      <c r="G1349" s="46">
        <f>COUNTIF(SIP[[#Headers],[Investor ID]]:SIP[[#This Row],[Investor ID]],SIP[[#This Row],[Investor ID]])</f>
        <v>42</v>
      </c>
      <c r="H1349" s="46" t="str">
        <f>CONCATENATE(SIP[[#This Row],[Frequency]],SIP[[#This Row],[Investor ID]])</f>
        <v>42A00486</v>
      </c>
      <c r="I1349" s="46" t="str">
        <f>IF(SIP[[#This Row],[B/S]]="B","BUY",(IF(SIP[[#This Row],[B/S]]="S","SELL"," ")))</f>
        <v>BUY</v>
      </c>
      <c r="J1349" s="150" t="s">
        <v>1229</v>
      </c>
      <c r="K1349" s="153">
        <v>5000</v>
      </c>
      <c r="L1349" s="122"/>
      <c r="M1349" s="123">
        <f>SIP[[#This Row],[Amount]]/SIP[[#This Row],[Unit]]</f>
        <v>13.157894736842104</v>
      </c>
      <c r="N1349" s="71">
        <f>SIP[[#This Row],[Unit Capital]]/10</f>
        <v>380</v>
      </c>
      <c r="O1349" s="71">
        <f>SUMIFS(SIP[[#Headers],[Unit]]:SIP[[#This Row],[Unit]],SIP[[#Headers],[Investor ID]]:SIP[[#This Row],[Investor ID]],SIP[[#This Row],[Investor ID]])</f>
        <v>18232</v>
      </c>
      <c r="P1349" s="197">
        <v>3800</v>
      </c>
      <c r="Q1349" s="74">
        <f>SIP[[#This Row],[Amount]]-SIP[[#This Row],[Unit Capital]]</f>
        <v>1200</v>
      </c>
      <c r="R13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11.518209741114525</v>
      </c>
      <c r="S1349" s="46">
        <f t="shared" si="64"/>
        <v>14.224</v>
      </c>
      <c r="T13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49" s="74" cm="1">
        <f t="array" ref="U1349">IF(SIP[[#This Row],[B/S]]="S",ABS(SIP[[#This Row],[Unit]])*(INDEX(SIP[NAV at Cost (Average)],MATCH(CONCATENATE((SIP[[#This Row],[Frequency]]-1),SIP[[#This Row],[Investor ID]]),SIP[Unique Code],0),0)),0)</f>
        <v>0</v>
      </c>
      <c r="V1349" s="74">
        <f>IF(SIP[[#This Row],[BO TRANSFER]]="YES",SIP[[#This Row],[Unit]],)</f>
        <v>0</v>
      </c>
      <c r="W1349" s="74">
        <f>SUMIFS(SIP[[#Headers],[BO UNIT TRANSFER]]:SIP[[#This Row],[BO UNIT TRANSFER]],SIP[[#Headers],[Investor ID]]:SIP[[#This Row],[Investor ID]],SIP[[#This Row],[Investor ID]])</f>
        <v>0</v>
      </c>
    </row>
    <row r="1350" spans="1:23" ht="15" customHeight="1">
      <c r="A1350" s="101">
        <v>2025</v>
      </c>
      <c r="B1350" s="101">
        <v>8</v>
      </c>
      <c r="C1350" s="101">
        <v>26</v>
      </c>
      <c r="D1350" s="65">
        <f>DATE(SIP[[#This Row],[Year]],SIP[[#This Row],[Month]],SIP[[#This Row],[Day]])</f>
        <v>45895</v>
      </c>
      <c r="E1350" s="66" t="str" cm="1">
        <f t="array" ref="E1350">INDEX(INVESTORS_LIST[INVESTOR NAME],MATCH(SIP[[#This Row],[Investor ID]],INVESTORS_LIST[INVESTOR CODE],0),)</f>
        <v>SYED ADNAN HUDA</v>
      </c>
      <c r="F1350" s="46" t="s">
        <v>236</v>
      </c>
      <c r="G1350" s="46">
        <f>COUNTIF(SIP[[#Headers],[Investor ID]]:SIP[[#This Row],[Investor ID]],SIP[[#This Row],[Investor ID]])</f>
        <v>14</v>
      </c>
      <c r="H1350" s="46" t="str">
        <f>CONCATENATE(SIP[[#This Row],[Frequency]],SIP[[#This Row],[Investor ID]])</f>
        <v>14A00094</v>
      </c>
      <c r="I1350" s="46" t="str">
        <f>IF(SIP[[#This Row],[B/S]]="B","BUY",(IF(SIP[[#This Row],[B/S]]="S","SELL"," ")))</f>
        <v>BUY</v>
      </c>
      <c r="J1350" s="150" t="s">
        <v>1229</v>
      </c>
      <c r="K1350" s="153">
        <v>50000</v>
      </c>
      <c r="L1350" s="122"/>
      <c r="M1350" s="123">
        <f>SIP[[#This Row],[Amount]]/SIP[[#This Row],[Unit]]</f>
        <v>13.164823591363875</v>
      </c>
      <c r="N1350" s="71">
        <f>SIP[[#This Row],[Unit Capital]]/10</f>
        <v>3798</v>
      </c>
      <c r="O1350" s="71">
        <f>SUMIFS(SIP[[#Headers],[Unit]]:SIP[[#This Row],[Unit]],SIP[[#Headers],[Investor ID]]:SIP[[#This Row],[Investor ID]],SIP[[#This Row],[Investor ID]])</f>
        <v>57961</v>
      </c>
      <c r="P1350" s="197">
        <v>37980</v>
      </c>
      <c r="Q1350" s="74">
        <f>SIP[[#This Row],[Amount]]-SIP[[#This Row],[Unit Capital]]</f>
        <v>12020</v>
      </c>
      <c r="R13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12.0770863166612</v>
      </c>
      <c r="S1350" s="46">
        <f t="shared" si="64"/>
        <v>14.224</v>
      </c>
      <c r="T13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0" s="74" cm="1">
        <f t="array" ref="U1350">IF(SIP[[#This Row],[B/S]]="S",ABS(SIP[[#This Row],[Unit]])*(INDEX(SIP[NAV at Cost (Average)],MATCH(CONCATENATE((SIP[[#This Row],[Frequency]]-1),SIP[[#This Row],[Investor ID]]),SIP[Unique Code],0),0)),0)</f>
        <v>0</v>
      </c>
      <c r="V1350" s="74">
        <f>IF(SIP[[#This Row],[BO TRANSFER]]="YES",SIP[[#This Row],[Unit]],)</f>
        <v>0</v>
      </c>
      <c r="W1350" s="74">
        <f>SUMIFS(SIP[[#Headers],[BO UNIT TRANSFER]]:SIP[[#This Row],[BO UNIT TRANSFER]],SIP[[#Headers],[Investor ID]]:SIP[[#This Row],[Investor ID]],SIP[[#This Row],[Investor ID]])</f>
        <v>0</v>
      </c>
    </row>
    <row r="1351" spans="1:23" ht="15" customHeight="1">
      <c r="A1351" s="101">
        <v>2025</v>
      </c>
      <c r="B1351" s="101">
        <v>8</v>
      </c>
      <c r="C1351" s="101">
        <v>26</v>
      </c>
      <c r="D1351" s="65">
        <f>DATE(SIP[[#This Row],[Year]],SIP[[#This Row],[Month]],SIP[[#This Row],[Day]])</f>
        <v>45895</v>
      </c>
      <c r="E1351" s="66" t="str" cm="1">
        <f t="array" ref="E1351">INDEX(INVESTORS_LIST[INVESTOR NAME],MATCH(SIP[[#This Row],[Investor ID]],INVESTORS_LIST[INVESTOR CODE],0),)</f>
        <v>HUMAIRA TABASSUM READDHE</v>
      </c>
      <c r="F1351" s="46" t="s">
        <v>1052</v>
      </c>
      <c r="G1351" s="46">
        <f>COUNTIF(SIP[[#Headers],[Investor ID]]:SIP[[#This Row],[Investor ID]],SIP[[#This Row],[Investor ID]])</f>
        <v>13</v>
      </c>
      <c r="H1351" s="46" t="str">
        <f>CONCATENATE(SIP[[#This Row],[Frequency]],SIP[[#This Row],[Investor ID]])</f>
        <v>13A00503</v>
      </c>
      <c r="I1351" s="46" t="str">
        <f>IF(SIP[[#This Row],[B/S]]="B","BUY",(IF(SIP[[#This Row],[B/S]]="S","SELL"," ")))</f>
        <v>BUY</v>
      </c>
      <c r="J1351" s="150" t="s">
        <v>1229</v>
      </c>
      <c r="K1351" s="153">
        <v>3000</v>
      </c>
      <c r="L1351" s="122"/>
      <c r="M1351" s="123">
        <f>SIP[[#This Row],[Amount]]/SIP[[#This Row],[Unit]]</f>
        <v>13.157894736842104</v>
      </c>
      <c r="N1351" s="71">
        <f>SIP[[#This Row],[Unit Capital]]/10</f>
        <v>228</v>
      </c>
      <c r="O1351" s="71">
        <f>SUMIFS(SIP[[#Headers],[Unit]]:SIP[[#This Row],[Unit]],SIP[[#Headers],[Investor ID]]:SIP[[#This Row],[Investor ID]],SIP[[#This Row],[Investor ID]])</f>
        <v>3211</v>
      </c>
      <c r="P1351" s="197">
        <v>2280</v>
      </c>
      <c r="Q1351" s="74">
        <f>SIP[[#This Row],[Amount]]-SIP[[#This Row],[Unit Capital]]</f>
        <v>720</v>
      </c>
      <c r="R13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12.145748987854253</v>
      </c>
      <c r="S1351" s="46">
        <f t="shared" si="64"/>
        <v>14.224</v>
      </c>
      <c r="T13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1" s="74" cm="1">
        <f t="array" ref="U1351">IF(SIP[[#This Row],[B/S]]="S",ABS(SIP[[#This Row],[Unit]])*(INDEX(SIP[NAV at Cost (Average)],MATCH(CONCATENATE((SIP[[#This Row],[Frequency]]-1),SIP[[#This Row],[Investor ID]]),SIP[Unique Code],0),0)),0)</f>
        <v>0</v>
      </c>
      <c r="V1351" s="74">
        <f>IF(SIP[[#This Row],[BO TRANSFER]]="YES",SIP[[#This Row],[Unit]],)</f>
        <v>0</v>
      </c>
      <c r="W1351" s="74">
        <f>SUMIFS(SIP[[#Headers],[BO UNIT TRANSFER]]:SIP[[#This Row],[BO UNIT TRANSFER]],SIP[[#Headers],[Investor ID]]:SIP[[#This Row],[Investor ID]],SIP[[#This Row],[Investor ID]])</f>
        <v>0</v>
      </c>
    </row>
    <row r="1352" spans="1:23" ht="15" customHeight="1">
      <c r="A1352" s="101">
        <v>2025</v>
      </c>
      <c r="B1352" s="101">
        <v>8</v>
      </c>
      <c r="C1352" s="101">
        <v>26</v>
      </c>
      <c r="D1352" s="65">
        <f>DATE(SIP[[#This Row],[Year]],SIP[[#This Row],[Month]],SIP[[#This Row],[Day]])</f>
        <v>45895</v>
      </c>
      <c r="E1352" s="66" t="str" cm="1">
        <f t="array" ref="E1352">INDEX(INVESTORS_LIST[INVESTOR NAME],MATCH(SIP[[#This Row],[Investor ID]],INVESTORS_LIST[INVESTOR CODE],0),)</f>
        <v>SHAPNA RANI BARMAN</v>
      </c>
      <c r="F1352" s="46" t="s">
        <v>1292</v>
      </c>
      <c r="G1352" s="46">
        <f>COUNTIF(SIP[[#Headers],[Investor ID]]:SIP[[#This Row],[Investor ID]],SIP[[#This Row],[Investor ID]])</f>
        <v>10</v>
      </c>
      <c r="H1352" s="46" t="str">
        <f>CONCATENATE(SIP[[#This Row],[Frequency]],SIP[[#This Row],[Investor ID]])</f>
        <v>10A00593</v>
      </c>
      <c r="I1352" s="46" t="str">
        <f>IF(SIP[[#This Row],[B/S]]="B","BUY",(IF(SIP[[#This Row],[B/S]]="S","SELL"," ")))</f>
        <v>BUY</v>
      </c>
      <c r="J1352" s="150" t="s">
        <v>1229</v>
      </c>
      <c r="K1352" s="153">
        <v>1000</v>
      </c>
      <c r="L1352" s="122"/>
      <c r="M1352" s="123">
        <f>SIP[[#This Row],[Amount]]/SIP[[#This Row],[Unit]]</f>
        <v>13.157894736842104</v>
      </c>
      <c r="N1352" s="71">
        <f>SIP[[#This Row],[Unit Capital]]/10</f>
        <v>76</v>
      </c>
      <c r="O1352" s="71">
        <f>SUMIFS(SIP[[#Headers],[Unit]]:SIP[[#This Row],[Unit]],SIP[[#Headers],[Investor ID]]:SIP[[#This Row],[Investor ID]],SIP[[#This Row],[Investor ID]])</f>
        <v>810</v>
      </c>
      <c r="P1352" s="197">
        <v>760</v>
      </c>
      <c r="Q1352" s="74">
        <f>SIP[[#This Row],[Amount]]-SIP[[#This Row],[Unit Capital]]</f>
        <v>240</v>
      </c>
      <c r="R13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12.345679012345681</v>
      </c>
      <c r="S1352" s="46">
        <f t="shared" si="64"/>
        <v>14.224</v>
      </c>
      <c r="T13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2" s="74" cm="1">
        <f t="array" ref="U1352">IF(SIP[[#This Row],[B/S]]="S",ABS(SIP[[#This Row],[Unit]])*(INDEX(SIP[NAV at Cost (Average)],MATCH(CONCATENATE((SIP[[#This Row],[Frequency]]-1),SIP[[#This Row],[Investor ID]]),SIP[Unique Code],0),0)),0)</f>
        <v>0</v>
      </c>
      <c r="V1352" s="74">
        <f>IF(SIP[[#This Row],[BO TRANSFER]]="YES",SIP[[#This Row],[Unit]],)</f>
        <v>0</v>
      </c>
      <c r="W1352" s="74">
        <f>SUMIFS(SIP[[#Headers],[BO UNIT TRANSFER]]:SIP[[#This Row],[BO UNIT TRANSFER]],SIP[[#Headers],[Investor ID]]:SIP[[#This Row],[Investor ID]],SIP[[#This Row],[Investor ID]])</f>
        <v>0</v>
      </c>
    </row>
    <row r="1353" spans="1:23" ht="15" customHeight="1">
      <c r="A1353" s="101">
        <v>2025</v>
      </c>
      <c r="B1353" s="101">
        <v>8</v>
      </c>
      <c r="C1353" s="101">
        <v>26</v>
      </c>
      <c r="D1353" s="65">
        <f>DATE(SIP[[#This Row],[Year]],SIP[[#This Row],[Month]],SIP[[#This Row],[Day]])</f>
        <v>45895</v>
      </c>
      <c r="E1353" s="66" t="str" cm="1">
        <f t="array" ref="E1353">INDEX(INVESTORS_LIST[INVESTOR NAME],MATCH(SIP[[#This Row],[Investor ID]],INVESTORS_LIST[INVESTOR CODE],0),)</f>
        <v>MAYA RANI SAHA</v>
      </c>
      <c r="F1353" s="46" t="s">
        <v>224</v>
      </c>
      <c r="G1353" s="46">
        <f>COUNTIF(SIP[[#Headers],[Investor ID]]:SIP[[#This Row],[Investor ID]],SIP[[#This Row],[Investor ID]])</f>
        <v>61</v>
      </c>
      <c r="H1353" s="46" t="str">
        <f>CONCATENATE(SIP[[#This Row],[Frequency]],SIP[[#This Row],[Investor ID]])</f>
        <v>61A00088</v>
      </c>
      <c r="I1353" s="46" t="str">
        <f>IF(SIP[[#This Row],[B/S]]="B","BUY",(IF(SIP[[#This Row],[B/S]]="S","SELL"," ")))</f>
        <v>BUY</v>
      </c>
      <c r="J1353" s="150" t="s">
        <v>1229</v>
      </c>
      <c r="K1353" s="153">
        <v>6000</v>
      </c>
      <c r="L1353" s="122"/>
      <c r="M1353" s="123">
        <f>SIP[[#This Row],[Amount]]/SIP[[#This Row],[Unit]]</f>
        <v>13.157894736842104</v>
      </c>
      <c r="N1353" s="71">
        <f>SIP[[#This Row],[Unit Capital]]/10</f>
        <v>456</v>
      </c>
      <c r="O1353" s="71">
        <f>SUMIFS(SIP[[#Headers],[Unit]]:SIP[[#This Row],[Unit]],SIP[[#Headers],[Investor ID]]:SIP[[#This Row],[Investor ID]],SIP[[#This Row],[Investor ID]])</f>
        <v>73073</v>
      </c>
      <c r="P1353" s="197">
        <v>4560</v>
      </c>
      <c r="Q1353" s="74">
        <f>SIP[[#This Row],[Amount]]-SIP[[#This Row],[Unit Capital]]</f>
        <v>1440</v>
      </c>
      <c r="R13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11.659573303408918</v>
      </c>
      <c r="S1353" s="46">
        <f t="shared" si="64"/>
        <v>14.224</v>
      </c>
      <c r="T13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3" s="74" cm="1">
        <f t="array" ref="U1353">IF(SIP[[#This Row],[B/S]]="S",ABS(SIP[[#This Row],[Unit]])*(INDEX(SIP[NAV at Cost (Average)],MATCH(CONCATENATE((SIP[[#This Row],[Frequency]]-1),SIP[[#This Row],[Investor ID]]),SIP[Unique Code],0),0)),0)</f>
        <v>0</v>
      </c>
      <c r="V1353" s="74">
        <f>IF(SIP[[#This Row],[BO TRANSFER]]="YES",SIP[[#This Row],[Unit]],)</f>
        <v>0</v>
      </c>
      <c r="W1353" s="74">
        <f>SUMIFS(SIP[[#Headers],[BO UNIT TRANSFER]]:SIP[[#This Row],[BO UNIT TRANSFER]],SIP[[#Headers],[Investor ID]]:SIP[[#This Row],[Investor ID]],SIP[[#This Row],[Investor ID]])</f>
        <v>0</v>
      </c>
    </row>
    <row r="1354" spans="1:23" ht="15" customHeight="1">
      <c r="A1354" s="101">
        <v>2025</v>
      </c>
      <c r="B1354" s="101">
        <v>8</v>
      </c>
      <c r="C1354" s="101">
        <v>26</v>
      </c>
      <c r="D1354" s="65">
        <f>DATE(SIP[[#This Row],[Year]],SIP[[#This Row],[Month]],SIP[[#This Row],[Day]])</f>
        <v>45895</v>
      </c>
      <c r="E1354" s="66" t="str" cm="1">
        <f t="array" ref="E1354">INDEX(INVESTORS_LIST[INVESTOR NAME],MATCH(SIP[[#This Row],[Investor ID]],INVESTORS_LIST[INVESTOR CODE],0),)</f>
        <v>MAYA RANI SAHA</v>
      </c>
      <c r="F1354" s="46" t="s">
        <v>224</v>
      </c>
      <c r="G1354" s="46">
        <f>COUNTIF(SIP[[#Headers],[Investor ID]]:SIP[[#This Row],[Investor ID]],SIP[[#This Row],[Investor ID]])</f>
        <v>62</v>
      </c>
      <c r="H1354" s="46" t="str">
        <f>CONCATENATE(SIP[[#This Row],[Frequency]],SIP[[#This Row],[Investor ID]])</f>
        <v>62A00088</v>
      </c>
      <c r="I1354" s="46" t="str">
        <f>IF(SIP[[#This Row],[B/S]]="B","BUY",(IF(SIP[[#This Row],[B/S]]="S","SELL"," ")))</f>
        <v>BUY</v>
      </c>
      <c r="J1354" s="150" t="s">
        <v>1229</v>
      </c>
      <c r="K1354" s="153">
        <v>10000</v>
      </c>
      <c r="L1354" s="122"/>
      <c r="M1354" s="123">
        <f>SIP[[#This Row],[Amount]]/SIP[[#This Row],[Unit]]</f>
        <v>13.157894736842104</v>
      </c>
      <c r="N1354" s="71">
        <f>SIP[[#This Row],[Unit Capital]]/10</f>
        <v>760</v>
      </c>
      <c r="O1354" s="71">
        <f>SUMIFS(SIP[[#Headers],[Unit]]:SIP[[#This Row],[Unit]],SIP[[#Headers],[Investor ID]]:SIP[[#This Row],[Investor ID]],SIP[[#This Row],[Investor ID]])</f>
        <v>73833</v>
      </c>
      <c r="P1354" s="197">
        <v>7600</v>
      </c>
      <c r="Q1354" s="74">
        <f>SIP[[#This Row],[Amount]]-SIP[[#This Row],[Unit Capital]]</f>
        <v>2400</v>
      </c>
      <c r="R13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11.674996275378215</v>
      </c>
      <c r="S1354" s="46">
        <f t="shared" si="64"/>
        <v>14.224</v>
      </c>
      <c r="T13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4" s="74" cm="1">
        <f t="array" ref="U1354">IF(SIP[[#This Row],[B/S]]="S",ABS(SIP[[#This Row],[Unit]])*(INDEX(SIP[NAV at Cost (Average)],MATCH(CONCATENATE((SIP[[#This Row],[Frequency]]-1),SIP[[#This Row],[Investor ID]]),SIP[Unique Code],0),0)),0)</f>
        <v>0</v>
      </c>
      <c r="V1354" s="74">
        <f>IF(SIP[[#This Row],[BO TRANSFER]]="YES",SIP[[#This Row],[Unit]],)</f>
        <v>0</v>
      </c>
      <c r="W1354" s="74">
        <f>SUMIFS(SIP[[#Headers],[BO UNIT TRANSFER]]:SIP[[#This Row],[BO UNIT TRANSFER]],SIP[[#Headers],[Investor ID]]:SIP[[#This Row],[Investor ID]],SIP[[#This Row],[Investor ID]])</f>
        <v>0</v>
      </c>
    </row>
    <row r="1355" spans="1:23" ht="15" customHeight="1">
      <c r="A1355" s="101">
        <v>2025</v>
      </c>
      <c r="B1355" s="101">
        <v>8</v>
      </c>
      <c r="C1355" s="101">
        <v>26</v>
      </c>
      <c r="D1355" s="65">
        <f>DATE(SIP[[#This Row],[Year]],SIP[[#This Row],[Month]],SIP[[#This Row],[Day]])</f>
        <v>45895</v>
      </c>
      <c r="E1355" s="66" t="str" cm="1">
        <f t="array" ref="E1355">INDEX(INVESTORS_LIST[INVESTOR NAME],MATCH(SIP[[#This Row],[Investor ID]],INVESTORS_LIST[INVESTOR CODE],0),)</f>
        <v>SWADESH RANJAN SAHA</v>
      </c>
      <c r="F1355" s="46" t="s">
        <v>234</v>
      </c>
      <c r="G1355" s="46">
        <f>COUNTIF(SIP[[#Headers],[Investor ID]]:SIP[[#This Row],[Investor ID]],SIP[[#This Row],[Investor ID]])</f>
        <v>9</v>
      </c>
      <c r="H1355" s="46" t="str">
        <f>CONCATENATE(SIP[[#This Row],[Frequency]],SIP[[#This Row],[Investor ID]])</f>
        <v>9A00093</v>
      </c>
      <c r="I1355" s="46" t="str">
        <f>IF(SIP[[#This Row],[B/S]]="B","BUY",(IF(SIP[[#This Row],[B/S]]="S","SELL"," ")))</f>
        <v>BUY</v>
      </c>
      <c r="J1355" s="150" t="s">
        <v>1229</v>
      </c>
      <c r="K1355" s="153">
        <v>50000</v>
      </c>
      <c r="L1355" s="122"/>
      <c r="M1355" s="123">
        <f>SIP[[#This Row],[Amount]]/SIP[[#This Row],[Unit]]</f>
        <v>13.164823591363875</v>
      </c>
      <c r="N1355" s="71">
        <f>SIP[[#This Row],[Unit Capital]]/10</f>
        <v>3798</v>
      </c>
      <c r="O1355" s="71">
        <f>SUMIFS(SIP[[#Headers],[Unit]]:SIP[[#This Row],[Unit]],SIP[[#Headers],[Investor ID]]:SIP[[#This Row],[Investor ID]],SIP[[#This Row],[Investor ID]])</f>
        <v>36141</v>
      </c>
      <c r="P1355" s="197">
        <v>37980</v>
      </c>
      <c r="Q1355" s="74">
        <f>SIP[[#This Row],[Amount]]-SIP[[#This Row],[Unit Capital]]</f>
        <v>12020</v>
      </c>
      <c r="R13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12.451232672034529</v>
      </c>
      <c r="S1355" s="46">
        <f t="shared" si="64"/>
        <v>14.224</v>
      </c>
      <c r="T13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5" s="74" cm="1">
        <f t="array" ref="U1355">IF(SIP[[#This Row],[B/S]]="S",ABS(SIP[[#This Row],[Unit]])*(INDEX(SIP[NAV at Cost (Average)],MATCH(CONCATENATE((SIP[[#This Row],[Frequency]]-1),SIP[[#This Row],[Investor ID]]),SIP[Unique Code],0),0)),0)</f>
        <v>0</v>
      </c>
      <c r="V1355" s="74">
        <f>IF(SIP[[#This Row],[BO TRANSFER]]="YES",SIP[[#This Row],[Unit]],)</f>
        <v>0</v>
      </c>
      <c r="W1355" s="74">
        <f>SUMIFS(SIP[[#Headers],[BO UNIT TRANSFER]]:SIP[[#This Row],[BO UNIT TRANSFER]],SIP[[#Headers],[Investor ID]]:SIP[[#This Row],[Investor ID]],SIP[[#This Row],[Investor ID]])</f>
        <v>0</v>
      </c>
    </row>
    <row r="1356" spans="1:23" ht="15" customHeight="1">
      <c r="A1356" s="101">
        <v>2025</v>
      </c>
      <c r="B1356" s="101">
        <v>8</v>
      </c>
      <c r="C1356" s="101">
        <v>26</v>
      </c>
      <c r="D1356" s="65">
        <f>DATE(SIP[[#This Row],[Year]],SIP[[#This Row],[Month]],SIP[[#This Row],[Day]])</f>
        <v>45895</v>
      </c>
      <c r="E1356" s="66" t="str" cm="1">
        <f t="array" ref="E1356">INDEX(INVESTORS_LIST[INVESTOR NAME],MATCH(SIP[[#This Row],[Investor ID]],INVESTORS_LIST[INVESTOR CODE],0),)</f>
        <v>BALARAM CHANDRA SAHA</v>
      </c>
      <c r="F1356" s="46" t="s">
        <v>505</v>
      </c>
      <c r="G1356" s="46">
        <f>COUNTIF(SIP[[#Headers],[Investor ID]]:SIP[[#This Row],[Investor ID]],SIP[[#This Row],[Investor ID]])</f>
        <v>5</v>
      </c>
      <c r="H1356" s="46" t="str">
        <f>CONCATENATE(SIP[[#This Row],[Frequency]],SIP[[#This Row],[Investor ID]])</f>
        <v>5A00228</v>
      </c>
      <c r="I1356" s="46" t="str">
        <f>IF(SIP[[#This Row],[B/S]]="B","BUY",(IF(SIP[[#This Row],[B/S]]="S","SELL"," ")))</f>
        <v>BUY</v>
      </c>
      <c r="J1356" s="150" t="s">
        <v>1229</v>
      </c>
      <c r="K1356" s="153">
        <v>25000</v>
      </c>
      <c r="L1356" s="122"/>
      <c r="M1356" s="123">
        <f>SIP[[#This Row],[Amount]]/SIP[[#This Row],[Unit]]</f>
        <v>13.164823591363875</v>
      </c>
      <c r="N1356" s="71">
        <f>SIP[[#This Row],[Unit Capital]]/10</f>
        <v>1899</v>
      </c>
      <c r="O1356" s="71">
        <f>SUMIFS(SIP[[#Headers],[Unit]]:SIP[[#This Row],[Unit]],SIP[[#Headers],[Investor ID]]:SIP[[#This Row],[Investor ID]],SIP[[#This Row],[Investor ID]])</f>
        <v>11881</v>
      </c>
      <c r="P1356" s="197">
        <v>18990</v>
      </c>
      <c r="Q1356" s="74">
        <f>SIP[[#This Row],[Amount]]-SIP[[#This Row],[Unit Capital]]</f>
        <v>6010</v>
      </c>
      <c r="R13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12.625199898998401</v>
      </c>
      <c r="S1356" s="46">
        <f t="shared" si="64"/>
        <v>14.224</v>
      </c>
      <c r="T13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6" s="74" cm="1">
        <f t="array" ref="U1356">IF(SIP[[#This Row],[B/S]]="S",ABS(SIP[[#This Row],[Unit]])*(INDEX(SIP[NAV at Cost (Average)],MATCH(CONCATENATE((SIP[[#This Row],[Frequency]]-1),SIP[[#This Row],[Investor ID]]),SIP[Unique Code],0),0)),0)</f>
        <v>0</v>
      </c>
      <c r="V1356" s="74">
        <f>IF(SIP[[#This Row],[BO TRANSFER]]="YES",SIP[[#This Row],[Unit]],)</f>
        <v>0</v>
      </c>
      <c r="W1356" s="74">
        <f>SUMIFS(SIP[[#Headers],[BO UNIT TRANSFER]]:SIP[[#This Row],[BO UNIT TRANSFER]],SIP[[#Headers],[Investor ID]]:SIP[[#This Row],[Investor ID]],SIP[[#This Row],[Investor ID]])</f>
        <v>0</v>
      </c>
    </row>
    <row r="1357" spans="1:23" ht="15" customHeight="1">
      <c r="A1357" s="101">
        <v>2025</v>
      </c>
      <c r="B1357" s="101">
        <v>8</v>
      </c>
      <c r="C1357" s="101">
        <v>26</v>
      </c>
      <c r="D1357" s="65">
        <f>DATE(SIP[[#This Row],[Year]],SIP[[#This Row],[Month]],SIP[[#This Row],[Day]])</f>
        <v>45895</v>
      </c>
      <c r="E1357" s="66" t="str" cm="1">
        <f t="array" ref="E1357">INDEX(INVESTORS_LIST[INVESTOR NAME],MATCH(SIP[[#This Row],[Investor ID]],INVESTORS_LIST[INVESTOR CODE],0),)</f>
        <v>MAHBUB-UL-ANAM KHAN</v>
      </c>
      <c r="F1357" s="46" t="s">
        <v>626</v>
      </c>
      <c r="G1357" s="46">
        <f>COUNTIF(SIP[[#Headers],[Investor ID]]:SIP[[#This Row],[Investor ID]],SIP[[#This Row],[Investor ID]])</f>
        <v>13</v>
      </c>
      <c r="H1357" s="46" t="str">
        <f>CONCATENATE(SIP[[#This Row],[Frequency]],SIP[[#This Row],[Investor ID]])</f>
        <v>13A00289</v>
      </c>
      <c r="I1357" s="46" t="str">
        <f>IF(SIP[[#This Row],[B/S]]="B","BUY",(IF(SIP[[#This Row],[B/S]]="S","SELL"," ")))</f>
        <v>BUY</v>
      </c>
      <c r="J1357" s="150" t="s">
        <v>1229</v>
      </c>
      <c r="K1357" s="153">
        <v>5000</v>
      </c>
      <c r="L1357" s="122"/>
      <c r="M1357" s="123">
        <f>SIP[[#This Row],[Amount]]/SIP[[#This Row],[Unit]]</f>
        <v>13.157894736842104</v>
      </c>
      <c r="N1357" s="71">
        <f>SIP[[#This Row],[Unit Capital]]/10</f>
        <v>380</v>
      </c>
      <c r="O1357" s="71">
        <f>SUMIFS(SIP[[#Headers],[Unit]]:SIP[[#This Row],[Unit]],SIP[[#Headers],[Investor ID]]:SIP[[#This Row],[Investor ID]],SIP[[#This Row],[Investor ID]])</f>
        <v>5351</v>
      </c>
      <c r="P1357" s="197">
        <v>3800</v>
      </c>
      <c r="Q1357" s="74">
        <f>SIP[[#This Row],[Amount]]-SIP[[#This Row],[Unit Capital]]</f>
        <v>1200</v>
      </c>
      <c r="R13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12.147262193982433</v>
      </c>
      <c r="S1357" s="46">
        <f t="shared" si="64"/>
        <v>14.224</v>
      </c>
      <c r="T13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7" s="74" cm="1">
        <f t="array" ref="U1357">IF(SIP[[#This Row],[B/S]]="S",ABS(SIP[[#This Row],[Unit]])*(INDEX(SIP[NAV at Cost (Average)],MATCH(CONCATENATE((SIP[[#This Row],[Frequency]]-1),SIP[[#This Row],[Investor ID]]),SIP[Unique Code],0),0)),0)</f>
        <v>0</v>
      </c>
      <c r="V1357" s="74">
        <f>IF(SIP[[#This Row],[BO TRANSFER]]="YES",SIP[[#This Row],[Unit]],)</f>
        <v>0</v>
      </c>
      <c r="W1357" s="74">
        <f>SUMIFS(SIP[[#Headers],[BO UNIT TRANSFER]]:SIP[[#This Row],[BO UNIT TRANSFER]],SIP[[#Headers],[Investor ID]]:SIP[[#This Row],[Investor ID]],SIP[[#This Row],[Investor ID]])</f>
        <v>0</v>
      </c>
    </row>
    <row r="1358" spans="1:23" ht="15" customHeight="1">
      <c r="A1358" s="101">
        <v>2025</v>
      </c>
      <c r="B1358" s="101">
        <v>8</v>
      </c>
      <c r="C1358" s="101">
        <v>26</v>
      </c>
      <c r="D1358" s="65">
        <f>DATE(SIP[[#This Row],[Year]],SIP[[#This Row],[Month]],SIP[[#This Row],[Day]])</f>
        <v>45895</v>
      </c>
      <c r="E1358" s="66" t="str" cm="1">
        <f t="array" ref="E1358">INDEX(INVESTORS_LIST[INVESTOR NAME],MATCH(SIP[[#This Row],[Investor ID]],INVESTORS_LIST[INVESTOR CODE],0),)</f>
        <v>MD MIZANUR RAHMAN</v>
      </c>
      <c r="F1358" s="46" t="s">
        <v>1304</v>
      </c>
      <c r="G1358" s="46">
        <f>COUNTIF(SIP[[#Headers],[Investor ID]]:SIP[[#This Row],[Investor ID]],SIP[[#This Row],[Investor ID]])</f>
        <v>10</v>
      </c>
      <c r="H1358" s="46" t="str">
        <f>CONCATENATE(SIP[[#This Row],[Frequency]],SIP[[#This Row],[Investor ID]])</f>
        <v>10A00599</v>
      </c>
      <c r="I1358" s="46" t="str">
        <f>IF(SIP[[#This Row],[B/S]]="B","BUY",(IF(SIP[[#This Row],[B/S]]="S","SELL"," ")))</f>
        <v>BUY</v>
      </c>
      <c r="J1358" s="150" t="s">
        <v>1229</v>
      </c>
      <c r="K1358" s="153">
        <v>5000</v>
      </c>
      <c r="L1358" s="122"/>
      <c r="M1358" s="123">
        <f>SIP[[#This Row],[Amount]]/SIP[[#This Row],[Unit]]</f>
        <v>13.157894736842104</v>
      </c>
      <c r="N1358" s="71">
        <f>SIP[[#This Row],[Unit Capital]]/10</f>
        <v>380</v>
      </c>
      <c r="O1358" s="71">
        <f>SUMIFS(SIP[[#Headers],[Unit]]:SIP[[#This Row],[Unit]],SIP[[#Headers],[Investor ID]]:SIP[[#This Row],[Investor ID]],SIP[[#This Row],[Investor ID]])</f>
        <v>380</v>
      </c>
      <c r="P1358" s="197">
        <v>3800</v>
      </c>
      <c r="Q1358" s="74">
        <f>SIP[[#This Row],[Amount]]-SIP[[#This Row],[Unit Capital]]</f>
        <v>1200</v>
      </c>
      <c r="R13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13.157894736842104</v>
      </c>
      <c r="S1358" s="46">
        <f t="shared" si="64"/>
        <v>14.224</v>
      </c>
      <c r="T13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8" s="74" cm="1">
        <f t="array" ref="U1358">IF(SIP[[#This Row],[B/S]]="S",ABS(SIP[[#This Row],[Unit]])*(INDEX(SIP[NAV at Cost (Average)],MATCH(CONCATENATE((SIP[[#This Row],[Frequency]]-1),SIP[[#This Row],[Investor ID]]),SIP[Unique Code],0),0)),0)</f>
        <v>0</v>
      </c>
      <c r="V1358" s="74">
        <f>IF(SIP[[#This Row],[BO TRANSFER]]="YES",SIP[[#This Row],[Unit]],)</f>
        <v>0</v>
      </c>
      <c r="W1358" s="74">
        <f>SUMIFS(SIP[[#Headers],[BO UNIT TRANSFER]]:SIP[[#This Row],[BO UNIT TRANSFER]],SIP[[#Headers],[Investor ID]]:SIP[[#This Row],[Investor ID]],SIP[[#This Row],[Investor ID]])</f>
        <v>0</v>
      </c>
    </row>
    <row r="1359" spans="1:23" ht="15" customHeight="1">
      <c r="A1359" s="101">
        <v>2025</v>
      </c>
      <c r="B1359" s="101">
        <v>8</v>
      </c>
      <c r="C1359" s="101">
        <v>26</v>
      </c>
      <c r="D1359" s="65">
        <f>DATE(SIP[[#This Row],[Year]],SIP[[#This Row],[Month]],SIP[[#This Row],[Day]])</f>
        <v>45895</v>
      </c>
      <c r="E1359" s="66" t="str" cm="1">
        <f t="array" ref="E1359">INDEX(INVESTORS_LIST[INVESTOR NAME],MATCH(SIP[[#This Row],[Investor ID]],INVESTORS_LIST[INVESTOR CODE],0),)</f>
        <v>MOHAMMAD SAMIUL ALAM</v>
      </c>
      <c r="F1359" s="46" t="s">
        <v>537</v>
      </c>
      <c r="G1359" s="46">
        <f>COUNTIF(SIP[[#Headers],[Investor ID]]:SIP[[#This Row],[Investor ID]],SIP[[#This Row],[Investor ID]])</f>
        <v>25</v>
      </c>
      <c r="H1359" s="46" t="str">
        <f>CONCATENATE(SIP[[#This Row],[Frequency]],SIP[[#This Row],[Investor ID]])</f>
        <v>25A00244</v>
      </c>
      <c r="I1359" s="46" t="str">
        <f>IF(SIP[[#This Row],[B/S]]="B","BUY",(IF(SIP[[#This Row],[B/S]]="S","SELL"," ")))</f>
        <v>BUY</v>
      </c>
      <c r="J1359" s="150" t="s">
        <v>1229</v>
      </c>
      <c r="K1359" s="153">
        <v>35000</v>
      </c>
      <c r="L1359" s="122" t="s">
        <v>1230</v>
      </c>
      <c r="M1359" s="123">
        <f>SIP[[#This Row],[Amount]]/SIP[[#This Row],[Unit]]</f>
        <v>13.16284317412561</v>
      </c>
      <c r="N1359" s="71">
        <f>SIP[[#This Row],[Unit Capital]]/10</f>
        <v>2659</v>
      </c>
      <c r="O1359" s="71">
        <f>SUMIFS(SIP[[#Headers],[Unit]]:SIP[[#This Row],[Unit]],SIP[[#Headers],[Investor ID]]:SIP[[#This Row],[Investor ID]],SIP[[#This Row],[Investor ID]])</f>
        <v>45951</v>
      </c>
      <c r="P1359" s="197">
        <v>26590</v>
      </c>
      <c r="Q1359" s="74">
        <f>SIP[[#This Row],[Amount]]-SIP[[#This Row],[Unit Capital]]</f>
        <v>8410</v>
      </c>
      <c r="R13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11.534025374855828</v>
      </c>
      <c r="S1359" s="46">
        <f t="shared" si="64"/>
        <v>14.224</v>
      </c>
      <c r="T13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9" s="74" cm="1">
        <f t="array" ref="U1359">IF(SIP[[#This Row],[B/S]]="S",ABS(SIP[[#This Row],[Unit]])*(INDEX(SIP[NAV at Cost (Average)],MATCH(CONCATENATE((SIP[[#This Row],[Frequency]]-1),SIP[[#This Row],[Investor ID]]),SIP[Unique Code],0),0)),0)</f>
        <v>0</v>
      </c>
      <c r="V1359" s="74">
        <f>IF(SIP[[#This Row],[BO TRANSFER]]="YES",SIP[[#This Row],[Unit]],)</f>
        <v>2659</v>
      </c>
      <c r="W1359" s="74">
        <f>SUMIFS(SIP[[#Headers],[BO UNIT TRANSFER]]:SIP[[#This Row],[BO UNIT TRANSFER]],SIP[[#Headers],[Investor ID]]:SIP[[#This Row],[Investor ID]],SIP[[#This Row],[Investor ID]])</f>
        <v>5391</v>
      </c>
    </row>
    <row r="1360" spans="1:23" ht="15" customHeight="1">
      <c r="A1360" s="101">
        <v>2025</v>
      </c>
      <c r="B1360" s="101">
        <v>8</v>
      </c>
      <c r="C1360" s="101">
        <v>26</v>
      </c>
      <c r="D1360" s="65">
        <f>DATE(SIP[[#This Row],[Year]],SIP[[#This Row],[Month]],SIP[[#This Row],[Day]])</f>
        <v>45895</v>
      </c>
      <c r="E1360" s="66" t="str" cm="1">
        <f t="array" ref="E1360">INDEX(INVESTORS_LIST[INVESTOR NAME],MATCH(SIP[[#This Row],[Investor ID]],INVESTORS_LIST[INVESTOR CODE],0),)</f>
        <v>MD ABDULLAH-AL- MAMUN</v>
      </c>
      <c r="F1360" s="46" t="s">
        <v>533</v>
      </c>
      <c r="G1360" s="46">
        <f>COUNTIF(SIP[[#Headers],[Investor ID]]:SIP[[#This Row],[Investor ID]],SIP[[#This Row],[Investor ID]])</f>
        <v>25</v>
      </c>
      <c r="H1360" s="46" t="str">
        <f>CONCATENATE(SIP[[#This Row],[Frequency]],SIP[[#This Row],[Investor ID]])</f>
        <v>25A00242</v>
      </c>
      <c r="I1360" s="46" t="str">
        <f>IF(SIP[[#This Row],[B/S]]="B","BUY",(IF(SIP[[#This Row],[B/S]]="S","SELL"," ")))</f>
        <v>BUY</v>
      </c>
      <c r="J1360" s="150" t="s">
        <v>1229</v>
      </c>
      <c r="K1360" s="153">
        <v>10000</v>
      </c>
      <c r="L1360" s="122"/>
      <c r="M1360" s="123">
        <f>SIP[[#This Row],[Amount]]/SIP[[#This Row],[Unit]]</f>
        <v>13.157894736842104</v>
      </c>
      <c r="N1360" s="71">
        <f>SIP[[#This Row],[Unit Capital]]/10</f>
        <v>760</v>
      </c>
      <c r="O1360" s="71">
        <f>SUMIFS(SIP[[#Headers],[Unit]]:SIP[[#This Row],[Unit]],SIP[[#Headers],[Investor ID]]:SIP[[#This Row],[Investor ID]],SIP[[#This Row],[Investor ID]])</f>
        <v>31059</v>
      </c>
      <c r="P1360" s="197">
        <v>7600</v>
      </c>
      <c r="Q1360" s="74">
        <f>SIP[[#This Row],[Amount]]-SIP[[#This Row],[Unit Capital]]</f>
        <v>2400</v>
      </c>
      <c r="R13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11.590843233845266</v>
      </c>
      <c r="S1360" s="46">
        <f t="shared" si="64"/>
        <v>14.224</v>
      </c>
      <c r="T13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0" s="74" cm="1">
        <f t="array" ref="U1360">IF(SIP[[#This Row],[B/S]]="S",ABS(SIP[[#This Row],[Unit]])*(INDEX(SIP[NAV at Cost (Average)],MATCH(CONCATENATE((SIP[[#This Row],[Frequency]]-1),SIP[[#This Row],[Investor ID]]),SIP[Unique Code],0),0)),0)</f>
        <v>0</v>
      </c>
      <c r="V1360" s="74">
        <f>IF(SIP[[#This Row],[BO TRANSFER]]="YES",SIP[[#This Row],[Unit]],)</f>
        <v>0</v>
      </c>
      <c r="W1360" s="74">
        <f>SUMIFS(SIP[[#Headers],[BO UNIT TRANSFER]]:SIP[[#This Row],[BO UNIT TRANSFER]],SIP[[#Headers],[Investor ID]]:SIP[[#This Row],[Investor ID]],SIP[[#This Row],[Investor ID]])</f>
        <v>0</v>
      </c>
    </row>
    <row r="1361" spans="1:23" ht="15" customHeight="1">
      <c r="A1361" s="101">
        <v>2025</v>
      </c>
      <c r="B1361" s="101">
        <v>8</v>
      </c>
      <c r="C1361" s="101">
        <v>26</v>
      </c>
      <c r="D1361" s="65">
        <f>DATE(SIP[[#This Row],[Year]],SIP[[#This Row],[Month]],SIP[[#This Row],[Day]])</f>
        <v>45895</v>
      </c>
      <c r="E1361" s="66" t="str" cm="1">
        <f t="array" ref="E1361">INDEX(INVESTORS_LIST[INVESTOR NAME],MATCH(SIP[[#This Row],[Investor ID]],INVESTORS_LIST[INVESTOR CODE],0),)</f>
        <v>MAHFUZUL ISLAM &amp; HUMAIRA TABASSUM READDHE</v>
      </c>
      <c r="F1361" s="46" t="s">
        <v>1315</v>
      </c>
      <c r="G1361" s="46">
        <f>COUNTIF(SIP[[#Headers],[Investor ID]]:SIP[[#This Row],[Investor ID]],SIP[[#This Row],[Investor ID]])</f>
        <v>6</v>
      </c>
      <c r="H1361" s="46" t="str">
        <f>CONCATENATE(SIP[[#This Row],[Frequency]],SIP[[#This Row],[Investor ID]])</f>
        <v>6A00605</v>
      </c>
      <c r="I1361" s="46" t="str">
        <f>IF(SIP[[#This Row],[B/S]]="B","BUY",(IF(SIP[[#This Row],[B/S]]="S","SELL"," ")))</f>
        <v>BUY</v>
      </c>
      <c r="J1361" s="150" t="s">
        <v>1229</v>
      </c>
      <c r="K1361" s="153">
        <v>18140</v>
      </c>
      <c r="L1361" s="122"/>
      <c r="M1361" s="123">
        <f>SIP[[#This Row],[Amount]]/SIP[[#This Row],[Unit]]</f>
        <v>13.16400580551524</v>
      </c>
      <c r="N1361" s="71">
        <f>SIP[[#This Row],[Unit Capital]]/10</f>
        <v>1378</v>
      </c>
      <c r="O1361" s="71">
        <f>SUMIFS(SIP[[#Headers],[Unit]]:SIP[[#This Row],[Unit]],SIP[[#Headers],[Investor ID]]:SIP[[#This Row],[Investor ID]],SIP[[#This Row],[Investor ID]])</f>
        <v>6731</v>
      </c>
      <c r="P1361" s="197">
        <v>13780</v>
      </c>
      <c r="Q1361" s="74">
        <f>SIP[[#This Row],[Amount]]-SIP[[#This Row],[Unit Capital]]</f>
        <v>4360</v>
      </c>
      <c r="R13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12.664792355702509</v>
      </c>
      <c r="S1361" s="46">
        <f t="shared" si="64"/>
        <v>14.224</v>
      </c>
      <c r="T13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1" s="74" cm="1">
        <f t="array" ref="U1361">IF(SIP[[#This Row],[B/S]]="S",ABS(SIP[[#This Row],[Unit]])*(INDEX(SIP[NAV at Cost (Average)],MATCH(CONCATENATE((SIP[[#This Row],[Frequency]]-1),SIP[[#This Row],[Investor ID]]),SIP[Unique Code],0),0)),0)</f>
        <v>0</v>
      </c>
      <c r="V1361" s="74">
        <f>IF(SIP[[#This Row],[BO TRANSFER]]="YES",SIP[[#This Row],[Unit]],)</f>
        <v>0</v>
      </c>
      <c r="W1361" s="74">
        <f>SUMIFS(SIP[[#Headers],[BO UNIT TRANSFER]]:SIP[[#This Row],[BO UNIT TRANSFER]],SIP[[#Headers],[Investor ID]]:SIP[[#This Row],[Investor ID]],SIP[[#This Row],[Investor ID]])</f>
        <v>0</v>
      </c>
    </row>
    <row r="1362" spans="1:23" ht="15" customHeight="1">
      <c r="A1362" s="101">
        <v>2025</v>
      </c>
      <c r="B1362" s="101">
        <v>8</v>
      </c>
      <c r="C1362" s="101">
        <v>26</v>
      </c>
      <c r="D1362" s="65">
        <f>DATE(SIP[[#This Row],[Year]],SIP[[#This Row],[Month]],SIP[[#This Row],[Day]])</f>
        <v>45895</v>
      </c>
      <c r="E1362" s="66" t="str" cm="1">
        <f t="array" ref="E1362">INDEX(INVESTORS_LIST[INVESTOR NAME],MATCH(SIP[[#This Row],[Investor ID]],INVESTORS_LIST[INVESTOR CODE],0),)</f>
        <v>TANVIR HASAN</v>
      </c>
      <c r="F1362" s="46" t="s">
        <v>561</v>
      </c>
      <c r="G1362" s="46">
        <f>COUNTIF(SIP[[#Headers],[Investor ID]]:SIP[[#This Row],[Investor ID]],SIP[[#This Row],[Investor ID]])</f>
        <v>5</v>
      </c>
      <c r="H1362" s="46" t="str">
        <f>CONCATENATE(SIP[[#This Row],[Frequency]],SIP[[#This Row],[Investor ID]])</f>
        <v>5A00256</v>
      </c>
      <c r="I1362" s="46" t="str">
        <f>IF(SIP[[#This Row],[B/S]]="B","BUY",(IF(SIP[[#This Row],[B/S]]="S","SELL"," ")))</f>
        <v>BUY</v>
      </c>
      <c r="J1362" s="150" t="s">
        <v>1229</v>
      </c>
      <c r="K1362" s="153">
        <v>10000</v>
      </c>
      <c r="L1362" s="122"/>
      <c r="M1362" s="123">
        <f>SIP[[#This Row],[Amount]]/SIP[[#This Row],[Unit]]</f>
        <v>13.157894736842104</v>
      </c>
      <c r="N1362" s="71">
        <f>SIP[[#This Row],[Unit Capital]]/10</f>
        <v>760</v>
      </c>
      <c r="O1362" s="71">
        <f>SUMIFS(SIP[[#Headers],[Unit]]:SIP[[#This Row],[Unit]],SIP[[#Headers],[Investor ID]]:SIP[[#This Row],[Investor ID]],SIP[[#This Row],[Investor ID]])</f>
        <v>3951</v>
      </c>
      <c r="P1362" s="197">
        <v>7600</v>
      </c>
      <c r="Q1362" s="74">
        <f>SIP[[#This Row],[Amount]]-SIP[[#This Row],[Unit Capital]]</f>
        <v>2400</v>
      </c>
      <c r="R13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12.655024044545685</v>
      </c>
      <c r="S1362" s="46">
        <f t="shared" si="64"/>
        <v>14.224</v>
      </c>
      <c r="T13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2" s="74" cm="1">
        <f t="array" ref="U1362">IF(SIP[[#This Row],[B/S]]="S",ABS(SIP[[#This Row],[Unit]])*(INDEX(SIP[NAV at Cost (Average)],MATCH(CONCATENATE((SIP[[#This Row],[Frequency]]-1),SIP[[#This Row],[Investor ID]]),SIP[Unique Code],0),0)),0)</f>
        <v>0</v>
      </c>
      <c r="V1362" s="74">
        <f>IF(SIP[[#This Row],[BO TRANSFER]]="YES",SIP[[#This Row],[Unit]],)</f>
        <v>0</v>
      </c>
      <c r="W1362" s="74">
        <f>SUMIFS(SIP[[#Headers],[BO UNIT TRANSFER]]:SIP[[#This Row],[BO UNIT TRANSFER]],SIP[[#Headers],[Investor ID]]:SIP[[#This Row],[Investor ID]],SIP[[#This Row],[Investor ID]])</f>
        <v>0</v>
      </c>
    </row>
    <row r="1363" spans="1:23" ht="15" customHeight="1">
      <c r="A1363" s="101">
        <v>2025</v>
      </c>
      <c r="B1363" s="101">
        <v>8</v>
      </c>
      <c r="C1363" s="101">
        <v>26</v>
      </c>
      <c r="D1363" s="65">
        <f>DATE(SIP[[#This Row],[Year]],SIP[[#This Row],[Month]],SIP[[#This Row],[Day]])</f>
        <v>45895</v>
      </c>
      <c r="E1363" s="66" t="str" cm="1">
        <f t="array" ref="E1363">INDEX(INVESTORS_LIST[INVESTOR NAME],MATCH(SIP[[#This Row],[Investor ID]],INVESTORS_LIST[INVESTOR CODE],0),)</f>
        <v>RUMA AKTER</v>
      </c>
      <c r="F1363" s="46" t="s">
        <v>1323</v>
      </c>
      <c r="G1363" s="46">
        <f>COUNTIF(SIP[[#Headers],[Investor ID]]:SIP[[#This Row],[Investor ID]],SIP[[#This Row],[Investor ID]])</f>
        <v>5</v>
      </c>
      <c r="H1363" s="46" t="str">
        <f>CONCATENATE(SIP[[#This Row],[Frequency]],SIP[[#This Row],[Investor ID]])</f>
        <v>5A00608</v>
      </c>
      <c r="I1363" s="46" t="str">
        <f>IF(SIP[[#This Row],[B/S]]="B","BUY",(IF(SIP[[#This Row],[B/S]]="S","SELL"," ")))</f>
        <v>BUY</v>
      </c>
      <c r="J1363" s="150" t="s">
        <v>1229</v>
      </c>
      <c r="K1363" s="153">
        <v>1000</v>
      </c>
      <c r="L1363" s="122"/>
      <c r="M1363" s="123">
        <f>SIP[[#This Row],[Amount]]/SIP[[#This Row],[Unit]]</f>
        <v>13.157894736842104</v>
      </c>
      <c r="N1363" s="71">
        <f>SIP[[#This Row],[Unit Capital]]/10</f>
        <v>76</v>
      </c>
      <c r="O1363" s="71">
        <f>SUMIFS(SIP[[#Headers],[Unit]]:SIP[[#This Row],[Unit]],SIP[[#Headers],[Investor ID]]:SIP[[#This Row],[Investor ID]],SIP[[#This Row],[Investor ID]])</f>
        <v>395</v>
      </c>
      <c r="P1363" s="197">
        <v>760</v>
      </c>
      <c r="Q1363" s="74">
        <f>SIP[[#This Row],[Amount]]-SIP[[#This Row],[Unit Capital]]</f>
        <v>240</v>
      </c>
      <c r="R13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12.658227848101262</v>
      </c>
      <c r="S1363" s="46">
        <f t="shared" si="64"/>
        <v>14.224</v>
      </c>
      <c r="T13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3" s="74" cm="1">
        <f t="array" ref="U1363">IF(SIP[[#This Row],[B/S]]="S",ABS(SIP[[#This Row],[Unit]])*(INDEX(SIP[NAV at Cost (Average)],MATCH(CONCATENATE((SIP[[#This Row],[Frequency]]-1),SIP[[#This Row],[Investor ID]]),SIP[Unique Code],0),0)),0)</f>
        <v>0</v>
      </c>
      <c r="V1363" s="74">
        <f>IF(SIP[[#This Row],[BO TRANSFER]]="YES",SIP[[#This Row],[Unit]],)</f>
        <v>0</v>
      </c>
      <c r="W1363" s="74">
        <f>SUMIFS(SIP[[#Headers],[BO UNIT TRANSFER]]:SIP[[#This Row],[BO UNIT TRANSFER]],SIP[[#Headers],[Investor ID]]:SIP[[#This Row],[Investor ID]],SIP[[#This Row],[Investor ID]])</f>
        <v>0</v>
      </c>
    </row>
    <row r="1364" spans="1:23" ht="15" customHeight="1">
      <c r="A1364" s="101">
        <v>2025</v>
      </c>
      <c r="B1364" s="101">
        <v>8</v>
      </c>
      <c r="C1364" s="101">
        <v>26</v>
      </c>
      <c r="D1364" s="65">
        <f>DATE(SIP[[#This Row],[Year]],SIP[[#This Row],[Month]],SIP[[#This Row],[Day]])</f>
        <v>45895</v>
      </c>
      <c r="E1364" s="66" t="str" cm="1">
        <f t="array" ref="E1364">INDEX(INVESTORS_LIST[INVESTOR NAME],MATCH(SIP[[#This Row],[Investor ID]],INVESTORS_LIST[INVESTOR CODE],0),)</f>
        <v>RAJIB</v>
      </c>
      <c r="F1364" s="46" t="s">
        <v>1321</v>
      </c>
      <c r="G1364" s="46">
        <f>COUNTIF(SIP[[#Headers],[Investor ID]]:SIP[[#This Row],[Investor ID]],SIP[[#This Row],[Investor ID]])</f>
        <v>5</v>
      </c>
      <c r="H1364" s="46" t="str">
        <f>CONCATENATE(SIP[[#This Row],[Frequency]],SIP[[#This Row],[Investor ID]])</f>
        <v>5A00607</v>
      </c>
      <c r="I1364" s="46" t="str">
        <f>IF(SIP[[#This Row],[B/S]]="B","BUY",(IF(SIP[[#This Row],[B/S]]="S","SELL"," ")))</f>
        <v>BUY</v>
      </c>
      <c r="J1364" s="150" t="s">
        <v>1229</v>
      </c>
      <c r="K1364" s="153">
        <v>1000</v>
      </c>
      <c r="L1364" s="122"/>
      <c r="M1364" s="123">
        <f>SIP[[#This Row],[Amount]]/SIP[[#This Row],[Unit]]</f>
        <v>13.157894736842104</v>
      </c>
      <c r="N1364" s="71">
        <f>SIP[[#This Row],[Unit Capital]]/10</f>
        <v>76</v>
      </c>
      <c r="O1364" s="71">
        <f>SUMIFS(SIP[[#Headers],[Unit]]:SIP[[#This Row],[Unit]],SIP[[#Headers],[Investor ID]]:SIP[[#This Row],[Investor ID]],SIP[[#This Row],[Investor ID]])</f>
        <v>395</v>
      </c>
      <c r="P1364" s="197">
        <v>760</v>
      </c>
      <c r="Q1364" s="74">
        <f>SIP[[#This Row],[Amount]]-SIP[[#This Row],[Unit Capital]]</f>
        <v>240</v>
      </c>
      <c r="R13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12.658227848101262</v>
      </c>
      <c r="S1364" s="46">
        <f t="shared" si="64"/>
        <v>14.224</v>
      </c>
      <c r="T13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4" s="74" cm="1">
        <f t="array" ref="U1364">IF(SIP[[#This Row],[B/S]]="S",ABS(SIP[[#This Row],[Unit]])*(INDEX(SIP[NAV at Cost (Average)],MATCH(CONCATENATE((SIP[[#This Row],[Frequency]]-1),SIP[[#This Row],[Investor ID]]),SIP[Unique Code],0),0)),0)</f>
        <v>0</v>
      </c>
      <c r="V1364" s="74">
        <f>IF(SIP[[#This Row],[BO TRANSFER]]="YES",SIP[[#This Row],[Unit]],)</f>
        <v>0</v>
      </c>
      <c r="W1364" s="74">
        <f>SUMIFS(SIP[[#Headers],[BO UNIT TRANSFER]]:SIP[[#This Row],[BO UNIT TRANSFER]],SIP[[#Headers],[Investor ID]]:SIP[[#This Row],[Investor ID]],SIP[[#This Row],[Investor ID]])</f>
        <v>0</v>
      </c>
    </row>
    <row r="1365" spans="1:23" ht="15" customHeight="1">
      <c r="A1365" s="101">
        <v>2025</v>
      </c>
      <c r="B1365" s="101">
        <v>8</v>
      </c>
      <c r="C1365" s="101">
        <v>26</v>
      </c>
      <c r="D1365" s="65">
        <f>DATE(SIP[[#This Row],[Year]],SIP[[#This Row],[Month]],SIP[[#This Row],[Day]])</f>
        <v>45895</v>
      </c>
      <c r="E1365" s="66" t="str" cm="1">
        <f t="array" ref="E1365">INDEX(INVESTORS_LIST[INVESTOR NAME],MATCH(SIP[[#This Row],[Investor ID]],INVESTORS_LIST[INVESTOR CODE],0),)</f>
        <v>MD MIZANUR RAHMAN</v>
      </c>
      <c r="F1365" s="46" t="s">
        <v>336</v>
      </c>
      <c r="G1365" s="46">
        <f>COUNTIF(SIP[[#Headers],[Investor ID]]:SIP[[#This Row],[Investor ID]],SIP[[#This Row],[Investor ID]])</f>
        <v>1</v>
      </c>
      <c r="H1365" s="46" t="str">
        <f>CONCATENATE(SIP[[#This Row],[Frequency]],SIP[[#This Row],[Investor ID]])</f>
        <v>1A00144</v>
      </c>
      <c r="I1365" s="46" t="str">
        <f>IF(SIP[[#This Row],[B/S]]="B","BUY",(IF(SIP[[#This Row],[B/S]]="S","SELL"," ")))</f>
        <v>BUY</v>
      </c>
      <c r="J1365" s="150" t="s">
        <v>1229</v>
      </c>
      <c r="K1365" s="153">
        <v>5000</v>
      </c>
      <c r="L1365" s="122"/>
      <c r="M1365" s="123">
        <f>SIP[[#This Row],[Amount]]/SIP[[#This Row],[Unit]]</f>
        <v>13.157894736842104</v>
      </c>
      <c r="N1365" s="71">
        <f>SIP[[#This Row],[Unit Capital]]/10</f>
        <v>380</v>
      </c>
      <c r="O1365" s="71">
        <f>SUMIFS(SIP[[#Headers],[Unit]]:SIP[[#This Row],[Unit]],SIP[[#Headers],[Investor ID]]:SIP[[#This Row],[Investor ID]],SIP[[#This Row],[Investor ID]])</f>
        <v>380</v>
      </c>
      <c r="P1365" s="197">
        <v>3800</v>
      </c>
      <c r="Q1365" s="74">
        <f>SIP[[#This Row],[Amount]]-SIP[[#This Row],[Unit Capital]]</f>
        <v>1200</v>
      </c>
      <c r="R13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13.157894736842104</v>
      </c>
      <c r="S1365" s="46">
        <f t="shared" si="64"/>
        <v>14.224</v>
      </c>
      <c r="T13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5" s="74" cm="1">
        <f t="array" ref="U1365">IF(SIP[[#This Row],[B/S]]="S",ABS(SIP[[#This Row],[Unit]])*(INDEX(SIP[NAV at Cost (Average)],MATCH(CONCATENATE((SIP[[#This Row],[Frequency]]-1),SIP[[#This Row],[Investor ID]]),SIP[Unique Code],0),0)),0)</f>
        <v>0</v>
      </c>
      <c r="V1365" s="74">
        <f>IF(SIP[[#This Row],[BO TRANSFER]]="YES",SIP[[#This Row],[Unit]],)</f>
        <v>0</v>
      </c>
      <c r="W1365" s="74">
        <f>SUMIFS(SIP[[#Headers],[BO UNIT TRANSFER]]:SIP[[#This Row],[BO UNIT TRANSFER]],SIP[[#Headers],[Investor ID]]:SIP[[#This Row],[Investor ID]],SIP[[#This Row],[Investor ID]])</f>
        <v>0</v>
      </c>
    </row>
    <row r="1366" spans="1:23" ht="15" customHeight="1">
      <c r="A1366" s="101">
        <v>2025</v>
      </c>
      <c r="B1366" s="101">
        <v>8</v>
      </c>
      <c r="C1366" s="101">
        <v>26</v>
      </c>
      <c r="D1366" s="65">
        <f>DATE(SIP[[#This Row],[Year]],SIP[[#This Row],[Month]],SIP[[#This Row],[Day]])</f>
        <v>45895</v>
      </c>
      <c r="E1366" s="66" t="str" cm="1">
        <f t="array" ref="E1366">INDEX(INVESTORS_LIST[INVESTOR NAME],MATCH(SIP[[#This Row],[Investor ID]],INVESTORS_LIST[INVESTOR CODE],0),)</f>
        <v>MST. GOLENUR</v>
      </c>
      <c r="F1366" s="46" t="s">
        <v>1075</v>
      </c>
      <c r="G1366" s="46">
        <f>COUNTIF(SIP[[#Headers],[Investor ID]]:SIP[[#This Row],[Investor ID]],SIP[[#This Row],[Investor ID]])</f>
        <v>8</v>
      </c>
      <c r="H1366" s="46" t="str">
        <f>CONCATENATE(SIP[[#This Row],[Frequency]],SIP[[#This Row],[Investor ID]])</f>
        <v>8A00515</v>
      </c>
      <c r="I1366" s="46" t="str">
        <f>IF(SIP[[#This Row],[B/S]]="B","BUY",(IF(SIP[[#This Row],[B/S]]="S","SELL"," ")))</f>
        <v>BUY</v>
      </c>
      <c r="J1366" s="150" t="s">
        <v>1229</v>
      </c>
      <c r="K1366" s="153">
        <v>2000</v>
      </c>
      <c r="L1366" s="122"/>
      <c r="M1366" s="123">
        <f>SIP[[#This Row],[Amount]]/SIP[[#This Row],[Unit]]</f>
        <v>13.157894736842104</v>
      </c>
      <c r="N1366" s="71">
        <f>SIP[[#This Row],[Unit Capital]]/10</f>
        <v>152</v>
      </c>
      <c r="O1366" s="71">
        <f>SUMIFS(SIP[[#Headers],[Unit]]:SIP[[#This Row],[Unit]],SIP[[#Headers],[Investor ID]]:SIP[[#This Row],[Investor ID]],SIP[[#This Row],[Investor ID]])</f>
        <v>1286</v>
      </c>
      <c r="P1366" s="197">
        <v>1520</v>
      </c>
      <c r="Q1366" s="74">
        <f>SIP[[#This Row],[Amount]]-SIP[[#This Row],[Unit Capital]]</f>
        <v>480</v>
      </c>
      <c r="R13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12.441679626749611</v>
      </c>
      <c r="S1366" s="46">
        <f t="shared" si="64"/>
        <v>14.224</v>
      </c>
      <c r="T13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6" s="74" cm="1">
        <f t="array" ref="U1366">IF(SIP[[#This Row],[B/S]]="S",ABS(SIP[[#This Row],[Unit]])*(INDEX(SIP[NAV at Cost (Average)],MATCH(CONCATENATE((SIP[[#This Row],[Frequency]]-1),SIP[[#This Row],[Investor ID]]),SIP[Unique Code],0),0)),0)</f>
        <v>0</v>
      </c>
      <c r="V1366" s="74">
        <f>IF(SIP[[#This Row],[BO TRANSFER]]="YES",SIP[[#This Row],[Unit]],)</f>
        <v>0</v>
      </c>
      <c r="W1366" s="74">
        <f>SUMIFS(SIP[[#Headers],[BO UNIT TRANSFER]]:SIP[[#This Row],[BO UNIT TRANSFER]],SIP[[#Headers],[Investor ID]]:SIP[[#This Row],[Investor ID]],SIP[[#This Row],[Investor ID]])</f>
        <v>0</v>
      </c>
    </row>
    <row r="1367" spans="1:23" ht="15" customHeight="1">
      <c r="A1367" s="101">
        <v>2025</v>
      </c>
      <c r="B1367" s="101">
        <v>8</v>
      </c>
      <c r="C1367" s="101">
        <v>26</v>
      </c>
      <c r="D1367" s="65">
        <f>DATE(SIP[[#This Row],[Year]],SIP[[#This Row],[Month]],SIP[[#This Row],[Day]])</f>
        <v>45895</v>
      </c>
      <c r="E1367" s="66" t="str" cm="1">
        <f t="array" ref="E1367">INDEX(INVESTORS_LIST[INVESTOR NAME],MATCH(SIP[[#This Row],[Investor ID]],INVESTORS_LIST[INVESTOR CODE],0),)</f>
        <v>RUMA AKTER</v>
      </c>
      <c r="F1367" s="46" t="s">
        <v>1323</v>
      </c>
      <c r="G1367" s="46">
        <f>COUNTIF(SIP[[#Headers],[Investor ID]]:SIP[[#This Row],[Investor ID]],SIP[[#This Row],[Investor ID]])</f>
        <v>6</v>
      </c>
      <c r="H1367" s="46" t="str">
        <f>CONCATENATE(SIP[[#This Row],[Frequency]],SIP[[#This Row],[Investor ID]])</f>
        <v>6A00608</v>
      </c>
      <c r="I1367" s="46" t="str">
        <f>IF(SIP[[#This Row],[B/S]]="B","BUY",(IF(SIP[[#This Row],[B/S]]="S","SELL"," ")))</f>
        <v>BUY</v>
      </c>
      <c r="J1367" s="150" t="s">
        <v>1229</v>
      </c>
      <c r="K1367" s="153">
        <v>1000</v>
      </c>
      <c r="L1367" s="122"/>
      <c r="M1367" s="123">
        <f>SIP[[#This Row],[Amount]]/SIP[[#This Row],[Unit]]</f>
        <v>13.157894736842104</v>
      </c>
      <c r="N1367" s="71">
        <f>SIP[[#This Row],[Unit Capital]]/10</f>
        <v>76</v>
      </c>
      <c r="O1367" s="71">
        <f>SUMIFS(SIP[[#Headers],[Unit]]:SIP[[#This Row],[Unit]],SIP[[#Headers],[Investor ID]]:SIP[[#This Row],[Investor ID]],SIP[[#This Row],[Investor ID]])</f>
        <v>471</v>
      </c>
      <c r="P1367" s="197">
        <v>760</v>
      </c>
      <c r="Q1367" s="74">
        <f>SIP[[#This Row],[Amount]]-SIP[[#This Row],[Unit Capital]]</f>
        <v>240</v>
      </c>
      <c r="R13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12.738853503184711</v>
      </c>
      <c r="S1367" s="46">
        <f t="shared" si="64"/>
        <v>14.224</v>
      </c>
      <c r="T13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7" s="74" cm="1">
        <f t="array" ref="U1367">IF(SIP[[#This Row],[B/S]]="S",ABS(SIP[[#This Row],[Unit]])*(INDEX(SIP[NAV at Cost (Average)],MATCH(CONCATENATE((SIP[[#This Row],[Frequency]]-1),SIP[[#This Row],[Investor ID]]),SIP[Unique Code],0),0)),0)</f>
        <v>0</v>
      </c>
      <c r="V1367" s="74">
        <f>IF(SIP[[#This Row],[BO TRANSFER]]="YES",SIP[[#This Row],[Unit]],)</f>
        <v>0</v>
      </c>
      <c r="W1367" s="74">
        <f>SUMIFS(SIP[[#Headers],[BO UNIT TRANSFER]]:SIP[[#This Row],[BO UNIT TRANSFER]],SIP[[#Headers],[Investor ID]]:SIP[[#This Row],[Investor ID]],SIP[[#This Row],[Investor ID]])</f>
        <v>0</v>
      </c>
    </row>
    <row r="1368" spans="1:23" ht="15" customHeight="1">
      <c r="A1368" s="101">
        <v>2025</v>
      </c>
      <c r="B1368" s="101">
        <v>8</v>
      </c>
      <c r="C1368" s="101">
        <v>26</v>
      </c>
      <c r="D1368" s="65">
        <f>DATE(SIP[[#This Row],[Year]],SIP[[#This Row],[Month]],SIP[[#This Row],[Day]])</f>
        <v>45895</v>
      </c>
      <c r="E1368" s="66" t="str" cm="1">
        <f t="array" ref="E1368">INDEX(INVESTORS_LIST[INVESTOR NAME],MATCH(SIP[[#This Row],[Investor ID]],INVESTORS_LIST[INVESTOR CODE],0),)</f>
        <v>SADIA PARVIN</v>
      </c>
      <c r="F1368" s="46" t="s">
        <v>1018</v>
      </c>
      <c r="G1368" s="46">
        <f>COUNTIF(SIP[[#Headers],[Investor ID]]:SIP[[#This Row],[Investor ID]],SIP[[#This Row],[Investor ID]])</f>
        <v>43</v>
      </c>
      <c r="H1368" s="46" t="str">
        <f>CONCATENATE(SIP[[#This Row],[Frequency]],SIP[[#This Row],[Investor ID]])</f>
        <v>43A00486</v>
      </c>
      <c r="I1368" s="46" t="str">
        <f>IF(SIP[[#This Row],[B/S]]="B","BUY",(IF(SIP[[#This Row],[B/S]]="S","SELL"," ")))</f>
        <v>BUY</v>
      </c>
      <c r="J1368" s="150" t="s">
        <v>1229</v>
      </c>
      <c r="K1368" s="153">
        <v>5000</v>
      </c>
      <c r="L1368" s="122"/>
      <c r="M1368" s="123">
        <f>SIP[[#This Row],[Amount]]/SIP[[#This Row],[Unit]]</f>
        <v>13.157894736842104</v>
      </c>
      <c r="N1368" s="71">
        <f>SIP[[#This Row],[Unit Capital]]/10</f>
        <v>380</v>
      </c>
      <c r="O1368" s="71">
        <f>SUMIFS(SIP[[#Headers],[Unit]]:SIP[[#This Row],[Unit]],SIP[[#Headers],[Investor ID]]:SIP[[#This Row],[Investor ID]],SIP[[#This Row],[Investor ID]])</f>
        <v>18612</v>
      </c>
      <c r="P1368" s="197">
        <v>3800</v>
      </c>
      <c r="Q1368" s="74">
        <f>SIP[[#This Row],[Amount]]-SIP[[#This Row],[Unit Capital]]</f>
        <v>1200</v>
      </c>
      <c r="R13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11.551687083601978</v>
      </c>
      <c r="S1368" s="46">
        <f t="shared" si="64"/>
        <v>14.224</v>
      </c>
      <c r="T13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8" s="74" cm="1">
        <f t="array" ref="U1368">IF(SIP[[#This Row],[B/S]]="S",ABS(SIP[[#This Row],[Unit]])*(INDEX(SIP[NAV at Cost (Average)],MATCH(CONCATENATE((SIP[[#This Row],[Frequency]]-1),SIP[[#This Row],[Investor ID]]),SIP[Unique Code],0),0)),0)</f>
        <v>0</v>
      </c>
      <c r="V1368" s="74">
        <f>IF(SIP[[#This Row],[BO TRANSFER]]="YES",SIP[[#This Row],[Unit]],)</f>
        <v>0</v>
      </c>
      <c r="W1368" s="74">
        <f>SUMIFS(SIP[[#Headers],[BO UNIT TRANSFER]]:SIP[[#This Row],[BO UNIT TRANSFER]],SIP[[#Headers],[Investor ID]]:SIP[[#This Row],[Investor ID]],SIP[[#This Row],[Investor ID]])</f>
        <v>0</v>
      </c>
    </row>
    <row r="1369" spans="1:23" ht="15" customHeight="1">
      <c r="A1369" s="101">
        <v>2025</v>
      </c>
      <c r="B1369" s="101">
        <v>8</v>
      </c>
      <c r="C1369" s="101">
        <v>26</v>
      </c>
      <c r="D1369" s="65">
        <f>DATE(SIP[[#This Row],[Year]],SIP[[#This Row],[Month]],SIP[[#This Row],[Day]])</f>
        <v>45895</v>
      </c>
      <c r="E1369" s="66" t="str" cm="1">
        <f t="array" ref="E1369">INDEX(INVESTORS_LIST[INVESTOR NAME],MATCH(SIP[[#This Row],[Investor ID]],INVESTORS_LIST[INVESTOR CODE],0),)</f>
        <v>MD. WALI ULLAH</v>
      </c>
      <c r="F1369" s="46" t="s">
        <v>443</v>
      </c>
      <c r="G1369" s="46">
        <f>COUNTIF(SIP[[#Headers],[Investor ID]]:SIP[[#This Row],[Investor ID]],SIP[[#This Row],[Investor ID]])</f>
        <v>28</v>
      </c>
      <c r="H1369" s="46" t="str">
        <f>CONCATENATE(SIP[[#This Row],[Frequency]],SIP[[#This Row],[Investor ID]])</f>
        <v>28A00197</v>
      </c>
      <c r="I1369" s="46" t="str">
        <f>IF(SIP[[#This Row],[B/S]]="B","BUY",(IF(SIP[[#This Row],[B/S]]="S","SELL"," ")))</f>
        <v>BUY</v>
      </c>
      <c r="J1369" s="150" t="s">
        <v>1229</v>
      </c>
      <c r="K1369" s="153">
        <v>15000</v>
      </c>
      <c r="L1369" s="122"/>
      <c r="M1369" s="123">
        <f>SIP[[#This Row],[Amount]]/SIP[[#This Row],[Unit]]</f>
        <v>13.169446883230904</v>
      </c>
      <c r="N1369" s="71">
        <f>SIP[[#This Row],[Unit Capital]]/10</f>
        <v>1139</v>
      </c>
      <c r="O1369" s="71">
        <f>SUMIFS(SIP[[#Headers],[Unit]]:SIP[[#This Row],[Unit]],SIP[[#Headers],[Investor ID]]:SIP[[#This Row],[Investor ID]],SIP[[#This Row],[Investor ID]])</f>
        <v>37114</v>
      </c>
      <c r="P1369" s="197">
        <v>11390</v>
      </c>
      <c r="Q1369" s="74">
        <f>SIP[[#This Row],[Amount]]-SIP[[#This Row],[Unit Capital]]</f>
        <v>3610</v>
      </c>
      <c r="R13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11.316484345529988</v>
      </c>
      <c r="S1369" s="46">
        <f t="shared" si="64"/>
        <v>14.224</v>
      </c>
      <c r="T13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9" s="74" cm="1">
        <f t="array" ref="U1369">IF(SIP[[#This Row],[B/S]]="S",ABS(SIP[[#This Row],[Unit]])*(INDEX(SIP[NAV at Cost (Average)],MATCH(CONCATENATE((SIP[[#This Row],[Frequency]]-1),SIP[[#This Row],[Investor ID]]),SIP[Unique Code],0),0)),0)</f>
        <v>0</v>
      </c>
      <c r="V1369" s="74">
        <f>IF(SIP[[#This Row],[BO TRANSFER]]="YES",SIP[[#This Row],[Unit]],)</f>
        <v>0</v>
      </c>
      <c r="W1369" s="74">
        <f>SUMIFS(SIP[[#Headers],[BO UNIT TRANSFER]]:SIP[[#This Row],[BO UNIT TRANSFER]],SIP[[#Headers],[Investor ID]]:SIP[[#This Row],[Investor ID]],SIP[[#This Row],[Investor ID]])</f>
        <v>0</v>
      </c>
    </row>
    <row r="1370" spans="1:23" ht="15" customHeight="1">
      <c r="A1370" s="101">
        <v>2025</v>
      </c>
      <c r="B1370" s="101">
        <v>8</v>
      </c>
      <c r="C1370" s="101">
        <v>26</v>
      </c>
      <c r="D1370" s="65">
        <f>DATE(SIP[[#This Row],[Year]],SIP[[#This Row],[Month]],SIP[[#This Row],[Day]])</f>
        <v>45895</v>
      </c>
      <c r="E1370" s="66" t="str" cm="1">
        <f t="array" ref="E1370">INDEX(INVESTORS_LIST[INVESTOR NAME],MATCH(SIP[[#This Row],[Investor ID]],INVESTORS_LIST[INVESTOR CODE],0),)</f>
        <v>MAYA RANI SAHA</v>
      </c>
      <c r="F1370" s="46" t="s">
        <v>224</v>
      </c>
      <c r="G1370" s="46">
        <f>COUNTIF(SIP[[#Headers],[Investor ID]]:SIP[[#This Row],[Investor ID]],SIP[[#This Row],[Investor ID]])</f>
        <v>63</v>
      </c>
      <c r="H1370" s="46" t="str">
        <f>CONCATENATE(SIP[[#This Row],[Frequency]],SIP[[#This Row],[Investor ID]])</f>
        <v>63A00088</v>
      </c>
      <c r="I1370" s="46" t="str">
        <f>IF(SIP[[#This Row],[B/S]]="B","BUY",(IF(SIP[[#This Row],[B/S]]="S","SELL"," ")))</f>
        <v>BUY</v>
      </c>
      <c r="J1370" s="150" t="s">
        <v>1229</v>
      </c>
      <c r="K1370" s="153">
        <v>14000</v>
      </c>
      <c r="L1370" s="122"/>
      <c r="M1370" s="123">
        <f>SIP[[#This Row],[Amount]]/SIP[[#This Row],[Unit]]</f>
        <v>13.157894736842104</v>
      </c>
      <c r="N1370" s="71">
        <f>SIP[[#This Row],[Unit Capital]]/10</f>
        <v>1064</v>
      </c>
      <c r="O1370" s="71">
        <f>SUMIFS(SIP[[#Headers],[Unit]]:SIP[[#This Row],[Unit]],SIP[[#Headers],[Investor ID]]:SIP[[#This Row],[Investor ID]],SIP[[#This Row],[Investor ID]])</f>
        <v>74897</v>
      </c>
      <c r="P1370" s="197">
        <v>10640</v>
      </c>
      <c r="Q1370" s="74">
        <f>SIP[[#This Row],[Amount]]-SIP[[#This Row],[Unit Capital]]</f>
        <v>3360</v>
      </c>
      <c r="R13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11.696062592627204</v>
      </c>
      <c r="S1370" s="46">
        <f t="shared" si="64"/>
        <v>14.224</v>
      </c>
      <c r="T13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0" s="74" cm="1">
        <f t="array" ref="U1370">IF(SIP[[#This Row],[B/S]]="S",ABS(SIP[[#This Row],[Unit]])*(INDEX(SIP[NAV at Cost (Average)],MATCH(CONCATENATE((SIP[[#This Row],[Frequency]]-1),SIP[[#This Row],[Investor ID]]),SIP[Unique Code],0),0)),0)</f>
        <v>0</v>
      </c>
      <c r="V1370" s="74">
        <f>IF(SIP[[#This Row],[BO TRANSFER]]="YES",SIP[[#This Row],[Unit]],)</f>
        <v>0</v>
      </c>
      <c r="W1370" s="74">
        <f>SUMIFS(SIP[[#Headers],[BO UNIT TRANSFER]]:SIP[[#This Row],[BO UNIT TRANSFER]],SIP[[#Headers],[Investor ID]]:SIP[[#This Row],[Investor ID]],SIP[[#This Row],[Investor ID]])</f>
        <v>0</v>
      </c>
    </row>
    <row r="1371" spans="1:23" ht="15" customHeight="1">
      <c r="A1371" s="101">
        <v>2025</v>
      </c>
      <c r="B1371" s="101">
        <v>8</v>
      </c>
      <c r="C1371" s="101">
        <v>26</v>
      </c>
      <c r="D1371" s="65">
        <f>DATE(SIP[[#This Row],[Year]],SIP[[#This Row],[Month]],SIP[[#This Row],[Day]])</f>
        <v>45895</v>
      </c>
      <c r="E1371" s="66" t="str" cm="1">
        <f t="array" ref="E1371">INDEX(INVESTORS_LIST[INVESTOR NAME],MATCH(SIP[[#This Row],[Investor ID]],INVESTORS_LIST[INVESTOR CODE],0),)</f>
        <v>SIKDER FAZLE RABBI</v>
      </c>
      <c r="F1371" s="46" t="s">
        <v>1032</v>
      </c>
      <c r="G1371" s="46">
        <f>COUNTIF(SIP[[#Headers],[Investor ID]]:SIP[[#This Row],[Investor ID]],SIP[[#This Row],[Investor ID]])</f>
        <v>27</v>
      </c>
      <c r="H1371" s="46" t="str">
        <f>CONCATENATE(SIP[[#This Row],[Frequency]],SIP[[#This Row],[Investor ID]])</f>
        <v>27A00493</v>
      </c>
      <c r="I1371" s="46" t="str">
        <f>IF(SIP[[#This Row],[B/S]]="B","BUY",(IF(SIP[[#This Row],[B/S]]="S","SELL"," ")))</f>
        <v>BUY</v>
      </c>
      <c r="J1371" s="150" t="s">
        <v>1229</v>
      </c>
      <c r="K1371" s="153">
        <v>5000</v>
      </c>
      <c r="L1371" s="122"/>
      <c r="M1371" s="123">
        <f>SIP[[#This Row],[Amount]]/SIP[[#This Row],[Unit]]</f>
        <v>13.157894736842104</v>
      </c>
      <c r="N1371" s="71">
        <f>SIP[[#This Row],[Unit Capital]]/10</f>
        <v>380</v>
      </c>
      <c r="O1371" s="71">
        <f>SUMIFS(SIP[[#Headers],[Unit]]:SIP[[#This Row],[Unit]],SIP[[#Headers],[Investor ID]]:SIP[[#This Row],[Investor ID]],SIP[[#This Row],[Investor ID]])</f>
        <v>11879</v>
      </c>
      <c r="P1371" s="197">
        <v>3800</v>
      </c>
      <c r="Q1371" s="74">
        <f>SIP[[#This Row],[Amount]]-SIP[[#This Row],[Unit Capital]]</f>
        <v>1200</v>
      </c>
      <c r="R13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11.364592979207007</v>
      </c>
      <c r="S1371" s="46">
        <f t="shared" si="64"/>
        <v>14.224</v>
      </c>
      <c r="T13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1" s="74" cm="1">
        <f t="array" ref="U1371">IF(SIP[[#This Row],[B/S]]="S",ABS(SIP[[#This Row],[Unit]])*(INDEX(SIP[NAV at Cost (Average)],MATCH(CONCATENATE((SIP[[#This Row],[Frequency]]-1),SIP[[#This Row],[Investor ID]]),SIP[Unique Code],0),0)),0)</f>
        <v>0</v>
      </c>
      <c r="V1371" s="74">
        <f>IF(SIP[[#This Row],[BO TRANSFER]]="YES",SIP[[#This Row],[Unit]],)</f>
        <v>0</v>
      </c>
      <c r="W1371" s="74">
        <f>SUMIFS(SIP[[#Headers],[BO UNIT TRANSFER]]:SIP[[#This Row],[BO UNIT TRANSFER]],SIP[[#Headers],[Investor ID]]:SIP[[#This Row],[Investor ID]],SIP[[#This Row],[Investor ID]])</f>
        <v>0</v>
      </c>
    </row>
    <row r="1372" spans="1:23" ht="15" customHeight="1">
      <c r="A1372" s="101">
        <v>2025</v>
      </c>
      <c r="B1372" s="101">
        <v>8</v>
      </c>
      <c r="C1372" s="101">
        <v>26</v>
      </c>
      <c r="D1372" s="65">
        <f>DATE(SIP[[#This Row],[Year]],SIP[[#This Row],[Month]],SIP[[#This Row],[Day]])</f>
        <v>45895</v>
      </c>
      <c r="E1372" s="66" t="str" cm="1">
        <f t="array" ref="E1372">INDEX(INVESTORS_LIST[INVESTOR NAME],MATCH(SIP[[#This Row],[Investor ID]],INVESTORS_LIST[INVESTOR CODE],0),)</f>
        <v>MOHAMMED SHARIFUL ISLAM</v>
      </c>
      <c r="F1372" s="46" t="s">
        <v>1028</v>
      </c>
      <c r="G1372" s="46">
        <f>COUNTIF(SIP[[#Headers],[Investor ID]]:SIP[[#This Row],[Investor ID]],SIP[[#This Row],[Investor ID]])</f>
        <v>27</v>
      </c>
      <c r="H1372" s="46" t="str">
        <f>CONCATENATE(SIP[[#This Row],[Frequency]],SIP[[#This Row],[Investor ID]])</f>
        <v>27A00491</v>
      </c>
      <c r="I1372" s="46" t="str">
        <f>IF(SIP[[#This Row],[B/S]]="B","BUY",(IF(SIP[[#This Row],[B/S]]="S","SELL"," ")))</f>
        <v>BUY</v>
      </c>
      <c r="J1372" s="150" t="s">
        <v>1229</v>
      </c>
      <c r="K1372" s="153">
        <v>5000</v>
      </c>
      <c r="L1372" s="122"/>
      <c r="M1372" s="123">
        <f>SIP[[#This Row],[Amount]]/SIP[[#This Row],[Unit]]</f>
        <v>13.157894736842104</v>
      </c>
      <c r="N1372" s="71">
        <f>SIP[[#This Row],[Unit Capital]]/10</f>
        <v>380</v>
      </c>
      <c r="O1372" s="71">
        <f>SUMIFS(SIP[[#Headers],[Unit]]:SIP[[#This Row],[Unit]],SIP[[#Headers],[Investor ID]]:SIP[[#This Row],[Investor ID]],SIP[[#This Row],[Investor ID]])</f>
        <v>11879</v>
      </c>
      <c r="P1372" s="197">
        <v>3800</v>
      </c>
      <c r="Q1372" s="74">
        <f>SIP[[#This Row],[Amount]]-SIP[[#This Row],[Unit Capital]]</f>
        <v>1200</v>
      </c>
      <c r="R13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11.364592979207007</v>
      </c>
      <c r="S1372" s="46">
        <f t="shared" si="64"/>
        <v>14.224</v>
      </c>
      <c r="T13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2" s="74" cm="1">
        <f t="array" ref="U1372">IF(SIP[[#This Row],[B/S]]="S",ABS(SIP[[#This Row],[Unit]])*(INDEX(SIP[NAV at Cost (Average)],MATCH(CONCATENATE((SIP[[#This Row],[Frequency]]-1),SIP[[#This Row],[Investor ID]]),SIP[Unique Code],0),0)),0)</f>
        <v>0</v>
      </c>
      <c r="V1372" s="74">
        <f>IF(SIP[[#This Row],[BO TRANSFER]]="YES",SIP[[#This Row],[Unit]],)</f>
        <v>0</v>
      </c>
      <c r="W1372" s="74">
        <f>SUMIFS(SIP[[#Headers],[BO UNIT TRANSFER]]:SIP[[#This Row],[BO UNIT TRANSFER]],SIP[[#Headers],[Investor ID]]:SIP[[#This Row],[Investor ID]],SIP[[#This Row],[Investor ID]])</f>
        <v>0</v>
      </c>
    </row>
    <row r="1373" spans="1:23" ht="15" customHeight="1">
      <c r="A1373" s="101">
        <v>2025</v>
      </c>
      <c r="B1373" s="101">
        <v>8</v>
      </c>
      <c r="C1373" s="101">
        <v>26</v>
      </c>
      <c r="D1373" s="65">
        <f>DATE(SIP[[#This Row],[Year]],SIP[[#This Row],[Month]],SIP[[#This Row],[Day]])</f>
        <v>45895</v>
      </c>
      <c r="E1373" s="66" t="str" cm="1">
        <f t="array" ref="E1373">INDEX(INVESTORS_LIST[INVESTOR NAME],MATCH(SIP[[#This Row],[Investor ID]],INVESTORS_LIST[INVESTOR CODE],0),)</f>
        <v>ADNAN RASHID</v>
      </c>
      <c r="F1373" s="46" t="s">
        <v>252</v>
      </c>
      <c r="G1373" s="46">
        <f>COUNTIF(SIP[[#Headers],[Investor ID]]:SIP[[#This Row],[Investor ID]],SIP[[#This Row],[Investor ID]])</f>
        <v>24</v>
      </c>
      <c r="H1373" s="46" t="str">
        <f>CONCATENATE(SIP[[#This Row],[Frequency]],SIP[[#This Row],[Investor ID]])</f>
        <v>24A00102</v>
      </c>
      <c r="I1373" s="46" t="str">
        <f>IF(SIP[[#This Row],[B/S]]="B","BUY",(IF(SIP[[#This Row],[B/S]]="S","SELL"," ")))</f>
        <v>BUY</v>
      </c>
      <c r="J1373" s="150" t="s">
        <v>1229</v>
      </c>
      <c r="K1373" s="153">
        <v>30000</v>
      </c>
      <c r="L1373" s="122"/>
      <c r="M1373" s="123">
        <f>SIP[[#This Row],[Amount]]/SIP[[#This Row],[Unit]]</f>
        <v>13.163668275559456</v>
      </c>
      <c r="N1373" s="71">
        <f>SIP[[#This Row],[Unit Capital]]/10</f>
        <v>2279</v>
      </c>
      <c r="O1373" s="71">
        <f>SUMIFS(SIP[[#Headers],[Unit]]:SIP[[#This Row],[Unit]],SIP[[#Headers],[Investor ID]]:SIP[[#This Row],[Investor ID]],SIP[[#This Row],[Investor ID]])</f>
        <v>41966</v>
      </c>
      <c r="P1373" s="197">
        <v>22790</v>
      </c>
      <c r="Q1373" s="74">
        <f>SIP[[#This Row],[Amount]]-SIP[[#This Row],[Unit Capital]]</f>
        <v>7210</v>
      </c>
      <c r="R13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11.797065547254473</v>
      </c>
      <c r="S1373" s="46">
        <f t="shared" si="64"/>
        <v>14.224</v>
      </c>
      <c r="T13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3" s="74" cm="1">
        <f t="array" ref="U1373">IF(SIP[[#This Row],[B/S]]="S",ABS(SIP[[#This Row],[Unit]])*(INDEX(SIP[NAV at Cost (Average)],MATCH(CONCATENATE((SIP[[#This Row],[Frequency]]-1),SIP[[#This Row],[Investor ID]]),SIP[Unique Code],0),0)),0)</f>
        <v>0</v>
      </c>
      <c r="V1373" s="74">
        <f>IF(SIP[[#This Row],[BO TRANSFER]]="YES",SIP[[#This Row],[Unit]],)</f>
        <v>0</v>
      </c>
      <c r="W1373" s="74">
        <f>SUMIFS(SIP[[#Headers],[BO UNIT TRANSFER]]:SIP[[#This Row],[BO UNIT TRANSFER]],SIP[[#Headers],[Investor ID]]:SIP[[#This Row],[Investor ID]],SIP[[#This Row],[Investor ID]])</f>
        <v>0</v>
      </c>
    </row>
    <row r="1374" spans="1:23" ht="15" customHeight="1">
      <c r="A1374" s="101">
        <v>2025</v>
      </c>
      <c r="B1374" s="101">
        <v>8</v>
      </c>
      <c r="C1374" s="101">
        <v>26</v>
      </c>
      <c r="D1374" s="65">
        <f>DATE(SIP[[#This Row],[Year]],SIP[[#This Row],[Month]],SIP[[#This Row],[Day]])</f>
        <v>45895</v>
      </c>
      <c r="E1374" s="66" t="str" cm="1">
        <f t="array" ref="E1374">INDEX(INVESTORS_LIST[INVESTOR NAME],MATCH(SIP[[#This Row],[Investor ID]],INVESTORS_LIST[INVESTOR CODE],0),)</f>
        <v>MD ABDULLAH-AL- MAMUN</v>
      </c>
      <c r="F1374" s="46" t="s">
        <v>533</v>
      </c>
      <c r="G1374" s="46">
        <f>COUNTIF(SIP[[#Headers],[Investor ID]]:SIP[[#This Row],[Investor ID]],SIP[[#This Row],[Investor ID]])</f>
        <v>26</v>
      </c>
      <c r="H1374" s="46" t="str">
        <f>CONCATENATE(SIP[[#This Row],[Frequency]],SIP[[#This Row],[Investor ID]])</f>
        <v>26A00242</v>
      </c>
      <c r="I1374" s="46" t="str">
        <f>IF(SIP[[#This Row],[B/S]]="B","BUY",(IF(SIP[[#This Row],[B/S]]="S","SELL"," ")))</f>
        <v>BUY</v>
      </c>
      <c r="J1374" s="150" t="s">
        <v>1229</v>
      </c>
      <c r="K1374" s="153">
        <v>15000</v>
      </c>
      <c r="L1374" s="122"/>
      <c r="M1374" s="123">
        <f>SIP[[#This Row],[Amount]]/SIP[[#This Row],[Unit]]</f>
        <v>13.169446883230904</v>
      </c>
      <c r="N1374" s="71">
        <f>SIP[[#This Row],[Unit Capital]]/10</f>
        <v>1139</v>
      </c>
      <c r="O1374" s="71">
        <f>SUMIFS(SIP[[#Headers],[Unit]]:SIP[[#This Row],[Unit]],SIP[[#Headers],[Investor ID]]:SIP[[#This Row],[Investor ID]],SIP[[#This Row],[Investor ID]])</f>
        <v>32198</v>
      </c>
      <c r="P1374" s="197">
        <v>11390</v>
      </c>
      <c r="Q1374" s="74">
        <f>SIP[[#This Row],[Amount]]-SIP[[#This Row],[Unit Capital]]</f>
        <v>3610</v>
      </c>
      <c r="R13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11.646686129573268</v>
      </c>
      <c r="S1374" s="46">
        <f t="shared" si="64"/>
        <v>14.224</v>
      </c>
      <c r="T13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4" s="74" cm="1">
        <f t="array" ref="U1374">IF(SIP[[#This Row],[B/S]]="S",ABS(SIP[[#This Row],[Unit]])*(INDEX(SIP[NAV at Cost (Average)],MATCH(CONCATENATE((SIP[[#This Row],[Frequency]]-1),SIP[[#This Row],[Investor ID]]),SIP[Unique Code],0),0)),0)</f>
        <v>0</v>
      </c>
      <c r="V1374" s="74">
        <f>IF(SIP[[#This Row],[BO TRANSFER]]="YES",SIP[[#This Row],[Unit]],)</f>
        <v>0</v>
      </c>
      <c r="W1374" s="74">
        <f>SUMIFS(SIP[[#Headers],[BO UNIT TRANSFER]]:SIP[[#This Row],[BO UNIT TRANSFER]],SIP[[#Headers],[Investor ID]]:SIP[[#This Row],[Investor ID]],SIP[[#This Row],[Investor ID]])</f>
        <v>0</v>
      </c>
    </row>
    <row r="1375" spans="1:23" ht="15" customHeight="1">
      <c r="A1375" s="101">
        <v>2025</v>
      </c>
      <c r="B1375" s="101">
        <v>8</v>
      </c>
      <c r="C1375" s="101">
        <v>26</v>
      </c>
      <c r="D1375" s="65">
        <f>DATE(SIP[[#This Row],[Year]],SIP[[#This Row],[Month]],SIP[[#This Row],[Day]])</f>
        <v>45895</v>
      </c>
      <c r="E1375" s="66" t="str" cm="1">
        <f t="array" ref="E1375">INDEX(INVESTORS_LIST[INVESTOR NAME],MATCH(SIP[[#This Row],[Investor ID]],INVESTORS_LIST[INVESTOR CODE],0),)</f>
        <v>ABU MUSA MIRZA KAMRUZZAMAN SHAHEE</v>
      </c>
      <c r="F1375" s="46" t="s">
        <v>1012</v>
      </c>
      <c r="G1375" s="46">
        <f>COUNTIF(SIP[[#Headers],[Investor ID]]:SIP[[#This Row],[Investor ID]],SIP[[#This Row],[Investor ID]])</f>
        <v>27</v>
      </c>
      <c r="H1375" s="46" t="str">
        <f>CONCATENATE(SIP[[#This Row],[Frequency]],SIP[[#This Row],[Investor ID]])</f>
        <v>27A00483</v>
      </c>
      <c r="I1375" s="46" t="str">
        <f>IF(SIP[[#This Row],[B/S]]="B","BUY",(IF(SIP[[#This Row],[B/S]]="S","SELL"," ")))</f>
        <v>BUY</v>
      </c>
      <c r="J1375" s="150" t="s">
        <v>1229</v>
      </c>
      <c r="K1375" s="153">
        <v>5000</v>
      </c>
      <c r="L1375" s="122"/>
      <c r="M1375" s="123">
        <f>SIP[[#This Row],[Amount]]/SIP[[#This Row],[Unit]]</f>
        <v>13.157894736842104</v>
      </c>
      <c r="N1375" s="71">
        <f>SIP[[#This Row],[Unit Capital]]/10</f>
        <v>380</v>
      </c>
      <c r="O1375" s="71">
        <f>SUMIFS(SIP[[#Headers],[Unit]]:SIP[[#This Row],[Unit]],SIP[[#Headers],[Investor ID]]:SIP[[#This Row],[Investor ID]],SIP[[#This Row],[Investor ID]])</f>
        <v>11879</v>
      </c>
      <c r="P1375" s="197">
        <v>3800</v>
      </c>
      <c r="Q1375" s="74">
        <f>SIP[[#This Row],[Amount]]-SIP[[#This Row],[Unit Capital]]</f>
        <v>1200</v>
      </c>
      <c r="R13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11.364592979207007</v>
      </c>
      <c r="S1375" s="46">
        <f t="shared" si="64"/>
        <v>14.224</v>
      </c>
      <c r="T13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5" s="74" cm="1">
        <f t="array" ref="U1375">IF(SIP[[#This Row],[B/S]]="S",ABS(SIP[[#This Row],[Unit]])*(INDEX(SIP[NAV at Cost (Average)],MATCH(CONCATENATE((SIP[[#This Row],[Frequency]]-1),SIP[[#This Row],[Investor ID]]),SIP[Unique Code],0),0)),0)</f>
        <v>0</v>
      </c>
      <c r="V1375" s="74">
        <f>IF(SIP[[#This Row],[BO TRANSFER]]="YES",SIP[[#This Row],[Unit]],)</f>
        <v>0</v>
      </c>
      <c r="W1375" s="74">
        <f>SUMIFS(SIP[[#Headers],[BO UNIT TRANSFER]]:SIP[[#This Row],[BO UNIT TRANSFER]],SIP[[#Headers],[Investor ID]]:SIP[[#This Row],[Investor ID]],SIP[[#This Row],[Investor ID]])</f>
        <v>0</v>
      </c>
    </row>
    <row r="1376" spans="1:23" ht="15" customHeight="1">
      <c r="A1376" s="101">
        <v>2025</v>
      </c>
      <c r="B1376" s="101">
        <v>8</v>
      </c>
      <c r="C1376" s="101">
        <v>26</v>
      </c>
      <c r="D1376" s="65">
        <f>DATE(SIP[[#This Row],[Year]],SIP[[#This Row],[Month]],SIP[[#This Row],[Day]])</f>
        <v>45895</v>
      </c>
      <c r="E1376" s="66" t="str" cm="1">
        <f t="array" ref="E1376">INDEX(INVESTORS_LIST[INVESTOR NAME],MATCH(SIP[[#This Row],[Investor ID]],INVESTORS_LIST[INVESTOR CODE],0),)</f>
        <v>SUMAN SAHA</v>
      </c>
      <c r="F1376" s="46" t="s">
        <v>1022</v>
      </c>
      <c r="G1376" s="46">
        <f>COUNTIF(SIP[[#Headers],[Investor ID]]:SIP[[#This Row],[Investor ID]],SIP[[#This Row],[Investor ID]])</f>
        <v>27</v>
      </c>
      <c r="H1376" s="46" t="str">
        <f>CONCATENATE(SIP[[#This Row],[Frequency]],SIP[[#This Row],[Investor ID]])</f>
        <v>27A00488</v>
      </c>
      <c r="I1376" s="46" t="str">
        <f>IF(SIP[[#This Row],[B/S]]="B","BUY",(IF(SIP[[#This Row],[B/S]]="S","SELL"," ")))</f>
        <v>BUY</v>
      </c>
      <c r="J1376" s="150" t="s">
        <v>1229</v>
      </c>
      <c r="K1376" s="153">
        <v>5000</v>
      </c>
      <c r="L1376" s="122"/>
      <c r="M1376" s="123">
        <f>SIP[[#This Row],[Amount]]/SIP[[#This Row],[Unit]]</f>
        <v>13.157894736842104</v>
      </c>
      <c r="N1376" s="71">
        <f>SIP[[#This Row],[Unit Capital]]/10</f>
        <v>380</v>
      </c>
      <c r="O1376" s="71">
        <f>SUMIFS(SIP[[#Headers],[Unit]]:SIP[[#This Row],[Unit]],SIP[[#Headers],[Investor ID]]:SIP[[#This Row],[Investor ID]],SIP[[#This Row],[Investor ID]])</f>
        <v>11879</v>
      </c>
      <c r="P1376" s="197">
        <v>3800</v>
      </c>
      <c r="Q1376" s="74">
        <f>SIP[[#This Row],[Amount]]-SIP[[#This Row],[Unit Capital]]</f>
        <v>1200</v>
      </c>
      <c r="R13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11.364592979207007</v>
      </c>
      <c r="S1376" s="46">
        <f t="shared" si="64"/>
        <v>14.224</v>
      </c>
      <c r="T13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6" s="74" cm="1">
        <f t="array" ref="U1376">IF(SIP[[#This Row],[B/S]]="S",ABS(SIP[[#This Row],[Unit]])*(INDEX(SIP[NAV at Cost (Average)],MATCH(CONCATENATE((SIP[[#This Row],[Frequency]]-1),SIP[[#This Row],[Investor ID]]),SIP[Unique Code],0),0)),0)</f>
        <v>0</v>
      </c>
      <c r="V1376" s="74">
        <f>IF(SIP[[#This Row],[BO TRANSFER]]="YES",SIP[[#This Row],[Unit]],)</f>
        <v>0</v>
      </c>
      <c r="W1376" s="74">
        <f>SUMIFS(SIP[[#Headers],[BO UNIT TRANSFER]]:SIP[[#This Row],[BO UNIT TRANSFER]],SIP[[#Headers],[Investor ID]]:SIP[[#This Row],[Investor ID]],SIP[[#This Row],[Investor ID]])</f>
        <v>0</v>
      </c>
    </row>
    <row r="1377" spans="1:23" ht="15" customHeight="1">
      <c r="A1377" s="101">
        <v>2025</v>
      </c>
      <c r="B1377" s="101">
        <v>8</v>
      </c>
      <c r="C1377" s="101">
        <v>26</v>
      </c>
      <c r="D1377" s="65">
        <f>DATE(SIP[[#This Row],[Year]],SIP[[#This Row],[Month]],SIP[[#This Row],[Day]])</f>
        <v>45895</v>
      </c>
      <c r="E1377" s="66" t="str" cm="1">
        <f t="array" ref="E1377">INDEX(INVESTORS_LIST[INVESTOR NAME],MATCH(SIP[[#This Row],[Investor ID]],INVESTORS_LIST[INVESTOR CODE],0),)</f>
        <v>JUBAIDA FARHANA HAQUE</v>
      </c>
      <c r="F1377" s="46" t="s">
        <v>1065</v>
      </c>
      <c r="G1377" s="46">
        <f>COUNTIF(SIP[[#Headers],[Investor ID]]:SIP[[#This Row],[Investor ID]],SIP[[#This Row],[Investor ID]])</f>
        <v>25</v>
      </c>
      <c r="H1377" s="46" t="str">
        <f>CONCATENATE(SIP[[#This Row],[Frequency]],SIP[[#This Row],[Investor ID]])</f>
        <v>25A00510</v>
      </c>
      <c r="I1377" s="46" t="str">
        <f>IF(SIP[[#This Row],[B/S]]="B","BUY",(IF(SIP[[#This Row],[B/S]]="S","SELL"," ")))</f>
        <v>BUY</v>
      </c>
      <c r="J1377" s="150" t="s">
        <v>1229</v>
      </c>
      <c r="K1377" s="153">
        <v>5000</v>
      </c>
      <c r="L1377" s="122"/>
      <c r="M1377" s="123">
        <f>SIP[[#This Row],[Amount]]/SIP[[#This Row],[Unit]]</f>
        <v>13.157894736842104</v>
      </c>
      <c r="N1377" s="71">
        <f>SIP[[#This Row],[Unit Capital]]/10</f>
        <v>380</v>
      </c>
      <c r="O1377" s="71">
        <f>SUMIFS(SIP[[#Headers],[Unit]]:SIP[[#This Row],[Unit]],SIP[[#Headers],[Investor ID]]:SIP[[#This Row],[Investor ID]],SIP[[#This Row],[Investor ID]])</f>
        <v>9955</v>
      </c>
      <c r="P1377" s="197">
        <v>3800</v>
      </c>
      <c r="Q1377" s="74">
        <f>SIP[[#This Row],[Amount]]-SIP[[#This Row],[Unit Capital]]</f>
        <v>1200</v>
      </c>
      <c r="R13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11.553568344617025</v>
      </c>
      <c r="S1377" s="46">
        <f t="shared" si="64"/>
        <v>14.224</v>
      </c>
      <c r="T13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7" s="74" cm="1">
        <f t="array" ref="U1377">IF(SIP[[#This Row],[B/S]]="S",ABS(SIP[[#This Row],[Unit]])*(INDEX(SIP[NAV at Cost (Average)],MATCH(CONCATENATE((SIP[[#This Row],[Frequency]]-1),SIP[[#This Row],[Investor ID]]),SIP[Unique Code],0),0)),0)</f>
        <v>0</v>
      </c>
      <c r="V1377" s="74">
        <f>IF(SIP[[#This Row],[BO TRANSFER]]="YES",SIP[[#This Row],[Unit]],)</f>
        <v>0</v>
      </c>
      <c r="W1377" s="74">
        <f>SUMIFS(SIP[[#Headers],[BO UNIT TRANSFER]]:SIP[[#This Row],[BO UNIT TRANSFER]],SIP[[#Headers],[Investor ID]]:SIP[[#This Row],[Investor ID]],SIP[[#This Row],[Investor ID]])</f>
        <v>0</v>
      </c>
    </row>
    <row r="1378" spans="1:23" ht="15" customHeight="1">
      <c r="A1378" s="101">
        <v>2025</v>
      </c>
      <c r="B1378" s="101">
        <v>8</v>
      </c>
      <c r="C1378" s="101">
        <v>26</v>
      </c>
      <c r="D1378" s="65">
        <f>DATE(SIP[[#This Row],[Year]],SIP[[#This Row],[Month]],SIP[[#This Row],[Day]])</f>
        <v>45895</v>
      </c>
      <c r="E1378" s="66" t="str" cm="1">
        <f t="array" ref="E1378">INDEX(INVESTORS_LIST[INVESTOR NAME],MATCH(SIP[[#This Row],[Investor ID]],INVESTORS_LIST[INVESTOR CODE],0),)</f>
        <v>MAYA RANI SAHA</v>
      </c>
      <c r="F1378" s="46" t="s">
        <v>224</v>
      </c>
      <c r="G1378" s="46">
        <f>COUNTIF(SIP[[#Headers],[Investor ID]]:SIP[[#This Row],[Investor ID]],SIP[[#This Row],[Investor ID]])</f>
        <v>64</v>
      </c>
      <c r="H1378" s="46" t="str">
        <f>CONCATENATE(SIP[[#This Row],[Frequency]],SIP[[#This Row],[Investor ID]])</f>
        <v>64A00088</v>
      </c>
      <c r="I1378" s="46" t="str">
        <f>IF(SIP[[#This Row],[B/S]]="B","BUY",(IF(SIP[[#This Row],[B/S]]="S","SELL"," ")))</f>
        <v>BUY</v>
      </c>
      <c r="J1378" s="150" t="s">
        <v>1229</v>
      </c>
      <c r="K1378" s="153">
        <v>20000</v>
      </c>
      <c r="L1378" s="122"/>
      <c r="M1378" s="123">
        <f>SIP[[#This Row],[Amount]]/SIP[[#This Row],[Unit]]</f>
        <v>13.166556945358789</v>
      </c>
      <c r="N1378" s="71">
        <f>SIP[[#This Row],[Unit Capital]]/10</f>
        <v>1519</v>
      </c>
      <c r="O1378" s="71">
        <f>SUMIFS(SIP[[#Headers],[Unit]]:SIP[[#This Row],[Unit]],SIP[[#Headers],[Investor ID]]:SIP[[#This Row],[Investor ID]],SIP[[#This Row],[Investor ID]])</f>
        <v>76416</v>
      </c>
      <c r="P1378" s="197">
        <v>15190</v>
      </c>
      <c r="Q1378" s="74">
        <f>SIP[[#This Row],[Amount]]-SIP[[#This Row],[Unit Capital]]</f>
        <v>4810</v>
      </c>
      <c r="R13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11.725293132328304</v>
      </c>
      <c r="S1378" s="46">
        <f t="shared" si="64"/>
        <v>14.224</v>
      </c>
      <c r="T13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8" s="74" cm="1">
        <f t="array" ref="U1378">IF(SIP[[#This Row],[B/S]]="S",ABS(SIP[[#This Row],[Unit]])*(INDEX(SIP[NAV at Cost (Average)],MATCH(CONCATENATE((SIP[[#This Row],[Frequency]]-1),SIP[[#This Row],[Investor ID]]),SIP[Unique Code],0),0)),0)</f>
        <v>0</v>
      </c>
      <c r="V1378" s="74">
        <f>IF(SIP[[#This Row],[BO TRANSFER]]="YES",SIP[[#This Row],[Unit]],)</f>
        <v>0</v>
      </c>
      <c r="W1378" s="74">
        <f>SUMIFS(SIP[[#Headers],[BO UNIT TRANSFER]]:SIP[[#This Row],[BO UNIT TRANSFER]],SIP[[#Headers],[Investor ID]]:SIP[[#This Row],[Investor ID]],SIP[[#This Row],[Investor ID]])</f>
        <v>0</v>
      </c>
    </row>
    <row r="1379" spans="1:23" ht="15" customHeight="1">
      <c r="A1379" s="101">
        <v>2025</v>
      </c>
      <c r="B1379" s="101">
        <v>8</v>
      </c>
      <c r="C1379" s="101">
        <v>26</v>
      </c>
      <c r="D1379" s="65">
        <f>DATE(SIP[[#This Row],[Year]],SIP[[#This Row],[Month]],SIP[[#This Row],[Day]])</f>
        <v>45895</v>
      </c>
      <c r="E1379" s="66" t="str" cm="1">
        <f t="array" ref="E1379">INDEX(INVESTORS_LIST[INVESTOR NAME],MATCH(SIP[[#This Row],[Investor ID]],INVESTORS_LIST[INVESTOR CODE],0),)</f>
        <v>MUHAMMAD SHOHIDUZZAMAN</v>
      </c>
      <c r="F1379" s="46" t="s">
        <v>986</v>
      </c>
      <c r="G1379" s="46">
        <f>COUNTIF(SIP[[#Headers],[Investor ID]]:SIP[[#This Row],[Investor ID]],SIP[[#This Row],[Investor ID]])</f>
        <v>22</v>
      </c>
      <c r="H1379" s="46" t="str">
        <f>CONCATENATE(SIP[[#This Row],[Frequency]],SIP[[#This Row],[Investor ID]])</f>
        <v>22A00470</v>
      </c>
      <c r="I1379" s="46" t="str">
        <f>IF(SIP[[#This Row],[B/S]]="B","BUY",(IF(SIP[[#This Row],[B/S]]="S","SELL"," ")))</f>
        <v>BUY</v>
      </c>
      <c r="J1379" s="150" t="s">
        <v>1229</v>
      </c>
      <c r="K1379" s="153">
        <v>10000</v>
      </c>
      <c r="L1379" s="122"/>
      <c r="M1379" s="123">
        <f>SIP[[#This Row],[Amount]]/SIP[[#This Row],[Unit]]</f>
        <v>13.157894736842104</v>
      </c>
      <c r="N1379" s="71">
        <f>SIP[[#This Row],[Unit Capital]]/10</f>
        <v>760</v>
      </c>
      <c r="O1379" s="71">
        <f>SUMIFS(SIP[[#Headers],[Unit]]:SIP[[#This Row],[Unit]],SIP[[#Headers],[Investor ID]]:SIP[[#This Row],[Investor ID]],SIP[[#This Row],[Investor ID]])</f>
        <v>18960</v>
      </c>
      <c r="P1379" s="197">
        <v>7600</v>
      </c>
      <c r="Q1379" s="74">
        <f>SIP[[#This Row],[Amount]]-SIP[[#This Row],[Unit Capital]]</f>
        <v>2400</v>
      </c>
      <c r="R13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11.603375527426158</v>
      </c>
      <c r="S1379" s="46">
        <f t="shared" si="64"/>
        <v>14.224</v>
      </c>
      <c r="T13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9" s="74" cm="1">
        <f t="array" ref="U1379">IF(SIP[[#This Row],[B/S]]="S",ABS(SIP[[#This Row],[Unit]])*(INDEX(SIP[NAV at Cost (Average)],MATCH(CONCATENATE((SIP[[#This Row],[Frequency]]-1),SIP[[#This Row],[Investor ID]]),SIP[Unique Code],0),0)),0)</f>
        <v>0</v>
      </c>
      <c r="V1379" s="74">
        <f>IF(SIP[[#This Row],[BO TRANSFER]]="YES",SIP[[#This Row],[Unit]],)</f>
        <v>0</v>
      </c>
      <c r="W1379" s="74">
        <f>SUMIFS(SIP[[#Headers],[BO UNIT TRANSFER]]:SIP[[#This Row],[BO UNIT TRANSFER]],SIP[[#Headers],[Investor ID]]:SIP[[#This Row],[Investor ID]],SIP[[#This Row],[Investor ID]])</f>
        <v>18200</v>
      </c>
    </row>
    <row r="1380" spans="1:23" ht="15" customHeight="1">
      <c r="A1380" s="101">
        <v>2025</v>
      </c>
      <c r="B1380" s="101">
        <v>8</v>
      </c>
      <c r="C1380" s="101">
        <v>26</v>
      </c>
      <c r="D1380" s="65">
        <f>DATE(SIP[[#This Row],[Year]],SIP[[#This Row],[Month]],SIP[[#This Row],[Day]])</f>
        <v>45895</v>
      </c>
      <c r="E1380" s="66" t="str" cm="1">
        <f t="array" ref="E1380">INDEX(INVESTORS_LIST[INVESTOR NAME],MATCH(SIP[[#This Row],[Investor ID]],INVESTORS_LIST[INVESTOR CODE],0),)</f>
        <v>KHAN MUHAMMAD FAISOL</v>
      </c>
      <c r="F1380" s="46" t="s">
        <v>930</v>
      </c>
      <c r="G1380" s="46">
        <f>COUNTIF(SIP[[#Headers],[Investor ID]]:SIP[[#This Row],[Investor ID]],SIP[[#This Row],[Investor ID]])</f>
        <v>29</v>
      </c>
      <c r="H1380" s="46" t="str">
        <f>CONCATENATE(SIP[[#This Row],[Frequency]],SIP[[#This Row],[Investor ID]])</f>
        <v>29A00442</v>
      </c>
      <c r="I1380" s="46" t="str">
        <f>IF(SIP[[#This Row],[B/S]]="B","BUY",(IF(SIP[[#This Row],[B/S]]="S","SELL"," ")))</f>
        <v>BUY</v>
      </c>
      <c r="J1380" s="150" t="s">
        <v>1229</v>
      </c>
      <c r="K1380" s="153">
        <v>1000</v>
      </c>
      <c r="L1380" s="122" t="s">
        <v>1230</v>
      </c>
      <c r="M1380" s="123">
        <f>SIP[[#This Row],[Amount]]/SIP[[#This Row],[Unit]]</f>
        <v>13.157894736842104</v>
      </c>
      <c r="N1380" s="71">
        <f>SIP[[#This Row],[Unit Capital]]/10</f>
        <v>76</v>
      </c>
      <c r="O1380" s="71">
        <f>SUMIFS(SIP[[#Headers],[Unit]]:SIP[[#This Row],[Unit]],SIP[[#Headers],[Investor ID]]:SIP[[#This Row],[Investor ID]],SIP[[#This Row],[Investor ID]])</f>
        <v>154</v>
      </c>
      <c r="P1380" s="197">
        <v>760</v>
      </c>
      <c r="Q1380" s="74">
        <f>SIP[[#This Row],[Amount]]-SIP[[#This Row],[Unit Capital]]</f>
        <v>240</v>
      </c>
      <c r="R13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12.987012987012987</v>
      </c>
      <c r="S1380" s="46">
        <f t="shared" si="64"/>
        <v>14.224</v>
      </c>
      <c r="T13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0" s="74" cm="1">
        <f t="array" ref="U1380">IF(SIP[[#This Row],[B/S]]="S",ABS(SIP[[#This Row],[Unit]])*(INDEX(SIP[NAV at Cost (Average)],MATCH(CONCATENATE((SIP[[#This Row],[Frequency]]-1),SIP[[#This Row],[Investor ID]]),SIP[Unique Code],0),0)),0)</f>
        <v>0</v>
      </c>
      <c r="V1380" s="74">
        <f>IF(SIP[[#This Row],[BO TRANSFER]]="YES",SIP[[#This Row],[Unit]],)</f>
        <v>76</v>
      </c>
      <c r="W1380" s="74">
        <f>SUMIFS(SIP[[#Headers],[BO UNIT TRANSFER]]:SIP[[#This Row],[BO UNIT TRANSFER]],SIP[[#Headers],[Investor ID]]:SIP[[#This Row],[Investor ID]],SIP[[#This Row],[Investor ID]])</f>
        <v>154</v>
      </c>
    </row>
    <row r="1381" spans="1:23" ht="15" customHeight="1">
      <c r="A1381" s="101">
        <v>2025</v>
      </c>
      <c r="B1381" s="101">
        <v>8</v>
      </c>
      <c r="C1381" s="101">
        <v>26</v>
      </c>
      <c r="D1381" s="65">
        <f>DATE(SIP[[#This Row],[Year]],SIP[[#This Row],[Month]],SIP[[#This Row],[Day]])</f>
        <v>45895</v>
      </c>
      <c r="E1381" s="66" t="str" cm="1">
        <f t="array" ref="E1381">INDEX(INVESTORS_LIST[INVESTOR NAME],MATCH(SIP[[#This Row],[Investor ID]],INVESTORS_LIST[INVESTOR CODE],0),)</f>
        <v>MD. ARIFUL ISLAM</v>
      </c>
      <c r="F1381" s="46" t="s">
        <v>222</v>
      </c>
      <c r="G1381" s="46">
        <f>COUNTIF(SIP[[#Headers],[Investor ID]]:SIP[[#This Row],[Investor ID]],SIP[[#This Row],[Investor ID]])</f>
        <v>29</v>
      </c>
      <c r="H1381" s="46" t="str">
        <f>CONCATENATE(SIP[[#This Row],[Frequency]],SIP[[#This Row],[Investor ID]])</f>
        <v>29A00087</v>
      </c>
      <c r="I1381" s="46" t="str">
        <f>IF(SIP[[#This Row],[B/S]]="B","BUY",(IF(SIP[[#This Row],[B/S]]="S","SELL"," ")))</f>
        <v>BUY</v>
      </c>
      <c r="J1381" s="150" t="s">
        <v>1229</v>
      </c>
      <c r="K1381" s="153">
        <v>10000</v>
      </c>
      <c r="L1381" s="122"/>
      <c r="M1381" s="123">
        <f>SIP[[#This Row],[Amount]]/SIP[[#This Row],[Unit]]</f>
        <v>13.157894736842104</v>
      </c>
      <c r="N1381" s="71">
        <f>SIP[[#This Row],[Unit Capital]]/10</f>
        <v>760</v>
      </c>
      <c r="O1381" s="71">
        <f>SUMIFS(SIP[[#Headers],[Unit]]:SIP[[#This Row],[Unit]],SIP[[#Headers],[Investor ID]]:SIP[[#This Row],[Investor ID]],SIP[[#This Row],[Investor ID]])</f>
        <v>760</v>
      </c>
      <c r="P1381" s="197">
        <v>7600</v>
      </c>
      <c r="Q1381" s="74">
        <f>SIP[[#This Row],[Amount]]-SIP[[#This Row],[Unit Capital]]</f>
        <v>2400</v>
      </c>
      <c r="R13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13.157894736842104</v>
      </c>
      <c r="S1381" s="46">
        <f t="shared" si="64"/>
        <v>14.224</v>
      </c>
      <c r="T13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1" s="74" cm="1">
        <f t="array" ref="U1381">IF(SIP[[#This Row],[B/S]]="S",ABS(SIP[[#This Row],[Unit]])*(INDEX(SIP[NAV at Cost (Average)],MATCH(CONCATENATE((SIP[[#This Row],[Frequency]]-1),SIP[[#This Row],[Investor ID]]),SIP[Unique Code],0),0)),0)</f>
        <v>0</v>
      </c>
      <c r="V1381" s="74">
        <f>IF(SIP[[#This Row],[BO TRANSFER]]="YES",SIP[[#This Row],[Unit]],)</f>
        <v>0</v>
      </c>
      <c r="W1381" s="74">
        <f>SUMIFS(SIP[[#Headers],[BO UNIT TRANSFER]]:SIP[[#This Row],[BO UNIT TRANSFER]],SIP[[#Headers],[Investor ID]]:SIP[[#This Row],[Investor ID]],SIP[[#This Row],[Investor ID]])</f>
        <v>0</v>
      </c>
    </row>
    <row r="1382" spans="1:23" ht="15" customHeight="1">
      <c r="A1382" s="101">
        <v>2025</v>
      </c>
      <c r="B1382" s="101">
        <v>8</v>
      </c>
      <c r="C1382" s="101">
        <v>26</v>
      </c>
      <c r="D1382" s="65">
        <f>DATE(SIP[[#This Row],[Year]],SIP[[#This Row],[Month]],SIP[[#This Row],[Day]])</f>
        <v>45895</v>
      </c>
      <c r="E1382" s="66" t="str" cm="1">
        <f t="array" ref="E1382">INDEX(INVESTORS_LIST[INVESTOR NAME],MATCH(SIP[[#This Row],[Investor ID]],INVESTORS_LIST[INVESTOR CODE],0),)</f>
        <v>KAZI AHSAN MARUF</v>
      </c>
      <c r="F1382" s="46" t="s">
        <v>158</v>
      </c>
      <c r="G1382" s="46">
        <f>COUNTIF(SIP[[#Headers],[Investor ID]]:SIP[[#This Row],[Investor ID]],SIP[[#This Row],[Investor ID]])</f>
        <v>31</v>
      </c>
      <c r="H1382" s="46" t="str">
        <f>CONCATENATE(SIP[[#This Row],[Frequency]],SIP[[#This Row],[Investor ID]])</f>
        <v>31A00055</v>
      </c>
      <c r="I1382" s="46" t="str">
        <f>IF(SIP[[#This Row],[B/S]]="B","BUY",(IF(SIP[[#This Row],[B/S]]="S","SELL"," ")))</f>
        <v>SELL</v>
      </c>
      <c r="J1382" s="46" t="s">
        <v>1231</v>
      </c>
      <c r="K1382" s="153">
        <v>-154519.03</v>
      </c>
      <c r="L1382" s="122"/>
      <c r="M1382" s="123">
        <f>SIP[[#This Row],[Amount]]/SIP[[#This Row],[Unit]]</f>
        <v>13.163999829613221</v>
      </c>
      <c r="N1382" s="71">
        <f>SIP[[#This Row],[Unit Capital]]/10</f>
        <v>-11738</v>
      </c>
      <c r="O1382" s="71">
        <f>SUMIFS(SIP[[#Headers],[Unit]]:SIP[[#This Row],[Unit]],SIP[[#Headers],[Investor ID]]:SIP[[#This Row],[Investor ID]],SIP[[#This Row],[Investor ID]])</f>
        <v>0</v>
      </c>
      <c r="P1382" s="197">
        <v>-117380</v>
      </c>
      <c r="Q1382" s="74">
        <f>SIP[[#This Row],[Amount]]-SIP[[#This Row],[Unit Capital]]</f>
        <v>-37139.03</v>
      </c>
      <c r="R13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82" s="46">
        <f t="shared" ref="S1382:S1401" si="65">NAV_MKT</f>
        <v>14.224</v>
      </c>
      <c r="T1382" s="74">
        <f>IF(SIP[[#This Row],[B/S]]="B",0,ABS(SIP[[#This Row],[Unit]])*(SIP[[#This Row],[NAV (Strike Rate)]]-INDEX(SIP[NAV at Cost (Average)],MATCH(CONCATENATE(SIP[[#This Row],[Frequency]]-1,SIP[[#This Row],[Investor ID]]),SIP[Unique Code],0),)))</f>
        <v>14259.139030064229</v>
      </c>
      <c r="U1382" s="74" cm="1">
        <f t="array" ref="U1382">IF(SIP[[#This Row],[B/S]]="S",ABS(SIP[[#This Row],[Unit]])*(INDEX(SIP[NAV at Cost (Average)],MATCH(CONCATENATE((SIP[[#This Row],[Frequency]]-1),SIP[[#This Row],[Investor ID]]),SIP[Unique Code],0),0)),0)</f>
        <v>140259.89096993578</v>
      </c>
      <c r="V1382" s="74">
        <f>IF(SIP[[#This Row],[BO TRANSFER]]="YES",SIP[[#This Row],[Unit]],)</f>
        <v>0</v>
      </c>
      <c r="W1382" s="74">
        <f>SUMIFS(SIP[[#Headers],[BO UNIT TRANSFER]]:SIP[[#This Row],[BO UNIT TRANSFER]],SIP[[#Headers],[Investor ID]]:SIP[[#This Row],[Investor ID]],SIP[[#This Row],[Investor ID]])</f>
        <v>0</v>
      </c>
    </row>
    <row r="1383" spans="1:23" ht="15" customHeight="1">
      <c r="A1383" s="101">
        <v>2025</v>
      </c>
      <c r="B1383" s="101">
        <v>8</v>
      </c>
      <c r="C1383" s="101">
        <v>26</v>
      </c>
      <c r="D1383" s="65">
        <f>DATE(SIP[[#This Row],[Year]],SIP[[#This Row],[Month]],SIP[[#This Row],[Day]])</f>
        <v>45895</v>
      </c>
      <c r="E1383" s="66" t="str" cm="1">
        <f t="array" ref="E1383">INDEX(INVESTORS_LIST[INVESTOR NAME],MATCH(SIP[[#This Row],[Investor ID]],INVESTORS_LIST[INVESTOR CODE],0),)</f>
        <v>SHUVA SAHA</v>
      </c>
      <c r="F1383" s="46" t="s">
        <v>154</v>
      </c>
      <c r="G1383" s="46">
        <f>COUNTIF(SIP[[#Headers],[Investor ID]]:SIP[[#This Row],[Investor ID]],SIP[[#This Row],[Investor ID]])</f>
        <v>26</v>
      </c>
      <c r="H1383" s="46" t="str">
        <f>CONCATENATE(SIP[[#This Row],[Frequency]],SIP[[#This Row],[Investor ID]])</f>
        <v>26A00053</v>
      </c>
      <c r="I1383" s="46" t="str">
        <f>IF(SIP[[#This Row],[B/S]]="B","BUY",(IF(SIP[[#This Row],[B/S]]="S","SELL"," ")))</f>
        <v>SELL</v>
      </c>
      <c r="J1383" s="46" t="s">
        <v>1231</v>
      </c>
      <c r="K1383" s="153">
        <v>-843944.04</v>
      </c>
      <c r="L1383" s="122"/>
      <c r="M1383" s="123">
        <f>SIP[[#This Row],[Amount]]/SIP[[#This Row],[Unit]]</f>
        <v>13.164</v>
      </c>
      <c r="N1383" s="71">
        <f>SIP[[#This Row],[Unit Capital]]/10</f>
        <v>-64110</v>
      </c>
      <c r="O1383" s="71">
        <f>SUMIFS(SIP[[#Headers],[Unit]]:SIP[[#This Row],[Unit]],SIP[[#Headers],[Investor ID]]:SIP[[#This Row],[Investor ID]],SIP[[#This Row],[Investor ID]])</f>
        <v>-1519</v>
      </c>
      <c r="P1383" s="197">
        <v>-641100</v>
      </c>
      <c r="Q1383" s="74">
        <f>SIP[[#This Row],[Amount]]-SIP[[#This Row],[Unit Capital]]</f>
        <v>-202844.04000000004</v>
      </c>
      <c r="R13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11.27560393869175</v>
      </c>
      <c r="S1383" s="46">
        <f t="shared" si="65"/>
        <v>14.224</v>
      </c>
      <c r="T1383" s="74">
        <f>IF(SIP[[#This Row],[B/S]]="B",0,ABS(SIP[[#This Row],[Unit]])*(SIP[[#This Row],[NAV (Strike Rate)]]-INDEX(SIP[NAV at Cost (Average)],MATCH(CONCATENATE(SIP[[#This Row],[Frequency]]-1,SIP[[#This Row],[Investor ID]]),SIP[Unique Code],0),)))</f>
        <v>121065.07149047186</v>
      </c>
      <c r="U1383" s="74" cm="1">
        <f t="array" ref="U1383">IF(SIP[[#This Row],[B/S]]="S",ABS(SIP[[#This Row],[Unit]])*(INDEX(SIP[NAV at Cost (Average)],MATCH(CONCATENATE((SIP[[#This Row],[Frequency]]-1),SIP[[#This Row],[Investor ID]]),SIP[Unique Code],0),0)),0)</f>
        <v>722878.96850952809</v>
      </c>
      <c r="V1383" s="74">
        <f>IF(SIP[[#This Row],[BO TRANSFER]]="YES",SIP[[#This Row],[Unit]],)</f>
        <v>0</v>
      </c>
      <c r="W1383" s="74">
        <f>SUMIFS(SIP[[#Headers],[BO UNIT TRANSFER]]:SIP[[#This Row],[BO UNIT TRANSFER]],SIP[[#Headers],[Investor ID]]:SIP[[#This Row],[Investor ID]],SIP[[#This Row],[Investor ID]])</f>
        <v>0</v>
      </c>
    </row>
    <row r="1384" spans="1:23" ht="15" customHeight="1">
      <c r="A1384" s="101">
        <v>2025</v>
      </c>
      <c r="B1384" s="101">
        <v>8</v>
      </c>
      <c r="C1384" s="101">
        <v>31</v>
      </c>
      <c r="D1384" s="65">
        <f>DATE(SIP[[#This Row],[Year]],SIP[[#This Row],[Month]],SIP[[#This Row],[Day]])</f>
        <v>45900</v>
      </c>
      <c r="E1384" s="66" t="str" cm="1">
        <f t="array" ref="E1384">INDEX(INVESTORS_LIST[INVESTOR NAME],MATCH(SIP[[#This Row],[Investor ID]],INVESTORS_LIST[INVESTOR CODE],0),)</f>
        <v>MAHFUZUL ISLAM</v>
      </c>
      <c r="F1384" s="46" t="s">
        <v>473</v>
      </c>
      <c r="G1384" s="46">
        <f>COUNTIF(SIP[[#Headers],[Investor ID]]:SIP[[#This Row],[Investor ID]],SIP[[#This Row],[Investor ID]])</f>
        <v>14</v>
      </c>
      <c r="H1384" s="46" t="str">
        <f>CONCATENATE(SIP[[#This Row],[Frequency]],SIP[[#This Row],[Investor ID]])</f>
        <v>14A00212</v>
      </c>
      <c r="I1384" s="46" t="str">
        <f>IF(SIP[[#This Row],[B/S]]="B","BUY",(IF(SIP[[#This Row],[B/S]]="S","SELL"," ")))</f>
        <v>BUY</v>
      </c>
      <c r="J1384" s="150" t="s">
        <v>1229</v>
      </c>
      <c r="K1384" s="153">
        <v>3000</v>
      </c>
      <c r="L1384" s="122" t="s">
        <v>1230</v>
      </c>
      <c r="M1384" s="123">
        <f>SIP[[#This Row],[Amount]]/SIP[[#This Row],[Unit]]</f>
        <v>13.215859030837004</v>
      </c>
      <c r="N1384" s="71">
        <f>SIP[[#This Row],[Unit Capital]]/10</f>
        <v>227</v>
      </c>
      <c r="O1384" s="71">
        <f>SUMIFS(SIP[[#Headers],[Unit]]:SIP[[#This Row],[Unit]],SIP[[#Headers],[Investor ID]]:SIP[[#This Row],[Investor ID]],SIP[[#This Row],[Investor ID]])</f>
        <v>2403</v>
      </c>
      <c r="P1384" s="197">
        <v>2270</v>
      </c>
      <c r="Q1384" s="74">
        <f>SIP[[#This Row],[Amount]]-SIP[[#This Row],[Unit Capital]]</f>
        <v>730</v>
      </c>
      <c r="R13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11.65210153974199</v>
      </c>
      <c r="S1384" s="46">
        <f t="shared" si="65"/>
        <v>14.224</v>
      </c>
      <c r="T13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4" s="74" cm="1">
        <f t="array" ref="U1384">IF(SIP[[#This Row],[B/S]]="S",ABS(SIP[[#This Row],[Unit]])*(INDEX(SIP[NAV at Cost (Average)],MATCH(CONCATENATE((SIP[[#This Row],[Frequency]]-1),SIP[[#This Row],[Investor ID]]),SIP[Unique Code],0),0)),0)</f>
        <v>0</v>
      </c>
      <c r="V1384" s="74">
        <f>IF(SIP[[#This Row],[BO TRANSFER]]="YES",SIP[[#This Row],[Unit]],)</f>
        <v>227</v>
      </c>
      <c r="W1384" s="74">
        <f>SUMIFS(SIP[[#Headers],[BO UNIT TRANSFER]]:SIP[[#This Row],[BO UNIT TRANSFER]],SIP[[#Headers],[Investor ID]]:SIP[[#This Row],[Investor ID]],SIP[[#This Row],[Investor ID]])</f>
        <v>2403</v>
      </c>
    </row>
    <row r="1385" spans="1:23" ht="15" customHeight="1">
      <c r="A1385" s="101">
        <v>2025</v>
      </c>
      <c r="B1385" s="101">
        <v>9</v>
      </c>
      <c r="C1385" s="101">
        <v>1</v>
      </c>
      <c r="D1385" s="65">
        <f>DATE(SIP[[#This Row],[Year]],SIP[[#This Row],[Month]],SIP[[#This Row],[Day]])</f>
        <v>45901</v>
      </c>
      <c r="E1385" s="66" t="str" cm="1">
        <f t="array" ref="E1385">INDEX(INVESTORS_LIST[INVESTOR NAME],MATCH(SIP[[#This Row],[Investor ID]],INVESTORS_LIST[INVESTOR CODE],0),)</f>
        <v>ASHIK CHOWDHURY OVI</v>
      </c>
      <c r="F1385" s="46" t="s">
        <v>1101</v>
      </c>
      <c r="G1385" s="46">
        <f>COUNTIF(SIP[[#Headers],[Investor ID]]:SIP[[#This Row],[Investor ID]],SIP[[#This Row],[Investor ID]])</f>
        <v>8</v>
      </c>
      <c r="H1385" s="46" t="str">
        <f>CONCATENATE(SIP[[#This Row],[Frequency]],SIP[[#This Row],[Investor ID]])</f>
        <v>8A00527</v>
      </c>
      <c r="I1385" s="46" t="str">
        <f>IF(SIP[[#This Row],[B/S]]="B","BUY",(IF(SIP[[#This Row],[B/S]]="S","SELL"," ")))</f>
        <v>SELL</v>
      </c>
      <c r="J1385" s="150" t="s">
        <v>1231</v>
      </c>
      <c r="K1385" s="153">
        <v>-5264.81</v>
      </c>
      <c r="L1385" s="122"/>
      <c r="M1385" s="123">
        <f>SIP[[#This Row],[Amount]]/SIP[[#This Row],[Unit]]</f>
        <v>13.195012531328322</v>
      </c>
      <c r="N1385" s="71">
        <f>SIP[[#This Row],[Unit Capital]]/10</f>
        <v>-399</v>
      </c>
      <c r="O1385" s="71">
        <f>SUMIFS(SIP[[#Headers],[Unit]]:SIP[[#This Row],[Unit]],SIP[[#Headers],[Investor ID]]:SIP[[#This Row],[Investor ID]],SIP[[#This Row],[Investor ID]])</f>
        <v>0</v>
      </c>
      <c r="P1385" s="197">
        <v>-3990</v>
      </c>
      <c r="Q1385" s="74">
        <f>SIP[[#This Row],[Amount]]-SIP[[#This Row],[Unit Capital]]</f>
        <v>-1274.8100000000004</v>
      </c>
      <c r="R13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85" s="46">
        <f t="shared" si="65"/>
        <v>14.224</v>
      </c>
      <c r="T1385" s="74">
        <f>IF(SIP[[#This Row],[B/S]]="B",0,ABS(SIP[[#This Row],[Unit]])*(SIP[[#This Row],[NAV (Strike Rate)]]-INDEX(SIP[NAV at Cost (Average)],MATCH(CONCATENATE(SIP[[#This Row],[Frequency]]-1,SIP[[#This Row],[Investor ID]]),SIP[Unique Code],0),)))</f>
        <v>264.81000000000023</v>
      </c>
      <c r="U1385" s="74" cm="1">
        <f t="array" ref="U1385">IF(SIP[[#This Row],[B/S]]="S",ABS(SIP[[#This Row],[Unit]])*(INDEX(SIP[NAV at Cost (Average)],MATCH(CONCATENATE((SIP[[#This Row],[Frequency]]-1),SIP[[#This Row],[Investor ID]]),SIP[Unique Code],0),0)),0)</f>
        <v>5000</v>
      </c>
      <c r="V1385" s="74">
        <f>IF(SIP[[#This Row],[BO TRANSFER]]="YES",SIP[[#This Row],[Unit]],)</f>
        <v>0</v>
      </c>
      <c r="W1385" s="74">
        <f>SUMIFS(SIP[[#Headers],[BO UNIT TRANSFER]]:SIP[[#This Row],[BO UNIT TRANSFER]],SIP[[#Headers],[Investor ID]]:SIP[[#This Row],[Investor ID]],SIP[[#This Row],[Investor ID]])</f>
        <v>0</v>
      </c>
    </row>
    <row r="1386" spans="1:23" ht="15" customHeight="1">
      <c r="A1386" s="101">
        <v>2025</v>
      </c>
      <c r="B1386" s="101">
        <v>9</v>
      </c>
      <c r="C1386" s="101">
        <v>5</v>
      </c>
      <c r="D1386" s="65">
        <f>DATE(SIP[[#This Row],[Year]],SIP[[#This Row],[Month]],SIP[[#This Row],[Day]])</f>
        <v>45905</v>
      </c>
      <c r="E1386" s="66" t="str" cm="1">
        <f t="array" ref="E1386">INDEX(INVESTORS_LIST[INVESTOR NAME],MATCH(SIP[[#This Row],[Investor ID]],INVESTORS_LIST[INVESTOR CODE],0),)</f>
        <v>CHAONIKA SAHA</v>
      </c>
      <c r="F1386" s="46" t="s">
        <v>238</v>
      </c>
      <c r="G1386" s="46">
        <f>COUNTIF(SIP[[#Headers],[Investor ID]]:SIP[[#This Row],[Investor ID]],SIP[[#This Row],[Investor ID]])</f>
        <v>25</v>
      </c>
      <c r="H1386" s="46" t="str">
        <f>CONCATENATE(SIP[[#This Row],[Frequency]],SIP[[#This Row],[Investor ID]])</f>
        <v>25A00095</v>
      </c>
      <c r="I1386" s="46" t="str">
        <f>IF(SIP[[#This Row],[B/S]]="B","BUY",(IF(SIP[[#This Row],[B/S]]="S","SELL"," ")))</f>
        <v>BUY</v>
      </c>
      <c r="J1386" s="150" t="s">
        <v>1229</v>
      </c>
      <c r="K1386" s="153">
        <v>1000</v>
      </c>
      <c r="L1386" s="122"/>
      <c r="M1386" s="123">
        <f>SIP[[#This Row],[Amount]]/SIP[[#This Row],[Unit]]</f>
        <v>13.157894736842104</v>
      </c>
      <c r="N1386" s="71">
        <f>SIP[[#This Row],[Unit Capital]]/10</f>
        <v>76</v>
      </c>
      <c r="O1386" s="71">
        <f>SUMIFS(SIP[[#Headers],[Unit]]:SIP[[#This Row],[Unit]],SIP[[#Headers],[Investor ID]]:SIP[[#This Row],[Investor ID]],SIP[[#This Row],[Investor ID]])</f>
        <v>2178</v>
      </c>
      <c r="P1386" s="197">
        <v>760</v>
      </c>
      <c r="Q1386" s="74">
        <f>SIP[[#This Row],[Amount]]-SIP[[#This Row],[Unit Capital]]</f>
        <v>240</v>
      </c>
      <c r="R13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11.478420569329659</v>
      </c>
      <c r="S1386" s="46">
        <f t="shared" si="65"/>
        <v>14.224</v>
      </c>
      <c r="T13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6" s="74" cm="1">
        <f t="array" ref="U1386">IF(SIP[[#This Row],[B/S]]="S",ABS(SIP[[#This Row],[Unit]])*(INDEX(SIP[NAV at Cost (Average)],MATCH(CONCATENATE((SIP[[#This Row],[Frequency]]-1),SIP[[#This Row],[Investor ID]]),SIP[Unique Code],0),0)),0)</f>
        <v>0</v>
      </c>
      <c r="V1386" s="74">
        <f>IF(SIP[[#This Row],[BO TRANSFER]]="YES",SIP[[#This Row],[Unit]],)</f>
        <v>0</v>
      </c>
      <c r="W1386" s="74">
        <f>SUMIFS(SIP[[#Headers],[BO UNIT TRANSFER]]:SIP[[#This Row],[BO UNIT TRANSFER]],SIP[[#Headers],[Investor ID]]:SIP[[#This Row],[Investor ID]],SIP[[#This Row],[Investor ID]])</f>
        <v>0</v>
      </c>
    </row>
    <row r="1387" spans="1:23" ht="15" customHeight="1">
      <c r="A1387" s="101">
        <v>2025</v>
      </c>
      <c r="B1387" s="101">
        <v>9</v>
      </c>
      <c r="C1387" s="101">
        <v>5</v>
      </c>
      <c r="D1387" s="65">
        <f>DATE(SIP[[#This Row],[Year]],SIP[[#This Row],[Month]],SIP[[#This Row],[Day]])</f>
        <v>45905</v>
      </c>
      <c r="E1387" s="66" t="str" cm="1">
        <f t="array" ref="E1387">INDEX(INVESTORS_LIST[INVESTOR NAME],MATCH(SIP[[#This Row],[Investor ID]],INVESTORS_LIST[INVESTOR CODE],0),)</f>
        <v>KAZI AHSAN MARUF</v>
      </c>
      <c r="F1387" s="46" t="s">
        <v>158</v>
      </c>
      <c r="G1387" s="46">
        <f>COUNTIF(SIP[[#Headers],[Investor ID]]:SIP[[#This Row],[Investor ID]],SIP[[#This Row],[Investor ID]])</f>
        <v>32</v>
      </c>
      <c r="H1387" s="46" t="str">
        <f>CONCATENATE(SIP[[#This Row],[Frequency]],SIP[[#This Row],[Investor ID]])</f>
        <v>32A00055</v>
      </c>
      <c r="I1387" s="46" t="str">
        <f>IF(SIP[[#This Row],[B/S]]="B","BUY",(IF(SIP[[#This Row],[B/S]]="S","SELL"," ")))</f>
        <v>BUY</v>
      </c>
      <c r="J1387" s="150" t="s">
        <v>1229</v>
      </c>
      <c r="K1387" s="153">
        <v>10000</v>
      </c>
      <c r="L1387" s="122"/>
      <c r="M1387" s="123">
        <f>SIP[[#This Row],[Amount]]/SIP[[#This Row],[Unit]]</f>
        <v>13.227513227513228</v>
      </c>
      <c r="N1387" s="71">
        <f>SIP[[#This Row],[Unit Capital]]/10</f>
        <v>756</v>
      </c>
      <c r="O1387" s="71">
        <f>SUMIFS(SIP[[#Headers],[Unit]]:SIP[[#This Row],[Unit]],SIP[[#Headers],[Investor ID]]:SIP[[#This Row],[Investor ID]],SIP[[#This Row],[Investor ID]])</f>
        <v>756</v>
      </c>
      <c r="P1387" s="197">
        <v>7560</v>
      </c>
      <c r="Q1387" s="74">
        <f>SIP[[#This Row],[Amount]]-SIP[[#This Row],[Unit Capital]]</f>
        <v>2440</v>
      </c>
      <c r="R13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13.227513227513228</v>
      </c>
      <c r="S1387" s="46">
        <f t="shared" si="65"/>
        <v>14.224</v>
      </c>
      <c r="T13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7" s="74" cm="1">
        <f t="array" ref="U1387">IF(SIP[[#This Row],[B/S]]="S",ABS(SIP[[#This Row],[Unit]])*(INDEX(SIP[NAV at Cost (Average)],MATCH(CONCATENATE((SIP[[#This Row],[Frequency]]-1),SIP[[#This Row],[Investor ID]]),SIP[Unique Code],0),0)),0)</f>
        <v>0</v>
      </c>
      <c r="V1387" s="74">
        <f>IF(SIP[[#This Row],[BO TRANSFER]]="YES",SIP[[#This Row],[Unit]],)</f>
        <v>0</v>
      </c>
      <c r="W1387" s="74">
        <f>SUMIFS(SIP[[#Headers],[BO UNIT TRANSFER]]:SIP[[#This Row],[BO UNIT TRANSFER]],SIP[[#Headers],[Investor ID]]:SIP[[#This Row],[Investor ID]],SIP[[#This Row],[Investor ID]])</f>
        <v>0</v>
      </c>
    </row>
    <row r="1388" spans="1:23" ht="15" customHeight="1">
      <c r="A1388" s="101">
        <v>2025</v>
      </c>
      <c r="B1388" s="101">
        <v>9</v>
      </c>
      <c r="C1388" s="101">
        <v>5</v>
      </c>
      <c r="D1388" s="65">
        <f>DATE(SIP[[#This Row],[Year]],SIP[[#This Row],[Month]],SIP[[#This Row],[Day]])</f>
        <v>45905</v>
      </c>
      <c r="E1388" s="66" t="str" cm="1">
        <f t="array" ref="E1388">INDEX(INVESTORS_LIST[INVESTOR NAME],MATCH(SIP[[#This Row],[Investor ID]],INVESTORS_LIST[INVESTOR CODE],0),)</f>
        <v>KAZI AHSAN MARUF</v>
      </c>
      <c r="F1388" s="46" t="s">
        <v>158</v>
      </c>
      <c r="G1388" s="46">
        <f>COUNTIF(SIP[[#Headers],[Investor ID]]:SIP[[#This Row],[Investor ID]],SIP[[#This Row],[Investor ID]])</f>
        <v>33</v>
      </c>
      <c r="H1388" s="46" t="str">
        <f>CONCATENATE(SIP[[#This Row],[Frequency]],SIP[[#This Row],[Investor ID]])</f>
        <v>33A00055</v>
      </c>
      <c r="I1388" s="46" t="str">
        <f>IF(SIP[[#This Row],[B/S]]="B","BUY",(IF(SIP[[#This Row],[B/S]]="S","SELL"," ")))</f>
        <v>BUY</v>
      </c>
      <c r="J1388" s="150" t="s">
        <v>1229</v>
      </c>
      <c r="K1388" s="153">
        <v>20000</v>
      </c>
      <c r="L1388" s="122"/>
      <c r="M1388" s="123">
        <f>SIP[[#This Row],[Amount]]/SIP[[#This Row],[Unit]]</f>
        <v>13.236267372600926</v>
      </c>
      <c r="N1388" s="71">
        <f>SIP[[#This Row],[Unit Capital]]/10</f>
        <v>1511</v>
      </c>
      <c r="O1388" s="71">
        <f>SUMIFS(SIP[[#Headers],[Unit]]:SIP[[#This Row],[Unit]],SIP[[#Headers],[Investor ID]]:SIP[[#This Row],[Investor ID]],SIP[[#This Row],[Investor ID]])</f>
        <v>2267</v>
      </c>
      <c r="P1388" s="197">
        <v>15110</v>
      </c>
      <c r="Q1388" s="74">
        <f>SIP[[#This Row],[Amount]]-SIP[[#This Row],[Unit Capital]]</f>
        <v>4890</v>
      </c>
      <c r="R13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13.233348037053373</v>
      </c>
      <c r="S1388" s="46">
        <f t="shared" si="65"/>
        <v>14.224</v>
      </c>
      <c r="T13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8" s="74" cm="1">
        <f t="array" ref="U1388">IF(SIP[[#This Row],[B/S]]="S",ABS(SIP[[#This Row],[Unit]])*(INDEX(SIP[NAV at Cost (Average)],MATCH(CONCATENATE((SIP[[#This Row],[Frequency]]-1),SIP[[#This Row],[Investor ID]]),SIP[Unique Code],0),0)),0)</f>
        <v>0</v>
      </c>
      <c r="V1388" s="74">
        <f>IF(SIP[[#This Row],[BO TRANSFER]]="YES",SIP[[#This Row],[Unit]],)</f>
        <v>0</v>
      </c>
      <c r="W1388" s="74">
        <f>SUMIFS(SIP[[#Headers],[BO UNIT TRANSFER]]:SIP[[#This Row],[BO UNIT TRANSFER]],SIP[[#Headers],[Investor ID]]:SIP[[#This Row],[Investor ID]],SIP[[#This Row],[Investor ID]])</f>
        <v>0</v>
      </c>
    </row>
    <row r="1389" spans="1:23" ht="15" customHeight="1">
      <c r="A1389" s="101">
        <v>2025</v>
      </c>
      <c r="B1389" s="101">
        <v>9</v>
      </c>
      <c r="C1389" s="101">
        <v>5</v>
      </c>
      <c r="D1389" s="65">
        <f>DATE(SIP[[#This Row],[Year]],SIP[[#This Row],[Month]],SIP[[#This Row],[Day]])</f>
        <v>45905</v>
      </c>
      <c r="E1389" s="66" t="str" cm="1">
        <f t="array" ref="E1389">INDEX(INVESTORS_LIST[INVESTOR NAME],MATCH(SIP[[#This Row],[Investor ID]],INVESTORS_LIST[INVESTOR CODE],0),)</f>
        <v>MD. SHIFUL ISLAM</v>
      </c>
      <c r="F1389" s="46" t="s">
        <v>127</v>
      </c>
      <c r="G1389" s="46">
        <f>COUNTIF(SIP[[#Headers],[Investor ID]]:SIP[[#This Row],[Investor ID]],SIP[[#This Row],[Investor ID]])</f>
        <v>1</v>
      </c>
      <c r="H1389" s="46" t="str">
        <f>CONCATENATE(SIP[[#This Row],[Frequency]],SIP[[#This Row],[Investor ID]])</f>
        <v>1A00040</v>
      </c>
      <c r="I1389" s="46" t="str">
        <f>IF(SIP[[#This Row],[B/S]]="B","BUY",(IF(SIP[[#This Row],[B/S]]="S","SELL"," ")))</f>
        <v>BUY</v>
      </c>
      <c r="J1389" s="150" t="s">
        <v>1229</v>
      </c>
      <c r="K1389" s="153">
        <v>5000</v>
      </c>
      <c r="L1389" s="122"/>
      <c r="M1389" s="123">
        <f>SIP[[#This Row],[Amount]]/SIP[[#This Row],[Unit]]</f>
        <v>13.227513227513228</v>
      </c>
      <c r="N1389" s="71">
        <f>SIP[[#This Row],[Unit Capital]]/10</f>
        <v>378</v>
      </c>
      <c r="O1389" s="71">
        <f>SUMIFS(SIP[[#Headers],[Unit]]:SIP[[#This Row],[Unit]],SIP[[#Headers],[Investor ID]]:SIP[[#This Row],[Investor ID]],SIP[[#This Row],[Investor ID]])</f>
        <v>378</v>
      </c>
      <c r="P1389" s="197">
        <v>3780</v>
      </c>
      <c r="Q1389" s="74">
        <f>SIP[[#This Row],[Amount]]-SIP[[#This Row],[Unit Capital]]</f>
        <v>1220</v>
      </c>
      <c r="R13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13.227513227513228</v>
      </c>
      <c r="S1389" s="46">
        <f t="shared" si="65"/>
        <v>14.224</v>
      </c>
      <c r="T13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9" s="74" cm="1">
        <f t="array" ref="U1389">IF(SIP[[#This Row],[B/S]]="S",ABS(SIP[[#This Row],[Unit]])*(INDEX(SIP[NAV at Cost (Average)],MATCH(CONCATENATE((SIP[[#This Row],[Frequency]]-1),SIP[[#This Row],[Investor ID]]),SIP[Unique Code],0),0)),0)</f>
        <v>0</v>
      </c>
      <c r="V1389" s="74">
        <f>IF(SIP[[#This Row],[BO TRANSFER]]="YES",SIP[[#This Row],[Unit]],)</f>
        <v>0</v>
      </c>
      <c r="W1389" s="74">
        <f>SUMIFS(SIP[[#Headers],[BO UNIT TRANSFER]]:SIP[[#This Row],[BO UNIT TRANSFER]],SIP[[#Headers],[Investor ID]]:SIP[[#This Row],[Investor ID]],SIP[[#This Row],[Investor ID]])</f>
        <v>0</v>
      </c>
    </row>
    <row r="1390" spans="1:23" ht="15" customHeight="1">
      <c r="A1390" s="101">
        <v>2025</v>
      </c>
      <c r="B1390" s="101">
        <v>9</v>
      </c>
      <c r="C1390" s="101">
        <v>7</v>
      </c>
      <c r="D1390" s="65">
        <f>DATE(SIP[[#This Row],[Year]],SIP[[#This Row],[Month]],SIP[[#This Row],[Day]])</f>
        <v>45907</v>
      </c>
      <c r="E1390" s="66" t="str" cm="1">
        <f t="array" ref="E1390">INDEX(INVESTORS_LIST[INVESTOR NAME],MATCH(SIP[[#This Row],[Investor ID]],INVESTORS_LIST[INVESTOR CODE],0),)</f>
        <v>NANDINI SAHA</v>
      </c>
      <c r="F1390" s="46" t="s">
        <v>242</v>
      </c>
      <c r="G1390" s="46">
        <f>COUNTIF(SIP[[#Headers],[Investor ID]]:SIP[[#This Row],[Investor ID]],SIP[[#This Row],[Investor ID]])</f>
        <v>29</v>
      </c>
      <c r="H1390" s="46" t="str">
        <f>CONCATENATE(SIP[[#This Row],[Frequency]],SIP[[#This Row],[Investor ID]])</f>
        <v>29A00097</v>
      </c>
      <c r="I1390" s="46" t="str">
        <f>IF(SIP[[#This Row],[B/S]]="B","BUY",(IF(SIP[[#This Row],[B/S]]="S","SELL"," ")))</f>
        <v>BUY</v>
      </c>
      <c r="J1390" s="150" t="s">
        <v>1229</v>
      </c>
      <c r="K1390" s="153">
        <v>30000</v>
      </c>
      <c r="L1390" s="122"/>
      <c r="M1390" s="123">
        <f>SIP[[#This Row],[Amount]]/SIP[[#This Row],[Unit]]</f>
        <v>13.233348037053375</v>
      </c>
      <c r="N1390" s="71">
        <f>SIP[[#This Row],[Unit Capital]]/10</f>
        <v>2267</v>
      </c>
      <c r="O1390" s="71">
        <f>SUMIFS(SIP[[#Headers],[Unit]]:SIP[[#This Row],[Unit]],SIP[[#Headers],[Investor ID]]:SIP[[#This Row],[Investor ID]],SIP[[#This Row],[Investor ID]])</f>
        <v>72641</v>
      </c>
      <c r="P1390" s="197">
        <v>22670</v>
      </c>
      <c r="Q1390" s="74">
        <f>SIP[[#This Row],[Amount]]-SIP[[#This Row],[Unit Capital]]</f>
        <v>7330</v>
      </c>
      <c r="R13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11.28839085365014</v>
      </c>
      <c r="S1390" s="46">
        <f t="shared" si="65"/>
        <v>14.224</v>
      </c>
      <c r="T13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0" s="74" cm="1">
        <f t="array" ref="U1390">IF(SIP[[#This Row],[B/S]]="S",ABS(SIP[[#This Row],[Unit]])*(INDEX(SIP[NAV at Cost (Average)],MATCH(CONCATENATE((SIP[[#This Row],[Frequency]]-1),SIP[[#This Row],[Investor ID]]),SIP[Unique Code],0),0)),0)</f>
        <v>0</v>
      </c>
      <c r="V1390" s="74">
        <f>IF(SIP[[#This Row],[BO TRANSFER]]="YES",SIP[[#This Row],[Unit]],)</f>
        <v>0</v>
      </c>
      <c r="W1390" s="74">
        <f>SUMIFS(SIP[[#Headers],[BO UNIT TRANSFER]]:SIP[[#This Row],[BO UNIT TRANSFER]],SIP[[#Headers],[Investor ID]]:SIP[[#This Row],[Investor ID]],SIP[[#This Row],[Investor ID]])</f>
        <v>0</v>
      </c>
    </row>
    <row r="1391" spans="1:23" ht="15" customHeight="1">
      <c r="A1391" s="101">
        <v>2025</v>
      </c>
      <c r="B1391" s="101">
        <v>9</v>
      </c>
      <c r="C1391" s="101">
        <v>7</v>
      </c>
      <c r="D1391" s="65">
        <f>DATE(SIP[[#This Row],[Year]],SIP[[#This Row],[Month]],SIP[[#This Row],[Day]])</f>
        <v>45907</v>
      </c>
      <c r="E1391" s="66" t="str" cm="1">
        <f t="array" ref="E1391">INDEX(INVESTORS_LIST[INVESTOR NAME],MATCH(SIP[[#This Row],[Investor ID]],INVESTORS_LIST[INVESTOR CODE],0),)</f>
        <v>AHMED BIN MONSUR</v>
      </c>
      <c r="F1391" s="46" t="s">
        <v>692</v>
      </c>
      <c r="G1391" s="46">
        <f>COUNTIF(SIP[[#Headers],[Investor ID]]:SIP[[#This Row],[Investor ID]],SIP[[#This Row],[Investor ID]])</f>
        <v>16</v>
      </c>
      <c r="H1391" s="46" t="str">
        <f>CONCATENATE(SIP[[#This Row],[Frequency]],SIP[[#This Row],[Investor ID]])</f>
        <v>16A00322</v>
      </c>
      <c r="I1391" s="46" t="str">
        <f>IF(SIP[[#This Row],[B/S]]="B","BUY",(IF(SIP[[#This Row],[B/S]]="S","SELL"," ")))</f>
        <v>BUY</v>
      </c>
      <c r="J1391" s="150" t="s">
        <v>1229</v>
      </c>
      <c r="K1391" s="153">
        <v>20000</v>
      </c>
      <c r="L1391" s="122"/>
      <c r="M1391" s="123">
        <f>SIP[[#This Row],[Amount]]/SIP[[#This Row],[Unit]]</f>
        <v>13.236267372600926</v>
      </c>
      <c r="N1391" s="71">
        <f>SIP[[#This Row],[Unit Capital]]/10</f>
        <v>1511</v>
      </c>
      <c r="O1391" s="71">
        <f>SUMIFS(SIP[[#Headers],[Unit]]:SIP[[#This Row],[Unit]],SIP[[#Headers],[Investor ID]]:SIP[[#This Row],[Investor ID]],SIP[[#This Row],[Investor ID]])</f>
        <v>3067</v>
      </c>
      <c r="P1391" s="197">
        <v>15110</v>
      </c>
      <c r="Q1391" s="74">
        <f>SIP[[#This Row],[Amount]]-SIP[[#This Row],[Unit Capital]]</f>
        <v>4890</v>
      </c>
      <c r="R13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13.042060645582001</v>
      </c>
      <c r="S1391" s="46">
        <f t="shared" si="65"/>
        <v>14.224</v>
      </c>
      <c r="T13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1" s="74" cm="1">
        <f t="array" ref="U1391">IF(SIP[[#This Row],[B/S]]="S",ABS(SIP[[#This Row],[Unit]])*(INDEX(SIP[NAV at Cost (Average)],MATCH(CONCATENATE((SIP[[#This Row],[Frequency]]-1),SIP[[#This Row],[Investor ID]]),SIP[Unique Code],0),0)),0)</f>
        <v>0</v>
      </c>
      <c r="V1391" s="74">
        <f>IF(SIP[[#This Row],[BO TRANSFER]]="YES",SIP[[#This Row],[Unit]],)</f>
        <v>0</v>
      </c>
      <c r="W1391" s="74">
        <f>SUMIFS(SIP[[#Headers],[BO UNIT TRANSFER]]:SIP[[#This Row],[BO UNIT TRANSFER]],SIP[[#Headers],[Investor ID]]:SIP[[#This Row],[Investor ID]],SIP[[#This Row],[Investor ID]])</f>
        <v>0</v>
      </c>
    </row>
    <row r="1392" spans="1:23" ht="15" customHeight="1">
      <c r="A1392" s="101">
        <v>2025</v>
      </c>
      <c r="B1392" s="101">
        <v>9</v>
      </c>
      <c r="C1392" s="101">
        <v>7</v>
      </c>
      <c r="D1392" s="65">
        <f>DATE(SIP[[#This Row],[Year]],SIP[[#This Row],[Month]],SIP[[#This Row],[Day]])</f>
        <v>45907</v>
      </c>
      <c r="E1392" s="66" t="str" cm="1">
        <f t="array" ref="E1392">INDEX(INVESTORS_LIST[INVESTOR NAME],MATCH(SIP[[#This Row],[Investor ID]],INVESTORS_LIST[INVESTOR CODE],0),)</f>
        <v>NANI GOPAL DATTA</v>
      </c>
      <c r="F1392" s="46" t="s">
        <v>232</v>
      </c>
      <c r="G1392" s="46">
        <f>COUNTIF(SIP[[#Headers],[Investor ID]]:SIP[[#This Row],[Investor ID]],SIP[[#This Row],[Investor ID]])</f>
        <v>20</v>
      </c>
      <c r="H1392" s="46" t="str">
        <f>CONCATENATE(SIP[[#This Row],[Frequency]],SIP[[#This Row],[Investor ID]])</f>
        <v>20A00092</v>
      </c>
      <c r="I1392" s="46" t="str">
        <f>IF(SIP[[#This Row],[B/S]]="B","BUY",(IF(SIP[[#This Row],[B/S]]="S","SELL"," ")))</f>
        <v>BUY</v>
      </c>
      <c r="J1392" s="150" t="s">
        <v>1229</v>
      </c>
      <c r="K1392" s="153">
        <v>2000</v>
      </c>
      <c r="L1392" s="122"/>
      <c r="M1392" s="123">
        <f>SIP[[#This Row],[Amount]]/SIP[[#This Row],[Unit]]</f>
        <v>13.245033112582782</v>
      </c>
      <c r="N1392" s="71">
        <f>SIP[[#This Row],[Unit Capital]]/10</f>
        <v>151</v>
      </c>
      <c r="O1392" s="71">
        <f>SUMIFS(SIP[[#Headers],[Unit]]:SIP[[#This Row],[Unit]],SIP[[#Headers],[Investor ID]]:SIP[[#This Row],[Investor ID]],SIP[[#This Row],[Investor ID]])</f>
        <v>3101</v>
      </c>
      <c r="P1392" s="197">
        <v>1510</v>
      </c>
      <c r="Q1392" s="74">
        <f>SIP[[#This Row],[Amount]]-SIP[[#This Row],[Unit Capital]]</f>
        <v>490</v>
      </c>
      <c r="R13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11.637353013218021</v>
      </c>
      <c r="S1392" s="46">
        <f t="shared" si="65"/>
        <v>14.224</v>
      </c>
      <c r="T13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2" s="74" cm="1">
        <f t="array" ref="U1392">IF(SIP[[#This Row],[B/S]]="S",ABS(SIP[[#This Row],[Unit]])*(INDEX(SIP[NAV at Cost (Average)],MATCH(CONCATENATE((SIP[[#This Row],[Frequency]]-1),SIP[[#This Row],[Investor ID]]),SIP[Unique Code],0),0)),0)</f>
        <v>0</v>
      </c>
      <c r="V1392" s="74">
        <f>IF(SIP[[#This Row],[BO TRANSFER]]="YES",SIP[[#This Row],[Unit]],)</f>
        <v>0</v>
      </c>
      <c r="W1392" s="74">
        <f>SUMIFS(SIP[[#Headers],[BO UNIT TRANSFER]]:SIP[[#This Row],[BO UNIT TRANSFER]],SIP[[#Headers],[Investor ID]]:SIP[[#This Row],[Investor ID]],SIP[[#This Row],[Investor ID]])</f>
        <v>0</v>
      </c>
    </row>
    <row r="1393" spans="1:23" ht="15" customHeight="1">
      <c r="A1393" s="101">
        <v>2025</v>
      </c>
      <c r="B1393" s="101">
        <v>9</v>
      </c>
      <c r="C1393" s="101">
        <v>7</v>
      </c>
      <c r="D1393" s="65">
        <f>DATE(SIP[[#This Row],[Year]],SIP[[#This Row],[Month]],SIP[[#This Row],[Day]])</f>
        <v>45907</v>
      </c>
      <c r="E1393" s="66" t="str" cm="1">
        <f t="array" ref="E1393">INDEX(INVESTORS_LIST[INVESTOR NAME],MATCH(SIP[[#This Row],[Investor ID]],INVESTORS_LIST[INVESTOR CODE],0),)</f>
        <v>SABRIA ISLAM TALUKDER</v>
      </c>
      <c r="F1393" s="46" t="s">
        <v>409</v>
      </c>
      <c r="G1393" s="46">
        <f>COUNTIF(SIP[[#Headers],[Investor ID]]:SIP[[#This Row],[Investor ID]],SIP[[#This Row],[Investor ID]])</f>
        <v>25</v>
      </c>
      <c r="H1393" s="46" t="str">
        <f>CONCATENATE(SIP[[#This Row],[Frequency]],SIP[[#This Row],[Investor ID]])</f>
        <v>25A00180</v>
      </c>
      <c r="I1393" s="46" t="str">
        <f>IF(SIP[[#This Row],[B/S]]="B","BUY",(IF(SIP[[#This Row],[B/S]]="S","SELL"," ")))</f>
        <v>BUY</v>
      </c>
      <c r="J1393" s="150" t="s">
        <v>1229</v>
      </c>
      <c r="K1393" s="153">
        <v>5000</v>
      </c>
      <c r="L1393" s="122"/>
      <c r="M1393" s="123">
        <f>SIP[[#This Row],[Amount]]/SIP[[#This Row],[Unit]]</f>
        <v>13.227513227513228</v>
      </c>
      <c r="N1393" s="71">
        <f>SIP[[#This Row],[Unit Capital]]/10</f>
        <v>378</v>
      </c>
      <c r="O1393" s="71">
        <f>SUMIFS(SIP[[#Headers],[Unit]]:SIP[[#This Row],[Unit]],SIP[[#Headers],[Investor ID]]:SIP[[#This Row],[Investor ID]],SIP[[#This Row],[Investor ID]])</f>
        <v>10878</v>
      </c>
      <c r="P1393" s="197">
        <v>3780</v>
      </c>
      <c r="Q1393" s="74">
        <f>SIP[[#This Row],[Amount]]-SIP[[#This Row],[Unit Capital]]</f>
        <v>1220</v>
      </c>
      <c r="R13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11.49108291965435</v>
      </c>
      <c r="S1393" s="46">
        <f t="shared" si="65"/>
        <v>14.224</v>
      </c>
      <c r="T13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3" s="74" cm="1">
        <f t="array" ref="U1393">IF(SIP[[#This Row],[B/S]]="S",ABS(SIP[[#This Row],[Unit]])*(INDEX(SIP[NAV at Cost (Average)],MATCH(CONCATENATE((SIP[[#This Row],[Frequency]]-1),SIP[[#This Row],[Investor ID]]),SIP[Unique Code],0),0)),0)</f>
        <v>0</v>
      </c>
      <c r="V1393" s="74">
        <f>IF(SIP[[#This Row],[BO TRANSFER]]="YES",SIP[[#This Row],[Unit]],)</f>
        <v>0</v>
      </c>
      <c r="W1393" s="74">
        <f>SUMIFS(SIP[[#Headers],[BO UNIT TRANSFER]]:SIP[[#This Row],[BO UNIT TRANSFER]],SIP[[#Headers],[Investor ID]]:SIP[[#This Row],[Investor ID]],SIP[[#This Row],[Investor ID]])</f>
        <v>0</v>
      </c>
    </row>
    <row r="1394" spans="1:23" ht="15" customHeight="1">
      <c r="A1394" s="101">
        <v>2025</v>
      </c>
      <c r="B1394" s="101">
        <v>9</v>
      </c>
      <c r="C1394" s="101">
        <v>7</v>
      </c>
      <c r="D1394" s="65">
        <f>DATE(SIP[[#This Row],[Year]],SIP[[#This Row],[Month]],SIP[[#This Row],[Day]])</f>
        <v>45907</v>
      </c>
      <c r="E1394" s="66" t="str" cm="1">
        <f t="array" ref="E1394">INDEX(INVESTORS_LIST[INVESTOR NAME],MATCH(SIP[[#This Row],[Investor ID]],INVESTORS_LIST[INVESTOR CODE],0),)</f>
        <v>BIJOY CHANDRA DAS</v>
      </c>
      <c r="F1394" s="46" t="s">
        <v>497</v>
      </c>
      <c r="G1394" s="46">
        <f>COUNTIF(SIP[[#Headers],[Investor ID]]:SIP[[#This Row],[Investor ID]],SIP[[#This Row],[Investor ID]])</f>
        <v>17</v>
      </c>
      <c r="H1394" s="46" t="str">
        <f>CONCATENATE(SIP[[#This Row],[Frequency]],SIP[[#This Row],[Investor ID]])</f>
        <v>17A00224</v>
      </c>
      <c r="I1394" s="46" t="str">
        <f>IF(SIP[[#This Row],[B/S]]="B","BUY",(IF(SIP[[#This Row],[B/S]]="S","SELL"," ")))</f>
        <v>BUY</v>
      </c>
      <c r="J1394" s="150" t="s">
        <v>1229</v>
      </c>
      <c r="K1394" s="153">
        <v>5000</v>
      </c>
      <c r="L1394" s="122"/>
      <c r="M1394" s="123">
        <f>SIP[[#This Row],[Amount]]/SIP[[#This Row],[Unit]]</f>
        <v>13.227513227513228</v>
      </c>
      <c r="N1394" s="71">
        <f>SIP[[#This Row],[Unit Capital]]/10</f>
        <v>378</v>
      </c>
      <c r="O1394" s="71">
        <f>SUMIFS(SIP[[#Headers],[Unit]]:SIP[[#This Row],[Unit]],SIP[[#Headers],[Investor ID]]:SIP[[#This Row],[Investor ID]],SIP[[#This Row],[Investor ID]])</f>
        <v>7163</v>
      </c>
      <c r="P1394" s="197">
        <v>3780</v>
      </c>
      <c r="Q1394" s="74">
        <f>SIP[[#This Row],[Amount]]-SIP[[#This Row],[Unit Capital]]</f>
        <v>1220</v>
      </c>
      <c r="R13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11.866536367443812</v>
      </c>
      <c r="S1394" s="46">
        <f t="shared" si="65"/>
        <v>14.224</v>
      </c>
      <c r="T13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4" s="74" cm="1">
        <f t="array" ref="U1394">IF(SIP[[#This Row],[B/S]]="S",ABS(SIP[[#This Row],[Unit]])*(INDEX(SIP[NAV at Cost (Average)],MATCH(CONCATENATE((SIP[[#This Row],[Frequency]]-1),SIP[[#This Row],[Investor ID]]),SIP[Unique Code],0),0)),0)</f>
        <v>0</v>
      </c>
      <c r="V1394" s="74">
        <f>IF(SIP[[#This Row],[BO TRANSFER]]="YES",SIP[[#This Row],[Unit]],)</f>
        <v>0</v>
      </c>
      <c r="W1394" s="74">
        <f>SUMIFS(SIP[[#Headers],[BO UNIT TRANSFER]]:SIP[[#This Row],[BO UNIT TRANSFER]],SIP[[#Headers],[Investor ID]]:SIP[[#This Row],[Investor ID]],SIP[[#This Row],[Investor ID]])</f>
        <v>0</v>
      </c>
    </row>
    <row r="1395" spans="1:23" ht="15" customHeight="1">
      <c r="A1395" s="101">
        <v>2025</v>
      </c>
      <c r="B1395" s="101">
        <v>9</v>
      </c>
      <c r="C1395" s="101">
        <v>7</v>
      </c>
      <c r="D1395" s="65">
        <f>DATE(SIP[[#This Row],[Year]],SIP[[#This Row],[Month]],SIP[[#This Row],[Day]])</f>
        <v>45907</v>
      </c>
      <c r="E1395" s="66" t="str" cm="1">
        <f t="array" ref="E1395">INDEX(INVESTORS_LIST[INVESTOR NAME],MATCH(SIP[[#This Row],[Investor ID]],INVESTORS_LIST[INVESTOR CODE],0),)</f>
        <v>ROKSABA KASEM</v>
      </c>
      <c r="F1395" s="46" t="s">
        <v>900</v>
      </c>
      <c r="G1395" s="46">
        <f>COUNTIF(SIP[[#Headers],[Investor ID]]:SIP[[#This Row],[Investor ID]],SIP[[#This Row],[Investor ID]])</f>
        <v>28</v>
      </c>
      <c r="H1395" s="46" t="str">
        <f>CONCATENATE(SIP[[#This Row],[Frequency]],SIP[[#This Row],[Investor ID]])</f>
        <v>28A00427</v>
      </c>
      <c r="I1395" s="46" t="str">
        <f>IF(SIP[[#This Row],[B/S]]="B","BUY",(IF(SIP[[#This Row],[B/S]]="S","SELL"," ")))</f>
        <v>BUY</v>
      </c>
      <c r="J1395" s="150" t="s">
        <v>1229</v>
      </c>
      <c r="K1395" s="153">
        <v>20000</v>
      </c>
      <c r="L1395" s="122" t="s">
        <v>1230</v>
      </c>
      <c r="M1395" s="123">
        <f>SIP[[#This Row],[Amount]]/SIP[[#This Row],[Unit]]</f>
        <v>13.236267372600926</v>
      </c>
      <c r="N1395" s="71">
        <f>SIP[[#This Row],[Unit Capital]]/10</f>
        <v>1511</v>
      </c>
      <c r="O1395" s="71">
        <f>SUMIFS(SIP[[#Headers],[Unit]]:SIP[[#This Row],[Unit]],SIP[[#Headers],[Investor ID]]:SIP[[#This Row],[Investor ID]],SIP[[#This Row],[Investor ID]])</f>
        <v>49353</v>
      </c>
      <c r="P1395" s="197">
        <v>15110</v>
      </c>
      <c r="Q1395" s="74">
        <f>SIP[[#This Row],[Amount]]-SIP[[#This Row],[Unit Capital]]</f>
        <v>4890</v>
      </c>
      <c r="R13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11.346827953721156</v>
      </c>
      <c r="S1395" s="46">
        <f t="shared" si="65"/>
        <v>14.224</v>
      </c>
      <c r="T13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5" s="74" cm="1">
        <f t="array" ref="U1395">IF(SIP[[#This Row],[B/S]]="S",ABS(SIP[[#This Row],[Unit]])*(INDEX(SIP[NAV at Cost (Average)],MATCH(CONCATENATE((SIP[[#This Row],[Frequency]]-1),SIP[[#This Row],[Investor ID]]),SIP[Unique Code],0),0)),0)</f>
        <v>0</v>
      </c>
      <c r="V1395" s="74">
        <f>IF(SIP[[#This Row],[BO TRANSFER]]="YES",SIP[[#This Row],[Unit]],)</f>
        <v>1511</v>
      </c>
      <c r="W1395" s="74">
        <f>SUMIFS(SIP[[#Headers],[BO UNIT TRANSFER]]:SIP[[#This Row],[BO UNIT TRANSFER]],SIP[[#Headers],[Investor ID]]:SIP[[#This Row],[Investor ID]],SIP[[#This Row],[Investor ID]])</f>
        <v>4656</v>
      </c>
    </row>
    <row r="1396" spans="1:23" ht="15" customHeight="1">
      <c r="A1396" s="101">
        <v>2025</v>
      </c>
      <c r="B1396" s="101">
        <v>9</v>
      </c>
      <c r="C1396" s="101">
        <v>7</v>
      </c>
      <c r="D1396" s="65">
        <f>DATE(SIP[[#This Row],[Year]],SIP[[#This Row],[Month]],SIP[[#This Row],[Day]])</f>
        <v>45907</v>
      </c>
      <c r="E1396" s="66" t="str" cm="1">
        <f t="array" ref="E1396">INDEX(INVESTORS_LIST[INVESTOR NAME],MATCH(SIP[[#This Row],[Investor ID]],INVESTORS_LIST[INVESTOR CODE],0),)</f>
        <v>SK FEROZ ALAM</v>
      </c>
      <c r="F1396" s="46" t="s">
        <v>240</v>
      </c>
      <c r="G1396" s="46">
        <f>COUNTIF(SIP[[#Headers],[Investor ID]]:SIP[[#This Row],[Investor ID]],SIP[[#This Row],[Investor ID]])</f>
        <v>18</v>
      </c>
      <c r="H1396" s="46" t="str">
        <f>CONCATENATE(SIP[[#This Row],[Frequency]],SIP[[#This Row],[Investor ID]])</f>
        <v>18A00096</v>
      </c>
      <c r="I1396" s="46" t="str">
        <f>IF(SIP[[#This Row],[B/S]]="B","BUY",(IF(SIP[[#This Row],[B/S]]="S","SELL"," ")))</f>
        <v>BUY</v>
      </c>
      <c r="J1396" s="150" t="s">
        <v>1229</v>
      </c>
      <c r="K1396" s="153">
        <v>1000</v>
      </c>
      <c r="L1396" s="122"/>
      <c r="M1396" s="123">
        <f>SIP[[#This Row],[Amount]]/SIP[[#This Row],[Unit]]</f>
        <v>13.157894736842104</v>
      </c>
      <c r="N1396" s="71">
        <f>SIP[[#This Row],[Unit Capital]]/10</f>
        <v>76</v>
      </c>
      <c r="O1396" s="71">
        <f>SUMIFS(SIP[[#Headers],[Unit]]:SIP[[#This Row],[Unit]],SIP[[#Headers],[Investor ID]]:SIP[[#This Row],[Investor ID]],SIP[[#This Row],[Investor ID]])</f>
        <v>154</v>
      </c>
      <c r="P1396" s="197">
        <v>760</v>
      </c>
      <c r="Q1396" s="74">
        <f>SIP[[#This Row],[Amount]]-SIP[[#This Row],[Unit Capital]]</f>
        <v>240</v>
      </c>
      <c r="R13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12.987012987012987</v>
      </c>
      <c r="S1396" s="46">
        <f t="shared" si="65"/>
        <v>14.224</v>
      </c>
      <c r="T13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6" s="74" cm="1">
        <f t="array" ref="U1396">IF(SIP[[#This Row],[B/S]]="S",ABS(SIP[[#This Row],[Unit]])*(INDEX(SIP[NAV at Cost (Average)],MATCH(CONCATENATE((SIP[[#This Row],[Frequency]]-1),SIP[[#This Row],[Investor ID]]),SIP[Unique Code],0),0)),0)</f>
        <v>0</v>
      </c>
      <c r="V1396" s="74">
        <f>IF(SIP[[#This Row],[BO TRANSFER]]="YES",SIP[[#This Row],[Unit]],)</f>
        <v>0</v>
      </c>
      <c r="W1396" s="74">
        <f>SUMIFS(SIP[[#Headers],[BO UNIT TRANSFER]]:SIP[[#This Row],[BO UNIT TRANSFER]],SIP[[#Headers],[Investor ID]]:SIP[[#This Row],[Investor ID]],SIP[[#This Row],[Investor ID]])</f>
        <v>0</v>
      </c>
    </row>
    <row r="1397" spans="1:23" ht="15" customHeight="1">
      <c r="A1397" s="101">
        <v>2025</v>
      </c>
      <c r="B1397" s="101">
        <v>9</v>
      </c>
      <c r="C1397" s="101">
        <v>7</v>
      </c>
      <c r="D1397" s="65">
        <f>DATE(SIP[[#This Row],[Year]],SIP[[#This Row],[Month]],SIP[[#This Row],[Day]])</f>
        <v>45907</v>
      </c>
      <c r="E1397" s="66" t="str" cm="1">
        <f t="array" ref="E1397">INDEX(INVESTORS_LIST[INVESTOR NAME],MATCH(SIP[[#This Row],[Investor ID]],INVESTORS_LIST[INVESTOR CODE],0),)</f>
        <v>SHANTA PAUL</v>
      </c>
      <c r="F1397" s="46" t="s">
        <v>544</v>
      </c>
      <c r="G1397" s="46">
        <f>COUNTIF(SIP[[#Headers],[Investor ID]]:SIP[[#This Row],[Investor ID]],SIP[[#This Row],[Investor ID]])</f>
        <v>29</v>
      </c>
      <c r="H1397" s="46" t="str">
        <f>CONCATENATE(SIP[[#This Row],[Frequency]],SIP[[#This Row],[Investor ID]])</f>
        <v>29A00247</v>
      </c>
      <c r="I1397" s="46" t="str">
        <f>IF(SIP[[#This Row],[B/S]]="B","BUY",(IF(SIP[[#This Row],[B/S]]="S","SELL"," ")))</f>
        <v>BUY</v>
      </c>
      <c r="J1397" s="150" t="s">
        <v>1229</v>
      </c>
      <c r="K1397" s="153">
        <v>20000</v>
      </c>
      <c r="L1397" s="122"/>
      <c r="M1397" s="123">
        <f>SIP[[#This Row],[Amount]]/SIP[[#This Row],[Unit]]</f>
        <v>13.236267372600926</v>
      </c>
      <c r="N1397" s="71">
        <f>SIP[[#This Row],[Unit Capital]]/10</f>
        <v>1511</v>
      </c>
      <c r="O1397" s="71">
        <f>SUMIFS(SIP[[#Headers],[Unit]]:SIP[[#This Row],[Unit]],SIP[[#Headers],[Investor ID]]:SIP[[#This Row],[Investor ID]],SIP[[#This Row],[Investor ID]])</f>
        <v>51619</v>
      </c>
      <c r="P1397" s="197">
        <v>15110</v>
      </c>
      <c r="Q1397" s="74">
        <f>SIP[[#This Row],[Amount]]-SIP[[#This Row],[Unit Capital]]</f>
        <v>4890</v>
      </c>
      <c r="R13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11.236172727096614</v>
      </c>
      <c r="S1397" s="46">
        <f t="shared" si="65"/>
        <v>14.224</v>
      </c>
      <c r="T13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7" s="74" cm="1">
        <f t="array" ref="U1397">IF(SIP[[#This Row],[B/S]]="S",ABS(SIP[[#This Row],[Unit]])*(INDEX(SIP[NAV at Cost (Average)],MATCH(CONCATENATE((SIP[[#This Row],[Frequency]]-1),SIP[[#This Row],[Investor ID]]),SIP[Unique Code],0),0)),0)</f>
        <v>0</v>
      </c>
      <c r="V1397" s="74">
        <f>IF(SIP[[#This Row],[BO TRANSFER]]="YES",SIP[[#This Row],[Unit]],)</f>
        <v>0</v>
      </c>
      <c r="W1397" s="74">
        <f>SUMIFS(SIP[[#Headers],[BO UNIT TRANSFER]]:SIP[[#This Row],[BO UNIT TRANSFER]],SIP[[#Headers],[Investor ID]]:SIP[[#This Row],[Investor ID]],SIP[[#This Row],[Investor ID]])</f>
        <v>0</v>
      </c>
    </row>
    <row r="1398" spans="1:23" ht="15" customHeight="1">
      <c r="A1398" s="101">
        <v>2025</v>
      </c>
      <c r="B1398" s="101">
        <v>9</v>
      </c>
      <c r="C1398" s="101">
        <v>7</v>
      </c>
      <c r="D1398" s="65">
        <f>DATE(SIP[[#This Row],[Year]],SIP[[#This Row],[Month]],SIP[[#This Row],[Day]])</f>
        <v>45907</v>
      </c>
      <c r="E1398" s="66" t="str" cm="1">
        <f t="array" ref="E1398">INDEX(INVESTORS_LIST[INVESTOR NAME],MATCH(SIP[[#This Row],[Investor ID]],INVESTORS_LIST[INVESTOR CODE],0),)</f>
        <v>FAKARUDDIN ALI AHMED</v>
      </c>
      <c r="F1398" s="46" t="s">
        <v>228</v>
      </c>
      <c r="G1398" s="46">
        <f>COUNTIF(SIP[[#Headers],[Investor ID]]:SIP[[#This Row],[Investor ID]],SIP[[#This Row],[Investor ID]])</f>
        <v>29</v>
      </c>
      <c r="H1398" s="46" t="str">
        <f>CONCATENATE(SIP[[#This Row],[Frequency]],SIP[[#This Row],[Investor ID]])</f>
        <v>29A00090</v>
      </c>
      <c r="I1398" s="46" t="str">
        <f>IF(SIP[[#This Row],[B/S]]="B","BUY",(IF(SIP[[#This Row],[B/S]]="S","SELL"," ")))</f>
        <v>BUY</v>
      </c>
      <c r="J1398" s="150" t="s">
        <v>1229</v>
      </c>
      <c r="K1398" s="153">
        <v>10000</v>
      </c>
      <c r="L1398" s="122"/>
      <c r="M1398" s="123">
        <f>SIP[[#This Row],[Amount]]/SIP[[#This Row],[Unit]]</f>
        <v>13.227513227513228</v>
      </c>
      <c r="N1398" s="71">
        <f>SIP[[#This Row],[Unit Capital]]/10</f>
        <v>756</v>
      </c>
      <c r="O1398" s="71">
        <f>SUMIFS(SIP[[#Headers],[Unit]]:SIP[[#This Row],[Unit]],SIP[[#Headers],[Investor ID]]:SIP[[#This Row],[Investor ID]],SIP[[#This Row],[Investor ID]])</f>
        <v>1534</v>
      </c>
      <c r="P1398" s="197">
        <v>7560</v>
      </c>
      <c r="Q1398" s="74">
        <f>SIP[[#This Row],[Amount]]-SIP[[#This Row],[Unit Capital]]</f>
        <v>2440</v>
      </c>
      <c r="R13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13.03780964797914</v>
      </c>
      <c r="S1398" s="46">
        <f t="shared" si="65"/>
        <v>14.224</v>
      </c>
      <c r="T13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8" s="74" cm="1">
        <f t="array" ref="U1398">IF(SIP[[#This Row],[B/S]]="S",ABS(SIP[[#This Row],[Unit]])*(INDEX(SIP[NAV at Cost (Average)],MATCH(CONCATENATE((SIP[[#This Row],[Frequency]]-1),SIP[[#This Row],[Investor ID]]),SIP[Unique Code],0),0)),0)</f>
        <v>0</v>
      </c>
      <c r="V1398" s="74">
        <f>IF(SIP[[#This Row],[BO TRANSFER]]="YES",SIP[[#This Row],[Unit]],)</f>
        <v>0</v>
      </c>
      <c r="W1398" s="74">
        <f>SUMIFS(SIP[[#Headers],[BO UNIT TRANSFER]]:SIP[[#This Row],[BO UNIT TRANSFER]],SIP[[#Headers],[Investor ID]]:SIP[[#This Row],[Investor ID]],SIP[[#This Row],[Investor ID]])</f>
        <v>0</v>
      </c>
    </row>
    <row r="1399" spans="1:23" ht="15" customHeight="1">
      <c r="A1399" s="101">
        <v>2025</v>
      </c>
      <c r="B1399" s="101">
        <v>9</v>
      </c>
      <c r="C1399" s="101">
        <v>7</v>
      </c>
      <c r="D1399" s="65">
        <f>DATE(SIP[[#This Row],[Year]],SIP[[#This Row],[Month]],SIP[[#This Row],[Day]])</f>
        <v>45907</v>
      </c>
      <c r="E1399" s="66" t="str" cm="1">
        <f t="array" ref="E1399">INDEX(INVESTORS_LIST[INVESTOR NAME],MATCH(SIP[[#This Row],[Investor ID]],INVESTORS_LIST[INVESTOR CODE],0),)</f>
        <v>AKIB TANVIR ANJUM</v>
      </c>
      <c r="F1399" s="46" t="s">
        <v>1116</v>
      </c>
      <c r="G1399" s="46">
        <f>COUNTIF(SIP[[#Headers],[Investor ID]]:SIP[[#This Row],[Investor ID]],SIP[[#This Row],[Investor ID]])</f>
        <v>25</v>
      </c>
      <c r="H1399" s="46" t="str">
        <f>CONCATENATE(SIP[[#This Row],[Frequency]],SIP[[#This Row],[Investor ID]])</f>
        <v>25A00533</v>
      </c>
      <c r="I1399" s="46" t="str">
        <f>IF(SIP[[#This Row],[B/S]]="B","BUY",(IF(SIP[[#This Row],[B/S]]="S","SELL"," ")))</f>
        <v>BUY</v>
      </c>
      <c r="J1399" s="150" t="s">
        <v>1229</v>
      </c>
      <c r="K1399" s="153">
        <v>4000</v>
      </c>
      <c r="L1399" s="122"/>
      <c r="M1399" s="123">
        <f>SIP[[#This Row],[Amount]]/SIP[[#This Row],[Unit]]</f>
        <v>13.245033112582782</v>
      </c>
      <c r="N1399" s="71">
        <f>SIP[[#This Row],[Unit Capital]]/10</f>
        <v>302</v>
      </c>
      <c r="O1399" s="71">
        <f>SUMIFS(SIP[[#Headers],[Unit]]:SIP[[#This Row],[Unit]],SIP[[#Headers],[Investor ID]]:SIP[[#This Row],[Investor ID]],SIP[[#This Row],[Investor ID]])</f>
        <v>1250</v>
      </c>
      <c r="P1399" s="197">
        <v>3020</v>
      </c>
      <c r="Q1399" s="74">
        <f>SIP[[#This Row],[Amount]]-SIP[[#This Row],[Unit Capital]]</f>
        <v>980</v>
      </c>
      <c r="R13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</v>
      </c>
      <c r="S1399" s="46">
        <f t="shared" si="65"/>
        <v>14.224</v>
      </c>
      <c r="T13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9" s="74" cm="1">
        <f t="array" ref="U1399">IF(SIP[[#This Row],[B/S]]="S",ABS(SIP[[#This Row],[Unit]])*(INDEX(SIP[NAV at Cost (Average)],MATCH(CONCATENATE((SIP[[#This Row],[Frequency]]-1),SIP[[#This Row],[Investor ID]]),SIP[Unique Code],0),0)),0)</f>
        <v>0</v>
      </c>
      <c r="V1399" s="74">
        <f>IF(SIP[[#This Row],[BO TRANSFER]]="YES",SIP[[#This Row],[Unit]],)</f>
        <v>0</v>
      </c>
      <c r="W1399" s="74">
        <f>SUMIFS(SIP[[#Headers],[BO UNIT TRANSFER]]:SIP[[#This Row],[BO UNIT TRANSFER]],SIP[[#Headers],[Investor ID]]:SIP[[#This Row],[Investor ID]],SIP[[#This Row],[Investor ID]])</f>
        <v>0</v>
      </c>
    </row>
    <row r="1400" spans="1:23" ht="15" customHeight="1">
      <c r="A1400" s="101">
        <v>2025</v>
      </c>
      <c r="B1400" s="101">
        <v>9</v>
      </c>
      <c r="C1400" s="101">
        <v>7</v>
      </c>
      <c r="D1400" s="65">
        <f>DATE(SIP[[#This Row],[Year]],SIP[[#This Row],[Month]],SIP[[#This Row],[Day]])</f>
        <v>45907</v>
      </c>
      <c r="E1400" s="66" t="str" cm="1">
        <f t="array" ref="E1400">INDEX(INVESTORS_LIST[INVESTOR NAME],MATCH(SIP[[#This Row],[Investor ID]],INVESTORS_LIST[INVESTOR CODE],0),)</f>
        <v>MONIR AHMED</v>
      </c>
      <c r="F1400" s="46" t="s">
        <v>125</v>
      </c>
      <c r="G1400" s="46">
        <f>COUNTIF(SIP[[#Headers],[Investor ID]]:SIP[[#This Row],[Investor ID]],SIP[[#This Row],[Investor ID]])</f>
        <v>30</v>
      </c>
      <c r="H1400" s="46" t="str">
        <f>CONCATENATE(SIP[[#This Row],[Frequency]],SIP[[#This Row],[Investor ID]])</f>
        <v>30A00039</v>
      </c>
      <c r="I1400" s="46" t="str">
        <f>IF(SIP[[#This Row],[B/S]]="B","BUY",(IF(SIP[[#This Row],[B/S]]="S","SELL"," ")))</f>
        <v>BUY</v>
      </c>
      <c r="J1400" s="150" t="s">
        <v>1229</v>
      </c>
      <c r="K1400" s="153">
        <v>10000</v>
      </c>
      <c r="L1400" s="122"/>
      <c r="M1400" s="123">
        <f>SIP[[#This Row],[Amount]]/SIP[[#This Row],[Unit]]</f>
        <v>13.227513227513228</v>
      </c>
      <c r="N1400" s="71">
        <f>SIP[[#This Row],[Unit Capital]]/10</f>
        <v>756</v>
      </c>
      <c r="O1400" s="71">
        <f>SUMIFS(SIP[[#Headers],[Unit]]:SIP[[#This Row],[Unit]],SIP[[#Headers],[Investor ID]]:SIP[[#This Row],[Investor ID]],SIP[[#This Row],[Investor ID]])</f>
        <v>19979</v>
      </c>
      <c r="P1400" s="197">
        <v>7560</v>
      </c>
      <c r="Q1400" s="74">
        <f>SIP[[#This Row],[Amount]]-SIP[[#This Row],[Unit Capital]]</f>
        <v>2440</v>
      </c>
      <c r="R14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12.515436153120527</v>
      </c>
      <c r="S1400" s="46">
        <f t="shared" si="65"/>
        <v>14.224</v>
      </c>
      <c r="T14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0" s="74" cm="1">
        <f t="array" ref="U1400">IF(SIP[[#This Row],[B/S]]="S",ABS(SIP[[#This Row],[Unit]])*(INDEX(SIP[NAV at Cost (Average)],MATCH(CONCATENATE((SIP[[#This Row],[Frequency]]-1),SIP[[#This Row],[Investor ID]]),SIP[Unique Code],0),0)),0)</f>
        <v>0</v>
      </c>
      <c r="V1400" s="74">
        <f>IF(SIP[[#This Row],[BO TRANSFER]]="YES",SIP[[#This Row],[Unit]],)</f>
        <v>0</v>
      </c>
      <c r="W1400" s="74">
        <f>SUMIFS(SIP[[#Headers],[BO UNIT TRANSFER]]:SIP[[#This Row],[BO UNIT TRANSFER]],SIP[[#Headers],[Investor ID]]:SIP[[#This Row],[Investor ID]],SIP[[#This Row],[Investor ID]])</f>
        <v>0</v>
      </c>
    </row>
    <row r="1401" spans="1:23" ht="15" customHeight="1">
      <c r="A1401" s="101">
        <v>2025</v>
      </c>
      <c r="B1401" s="101">
        <v>9</v>
      </c>
      <c r="C1401" s="101">
        <v>7</v>
      </c>
      <c r="D1401" s="65">
        <f>DATE(SIP[[#This Row],[Year]],SIP[[#This Row],[Month]],SIP[[#This Row],[Day]])</f>
        <v>45907</v>
      </c>
      <c r="E1401" s="66" t="str" cm="1">
        <f t="array" ref="E1401">INDEX(INVESTORS_LIST[INVESTOR NAME],MATCH(SIP[[#This Row],[Investor ID]],INVESTORS_LIST[INVESTOR CODE],0),)</f>
        <v>NANDINI SAHA</v>
      </c>
      <c r="F1401" s="46" t="s">
        <v>242</v>
      </c>
      <c r="G1401" s="46">
        <f>COUNTIF(SIP[[#Headers],[Investor ID]]:SIP[[#This Row],[Investor ID]],SIP[[#This Row],[Investor ID]])</f>
        <v>30</v>
      </c>
      <c r="H1401" s="46" t="str">
        <f>CONCATENATE(SIP[[#This Row],[Frequency]],SIP[[#This Row],[Investor ID]])</f>
        <v>30A00097</v>
      </c>
      <c r="I1401" s="46" t="str">
        <f>IF(SIP[[#This Row],[B/S]]="B","BUY",(IF(SIP[[#This Row],[B/S]]="S","SELL"," ")))</f>
        <v>BUY</v>
      </c>
      <c r="J1401" s="150" t="s">
        <v>1229</v>
      </c>
      <c r="K1401" s="153">
        <v>5000</v>
      </c>
      <c r="L1401" s="122"/>
      <c r="M1401" s="123">
        <f>SIP[[#This Row],[Amount]]/SIP[[#This Row],[Unit]]</f>
        <v>13.227513227513228</v>
      </c>
      <c r="N1401" s="71">
        <f>SIP[[#This Row],[Unit Capital]]/10</f>
        <v>378</v>
      </c>
      <c r="O1401" s="71">
        <f>SUMIFS(SIP[[#Headers],[Unit]]:SIP[[#This Row],[Unit]],SIP[[#Headers],[Investor ID]]:SIP[[#This Row],[Investor ID]],SIP[[#This Row],[Investor ID]])</f>
        <v>73019</v>
      </c>
      <c r="P1401" s="197">
        <v>3780</v>
      </c>
      <c r="Q1401" s="74">
        <f>SIP[[#This Row],[Amount]]-SIP[[#This Row],[Unit Capital]]</f>
        <v>1220</v>
      </c>
      <c r="R14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11.298429175967895</v>
      </c>
      <c r="S1401" s="46">
        <f t="shared" si="65"/>
        <v>14.224</v>
      </c>
      <c r="T14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1" s="74" cm="1">
        <f t="array" ref="U1401">IF(SIP[[#This Row],[B/S]]="S",ABS(SIP[[#This Row],[Unit]])*(INDEX(SIP[NAV at Cost (Average)],MATCH(CONCATENATE((SIP[[#This Row],[Frequency]]-1),SIP[[#This Row],[Investor ID]]),SIP[Unique Code],0),0)),0)</f>
        <v>0</v>
      </c>
      <c r="V1401" s="74">
        <f>IF(SIP[[#This Row],[BO TRANSFER]]="YES",SIP[[#This Row],[Unit]],)</f>
        <v>0</v>
      </c>
      <c r="W1401" s="74">
        <f>SUMIFS(SIP[[#Headers],[BO UNIT TRANSFER]]:SIP[[#This Row],[BO UNIT TRANSFER]],SIP[[#Headers],[Investor ID]]:SIP[[#This Row],[Investor ID]],SIP[[#This Row],[Investor ID]])</f>
        <v>0</v>
      </c>
    </row>
    <row r="1402" spans="1:23" ht="15" customHeight="1">
      <c r="A1402" s="101">
        <v>2025</v>
      </c>
      <c r="B1402" s="101">
        <v>9</v>
      </c>
      <c r="C1402" s="101">
        <v>11</v>
      </c>
      <c r="D1402" s="65">
        <f>DATE(SIP[[#This Row],[Year]],SIP[[#This Row],[Month]],SIP[[#This Row],[Day]])</f>
        <v>45911</v>
      </c>
      <c r="E1402" s="66" t="str" cm="1">
        <f t="array" ref="E1402">INDEX(INVESTORS_LIST[INVESTOR NAME],MATCH(SIP[[#This Row],[Investor ID]],INVESTORS_LIST[INVESTOR CODE],0),)</f>
        <v>MD ABDULLAH-AL- MAMUN</v>
      </c>
      <c r="F1402" s="166" t="s">
        <v>533</v>
      </c>
      <c r="G1402" s="46">
        <f>COUNTIF(SIP[[#Headers],[Investor ID]]:SIP[[#This Row],[Investor ID]],SIP[[#This Row],[Investor ID]])</f>
        <v>27</v>
      </c>
      <c r="H1402" s="46" t="str">
        <f>CONCATENATE(SIP[[#This Row],[Frequency]],SIP[[#This Row],[Investor ID]])</f>
        <v>27A00242</v>
      </c>
      <c r="I1402" s="46" t="str">
        <f>IF(SIP[[#This Row],[B/S]]="B","BUY",(IF(SIP[[#This Row],[B/S]]="S","SELL"," ")))</f>
        <v>SELL</v>
      </c>
      <c r="J1402" s="150" t="s">
        <v>1231</v>
      </c>
      <c r="K1402" s="287">
        <v>-400000</v>
      </c>
      <c r="L1402" s="122"/>
      <c r="M1402" s="123">
        <f>SIP[[#This Row],[Amount]]/SIP[[#This Row],[Unit]]</f>
        <v>13.233202104079135</v>
      </c>
      <c r="N1402" s="71">
        <f>SIP[[#This Row],[Unit Capital]]/10</f>
        <v>-30227</v>
      </c>
      <c r="O1402" s="71">
        <f>SUMIFS(SIP[[#Headers],[Unit]]:SIP[[#This Row],[Unit]],SIP[[#Headers],[Investor ID]]:SIP[[#This Row],[Investor ID]],SIP[[#This Row],[Investor ID]])</f>
        <v>1971</v>
      </c>
      <c r="P1402" s="153">
        <v>-302270</v>
      </c>
      <c r="Q1402" s="74">
        <f>SIP[[#This Row],[Amount]]-SIP[[#This Row],[Unit Capital]]</f>
        <v>-97730</v>
      </c>
      <c r="R14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11.646686129573268</v>
      </c>
      <c r="S1402" s="46">
        <f t="shared" ref="S1402:S1410" si="66">NAV_MKT</f>
        <v>14.224</v>
      </c>
      <c r="T1402" s="74">
        <f>IF(SIP[[#This Row],[B/S]]="B",0,ABS(SIP[[#This Row],[Unit]])*(SIP[[#This Row],[NAV (Strike Rate)]]-INDEX(SIP[NAV at Cost (Average)],MATCH(CONCATENATE(SIP[[#This Row],[Frequency]]-1,SIP[[#This Row],[Investor ID]]),SIP[Unique Code],0),)))</f>
        <v>47955.618361388828</v>
      </c>
      <c r="U1402" s="74" cm="1">
        <f t="array" ref="U1402">IF(SIP[[#This Row],[B/S]]="S",ABS(SIP[[#This Row],[Unit]])*(INDEX(SIP[NAV at Cost (Average)],MATCH(CONCATENATE((SIP[[#This Row],[Frequency]]-1),SIP[[#This Row],[Investor ID]]),SIP[Unique Code],0),0)),0)</f>
        <v>352044.3816386112</v>
      </c>
      <c r="V1402" s="74">
        <f>IF(SIP[[#This Row],[BO TRANSFER]]="YES",SIP[[#This Row],[Unit]],)</f>
        <v>0</v>
      </c>
      <c r="W1402" s="74">
        <f>SUMIFS(SIP[[#Headers],[BO UNIT TRANSFER]]:SIP[[#This Row],[BO UNIT TRANSFER]],SIP[[#Headers],[Investor ID]]:SIP[[#This Row],[Investor ID]],SIP[[#This Row],[Investor ID]])</f>
        <v>0</v>
      </c>
    </row>
    <row r="1403" spans="1:23" ht="15" customHeight="1">
      <c r="A1403" s="101">
        <v>2025</v>
      </c>
      <c r="B1403" s="101">
        <v>9</v>
      </c>
      <c r="C1403" s="101">
        <v>11</v>
      </c>
      <c r="D1403" s="65">
        <f>DATE(SIP[[#This Row],[Year]],SIP[[#This Row],[Month]],SIP[[#This Row],[Day]])</f>
        <v>45911</v>
      </c>
      <c r="E1403" s="66" t="str" cm="1">
        <f t="array" ref="E1403">INDEX(INVESTORS_LIST[INVESTOR NAME],MATCH(SIP[[#This Row],[Investor ID]],INVESTORS_LIST[INVESTOR CODE],0),)</f>
        <v>SHUVA SAHA</v>
      </c>
      <c r="F1403" s="150" t="s">
        <v>154</v>
      </c>
      <c r="G1403" s="46">
        <f>COUNTIF(SIP[[#Headers],[Investor ID]]:SIP[[#This Row],[Investor ID]],SIP[[#This Row],[Investor ID]])</f>
        <v>27</v>
      </c>
      <c r="H1403" s="46" t="str">
        <f>CONCATENATE(SIP[[#This Row],[Frequency]],SIP[[#This Row],[Investor ID]])</f>
        <v>27A00053</v>
      </c>
      <c r="I1403" s="46" t="str">
        <f>IF(SIP[[#This Row],[B/S]]="B","BUY",(IF(SIP[[#This Row],[B/S]]="S","SELL"," ")))</f>
        <v>BUY</v>
      </c>
      <c r="J1403" s="150" t="s">
        <v>1229</v>
      </c>
      <c r="K1403" s="152">
        <v>20101</v>
      </c>
      <c r="L1403" s="122"/>
      <c r="M1403" s="123">
        <f>SIP[[#This Row],[Amount]]/SIP[[#This Row],[Unit]]</f>
        <v>13.23304805793285</v>
      </c>
      <c r="N1403" s="71">
        <f>SIP[[#This Row],[Unit Capital]]/10</f>
        <v>1519</v>
      </c>
      <c r="O1403" s="71">
        <f>SUMIFS(SIP[[#Headers],[Unit]]:SIP[[#This Row],[Unit]],SIP[[#Headers],[Investor ID]]:SIP[[#This Row],[Investor ID]],SIP[[#This Row],[Investor ID]])</f>
        <v>0</v>
      </c>
      <c r="P1403" s="153">
        <v>15190</v>
      </c>
      <c r="Q1403" s="74">
        <f>SIP[[#This Row],[Amount]]-SIP[[#This Row],[Unit Capital]]</f>
        <v>4911</v>
      </c>
      <c r="R14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403" s="46">
        <f t="shared" si="66"/>
        <v>14.224</v>
      </c>
      <c r="T14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3" s="74" cm="1">
        <f t="array" ref="U1403">IF(SIP[[#This Row],[B/S]]="S",ABS(SIP[[#This Row],[Unit]])*(INDEX(SIP[NAV at Cost (Average)],MATCH(CONCATENATE((SIP[[#This Row],[Frequency]]-1),SIP[[#This Row],[Investor ID]]),SIP[Unique Code],0),0)),0)</f>
        <v>0</v>
      </c>
      <c r="V1403" s="74">
        <f>IF(SIP[[#This Row],[BO TRANSFER]]="YES",SIP[[#This Row],[Unit]],)</f>
        <v>0</v>
      </c>
      <c r="W1403" s="74">
        <f>SUMIFS(SIP[[#Headers],[BO UNIT TRANSFER]]:SIP[[#This Row],[BO UNIT TRANSFER]],SIP[[#Headers],[Investor ID]]:SIP[[#This Row],[Investor ID]],SIP[[#This Row],[Investor ID]])</f>
        <v>0</v>
      </c>
    </row>
    <row r="1404" spans="1:23" ht="15" customHeight="1">
      <c r="A1404" s="101">
        <v>2025</v>
      </c>
      <c r="B1404" s="101">
        <v>9</v>
      </c>
      <c r="C1404" s="101">
        <v>15</v>
      </c>
      <c r="D1404" s="65">
        <f>DATE(SIP[[#This Row],[Year]],SIP[[#This Row],[Month]],SIP[[#This Row],[Day]])</f>
        <v>45915</v>
      </c>
      <c r="E1404" s="66" t="str" cm="1">
        <f t="array" ref="E1404">INDEX(INVESTORS_LIST[INVESTOR NAME],MATCH(SIP[[#This Row],[Investor ID]],INVESTORS_LIST[INVESTOR CODE],0),)</f>
        <v>SANJIB KUMAR ROY</v>
      </c>
      <c r="F1404" s="46" t="s">
        <v>1020</v>
      </c>
      <c r="G1404" s="46">
        <f>COUNTIF(SIP[[#Headers],[Investor ID]]:SIP[[#This Row],[Investor ID]],SIP[[#This Row],[Investor ID]])</f>
        <v>28</v>
      </c>
      <c r="H1404" s="46" t="str">
        <f>CONCATENATE(SIP[[#This Row],[Frequency]],SIP[[#This Row],[Investor ID]])</f>
        <v>28A00487</v>
      </c>
      <c r="I1404" s="46" t="str">
        <f>IF(SIP[[#This Row],[B/S]]="B","BUY",(IF(SIP[[#This Row],[B/S]]="S","SELL"," ")))</f>
        <v>BUY</v>
      </c>
      <c r="J1404" s="150" t="s">
        <v>1229</v>
      </c>
      <c r="K1404" s="153">
        <v>5000</v>
      </c>
      <c r="L1404" s="122"/>
      <c r="M1404" s="123">
        <f>SIP[[#This Row],[Amount]]/SIP[[#This Row],[Unit]]</f>
        <v>13.262599469496021</v>
      </c>
      <c r="N1404" s="71">
        <f>SIP[[#This Row],[Unit Capital]]/10</f>
        <v>377</v>
      </c>
      <c r="O1404" s="71">
        <f>SUMIFS(SIP[[#Headers],[Unit]]:SIP[[#This Row],[Unit]],SIP[[#Headers],[Investor ID]]:SIP[[#This Row],[Investor ID]],SIP[[#This Row],[Investor ID]])</f>
        <v>12294</v>
      </c>
      <c r="P1404" s="153">
        <v>3770</v>
      </c>
      <c r="Q1404" s="74">
        <f>SIP[[#This Row],[Amount]]-SIP[[#This Row],[Unit Capital]]</f>
        <v>1230</v>
      </c>
      <c r="R14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11.387668781519437</v>
      </c>
      <c r="S1404" s="46">
        <f t="shared" si="66"/>
        <v>14.224</v>
      </c>
      <c r="T14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4" s="74" cm="1">
        <f t="array" ref="U1404">IF(SIP[[#This Row],[B/S]]="S",ABS(SIP[[#This Row],[Unit]])*(INDEX(SIP[NAV at Cost (Average)],MATCH(CONCATENATE((SIP[[#This Row],[Frequency]]-1),SIP[[#This Row],[Investor ID]]),SIP[Unique Code],0),0)),0)</f>
        <v>0</v>
      </c>
      <c r="V1404" s="74">
        <f>IF(SIP[[#This Row],[BO TRANSFER]]="YES",SIP[[#This Row],[Unit]],)</f>
        <v>0</v>
      </c>
      <c r="W1404" s="74">
        <f>SUMIFS(SIP[[#Headers],[BO UNIT TRANSFER]]:SIP[[#This Row],[BO UNIT TRANSFER]],SIP[[#Headers],[Investor ID]]:SIP[[#This Row],[Investor ID]],SIP[[#This Row],[Investor ID]])</f>
        <v>0</v>
      </c>
    </row>
    <row r="1405" spans="1:23" ht="15" customHeight="1">
      <c r="A1405" s="101">
        <v>2025</v>
      </c>
      <c r="B1405" s="101">
        <v>9</v>
      </c>
      <c r="C1405" s="101">
        <v>15</v>
      </c>
      <c r="D1405" s="65">
        <f>DATE(SIP[[#This Row],[Year]],SIP[[#This Row],[Month]],SIP[[#This Row],[Day]])</f>
        <v>45915</v>
      </c>
      <c r="E1405" s="66" t="str" cm="1">
        <f t="array" ref="E1405">INDEX(INVESTORS_LIST[INVESTOR NAME],MATCH(SIP[[#This Row],[Investor ID]],INVESTORS_LIST[INVESTOR CODE],0),)</f>
        <v>MAHMUD ALI ALAMGIR &amp; MOHAMMED ALI XAHANGIR</v>
      </c>
      <c r="F1405" s="46" t="s">
        <v>1130</v>
      </c>
      <c r="G1405" s="46">
        <f>COUNTIF(SIP[[#Headers],[Investor ID]]:SIP[[#This Row],[Investor ID]],SIP[[#This Row],[Investor ID]])</f>
        <v>28</v>
      </c>
      <c r="H1405" s="46" t="str">
        <f>CONCATENATE(SIP[[#This Row],[Frequency]],SIP[[#This Row],[Investor ID]])</f>
        <v>28A00540</v>
      </c>
      <c r="I1405" s="46" t="str">
        <f>IF(SIP[[#This Row],[B/S]]="B","BUY",(IF(SIP[[#This Row],[B/S]]="S","SELL"," ")))</f>
        <v>BUY</v>
      </c>
      <c r="J1405" s="150" t="s">
        <v>1229</v>
      </c>
      <c r="K1405" s="153">
        <v>20000</v>
      </c>
      <c r="L1405" s="122"/>
      <c r="M1405" s="123">
        <f>SIP[[#This Row],[Amount]]/SIP[[#This Row],[Unit]]</f>
        <v>13.271400132714001</v>
      </c>
      <c r="N1405" s="71">
        <f>SIP[[#This Row],[Unit Capital]]/10</f>
        <v>1507</v>
      </c>
      <c r="O1405" s="71">
        <f>SUMIFS(SIP[[#Headers],[Unit]]:SIP[[#This Row],[Unit]],SIP[[#Headers],[Investor ID]]:SIP[[#This Row],[Investor ID]],SIP[[#This Row],[Investor ID]])</f>
        <v>9835</v>
      </c>
      <c r="P1405" s="153">
        <v>15070</v>
      </c>
      <c r="Q1405" s="74">
        <f>SIP[[#This Row],[Amount]]-SIP[[#This Row],[Unit Capital]]</f>
        <v>4930</v>
      </c>
      <c r="R14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12.699008822980533</v>
      </c>
      <c r="S1405" s="46">
        <f t="shared" si="66"/>
        <v>14.224</v>
      </c>
      <c r="T14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5" s="74" cm="1">
        <f t="array" ref="U1405">IF(SIP[[#This Row],[B/S]]="S",ABS(SIP[[#This Row],[Unit]])*(INDEX(SIP[NAV at Cost (Average)],MATCH(CONCATENATE((SIP[[#This Row],[Frequency]]-1),SIP[[#This Row],[Investor ID]]),SIP[Unique Code],0),0)),0)</f>
        <v>0</v>
      </c>
      <c r="V1405" s="74">
        <f>IF(SIP[[#This Row],[BO TRANSFER]]="YES",SIP[[#This Row],[Unit]],)</f>
        <v>0</v>
      </c>
      <c r="W1405" s="74">
        <f>SUMIFS(SIP[[#Headers],[BO UNIT TRANSFER]]:SIP[[#This Row],[BO UNIT TRANSFER]],SIP[[#Headers],[Investor ID]]:SIP[[#This Row],[Investor ID]],SIP[[#This Row],[Investor ID]])</f>
        <v>0</v>
      </c>
    </row>
    <row r="1406" spans="1:23" ht="15" customHeight="1">
      <c r="A1406" s="101">
        <v>2025</v>
      </c>
      <c r="B1406" s="101">
        <v>9</v>
      </c>
      <c r="C1406" s="101">
        <v>15</v>
      </c>
      <c r="D1406" s="65">
        <f>DATE(SIP[[#This Row],[Year]],SIP[[#This Row],[Month]],SIP[[#This Row],[Day]])</f>
        <v>45915</v>
      </c>
      <c r="E1406" s="66" t="str" cm="1">
        <f t="array" ref="E1406">INDEX(INVESTORS_LIST[INVESTOR NAME],MATCH(SIP[[#This Row],[Investor ID]],INVESTORS_LIST[INVESTOR CODE],0),)</f>
        <v>MAHMUD ALI ALAMGIR &amp; MOHAMMED ALI XAHANGIR</v>
      </c>
      <c r="F1406" s="46" t="s">
        <v>1130</v>
      </c>
      <c r="G1406" s="46">
        <f>COUNTIF(SIP[[#Headers],[Investor ID]]:SIP[[#This Row],[Investor ID]],SIP[[#This Row],[Investor ID]])</f>
        <v>29</v>
      </c>
      <c r="H1406" s="46" t="str">
        <f>CONCATENATE(SIP[[#This Row],[Frequency]],SIP[[#This Row],[Investor ID]])</f>
        <v>29A00540</v>
      </c>
      <c r="I1406" s="46" t="str">
        <f>IF(SIP[[#This Row],[B/S]]="B","BUY",(IF(SIP[[#This Row],[B/S]]="S","SELL"," ")))</f>
        <v>BUY</v>
      </c>
      <c r="J1406" s="150" t="s">
        <v>1229</v>
      </c>
      <c r="K1406" s="153">
        <v>40000</v>
      </c>
      <c r="L1406" s="122"/>
      <c r="M1406" s="123">
        <f>SIP[[#This Row],[Amount]]/SIP[[#This Row],[Unit]]</f>
        <v>13.271400132714001</v>
      </c>
      <c r="N1406" s="71">
        <f>SIP[[#This Row],[Unit Capital]]/10</f>
        <v>3014</v>
      </c>
      <c r="O1406" s="71">
        <f>SUMIFS(SIP[[#Headers],[Unit]]:SIP[[#This Row],[Unit]],SIP[[#Headers],[Investor ID]]:SIP[[#This Row],[Investor ID]],SIP[[#This Row],[Investor ID]])</f>
        <v>12849</v>
      </c>
      <c r="P1406" s="153">
        <v>30140</v>
      </c>
      <c r="Q1406" s="74">
        <f>SIP[[#This Row],[Amount]]-SIP[[#This Row],[Unit Capital]]</f>
        <v>9860</v>
      </c>
      <c r="R14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12.833275101098415</v>
      </c>
      <c r="S1406" s="46">
        <f t="shared" si="66"/>
        <v>14.224</v>
      </c>
      <c r="T14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6" s="74" cm="1">
        <f t="array" ref="U1406">IF(SIP[[#This Row],[B/S]]="S",ABS(SIP[[#This Row],[Unit]])*(INDEX(SIP[NAV at Cost (Average)],MATCH(CONCATENATE((SIP[[#This Row],[Frequency]]-1),SIP[[#This Row],[Investor ID]]),SIP[Unique Code],0),0)),0)</f>
        <v>0</v>
      </c>
      <c r="V1406" s="74">
        <f>IF(SIP[[#This Row],[BO TRANSFER]]="YES",SIP[[#This Row],[Unit]],)</f>
        <v>0</v>
      </c>
      <c r="W1406" s="74">
        <f>SUMIFS(SIP[[#Headers],[BO UNIT TRANSFER]]:SIP[[#This Row],[BO UNIT TRANSFER]],SIP[[#Headers],[Investor ID]]:SIP[[#This Row],[Investor ID]],SIP[[#This Row],[Investor ID]])</f>
        <v>0</v>
      </c>
    </row>
    <row r="1407" spans="1:23" ht="15" customHeight="1">
      <c r="A1407" s="101">
        <v>2025</v>
      </c>
      <c r="B1407" s="101">
        <v>9</v>
      </c>
      <c r="C1407" s="101">
        <v>15</v>
      </c>
      <c r="D1407" s="65">
        <f>DATE(SIP[[#This Row],[Year]],SIP[[#This Row],[Month]],SIP[[#This Row],[Day]])</f>
        <v>45915</v>
      </c>
      <c r="E1407" s="66" t="str" cm="1">
        <f t="array" ref="E1407">INDEX(INVESTORS_LIST[INVESTOR NAME],MATCH(SIP[[#This Row],[Investor ID]],INVESTORS_LIST[INVESTOR CODE],0),)</f>
        <v>ASRAAR HOSSAIN</v>
      </c>
      <c r="F1407" s="46" t="s">
        <v>786</v>
      </c>
      <c r="G1407" s="46">
        <f>COUNTIF(SIP[[#Headers],[Investor ID]]:SIP[[#This Row],[Investor ID]],SIP[[#This Row],[Investor ID]])</f>
        <v>12</v>
      </c>
      <c r="H1407" s="46" t="str">
        <f>CONCATENATE(SIP[[#This Row],[Frequency]],SIP[[#This Row],[Investor ID]])</f>
        <v>12A00369</v>
      </c>
      <c r="I1407" s="46" t="str">
        <f>IF(SIP[[#This Row],[B/S]]="B","BUY",(IF(SIP[[#This Row],[B/S]]="S","SELL"," ")))</f>
        <v>BUY</v>
      </c>
      <c r="J1407" s="150" t="s">
        <v>1229</v>
      </c>
      <c r="K1407" s="153">
        <v>15000</v>
      </c>
      <c r="L1407" s="122" t="s">
        <v>1230</v>
      </c>
      <c r="M1407" s="123">
        <f>SIP[[#This Row],[Amount]]/SIP[[#This Row],[Unit]]</f>
        <v>13.274336283185841</v>
      </c>
      <c r="N1407" s="71">
        <f>SIP[[#This Row],[Unit Capital]]/10</f>
        <v>1130</v>
      </c>
      <c r="O1407" s="71">
        <f>SUMIFS(SIP[[#Headers],[Unit]]:SIP[[#This Row],[Unit]],SIP[[#Headers],[Investor ID]]:SIP[[#This Row],[Investor ID]],SIP[[#This Row],[Investor ID]])</f>
        <v>14605</v>
      </c>
      <c r="P1407" s="153">
        <v>11300</v>
      </c>
      <c r="Q1407" s="74">
        <f>SIP[[#This Row],[Amount]]-SIP[[#This Row],[Unit Capital]]</f>
        <v>3700</v>
      </c>
      <c r="R14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12.324546388223212</v>
      </c>
      <c r="S1407" s="46">
        <f t="shared" si="66"/>
        <v>14.224</v>
      </c>
      <c r="T14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7" s="74" cm="1">
        <f t="array" ref="U1407">IF(SIP[[#This Row],[B/S]]="S",ABS(SIP[[#This Row],[Unit]])*(INDEX(SIP[NAV at Cost (Average)],MATCH(CONCATENATE((SIP[[#This Row],[Frequency]]-1),SIP[[#This Row],[Investor ID]]),SIP[Unique Code],0),0)),0)</f>
        <v>0</v>
      </c>
      <c r="V1407" s="74">
        <f>IF(SIP[[#This Row],[BO TRANSFER]]="YES",SIP[[#This Row],[Unit]],)</f>
        <v>1130</v>
      </c>
      <c r="W1407" s="74">
        <f>SUMIFS(SIP[[#Headers],[BO UNIT TRANSFER]]:SIP[[#This Row],[BO UNIT TRANSFER]],SIP[[#Headers],[Investor ID]]:SIP[[#This Row],[Investor ID]],SIP[[#This Row],[Investor ID]])</f>
        <v>3465</v>
      </c>
    </row>
    <row r="1408" spans="1:23" ht="15" customHeight="1">
      <c r="A1408" s="101">
        <v>2025</v>
      </c>
      <c r="B1408" s="101">
        <v>9</v>
      </c>
      <c r="C1408" s="101">
        <v>15</v>
      </c>
      <c r="D1408" s="65">
        <f>DATE(SIP[[#This Row],[Year]],SIP[[#This Row],[Month]],SIP[[#This Row],[Day]])</f>
        <v>45915</v>
      </c>
      <c r="E1408" s="66" t="str" cm="1">
        <f t="array" ref="E1408">INDEX(INVESTORS_LIST[INVESTOR NAME],MATCH(SIP[[#This Row],[Investor ID]],INVESTORS_LIST[INVESTOR CODE],0),)</f>
        <v>MD. RAFIQUR RAHMAN</v>
      </c>
      <c r="F1408" s="46" t="s">
        <v>622</v>
      </c>
      <c r="G1408" s="46">
        <f>COUNTIF(SIP[[#Headers],[Investor ID]]:SIP[[#This Row],[Investor ID]],SIP[[#This Row],[Investor ID]])</f>
        <v>25</v>
      </c>
      <c r="H1408" s="46" t="str">
        <f>CONCATENATE(SIP[[#This Row],[Frequency]],SIP[[#This Row],[Investor ID]])</f>
        <v>25A00287</v>
      </c>
      <c r="I1408" s="46" t="str">
        <f>IF(SIP[[#This Row],[B/S]]="B","BUY",(IF(SIP[[#This Row],[B/S]]="S","SELL"," ")))</f>
        <v>BUY</v>
      </c>
      <c r="J1408" s="150" t="s">
        <v>1229</v>
      </c>
      <c r="K1408" s="153">
        <v>20000</v>
      </c>
      <c r="L1408" s="122"/>
      <c r="M1408" s="123">
        <f>SIP[[#This Row],[Amount]]/SIP[[#This Row],[Unit]]</f>
        <v>13.271400132714001</v>
      </c>
      <c r="N1408" s="71">
        <f>SIP[[#This Row],[Unit Capital]]/10</f>
        <v>1507</v>
      </c>
      <c r="O1408" s="71">
        <f>SUMIFS(SIP[[#Headers],[Unit]]:SIP[[#This Row],[Unit]],SIP[[#Headers],[Investor ID]]:SIP[[#This Row],[Investor ID]],SIP[[#This Row],[Investor ID]])</f>
        <v>43348</v>
      </c>
      <c r="P1408" s="153">
        <v>15070</v>
      </c>
      <c r="Q1408" s="74">
        <f>SIP[[#This Row],[Amount]]-SIP[[#This Row],[Unit Capital]]</f>
        <v>4930</v>
      </c>
      <c r="R14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11.534557534372983</v>
      </c>
      <c r="S1408" s="46">
        <f t="shared" si="66"/>
        <v>14.224</v>
      </c>
      <c r="T14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8" s="74" cm="1">
        <f t="array" ref="U1408">IF(SIP[[#This Row],[B/S]]="S",ABS(SIP[[#This Row],[Unit]])*(INDEX(SIP[NAV at Cost (Average)],MATCH(CONCATENATE((SIP[[#This Row],[Frequency]]-1),SIP[[#This Row],[Investor ID]]),SIP[Unique Code],0),0)),0)</f>
        <v>0</v>
      </c>
      <c r="V1408" s="74">
        <f>IF(SIP[[#This Row],[BO TRANSFER]]="YES",SIP[[#This Row],[Unit]],)</f>
        <v>0</v>
      </c>
      <c r="W1408" s="74">
        <f>SUMIFS(SIP[[#Headers],[BO UNIT TRANSFER]]:SIP[[#This Row],[BO UNIT TRANSFER]],SIP[[#Headers],[Investor ID]]:SIP[[#This Row],[Investor ID]],SIP[[#This Row],[Investor ID]])</f>
        <v>0</v>
      </c>
    </row>
    <row r="1409" spans="1:23" ht="15" customHeight="1">
      <c r="A1409" s="101">
        <v>2025</v>
      </c>
      <c r="B1409" s="101">
        <v>9</v>
      </c>
      <c r="C1409" s="101">
        <v>15</v>
      </c>
      <c r="D1409" s="65">
        <f>DATE(SIP[[#This Row],[Year]],SIP[[#This Row],[Month]],SIP[[#This Row],[Day]])</f>
        <v>45915</v>
      </c>
      <c r="E1409" s="66" t="str" cm="1">
        <f t="array" ref="E1409">INDEX(INVESTORS_LIST[INVESTOR NAME],MATCH(SIP[[#This Row],[Investor ID]],INVESTORS_LIST[INVESTOR CODE],0),)</f>
        <v>RUKAIYA FAHMIDA</v>
      </c>
      <c r="F1409" s="46" t="s">
        <v>1190</v>
      </c>
      <c r="G1409" s="46">
        <f>COUNTIF(SIP[[#Headers],[Investor ID]]:SIP[[#This Row],[Investor ID]],SIP[[#This Row],[Investor ID]])</f>
        <v>7</v>
      </c>
      <c r="H1409" s="46" t="str">
        <f>CONCATENATE(SIP[[#This Row],[Frequency]],SIP[[#This Row],[Investor ID]])</f>
        <v>7A00571</v>
      </c>
      <c r="I1409" s="46" t="str">
        <f>IF(SIP[[#This Row],[B/S]]="B","BUY",(IF(SIP[[#This Row],[B/S]]="S","SELL"," ")))</f>
        <v>BUY</v>
      </c>
      <c r="J1409" s="150" t="s">
        <v>1229</v>
      </c>
      <c r="K1409" s="153">
        <v>2000</v>
      </c>
      <c r="L1409" s="122"/>
      <c r="M1409" s="123">
        <f>SIP[[#This Row],[Amount]]/SIP[[#This Row],[Unit]]</f>
        <v>13.245033112582782</v>
      </c>
      <c r="N1409" s="71">
        <f>SIP[[#This Row],[Unit Capital]]/10</f>
        <v>151</v>
      </c>
      <c r="O1409" s="71">
        <f>SUMIFS(SIP[[#Headers],[Unit]]:SIP[[#This Row],[Unit]],SIP[[#Headers],[Investor ID]]:SIP[[#This Row],[Investor ID]],SIP[[#This Row],[Investor ID]])</f>
        <v>1102</v>
      </c>
      <c r="P1409" s="153">
        <v>1510</v>
      </c>
      <c r="Q1409" s="74">
        <f>SIP[[#This Row],[Amount]]-SIP[[#This Row],[Unit Capital]]</f>
        <v>490</v>
      </c>
      <c r="R14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12.704174228675134</v>
      </c>
      <c r="S1409" s="46">
        <f t="shared" si="66"/>
        <v>14.224</v>
      </c>
      <c r="T14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9" s="74" cm="1">
        <f t="array" ref="U1409">IF(SIP[[#This Row],[B/S]]="S",ABS(SIP[[#This Row],[Unit]])*(INDEX(SIP[NAV at Cost (Average)],MATCH(CONCATENATE((SIP[[#This Row],[Frequency]]-1),SIP[[#This Row],[Investor ID]]),SIP[Unique Code],0),0)),0)</f>
        <v>0</v>
      </c>
      <c r="V1409" s="74">
        <f>IF(SIP[[#This Row],[BO TRANSFER]]="YES",SIP[[#This Row],[Unit]],)</f>
        <v>0</v>
      </c>
      <c r="W1409" s="74">
        <f>SUMIFS(SIP[[#Headers],[BO UNIT TRANSFER]]:SIP[[#This Row],[BO UNIT TRANSFER]],SIP[[#Headers],[Investor ID]]:SIP[[#This Row],[Investor ID]],SIP[[#This Row],[Investor ID]])</f>
        <v>0</v>
      </c>
    </row>
    <row r="1410" spans="1:23" ht="15" customHeight="1">
      <c r="A1410" s="101">
        <v>2025</v>
      </c>
      <c r="B1410" s="101">
        <v>9</v>
      </c>
      <c r="C1410" s="101">
        <v>15</v>
      </c>
      <c r="D1410" s="65">
        <f>DATE(SIP[[#This Row],[Year]],SIP[[#This Row],[Month]],SIP[[#This Row],[Day]])</f>
        <v>45915</v>
      </c>
      <c r="E1410" s="66" t="str" cm="1">
        <f t="array" ref="E1410">INDEX(INVESTORS_LIST[INVESTOR NAME],MATCH(SIP[[#This Row],[Investor ID]],INVESTORS_LIST[INVESTOR CODE],0),)</f>
        <v>MAHFUZA ANIKA</v>
      </c>
      <c r="F1410" s="46" t="s">
        <v>1277</v>
      </c>
      <c r="G1410" s="46">
        <f>COUNTIF(SIP[[#Headers],[Investor ID]]:SIP[[#This Row],[Investor ID]],SIP[[#This Row],[Investor ID]])</f>
        <v>16</v>
      </c>
      <c r="H1410" s="46" t="str">
        <f>CONCATENATE(SIP[[#This Row],[Frequency]],SIP[[#This Row],[Investor ID]])</f>
        <v>16A00585</v>
      </c>
      <c r="I1410" s="46" t="str">
        <f>IF(SIP[[#This Row],[B/S]]="B","BUY",(IF(SIP[[#This Row],[B/S]]="S","SELL"," ")))</f>
        <v>BUY</v>
      </c>
      <c r="J1410" s="150" t="s">
        <v>1229</v>
      </c>
      <c r="K1410" s="153">
        <v>2000</v>
      </c>
      <c r="L1410" s="122"/>
      <c r="M1410" s="123">
        <f>SIP[[#This Row],[Amount]]/SIP[[#This Row],[Unit]]</f>
        <v>13.245033112582782</v>
      </c>
      <c r="N1410" s="71">
        <f>SIP[[#This Row],[Unit Capital]]/10</f>
        <v>151</v>
      </c>
      <c r="O1410" s="71">
        <f>SUMIFS(SIP[[#Headers],[Unit]]:SIP[[#This Row],[Unit]],SIP[[#Headers],[Investor ID]]:SIP[[#This Row],[Investor ID]],SIP[[#This Row],[Investor ID]])</f>
        <v>622</v>
      </c>
      <c r="P1410" s="153">
        <v>1510</v>
      </c>
      <c r="Q1410" s="74">
        <f>SIP[[#This Row],[Amount]]-SIP[[#This Row],[Unit Capital]]</f>
        <v>490</v>
      </c>
      <c r="R14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12.709370993842338</v>
      </c>
      <c r="S1410" s="46">
        <f t="shared" si="66"/>
        <v>14.224</v>
      </c>
      <c r="T14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0" s="74" cm="1">
        <f t="array" ref="U1410">IF(SIP[[#This Row],[B/S]]="S",ABS(SIP[[#This Row],[Unit]])*(INDEX(SIP[NAV at Cost (Average)],MATCH(CONCATENATE((SIP[[#This Row],[Frequency]]-1),SIP[[#This Row],[Investor ID]]),SIP[Unique Code],0),0)),0)</f>
        <v>0</v>
      </c>
      <c r="V1410" s="74">
        <f>IF(SIP[[#This Row],[BO TRANSFER]]="YES",SIP[[#This Row],[Unit]],)</f>
        <v>0</v>
      </c>
      <c r="W1410" s="74">
        <f>SUMIFS(SIP[[#Headers],[BO UNIT TRANSFER]]:SIP[[#This Row],[BO UNIT TRANSFER]],SIP[[#Headers],[Investor ID]]:SIP[[#This Row],[Investor ID]],SIP[[#This Row],[Investor ID]])</f>
        <v>0</v>
      </c>
    </row>
    <row r="1411" spans="1:23" ht="15" customHeight="1">
      <c r="A1411" s="101">
        <v>2025</v>
      </c>
      <c r="B1411" s="101">
        <v>9</v>
      </c>
      <c r="C1411" s="101">
        <v>23</v>
      </c>
      <c r="D1411" s="65">
        <f>DATE(SIP[[#This Row],[Year]],SIP[[#This Row],[Month]],SIP[[#This Row],[Day]])</f>
        <v>45923</v>
      </c>
      <c r="E1411" s="66" t="str" cm="1">
        <f t="array" ref="E1411">INDEX(INVESTORS_LIST[INVESTOR NAME],MATCH(SIP[[#This Row],[Investor ID]],INVESTORS_LIST[INVESTOR CODE],0),)</f>
        <v>SYED ADNAN HUDA</v>
      </c>
      <c r="F1411" s="100" t="s">
        <v>236</v>
      </c>
      <c r="G1411" s="46">
        <f>COUNTIF(SIP[[#Headers],[Investor ID]]:SIP[[#This Row],[Investor ID]],SIP[[#This Row],[Investor ID]])</f>
        <v>15</v>
      </c>
      <c r="H1411" s="46" t="str">
        <f>CONCATENATE(SIP[[#This Row],[Frequency]],SIP[[#This Row],[Investor ID]])</f>
        <v>15A00094</v>
      </c>
      <c r="I1411" s="46" t="str">
        <f>IF(SIP[[#This Row],[B/S]]="B","BUY",(IF(SIP[[#This Row],[B/S]]="S","SELL"," ")))</f>
        <v>SELL</v>
      </c>
      <c r="J1411" s="150" t="s">
        <v>1231</v>
      </c>
      <c r="K1411" s="153">
        <v>-779111.75800000015</v>
      </c>
      <c r="L1411" s="122"/>
      <c r="M1411" s="123">
        <f>SIP[[#This Row],[Amount]]/SIP[[#This Row],[Unit]]</f>
        <v>13.44199993098808</v>
      </c>
      <c r="N1411" s="71">
        <f>SIP[[#This Row],[Unit Capital]]/10</f>
        <v>-57961</v>
      </c>
      <c r="O1411" s="71">
        <f>SUMIFS(SIP[[#Headers],[Unit]]:SIP[[#This Row],[Unit]],SIP[[#Headers],[Investor ID]]:SIP[[#This Row],[Investor ID]],SIP[[#This Row],[Investor ID]])</f>
        <v>0</v>
      </c>
      <c r="P1411" s="153">
        <v>-579610</v>
      </c>
      <c r="Q1411" s="74">
        <f>SIP[[#This Row],[Amount]]-SIP[[#This Row],[Unit Capital]]</f>
        <v>-199501.75800000015</v>
      </c>
      <c r="R14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411" s="46">
        <f t="shared" ref="S1411:S1449" si="67">NAV_MKT</f>
        <v>14.224</v>
      </c>
      <c r="T1411" s="74">
        <f>IF(SIP[[#This Row],[B/S]]="B",0,ABS(SIP[[#This Row],[Unit]])*(SIP[[#This Row],[NAV (Strike Rate)]]-INDEX(SIP[NAV at Cost (Average)],MATCH(CONCATENATE(SIP[[#This Row],[Frequency]]-1,SIP[[#This Row],[Investor ID]]),SIP[Unique Code],0),)))</f>
        <v>79111.758000000322</v>
      </c>
      <c r="U1411" s="74" cm="1">
        <f t="array" ref="U1411">IF(SIP[[#This Row],[B/S]]="S",ABS(SIP[[#This Row],[Unit]])*(INDEX(SIP[NAV at Cost (Average)],MATCH(CONCATENATE((SIP[[#This Row],[Frequency]]-1),SIP[[#This Row],[Investor ID]]),SIP[Unique Code],0),0)),0)</f>
        <v>699999.99999999977</v>
      </c>
      <c r="V1411" s="74">
        <f>IF(SIP[[#This Row],[BO TRANSFER]]="YES",SIP[[#This Row],[Unit]],)</f>
        <v>0</v>
      </c>
      <c r="W1411" s="74">
        <f>SUMIFS(SIP[[#Headers],[BO UNIT TRANSFER]]:SIP[[#This Row],[BO UNIT TRANSFER]],SIP[[#Headers],[Investor ID]]:SIP[[#This Row],[Investor ID]],SIP[[#This Row],[Investor ID]])</f>
        <v>0</v>
      </c>
    </row>
    <row r="1412" spans="1:23" ht="15" customHeight="1">
      <c r="A1412" s="101">
        <v>2025</v>
      </c>
      <c r="B1412" s="101">
        <v>9</v>
      </c>
      <c r="C1412" s="101">
        <v>26</v>
      </c>
      <c r="D1412" s="65">
        <f>DATE(SIP[[#This Row],[Year]],SIP[[#This Row],[Month]],SIP[[#This Row],[Day]])</f>
        <v>45926</v>
      </c>
      <c r="E1412" s="66" t="str" cm="1">
        <f t="array" ref="E1412">INDEX(INVESTORS_LIST[INVESTOR NAME],MATCH(SIP[[#This Row],[Investor ID]],INVESTORS_LIST[INVESTOR CODE],0),)</f>
        <v>KHAN MUHAMMAD FAISOL</v>
      </c>
      <c r="F1412" s="46" t="s">
        <v>930</v>
      </c>
      <c r="G1412" s="46">
        <f>COUNTIF(SIP[[#Headers],[Investor ID]]:SIP[[#This Row],[Investor ID]],SIP[[#This Row],[Investor ID]])</f>
        <v>30</v>
      </c>
      <c r="H1412" s="46" t="str">
        <f>CONCATENATE(SIP[[#This Row],[Frequency]],SIP[[#This Row],[Investor ID]])</f>
        <v>30A00442</v>
      </c>
      <c r="I1412" s="46" t="str">
        <f>IF(SIP[[#This Row],[B/S]]="B","BUY",(IF(SIP[[#This Row],[B/S]]="S","SELL"," ")))</f>
        <v>BUY</v>
      </c>
      <c r="J1412" s="150" t="s">
        <v>1229</v>
      </c>
      <c r="K1412" s="153">
        <v>1000</v>
      </c>
      <c r="L1412" s="122" t="s">
        <v>1230</v>
      </c>
      <c r="M1412" s="123">
        <f>SIP[[#This Row],[Amount]]/SIP[[#This Row],[Unit]]</f>
        <v>13.513513513513514</v>
      </c>
      <c r="N1412" s="71">
        <f>SIP[[#This Row],[Unit Capital]]/10</f>
        <v>74</v>
      </c>
      <c r="O1412" s="71">
        <f>SUMIFS(SIP[[#Headers],[Unit]]:SIP[[#This Row],[Unit]],SIP[[#Headers],[Investor ID]]:SIP[[#This Row],[Investor ID]],SIP[[#This Row],[Investor ID]])</f>
        <v>228</v>
      </c>
      <c r="P1412" s="153">
        <v>740</v>
      </c>
      <c r="Q1412" s="74">
        <f>SIP[[#This Row],[Amount]]-SIP[[#This Row],[Unit Capital]]</f>
        <v>260</v>
      </c>
      <c r="R14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13.157894736842106</v>
      </c>
      <c r="S1412" s="46">
        <f t="shared" si="67"/>
        <v>14.224</v>
      </c>
      <c r="T14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2" s="74" cm="1">
        <f t="array" ref="U1412">IF(SIP[[#This Row],[B/S]]="S",ABS(SIP[[#This Row],[Unit]])*(INDEX(SIP[NAV at Cost (Average)],MATCH(CONCATENATE((SIP[[#This Row],[Frequency]]-1),SIP[[#This Row],[Investor ID]]),SIP[Unique Code],0),0)),0)</f>
        <v>0</v>
      </c>
      <c r="V1412" s="74">
        <f>IF(SIP[[#This Row],[BO TRANSFER]]="YES",SIP[[#This Row],[Unit]],)</f>
        <v>74</v>
      </c>
      <c r="W1412" s="74">
        <f>SUMIFS(SIP[[#Headers],[BO UNIT TRANSFER]]:SIP[[#This Row],[BO UNIT TRANSFER]],SIP[[#Headers],[Investor ID]]:SIP[[#This Row],[Investor ID]],SIP[[#This Row],[Investor ID]])</f>
        <v>228</v>
      </c>
    </row>
    <row r="1413" spans="1:23" ht="15" customHeight="1">
      <c r="A1413" s="101">
        <v>2025</v>
      </c>
      <c r="B1413" s="101">
        <v>9</v>
      </c>
      <c r="C1413" s="101">
        <v>26</v>
      </c>
      <c r="D1413" s="65">
        <f>DATE(SIP[[#This Row],[Year]],SIP[[#This Row],[Month]],SIP[[#This Row],[Day]])</f>
        <v>45926</v>
      </c>
      <c r="E1413" s="66" t="str" cm="1">
        <f t="array" ref="E1413">INDEX(INVESTORS_LIST[INVESTOR NAME],MATCH(SIP[[#This Row],[Investor ID]],INVESTORS_LIST[INVESTOR CODE],0),)</f>
        <v>MD. ARIFUL ISLAM</v>
      </c>
      <c r="F1413" s="46" t="s">
        <v>222</v>
      </c>
      <c r="G1413" s="46">
        <f>COUNTIF(SIP[[#Headers],[Investor ID]]:SIP[[#This Row],[Investor ID]],SIP[[#This Row],[Investor ID]])</f>
        <v>30</v>
      </c>
      <c r="H1413" s="46" t="str">
        <f>CONCATENATE(SIP[[#This Row],[Frequency]],SIP[[#This Row],[Investor ID]])</f>
        <v>30A00087</v>
      </c>
      <c r="I1413" s="46" t="str">
        <f>IF(SIP[[#This Row],[B/S]]="B","BUY",(IF(SIP[[#This Row],[B/S]]="S","SELL"," ")))</f>
        <v>BUY</v>
      </c>
      <c r="J1413" s="150" t="s">
        <v>1229</v>
      </c>
      <c r="K1413" s="153">
        <v>10000</v>
      </c>
      <c r="L1413" s="122"/>
      <c r="M1413" s="123">
        <f>SIP[[#This Row],[Amount]]/SIP[[#This Row],[Unit]]</f>
        <v>13.513513513513514</v>
      </c>
      <c r="N1413" s="71">
        <f>SIP[[#This Row],[Unit Capital]]/10</f>
        <v>740</v>
      </c>
      <c r="O1413" s="71">
        <f>SUMIFS(SIP[[#Headers],[Unit]]:SIP[[#This Row],[Unit]],SIP[[#Headers],[Investor ID]]:SIP[[#This Row],[Investor ID]],SIP[[#This Row],[Investor ID]])</f>
        <v>1500</v>
      </c>
      <c r="P1413" s="153">
        <v>7400</v>
      </c>
      <c r="Q1413" s="74">
        <f>SIP[[#This Row],[Amount]]-SIP[[#This Row],[Unit Capital]]</f>
        <v>2600</v>
      </c>
      <c r="R14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13.333333333333334</v>
      </c>
      <c r="S1413" s="46">
        <f t="shared" si="67"/>
        <v>14.224</v>
      </c>
      <c r="T14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3" s="74" cm="1">
        <f t="array" ref="U1413">IF(SIP[[#This Row],[B/S]]="S",ABS(SIP[[#This Row],[Unit]])*(INDEX(SIP[NAV at Cost (Average)],MATCH(CONCATENATE((SIP[[#This Row],[Frequency]]-1),SIP[[#This Row],[Investor ID]]),SIP[Unique Code],0),0)),0)</f>
        <v>0</v>
      </c>
      <c r="V1413" s="74">
        <f>IF(SIP[[#This Row],[BO TRANSFER]]="YES",SIP[[#This Row],[Unit]],)</f>
        <v>0</v>
      </c>
      <c r="W1413" s="74">
        <f>SUMIFS(SIP[[#Headers],[BO UNIT TRANSFER]]:SIP[[#This Row],[BO UNIT TRANSFER]],SIP[[#Headers],[Investor ID]]:SIP[[#This Row],[Investor ID]],SIP[[#This Row],[Investor ID]])</f>
        <v>0</v>
      </c>
    </row>
    <row r="1414" spans="1:23" ht="15" customHeight="1">
      <c r="A1414" s="101">
        <v>2025</v>
      </c>
      <c r="B1414" s="101">
        <v>9</v>
      </c>
      <c r="C1414" s="101">
        <v>26</v>
      </c>
      <c r="D1414" s="65">
        <f>DATE(SIP[[#This Row],[Year]],SIP[[#This Row],[Month]],SIP[[#This Row],[Day]])</f>
        <v>45926</v>
      </c>
      <c r="E1414" s="66" t="str" cm="1">
        <f t="array" ref="E1414">INDEX(INVESTORS_LIST[INVESTOR NAME],MATCH(SIP[[#This Row],[Investor ID]],INVESTORS_LIST[INVESTOR CODE],0),)</f>
        <v>NUSRAT JAHAN TISHA</v>
      </c>
      <c r="F1414" s="46" t="s">
        <v>926</v>
      </c>
      <c r="G1414" s="46">
        <f>COUNTIF(SIP[[#Headers],[Investor ID]]:SIP[[#This Row],[Investor ID]],SIP[[#This Row],[Investor ID]])</f>
        <v>18</v>
      </c>
      <c r="H1414" s="46" t="str">
        <f>CONCATENATE(SIP[[#This Row],[Frequency]],SIP[[#This Row],[Investor ID]])</f>
        <v>18A00440</v>
      </c>
      <c r="I1414" s="46" t="str">
        <f>IF(SIP[[#This Row],[B/S]]="B","BUY",(IF(SIP[[#This Row],[B/S]]="S","SELL"," ")))</f>
        <v>BUY</v>
      </c>
      <c r="J1414" s="150" t="s">
        <v>1229</v>
      </c>
      <c r="K1414" s="153">
        <v>5000</v>
      </c>
      <c r="L1414" s="122"/>
      <c r="M1414" s="123">
        <f>SIP[[#This Row],[Amount]]/SIP[[#This Row],[Unit]]</f>
        <v>13.513513513513514</v>
      </c>
      <c r="N1414" s="71">
        <f>SIP[[#This Row],[Unit Capital]]/10</f>
        <v>370</v>
      </c>
      <c r="O1414" s="71">
        <f>SUMIFS(SIP[[#Headers],[Unit]]:SIP[[#This Row],[Unit]],SIP[[#Headers],[Investor ID]]:SIP[[#This Row],[Investor ID]],SIP[[#This Row],[Investor ID]])</f>
        <v>1170</v>
      </c>
      <c r="P1414" s="153">
        <v>3700</v>
      </c>
      <c r="Q1414" s="74">
        <f>SIP[[#This Row],[Amount]]-SIP[[#This Row],[Unit Capital]]</f>
        <v>1300</v>
      </c>
      <c r="R14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12.820512820512821</v>
      </c>
      <c r="S1414" s="46">
        <f t="shared" si="67"/>
        <v>14.224</v>
      </c>
      <c r="T14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4" s="74" cm="1">
        <f t="array" ref="U1414">IF(SIP[[#This Row],[B/S]]="S",ABS(SIP[[#This Row],[Unit]])*(INDEX(SIP[NAV at Cost (Average)],MATCH(CONCATENATE((SIP[[#This Row],[Frequency]]-1),SIP[[#This Row],[Investor ID]]),SIP[Unique Code],0),0)),0)</f>
        <v>0</v>
      </c>
      <c r="V1414" s="74">
        <f>IF(SIP[[#This Row],[BO TRANSFER]]="YES",SIP[[#This Row],[Unit]],)</f>
        <v>0</v>
      </c>
      <c r="W1414" s="74">
        <f>SUMIFS(SIP[[#Headers],[BO UNIT TRANSFER]]:SIP[[#This Row],[BO UNIT TRANSFER]],SIP[[#Headers],[Investor ID]]:SIP[[#This Row],[Investor ID]],SIP[[#This Row],[Investor ID]])</f>
        <v>0</v>
      </c>
    </row>
    <row r="1415" spans="1:23" ht="15" customHeight="1">
      <c r="A1415" s="101">
        <v>2025</v>
      </c>
      <c r="B1415" s="101">
        <v>9</v>
      </c>
      <c r="C1415" s="101">
        <v>28</v>
      </c>
      <c r="D1415" s="65">
        <f>DATE(SIP[[#This Row],[Year]],SIP[[#This Row],[Month]],SIP[[#This Row],[Day]])</f>
        <v>45928</v>
      </c>
      <c r="E1415" s="66" t="str" cm="1">
        <f t="array" ref="E1415">INDEX(INVESTORS_LIST[INVESTOR NAME],MATCH(SIP[[#This Row],[Investor ID]],INVESTORS_LIST[INVESTOR CODE],0),)</f>
        <v>EKUSH WEALTH MANAGEMENT LIMITED EMPLOYEES CONTRIBUTORY PROVIDENT FUND</v>
      </c>
      <c r="F1415" s="46" t="s">
        <v>831</v>
      </c>
      <c r="G1415" s="46">
        <f>COUNTIF(SIP[[#Headers],[Investor ID]]:SIP[[#This Row],[Investor ID]],SIP[[#This Row],[Investor ID]])</f>
        <v>19</v>
      </c>
      <c r="H1415" s="46" t="str">
        <f>CONCATENATE(SIP[[#This Row],[Frequency]],SIP[[#This Row],[Investor ID]])</f>
        <v>19A00392</v>
      </c>
      <c r="I1415" s="46" t="str">
        <f>IF(SIP[[#This Row],[B/S]]="B","BUY",(IF(SIP[[#This Row],[B/S]]="S","SELL"," ")))</f>
        <v>BUY</v>
      </c>
      <c r="J1415" s="150" t="s">
        <v>1229</v>
      </c>
      <c r="K1415" s="153">
        <v>22040</v>
      </c>
      <c r="L1415" s="122"/>
      <c r="M1415" s="123">
        <f>SIP[[#This Row],[Amount]]/SIP[[#This Row],[Unit]]</f>
        <v>13.504901960784315</v>
      </c>
      <c r="N1415" s="71">
        <f>SIP[[#This Row],[Unit Capital]]/10</f>
        <v>1632</v>
      </c>
      <c r="O1415" s="71">
        <f>SUMIFS(SIP[[#Headers],[Unit]]:SIP[[#This Row],[Unit]],SIP[[#Headers],[Investor ID]]:SIP[[#This Row],[Investor ID]],SIP[[#This Row],[Investor ID]])</f>
        <v>29402</v>
      </c>
      <c r="P1415" s="153">
        <v>16320</v>
      </c>
      <c r="Q1415" s="74">
        <f>SIP[[#This Row],[Amount]]-SIP[[#This Row],[Unit Capital]]</f>
        <v>5720</v>
      </c>
      <c r="R14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11.276308003487154</v>
      </c>
      <c r="S1415" s="46">
        <f t="shared" si="67"/>
        <v>14.224</v>
      </c>
      <c r="T14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5" s="74" cm="1">
        <f t="array" ref="U1415">IF(SIP[[#This Row],[B/S]]="S",ABS(SIP[[#This Row],[Unit]])*(INDEX(SIP[NAV at Cost (Average)],MATCH(CONCATENATE((SIP[[#This Row],[Frequency]]-1),SIP[[#This Row],[Investor ID]]),SIP[Unique Code],0),0)),0)</f>
        <v>0</v>
      </c>
      <c r="V1415" s="74">
        <f>IF(SIP[[#This Row],[BO TRANSFER]]="YES",SIP[[#This Row],[Unit]],)</f>
        <v>0</v>
      </c>
      <c r="W1415" s="74">
        <f>SUMIFS(SIP[[#Headers],[BO UNIT TRANSFER]]:SIP[[#This Row],[BO UNIT TRANSFER]],SIP[[#Headers],[Investor ID]]:SIP[[#This Row],[Investor ID]],SIP[[#This Row],[Investor ID]])</f>
        <v>0</v>
      </c>
    </row>
    <row r="1416" spans="1:23" ht="15" customHeight="1">
      <c r="A1416" s="101">
        <v>2025</v>
      </c>
      <c r="B1416" s="101">
        <v>9</v>
      </c>
      <c r="C1416" s="101">
        <v>28</v>
      </c>
      <c r="D1416" s="65">
        <f>DATE(SIP[[#This Row],[Year]],SIP[[#This Row],[Month]],SIP[[#This Row],[Day]])</f>
        <v>45928</v>
      </c>
      <c r="E1416" s="66" t="str" cm="1">
        <f t="array" ref="E1416">INDEX(INVESTORS_LIST[INVESTOR NAME],MATCH(SIP[[#This Row],[Investor ID]],INVESTORS_LIST[INVESTOR CODE],0),)</f>
        <v>SIKDER FAZLE RABBI</v>
      </c>
      <c r="F1416" s="46" t="s">
        <v>1032</v>
      </c>
      <c r="G1416" s="46">
        <f>COUNTIF(SIP[[#Headers],[Investor ID]]:SIP[[#This Row],[Investor ID]],SIP[[#This Row],[Investor ID]])</f>
        <v>28</v>
      </c>
      <c r="H1416" s="46" t="str">
        <f>CONCATENATE(SIP[[#This Row],[Frequency]],SIP[[#This Row],[Investor ID]])</f>
        <v>28A00493</v>
      </c>
      <c r="I1416" s="46" t="str">
        <f>IF(SIP[[#This Row],[B/S]]="B","BUY",(IF(SIP[[#This Row],[B/S]]="S","SELL"," ")))</f>
        <v>BUY</v>
      </c>
      <c r="J1416" s="150" t="s">
        <v>1229</v>
      </c>
      <c r="K1416" s="153">
        <v>5000</v>
      </c>
      <c r="L1416" s="122"/>
      <c r="M1416" s="123">
        <f>SIP[[#This Row],[Amount]]/SIP[[#This Row],[Unit]]</f>
        <v>13.513513513513514</v>
      </c>
      <c r="N1416" s="71">
        <f>SIP[[#This Row],[Unit Capital]]/10</f>
        <v>370</v>
      </c>
      <c r="O1416" s="71">
        <f>SUMIFS(SIP[[#Headers],[Unit]]:SIP[[#This Row],[Unit]],SIP[[#Headers],[Investor ID]]:SIP[[#This Row],[Investor ID]],SIP[[#This Row],[Investor ID]])</f>
        <v>12249</v>
      </c>
      <c r="P1416" s="153">
        <v>3700</v>
      </c>
      <c r="Q1416" s="74">
        <f>SIP[[#This Row],[Amount]]-SIP[[#This Row],[Unit Capital]]</f>
        <v>1300</v>
      </c>
      <c r="R14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11.429504449342806</v>
      </c>
      <c r="S1416" s="46">
        <f t="shared" si="67"/>
        <v>14.224</v>
      </c>
      <c r="T14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6" s="74" cm="1">
        <f t="array" ref="U1416">IF(SIP[[#This Row],[B/S]]="S",ABS(SIP[[#This Row],[Unit]])*(INDEX(SIP[NAV at Cost (Average)],MATCH(CONCATENATE((SIP[[#This Row],[Frequency]]-1),SIP[[#This Row],[Investor ID]]),SIP[Unique Code],0),0)),0)</f>
        <v>0</v>
      </c>
      <c r="V1416" s="74">
        <f>IF(SIP[[#This Row],[BO TRANSFER]]="YES",SIP[[#This Row],[Unit]],)</f>
        <v>0</v>
      </c>
      <c r="W1416" s="74">
        <f>SUMIFS(SIP[[#Headers],[BO UNIT TRANSFER]]:SIP[[#This Row],[BO UNIT TRANSFER]],SIP[[#Headers],[Investor ID]]:SIP[[#This Row],[Investor ID]],SIP[[#This Row],[Investor ID]])</f>
        <v>0</v>
      </c>
    </row>
    <row r="1417" spans="1:23" ht="15" customHeight="1">
      <c r="A1417" s="101">
        <v>2025</v>
      </c>
      <c r="B1417" s="101">
        <v>9</v>
      </c>
      <c r="C1417" s="101">
        <v>28</v>
      </c>
      <c r="D1417" s="65">
        <f>DATE(SIP[[#This Row],[Year]],SIP[[#This Row],[Month]],SIP[[#This Row],[Day]])</f>
        <v>45928</v>
      </c>
      <c r="E1417" s="66" t="str" cm="1">
        <f t="array" ref="E1417">INDEX(INVESTORS_LIST[INVESTOR NAME],MATCH(SIP[[#This Row],[Investor ID]],INVESTORS_LIST[INVESTOR CODE],0),)</f>
        <v>SHAPNA RANI BARMAN</v>
      </c>
      <c r="F1417" s="46" t="s">
        <v>1292</v>
      </c>
      <c r="G1417" s="46">
        <f>COUNTIF(SIP[[#Headers],[Investor ID]]:SIP[[#This Row],[Investor ID]],SIP[[#This Row],[Investor ID]])</f>
        <v>11</v>
      </c>
      <c r="H1417" s="46" t="str">
        <f>CONCATENATE(SIP[[#This Row],[Frequency]],SIP[[#This Row],[Investor ID]])</f>
        <v>11A00593</v>
      </c>
      <c r="I1417" s="46" t="str">
        <f>IF(SIP[[#This Row],[B/S]]="B","BUY",(IF(SIP[[#This Row],[B/S]]="S","SELL"," ")))</f>
        <v>BUY</v>
      </c>
      <c r="J1417" s="150" t="s">
        <v>1229</v>
      </c>
      <c r="K1417" s="153">
        <v>1000</v>
      </c>
      <c r="L1417" s="122"/>
      <c r="M1417" s="123">
        <f>SIP[[#This Row],[Amount]]/SIP[[#This Row],[Unit]]</f>
        <v>13.513513513513514</v>
      </c>
      <c r="N1417" s="71">
        <f>SIP[[#This Row],[Unit Capital]]/10</f>
        <v>74</v>
      </c>
      <c r="O1417" s="71">
        <f>SUMIFS(SIP[[#Headers],[Unit]]:SIP[[#This Row],[Unit]],SIP[[#Headers],[Investor ID]]:SIP[[#This Row],[Investor ID]],SIP[[#This Row],[Investor ID]])</f>
        <v>884</v>
      </c>
      <c r="P1417" s="153">
        <v>740</v>
      </c>
      <c r="Q1417" s="74">
        <f>SIP[[#This Row],[Amount]]-SIP[[#This Row],[Unit Capital]]</f>
        <v>260</v>
      </c>
      <c r="R14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12.44343891402715</v>
      </c>
      <c r="S1417" s="46">
        <f t="shared" si="67"/>
        <v>14.224</v>
      </c>
      <c r="T14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7" s="74" cm="1">
        <f t="array" ref="U1417">IF(SIP[[#This Row],[B/S]]="S",ABS(SIP[[#This Row],[Unit]])*(INDEX(SIP[NAV at Cost (Average)],MATCH(CONCATENATE((SIP[[#This Row],[Frequency]]-1),SIP[[#This Row],[Investor ID]]),SIP[Unique Code],0),0)),0)</f>
        <v>0</v>
      </c>
      <c r="V1417" s="74">
        <f>IF(SIP[[#This Row],[BO TRANSFER]]="YES",SIP[[#This Row],[Unit]],)</f>
        <v>0</v>
      </c>
      <c r="W1417" s="74">
        <f>SUMIFS(SIP[[#Headers],[BO UNIT TRANSFER]]:SIP[[#This Row],[BO UNIT TRANSFER]],SIP[[#Headers],[Investor ID]]:SIP[[#This Row],[Investor ID]],SIP[[#This Row],[Investor ID]])</f>
        <v>0</v>
      </c>
    </row>
    <row r="1418" spans="1:23" ht="15" customHeight="1">
      <c r="A1418" s="101">
        <v>2025</v>
      </c>
      <c r="B1418" s="101">
        <v>9</v>
      </c>
      <c r="C1418" s="101">
        <v>28</v>
      </c>
      <c r="D1418" s="65">
        <f>DATE(SIP[[#This Row],[Year]],SIP[[#This Row],[Month]],SIP[[#This Row],[Day]])</f>
        <v>45928</v>
      </c>
      <c r="E1418" s="66" t="str" cm="1">
        <f t="array" ref="E1418">INDEX(INVESTORS_LIST[INVESTOR NAME],MATCH(SIP[[#This Row],[Investor ID]],INVESTORS_LIST[INVESTOR CODE],0),)</f>
        <v>SWADESH RANJAN SAHA</v>
      </c>
      <c r="F1418" s="46" t="s">
        <v>234</v>
      </c>
      <c r="G1418" s="46">
        <f>COUNTIF(SIP[[#Headers],[Investor ID]]:SIP[[#This Row],[Investor ID]],SIP[[#This Row],[Investor ID]])</f>
        <v>10</v>
      </c>
      <c r="H1418" s="46" t="str">
        <f>CONCATENATE(SIP[[#This Row],[Frequency]],SIP[[#This Row],[Investor ID]])</f>
        <v>10A00093</v>
      </c>
      <c r="I1418" s="46" t="str">
        <f>IF(SIP[[#This Row],[B/S]]="B","BUY",(IF(SIP[[#This Row],[B/S]]="S","SELL"," ")))</f>
        <v>BUY</v>
      </c>
      <c r="J1418" s="150" t="s">
        <v>1229</v>
      </c>
      <c r="K1418" s="153">
        <v>50000</v>
      </c>
      <c r="L1418" s="122"/>
      <c r="M1418" s="123">
        <f>SIP[[#This Row],[Amount]]/SIP[[#This Row],[Unit]]</f>
        <v>13.509862199405566</v>
      </c>
      <c r="N1418" s="71">
        <f>SIP[[#This Row],[Unit Capital]]/10</f>
        <v>3701</v>
      </c>
      <c r="O1418" s="71">
        <f>SUMIFS(SIP[[#Headers],[Unit]]:SIP[[#This Row],[Unit]],SIP[[#Headers],[Investor ID]]:SIP[[#This Row],[Investor ID]],SIP[[#This Row],[Investor ID]])</f>
        <v>39842</v>
      </c>
      <c r="P1418" s="153">
        <v>37010</v>
      </c>
      <c r="Q1418" s="74">
        <f>SIP[[#This Row],[Amount]]-SIP[[#This Row],[Unit Capital]]</f>
        <v>12990</v>
      </c>
      <c r="R14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12.549570804678478</v>
      </c>
      <c r="S1418" s="46">
        <f t="shared" si="67"/>
        <v>14.224</v>
      </c>
      <c r="T14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8" s="74" cm="1">
        <f t="array" ref="U1418">IF(SIP[[#This Row],[B/S]]="S",ABS(SIP[[#This Row],[Unit]])*(INDEX(SIP[NAV at Cost (Average)],MATCH(CONCATENATE((SIP[[#This Row],[Frequency]]-1),SIP[[#This Row],[Investor ID]]),SIP[Unique Code],0),0)),0)</f>
        <v>0</v>
      </c>
      <c r="V1418" s="74">
        <f>IF(SIP[[#This Row],[BO TRANSFER]]="YES",SIP[[#This Row],[Unit]],)</f>
        <v>0</v>
      </c>
      <c r="W1418" s="74">
        <f>SUMIFS(SIP[[#Headers],[BO UNIT TRANSFER]]:SIP[[#This Row],[BO UNIT TRANSFER]],SIP[[#Headers],[Investor ID]]:SIP[[#This Row],[Investor ID]],SIP[[#This Row],[Investor ID]])</f>
        <v>0</v>
      </c>
    </row>
    <row r="1419" spans="1:23" ht="15" customHeight="1">
      <c r="A1419" s="101">
        <v>2025</v>
      </c>
      <c r="B1419" s="101">
        <v>9</v>
      </c>
      <c r="C1419" s="101">
        <v>28</v>
      </c>
      <c r="D1419" s="65">
        <f>DATE(SIP[[#This Row],[Year]],SIP[[#This Row],[Month]],SIP[[#This Row],[Day]])</f>
        <v>45928</v>
      </c>
      <c r="E1419" s="66" t="str" cm="1">
        <f t="array" ref="E1419">INDEX(INVESTORS_LIST[INVESTOR NAME],MATCH(SIP[[#This Row],[Investor ID]],INVESTORS_LIST[INVESTOR CODE],0),)</f>
        <v>MAHFUZUL ISLAM &amp; HUMAIRA TABASSUM READDHE</v>
      </c>
      <c r="F1419" s="46" t="s">
        <v>1315</v>
      </c>
      <c r="G1419" s="46">
        <f>COUNTIF(SIP[[#Headers],[Investor ID]]:SIP[[#This Row],[Investor ID]],SIP[[#This Row],[Investor ID]])</f>
        <v>7</v>
      </c>
      <c r="H1419" s="46" t="str">
        <f>CONCATENATE(SIP[[#This Row],[Frequency]],SIP[[#This Row],[Investor ID]])</f>
        <v>7A00605</v>
      </c>
      <c r="I1419" s="46" t="str">
        <f>IF(SIP[[#This Row],[B/S]]="B","BUY",(IF(SIP[[#This Row],[B/S]]="S","SELL"," ")))</f>
        <v>BUY</v>
      </c>
      <c r="J1419" s="150" t="s">
        <v>1229</v>
      </c>
      <c r="K1419" s="153">
        <v>18140</v>
      </c>
      <c r="L1419" s="122"/>
      <c r="M1419" s="123">
        <f>SIP[[#This Row],[Amount]]/SIP[[#This Row],[Unit]]</f>
        <v>13.507073715562175</v>
      </c>
      <c r="N1419" s="71">
        <f>SIP[[#This Row],[Unit Capital]]/10</f>
        <v>1343</v>
      </c>
      <c r="O1419" s="71">
        <f>SUMIFS(SIP[[#Headers],[Unit]]:SIP[[#This Row],[Unit]],SIP[[#Headers],[Investor ID]]:SIP[[#This Row],[Investor ID]],SIP[[#This Row],[Investor ID]])</f>
        <v>8074</v>
      </c>
      <c r="P1419" s="153">
        <v>13430</v>
      </c>
      <c r="Q1419" s="74">
        <f>SIP[[#This Row],[Amount]]-SIP[[#This Row],[Unit Capital]]</f>
        <v>4710</v>
      </c>
      <c r="R14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12.8048943951243</v>
      </c>
      <c r="S1419" s="46">
        <f t="shared" si="67"/>
        <v>14.224</v>
      </c>
      <c r="T14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9" s="74" cm="1">
        <f t="array" ref="U1419">IF(SIP[[#This Row],[B/S]]="S",ABS(SIP[[#This Row],[Unit]])*(INDEX(SIP[NAV at Cost (Average)],MATCH(CONCATENATE((SIP[[#This Row],[Frequency]]-1),SIP[[#This Row],[Investor ID]]),SIP[Unique Code],0),0)),0)</f>
        <v>0</v>
      </c>
      <c r="V1419" s="74">
        <f>IF(SIP[[#This Row],[BO TRANSFER]]="YES",SIP[[#This Row],[Unit]],)</f>
        <v>0</v>
      </c>
      <c r="W1419" s="74">
        <f>SUMIFS(SIP[[#Headers],[BO UNIT TRANSFER]]:SIP[[#This Row],[BO UNIT TRANSFER]],SIP[[#Headers],[Investor ID]]:SIP[[#This Row],[Investor ID]],SIP[[#This Row],[Investor ID]])</f>
        <v>0</v>
      </c>
    </row>
    <row r="1420" spans="1:23" ht="15" customHeight="1">
      <c r="A1420" s="101">
        <v>2025</v>
      </c>
      <c r="B1420" s="101">
        <v>9</v>
      </c>
      <c r="C1420" s="101">
        <v>28</v>
      </c>
      <c r="D1420" s="65">
        <f>DATE(SIP[[#This Row],[Year]],SIP[[#This Row],[Month]],SIP[[#This Row],[Day]])</f>
        <v>45928</v>
      </c>
      <c r="E1420" s="66" t="str" cm="1">
        <f t="array" ref="E1420">INDEX(INVESTORS_LIST[INVESTOR NAME],MATCH(SIP[[#This Row],[Investor ID]],INVESTORS_LIST[INVESTOR CODE],0),)</f>
        <v>MAHFUZUL ISLAM</v>
      </c>
      <c r="F1420" s="46" t="s">
        <v>473</v>
      </c>
      <c r="G1420" s="46">
        <f>COUNTIF(SIP[[#Headers],[Investor ID]]:SIP[[#This Row],[Investor ID]],SIP[[#This Row],[Investor ID]])</f>
        <v>15</v>
      </c>
      <c r="H1420" s="46" t="str">
        <f>CONCATENATE(SIP[[#This Row],[Frequency]],SIP[[#This Row],[Investor ID]])</f>
        <v>15A00212</v>
      </c>
      <c r="I1420" s="46" t="str">
        <f>IF(SIP[[#This Row],[B/S]]="B","BUY",(IF(SIP[[#This Row],[B/S]]="S","SELL"," ")))</f>
        <v>BUY</v>
      </c>
      <c r="J1420" s="150" t="s">
        <v>1229</v>
      </c>
      <c r="K1420" s="153">
        <v>3000</v>
      </c>
      <c r="L1420" s="122" t="s">
        <v>1230</v>
      </c>
      <c r="M1420" s="123">
        <f>SIP[[#This Row],[Amount]]/SIP[[#This Row],[Unit]]</f>
        <v>13.513513513513514</v>
      </c>
      <c r="N1420" s="71">
        <f>SIP[[#This Row],[Unit Capital]]/10</f>
        <v>222</v>
      </c>
      <c r="O1420" s="71">
        <f>SUMIFS(SIP[[#Headers],[Unit]]:SIP[[#This Row],[Unit]],SIP[[#Headers],[Investor ID]]:SIP[[#This Row],[Investor ID]],SIP[[#This Row],[Investor ID]])</f>
        <v>2625</v>
      </c>
      <c r="P1420" s="153">
        <v>2220</v>
      </c>
      <c r="Q1420" s="74">
        <f>SIP[[#This Row],[Amount]]-SIP[[#This Row],[Unit Capital]]</f>
        <v>780</v>
      </c>
      <c r="R14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11.80952380952381</v>
      </c>
      <c r="S1420" s="46">
        <f t="shared" si="67"/>
        <v>14.224</v>
      </c>
      <c r="T14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0" s="74" cm="1">
        <f t="array" ref="U1420">IF(SIP[[#This Row],[B/S]]="S",ABS(SIP[[#This Row],[Unit]])*(INDEX(SIP[NAV at Cost (Average)],MATCH(CONCATENATE((SIP[[#This Row],[Frequency]]-1),SIP[[#This Row],[Investor ID]]),SIP[Unique Code],0),0)),0)</f>
        <v>0</v>
      </c>
      <c r="V1420" s="74">
        <f>IF(SIP[[#This Row],[BO TRANSFER]]="YES",SIP[[#This Row],[Unit]],)</f>
        <v>222</v>
      </c>
      <c r="W1420" s="74">
        <f>SUMIFS(SIP[[#Headers],[BO UNIT TRANSFER]]:SIP[[#This Row],[BO UNIT TRANSFER]],SIP[[#Headers],[Investor ID]]:SIP[[#This Row],[Investor ID]],SIP[[#This Row],[Investor ID]])</f>
        <v>2625</v>
      </c>
    </row>
    <row r="1421" spans="1:23" ht="15" customHeight="1">
      <c r="A1421" s="101">
        <v>2025</v>
      </c>
      <c r="B1421" s="101">
        <v>9</v>
      </c>
      <c r="C1421" s="101">
        <v>28</v>
      </c>
      <c r="D1421" s="65">
        <f>DATE(SIP[[#This Row],[Year]],SIP[[#This Row],[Month]],SIP[[#This Row],[Day]])</f>
        <v>45928</v>
      </c>
      <c r="E1421" s="66" t="str" cm="1">
        <f t="array" ref="E1421">INDEX(INVESTORS_LIST[INVESTOR NAME],MATCH(SIP[[#This Row],[Investor ID]],INVESTORS_LIST[INVESTOR CODE],0),)</f>
        <v>MST. GOLENUR</v>
      </c>
      <c r="F1421" s="46" t="s">
        <v>1075</v>
      </c>
      <c r="G1421" s="46">
        <f>COUNTIF(SIP[[#Headers],[Investor ID]]:SIP[[#This Row],[Investor ID]],SIP[[#This Row],[Investor ID]])</f>
        <v>9</v>
      </c>
      <c r="H1421" s="46" t="str">
        <f>CONCATENATE(SIP[[#This Row],[Frequency]],SIP[[#This Row],[Investor ID]])</f>
        <v>9A00515</v>
      </c>
      <c r="I1421" s="46" t="str">
        <f>IF(SIP[[#This Row],[B/S]]="B","BUY",(IF(SIP[[#This Row],[B/S]]="S","SELL"," ")))</f>
        <v>BUY</v>
      </c>
      <c r="J1421" s="150" t="s">
        <v>1229</v>
      </c>
      <c r="K1421" s="153">
        <v>2000</v>
      </c>
      <c r="L1421" s="122"/>
      <c r="M1421" s="123">
        <f>SIP[[#This Row],[Amount]]/SIP[[#This Row],[Unit]]</f>
        <v>13.513513513513514</v>
      </c>
      <c r="N1421" s="71">
        <f>SIP[[#This Row],[Unit Capital]]/10</f>
        <v>148</v>
      </c>
      <c r="O1421" s="71">
        <f>SUMIFS(SIP[[#Headers],[Unit]]:SIP[[#This Row],[Unit]],SIP[[#Headers],[Investor ID]]:SIP[[#This Row],[Investor ID]],SIP[[#This Row],[Investor ID]])</f>
        <v>1434</v>
      </c>
      <c r="P1421" s="153">
        <v>1480</v>
      </c>
      <c r="Q1421" s="74">
        <f>SIP[[#This Row],[Amount]]-SIP[[#This Row],[Unit Capital]]</f>
        <v>520</v>
      </c>
      <c r="R14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12.552301255230125</v>
      </c>
      <c r="S1421" s="46">
        <f t="shared" si="67"/>
        <v>14.224</v>
      </c>
      <c r="T14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1" s="74" cm="1">
        <f t="array" ref="U1421">IF(SIP[[#This Row],[B/S]]="S",ABS(SIP[[#This Row],[Unit]])*(INDEX(SIP[NAV at Cost (Average)],MATCH(CONCATENATE((SIP[[#This Row],[Frequency]]-1),SIP[[#This Row],[Investor ID]]),SIP[Unique Code],0),0)),0)</f>
        <v>0</v>
      </c>
      <c r="V1421" s="74">
        <f>IF(SIP[[#This Row],[BO TRANSFER]]="YES",SIP[[#This Row],[Unit]],)</f>
        <v>0</v>
      </c>
      <c r="W1421" s="74">
        <f>SUMIFS(SIP[[#Headers],[BO UNIT TRANSFER]]:SIP[[#This Row],[BO UNIT TRANSFER]],SIP[[#Headers],[Investor ID]]:SIP[[#This Row],[Investor ID]],SIP[[#This Row],[Investor ID]])</f>
        <v>0</v>
      </c>
    </row>
    <row r="1422" spans="1:23" ht="15" customHeight="1">
      <c r="A1422" s="101">
        <v>2025</v>
      </c>
      <c r="B1422" s="101">
        <v>9</v>
      </c>
      <c r="C1422" s="101">
        <v>28</v>
      </c>
      <c r="D1422" s="65">
        <f>DATE(SIP[[#This Row],[Year]],SIP[[#This Row],[Month]],SIP[[#This Row],[Day]])</f>
        <v>45928</v>
      </c>
      <c r="E1422" s="66" t="str" cm="1">
        <f t="array" ref="E1422">INDEX(INVESTORS_LIST[INVESTOR NAME],MATCH(SIP[[#This Row],[Investor ID]],INVESTORS_LIST[INVESTOR CODE],0),)</f>
        <v>RUMA AKTER</v>
      </c>
      <c r="F1422" s="46" t="s">
        <v>1323</v>
      </c>
      <c r="G1422" s="46">
        <f>COUNTIF(SIP[[#Headers],[Investor ID]]:SIP[[#This Row],[Investor ID]],SIP[[#This Row],[Investor ID]])</f>
        <v>7</v>
      </c>
      <c r="H1422" s="46" t="str">
        <f>CONCATENATE(SIP[[#This Row],[Frequency]],SIP[[#This Row],[Investor ID]])</f>
        <v>7A00608</v>
      </c>
      <c r="I1422" s="46" t="str">
        <f>IF(SIP[[#This Row],[B/S]]="B","BUY",(IF(SIP[[#This Row],[B/S]]="S","SELL"," ")))</f>
        <v>BUY</v>
      </c>
      <c r="J1422" s="150" t="s">
        <v>1229</v>
      </c>
      <c r="K1422" s="153">
        <v>1000</v>
      </c>
      <c r="L1422" s="122"/>
      <c r="M1422" s="123">
        <f>SIP[[#This Row],[Amount]]/SIP[[#This Row],[Unit]]</f>
        <v>13.513513513513514</v>
      </c>
      <c r="N1422" s="71">
        <f>SIP[[#This Row],[Unit Capital]]/10</f>
        <v>74</v>
      </c>
      <c r="O1422" s="71">
        <f>SUMIFS(SIP[[#Headers],[Unit]]:SIP[[#This Row],[Unit]],SIP[[#Headers],[Investor ID]]:SIP[[#This Row],[Investor ID]],SIP[[#This Row],[Investor ID]])</f>
        <v>545</v>
      </c>
      <c r="P1422" s="153">
        <v>740</v>
      </c>
      <c r="Q1422" s="74">
        <f>SIP[[#This Row],[Amount]]-SIP[[#This Row],[Unit Capital]]</f>
        <v>260</v>
      </c>
      <c r="R14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12.844036697247704</v>
      </c>
      <c r="S1422" s="46">
        <f t="shared" si="67"/>
        <v>14.224</v>
      </c>
      <c r="T14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2" s="74" cm="1">
        <f t="array" ref="U1422">IF(SIP[[#This Row],[B/S]]="S",ABS(SIP[[#This Row],[Unit]])*(INDEX(SIP[NAV at Cost (Average)],MATCH(CONCATENATE((SIP[[#This Row],[Frequency]]-1),SIP[[#This Row],[Investor ID]]),SIP[Unique Code],0),0)),0)</f>
        <v>0</v>
      </c>
      <c r="V1422" s="74">
        <f>IF(SIP[[#This Row],[BO TRANSFER]]="YES",SIP[[#This Row],[Unit]],)</f>
        <v>0</v>
      </c>
      <c r="W1422" s="74">
        <f>SUMIFS(SIP[[#Headers],[BO UNIT TRANSFER]]:SIP[[#This Row],[BO UNIT TRANSFER]],SIP[[#Headers],[Investor ID]]:SIP[[#This Row],[Investor ID]],SIP[[#This Row],[Investor ID]])</f>
        <v>0</v>
      </c>
    </row>
    <row r="1423" spans="1:23" ht="15" customHeight="1">
      <c r="A1423" s="101">
        <v>2025</v>
      </c>
      <c r="B1423" s="101">
        <v>9</v>
      </c>
      <c r="C1423" s="101">
        <v>28</v>
      </c>
      <c r="D1423" s="65">
        <f>DATE(SIP[[#This Row],[Year]],SIP[[#This Row],[Month]],SIP[[#This Row],[Day]])</f>
        <v>45928</v>
      </c>
      <c r="E1423" s="66" t="str" cm="1">
        <f t="array" ref="E1423">INDEX(INVESTORS_LIST[INVESTOR NAME],MATCH(SIP[[#This Row],[Investor ID]],INVESTORS_LIST[INVESTOR CODE],0),)</f>
        <v>RAJIB</v>
      </c>
      <c r="F1423" s="46" t="s">
        <v>1321</v>
      </c>
      <c r="G1423" s="46">
        <f>COUNTIF(SIP[[#Headers],[Investor ID]]:SIP[[#This Row],[Investor ID]],SIP[[#This Row],[Investor ID]])</f>
        <v>6</v>
      </c>
      <c r="H1423" s="46" t="str">
        <f>CONCATENATE(SIP[[#This Row],[Frequency]],SIP[[#This Row],[Investor ID]])</f>
        <v>6A00607</v>
      </c>
      <c r="I1423" s="46" t="str">
        <f>IF(SIP[[#This Row],[B/S]]="B","BUY",(IF(SIP[[#This Row],[B/S]]="S","SELL"," ")))</f>
        <v>BUY</v>
      </c>
      <c r="J1423" s="150" t="s">
        <v>1229</v>
      </c>
      <c r="K1423" s="153">
        <v>1000</v>
      </c>
      <c r="L1423" s="122"/>
      <c r="M1423" s="123">
        <f>SIP[[#This Row],[Amount]]/SIP[[#This Row],[Unit]]</f>
        <v>13.513513513513514</v>
      </c>
      <c r="N1423" s="71">
        <f>SIP[[#This Row],[Unit Capital]]/10</f>
        <v>74</v>
      </c>
      <c r="O1423" s="71">
        <f>SUMIFS(SIP[[#Headers],[Unit]]:SIP[[#This Row],[Unit]],SIP[[#Headers],[Investor ID]]:SIP[[#This Row],[Investor ID]],SIP[[#This Row],[Investor ID]])</f>
        <v>469</v>
      </c>
      <c r="P1423" s="153">
        <v>740</v>
      </c>
      <c r="Q1423" s="74">
        <f>SIP[[#This Row],[Amount]]-SIP[[#This Row],[Unit Capital]]</f>
        <v>260</v>
      </c>
      <c r="R14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12.793176972281447</v>
      </c>
      <c r="S1423" s="46">
        <f t="shared" si="67"/>
        <v>14.224</v>
      </c>
      <c r="T14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3" s="74" cm="1">
        <f t="array" ref="U1423">IF(SIP[[#This Row],[B/S]]="S",ABS(SIP[[#This Row],[Unit]])*(INDEX(SIP[NAV at Cost (Average)],MATCH(CONCATENATE((SIP[[#This Row],[Frequency]]-1),SIP[[#This Row],[Investor ID]]),SIP[Unique Code],0),0)),0)</f>
        <v>0</v>
      </c>
      <c r="V1423" s="74">
        <f>IF(SIP[[#This Row],[BO TRANSFER]]="YES",SIP[[#This Row],[Unit]],)</f>
        <v>0</v>
      </c>
      <c r="W1423" s="74">
        <f>SUMIFS(SIP[[#Headers],[BO UNIT TRANSFER]]:SIP[[#This Row],[BO UNIT TRANSFER]],SIP[[#Headers],[Investor ID]]:SIP[[#This Row],[Investor ID]],SIP[[#This Row],[Investor ID]])</f>
        <v>0</v>
      </c>
    </row>
    <row r="1424" spans="1:23" ht="15" customHeight="1">
      <c r="A1424" s="101">
        <v>2025</v>
      </c>
      <c r="B1424" s="101">
        <v>9</v>
      </c>
      <c r="C1424" s="101">
        <v>28</v>
      </c>
      <c r="D1424" s="65">
        <f>DATE(SIP[[#This Row],[Year]],SIP[[#This Row],[Month]],SIP[[#This Row],[Day]])</f>
        <v>45928</v>
      </c>
      <c r="E1424" s="66" t="str" cm="1">
        <f t="array" ref="E1424">INDEX(INVESTORS_LIST[INVESTOR NAME],MATCH(SIP[[#This Row],[Investor ID]],INVESTORS_LIST[INVESTOR CODE],0),)</f>
        <v>MST. GOLENUR</v>
      </c>
      <c r="F1424" s="46" t="s">
        <v>1075</v>
      </c>
      <c r="G1424" s="46">
        <f>COUNTIF(SIP[[#Headers],[Investor ID]]:SIP[[#This Row],[Investor ID]],SIP[[#This Row],[Investor ID]])</f>
        <v>10</v>
      </c>
      <c r="H1424" s="46" t="str">
        <f>CONCATENATE(SIP[[#This Row],[Frequency]],SIP[[#This Row],[Investor ID]])</f>
        <v>10A00515</v>
      </c>
      <c r="I1424" s="46" t="str">
        <f>IF(SIP[[#This Row],[B/S]]="B","BUY",(IF(SIP[[#This Row],[B/S]]="S","SELL"," ")))</f>
        <v>BUY</v>
      </c>
      <c r="J1424" s="150" t="s">
        <v>1229</v>
      </c>
      <c r="K1424" s="153">
        <v>4000</v>
      </c>
      <c r="L1424" s="122"/>
      <c r="M1424" s="123">
        <f>SIP[[#This Row],[Amount]]/SIP[[#This Row],[Unit]]</f>
        <v>13.513513513513514</v>
      </c>
      <c r="N1424" s="71">
        <f>SIP[[#This Row],[Unit Capital]]/10</f>
        <v>296</v>
      </c>
      <c r="O1424" s="71">
        <f>SUMIFS(SIP[[#Headers],[Unit]]:SIP[[#This Row],[Unit]],SIP[[#Headers],[Investor ID]]:SIP[[#This Row],[Investor ID]],SIP[[#This Row],[Investor ID]])</f>
        <v>1730</v>
      </c>
      <c r="P1424" s="153">
        <v>2960</v>
      </c>
      <c r="Q1424" s="74">
        <f>SIP[[#This Row],[Amount]]-SIP[[#This Row],[Unit Capital]]</f>
        <v>1040</v>
      </c>
      <c r="R14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12.716763005780345</v>
      </c>
      <c r="S1424" s="46">
        <f t="shared" si="67"/>
        <v>14.224</v>
      </c>
      <c r="T14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4" s="74" cm="1">
        <f t="array" ref="U1424">IF(SIP[[#This Row],[B/S]]="S",ABS(SIP[[#This Row],[Unit]])*(INDEX(SIP[NAV at Cost (Average)],MATCH(CONCATENATE((SIP[[#This Row],[Frequency]]-1),SIP[[#This Row],[Investor ID]]),SIP[Unique Code],0),0)),0)</f>
        <v>0</v>
      </c>
      <c r="V1424" s="74">
        <f>IF(SIP[[#This Row],[BO TRANSFER]]="YES",SIP[[#This Row],[Unit]],)</f>
        <v>0</v>
      </c>
      <c r="W1424" s="74">
        <f>SUMIFS(SIP[[#Headers],[BO UNIT TRANSFER]]:SIP[[#This Row],[BO UNIT TRANSFER]],SIP[[#Headers],[Investor ID]]:SIP[[#This Row],[Investor ID]],SIP[[#This Row],[Investor ID]])</f>
        <v>0</v>
      </c>
    </row>
    <row r="1425" spans="1:23" ht="15" customHeight="1">
      <c r="A1425" s="101">
        <v>2025</v>
      </c>
      <c r="B1425" s="101">
        <v>9</v>
      </c>
      <c r="C1425" s="101">
        <v>28</v>
      </c>
      <c r="D1425" s="65">
        <f>DATE(SIP[[#This Row],[Year]],SIP[[#This Row],[Month]],SIP[[#This Row],[Day]])</f>
        <v>45928</v>
      </c>
      <c r="E1425" s="66" t="str" cm="1">
        <f t="array" ref="E1425">INDEX(INVESTORS_LIST[INVESTOR NAME],MATCH(SIP[[#This Row],[Investor ID]],INVESTORS_LIST[INVESTOR CODE],0),)</f>
        <v>RUMA AKTER</v>
      </c>
      <c r="F1425" s="46" t="s">
        <v>1323</v>
      </c>
      <c r="G1425" s="46">
        <f>COUNTIF(SIP[[#Headers],[Investor ID]]:SIP[[#This Row],[Investor ID]],SIP[[#This Row],[Investor ID]])</f>
        <v>8</v>
      </c>
      <c r="H1425" s="46" t="str">
        <f>CONCATENATE(SIP[[#This Row],[Frequency]],SIP[[#This Row],[Investor ID]])</f>
        <v>8A00608</v>
      </c>
      <c r="I1425" s="46" t="str">
        <f>IF(SIP[[#This Row],[B/S]]="B","BUY",(IF(SIP[[#This Row],[B/S]]="S","SELL"," ")))</f>
        <v>BUY</v>
      </c>
      <c r="J1425" s="150" t="s">
        <v>1229</v>
      </c>
      <c r="K1425" s="153">
        <v>1000</v>
      </c>
      <c r="L1425" s="122"/>
      <c r="M1425" s="123">
        <f>SIP[[#This Row],[Amount]]/SIP[[#This Row],[Unit]]</f>
        <v>13.513513513513514</v>
      </c>
      <c r="N1425" s="71">
        <f>SIP[[#This Row],[Unit Capital]]/10</f>
        <v>74</v>
      </c>
      <c r="O1425" s="71">
        <f>SUMIFS(SIP[[#Headers],[Unit]]:SIP[[#This Row],[Unit]],SIP[[#Headers],[Investor ID]]:SIP[[#This Row],[Investor ID]],SIP[[#This Row],[Investor ID]])</f>
        <v>619</v>
      </c>
      <c r="P1425" s="153">
        <v>740</v>
      </c>
      <c r="Q1425" s="74">
        <f>SIP[[#This Row],[Amount]]-SIP[[#This Row],[Unit Capital]]</f>
        <v>260</v>
      </c>
      <c r="R14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12.924071082390952</v>
      </c>
      <c r="S1425" s="46">
        <f t="shared" si="67"/>
        <v>14.224</v>
      </c>
      <c r="T14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5" s="74" cm="1">
        <f t="array" ref="U1425">IF(SIP[[#This Row],[B/S]]="S",ABS(SIP[[#This Row],[Unit]])*(INDEX(SIP[NAV at Cost (Average)],MATCH(CONCATENATE((SIP[[#This Row],[Frequency]]-1),SIP[[#This Row],[Investor ID]]),SIP[Unique Code],0),0)),0)</f>
        <v>0</v>
      </c>
      <c r="V1425" s="74">
        <f>IF(SIP[[#This Row],[BO TRANSFER]]="YES",SIP[[#This Row],[Unit]],)</f>
        <v>0</v>
      </c>
      <c r="W1425" s="74">
        <f>SUMIFS(SIP[[#Headers],[BO UNIT TRANSFER]]:SIP[[#This Row],[BO UNIT TRANSFER]],SIP[[#Headers],[Investor ID]]:SIP[[#This Row],[Investor ID]],SIP[[#This Row],[Investor ID]])</f>
        <v>0</v>
      </c>
    </row>
    <row r="1426" spans="1:23" ht="15" customHeight="1">
      <c r="A1426" s="101">
        <v>2025</v>
      </c>
      <c r="B1426" s="101">
        <v>9</v>
      </c>
      <c r="C1426" s="101">
        <v>28</v>
      </c>
      <c r="D1426" s="65">
        <f>DATE(SIP[[#This Row],[Year]],SIP[[#This Row],[Month]],SIP[[#This Row],[Day]])</f>
        <v>45928</v>
      </c>
      <c r="E1426" s="66" t="str" cm="1">
        <f t="array" ref="E1426">INDEX(INVESTORS_LIST[INVESTOR NAME],MATCH(SIP[[#This Row],[Investor ID]],INVESTORS_LIST[INVESTOR CODE],0),)</f>
        <v>MAHBUB-UL-ANAM KHAN</v>
      </c>
      <c r="F1426" s="46" t="s">
        <v>626</v>
      </c>
      <c r="G1426" s="46">
        <f>COUNTIF(SIP[[#Headers],[Investor ID]]:SIP[[#This Row],[Investor ID]],SIP[[#This Row],[Investor ID]])</f>
        <v>14</v>
      </c>
      <c r="H1426" s="46" t="str">
        <f>CONCATENATE(SIP[[#This Row],[Frequency]],SIP[[#This Row],[Investor ID]])</f>
        <v>14A00289</v>
      </c>
      <c r="I1426" s="46" t="str">
        <f>IF(SIP[[#This Row],[B/S]]="B","BUY",(IF(SIP[[#This Row],[B/S]]="S","SELL"," ")))</f>
        <v>BUY</v>
      </c>
      <c r="J1426" s="150" t="s">
        <v>1229</v>
      </c>
      <c r="K1426" s="153">
        <v>5000</v>
      </c>
      <c r="L1426" s="122"/>
      <c r="M1426" s="123">
        <f>SIP[[#This Row],[Amount]]/SIP[[#This Row],[Unit]]</f>
        <v>13.513513513513514</v>
      </c>
      <c r="N1426" s="71">
        <f>SIP[[#This Row],[Unit Capital]]/10</f>
        <v>370</v>
      </c>
      <c r="O1426" s="71">
        <f>SUMIFS(SIP[[#Headers],[Unit]]:SIP[[#This Row],[Unit]],SIP[[#Headers],[Investor ID]]:SIP[[#This Row],[Investor ID]],SIP[[#This Row],[Investor ID]])</f>
        <v>5721</v>
      </c>
      <c r="P1426" s="153">
        <v>3700</v>
      </c>
      <c r="Q1426" s="74">
        <f>SIP[[#This Row],[Amount]]-SIP[[#This Row],[Unit Capital]]</f>
        <v>1300</v>
      </c>
      <c r="R14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12.235623142807201</v>
      </c>
      <c r="S1426" s="46">
        <f t="shared" si="67"/>
        <v>14.224</v>
      </c>
      <c r="T14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6" s="74" cm="1">
        <f t="array" ref="U1426">IF(SIP[[#This Row],[B/S]]="S",ABS(SIP[[#This Row],[Unit]])*(INDEX(SIP[NAV at Cost (Average)],MATCH(CONCATENATE((SIP[[#This Row],[Frequency]]-1),SIP[[#This Row],[Investor ID]]),SIP[Unique Code],0),0)),0)</f>
        <v>0</v>
      </c>
      <c r="V1426" s="74">
        <f>IF(SIP[[#This Row],[BO TRANSFER]]="YES",SIP[[#This Row],[Unit]],)</f>
        <v>0</v>
      </c>
      <c r="W1426" s="74">
        <f>SUMIFS(SIP[[#Headers],[BO UNIT TRANSFER]]:SIP[[#This Row],[BO UNIT TRANSFER]],SIP[[#Headers],[Investor ID]]:SIP[[#This Row],[Investor ID]],SIP[[#This Row],[Investor ID]])</f>
        <v>0</v>
      </c>
    </row>
    <row r="1427" spans="1:23" ht="15" customHeight="1">
      <c r="A1427" s="101">
        <v>2025</v>
      </c>
      <c r="B1427" s="101">
        <v>9</v>
      </c>
      <c r="C1427" s="101">
        <v>28</v>
      </c>
      <c r="D1427" s="65">
        <f>DATE(SIP[[#This Row],[Year]],SIP[[#This Row],[Month]],SIP[[#This Row],[Day]])</f>
        <v>45928</v>
      </c>
      <c r="E1427" s="66" t="str" cm="1">
        <f t="array" ref="E1427">INDEX(INVESTORS_LIST[INVESTOR NAME],MATCH(SIP[[#This Row],[Investor ID]],INVESTORS_LIST[INVESTOR CODE],0),)</f>
        <v>MD MIZANUR RAHMAN</v>
      </c>
      <c r="F1427" s="46" t="s">
        <v>1304</v>
      </c>
      <c r="G1427" s="46">
        <f>COUNTIF(SIP[[#Headers],[Investor ID]]:SIP[[#This Row],[Investor ID]],SIP[[#This Row],[Investor ID]])</f>
        <v>11</v>
      </c>
      <c r="H1427" s="46" t="str">
        <f>CONCATENATE(SIP[[#This Row],[Frequency]],SIP[[#This Row],[Investor ID]])</f>
        <v>11A00599</v>
      </c>
      <c r="I1427" s="46" t="str">
        <f>IF(SIP[[#This Row],[B/S]]="B","BUY",(IF(SIP[[#This Row],[B/S]]="S","SELL"," ")))</f>
        <v>BUY</v>
      </c>
      <c r="J1427" s="150" t="s">
        <v>1229</v>
      </c>
      <c r="K1427" s="153">
        <v>5000</v>
      </c>
      <c r="L1427" s="122"/>
      <c r="M1427" s="123">
        <f>SIP[[#This Row],[Amount]]/SIP[[#This Row],[Unit]]</f>
        <v>13.513513513513514</v>
      </c>
      <c r="N1427" s="71">
        <f>SIP[[#This Row],[Unit Capital]]/10</f>
        <v>370</v>
      </c>
      <c r="O1427" s="71">
        <f>SUMIFS(SIP[[#Headers],[Unit]]:SIP[[#This Row],[Unit]],SIP[[#Headers],[Investor ID]]:SIP[[#This Row],[Investor ID]],SIP[[#This Row],[Investor ID]])</f>
        <v>750</v>
      </c>
      <c r="P1427" s="153">
        <v>3700</v>
      </c>
      <c r="Q1427" s="74">
        <f>SIP[[#This Row],[Amount]]-SIP[[#This Row],[Unit Capital]]</f>
        <v>1300</v>
      </c>
      <c r="R14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13.333333333333334</v>
      </c>
      <c r="S1427" s="46">
        <f t="shared" si="67"/>
        <v>14.224</v>
      </c>
      <c r="T14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7" s="74" cm="1">
        <f t="array" ref="U1427">IF(SIP[[#This Row],[B/S]]="S",ABS(SIP[[#This Row],[Unit]])*(INDEX(SIP[NAV at Cost (Average)],MATCH(CONCATENATE((SIP[[#This Row],[Frequency]]-1),SIP[[#This Row],[Investor ID]]),SIP[Unique Code],0),0)),0)</f>
        <v>0</v>
      </c>
      <c r="V1427" s="74">
        <f>IF(SIP[[#This Row],[BO TRANSFER]]="YES",SIP[[#This Row],[Unit]],)</f>
        <v>0</v>
      </c>
      <c r="W1427" s="74">
        <f>SUMIFS(SIP[[#Headers],[BO UNIT TRANSFER]]:SIP[[#This Row],[BO UNIT TRANSFER]],SIP[[#Headers],[Investor ID]]:SIP[[#This Row],[Investor ID]],SIP[[#This Row],[Investor ID]])</f>
        <v>0</v>
      </c>
    </row>
    <row r="1428" spans="1:23" ht="15" customHeight="1">
      <c r="A1428" s="101">
        <v>2025</v>
      </c>
      <c r="B1428" s="101">
        <v>9</v>
      </c>
      <c r="C1428" s="101">
        <v>28</v>
      </c>
      <c r="D1428" s="65">
        <f>DATE(SIP[[#This Row],[Year]],SIP[[#This Row],[Month]],SIP[[#This Row],[Day]])</f>
        <v>45928</v>
      </c>
      <c r="E1428" s="66" t="str" cm="1">
        <f t="array" ref="E1428">INDEX(INVESTORS_LIST[INVESTOR NAME],MATCH(SIP[[#This Row],[Investor ID]],INVESTORS_LIST[INVESTOR CODE],0),)</f>
        <v>MD. WALI ULLAH</v>
      </c>
      <c r="F1428" s="46" t="s">
        <v>443</v>
      </c>
      <c r="G1428" s="46">
        <f>COUNTIF(SIP[[#Headers],[Investor ID]]:SIP[[#This Row],[Investor ID]],SIP[[#This Row],[Investor ID]])</f>
        <v>29</v>
      </c>
      <c r="H1428" s="46" t="str">
        <f>CONCATENATE(SIP[[#This Row],[Frequency]],SIP[[#This Row],[Investor ID]])</f>
        <v>29A00197</v>
      </c>
      <c r="I1428" s="46" t="str">
        <f>IF(SIP[[#This Row],[B/S]]="B","BUY",(IF(SIP[[#This Row],[B/S]]="S","SELL"," ")))</f>
        <v>BUY</v>
      </c>
      <c r="J1428" s="150" t="s">
        <v>1229</v>
      </c>
      <c r="K1428" s="153">
        <v>15000</v>
      </c>
      <c r="L1428" s="122"/>
      <c r="M1428" s="123">
        <f>SIP[[#This Row],[Amount]]/SIP[[#This Row],[Unit]]</f>
        <v>13.513513513513514</v>
      </c>
      <c r="N1428" s="71">
        <f>SIP[[#This Row],[Unit Capital]]/10</f>
        <v>1110</v>
      </c>
      <c r="O1428" s="71">
        <f>SUMIFS(SIP[[#Headers],[Unit]]:SIP[[#This Row],[Unit]],SIP[[#Headers],[Investor ID]]:SIP[[#This Row],[Investor ID]],SIP[[#This Row],[Investor ID]])</f>
        <v>38224</v>
      </c>
      <c r="P1428" s="153">
        <v>11100</v>
      </c>
      <c r="Q1428" s="74">
        <f>SIP[[#This Row],[Amount]]-SIP[[#This Row],[Unit Capital]]</f>
        <v>3900</v>
      </c>
      <c r="R14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11.380284637923817</v>
      </c>
      <c r="S1428" s="46">
        <f t="shared" si="67"/>
        <v>14.224</v>
      </c>
      <c r="T14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8" s="74" cm="1">
        <f t="array" ref="U1428">IF(SIP[[#This Row],[B/S]]="S",ABS(SIP[[#This Row],[Unit]])*(INDEX(SIP[NAV at Cost (Average)],MATCH(CONCATENATE((SIP[[#This Row],[Frequency]]-1),SIP[[#This Row],[Investor ID]]),SIP[Unique Code],0),0)),0)</f>
        <v>0</v>
      </c>
      <c r="V1428" s="74">
        <f>IF(SIP[[#This Row],[BO TRANSFER]]="YES",SIP[[#This Row],[Unit]],)</f>
        <v>0</v>
      </c>
      <c r="W1428" s="74">
        <f>SUMIFS(SIP[[#Headers],[BO UNIT TRANSFER]]:SIP[[#This Row],[BO UNIT TRANSFER]],SIP[[#Headers],[Investor ID]]:SIP[[#This Row],[Investor ID]],SIP[[#This Row],[Investor ID]])</f>
        <v>0</v>
      </c>
    </row>
    <row r="1429" spans="1:23" ht="15" customHeight="1">
      <c r="A1429" s="101">
        <v>2025</v>
      </c>
      <c r="B1429" s="101">
        <v>9</v>
      </c>
      <c r="C1429" s="101">
        <v>28</v>
      </c>
      <c r="D1429" s="65">
        <f>DATE(SIP[[#This Row],[Year]],SIP[[#This Row],[Month]],SIP[[#This Row],[Day]])</f>
        <v>45928</v>
      </c>
      <c r="E1429" s="66" t="str" cm="1">
        <f t="array" ref="E1429">INDEX(INVESTORS_LIST[INVESTOR NAME],MATCH(SIP[[#This Row],[Investor ID]],INVESTORS_LIST[INVESTOR CODE],0),)</f>
        <v>MAYA RANI SAHA</v>
      </c>
      <c r="F1429" s="46" t="s">
        <v>224</v>
      </c>
      <c r="G1429" s="46">
        <f>COUNTIF(SIP[[#Headers],[Investor ID]]:SIP[[#This Row],[Investor ID]],SIP[[#This Row],[Investor ID]])</f>
        <v>65</v>
      </c>
      <c r="H1429" s="46" t="str">
        <f>CONCATENATE(SIP[[#This Row],[Frequency]],SIP[[#This Row],[Investor ID]])</f>
        <v>65A00088</v>
      </c>
      <c r="I1429" s="46" t="str">
        <f>IF(SIP[[#This Row],[B/S]]="B","BUY",(IF(SIP[[#This Row],[B/S]]="S","SELL"," ")))</f>
        <v>BUY</v>
      </c>
      <c r="J1429" s="150" t="s">
        <v>1229</v>
      </c>
      <c r="K1429" s="153">
        <v>14000</v>
      </c>
      <c r="L1429" s="122"/>
      <c r="M1429" s="123">
        <f>SIP[[#This Row],[Amount]]/SIP[[#This Row],[Unit]]</f>
        <v>13.513513513513514</v>
      </c>
      <c r="N1429" s="71">
        <f>SIP[[#This Row],[Unit Capital]]/10</f>
        <v>1036</v>
      </c>
      <c r="O1429" s="71">
        <f>SUMIFS(SIP[[#Headers],[Unit]]:SIP[[#This Row],[Unit]],SIP[[#Headers],[Investor ID]]:SIP[[#This Row],[Investor ID]],SIP[[#This Row],[Investor ID]])</f>
        <v>77452</v>
      </c>
      <c r="P1429" s="153">
        <v>10360</v>
      </c>
      <c r="Q1429" s="74">
        <f>SIP[[#This Row],[Amount]]-SIP[[#This Row],[Unit Capital]]</f>
        <v>3640</v>
      </c>
      <c r="R14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11.74921241543149</v>
      </c>
      <c r="S1429" s="46">
        <f t="shared" si="67"/>
        <v>14.224</v>
      </c>
      <c r="T14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9" s="74" cm="1">
        <f t="array" ref="U1429">IF(SIP[[#This Row],[B/S]]="S",ABS(SIP[[#This Row],[Unit]])*(INDEX(SIP[NAV at Cost (Average)],MATCH(CONCATENATE((SIP[[#This Row],[Frequency]]-1),SIP[[#This Row],[Investor ID]]),SIP[Unique Code],0),0)),0)</f>
        <v>0</v>
      </c>
      <c r="V1429" s="74">
        <f>IF(SIP[[#This Row],[BO TRANSFER]]="YES",SIP[[#This Row],[Unit]],)</f>
        <v>0</v>
      </c>
      <c r="W1429" s="74">
        <f>SUMIFS(SIP[[#Headers],[BO UNIT TRANSFER]]:SIP[[#This Row],[BO UNIT TRANSFER]],SIP[[#Headers],[Investor ID]]:SIP[[#This Row],[Investor ID]],SIP[[#This Row],[Investor ID]])</f>
        <v>0</v>
      </c>
    </row>
    <row r="1430" spans="1:23" ht="15" customHeight="1">
      <c r="A1430" s="101">
        <v>2025</v>
      </c>
      <c r="B1430" s="101">
        <v>9</v>
      </c>
      <c r="C1430" s="101">
        <v>28</v>
      </c>
      <c r="D1430" s="65">
        <f>DATE(SIP[[#This Row],[Year]],SIP[[#This Row],[Month]],SIP[[#This Row],[Day]])</f>
        <v>45928</v>
      </c>
      <c r="E1430" s="66" t="str" cm="1">
        <f t="array" ref="E1430">INDEX(INVESTORS_LIST[INVESTOR NAME],MATCH(SIP[[#This Row],[Investor ID]],INVESTORS_LIST[INVESTOR CODE],0),)</f>
        <v>MOHAMMED SHARIFUL ISLAM</v>
      </c>
      <c r="F1430" s="46" t="s">
        <v>1028</v>
      </c>
      <c r="G1430" s="46">
        <f>COUNTIF(SIP[[#Headers],[Investor ID]]:SIP[[#This Row],[Investor ID]],SIP[[#This Row],[Investor ID]])</f>
        <v>28</v>
      </c>
      <c r="H1430" s="46" t="str">
        <f>CONCATENATE(SIP[[#This Row],[Frequency]],SIP[[#This Row],[Investor ID]])</f>
        <v>28A00491</v>
      </c>
      <c r="I1430" s="46" t="str">
        <f>IF(SIP[[#This Row],[B/S]]="B","BUY",(IF(SIP[[#This Row],[B/S]]="S","SELL"," ")))</f>
        <v>BUY</v>
      </c>
      <c r="J1430" s="150" t="s">
        <v>1229</v>
      </c>
      <c r="K1430" s="153">
        <v>5000</v>
      </c>
      <c r="L1430" s="122"/>
      <c r="M1430" s="123">
        <f>SIP[[#This Row],[Amount]]/SIP[[#This Row],[Unit]]</f>
        <v>13.513513513513514</v>
      </c>
      <c r="N1430" s="71">
        <f>SIP[[#This Row],[Unit Capital]]/10</f>
        <v>370</v>
      </c>
      <c r="O1430" s="71">
        <f>SUMIFS(SIP[[#Headers],[Unit]]:SIP[[#This Row],[Unit]],SIP[[#Headers],[Investor ID]]:SIP[[#This Row],[Investor ID]],SIP[[#This Row],[Investor ID]])</f>
        <v>12249</v>
      </c>
      <c r="P1430" s="153">
        <v>3700</v>
      </c>
      <c r="Q1430" s="74">
        <f>SIP[[#This Row],[Amount]]-SIP[[#This Row],[Unit Capital]]</f>
        <v>1300</v>
      </c>
      <c r="R14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11.429504449342806</v>
      </c>
      <c r="S1430" s="46">
        <f t="shared" si="67"/>
        <v>14.224</v>
      </c>
      <c r="T14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0" s="74" cm="1">
        <f t="array" ref="U1430">IF(SIP[[#This Row],[B/S]]="S",ABS(SIP[[#This Row],[Unit]])*(INDEX(SIP[NAV at Cost (Average)],MATCH(CONCATENATE((SIP[[#This Row],[Frequency]]-1),SIP[[#This Row],[Investor ID]]),SIP[Unique Code],0),0)),0)</f>
        <v>0</v>
      </c>
      <c r="V1430" s="74">
        <f>IF(SIP[[#This Row],[BO TRANSFER]]="YES",SIP[[#This Row],[Unit]],)</f>
        <v>0</v>
      </c>
      <c r="W1430" s="74">
        <f>SUMIFS(SIP[[#Headers],[BO UNIT TRANSFER]]:SIP[[#This Row],[BO UNIT TRANSFER]],SIP[[#Headers],[Investor ID]]:SIP[[#This Row],[Investor ID]],SIP[[#This Row],[Investor ID]])</f>
        <v>0</v>
      </c>
    </row>
    <row r="1431" spans="1:23" ht="15" customHeight="1">
      <c r="A1431" s="101">
        <v>2025</v>
      </c>
      <c r="B1431" s="101">
        <v>9</v>
      </c>
      <c r="C1431" s="101">
        <v>28</v>
      </c>
      <c r="D1431" s="65">
        <f>DATE(SIP[[#This Row],[Year]],SIP[[#This Row],[Month]],SIP[[#This Row],[Day]])</f>
        <v>45928</v>
      </c>
      <c r="E1431" s="66" t="str" cm="1">
        <f t="array" ref="E1431">INDEX(INVESTORS_LIST[INVESTOR NAME],MATCH(SIP[[#This Row],[Investor ID]],INVESTORS_LIST[INVESTOR CODE],0),)</f>
        <v>MD ABDULLAH-AL- MAMUN</v>
      </c>
      <c r="F1431" s="46" t="s">
        <v>533</v>
      </c>
      <c r="G1431" s="46">
        <f>COUNTIF(SIP[[#Headers],[Investor ID]]:SIP[[#This Row],[Investor ID]],SIP[[#This Row],[Investor ID]])</f>
        <v>28</v>
      </c>
      <c r="H1431" s="46" t="str">
        <f>CONCATENATE(SIP[[#This Row],[Frequency]],SIP[[#This Row],[Investor ID]])</f>
        <v>28A00242</v>
      </c>
      <c r="I1431" s="46" t="str">
        <f>IF(SIP[[#This Row],[B/S]]="B","BUY",(IF(SIP[[#This Row],[B/S]]="S","SELL"," ")))</f>
        <v>BUY</v>
      </c>
      <c r="J1431" s="150" t="s">
        <v>1229</v>
      </c>
      <c r="K1431" s="153">
        <v>15000</v>
      </c>
      <c r="L1431" s="122"/>
      <c r="M1431" s="123">
        <f>SIP[[#This Row],[Amount]]/SIP[[#This Row],[Unit]]</f>
        <v>13.513513513513514</v>
      </c>
      <c r="N1431" s="71">
        <f>SIP[[#This Row],[Unit Capital]]/10</f>
        <v>1110</v>
      </c>
      <c r="O1431" s="71">
        <f>SUMIFS(SIP[[#Headers],[Unit]]:SIP[[#This Row],[Unit]],SIP[[#Headers],[Investor ID]]:SIP[[#This Row],[Investor ID]],SIP[[#This Row],[Investor ID]])</f>
        <v>3081</v>
      </c>
      <c r="P1431" s="153">
        <v>11100</v>
      </c>
      <c r="Q1431" s="74">
        <f>SIP[[#This Row],[Amount]]-SIP[[#This Row],[Unit Capital]]</f>
        <v>3900</v>
      </c>
      <c r="R14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12.319252957282995</v>
      </c>
      <c r="S1431" s="46">
        <f t="shared" si="67"/>
        <v>14.224</v>
      </c>
      <c r="T14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1" s="74" cm="1">
        <f t="array" ref="U1431">IF(SIP[[#This Row],[B/S]]="S",ABS(SIP[[#This Row],[Unit]])*(INDEX(SIP[NAV at Cost (Average)],MATCH(CONCATENATE((SIP[[#This Row],[Frequency]]-1),SIP[[#This Row],[Investor ID]]),SIP[Unique Code],0),0)),0)</f>
        <v>0</v>
      </c>
      <c r="V1431" s="74">
        <f>IF(SIP[[#This Row],[BO TRANSFER]]="YES",SIP[[#This Row],[Unit]],)</f>
        <v>0</v>
      </c>
      <c r="W1431" s="74">
        <f>SUMIFS(SIP[[#Headers],[BO UNIT TRANSFER]]:SIP[[#This Row],[BO UNIT TRANSFER]],SIP[[#Headers],[Investor ID]]:SIP[[#This Row],[Investor ID]],SIP[[#This Row],[Investor ID]])</f>
        <v>0</v>
      </c>
    </row>
    <row r="1432" spans="1:23" ht="15" customHeight="1">
      <c r="A1432" s="101">
        <v>2025</v>
      </c>
      <c r="B1432" s="101">
        <v>9</v>
      </c>
      <c r="C1432" s="101">
        <v>28</v>
      </c>
      <c r="D1432" s="65">
        <f>DATE(SIP[[#This Row],[Year]],SIP[[#This Row],[Month]],SIP[[#This Row],[Day]])</f>
        <v>45928</v>
      </c>
      <c r="E1432" s="66" t="str" cm="1">
        <f t="array" ref="E1432">INDEX(INVESTORS_LIST[INVESTOR NAME],MATCH(SIP[[#This Row],[Investor ID]],INVESTORS_LIST[INVESTOR CODE],0),)</f>
        <v>ABU MUSA MIRZA KAMRUZZAMAN SHAHEE</v>
      </c>
      <c r="F1432" s="46" t="s">
        <v>1012</v>
      </c>
      <c r="G1432" s="46">
        <f>COUNTIF(SIP[[#Headers],[Investor ID]]:SIP[[#This Row],[Investor ID]],SIP[[#This Row],[Investor ID]])</f>
        <v>28</v>
      </c>
      <c r="H1432" s="46" t="str">
        <f>CONCATENATE(SIP[[#This Row],[Frequency]],SIP[[#This Row],[Investor ID]])</f>
        <v>28A00483</v>
      </c>
      <c r="I1432" s="46" t="str">
        <f>IF(SIP[[#This Row],[B/S]]="B","BUY",(IF(SIP[[#This Row],[B/S]]="S","SELL"," ")))</f>
        <v>BUY</v>
      </c>
      <c r="J1432" s="150" t="s">
        <v>1229</v>
      </c>
      <c r="K1432" s="153">
        <v>5000</v>
      </c>
      <c r="L1432" s="122"/>
      <c r="M1432" s="123">
        <f>SIP[[#This Row],[Amount]]/SIP[[#This Row],[Unit]]</f>
        <v>13.513513513513514</v>
      </c>
      <c r="N1432" s="71">
        <f>SIP[[#This Row],[Unit Capital]]/10</f>
        <v>370</v>
      </c>
      <c r="O1432" s="71">
        <f>SUMIFS(SIP[[#Headers],[Unit]]:SIP[[#This Row],[Unit]],SIP[[#Headers],[Investor ID]]:SIP[[#This Row],[Investor ID]],SIP[[#This Row],[Investor ID]])</f>
        <v>12249</v>
      </c>
      <c r="P1432" s="153">
        <v>3700</v>
      </c>
      <c r="Q1432" s="74">
        <f>SIP[[#This Row],[Amount]]-SIP[[#This Row],[Unit Capital]]</f>
        <v>1300</v>
      </c>
      <c r="R14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11.429504449342806</v>
      </c>
      <c r="S1432" s="46">
        <f t="shared" si="67"/>
        <v>14.224</v>
      </c>
      <c r="T14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2" s="74" cm="1">
        <f t="array" ref="U1432">IF(SIP[[#This Row],[B/S]]="S",ABS(SIP[[#This Row],[Unit]])*(INDEX(SIP[NAV at Cost (Average)],MATCH(CONCATENATE((SIP[[#This Row],[Frequency]]-1),SIP[[#This Row],[Investor ID]]),SIP[Unique Code],0),0)),0)</f>
        <v>0</v>
      </c>
      <c r="V1432" s="74">
        <f>IF(SIP[[#This Row],[BO TRANSFER]]="YES",SIP[[#This Row],[Unit]],)</f>
        <v>0</v>
      </c>
      <c r="W1432" s="74">
        <f>SUMIFS(SIP[[#Headers],[BO UNIT TRANSFER]]:SIP[[#This Row],[BO UNIT TRANSFER]],SIP[[#Headers],[Investor ID]]:SIP[[#This Row],[Investor ID]],SIP[[#This Row],[Investor ID]])</f>
        <v>0</v>
      </c>
    </row>
    <row r="1433" spans="1:23" ht="15" customHeight="1">
      <c r="A1433" s="101">
        <v>2025</v>
      </c>
      <c r="B1433" s="101">
        <v>9</v>
      </c>
      <c r="C1433" s="101">
        <v>28</v>
      </c>
      <c r="D1433" s="65">
        <f>DATE(SIP[[#This Row],[Year]],SIP[[#This Row],[Month]],SIP[[#This Row],[Day]])</f>
        <v>45928</v>
      </c>
      <c r="E1433" s="66" t="str" cm="1">
        <f t="array" ref="E1433">INDEX(INVESTORS_LIST[INVESTOR NAME],MATCH(SIP[[#This Row],[Investor ID]],INVESTORS_LIST[INVESTOR CODE],0),)</f>
        <v>MAYA RANI SAHA</v>
      </c>
      <c r="F1433" s="46" t="s">
        <v>224</v>
      </c>
      <c r="G1433" s="46">
        <f>COUNTIF(SIP[[#Headers],[Investor ID]]:SIP[[#This Row],[Investor ID]],SIP[[#This Row],[Investor ID]])</f>
        <v>66</v>
      </c>
      <c r="H1433" s="46" t="str">
        <f>CONCATENATE(SIP[[#This Row],[Frequency]],SIP[[#This Row],[Investor ID]])</f>
        <v>66A00088</v>
      </c>
      <c r="I1433" s="46" t="str">
        <f>IF(SIP[[#This Row],[B/S]]="B","BUY",(IF(SIP[[#This Row],[B/S]]="S","SELL"," ")))</f>
        <v>BUY</v>
      </c>
      <c r="J1433" s="150" t="s">
        <v>1229</v>
      </c>
      <c r="K1433" s="153">
        <v>20000</v>
      </c>
      <c r="L1433" s="122"/>
      <c r="M1433" s="123">
        <f>SIP[[#This Row],[Amount]]/SIP[[#This Row],[Unit]]</f>
        <v>13.513513513513514</v>
      </c>
      <c r="N1433" s="71">
        <f>SIP[[#This Row],[Unit Capital]]/10</f>
        <v>1480</v>
      </c>
      <c r="O1433" s="71">
        <f>SUMIFS(SIP[[#Headers],[Unit]]:SIP[[#This Row],[Unit]],SIP[[#Headers],[Investor ID]]:SIP[[#This Row],[Investor ID]],SIP[[#This Row],[Investor ID]])</f>
        <v>78932</v>
      </c>
      <c r="P1433" s="153">
        <v>14800</v>
      </c>
      <c r="Q1433" s="74">
        <f>SIP[[#This Row],[Amount]]-SIP[[#This Row],[Unit Capital]]</f>
        <v>5200</v>
      </c>
      <c r="R14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11.782293619824657</v>
      </c>
      <c r="S1433" s="46">
        <f t="shared" si="67"/>
        <v>14.224</v>
      </c>
      <c r="T14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3" s="74" cm="1">
        <f t="array" ref="U1433">IF(SIP[[#This Row],[B/S]]="S",ABS(SIP[[#This Row],[Unit]])*(INDEX(SIP[NAV at Cost (Average)],MATCH(CONCATENATE((SIP[[#This Row],[Frequency]]-1),SIP[[#This Row],[Investor ID]]),SIP[Unique Code],0),0)),0)</f>
        <v>0</v>
      </c>
      <c r="V1433" s="74">
        <f>IF(SIP[[#This Row],[BO TRANSFER]]="YES",SIP[[#This Row],[Unit]],)</f>
        <v>0</v>
      </c>
      <c r="W1433" s="74">
        <f>SUMIFS(SIP[[#Headers],[BO UNIT TRANSFER]]:SIP[[#This Row],[BO UNIT TRANSFER]],SIP[[#Headers],[Investor ID]]:SIP[[#This Row],[Investor ID]],SIP[[#This Row],[Investor ID]])</f>
        <v>0</v>
      </c>
    </row>
    <row r="1434" spans="1:23" ht="15" customHeight="1">
      <c r="A1434" s="101">
        <v>2025</v>
      </c>
      <c r="B1434" s="101">
        <v>9</v>
      </c>
      <c r="C1434" s="101">
        <v>28</v>
      </c>
      <c r="D1434" s="65">
        <f>DATE(SIP[[#This Row],[Year]],SIP[[#This Row],[Month]],SIP[[#This Row],[Day]])</f>
        <v>45928</v>
      </c>
      <c r="E1434" s="66" t="str" cm="1">
        <f t="array" ref="E1434">INDEX(INVESTORS_LIST[INVESTOR NAME],MATCH(SIP[[#This Row],[Investor ID]],INVESTORS_LIST[INVESTOR CODE],0),)</f>
        <v>MUHAMMAD SHOHIDUZZAMAN</v>
      </c>
      <c r="F1434" s="46" t="s">
        <v>986</v>
      </c>
      <c r="G1434" s="46">
        <f>COUNTIF(SIP[[#Headers],[Investor ID]]:SIP[[#This Row],[Investor ID]],SIP[[#This Row],[Investor ID]])</f>
        <v>23</v>
      </c>
      <c r="H1434" s="46" t="str">
        <f>CONCATENATE(SIP[[#This Row],[Frequency]],SIP[[#This Row],[Investor ID]])</f>
        <v>23A00470</v>
      </c>
      <c r="I1434" s="46" t="str">
        <f>IF(SIP[[#This Row],[B/S]]="B","BUY",(IF(SIP[[#This Row],[B/S]]="S","SELL"," ")))</f>
        <v>BUY</v>
      </c>
      <c r="J1434" s="150" t="s">
        <v>1229</v>
      </c>
      <c r="K1434" s="153">
        <v>10000</v>
      </c>
      <c r="L1434" s="122"/>
      <c r="M1434" s="123">
        <f>SIP[[#This Row],[Amount]]/SIP[[#This Row],[Unit]]</f>
        <v>13.513513513513514</v>
      </c>
      <c r="N1434" s="71">
        <f>SIP[[#This Row],[Unit Capital]]/10</f>
        <v>740</v>
      </c>
      <c r="O1434" s="71">
        <f>SUMIFS(SIP[[#Headers],[Unit]]:SIP[[#This Row],[Unit]],SIP[[#Headers],[Investor ID]]:SIP[[#This Row],[Investor ID]],SIP[[#This Row],[Investor ID]])</f>
        <v>19700</v>
      </c>
      <c r="P1434" s="153">
        <v>7400</v>
      </c>
      <c r="Q1434" s="74">
        <f>SIP[[#This Row],[Amount]]-SIP[[#This Row],[Unit Capital]]</f>
        <v>2600</v>
      </c>
      <c r="R14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11.675126903553297</v>
      </c>
      <c r="S1434" s="46">
        <f t="shared" si="67"/>
        <v>14.224</v>
      </c>
      <c r="T14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4" s="74" cm="1">
        <f t="array" ref="U1434">IF(SIP[[#This Row],[B/S]]="S",ABS(SIP[[#This Row],[Unit]])*(INDEX(SIP[NAV at Cost (Average)],MATCH(CONCATENATE((SIP[[#This Row],[Frequency]]-1),SIP[[#This Row],[Investor ID]]),SIP[Unique Code],0),0)),0)</f>
        <v>0</v>
      </c>
      <c r="V1434" s="74">
        <f>IF(SIP[[#This Row],[BO TRANSFER]]="YES",SIP[[#This Row],[Unit]],)</f>
        <v>0</v>
      </c>
      <c r="W1434" s="74">
        <f>SUMIFS(SIP[[#Headers],[BO UNIT TRANSFER]]:SIP[[#This Row],[BO UNIT TRANSFER]],SIP[[#Headers],[Investor ID]]:SIP[[#This Row],[Investor ID]],SIP[[#This Row],[Investor ID]])</f>
        <v>18200</v>
      </c>
    </row>
    <row r="1435" spans="1:23" ht="15" customHeight="1">
      <c r="A1435" s="101">
        <v>2025</v>
      </c>
      <c r="B1435" s="101">
        <v>9</v>
      </c>
      <c r="C1435" s="101">
        <v>28</v>
      </c>
      <c r="D1435" s="65">
        <f>DATE(SIP[[#This Row],[Year]],SIP[[#This Row],[Month]],SIP[[#This Row],[Day]])</f>
        <v>45928</v>
      </c>
      <c r="E1435" s="66" t="str" cm="1">
        <f t="array" ref="E1435">INDEX(INVESTORS_LIST[INVESTOR NAME],MATCH(SIP[[#This Row],[Investor ID]],INVESTORS_LIST[INVESTOR CODE],0),)</f>
        <v>MOHAMMAD HASAN IMAM</v>
      </c>
      <c r="F1435" s="46" t="s">
        <v>1122</v>
      </c>
      <c r="G1435" s="46">
        <f>COUNTIF(SIP[[#Headers],[Investor ID]]:SIP[[#This Row],[Investor ID]],SIP[[#This Row],[Investor ID]])</f>
        <v>18</v>
      </c>
      <c r="H1435" s="46" t="str">
        <f>CONCATENATE(SIP[[#This Row],[Frequency]],SIP[[#This Row],[Investor ID]])</f>
        <v>18A00536</v>
      </c>
      <c r="I1435" s="46" t="str">
        <f>IF(SIP[[#This Row],[B/S]]="B","BUY",(IF(SIP[[#This Row],[B/S]]="S","SELL"," ")))</f>
        <v>BUY</v>
      </c>
      <c r="J1435" s="150" t="s">
        <v>1229</v>
      </c>
      <c r="K1435" s="153">
        <v>5000</v>
      </c>
      <c r="L1435" s="122"/>
      <c r="M1435" s="123">
        <f>SIP[[#This Row],[Amount]]/SIP[[#This Row],[Unit]]</f>
        <v>13.513513513513514</v>
      </c>
      <c r="N1435" s="71">
        <f>SIP[[#This Row],[Unit Capital]]/10</f>
        <v>370</v>
      </c>
      <c r="O1435" s="71">
        <f>SUMIFS(SIP[[#Headers],[Unit]]:SIP[[#This Row],[Unit]],SIP[[#Headers],[Investor ID]]:SIP[[#This Row],[Investor ID]],SIP[[#This Row],[Investor ID]])</f>
        <v>7521</v>
      </c>
      <c r="P1435" s="153">
        <v>3700</v>
      </c>
      <c r="Q1435" s="74">
        <f>SIP[[#This Row],[Amount]]-SIP[[#This Row],[Unit Capital]]</f>
        <v>1300</v>
      </c>
      <c r="R14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11.966493817311527</v>
      </c>
      <c r="S1435" s="46">
        <f t="shared" si="67"/>
        <v>14.224</v>
      </c>
      <c r="T14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5" s="74" cm="1">
        <f t="array" ref="U1435">IF(SIP[[#This Row],[B/S]]="S",ABS(SIP[[#This Row],[Unit]])*(INDEX(SIP[NAV at Cost (Average)],MATCH(CONCATENATE((SIP[[#This Row],[Frequency]]-1),SIP[[#This Row],[Investor ID]]),SIP[Unique Code],0),0)),0)</f>
        <v>0</v>
      </c>
      <c r="V1435" s="74">
        <f>IF(SIP[[#This Row],[BO TRANSFER]]="YES",SIP[[#This Row],[Unit]],)</f>
        <v>0</v>
      </c>
      <c r="W1435" s="74">
        <f>SUMIFS(SIP[[#Headers],[BO UNIT TRANSFER]]:SIP[[#This Row],[BO UNIT TRANSFER]],SIP[[#Headers],[Investor ID]]:SIP[[#This Row],[Investor ID]],SIP[[#This Row],[Investor ID]])</f>
        <v>0</v>
      </c>
    </row>
    <row r="1436" spans="1:23" ht="15" customHeight="1">
      <c r="A1436" s="101">
        <v>2025</v>
      </c>
      <c r="B1436" s="101">
        <v>9</v>
      </c>
      <c r="C1436" s="101">
        <v>28</v>
      </c>
      <c r="D1436" s="65">
        <f>DATE(SIP[[#This Row],[Year]],SIP[[#This Row],[Month]],SIP[[#This Row],[Day]])</f>
        <v>45928</v>
      </c>
      <c r="E1436" s="66" t="str" cm="1">
        <f t="array" ref="E1436">INDEX(INVESTORS_LIST[INVESTOR NAME],MATCH(SIP[[#This Row],[Investor ID]],INVESTORS_LIST[INVESTOR CODE],0),)</f>
        <v>MD MIZANUR RAHMAN</v>
      </c>
      <c r="F1436" s="46" t="s">
        <v>336</v>
      </c>
      <c r="G1436" s="46">
        <f>COUNTIF(SIP[[#Headers],[Investor ID]]:SIP[[#This Row],[Investor ID]],SIP[[#This Row],[Investor ID]])</f>
        <v>2</v>
      </c>
      <c r="H1436" s="46" t="str">
        <f>CONCATENATE(SIP[[#This Row],[Frequency]],SIP[[#This Row],[Investor ID]])</f>
        <v>2A00144</v>
      </c>
      <c r="I1436" s="46" t="str">
        <f>IF(SIP[[#This Row],[B/S]]="B","BUY",(IF(SIP[[#This Row],[B/S]]="S","SELL"," ")))</f>
        <v>BUY</v>
      </c>
      <c r="J1436" s="150" t="s">
        <v>1229</v>
      </c>
      <c r="K1436" s="153">
        <v>5000</v>
      </c>
      <c r="L1436" s="122"/>
      <c r="M1436" s="123">
        <f>SIP[[#This Row],[Amount]]/SIP[[#This Row],[Unit]]</f>
        <v>13.513513513513514</v>
      </c>
      <c r="N1436" s="71">
        <f>SIP[[#This Row],[Unit Capital]]/10</f>
        <v>370</v>
      </c>
      <c r="O1436" s="71">
        <f>SUMIFS(SIP[[#Headers],[Unit]]:SIP[[#This Row],[Unit]],SIP[[#Headers],[Investor ID]]:SIP[[#This Row],[Investor ID]],SIP[[#This Row],[Investor ID]])</f>
        <v>750</v>
      </c>
      <c r="P1436" s="153">
        <v>3700</v>
      </c>
      <c r="Q1436" s="74">
        <f>SIP[[#This Row],[Amount]]-SIP[[#This Row],[Unit Capital]]</f>
        <v>1300</v>
      </c>
      <c r="R14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13.333333333333334</v>
      </c>
      <c r="S1436" s="46">
        <f t="shared" si="67"/>
        <v>14.224</v>
      </c>
      <c r="T14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6" s="74" cm="1">
        <f t="array" ref="U1436">IF(SIP[[#This Row],[B/S]]="S",ABS(SIP[[#This Row],[Unit]])*(INDEX(SIP[NAV at Cost (Average)],MATCH(CONCATENATE((SIP[[#This Row],[Frequency]]-1),SIP[[#This Row],[Investor ID]]),SIP[Unique Code],0),0)),0)</f>
        <v>0</v>
      </c>
      <c r="V1436" s="74">
        <f>IF(SIP[[#This Row],[BO TRANSFER]]="YES",SIP[[#This Row],[Unit]],)</f>
        <v>0</v>
      </c>
      <c r="W1436" s="74">
        <f>SUMIFS(SIP[[#Headers],[BO UNIT TRANSFER]]:SIP[[#This Row],[BO UNIT TRANSFER]],SIP[[#Headers],[Investor ID]]:SIP[[#This Row],[Investor ID]],SIP[[#This Row],[Investor ID]])</f>
        <v>0</v>
      </c>
    </row>
    <row r="1437" spans="1:23" ht="15" customHeight="1">
      <c r="A1437" s="101">
        <v>2025</v>
      </c>
      <c r="B1437" s="101">
        <v>9</v>
      </c>
      <c r="C1437" s="101">
        <v>28</v>
      </c>
      <c r="D1437" s="65">
        <f>DATE(SIP[[#This Row],[Year]],SIP[[#This Row],[Month]],SIP[[#This Row],[Day]])</f>
        <v>45928</v>
      </c>
      <c r="E1437" s="66" t="str" cm="1">
        <f t="array" ref="E1437">INDEX(INVESTORS_LIST[INVESTOR NAME],MATCH(SIP[[#This Row],[Investor ID]],INVESTORS_LIST[INVESTOR CODE],0),)</f>
        <v>MAYA RANI SAHA</v>
      </c>
      <c r="F1437" s="46" t="s">
        <v>224</v>
      </c>
      <c r="G1437" s="46">
        <f>COUNTIF(SIP[[#Headers],[Investor ID]]:SIP[[#This Row],[Investor ID]],SIP[[#This Row],[Investor ID]])</f>
        <v>67</v>
      </c>
      <c r="H1437" s="46" t="str">
        <f>CONCATENATE(SIP[[#This Row],[Frequency]],SIP[[#This Row],[Investor ID]])</f>
        <v>67A00088</v>
      </c>
      <c r="I1437" s="46" t="str">
        <f>IF(SIP[[#This Row],[B/S]]="B","BUY",(IF(SIP[[#This Row],[B/S]]="S","SELL"," ")))</f>
        <v>BUY</v>
      </c>
      <c r="J1437" s="150" t="s">
        <v>1229</v>
      </c>
      <c r="K1437" s="153">
        <v>10000</v>
      </c>
      <c r="L1437" s="122"/>
      <c r="M1437" s="123">
        <f>SIP[[#This Row],[Amount]]/SIP[[#This Row],[Unit]]</f>
        <v>13.513513513513514</v>
      </c>
      <c r="N1437" s="71">
        <f>SIP[[#This Row],[Unit Capital]]/10</f>
        <v>740</v>
      </c>
      <c r="O1437" s="71">
        <f>SUMIFS(SIP[[#Headers],[Unit]]:SIP[[#This Row],[Unit]],SIP[[#Headers],[Investor ID]]:SIP[[#This Row],[Investor ID]],SIP[[#This Row],[Investor ID]])</f>
        <v>79672</v>
      </c>
      <c r="P1437" s="153">
        <v>7400</v>
      </c>
      <c r="Q1437" s="74">
        <f>SIP[[#This Row],[Amount]]-SIP[[#This Row],[Unit Capital]]</f>
        <v>2600</v>
      </c>
      <c r="R14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11.798373330655687</v>
      </c>
      <c r="S1437" s="46">
        <f t="shared" si="67"/>
        <v>14.224</v>
      </c>
      <c r="T14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7" s="74" cm="1">
        <f t="array" ref="U1437">IF(SIP[[#This Row],[B/S]]="S",ABS(SIP[[#This Row],[Unit]])*(INDEX(SIP[NAV at Cost (Average)],MATCH(CONCATENATE((SIP[[#This Row],[Frequency]]-1),SIP[[#This Row],[Investor ID]]),SIP[Unique Code],0),0)),0)</f>
        <v>0</v>
      </c>
      <c r="V1437" s="74">
        <f>IF(SIP[[#This Row],[BO TRANSFER]]="YES",SIP[[#This Row],[Unit]],)</f>
        <v>0</v>
      </c>
      <c r="W1437" s="74">
        <f>SUMIFS(SIP[[#Headers],[BO UNIT TRANSFER]]:SIP[[#This Row],[BO UNIT TRANSFER]],SIP[[#Headers],[Investor ID]]:SIP[[#This Row],[Investor ID]],SIP[[#This Row],[Investor ID]])</f>
        <v>0</v>
      </c>
    </row>
    <row r="1438" spans="1:23" ht="15" customHeight="1">
      <c r="A1438" s="101">
        <v>2025</v>
      </c>
      <c r="B1438" s="101">
        <v>9</v>
      </c>
      <c r="C1438" s="101">
        <v>28</v>
      </c>
      <c r="D1438" s="65">
        <f>DATE(SIP[[#This Row],[Year]],SIP[[#This Row],[Month]],SIP[[#This Row],[Day]])</f>
        <v>45928</v>
      </c>
      <c r="E1438" s="66" t="str" cm="1">
        <f t="array" ref="E1438">INDEX(INVESTORS_LIST[INVESTOR NAME],MATCH(SIP[[#This Row],[Investor ID]],INVESTORS_LIST[INVESTOR CODE],0),)</f>
        <v>MOHAMMAD SAMIUL ALAM</v>
      </c>
      <c r="F1438" s="46" t="s">
        <v>537</v>
      </c>
      <c r="G1438" s="46">
        <f>COUNTIF(SIP[[#Headers],[Investor ID]]:SIP[[#This Row],[Investor ID]],SIP[[#This Row],[Investor ID]])</f>
        <v>26</v>
      </c>
      <c r="H1438" s="46" t="str">
        <f>CONCATENATE(SIP[[#This Row],[Frequency]],SIP[[#This Row],[Investor ID]])</f>
        <v>26A00244</v>
      </c>
      <c r="I1438" s="46" t="str">
        <f>IF(SIP[[#This Row],[B/S]]="B","BUY",(IF(SIP[[#This Row],[B/S]]="S","SELL"," ")))</f>
        <v>BUY</v>
      </c>
      <c r="J1438" s="150" t="s">
        <v>1229</v>
      </c>
      <c r="K1438" s="153">
        <v>35000</v>
      </c>
      <c r="L1438" s="122" t="s">
        <v>1230</v>
      </c>
      <c r="M1438" s="123">
        <f>SIP[[#This Row],[Amount]]/SIP[[#This Row],[Unit]]</f>
        <v>13.508297954457738</v>
      </c>
      <c r="N1438" s="71">
        <f>SIP[[#This Row],[Unit Capital]]/10</f>
        <v>2591</v>
      </c>
      <c r="O1438" s="71">
        <f>SUMIFS(SIP[[#Headers],[Unit]]:SIP[[#This Row],[Unit]],SIP[[#Headers],[Investor ID]]:SIP[[#This Row],[Investor ID]],SIP[[#This Row],[Investor ID]])</f>
        <v>48542</v>
      </c>
      <c r="P1438" s="153">
        <v>25910</v>
      </c>
      <c r="Q1438" s="74">
        <f>SIP[[#This Row],[Amount]]-SIP[[#This Row],[Unit Capital]]</f>
        <v>9090</v>
      </c>
      <c r="R14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11.639405051295789</v>
      </c>
      <c r="S1438" s="46">
        <f t="shared" si="67"/>
        <v>14.224</v>
      </c>
      <c r="T14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8" s="74" cm="1">
        <f t="array" ref="U1438">IF(SIP[[#This Row],[B/S]]="S",ABS(SIP[[#This Row],[Unit]])*(INDEX(SIP[NAV at Cost (Average)],MATCH(CONCATENATE((SIP[[#This Row],[Frequency]]-1),SIP[[#This Row],[Investor ID]]),SIP[Unique Code],0),0)),0)</f>
        <v>0</v>
      </c>
      <c r="V1438" s="74">
        <f>IF(SIP[[#This Row],[BO TRANSFER]]="YES",SIP[[#This Row],[Unit]],)</f>
        <v>2591</v>
      </c>
      <c r="W1438" s="74">
        <f>SUMIFS(SIP[[#Headers],[BO UNIT TRANSFER]]:SIP[[#This Row],[BO UNIT TRANSFER]],SIP[[#Headers],[Investor ID]]:SIP[[#This Row],[Investor ID]],SIP[[#This Row],[Investor ID]])</f>
        <v>7982</v>
      </c>
    </row>
    <row r="1439" spans="1:23" ht="15" customHeight="1">
      <c r="A1439" s="101">
        <v>2025</v>
      </c>
      <c r="B1439" s="101">
        <v>9</v>
      </c>
      <c r="C1439" s="101">
        <v>28</v>
      </c>
      <c r="D1439" s="65">
        <f>DATE(SIP[[#This Row],[Year]],SIP[[#This Row],[Month]],SIP[[#This Row],[Day]])</f>
        <v>45928</v>
      </c>
      <c r="E1439" s="66" t="str" cm="1">
        <f t="array" ref="E1439">INDEX(INVESTORS_LIST[INVESTOR NAME],MATCH(SIP[[#This Row],[Investor ID]],INVESTORS_LIST[INVESTOR CODE],0),)</f>
        <v>MD ABDULLAH-AL- MAMUN</v>
      </c>
      <c r="F1439" s="46" t="s">
        <v>533</v>
      </c>
      <c r="G1439" s="46">
        <f>COUNTIF(SIP[[#Headers],[Investor ID]]:SIP[[#This Row],[Investor ID]],SIP[[#This Row],[Investor ID]])</f>
        <v>29</v>
      </c>
      <c r="H1439" s="46" t="str">
        <f>CONCATENATE(SIP[[#This Row],[Frequency]],SIP[[#This Row],[Investor ID]])</f>
        <v>29A00242</v>
      </c>
      <c r="I1439" s="46" t="str">
        <f>IF(SIP[[#This Row],[B/S]]="B","BUY",(IF(SIP[[#This Row],[B/S]]="S","SELL"," ")))</f>
        <v>BUY</v>
      </c>
      <c r="J1439" s="150" t="s">
        <v>1229</v>
      </c>
      <c r="K1439" s="153">
        <v>10000</v>
      </c>
      <c r="L1439" s="122"/>
      <c r="M1439" s="123">
        <f>SIP[[#This Row],[Amount]]/SIP[[#This Row],[Unit]]</f>
        <v>13.513513513513514</v>
      </c>
      <c r="N1439" s="71">
        <f>SIP[[#This Row],[Unit Capital]]/10</f>
        <v>740</v>
      </c>
      <c r="O1439" s="71">
        <f>SUMIFS(SIP[[#Headers],[Unit]]:SIP[[#This Row],[Unit]],SIP[[#Headers],[Investor ID]]:SIP[[#This Row],[Investor ID]],SIP[[#This Row],[Investor ID]])</f>
        <v>3821</v>
      </c>
      <c r="P1439" s="153">
        <v>7400</v>
      </c>
      <c r="Q1439" s="74">
        <f>SIP[[#This Row],[Amount]]-SIP[[#This Row],[Unit Capital]]</f>
        <v>2600</v>
      </c>
      <c r="R14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12.550541314155694</v>
      </c>
      <c r="S1439" s="46">
        <f t="shared" si="67"/>
        <v>14.224</v>
      </c>
      <c r="T14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9" s="74" cm="1">
        <f t="array" ref="U1439">IF(SIP[[#This Row],[B/S]]="S",ABS(SIP[[#This Row],[Unit]])*(INDEX(SIP[NAV at Cost (Average)],MATCH(CONCATENATE((SIP[[#This Row],[Frequency]]-1),SIP[[#This Row],[Investor ID]]),SIP[Unique Code],0),0)),0)</f>
        <v>0</v>
      </c>
      <c r="V1439" s="74">
        <f>IF(SIP[[#This Row],[BO TRANSFER]]="YES",SIP[[#This Row],[Unit]],)</f>
        <v>0</v>
      </c>
      <c r="W1439" s="74">
        <f>SUMIFS(SIP[[#Headers],[BO UNIT TRANSFER]]:SIP[[#This Row],[BO UNIT TRANSFER]],SIP[[#Headers],[Investor ID]]:SIP[[#This Row],[Investor ID]],SIP[[#This Row],[Investor ID]])</f>
        <v>0</v>
      </c>
    </row>
    <row r="1440" spans="1:23" ht="15" customHeight="1">
      <c r="A1440" s="101">
        <v>2025</v>
      </c>
      <c r="B1440" s="101">
        <v>9</v>
      </c>
      <c r="C1440" s="101">
        <v>28</v>
      </c>
      <c r="D1440" s="65">
        <f>DATE(SIP[[#This Row],[Year]],SIP[[#This Row],[Month]],SIP[[#This Row],[Day]])</f>
        <v>45928</v>
      </c>
      <c r="E1440" s="66" t="str" cm="1">
        <f t="array" ref="E1440">INDEX(INVESTORS_LIST[INVESTOR NAME],MATCH(SIP[[#This Row],[Investor ID]],INVESTORS_LIST[INVESTOR CODE],0),)</f>
        <v>TANVIR HASAN</v>
      </c>
      <c r="F1440" s="46" t="s">
        <v>561</v>
      </c>
      <c r="G1440" s="46">
        <f>COUNTIF(SIP[[#Headers],[Investor ID]]:SIP[[#This Row],[Investor ID]],SIP[[#This Row],[Investor ID]])</f>
        <v>6</v>
      </c>
      <c r="H1440" s="46" t="str">
        <f>CONCATENATE(SIP[[#This Row],[Frequency]],SIP[[#This Row],[Investor ID]])</f>
        <v>6A00256</v>
      </c>
      <c r="I1440" s="46" t="str">
        <f>IF(SIP[[#This Row],[B/S]]="B","BUY",(IF(SIP[[#This Row],[B/S]]="S","SELL"," ")))</f>
        <v>BUY</v>
      </c>
      <c r="J1440" s="150" t="s">
        <v>1229</v>
      </c>
      <c r="K1440" s="153">
        <v>10000</v>
      </c>
      <c r="L1440" s="122"/>
      <c r="M1440" s="123">
        <f>SIP[[#This Row],[Amount]]/SIP[[#This Row],[Unit]]</f>
        <v>13.513513513513514</v>
      </c>
      <c r="N1440" s="71">
        <f>SIP[[#This Row],[Unit Capital]]/10</f>
        <v>740</v>
      </c>
      <c r="O1440" s="71">
        <f>SUMIFS(SIP[[#Headers],[Unit]]:SIP[[#This Row],[Unit]],SIP[[#Headers],[Investor ID]]:SIP[[#This Row],[Investor ID]],SIP[[#This Row],[Investor ID]])</f>
        <v>4691</v>
      </c>
      <c r="P1440" s="153">
        <v>7400</v>
      </c>
      <c r="Q1440" s="74">
        <f>SIP[[#This Row],[Amount]]-SIP[[#This Row],[Unit Capital]]</f>
        <v>2600</v>
      </c>
      <c r="R14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12.790449797484545</v>
      </c>
      <c r="S1440" s="46">
        <f t="shared" si="67"/>
        <v>14.224</v>
      </c>
      <c r="T14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0" s="74" cm="1">
        <f t="array" ref="U1440">IF(SIP[[#This Row],[B/S]]="S",ABS(SIP[[#This Row],[Unit]])*(INDEX(SIP[NAV at Cost (Average)],MATCH(CONCATENATE((SIP[[#This Row],[Frequency]]-1),SIP[[#This Row],[Investor ID]]),SIP[Unique Code],0),0)),0)</f>
        <v>0</v>
      </c>
      <c r="V1440" s="74">
        <f>IF(SIP[[#This Row],[BO TRANSFER]]="YES",SIP[[#This Row],[Unit]],)</f>
        <v>0</v>
      </c>
      <c r="W1440" s="74">
        <f>SUMIFS(SIP[[#Headers],[BO UNIT TRANSFER]]:SIP[[#This Row],[BO UNIT TRANSFER]],SIP[[#Headers],[Investor ID]]:SIP[[#This Row],[Investor ID]],SIP[[#This Row],[Investor ID]])</f>
        <v>0</v>
      </c>
    </row>
    <row r="1441" spans="1:23" ht="15" customHeight="1">
      <c r="A1441" s="101">
        <v>2025</v>
      </c>
      <c r="B1441" s="101">
        <v>9</v>
      </c>
      <c r="C1441" s="101">
        <v>28</v>
      </c>
      <c r="D1441" s="65">
        <f>DATE(SIP[[#This Row],[Year]],SIP[[#This Row],[Month]],SIP[[#This Row],[Day]])</f>
        <v>45928</v>
      </c>
      <c r="E1441" s="66" t="str" cm="1">
        <f t="array" ref="E1441">INDEX(INVESTORS_LIST[INVESTOR NAME],MATCH(SIP[[#This Row],[Investor ID]],INVESTORS_LIST[INVESTOR CODE],0),)</f>
        <v>JUBAIDA FARHANA HAQUE</v>
      </c>
      <c r="F1441" s="46" t="s">
        <v>1065</v>
      </c>
      <c r="G1441" s="46">
        <f>COUNTIF(SIP[[#Headers],[Investor ID]]:SIP[[#This Row],[Investor ID]],SIP[[#This Row],[Investor ID]])</f>
        <v>26</v>
      </c>
      <c r="H1441" s="46" t="str">
        <f>CONCATENATE(SIP[[#This Row],[Frequency]],SIP[[#This Row],[Investor ID]])</f>
        <v>26A00510</v>
      </c>
      <c r="I1441" s="46" t="str">
        <f>IF(SIP[[#This Row],[B/S]]="B","BUY",(IF(SIP[[#This Row],[B/S]]="S","SELL"," ")))</f>
        <v>BUY</v>
      </c>
      <c r="J1441" s="150" t="s">
        <v>1229</v>
      </c>
      <c r="K1441" s="153">
        <v>5000</v>
      </c>
      <c r="L1441" s="122"/>
      <c r="M1441" s="123">
        <f>SIP[[#This Row],[Amount]]/SIP[[#This Row],[Unit]]</f>
        <v>13.513513513513514</v>
      </c>
      <c r="N1441" s="71">
        <f>SIP[[#This Row],[Unit Capital]]/10</f>
        <v>370</v>
      </c>
      <c r="O1441" s="71">
        <f>SUMIFS(SIP[[#Headers],[Unit]]:SIP[[#This Row],[Unit]],SIP[[#Headers],[Investor ID]]:SIP[[#This Row],[Investor ID]],SIP[[#This Row],[Investor ID]])</f>
        <v>10325</v>
      </c>
      <c r="P1441" s="153">
        <v>3700</v>
      </c>
      <c r="Q1441" s="74">
        <f>SIP[[#This Row],[Amount]]-SIP[[#This Row],[Unit Capital]]</f>
        <v>1300</v>
      </c>
      <c r="R14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11.623803667860773</v>
      </c>
      <c r="S1441" s="46">
        <f t="shared" si="67"/>
        <v>14.224</v>
      </c>
      <c r="T14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1" s="74" cm="1">
        <f t="array" ref="U1441">IF(SIP[[#This Row],[B/S]]="S",ABS(SIP[[#This Row],[Unit]])*(INDEX(SIP[NAV at Cost (Average)],MATCH(CONCATENATE((SIP[[#This Row],[Frequency]]-1),SIP[[#This Row],[Investor ID]]),SIP[Unique Code],0),0)),0)</f>
        <v>0</v>
      </c>
      <c r="V1441" s="74">
        <f>IF(SIP[[#This Row],[BO TRANSFER]]="YES",SIP[[#This Row],[Unit]],)</f>
        <v>0</v>
      </c>
      <c r="W1441" s="74">
        <f>SUMIFS(SIP[[#Headers],[BO UNIT TRANSFER]]:SIP[[#This Row],[BO UNIT TRANSFER]],SIP[[#Headers],[Investor ID]]:SIP[[#This Row],[Investor ID]],SIP[[#This Row],[Investor ID]])</f>
        <v>0</v>
      </c>
    </row>
    <row r="1442" spans="1:23" ht="15" customHeight="1">
      <c r="A1442" s="101">
        <v>2025</v>
      </c>
      <c r="B1442" s="101">
        <v>9</v>
      </c>
      <c r="C1442" s="101">
        <v>28</v>
      </c>
      <c r="D1442" s="65">
        <f>DATE(SIP[[#This Row],[Year]],SIP[[#This Row],[Month]],SIP[[#This Row],[Day]])</f>
        <v>45928</v>
      </c>
      <c r="E1442" s="66" t="str" cm="1">
        <f t="array" ref="E1442">INDEX(INVESTORS_LIST[INVESTOR NAME],MATCH(SIP[[#This Row],[Investor ID]],INVESTORS_LIST[INVESTOR CODE],0),)</f>
        <v>SADIA PARVIN</v>
      </c>
      <c r="F1442" s="46" t="s">
        <v>1018</v>
      </c>
      <c r="G1442" s="46">
        <f>COUNTIF(SIP[[#Headers],[Investor ID]]:SIP[[#This Row],[Investor ID]],SIP[[#This Row],[Investor ID]])</f>
        <v>44</v>
      </c>
      <c r="H1442" s="46" t="str">
        <f>CONCATENATE(SIP[[#This Row],[Frequency]],SIP[[#This Row],[Investor ID]])</f>
        <v>44A00486</v>
      </c>
      <c r="I1442" s="46" t="str">
        <f>IF(SIP[[#This Row],[B/S]]="B","BUY",(IF(SIP[[#This Row],[B/S]]="S","SELL"," ")))</f>
        <v>BUY</v>
      </c>
      <c r="J1442" s="150" t="s">
        <v>1229</v>
      </c>
      <c r="K1442" s="153">
        <v>5000</v>
      </c>
      <c r="L1442" s="122"/>
      <c r="M1442" s="123">
        <f>SIP[[#This Row],[Amount]]/SIP[[#This Row],[Unit]]</f>
        <v>13.513513513513514</v>
      </c>
      <c r="N1442" s="71">
        <f>SIP[[#This Row],[Unit Capital]]/10</f>
        <v>370</v>
      </c>
      <c r="O1442" s="71">
        <f>SUMIFS(SIP[[#Headers],[Unit]]:SIP[[#This Row],[Unit]],SIP[[#Headers],[Investor ID]]:SIP[[#This Row],[Investor ID]],SIP[[#This Row],[Investor ID]])</f>
        <v>18982</v>
      </c>
      <c r="P1442" s="153">
        <v>3700</v>
      </c>
      <c r="Q1442" s="74">
        <f>SIP[[#This Row],[Amount]]-SIP[[#This Row],[Unit Capital]]</f>
        <v>1300</v>
      </c>
      <c r="R14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11.58992729954694</v>
      </c>
      <c r="S1442" s="46">
        <f t="shared" si="67"/>
        <v>14.224</v>
      </c>
      <c r="T14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2" s="74" cm="1">
        <f t="array" ref="U1442">IF(SIP[[#This Row],[B/S]]="S",ABS(SIP[[#This Row],[Unit]])*(INDEX(SIP[NAV at Cost (Average)],MATCH(CONCATENATE((SIP[[#This Row],[Frequency]]-1),SIP[[#This Row],[Investor ID]]),SIP[Unique Code],0),0)),0)</f>
        <v>0</v>
      </c>
      <c r="V1442" s="74">
        <f>IF(SIP[[#This Row],[BO TRANSFER]]="YES",SIP[[#This Row],[Unit]],)</f>
        <v>0</v>
      </c>
      <c r="W1442" s="74">
        <f>SUMIFS(SIP[[#Headers],[BO UNIT TRANSFER]]:SIP[[#This Row],[BO UNIT TRANSFER]],SIP[[#Headers],[Investor ID]]:SIP[[#This Row],[Investor ID]],SIP[[#This Row],[Investor ID]])</f>
        <v>0</v>
      </c>
    </row>
    <row r="1443" spans="1:23" ht="15" customHeight="1">
      <c r="A1443" s="101">
        <v>2025</v>
      </c>
      <c r="B1443" s="101">
        <v>9</v>
      </c>
      <c r="C1443" s="101">
        <v>28</v>
      </c>
      <c r="D1443" s="65">
        <f>DATE(SIP[[#This Row],[Year]],SIP[[#This Row],[Month]],SIP[[#This Row],[Day]])</f>
        <v>45928</v>
      </c>
      <c r="E1443" s="66" t="str" cm="1">
        <f t="array" ref="E1443">INDEX(INVESTORS_LIST[INVESTOR NAME],MATCH(SIP[[#This Row],[Investor ID]],INVESTORS_LIST[INVESTOR CODE],0),)</f>
        <v>ASHIK IQBAL CHOWDHURY</v>
      </c>
      <c r="F1443" s="46" t="s">
        <v>1016</v>
      </c>
      <c r="G1443" s="46">
        <f>COUNTIF(SIP[[#Headers],[Investor ID]]:SIP[[#This Row],[Investor ID]],SIP[[#This Row],[Investor ID]])</f>
        <v>20</v>
      </c>
      <c r="H1443" s="46" t="str">
        <f>CONCATENATE(SIP[[#This Row],[Frequency]],SIP[[#This Row],[Investor ID]])</f>
        <v>20A00485</v>
      </c>
      <c r="I1443" s="46" t="str">
        <f>IF(SIP[[#This Row],[B/S]]="B","BUY",(IF(SIP[[#This Row],[B/S]]="S","SELL"," ")))</f>
        <v>BUY</v>
      </c>
      <c r="J1443" s="150" t="s">
        <v>1229</v>
      </c>
      <c r="K1443" s="153">
        <v>5000</v>
      </c>
      <c r="L1443" s="122"/>
      <c r="M1443" s="123">
        <f>SIP[[#This Row],[Amount]]/SIP[[#This Row],[Unit]]</f>
        <v>13.513513513513514</v>
      </c>
      <c r="N1443" s="71">
        <f>SIP[[#This Row],[Unit Capital]]/10</f>
        <v>370</v>
      </c>
      <c r="O1443" s="71">
        <f>SUMIFS(SIP[[#Headers],[Unit]]:SIP[[#This Row],[Unit]],SIP[[#Headers],[Investor ID]]:SIP[[#This Row],[Investor ID]],SIP[[#This Row],[Investor ID]])</f>
        <v>7267</v>
      </c>
      <c r="P1443" s="153">
        <v>3700</v>
      </c>
      <c r="Q1443" s="74">
        <f>SIP[[#This Row],[Amount]]-SIP[[#This Row],[Unit Capital]]</f>
        <v>1300</v>
      </c>
      <c r="R14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11.160920830917165</v>
      </c>
      <c r="S1443" s="46">
        <f t="shared" si="67"/>
        <v>14.224</v>
      </c>
      <c r="T14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3" s="74" cm="1">
        <f t="array" ref="U1443">IF(SIP[[#This Row],[B/S]]="S",ABS(SIP[[#This Row],[Unit]])*(INDEX(SIP[NAV at Cost (Average)],MATCH(CONCATENATE((SIP[[#This Row],[Frequency]]-1),SIP[[#This Row],[Investor ID]]),SIP[Unique Code],0),0)),0)</f>
        <v>0</v>
      </c>
      <c r="V1443" s="74">
        <f>IF(SIP[[#This Row],[BO TRANSFER]]="YES",SIP[[#This Row],[Unit]],)</f>
        <v>0</v>
      </c>
      <c r="W1443" s="74">
        <f>SUMIFS(SIP[[#Headers],[BO UNIT TRANSFER]]:SIP[[#This Row],[BO UNIT TRANSFER]],SIP[[#Headers],[Investor ID]]:SIP[[#This Row],[Investor ID]],SIP[[#This Row],[Investor ID]])</f>
        <v>0</v>
      </c>
    </row>
    <row r="1444" spans="1:23" ht="15" customHeight="1">
      <c r="A1444" s="101">
        <v>2025</v>
      </c>
      <c r="B1444" s="101">
        <v>9</v>
      </c>
      <c r="C1444" s="101">
        <v>28</v>
      </c>
      <c r="D1444" s="65">
        <f>DATE(SIP[[#This Row],[Year]],SIP[[#This Row],[Month]],SIP[[#This Row],[Day]])</f>
        <v>45928</v>
      </c>
      <c r="E1444" s="66" t="str" cm="1">
        <f t="array" ref="E1444">INDEX(INVESTORS_LIST[INVESTOR NAME],MATCH(SIP[[#This Row],[Investor ID]],INVESTORS_LIST[INVESTOR CODE],0),)</f>
        <v>SUMAN SAHA</v>
      </c>
      <c r="F1444" s="46" t="s">
        <v>1022</v>
      </c>
      <c r="G1444" s="46">
        <f>COUNTIF(SIP[[#Headers],[Investor ID]]:SIP[[#This Row],[Investor ID]],SIP[[#This Row],[Investor ID]])</f>
        <v>28</v>
      </c>
      <c r="H1444" s="46" t="str">
        <f>CONCATENATE(SIP[[#This Row],[Frequency]],SIP[[#This Row],[Investor ID]])</f>
        <v>28A00488</v>
      </c>
      <c r="I1444" s="46" t="str">
        <f>IF(SIP[[#This Row],[B/S]]="B","BUY",(IF(SIP[[#This Row],[B/S]]="S","SELL"," ")))</f>
        <v>BUY</v>
      </c>
      <c r="J1444" s="150" t="s">
        <v>1229</v>
      </c>
      <c r="K1444" s="153">
        <v>5000</v>
      </c>
      <c r="L1444" s="122"/>
      <c r="M1444" s="123">
        <f>SIP[[#This Row],[Amount]]/SIP[[#This Row],[Unit]]</f>
        <v>13.513513513513514</v>
      </c>
      <c r="N1444" s="71">
        <f>SIP[[#This Row],[Unit Capital]]/10</f>
        <v>370</v>
      </c>
      <c r="O1444" s="71">
        <f>SUMIFS(SIP[[#Headers],[Unit]]:SIP[[#This Row],[Unit]],SIP[[#Headers],[Investor ID]]:SIP[[#This Row],[Investor ID]],SIP[[#This Row],[Investor ID]])</f>
        <v>12249</v>
      </c>
      <c r="P1444" s="153">
        <v>3700</v>
      </c>
      <c r="Q1444" s="74">
        <f>SIP[[#This Row],[Amount]]-SIP[[#This Row],[Unit Capital]]</f>
        <v>1300</v>
      </c>
      <c r="R14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11.429504449342806</v>
      </c>
      <c r="S1444" s="46">
        <f t="shared" si="67"/>
        <v>14.224</v>
      </c>
      <c r="T14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4" s="74" cm="1">
        <f t="array" ref="U1444">IF(SIP[[#This Row],[B/S]]="S",ABS(SIP[[#This Row],[Unit]])*(INDEX(SIP[NAV at Cost (Average)],MATCH(CONCATENATE((SIP[[#This Row],[Frequency]]-1),SIP[[#This Row],[Investor ID]]),SIP[Unique Code],0),0)),0)</f>
        <v>0</v>
      </c>
      <c r="V1444" s="74">
        <f>IF(SIP[[#This Row],[BO TRANSFER]]="YES",SIP[[#This Row],[Unit]],)</f>
        <v>0</v>
      </c>
      <c r="W1444" s="74">
        <f>SUMIFS(SIP[[#Headers],[BO UNIT TRANSFER]]:SIP[[#This Row],[BO UNIT TRANSFER]],SIP[[#Headers],[Investor ID]]:SIP[[#This Row],[Investor ID]],SIP[[#This Row],[Investor ID]])</f>
        <v>0</v>
      </c>
    </row>
    <row r="1445" spans="1:23" ht="15" customHeight="1">
      <c r="A1445" s="101">
        <v>2025</v>
      </c>
      <c r="B1445" s="101">
        <v>9</v>
      </c>
      <c r="C1445" s="101">
        <v>28</v>
      </c>
      <c r="D1445" s="65">
        <f>DATE(SIP[[#This Row],[Year]],SIP[[#This Row],[Month]],SIP[[#This Row],[Day]])</f>
        <v>45928</v>
      </c>
      <c r="E1445" s="66" t="str" cm="1">
        <f t="array" ref="E1445">INDEX(INVESTORS_LIST[INVESTOR NAME],MATCH(SIP[[#This Row],[Investor ID]],INVESTORS_LIST[INVESTOR CODE],0),)</f>
        <v>SADIA PARVIN</v>
      </c>
      <c r="F1445" s="46" t="s">
        <v>1018</v>
      </c>
      <c r="G1445" s="46">
        <f>COUNTIF(SIP[[#Headers],[Investor ID]]:SIP[[#This Row],[Investor ID]],SIP[[#This Row],[Investor ID]])</f>
        <v>45</v>
      </c>
      <c r="H1445" s="46" t="str">
        <f>CONCATENATE(SIP[[#This Row],[Frequency]],SIP[[#This Row],[Investor ID]])</f>
        <v>45A00486</v>
      </c>
      <c r="I1445" s="46" t="str">
        <f>IF(SIP[[#This Row],[B/S]]="B","BUY",(IF(SIP[[#This Row],[B/S]]="S","SELL"," ")))</f>
        <v>BUY</v>
      </c>
      <c r="J1445" s="150" t="s">
        <v>1229</v>
      </c>
      <c r="K1445" s="153">
        <v>5000</v>
      </c>
      <c r="L1445" s="122"/>
      <c r="M1445" s="123">
        <f>SIP[[#This Row],[Amount]]/SIP[[#This Row],[Unit]]</f>
        <v>13.513513513513514</v>
      </c>
      <c r="N1445" s="71">
        <f>SIP[[#This Row],[Unit Capital]]/10</f>
        <v>370</v>
      </c>
      <c r="O1445" s="71">
        <f>SUMIFS(SIP[[#Headers],[Unit]]:SIP[[#This Row],[Unit]],SIP[[#Headers],[Investor ID]]:SIP[[#This Row],[Investor ID]],SIP[[#This Row],[Investor ID]])</f>
        <v>19352</v>
      </c>
      <c r="P1445" s="153">
        <v>3700</v>
      </c>
      <c r="Q1445" s="74">
        <f>SIP[[#This Row],[Amount]]-SIP[[#This Row],[Unit Capital]]</f>
        <v>1300</v>
      </c>
      <c r="R14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11.626705250103349</v>
      </c>
      <c r="S1445" s="46">
        <f t="shared" si="67"/>
        <v>14.224</v>
      </c>
      <c r="T14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5" s="74" cm="1">
        <f t="array" ref="U1445">IF(SIP[[#This Row],[B/S]]="S",ABS(SIP[[#This Row],[Unit]])*(INDEX(SIP[NAV at Cost (Average)],MATCH(CONCATENATE((SIP[[#This Row],[Frequency]]-1),SIP[[#This Row],[Investor ID]]),SIP[Unique Code],0),0)),0)</f>
        <v>0</v>
      </c>
      <c r="V1445" s="74">
        <f>IF(SIP[[#This Row],[BO TRANSFER]]="YES",SIP[[#This Row],[Unit]],)</f>
        <v>0</v>
      </c>
      <c r="W1445" s="74">
        <f>SUMIFS(SIP[[#Headers],[BO UNIT TRANSFER]]:SIP[[#This Row],[BO UNIT TRANSFER]],SIP[[#Headers],[Investor ID]]:SIP[[#This Row],[Investor ID]],SIP[[#This Row],[Investor ID]])</f>
        <v>0</v>
      </c>
    </row>
    <row r="1446" spans="1:23" ht="15" customHeight="1">
      <c r="A1446" s="101">
        <v>2025</v>
      </c>
      <c r="B1446" s="101">
        <v>9</v>
      </c>
      <c r="C1446" s="101">
        <v>28</v>
      </c>
      <c r="D1446" s="65">
        <f>DATE(SIP[[#This Row],[Year]],SIP[[#This Row],[Month]],SIP[[#This Row],[Day]])</f>
        <v>45928</v>
      </c>
      <c r="E1446" s="66" t="str" cm="1">
        <f t="array" ref="E1446">INDEX(INVESTORS_LIST[INVESTOR NAME],MATCH(SIP[[#This Row],[Investor ID]],INVESTORS_LIST[INVESTOR CODE],0),)</f>
        <v>MAYA RANI SAHA</v>
      </c>
      <c r="F1446" s="46" t="s">
        <v>224</v>
      </c>
      <c r="G1446" s="46">
        <f>COUNTIF(SIP[[#Headers],[Investor ID]]:SIP[[#This Row],[Investor ID]],SIP[[#This Row],[Investor ID]])</f>
        <v>68</v>
      </c>
      <c r="H1446" s="46" t="str">
        <f>CONCATENATE(SIP[[#This Row],[Frequency]],SIP[[#This Row],[Investor ID]])</f>
        <v>68A00088</v>
      </c>
      <c r="I1446" s="46" t="str">
        <f>IF(SIP[[#This Row],[B/S]]="B","BUY",(IF(SIP[[#This Row],[B/S]]="S","SELL"," ")))</f>
        <v>BUY</v>
      </c>
      <c r="J1446" s="150" t="s">
        <v>1229</v>
      </c>
      <c r="K1446" s="153">
        <v>6000</v>
      </c>
      <c r="L1446" s="122"/>
      <c r="M1446" s="123">
        <f>SIP[[#This Row],[Amount]]/SIP[[#This Row],[Unit]]</f>
        <v>13.513513513513514</v>
      </c>
      <c r="N1446" s="71">
        <f>SIP[[#This Row],[Unit Capital]]/10</f>
        <v>444</v>
      </c>
      <c r="O1446" s="71">
        <f>SUMIFS(SIP[[#Headers],[Unit]]:SIP[[#This Row],[Unit]],SIP[[#Headers],[Investor ID]]:SIP[[#This Row],[Investor ID]],SIP[[#This Row],[Investor ID]])</f>
        <v>80116</v>
      </c>
      <c r="P1446" s="153">
        <v>4440</v>
      </c>
      <c r="Q1446" s="74">
        <f>SIP[[#This Row],[Amount]]-SIP[[#This Row],[Unit Capital]]</f>
        <v>1560</v>
      </c>
      <c r="R14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11.807878576064706</v>
      </c>
      <c r="S1446" s="46">
        <f t="shared" si="67"/>
        <v>14.224</v>
      </c>
      <c r="T14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6" s="74" cm="1">
        <f t="array" ref="U1446">IF(SIP[[#This Row],[B/S]]="S",ABS(SIP[[#This Row],[Unit]])*(INDEX(SIP[NAV at Cost (Average)],MATCH(CONCATENATE((SIP[[#This Row],[Frequency]]-1),SIP[[#This Row],[Investor ID]]),SIP[Unique Code],0),0)),0)</f>
        <v>0</v>
      </c>
      <c r="V1446" s="74">
        <f>IF(SIP[[#This Row],[BO TRANSFER]]="YES",SIP[[#This Row],[Unit]],)</f>
        <v>0</v>
      </c>
      <c r="W1446" s="74">
        <f>SUMIFS(SIP[[#Headers],[BO UNIT TRANSFER]]:SIP[[#This Row],[BO UNIT TRANSFER]],SIP[[#Headers],[Investor ID]]:SIP[[#This Row],[Investor ID]],SIP[[#This Row],[Investor ID]])</f>
        <v>0</v>
      </c>
    </row>
    <row r="1447" spans="1:23" ht="15" customHeight="1">
      <c r="A1447" s="101">
        <v>2025</v>
      </c>
      <c r="B1447" s="101">
        <v>9</v>
      </c>
      <c r="C1447" s="101">
        <v>28</v>
      </c>
      <c r="D1447" s="65">
        <f>DATE(SIP[[#This Row],[Year]],SIP[[#This Row],[Month]],SIP[[#This Row],[Day]])</f>
        <v>45928</v>
      </c>
      <c r="E1447" s="66" t="str" cm="1">
        <f t="array" ref="E1447">INDEX(INVESTORS_LIST[INVESTOR NAME],MATCH(SIP[[#This Row],[Investor ID]],INVESTORS_LIST[INVESTOR CODE],0),)</f>
        <v>SYED ADNAN HUDA</v>
      </c>
      <c r="F1447" s="46" t="s">
        <v>236</v>
      </c>
      <c r="G1447" s="46">
        <f>COUNTIF(SIP[[#Headers],[Investor ID]]:SIP[[#This Row],[Investor ID]],SIP[[#This Row],[Investor ID]])</f>
        <v>16</v>
      </c>
      <c r="H1447" s="46" t="str">
        <f>CONCATENATE(SIP[[#This Row],[Frequency]],SIP[[#This Row],[Investor ID]])</f>
        <v>16A00094</v>
      </c>
      <c r="I1447" s="46" t="str">
        <f>IF(SIP[[#This Row],[B/S]]="B","BUY",(IF(SIP[[#This Row],[B/S]]="S","SELL"," ")))</f>
        <v>BUY</v>
      </c>
      <c r="J1447" s="150" t="s">
        <v>1229</v>
      </c>
      <c r="K1447" s="153">
        <v>50000</v>
      </c>
      <c r="L1447" s="122"/>
      <c r="M1447" s="123">
        <f>SIP[[#This Row],[Amount]]/SIP[[#This Row],[Unit]]</f>
        <v>13.509862199405566</v>
      </c>
      <c r="N1447" s="71">
        <f>SIP[[#This Row],[Unit Capital]]/10</f>
        <v>3701</v>
      </c>
      <c r="O1447" s="71">
        <f>SUMIFS(SIP[[#Headers],[Unit]]:SIP[[#This Row],[Unit]],SIP[[#Headers],[Investor ID]]:SIP[[#This Row],[Investor ID]],SIP[[#This Row],[Investor ID]])</f>
        <v>3701</v>
      </c>
      <c r="P1447" s="153">
        <v>37010</v>
      </c>
      <c r="Q1447" s="74">
        <f>SIP[[#This Row],[Amount]]-SIP[[#This Row],[Unit Capital]]</f>
        <v>12990</v>
      </c>
      <c r="R14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13.509862199405566</v>
      </c>
      <c r="S1447" s="46">
        <f t="shared" si="67"/>
        <v>14.224</v>
      </c>
      <c r="T14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7" s="74" cm="1">
        <f t="array" ref="U1447">IF(SIP[[#This Row],[B/S]]="S",ABS(SIP[[#This Row],[Unit]])*(INDEX(SIP[NAV at Cost (Average)],MATCH(CONCATENATE((SIP[[#This Row],[Frequency]]-1),SIP[[#This Row],[Investor ID]]),SIP[Unique Code],0),0)),0)</f>
        <v>0</v>
      </c>
      <c r="V1447" s="74">
        <f>IF(SIP[[#This Row],[BO TRANSFER]]="YES",SIP[[#This Row],[Unit]],)</f>
        <v>0</v>
      </c>
      <c r="W1447" s="74">
        <f>SUMIFS(SIP[[#Headers],[BO UNIT TRANSFER]]:SIP[[#This Row],[BO UNIT TRANSFER]],SIP[[#Headers],[Investor ID]]:SIP[[#This Row],[Investor ID]],SIP[[#This Row],[Investor ID]])</f>
        <v>0</v>
      </c>
    </row>
    <row r="1448" spans="1:23" ht="15" customHeight="1">
      <c r="A1448" s="101">
        <v>2025</v>
      </c>
      <c r="B1448" s="101">
        <v>9</v>
      </c>
      <c r="C1448" s="101">
        <v>28</v>
      </c>
      <c r="D1448" s="65">
        <f>DATE(SIP[[#This Row],[Year]],SIP[[#This Row],[Month]],SIP[[#This Row],[Day]])</f>
        <v>45928</v>
      </c>
      <c r="E1448" s="66" t="str" cm="1">
        <f t="array" ref="E1448">INDEX(INVESTORS_LIST[INVESTOR NAME],MATCH(SIP[[#This Row],[Investor ID]],INVESTORS_LIST[INVESTOR CODE],0),)</f>
        <v>HUMAIRA TABASSUM READDHE</v>
      </c>
      <c r="F1448" s="46" t="s">
        <v>1052</v>
      </c>
      <c r="G1448" s="46">
        <f>COUNTIF(SIP[[#Headers],[Investor ID]]:SIP[[#This Row],[Investor ID]],SIP[[#This Row],[Investor ID]])</f>
        <v>14</v>
      </c>
      <c r="H1448" s="46" t="str">
        <f>CONCATENATE(SIP[[#This Row],[Frequency]],SIP[[#This Row],[Investor ID]])</f>
        <v>14A00503</v>
      </c>
      <c r="I1448" s="46" t="str">
        <f>IF(SIP[[#This Row],[B/S]]="B","BUY",(IF(SIP[[#This Row],[B/S]]="S","SELL"," ")))</f>
        <v>BUY</v>
      </c>
      <c r="J1448" s="150" t="s">
        <v>1229</v>
      </c>
      <c r="K1448" s="153">
        <v>3000</v>
      </c>
      <c r="L1448" s="122"/>
      <c r="M1448" s="123">
        <f>SIP[[#This Row],[Amount]]/SIP[[#This Row],[Unit]]</f>
        <v>13.513513513513514</v>
      </c>
      <c r="N1448" s="71">
        <f>SIP[[#This Row],[Unit Capital]]/10</f>
        <v>222</v>
      </c>
      <c r="O1448" s="71">
        <f>SUMIFS(SIP[[#Headers],[Unit]]:SIP[[#This Row],[Unit]],SIP[[#Headers],[Investor ID]]:SIP[[#This Row],[Investor ID]],SIP[[#This Row],[Investor ID]])</f>
        <v>3433</v>
      </c>
      <c r="P1448" s="153">
        <v>2220</v>
      </c>
      <c r="Q1448" s="74">
        <f>SIP[[#This Row],[Amount]]-SIP[[#This Row],[Unit Capital]]</f>
        <v>780</v>
      </c>
      <c r="R14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12.234197494902418</v>
      </c>
      <c r="S1448" s="46">
        <f t="shared" si="67"/>
        <v>14.224</v>
      </c>
      <c r="T14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8" s="74" cm="1">
        <f t="array" ref="U1448">IF(SIP[[#This Row],[B/S]]="S",ABS(SIP[[#This Row],[Unit]])*(INDEX(SIP[NAV at Cost (Average)],MATCH(CONCATENATE((SIP[[#This Row],[Frequency]]-1),SIP[[#This Row],[Investor ID]]),SIP[Unique Code],0),0)),0)</f>
        <v>0</v>
      </c>
      <c r="V1448" s="74">
        <f>IF(SIP[[#This Row],[BO TRANSFER]]="YES",SIP[[#This Row],[Unit]],)</f>
        <v>0</v>
      </c>
      <c r="W1448" s="74">
        <f>SUMIFS(SIP[[#Headers],[BO UNIT TRANSFER]]:SIP[[#This Row],[BO UNIT TRANSFER]],SIP[[#Headers],[Investor ID]]:SIP[[#This Row],[Investor ID]],SIP[[#This Row],[Investor ID]])</f>
        <v>0</v>
      </c>
    </row>
    <row r="1449" spans="1:23" ht="15" customHeight="1">
      <c r="A1449" s="101">
        <v>2025</v>
      </c>
      <c r="B1449" s="101">
        <v>9</v>
      </c>
      <c r="C1449" s="101">
        <v>28</v>
      </c>
      <c r="D1449" s="65">
        <f>DATE(SIP[[#This Row],[Year]],SIP[[#This Row],[Month]],SIP[[#This Row],[Day]])</f>
        <v>45928</v>
      </c>
      <c r="E1449" s="66" t="str" cm="1">
        <f t="array" ref="E1449">INDEX(INVESTORS_LIST[INVESTOR NAME],MATCH(SIP[[#This Row],[Investor ID]],INVESTORS_LIST[INVESTOR CODE],0),)</f>
        <v>BALARAM CHANDRA SAHA</v>
      </c>
      <c r="F1449" s="46" t="s">
        <v>505</v>
      </c>
      <c r="G1449" s="46">
        <f>COUNTIF(SIP[[#Headers],[Investor ID]]:SIP[[#This Row],[Investor ID]],SIP[[#This Row],[Investor ID]])</f>
        <v>6</v>
      </c>
      <c r="H1449" s="46" t="str">
        <f>CONCATENATE(SIP[[#This Row],[Frequency]],SIP[[#This Row],[Investor ID]])</f>
        <v>6A00228</v>
      </c>
      <c r="I1449" s="46" t="str">
        <f>IF(SIP[[#This Row],[B/S]]="B","BUY",(IF(SIP[[#This Row],[B/S]]="S","SELL"," ")))</f>
        <v>BUY</v>
      </c>
      <c r="J1449" s="150" t="s">
        <v>1229</v>
      </c>
      <c r="K1449" s="153">
        <v>25000</v>
      </c>
      <c r="L1449" s="122"/>
      <c r="M1449" s="123">
        <f>SIP[[#This Row],[Amount]]/SIP[[#This Row],[Unit]]</f>
        <v>13.50621285791464</v>
      </c>
      <c r="N1449" s="71">
        <f>SIP[[#This Row],[Unit Capital]]/10</f>
        <v>1851</v>
      </c>
      <c r="O1449" s="71">
        <f>SUMIFS(SIP[[#Headers],[Unit]]:SIP[[#This Row],[Unit]],SIP[[#Headers],[Investor ID]]:SIP[[#This Row],[Investor ID]],SIP[[#This Row],[Investor ID]])</f>
        <v>13732</v>
      </c>
      <c r="P1449" s="153">
        <v>18510</v>
      </c>
      <c r="Q1449" s="74">
        <f>SIP[[#This Row],[Amount]]-SIP[[#This Row],[Unit Capital]]</f>
        <v>6490</v>
      </c>
      <c r="R14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12.743955723856686</v>
      </c>
      <c r="S1449" s="46">
        <f t="shared" si="67"/>
        <v>14.224</v>
      </c>
      <c r="T14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9" s="74" cm="1">
        <f t="array" ref="U1449">IF(SIP[[#This Row],[B/S]]="S",ABS(SIP[[#This Row],[Unit]])*(INDEX(SIP[NAV at Cost (Average)],MATCH(CONCATENATE((SIP[[#This Row],[Frequency]]-1),SIP[[#This Row],[Investor ID]]),SIP[Unique Code],0),0)),0)</f>
        <v>0</v>
      </c>
      <c r="V1449" s="74">
        <f>IF(SIP[[#This Row],[BO TRANSFER]]="YES",SIP[[#This Row],[Unit]],)</f>
        <v>0</v>
      </c>
      <c r="W1449" s="74">
        <f>SUMIFS(SIP[[#Headers],[BO UNIT TRANSFER]]:SIP[[#This Row],[BO UNIT TRANSFER]],SIP[[#Headers],[Investor ID]]:SIP[[#This Row],[Investor ID]],SIP[[#This Row],[Investor ID]])</f>
        <v>0</v>
      </c>
    </row>
    <row r="1450" spans="1:23" ht="15" customHeight="1">
      <c r="A1450" s="101">
        <v>2025</v>
      </c>
      <c r="B1450" s="101">
        <v>10</v>
      </c>
      <c r="C1450" s="101">
        <v>5</v>
      </c>
      <c r="D1450" s="65">
        <f>DATE(SIP[[#This Row],[Year]],SIP[[#This Row],[Month]],SIP[[#This Row],[Day]])</f>
        <v>45935</v>
      </c>
      <c r="E1450" s="66" t="str" cm="1">
        <f t="array" ref="E1450">INDEX(INVESTORS_LIST[INVESTOR NAME],MATCH(SIP[[#This Row],[Investor ID]],INVESTORS_LIST[INVESTOR CODE],0),)</f>
        <v>NANI GOPAL DATTA</v>
      </c>
      <c r="F1450" s="46" t="s">
        <v>232</v>
      </c>
      <c r="G1450" s="46">
        <f>COUNTIF(SIP[[#Headers],[Investor ID]]:SIP[[#This Row],[Investor ID]],SIP[[#This Row],[Investor ID]])</f>
        <v>21</v>
      </c>
      <c r="H1450" s="46" t="str">
        <f>CONCATENATE(SIP[[#This Row],[Frequency]],SIP[[#This Row],[Investor ID]])</f>
        <v>21A00092</v>
      </c>
      <c r="I1450" s="46" t="str">
        <f>IF(SIP[[#This Row],[B/S]]="B","BUY",(IF(SIP[[#This Row],[B/S]]="S","SELL"," ")))</f>
        <v>BUY</v>
      </c>
      <c r="J1450" s="150" t="s">
        <v>1229</v>
      </c>
      <c r="K1450" s="153">
        <v>2000</v>
      </c>
      <c r="L1450" s="122"/>
      <c r="M1450" s="123">
        <f>SIP[[#This Row],[Amount]]/SIP[[#This Row],[Unit]]</f>
        <v>13.513513513513514</v>
      </c>
      <c r="N1450" s="71">
        <f>SIP[[#This Row],[Unit Capital]]/10</f>
        <v>148</v>
      </c>
      <c r="O1450" s="71">
        <f>SUMIFS(SIP[[#Headers],[Unit]]:SIP[[#This Row],[Unit]],SIP[[#Headers],[Investor ID]]:SIP[[#This Row],[Investor ID]],SIP[[#This Row],[Investor ID]])</f>
        <v>3249</v>
      </c>
      <c r="P1450" s="153">
        <v>1480</v>
      </c>
      <c r="Q1450" s="74">
        <f>SIP[[#This Row],[Amount]]-SIP[[#This Row],[Unit Capital]]</f>
        <v>520</v>
      </c>
      <c r="R14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11.722816772542037</v>
      </c>
      <c r="S1450" s="46">
        <f t="shared" ref="S1450:S1467" si="68">NAV_MKT</f>
        <v>14.224</v>
      </c>
      <c r="T14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0" s="74" cm="1">
        <f t="array" ref="U1450">IF(SIP[[#This Row],[B/S]]="S",ABS(SIP[[#This Row],[Unit]])*(INDEX(SIP[NAV at Cost (Average)],MATCH(CONCATENATE((SIP[[#This Row],[Frequency]]-1),SIP[[#This Row],[Investor ID]]),SIP[Unique Code],0),0)),0)</f>
        <v>0</v>
      </c>
      <c r="V1450" s="74">
        <f>IF(SIP[[#This Row],[BO TRANSFER]]="YES",SIP[[#This Row],[Unit]],)</f>
        <v>0</v>
      </c>
      <c r="W1450" s="74">
        <f>SUMIFS(SIP[[#Headers],[BO UNIT TRANSFER]]:SIP[[#This Row],[BO UNIT TRANSFER]],SIP[[#Headers],[Investor ID]]:SIP[[#This Row],[Investor ID]],SIP[[#This Row],[Investor ID]])</f>
        <v>0</v>
      </c>
    </row>
    <row r="1451" spans="1:23" ht="15" customHeight="1">
      <c r="A1451" s="101">
        <v>2025</v>
      </c>
      <c r="B1451" s="101">
        <v>10</v>
      </c>
      <c r="C1451" s="101">
        <v>5</v>
      </c>
      <c r="D1451" s="65">
        <f>DATE(SIP[[#This Row],[Year]],SIP[[#This Row],[Month]],SIP[[#This Row],[Day]])</f>
        <v>45935</v>
      </c>
      <c r="E1451" s="66" t="str" cm="1">
        <f t="array" ref="E1451">INDEX(INVESTORS_LIST[INVESTOR NAME],MATCH(SIP[[#This Row],[Investor ID]],INVESTORS_LIST[INVESTOR CODE],0),)</f>
        <v>SABRIA ISLAM TALUKDER</v>
      </c>
      <c r="F1451" s="46" t="s">
        <v>409</v>
      </c>
      <c r="G1451" s="46">
        <f>COUNTIF(SIP[[#Headers],[Investor ID]]:SIP[[#This Row],[Investor ID]],SIP[[#This Row],[Investor ID]])</f>
        <v>26</v>
      </c>
      <c r="H1451" s="46" t="str">
        <f>CONCATENATE(SIP[[#This Row],[Frequency]],SIP[[#This Row],[Investor ID]])</f>
        <v>26A00180</v>
      </c>
      <c r="I1451" s="46" t="str">
        <f>IF(SIP[[#This Row],[B/S]]="B","BUY",(IF(SIP[[#This Row],[B/S]]="S","SELL"," ")))</f>
        <v>BUY</v>
      </c>
      <c r="J1451" s="150" t="s">
        <v>1229</v>
      </c>
      <c r="K1451" s="153">
        <v>5000</v>
      </c>
      <c r="L1451" s="122"/>
      <c r="M1451" s="123">
        <f>SIP[[#This Row],[Amount]]/SIP[[#This Row],[Unit]]</f>
        <v>13.550135501355014</v>
      </c>
      <c r="N1451" s="71">
        <f>SIP[[#This Row],[Unit Capital]]/10</f>
        <v>369</v>
      </c>
      <c r="O1451" s="71">
        <f>SUMIFS(SIP[[#Headers],[Unit]]:SIP[[#This Row],[Unit]],SIP[[#Headers],[Investor ID]]:SIP[[#This Row],[Investor ID]],SIP[[#This Row],[Investor ID]])</f>
        <v>11247</v>
      </c>
      <c r="P1451" s="153">
        <v>3690</v>
      </c>
      <c r="Q1451" s="74">
        <f>SIP[[#This Row],[Amount]]-SIP[[#This Row],[Unit Capital]]</f>
        <v>1310</v>
      </c>
      <c r="R14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11.558637858984619</v>
      </c>
      <c r="S1451" s="46">
        <f t="shared" si="68"/>
        <v>14.224</v>
      </c>
      <c r="T14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1" s="74" cm="1">
        <f t="array" ref="U1451">IF(SIP[[#This Row],[B/S]]="S",ABS(SIP[[#This Row],[Unit]])*(INDEX(SIP[NAV at Cost (Average)],MATCH(CONCATENATE((SIP[[#This Row],[Frequency]]-1),SIP[[#This Row],[Investor ID]]),SIP[Unique Code],0),0)),0)</f>
        <v>0</v>
      </c>
      <c r="V1451" s="74">
        <f>IF(SIP[[#This Row],[BO TRANSFER]]="YES",SIP[[#This Row],[Unit]],)</f>
        <v>0</v>
      </c>
      <c r="W1451" s="74">
        <f>SUMIFS(SIP[[#Headers],[BO UNIT TRANSFER]]:SIP[[#This Row],[BO UNIT TRANSFER]],SIP[[#Headers],[Investor ID]]:SIP[[#This Row],[Investor ID]],SIP[[#This Row],[Investor ID]])</f>
        <v>0</v>
      </c>
    </row>
    <row r="1452" spans="1:23" ht="15" customHeight="1">
      <c r="A1452" s="101">
        <v>2025</v>
      </c>
      <c r="B1452" s="101">
        <v>10</v>
      </c>
      <c r="C1452" s="101">
        <v>5</v>
      </c>
      <c r="D1452" s="65">
        <f>DATE(SIP[[#This Row],[Year]],SIP[[#This Row],[Month]],SIP[[#This Row],[Day]])</f>
        <v>45935</v>
      </c>
      <c r="E1452" s="66" t="str" cm="1">
        <f t="array" ref="E1452">INDEX(INVESTORS_LIST[INVESTOR NAME],MATCH(SIP[[#This Row],[Investor ID]],INVESTORS_LIST[INVESTOR CODE],0),)</f>
        <v>NANDINI SAHA</v>
      </c>
      <c r="F1452" s="46" t="s">
        <v>242</v>
      </c>
      <c r="G1452" s="46">
        <f>COUNTIF(SIP[[#Headers],[Investor ID]]:SIP[[#This Row],[Investor ID]],SIP[[#This Row],[Investor ID]])</f>
        <v>31</v>
      </c>
      <c r="H1452" s="46" t="str">
        <f>CONCATENATE(SIP[[#This Row],[Frequency]],SIP[[#This Row],[Investor ID]])</f>
        <v>31A00097</v>
      </c>
      <c r="I1452" s="46" t="str">
        <f>IF(SIP[[#This Row],[B/S]]="B","BUY",(IF(SIP[[#This Row],[B/S]]="S","SELL"," ")))</f>
        <v>BUY</v>
      </c>
      <c r="J1452" s="150" t="s">
        <v>1229</v>
      </c>
      <c r="K1452" s="153">
        <v>5000</v>
      </c>
      <c r="L1452" s="122"/>
      <c r="M1452" s="123">
        <f>SIP[[#This Row],[Amount]]/SIP[[#This Row],[Unit]]</f>
        <v>13.550135501355014</v>
      </c>
      <c r="N1452" s="71">
        <f>SIP[[#This Row],[Unit Capital]]/10</f>
        <v>369</v>
      </c>
      <c r="O1452" s="71">
        <f>SUMIFS(SIP[[#Headers],[Unit]]:SIP[[#This Row],[Unit]],SIP[[#Headers],[Investor ID]]:SIP[[#This Row],[Investor ID]],SIP[[#This Row],[Investor ID]])</f>
        <v>73388</v>
      </c>
      <c r="P1452" s="153">
        <v>3690</v>
      </c>
      <c r="Q1452" s="74">
        <f>SIP[[#This Row],[Amount]]-SIP[[#This Row],[Unit Capital]]</f>
        <v>1310</v>
      </c>
      <c r="R14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11.309750912955792</v>
      </c>
      <c r="S1452" s="46">
        <f t="shared" si="68"/>
        <v>14.224</v>
      </c>
      <c r="T14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2" s="74" cm="1">
        <f t="array" ref="U1452">IF(SIP[[#This Row],[B/S]]="S",ABS(SIP[[#This Row],[Unit]])*(INDEX(SIP[NAV at Cost (Average)],MATCH(CONCATENATE((SIP[[#This Row],[Frequency]]-1),SIP[[#This Row],[Investor ID]]),SIP[Unique Code],0),0)),0)</f>
        <v>0</v>
      </c>
      <c r="V1452" s="74">
        <f>IF(SIP[[#This Row],[BO TRANSFER]]="YES",SIP[[#This Row],[Unit]],)</f>
        <v>0</v>
      </c>
      <c r="W1452" s="74">
        <f>SUMIFS(SIP[[#Headers],[BO UNIT TRANSFER]]:SIP[[#This Row],[BO UNIT TRANSFER]],SIP[[#Headers],[Investor ID]]:SIP[[#This Row],[Investor ID]],SIP[[#This Row],[Investor ID]])</f>
        <v>0</v>
      </c>
    </row>
    <row r="1453" spans="1:23" ht="15" customHeight="1">
      <c r="A1453" s="101">
        <v>2025</v>
      </c>
      <c r="B1453" s="101">
        <v>10</v>
      </c>
      <c r="C1453" s="101">
        <v>5</v>
      </c>
      <c r="D1453" s="65">
        <f>DATE(SIP[[#This Row],[Year]],SIP[[#This Row],[Month]],SIP[[#This Row],[Day]])</f>
        <v>45935</v>
      </c>
      <c r="E1453" s="66" t="str" cm="1">
        <f t="array" ref="E1453">INDEX(INVESTORS_LIST[INVESTOR NAME],MATCH(SIP[[#This Row],[Investor ID]],INVESTORS_LIST[INVESTOR CODE],0),)</f>
        <v>CHAONIKA SAHA</v>
      </c>
      <c r="F1453" s="46" t="s">
        <v>238</v>
      </c>
      <c r="G1453" s="46">
        <f>COUNTIF(SIP[[#Headers],[Investor ID]]:SIP[[#This Row],[Investor ID]],SIP[[#This Row],[Investor ID]])</f>
        <v>26</v>
      </c>
      <c r="H1453" s="46" t="str">
        <f>CONCATENATE(SIP[[#This Row],[Frequency]],SIP[[#This Row],[Investor ID]])</f>
        <v>26A00095</v>
      </c>
      <c r="I1453" s="46" t="str">
        <f>IF(SIP[[#This Row],[B/S]]="B","BUY",(IF(SIP[[#This Row],[B/S]]="S","SELL"," ")))</f>
        <v>BUY</v>
      </c>
      <c r="J1453" s="150" t="s">
        <v>1229</v>
      </c>
      <c r="K1453" s="153">
        <v>1000</v>
      </c>
      <c r="L1453" s="122"/>
      <c r="M1453" s="123">
        <f>SIP[[#This Row],[Amount]]/SIP[[#This Row],[Unit]]</f>
        <v>13.513513513513514</v>
      </c>
      <c r="N1453" s="71">
        <f>SIP[[#This Row],[Unit Capital]]/10</f>
        <v>74</v>
      </c>
      <c r="O1453" s="71">
        <f>SUMIFS(SIP[[#Headers],[Unit]]:SIP[[#This Row],[Unit]],SIP[[#Headers],[Investor ID]]:SIP[[#This Row],[Investor ID]],SIP[[#This Row],[Investor ID]])</f>
        <v>2252</v>
      </c>
      <c r="P1453" s="153">
        <v>740</v>
      </c>
      <c r="Q1453" s="74">
        <f>SIP[[#This Row],[Amount]]-SIP[[#This Row],[Unit Capital]]</f>
        <v>260</v>
      </c>
      <c r="R14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11.545293072824157</v>
      </c>
      <c r="S1453" s="46">
        <f t="shared" si="68"/>
        <v>14.224</v>
      </c>
      <c r="T14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3" s="74" cm="1">
        <f t="array" ref="U1453">IF(SIP[[#This Row],[B/S]]="S",ABS(SIP[[#This Row],[Unit]])*(INDEX(SIP[NAV at Cost (Average)],MATCH(CONCATENATE((SIP[[#This Row],[Frequency]]-1),SIP[[#This Row],[Investor ID]]),SIP[Unique Code],0),0)),0)</f>
        <v>0</v>
      </c>
      <c r="V1453" s="74">
        <f>IF(SIP[[#This Row],[BO TRANSFER]]="YES",SIP[[#This Row],[Unit]],)</f>
        <v>0</v>
      </c>
      <c r="W1453" s="74">
        <f>SUMIFS(SIP[[#Headers],[BO UNIT TRANSFER]]:SIP[[#This Row],[BO UNIT TRANSFER]],SIP[[#Headers],[Investor ID]]:SIP[[#This Row],[Investor ID]],SIP[[#This Row],[Investor ID]])</f>
        <v>0</v>
      </c>
    </row>
    <row r="1454" spans="1:23" ht="15" customHeight="1">
      <c r="A1454" s="101">
        <v>2025</v>
      </c>
      <c r="B1454" s="101">
        <v>10</v>
      </c>
      <c r="C1454" s="101">
        <v>5</v>
      </c>
      <c r="D1454" s="65">
        <f>DATE(SIP[[#This Row],[Year]],SIP[[#This Row],[Month]],SIP[[#This Row],[Day]])</f>
        <v>45935</v>
      </c>
      <c r="E1454" s="66" t="str" cm="1">
        <f t="array" ref="E1454">INDEX(INVESTORS_LIST[INVESTOR NAME],MATCH(SIP[[#This Row],[Investor ID]],INVESTORS_LIST[INVESTOR CODE],0),)</f>
        <v>KAZI AHSAN MARUF</v>
      </c>
      <c r="F1454" s="46" t="s">
        <v>158</v>
      </c>
      <c r="G1454" s="46">
        <f>COUNTIF(SIP[[#Headers],[Investor ID]]:SIP[[#This Row],[Investor ID]],SIP[[#This Row],[Investor ID]])</f>
        <v>34</v>
      </c>
      <c r="H1454" s="46" t="str">
        <f>CONCATENATE(SIP[[#This Row],[Frequency]],SIP[[#This Row],[Investor ID]])</f>
        <v>34A00055</v>
      </c>
      <c r="I1454" s="46" t="str">
        <f>IF(SIP[[#This Row],[B/S]]="B","BUY",(IF(SIP[[#This Row],[B/S]]="S","SELL"," ")))</f>
        <v>BUY</v>
      </c>
      <c r="J1454" s="150" t="s">
        <v>1229</v>
      </c>
      <c r="K1454" s="153">
        <v>10000</v>
      </c>
      <c r="L1454" s="122"/>
      <c r="M1454" s="123">
        <f>SIP[[#This Row],[Amount]]/SIP[[#This Row],[Unit]]</f>
        <v>13.531799729364005</v>
      </c>
      <c r="N1454" s="71">
        <f>SIP[[#This Row],[Unit Capital]]/10</f>
        <v>739</v>
      </c>
      <c r="O1454" s="71">
        <f>SUMIFS(SIP[[#Headers],[Unit]]:SIP[[#This Row],[Unit]],SIP[[#Headers],[Investor ID]]:SIP[[#This Row],[Investor ID]],SIP[[#This Row],[Investor ID]])</f>
        <v>3006</v>
      </c>
      <c r="P1454" s="153">
        <v>7390</v>
      </c>
      <c r="Q1454" s="74">
        <f>SIP[[#This Row],[Amount]]-SIP[[#This Row],[Unit Capital]]</f>
        <v>2610</v>
      </c>
      <c r="R14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13.306719893546241</v>
      </c>
      <c r="S1454" s="46">
        <f t="shared" si="68"/>
        <v>14.224</v>
      </c>
      <c r="T14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4" s="74" cm="1">
        <f t="array" ref="U1454">IF(SIP[[#This Row],[B/S]]="S",ABS(SIP[[#This Row],[Unit]])*(INDEX(SIP[NAV at Cost (Average)],MATCH(CONCATENATE((SIP[[#This Row],[Frequency]]-1),SIP[[#This Row],[Investor ID]]),SIP[Unique Code],0),0)),0)</f>
        <v>0</v>
      </c>
      <c r="V1454" s="74">
        <f>IF(SIP[[#This Row],[BO TRANSFER]]="YES",SIP[[#This Row],[Unit]],)</f>
        <v>0</v>
      </c>
      <c r="W1454" s="74">
        <f>SUMIFS(SIP[[#Headers],[BO UNIT TRANSFER]]:SIP[[#This Row],[BO UNIT TRANSFER]],SIP[[#Headers],[Investor ID]]:SIP[[#This Row],[Investor ID]],SIP[[#This Row],[Investor ID]])</f>
        <v>0</v>
      </c>
    </row>
    <row r="1455" spans="1:23" ht="15" customHeight="1">
      <c r="A1455" s="101">
        <v>2025</v>
      </c>
      <c r="B1455" s="101">
        <v>10</v>
      </c>
      <c r="C1455" s="101">
        <v>5</v>
      </c>
      <c r="D1455" s="65">
        <f>DATE(SIP[[#This Row],[Year]],SIP[[#This Row],[Month]],SIP[[#This Row],[Day]])</f>
        <v>45935</v>
      </c>
      <c r="E1455" s="66" t="str" cm="1">
        <f t="array" ref="E1455">INDEX(INVESTORS_LIST[INVESTOR NAME],MATCH(SIP[[#This Row],[Investor ID]],INVESTORS_LIST[INVESTOR CODE],0),)</f>
        <v>KAZI AHSAN MARUF</v>
      </c>
      <c r="F1455" s="46" t="s">
        <v>158</v>
      </c>
      <c r="G1455" s="46">
        <f>COUNTIF(SIP[[#Headers],[Investor ID]]:SIP[[#This Row],[Investor ID]],SIP[[#This Row],[Investor ID]])</f>
        <v>35</v>
      </c>
      <c r="H1455" s="46" t="str">
        <f>CONCATENATE(SIP[[#This Row],[Frequency]],SIP[[#This Row],[Investor ID]])</f>
        <v>35A00055</v>
      </c>
      <c r="I1455" s="46" t="str">
        <f>IF(SIP[[#This Row],[B/S]]="B","BUY",(IF(SIP[[#This Row],[B/S]]="S","SELL"," ")))</f>
        <v>BUY</v>
      </c>
      <c r="J1455" s="150" t="s">
        <v>1229</v>
      </c>
      <c r="K1455" s="153">
        <v>20000</v>
      </c>
      <c r="L1455" s="122"/>
      <c r="M1455" s="123">
        <f>SIP[[#This Row],[Amount]]/SIP[[#This Row],[Unit]]</f>
        <v>13.540961408259987</v>
      </c>
      <c r="N1455" s="71">
        <f>SIP[[#This Row],[Unit Capital]]/10</f>
        <v>1477</v>
      </c>
      <c r="O1455" s="71">
        <f>SUMIFS(SIP[[#Headers],[Unit]]:SIP[[#This Row],[Unit]],SIP[[#Headers],[Investor ID]]:SIP[[#This Row],[Investor ID]],SIP[[#This Row],[Investor ID]])</f>
        <v>4483</v>
      </c>
      <c r="P1455" s="153">
        <v>14770</v>
      </c>
      <c r="Q1455" s="74">
        <f>SIP[[#This Row],[Amount]]-SIP[[#This Row],[Unit Capital]]</f>
        <v>5230</v>
      </c>
      <c r="R14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13.383894713361588</v>
      </c>
      <c r="S1455" s="46">
        <f t="shared" si="68"/>
        <v>14.224</v>
      </c>
      <c r="T14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5" s="74" cm="1">
        <f t="array" ref="U1455">IF(SIP[[#This Row],[B/S]]="S",ABS(SIP[[#This Row],[Unit]])*(INDEX(SIP[NAV at Cost (Average)],MATCH(CONCATENATE((SIP[[#This Row],[Frequency]]-1),SIP[[#This Row],[Investor ID]]),SIP[Unique Code],0),0)),0)</f>
        <v>0</v>
      </c>
      <c r="V1455" s="74">
        <f>IF(SIP[[#This Row],[BO TRANSFER]]="YES",SIP[[#This Row],[Unit]],)</f>
        <v>0</v>
      </c>
      <c r="W1455" s="74">
        <f>SUMIFS(SIP[[#Headers],[BO UNIT TRANSFER]]:SIP[[#This Row],[BO UNIT TRANSFER]],SIP[[#Headers],[Investor ID]]:SIP[[#This Row],[Investor ID]],SIP[[#This Row],[Investor ID]])</f>
        <v>0</v>
      </c>
    </row>
    <row r="1456" spans="1:23" ht="15" customHeight="1">
      <c r="A1456" s="101">
        <v>2025</v>
      </c>
      <c r="B1456" s="101">
        <v>10</v>
      </c>
      <c r="C1456" s="101">
        <v>5</v>
      </c>
      <c r="D1456" s="65">
        <f>DATE(SIP[[#This Row],[Year]],SIP[[#This Row],[Month]],SIP[[#This Row],[Day]])</f>
        <v>45935</v>
      </c>
      <c r="E1456" s="66" t="str" cm="1">
        <f t="array" ref="E1456">INDEX(INVESTORS_LIST[INVESTOR NAME],MATCH(SIP[[#This Row],[Investor ID]],INVESTORS_LIST[INVESTOR CODE],0),)</f>
        <v>MAYMUNA AKTAR</v>
      </c>
      <c r="F1456" s="46" t="s">
        <v>1440</v>
      </c>
      <c r="G1456" s="46">
        <f>COUNTIF(SIP[[#Headers],[Investor ID]]:SIP[[#This Row],[Investor ID]],SIP[[#This Row],[Investor ID]])</f>
        <v>1</v>
      </c>
      <c r="H1456" s="46" t="str">
        <f>CONCATENATE(SIP[[#This Row],[Frequency]],SIP[[#This Row],[Investor ID]])</f>
        <v>1A00663</v>
      </c>
      <c r="I1456" s="46" t="str">
        <f>IF(SIP[[#This Row],[B/S]]="B","BUY",(IF(SIP[[#This Row],[B/S]]="S","SELL"," ")))</f>
        <v>BUY</v>
      </c>
      <c r="J1456" s="150" t="s">
        <v>1229</v>
      </c>
      <c r="K1456" s="153">
        <v>5000</v>
      </c>
      <c r="L1456" s="122"/>
      <c r="M1456" s="123">
        <f>SIP[[#This Row],[Amount]]/SIP[[#This Row],[Unit]]</f>
        <v>13.550135501355014</v>
      </c>
      <c r="N1456" s="71">
        <f>SIP[[#This Row],[Unit Capital]]/10</f>
        <v>369</v>
      </c>
      <c r="O1456" s="71">
        <f>SUMIFS(SIP[[#Headers],[Unit]]:SIP[[#This Row],[Unit]],SIP[[#Headers],[Investor ID]]:SIP[[#This Row],[Investor ID]],SIP[[#This Row],[Investor ID]])</f>
        <v>369</v>
      </c>
      <c r="P1456" s="153">
        <v>3690</v>
      </c>
      <c r="Q1456" s="74">
        <f>SIP[[#This Row],[Amount]]-SIP[[#This Row],[Unit Capital]]</f>
        <v>1310</v>
      </c>
      <c r="R14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13.550135501355014</v>
      </c>
      <c r="S1456" s="46">
        <f t="shared" si="68"/>
        <v>14.224</v>
      </c>
      <c r="T14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6" s="74" cm="1">
        <f t="array" ref="U1456">IF(SIP[[#This Row],[B/S]]="S",ABS(SIP[[#This Row],[Unit]])*(INDEX(SIP[NAV at Cost (Average)],MATCH(CONCATENATE((SIP[[#This Row],[Frequency]]-1),SIP[[#This Row],[Investor ID]]),SIP[Unique Code],0),0)),0)</f>
        <v>0</v>
      </c>
      <c r="V1456" s="74">
        <f>IF(SIP[[#This Row],[BO TRANSFER]]="YES",SIP[[#This Row],[Unit]],)</f>
        <v>0</v>
      </c>
      <c r="W1456" s="74">
        <f>SUMIFS(SIP[[#Headers],[BO UNIT TRANSFER]]:SIP[[#This Row],[BO UNIT TRANSFER]],SIP[[#Headers],[Investor ID]]:SIP[[#This Row],[Investor ID]],SIP[[#This Row],[Investor ID]])</f>
        <v>0</v>
      </c>
    </row>
    <row r="1457" spans="1:23" ht="15" customHeight="1">
      <c r="A1457" s="101">
        <v>2025</v>
      </c>
      <c r="B1457" s="101">
        <v>10</v>
      </c>
      <c r="C1457" s="101">
        <v>5</v>
      </c>
      <c r="D1457" s="65">
        <f>DATE(SIP[[#This Row],[Year]],SIP[[#This Row],[Month]],SIP[[#This Row],[Day]])</f>
        <v>45935</v>
      </c>
      <c r="E1457" s="66" t="str" cm="1">
        <f t="array" ref="E1457">INDEX(INVESTORS_LIST[INVESTOR NAME],MATCH(SIP[[#This Row],[Investor ID]],INVESTORS_LIST[INVESTOR CODE],0),)</f>
        <v>AKIB TANVIR ANJUM</v>
      </c>
      <c r="F1457" s="46" t="s">
        <v>1116</v>
      </c>
      <c r="G1457" s="46">
        <f>COUNTIF(SIP[[#Headers],[Investor ID]]:SIP[[#This Row],[Investor ID]],SIP[[#This Row],[Investor ID]])</f>
        <v>26</v>
      </c>
      <c r="H1457" s="46" t="str">
        <f>CONCATENATE(SIP[[#This Row],[Frequency]],SIP[[#This Row],[Investor ID]])</f>
        <v>26A00533</v>
      </c>
      <c r="I1457" s="46" t="str">
        <f>IF(SIP[[#This Row],[B/S]]="B","BUY",(IF(SIP[[#This Row],[B/S]]="S","SELL"," ")))</f>
        <v>BUY</v>
      </c>
      <c r="J1457" s="150" t="s">
        <v>1229</v>
      </c>
      <c r="K1457" s="153">
        <v>4000</v>
      </c>
      <c r="L1457" s="122"/>
      <c r="M1457" s="123">
        <f>SIP[[#This Row],[Amount]]/SIP[[#This Row],[Unit]]</f>
        <v>13.559322033898304</v>
      </c>
      <c r="N1457" s="71">
        <f>SIP[[#This Row],[Unit Capital]]/10</f>
        <v>295</v>
      </c>
      <c r="O1457" s="71">
        <f>SUMIFS(SIP[[#Headers],[Unit]]:SIP[[#This Row],[Unit]],SIP[[#Headers],[Investor ID]]:SIP[[#This Row],[Investor ID]],SIP[[#This Row],[Investor ID]])</f>
        <v>1545</v>
      </c>
      <c r="P1457" s="153">
        <v>2950</v>
      </c>
      <c r="Q1457" s="74">
        <f>SIP[[#This Row],[Amount]]-SIP[[#This Row],[Unit Capital]]</f>
        <v>1050</v>
      </c>
      <c r="R14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12.944983818770227</v>
      </c>
      <c r="S1457" s="46">
        <f t="shared" si="68"/>
        <v>14.224</v>
      </c>
      <c r="T14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7" s="74" cm="1">
        <f t="array" ref="U1457">IF(SIP[[#This Row],[B/S]]="S",ABS(SIP[[#This Row],[Unit]])*(INDEX(SIP[NAV at Cost (Average)],MATCH(CONCATENATE((SIP[[#This Row],[Frequency]]-1),SIP[[#This Row],[Investor ID]]),SIP[Unique Code],0),0)),0)</f>
        <v>0</v>
      </c>
      <c r="V1457" s="74">
        <f>IF(SIP[[#This Row],[BO TRANSFER]]="YES",SIP[[#This Row],[Unit]],)</f>
        <v>0</v>
      </c>
      <c r="W1457" s="74">
        <f>SUMIFS(SIP[[#Headers],[BO UNIT TRANSFER]]:SIP[[#This Row],[BO UNIT TRANSFER]],SIP[[#Headers],[Investor ID]]:SIP[[#This Row],[Investor ID]],SIP[[#This Row],[Investor ID]])</f>
        <v>0</v>
      </c>
    </row>
    <row r="1458" spans="1:23" ht="15" customHeight="1">
      <c r="A1458" s="101">
        <v>2025</v>
      </c>
      <c r="B1458" s="101">
        <v>10</v>
      </c>
      <c r="C1458" s="101">
        <v>5</v>
      </c>
      <c r="D1458" s="65">
        <f>DATE(SIP[[#This Row],[Year]],SIP[[#This Row],[Month]],SIP[[#This Row],[Day]])</f>
        <v>45935</v>
      </c>
      <c r="E1458" s="66" t="str" cm="1">
        <f t="array" ref="E1458">INDEX(INVESTORS_LIST[INVESTOR NAME],MATCH(SIP[[#This Row],[Investor ID]],INVESTORS_LIST[INVESTOR CODE],0),)</f>
        <v>SHANTA PAUL</v>
      </c>
      <c r="F1458" s="46" t="s">
        <v>544</v>
      </c>
      <c r="G1458" s="46">
        <f>COUNTIF(SIP[[#Headers],[Investor ID]]:SIP[[#This Row],[Investor ID]],SIP[[#This Row],[Investor ID]])</f>
        <v>30</v>
      </c>
      <c r="H1458" s="46" t="str">
        <f>CONCATENATE(SIP[[#This Row],[Frequency]],SIP[[#This Row],[Investor ID]])</f>
        <v>30A00247</v>
      </c>
      <c r="I1458" s="46" t="str">
        <f>IF(SIP[[#This Row],[B/S]]="B","BUY",(IF(SIP[[#This Row],[B/S]]="S","SELL"," ")))</f>
        <v>BUY</v>
      </c>
      <c r="J1458" s="150" t="s">
        <v>1229</v>
      </c>
      <c r="K1458" s="153">
        <v>20000</v>
      </c>
      <c r="L1458" s="122"/>
      <c r="M1458" s="123">
        <f>SIP[[#This Row],[Amount]]/SIP[[#This Row],[Unit]]</f>
        <v>13.540961408259987</v>
      </c>
      <c r="N1458" s="71">
        <f>SIP[[#This Row],[Unit Capital]]/10</f>
        <v>1477</v>
      </c>
      <c r="O1458" s="71">
        <f>SUMIFS(SIP[[#Headers],[Unit]]:SIP[[#This Row],[Unit]],SIP[[#Headers],[Investor ID]]:SIP[[#This Row],[Investor ID]],SIP[[#This Row],[Investor ID]])</f>
        <v>53096</v>
      </c>
      <c r="P1458" s="153">
        <v>14770</v>
      </c>
      <c r="Q1458" s="74">
        <f>SIP[[#This Row],[Amount]]-SIP[[#This Row],[Unit Capital]]</f>
        <v>5230</v>
      </c>
      <c r="R14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11.300286273918941</v>
      </c>
      <c r="S1458" s="46">
        <f t="shared" si="68"/>
        <v>14.224</v>
      </c>
      <c r="T14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8" s="74" cm="1">
        <f t="array" ref="U1458">IF(SIP[[#This Row],[B/S]]="S",ABS(SIP[[#This Row],[Unit]])*(INDEX(SIP[NAV at Cost (Average)],MATCH(CONCATENATE((SIP[[#This Row],[Frequency]]-1),SIP[[#This Row],[Investor ID]]),SIP[Unique Code],0),0)),0)</f>
        <v>0</v>
      </c>
      <c r="V1458" s="74">
        <f>IF(SIP[[#This Row],[BO TRANSFER]]="YES",SIP[[#This Row],[Unit]],)</f>
        <v>0</v>
      </c>
      <c r="W1458" s="74">
        <f>SUMIFS(SIP[[#Headers],[BO UNIT TRANSFER]]:SIP[[#This Row],[BO UNIT TRANSFER]],SIP[[#Headers],[Investor ID]]:SIP[[#This Row],[Investor ID]],SIP[[#This Row],[Investor ID]])</f>
        <v>0</v>
      </c>
    </row>
    <row r="1459" spans="1:23" ht="15" customHeight="1">
      <c r="A1459" s="101">
        <v>2025</v>
      </c>
      <c r="B1459" s="101">
        <v>10</v>
      </c>
      <c r="C1459" s="101">
        <v>5</v>
      </c>
      <c r="D1459" s="65">
        <f>DATE(SIP[[#This Row],[Year]],SIP[[#This Row],[Month]],SIP[[#This Row],[Day]])</f>
        <v>45935</v>
      </c>
      <c r="E1459" s="66" t="str" cm="1">
        <f t="array" ref="E1459">INDEX(INVESTORS_LIST[INVESTOR NAME],MATCH(SIP[[#This Row],[Investor ID]],INVESTORS_LIST[INVESTOR CODE],0),)</f>
        <v>MONIR AHMED</v>
      </c>
      <c r="F1459" s="46" t="s">
        <v>125</v>
      </c>
      <c r="G1459" s="46">
        <f>COUNTIF(SIP[[#Headers],[Investor ID]]:SIP[[#This Row],[Investor ID]],SIP[[#This Row],[Investor ID]])</f>
        <v>31</v>
      </c>
      <c r="H1459" s="46" t="str">
        <f>CONCATENATE(SIP[[#This Row],[Frequency]],SIP[[#This Row],[Investor ID]])</f>
        <v>31A00039</v>
      </c>
      <c r="I1459" s="46" t="str">
        <f>IF(SIP[[#This Row],[B/S]]="B","BUY",(IF(SIP[[#This Row],[B/S]]="S","SELL"," ")))</f>
        <v>BUY</v>
      </c>
      <c r="J1459" s="150" t="s">
        <v>1229</v>
      </c>
      <c r="K1459" s="153">
        <v>10000</v>
      </c>
      <c r="L1459" s="122"/>
      <c r="M1459" s="123">
        <f>SIP[[#This Row],[Amount]]/SIP[[#This Row],[Unit]]</f>
        <v>13.531799729364005</v>
      </c>
      <c r="N1459" s="71">
        <f>SIP[[#This Row],[Unit Capital]]/10</f>
        <v>739</v>
      </c>
      <c r="O1459" s="71">
        <f>SUMIFS(SIP[[#Headers],[Unit]]:SIP[[#This Row],[Unit]],SIP[[#Headers],[Investor ID]]:SIP[[#This Row],[Investor ID]],SIP[[#This Row],[Investor ID]])</f>
        <v>20718</v>
      </c>
      <c r="P1459" s="153">
        <v>7390</v>
      </c>
      <c r="Q1459" s="74">
        <f>SIP[[#This Row],[Amount]]-SIP[[#This Row],[Unit Capital]]</f>
        <v>2610</v>
      </c>
      <c r="R14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12.551689299314365</v>
      </c>
      <c r="S1459" s="46">
        <f t="shared" si="68"/>
        <v>14.224</v>
      </c>
      <c r="T14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9" s="74" cm="1">
        <f t="array" ref="U1459">IF(SIP[[#This Row],[B/S]]="S",ABS(SIP[[#This Row],[Unit]])*(INDEX(SIP[NAV at Cost (Average)],MATCH(CONCATENATE((SIP[[#This Row],[Frequency]]-1),SIP[[#This Row],[Investor ID]]),SIP[Unique Code],0),0)),0)</f>
        <v>0</v>
      </c>
      <c r="V1459" s="74">
        <f>IF(SIP[[#This Row],[BO TRANSFER]]="YES",SIP[[#This Row],[Unit]],)</f>
        <v>0</v>
      </c>
      <c r="W1459" s="74">
        <f>SUMIFS(SIP[[#Headers],[BO UNIT TRANSFER]]:SIP[[#This Row],[BO UNIT TRANSFER]],SIP[[#Headers],[Investor ID]]:SIP[[#This Row],[Investor ID]],SIP[[#This Row],[Investor ID]])</f>
        <v>0</v>
      </c>
    </row>
    <row r="1460" spans="1:23" ht="15" customHeight="1">
      <c r="A1460" s="101">
        <v>2025</v>
      </c>
      <c r="B1460" s="101">
        <v>10</v>
      </c>
      <c r="C1460" s="101">
        <v>5</v>
      </c>
      <c r="D1460" s="65">
        <f>DATE(SIP[[#This Row],[Year]],SIP[[#This Row],[Month]],SIP[[#This Row],[Day]])</f>
        <v>45935</v>
      </c>
      <c r="E1460" s="66" t="str" cm="1">
        <f t="array" ref="E1460">INDEX(INVESTORS_LIST[INVESTOR NAME],MATCH(SIP[[#This Row],[Investor ID]],INVESTORS_LIST[INVESTOR CODE],0),)</f>
        <v>AHMED BIN MONSUR</v>
      </c>
      <c r="F1460" s="46" t="s">
        <v>692</v>
      </c>
      <c r="G1460" s="46">
        <f>COUNTIF(SIP[[#Headers],[Investor ID]]:SIP[[#This Row],[Investor ID]],SIP[[#This Row],[Investor ID]])</f>
        <v>17</v>
      </c>
      <c r="H1460" s="46" t="str">
        <f>CONCATENATE(SIP[[#This Row],[Frequency]],SIP[[#This Row],[Investor ID]])</f>
        <v>17A00322</v>
      </c>
      <c r="I1460" s="46" t="str">
        <f>IF(SIP[[#This Row],[B/S]]="B","BUY",(IF(SIP[[#This Row],[B/S]]="S","SELL"," ")))</f>
        <v>BUY</v>
      </c>
      <c r="J1460" s="150" t="s">
        <v>1229</v>
      </c>
      <c r="K1460" s="153">
        <v>20000</v>
      </c>
      <c r="L1460" s="122"/>
      <c r="M1460" s="123">
        <f>SIP[[#This Row],[Amount]]/SIP[[#This Row],[Unit]]</f>
        <v>13.540961408259987</v>
      </c>
      <c r="N1460" s="71">
        <f>SIP[[#This Row],[Unit Capital]]/10</f>
        <v>1477</v>
      </c>
      <c r="O1460" s="71">
        <f>SUMIFS(SIP[[#Headers],[Unit]]:SIP[[#This Row],[Unit]],SIP[[#Headers],[Investor ID]]:SIP[[#This Row],[Investor ID]],SIP[[#This Row],[Investor ID]])</f>
        <v>4544</v>
      </c>
      <c r="P1460" s="153">
        <v>14770</v>
      </c>
      <c r="Q1460" s="74">
        <f>SIP[[#This Row],[Amount]]-SIP[[#This Row],[Unit Capital]]</f>
        <v>5230</v>
      </c>
      <c r="R14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13.204225352112676</v>
      </c>
      <c r="S1460" s="46">
        <f t="shared" si="68"/>
        <v>14.224</v>
      </c>
      <c r="T14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0" s="74" cm="1">
        <f t="array" ref="U1460">IF(SIP[[#This Row],[B/S]]="S",ABS(SIP[[#This Row],[Unit]])*(INDEX(SIP[NAV at Cost (Average)],MATCH(CONCATENATE((SIP[[#This Row],[Frequency]]-1),SIP[[#This Row],[Investor ID]]),SIP[Unique Code],0),0)),0)</f>
        <v>0</v>
      </c>
      <c r="V1460" s="74">
        <f>IF(SIP[[#This Row],[BO TRANSFER]]="YES",SIP[[#This Row],[Unit]],)</f>
        <v>0</v>
      </c>
      <c r="W1460" s="74">
        <f>SUMIFS(SIP[[#Headers],[BO UNIT TRANSFER]]:SIP[[#This Row],[BO UNIT TRANSFER]],SIP[[#Headers],[Investor ID]]:SIP[[#This Row],[Investor ID]],SIP[[#This Row],[Investor ID]])</f>
        <v>0</v>
      </c>
    </row>
    <row r="1461" spans="1:23" ht="15" customHeight="1">
      <c r="A1461" s="101">
        <v>2025</v>
      </c>
      <c r="B1461" s="101">
        <v>10</v>
      </c>
      <c r="C1461" s="101">
        <v>5</v>
      </c>
      <c r="D1461" s="65">
        <f>DATE(SIP[[#This Row],[Year]],SIP[[#This Row],[Month]],SIP[[#This Row],[Day]])</f>
        <v>45935</v>
      </c>
      <c r="E1461" s="66" t="str" cm="1">
        <f t="array" ref="E1461">INDEX(INVESTORS_LIST[INVESTOR NAME],MATCH(SIP[[#This Row],[Investor ID]],INVESTORS_LIST[INVESTOR CODE],0),)</f>
        <v>MD. MONIRUL ISLAM</v>
      </c>
      <c r="F1461" s="46" t="s">
        <v>996</v>
      </c>
      <c r="G1461" s="46">
        <f>COUNTIF(SIP[[#Headers],[Investor ID]]:SIP[[#This Row],[Investor ID]],SIP[[#This Row],[Investor ID]])</f>
        <v>28</v>
      </c>
      <c r="H1461" s="46" t="str">
        <f>CONCATENATE(SIP[[#This Row],[Frequency]],SIP[[#This Row],[Investor ID]])</f>
        <v>28A00475</v>
      </c>
      <c r="I1461" s="46" t="str">
        <f>IF(SIP[[#This Row],[B/S]]="B","BUY",(IF(SIP[[#This Row],[B/S]]="S","SELL"," ")))</f>
        <v>BUY</v>
      </c>
      <c r="J1461" s="150" t="s">
        <v>1229</v>
      </c>
      <c r="K1461" s="153">
        <v>10000</v>
      </c>
      <c r="L1461" s="122"/>
      <c r="M1461" s="123">
        <f>SIP[[#This Row],[Amount]]/SIP[[#This Row],[Unit]]</f>
        <v>13.531799729364005</v>
      </c>
      <c r="N1461" s="71">
        <f>SIP[[#This Row],[Unit Capital]]/10</f>
        <v>739</v>
      </c>
      <c r="O1461" s="71">
        <f>SUMIFS(SIP[[#Headers],[Unit]]:SIP[[#This Row],[Unit]],SIP[[#Headers],[Investor ID]]:SIP[[#This Row],[Investor ID]],SIP[[#This Row],[Investor ID]])</f>
        <v>24841</v>
      </c>
      <c r="P1461" s="153">
        <v>7390</v>
      </c>
      <c r="Q1461" s="74">
        <f>SIP[[#This Row],[Amount]]-SIP[[#This Row],[Unit Capital]]</f>
        <v>2610</v>
      </c>
      <c r="R14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11.271687935268304</v>
      </c>
      <c r="S1461" s="46">
        <f t="shared" si="68"/>
        <v>14.224</v>
      </c>
      <c r="T14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1" s="74" cm="1">
        <f t="array" ref="U1461">IF(SIP[[#This Row],[B/S]]="S",ABS(SIP[[#This Row],[Unit]])*(INDEX(SIP[NAV at Cost (Average)],MATCH(CONCATENATE((SIP[[#This Row],[Frequency]]-1),SIP[[#This Row],[Investor ID]]),SIP[Unique Code],0),0)),0)</f>
        <v>0</v>
      </c>
      <c r="V1461" s="74">
        <f>IF(SIP[[#This Row],[BO TRANSFER]]="YES",SIP[[#This Row],[Unit]],)</f>
        <v>0</v>
      </c>
      <c r="W1461" s="74">
        <f>SUMIFS(SIP[[#Headers],[BO UNIT TRANSFER]]:SIP[[#This Row],[BO UNIT TRANSFER]],SIP[[#Headers],[Investor ID]]:SIP[[#This Row],[Investor ID]],SIP[[#This Row],[Investor ID]])</f>
        <v>0</v>
      </c>
    </row>
    <row r="1462" spans="1:23" ht="15" customHeight="1">
      <c r="A1462" s="101">
        <v>2025</v>
      </c>
      <c r="B1462" s="101">
        <v>10</v>
      </c>
      <c r="C1462" s="101">
        <v>5</v>
      </c>
      <c r="D1462" s="65">
        <f>DATE(SIP[[#This Row],[Year]],SIP[[#This Row],[Month]],SIP[[#This Row],[Day]])</f>
        <v>45935</v>
      </c>
      <c r="E1462" s="66" t="str" cm="1">
        <f t="array" ref="E1462">INDEX(INVESTORS_LIST[INVESTOR NAME],MATCH(SIP[[#This Row],[Investor ID]],INVESTORS_LIST[INVESTOR CODE],0),)</f>
        <v>NANDINI SAHA</v>
      </c>
      <c r="F1462" s="46" t="s">
        <v>242</v>
      </c>
      <c r="G1462" s="46">
        <f>COUNTIF(SIP[[#Headers],[Investor ID]]:SIP[[#This Row],[Investor ID]],SIP[[#This Row],[Investor ID]])</f>
        <v>32</v>
      </c>
      <c r="H1462" s="46" t="str">
        <f>CONCATENATE(SIP[[#This Row],[Frequency]],SIP[[#This Row],[Investor ID]])</f>
        <v>32A00097</v>
      </c>
      <c r="I1462" s="46" t="str">
        <f>IF(SIP[[#This Row],[B/S]]="B","BUY",(IF(SIP[[#This Row],[B/S]]="S","SELL"," ")))</f>
        <v>BUY</v>
      </c>
      <c r="J1462" s="150" t="s">
        <v>1229</v>
      </c>
      <c r="K1462" s="153">
        <v>30000</v>
      </c>
      <c r="L1462" s="122"/>
      <c r="M1462" s="123">
        <f>SIP[[#This Row],[Amount]]/SIP[[#This Row],[Unit]]</f>
        <v>13.537906137184116</v>
      </c>
      <c r="N1462" s="71">
        <f>SIP[[#This Row],[Unit Capital]]/10</f>
        <v>2216</v>
      </c>
      <c r="O1462" s="71">
        <f>SUMIFS(SIP[[#Headers],[Unit]]:SIP[[#This Row],[Unit]],SIP[[#Headers],[Investor ID]]:SIP[[#This Row],[Investor ID]],SIP[[#This Row],[Investor ID]])</f>
        <v>75604</v>
      </c>
      <c r="P1462" s="153">
        <v>22160</v>
      </c>
      <c r="Q1462" s="74">
        <f>SIP[[#This Row],[Amount]]-SIP[[#This Row],[Unit Capital]]</f>
        <v>7840</v>
      </c>
      <c r="R14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11.375059520660278</v>
      </c>
      <c r="S1462" s="46">
        <f t="shared" si="68"/>
        <v>14.224</v>
      </c>
      <c r="T14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2" s="74" cm="1">
        <f t="array" ref="U1462">IF(SIP[[#This Row],[B/S]]="S",ABS(SIP[[#This Row],[Unit]])*(INDEX(SIP[NAV at Cost (Average)],MATCH(CONCATENATE((SIP[[#This Row],[Frequency]]-1),SIP[[#This Row],[Investor ID]]),SIP[Unique Code],0),0)),0)</f>
        <v>0</v>
      </c>
      <c r="V1462" s="74">
        <f>IF(SIP[[#This Row],[BO TRANSFER]]="YES",SIP[[#This Row],[Unit]],)</f>
        <v>0</v>
      </c>
      <c r="W1462" s="74">
        <f>SUMIFS(SIP[[#Headers],[BO UNIT TRANSFER]]:SIP[[#This Row],[BO UNIT TRANSFER]],SIP[[#Headers],[Investor ID]]:SIP[[#This Row],[Investor ID]],SIP[[#This Row],[Investor ID]])</f>
        <v>0</v>
      </c>
    </row>
    <row r="1463" spans="1:23" ht="15" customHeight="1">
      <c r="A1463" s="101">
        <v>2025</v>
      </c>
      <c r="B1463" s="101">
        <v>10</v>
      </c>
      <c r="C1463" s="101">
        <v>5</v>
      </c>
      <c r="D1463" s="65">
        <f>DATE(SIP[[#This Row],[Year]],SIP[[#This Row],[Month]],SIP[[#This Row],[Day]])</f>
        <v>45935</v>
      </c>
      <c r="E1463" s="66" t="str" cm="1">
        <f t="array" ref="E1463">INDEX(INVESTORS_LIST[INVESTOR NAME],MATCH(SIP[[#This Row],[Investor ID]],INVESTORS_LIST[INVESTOR CODE],0),)</f>
        <v>ROKSABA KASEM</v>
      </c>
      <c r="F1463" s="46" t="s">
        <v>900</v>
      </c>
      <c r="G1463" s="46">
        <f>COUNTIF(SIP[[#Headers],[Investor ID]]:SIP[[#This Row],[Investor ID]],SIP[[#This Row],[Investor ID]])</f>
        <v>29</v>
      </c>
      <c r="H1463" s="46" t="str">
        <f>CONCATENATE(SIP[[#This Row],[Frequency]],SIP[[#This Row],[Investor ID]])</f>
        <v>29A00427</v>
      </c>
      <c r="I1463" s="46" t="str">
        <f>IF(SIP[[#This Row],[B/S]]="B","BUY",(IF(SIP[[#This Row],[B/S]]="S","SELL"," ")))</f>
        <v>BUY</v>
      </c>
      <c r="J1463" s="150" t="s">
        <v>1229</v>
      </c>
      <c r="K1463" s="153">
        <v>20000</v>
      </c>
      <c r="L1463" s="122" t="s">
        <v>1230</v>
      </c>
      <c r="M1463" s="123">
        <f>SIP[[#This Row],[Amount]]/SIP[[#This Row],[Unit]]</f>
        <v>13.540961408259987</v>
      </c>
      <c r="N1463" s="71">
        <f>SIP[[#This Row],[Unit Capital]]/10</f>
        <v>1477</v>
      </c>
      <c r="O1463" s="71">
        <f>SUMIFS(SIP[[#Headers],[Unit]]:SIP[[#This Row],[Unit]],SIP[[#Headers],[Investor ID]]:SIP[[#This Row],[Investor ID]],SIP[[#This Row],[Investor ID]])</f>
        <v>50830</v>
      </c>
      <c r="P1463" s="153">
        <v>14770</v>
      </c>
      <c r="Q1463" s="74">
        <f>SIP[[#This Row],[Amount]]-SIP[[#This Row],[Unit Capital]]</f>
        <v>5230</v>
      </c>
      <c r="R14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11.41058430060988</v>
      </c>
      <c r="S1463" s="46">
        <f t="shared" si="68"/>
        <v>14.224</v>
      </c>
      <c r="T14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3" s="74" cm="1">
        <f t="array" ref="U1463">IF(SIP[[#This Row],[B/S]]="S",ABS(SIP[[#This Row],[Unit]])*(INDEX(SIP[NAV at Cost (Average)],MATCH(CONCATENATE((SIP[[#This Row],[Frequency]]-1),SIP[[#This Row],[Investor ID]]),SIP[Unique Code],0),0)),0)</f>
        <v>0</v>
      </c>
      <c r="V1463" s="74">
        <f>IF(SIP[[#This Row],[BO TRANSFER]]="YES",SIP[[#This Row],[Unit]],)</f>
        <v>1477</v>
      </c>
      <c r="W1463" s="74">
        <f>SUMIFS(SIP[[#Headers],[BO UNIT TRANSFER]]:SIP[[#This Row],[BO UNIT TRANSFER]],SIP[[#Headers],[Investor ID]]:SIP[[#This Row],[Investor ID]],SIP[[#This Row],[Investor ID]])</f>
        <v>6133</v>
      </c>
    </row>
    <row r="1464" spans="1:23" ht="15" customHeight="1">
      <c r="A1464" s="101">
        <v>2025</v>
      </c>
      <c r="B1464" s="101">
        <v>10</v>
      </c>
      <c r="C1464" s="101">
        <v>5</v>
      </c>
      <c r="D1464" s="65">
        <f>DATE(SIP[[#This Row],[Year]],SIP[[#This Row],[Month]],SIP[[#This Row],[Day]])</f>
        <v>45935</v>
      </c>
      <c r="E1464" s="66" t="str" cm="1">
        <f t="array" ref="E1464">INDEX(INVESTORS_LIST[INVESTOR NAME],MATCH(SIP[[#This Row],[Investor ID]],INVESTORS_LIST[INVESTOR CODE],0),)</f>
        <v>BIJOY CHANDRA DAS</v>
      </c>
      <c r="F1464" s="46" t="s">
        <v>497</v>
      </c>
      <c r="G1464" s="46">
        <f>COUNTIF(SIP[[#Headers],[Investor ID]]:SIP[[#This Row],[Investor ID]],SIP[[#This Row],[Investor ID]])</f>
        <v>18</v>
      </c>
      <c r="H1464" s="46" t="str">
        <f>CONCATENATE(SIP[[#This Row],[Frequency]],SIP[[#This Row],[Investor ID]])</f>
        <v>18A00224</v>
      </c>
      <c r="I1464" s="46" t="str">
        <f>IF(SIP[[#This Row],[B/S]]="B","BUY",(IF(SIP[[#This Row],[B/S]]="S","SELL"," ")))</f>
        <v>BUY</v>
      </c>
      <c r="J1464" s="150" t="s">
        <v>1229</v>
      </c>
      <c r="K1464" s="153">
        <v>5000</v>
      </c>
      <c r="L1464" s="122"/>
      <c r="M1464" s="123">
        <f>SIP[[#This Row],[Amount]]/SIP[[#This Row],[Unit]]</f>
        <v>13.550135501355014</v>
      </c>
      <c r="N1464" s="71">
        <f>SIP[[#This Row],[Unit Capital]]/10</f>
        <v>369</v>
      </c>
      <c r="O1464" s="71">
        <f>SUMIFS(SIP[[#Headers],[Unit]]:SIP[[#This Row],[Unit]],SIP[[#Headers],[Investor ID]]:SIP[[#This Row],[Investor ID]],SIP[[#This Row],[Investor ID]])</f>
        <v>7532</v>
      </c>
      <c r="P1464" s="153">
        <v>3690</v>
      </c>
      <c r="Q1464" s="74">
        <f>SIP[[#This Row],[Amount]]-SIP[[#This Row],[Unit Capital]]</f>
        <v>1310</v>
      </c>
      <c r="R14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11.949017525225708</v>
      </c>
      <c r="S1464" s="46">
        <f t="shared" si="68"/>
        <v>14.224</v>
      </c>
      <c r="T14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4" s="74" cm="1">
        <f t="array" ref="U1464">IF(SIP[[#This Row],[B/S]]="S",ABS(SIP[[#This Row],[Unit]])*(INDEX(SIP[NAV at Cost (Average)],MATCH(CONCATENATE((SIP[[#This Row],[Frequency]]-1),SIP[[#This Row],[Investor ID]]),SIP[Unique Code],0),0)),0)</f>
        <v>0</v>
      </c>
      <c r="V1464" s="74">
        <f>IF(SIP[[#This Row],[BO TRANSFER]]="YES",SIP[[#This Row],[Unit]],)</f>
        <v>0</v>
      </c>
      <c r="W1464" s="74">
        <f>SUMIFS(SIP[[#Headers],[BO UNIT TRANSFER]]:SIP[[#This Row],[BO UNIT TRANSFER]],SIP[[#Headers],[Investor ID]]:SIP[[#This Row],[Investor ID]],SIP[[#This Row],[Investor ID]])</f>
        <v>0</v>
      </c>
    </row>
    <row r="1465" spans="1:23" ht="15" customHeight="1">
      <c r="A1465" s="101">
        <v>2025</v>
      </c>
      <c r="B1465" s="101">
        <v>10</v>
      </c>
      <c r="C1465" s="101">
        <v>5</v>
      </c>
      <c r="D1465" s="65">
        <f>DATE(SIP[[#This Row],[Year]],SIP[[#This Row],[Month]],SIP[[#This Row],[Day]])</f>
        <v>45935</v>
      </c>
      <c r="E1465" s="66" t="str" cm="1">
        <f t="array" ref="E1465">INDEX(INVESTORS_LIST[INVESTOR NAME],MATCH(SIP[[#This Row],[Investor ID]],INVESTORS_LIST[INVESTOR CODE],0),)</f>
        <v>SK FEROZ ALAM</v>
      </c>
      <c r="F1465" s="46" t="s">
        <v>240</v>
      </c>
      <c r="G1465" s="46">
        <f>COUNTIF(SIP[[#Headers],[Investor ID]]:SIP[[#This Row],[Investor ID]],SIP[[#This Row],[Investor ID]])</f>
        <v>19</v>
      </c>
      <c r="H1465" s="46" t="str">
        <f>CONCATENATE(SIP[[#This Row],[Frequency]],SIP[[#This Row],[Investor ID]])</f>
        <v>19A00096</v>
      </c>
      <c r="I1465" s="46" t="str">
        <f>IF(SIP[[#This Row],[B/S]]="B","BUY",(IF(SIP[[#This Row],[B/S]]="S","SELL"," ")))</f>
        <v>BUY</v>
      </c>
      <c r="J1465" s="150" t="s">
        <v>1229</v>
      </c>
      <c r="K1465" s="153">
        <v>1000</v>
      </c>
      <c r="L1465" s="122"/>
      <c r="M1465" s="123">
        <f>SIP[[#This Row],[Amount]]/SIP[[#This Row],[Unit]]</f>
        <v>13.513513513513514</v>
      </c>
      <c r="N1465" s="71">
        <f>SIP[[#This Row],[Unit Capital]]/10</f>
        <v>74</v>
      </c>
      <c r="O1465" s="71">
        <f>SUMIFS(SIP[[#Headers],[Unit]]:SIP[[#This Row],[Unit]],SIP[[#Headers],[Investor ID]]:SIP[[#This Row],[Investor ID]],SIP[[#This Row],[Investor ID]])</f>
        <v>228</v>
      </c>
      <c r="P1465" s="153">
        <v>740</v>
      </c>
      <c r="Q1465" s="74">
        <f>SIP[[#This Row],[Amount]]-SIP[[#This Row],[Unit Capital]]</f>
        <v>260</v>
      </c>
      <c r="R14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13.157894736842106</v>
      </c>
      <c r="S1465" s="46">
        <f t="shared" si="68"/>
        <v>14.224</v>
      </c>
      <c r="T14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5" s="74" cm="1">
        <f t="array" ref="U1465">IF(SIP[[#This Row],[B/S]]="S",ABS(SIP[[#This Row],[Unit]])*(INDEX(SIP[NAV at Cost (Average)],MATCH(CONCATENATE((SIP[[#This Row],[Frequency]]-1),SIP[[#This Row],[Investor ID]]),SIP[Unique Code],0),0)),0)</f>
        <v>0</v>
      </c>
      <c r="V1465" s="74">
        <f>IF(SIP[[#This Row],[BO TRANSFER]]="YES",SIP[[#This Row],[Unit]],)</f>
        <v>0</v>
      </c>
      <c r="W1465" s="74">
        <f>SUMIFS(SIP[[#Headers],[BO UNIT TRANSFER]]:SIP[[#This Row],[BO UNIT TRANSFER]],SIP[[#Headers],[Investor ID]]:SIP[[#This Row],[Investor ID]],SIP[[#This Row],[Investor ID]])</f>
        <v>0</v>
      </c>
    </row>
    <row r="1466" spans="1:23" ht="15" customHeight="1">
      <c r="A1466" s="101">
        <v>2025</v>
      </c>
      <c r="B1466" s="101">
        <v>10</v>
      </c>
      <c r="C1466" s="101">
        <v>5</v>
      </c>
      <c r="D1466" s="65">
        <f>DATE(SIP[[#This Row],[Year]],SIP[[#This Row],[Month]],SIP[[#This Row],[Day]])</f>
        <v>45935</v>
      </c>
      <c r="E1466" s="66" t="str" cm="1">
        <f t="array" ref="E1466">INDEX(INVESTORS_LIST[INVESTOR NAME],MATCH(SIP[[#This Row],[Investor ID]],INVESTORS_LIST[INVESTOR CODE],0),)</f>
        <v>FAKARUDDIN ALI AHMED</v>
      </c>
      <c r="F1466" s="46" t="s">
        <v>228</v>
      </c>
      <c r="G1466" s="46">
        <f>COUNTIF(SIP[[#Headers],[Investor ID]]:SIP[[#This Row],[Investor ID]],SIP[[#This Row],[Investor ID]])</f>
        <v>30</v>
      </c>
      <c r="H1466" s="46" t="str">
        <f>CONCATENATE(SIP[[#This Row],[Frequency]],SIP[[#This Row],[Investor ID]])</f>
        <v>30A00090</v>
      </c>
      <c r="I1466" s="46" t="str">
        <f>IF(SIP[[#This Row],[B/S]]="B","BUY",(IF(SIP[[#This Row],[B/S]]="S","SELL"," ")))</f>
        <v>BUY</v>
      </c>
      <c r="J1466" s="150" t="s">
        <v>1229</v>
      </c>
      <c r="K1466" s="153">
        <v>10000</v>
      </c>
      <c r="L1466" s="122"/>
      <c r="M1466" s="123">
        <f>SIP[[#This Row],[Amount]]/SIP[[#This Row],[Unit]]</f>
        <v>13.531799729364005</v>
      </c>
      <c r="N1466" s="71">
        <f>SIP[[#This Row],[Unit Capital]]/10</f>
        <v>739</v>
      </c>
      <c r="O1466" s="71">
        <f>SUMIFS(SIP[[#Headers],[Unit]]:SIP[[#This Row],[Unit]],SIP[[#Headers],[Investor ID]]:SIP[[#This Row],[Investor ID]],SIP[[#This Row],[Investor ID]])</f>
        <v>2273</v>
      </c>
      <c r="P1466" s="153">
        <v>7390</v>
      </c>
      <c r="Q1466" s="74">
        <f>SIP[[#This Row],[Amount]]-SIP[[#This Row],[Unit Capital]]</f>
        <v>2610</v>
      </c>
      <c r="R14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13.198416190057195</v>
      </c>
      <c r="S1466" s="46">
        <f t="shared" si="68"/>
        <v>14.224</v>
      </c>
      <c r="T14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6" s="74" cm="1">
        <f t="array" ref="U1466">IF(SIP[[#This Row],[B/S]]="S",ABS(SIP[[#This Row],[Unit]])*(INDEX(SIP[NAV at Cost (Average)],MATCH(CONCATENATE((SIP[[#This Row],[Frequency]]-1),SIP[[#This Row],[Investor ID]]),SIP[Unique Code],0),0)),0)</f>
        <v>0</v>
      </c>
      <c r="V1466" s="74">
        <f>IF(SIP[[#This Row],[BO TRANSFER]]="YES",SIP[[#This Row],[Unit]],)</f>
        <v>0</v>
      </c>
      <c r="W1466" s="74">
        <f>SUMIFS(SIP[[#Headers],[BO UNIT TRANSFER]]:SIP[[#This Row],[BO UNIT TRANSFER]],SIP[[#Headers],[Investor ID]]:SIP[[#This Row],[Investor ID]],SIP[[#This Row],[Investor ID]])</f>
        <v>0</v>
      </c>
    </row>
    <row r="1467" spans="1:23" ht="15" customHeight="1">
      <c r="A1467" s="101">
        <v>2025</v>
      </c>
      <c r="B1467" s="101">
        <v>10</v>
      </c>
      <c r="C1467" s="101">
        <v>7</v>
      </c>
      <c r="D1467" s="65">
        <f>DATE(SIP[[#This Row],[Year]],SIP[[#This Row],[Month]],SIP[[#This Row],[Day]])</f>
        <v>45937</v>
      </c>
      <c r="E1467" s="66" t="str" cm="1">
        <f t="array" ref="E1467">INDEX(INVESTORS_LIST[INVESTOR NAME],MATCH(SIP[[#This Row],[Investor ID]],INVESTORS_LIST[INVESTOR CODE],0),)</f>
        <v>MD. SAIFUL ISLAM</v>
      </c>
      <c r="F1467" s="46" t="s">
        <v>1425</v>
      </c>
      <c r="G1467" s="46">
        <f>COUNTIF(SIP[[#Headers],[Investor ID]]:SIP[[#This Row],[Investor ID]],SIP[[#This Row],[Investor ID]])</f>
        <v>1</v>
      </c>
      <c r="H1467" s="46" t="str">
        <f>CONCATENATE(SIP[[#This Row],[Frequency]],SIP[[#This Row],[Investor ID]])</f>
        <v>1A00658</v>
      </c>
      <c r="I1467" s="46" t="str">
        <f>IF(SIP[[#This Row],[B/S]]="B","BUY",(IF(SIP[[#This Row],[B/S]]="S","SELL"," ")))</f>
        <v>BUY</v>
      </c>
      <c r="J1467" s="150" t="s">
        <v>1229</v>
      </c>
      <c r="K1467" s="153">
        <v>10000</v>
      </c>
      <c r="L1467" s="122"/>
      <c r="M1467" s="123">
        <f>SIP[[#This Row],[Amount]]/SIP[[#This Row],[Unit]]</f>
        <v>13.531799729364005</v>
      </c>
      <c r="N1467" s="71">
        <f>SIP[[#This Row],[Unit Capital]]/10</f>
        <v>739</v>
      </c>
      <c r="O1467" s="71">
        <f>SUMIFS(SIP[[#Headers],[Unit]]:SIP[[#This Row],[Unit]],SIP[[#Headers],[Investor ID]]:SIP[[#This Row],[Investor ID]],SIP[[#This Row],[Investor ID]])</f>
        <v>739</v>
      </c>
      <c r="P1467" s="153">
        <v>7390</v>
      </c>
      <c r="Q1467" s="74">
        <f>SIP[[#This Row],[Amount]]-SIP[[#This Row],[Unit Capital]]</f>
        <v>2610</v>
      </c>
      <c r="R14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13.531799729364005</v>
      </c>
      <c r="S1467" s="46">
        <f t="shared" si="68"/>
        <v>14.224</v>
      </c>
      <c r="T14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7" s="74" cm="1">
        <f t="array" ref="U1467">IF(SIP[[#This Row],[B/S]]="S",ABS(SIP[[#This Row],[Unit]])*(INDEX(SIP[NAV at Cost (Average)],MATCH(CONCATENATE((SIP[[#This Row],[Frequency]]-1),SIP[[#This Row],[Investor ID]]),SIP[Unique Code],0),0)),0)</f>
        <v>0</v>
      </c>
      <c r="V1467" s="74">
        <f>IF(SIP[[#This Row],[BO TRANSFER]]="YES",SIP[[#This Row],[Unit]],)</f>
        <v>0</v>
      </c>
      <c r="W1467" s="74">
        <f>SUMIFS(SIP[[#Headers],[BO UNIT TRANSFER]]:SIP[[#This Row],[BO UNIT TRANSFER]],SIP[[#Headers],[Investor ID]]:SIP[[#This Row],[Investor ID]],SIP[[#This Row],[Investor ID]])</f>
        <v>0</v>
      </c>
    </row>
    <row r="1468" spans="1:23" ht="15" customHeight="1">
      <c r="A1468" s="101">
        <v>2025</v>
      </c>
      <c r="B1468" s="101">
        <v>10</v>
      </c>
      <c r="C1468" s="101">
        <v>13</v>
      </c>
      <c r="D1468" s="65">
        <f>DATE(SIP[[#This Row],[Year]],SIP[[#This Row],[Month]],SIP[[#This Row],[Day]])</f>
        <v>45943</v>
      </c>
      <c r="E1468" s="66" t="str" cm="1">
        <f t="array" ref="E1468">INDEX(INVESTORS_LIST[INVESTOR NAME],MATCH(SIP[[#This Row],[Investor ID]],INVESTORS_LIST[INVESTOR CODE],0),)</f>
        <v>MAHFUZA ANIKA</v>
      </c>
      <c r="F1468" s="46" t="s">
        <v>1277</v>
      </c>
      <c r="G1468" s="46">
        <f>COUNTIF(SIP[[#Headers],[Investor ID]]:SIP[[#This Row],[Investor ID]],SIP[[#This Row],[Investor ID]])</f>
        <v>17</v>
      </c>
      <c r="H1468" s="46" t="str">
        <f>CONCATENATE(SIP[[#This Row],[Frequency]],SIP[[#This Row],[Investor ID]])</f>
        <v>17A00585</v>
      </c>
      <c r="I1468" s="46" t="str">
        <f>IF(SIP[[#This Row],[B/S]]="B","BUY",(IF(SIP[[#This Row],[B/S]]="S","SELL"," ")))</f>
        <v>SELL</v>
      </c>
      <c r="J1468" s="150" t="s">
        <v>1231</v>
      </c>
      <c r="K1468" s="153">
        <v>-4500</v>
      </c>
      <c r="L1468" s="122"/>
      <c r="M1468" s="123">
        <f>SIP[[#This Row],[Amount]]/SIP[[#This Row],[Unit]]</f>
        <v>13.595166163141993</v>
      </c>
      <c r="N1468" s="71">
        <f>SIP[[#This Row],[Unit Capital]]/10</f>
        <v>-331</v>
      </c>
      <c r="O1468" s="71">
        <f>SUMIFS(SIP[[#Headers],[Unit]]:SIP[[#This Row],[Unit]],SIP[[#Headers],[Investor ID]]:SIP[[#This Row],[Investor ID]],SIP[[#This Row],[Investor ID]])</f>
        <v>291</v>
      </c>
      <c r="P1468" s="153">
        <v>-3310</v>
      </c>
      <c r="Q1468" s="74">
        <f>SIP[[#This Row],[Amount]]-SIP[[#This Row],[Unit Capital]]</f>
        <v>-1190</v>
      </c>
      <c r="R14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12.709370993842338</v>
      </c>
      <c r="S1468" s="46">
        <f t="shared" ref="S1468:S1478" si="69">NAV_MKT</f>
        <v>14.224</v>
      </c>
      <c r="T1468" s="74">
        <f>IF(SIP[[#This Row],[B/S]]="B",0,ABS(SIP[[#This Row],[Unit]])*(SIP[[#This Row],[NAV (Strike Rate)]]-INDEX(SIP[NAV at Cost (Average)],MATCH(CONCATENATE(SIP[[#This Row],[Frequency]]-1,SIP[[#This Row],[Investor ID]]),SIP[Unique Code],0),)))</f>
        <v>293.19820103818586</v>
      </c>
      <c r="U1468" s="74" cm="1">
        <f t="array" ref="U1468">IF(SIP[[#This Row],[B/S]]="S",ABS(SIP[[#This Row],[Unit]])*(INDEX(SIP[NAV at Cost (Average)],MATCH(CONCATENATE((SIP[[#This Row],[Frequency]]-1),SIP[[#This Row],[Investor ID]]),SIP[Unique Code],0),0)),0)</f>
        <v>4206.8017989618138</v>
      </c>
      <c r="V1468" s="74">
        <f>IF(SIP[[#This Row],[BO TRANSFER]]="YES",SIP[[#This Row],[Unit]],)</f>
        <v>0</v>
      </c>
      <c r="W1468" s="74">
        <f>SUMIFS(SIP[[#Headers],[BO UNIT TRANSFER]]:SIP[[#This Row],[BO UNIT TRANSFER]],SIP[[#Headers],[Investor ID]]:SIP[[#This Row],[Investor ID]],SIP[[#This Row],[Investor ID]])</f>
        <v>0</v>
      </c>
    </row>
    <row r="1469" spans="1:23" ht="15" customHeight="1">
      <c r="A1469" s="101">
        <v>2025</v>
      </c>
      <c r="B1469" s="101">
        <v>10</v>
      </c>
      <c r="C1469" s="101">
        <v>13</v>
      </c>
      <c r="D1469" s="65">
        <f>DATE(SIP[[#This Row],[Year]],SIP[[#This Row],[Month]],SIP[[#This Row],[Day]])</f>
        <v>45943</v>
      </c>
      <c r="E1469" s="66" t="str" cm="1">
        <f t="array" ref="E1469">INDEX(INVESTORS_LIST[INVESTOR NAME],MATCH(SIP[[#This Row],[Investor ID]],INVESTORS_LIST[INVESTOR CODE],0),)</f>
        <v>MD. SHIFUL ISLAM</v>
      </c>
      <c r="F1469" s="46" t="s">
        <v>127</v>
      </c>
      <c r="G1469" s="46">
        <f>COUNTIF(SIP[[#Headers],[Investor ID]]:SIP[[#This Row],[Investor ID]],SIP[[#This Row],[Investor ID]])</f>
        <v>2</v>
      </c>
      <c r="H1469" s="46" t="str">
        <f>CONCATENATE(SIP[[#This Row],[Frequency]],SIP[[#This Row],[Investor ID]])</f>
        <v>2A00040</v>
      </c>
      <c r="I1469" s="46" t="str">
        <f>IF(SIP[[#This Row],[B/S]]="B","BUY",(IF(SIP[[#This Row],[B/S]]="S","SELL"," ")))</f>
        <v>BUY</v>
      </c>
      <c r="J1469" s="150" t="s">
        <v>1229</v>
      </c>
      <c r="K1469" s="153">
        <v>5000</v>
      </c>
      <c r="L1469" s="122"/>
      <c r="M1469" s="123">
        <f>SIP[[#This Row],[Amount]]/SIP[[#This Row],[Unit]]</f>
        <v>13.586956521739131</v>
      </c>
      <c r="N1469" s="71">
        <f>SIP[[#This Row],[Unit Capital]]/10</f>
        <v>368</v>
      </c>
      <c r="O1469" s="71">
        <f>SUMIFS(SIP[[#Headers],[Unit]]:SIP[[#This Row],[Unit]],SIP[[#Headers],[Investor ID]]:SIP[[#This Row],[Investor ID]],SIP[[#This Row],[Investor ID]])</f>
        <v>746</v>
      </c>
      <c r="P1469" s="153">
        <v>3680</v>
      </c>
      <c r="Q1469" s="74">
        <f>SIP[[#This Row],[Amount]]-SIP[[#This Row],[Unit Capital]]</f>
        <v>1320</v>
      </c>
      <c r="R14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13.404825737265416</v>
      </c>
      <c r="S1469" s="46">
        <f t="shared" si="69"/>
        <v>14.224</v>
      </c>
      <c r="T14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9" s="74" cm="1">
        <f t="array" ref="U1469">IF(SIP[[#This Row],[B/S]]="S",ABS(SIP[[#This Row],[Unit]])*(INDEX(SIP[NAV at Cost (Average)],MATCH(CONCATENATE((SIP[[#This Row],[Frequency]]-1),SIP[[#This Row],[Investor ID]]),SIP[Unique Code],0),0)),0)</f>
        <v>0</v>
      </c>
      <c r="V1469" s="74">
        <f>IF(SIP[[#This Row],[BO TRANSFER]]="YES",SIP[[#This Row],[Unit]],)</f>
        <v>0</v>
      </c>
      <c r="W1469" s="74">
        <f>SUMIFS(SIP[[#Headers],[BO UNIT TRANSFER]]:SIP[[#This Row],[BO UNIT TRANSFER]],SIP[[#Headers],[Investor ID]]:SIP[[#This Row],[Investor ID]],SIP[[#This Row],[Investor ID]])</f>
        <v>0</v>
      </c>
    </row>
    <row r="1470" spans="1:23" ht="15" customHeight="1">
      <c r="A1470" s="101">
        <v>2025</v>
      </c>
      <c r="B1470" s="101">
        <v>10</v>
      </c>
      <c r="C1470" s="101">
        <v>14</v>
      </c>
      <c r="D1470" s="65">
        <f>DATE(SIP[[#This Row],[Year]],SIP[[#This Row],[Month]],SIP[[#This Row],[Day]])</f>
        <v>45944</v>
      </c>
      <c r="E1470" s="66" t="str" cm="1">
        <f t="array" ref="E1470">INDEX(INVESTORS_LIST[INVESTOR NAME],MATCH(SIP[[#This Row],[Investor ID]],INVESTORS_LIST[INVESTOR CODE],0),)</f>
        <v>ADNAN RASHID</v>
      </c>
      <c r="F1470" s="46" t="s">
        <v>252</v>
      </c>
      <c r="G1470" s="46">
        <f>COUNTIF(SIP[[#Headers],[Investor ID]]:SIP[[#This Row],[Investor ID]],SIP[[#This Row],[Investor ID]])</f>
        <v>25</v>
      </c>
      <c r="H1470" s="46" t="str">
        <f>CONCATENATE(SIP[[#This Row],[Frequency]],SIP[[#This Row],[Investor ID]])</f>
        <v>25A00102</v>
      </c>
      <c r="I1470" s="46" t="str">
        <f>IF(SIP[[#This Row],[B/S]]="B","BUY",(IF(SIP[[#This Row],[B/S]]="S","SELL"," ")))</f>
        <v>BUY</v>
      </c>
      <c r="J1470" s="150" t="s">
        <v>1229</v>
      </c>
      <c r="K1470" s="153">
        <v>30000</v>
      </c>
      <c r="L1470" s="122"/>
      <c r="M1470" s="123">
        <f>SIP[[#This Row],[Amount]]/SIP[[#This Row],[Unit]]</f>
        <v>13.574660633484163</v>
      </c>
      <c r="N1470" s="71">
        <f>SIP[[#This Row],[Unit Capital]]/10</f>
        <v>2210</v>
      </c>
      <c r="O1470" s="71">
        <f>SUMIFS(SIP[[#Headers],[Unit]]:SIP[[#This Row],[Unit]],SIP[[#Headers],[Investor ID]]:SIP[[#This Row],[Investor ID]],SIP[[#This Row],[Investor ID]])</f>
        <v>44176</v>
      </c>
      <c r="P1470" s="153">
        <v>22100</v>
      </c>
      <c r="Q1470" s="74">
        <f>SIP[[#This Row],[Amount]]-SIP[[#This Row],[Unit Capital]]</f>
        <v>7900</v>
      </c>
      <c r="R14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11.88599358828507</v>
      </c>
      <c r="S1470" s="46">
        <f t="shared" si="69"/>
        <v>14.224</v>
      </c>
      <c r="T14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0" s="74" cm="1">
        <f t="array" ref="U1470">IF(SIP[[#This Row],[B/S]]="S",ABS(SIP[[#This Row],[Unit]])*(INDEX(SIP[NAV at Cost (Average)],MATCH(CONCATENATE((SIP[[#This Row],[Frequency]]-1),SIP[[#This Row],[Investor ID]]),SIP[Unique Code],0),0)),0)</f>
        <v>0</v>
      </c>
      <c r="V1470" s="74">
        <f>IF(SIP[[#This Row],[BO TRANSFER]]="YES",SIP[[#This Row],[Unit]],)</f>
        <v>0</v>
      </c>
      <c r="W1470" s="74">
        <f>SUMIFS(SIP[[#Headers],[BO UNIT TRANSFER]]:SIP[[#This Row],[BO UNIT TRANSFER]],SIP[[#Headers],[Investor ID]]:SIP[[#This Row],[Investor ID]],SIP[[#This Row],[Investor ID]])</f>
        <v>0</v>
      </c>
    </row>
    <row r="1471" spans="1:23" ht="15" customHeight="1">
      <c r="A1471" s="101">
        <v>2025</v>
      </c>
      <c r="B1471" s="101">
        <v>10</v>
      </c>
      <c r="C1471" s="101">
        <v>15</v>
      </c>
      <c r="D1471" s="65">
        <f>DATE(SIP[[#This Row],[Year]],SIP[[#This Row],[Month]],SIP[[#This Row],[Day]])</f>
        <v>45945</v>
      </c>
      <c r="E1471" s="66" t="str" cm="1">
        <f t="array" ref="E1471">INDEX(INVESTORS_LIST[INVESTOR NAME],MATCH(SIP[[#This Row],[Investor ID]],INVESTORS_LIST[INVESTOR CODE],0),)</f>
        <v>SANJIB KUMAR ROY</v>
      </c>
      <c r="F1471" s="46" t="s">
        <v>1020</v>
      </c>
      <c r="G1471" s="46">
        <f>COUNTIF(SIP[[#Headers],[Investor ID]]:SIP[[#This Row],[Investor ID]],SIP[[#This Row],[Investor ID]])</f>
        <v>29</v>
      </c>
      <c r="H1471" s="46" t="str">
        <f>CONCATENATE(SIP[[#This Row],[Frequency]],SIP[[#This Row],[Investor ID]])</f>
        <v>29A00487</v>
      </c>
      <c r="I1471" s="46" t="str">
        <f>IF(SIP[[#This Row],[B/S]]="B","BUY",(IF(SIP[[#This Row],[B/S]]="S","SELL"," ")))</f>
        <v>BUY</v>
      </c>
      <c r="J1471" s="150" t="s">
        <v>1229</v>
      </c>
      <c r="K1471" s="153">
        <v>5000</v>
      </c>
      <c r="L1471" s="122"/>
      <c r="M1471" s="123">
        <f>SIP[[#This Row],[Amount]]/SIP[[#This Row],[Unit]]</f>
        <v>13.586956521739131</v>
      </c>
      <c r="N1471" s="71">
        <f>SIP[[#This Row],[Unit Capital]]/10</f>
        <v>368</v>
      </c>
      <c r="O1471" s="71">
        <f>SUMIFS(SIP[[#Headers],[Unit]]:SIP[[#This Row],[Unit]],SIP[[#Headers],[Investor ID]]:SIP[[#This Row],[Investor ID]],SIP[[#This Row],[Investor ID]])</f>
        <v>12662</v>
      </c>
      <c r="P1471" s="153">
        <v>3680</v>
      </c>
      <c r="Q1471" s="74">
        <f>SIP[[#This Row],[Amount]]-SIP[[#This Row],[Unit Capital]]</f>
        <v>1320</v>
      </c>
      <c r="R14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11.451587426946766</v>
      </c>
      <c r="S1471" s="46">
        <f t="shared" si="69"/>
        <v>14.224</v>
      </c>
      <c r="T14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1" s="74" cm="1">
        <f t="array" ref="U1471">IF(SIP[[#This Row],[B/S]]="S",ABS(SIP[[#This Row],[Unit]])*(INDEX(SIP[NAV at Cost (Average)],MATCH(CONCATENATE((SIP[[#This Row],[Frequency]]-1),SIP[[#This Row],[Investor ID]]),SIP[Unique Code],0),0)),0)</f>
        <v>0</v>
      </c>
      <c r="V1471" s="74">
        <f>IF(SIP[[#This Row],[BO TRANSFER]]="YES",SIP[[#This Row],[Unit]],)</f>
        <v>0</v>
      </c>
      <c r="W1471" s="74">
        <f>SUMIFS(SIP[[#Headers],[BO UNIT TRANSFER]]:SIP[[#This Row],[BO UNIT TRANSFER]],SIP[[#Headers],[Investor ID]]:SIP[[#This Row],[Investor ID]],SIP[[#This Row],[Investor ID]])</f>
        <v>0</v>
      </c>
    </row>
    <row r="1472" spans="1:23" ht="15" customHeight="1">
      <c r="A1472" s="101">
        <v>2025</v>
      </c>
      <c r="B1472" s="101">
        <v>10</v>
      </c>
      <c r="C1472" s="101">
        <v>15</v>
      </c>
      <c r="D1472" s="65">
        <f>DATE(SIP[[#This Row],[Year]],SIP[[#This Row],[Month]],SIP[[#This Row],[Day]])</f>
        <v>45945</v>
      </c>
      <c r="E1472" s="66" t="str" cm="1">
        <f t="array" ref="E1472">INDEX(INVESTORS_LIST[INVESTOR NAME],MATCH(SIP[[#This Row],[Investor ID]],INVESTORS_LIST[INVESTOR CODE],0),)</f>
        <v>JOY SARKAR</v>
      </c>
      <c r="F1472" s="46" t="s">
        <v>1444</v>
      </c>
      <c r="G1472" s="46">
        <f>COUNTIF(SIP[[#Headers],[Investor ID]]:SIP[[#This Row],[Investor ID]],SIP[[#This Row],[Investor ID]])</f>
        <v>1</v>
      </c>
      <c r="H1472" s="46" t="str">
        <f>CONCATENATE(SIP[[#This Row],[Frequency]],SIP[[#This Row],[Investor ID]])</f>
        <v>1A00665</v>
      </c>
      <c r="I1472" s="46" t="str">
        <f>IF(SIP[[#This Row],[B/S]]="B","BUY",(IF(SIP[[#This Row],[B/S]]="S","SELL"," ")))</f>
        <v>BUY</v>
      </c>
      <c r="J1472" s="150" t="s">
        <v>1229</v>
      </c>
      <c r="K1472" s="153">
        <v>6000</v>
      </c>
      <c r="L1472" s="122"/>
      <c r="M1472" s="123">
        <f>SIP[[#This Row],[Amount]]/SIP[[#This Row],[Unit]]</f>
        <v>13.574660633484163</v>
      </c>
      <c r="N1472" s="71">
        <f>SIP[[#This Row],[Unit Capital]]/10</f>
        <v>442</v>
      </c>
      <c r="O1472" s="71">
        <f>SUMIFS(SIP[[#Headers],[Unit]]:SIP[[#This Row],[Unit]],SIP[[#Headers],[Investor ID]]:SIP[[#This Row],[Investor ID]],SIP[[#This Row],[Investor ID]])</f>
        <v>442</v>
      </c>
      <c r="P1472" s="153">
        <v>4420</v>
      </c>
      <c r="Q1472" s="74">
        <f>SIP[[#This Row],[Amount]]-SIP[[#This Row],[Unit Capital]]</f>
        <v>1580</v>
      </c>
      <c r="R14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13.574660633484163</v>
      </c>
      <c r="S1472" s="46">
        <f t="shared" si="69"/>
        <v>14.224</v>
      </c>
      <c r="T14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2" s="74" cm="1">
        <f t="array" ref="U1472">IF(SIP[[#This Row],[B/S]]="S",ABS(SIP[[#This Row],[Unit]])*(INDEX(SIP[NAV at Cost (Average)],MATCH(CONCATENATE((SIP[[#This Row],[Frequency]]-1),SIP[[#This Row],[Investor ID]]),SIP[Unique Code],0),0)),0)</f>
        <v>0</v>
      </c>
      <c r="V1472" s="74">
        <f>IF(SIP[[#This Row],[BO TRANSFER]]="YES",SIP[[#This Row],[Unit]],)</f>
        <v>0</v>
      </c>
      <c r="W1472" s="74">
        <f>SUMIFS(SIP[[#Headers],[BO UNIT TRANSFER]]:SIP[[#This Row],[BO UNIT TRANSFER]],SIP[[#Headers],[Investor ID]]:SIP[[#This Row],[Investor ID]],SIP[[#This Row],[Investor ID]])</f>
        <v>0</v>
      </c>
    </row>
    <row r="1473" spans="1:23" ht="15" customHeight="1">
      <c r="A1473" s="101">
        <v>2025</v>
      </c>
      <c r="B1473" s="101">
        <v>10</v>
      </c>
      <c r="C1473" s="101">
        <v>15</v>
      </c>
      <c r="D1473" s="65">
        <f>DATE(SIP[[#This Row],[Year]],SIP[[#This Row],[Month]],SIP[[#This Row],[Day]])</f>
        <v>45945</v>
      </c>
      <c r="E1473" s="66" t="str" cm="1">
        <f t="array" ref="E1473">INDEX(INVESTORS_LIST[INVESTOR NAME],MATCH(SIP[[#This Row],[Investor ID]],INVESTORS_LIST[INVESTOR CODE],0),)</f>
        <v>MAHMUD ALI ALAMGIR &amp; MOHAMMED ALI XAHANGIR</v>
      </c>
      <c r="F1473" s="46" t="s">
        <v>1130</v>
      </c>
      <c r="G1473" s="46">
        <f>COUNTIF(SIP[[#Headers],[Investor ID]]:SIP[[#This Row],[Investor ID]],SIP[[#This Row],[Investor ID]])</f>
        <v>30</v>
      </c>
      <c r="H1473" s="46" t="str">
        <f>CONCATENATE(SIP[[#This Row],[Frequency]],SIP[[#This Row],[Investor ID]])</f>
        <v>30A00540</v>
      </c>
      <c r="I1473" s="46" t="str">
        <f>IF(SIP[[#This Row],[B/S]]="B","BUY",(IF(SIP[[#This Row],[B/S]]="S","SELL"," ")))</f>
        <v>BUY</v>
      </c>
      <c r="J1473" s="150" t="s">
        <v>1229</v>
      </c>
      <c r="K1473" s="153">
        <v>20000</v>
      </c>
      <c r="L1473" s="122"/>
      <c r="M1473" s="123">
        <f>SIP[[#This Row],[Amount]]/SIP[[#This Row],[Unit]]</f>
        <v>13.577732518669382</v>
      </c>
      <c r="N1473" s="71">
        <f>SIP[[#This Row],[Unit Capital]]/10</f>
        <v>1473</v>
      </c>
      <c r="O1473" s="71">
        <f>SUMIFS(SIP[[#Headers],[Unit]]:SIP[[#This Row],[Unit]],SIP[[#Headers],[Investor ID]]:SIP[[#This Row],[Investor ID]],SIP[[#This Row],[Investor ID]])</f>
        <v>14322</v>
      </c>
      <c r="P1473" s="153">
        <v>14730</v>
      </c>
      <c r="Q1473" s="74">
        <f>SIP[[#This Row],[Amount]]-SIP[[#This Row],[Unit Capital]]</f>
        <v>5270</v>
      </c>
      <c r="R14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12.909841626449767</v>
      </c>
      <c r="S1473" s="46">
        <f t="shared" si="69"/>
        <v>14.224</v>
      </c>
      <c r="T14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3" s="74" cm="1">
        <f t="array" ref="U1473">IF(SIP[[#This Row],[B/S]]="S",ABS(SIP[[#This Row],[Unit]])*(INDEX(SIP[NAV at Cost (Average)],MATCH(CONCATENATE((SIP[[#This Row],[Frequency]]-1),SIP[[#This Row],[Investor ID]]),SIP[Unique Code],0),0)),0)</f>
        <v>0</v>
      </c>
      <c r="V1473" s="74">
        <f>IF(SIP[[#This Row],[BO TRANSFER]]="YES",SIP[[#This Row],[Unit]],)</f>
        <v>0</v>
      </c>
      <c r="W1473" s="74">
        <f>SUMIFS(SIP[[#Headers],[BO UNIT TRANSFER]]:SIP[[#This Row],[BO UNIT TRANSFER]],SIP[[#Headers],[Investor ID]]:SIP[[#This Row],[Investor ID]],SIP[[#This Row],[Investor ID]])</f>
        <v>0</v>
      </c>
    </row>
    <row r="1474" spans="1:23" ht="15" customHeight="1">
      <c r="A1474" s="101">
        <v>2025</v>
      </c>
      <c r="B1474" s="101">
        <v>10</v>
      </c>
      <c r="C1474" s="101">
        <v>15</v>
      </c>
      <c r="D1474" s="65">
        <f>DATE(SIP[[#This Row],[Year]],SIP[[#This Row],[Month]],SIP[[#This Row],[Day]])</f>
        <v>45945</v>
      </c>
      <c r="E1474" s="66" t="str" cm="1">
        <f t="array" ref="E1474">INDEX(INVESTORS_LIST[INVESTOR NAME],MATCH(SIP[[#This Row],[Investor ID]],INVESTORS_LIST[INVESTOR CODE],0),)</f>
        <v>ASRAAR HOSSAIN</v>
      </c>
      <c r="F1474" s="46" t="s">
        <v>786</v>
      </c>
      <c r="G1474" s="46">
        <f>COUNTIF(SIP[[#Headers],[Investor ID]]:SIP[[#This Row],[Investor ID]],SIP[[#This Row],[Investor ID]])</f>
        <v>13</v>
      </c>
      <c r="H1474" s="46" t="str">
        <f>CONCATENATE(SIP[[#This Row],[Frequency]],SIP[[#This Row],[Investor ID]])</f>
        <v>13A00369</v>
      </c>
      <c r="I1474" s="46" t="str">
        <f>IF(SIP[[#This Row],[B/S]]="B","BUY",(IF(SIP[[#This Row],[B/S]]="S","SELL"," ")))</f>
        <v>BUY</v>
      </c>
      <c r="J1474" s="150" t="s">
        <v>1229</v>
      </c>
      <c r="K1474" s="153">
        <v>15000</v>
      </c>
      <c r="L1474" s="122" t="s">
        <v>1230</v>
      </c>
      <c r="M1474" s="123">
        <f>SIP[[#This Row],[Amount]]/SIP[[#This Row],[Unit]]</f>
        <v>13.574660633484163</v>
      </c>
      <c r="N1474" s="71">
        <f>SIP[[#This Row],[Unit Capital]]/10</f>
        <v>1105</v>
      </c>
      <c r="O1474" s="71">
        <f>SUMIFS(SIP[[#Headers],[Unit]]:SIP[[#This Row],[Unit]],SIP[[#Headers],[Investor ID]]:SIP[[#This Row],[Investor ID]],SIP[[#This Row],[Investor ID]])</f>
        <v>15710</v>
      </c>
      <c r="P1474" s="153">
        <v>11050</v>
      </c>
      <c r="Q1474" s="74">
        <f>SIP[[#This Row],[Amount]]-SIP[[#This Row],[Unit Capital]]</f>
        <v>3950</v>
      </c>
      <c r="R14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12.412476129853596</v>
      </c>
      <c r="S1474" s="46">
        <f t="shared" si="69"/>
        <v>14.224</v>
      </c>
      <c r="T14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4" s="74" cm="1">
        <f t="array" ref="U1474">IF(SIP[[#This Row],[B/S]]="S",ABS(SIP[[#This Row],[Unit]])*(INDEX(SIP[NAV at Cost (Average)],MATCH(CONCATENATE((SIP[[#This Row],[Frequency]]-1),SIP[[#This Row],[Investor ID]]),SIP[Unique Code],0),0)),0)</f>
        <v>0</v>
      </c>
      <c r="V1474" s="74">
        <f>IF(SIP[[#This Row],[BO TRANSFER]]="YES",SIP[[#This Row],[Unit]],)</f>
        <v>1105</v>
      </c>
      <c r="W1474" s="74">
        <f>SUMIFS(SIP[[#Headers],[BO UNIT TRANSFER]]:SIP[[#This Row],[BO UNIT TRANSFER]],SIP[[#Headers],[Investor ID]]:SIP[[#This Row],[Investor ID]],SIP[[#This Row],[Investor ID]])</f>
        <v>4570</v>
      </c>
    </row>
    <row r="1475" spans="1:23" ht="15" customHeight="1">
      <c r="A1475" s="101">
        <v>2025</v>
      </c>
      <c r="B1475" s="101">
        <v>10</v>
      </c>
      <c r="C1475" s="101">
        <v>15</v>
      </c>
      <c r="D1475" s="65">
        <f>DATE(SIP[[#This Row],[Year]],SIP[[#This Row],[Month]],SIP[[#This Row],[Day]])</f>
        <v>45945</v>
      </c>
      <c r="E1475" s="66" t="str" cm="1">
        <f t="array" ref="E1475">INDEX(INVESTORS_LIST[INVESTOR NAME],MATCH(SIP[[#This Row],[Investor ID]],INVESTORS_LIST[INVESTOR CODE],0),)</f>
        <v>RUKAIYA FAHMIDA</v>
      </c>
      <c r="F1475" s="46" t="s">
        <v>1190</v>
      </c>
      <c r="G1475" s="46">
        <f>COUNTIF(SIP[[#Headers],[Investor ID]]:SIP[[#This Row],[Investor ID]],SIP[[#This Row],[Investor ID]])</f>
        <v>8</v>
      </c>
      <c r="H1475" s="46" t="str">
        <f>CONCATENATE(SIP[[#This Row],[Frequency]],SIP[[#This Row],[Investor ID]])</f>
        <v>8A00571</v>
      </c>
      <c r="I1475" s="46" t="str">
        <f>IF(SIP[[#This Row],[B/S]]="B","BUY",(IF(SIP[[#This Row],[B/S]]="S","SELL"," ")))</f>
        <v>BUY</v>
      </c>
      <c r="J1475" s="150" t="s">
        <v>1229</v>
      </c>
      <c r="K1475" s="153">
        <v>2000</v>
      </c>
      <c r="L1475" s="122"/>
      <c r="M1475" s="123">
        <f>SIP[[#This Row],[Amount]]/SIP[[#This Row],[Unit]]</f>
        <v>13.605442176870747</v>
      </c>
      <c r="N1475" s="71">
        <f>SIP[[#This Row],[Unit Capital]]/10</f>
        <v>147</v>
      </c>
      <c r="O1475" s="71">
        <f>SUMIFS(SIP[[#Headers],[Unit]]:SIP[[#This Row],[Unit]],SIP[[#Headers],[Investor ID]]:SIP[[#This Row],[Investor ID]],SIP[[#This Row],[Investor ID]])</f>
        <v>1249</v>
      </c>
      <c r="P1475" s="153">
        <v>1470</v>
      </c>
      <c r="Q1475" s="74">
        <f>SIP[[#This Row],[Amount]]-SIP[[#This Row],[Unit Capital]]</f>
        <v>530</v>
      </c>
      <c r="R14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12.810248198558845</v>
      </c>
      <c r="S1475" s="46">
        <f t="shared" si="69"/>
        <v>14.224</v>
      </c>
      <c r="T14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5" s="74" cm="1">
        <f t="array" ref="U1475">IF(SIP[[#This Row],[B/S]]="S",ABS(SIP[[#This Row],[Unit]])*(INDEX(SIP[NAV at Cost (Average)],MATCH(CONCATENATE((SIP[[#This Row],[Frequency]]-1),SIP[[#This Row],[Investor ID]]),SIP[Unique Code],0),0)),0)</f>
        <v>0</v>
      </c>
      <c r="V1475" s="74">
        <f>IF(SIP[[#This Row],[BO TRANSFER]]="YES",SIP[[#This Row],[Unit]],)</f>
        <v>0</v>
      </c>
      <c r="W1475" s="74">
        <f>SUMIFS(SIP[[#Headers],[BO UNIT TRANSFER]]:SIP[[#This Row],[BO UNIT TRANSFER]],SIP[[#Headers],[Investor ID]]:SIP[[#This Row],[Investor ID]],SIP[[#This Row],[Investor ID]])</f>
        <v>0</v>
      </c>
    </row>
    <row r="1476" spans="1:23" ht="15" customHeight="1">
      <c r="A1476" s="101">
        <v>2025</v>
      </c>
      <c r="B1476" s="101">
        <v>10</v>
      </c>
      <c r="C1476" s="101">
        <v>15</v>
      </c>
      <c r="D1476" s="65">
        <f>DATE(SIP[[#This Row],[Year]],SIP[[#This Row],[Month]],SIP[[#This Row],[Day]])</f>
        <v>45945</v>
      </c>
      <c r="E1476" s="66" t="str" cm="1">
        <f t="array" ref="E1476">INDEX(INVESTORS_LIST[INVESTOR NAME],MATCH(SIP[[#This Row],[Investor ID]],INVESTORS_LIST[INVESTOR CODE],0),)</f>
        <v>MAHMUD ALI ALAMGIR &amp; MOHAMMED ALI XAHANGIR</v>
      </c>
      <c r="F1476" s="46" t="s">
        <v>1130</v>
      </c>
      <c r="G1476" s="46">
        <f>COUNTIF(SIP[[#Headers],[Investor ID]]:SIP[[#This Row],[Investor ID]],SIP[[#This Row],[Investor ID]])</f>
        <v>31</v>
      </c>
      <c r="H1476" s="46" t="str">
        <f>CONCATENATE(SIP[[#This Row],[Frequency]],SIP[[#This Row],[Investor ID]])</f>
        <v>31A00540</v>
      </c>
      <c r="I1476" s="46" t="str">
        <f>IF(SIP[[#This Row],[B/S]]="B","BUY",(IF(SIP[[#This Row],[B/S]]="S","SELL"," ")))</f>
        <v>BUY</v>
      </c>
      <c r="J1476" s="150" t="s">
        <v>1229</v>
      </c>
      <c r="K1476" s="153">
        <v>40000</v>
      </c>
      <c r="L1476" s="122"/>
      <c r="M1476" s="123">
        <f>SIP[[#This Row],[Amount]]/SIP[[#This Row],[Unit]]</f>
        <v>13.573125212080081</v>
      </c>
      <c r="N1476" s="71">
        <f>SIP[[#This Row],[Unit Capital]]/10</f>
        <v>2947</v>
      </c>
      <c r="O1476" s="71">
        <f>SUMIFS(SIP[[#Headers],[Unit]]:SIP[[#This Row],[Unit]],SIP[[#Headers],[Investor ID]]:SIP[[#This Row],[Investor ID]],SIP[[#This Row],[Investor ID]])</f>
        <v>17269</v>
      </c>
      <c r="P1476" s="153">
        <v>29470</v>
      </c>
      <c r="Q1476" s="74">
        <f>SIP[[#This Row],[Amount]]-SIP[[#This Row],[Unit Capital]]</f>
        <v>10530</v>
      </c>
      <c r="R14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13.023032704500178</v>
      </c>
      <c r="S1476" s="46">
        <f t="shared" si="69"/>
        <v>14.224</v>
      </c>
      <c r="T14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6" s="74" cm="1">
        <f t="array" ref="U1476">IF(SIP[[#This Row],[B/S]]="S",ABS(SIP[[#This Row],[Unit]])*(INDEX(SIP[NAV at Cost (Average)],MATCH(CONCATENATE((SIP[[#This Row],[Frequency]]-1),SIP[[#This Row],[Investor ID]]),SIP[Unique Code],0),0)),0)</f>
        <v>0</v>
      </c>
      <c r="V1476" s="74">
        <f>IF(SIP[[#This Row],[BO TRANSFER]]="YES",SIP[[#This Row],[Unit]],)</f>
        <v>0</v>
      </c>
      <c r="W1476" s="74">
        <f>SUMIFS(SIP[[#Headers],[BO UNIT TRANSFER]]:SIP[[#This Row],[BO UNIT TRANSFER]],SIP[[#Headers],[Investor ID]]:SIP[[#This Row],[Investor ID]],SIP[[#This Row],[Investor ID]])</f>
        <v>0</v>
      </c>
    </row>
    <row r="1477" spans="1:23" ht="15" customHeight="1">
      <c r="A1477" s="101">
        <v>2025</v>
      </c>
      <c r="B1477" s="101">
        <v>10</v>
      </c>
      <c r="C1477" s="101">
        <v>15</v>
      </c>
      <c r="D1477" s="65">
        <f>DATE(SIP[[#This Row],[Year]],SIP[[#This Row],[Month]],SIP[[#This Row],[Day]])</f>
        <v>45945</v>
      </c>
      <c r="E1477" s="66" t="str" cm="1">
        <f t="array" ref="E1477">INDEX(INVESTORS_LIST[INVESTOR NAME],MATCH(SIP[[#This Row],[Investor ID]],INVESTORS_LIST[INVESTOR CODE],0),)</f>
        <v>MD. RAFIQUR RAHMAN</v>
      </c>
      <c r="F1477" s="46" t="s">
        <v>622</v>
      </c>
      <c r="G1477" s="46">
        <f>COUNTIF(SIP[[#Headers],[Investor ID]]:SIP[[#This Row],[Investor ID]],SIP[[#This Row],[Investor ID]])</f>
        <v>26</v>
      </c>
      <c r="H1477" s="46" t="str">
        <f>CONCATENATE(SIP[[#This Row],[Frequency]],SIP[[#This Row],[Investor ID]])</f>
        <v>26A00287</v>
      </c>
      <c r="I1477" s="46" t="str">
        <f>IF(SIP[[#This Row],[B/S]]="B","BUY",(IF(SIP[[#This Row],[B/S]]="S","SELL"," ")))</f>
        <v>BUY</v>
      </c>
      <c r="J1477" s="150" t="s">
        <v>1229</v>
      </c>
      <c r="K1477" s="153">
        <v>20000</v>
      </c>
      <c r="L1477" s="122"/>
      <c r="M1477" s="123">
        <f>SIP[[#This Row],[Amount]]/SIP[[#This Row],[Unit]]</f>
        <v>13.577732518669382</v>
      </c>
      <c r="N1477" s="71">
        <f>SIP[[#This Row],[Unit Capital]]/10</f>
        <v>1473</v>
      </c>
      <c r="O1477" s="71">
        <f>SUMIFS(SIP[[#Headers],[Unit]]:SIP[[#This Row],[Unit]],SIP[[#Headers],[Investor ID]]:SIP[[#This Row],[Investor ID]],SIP[[#This Row],[Investor ID]])</f>
        <v>44821</v>
      </c>
      <c r="P1477" s="153">
        <v>14730</v>
      </c>
      <c r="Q1477" s="74">
        <f>SIP[[#This Row],[Amount]]-SIP[[#This Row],[Unit Capital]]</f>
        <v>5270</v>
      </c>
      <c r="R14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11.601704558131235</v>
      </c>
      <c r="S1477" s="46">
        <f t="shared" si="69"/>
        <v>14.224</v>
      </c>
      <c r="T14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7" s="74" cm="1">
        <f t="array" ref="U1477">IF(SIP[[#This Row],[B/S]]="S",ABS(SIP[[#This Row],[Unit]])*(INDEX(SIP[NAV at Cost (Average)],MATCH(CONCATENATE((SIP[[#This Row],[Frequency]]-1),SIP[[#This Row],[Investor ID]]),SIP[Unique Code],0),0)),0)</f>
        <v>0</v>
      </c>
      <c r="V1477" s="74">
        <f>IF(SIP[[#This Row],[BO TRANSFER]]="YES",SIP[[#This Row],[Unit]],)</f>
        <v>0</v>
      </c>
      <c r="W1477" s="74">
        <f>SUMIFS(SIP[[#Headers],[BO UNIT TRANSFER]]:SIP[[#This Row],[BO UNIT TRANSFER]],SIP[[#Headers],[Investor ID]]:SIP[[#This Row],[Investor ID]],SIP[[#This Row],[Investor ID]])</f>
        <v>0</v>
      </c>
    </row>
    <row r="1478" spans="1:23" ht="15" customHeight="1">
      <c r="A1478" s="101">
        <v>2025</v>
      </c>
      <c r="B1478" s="101">
        <v>10</v>
      </c>
      <c r="C1478" s="101">
        <v>15</v>
      </c>
      <c r="D1478" s="65">
        <f>DATE(SIP[[#This Row],[Year]],SIP[[#This Row],[Month]],SIP[[#This Row],[Day]])</f>
        <v>45945</v>
      </c>
      <c r="E1478" s="66" t="str" cm="1">
        <f t="array" ref="E1478">INDEX(INVESTORS_LIST[INVESTOR NAME],MATCH(SIP[[#This Row],[Investor ID]],INVESTORS_LIST[INVESTOR CODE],0),)</f>
        <v>MAHFUZA ANIKA</v>
      </c>
      <c r="F1478" s="46" t="s">
        <v>1277</v>
      </c>
      <c r="G1478" s="46">
        <f>COUNTIF(SIP[[#Headers],[Investor ID]]:SIP[[#This Row],[Investor ID]],SIP[[#This Row],[Investor ID]])</f>
        <v>18</v>
      </c>
      <c r="H1478" s="46" t="str">
        <f>CONCATENATE(SIP[[#This Row],[Frequency]],SIP[[#This Row],[Investor ID]])</f>
        <v>18A00585</v>
      </c>
      <c r="I1478" s="46" t="str">
        <f>IF(SIP[[#This Row],[B/S]]="B","BUY",(IF(SIP[[#This Row],[B/S]]="S","SELL"," ")))</f>
        <v>BUY</v>
      </c>
      <c r="J1478" s="150" t="s">
        <v>1229</v>
      </c>
      <c r="K1478" s="153">
        <v>2000</v>
      </c>
      <c r="L1478" s="122"/>
      <c r="M1478" s="123">
        <f>SIP[[#This Row],[Amount]]/SIP[[#This Row],[Unit]]</f>
        <v>13.605442176870747</v>
      </c>
      <c r="N1478" s="71">
        <f>SIP[[#This Row],[Unit Capital]]/10</f>
        <v>147</v>
      </c>
      <c r="O1478" s="71">
        <f>SUMIFS(SIP[[#Headers],[Unit]]:SIP[[#This Row],[Unit]],SIP[[#Headers],[Investor ID]]:SIP[[#This Row],[Investor ID]],SIP[[#This Row],[Investor ID]])</f>
        <v>438</v>
      </c>
      <c r="P1478" s="153">
        <v>1470</v>
      </c>
      <c r="Q1478" s="74">
        <f>SIP[[#This Row],[Amount]]-SIP[[#This Row],[Unit Capital]]</f>
        <v>530</v>
      </c>
      <c r="R14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13.010107212803927</v>
      </c>
      <c r="S1478" s="46">
        <f t="shared" si="69"/>
        <v>14.224</v>
      </c>
      <c r="T14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8" s="74" cm="1">
        <f t="array" ref="U1478">IF(SIP[[#This Row],[B/S]]="S",ABS(SIP[[#This Row],[Unit]])*(INDEX(SIP[NAV at Cost (Average)],MATCH(CONCATENATE((SIP[[#This Row],[Frequency]]-1),SIP[[#This Row],[Investor ID]]),SIP[Unique Code],0),0)),0)</f>
        <v>0</v>
      </c>
      <c r="V1478" s="74">
        <f>IF(SIP[[#This Row],[BO TRANSFER]]="YES",SIP[[#This Row],[Unit]],)</f>
        <v>0</v>
      </c>
      <c r="W1478" s="74">
        <f>SUMIFS(SIP[[#Headers],[BO UNIT TRANSFER]]:SIP[[#This Row],[BO UNIT TRANSFER]],SIP[[#Headers],[Investor ID]]:SIP[[#This Row],[Investor ID]],SIP[[#This Row],[Investor ID]])</f>
        <v>0</v>
      </c>
    </row>
    <row r="1479" spans="1:23" ht="15" customHeight="1">
      <c r="A1479" s="101">
        <v>2025</v>
      </c>
      <c r="B1479" s="101">
        <v>10</v>
      </c>
      <c r="C1479" s="101">
        <v>26</v>
      </c>
      <c r="D1479" s="65">
        <f>DATE(SIP[[#This Row],[Year]],SIP[[#This Row],[Month]],SIP[[#This Row],[Day]])</f>
        <v>45956</v>
      </c>
      <c r="E1479" s="66" t="str" cm="1">
        <f t="array" ref="E1479">INDEX(INVESTORS_LIST[INVESTOR NAME],MATCH(SIP[[#This Row],[Investor ID]],INVESTORS_LIST[INVESTOR CODE],0),)</f>
        <v>MD. WALI ULLAH</v>
      </c>
      <c r="F1479" s="46" t="s">
        <v>443</v>
      </c>
      <c r="G1479" s="46">
        <f>COUNTIF(SIP[[#Headers],[Investor ID]]:SIP[[#This Row],[Investor ID]],SIP[[#This Row],[Investor ID]])</f>
        <v>30</v>
      </c>
      <c r="H1479" s="46" t="str">
        <f>CONCATENATE(SIP[[#This Row],[Frequency]],SIP[[#This Row],[Investor ID]])</f>
        <v>30A00197</v>
      </c>
      <c r="I1479" s="46" t="str">
        <f>IF(SIP[[#This Row],[B/S]]="B","BUY",(IF(SIP[[#This Row],[B/S]]="S","SELL"," ")))</f>
        <v>BUY</v>
      </c>
      <c r="J1479" s="150" t="s">
        <v>1229</v>
      </c>
      <c r="K1479" s="153">
        <v>15000</v>
      </c>
      <c r="L1479" s="122"/>
      <c r="M1479" s="123">
        <f>SIP[[#This Row],[Amount]]/SIP[[#This Row],[Unit]]</f>
        <v>13.66120218579235</v>
      </c>
      <c r="N1479" s="71">
        <f>SIP[[#This Row],[Unit Capital]]/10</f>
        <v>1098</v>
      </c>
      <c r="O1479" s="71">
        <f>SUMIFS(SIP[[#Headers],[Unit]]:SIP[[#This Row],[Unit]],SIP[[#Headers],[Investor ID]]:SIP[[#This Row],[Investor ID]],SIP[[#This Row],[Investor ID]])</f>
        <v>39322</v>
      </c>
      <c r="P1479" s="153">
        <v>10980</v>
      </c>
      <c r="Q1479" s="74">
        <f>SIP[[#This Row],[Amount]]-SIP[[#This Row],[Unit Capital]]</f>
        <v>4020</v>
      </c>
      <c r="R14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11.443975382737399</v>
      </c>
      <c r="S1479" s="46">
        <f t="shared" ref="S1479:S1516" si="70">NAV_MKT</f>
        <v>14.224</v>
      </c>
      <c r="T14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9" s="74" cm="1">
        <f t="array" ref="U1479">IF(SIP[[#This Row],[B/S]]="S",ABS(SIP[[#This Row],[Unit]])*(INDEX(SIP[NAV at Cost (Average)],MATCH(CONCATENATE((SIP[[#This Row],[Frequency]]-1),SIP[[#This Row],[Investor ID]]),SIP[Unique Code],0),0)),0)</f>
        <v>0</v>
      </c>
      <c r="V1479" s="74">
        <f>IF(SIP[[#This Row],[BO TRANSFER]]="YES",SIP[[#This Row],[Unit]],)</f>
        <v>0</v>
      </c>
      <c r="W1479" s="74">
        <f>SUMIFS(SIP[[#Headers],[BO UNIT TRANSFER]]:SIP[[#This Row],[BO UNIT TRANSFER]],SIP[[#Headers],[Investor ID]]:SIP[[#This Row],[Investor ID]],SIP[[#This Row],[Investor ID]])</f>
        <v>0</v>
      </c>
    </row>
    <row r="1480" spans="1:23" ht="15" customHeight="1">
      <c r="A1480" s="101">
        <v>2025</v>
      </c>
      <c r="B1480" s="101">
        <v>10</v>
      </c>
      <c r="C1480" s="101">
        <v>26</v>
      </c>
      <c r="D1480" s="65">
        <f>DATE(SIP[[#This Row],[Year]],SIP[[#This Row],[Month]],SIP[[#This Row],[Day]])</f>
        <v>45956</v>
      </c>
      <c r="E1480" s="66" t="str" cm="1">
        <f t="array" ref="E1480">INDEX(INVESTORS_LIST[INVESTOR NAME],MATCH(SIP[[#This Row],[Investor ID]],INVESTORS_LIST[INVESTOR CODE],0),)</f>
        <v>MAYA RANI SAHA</v>
      </c>
      <c r="F1480" s="46" t="s">
        <v>224</v>
      </c>
      <c r="G1480" s="46">
        <f>COUNTIF(SIP[[#Headers],[Investor ID]]:SIP[[#This Row],[Investor ID]],SIP[[#This Row],[Investor ID]])</f>
        <v>69</v>
      </c>
      <c r="H1480" s="46" t="str">
        <f>CONCATENATE(SIP[[#This Row],[Frequency]],SIP[[#This Row],[Investor ID]])</f>
        <v>69A00088</v>
      </c>
      <c r="I1480" s="46" t="str">
        <f>IF(SIP[[#This Row],[B/S]]="B","BUY",(IF(SIP[[#This Row],[B/S]]="S","SELL"," ")))</f>
        <v>BUY</v>
      </c>
      <c r="J1480" s="150" t="s">
        <v>1229</v>
      </c>
      <c r="K1480" s="153">
        <v>14000</v>
      </c>
      <c r="L1480" s="122"/>
      <c r="M1480" s="123">
        <f>SIP[[#This Row],[Amount]]/SIP[[#This Row],[Unit]]</f>
        <v>13.658536585365853</v>
      </c>
      <c r="N1480" s="71">
        <f>SIP[[#This Row],[Unit Capital]]/10</f>
        <v>1025</v>
      </c>
      <c r="O1480" s="71">
        <f>SUMIFS(SIP[[#Headers],[Unit]]:SIP[[#This Row],[Unit]],SIP[[#Headers],[Investor ID]]:SIP[[#This Row],[Investor ID]],SIP[[#This Row],[Investor ID]])</f>
        <v>81141</v>
      </c>
      <c r="P1480" s="153">
        <v>10250</v>
      </c>
      <c r="Q1480" s="74">
        <f>SIP[[#This Row],[Amount]]-SIP[[#This Row],[Unit Capital]]</f>
        <v>3750</v>
      </c>
      <c r="R14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11.831256701297741</v>
      </c>
      <c r="S1480" s="46">
        <f t="shared" si="70"/>
        <v>14.224</v>
      </c>
      <c r="T14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0" s="74" cm="1">
        <f t="array" ref="U1480">IF(SIP[[#This Row],[B/S]]="S",ABS(SIP[[#This Row],[Unit]])*(INDEX(SIP[NAV at Cost (Average)],MATCH(CONCATENATE((SIP[[#This Row],[Frequency]]-1),SIP[[#This Row],[Investor ID]]),SIP[Unique Code],0),0)),0)</f>
        <v>0</v>
      </c>
      <c r="V1480" s="74">
        <f>IF(SIP[[#This Row],[BO TRANSFER]]="YES",SIP[[#This Row],[Unit]],)</f>
        <v>0</v>
      </c>
      <c r="W1480" s="74">
        <f>SUMIFS(SIP[[#Headers],[BO UNIT TRANSFER]]:SIP[[#This Row],[BO UNIT TRANSFER]],SIP[[#Headers],[Investor ID]]:SIP[[#This Row],[Investor ID]],SIP[[#This Row],[Investor ID]])</f>
        <v>0</v>
      </c>
    </row>
    <row r="1481" spans="1:23" ht="15" customHeight="1">
      <c r="A1481" s="101">
        <v>2025</v>
      </c>
      <c r="B1481" s="101">
        <v>10</v>
      </c>
      <c r="C1481" s="101">
        <v>26</v>
      </c>
      <c r="D1481" s="65">
        <f>DATE(SIP[[#This Row],[Year]],SIP[[#This Row],[Month]],SIP[[#This Row],[Day]])</f>
        <v>45956</v>
      </c>
      <c r="E1481" s="66" t="str" cm="1">
        <f t="array" ref="E1481">INDEX(INVESTORS_LIST[INVESTOR NAME],MATCH(SIP[[#This Row],[Investor ID]],INVESTORS_LIST[INVESTOR CODE],0),)</f>
        <v>SIKDER FAZLE RABBI</v>
      </c>
      <c r="F1481" s="46" t="s">
        <v>1032</v>
      </c>
      <c r="G1481" s="46">
        <f>COUNTIF(SIP[[#Headers],[Investor ID]]:SIP[[#This Row],[Investor ID]],SIP[[#This Row],[Investor ID]])</f>
        <v>29</v>
      </c>
      <c r="H1481" s="46" t="str">
        <f>CONCATENATE(SIP[[#This Row],[Frequency]],SIP[[#This Row],[Investor ID]])</f>
        <v>29A00493</v>
      </c>
      <c r="I1481" s="46" t="str">
        <f>IF(SIP[[#This Row],[B/S]]="B","BUY",(IF(SIP[[#This Row],[B/S]]="S","SELL"," ")))</f>
        <v>BUY</v>
      </c>
      <c r="J1481" s="150" t="s">
        <v>1229</v>
      </c>
      <c r="K1481" s="153">
        <v>5000</v>
      </c>
      <c r="L1481" s="122"/>
      <c r="M1481" s="123">
        <f>SIP[[#This Row],[Amount]]/SIP[[#This Row],[Unit]]</f>
        <v>13.66120218579235</v>
      </c>
      <c r="N1481" s="71">
        <f>SIP[[#This Row],[Unit Capital]]/10</f>
        <v>366</v>
      </c>
      <c r="O1481" s="71">
        <f>SUMIFS(SIP[[#Headers],[Unit]]:SIP[[#This Row],[Unit]],SIP[[#Headers],[Investor ID]]:SIP[[#This Row],[Investor ID]],SIP[[#This Row],[Investor ID]])</f>
        <v>12615</v>
      </c>
      <c r="P1481" s="153">
        <v>3660</v>
      </c>
      <c r="Q1481" s="74">
        <f>SIP[[#This Row],[Amount]]-SIP[[#This Row],[Unit Capital]]</f>
        <v>1340</v>
      </c>
      <c r="R14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11.494252873563221</v>
      </c>
      <c r="S1481" s="46">
        <f t="shared" si="70"/>
        <v>14.224</v>
      </c>
      <c r="T14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1" s="74" cm="1">
        <f t="array" ref="U1481">IF(SIP[[#This Row],[B/S]]="S",ABS(SIP[[#This Row],[Unit]])*(INDEX(SIP[NAV at Cost (Average)],MATCH(CONCATENATE((SIP[[#This Row],[Frequency]]-1),SIP[[#This Row],[Investor ID]]),SIP[Unique Code],0),0)),0)</f>
        <v>0</v>
      </c>
      <c r="V1481" s="74">
        <f>IF(SIP[[#This Row],[BO TRANSFER]]="YES",SIP[[#This Row],[Unit]],)</f>
        <v>0</v>
      </c>
      <c r="W1481" s="74">
        <f>SUMIFS(SIP[[#Headers],[BO UNIT TRANSFER]]:SIP[[#This Row],[BO UNIT TRANSFER]],SIP[[#Headers],[Investor ID]]:SIP[[#This Row],[Investor ID]],SIP[[#This Row],[Investor ID]])</f>
        <v>0</v>
      </c>
    </row>
    <row r="1482" spans="1:23" ht="15" customHeight="1">
      <c r="A1482" s="101">
        <v>2025</v>
      </c>
      <c r="B1482" s="101">
        <v>10</v>
      </c>
      <c r="C1482" s="101">
        <v>26</v>
      </c>
      <c r="D1482" s="65">
        <f>DATE(SIP[[#This Row],[Year]],SIP[[#This Row],[Month]],SIP[[#This Row],[Day]])</f>
        <v>45956</v>
      </c>
      <c r="E1482" s="66" t="str" cm="1">
        <f t="array" ref="E1482">INDEX(INVESTORS_LIST[INVESTOR NAME],MATCH(SIP[[#This Row],[Investor ID]],INVESTORS_LIST[INVESTOR CODE],0),)</f>
        <v>MOHAMMED SHARIFUL ISLAM</v>
      </c>
      <c r="F1482" s="46" t="s">
        <v>1028</v>
      </c>
      <c r="G1482" s="46">
        <f>COUNTIF(SIP[[#Headers],[Investor ID]]:SIP[[#This Row],[Investor ID]],SIP[[#This Row],[Investor ID]])</f>
        <v>29</v>
      </c>
      <c r="H1482" s="46" t="str">
        <f>CONCATENATE(SIP[[#This Row],[Frequency]],SIP[[#This Row],[Investor ID]])</f>
        <v>29A00491</v>
      </c>
      <c r="I1482" s="46" t="str">
        <f>IF(SIP[[#This Row],[B/S]]="B","BUY",(IF(SIP[[#This Row],[B/S]]="S","SELL"," ")))</f>
        <v>BUY</v>
      </c>
      <c r="J1482" s="150" t="s">
        <v>1229</v>
      </c>
      <c r="K1482" s="153">
        <v>5000</v>
      </c>
      <c r="L1482" s="122"/>
      <c r="M1482" s="123">
        <f>SIP[[#This Row],[Amount]]/SIP[[#This Row],[Unit]]</f>
        <v>13.66120218579235</v>
      </c>
      <c r="N1482" s="71">
        <f>SIP[[#This Row],[Unit Capital]]/10</f>
        <v>366</v>
      </c>
      <c r="O1482" s="71">
        <f>SUMIFS(SIP[[#Headers],[Unit]]:SIP[[#This Row],[Unit]],SIP[[#Headers],[Investor ID]]:SIP[[#This Row],[Investor ID]],SIP[[#This Row],[Investor ID]])</f>
        <v>12615</v>
      </c>
      <c r="P1482" s="153">
        <v>3660</v>
      </c>
      <c r="Q1482" s="74">
        <f>SIP[[#This Row],[Amount]]-SIP[[#This Row],[Unit Capital]]</f>
        <v>1340</v>
      </c>
      <c r="R14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11.494252873563221</v>
      </c>
      <c r="S1482" s="46">
        <f t="shared" si="70"/>
        <v>14.224</v>
      </c>
      <c r="T14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2" s="74" cm="1">
        <f t="array" ref="U1482">IF(SIP[[#This Row],[B/S]]="S",ABS(SIP[[#This Row],[Unit]])*(INDEX(SIP[NAV at Cost (Average)],MATCH(CONCATENATE((SIP[[#This Row],[Frequency]]-1),SIP[[#This Row],[Investor ID]]),SIP[Unique Code],0),0)),0)</f>
        <v>0</v>
      </c>
      <c r="V1482" s="74">
        <f>IF(SIP[[#This Row],[BO TRANSFER]]="YES",SIP[[#This Row],[Unit]],)</f>
        <v>0</v>
      </c>
      <c r="W1482" s="74">
        <f>SUMIFS(SIP[[#Headers],[BO UNIT TRANSFER]]:SIP[[#This Row],[BO UNIT TRANSFER]],SIP[[#Headers],[Investor ID]]:SIP[[#This Row],[Investor ID]],SIP[[#This Row],[Investor ID]])</f>
        <v>0</v>
      </c>
    </row>
    <row r="1483" spans="1:23" ht="15" customHeight="1">
      <c r="A1483" s="101">
        <v>2025</v>
      </c>
      <c r="B1483" s="101">
        <v>10</v>
      </c>
      <c r="C1483" s="101">
        <v>26</v>
      </c>
      <c r="D1483" s="65">
        <f>DATE(SIP[[#This Row],[Year]],SIP[[#This Row],[Month]],SIP[[#This Row],[Day]])</f>
        <v>45956</v>
      </c>
      <c r="E1483" s="66" t="str" cm="1">
        <f t="array" ref="E1483">INDEX(INVESTORS_LIST[INVESTOR NAME],MATCH(SIP[[#This Row],[Investor ID]],INVESTORS_LIST[INVESTOR CODE],0),)</f>
        <v>SAJJAD CHOWDHURY</v>
      </c>
      <c r="F1483" s="46" t="s">
        <v>461</v>
      </c>
      <c r="G1483" s="46">
        <f>COUNTIF(SIP[[#Headers],[Investor ID]]:SIP[[#This Row],[Investor ID]],SIP[[#This Row],[Investor ID]])</f>
        <v>27</v>
      </c>
      <c r="H1483" s="46" t="str">
        <f>CONCATENATE(SIP[[#This Row],[Frequency]],SIP[[#This Row],[Investor ID]])</f>
        <v>27A00206</v>
      </c>
      <c r="I1483" s="46" t="str">
        <f>IF(SIP[[#This Row],[B/S]]="B","BUY",(IF(SIP[[#This Row],[B/S]]="S","SELL"," ")))</f>
        <v>BUY</v>
      </c>
      <c r="J1483" s="150" t="s">
        <v>1229</v>
      </c>
      <c r="K1483" s="153">
        <v>7500</v>
      </c>
      <c r="L1483" s="122"/>
      <c r="M1483" s="123">
        <f>SIP[[#This Row],[Amount]]/SIP[[#This Row],[Unit]]</f>
        <v>13.66120218579235</v>
      </c>
      <c r="N1483" s="71">
        <f>SIP[[#This Row],[Unit Capital]]/10</f>
        <v>549</v>
      </c>
      <c r="O1483" s="71">
        <f>SUMIFS(SIP[[#Headers],[Unit]]:SIP[[#This Row],[Unit]],SIP[[#Headers],[Investor ID]]:SIP[[#This Row],[Investor ID]],SIP[[#This Row],[Investor ID]])</f>
        <v>1313</v>
      </c>
      <c r="P1483" s="153">
        <v>5490</v>
      </c>
      <c r="Q1483" s="74">
        <f>SIP[[#This Row],[Amount]]-SIP[[#This Row],[Unit Capital]]</f>
        <v>2010</v>
      </c>
      <c r="R14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12.185000261621772</v>
      </c>
      <c r="S1483" s="46">
        <f t="shared" si="70"/>
        <v>14.224</v>
      </c>
      <c r="T14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3" s="74" cm="1">
        <f t="array" ref="U1483">IF(SIP[[#This Row],[B/S]]="S",ABS(SIP[[#This Row],[Unit]])*(INDEX(SIP[NAV at Cost (Average)],MATCH(CONCATENATE((SIP[[#This Row],[Frequency]]-1),SIP[[#This Row],[Investor ID]]),SIP[Unique Code],0),0)),0)</f>
        <v>0</v>
      </c>
      <c r="V1483" s="74">
        <f>IF(SIP[[#This Row],[BO TRANSFER]]="YES",SIP[[#This Row],[Unit]],)</f>
        <v>0</v>
      </c>
      <c r="W1483" s="74">
        <f>SUMIFS(SIP[[#Headers],[BO UNIT TRANSFER]]:SIP[[#This Row],[BO UNIT TRANSFER]],SIP[[#Headers],[Investor ID]]:SIP[[#This Row],[Investor ID]],SIP[[#This Row],[Investor ID]])</f>
        <v>0</v>
      </c>
    </row>
    <row r="1484" spans="1:23" ht="15" customHeight="1">
      <c r="A1484" s="101">
        <v>2025</v>
      </c>
      <c r="B1484" s="101">
        <v>10</v>
      </c>
      <c r="C1484" s="101">
        <v>26</v>
      </c>
      <c r="D1484" s="65">
        <f>DATE(SIP[[#This Row],[Year]],SIP[[#This Row],[Month]],SIP[[#This Row],[Day]])</f>
        <v>45956</v>
      </c>
      <c r="E1484" s="66" t="str" cm="1">
        <f t="array" ref="E1484">INDEX(INVESTORS_LIST[INVESTOR NAME],MATCH(SIP[[#This Row],[Investor ID]],INVESTORS_LIST[INVESTOR CODE],0),)</f>
        <v>SADIA PARVIN</v>
      </c>
      <c r="F1484" s="46" t="s">
        <v>1018</v>
      </c>
      <c r="G1484" s="46">
        <f>COUNTIF(SIP[[#Headers],[Investor ID]]:SIP[[#This Row],[Investor ID]],SIP[[#This Row],[Investor ID]])</f>
        <v>46</v>
      </c>
      <c r="H1484" s="46" t="str">
        <f>CONCATENATE(SIP[[#This Row],[Frequency]],SIP[[#This Row],[Investor ID]])</f>
        <v>46A00486</v>
      </c>
      <c r="I1484" s="46" t="str">
        <f>IF(SIP[[#This Row],[B/S]]="B","BUY",(IF(SIP[[#This Row],[B/S]]="S","SELL"," ")))</f>
        <v>BUY</v>
      </c>
      <c r="J1484" s="150" t="s">
        <v>1229</v>
      </c>
      <c r="K1484" s="153">
        <v>5000</v>
      </c>
      <c r="L1484" s="122"/>
      <c r="M1484" s="123">
        <f>SIP[[#This Row],[Amount]]/SIP[[#This Row],[Unit]]</f>
        <v>13.66120218579235</v>
      </c>
      <c r="N1484" s="71">
        <f>SIP[[#This Row],[Unit Capital]]/10</f>
        <v>366</v>
      </c>
      <c r="O1484" s="71">
        <f>SUMIFS(SIP[[#Headers],[Unit]]:SIP[[#This Row],[Unit]],SIP[[#Headers],[Investor ID]]:SIP[[#This Row],[Investor ID]],SIP[[#This Row],[Investor ID]])</f>
        <v>19718</v>
      </c>
      <c r="P1484" s="153">
        <v>3660</v>
      </c>
      <c r="Q1484" s="74">
        <f>SIP[[#This Row],[Amount]]-SIP[[#This Row],[Unit Capital]]</f>
        <v>1340</v>
      </c>
      <c r="R14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11.664469013084492</v>
      </c>
      <c r="S1484" s="46">
        <f t="shared" si="70"/>
        <v>14.224</v>
      </c>
      <c r="T14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4" s="74" cm="1">
        <f t="array" ref="U1484">IF(SIP[[#This Row],[B/S]]="S",ABS(SIP[[#This Row],[Unit]])*(INDEX(SIP[NAV at Cost (Average)],MATCH(CONCATENATE((SIP[[#This Row],[Frequency]]-1),SIP[[#This Row],[Investor ID]]),SIP[Unique Code],0),0)),0)</f>
        <v>0</v>
      </c>
      <c r="V1484" s="74">
        <f>IF(SIP[[#This Row],[BO TRANSFER]]="YES",SIP[[#This Row],[Unit]],)</f>
        <v>0</v>
      </c>
      <c r="W1484" s="74">
        <f>SUMIFS(SIP[[#Headers],[BO UNIT TRANSFER]]:SIP[[#This Row],[BO UNIT TRANSFER]],SIP[[#Headers],[Investor ID]]:SIP[[#This Row],[Investor ID]],SIP[[#This Row],[Investor ID]])</f>
        <v>0</v>
      </c>
    </row>
    <row r="1485" spans="1:23" ht="15" customHeight="1">
      <c r="A1485" s="101">
        <v>2025</v>
      </c>
      <c r="B1485" s="101">
        <v>10</v>
      </c>
      <c r="C1485" s="101">
        <v>26</v>
      </c>
      <c r="D1485" s="65">
        <f>DATE(SIP[[#This Row],[Year]],SIP[[#This Row],[Month]],SIP[[#This Row],[Day]])</f>
        <v>45956</v>
      </c>
      <c r="E1485" s="66" t="str" cm="1">
        <f t="array" ref="E1485">INDEX(INVESTORS_LIST[INVESTOR NAME],MATCH(SIP[[#This Row],[Investor ID]],INVESTORS_LIST[INVESTOR CODE],0),)</f>
        <v>MAHBUB-UL-ANAM KHAN</v>
      </c>
      <c r="F1485" s="46" t="s">
        <v>626</v>
      </c>
      <c r="G1485" s="46">
        <f>COUNTIF(SIP[[#Headers],[Investor ID]]:SIP[[#This Row],[Investor ID]],SIP[[#This Row],[Investor ID]])</f>
        <v>15</v>
      </c>
      <c r="H1485" s="46" t="str">
        <f>CONCATENATE(SIP[[#This Row],[Frequency]],SIP[[#This Row],[Investor ID]])</f>
        <v>15A00289</v>
      </c>
      <c r="I1485" s="46" t="str">
        <f>IF(SIP[[#This Row],[B/S]]="B","BUY",(IF(SIP[[#This Row],[B/S]]="S","SELL"," ")))</f>
        <v>BUY</v>
      </c>
      <c r="J1485" s="150" t="s">
        <v>1229</v>
      </c>
      <c r="K1485" s="153">
        <v>5000</v>
      </c>
      <c r="L1485" s="122"/>
      <c r="M1485" s="123">
        <f>SIP[[#This Row],[Amount]]/SIP[[#This Row],[Unit]]</f>
        <v>13.66120218579235</v>
      </c>
      <c r="N1485" s="71">
        <f>SIP[[#This Row],[Unit Capital]]/10</f>
        <v>366</v>
      </c>
      <c r="O1485" s="71">
        <f>SUMIFS(SIP[[#Headers],[Unit]]:SIP[[#This Row],[Unit]],SIP[[#Headers],[Investor ID]]:SIP[[#This Row],[Investor ID]],SIP[[#This Row],[Investor ID]])</f>
        <v>6087</v>
      </c>
      <c r="P1485" s="153">
        <v>3660</v>
      </c>
      <c r="Q1485" s="74">
        <f>SIP[[#This Row],[Amount]]-SIP[[#This Row],[Unit Capital]]</f>
        <v>1340</v>
      </c>
      <c r="R14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12.321340561853129</v>
      </c>
      <c r="S1485" s="46">
        <f t="shared" si="70"/>
        <v>14.224</v>
      </c>
      <c r="T14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5" s="74" cm="1">
        <f t="array" ref="U1485">IF(SIP[[#This Row],[B/S]]="S",ABS(SIP[[#This Row],[Unit]])*(INDEX(SIP[NAV at Cost (Average)],MATCH(CONCATENATE((SIP[[#This Row],[Frequency]]-1),SIP[[#This Row],[Investor ID]]),SIP[Unique Code],0),0)),0)</f>
        <v>0</v>
      </c>
      <c r="V1485" s="74">
        <f>IF(SIP[[#This Row],[BO TRANSFER]]="YES",SIP[[#This Row],[Unit]],)</f>
        <v>0</v>
      </c>
      <c r="W1485" s="74">
        <f>SUMIFS(SIP[[#Headers],[BO UNIT TRANSFER]]:SIP[[#This Row],[BO UNIT TRANSFER]],SIP[[#Headers],[Investor ID]]:SIP[[#This Row],[Investor ID]],SIP[[#This Row],[Investor ID]])</f>
        <v>0</v>
      </c>
    </row>
    <row r="1486" spans="1:23" ht="15" customHeight="1">
      <c r="A1486" s="101">
        <v>2025</v>
      </c>
      <c r="B1486" s="101">
        <v>10</v>
      </c>
      <c r="C1486" s="101">
        <v>26</v>
      </c>
      <c r="D1486" s="65">
        <f>DATE(SIP[[#This Row],[Year]],SIP[[#This Row],[Month]],SIP[[#This Row],[Day]])</f>
        <v>45956</v>
      </c>
      <c r="E1486" s="66" t="str" cm="1">
        <f t="array" ref="E1486">INDEX(INVESTORS_LIST[INVESTOR NAME],MATCH(SIP[[#This Row],[Investor ID]],INVESTORS_LIST[INVESTOR CODE],0),)</f>
        <v>SYED ADNAN HUDA</v>
      </c>
      <c r="F1486" s="46" t="s">
        <v>236</v>
      </c>
      <c r="G1486" s="46">
        <f>COUNTIF(SIP[[#Headers],[Investor ID]]:SIP[[#This Row],[Investor ID]],SIP[[#This Row],[Investor ID]])</f>
        <v>17</v>
      </c>
      <c r="H1486" s="46" t="str">
        <f>CONCATENATE(SIP[[#This Row],[Frequency]],SIP[[#This Row],[Investor ID]])</f>
        <v>17A00094</v>
      </c>
      <c r="I1486" s="46" t="str">
        <f>IF(SIP[[#This Row],[B/S]]="B","BUY",(IF(SIP[[#This Row],[B/S]]="S","SELL"," ")))</f>
        <v>BUY</v>
      </c>
      <c r="J1486" s="150" t="s">
        <v>1229</v>
      </c>
      <c r="K1486" s="153">
        <v>50000</v>
      </c>
      <c r="L1486" s="122"/>
      <c r="M1486" s="123">
        <f>SIP[[#This Row],[Amount]]/SIP[[#This Row],[Unit]]</f>
        <v>13.653741125068269</v>
      </c>
      <c r="N1486" s="71">
        <f>SIP[[#This Row],[Unit Capital]]/10</f>
        <v>3662</v>
      </c>
      <c r="O1486" s="71">
        <f>SUMIFS(SIP[[#Headers],[Unit]]:SIP[[#This Row],[Unit]],SIP[[#Headers],[Investor ID]]:SIP[[#This Row],[Investor ID]],SIP[[#This Row],[Investor ID]])</f>
        <v>7363</v>
      </c>
      <c r="P1486" s="153">
        <v>36620</v>
      </c>
      <c r="Q1486" s="74">
        <f>SIP[[#This Row],[Amount]]-SIP[[#This Row],[Unit Capital]]</f>
        <v>13380</v>
      </c>
      <c r="R14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13.581420616596496</v>
      </c>
      <c r="S1486" s="46">
        <f t="shared" si="70"/>
        <v>14.224</v>
      </c>
      <c r="T14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6" s="74" cm="1">
        <f t="array" ref="U1486">IF(SIP[[#This Row],[B/S]]="S",ABS(SIP[[#This Row],[Unit]])*(INDEX(SIP[NAV at Cost (Average)],MATCH(CONCATENATE((SIP[[#This Row],[Frequency]]-1),SIP[[#This Row],[Investor ID]]),SIP[Unique Code],0),0)),0)</f>
        <v>0</v>
      </c>
      <c r="V1486" s="74">
        <f>IF(SIP[[#This Row],[BO TRANSFER]]="YES",SIP[[#This Row],[Unit]],)</f>
        <v>0</v>
      </c>
      <c r="W1486" s="74">
        <f>SUMIFS(SIP[[#Headers],[BO UNIT TRANSFER]]:SIP[[#This Row],[BO UNIT TRANSFER]],SIP[[#Headers],[Investor ID]]:SIP[[#This Row],[Investor ID]],SIP[[#This Row],[Investor ID]])</f>
        <v>0</v>
      </c>
    </row>
    <row r="1487" spans="1:23" ht="15" customHeight="1">
      <c r="A1487" s="101">
        <v>2025</v>
      </c>
      <c r="B1487" s="101">
        <v>10</v>
      </c>
      <c r="C1487" s="101">
        <v>26</v>
      </c>
      <c r="D1487" s="65">
        <f>DATE(SIP[[#This Row],[Year]],SIP[[#This Row],[Month]],SIP[[#This Row],[Day]])</f>
        <v>45956</v>
      </c>
      <c r="E1487" s="66" t="str" cm="1">
        <f t="array" ref="E1487">INDEX(INVESTORS_LIST[INVESTOR NAME],MATCH(SIP[[#This Row],[Investor ID]],INVESTORS_LIST[INVESTOR CODE],0),)</f>
        <v>SHAPNA RANI BARMAN</v>
      </c>
      <c r="F1487" s="46" t="s">
        <v>1292</v>
      </c>
      <c r="G1487" s="46">
        <f>COUNTIF(SIP[[#Headers],[Investor ID]]:SIP[[#This Row],[Investor ID]],SIP[[#This Row],[Investor ID]])</f>
        <v>12</v>
      </c>
      <c r="H1487" s="46" t="str">
        <f>CONCATENATE(SIP[[#This Row],[Frequency]],SIP[[#This Row],[Investor ID]])</f>
        <v>12A00593</v>
      </c>
      <c r="I1487" s="46" t="str">
        <f>IF(SIP[[#This Row],[B/S]]="B","BUY",(IF(SIP[[#This Row],[B/S]]="S","SELL"," ")))</f>
        <v>BUY</v>
      </c>
      <c r="J1487" s="150" t="s">
        <v>1229</v>
      </c>
      <c r="K1487" s="153">
        <v>1000</v>
      </c>
      <c r="L1487" s="122"/>
      <c r="M1487" s="123">
        <f>SIP[[#This Row],[Amount]]/SIP[[#This Row],[Unit]]</f>
        <v>13.698630136986301</v>
      </c>
      <c r="N1487" s="71">
        <f>SIP[[#This Row],[Unit Capital]]/10</f>
        <v>73</v>
      </c>
      <c r="O1487" s="71">
        <f>SUMIFS(SIP[[#Headers],[Unit]]:SIP[[#This Row],[Unit]],SIP[[#Headers],[Investor ID]]:SIP[[#This Row],[Investor ID]],SIP[[#This Row],[Investor ID]])</f>
        <v>957</v>
      </c>
      <c r="P1487" s="153">
        <v>730</v>
      </c>
      <c r="Q1487" s="74">
        <f>SIP[[#This Row],[Amount]]-SIP[[#This Row],[Unit Capital]]</f>
        <v>270</v>
      </c>
      <c r="R14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12.539184952978056</v>
      </c>
      <c r="S1487" s="46">
        <f t="shared" si="70"/>
        <v>14.224</v>
      </c>
      <c r="T14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7" s="74" cm="1">
        <f t="array" ref="U1487">IF(SIP[[#This Row],[B/S]]="S",ABS(SIP[[#This Row],[Unit]])*(INDEX(SIP[NAV at Cost (Average)],MATCH(CONCATENATE((SIP[[#This Row],[Frequency]]-1),SIP[[#This Row],[Investor ID]]),SIP[Unique Code],0),0)),0)</f>
        <v>0</v>
      </c>
      <c r="V1487" s="74">
        <f>IF(SIP[[#This Row],[BO TRANSFER]]="YES",SIP[[#This Row],[Unit]],)</f>
        <v>0</v>
      </c>
      <c r="W1487" s="74">
        <f>SUMIFS(SIP[[#Headers],[BO UNIT TRANSFER]]:SIP[[#This Row],[BO UNIT TRANSFER]],SIP[[#Headers],[Investor ID]]:SIP[[#This Row],[Investor ID]],SIP[[#This Row],[Investor ID]])</f>
        <v>0</v>
      </c>
    </row>
    <row r="1488" spans="1:23" ht="15" customHeight="1">
      <c r="A1488" s="101">
        <v>2025</v>
      </c>
      <c r="B1488" s="101">
        <v>10</v>
      </c>
      <c r="C1488" s="101">
        <v>26</v>
      </c>
      <c r="D1488" s="65">
        <f>DATE(SIP[[#This Row],[Year]],SIP[[#This Row],[Month]],SIP[[#This Row],[Day]])</f>
        <v>45956</v>
      </c>
      <c r="E1488" s="66" t="str" cm="1">
        <f t="array" ref="E1488">INDEX(INVESTORS_LIST[INVESTOR NAME],MATCH(SIP[[#This Row],[Investor ID]],INVESTORS_LIST[INVESTOR CODE],0),)</f>
        <v>MAYA RANI SAHA</v>
      </c>
      <c r="F1488" s="46" t="s">
        <v>224</v>
      </c>
      <c r="G1488" s="46">
        <f>COUNTIF(SIP[[#Headers],[Investor ID]]:SIP[[#This Row],[Investor ID]],SIP[[#This Row],[Investor ID]])</f>
        <v>70</v>
      </c>
      <c r="H1488" s="46" t="str">
        <f>CONCATENATE(SIP[[#This Row],[Frequency]],SIP[[#This Row],[Investor ID]])</f>
        <v>70A00088</v>
      </c>
      <c r="I1488" s="46" t="str">
        <f>IF(SIP[[#This Row],[B/S]]="B","BUY",(IF(SIP[[#This Row],[B/S]]="S","SELL"," ")))</f>
        <v>BUY</v>
      </c>
      <c r="J1488" s="150" t="s">
        <v>1229</v>
      </c>
      <c r="K1488" s="153">
        <v>10000</v>
      </c>
      <c r="L1488" s="122"/>
      <c r="M1488" s="123">
        <f>SIP[[#This Row],[Amount]]/SIP[[#This Row],[Unit]]</f>
        <v>13.66120218579235</v>
      </c>
      <c r="N1488" s="71">
        <f>SIP[[#This Row],[Unit Capital]]/10</f>
        <v>732</v>
      </c>
      <c r="O1488" s="71">
        <f>SUMIFS(SIP[[#Headers],[Unit]]:SIP[[#This Row],[Unit]],SIP[[#Headers],[Investor ID]]:SIP[[#This Row],[Investor ID]],SIP[[#This Row],[Investor ID]])</f>
        <v>81873</v>
      </c>
      <c r="P1488" s="153">
        <v>7320</v>
      </c>
      <c r="Q1488" s="74">
        <f>SIP[[#This Row],[Amount]]-SIP[[#This Row],[Unit Capital]]</f>
        <v>2680</v>
      </c>
      <c r="R14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11.847617651728898</v>
      </c>
      <c r="S1488" s="46">
        <f t="shared" si="70"/>
        <v>14.224</v>
      </c>
      <c r="T14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8" s="74" cm="1">
        <f t="array" ref="U1488">IF(SIP[[#This Row],[B/S]]="S",ABS(SIP[[#This Row],[Unit]])*(INDEX(SIP[NAV at Cost (Average)],MATCH(CONCATENATE((SIP[[#This Row],[Frequency]]-1),SIP[[#This Row],[Investor ID]]),SIP[Unique Code],0),0)),0)</f>
        <v>0</v>
      </c>
      <c r="V1488" s="74">
        <f>IF(SIP[[#This Row],[BO TRANSFER]]="YES",SIP[[#This Row],[Unit]],)</f>
        <v>0</v>
      </c>
      <c r="W1488" s="74">
        <f>SUMIFS(SIP[[#Headers],[BO UNIT TRANSFER]]:SIP[[#This Row],[BO UNIT TRANSFER]],SIP[[#Headers],[Investor ID]]:SIP[[#This Row],[Investor ID]],SIP[[#This Row],[Investor ID]])</f>
        <v>0</v>
      </c>
    </row>
    <row r="1489" spans="1:23" ht="15" customHeight="1">
      <c r="A1489" s="101">
        <v>2025</v>
      </c>
      <c r="B1489" s="101">
        <v>10</v>
      </c>
      <c r="C1489" s="101">
        <v>26</v>
      </c>
      <c r="D1489" s="65">
        <f>DATE(SIP[[#This Row],[Year]],SIP[[#This Row],[Month]],SIP[[#This Row],[Day]])</f>
        <v>45956</v>
      </c>
      <c r="E1489" s="66" t="str" cm="1">
        <f t="array" ref="E1489">INDEX(INVESTORS_LIST[INVESTOR NAME],MATCH(SIP[[#This Row],[Investor ID]],INVESTORS_LIST[INVESTOR CODE],0),)</f>
        <v>SWADESH RANJAN SAHA</v>
      </c>
      <c r="F1489" s="46" t="s">
        <v>234</v>
      </c>
      <c r="G1489" s="46">
        <f>COUNTIF(SIP[[#Headers],[Investor ID]]:SIP[[#This Row],[Investor ID]],SIP[[#This Row],[Investor ID]])</f>
        <v>11</v>
      </c>
      <c r="H1489" s="46" t="str">
        <f>CONCATENATE(SIP[[#This Row],[Frequency]],SIP[[#This Row],[Investor ID]])</f>
        <v>11A00093</v>
      </c>
      <c r="I1489" s="46" t="str">
        <f>IF(SIP[[#This Row],[B/S]]="B","BUY",(IF(SIP[[#This Row],[B/S]]="S","SELL"," ")))</f>
        <v>BUY</v>
      </c>
      <c r="J1489" s="150" t="s">
        <v>1229</v>
      </c>
      <c r="K1489" s="153">
        <v>50000</v>
      </c>
      <c r="L1489" s="122"/>
      <c r="M1489" s="123">
        <f>SIP[[#This Row],[Amount]]/SIP[[#This Row],[Unit]]</f>
        <v>13.653741125068269</v>
      </c>
      <c r="N1489" s="71">
        <f>SIP[[#This Row],[Unit Capital]]/10</f>
        <v>3662</v>
      </c>
      <c r="O1489" s="71">
        <f>SUMIFS(SIP[[#Headers],[Unit]]:SIP[[#This Row],[Unit]],SIP[[#Headers],[Investor ID]]:SIP[[#This Row],[Investor ID]],SIP[[#This Row],[Investor ID]])</f>
        <v>43504</v>
      </c>
      <c r="P1489" s="153">
        <v>36620</v>
      </c>
      <c r="Q1489" s="74">
        <f>SIP[[#This Row],[Amount]]-SIP[[#This Row],[Unit Capital]]</f>
        <v>13380</v>
      </c>
      <c r="R14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12.642515630746598</v>
      </c>
      <c r="S1489" s="46">
        <f t="shared" si="70"/>
        <v>14.224</v>
      </c>
      <c r="T14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9" s="74" cm="1">
        <f t="array" ref="U1489">IF(SIP[[#This Row],[B/S]]="S",ABS(SIP[[#This Row],[Unit]])*(INDEX(SIP[NAV at Cost (Average)],MATCH(CONCATENATE((SIP[[#This Row],[Frequency]]-1),SIP[[#This Row],[Investor ID]]),SIP[Unique Code],0),0)),0)</f>
        <v>0</v>
      </c>
      <c r="V1489" s="74">
        <f>IF(SIP[[#This Row],[BO TRANSFER]]="YES",SIP[[#This Row],[Unit]],)</f>
        <v>0</v>
      </c>
      <c r="W1489" s="74">
        <f>SUMIFS(SIP[[#Headers],[BO UNIT TRANSFER]]:SIP[[#This Row],[BO UNIT TRANSFER]],SIP[[#Headers],[Investor ID]]:SIP[[#This Row],[Investor ID]],SIP[[#This Row],[Investor ID]])</f>
        <v>0</v>
      </c>
    </row>
    <row r="1490" spans="1:23" ht="15" customHeight="1">
      <c r="A1490" s="101">
        <v>2025</v>
      </c>
      <c r="B1490" s="101">
        <v>10</v>
      </c>
      <c r="C1490" s="101">
        <v>26</v>
      </c>
      <c r="D1490" s="65">
        <f>DATE(SIP[[#This Row],[Year]],SIP[[#This Row],[Month]],SIP[[#This Row],[Day]])</f>
        <v>45956</v>
      </c>
      <c r="E1490" s="66" t="str" cm="1">
        <f t="array" ref="E1490">INDEX(INVESTORS_LIST[INVESTOR NAME],MATCH(SIP[[#This Row],[Investor ID]],INVESTORS_LIST[INVESTOR CODE],0),)</f>
        <v>MD ABDULLAH-AL- MAMUN</v>
      </c>
      <c r="F1490" s="46" t="s">
        <v>533</v>
      </c>
      <c r="G1490" s="46">
        <f>COUNTIF(SIP[[#Headers],[Investor ID]]:SIP[[#This Row],[Investor ID]],SIP[[#This Row],[Investor ID]])</f>
        <v>30</v>
      </c>
      <c r="H1490" s="46" t="str">
        <f>CONCATENATE(SIP[[#This Row],[Frequency]],SIP[[#This Row],[Investor ID]])</f>
        <v>30A00242</v>
      </c>
      <c r="I1490" s="46" t="str">
        <f>IF(SIP[[#This Row],[B/S]]="B","BUY",(IF(SIP[[#This Row],[B/S]]="S","SELL"," ")))</f>
        <v>BUY</v>
      </c>
      <c r="J1490" s="150" t="s">
        <v>1229</v>
      </c>
      <c r="K1490" s="153">
        <v>10000</v>
      </c>
      <c r="L1490" s="122"/>
      <c r="M1490" s="123">
        <f>SIP[[#This Row],[Amount]]/SIP[[#This Row],[Unit]]</f>
        <v>13.66120218579235</v>
      </c>
      <c r="N1490" s="71">
        <f>SIP[[#This Row],[Unit Capital]]/10</f>
        <v>732</v>
      </c>
      <c r="O1490" s="71">
        <f>SUMIFS(SIP[[#Headers],[Unit]]:SIP[[#This Row],[Unit]],SIP[[#Headers],[Investor ID]]:SIP[[#This Row],[Investor ID]],SIP[[#This Row],[Investor ID]])</f>
        <v>4553</v>
      </c>
      <c r="P1490" s="153">
        <v>7320</v>
      </c>
      <c r="Q1490" s="74">
        <f>SIP[[#This Row],[Amount]]-SIP[[#This Row],[Unit Capital]]</f>
        <v>2680</v>
      </c>
      <c r="R14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12.729105724003714</v>
      </c>
      <c r="S1490" s="46">
        <f t="shared" si="70"/>
        <v>14.224</v>
      </c>
      <c r="T14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0" s="74" cm="1">
        <f t="array" ref="U1490">IF(SIP[[#This Row],[B/S]]="S",ABS(SIP[[#This Row],[Unit]])*(INDEX(SIP[NAV at Cost (Average)],MATCH(CONCATENATE((SIP[[#This Row],[Frequency]]-1),SIP[[#This Row],[Investor ID]]),SIP[Unique Code],0),0)),0)</f>
        <v>0</v>
      </c>
      <c r="V1490" s="74">
        <f>IF(SIP[[#This Row],[BO TRANSFER]]="YES",SIP[[#This Row],[Unit]],)</f>
        <v>0</v>
      </c>
      <c r="W1490" s="74">
        <f>SUMIFS(SIP[[#Headers],[BO UNIT TRANSFER]]:SIP[[#This Row],[BO UNIT TRANSFER]],SIP[[#Headers],[Investor ID]]:SIP[[#This Row],[Investor ID]],SIP[[#This Row],[Investor ID]])</f>
        <v>0</v>
      </c>
    </row>
    <row r="1491" spans="1:23" ht="15" customHeight="1">
      <c r="A1491" s="101">
        <v>2025</v>
      </c>
      <c r="B1491" s="101">
        <v>10</v>
      </c>
      <c r="C1491" s="101">
        <v>26</v>
      </c>
      <c r="D1491" s="65">
        <f>DATE(SIP[[#This Row],[Year]],SIP[[#This Row],[Month]],SIP[[#This Row],[Day]])</f>
        <v>45956</v>
      </c>
      <c r="E1491" s="66" t="str" cm="1">
        <f t="array" ref="E1491">INDEX(INVESTORS_LIST[INVESTOR NAME],MATCH(SIP[[#This Row],[Investor ID]],INVESTORS_LIST[INVESTOR CODE],0),)</f>
        <v>MAHFUZUL ISLAM &amp; HUMAIRA TABASSUM READDHE</v>
      </c>
      <c r="F1491" s="46" t="s">
        <v>1315</v>
      </c>
      <c r="G1491" s="46">
        <f>COUNTIF(SIP[[#Headers],[Investor ID]]:SIP[[#This Row],[Investor ID]],SIP[[#This Row],[Investor ID]])</f>
        <v>8</v>
      </c>
      <c r="H1491" s="46" t="str">
        <f>CONCATENATE(SIP[[#This Row],[Frequency]],SIP[[#This Row],[Investor ID]])</f>
        <v>8A00605</v>
      </c>
      <c r="I1491" s="46" t="str">
        <f>IF(SIP[[#This Row],[B/S]]="B","BUY",(IF(SIP[[#This Row],[B/S]]="S","SELL"," ")))</f>
        <v>BUY</v>
      </c>
      <c r="J1491" s="150" t="s">
        <v>1229</v>
      </c>
      <c r="K1491" s="153">
        <v>18140</v>
      </c>
      <c r="L1491" s="122"/>
      <c r="M1491" s="123">
        <f>SIP[[#This Row],[Amount]]/SIP[[#This Row],[Unit]]</f>
        <v>13.659638554216867</v>
      </c>
      <c r="N1491" s="71">
        <f>SIP[[#This Row],[Unit Capital]]/10</f>
        <v>1328</v>
      </c>
      <c r="O1491" s="71">
        <f>SUMIFS(SIP[[#Headers],[Unit]]:SIP[[#This Row],[Unit]],SIP[[#Headers],[Investor ID]]:SIP[[#This Row],[Investor ID]],SIP[[#This Row],[Investor ID]])</f>
        <v>9402</v>
      </c>
      <c r="P1491" s="153">
        <v>13280</v>
      </c>
      <c r="Q1491" s="74">
        <f>SIP[[#This Row],[Amount]]-SIP[[#This Row],[Unit Capital]]</f>
        <v>4860</v>
      </c>
      <c r="R14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12.925624052992299</v>
      </c>
      <c r="S1491" s="46">
        <f t="shared" si="70"/>
        <v>14.224</v>
      </c>
      <c r="T14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1" s="74" cm="1">
        <f t="array" ref="U1491">IF(SIP[[#This Row],[B/S]]="S",ABS(SIP[[#This Row],[Unit]])*(INDEX(SIP[NAV at Cost (Average)],MATCH(CONCATENATE((SIP[[#This Row],[Frequency]]-1),SIP[[#This Row],[Investor ID]]),SIP[Unique Code],0),0)),0)</f>
        <v>0</v>
      </c>
      <c r="V1491" s="74">
        <f>IF(SIP[[#This Row],[BO TRANSFER]]="YES",SIP[[#This Row],[Unit]],)</f>
        <v>0</v>
      </c>
      <c r="W1491" s="74">
        <f>SUMIFS(SIP[[#Headers],[BO UNIT TRANSFER]]:SIP[[#This Row],[BO UNIT TRANSFER]],SIP[[#Headers],[Investor ID]]:SIP[[#This Row],[Investor ID]],SIP[[#This Row],[Investor ID]])</f>
        <v>0</v>
      </c>
    </row>
    <row r="1492" spans="1:23" ht="15" customHeight="1">
      <c r="A1492" s="101">
        <v>2025</v>
      </c>
      <c r="B1492" s="101">
        <v>10</v>
      </c>
      <c r="C1492" s="101">
        <v>26</v>
      </c>
      <c r="D1492" s="65">
        <f>DATE(SIP[[#This Row],[Year]],SIP[[#This Row],[Month]],SIP[[#This Row],[Day]])</f>
        <v>45956</v>
      </c>
      <c r="E1492" s="66" t="str" cm="1">
        <f t="array" ref="E1492">INDEX(INVESTORS_LIST[INVESTOR NAME],MATCH(SIP[[#This Row],[Investor ID]],INVESTORS_LIST[INVESTOR CODE],0),)</f>
        <v>RUMA AKTER</v>
      </c>
      <c r="F1492" s="46" t="s">
        <v>1323</v>
      </c>
      <c r="G1492" s="46">
        <f>COUNTIF(SIP[[#Headers],[Investor ID]]:SIP[[#This Row],[Investor ID]],SIP[[#This Row],[Investor ID]])</f>
        <v>9</v>
      </c>
      <c r="H1492" s="46" t="str">
        <f>CONCATENATE(SIP[[#This Row],[Frequency]],SIP[[#This Row],[Investor ID]])</f>
        <v>9A00608</v>
      </c>
      <c r="I1492" s="46" t="str">
        <f>IF(SIP[[#This Row],[B/S]]="B","BUY",(IF(SIP[[#This Row],[B/S]]="S","SELL"," ")))</f>
        <v>BUY</v>
      </c>
      <c r="J1492" s="150" t="s">
        <v>1229</v>
      </c>
      <c r="K1492" s="153">
        <v>1000</v>
      </c>
      <c r="L1492" s="122"/>
      <c r="M1492" s="123">
        <f>SIP[[#This Row],[Amount]]/SIP[[#This Row],[Unit]]</f>
        <v>13.698630136986301</v>
      </c>
      <c r="N1492" s="71">
        <f>SIP[[#This Row],[Unit Capital]]/10</f>
        <v>73</v>
      </c>
      <c r="O1492" s="71">
        <f>SUMIFS(SIP[[#Headers],[Unit]]:SIP[[#This Row],[Unit]],SIP[[#Headers],[Investor ID]]:SIP[[#This Row],[Investor ID]],SIP[[#This Row],[Investor ID]])</f>
        <v>692</v>
      </c>
      <c r="P1492" s="153">
        <v>730</v>
      </c>
      <c r="Q1492" s="74">
        <f>SIP[[#This Row],[Amount]]-SIP[[#This Row],[Unit Capital]]</f>
        <v>270</v>
      </c>
      <c r="R14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13.005780346820808</v>
      </c>
      <c r="S1492" s="46">
        <f t="shared" si="70"/>
        <v>14.224</v>
      </c>
      <c r="T14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2" s="74" cm="1">
        <f t="array" ref="U1492">IF(SIP[[#This Row],[B/S]]="S",ABS(SIP[[#This Row],[Unit]])*(INDEX(SIP[NAV at Cost (Average)],MATCH(CONCATENATE((SIP[[#This Row],[Frequency]]-1),SIP[[#This Row],[Investor ID]]),SIP[Unique Code],0),0)),0)</f>
        <v>0</v>
      </c>
      <c r="V1492" s="74">
        <f>IF(SIP[[#This Row],[BO TRANSFER]]="YES",SIP[[#This Row],[Unit]],)</f>
        <v>0</v>
      </c>
      <c r="W1492" s="74">
        <f>SUMIFS(SIP[[#Headers],[BO UNIT TRANSFER]]:SIP[[#This Row],[BO UNIT TRANSFER]],SIP[[#Headers],[Investor ID]]:SIP[[#This Row],[Investor ID]],SIP[[#This Row],[Investor ID]])</f>
        <v>0</v>
      </c>
    </row>
    <row r="1493" spans="1:23" ht="15" customHeight="1">
      <c r="A1493" s="101">
        <v>2025</v>
      </c>
      <c r="B1493" s="101">
        <v>10</v>
      </c>
      <c r="C1493" s="101">
        <v>26</v>
      </c>
      <c r="D1493" s="65">
        <f>DATE(SIP[[#This Row],[Year]],SIP[[#This Row],[Month]],SIP[[#This Row],[Day]])</f>
        <v>45956</v>
      </c>
      <c r="E1493" s="66" t="str" cm="1">
        <f t="array" ref="E1493">INDEX(INVESTORS_LIST[INVESTOR NAME],MATCH(SIP[[#This Row],[Investor ID]],INVESTORS_LIST[INVESTOR CODE],0),)</f>
        <v>SADIA PARVIN</v>
      </c>
      <c r="F1493" s="46" t="s">
        <v>1018</v>
      </c>
      <c r="G1493" s="46">
        <f>COUNTIF(SIP[[#Headers],[Investor ID]]:SIP[[#This Row],[Investor ID]],SIP[[#This Row],[Investor ID]])</f>
        <v>47</v>
      </c>
      <c r="H1493" s="46" t="str">
        <f>CONCATENATE(SIP[[#This Row],[Frequency]],SIP[[#This Row],[Investor ID]])</f>
        <v>47A00486</v>
      </c>
      <c r="I1493" s="46" t="str">
        <f>IF(SIP[[#This Row],[B/S]]="B","BUY",(IF(SIP[[#This Row],[B/S]]="S","SELL"," ")))</f>
        <v>BUY</v>
      </c>
      <c r="J1493" s="150" t="s">
        <v>1229</v>
      </c>
      <c r="K1493" s="153">
        <v>5000</v>
      </c>
      <c r="L1493" s="122"/>
      <c r="M1493" s="123">
        <f>SIP[[#This Row],[Amount]]/SIP[[#This Row],[Unit]]</f>
        <v>13.66120218579235</v>
      </c>
      <c r="N1493" s="71">
        <f>SIP[[#This Row],[Unit Capital]]/10</f>
        <v>366</v>
      </c>
      <c r="O1493" s="71">
        <f>SUMIFS(SIP[[#Headers],[Unit]]:SIP[[#This Row],[Unit]],SIP[[#Headers],[Investor ID]]:SIP[[#This Row],[Investor ID]],SIP[[#This Row],[Investor ID]])</f>
        <v>20084</v>
      </c>
      <c r="P1493" s="153">
        <v>3660</v>
      </c>
      <c r="Q1493" s="74">
        <f>SIP[[#This Row],[Amount]]-SIP[[#This Row],[Unit Capital]]</f>
        <v>1340</v>
      </c>
      <c r="R14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11.700856403106952</v>
      </c>
      <c r="S1493" s="46">
        <f t="shared" si="70"/>
        <v>14.224</v>
      </c>
      <c r="T14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3" s="74" cm="1">
        <f t="array" ref="U1493">IF(SIP[[#This Row],[B/S]]="S",ABS(SIP[[#This Row],[Unit]])*(INDEX(SIP[NAV at Cost (Average)],MATCH(CONCATENATE((SIP[[#This Row],[Frequency]]-1),SIP[[#This Row],[Investor ID]]),SIP[Unique Code],0),0)),0)</f>
        <v>0</v>
      </c>
      <c r="V1493" s="74">
        <f>IF(SIP[[#This Row],[BO TRANSFER]]="YES",SIP[[#This Row],[Unit]],)</f>
        <v>0</v>
      </c>
      <c r="W1493" s="74">
        <f>SUMIFS(SIP[[#Headers],[BO UNIT TRANSFER]]:SIP[[#This Row],[BO UNIT TRANSFER]],SIP[[#Headers],[Investor ID]]:SIP[[#This Row],[Investor ID]],SIP[[#This Row],[Investor ID]])</f>
        <v>0</v>
      </c>
    </row>
    <row r="1494" spans="1:23" ht="15" customHeight="1">
      <c r="A1494" s="101">
        <v>2025</v>
      </c>
      <c r="B1494" s="101">
        <v>10</v>
      </c>
      <c r="C1494" s="101">
        <v>26</v>
      </c>
      <c r="D1494" s="65">
        <f>DATE(SIP[[#This Row],[Year]],SIP[[#This Row],[Month]],SIP[[#This Row],[Day]])</f>
        <v>45956</v>
      </c>
      <c r="E1494" s="66" t="str" cm="1">
        <f t="array" ref="E1494">INDEX(INVESTORS_LIST[INVESTOR NAME],MATCH(SIP[[#This Row],[Investor ID]],INVESTORS_LIST[INVESTOR CODE],0),)</f>
        <v>JUBAIDA FARHANA HAQUE</v>
      </c>
      <c r="F1494" s="46" t="s">
        <v>1065</v>
      </c>
      <c r="G1494" s="46">
        <f>COUNTIF(SIP[[#Headers],[Investor ID]]:SIP[[#This Row],[Investor ID]],SIP[[#This Row],[Investor ID]])</f>
        <v>27</v>
      </c>
      <c r="H1494" s="46" t="str">
        <f>CONCATENATE(SIP[[#This Row],[Frequency]],SIP[[#This Row],[Investor ID]])</f>
        <v>27A00510</v>
      </c>
      <c r="I1494" s="46" t="str">
        <f>IF(SIP[[#This Row],[B/S]]="B","BUY",(IF(SIP[[#This Row],[B/S]]="S","SELL"," ")))</f>
        <v>BUY</v>
      </c>
      <c r="J1494" s="150" t="s">
        <v>1229</v>
      </c>
      <c r="K1494" s="153">
        <v>5000</v>
      </c>
      <c r="L1494" s="122"/>
      <c r="M1494" s="123">
        <f>SIP[[#This Row],[Amount]]/SIP[[#This Row],[Unit]]</f>
        <v>13.66120218579235</v>
      </c>
      <c r="N1494" s="71">
        <f>SIP[[#This Row],[Unit Capital]]/10</f>
        <v>366</v>
      </c>
      <c r="O1494" s="71">
        <f>SUMIFS(SIP[[#Headers],[Unit]]:SIP[[#This Row],[Unit]],SIP[[#Headers],[Investor ID]]:SIP[[#This Row],[Investor ID]],SIP[[#This Row],[Investor ID]])</f>
        <v>10691</v>
      </c>
      <c r="P1494" s="153">
        <v>3660</v>
      </c>
      <c r="Q1494" s="74">
        <f>SIP[[#This Row],[Amount]]-SIP[[#This Row],[Unit Capital]]</f>
        <v>1340</v>
      </c>
      <c r="R14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11.693552789323963</v>
      </c>
      <c r="S1494" s="46">
        <f t="shared" si="70"/>
        <v>14.224</v>
      </c>
      <c r="T14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4" s="74" cm="1">
        <f t="array" ref="U1494">IF(SIP[[#This Row],[B/S]]="S",ABS(SIP[[#This Row],[Unit]])*(INDEX(SIP[NAV at Cost (Average)],MATCH(CONCATENATE((SIP[[#This Row],[Frequency]]-1),SIP[[#This Row],[Investor ID]]),SIP[Unique Code],0),0)),0)</f>
        <v>0</v>
      </c>
      <c r="V1494" s="74">
        <f>IF(SIP[[#This Row],[BO TRANSFER]]="YES",SIP[[#This Row],[Unit]],)</f>
        <v>0</v>
      </c>
      <c r="W1494" s="74">
        <f>SUMIFS(SIP[[#Headers],[BO UNIT TRANSFER]]:SIP[[#This Row],[BO UNIT TRANSFER]],SIP[[#Headers],[Investor ID]]:SIP[[#This Row],[Investor ID]],SIP[[#This Row],[Investor ID]])</f>
        <v>0</v>
      </c>
    </row>
    <row r="1495" spans="1:23" ht="15" customHeight="1">
      <c r="A1495" s="101">
        <v>2025</v>
      </c>
      <c r="B1495" s="101">
        <v>10</v>
      </c>
      <c r="C1495" s="101">
        <v>26</v>
      </c>
      <c r="D1495" s="65">
        <f>DATE(SIP[[#This Row],[Year]],SIP[[#This Row],[Month]],SIP[[#This Row],[Day]])</f>
        <v>45956</v>
      </c>
      <c r="E1495" s="66" t="str" cm="1">
        <f t="array" ref="E1495">INDEX(INVESTORS_LIST[INVESTOR NAME],MATCH(SIP[[#This Row],[Investor ID]],INVESTORS_LIST[INVESTOR CODE],0),)</f>
        <v>ADNAN RASHID</v>
      </c>
      <c r="F1495" s="46" t="s">
        <v>252</v>
      </c>
      <c r="G1495" s="46">
        <f>COUNTIF(SIP[[#Headers],[Investor ID]]:SIP[[#This Row],[Investor ID]],SIP[[#This Row],[Investor ID]])</f>
        <v>26</v>
      </c>
      <c r="H1495" s="46" t="str">
        <f>CONCATENATE(SIP[[#This Row],[Frequency]],SIP[[#This Row],[Investor ID]])</f>
        <v>26A00102</v>
      </c>
      <c r="I1495" s="46" t="str">
        <f>IF(SIP[[#This Row],[B/S]]="B","BUY",(IF(SIP[[#This Row],[B/S]]="S","SELL"," ")))</f>
        <v>BUY</v>
      </c>
      <c r="J1495" s="150" t="s">
        <v>1229</v>
      </c>
      <c r="K1495" s="153">
        <v>30000</v>
      </c>
      <c r="L1495" s="122"/>
      <c r="M1495" s="123">
        <f>SIP[[#This Row],[Amount]]/SIP[[#This Row],[Unit]]</f>
        <v>13.654984069185252</v>
      </c>
      <c r="N1495" s="71">
        <f>SIP[[#This Row],[Unit Capital]]/10</f>
        <v>2197</v>
      </c>
      <c r="O1495" s="71">
        <f>SUMIFS(SIP[[#Headers],[Unit]]:SIP[[#This Row],[Unit]],SIP[[#Headers],[Investor ID]]:SIP[[#This Row],[Investor ID]],SIP[[#This Row],[Investor ID]])</f>
        <v>46373</v>
      </c>
      <c r="P1495" s="153">
        <v>21970</v>
      </c>
      <c r="Q1495" s="74">
        <f>SIP[[#This Row],[Amount]]-SIP[[#This Row],[Unit Capital]]</f>
        <v>8030</v>
      </c>
      <c r="R14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11.969802530698493</v>
      </c>
      <c r="S1495" s="46">
        <f t="shared" si="70"/>
        <v>14.224</v>
      </c>
      <c r="T14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5" s="74" cm="1">
        <f t="array" ref="U1495">IF(SIP[[#This Row],[B/S]]="S",ABS(SIP[[#This Row],[Unit]])*(INDEX(SIP[NAV at Cost (Average)],MATCH(CONCATENATE((SIP[[#This Row],[Frequency]]-1),SIP[[#This Row],[Investor ID]]),SIP[Unique Code],0),0)),0)</f>
        <v>0</v>
      </c>
      <c r="V1495" s="74">
        <f>IF(SIP[[#This Row],[BO TRANSFER]]="YES",SIP[[#This Row],[Unit]],)</f>
        <v>0</v>
      </c>
      <c r="W1495" s="74">
        <f>SUMIFS(SIP[[#Headers],[BO UNIT TRANSFER]]:SIP[[#This Row],[BO UNIT TRANSFER]],SIP[[#Headers],[Investor ID]]:SIP[[#This Row],[Investor ID]],SIP[[#This Row],[Investor ID]])</f>
        <v>0</v>
      </c>
    </row>
    <row r="1496" spans="1:23" ht="15" customHeight="1">
      <c r="A1496" s="101">
        <v>2025</v>
      </c>
      <c r="B1496" s="101">
        <v>10</v>
      </c>
      <c r="C1496" s="101">
        <v>26</v>
      </c>
      <c r="D1496" s="65">
        <f>DATE(SIP[[#This Row],[Year]],SIP[[#This Row],[Month]],SIP[[#This Row],[Day]])</f>
        <v>45956</v>
      </c>
      <c r="E1496" s="66" t="str" cm="1">
        <f t="array" ref="E1496">INDEX(INVESTORS_LIST[INVESTOR NAME],MATCH(SIP[[#This Row],[Investor ID]],INVESTORS_LIST[INVESTOR CODE],0),)</f>
        <v>MD ABDULLAH-AL- MAMUN</v>
      </c>
      <c r="F1496" s="46" t="s">
        <v>533</v>
      </c>
      <c r="G1496" s="46">
        <f>COUNTIF(SIP[[#Headers],[Investor ID]]:SIP[[#This Row],[Investor ID]],SIP[[#This Row],[Investor ID]])</f>
        <v>31</v>
      </c>
      <c r="H1496" s="46" t="str">
        <f>CONCATENATE(SIP[[#This Row],[Frequency]],SIP[[#This Row],[Investor ID]])</f>
        <v>31A00242</v>
      </c>
      <c r="I1496" s="46" t="str">
        <f>IF(SIP[[#This Row],[B/S]]="B","BUY",(IF(SIP[[#This Row],[B/S]]="S","SELL"," ")))</f>
        <v>BUY</v>
      </c>
      <c r="J1496" s="150" t="s">
        <v>1229</v>
      </c>
      <c r="K1496" s="153">
        <v>15000</v>
      </c>
      <c r="L1496" s="122"/>
      <c r="M1496" s="123">
        <f>SIP[[#This Row],[Amount]]/SIP[[#This Row],[Unit]]</f>
        <v>13.66120218579235</v>
      </c>
      <c r="N1496" s="71">
        <f>SIP[[#This Row],[Unit Capital]]/10</f>
        <v>1098</v>
      </c>
      <c r="O1496" s="71">
        <f>SUMIFS(SIP[[#Headers],[Unit]]:SIP[[#This Row],[Unit]],SIP[[#Headers],[Investor ID]]:SIP[[#This Row],[Investor ID]],SIP[[#This Row],[Investor ID]])</f>
        <v>5651</v>
      </c>
      <c r="P1496" s="153">
        <v>10980</v>
      </c>
      <c r="Q1496" s="74">
        <f>SIP[[#This Row],[Amount]]-SIP[[#This Row],[Unit Capital]]</f>
        <v>4020</v>
      </c>
      <c r="R14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12.910213831426105</v>
      </c>
      <c r="S1496" s="46">
        <f t="shared" si="70"/>
        <v>14.224</v>
      </c>
      <c r="T14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6" s="74" cm="1">
        <f t="array" ref="U1496">IF(SIP[[#This Row],[B/S]]="S",ABS(SIP[[#This Row],[Unit]])*(INDEX(SIP[NAV at Cost (Average)],MATCH(CONCATENATE((SIP[[#This Row],[Frequency]]-1),SIP[[#This Row],[Investor ID]]),SIP[Unique Code],0),0)),0)</f>
        <v>0</v>
      </c>
      <c r="V1496" s="74">
        <f>IF(SIP[[#This Row],[BO TRANSFER]]="YES",SIP[[#This Row],[Unit]],)</f>
        <v>0</v>
      </c>
      <c r="W1496" s="74">
        <f>SUMIFS(SIP[[#Headers],[BO UNIT TRANSFER]]:SIP[[#This Row],[BO UNIT TRANSFER]],SIP[[#Headers],[Investor ID]]:SIP[[#This Row],[Investor ID]],SIP[[#This Row],[Investor ID]])</f>
        <v>0</v>
      </c>
    </row>
    <row r="1497" spans="1:23" ht="15" customHeight="1">
      <c r="A1497" s="101">
        <v>2025</v>
      </c>
      <c r="B1497" s="101">
        <v>10</v>
      </c>
      <c r="C1497" s="101">
        <v>26</v>
      </c>
      <c r="D1497" s="65">
        <f>DATE(SIP[[#This Row],[Year]],SIP[[#This Row],[Month]],SIP[[#This Row],[Day]])</f>
        <v>45956</v>
      </c>
      <c r="E1497" s="66" t="str" cm="1">
        <f t="array" ref="E1497">INDEX(INVESTORS_LIST[INVESTOR NAME],MATCH(SIP[[#This Row],[Investor ID]],INVESTORS_LIST[INVESTOR CODE],0),)</f>
        <v>ABU MUSA MIRZA KAMRUZZAMAN SHAHEE</v>
      </c>
      <c r="F1497" s="46" t="s">
        <v>1012</v>
      </c>
      <c r="G1497" s="46">
        <f>COUNTIF(SIP[[#Headers],[Investor ID]]:SIP[[#This Row],[Investor ID]],SIP[[#This Row],[Investor ID]])</f>
        <v>29</v>
      </c>
      <c r="H1497" s="46" t="str">
        <f>CONCATENATE(SIP[[#This Row],[Frequency]],SIP[[#This Row],[Investor ID]])</f>
        <v>29A00483</v>
      </c>
      <c r="I1497" s="46" t="str">
        <f>IF(SIP[[#This Row],[B/S]]="B","BUY",(IF(SIP[[#This Row],[B/S]]="S","SELL"," ")))</f>
        <v>BUY</v>
      </c>
      <c r="J1497" s="150" t="s">
        <v>1229</v>
      </c>
      <c r="K1497" s="153">
        <v>5000</v>
      </c>
      <c r="L1497" s="122"/>
      <c r="M1497" s="123">
        <f>SIP[[#This Row],[Amount]]/SIP[[#This Row],[Unit]]</f>
        <v>13.66120218579235</v>
      </c>
      <c r="N1497" s="71">
        <f>SIP[[#This Row],[Unit Capital]]/10</f>
        <v>366</v>
      </c>
      <c r="O1497" s="71">
        <f>SUMIFS(SIP[[#Headers],[Unit]]:SIP[[#This Row],[Unit]],SIP[[#Headers],[Investor ID]]:SIP[[#This Row],[Investor ID]],SIP[[#This Row],[Investor ID]])</f>
        <v>12615</v>
      </c>
      <c r="P1497" s="153">
        <v>3660</v>
      </c>
      <c r="Q1497" s="74">
        <f>SIP[[#This Row],[Amount]]-SIP[[#This Row],[Unit Capital]]</f>
        <v>1340</v>
      </c>
      <c r="R14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11.494252873563221</v>
      </c>
      <c r="S1497" s="46">
        <f t="shared" si="70"/>
        <v>14.224</v>
      </c>
      <c r="T14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7" s="74" cm="1">
        <f t="array" ref="U1497">IF(SIP[[#This Row],[B/S]]="S",ABS(SIP[[#This Row],[Unit]])*(INDEX(SIP[NAV at Cost (Average)],MATCH(CONCATENATE((SIP[[#This Row],[Frequency]]-1),SIP[[#This Row],[Investor ID]]),SIP[Unique Code],0),0)),0)</f>
        <v>0</v>
      </c>
      <c r="V1497" s="74">
        <f>IF(SIP[[#This Row],[BO TRANSFER]]="YES",SIP[[#This Row],[Unit]],)</f>
        <v>0</v>
      </c>
      <c r="W1497" s="74">
        <f>SUMIFS(SIP[[#Headers],[BO UNIT TRANSFER]]:SIP[[#This Row],[BO UNIT TRANSFER]],SIP[[#Headers],[Investor ID]]:SIP[[#This Row],[Investor ID]],SIP[[#This Row],[Investor ID]])</f>
        <v>0</v>
      </c>
    </row>
    <row r="1498" spans="1:23" ht="15" customHeight="1">
      <c r="A1498" s="101">
        <v>2025</v>
      </c>
      <c r="B1498" s="101">
        <v>10</v>
      </c>
      <c r="C1498" s="101">
        <v>26</v>
      </c>
      <c r="D1498" s="65">
        <f>DATE(SIP[[#This Row],[Year]],SIP[[#This Row],[Month]],SIP[[#This Row],[Day]])</f>
        <v>45956</v>
      </c>
      <c r="E1498" s="66" t="str" cm="1">
        <f t="array" ref="E1498">INDEX(INVESTORS_LIST[INVESTOR NAME],MATCH(SIP[[#This Row],[Investor ID]],INVESTORS_LIST[INVESTOR CODE],0),)</f>
        <v>SUMAN SAHA</v>
      </c>
      <c r="F1498" s="46" t="s">
        <v>1022</v>
      </c>
      <c r="G1498" s="46">
        <f>COUNTIF(SIP[[#Headers],[Investor ID]]:SIP[[#This Row],[Investor ID]],SIP[[#This Row],[Investor ID]])</f>
        <v>29</v>
      </c>
      <c r="H1498" s="46" t="str">
        <f>CONCATENATE(SIP[[#This Row],[Frequency]],SIP[[#This Row],[Investor ID]])</f>
        <v>29A00488</v>
      </c>
      <c r="I1498" s="46" t="str">
        <f>IF(SIP[[#This Row],[B/S]]="B","BUY",(IF(SIP[[#This Row],[B/S]]="S","SELL"," ")))</f>
        <v>BUY</v>
      </c>
      <c r="J1498" s="150" t="s">
        <v>1229</v>
      </c>
      <c r="K1498" s="153">
        <v>5000</v>
      </c>
      <c r="L1498" s="122"/>
      <c r="M1498" s="123">
        <f>SIP[[#This Row],[Amount]]/SIP[[#This Row],[Unit]]</f>
        <v>13.66120218579235</v>
      </c>
      <c r="N1498" s="71">
        <f>SIP[[#This Row],[Unit Capital]]/10</f>
        <v>366</v>
      </c>
      <c r="O1498" s="71">
        <f>SUMIFS(SIP[[#Headers],[Unit]]:SIP[[#This Row],[Unit]],SIP[[#Headers],[Investor ID]]:SIP[[#This Row],[Investor ID]],SIP[[#This Row],[Investor ID]])</f>
        <v>12615</v>
      </c>
      <c r="P1498" s="153">
        <v>3660</v>
      </c>
      <c r="Q1498" s="74">
        <f>SIP[[#This Row],[Amount]]-SIP[[#This Row],[Unit Capital]]</f>
        <v>1340</v>
      </c>
      <c r="R14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11.494252873563221</v>
      </c>
      <c r="S1498" s="46">
        <f t="shared" si="70"/>
        <v>14.224</v>
      </c>
      <c r="T14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8" s="74" cm="1">
        <f t="array" ref="U1498">IF(SIP[[#This Row],[B/S]]="S",ABS(SIP[[#This Row],[Unit]])*(INDEX(SIP[NAV at Cost (Average)],MATCH(CONCATENATE((SIP[[#This Row],[Frequency]]-1),SIP[[#This Row],[Investor ID]]),SIP[Unique Code],0),0)),0)</f>
        <v>0</v>
      </c>
      <c r="V1498" s="74">
        <f>IF(SIP[[#This Row],[BO TRANSFER]]="YES",SIP[[#This Row],[Unit]],)</f>
        <v>0</v>
      </c>
      <c r="W1498" s="74">
        <f>SUMIFS(SIP[[#Headers],[BO UNIT TRANSFER]]:SIP[[#This Row],[BO UNIT TRANSFER]],SIP[[#Headers],[Investor ID]]:SIP[[#This Row],[Investor ID]],SIP[[#This Row],[Investor ID]])</f>
        <v>0</v>
      </c>
    </row>
    <row r="1499" spans="1:23" ht="15" customHeight="1">
      <c r="A1499" s="101">
        <v>2025</v>
      </c>
      <c r="B1499" s="101">
        <v>10</v>
      </c>
      <c r="C1499" s="101">
        <v>26</v>
      </c>
      <c r="D1499" s="65">
        <f>DATE(SIP[[#This Row],[Year]],SIP[[#This Row],[Month]],SIP[[#This Row],[Day]])</f>
        <v>45956</v>
      </c>
      <c r="E1499" s="66" t="str" cm="1">
        <f t="array" ref="E1499">INDEX(INVESTORS_LIST[INVESTOR NAME],MATCH(SIP[[#This Row],[Investor ID]],INVESTORS_LIST[INVESTOR CODE],0),)</f>
        <v>EKUSH WEALTH MANAGEMENT LIMITED EMPLOYEES CONTRIBUTORY PROVIDENT FUND</v>
      </c>
      <c r="F1499" s="46" t="s">
        <v>831</v>
      </c>
      <c r="G1499" s="46">
        <f>COUNTIF(SIP[[#Headers],[Investor ID]]:SIP[[#This Row],[Investor ID]],SIP[[#This Row],[Investor ID]])</f>
        <v>20</v>
      </c>
      <c r="H1499" s="46" t="str">
        <f>CONCATENATE(SIP[[#This Row],[Frequency]],SIP[[#This Row],[Investor ID]])</f>
        <v>20A00392</v>
      </c>
      <c r="I1499" s="46" t="str">
        <f>IF(SIP[[#This Row],[B/S]]="B","BUY",(IF(SIP[[#This Row],[B/S]]="S","SELL"," ")))</f>
        <v>BUY</v>
      </c>
      <c r="J1499" s="150" t="s">
        <v>1229</v>
      </c>
      <c r="K1499" s="153">
        <v>22040</v>
      </c>
      <c r="L1499" s="122"/>
      <c r="M1499" s="123">
        <f>SIP[[#This Row],[Amount]]/SIP[[#This Row],[Unit]]</f>
        <v>13.655514250309789</v>
      </c>
      <c r="N1499" s="71">
        <f>SIP[[#This Row],[Unit Capital]]/10</f>
        <v>1614</v>
      </c>
      <c r="O1499" s="71">
        <f>SUMIFS(SIP[[#Headers],[Unit]]:SIP[[#This Row],[Unit]],SIP[[#Headers],[Investor ID]]:SIP[[#This Row],[Investor ID]],SIP[[#This Row],[Investor ID]])</f>
        <v>31016</v>
      </c>
      <c r="P1499" s="153">
        <v>16140</v>
      </c>
      <c r="Q1499" s="74">
        <f>SIP[[#This Row],[Amount]]-SIP[[#This Row],[Unit Capital]]</f>
        <v>5900</v>
      </c>
      <c r="R14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11.400116324430272</v>
      </c>
      <c r="S1499" s="46">
        <f t="shared" si="70"/>
        <v>14.224</v>
      </c>
      <c r="T14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9" s="74" cm="1">
        <f t="array" ref="U1499">IF(SIP[[#This Row],[B/S]]="S",ABS(SIP[[#This Row],[Unit]])*(INDEX(SIP[NAV at Cost (Average)],MATCH(CONCATENATE((SIP[[#This Row],[Frequency]]-1),SIP[[#This Row],[Investor ID]]),SIP[Unique Code],0),0)),0)</f>
        <v>0</v>
      </c>
      <c r="V1499" s="74">
        <f>IF(SIP[[#This Row],[BO TRANSFER]]="YES",SIP[[#This Row],[Unit]],)</f>
        <v>0</v>
      </c>
      <c r="W1499" s="74">
        <f>SUMIFS(SIP[[#Headers],[BO UNIT TRANSFER]]:SIP[[#This Row],[BO UNIT TRANSFER]],SIP[[#Headers],[Investor ID]]:SIP[[#This Row],[Investor ID]],SIP[[#This Row],[Investor ID]])</f>
        <v>0</v>
      </c>
    </row>
    <row r="1500" spans="1:23" ht="15" customHeight="1">
      <c r="A1500" s="101">
        <v>2025</v>
      </c>
      <c r="B1500" s="101">
        <v>10</v>
      </c>
      <c r="C1500" s="101">
        <v>26</v>
      </c>
      <c r="D1500" s="65">
        <f>DATE(SIP[[#This Row],[Year]],SIP[[#This Row],[Month]],SIP[[#This Row],[Day]])</f>
        <v>45956</v>
      </c>
      <c r="E1500" s="66" t="str" cm="1">
        <f t="array" ref="E1500">INDEX(INVESTORS_LIST[INVESTOR NAME],MATCH(SIP[[#This Row],[Investor ID]],INVESTORS_LIST[INVESTOR CODE],0),)</f>
        <v>MAYA RANI SAHA</v>
      </c>
      <c r="F1500" s="46" t="s">
        <v>224</v>
      </c>
      <c r="G1500" s="46">
        <f>COUNTIF(SIP[[#Headers],[Investor ID]]:SIP[[#This Row],[Investor ID]],SIP[[#This Row],[Investor ID]])</f>
        <v>71</v>
      </c>
      <c r="H1500" s="46" t="str">
        <f>CONCATENATE(SIP[[#This Row],[Frequency]],SIP[[#This Row],[Investor ID]])</f>
        <v>71A00088</v>
      </c>
      <c r="I1500" s="46" t="str">
        <f>IF(SIP[[#This Row],[B/S]]="B","BUY",(IF(SIP[[#This Row],[B/S]]="S","SELL"," ")))</f>
        <v>BUY</v>
      </c>
      <c r="J1500" s="150" t="s">
        <v>1229</v>
      </c>
      <c r="K1500" s="153">
        <v>20000</v>
      </c>
      <c r="L1500" s="122"/>
      <c r="M1500" s="123">
        <f>SIP[[#This Row],[Amount]]/SIP[[#This Row],[Unit]]</f>
        <v>13.651877133105803</v>
      </c>
      <c r="N1500" s="71">
        <f>SIP[[#This Row],[Unit Capital]]/10</f>
        <v>1465</v>
      </c>
      <c r="O1500" s="71">
        <f>SUMIFS(SIP[[#Headers],[Unit]]:SIP[[#This Row],[Unit]],SIP[[#Headers],[Investor ID]]:SIP[[#This Row],[Investor ID]],SIP[[#This Row],[Investor ID]])</f>
        <v>83338</v>
      </c>
      <c r="P1500" s="153">
        <v>14650</v>
      </c>
      <c r="Q1500" s="74">
        <f>SIP[[#This Row],[Amount]]-SIP[[#This Row],[Unit Capital]]</f>
        <v>5350</v>
      </c>
      <c r="R15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11.879334757253595</v>
      </c>
      <c r="S1500" s="46">
        <f t="shared" si="70"/>
        <v>14.224</v>
      </c>
      <c r="T15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0" s="74" cm="1">
        <f t="array" ref="U1500">IF(SIP[[#This Row],[B/S]]="S",ABS(SIP[[#This Row],[Unit]])*(INDEX(SIP[NAV at Cost (Average)],MATCH(CONCATENATE((SIP[[#This Row],[Frequency]]-1),SIP[[#This Row],[Investor ID]]),SIP[Unique Code],0),0)),0)</f>
        <v>0</v>
      </c>
      <c r="V1500" s="74">
        <f>IF(SIP[[#This Row],[BO TRANSFER]]="YES",SIP[[#This Row],[Unit]],)</f>
        <v>0</v>
      </c>
      <c r="W1500" s="74">
        <f>SUMIFS(SIP[[#Headers],[BO UNIT TRANSFER]]:SIP[[#This Row],[BO UNIT TRANSFER]],SIP[[#Headers],[Investor ID]]:SIP[[#This Row],[Investor ID]],SIP[[#This Row],[Investor ID]])</f>
        <v>0</v>
      </c>
    </row>
    <row r="1501" spans="1:23" ht="15" customHeight="1">
      <c r="A1501" s="101">
        <v>2025</v>
      </c>
      <c r="B1501" s="101">
        <v>10</v>
      </c>
      <c r="C1501" s="101">
        <v>26</v>
      </c>
      <c r="D1501" s="65">
        <f>DATE(SIP[[#This Row],[Year]],SIP[[#This Row],[Month]],SIP[[#This Row],[Day]])</f>
        <v>45956</v>
      </c>
      <c r="E1501" s="66" t="str" cm="1">
        <f t="array" ref="E1501">INDEX(INVESTORS_LIST[INVESTOR NAME],MATCH(SIP[[#This Row],[Investor ID]],INVESTORS_LIST[INVESTOR CODE],0),)</f>
        <v>MUHAMMAD SHOHIDUZZAMAN</v>
      </c>
      <c r="F1501" s="46" t="s">
        <v>986</v>
      </c>
      <c r="G1501" s="46">
        <f>COUNTIF(SIP[[#Headers],[Investor ID]]:SIP[[#This Row],[Investor ID]],SIP[[#This Row],[Investor ID]])</f>
        <v>24</v>
      </c>
      <c r="H1501" s="46" t="str">
        <f>CONCATENATE(SIP[[#This Row],[Frequency]],SIP[[#This Row],[Investor ID]])</f>
        <v>24A00470</v>
      </c>
      <c r="I1501" s="46" t="str">
        <f>IF(SIP[[#This Row],[B/S]]="B","BUY",(IF(SIP[[#This Row],[B/S]]="S","SELL"," ")))</f>
        <v>BUY</v>
      </c>
      <c r="J1501" s="150" t="s">
        <v>1229</v>
      </c>
      <c r="K1501" s="153">
        <v>10000</v>
      </c>
      <c r="L1501" s="122"/>
      <c r="M1501" s="123">
        <f>SIP[[#This Row],[Amount]]/SIP[[#This Row],[Unit]]</f>
        <v>13.66120218579235</v>
      </c>
      <c r="N1501" s="71">
        <f>SIP[[#This Row],[Unit Capital]]/10</f>
        <v>732</v>
      </c>
      <c r="O1501" s="71">
        <f>SUMIFS(SIP[[#Headers],[Unit]]:SIP[[#This Row],[Unit]],SIP[[#Headers],[Investor ID]]:SIP[[#This Row],[Investor ID]],SIP[[#This Row],[Investor ID]])</f>
        <v>20432</v>
      </c>
      <c r="P1501" s="153">
        <v>7320</v>
      </c>
      <c r="Q1501" s="74">
        <f>SIP[[#This Row],[Amount]]-SIP[[#This Row],[Unit Capital]]</f>
        <v>2680</v>
      </c>
      <c r="R15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11.746280344557555</v>
      </c>
      <c r="S1501" s="46">
        <f t="shared" si="70"/>
        <v>14.224</v>
      </c>
      <c r="T15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1" s="74" cm="1">
        <f t="array" ref="U1501">IF(SIP[[#This Row],[B/S]]="S",ABS(SIP[[#This Row],[Unit]])*(INDEX(SIP[NAV at Cost (Average)],MATCH(CONCATENATE((SIP[[#This Row],[Frequency]]-1),SIP[[#This Row],[Investor ID]]),SIP[Unique Code],0),0)),0)</f>
        <v>0</v>
      </c>
      <c r="V1501" s="74">
        <f>IF(SIP[[#This Row],[BO TRANSFER]]="YES",SIP[[#This Row],[Unit]],)</f>
        <v>0</v>
      </c>
      <c r="W1501" s="74">
        <f>SUMIFS(SIP[[#Headers],[BO UNIT TRANSFER]]:SIP[[#This Row],[BO UNIT TRANSFER]],SIP[[#Headers],[Investor ID]]:SIP[[#This Row],[Investor ID]],SIP[[#This Row],[Investor ID]])</f>
        <v>18200</v>
      </c>
    </row>
    <row r="1502" spans="1:23" ht="15" customHeight="1">
      <c r="A1502" s="101">
        <v>2025</v>
      </c>
      <c r="B1502" s="101">
        <v>10</v>
      </c>
      <c r="C1502" s="101">
        <v>26</v>
      </c>
      <c r="D1502" s="65">
        <f>DATE(SIP[[#This Row],[Year]],SIP[[#This Row],[Month]],SIP[[#This Row],[Day]])</f>
        <v>45956</v>
      </c>
      <c r="E1502" s="66" t="str" cm="1">
        <f t="array" ref="E1502">INDEX(INVESTORS_LIST[INVESTOR NAME],MATCH(SIP[[#This Row],[Investor ID]],INVESTORS_LIST[INVESTOR CODE],0),)</f>
        <v>MOHAMMAD HASAN IMAM</v>
      </c>
      <c r="F1502" s="46" t="s">
        <v>1122</v>
      </c>
      <c r="G1502" s="46">
        <f>COUNTIF(SIP[[#Headers],[Investor ID]]:SIP[[#This Row],[Investor ID]],SIP[[#This Row],[Investor ID]])</f>
        <v>19</v>
      </c>
      <c r="H1502" s="46" t="str">
        <f>CONCATENATE(SIP[[#This Row],[Frequency]],SIP[[#This Row],[Investor ID]])</f>
        <v>19A00536</v>
      </c>
      <c r="I1502" s="46" t="str">
        <f>IF(SIP[[#This Row],[B/S]]="B","BUY",(IF(SIP[[#This Row],[B/S]]="S","SELL"," ")))</f>
        <v>BUY</v>
      </c>
      <c r="J1502" s="150" t="s">
        <v>1229</v>
      </c>
      <c r="K1502" s="153">
        <v>5000</v>
      </c>
      <c r="L1502" s="122"/>
      <c r="M1502" s="123">
        <f>SIP[[#This Row],[Amount]]/SIP[[#This Row],[Unit]]</f>
        <v>13.66120218579235</v>
      </c>
      <c r="N1502" s="71">
        <f>SIP[[#This Row],[Unit Capital]]/10</f>
        <v>366</v>
      </c>
      <c r="O1502" s="71">
        <f>SUMIFS(SIP[[#Headers],[Unit]]:SIP[[#This Row],[Unit]],SIP[[#Headers],[Investor ID]]:SIP[[#This Row],[Investor ID]],SIP[[#This Row],[Investor ID]])</f>
        <v>7887</v>
      </c>
      <c r="P1502" s="153">
        <v>3660</v>
      </c>
      <c r="Q1502" s="74">
        <f>SIP[[#This Row],[Amount]]-SIP[[#This Row],[Unit Capital]]</f>
        <v>1340</v>
      </c>
      <c r="R15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12.045137568150119</v>
      </c>
      <c r="S1502" s="46">
        <f t="shared" si="70"/>
        <v>14.224</v>
      </c>
      <c r="T15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2" s="74" cm="1">
        <f t="array" ref="U1502">IF(SIP[[#This Row],[B/S]]="S",ABS(SIP[[#This Row],[Unit]])*(INDEX(SIP[NAV at Cost (Average)],MATCH(CONCATENATE((SIP[[#This Row],[Frequency]]-1),SIP[[#This Row],[Investor ID]]),SIP[Unique Code],0),0)),0)</f>
        <v>0</v>
      </c>
      <c r="V1502" s="74">
        <f>IF(SIP[[#This Row],[BO TRANSFER]]="YES",SIP[[#This Row],[Unit]],)</f>
        <v>0</v>
      </c>
      <c r="W1502" s="74">
        <f>SUMIFS(SIP[[#Headers],[BO UNIT TRANSFER]]:SIP[[#This Row],[BO UNIT TRANSFER]],SIP[[#Headers],[Investor ID]]:SIP[[#This Row],[Investor ID]],SIP[[#This Row],[Investor ID]])</f>
        <v>0</v>
      </c>
    </row>
    <row r="1503" spans="1:23" ht="15" customHeight="1">
      <c r="A1503" s="101">
        <v>2025</v>
      </c>
      <c r="B1503" s="101">
        <v>10</v>
      </c>
      <c r="C1503" s="101">
        <v>26</v>
      </c>
      <c r="D1503" s="65">
        <f>DATE(SIP[[#This Row],[Year]],SIP[[#This Row],[Month]],SIP[[#This Row],[Day]])</f>
        <v>45956</v>
      </c>
      <c r="E1503" s="66" t="str" cm="1">
        <f t="array" ref="E1503">INDEX(INVESTORS_LIST[INVESTOR NAME],MATCH(SIP[[#This Row],[Investor ID]],INVESTORS_LIST[INVESTOR CODE],0),)</f>
        <v>HUMAIRA TABASSUM READDHE</v>
      </c>
      <c r="F1503" s="46" t="s">
        <v>1052</v>
      </c>
      <c r="G1503" s="46">
        <f>COUNTIF(SIP[[#Headers],[Investor ID]]:SIP[[#This Row],[Investor ID]],SIP[[#This Row],[Investor ID]])</f>
        <v>15</v>
      </c>
      <c r="H1503" s="46" t="str">
        <f>CONCATENATE(SIP[[#This Row],[Frequency]],SIP[[#This Row],[Investor ID]])</f>
        <v>15A00503</v>
      </c>
      <c r="I1503" s="46" t="str">
        <f>IF(SIP[[#This Row],[B/S]]="B","BUY",(IF(SIP[[#This Row],[B/S]]="S","SELL"," ")))</f>
        <v>BUY</v>
      </c>
      <c r="J1503" s="150" t="s">
        <v>1229</v>
      </c>
      <c r="K1503" s="153">
        <v>3000</v>
      </c>
      <c r="L1503" s="122"/>
      <c r="M1503" s="123">
        <f>SIP[[#This Row],[Amount]]/SIP[[#This Row],[Unit]]</f>
        <v>13.636363636363637</v>
      </c>
      <c r="N1503" s="71">
        <f>SIP[[#This Row],[Unit Capital]]/10</f>
        <v>220</v>
      </c>
      <c r="O1503" s="71">
        <f>SUMIFS(SIP[[#Headers],[Unit]]:SIP[[#This Row],[Unit]],SIP[[#Headers],[Investor ID]]:SIP[[#This Row],[Investor ID]],SIP[[#This Row],[Investor ID]])</f>
        <v>3653</v>
      </c>
      <c r="P1503" s="153">
        <v>2200</v>
      </c>
      <c r="Q1503" s="74">
        <f>SIP[[#This Row],[Amount]]-SIP[[#This Row],[Unit Capital]]</f>
        <v>800</v>
      </c>
      <c r="R15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12.318642211880645</v>
      </c>
      <c r="S1503" s="46">
        <f t="shared" si="70"/>
        <v>14.224</v>
      </c>
      <c r="T15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3" s="74" cm="1">
        <f t="array" ref="U1503">IF(SIP[[#This Row],[B/S]]="S",ABS(SIP[[#This Row],[Unit]])*(INDEX(SIP[NAV at Cost (Average)],MATCH(CONCATENATE((SIP[[#This Row],[Frequency]]-1),SIP[[#This Row],[Investor ID]]),SIP[Unique Code],0),0)),0)</f>
        <v>0</v>
      </c>
      <c r="V1503" s="74">
        <f>IF(SIP[[#This Row],[BO TRANSFER]]="YES",SIP[[#This Row],[Unit]],)</f>
        <v>0</v>
      </c>
      <c r="W1503" s="74">
        <f>SUMIFS(SIP[[#Headers],[BO UNIT TRANSFER]]:SIP[[#This Row],[BO UNIT TRANSFER]],SIP[[#Headers],[Investor ID]]:SIP[[#This Row],[Investor ID]],SIP[[#This Row],[Investor ID]])</f>
        <v>0</v>
      </c>
    </row>
    <row r="1504" spans="1:23" ht="15" customHeight="1">
      <c r="A1504" s="101">
        <v>2025</v>
      </c>
      <c r="B1504" s="101">
        <v>10</v>
      </c>
      <c r="C1504" s="101">
        <v>26</v>
      </c>
      <c r="D1504" s="65">
        <f>DATE(SIP[[#This Row],[Year]],SIP[[#This Row],[Month]],SIP[[#This Row],[Day]])</f>
        <v>45956</v>
      </c>
      <c r="E1504" s="66" t="str" cm="1">
        <f t="array" ref="E1504">INDEX(INVESTORS_LIST[INVESTOR NAME],MATCH(SIP[[#This Row],[Investor ID]],INVESTORS_LIST[INVESTOR CODE],0),)</f>
        <v>MD MIZANUR RAHMAN</v>
      </c>
      <c r="F1504" s="46" t="s">
        <v>1304</v>
      </c>
      <c r="G1504" s="46">
        <f>COUNTIF(SIP[[#Headers],[Investor ID]]:SIP[[#This Row],[Investor ID]],SIP[[#This Row],[Investor ID]])</f>
        <v>12</v>
      </c>
      <c r="H1504" s="46" t="str">
        <f>CONCATENATE(SIP[[#This Row],[Frequency]],SIP[[#This Row],[Investor ID]])</f>
        <v>12A00599</v>
      </c>
      <c r="I1504" s="46" t="str">
        <f>IF(SIP[[#This Row],[B/S]]="B","BUY",(IF(SIP[[#This Row],[B/S]]="S","SELL"," ")))</f>
        <v>BUY</v>
      </c>
      <c r="J1504" s="150" t="s">
        <v>1229</v>
      </c>
      <c r="K1504" s="153">
        <v>5000</v>
      </c>
      <c r="L1504" s="122"/>
      <c r="M1504" s="123">
        <f>SIP[[#This Row],[Amount]]/SIP[[#This Row],[Unit]]</f>
        <v>13.66120218579235</v>
      </c>
      <c r="N1504" s="71">
        <f>SIP[[#This Row],[Unit Capital]]/10</f>
        <v>366</v>
      </c>
      <c r="O1504" s="71">
        <f>SUMIFS(SIP[[#Headers],[Unit]]:SIP[[#This Row],[Unit]],SIP[[#Headers],[Investor ID]]:SIP[[#This Row],[Investor ID]],SIP[[#This Row],[Investor ID]])</f>
        <v>1116</v>
      </c>
      <c r="P1504" s="153">
        <v>3660</v>
      </c>
      <c r="Q1504" s="74">
        <f>SIP[[#This Row],[Amount]]-SIP[[#This Row],[Unit Capital]]</f>
        <v>1340</v>
      </c>
      <c r="R15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13.440860215053764</v>
      </c>
      <c r="S1504" s="46">
        <f t="shared" si="70"/>
        <v>14.224</v>
      </c>
      <c r="T15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4" s="74" cm="1">
        <f t="array" ref="U1504">IF(SIP[[#This Row],[B/S]]="S",ABS(SIP[[#This Row],[Unit]])*(INDEX(SIP[NAV at Cost (Average)],MATCH(CONCATENATE((SIP[[#This Row],[Frequency]]-1),SIP[[#This Row],[Investor ID]]),SIP[Unique Code],0),0)),0)</f>
        <v>0</v>
      </c>
      <c r="V1504" s="74">
        <f>IF(SIP[[#This Row],[BO TRANSFER]]="YES",SIP[[#This Row],[Unit]],)</f>
        <v>0</v>
      </c>
      <c r="W1504" s="74">
        <f>SUMIFS(SIP[[#Headers],[BO UNIT TRANSFER]]:SIP[[#This Row],[BO UNIT TRANSFER]],SIP[[#Headers],[Investor ID]]:SIP[[#This Row],[Investor ID]],SIP[[#This Row],[Investor ID]])</f>
        <v>0</v>
      </c>
    </row>
    <row r="1505" spans="1:23" ht="15" customHeight="1">
      <c r="A1505" s="101">
        <v>2025</v>
      </c>
      <c r="B1505" s="101">
        <v>10</v>
      </c>
      <c r="C1505" s="101">
        <v>26</v>
      </c>
      <c r="D1505" s="65">
        <f>DATE(SIP[[#This Row],[Year]],SIP[[#This Row],[Month]],SIP[[#This Row],[Day]])</f>
        <v>45956</v>
      </c>
      <c r="E1505" s="66" t="str" cm="1">
        <f t="array" ref="E1505">INDEX(INVESTORS_LIST[INVESTOR NAME],MATCH(SIP[[#This Row],[Investor ID]],INVESTORS_LIST[INVESTOR CODE],0),)</f>
        <v>MD MIZANUR RAHMAN</v>
      </c>
      <c r="F1505" s="46" t="s">
        <v>336</v>
      </c>
      <c r="G1505" s="46">
        <f>COUNTIF(SIP[[#Headers],[Investor ID]]:SIP[[#This Row],[Investor ID]],SIP[[#This Row],[Investor ID]])</f>
        <v>3</v>
      </c>
      <c r="H1505" s="46" t="str">
        <f>CONCATENATE(SIP[[#This Row],[Frequency]],SIP[[#This Row],[Investor ID]])</f>
        <v>3A00144</v>
      </c>
      <c r="I1505" s="46" t="str">
        <f>IF(SIP[[#This Row],[B/S]]="B","BUY",(IF(SIP[[#This Row],[B/S]]="S","SELL"," ")))</f>
        <v>BUY</v>
      </c>
      <c r="J1505" s="150" t="s">
        <v>1229</v>
      </c>
      <c r="K1505" s="153">
        <v>5000</v>
      </c>
      <c r="L1505" s="122"/>
      <c r="M1505" s="123">
        <f>SIP[[#This Row],[Amount]]/SIP[[#This Row],[Unit]]</f>
        <v>13.66120218579235</v>
      </c>
      <c r="N1505" s="71">
        <f>SIP[[#This Row],[Unit Capital]]/10</f>
        <v>366</v>
      </c>
      <c r="O1505" s="71">
        <f>SUMIFS(SIP[[#Headers],[Unit]]:SIP[[#This Row],[Unit]],SIP[[#Headers],[Investor ID]]:SIP[[#This Row],[Investor ID]],SIP[[#This Row],[Investor ID]])</f>
        <v>1116</v>
      </c>
      <c r="P1505" s="153">
        <v>3660</v>
      </c>
      <c r="Q1505" s="74">
        <f>SIP[[#This Row],[Amount]]-SIP[[#This Row],[Unit Capital]]</f>
        <v>1340</v>
      </c>
      <c r="R15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13.440860215053764</v>
      </c>
      <c r="S1505" s="46">
        <f t="shared" si="70"/>
        <v>14.224</v>
      </c>
      <c r="T15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5" s="74" cm="1">
        <f t="array" ref="U1505">IF(SIP[[#This Row],[B/S]]="S",ABS(SIP[[#This Row],[Unit]])*(INDEX(SIP[NAV at Cost (Average)],MATCH(CONCATENATE((SIP[[#This Row],[Frequency]]-1),SIP[[#This Row],[Investor ID]]),SIP[Unique Code],0),0)),0)</f>
        <v>0</v>
      </c>
      <c r="V1505" s="74">
        <f>IF(SIP[[#This Row],[BO TRANSFER]]="YES",SIP[[#This Row],[Unit]],)</f>
        <v>0</v>
      </c>
      <c r="W1505" s="74">
        <f>SUMIFS(SIP[[#Headers],[BO UNIT TRANSFER]]:SIP[[#This Row],[BO UNIT TRANSFER]],SIP[[#Headers],[Investor ID]]:SIP[[#This Row],[Investor ID]],SIP[[#This Row],[Investor ID]])</f>
        <v>0</v>
      </c>
    </row>
    <row r="1506" spans="1:23" ht="15" customHeight="1">
      <c r="A1506" s="101">
        <v>2025</v>
      </c>
      <c r="B1506" s="101">
        <v>10</v>
      </c>
      <c r="C1506" s="101">
        <v>26</v>
      </c>
      <c r="D1506" s="65">
        <f>DATE(SIP[[#This Row],[Year]],SIP[[#This Row],[Month]],SIP[[#This Row],[Day]])</f>
        <v>45956</v>
      </c>
      <c r="E1506" s="66" t="str" cm="1">
        <f t="array" ref="E1506">INDEX(INVESTORS_LIST[INVESTOR NAME],MATCH(SIP[[#This Row],[Investor ID]],INVESTORS_LIST[INVESTOR CODE],0),)</f>
        <v>MAYA RANI SAHA</v>
      </c>
      <c r="F1506" s="46" t="s">
        <v>224</v>
      </c>
      <c r="G1506" s="46">
        <f>COUNTIF(SIP[[#Headers],[Investor ID]]:SIP[[#This Row],[Investor ID]],SIP[[#This Row],[Investor ID]])</f>
        <v>72</v>
      </c>
      <c r="H1506" s="46" t="str">
        <f>CONCATENATE(SIP[[#This Row],[Frequency]],SIP[[#This Row],[Investor ID]])</f>
        <v>72A00088</v>
      </c>
      <c r="I1506" s="46" t="str">
        <f>IF(SIP[[#This Row],[B/S]]="B","BUY",(IF(SIP[[#This Row],[B/S]]="S","SELL"," ")))</f>
        <v>BUY</v>
      </c>
      <c r="J1506" s="150" t="s">
        <v>1229</v>
      </c>
      <c r="K1506" s="153">
        <v>6000</v>
      </c>
      <c r="L1506" s="122"/>
      <c r="M1506" s="123">
        <f>SIP[[#This Row],[Amount]]/SIP[[#This Row],[Unit]]</f>
        <v>13.66742596810934</v>
      </c>
      <c r="N1506" s="71">
        <f>SIP[[#This Row],[Unit Capital]]/10</f>
        <v>439</v>
      </c>
      <c r="O1506" s="71">
        <f>SUMIFS(SIP[[#Headers],[Unit]]:SIP[[#This Row],[Unit]],SIP[[#Headers],[Investor ID]]:SIP[[#This Row],[Investor ID]],SIP[[#This Row],[Investor ID]])</f>
        <v>83777</v>
      </c>
      <c r="P1506" s="153">
        <v>4390</v>
      </c>
      <c r="Q1506" s="74">
        <f>SIP[[#This Row],[Amount]]-SIP[[#This Row],[Unit Capital]]</f>
        <v>1610</v>
      </c>
      <c r="R15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11.888704537044774</v>
      </c>
      <c r="S1506" s="46">
        <f t="shared" si="70"/>
        <v>14.224</v>
      </c>
      <c r="T15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6" s="74" cm="1">
        <f t="array" ref="U1506">IF(SIP[[#This Row],[B/S]]="S",ABS(SIP[[#This Row],[Unit]])*(INDEX(SIP[NAV at Cost (Average)],MATCH(CONCATENATE((SIP[[#This Row],[Frequency]]-1),SIP[[#This Row],[Investor ID]]),SIP[Unique Code],0),0)),0)</f>
        <v>0</v>
      </c>
      <c r="V1506" s="74">
        <f>IF(SIP[[#This Row],[BO TRANSFER]]="YES",SIP[[#This Row],[Unit]],)</f>
        <v>0</v>
      </c>
      <c r="W1506" s="74">
        <f>SUMIFS(SIP[[#Headers],[BO UNIT TRANSFER]]:SIP[[#This Row],[BO UNIT TRANSFER]],SIP[[#Headers],[Investor ID]]:SIP[[#This Row],[Investor ID]],SIP[[#This Row],[Investor ID]])</f>
        <v>0</v>
      </c>
    </row>
    <row r="1507" spans="1:23" ht="15" customHeight="1">
      <c r="A1507" s="101">
        <v>2025</v>
      </c>
      <c r="B1507" s="101">
        <v>10</v>
      </c>
      <c r="C1507" s="101">
        <v>26</v>
      </c>
      <c r="D1507" s="65">
        <f>DATE(SIP[[#This Row],[Year]],SIP[[#This Row],[Month]],SIP[[#This Row],[Day]])</f>
        <v>45956</v>
      </c>
      <c r="E1507" s="66" t="str" cm="1">
        <f t="array" ref="E1507">INDEX(INVESTORS_LIST[INVESTOR NAME],MATCH(SIP[[#This Row],[Investor ID]],INVESTORS_LIST[INVESTOR CODE],0),)</f>
        <v>BALARAM CHANDRA SAHA</v>
      </c>
      <c r="F1507" s="46" t="s">
        <v>505</v>
      </c>
      <c r="G1507" s="46">
        <f>COUNTIF(SIP[[#Headers],[Investor ID]]:SIP[[#This Row],[Investor ID]],SIP[[#This Row],[Investor ID]])</f>
        <v>7</v>
      </c>
      <c r="H1507" s="46" t="str">
        <f>CONCATENATE(SIP[[#This Row],[Frequency]],SIP[[#This Row],[Investor ID]])</f>
        <v>7A00228</v>
      </c>
      <c r="I1507" s="46" t="str">
        <f>IF(SIP[[#This Row],[B/S]]="B","BUY",(IF(SIP[[#This Row],[B/S]]="S","SELL"," ")))</f>
        <v>BUY</v>
      </c>
      <c r="J1507" s="150" t="s">
        <v>1229</v>
      </c>
      <c r="K1507" s="153">
        <v>25000</v>
      </c>
      <c r="L1507" s="122"/>
      <c r="M1507" s="123">
        <f>SIP[[#This Row],[Amount]]/SIP[[#This Row],[Unit]]</f>
        <v>13.653741125068269</v>
      </c>
      <c r="N1507" s="71">
        <f>SIP[[#This Row],[Unit Capital]]/10</f>
        <v>1831</v>
      </c>
      <c r="O1507" s="71">
        <f>SUMIFS(SIP[[#Headers],[Unit]]:SIP[[#This Row],[Unit]],SIP[[#Headers],[Investor ID]]:SIP[[#This Row],[Investor ID]],SIP[[#This Row],[Investor ID]])</f>
        <v>15563</v>
      </c>
      <c r="P1507" s="153">
        <v>18310</v>
      </c>
      <c r="Q1507" s="74">
        <f>SIP[[#This Row],[Amount]]-SIP[[#This Row],[Unit Capital]]</f>
        <v>6690</v>
      </c>
      <c r="R15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12.850992739189103</v>
      </c>
      <c r="S1507" s="46">
        <f t="shared" si="70"/>
        <v>14.224</v>
      </c>
      <c r="T15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7" s="74" cm="1">
        <f t="array" ref="U1507">IF(SIP[[#This Row],[B/S]]="S",ABS(SIP[[#This Row],[Unit]])*(INDEX(SIP[NAV at Cost (Average)],MATCH(CONCATENATE((SIP[[#This Row],[Frequency]]-1),SIP[[#This Row],[Investor ID]]),SIP[Unique Code],0),0)),0)</f>
        <v>0</v>
      </c>
      <c r="V1507" s="74">
        <f>IF(SIP[[#This Row],[BO TRANSFER]]="YES",SIP[[#This Row],[Unit]],)</f>
        <v>0</v>
      </c>
      <c r="W1507" s="74">
        <f>SUMIFS(SIP[[#Headers],[BO UNIT TRANSFER]]:SIP[[#This Row],[BO UNIT TRANSFER]],SIP[[#Headers],[Investor ID]]:SIP[[#This Row],[Investor ID]],SIP[[#This Row],[Investor ID]])</f>
        <v>0</v>
      </c>
    </row>
    <row r="1508" spans="1:23" ht="15" customHeight="1">
      <c r="A1508" s="101">
        <v>2025</v>
      </c>
      <c r="B1508" s="101">
        <v>10</v>
      </c>
      <c r="C1508" s="101">
        <v>26</v>
      </c>
      <c r="D1508" s="65">
        <f>DATE(SIP[[#This Row],[Year]],SIP[[#This Row],[Month]],SIP[[#This Row],[Day]])</f>
        <v>45956</v>
      </c>
      <c r="E1508" s="66" t="str" cm="1">
        <f t="array" ref="E1508">INDEX(INVESTORS_LIST[INVESTOR NAME],MATCH(SIP[[#This Row],[Investor ID]],INVESTORS_LIST[INVESTOR CODE],0),)</f>
        <v>MOHAMMAD SAMIUL ALAM</v>
      </c>
      <c r="F1508" s="46" t="s">
        <v>537</v>
      </c>
      <c r="G1508" s="46">
        <f>COUNTIF(SIP[[#Headers],[Investor ID]]:SIP[[#This Row],[Investor ID]],SIP[[#This Row],[Investor ID]])</f>
        <v>27</v>
      </c>
      <c r="H1508" s="46" t="str">
        <f>CONCATENATE(SIP[[#This Row],[Frequency]],SIP[[#This Row],[Investor ID]])</f>
        <v>27A00244</v>
      </c>
      <c r="I1508" s="46" t="str">
        <f>IF(SIP[[#This Row],[B/S]]="B","BUY",(IF(SIP[[#This Row],[B/S]]="S","SELL"," ")))</f>
        <v>BUY</v>
      </c>
      <c r="J1508" s="150" t="s">
        <v>1229</v>
      </c>
      <c r="K1508" s="153">
        <v>35000</v>
      </c>
      <c r="L1508" s="122" t="s">
        <v>1230</v>
      </c>
      <c r="M1508" s="123">
        <f>SIP[[#This Row],[Amount]]/SIP[[#This Row],[Unit]]</f>
        <v>13.655872024970737</v>
      </c>
      <c r="N1508" s="71">
        <f>SIP[[#This Row],[Unit Capital]]/10</f>
        <v>2563</v>
      </c>
      <c r="O1508" s="71">
        <f>SUMIFS(SIP[[#Headers],[Unit]]:SIP[[#This Row],[Unit]],SIP[[#Headers],[Investor ID]]:SIP[[#This Row],[Investor ID]],SIP[[#This Row],[Investor ID]])</f>
        <v>51105</v>
      </c>
      <c r="P1508" s="153">
        <v>25630</v>
      </c>
      <c r="Q1508" s="74">
        <f>SIP[[#This Row],[Amount]]-SIP[[#This Row],[Unit Capital]]</f>
        <v>9370</v>
      </c>
      <c r="R15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11.740534194305845</v>
      </c>
      <c r="S1508" s="46">
        <f t="shared" si="70"/>
        <v>14.224</v>
      </c>
      <c r="T15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8" s="74" cm="1">
        <f t="array" ref="U1508">IF(SIP[[#This Row],[B/S]]="S",ABS(SIP[[#This Row],[Unit]])*(INDEX(SIP[NAV at Cost (Average)],MATCH(CONCATENATE((SIP[[#This Row],[Frequency]]-1),SIP[[#This Row],[Investor ID]]),SIP[Unique Code],0),0)),0)</f>
        <v>0</v>
      </c>
      <c r="V1508" s="74">
        <f>IF(SIP[[#This Row],[BO TRANSFER]]="YES",SIP[[#This Row],[Unit]],)</f>
        <v>2563</v>
      </c>
      <c r="W1508" s="74">
        <f>SUMIFS(SIP[[#Headers],[BO UNIT TRANSFER]]:SIP[[#This Row],[BO UNIT TRANSFER]],SIP[[#Headers],[Investor ID]]:SIP[[#This Row],[Investor ID]],SIP[[#This Row],[Investor ID]])</f>
        <v>10545</v>
      </c>
    </row>
    <row r="1509" spans="1:23" ht="15" customHeight="1">
      <c r="A1509" s="101">
        <v>2025</v>
      </c>
      <c r="B1509" s="101">
        <v>10</v>
      </c>
      <c r="C1509" s="101">
        <v>26</v>
      </c>
      <c r="D1509" s="65">
        <f>DATE(SIP[[#This Row],[Year]],SIP[[#This Row],[Month]],SIP[[#This Row],[Day]])</f>
        <v>45956</v>
      </c>
      <c r="E1509" s="66" t="str" cm="1">
        <f t="array" ref="E1509">INDEX(INVESTORS_LIST[INVESTOR NAME],MATCH(SIP[[#This Row],[Investor ID]],INVESTORS_LIST[INVESTOR CODE],0),)</f>
        <v>MAHFUZUL ISLAM</v>
      </c>
      <c r="F1509" s="46" t="s">
        <v>473</v>
      </c>
      <c r="G1509" s="46">
        <f>COUNTIF(SIP[[#Headers],[Investor ID]]:SIP[[#This Row],[Investor ID]],SIP[[#This Row],[Investor ID]])</f>
        <v>16</v>
      </c>
      <c r="H1509" s="46" t="str">
        <f>CONCATENATE(SIP[[#This Row],[Frequency]],SIP[[#This Row],[Investor ID]])</f>
        <v>16A00212</v>
      </c>
      <c r="I1509" s="46" t="str">
        <f>IF(SIP[[#This Row],[B/S]]="B","BUY",(IF(SIP[[#This Row],[B/S]]="S","SELL"," ")))</f>
        <v>BUY</v>
      </c>
      <c r="J1509" s="150" t="s">
        <v>1229</v>
      </c>
      <c r="K1509" s="153">
        <v>3000</v>
      </c>
      <c r="L1509" s="122" t="s">
        <v>1230</v>
      </c>
      <c r="M1509" s="123">
        <f>SIP[[#This Row],[Amount]]/SIP[[#This Row],[Unit]]</f>
        <v>13.636363636363637</v>
      </c>
      <c r="N1509" s="71">
        <f>SIP[[#This Row],[Unit Capital]]/10</f>
        <v>220</v>
      </c>
      <c r="O1509" s="71">
        <f>SUMIFS(SIP[[#Headers],[Unit]]:SIP[[#This Row],[Unit]],SIP[[#Headers],[Investor ID]]:SIP[[#This Row],[Investor ID]],SIP[[#This Row],[Investor ID]])</f>
        <v>2845</v>
      </c>
      <c r="P1509" s="153">
        <v>2200</v>
      </c>
      <c r="Q1509" s="74">
        <f>SIP[[#This Row],[Amount]]-SIP[[#This Row],[Unit Capital]]</f>
        <v>800</v>
      </c>
      <c r="R15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11.950790861159931</v>
      </c>
      <c r="S1509" s="46">
        <f t="shared" si="70"/>
        <v>14.224</v>
      </c>
      <c r="T15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9" s="74" cm="1">
        <f t="array" ref="U1509">IF(SIP[[#This Row],[B/S]]="S",ABS(SIP[[#This Row],[Unit]])*(INDEX(SIP[NAV at Cost (Average)],MATCH(CONCATENATE((SIP[[#This Row],[Frequency]]-1),SIP[[#This Row],[Investor ID]]),SIP[Unique Code],0),0)),0)</f>
        <v>0</v>
      </c>
      <c r="V1509" s="74">
        <f>IF(SIP[[#This Row],[BO TRANSFER]]="YES",SIP[[#This Row],[Unit]],)</f>
        <v>220</v>
      </c>
      <c r="W1509" s="74">
        <f>SUMIFS(SIP[[#Headers],[BO UNIT TRANSFER]]:SIP[[#This Row],[BO UNIT TRANSFER]],SIP[[#Headers],[Investor ID]]:SIP[[#This Row],[Investor ID]],SIP[[#This Row],[Investor ID]])</f>
        <v>2845</v>
      </c>
    </row>
    <row r="1510" spans="1:23" ht="15" customHeight="1">
      <c r="A1510" s="101">
        <v>2025</v>
      </c>
      <c r="B1510" s="101">
        <v>10</v>
      </c>
      <c r="C1510" s="101">
        <v>26</v>
      </c>
      <c r="D1510" s="65">
        <f>DATE(SIP[[#This Row],[Year]],SIP[[#This Row],[Month]],SIP[[#This Row],[Day]])</f>
        <v>45956</v>
      </c>
      <c r="E1510" s="66" t="str" cm="1">
        <f t="array" ref="E1510">INDEX(INVESTORS_LIST[INVESTOR NAME],MATCH(SIP[[#This Row],[Investor ID]],INVESTORS_LIST[INVESTOR CODE],0),)</f>
        <v>TANVIR HASAN</v>
      </c>
      <c r="F1510" s="46" t="s">
        <v>561</v>
      </c>
      <c r="G1510" s="46">
        <f>COUNTIF(SIP[[#Headers],[Investor ID]]:SIP[[#This Row],[Investor ID]],SIP[[#This Row],[Investor ID]])</f>
        <v>7</v>
      </c>
      <c r="H1510" s="46" t="str">
        <f>CONCATENATE(SIP[[#This Row],[Frequency]],SIP[[#This Row],[Investor ID]])</f>
        <v>7A00256</v>
      </c>
      <c r="I1510" s="46" t="str">
        <f>IF(SIP[[#This Row],[B/S]]="B","BUY",(IF(SIP[[#This Row],[B/S]]="S","SELL"," ")))</f>
        <v>BUY</v>
      </c>
      <c r="J1510" s="150" t="s">
        <v>1229</v>
      </c>
      <c r="K1510" s="153">
        <v>10000</v>
      </c>
      <c r="L1510" s="122"/>
      <c r="M1510" s="123">
        <f>SIP[[#This Row],[Amount]]/SIP[[#This Row],[Unit]]</f>
        <v>13.66120218579235</v>
      </c>
      <c r="N1510" s="71">
        <f>SIP[[#This Row],[Unit Capital]]/10</f>
        <v>732</v>
      </c>
      <c r="O1510" s="71">
        <f>SUMIFS(SIP[[#Headers],[Unit]]:SIP[[#This Row],[Unit]],SIP[[#Headers],[Investor ID]]:SIP[[#This Row],[Investor ID]],SIP[[#This Row],[Investor ID]])</f>
        <v>5423</v>
      </c>
      <c r="P1510" s="153">
        <v>7320</v>
      </c>
      <c r="Q1510" s="74">
        <f>SIP[[#This Row],[Amount]]-SIP[[#This Row],[Unit Capital]]</f>
        <v>2680</v>
      </c>
      <c r="R15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12.907984510418588</v>
      </c>
      <c r="S1510" s="46">
        <f t="shared" si="70"/>
        <v>14.224</v>
      </c>
      <c r="T15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0" s="74" cm="1">
        <f t="array" ref="U1510">IF(SIP[[#This Row],[B/S]]="S",ABS(SIP[[#This Row],[Unit]])*(INDEX(SIP[NAV at Cost (Average)],MATCH(CONCATENATE((SIP[[#This Row],[Frequency]]-1),SIP[[#This Row],[Investor ID]]),SIP[Unique Code],0),0)),0)</f>
        <v>0</v>
      </c>
      <c r="V1510" s="74">
        <f>IF(SIP[[#This Row],[BO TRANSFER]]="YES",SIP[[#This Row],[Unit]],)</f>
        <v>0</v>
      </c>
      <c r="W1510" s="74">
        <f>SUMIFS(SIP[[#Headers],[BO UNIT TRANSFER]]:SIP[[#This Row],[BO UNIT TRANSFER]],SIP[[#Headers],[Investor ID]]:SIP[[#This Row],[Investor ID]],SIP[[#This Row],[Investor ID]])</f>
        <v>0</v>
      </c>
    </row>
    <row r="1511" spans="1:23" ht="15" customHeight="1">
      <c r="A1511" s="101">
        <v>2025</v>
      </c>
      <c r="B1511" s="101">
        <v>10</v>
      </c>
      <c r="C1511" s="101">
        <v>26</v>
      </c>
      <c r="D1511" s="65">
        <f>DATE(SIP[[#This Row],[Year]],SIP[[#This Row],[Month]],SIP[[#This Row],[Day]])</f>
        <v>45956</v>
      </c>
      <c r="E1511" s="66" t="str" cm="1">
        <f t="array" ref="E1511">INDEX(INVESTORS_LIST[INVESTOR NAME],MATCH(SIP[[#This Row],[Investor ID]],INVESTORS_LIST[INVESTOR CODE],0),)</f>
        <v>MST. GOLENUR</v>
      </c>
      <c r="F1511" s="46" t="s">
        <v>1075</v>
      </c>
      <c r="G1511" s="46">
        <f>COUNTIF(SIP[[#Headers],[Investor ID]]:SIP[[#This Row],[Investor ID]],SIP[[#This Row],[Investor ID]])</f>
        <v>11</v>
      </c>
      <c r="H1511" s="46" t="str">
        <f>CONCATENATE(SIP[[#This Row],[Frequency]],SIP[[#This Row],[Investor ID]])</f>
        <v>11A00515</v>
      </c>
      <c r="I1511" s="46" t="str">
        <f>IF(SIP[[#This Row],[B/S]]="B","BUY",(IF(SIP[[#This Row],[B/S]]="S","SELL"," ")))</f>
        <v>BUY</v>
      </c>
      <c r="J1511" s="150" t="s">
        <v>1229</v>
      </c>
      <c r="K1511" s="153">
        <v>2000</v>
      </c>
      <c r="L1511" s="122"/>
      <c r="M1511" s="123">
        <f>SIP[[#This Row],[Amount]]/SIP[[#This Row],[Unit]]</f>
        <v>13.698630136986301</v>
      </c>
      <c r="N1511" s="71">
        <f>SIP[[#This Row],[Unit Capital]]/10</f>
        <v>146</v>
      </c>
      <c r="O1511" s="71">
        <f>SUMIFS(SIP[[#Headers],[Unit]]:SIP[[#This Row],[Unit]],SIP[[#Headers],[Investor ID]]:SIP[[#This Row],[Investor ID]],SIP[[#This Row],[Investor ID]])</f>
        <v>1876</v>
      </c>
      <c r="P1511" s="153">
        <v>1460</v>
      </c>
      <c r="Q1511" s="74">
        <f>SIP[[#This Row],[Amount]]-SIP[[#This Row],[Unit Capital]]</f>
        <v>540</v>
      </c>
      <c r="R15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12.793176972281449</v>
      </c>
      <c r="S1511" s="46">
        <f t="shared" si="70"/>
        <v>14.224</v>
      </c>
      <c r="T15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1" s="74" cm="1">
        <f t="array" ref="U1511">IF(SIP[[#This Row],[B/S]]="S",ABS(SIP[[#This Row],[Unit]])*(INDEX(SIP[NAV at Cost (Average)],MATCH(CONCATENATE((SIP[[#This Row],[Frequency]]-1),SIP[[#This Row],[Investor ID]]),SIP[Unique Code],0),0)),0)</f>
        <v>0</v>
      </c>
      <c r="V1511" s="74">
        <f>IF(SIP[[#This Row],[BO TRANSFER]]="YES",SIP[[#This Row],[Unit]],)</f>
        <v>0</v>
      </c>
      <c r="W1511" s="74">
        <f>SUMIFS(SIP[[#Headers],[BO UNIT TRANSFER]]:SIP[[#This Row],[BO UNIT TRANSFER]],SIP[[#Headers],[Investor ID]]:SIP[[#This Row],[Investor ID]],SIP[[#This Row],[Investor ID]])</f>
        <v>0</v>
      </c>
    </row>
    <row r="1512" spans="1:23" ht="15" customHeight="1">
      <c r="A1512" s="101">
        <v>2025</v>
      </c>
      <c r="B1512" s="101">
        <v>10</v>
      </c>
      <c r="C1512" s="101">
        <v>26</v>
      </c>
      <c r="D1512" s="65">
        <f>DATE(SIP[[#This Row],[Year]],SIP[[#This Row],[Month]],SIP[[#This Row],[Day]])</f>
        <v>45956</v>
      </c>
      <c r="E1512" s="66" t="str" cm="1">
        <f t="array" ref="E1512">INDEX(INVESTORS_LIST[INVESTOR NAME],MATCH(SIP[[#This Row],[Investor ID]],INVESTORS_LIST[INVESTOR CODE],0),)</f>
        <v>RAJIB</v>
      </c>
      <c r="F1512" s="46" t="s">
        <v>1321</v>
      </c>
      <c r="G1512" s="46">
        <f>COUNTIF(SIP[[#Headers],[Investor ID]]:SIP[[#This Row],[Investor ID]],SIP[[#This Row],[Investor ID]])</f>
        <v>7</v>
      </c>
      <c r="H1512" s="46" t="str">
        <f>CONCATENATE(SIP[[#This Row],[Frequency]],SIP[[#This Row],[Investor ID]])</f>
        <v>7A00607</v>
      </c>
      <c r="I1512" s="46" t="str">
        <f>IF(SIP[[#This Row],[B/S]]="B","BUY",(IF(SIP[[#This Row],[B/S]]="S","SELL"," ")))</f>
        <v>BUY</v>
      </c>
      <c r="J1512" s="150" t="s">
        <v>1229</v>
      </c>
      <c r="K1512" s="153">
        <v>1000</v>
      </c>
      <c r="L1512" s="122"/>
      <c r="M1512" s="123">
        <f>SIP[[#This Row],[Amount]]/SIP[[#This Row],[Unit]]</f>
        <v>13.698630136986301</v>
      </c>
      <c r="N1512" s="71">
        <f>SIP[[#This Row],[Unit Capital]]/10</f>
        <v>73</v>
      </c>
      <c r="O1512" s="71">
        <f>SUMIFS(SIP[[#Headers],[Unit]]:SIP[[#This Row],[Unit]],SIP[[#Headers],[Investor ID]]:SIP[[#This Row],[Investor ID]],SIP[[#This Row],[Investor ID]])</f>
        <v>542</v>
      </c>
      <c r="P1512" s="153">
        <v>730</v>
      </c>
      <c r="Q1512" s="74">
        <f>SIP[[#This Row],[Amount]]-SIP[[#This Row],[Unit Capital]]</f>
        <v>270</v>
      </c>
      <c r="R15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12.915129151291511</v>
      </c>
      <c r="S1512" s="46">
        <f t="shared" si="70"/>
        <v>14.224</v>
      </c>
      <c r="T15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2" s="74" cm="1">
        <f t="array" ref="U1512">IF(SIP[[#This Row],[B/S]]="S",ABS(SIP[[#This Row],[Unit]])*(INDEX(SIP[NAV at Cost (Average)],MATCH(CONCATENATE((SIP[[#This Row],[Frequency]]-1),SIP[[#This Row],[Investor ID]]),SIP[Unique Code],0),0)),0)</f>
        <v>0</v>
      </c>
      <c r="V1512" s="74">
        <f>IF(SIP[[#This Row],[BO TRANSFER]]="YES",SIP[[#This Row],[Unit]],)</f>
        <v>0</v>
      </c>
      <c r="W1512" s="74">
        <f>SUMIFS(SIP[[#Headers],[BO UNIT TRANSFER]]:SIP[[#This Row],[BO UNIT TRANSFER]],SIP[[#Headers],[Investor ID]]:SIP[[#This Row],[Investor ID]],SIP[[#This Row],[Investor ID]])</f>
        <v>0</v>
      </c>
    </row>
    <row r="1513" spans="1:23" ht="15" customHeight="1">
      <c r="A1513" s="101">
        <v>2025</v>
      </c>
      <c r="B1513" s="101">
        <v>10</v>
      </c>
      <c r="C1513" s="101">
        <v>26</v>
      </c>
      <c r="D1513" s="65">
        <f>DATE(SIP[[#This Row],[Year]],SIP[[#This Row],[Month]],SIP[[#This Row],[Day]])</f>
        <v>45956</v>
      </c>
      <c r="E1513" s="66" t="str" cm="1">
        <f t="array" ref="E1513">INDEX(INVESTORS_LIST[INVESTOR NAME],MATCH(SIP[[#This Row],[Investor ID]],INVESTORS_LIST[INVESTOR CODE],0),)</f>
        <v>RUMA AKTER</v>
      </c>
      <c r="F1513" s="46" t="s">
        <v>1323</v>
      </c>
      <c r="G1513" s="46">
        <f>COUNTIF(SIP[[#Headers],[Investor ID]]:SIP[[#This Row],[Investor ID]],SIP[[#This Row],[Investor ID]])</f>
        <v>10</v>
      </c>
      <c r="H1513" s="46" t="str">
        <f>CONCATENATE(SIP[[#This Row],[Frequency]],SIP[[#This Row],[Investor ID]])</f>
        <v>10A00608</v>
      </c>
      <c r="I1513" s="46" t="str">
        <f>IF(SIP[[#This Row],[B/S]]="B","BUY",(IF(SIP[[#This Row],[B/S]]="S","SELL"," ")))</f>
        <v>BUY</v>
      </c>
      <c r="J1513" s="150" t="s">
        <v>1229</v>
      </c>
      <c r="K1513" s="153">
        <v>1000</v>
      </c>
      <c r="L1513" s="122"/>
      <c r="M1513" s="123">
        <f>SIP[[#This Row],[Amount]]/SIP[[#This Row],[Unit]]</f>
        <v>13.698630136986301</v>
      </c>
      <c r="N1513" s="71">
        <f>SIP[[#This Row],[Unit Capital]]/10</f>
        <v>73</v>
      </c>
      <c r="O1513" s="71">
        <f>SUMIFS(SIP[[#Headers],[Unit]]:SIP[[#This Row],[Unit]],SIP[[#Headers],[Investor ID]]:SIP[[#This Row],[Investor ID]],SIP[[#This Row],[Investor ID]])</f>
        <v>765</v>
      </c>
      <c r="P1513" s="153">
        <v>730</v>
      </c>
      <c r="Q1513" s="74">
        <f>SIP[[#This Row],[Amount]]-SIP[[#This Row],[Unit Capital]]</f>
        <v>270</v>
      </c>
      <c r="R15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13.071895424836601</v>
      </c>
      <c r="S1513" s="46">
        <f t="shared" si="70"/>
        <v>14.224</v>
      </c>
      <c r="T15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3" s="74" cm="1">
        <f t="array" ref="U1513">IF(SIP[[#This Row],[B/S]]="S",ABS(SIP[[#This Row],[Unit]])*(INDEX(SIP[NAV at Cost (Average)],MATCH(CONCATENATE((SIP[[#This Row],[Frequency]]-1),SIP[[#This Row],[Investor ID]]),SIP[Unique Code],0),0)),0)</f>
        <v>0</v>
      </c>
      <c r="V1513" s="74">
        <f>IF(SIP[[#This Row],[BO TRANSFER]]="YES",SIP[[#This Row],[Unit]],)</f>
        <v>0</v>
      </c>
      <c r="W1513" s="74">
        <f>SUMIFS(SIP[[#Headers],[BO UNIT TRANSFER]]:SIP[[#This Row],[BO UNIT TRANSFER]],SIP[[#Headers],[Investor ID]]:SIP[[#This Row],[Investor ID]],SIP[[#This Row],[Investor ID]])</f>
        <v>0</v>
      </c>
    </row>
    <row r="1514" spans="1:23" ht="15" customHeight="1">
      <c r="A1514" s="101">
        <v>2025</v>
      </c>
      <c r="B1514" s="101">
        <v>10</v>
      </c>
      <c r="C1514" s="101">
        <v>26</v>
      </c>
      <c r="D1514" s="65">
        <f>DATE(SIP[[#This Row],[Year]],SIP[[#This Row],[Month]],SIP[[#This Row],[Day]])</f>
        <v>45956</v>
      </c>
      <c r="E1514" s="66" t="str" cm="1">
        <f t="array" ref="E1514">INDEX(INVESTORS_LIST[INVESTOR NAME],MATCH(SIP[[#This Row],[Investor ID]],INVESTORS_LIST[INVESTOR CODE],0),)</f>
        <v>KHAN MUHAMMAD FAISOL</v>
      </c>
      <c r="F1514" s="46" t="s">
        <v>930</v>
      </c>
      <c r="G1514" s="46">
        <f>COUNTIF(SIP[[#Headers],[Investor ID]]:SIP[[#This Row],[Investor ID]],SIP[[#This Row],[Investor ID]])</f>
        <v>31</v>
      </c>
      <c r="H1514" s="46" t="str">
        <f>CONCATENATE(SIP[[#This Row],[Frequency]],SIP[[#This Row],[Investor ID]])</f>
        <v>31A00442</v>
      </c>
      <c r="I1514" s="46" t="str">
        <f>IF(SIP[[#This Row],[B/S]]="B","BUY",(IF(SIP[[#This Row],[B/S]]="S","SELL"," ")))</f>
        <v>BUY</v>
      </c>
      <c r="J1514" s="150" t="s">
        <v>1229</v>
      </c>
      <c r="K1514" s="153">
        <v>1000</v>
      </c>
      <c r="L1514" s="122" t="s">
        <v>1230</v>
      </c>
      <c r="M1514" s="123">
        <f>SIP[[#This Row],[Amount]]/SIP[[#This Row],[Unit]]</f>
        <v>13.698630136986301</v>
      </c>
      <c r="N1514" s="71">
        <f>SIP[[#This Row],[Unit Capital]]/10</f>
        <v>73</v>
      </c>
      <c r="O1514" s="71">
        <f>SUMIFS(SIP[[#Headers],[Unit]]:SIP[[#This Row],[Unit]],SIP[[#Headers],[Investor ID]]:SIP[[#This Row],[Investor ID]],SIP[[#This Row],[Investor ID]])</f>
        <v>301</v>
      </c>
      <c r="P1514" s="153">
        <v>730</v>
      </c>
      <c r="Q1514" s="74">
        <f>SIP[[#This Row],[Amount]]-SIP[[#This Row],[Unit Capital]]</f>
        <v>270</v>
      </c>
      <c r="R15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13.289036544850498</v>
      </c>
      <c r="S1514" s="46">
        <f t="shared" si="70"/>
        <v>14.224</v>
      </c>
      <c r="T15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4" s="74" cm="1">
        <f t="array" ref="U1514">IF(SIP[[#This Row],[B/S]]="S",ABS(SIP[[#This Row],[Unit]])*(INDEX(SIP[NAV at Cost (Average)],MATCH(CONCATENATE((SIP[[#This Row],[Frequency]]-1),SIP[[#This Row],[Investor ID]]),SIP[Unique Code],0),0)),0)</f>
        <v>0</v>
      </c>
      <c r="V1514" s="74">
        <f>IF(SIP[[#This Row],[BO TRANSFER]]="YES",SIP[[#This Row],[Unit]],)</f>
        <v>73</v>
      </c>
      <c r="W1514" s="74">
        <f>SUMIFS(SIP[[#Headers],[BO UNIT TRANSFER]]:SIP[[#This Row],[BO UNIT TRANSFER]],SIP[[#Headers],[Investor ID]]:SIP[[#This Row],[Investor ID]],SIP[[#This Row],[Investor ID]])</f>
        <v>301</v>
      </c>
    </row>
    <row r="1515" spans="1:23" ht="15" customHeight="1">
      <c r="A1515" s="101">
        <v>2025</v>
      </c>
      <c r="B1515" s="101">
        <v>10</v>
      </c>
      <c r="C1515" s="101">
        <v>26</v>
      </c>
      <c r="D1515" s="65">
        <f>DATE(SIP[[#This Row],[Year]],SIP[[#This Row],[Month]],SIP[[#This Row],[Day]])</f>
        <v>45956</v>
      </c>
      <c r="E1515" s="66" t="str" cm="1">
        <f t="array" ref="E1515">INDEX(INVESTORS_LIST[INVESTOR NAME],MATCH(SIP[[#This Row],[Investor ID]],INVESTORS_LIST[INVESTOR CODE],0),)</f>
        <v>MD. ARIFUL ISLAM</v>
      </c>
      <c r="F1515" s="46" t="s">
        <v>222</v>
      </c>
      <c r="G1515" s="46">
        <f>COUNTIF(SIP[[#Headers],[Investor ID]]:SIP[[#This Row],[Investor ID]],SIP[[#This Row],[Investor ID]])</f>
        <v>31</v>
      </c>
      <c r="H1515" s="46" t="str">
        <f>CONCATENATE(SIP[[#This Row],[Frequency]],SIP[[#This Row],[Investor ID]])</f>
        <v>31A00087</v>
      </c>
      <c r="I1515" s="46" t="str">
        <f>IF(SIP[[#This Row],[B/S]]="B","BUY",(IF(SIP[[#This Row],[B/S]]="S","SELL"," ")))</f>
        <v>BUY</v>
      </c>
      <c r="J1515" s="150" t="s">
        <v>1229</v>
      </c>
      <c r="K1515" s="153">
        <v>10000</v>
      </c>
      <c r="L1515" s="122"/>
      <c r="M1515" s="123">
        <f>SIP[[#This Row],[Amount]]/SIP[[#This Row],[Unit]]</f>
        <v>13.66120218579235</v>
      </c>
      <c r="N1515" s="71">
        <f>SIP[[#This Row],[Unit Capital]]/10</f>
        <v>732</v>
      </c>
      <c r="O1515" s="71">
        <f>SUMIFS(SIP[[#Headers],[Unit]]:SIP[[#This Row],[Unit]],SIP[[#Headers],[Investor ID]]:SIP[[#This Row],[Investor ID]],SIP[[#This Row],[Investor ID]])</f>
        <v>2232</v>
      </c>
      <c r="P1515" s="153">
        <v>7320</v>
      </c>
      <c r="Q1515" s="74">
        <f>SIP[[#This Row],[Amount]]-SIP[[#This Row],[Unit Capital]]</f>
        <v>2680</v>
      </c>
      <c r="R15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13.440860215053764</v>
      </c>
      <c r="S1515" s="46">
        <f t="shared" si="70"/>
        <v>14.224</v>
      </c>
      <c r="T15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5" s="74" cm="1">
        <f t="array" ref="U1515">IF(SIP[[#This Row],[B/S]]="S",ABS(SIP[[#This Row],[Unit]])*(INDEX(SIP[NAV at Cost (Average)],MATCH(CONCATENATE((SIP[[#This Row],[Frequency]]-1),SIP[[#This Row],[Investor ID]]),SIP[Unique Code],0),0)),0)</f>
        <v>0</v>
      </c>
      <c r="V1515" s="74">
        <f>IF(SIP[[#This Row],[BO TRANSFER]]="YES",SIP[[#This Row],[Unit]],)</f>
        <v>0</v>
      </c>
      <c r="W1515" s="74">
        <f>SUMIFS(SIP[[#Headers],[BO UNIT TRANSFER]]:SIP[[#This Row],[BO UNIT TRANSFER]],SIP[[#Headers],[Investor ID]]:SIP[[#This Row],[Investor ID]],SIP[[#This Row],[Investor ID]])</f>
        <v>0</v>
      </c>
    </row>
    <row r="1516" spans="1:23" ht="15" customHeight="1">
      <c r="A1516" s="101">
        <v>2025</v>
      </c>
      <c r="B1516" s="101">
        <v>10</v>
      </c>
      <c r="C1516" s="101">
        <v>27</v>
      </c>
      <c r="D1516" s="65">
        <f>DATE(SIP[[#This Row],[Year]],SIP[[#This Row],[Month]],SIP[[#This Row],[Day]])</f>
        <v>45957</v>
      </c>
      <c r="E1516" s="66" t="str" cm="1">
        <f t="array" ref="E1516">INDEX(INVESTORS_LIST[INVESTOR NAME],MATCH(SIP[[#This Row],[Investor ID]],INVESTORS_LIST[INVESTOR CODE],0),)</f>
        <v>NUSRAT JAHAN TISHA</v>
      </c>
      <c r="F1516" s="150" t="s">
        <v>926</v>
      </c>
      <c r="G1516" s="46">
        <f>COUNTIF(SIP[[#Headers],[Investor ID]]:SIP[[#This Row],[Investor ID]],SIP[[#This Row],[Investor ID]])</f>
        <v>19</v>
      </c>
      <c r="H1516" s="46" t="str">
        <f>CONCATENATE(SIP[[#This Row],[Frequency]],SIP[[#This Row],[Investor ID]])</f>
        <v>19A00440</v>
      </c>
      <c r="I1516" s="46" t="str">
        <f>IF(SIP[[#This Row],[B/S]]="B","BUY",(IF(SIP[[#This Row],[B/S]]="S","SELL"," ")))</f>
        <v>BUY</v>
      </c>
      <c r="J1516" s="150" t="s">
        <v>1229</v>
      </c>
      <c r="K1516" s="152">
        <v>5000</v>
      </c>
      <c r="L1516" s="122"/>
      <c r="M1516" s="123">
        <f>SIP[[#This Row],[Amount]]/SIP[[#This Row],[Unit]]</f>
        <v>13.66120218579235</v>
      </c>
      <c r="N1516" s="71">
        <f>SIP[[#This Row],[Unit Capital]]/10</f>
        <v>366</v>
      </c>
      <c r="O1516" s="71">
        <f>SUMIFS(SIP[[#Headers],[Unit]]:SIP[[#This Row],[Unit]],SIP[[#Headers],[Investor ID]]:SIP[[#This Row],[Investor ID]],SIP[[#This Row],[Investor ID]])</f>
        <v>1536</v>
      </c>
      <c r="P1516" s="153">
        <v>3660</v>
      </c>
      <c r="Q1516" s="74">
        <f>SIP[[#This Row],[Amount]]-SIP[[#This Row],[Unit Capital]]</f>
        <v>1340</v>
      </c>
      <c r="R15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13.020833333333334</v>
      </c>
      <c r="S1516" s="46">
        <f t="shared" si="70"/>
        <v>14.224</v>
      </c>
      <c r="T15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6" s="74" cm="1">
        <f t="array" ref="U1516">IF(SIP[[#This Row],[B/S]]="S",ABS(SIP[[#This Row],[Unit]])*(INDEX(SIP[NAV at Cost (Average)],MATCH(CONCATENATE((SIP[[#This Row],[Frequency]]-1),SIP[[#This Row],[Investor ID]]),SIP[Unique Code],0),0)),0)</f>
        <v>0</v>
      </c>
      <c r="V1516" s="74">
        <f>IF(SIP[[#This Row],[BO TRANSFER]]="YES",SIP[[#This Row],[Unit]],)</f>
        <v>0</v>
      </c>
      <c r="W1516" s="74">
        <f>SUMIFS(SIP[[#Headers],[BO UNIT TRANSFER]]:SIP[[#This Row],[BO UNIT TRANSFER]],SIP[[#Headers],[Investor ID]]:SIP[[#This Row],[Investor ID]],SIP[[#This Row],[Investor ID]])</f>
        <v>0</v>
      </c>
    </row>
    <row r="1517" spans="1:23" ht="15" customHeight="1">
      <c r="A1517" s="101">
        <v>2025</v>
      </c>
      <c r="B1517" s="101">
        <v>10</v>
      </c>
      <c r="C1517" s="101">
        <v>28</v>
      </c>
      <c r="D1517" s="65">
        <f>DATE(SIP[[#This Row],[Year]],SIP[[#This Row],[Month]],SIP[[#This Row],[Day]])</f>
        <v>45958</v>
      </c>
      <c r="E1517" s="66" t="str" cm="1">
        <f t="array" ref="E1517">INDEX(INVESTORS_LIST[INVESTOR NAME],MATCH(SIP[[#This Row],[Investor ID]],INVESTORS_LIST[INVESTOR CODE],0),)</f>
        <v>MONIR AHMED</v>
      </c>
      <c r="F1517" s="166" t="s">
        <v>125</v>
      </c>
      <c r="G1517" s="46">
        <f>COUNTIF(SIP[[#Headers],[Investor ID]]:SIP[[#This Row],[Investor ID]],SIP[[#This Row],[Investor ID]])</f>
        <v>32</v>
      </c>
      <c r="H1517" s="46" t="str">
        <f>CONCATENATE(SIP[[#This Row],[Frequency]],SIP[[#This Row],[Investor ID]])</f>
        <v>32A00039</v>
      </c>
      <c r="I1517" s="46" t="str">
        <f>IF(SIP[[#This Row],[B/S]]="B","BUY",(IF(SIP[[#This Row],[B/S]]="S","SELL"," ")))</f>
        <v>SELL</v>
      </c>
      <c r="J1517" s="150" t="s">
        <v>1231</v>
      </c>
      <c r="K1517" s="153">
        <v>-282904.28999999998</v>
      </c>
      <c r="L1517" s="122"/>
      <c r="M1517" s="123">
        <f>SIP[[#This Row],[Amount]]/SIP[[#This Row],[Unit]]</f>
        <v>13.654999999999999</v>
      </c>
      <c r="N1517" s="71">
        <f>SIP[[#This Row],[Unit Capital]]/10</f>
        <v>-20718</v>
      </c>
      <c r="O1517" s="71">
        <f>SUMIFS(SIP[[#Headers],[Unit]]:SIP[[#This Row],[Unit]],SIP[[#Headers],[Investor ID]]:SIP[[#This Row],[Investor ID]],SIP[[#This Row],[Investor ID]])</f>
        <v>0</v>
      </c>
      <c r="P1517" s="153">
        <v>-207180</v>
      </c>
      <c r="Q1517" s="74">
        <f>SIP[[#This Row],[Amount]]-SIP[[#This Row],[Unit Capital]]</f>
        <v>-75724.289999999979</v>
      </c>
      <c r="R15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517" s="46">
        <f t="shared" ref="S1517:S1538" si="71">NAV_MKT</f>
        <v>14.224</v>
      </c>
      <c r="T1517" s="74">
        <f>IF(SIP[[#This Row],[B/S]]="B",0,ABS(SIP[[#This Row],[Unit]])*(SIP[[#This Row],[NAV (Strike Rate)]]-INDEX(SIP[NAV at Cost (Average)],MATCH(CONCATENATE(SIP[[#This Row],[Frequency]]-1,SIP[[#This Row],[Investor ID]]),SIP[Unique Code],0),)))</f>
        <v>22858.391096804975</v>
      </c>
      <c r="U1517" s="74" cm="1">
        <f t="array" ref="U1517">IF(SIP[[#This Row],[B/S]]="S",ABS(SIP[[#This Row],[Unit]])*(INDEX(SIP[NAV at Cost (Average)],MATCH(CONCATENATE((SIP[[#This Row],[Frequency]]-1),SIP[[#This Row],[Investor ID]]),SIP[Unique Code],0),0)),0)</f>
        <v>260045.89890319502</v>
      </c>
      <c r="V1517" s="74">
        <f>IF(SIP[[#This Row],[BO TRANSFER]]="YES",SIP[[#This Row],[Unit]],)</f>
        <v>0</v>
      </c>
      <c r="W1517" s="74">
        <f>SUMIFS(SIP[[#Headers],[BO UNIT TRANSFER]]:SIP[[#This Row],[BO UNIT TRANSFER]],SIP[[#Headers],[Investor ID]]:SIP[[#This Row],[Investor ID]],SIP[[#This Row],[Investor ID]])</f>
        <v>0</v>
      </c>
    </row>
    <row r="1518" spans="1:23" ht="15" customHeight="1">
      <c r="A1518" s="101">
        <v>2025</v>
      </c>
      <c r="B1518" s="101">
        <v>10</v>
      </c>
      <c r="C1518" s="101">
        <v>29</v>
      </c>
      <c r="D1518" s="65">
        <f>DATE(SIP[[#This Row],[Year]],SIP[[#This Row],[Month]],SIP[[#This Row],[Day]])</f>
        <v>45959</v>
      </c>
      <c r="E1518" s="66" t="str" cm="1">
        <f t="array" ref="E1518">INDEX(INVESTORS_LIST[INVESTOR NAME],MATCH(SIP[[#This Row],[Investor ID]],INVESTORS_LIST[INVESTOR CODE],0),)</f>
        <v>MD. OMAR FARUQUE Al QUADERI</v>
      </c>
      <c r="F1518" s="150" t="s">
        <v>160</v>
      </c>
      <c r="G1518" s="46">
        <f>COUNTIF(SIP[[#Headers],[Investor ID]]:SIP[[#This Row],[Investor ID]],SIP[[#This Row],[Investor ID]])</f>
        <v>1</v>
      </c>
      <c r="H1518" s="46" t="str">
        <f>CONCATENATE(SIP[[#This Row],[Frequency]],SIP[[#This Row],[Investor ID]])</f>
        <v>1A00056</v>
      </c>
      <c r="I1518" s="46" t="str">
        <f>IF(SIP[[#This Row],[B/S]]="B","BUY",(IF(SIP[[#This Row],[B/S]]="S","SELL"," ")))</f>
        <v>BUY</v>
      </c>
      <c r="J1518" s="150" t="s">
        <v>1229</v>
      </c>
      <c r="K1518" s="153">
        <v>5000</v>
      </c>
      <c r="L1518" s="122"/>
      <c r="M1518" s="123">
        <f>SIP[[#This Row],[Amount]]/SIP[[#This Row],[Unit]]</f>
        <v>13.66120218579235</v>
      </c>
      <c r="N1518" s="71">
        <f>SIP[[#This Row],[Unit Capital]]/10</f>
        <v>366</v>
      </c>
      <c r="O1518" s="71">
        <f>SUMIFS(SIP[[#Headers],[Unit]]:SIP[[#This Row],[Unit]],SIP[[#Headers],[Investor ID]]:SIP[[#This Row],[Investor ID]],SIP[[#This Row],[Investor ID]])</f>
        <v>366</v>
      </c>
      <c r="P1518" s="153">
        <v>3660</v>
      </c>
      <c r="Q1518" s="74">
        <f>SIP[[#This Row],[Amount]]-SIP[[#This Row],[Unit Capital]]</f>
        <v>1340</v>
      </c>
      <c r="R15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13.66120218579235</v>
      </c>
      <c r="S1518" s="46">
        <f t="shared" si="71"/>
        <v>14.224</v>
      </c>
      <c r="T15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8" s="74" cm="1">
        <f t="array" ref="U1518">IF(SIP[[#This Row],[B/S]]="S",ABS(SIP[[#This Row],[Unit]])*(INDEX(SIP[NAV at Cost (Average)],MATCH(CONCATENATE((SIP[[#This Row],[Frequency]]-1),SIP[[#This Row],[Investor ID]]),SIP[Unique Code],0),0)),0)</f>
        <v>0</v>
      </c>
      <c r="V1518" s="74">
        <f>IF(SIP[[#This Row],[BO TRANSFER]]="YES",SIP[[#This Row],[Unit]],)</f>
        <v>0</v>
      </c>
      <c r="W1518" s="74">
        <f>SUMIFS(SIP[[#Headers],[BO UNIT TRANSFER]]:SIP[[#This Row],[BO UNIT TRANSFER]],SIP[[#Headers],[Investor ID]]:SIP[[#This Row],[Investor ID]],SIP[[#This Row],[Investor ID]])</f>
        <v>0</v>
      </c>
    </row>
    <row r="1519" spans="1:23" ht="15" customHeight="1">
      <c r="A1519" s="101">
        <v>2025</v>
      </c>
      <c r="B1519" s="101">
        <v>11</v>
      </c>
      <c r="C1519" s="101">
        <v>1</v>
      </c>
      <c r="D1519" s="65">
        <f>DATE(SIP[[#This Row],[Year]],SIP[[#This Row],[Month]],SIP[[#This Row],[Day]])</f>
        <v>45962</v>
      </c>
      <c r="E1519" s="66" t="str" cm="1">
        <f t="array" ref="E1519">INDEX(INVESTORS_LIST[INVESTOR NAME],MATCH(SIP[[#This Row],[Investor ID]],INVESTORS_LIST[INVESTOR CODE],0),)</f>
        <v>MD. SAIFUL ISLAM</v>
      </c>
      <c r="F1519" s="150" t="s">
        <v>1425</v>
      </c>
      <c r="G1519" s="46">
        <f>COUNTIF(SIP[[#Headers],[Investor ID]]:SIP[[#This Row],[Investor ID]],SIP[[#This Row],[Investor ID]])</f>
        <v>2</v>
      </c>
      <c r="H1519" s="46" t="str">
        <f>CONCATENATE(SIP[[#This Row],[Frequency]],SIP[[#This Row],[Investor ID]])</f>
        <v>2A00658</v>
      </c>
      <c r="I1519" s="46" t="str">
        <f>IF(SIP[[#This Row],[B/S]]="B","BUY",(IF(SIP[[#This Row],[B/S]]="S","SELL"," ")))</f>
        <v>BUY</v>
      </c>
      <c r="J1519" s="150" t="s">
        <v>1229</v>
      </c>
      <c r="K1519" s="153">
        <v>10000</v>
      </c>
      <c r="L1519" s="122"/>
      <c r="M1519" s="123">
        <f>SIP[[#This Row],[Amount]]/SIP[[#This Row],[Unit]]</f>
        <v>13.66120218579235</v>
      </c>
      <c r="N1519" s="71">
        <f>SIP[[#This Row],[Unit Capital]]/10</f>
        <v>732</v>
      </c>
      <c r="O1519" s="71">
        <f>SUMIFS(SIP[[#Headers],[Unit]]:SIP[[#This Row],[Unit]],SIP[[#Headers],[Investor ID]]:SIP[[#This Row],[Investor ID]],SIP[[#This Row],[Investor ID]])</f>
        <v>1471</v>
      </c>
      <c r="P1519" s="153">
        <v>7320</v>
      </c>
      <c r="Q1519" s="74">
        <f>SIP[[#This Row],[Amount]]-SIP[[#This Row],[Unit Capital]]</f>
        <v>2680</v>
      </c>
      <c r="R15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13.596193065941536</v>
      </c>
      <c r="S1519" s="46">
        <f t="shared" si="71"/>
        <v>14.224</v>
      </c>
      <c r="T15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9" s="74" cm="1">
        <f t="array" ref="U1519">IF(SIP[[#This Row],[B/S]]="S",ABS(SIP[[#This Row],[Unit]])*(INDEX(SIP[NAV at Cost (Average)],MATCH(CONCATENATE((SIP[[#This Row],[Frequency]]-1),SIP[[#This Row],[Investor ID]]),SIP[Unique Code],0),0)),0)</f>
        <v>0</v>
      </c>
      <c r="V1519" s="74">
        <f>IF(SIP[[#This Row],[BO TRANSFER]]="YES",SIP[[#This Row],[Unit]],)</f>
        <v>0</v>
      </c>
      <c r="W1519" s="74">
        <f>SUMIFS(SIP[[#Headers],[BO UNIT TRANSFER]]:SIP[[#This Row],[BO UNIT TRANSFER]],SIP[[#Headers],[Investor ID]]:SIP[[#This Row],[Investor ID]],SIP[[#This Row],[Investor ID]])</f>
        <v>0</v>
      </c>
    </row>
    <row r="1520" spans="1:23" ht="15" customHeight="1">
      <c r="A1520" s="101">
        <v>2025</v>
      </c>
      <c r="B1520" s="101">
        <v>11</v>
      </c>
      <c r="C1520" s="101">
        <v>5</v>
      </c>
      <c r="D1520" s="65">
        <f>DATE(SIP[[#This Row],[Year]],SIP[[#This Row],[Month]],SIP[[#This Row],[Day]])</f>
        <v>45966</v>
      </c>
      <c r="E1520" s="66" t="str" cm="1">
        <f t="array" ref="E1520">INDEX(INVESTORS_LIST[INVESTOR NAME],MATCH(SIP[[#This Row],[Investor ID]],INVESTORS_LIST[INVESTOR CODE],0),)</f>
        <v>SHUVA SAHA</v>
      </c>
      <c r="F1520" s="46" t="s">
        <v>154</v>
      </c>
      <c r="G1520" s="46">
        <f>COUNTIF(SIP[[#Headers],[Investor ID]]:SIP[[#This Row],[Investor ID]],SIP[[#This Row],[Investor ID]])</f>
        <v>28</v>
      </c>
      <c r="H1520" s="46" t="str">
        <f>CONCATENATE(SIP[[#This Row],[Frequency]],SIP[[#This Row],[Investor ID]])</f>
        <v>28A00053</v>
      </c>
      <c r="I1520" s="46" t="str">
        <f>IF(SIP[[#This Row],[B/S]]="B","BUY",(IF(SIP[[#This Row],[B/S]]="S","SELL"," ")))</f>
        <v>BUY</v>
      </c>
      <c r="J1520" s="150" t="s">
        <v>1229</v>
      </c>
      <c r="K1520" s="153">
        <v>70000</v>
      </c>
      <c r="L1520" s="122"/>
      <c r="M1520" s="123">
        <f>SIP[[#This Row],[Amount]]/SIP[[#This Row],[Unit]]</f>
        <v>13.66120218579235</v>
      </c>
      <c r="N1520" s="71">
        <f>SIP[[#This Row],[Unit Capital]]/10</f>
        <v>5124</v>
      </c>
      <c r="O1520" s="71">
        <f>SUMIFS(SIP[[#Headers],[Unit]]:SIP[[#This Row],[Unit]],SIP[[#Headers],[Investor ID]]:SIP[[#This Row],[Investor ID]],SIP[[#This Row],[Investor ID]])</f>
        <v>5124</v>
      </c>
      <c r="P1520" s="153">
        <v>51240</v>
      </c>
      <c r="Q1520" s="74">
        <f>SIP[[#This Row],[Amount]]-SIP[[#This Row],[Unit Capital]]</f>
        <v>18760</v>
      </c>
      <c r="R15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13.66120218579235</v>
      </c>
      <c r="S1520" s="46">
        <f t="shared" si="71"/>
        <v>14.224</v>
      </c>
      <c r="T15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0" s="74" cm="1">
        <f t="array" ref="U1520">IF(SIP[[#This Row],[B/S]]="S",ABS(SIP[[#This Row],[Unit]])*(INDEX(SIP[NAV at Cost (Average)],MATCH(CONCATENATE((SIP[[#This Row],[Frequency]]-1),SIP[[#This Row],[Investor ID]]),SIP[Unique Code],0),0)),0)</f>
        <v>0</v>
      </c>
      <c r="V1520" s="74">
        <f>IF(SIP[[#This Row],[BO TRANSFER]]="YES",SIP[[#This Row],[Unit]],)</f>
        <v>0</v>
      </c>
      <c r="W1520" s="74">
        <f>SUMIFS(SIP[[#Headers],[BO UNIT TRANSFER]]:SIP[[#This Row],[BO UNIT TRANSFER]],SIP[[#Headers],[Investor ID]]:SIP[[#This Row],[Investor ID]],SIP[[#This Row],[Investor ID]])</f>
        <v>0</v>
      </c>
    </row>
    <row r="1521" spans="1:23" ht="15" customHeight="1">
      <c r="A1521" s="101">
        <v>2025</v>
      </c>
      <c r="B1521" s="101">
        <v>11</v>
      </c>
      <c r="C1521" s="101">
        <v>5</v>
      </c>
      <c r="D1521" s="65">
        <f>DATE(SIP[[#This Row],[Year]],SIP[[#This Row],[Month]],SIP[[#This Row],[Day]])</f>
        <v>45966</v>
      </c>
      <c r="E1521" s="66" t="str" cm="1">
        <f t="array" ref="E1521">INDEX(INVESTORS_LIST[INVESTOR NAME],MATCH(SIP[[#This Row],[Investor ID]],INVESTORS_LIST[INVESTOR CODE],0),)</f>
        <v>FAIYEAD AHMEDUL HYE</v>
      </c>
      <c r="F1521" s="46" t="s">
        <v>368</v>
      </c>
      <c r="G1521" s="46">
        <f>COUNTIF(SIP[[#Headers],[Investor ID]]:SIP[[#This Row],[Investor ID]],SIP[[#This Row],[Investor ID]])</f>
        <v>27</v>
      </c>
      <c r="H1521" s="46" t="str">
        <f>CONCATENATE(SIP[[#This Row],[Frequency]],SIP[[#This Row],[Investor ID]])</f>
        <v>27A00160</v>
      </c>
      <c r="I1521" s="46" t="str">
        <f>IF(SIP[[#This Row],[B/S]]="B","BUY",(IF(SIP[[#This Row],[B/S]]="S","SELL"," ")))</f>
        <v>BUY</v>
      </c>
      <c r="J1521" s="150" t="s">
        <v>1229</v>
      </c>
      <c r="K1521" s="153">
        <v>15000</v>
      </c>
      <c r="L1521" s="122"/>
      <c r="M1521" s="123">
        <f>SIP[[#This Row],[Amount]]/SIP[[#This Row],[Unit]]</f>
        <v>13.66120218579235</v>
      </c>
      <c r="N1521" s="71">
        <f>SIP[[#This Row],[Unit Capital]]/10</f>
        <v>1098</v>
      </c>
      <c r="O1521" s="71">
        <f>SUMIFS(SIP[[#Headers],[Unit]]:SIP[[#This Row],[Unit]],SIP[[#Headers],[Investor ID]]:SIP[[#This Row],[Investor ID]],SIP[[#This Row],[Investor ID]])</f>
        <v>35786</v>
      </c>
      <c r="P1521" s="153">
        <v>10980</v>
      </c>
      <c r="Q1521" s="74">
        <f>SIP[[#This Row],[Amount]]-SIP[[#This Row],[Unit Capital]]</f>
        <v>4020</v>
      </c>
      <c r="R15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11.317274911976751</v>
      </c>
      <c r="S1521" s="46">
        <f t="shared" si="71"/>
        <v>14.224</v>
      </c>
      <c r="T15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1" s="74" cm="1">
        <f t="array" ref="U1521">IF(SIP[[#This Row],[B/S]]="S",ABS(SIP[[#This Row],[Unit]])*(INDEX(SIP[NAV at Cost (Average)],MATCH(CONCATENATE((SIP[[#This Row],[Frequency]]-1),SIP[[#This Row],[Investor ID]]),SIP[Unique Code],0),0)),0)</f>
        <v>0</v>
      </c>
      <c r="V1521" s="74">
        <f>IF(SIP[[#This Row],[BO TRANSFER]]="YES",SIP[[#This Row],[Unit]],)</f>
        <v>0</v>
      </c>
      <c r="W1521" s="74">
        <f>SUMIFS(SIP[[#Headers],[BO UNIT TRANSFER]]:SIP[[#This Row],[BO UNIT TRANSFER]],SIP[[#Headers],[Investor ID]]:SIP[[#This Row],[Investor ID]],SIP[[#This Row],[Investor ID]])</f>
        <v>0</v>
      </c>
    </row>
    <row r="1522" spans="1:23" ht="15" customHeight="1">
      <c r="A1522" s="101">
        <v>2025</v>
      </c>
      <c r="B1522" s="101">
        <v>11</v>
      </c>
      <c r="C1522" s="101">
        <v>5</v>
      </c>
      <c r="D1522" s="65">
        <f>DATE(SIP[[#This Row],[Year]],SIP[[#This Row],[Month]],SIP[[#This Row],[Day]])</f>
        <v>45966</v>
      </c>
      <c r="E1522" s="66" t="str" cm="1">
        <f t="array" ref="E1522">INDEX(INVESTORS_LIST[INVESTOR NAME],MATCH(SIP[[#This Row],[Investor ID]],INVESTORS_LIST[INVESTOR CODE],0),)</f>
        <v>CHAONIKA SAHA</v>
      </c>
      <c r="F1522" s="46" t="s">
        <v>238</v>
      </c>
      <c r="G1522" s="46">
        <f>COUNTIF(SIP[[#Headers],[Investor ID]]:SIP[[#This Row],[Investor ID]],SIP[[#This Row],[Investor ID]])</f>
        <v>27</v>
      </c>
      <c r="H1522" s="46" t="str">
        <f>CONCATENATE(SIP[[#This Row],[Frequency]],SIP[[#This Row],[Investor ID]])</f>
        <v>27A00095</v>
      </c>
      <c r="I1522" s="46" t="str">
        <f>IF(SIP[[#This Row],[B/S]]="B","BUY",(IF(SIP[[#This Row],[B/S]]="S","SELL"," ")))</f>
        <v>BUY</v>
      </c>
      <c r="J1522" s="150" t="s">
        <v>1229</v>
      </c>
      <c r="K1522" s="153">
        <v>1000</v>
      </c>
      <c r="L1522" s="122"/>
      <c r="M1522" s="123">
        <f>SIP[[#This Row],[Amount]]/SIP[[#This Row],[Unit]]</f>
        <v>13.698630136986301</v>
      </c>
      <c r="N1522" s="71">
        <f>SIP[[#This Row],[Unit Capital]]/10</f>
        <v>73</v>
      </c>
      <c r="O1522" s="71">
        <f>SUMIFS(SIP[[#Headers],[Unit]]:SIP[[#This Row],[Unit]],SIP[[#Headers],[Investor ID]]:SIP[[#This Row],[Investor ID]],SIP[[#This Row],[Investor ID]])</f>
        <v>2325</v>
      </c>
      <c r="P1522" s="153">
        <v>730</v>
      </c>
      <c r="Q1522" s="74">
        <f>SIP[[#This Row],[Amount]]-SIP[[#This Row],[Unit Capital]]</f>
        <v>270</v>
      </c>
      <c r="R15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11.612903225806452</v>
      </c>
      <c r="S1522" s="46">
        <f t="shared" si="71"/>
        <v>14.224</v>
      </c>
      <c r="T15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2" s="74" cm="1">
        <f t="array" ref="U1522">IF(SIP[[#This Row],[B/S]]="S",ABS(SIP[[#This Row],[Unit]])*(INDEX(SIP[NAV at Cost (Average)],MATCH(CONCATENATE((SIP[[#This Row],[Frequency]]-1),SIP[[#This Row],[Investor ID]]),SIP[Unique Code],0),0)),0)</f>
        <v>0</v>
      </c>
      <c r="V1522" s="74">
        <f>IF(SIP[[#This Row],[BO TRANSFER]]="YES",SIP[[#This Row],[Unit]],)</f>
        <v>0</v>
      </c>
      <c r="W1522" s="74">
        <f>SUMIFS(SIP[[#Headers],[BO UNIT TRANSFER]]:SIP[[#This Row],[BO UNIT TRANSFER]],SIP[[#Headers],[Investor ID]]:SIP[[#This Row],[Investor ID]],SIP[[#This Row],[Investor ID]])</f>
        <v>0</v>
      </c>
    </row>
    <row r="1523" spans="1:23" ht="15" customHeight="1">
      <c r="A1523" s="101">
        <v>2025</v>
      </c>
      <c r="B1523" s="101">
        <v>11</v>
      </c>
      <c r="C1523" s="101">
        <v>5</v>
      </c>
      <c r="D1523" s="65">
        <f>DATE(SIP[[#This Row],[Year]],SIP[[#This Row],[Month]],SIP[[#This Row],[Day]])</f>
        <v>45966</v>
      </c>
      <c r="E1523" s="66" t="str" cm="1">
        <f t="array" ref="E1523">INDEX(INVESTORS_LIST[INVESTOR NAME],MATCH(SIP[[#This Row],[Investor ID]],INVESTORS_LIST[INVESTOR CODE],0),)</f>
        <v>KAZI AHSAN MARUF</v>
      </c>
      <c r="F1523" s="46" t="s">
        <v>158</v>
      </c>
      <c r="G1523" s="46">
        <f>COUNTIF(SIP[[#Headers],[Investor ID]]:SIP[[#This Row],[Investor ID]],SIP[[#This Row],[Investor ID]])</f>
        <v>36</v>
      </c>
      <c r="H1523" s="46" t="str">
        <f>CONCATENATE(SIP[[#This Row],[Frequency]],SIP[[#This Row],[Investor ID]])</f>
        <v>36A00055</v>
      </c>
      <c r="I1523" s="46" t="str">
        <f>IF(SIP[[#This Row],[B/S]]="B","BUY",(IF(SIP[[#This Row],[B/S]]="S","SELL"," ")))</f>
        <v>BUY</v>
      </c>
      <c r="J1523" s="150" t="s">
        <v>1229</v>
      </c>
      <c r="K1523" s="153">
        <v>10000</v>
      </c>
      <c r="L1523" s="122"/>
      <c r="M1523" s="123">
        <f>SIP[[#This Row],[Amount]]/SIP[[#This Row],[Unit]]</f>
        <v>13.66120218579235</v>
      </c>
      <c r="N1523" s="71">
        <f>SIP[[#This Row],[Unit Capital]]/10</f>
        <v>732</v>
      </c>
      <c r="O1523" s="71">
        <f>SUMIFS(SIP[[#Headers],[Unit]]:SIP[[#This Row],[Unit]],SIP[[#Headers],[Investor ID]]:SIP[[#This Row],[Investor ID]],SIP[[#This Row],[Investor ID]])</f>
        <v>5215</v>
      </c>
      <c r="P1523" s="153">
        <v>7320</v>
      </c>
      <c r="Q1523" s="74">
        <f>SIP[[#This Row],[Amount]]-SIP[[#This Row],[Unit Capital]]</f>
        <v>2680</v>
      </c>
      <c r="R15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13.422818791946309</v>
      </c>
      <c r="S1523" s="46">
        <f t="shared" si="71"/>
        <v>14.224</v>
      </c>
      <c r="T15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3" s="74" cm="1">
        <f t="array" ref="U1523">IF(SIP[[#This Row],[B/S]]="S",ABS(SIP[[#This Row],[Unit]])*(INDEX(SIP[NAV at Cost (Average)],MATCH(CONCATENATE((SIP[[#This Row],[Frequency]]-1),SIP[[#This Row],[Investor ID]]),SIP[Unique Code],0),0)),0)</f>
        <v>0</v>
      </c>
      <c r="V1523" s="74">
        <f>IF(SIP[[#This Row],[BO TRANSFER]]="YES",SIP[[#This Row],[Unit]],)</f>
        <v>0</v>
      </c>
      <c r="W1523" s="74">
        <f>SUMIFS(SIP[[#Headers],[BO UNIT TRANSFER]]:SIP[[#This Row],[BO UNIT TRANSFER]],SIP[[#Headers],[Investor ID]]:SIP[[#This Row],[Investor ID]],SIP[[#This Row],[Investor ID]])</f>
        <v>0</v>
      </c>
    </row>
    <row r="1524" spans="1:23" ht="15" customHeight="1">
      <c r="A1524" s="101">
        <v>2025</v>
      </c>
      <c r="B1524" s="101">
        <v>11</v>
      </c>
      <c r="C1524" s="101">
        <v>5</v>
      </c>
      <c r="D1524" s="65">
        <f>DATE(SIP[[#This Row],[Year]],SIP[[#This Row],[Month]],SIP[[#This Row],[Day]])</f>
        <v>45966</v>
      </c>
      <c r="E1524" s="66" t="str" cm="1">
        <f t="array" ref="E1524">INDEX(INVESTORS_LIST[INVESTOR NAME],MATCH(SIP[[#This Row],[Investor ID]],INVESTORS_LIST[INVESTOR CODE],0),)</f>
        <v>KAZI AHSAN MARUF</v>
      </c>
      <c r="F1524" s="46" t="s">
        <v>158</v>
      </c>
      <c r="G1524" s="46">
        <f>COUNTIF(SIP[[#Headers],[Investor ID]]:SIP[[#This Row],[Investor ID]],SIP[[#This Row],[Investor ID]])</f>
        <v>37</v>
      </c>
      <c r="H1524" s="46" t="str">
        <f>CONCATENATE(SIP[[#This Row],[Frequency]],SIP[[#This Row],[Investor ID]])</f>
        <v>37A00055</v>
      </c>
      <c r="I1524" s="46" t="str">
        <f>IF(SIP[[#This Row],[B/S]]="B","BUY",(IF(SIP[[#This Row],[B/S]]="S","SELL"," ")))</f>
        <v>BUY</v>
      </c>
      <c r="J1524" s="150" t="s">
        <v>1229</v>
      </c>
      <c r="K1524" s="153">
        <v>20000</v>
      </c>
      <c r="L1524" s="122"/>
      <c r="M1524" s="123">
        <f>SIP[[#This Row],[Amount]]/SIP[[#This Row],[Unit]]</f>
        <v>13.66120218579235</v>
      </c>
      <c r="N1524" s="71">
        <f>SIP[[#This Row],[Unit Capital]]/10</f>
        <v>1464</v>
      </c>
      <c r="O1524" s="71">
        <f>SUMIFS(SIP[[#Headers],[Unit]]:SIP[[#This Row],[Unit]],SIP[[#Headers],[Investor ID]]:SIP[[#This Row],[Investor ID]],SIP[[#This Row],[Investor ID]])</f>
        <v>6679</v>
      </c>
      <c r="P1524" s="153">
        <v>14640</v>
      </c>
      <c r="Q1524" s="74">
        <f>SIP[[#This Row],[Amount]]-SIP[[#This Row],[Unit Capital]]</f>
        <v>5360</v>
      </c>
      <c r="R15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13.475071118430904</v>
      </c>
      <c r="S1524" s="46">
        <f t="shared" si="71"/>
        <v>14.224</v>
      </c>
      <c r="T15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4" s="74" cm="1">
        <f t="array" ref="U1524">IF(SIP[[#This Row],[B/S]]="S",ABS(SIP[[#This Row],[Unit]])*(INDEX(SIP[NAV at Cost (Average)],MATCH(CONCATENATE((SIP[[#This Row],[Frequency]]-1),SIP[[#This Row],[Investor ID]]),SIP[Unique Code],0),0)),0)</f>
        <v>0</v>
      </c>
      <c r="V1524" s="74">
        <f>IF(SIP[[#This Row],[BO TRANSFER]]="YES",SIP[[#This Row],[Unit]],)</f>
        <v>0</v>
      </c>
      <c r="W1524" s="74">
        <f>SUMIFS(SIP[[#Headers],[BO UNIT TRANSFER]]:SIP[[#This Row],[BO UNIT TRANSFER]],SIP[[#Headers],[Investor ID]]:SIP[[#This Row],[Investor ID]],SIP[[#This Row],[Investor ID]])</f>
        <v>0</v>
      </c>
    </row>
    <row r="1525" spans="1:23" ht="15" customHeight="1">
      <c r="A1525" s="101">
        <v>2025</v>
      </c>
      <c r="B1525" s="101">
        <v>11</v>
      </c>
      <c r="C1525" s="101">
        <v>5</v>
      </c>
      <c r="D1525" s="65">
        <f>DATE(SIP[[#This Row],[Year]],SIP[[#This Row],[Month]],SIP[[#This Row],[Day]])</f>
        <v>45966</v>
      </c>
      <c r="E1525" s="66" t="str" cm="1">
        <f t="array" ref="E1525">INDEX(INVESTORS_LIST[INVESTOR NAME],MATCH(SIP[[#This Row],[Investor ID]],INVESTORS_LIST[INVESTOR CODE],0),)</f>
        <v>MD. SHIFUL ISLAM</v>
      </c>
      <c r="F1525" s="46" t="s">
        <v>127</v>
      </c>
      <c r="G1525" s="46">
        <f>COUNTIF(SIP[[#Headers],[Investor ID]]:SIP[[#This Row],[Investor ID]],SIP[[#This Row],[Investor ID]])</f>
        <v>3</v>
      </c>
      <c r="H1525" s="46" t="str">
        <f>CONCATENATE(SIP[[#This Row],[Frequency]],SIP[[#This Row],[Investor ID]])</f>
        <v>3A00040</v>
      </c>
      <c r="I1525" s="46" t="str">
        <f>IF(SIP[[#This Row],[B/S]]="B","BUY",(IF(SIP[[#This Row],[B/S]]="S","SELL"," ")))</f>
        <v>BUY</v>
      </c>
      <c r="J1525" s="150" t="s">
        <v>1229</v>
      </c>
      <c r="K1525" s="153">
        <v>5000</v>
      </c>
      <c r="L1525" s="122"/>
      <c r="M1525" s="123">
        <f>SIP[[#This Row],[Amount]]/SIP[[#This Row],[Unit]]</f>
        <v>13.66120218579235</v>
      </c>
      <c r="N1525" s="71">
        <f>SIP[[#This Row],[Unit Capital]]/10</f>
        <v>366</v>
      </c>
      <c r="O1525" s="71">
        <f>SUMIFS(SIP[[#Headers],[Unit]]:SIP[[#This Row],[Unit]],SIP[[#Headers],[Investor ID]]:SIP[[#This Row],[Investor ID]],SIP[[#This Row],[Investor ID]])</f>
        <v>1112</v>
      </c>
      <c r="P1525" s="153">
        <v>3660</v>
      </c>
      <c r="Q1525" s="74">
        <f>SIP[[#This Row],[Amount]]-SIP[[#This Row],[Unit Capital]]</f>
        <v>1340</v>
      </c>
      <c r="R15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13.489208633093526</v>
      </c>
      <c r="S1525" s="46">
        <f t="shared" si="71"/>
        <v>14.224</v>
      </c>
      <c r="T15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5" s="74" cm="1">
        <f t="array" ref="U1525">IF(SIP[[#This Row],[B/S]]="S",ABS(SIP[[#This Row],[Unit]])*(INDEX(SIP[NAV at Cost (Average)],MATCH(CONCATENATE((SIP[[#This Row],[Frequency]]-1),SIP[[#This Row],[Investor ID]]),SIP[Unique Code],0),0)),0)</f>
        <v>0</v>
      </c>
      <c r="V1525" s="74">
        <f>IF(SIP[[#This Row],[BO TRANSFER]]="YES",SIP[[#This Row],[Unit]],)</f>
        <v>0</v>
      </c>
      <c r="W1525" s="74">
        <f>SUMIFS(SIP[[#Headers],[BO UNIT TRANSFER]]:SIP[[#This Row],[BO UNIT TRANSFER]],SIP[[#Headers],[Investor ID]]:SIP[[#This Row],[Investor ID]],SIP[[#This Row],[Investor ID]])</f>
        <v>0</v>
      </c>
    </row>
    <row r="1526" spans="1:23" ht="15" customHeight="1">
      <c r="A1526" s="101">
        <v>2025</v>
      </c>
      <c r="B1526" s="101">
        <v>11</v>
      </c>
      <c r="C1526" s="101">
        <v>5</v>
      </c>
      <c r="D1526" s="65">
        <f>DATE(SIP[[#This Row],[Year]],SIP[[#This Row],[Month]],SIP[[#This Row],[Day]])</f>
        <v>45966</v>
      </c>
      <c r="E1526" s="66" t="str" cm="1">
        <f t="array" ref="E1526">INDEX(INVESTORS_LIST[INVESTOR NAME],MATCH(SIP[[#This Row],[Investor ID]],INVESTORS_LIST[INVESTOR CODE],0),)</f>
        <v>MAYMUNA AKTAR</v>
      </c>
      <c r="F1526" s="46" t="s">
        <v>1440</v>
      </c>
      <c r="G1526" s="46">
        <f>COUNTIF(SIP[[#Headers],[Investor ID]]:SIP[[#This Row],[Investor ID]],SIP[[#This Row],[Investor ID]])</f>
        <v>2</v>
      </c>
      <c r="H1526" s="46" t="str">
        <f>CONCATENATE(SIP[[#This Row],[Frequency]],SIP[[#This Row],[Investor ID]])</f>
        <v>2A00663</v>
      </c>
      <c r="I1526" s="46" t="str">
        <f>IF(SIP[[#This Row],[B/S]]="B","BUY",(IF(SIP[[#This Row],[B/S]]="S","SELL"," ")))</f>
        <v>BUY</v>
      </c>
      <c r="J1526" s="150" t="s">
        <v>1229</v>
      </c>
      <c r="K1526" s="153">
        <v>5000</v>
      </c>
      <c r="L1526" s="122"/>
      <c r="M1526" s="123">
        <f>SIP[[#This Row],[Amount]]/SIP[[#This Row],[Unit]]</f>
        <v>13.66120218579235</v>
      </c>
      <c r="N1526" s="71">
        <f>SIP[[#This Row],[Unit Capital]]/10</f>
        <v>366</v>
      </c>
      <c r="O1526" s="71">
        <f>SUMIFS(SIP[[#Headers],[Unit]]:SIP[[#This Row],[Unit]],SIP[[#Headers],[Investor ID]]:SIP[[#This Row],[Investor ID]],SIP[[#This Row],[Investor ID]])</f>
        <v>735</v>
      </c>
      <c r="P1526" s="153">
        <v>3660</v>
      </c>
      <c r="Q1526" s="74">
        <f>SIP[[#This Row],[Amount]]-SIP[[#This Row],[Unit Capital]]</f>
        <v>1340</v>
      </c>
      <c r="R15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13.605442176870749</v>
      </c>
      <c r="S1526" s="46">
        <f t="shared" si="71"/>
        <v>14.224</v>
      </c>
      <c r="T15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6" s="74" cm="1">
        <f t="array" ref="U1526">IF(SIP[[#This Row],[B/S]]="S",ABS(SIP[[#This Row],[Unit]])*(INDEX(SIP[NAV at Cost (Average)],MATCH(CONCATENATE((SIP[[#This Row],[Frequency]]-1),SIP[[#This Row],[Investor ID]]),SIP[Unique Code],0),0)),0)</f>
        <v>0</v>
      </c>
      <c r="V1526" s="74">
        <f>IF(SIP[[#This Row],[BO TRANSFER]]="YES",SIP[[#This Row],[Unit]],)</f>
        <v>0</v>
      </c>
      <c r="W1526" s="74">
        <f>SUMIFS(SIP[[#Headers],[BO UNIT TRANSFER]]:SIP[[#This Row],[BO UNIT TRANSFER]],SIP[[#Headers],[Investor ID]]:SIP[[#This Row],[Investor ID]],SIP[[#This Row],[Investor ID]])</f>
        <v>0</v>
      </c>
    </row>
    <row r="1527" spans="1:23" ht="15" customHeight="1">
      <c r="A1527" s="101">
        <v>2025</v>
      </c>
      <c r="B1527" s="101">
        <v>11</v>
      </c>
      <c r="C1527" s="101">
        <v>5</v>
      </c>
      <c r="D1527" s="65">
        <f>DATE(SIP[[#This Row],[Year]],SIP[[#This Row],[Month]],SIP[[#This Row],[Day]])</f>
        <v>45966</v>
      </c>
      <c r="E1527" s="66" t="str" cm="1">
        <f t="array" ref="E1527">INDEX(INVESTORS_LIST[INVESTOR NAME],MATCH(SIP[[#This Row],[Investor ID]],INVESTORS_LIST[INVESTOR CODE],0),)</f>
        <v>FAKARUDDIN ALI AHMED</v>
      </c>
      <c r="F1527" s="46" t="s">
        <v>228</v>
      </c>
      <c r="G1527" s="46">
        <f>COUNTIF(SIP[[#Headers],[Investor ID]]:SIP[[#This Row],[Investor ID]],SIP[[#This Row],[Investor ID]])</f>
        <v>31</v>
      </c>
      <c r="H1527" s="46" t="str">
        <f>CONCATENATE(SIP[[#This Row],[Frequency]],SIP[[#This Row],[Investor ID]])</f>
        <v>31A00090</v>
      </c>
      <c r="I1527" s="46" t="str">
        <f>IF(SIP[[#This Row],[B/S]]="B","BUY",(IF(SIP[[#This Row],[B/S]]="S","SELL"," ")))</f>
        <v>BUY</v>
      </c>
      <c r="J1527" s="150" t="s">
        <v>1229</v>
      </c>
      <c r="K1527" s="153">
        <v>10000</v>
      </c>
      <c r="L1527" s="122"/>
      <c r="M1527" s="123">
        <f>SIP[[#This Row],[Amount]]/SIP[[#This Row],[Unit]]</f>
        <v>13.66120218579235</v>
      </c>
      <c r="N1527" s="71">
        <f>SIP[[#This Row],[Unit Capital]]/10</f>
        <v>732</v>
      </c>
      <c r="O1527" s="71">
        <f>SUMIFS(SIP[[#Headers],[Unit]]:SIP[[#This Row],[Unit]],SIP[[#Headers],[Investor ID]]:SIP[[#This Row],[Investor ID]],SIP[[#This Row],[Investor ID]])</f>
        <v>3005</v>
      </c>
      <c r="P1527" s="153">
        <v>7320</v>
      </c>
      <c r="Q1527" s="74">
        <f>SIP[[#This Row],[Amount]]-SIP[[#This Row],[Unit Capital]]</f>
        <v>2680</v>
      </c>
      <c r="R15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13.311148086522463</v>
      </c>
      <c r="S1527" s="46">
        <f t="shared" si="71"/>
        <v>14.224</v>
      </c>
      <c r="T15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7" s="74" cm="1">
        <f t="array" ref="U1527">IF(SIP[[#This Row],[B/S]]="S",ABS(SIP[[#This Row],[Unit]])*(INDEX(SIP[NAV at Cost (Average)],MATCH(CONCATENATE((SIP[[#This Row],[Frequency]]-1),SIP[[#This Row],[Investor ID]]),SIP[Unique Code],0),0)),0)</f>
        <v>0</v>
      </c>
      <c r="V1527" s="74">
        <f>IF(SIP[[#This Row],[BO TRANSFER]]="YES",SIP[[#This Row],[Unit]],)</f>
        <v>0</v>
      </c>
      <c r="W1527" s="74">
        <f>SUMIFS(SIP[[#Headers],[BO UNIT TRANSFER]]:SIP[[#This Row],[BO UNIT TRANSFER]],SIP[[#Headers],[Investor ID]]:SIP[[#This Row],[Investor ID]],SIP[[#This Row],[Investor ID]])</f>
        <v>0</v>
      </c>
    </row>
    <row r="1528" spans="1:23" ht="15" customHeight="1">
      <c r="A1528" s="101">
        <v>2025</v>
      </c>
      <c r="B1528" s="101">
        <v>11</v>
      </c>
      <c r="C1528" s="101">
        <v>5</v>
      </c>
      <c r="D1528" s="65">
        <f>DATE(SIP[[#This Row],[Year]],SIP[[#This Row],[Month]],SIP[[#This Row],[Day]])</f>
        <v>45966</v>
      </c>
      <c r="E1528" s="66" t="str" cm="1">
        <f t="array" ref="E1528">INDEX(INVESTORS_LIST[INVESTOR NAME],MATCH(SIP[[#This Row],[Investor ID]],INVESTORS_LIST[INVESTOR CODE],0),)</f>
        <v>SK FEROZ ALAM</v>
      </c>
      <c r="F1528" s="46" t="s">
        <v>240</v>
      </c>
      <c r="G1528" s="46">
        <f>COUNTIF(SIP[[#Headers],[Investor ID]]:SIP[[#This Row],[Investor ID]],SIP[[#This Row],[Investor ID]])</f>
        <v>20</v>
      </c>
      <c r="H1528" s="46" t="str">
        <f>CONCATENATE(SIP[[#This Row],[Frequency]],SIP[[#This Row],[Investor ID]])</f>
        <v>20A00096</v>
      </c>
      <c r="I1528" s="46" t="str">
        <f>IF(SIP[[#This Row],[B/S]]="B","BUY",(IF(SIP[[#This Row],[B/S]]="S","SELL"," ")))</f>
        <v>BUY</v>
      </c>
      <c r="J1528" s="150" t="s">
        <v>1229</v>
      </c>
      <c r="K1528" s="153">
        <v>1000</v>
      </c>
      <c r="L1528" s="122"/>
      <c r="M1528" s="123">
        <f>SIP[[#This Row],[Amount]]/SIP[[#This Row],[Unit]]</f>
        <v>13.698630136986301</v>
      </c>
      <c r="N1528" s="71">
        <f>SIP[[#This Row],[Unit Capital]]/10</f>
        <v>73</v>
      </c>
      <c r="O1528" s="71">
        <f>SUMIFS(SIP[[#Headers],[Unit]]:SIP[[#This Row],[Unit]],SIP[[#Headers],[Investor ID]]:SIP[[#This Row],[Investor ID]],SIP[[#This Row],[Investor ID]])</f>
        <v>301</v>
      </c>
      <c r="P1528" s="153">
        <v>730</v>
      </c>
      <c r="Q1528" s="74">
        <f>SIP[[#This Row],[Amount]]-SIP[[#This Row],[Unit Capital]]</f>
        <v>270</v>
      </c>
      <c r="R15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13.289036544850498</v>
      </c>
      <c r="S1528" s="46">
        <f t="shared" si="71"/>
        <v>14.224</v>
      </c>
      <c r="T15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8" s="74" cm="1">
        <f t="array" ref="U1528">IF(SIP[[#This Row],[B/S]]="S",ABS(SIP[[#This Row],[Unit]])*(INDEX(SIP[NAV at Cost (Average)],MATCH(CONCATENATE((SIP[[#This Row],[Frequency]]-1),SIP[[#This Row],[Investor ID]]),SIP[Unique Code],0),0)),0)</f>
        <v>0</v>
      </c>
      <c r="V1528" s="74">
        <f>IF(SIP[[#This Row],[BO TRANSFER]]="YES",SIP[[#This Row],[Unit]],)</f>
        <v>0</v>
      </c>
      <c r="W1528" s="74">
        <f>SUMIFS(SIP[[#Headers],[BO UNIT TRANSFER]]:SIP[[#This Row],[BO UNIT TRANSFER]],SIP[[#Headers],[Investor ID]]:SIP[[#This Row],[Investor ID]],SIP[[#This Row],[Investor ID]])</f>
        <v>0</v>
      </c>
    </row>
    <row r="1529" spans="1:23" ht="15" customHeight="1">
      <c r="A1529" s="101">
        <v>2025</v>
      </c>
      <c r="B1529" s="101">
        <v>11</v>
      </c>
      <c r="C1529" s="101">
        <v>5</v>
      </c>
      <c r="D1529" s="65">
        <f>DATE(SIP[[#This Row],[Year]],SIP[[#This Row],[Month]],SIP[[#This Row],[Day]])</f>
        <v>45966</v>
      </c>
      <c r="E1529" s="66" t="str" cm="1">
        <f t="array" ref="E1529">INDEX(INVESTORS_LIST[INVESTOR NAME],MATCH(SIP[[#This Row],[Investor ID]],INVESTORS_LIST[INVESTOR CODE],0),)</f>
        <v>NANI GOPAL DATTA</v>
      </c>
      <c r="F1529" s="46" t="s">
        <v>232</v>
      </c>
      <c r="G1529" s="46">
        <f>COUNTIF(SIP[[#Headers],[Investor ID]]:SIP[[#This Row],[Investor ID]],SIP[[#This Row],[Investor ID]])</f>
        <v>22</v>
      </c>
      <c r="H1529" s="46" t="str">
        <f>CONCATENATE(SIP[[#This Row],[Frequency]],SIP[[#This Row],[Investor ID]])</f>
        <v>22A00092</v>
      </c>
      <c r="I1529" s="46" t="str">
        <f>IF(SIP[[#This Row],[B/S]]="B","BUY",(IF(SIP[[#This Row],[B/S]]="S","SELL"," ")))</f>
        <v>BUY</v>
      </c>
      <c r="J1529" s="150" t="s">
        <v>1229</v>
      </c>
      <c r="K1529" s="153">
        <v>2000</v>
      </c>
      <c r="L1529" s="122"/>
      <c r="M1529" s="123">
        <f>SIP[[#This Row],[Amount]]/SIP[[#This Row],[Unit]]</f>
        <v>13.698630136986301</v>
      </c>
      <c r="N1529" s="71">
        <f>SIP[[#This Row],[Unit Capital]]/10</f>
        <v>146</v>
      </c>
      <c r="O1529" s="71">
        <f>SUMIFS(SIP[[#Headers],[Unit]]:SIP[[#This Row],[Unit]],SIP[[#Headers],[Investor ID]]:SIP[[#This Row],[Investor ID]],SIP[[#This Row],[Investor ID]])</f>
        <v>3395</v>
      </c>
      <c r="P1529" s="153">
        <v>1460</v>
      </c>
      <c r="Q1529" s="74">
        <f>SIP[[#This Row],[Amount]]-SIP[[#This Row],[Unit Capital]]</f>
        <v>540</v>
      </c>
      <c r="R15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11.807785476874544</v>
      </c>
      <c r="S1529" s="46">
        <f t="shared" si="71"/>
        <v>14.224</v>
      </c>
      <c r="T15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9" s="74" cm="1">
        <f t="array" ref="U1529">IF(SIP[[#This Row],[B/S]]="S",ABS(SIP[[#This Row],[Unit]])*(INDEX(SIP[NAV at Cost (Average)],MATCH(CONCATENATE((SIP[[#This Row],[Frequency]]-1),SIP[[#This Row],[Investor ID]]),SIP[Unique Code],0),0)),0)</f>
        <v>0</v>
      </c>
      <c r="V1529" s="74">
        <f>IF(SIP[[#This Row],[BO TRANSFER]]="YES",SIP[[#This Row],[Unit]],)</f>
        <v>0</v>
      </c>
      <c r="W1529" s="74">
        <f>SUMIFS(SIP[[#Headers],[BO UNIT TRANSFER]]:SIP[[#This Row],[BO UNIT TRANSFER]],SIP[[#Headers],[Investor ID]]:SIP[[#This Row],[Investor ID]],SIP[[#This Row],[Investor ID]])</f>
        <v>0</v>
      </c>
    </row>
    <row r="1530" spans="1:23" ht="15" customHeight="1">
      <c r="A1530" s="101">
        <v>2025</v>
      </c>
      <c r="B1530" s="101">
        <v>11</v>
      </c>
      <c r="C1530" s="101">
        <v>5</v>
      </c>
      <c r="D1530" s="65">
        <f>DATE(SIP[[#This Row],[Year]],SIP[[#This Row],[Month]],SIP[[#This Row],[Day]])</f>
        <v>45966</v>
      </c>
      <c r="E1530" s="66" t="str" cm="1">
        <f t="array" ref="E1530">INDEX(INVESTORS_LIST[INVESTOR NAME],MATCH(SIP[[#This Row],[Investor ID]],INVESTORS_LIST[INVESTOR CODE],0),)</f>
        <v>AKIB TANVIR ANJUM</v>
      </c>
      <c r="F1530" s="46" t="s">
        <v>1116</v>
      </c>
      <c r="G1530" s="46">
        <f>COUNTIF(SIP[[#Headers],[Investor ID]]:SIP[[#This Row],[Investor ID]],SIP[[#This Row],[Investor ID]])</f>
        <v>27</v>
      </c>
      <c r="H1530" s="46" t="str">
        <f>CONCATENATE(SIP[[#This Row],[Frequency]],SIP[[#This Row],[Investor ID]])</f>
        <v>27A00533</v>
      </c>
      <c r="I1530" s="46" t="str">
        <f>IF(SIP[[#This Row],[B/S]]="B","BUY",(IF(SIP[[#This Row],[B/S]]="S","SELL"," ")))</f>
        <v>BUY</v>
      </c>
      <c r="J1530" s="150" t="s">
        <v>1229</v>
      </c>
      <c r="K1530" s="153">
        <v>4000</v>
      </c>
      <c r="L1530" s="122"/>
      <c r="M1530" s="123">
        <f>SIP[[#This Row],[Amount]]/SIP[[#This Row],[Unit]]</f>
        <v>13.651877133105803</v>
      </c>
      <c r="N1530" s="71">
        <f>SIP[[#This Row],[Unit Capital]]/10</f>
        <v>293</v>
      </c>
      <c r="O1530" s="71">
        <f>SUMIFS(SIP[[#Headers],[Unit]]:SIP[[#This Row],[Unit]],SIP[[#Headers],[Investor ID]]:SIP[[#This Row],[Investor ID]],SIP[[#This Row],[Investor ID]])</f>
        <v>1838</v>
      </c>
      <c r="P1530" s="153">
        <v>2930</v>
      </c>
      <c r="Q1530" s="74">
        <f>SIP[[#This Row],[Amount]]-SIP[[#This Row],[Unit Capital]]</f>
        <v>1070</v>
      </c>
      <c r="R15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13.057671381936888</v>
      </c>
      <c r="S1530" s="46">
        <f t="shared" si="71"/>
        <v>14.224</v>
      </c>
      <c r="T15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0" s="74" cm="1">
        <f t="array" ref="U1530">IF(SIP[[#This Row],[B/S]]="S",ABS(SIP[[#This Row],[Unit]])*(INDEX(SIP[NAV at Cost (Average)],MATCH(CONCATENATE((SIP[[#This Row],[Frequency]]-1),SIP[[#This Row],[Investor ID]]),SIP[Unique Code],0),0)),0)</f>
        <v>0</v>
      </c>
      <c r="V1530" s="74">
        <f>IF(SIP[[#This Row],[BO TRANSFER]]="YES",SIP[[#This Row],[Unit]],)</f>
        <v>0</v>
      </c>
      <c r="W1530" s="74">
        <f>SUMIFS(SIP[[#Headers],[BO UNIT TRANSFER]]:SIP[[#This Row],[BO UNIT TRANSFER]],SIP[[#Headers],[Investor ID]]:SIP[[#This Row],[Investor ID]],SIP[[#This Row],[Investor ID]])</f>
        <v>0</v>
      </c>
    </row>
    <row r="1531" spans="1:23" ht="15" customHeight="1">
      <c r="A1531" s="101">
        <v>2025</v>
      </c>
      <c r="B1531" s="101">
        <v>11</v>
      </c>
      <c r="C1531" s="101">
        <v>5</v>
      </c>
      <c r="D1531" s="65">
        <f>DATE(SIP[[#This Row],[Year]],SIP[[#This Row],[Month]],SIP[[#This Row],[Day]])</f>
        <v>45966</v>
      </c>
      <c r="E1531" s="66" t="str" cm="1">
        <f t="array" ref="E1531">INDEX(INVESTORS_LIST[INVESTOR NAME],MATCH(SIP[[#This Row],[Investor ID]],INVESTORS_LIST[INVESTOR CODE],0),)</f>
        <v>SHANTA PAUL</v>
      </c>
      <c r="F1531" s="46" t="s">
        <v>544</v>
      </c>
      <c r="G1531" s="46">
        <f>COUNTIF(SIP[[#Headers],[Investor ID]]:SIP[[#This Row],[Investor ID]],SIP[[#This Row],[Investor ID]])</f>
        <v>31</v>
      </c>
      <c r="H1531" s="46" t="str">
        <f>CONCATENATE(SIP[[#This Row],[Frequency]],SIP[[#This Row],[Investor ID]])</f>
        <v>31A00247</v>
      </c>
      <c r="I1531" s="46" t="str">
        <f>IF(SIP[[#This Row],[B/S]]="B","BUY",(IF(SIP[[#This Row],[B/S]]="S","SELL"," ")))</f>
        <v>BUY</v>
      </c>
      <c r="J1531" s="150" t="s">
        <v>1229</v>
      </c>
      <c r="K1531" s="153">
        <v>20000</v>
      </c>
      <c r="L1531" s="122"/>
      <c r="M1531" s="123">
        <f>SIP[[#This Row],[Amount]]/SIP[[#This Row],[Unit]]</f>
        <v>13.66120218579235</v>
      </c>
      <c r="N1531" s="71">
        <f>SIP[[#This Row],[Unit Capital]]/10</f>
        <v>1464</v>
      </c>
      <c r="O1531" s="71">
        <f>SUMIFS(SIP[[#Headers],[Unit]]:SIP[[#This Row],[Unit]],SIP[[#Headers],[Investor ID]]:SIP[[#This Row],[Investor ID]],SIP[[#This Row],[Investor ID]])</f>
        <v>54560</v>
      </c>
      <c r="P1531" s="153">
        <v>14640</v>
      </c>
      <c r="Q1531" s="74">
        <f>SIP[[#This Row],[Amount]]-SIP[[#This Row],[Unit Capital]]</f>
        <v>5360</v>
      </c>
      <c r="R15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11.363636363636365</v>
      </c>
      <c r="S1531" s="46">
        <f t="shared" si="71"/>
        <v>14.224</v>
      </c>
      <c r="T15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1" s="74" cm="1">
        <f t="array" ref="U1531">IF(SIP[[#This Row],[B/S]]="S",ABS(SIP[[#This Row],[Unit]])*(INDEX(SIP[NAV at Cost (Average)],MATCH(CONCATENATE((SIP[[#This Row],[Frequency]]-1),SIP[[#This Row],[Investor ID]]),SIP[Unique Code],0),0)),0)</f>
        <v>0</v>
      </c>
      <c r="V1531" s="74">
        <f>IF(SIP[[#This Row],[BO TRANSFER]]="YES",SIP[[#This Row],[Unit]],)</f>
        <v>0</v>
      </c>
      <c r="W1531" s="74">
        <f>SUMIFS(SIP[[#Headers],[BO UNIT TRANSFER]]:SIP[[#This Row],[BO UNIT TRANSFER]],SIP[[#Headers],[Investor ID]]:SIP[[#This Row],[Investor ID]],SIP[[#This Row],[Investor ID]])</f>
        <v>0</v>
      </c>
    </row>
    <row r="1532" spans="1:23" ht="15" customHeight="1">
      <c r="A1532" s="101">
        <v>2025</v>
      </c>
      <c r="B1532" s="101">
        <v>11</v>
      </c>
      <c r="C1532" s="101">
        <v>5</v>
      </c>
      <c r="D1532" s="65">
        <f>DATE(SIP[[#This Row],[Year]],SIP[[#This Row],[Month]],SIP[[#This Row],[Day]])</f>
        <v>45966</v>
      </c>
      <c r="E1532" s="66" t="str" cm="1">
        <f t="array" ref="E1532">INDEX(INVESTORS_LIST[INVESTOR NAME],MATCH(SIP[[#This Row],[Investor ID]],INVESTORS_LIST[INVESTOR CODE],0),)</f>
        <v>NANDINI SAHA</v>
      </c>
      <c r="F1532" s="46" t="s">
        <v>242</v>
      </c>
      <c r="G1532" s="46">
        <f>COUNTIF(SIP[[#Headers],[Investor ID]]:SIP[[#This Row],[Investor ID]],SIP[[#This Row],[Investor ID]])</f>
        <v>33</v>
      </c>
      <c r="H1532" s="46" t="str">
        <f>CONCATENATE(SIP[[#This Row],[Frequency]],SIP[[#This Row],[Investor ID]])</f>
        <v>33A00097</v>
      </c>
      <c r="I1532" s="46" t="str">
        <f>IF(SIP[[#This Row],[B/S]]="B","BUY",(IF(SIP[[#This Row],[B/S]]="S","SELL"," ")))</f>
        <v>BUY</v>
      </c>
      <c r="J1532" s="150" t="s">
        <v>1229</v>
      </c>
      <c r="K1532" s="153">
        <v>5000</v>
      </c>
      <c r="L1532" s="122"/>
      <c r="M1532" s="123">
        <f>SIP[[#This Row],[Amount]]/SIP[[#This Row],[Unit]]</f>
        <v>13.66120218579235</v>
      </c>
      <c r="N1532" s="71">
        <f>SIP[[#This Row],[Unit Capital]]/10</f>
        <v>366</v>
      </c>
      <c r="O1532" s="71">
        <f>SUMIFS(SIP[[#Headers],[Unit]]:SIP[[#This Row],[Unit]],SIP[[#Headers],[Investor ID]]:SIP[[#This Row],[Investor ID]],SIP[[#This Row],[Investor ID]])</f>
        <v>75970</v>
      </c>
      <c r="P1532" s="153">
        <v>3660</v>
      </c>
      <c r="Q1532" s="74">
        <f>SIP[[#This Row],[Amount]]-SIP[[#This Row],[Unit Capital]]</f>
        <v>1340</v>
      </c>
      <c r="R15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11.386073450046066</v>
      </c>
      <c r="S1532" s="46">
        <f t="shared" si="71"/>
        <v>14.224</v>
      </c>
      <c r="T15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2" s="74" cm="1">
        <f t="array" ref="U1532">IF(SIP[[#This Row],[B/S]]="S",ABS(SIP[[#This Row],[Unit]])*(INDEX(SIP[NAV at Cost (Average)],MATCH(CONCATENATE((SIP[[#This Row],[Frequency]]-1),SIP[[#This Row],[Investor ID]]),SIP[Unique Code],0),0)),0)</f>
        <v>0</v>
      </c>
      <c r="V1532" s="74">
        <f>IF(SIP[[#This Row],[BO TRANSFER]]="YES",SIP[[#This Row],[Unit]],)</f>
        <v>0</v>
      </c>
      <c r="W1532" s="74">
        <f>SUMIFS(SIP[[#Headers],[BO UNIT TRANSFER]]:SIP[[#This Row],[BO UNIT TRANSFER]],SIP[[#Headers],[Investor ID]]:SIP[[#This Row],[Investor ID]],SIP[[#This Row],[Investor ID]])</f>
        <v>0</v>
      </c>
    </row>
    <row r="1533" spans="1:23" ht="15" customHeight="1">
      <c r="A1533" s="101">
        <v>2025</v>
      </c>
      <c r="B1533" s="101">
        <v>11</v>
      </c>
      <c r="C1533" s="101">
        <v>5</v>
      </c>
      <c r="D1533" s="65">
        <f>DATE(SIP[[#This Row],[Year]],SIP[[#This Row],[Month]],SIP[[#This Row],[Day]])</f>
        <v>45966</v>
      </c>
      <c r="E1533" s="66" t="str" cm="1">
        <f t="array" ref="E1533">INDEX(INVESTORS_LIST[INVESTOR NAME],MATCH(SIP[[#This Row],[Investor ID]],INVESTORS_LIST[INVESTOR CODE],0),)</f>
        <v>ROKSABA KASEM</v>
      </c>
      <c r="F1533" s="46" t="s">
        <v>900</v>
      </c>
      <c r="G1533" s="46">
        <f>COUNTIF(SIP[[#Headers],[Investor ID]]:SIP[[#This Row],[Investor ID]],SIP[[#This Row],[Investor ID]])</f>
        <v>30</v>
      </c>
      <c r="H1533" s="46" t="str">
        <f>CONCATENATE(SIP[[#This Row],[Frequency]],SIP[[#This Row],[Investor ID]])</f>
        <v>30A00427</v>
      </c>
      <c r="I1533" s="46" t="str">
        <f>IF(SIP[[#This Row],[B/S]]="B","BUY",(IF(SIP[[#This Row],[B/S]]="S","SELL"," ")))</f>
        <v>BUY</v>
      </c>
      <c r="J1533" s="150" t="s">
        <v>1229</v>
      </c>
      <c r="K1533" s="153">
        <v>20000</v>
      </c>
      <c r="L1533" s="122" t="s">
        <v>1230</v>
      </c>
      <c r="M1533" s="123">
        <f>SIP[[#This Row],[Amount]]/SIP[[#This Row],[Unit]]</f>
        <v>13.66120218579235</v>
      </c>
      <c r="N1533" s="71">
        <f>SIP[[#This Row],[Unit Capital]]/10</f>
        <v>1464</v>
      </c>
      <c r="O1533" s="71">
        <f>SUMIFS(SIP[[#Headers],[Unit]]:SIP[[#This Row],[Unit]],SIP[[#Headers],[Investor ID]]:SIP[[#This Row],[Investor ID]],SIP[[#This Row],[Investor ID]])</f>
        <v>52294</v>
      </c>
      <c r="P1533" s="153">
        <v>14640</v>
      </c>
      <c r="Q1533" s="74">
        <f>SIP[[#This Row],[Amount]]-SIP[[#This Row],[Unit Capital]]</f>
        <v>5360</v>
      </c>
      <c r="R15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11.473591616629063</v>
      </c>
      <c r="S1533" s="46">
        <f t="shared" si="71"/>
        <v>14.224</v>
      </c>
      <c r="T15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3" s="74" cm="1">
        <f t="array" ref="U1533">IF(SIP[[#This Row],[B/S]]="S",ABS(SIP[[#This Row],[Unit]])*(INDEX(SIP[NAV at Cost (Average)],MATCH(CONCATENATE((SIP[[#This Row],[Frequency]]-1),SIP[[#This Row],[Investor ID]]),SIP[Unique Code],0),0)),0)</f>
        <v>0</v>
      </c>
      <c r="V1533" s="74">
        <f>IF(SIP[[#This Row],[BO TRANSFER]]="YES",SIP[[#This Row],[Unit]],)</f>
        <v>1464</v>
      </c>
      <c r="W1533" s="74">
        <f>SUMIFS(SIP[[#Headers],[BO UNIT TRANSFER]]:SIP[[#This Row],[BO UNIT TRANSFER]],SIP[[#Headers],[Investor ID]]:SIP[[#This Row],[Investor ID]],SIP[[#This Row],[Investor ID]])</f>
        <v>7597</v>
      </c>
    </row>
    <row r="1534" spans="1:23" ht="15" customHeight="1">
      <c r="A1534" s="101">
        <v>2025</v>
      </c>
      <c r="B1534" s="101">
        <v>11</v>
      </c>
      <c r="C1534" s="101">
        <v>5</v>
      </c>
      <c r="D1534" s="65">
        <f>DATE(SIP[[#This Row],[Year]],SIP[[#This Row],[Month]],SIP[[#This Row],[Day]])</f>
        <v>45966</v>
      </c>
      <c r="E1534" s="66" t="str" cm="1">
        <f t="array" ref="E1534">INDEX(INVESTORS_LIST[INVESTOR NAME],MATCH(SIP[[#This Row],[Investor ID]],INVESTORS_LIST[INVESTOR CODE],0),)</f>
        <v>AHMED BIN MONSUR</v>
      </c>
      <c r="F1534" s="46" t="s">
        <v>692</v>
      </c>
      <c r="G1534" s="46">
        <f>COUNTIF(SIP[[#Headers],[Investor ID]]:SIP[[#This Row],[Investor ID]],SIP[[#This Row],[Investor ID]])</f>
        <v>18</v>
      </c>
      <c r="H1534" s="46" t="str">
        <f>CONCATENATE(SIP[[#This Row],[Frequency]],SIP[[#This Row],[Investor ID]])</f>
        <v>18A00322</v>
      </c>
      <c r="I1534" s="46" t="str">
        <f>IF(SIP[[#This Row],[B/S]]="B","BUY",(IF(SIP[[#This Row],[B/S]]="S","SELL"," ")))</f>
        <v>BUY</v>
      </c>
      <c r="J1534" s="150" t="s">
        <v>1229</v>
      </c>
      <c r="K1534" s="153">
        <v>20000</v>
      </c>
      <c r="L1534" s="122"/>
      <c r="M1534" s="123">
        <f>SIP[[#This Row],[Amount]]/SIP[[#This Row],[Unit]]</f>
        <v>13.66120218579235</v>
      </c>
      <c r="N1534" s="71">
        <f>SIP[[#This Row],[Unit Capital]]/10</f>
        <v>1464</v>
      </c>
      <c r="O1534" s="71">
        <f>SUMIFS(SIP[[#Headers],[Unit]]:SIP[[#This Row],[Unit]],SIP[[#Headers],[Investor ID]]:SIP[[#This Row],[Investor ID]],SIP[[#This Row],[Investor ID]])</f>
        <v>6008</v>
      </c>
      <c r="P1534" s="153">
        <v>14640</v>
      </c>
      <c r="Q1534" s="74">
        <f>SIP[[#This Row],[Amount]]-SIP[[#This Row],[Unit Capital]]</f>
        <v>5360</v>
      </c>
      <c r="R15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13.315579227696404</v>
      </c>
      <c r="S1534" s="46">
        <f t="shared" si="71"/>
        <v>14.224</v>
      </c>
      <c r="T15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4" s="74" cm="1">
        <f t="array" ref="U1534">IF(SIP[[#This Row],[B/S]]="S",ABS(SIP[[#This Row],[Unit]])*(INDEX(SIP[NAV at Cost (Average)],MATCH(CONCATENATE((SIP[[#This Row],[Frequency]]-1),SIP[[#This Row],[Investor ID]]),SIP[Unique Code],0),0)),0)</f>
        <v>0</v>
      </c>
      <c r="V1534" s="74">
        <f>IF(SIP[[#This Row],[BO TRANSFER]]="YES",SIP[[#This Row],[Unit]],)</f>
        <v>0</v>
      </c>
      <c r="W1534" s="74">
        <f>SUMIFS(SIP[[#Headers],[BO UNIT TRANSFER]]:SIP[[#This Row],[BO UNIT TRANSFER]],SIP[[#Headers],[Investor ID]]:SIP[[#This Row],[Investor ID]],SIP[[#This Row],[Investor ID]])</f>
        <v>0</v>
      </c>
    </row>
    <row r="1535" spans="1:23" ht="15" customHeight="1">
      <c r="A1535" s="101">
        <v>2025</v>
      </c>
      <c r="B1535" s="101">
        <v>11</v>
      </c>
      <c r="C1535" s="101">
        <v>5</v>
      </c>
      <c r="D1535" s="65">
        <f>DATE(SIP[[#This Row],[Year]],SIP[[#This Row],[Month]],SIP[[#This Row],[Day]])</f>
        <v>45966</v>
      </c>
      <c r="E1535" s="66" t="str" cm="1">
        <f t="array" ref="E1535">INDEX(INVESTORS_LIST[INVESTOR NAME],MATCH(SIP[[#This Row],[Investor ID]],INVESTORS_LIST[INVESTOR CODE],0),)</f>
        <v>SABRIA ISLAM TALUKDER</v>
      </c>
      <c r="F1535" s="46" t="s">
        <v>409</v>
      </c>
      <c r="G1535" s="46">
        <f>COUNTIF(SIP[[#Headers],[Investor ID]]:SIP[[#This Row],[Investor ID]],SIP[[#This Row],[Investor ID]])</f>
        <v>27</v>
      </c>
      <c r="H1535" s="46" t="str">
        <f>CONCATENATE(SIP[[#This Row],[Frequency]],SIP[[#This Row],[Investor ID]])</f>
        <v>27A00180</v>
      </c>
      <c r="I1535" s="46" t="str">
        <f>IF(SIP[[#This Row],[B/S]]="B","BUY",(IF(SIP[[#This Row],[B/S]]="S","SELL"," ")))</f>
        <v>BUY</v>
      </c>
      <c r="J1535" s="150" t="s">
        <v>1229</v>
      </c>
      <c r="K1535" s="153">
        <v>5000</v>
      </c>
      <c r="L1535" s="122"/>
      <c r="M1535" s="123">
        <f>SIP[[#This Row],[Amount]]/SIP[[#This Row],[Unit]]</f>
        <v>13.66120218579235</v>
      </c>
      <c r="N1535" s="71">
        <f>SIP[[#This Row],[Unit Capital]]/10</f>
        <v>366</v>
      </c>
      <c r="O1535" s="71">
        <f>SUMIFS(SIP[[#Headers],[Unit]]:SIP[[#This Row],[Unit]],SIP[[#Headers],[Investor ID]]:SIP[[#This Row],[Investor ID]],SIP[[#This Row],[Investor ID]])</f>
        <v>11613</v>
      </c>
      <c r="P1535" s="153">
        <v>3660</v>
      </c>
      <c r="Q1535" s="74">
        <f>SIP[[#This Row],[Amount]]-SIP[[#This Row],[Unit Capital]]</f>
        <v>1340</v>
      </c>
      <c r="R15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11.624903125807286</v>
      </c>
      <c r="S1535" s="46">
        <f t="shared" si="71"/>
        <v>14.224</v>
      </c>
      <c r="T15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5" s="74" cm="1">
        <f t="array" ref="U1535">IF(SIP[[#This Row],[B/S]]="S",ABS(SIP[[#This Row],[Unit]])*(INDEX(SIP[NAV at Cost (Average)],MATCH(CONCATENATE((SIP[[#This Row],[Frequency]]-1),SIP[[#This Row],[Investor ID]]),SIP[Unique Code],0),0)),0)</f>
        <v>0</v>
      </c>
      <c r="V1535" s="74">
        <f>IF(SIP[[#This Row],[BO TRANSFER]]="YES",SIP[[#This Row],[Unit]],)</f>
        <v>0</v>
      </c>
      <c r="W1535" s="74">
        <f>SUMIFS(SIP[[#Headers],[BO UNIT TRANSFER]]:SIP[[#This Row],[BO UNIT TRANSFER]],SIP[[#Headers],[Investor ID]]:SIP[[#This Row],[Investor ID]],SIP[[#This Row],[Investor ID]])</f>
        <v>0</v>
      </c>
    </row>
    <row r="1536" spans="1:23" ht="15" customHeight="1">
      <c r="A1536" s="101">
        <v>2025</v>
      </c>
      <c r="B1536" s="101">
        <v>11</v>
      </c>
      <c r="C1536" s="101">
        <v>5</v>
      </c>
      <c r="D1536" s="65">
        <f>DATE(SIP[[#This Row],[Year]],SIP[[#This Row],[Month]],SIP[[#This Row],[Day]])</f>
        <v>45966</v>
      </c>
      <c r="E1536" s="66" t="str" cm="1">
        <f t="array" ref="E1536">INDEX(INVESTORS_LIST[INVESTOR NAME],MATCH(SIP[[#This Row],[Investor ID]],INVESTORS_LIST[INVESTOR CODE],0),)</f>
        <v>MONIR AHMED</v>
      </c>
      <c r="F1536" s="46" t="s">
        <v>125</v>
      </c>
      <c r="G1536" s="46">
        <f>COUNTIF(SIP[[#Headers],[Investor ID]]:SIP[[#This Row],[Investor ID]],SIP[[#This Row],[Investor ID]])</f>
        <v>33</v>
      </c>
      <c r="H1536" s="46" t="str">
        <f>CONCATENATE(SIP[[#This Row],[Frequency]],SIP[[#This Row],[Investor ID]])</f>
        <v>33A00039</v>
      </c>
      <c r="I1536" s="46" t="str">
        <f>IF(SIP[[#This Row],[B/S]]="B","BUY",(IF(SIP[[#This Row],[B/S]]="S","SELL"," ")))</f>
        <v>BUY</v>
      </c>
      <c r="J1536" s="150" t="s">
        <v>1229</v>
      </c>
      <c r="K1536" s="153">
        <v>10000</v>
      </c>
      <c r="L1536" s="122"/>
      <c r="M1536" s="123">
        <f>SIP[[#This Row],[Amount]]/SIP[[#This Row],[Unit]]</f>
        <v>13.66120218579235</v>
      </c>
      <c r="N1536" s="71">
        <f>SIP[[#This Row],[Unit Capital]]/10</f>
        <v>732</v>
      </c>
      <c r="O1536" s="71">
        <f>SUMIFS(SIP[[#Headers],[Unit]]:SIP[[#This Row],[Unit]],SIP[[#Headers],[Investor ID]]:SIP[[#This Row],[Investor ID]],SIP[[#This Row],[Investor ID]])</f>
        <v>732</v>
      </c>
      <c r="P1536" s="153">
        <v>7320</v>
      </c>
      <c r="Q1536" s="74">
        <f>SIP[[#This Row],[Amount]]-SIP[[#This Row],[Unit Capital]]</f>
        <v>2680</v>
      </c>
      <c r="R15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13.66120218579235</v>
      </c>
      <c r="S1536" s="46">
        <f t="shared" si="71"/>
        <v>14.224</v>
      </c>
      <c r="T15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6" s="74" cm="1">
        <f t="array" ref="U1536">IF(SIP[[#This Row],[B/S]]="S",ABS(SIP[[#This Row],[Unit]])*(INDEX(SIP[NAV at Cost (Average)],MATCH(CONCATENATE((SIP[[#This Row],[Frequency]]-1),SIP[[#This Row],[Investor ID]]),SIP[Unique Code],0),0)),0)</f>
        <v>0</v>
      </c>
      <c r="V1536" s="74">
        <f>IF(SIP[[#This Row],[BO TRANSFER]]="YES",SIP[[#This Row],[Unit]],)</f>
        <v>0</v>
      </c>
      <c r="W1536" s="74">
        <f>SUMIFS(SIP[[#Headers],[BO UNIT TRANSFER]]:SIP[[#This Row],[BO UNIT TRANSFER]],SIP[[#Headers],[Investor ID]]:SIP[[#This Row],[Investor ID]],SIP[[#This Row],[Investor ID]])</f>
        <v>0</v>
      </c>
    </row>
    <row r="1537" spans="1:23" ht="15" customHeight="1">
      <c r="A1537" s="101">
        <v>2025</v>
      </c>
      <c r="B1537" s="101">
        <v>11</v>
      </c>
      <c r="C1537" s="101">
        <v>5</v>
      </c>
      <c r="D1537" s="65">
        <f>DATE(SIP[[#This Row],[Year]],SIP[[#This Row],[Month]],SIP[[#This Row],[Day]])</f>
        <v>45966</v>
      </c>
      <c r="E1537" s="66" t="str" cm="1">
        <f t="array" ref="E1537">INDEX(INVESTORS_LIST[INVESTOR NAME],MATCH(SIP[[#This Row],[Investor ID]],INVESTORS_LIST[INVESTOR CODE],0),)</f>
        <v>MD. MONIRUL ISLAM</v>
      </c>
      <c r="F1537" s="46" t="s">
        <v>996</v>
      </c>
      <c r="G1537" s="46">
        <f>COUNTIF(SIP[[#Headers],[Investor ID]]:SIP[[#This Row],[Investor ID]],SIP[[#This Row],[Investor ID]])</f>
        <v>29</v>
      </c>
      <c r="H1537" s="46" t="str">
        <f>CONCATENATE(SIP[[#This Row],[Frequency]],SIP[[#This Row],[Investor ID]])</f>
        <v>29A00475</v>
      </c>
      <c r="I1537" s="46" t="str">
        <f>IF(SIP[[#This Row],[B/S]]="B","BUY",(IF(SIP[[#This Row],[B/S]]="S","SELL"," ")))</f>
        <v>BUY</v>
      </c>
      <c r="J1537" s="150" t="s">
        <v>1229</v>
      </c>
      <c r="K1537" s="153">
        <v>10000</v>
      </c>
      <c r="L1537" s="122"/>
      <c r="M1537" s="123">
        <f>SIP[[#This Row],[Amount]]/SIP[[#This Row],[Unit]]</f>
        <v>13.66120218579235</v>
      </c>
      <c r="N1537" s="71">
        <f>SIP[[#This Row],[Unit Capital]]/10</f>
        <v>732</v>
      </c>
      <c r="O1537" s="71">
        <f>SUMIFS(SIP[[#Headers],[Unit]]:SIP[[#This Row],[Unit]],SIP[[#Headers],[Investor ID]]:SIP[[#This Row],[Investor ID]],SIP[[#This Row],[Investor ID]])</f>
        <v>25573</v>
      </c>
      <c r="P1537" s="153">
        <v>7320</v>
      </c>
      <c r="Q1537" s="74">
        <f>SIP[[#This Row],[Amount]]-SIP[[#This Row],[Unit Capital]]</f>
        <v>2680</v>
      </c>
      <c r="R15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11.340085246158056</v>
      </c>
      <c r="S1537" s="46">
        <f t="shared" si="71"/>
        <v>14.224</v>
      </c>
      <c r="T15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7" s="74" cm="1">
        <f t="array" ref="U1537">IF(SIP[[#This Row],[B/S]]="S",ABS(SIP[[#This Row],[Unit]])*(INDEX(SIP[NAV at Cost (Average)],MATCH(CONCATENATE((SIP[[#This Row],[Frequency]]-1),SIP[[#This Row],[Investor ID]]),SIP[Unique Code],0),0)),0)</f>
        <v>0</v>
      </c>
      <c r="V1537" s="74">
        <f>IF(SIP[[#This Row],[BO TRANSFER]]="YES",SIP[[#This Row],[Unit]],)</f>
        <v>0</v>
      </c>
      <c r="W1537" s="74">
        <f>SUMIFS(SIP[[#Headers],[BO UNIT TRANSFER]]:SIP[[#This Row],[BO UNIT TRANSFER]],SIP[[#Headers],[Investor ID]]:SIP[[#This Row],[Investor ID]],SIP[[#This Row],[Investor ID]])</f>
        <v>0</v>
      </c>
    </row>
    <row r="1538" spans="1:23" ht="15" customHeight="1">
      <c r="A1538" s="101">
        <v>2025</v>
      </c>
      <c r="B1538" s="101">
        <v>11</v>
      </c>
      <c r="C1538" s="101">
        <v>5</v>
      </c>
      <c r="D1538" s="65">
        <f>DATE(SIP[[#This Row],[Year]],SIP[[#This Row],[Month]],SIP[[#This Row],[Day]])</f>
        <v>45966</v>
      </c>
      <c r="E1538" s="66" t="str" cm="1">
        <f t="array" ref="E1538">INDEX(INVESTORS_LIST[INVESTOR NAME],MATCH(SIP[[#This Row],[Investor ID]],INVESTORS_LIST[INVESTOR CODE],0),)</f>
        <v>BIJOY CHANDRA DAS</v>
      </c>
      <c r="F1538" s="46" t="s">
        <v>497</v>
      </c>
      <c r="G1538" s="46">
        <f>COUNTIF(SIP[[#Headers],[Investor ID]]:SIP[[#This Row],[Investor ID]],SIP[[#This Row],[Investor ID]])</f>
        <v>19</v>
      </c>
      <c r="H1538" s="46" t="str">
        <f>CONCATENATE(SIP[[#This Row],[Frequency]],SIP[[#This Row],[Investor ID]])</f>
        <v>19A00224</v>
      </c>
      <c r="I1538" s="46" t="str">
        <f>IF(SIP[[#This Row],[B/S]]="B","BUY",(IF(SIP[[#This Row],[B/S]]="S","SELL"," ")))</f>
        <v>BUY</v>
      </c>
      <c r="J1538" s="150" t="s">
        <v>1229</v>
      </c>
      <c r="K1538" s="153">
        <v>5000</v>
      </c>
      <c r="L1538" s="122"/>
      <c r="M1538" s="123">
        <f>SIP[[#This Row],[Amount]]/SIP[[#This Row],[Unit]]</f>
        <v>13.66120218579235</v>
      </c>
      <c r="N1538" s="71">
        <f>SIP[[#This Row],[Unit Capital]]/10</f>
        <v>366</v>
      </c>
      <c r="O1538" s="71">
        <f>SUMIFS(SIP[[#Headers],[Unit]]:SIP[[#This Row],[Unit]],SIP[[#Headers],[Investor ID]]:SIP[[#This Row],[Investor ID]],SIP[[#This Row],[Investor ID]])</f>
        <v>7898</v>
      </c>
      <c r="P1538" s="153">
        <v>3660</v>
      </c>
      <c r="Q1538" s="74">
        <f>SIP[[#This Row],[Amount]]-SIP[[#This Row],[Unit Capital]]</f>
        <v>1340</v>
      </c>
      <c r="R15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12.028361610534317</v>
      </c>
      <c r="S1538" s="46">
        <f t="shared" si="71"/>
        <v>14.224</v>
      </c>
      <c r="T15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8" s="74" cm="1">
        <f t="array" ref="U1538">IF(SIP[[#This Row],[B/S]]="S",ABS(SIP[[#This Row],[Unit]])*(INDEX(SIP[NAV at Cost (Average)],MATCH(CONCATENATE((SIP[[#This Row],[Frequency]]-1),SIP[[#This Row],[Investor ID]]),SIP[Unique Code],0),0)),0)</f>
        <v>0</v>
      </c>
      <c r="V1538" s="74">
        <f>IF(SIP[[#This Row],[BO TRANSFER]]="YES",SIP[[#This Row],[Unit]],)</f>
        <v>0</v>
      </c>
      <c r="W1538" s="74">
        <f>SUMIFS(SIP[[#Headers],[BO UNIT TRANSFER]]:SIP[[#This Row],[BO UNIT TRANSFER]],SIP[[#Headers],[Investor ID]]:SIP[[#This Row],[Investor ID]],SIP[[#This Row],[Investor ID]])</f>
        <v>0</v>
      </c>
    </row>
    <row r="1539" spans="1:23" ht="15" customHeight="1">
      <c r="A1539" s="101">
        <v>2025</v>
      </c>
      <c r="B1539" s="101">
        <v>11</v>
      </c>
      <c r="C1539" s="101">
        <v>9</v>
      </c>
      <c r="D1539" s="65">
        <f>DATE(SIP[[#This Row],[Year]],SIP[[#This Row],[Month]],SIP[[#This Row],[Day]])</f>
        <v>45970</v>
      </c>
      <c r="E1539" s="66" t="str" cm="1">
        <f t="array" ref="E1539">INDEX(INVESTORS_LIST[INVESTOR NAME],MATCH(SIP[[#This Row],[Investor ID]],INVESTORS_LIST[INVESTOR CODE],0),)</f>
        <v>MST. GOLENUR</v>
      </c>
      <c r="F1539" s="46" t="s">
        <v>1075</v>
      </c>
      <c r="G1539" s="46">
        <f>COUNTIF(SIP[[#Headers],[Investor ID]]:SIP[[#This Row],[Investor ID]],SIP[[#This Row],[Investor ID]])</f>
        <v>12</v>
      </c>
      <c r="H1539" s="46" t="str">
        <f>CONCATENATE(SIP[[#This Row],[Frequency]],SIP[[#This Row],[Investor ID]])</f>
        <v>12A00515</v>
      </c>
      <c r="I1539" s="46" t="str">
        <f>IF(SIP[[#This Row],[B/S]]="B","BUY",(IF(SIP[[#This Row],[B/S]]="S","SELL"," ")))</f>
        <v>BUY</v>
      </c>
      <c r="J1539" s="150" t="s">
        <v>1229</v>
      </c>
      <c r="K1539" s="152">
        <v>2000</v>
      </c>
      <c r="L1539" s="122"/>
      <c r="M1539" s="123">
        <f>SIP[[#This Row],[Amount]]/SIP[[#This Row],[Unit]]</f>
        <v>13.698630136986301</v>
      </c>
      <c r="N1539" s="71">
        <f>SIP[[#This Row],[Unit Capital]]/10</f>
        <v>146</v>
      </c>
      <c r="O1539" s="71">
        <f>SUMIFS(SIP[[#Headers],[Unit]]:SIP[[#This Row],[Unit]],SIP[[#Headers],[Investor ID]]:SIP[[#This Row],[Investor ID]],SIP[[#This Row],[Investor ID]])</f>
        <v>2022</v>
      </c>
      <c r="P1539" s="153">
        <v>1460</v>
      </c>
      <c r="Q1539" s="74">
        <f>SIP[[#This Row],[Amount]]-SIP[[#This Row],[Unit Capital]]</f>
        <v>540</v>
      </c>
      <c r="R15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12.858555885262117</v>
      </c>
      <c r="S1539" s="46">
        <f t="shared" ref="S1539:S1550" si="72">NAV_MKT</f>
        <v>14.224</v>
      </c>
      <c r="T15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9" s="74" cm="1">
        <f t="array" ref="U1539">IF(SIP[[#This Row],[B/S]]="S",ABS(SIP[[#This Row],[Unit]])*(INDEX(SIP[NAV at Cost (Average)],MATCH(CONCATENATE((SIP[[#This Row],[Frequency]]-1),SIP[[#This Row],[Investor ID]]),SIP[Unique Code],0),0)),0)</f>
        <v>0</v>
      </c>
      <c r="V1539" s="74">
        <f>IF(SIP[[#This Row],[BO TRANSFER]]="YES",SIP[[#This Row],[Unit]],)</f>
        <v>0</v>
      </c>
      <c r="W1539" s="74">
        <f>SUMIFS(SIP[[#Headers],[BO UNIT TRANSFER]]:SIP[[#This Row],[BO UNIT TRANSFER]],SIP[[#Headers],[Investor ID]]:SIP[[#This Row],[Investor ID]],SIP[[#This Row],[Investor ID]])</f>
        <v>0</v>
      </c>
    </row>
    <row r="1540" spans="1:23" ht="15" customHeight="1">
      <c r="A1540" s="101">
        <v>2025</v>
      </c>
      <c r="B1540" s="101">
        <v>11</v>
      </c>
      <c r="C1540" s="101">
        <v>10</v>
      </c>
      <c r="D1540" s="65">
        <f>DATE(SIP[[#This Row],[Year]],SIP[[#This Row],[Month]],SIP[[#This Row],[Day]])</f>
        <v>45971</v>
      </c>
      <c r="E1540" s="66" t="str" cm="1">
        <f t="array" ref="E1540">INDEX(INVESTORS_LIST[INVESTOR NAME],MATCH(SIP[[#This Row],[Investor ID]],INVESTORS_LIST[INVESTOR CODE],0),)</f>
        <v>MD. OMAR FARUQUE Al QUADERI</v>
      </c>
      <c r="F1540" s="46" t="s">
        <v>160</v>
      </c>
      <c r="G1540" s="46">
        <f>COUNTIF(SIP[[#Headers],[Investor ID]]:SIP[[#This Row],[Investor ID]],SIP[[#This Row],[Investor ID]])</f>
        <v>2</v>
      </c>
      <c r="H1540" s="46" t="str">
        <f>CONCATENATE(SIP[[#This Row],[Frequency]],SIP[[#This Row],[Investor ID]])</f>
        <v>2A00056</v>
      </c>
      <c r="I1540" s="46" t="str">
        <f>IF(SIP[[#This Row],[B/S]]="B","BUY",(IF(SIP[[#This Row],[B/S]]="S","SELL"," ")))</f>
        <v>BUY</v>
      </c>
      <c r="J1540" s="150" t="s">
        <v>1229</v>
      </c>
      <c r="K1540" s="152">
        <v>5000</v>
      </c>
      <c r="L1540" s="122"/>
      <c r="M1540" s="123">
        <f>SIP[[#This Row],[Amount]]/SIP[[#This Row],[Unit]]</f>
        <v>13.66120218579235</v>
      </c>
      <c r="N1540" s="71">
        <f>SIP[[#This Row],[Unit Capital]]/10</f>
        <v>366</v>
      </c>
      <c r="O1540" s="71">
        <f>SUMIFS(SIP[[#Headers],[Unit]]:SIP[[#This Row],[Unit]],SIP[[#Headers],[Investor ID]]:SIP[[#This Row],[Investor ID]],SIP[[#This Row],[Investor ID]])</f>
        <v>732</v>
      </c>
      <c r="P1540" s="153">
        <v>3660</v>
      </c>
      <c r="Q1540" s="74">
        <f>SIP[[#This Row],[Amount]]-SIP[[#This Row],[Unit Capital]]</f>
        <v>1340</v>
      </c>
      <c r="R15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13.66120218579235</v>
      </c>
      <c r="S1540" s="46">
        <f t="shared" si="72"/>
        <v>14.224</v>
      </c>
      <c r="T15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0" s="74" cm="1">
        <f t="array" ref="U1540">IF(SIP[[#This Row],[B/S]]="S",ABS(SIP[[#This Row],[Unit]])*(INDEX(SIP[NAV at Cost (Average)],MATCH(CONCATENATE((SIP[[#This Row],[Frequency]]-1),SIP[[#This Row],[Investor ID]]),SIP[Unique Code],0),0)),0)</f>
        <v>0</v>
      </c>
      <c r="V1540" s="74">
        <f>IF(SIP[[#This Row],[BO TRANSFER]]="YES",SIP[[#This Row],[Unit]],)</f>
        <v>0</v>
      </c>
      <c r="W1540" s="74">
        <f>SUMIFS(SIP[[#Headers],[BO UNIT TRANSFER]]:SIP[[#This Row],[BO UNIT TRANSFER]],SIP[[#Headers],[Investor ID]]:SIP[[#This Row],[Investor ID]],SIP[[#This Row],[Investor ID]])</f>
        <v>0</v>
      </c>
    </row>
    <row r="1541" spans="1:23" ht="15" customHeight="1">
      <c r="A1541" s="101">
        <v>2025</v>
      </c>
      <c r="B1541" s="101">
        <v>11</v>
      </c>
      <c r="C1541" s="101">
        <v>15</v>
      </c>
      <c r="D1541" s="65">
        <f>DATE(SIP[[#This Row],[Year]],SIP[[#This Row],[Month]],SIP[[#This Row],[Day]])</f>
        <v>45976</v>
      </c>
      <c r="E1541" s="66" t="str" cm="1">
        <f t="array" ref="E1541">INDEX(INVESTORS_LIST[INVESTOR NAME],MATCH(SIP[[#This Row],[Investor ID]],INVESTORS_LIST[INVESTOR CODE],0),)</f>
        <v>SANJIB KUMAR ROY</v>
      </c>
      <c r="F1541" s="46" t="s">
        <v>1020</v>
      </c>
      <c r="G1541" s="46">
        <f>COUNTIF(SIP[[#Headers],[Investor ID]]:SIP[[#This Row],[Investor ID]],SIP[[#This Row],[Investor ID]])</f>
        <v>30</v>
      </c>
      <c r="H1541" s="46" t="str">
        <f>CONCATENATE(SIP[[#This Row],[Frequency]],SIP[[#This Row],[Investor ID]])</f>
        <v>30A00487</v>
      </c>
      <c r="I1541" s="46" t="str">
        <f>IF(SIP[[#This Row],[B/S]]="B","BUY",(IF(SIP[[#This Row],[B/S]]="S","SELL"," ")))</f>
        <v>BUY</v>
      </c>
      <c r="J1541" s="150" t="s">
        <v>1229</v>
      </c>
      <c r="K1541" s="153">
        <v>5000</v>
      </c>
      <c r="L1541" s="122"/>
      <c r="M1541" s="123">
        <f>SIP[[#This Row],[Amount]]/SIP[[#This Row],[Unit]]</f>
        <v>13.812154696132596</v>
      </c>
      <c r="N1541" s="71">
        <f>SIP[[#This Row],[Unit Capital]]/10</f>
        <v>362</v>
      </c>
      <c r="O1541" s="71">
        <f>SUMIFS(SIP[[#Headers],[Unit]]:SIP[[#This Row],[Unit]],SIP[[#Headers],[Investor ID]]:SIP[[#This Row],[Investor ID]],SIP[[#This Row],[Investor ID]])</f>
        <v>13024</v>
      </c>
      <c r="P1541" s="153">
        <v>3620</v>
      </c>
      <c r="Q1541" s="74">
        <f>SIP[[#This Row],[Amount]]-SIP[[#This Row],[Unit Capital]]</f>
        <v>1380</v>
      </c>
      <c r="R15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11.517199017199014</v>
      </c>
      <c r="S1541" s="46">
        <f t="shared" si="72"/>
        <v>14.224</v>
      </c>
      <c r="T15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1" s="74" cm="1">
        <f t="array" ref="U1541">IF(SIP[[#This Row],[B/S]]="S",ABS(SIP[[#This Row],[Unit]])*(INDEX(SIP[NAV at Cost (Average)],MATCH(CONCATENATE((SIP[[#This Row],[Frequency]]-1),SIP[[#This Row],[Investor ID]]),SIP[Unique Code],0),0)),0)</f>
        <v>0</v>
      </c>
      <c r="V1541" s="74">
        <f>IF(SIP[[#This Row],[BO TRANSFER]]="YES",SIP[[#This Row],[Unit]],)</f>
        <v>0</v>
      </c>
      <c r="W1541" s="74">
        <f>SUMIFS(SIP[[#Headers],[BO UNIT TRANSFER]]:SIP[[#This Row],[BO UNIT TRANSFER]],SIP[[#Headers],[Investor ID]]:SIP[[#This Row],[Investor ID]],SIP[[#This Row],[Investor ID]])</f>
        <v>0</v>
      </c>
    </row>
    <row r="1542" spans="1:23" ht="15" customHeight="1">
      <c r="A1542" s="101">
        <v>2025</v>
      </c>
      <c r="B1542" s="101">
        <v>11</v>
      </c>
      <c r="C1542" s="101">
        <v>15</v>
      </c>
      <c r="D1542" s="65">
        <f>DATE(SIP[[#This Row],[Year]],SIP[[#This Row],[Month]],SIP[[#This Row],[Day]])</f>
        <v>45976</v>
      </c>
      <c r="E1542" s="66" t="str" cm="1">
        <f t="array" ref="E1542">INDEX(INVESTORS_LIST[INVESTOR NAME],MATCH(SIP[[#This Row],[Investor ID]],INVESTORS_LIST[INVESTOR CODE],0),)</f>
        <v>JOY SARKAR</v>
      </c>
      <c r="F1542" s="46" t="s">
        <v>1444</v>
      </c>
      <c r="G1542" s="46">
        <f>COUNTIF(SIP[[#Headers],[Investor ID]]:SIP[[#This Row],[Investor ID]],SIP[[#This Row],[Investor ID]])</f>
        <v>2</v>
      </c>
      <c r="H1542" s="46" t="str">
        <f>CONCATENATE(SIP[[#This Row],[Frequency]],SIP[[#This Row],[Investor ID]])</f>
        <v>2A00665</v>
      </c>
      <c r="I1542" s="46" t="str">
        <f>IF(SIP[[#This Row],[B/S]]="B","BUY",(IF(SIP[[#This Row],[B/S]]="S","SELL"," ")))</f>
        <v>BUY</v>
      </c>
      <c r="J1542" s="150" t="s">
        <v>1229</v>
      </c>
      <c r="K1542" s="153">
        <v>6000</v>
      </c>
      <c r="L1542" s="122"/>
      <c r="M1542" s="123">
        <f>SIP[[#This Row],[Amount]]/SIP[[#This Row],[Unit]]</f>
        <v>13.824884792626728</v>
      </c>
      <c r="N1542" s="71">
        <f>SIP[[#This Row],[Unit Capital]]/10</f>
        <v>434</v>
      </c>
      <c r="O1542" s="71">
        <f>SUMIFS(SIP[[#Headers],[Unit]]:SIP[[#This Row],[Unit]],SIP[[#Headers],[Investor ID]]:SIP[[#This Row],[Investor ID]],SIP[[#This Row],[Investor ID]])</f>
        <v>876</v>
      </c>
      <c r="P1542" s="153">
        <v>4340</v>
      </c>
      <c r="Q1542" s="74">
        <f>SIP[[#This Row],[Amount]]-SIP[[#This Row],[Unit Capital]]</f>
        <v>1660</v>
      </c>
      <c r="R15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13.698630136986303</v>
      </c>
      <c r="S1542" s="46">
        <f t="shared" si="72"/>
        <v>14.224</v>
      </c>
      <c r="T15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2" s="74" cm="1">
        <f t="array" ref="U1542">IF(SIP[[#This Row],[B/S]]="S",ABS(SIP[[#This Row],[Unit]])*(INDEX(SIP[NAV at Cost (Average)],MATCH(CONCATENATE((SIP[[#This Row],[Frequency]]-1),SIP[[#This Row],[Investor ID]]),SIP[Unique Code],0),0)),0)</f>
        <v>0</v>
      </c>
      <c r="V1542" s="74">
        <f>IF(SIP[[#This Row],[BO TRANSFER]]="YES",SIP[[#This Row],[Unit]],)</f>
        <v>0</v>
      </c>
      <c r="W1542" s="74">
        <f>SUMIFS(SIP[[#Headers],[BO UNIT TRANSFER]]:SIP[[#This Row],[BO UNIT TRANSFER]],SIP[[#Headers],[Investor ID]]:SIP[[#This Row],[Investor ID]],SIP[[#This Row],[Investor ID]])</f>
        <v>0</v>
      </c>
    </row>
    <row r="1543" spans="1:23" ht="15" customHeight="1">
      <c r="A1543" s="101">
        <v>2025</v>
      </c>
      <c r="B1543" s="101">
        <v>11</v>
      </c>
      <c r="C1543" s="101">
        <v>16</v>
      </c>
      <c r="D1543" s="65">
        <f>DATE(SIP[[#This Row],[Year]],SIP[[#This Row],[Month]],SIP[[#This Row],[Day]])</f>
        <v>45977</v>
      </c>
      <c r="E1543" s="66" t="str" cm="1">
        <f t="array" ref="E1543">INDEX(INVESTORS_LIST[INVESTOR NAME],MATCH(SIP[[#This Row],[Investor ID]],INVESTORS_LIST[INVESTOR CODE],0),)</f>
        <v>ASHIK CHOWDHURY OVI</v>
      </c>
      <c r="F1543" s="46" t="s">
        <v>1101</v>
      </c>
      <c r="G1543" s="46">
        <f>COUNTIF(SIP[[#Headers],[Investor ID]]:SIP[[#This Row],[Investor ID]],SIP[[#This Row],[Investor ID]])</f>
        <v>9</v>
      </c>
      <c r="H1543" s="46" t="str">
        <f>CONCATENATE(SIP[[#This Row],[Frequency]],SIP[[#This Row],[Investor ID]])</f>
        <v>9A00527</v>
      </c>
      <c r="I1543" s="46" t="str">
        <f>IF(SIP[[#This Row],[B/S]]="B","BUY",(IF(SIP[[#This Row],[B/S]]="S","SELL"," ")))</f>
        <v>BUY</v>
      </c>
      <c r="J1543" s="150" t="s">
        <v>1229</v>
      </c>
      <c r="K1543" s="153">
        <v>5000</v>
      </c>
      <c r="L1543" s="122"/>
      <c r="M1543" s="123">
        <f>SIP[[#This Row],[Amount]]/SIP[[#This Row],[Unit]]</f>
        <v>13.812154696132596</v>
      </c>
      <c r="N1543" s="71">
        <f>SIP[[#This Row],[Unit Capital]]/10</f>
        <v>362</v>
      </c>
      <c r="O1543" s="71">
        <f>SUMIFS(SIP[[#Headers],[Unit]]:SIP[[#This Row],[Unit]],SIP[[#Headers],[Investor ID]]:SIP[[#This Row],[Investor ID]],SIP[[#This Row],[Investor ID]])</f>
        <v>362</v>
      </c>
      <c r="P1543" s="153">
        <v>3620</v>
      </c>
      <c r="Q1543" s="74">
        <f>SIP[[#This Row],[Amount]]-SIP[[#This Row],[Unit Capital]]</f>
        <v>1380</v>
      </c>
      <c r="R15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13.812154696132596</v>
      </c>
      <c r="S1543" s="46">
        <f t="shared" si="72"/>
        <v>14.224</v>
      </c>
      <c r="T15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3" s="74" cm="1">
        <f t="array" ref="U1543">IF(SIP[[#This Row],[B/S]]="S",ABS(SIP[[#This Row],[Unit]])*(INDEX(SIP[NAV at Cost (Average)],MATCH(CONCATENATE((SIP[[#This Row],[Frequency]]-1),SIP[[#This Row],[Investor ID]]),SIP[Unique Code],0),0)),0)</f>
        <v>0</v>
      </c>
      <c r="V1543" s="74">
        <f>IF(SIP[[#This Row],[BO TRANSFER]]="YES",SIP[[#This Row],[Unit]],)</f>
        <v>0</v>
      </c>
      <c r="W1543" s="74">
        <f>SUMIFS(SIP[[#Headers],[BO UNIT TRANSFER]]:SIP[[#This Row],[BO UNIT TRANSFER]],SIP[[#Headers],[Investor ID]]:SIP[[#This Row],[Investor ID]],SIP[[#This Row],[Investor ID]])</f>
        <v>0</v>
      </c>
    </row>
    <row r="1544" spans="1:23" ht="15" customHeight="1">
      <c r="A1544" s="101">
        <v>2025</v>
      </c>
      <c r="B1544" s="101">
        <v>11</v>
      </c>
      <c r="C1544" s="101">
        <v>16</v>
      </c>
      <c r="D1544" s="65">
        <f>DATE(SIP[[#This Row],[Year]],SIP[[#This Row],[Month]],SIP[[#This Row],[Day]])</f>
        <v>45977</v>
      </c>
      <c r="E1544" s="66" t="str" cm="1">
        <f t="array" ref="E1544">INDEX(INVESTORS_LIST[INVESTOR NAME],MATCH(SIP[[#This Row],[Investor ID]],INVESTORS_LIST[INVESTOR CODE],0),)</f>
        <v>MAHMUD ALI ALAMGIR &amp; MOHAMMED ALI XAHANGIR</v>
      </c>
      <c r="F1544" s="46" t="s">
        <v>1130</v>
      </c>
      <c r="G1544" s="46">
        <f>COUNTIF(SIP[[#Headers],[Investor ID]]:SIP[[#This Row],[Investor ID]],SIP[[#This Row],[Investor ID]])</f>
        <v>32</v>
      </c>
      <c r="H1544" s="46" t="str">
        <f>CONCATENATE(SIP[[#This Row],[Frequency]],SIP[[#This Row],[Investor ID]])</f>
        <v>32A00540</v>
      </c>
      <c r="I1544" s="46" t="str">
        <f>IF(SIP[[#This Row],[B/S]]="B","BUY",(IF(SIP[[#This Row],[B/S]]="S","SELL"," ")))</f>
        <v>BUY</v>
      </c>
      <c r="J1544" s="150" t="s">
        <v>1229</v>
      </c>
      <c r="K1544" s="153">
        <v>20000</v>
      </c>
      <c r="L1544" s="122"/>
      <c r="M1544" s="123">
        <f>SIP[[#This Row],[Amount]]/SIP[[#This Row],[Unit]]</f>
        <v>13.812154696132596</v>
      </c>
      <c r="N1544" s="71">
        <f>SIP[[#This Row],[Unit Capital]]/10</f>
        <v>1448</v>
      </c>
      <c r="O1544" s="71">
        <f>SUMIFS(SIP[[#Headers],[Unit]]:SIP[[#This Row],[Unit]],SIP[[#Headers],[Investor ID]]:SIP[[#This Row],[Investor ID]],SIP[[#This Row],[Investor ID]])</f>
        <v>18717</v>
      </c>
      <c r="P1544" s="153">
        <v>14480</v>
      </c>
      <c r="Q1544" s="74">
        <f>SIP[[#This Row],[Amount]]-SIP[[#This Row],[Unit Capital]]</f>
        <v>5520</v>
      </c>
      <c r="R15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13.084081411231157</v>
      </c>
      <c r="S1544" s="46">
        <f t="shared" si="72"/>
        <v>14.224</v>
      </c>
      <c r="T15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4" s="74" cm="1">
        <f t="array" ref="U1544">IF(SIP[[#This Row],[B/S]]="S",ABS(SIP[[#This Row],[Unit]])*(INDEX(SIP[NAV at Cost (Average)],MATCH(CONCATENATE((SIP[[#This Row],[Frequency]]-1),SIP[[#This Row],[Investor ID]]),SIP[Unique Code],0),0)),0)</f>
        <v>0</v>
      </c>
      <c r="V1544" s="74">
        <f>IF(SIP[[#This Row],[BO TRANSFER]]="YES",SIP[[#This Row],[Unit]],)</f>
        <v>0</v>
      </c>
      <c r="W1544" s="74">
        <f>SUMIFS(SIP[[#Headers],[BO UNIT TRANSFER]]:SIP[[#This Row],[BO UNIT TRANSFER]],SIP[[#Headers],[Investor ID]]:SIP[[#This Row],[Investor ID]],SIP[[#This Row],[Investor ID]])</f>
        <v>0</v>
      </c>
    </row>
    <row r="1545" spans="1:23" ht="15" customHeight="1">
      <c r="A1545" s="101">
        <v>2025</v>
      </c>
      <c r="B1545" s="101">
        <v>11</v>
      </c>
      <c r="C1545" s="101">
        <v>16</v>
      </c>
      <c r="D1545" s="65">
        <f>DATE(SIP[[#This Row],[Year]],SIP[[#This Row],[Month]],SIP[[#This Row],[Day]])</f>
        <v>45977</v>
      </c>
      <c r="E1545" s="66" t="str" cm="1">
        <f t="array" ref="E1545">INDEX(INVESTORS_LIST[INVESTOR NAME],MATCH(SIP[[#This Row],[Investor ID]],INVESTORS_LIST[INVESTOR CODE],0),)</f>
        <v>RUKAIYA FAHMIDA</v>
      </c>
      <c r="F1545" s="46" t="s">
        <v>1190</v>
      </c>
      <c r="G1545" s="46">
        <f>COUNTIF(SIP[[#Headers],[Investor ID]]:SIP[[#This Row],[Investor ID]],SIP[[#This Row],[Investor ID]])</f>
        <v>9</v>
      </c>
      <c r="H1545" s="46" t="str">
        <f>CONCATENATE(SIP[[#This Row],[Frequency]],SIP[[#This Row],[Investor ID]])</f>
        <v>9A00571</v>
      </c>
      <c r="I1545" s="46" t="str">
        <f>IF(SIP[[#This Row],[B/S]]="B","BUY",(IF(SIP[[#This Row],[B/S]]="S","SELL"," ")))</f>
        <v>BUY</v>
      </c>
      <c r="J1545" s="150" t="s">
        <v>1229</v>
      </c>
      <c r="K1545" s="153">
        <v>2000</v>
      </c>
      <c r="L1545" s="122"/>
      <c r="M1545" s="123">
        <f>SIP[[#This Row],[Amount]]/SIP[[#This Row],[Unit]]</f>
        <v>13.793103448275861</v>
      </c>
      <c r="N1545" s="71">
        <f>SIP[[#This Row],[Unit Capital]]/10</f>
        <v>145</v>
      </c>
      <c r="O1545" s="71">
        <f>SUMIFS(SIP[[#Headers],[Unit]]:SIP[[#This Row],[Unit]],SIP[[#Headers],[Investor ID]]:SIP[[#This Row],[Investor ID]],SIP[[#This Row],[Investor ID]])</f>
        <v>1394</v>
      </c>
      <c r="P1545" s="153">
        <v>1450</v>
      </c>
      <c r="Q1545" s="74">
        <f>SIP[[#This Row],[Amount]]-SIP[[#This Row],[Unit Capital]]</f>
        <v>550</v>
      </c>
      <c r="R15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12.912482065997128</v>
      </c>
      <c r="S1545" s="46">
        <f t="shared" si="72"/>
        <v>14.224</v>
      </c>
      <c r="T15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5" s="74" cm="1">
        <f t="array" ref="U1545">IF(SIP[[#This Row],[B/S]]="S",ABS(SIP[[#This Row],[Unit]])*(INDEX(SIP[NAV at Cost (Average)],MATCH(CONCATENATE((SIP[[#This Row],[Frequency]]-1),SIP[[#This Row],[Investor ID]]),SIP[Unique Code],0),0)),0)</f>
        <v>0</v>
      </c>
      <c r="V1545" s="74">
        <f>IF(SIP[[#This Row],[BO TRANSFER]]="YES",SIP[[#This Row],[Unit]],)</f>
        <v>0</v>
      </c>
      <c r="W1545" s="74">
        <f>SUMIFS(SIP[[#Headers],[BO UNIT TRANSFER]]:SIP[[#This Row],[BO UNIT TRANSFER]],SIP[[#Headers],[Investor ID]]:SIP[[#This Row],[Investor ID]],SIP[[#This Row],[Investor ID]])</f>
        <v>0</v>
      </c>
    </row>
    <row r="1546" spans="1:23" ht="15" customHeight="1">
      <c r="A1546" s="101">
        <v>2025</v>
      </c>
      <c r="B1546" s="101">
        <v>11</v>
      </c>
      <c r="C1546" s="101">
        <v>16</v>
      </c>
      <c r="D1546" s="65">
        <f>DATE(SIP[[#This Row],[Year]],SIP[[#This Row],[Month]],SIP[[#This Row],[Day]])</f>
        <v>45977</v>
      </c>
      <c r="E1546" s="66" t="str" cm="1">
        <f t="array" ref="E1546">INDEX(INVESTORS_LIST[INVESTOR NAME],MATCH(SIP[[#This Row],[Investor ID]],INVESTORS_LIST[INVESTOR CODE],0),)</f>
        <v>MD. RAFIQUR RAHMAN</v>
      </c>
      <c r="F1546" s="46" t="s">
        <v>622</v>
      </c>
      <c r="G1546" s="46">
        <f>COUNTIF(SIP[[#Headers],[Investor ID]]:SIP[[#This Row],[Investor ID]],SIP[[#This Row],[Investor ID]])</f>
        <v>27</v>
      </c>
      <c r="H1546" s="46" t="str">
        <f>CONCATENATE(SIP[[#This Row],[Frequency]],SIP[[#This Row],[Investor ID]])</f>
        <v>27A00287</v>
      </c>
      <c r="I1546" s="46" t="str">
        <f>IF(SIP[[#This Row],[B/S]]="B","BUY",(IF(SIP[[#This Row],[B/S]]="S","SELL"," ")))</f>
        <v>BUY</v>
      </c>
      <c r="J1546" s="150" t="s">
        <v>1229</v>
      </c>
      <c r="K1546" s="153">
        <v>20000</v>
      </c>
      <c r="L1546" s="122"/>
      <c r="M1546" s="123">
        <f>SIP[[#This Row],[Amount]]/SIP[[#This Row],[Unit]]</f>
        <v>13.812154696132596</v>
      </c>
      <c r="N1546" s="71">
        <f>SIP[[#This Row],[Unit Capital]]/10</f>
        <v>1448</v>
      </c>
      <c r="O1546" s="71">
        <f>SUMIFS(SIP[[#Headers],[Unit]]:SIP[[#This Row],[Unit]],SIP[[#Headers],[Investor ID]]:SIP[[#This Row],[Investor ID]],SIP[[#This Row],[Investor ID]])</f>
        <v>46269</v>
      </c>
      <c r="P1546" s="153">
        <v>14480</v>
      </c>
      <c r="Q1546" s="74">
        <f>SIP[[#This Row],[Amount]]-SIP[[#This Row],[Unit Capital]]</f>
        <v>5520</v>
      </c>
      <c r="R15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11.670881151526943</v>
      </c>
      <c r="S1546" s="46">
        <f t="shared" si="72"/>
        <v>14.224</v>
      </c>
      <c r="T15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6" s="74" cm="1">
        <f t="array" ref="U1546">IF(SIP[[#This Row],[B/S]]="S",ABS(SIP[[#This Row],[Unit]])*(INDEX(SIP[NAV at Cost (Average)],MATCH(CONCATENATE((SIP[[#This Row],[Frequency]]-1),SIP[[#This Row],[Investor ID]]),SIP[Unique Code],0),0)),0)</f>
        <v>0</v>
      </c>
      <c r="V1546" s="74">
        <f>IF(SIP[[#This Row],[BO TRANSFER]]="YES",SIP[[#This Row],[Unit]],)</f>
        <v>0</v>
      </c>
      <c r="W1546" s="74">
        <f>SUMIFS(SIP[[#Headers],[BO UNIT TRANSFER]]:SIP[[#This Row],[BO UNIT TRANSFER]],SIP[[#Headers],[Investor ID]]:SIP[[#This Row],[Investor ID]],SIP[[#This Row],[Investor ID]])</f>
        <v>0</v>
      </c>
    </row>
    <row r="1547" spans="1:23" ht="15" customHeight="1">
      <c r="A1547" s="101">
        <v>2025</v>
      </c>
      <c r="B1547" s="101">
        <v>11</v>
      </c>
      <c r="C1547" s="101">
        <v>16</v>
      </c>
      <c r="D1547" s="65">
        <f>DATE(SIP[[#This Row],[Year]],SIP[[#This Row],[Month]],SIP[[#This Row],[Day]])</f>
        <v>45977</v>
      </c>
      <c r="E1547" s="66" t="str" cm="1">
        <f t="array" ref="E1547">INDEX(INVESTORS_LIST[INVESTOR NAME],MATCH(SIP[[#This Row],[Investor ID]],INVESTORS_LIST[INVESTOR CODE],0),)</f>
        <v>MAHMUD ALI ALAMGIR &amp; MOHAMMED ALI XAHANGIR</v>
      </c>
      <c r="F1547" s="46" t="s">
        <v>1130</v>
      </c>
      <c r="G1547" s="46">
        <f>COUNTIF(SIP[[#Headers],[Investor ID]]:SIP[[#This Row],[Investor ID]],SIP[[#This Row],[Investor ID]])</f>
        <v>33</v>
      </c>
      <c r="H1547" s="46" t="str">
        <f>CONCATENATE(SIP[[#This Row],[Frequency]],SIP[[#This Row],[Investor ID]])</f>
        <v>33A00540</v>
      </c>
      <c r="I1547" s="46" t="str">
        <f>IF(SIP[[#This Row],[B/S]]="B","BUY",(IF(SIP[[#This Row],[B/S]]="S","SELL"," ")))</f>
        <v>BUY</v>
      </c>
      <c r="J1547" s="150" t="s">
        <v>1229</v>
      </c>
      <c r="K1547" s="153">
        <v>40000</v>
      </c>
      <c r="L1547" s="122"/>
      <c r="M1547" s="123">
        <f>SIP[[#This Row],[Amount]]/SIP[[#This Row],[Unit]]</f>
        <v>13.812154696132596</v>
      </c>
      <c r="N1547" s="71">
        <f>SIP[[#This Row],[Unit Capital]]/10</f>
        <v>2896</v>
      </c>
      <c r="O1547" s="71">
        <f>SUMIFS(SIP[[#Headers],[Unit]]:SIP[[#This Row],[Unit]],SIP[[#Headers],[Investor ID]]:SIP[[#This Row],[Investor ID]],SIP[[#This Row],[Investor ID]])</f>
        <v>21613</v>
      </c>
      <c r="P1547" s="153">
        <v>28960</v>
      </c>
      <c r="Q1547" s="74">
        <f>SIP[[#This Row],[Amount]]-SIP[[#This Row],[Unit Capital]]</f>
        <v>11040</v>
      </c>
      <c r="R15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13.181638447879219</v>
      </c>
      <c r="S1547" s="46">
        <f t="shared" si="72"/>
        <v>14.224</v>
      </c>
      <c r="T15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7" s="74" cm="1">
        <f t="array" ref="U1547">IF(SIP[[#This Row],[B/S]]="S",ABS(SIP[[#This Row],[Unit]])*(INDEX(SIP[NAV at Cost (Average)],MATCH(CONCATENATE((SIP[[#This Row],[Frequency]]-1),SIP[[#This Row],[Investor ID]]),SIP[Unique Code],0),0)),0)</f>
        <v>0</v>
      </c>
      <c r="V1547" s="74">
        <f>IF(SIP[[#This Row],[BO TRANSFER]]="YES",SIP[[#This Row],[Unit]],)</f>
        <v>0</v>
      </c>
      <c r="W1547" s="74">
        <f>SUMIFS(SIP[[#Headers],[BO UNIT TRANSFER]]:SIP[[#This Row],[BO UNIT TRANSFER]],SIP[[#Headers],[Investor ID]]:SIP[[#This Row],[Investor ID]],SIP[[#This Row],[Investor ID]])</f>
        <v>0</v>
      </c>
    </row>
    <row r="1548" spans="1:23" ht="15" customHeight="1">
      <c r="A1548" s="101">
        <v>2025</v>
      </c>
      <c r="B1548" s="101">
        <v>11</v>
      </c>
      <c r="C1548" s="101">
        <v>16</v>
      </c>
      <c r="D1548" s="65">
        <f>DATE(SIP[[#This Row],[Year]],SIP[[#This Row],[Month]],SIP[[#This Row],[Day]])</f>
        <v>45977</v>
      </c>
      <c r="E1548" s="66" t="str" cm="1">
        <f t="array" ref="E1548">INDEX(INVESTORS_LIST[INVESTOR NAME],MATCH(SIP[[#This Row],[Investor ID]],INVESTORS_LIST[INVESTOR CODE],0),)</f>
        <v>ASRAAR HOSSAIN</v>
      </c>
      <c r="F1548" s="46" t="s">
        <v>786</v>
      </c>
      <c r="G1548" s="46">
        <f>COUNTIF(SIP[[#Headers],[Investor ID]]:SIP[[#This Row],[Investor ID]],SIP[[#This Row],[Investor ID]])</f>
        <v>14</v>
      </c>
      <c r="H1548" s="46" t="str">
        <f>CONCATENATE(SIP[[#This Row],[Frequency]],SIP[[#This Row],[Investor ID]])</f>
        <v>14A00369</v>
      </c>
      <c r="I1548" s="46" t="str">
        <f>IF(SIP[[#This Row],[B/S]]="B","BUY",(IF(SIP[[#This Row],[B/S]]="S","SELL"," ")))</f>
        <v>BUY</v>
      </c>
      <c r="J1548" s="150" t="s">
        <v>1229</v>
      </c>
      <c r="K1548" s="153">
        <v>15000</v>
      </c>
      <c r="L1548" s="122" t="s">
        <v>1230</v>
      </c>
      <c r="M1548" s="123">
        <f>SIP[[#This Row],[Amount]]/SIP[[#This Row],[Unit]]</f>
        <v>13.812154696132596</v>
      </c>
      <c r="N1548" s="71">
        <f>SIP[[#This Row],[Unit Capital]]/10</f>
        <v>1086</v>
      </c>
      <c r="O1548" s="71">
        <f>SUMIFS(SIP[[#Headers],[Unit]]:SIP[[#This Row],[Unit]],SIP[[#Headers],[Investor ID]]:SIP[[#This Row],[Investor ID]],SIP[[#This Row],[Investor ID]])</f>
        <v>16796</v>
      </c>
      <c r="P1548" s="153">
        <v>10860</v>
      </c>
      <c r="Q1548" s="74">
        <f>SIP[[#This Row],[Amount]]-SIP[[#This Row],[Unit Capital]]</f>
        <v>4140</v>
      </c>
      <c r="R15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12.502976899261729</v>
      </c>
      <c r="S1548" s="46">
        <f t="shared" si="72"/>
        <v>14.224</v>
      </c>
      <c r="T15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8" s="74" cm="1">
        <f t="array" ref="U1548">IF(SIP[[#This Row],[B/S]]="S",ABS(SIP[[#This Row],[Unit]])*(INDEX(SIP[NAV at Cost (Average)],MATCH(CONCATENATE((SIP[[#This Row],[Frequency]]-1),SIP[[#This Row],[Investor ID]]),SIP[Unique Code],0),0)),0)</f>
        <v>0</v>
      </c>
      <c r="V1548" s="74">
        <f>IF(SIP[[#This Row],[BO TRANSFER]]="YES",SIP[[#This Row],[Unit]],)</f>
        <v>1086</v>
      </c>
      <c r="W1548" s="74">
        <f>SUMIFS(SIP[[#Headers],[BO UNIT TRANSFER]]:SIP[[#This Row],[BO UNIT TRANSFER]],SIP[[#Headers],[Investor ID]]:SIP[[#This Row],[Investor ID]],SIP[[#This Row],[Investor ID]])</f>
        <v>5656</v>
      </c>
    </row>
    <row r="1549" spans="1:23" ht="15" customHeight="1">
      <c r="A1549" s="101">
        <v>2025</v>
      </c>
      <c r="B1549" s="101">
        <v>11</v>
      </c>
      <c r="C1549" s="101">
        <v>16</v>
      </c>
      <c r="D1549" s="65">
        <f>DATE(SIP[[#This Row],[Year]],SIP[[#This Row],[Month]],SIP[[#This Row],[Day]])</f>
        <v>45977</v>
      </c>
      <c r="E1549" s="66" t="str" cm="1">
        <f t="array" ref="E1549">INDEX(INVESTORS_LIST[INVESTOR NAME],MATCH(SIP[[#This Row],[Investor ID]],INVESTORS_LIST[INVESTOR CODE],0),)</f>
        <v>MAHFUZA ANIKA</v>
      </c>
      <c r="F1549" s="46" t="s">
        <v>1277</v>
      </c>
      <c r="G1549" s="46">
        <f>COUNTIF(SIP[[#Headers],[Investor ID]]:SIP[[#This Row],[Investor ID]],SIP[[#This Row],[Investor ID]])</f>
        <v>19</v>
      </c>
      <c r="H1549" s="46" t="str">
        <f>CONCATENATE(SIP[[#This Row],[Frequency]],SIP[[#This Row],[Investor ID]])</f>
        <v>19A00585</v>
      </c>
      <c r="I1549" s="46" t="str">
        <f>IF(SIP[[#This Row],[B/S]]="B","BUY",(IF(SIP[[#This Row],[B/S]]="S","SELL"," ")))</f>
        <v>BUY</v>
      </c>
      <c r="J1549" s="150" t="s">
        <v>1229</v>
      </c>
      <c r="K1549" s="153">
        <v>2000</v>
      </c>
      <c r="L1549" s="122"/>
      <c r="M1549" s="123">
        <f>SIP[[#This Row],[Amount]]/SIP[[#This Row],[Unit]]</f>
        <v>13.793103448275861</v>
      </c>
      <c r="N1549" s="71">
        <f>SIP[[#This Row],[Unit Capital]]/10</f>
        <v>145</v>
      </c>
      <c r="O1549" s="71">
        <f>SUMIFS(SIP[[#Headers],[Unit]]:SIP[[#This Row],[Unit]],SIP[[#Headers],[Investor ID]]:SIP[[#This Row],[Investor ID]],SIP[[#This Row],[Investor ID]])</f>
        <v>583</v>
      </c>
      <c r="P1549" s="153">
        <v>1450</v>
      </c>
      <c r="Q1549" s="74">
        <f>SIP[[#This Row],[Amount]]-SIP[[#This Row],[Unit Capital]]</f>
        <v>550</v>
      </c>
      <c r="R15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13.204848986634854</v>
      </c>
      <c r="S1549" s="46">
        <f t="shared" si="72"/>
        <v>14.224</v>
      </c>
      <c r="T15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9" s="74" cm="1">
        <f t="array" ref="U1549">IF(SIP[[#This Row],[B/S]]="S",ABS(SIP[[#This Row],[Unit]])*(INDEX(SIP[NAV at Cost (Average)],MATCH(CONCATENATE((SIP[[#This Row],[Frequency]]-1),SIP[[#This Row],[Investor ID]]),SIP[Unique Code],0),0)),0)</f>
        <v>0</v>
      </c>
      <c r="V1549" s="74">
        <f>IF(SIP[[#This Row],[BO TRANSFER]]="YES",SIP[[#This Row],[Unit]],)</f>
        <v>0</v>
      </c>
      <c r="W1549" s="74">
        <f>SUMIFS(SIP[[#Headers],[BO UNIT TRANSFER]]:SIP[[#This Row],[BO UNIT TRANSFER]],SIP[[#Headers],[Investor ID]]:SIP[[#This Row],[Investor ID]],SIP[[#This Row],[Investor ID]])</f>
        <v>0</v>
      </c>
    </row>
    <row r="1550" spans="1:23" ht="15" customHeight="1">
      <c r="A1550" s="101">
        <v>2025</v>
      </c>
      <c r="B1550" s="101">
        <v>11</v>
      </c>
      <c r="C1550" s="101">
        <v>17</v>
      </c>
      <c r="D1550" s="65">
        <f>DATE(SIP[[#This Row],[Year]],SIP[[#This Row],[Month]],SIP[[#This Row],[Day]])</f>
        <v>45978</v>
      </c>
      <c r="E1550" s="66" t="str" cm="1">
        <f t="array" ref="E1550">INDEX(INVESTORS_LIST[INVESTOR NAME],MATCH(SIP[[#This Row],[Investor ID]],INVESTORS_LIST[INVESTOR CODE],0),)</f>
        <v>NANDINI SAHA</v>
      </c>
      <c r="F1550" s="46" t="s">
        <v>242</v>
      </c>
      <c r="G1550" s="46">
        <f>COUNTIF(SIP[[#Headers],[Investor ID]]:SIP[[#This Row],[Investor ID]],SIP[[#This Row],[Investor ID]])</f>
        <v>34</v>
      </c>
      <c r="H1550" s="46" t="str">
        <f>CONCATENATE(SIP[[#This Row],[Frequency]],SIP[[#This Row],[Investor ID]])</f>
        <v>34A00097</v>
      </c>
      <c r="I1550" s="46" t="str">
        <f>IF(SIP[[#This Row],[B/S]]="B","BUY",(IF(SIP[[#This Row],[B/S]]="S","SELL"," ")))</f>
        <v>SELL</v>
      </c>
      <c r="J1550" s="150" t="s">
        <v>1231</v>
      </c>
      <c r="K1550" s="153">
        <v>-775849.67200000002</v>
      </c>
      <c r="L1550" s="122"/>
      <c r="M1550" s="123">
        <f>SIP[[#This Row],[Amount]]/SIP[[#This Row],[Unit]]</f>
        <v>13.811052264312162</v>
      </c>
      <c r="N1550" s="71">
        <f>SIP[[#This Row],[Unit Capital]]/10</f>
        <v>-56176</v>
      </c>
      <c r="O1550" s="71">
        <f>SUMIFS(SIP[[#Headers],[Unit]]:SIP[[#This Row],[Unit]],SIP[[#Headers],[Investor ID]]:SIP[[#This Row],[Investor ID]],SIP[[#This Row],[Investor ID]])</f>
        <v>19794</v>
      </c>
      <c r="P1550" s="153">
        <v>-561760</v>
      </c>
      <c r="Q1550" s="74">
        <f>SIP[[#This Row],[Amount]]-SIP[[#This Row],[Unit Capital]]</f>
        <v>-214089.67200000002</v>
      </c>
      <c r="R15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11.386073450046066</v>
      </c>
      <c r="S1550" s="46">
        <f t="shared" si="72"/>
        <v>14.224</v>
      </c>
      <c r="T1550" s="74">
        <f>IF(SIP[[#This Row],[B/S]]="B",0,ABS(SIP[[#This Row],[Unit]])*(SIP[[#This Row],[NAV (Strike Rate)]]-INDEX(SIP[NAV at Cost (Average)],MATCH(CONCATENATE(SIP[[#This Row],[Frequency]]-1,SIP[[#This Row],[Investor ID]]),SIP[Unique Code],0),)))</f>
        <v>136225.60987021218</v>
      </c>
      <c r="U1550" s="74" cm="1">
        <f t="array" ref="U1550">IF(SIP[[#This Row],[B/S]]="S",ABS(SIP[[#This Row],[Unit]])*(INDEX(SIP[NAV at Cost (Average)],MATCH(CONCATENATE((SIP[[#This Row],[Frequency]]-1),SIP[[#This Row],[Investor ID]]),SIP[Unique Code],0),0)),0)</f>
        <v>639624.06212978775</v>
      </c>
      <c r="V1550" s="74">
        <f>IF(SIP[[#This Row],[BO TRANSFER]]="YES",SIP[[#This Row],[Unit]],)</f>
        <v>0</v>
      </c>
      <c r="W1550" s="74">
        <f>SUMIFS(SIP[[#Headers],[BO UNIT TRANSFER]]:SIP[[#This Row],[BO UNIT TRANSFER]],SIP[[#Headers],[Investor ID]]:SIP[[#This Row],[Investor ID]],SIP[[#This Row],[Investor ID]])</f>
        <v>0</v>
      </c>
    </row>
    <row r="1551" spans="1:23" ht="15" customHeight="1">
      <c r="A1551" s="101">
        <v>2025</v>
      </c>
      <c r="B1551" s="101">
        <v>11</v>
      </c>
      <c r="C1551" s="101">
        <v>26</v>
      </c>
      <c r="D1551" s="65">
        <f>DATE(SIP[[#This Row],[Year]],SIP[[#This Row],[Month]],SIP[[#This Row],[Day]])</f>
        <v>45987</v>
      </c>
      <c r="E1551" s="66" t="str" cm="1">
        <f t="array" ref="E1551">INDEX(INVESTORS_LIST[INVESTOR NAME],MATCH(SIP[[#This Row],[Investor ID]],INVESTORS_LIST[INVESTOR CODE],0),)</f>
        <v>KHAN MUHAMMAD FAISOL</v>
      </c>
      <c r="F1551" s="46" t="s">
        <v>930</v>
      </c>
      <c r="G1551" s="46">
        <f>COUNTIF(SIP[[#Headers],[Investor ID]]:SIP[[#This Row],[Investor ID]],SIP[[#This Row],[Investor ID]])</f>
        <v>32</v>
      </c>
      <c r="H1551" s="46" t="str">
        <f>CONCATENATE(SIP[[#This Row],[Frequency]],SIP[[#This Row],[Investor ID]])</f>
        <v>32A00442</v>
      </c>
      <c r="I1551" s="46" t="str">
        <f>IF(SIP[[#This Row],[B/S]]="B","BUY",(IF(SIP[[#This Row],[B/S]]="S","SELL"," ")))</f>
        <v>BUY</v>
      </c>
      <c r="J1551" s="150" t="s">
        <v>1229</v>
      </c>
      <c r="K1551" s="153">
        <v>1000</v>
      </c>
      <c r="L1551" s="122" t="s">
        <v>1230</v>
      </c>
      <c r="M1551" s="123">
        <f>SIP[[#This Row],[Amount]]/SIP[[#This Row],[Unit]]</f>
        <v>13.698630136986301</v>
      </c>
      <c r="N1551" s="71">
        <f>SIP[[#This Row],[Unit Capital]]/10</f>
        <v>73</v>
      </c>
      <c r="O1551" s="71">
        <f>SUMIFS(SIP[[#Headers],[Unit]]:SIP[[#This Row],[Unit]],SIP[[#Headers],[Investor ID]]:SIP[[#This Row],[Investor ID]],SIP[[#This Row],[Investor ID]])</f>
        <v>374</v>
      </c>
      <c r="P1551" s="153">
        <v>730</v>
      </c>
      <c r="Q1551" s="74">
        <f>SIP[[#This Row],[Amount]]-SIP[[#This Row],[Unit Capital]]</f>
        <v>270</v>
      </c>
      <c r="R15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13.368983957219251</v>
      </c>
      <c r="S1551" s="46">
        <f t="shared" ref="S1551:S1590" si="73">NAV_MKT</f>
        <v>14.224</v>
      </c>
      <c r="T15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1" s="74" cm="1">
        <f t="array" ref="U1551">IF(SIP[[#This Row],[B/S]]="S",ABS(SIP[[#This Row],[Unit]])*(INDEX(SIP[NAV at Cost (Average)],MATCH(CONCATENATE((SIP[[#This Row],[Frequency]]-1),SIP[[#This Row],[Investor ID]]),SIP[Unique Code],0),0)),0)</f>
        <v>0</v>
      </c>
      <c r="V1551" s="74">
        <f>IF(SIP[[#This Row],[BO TRANSFER]]="YES",SIP[[#This Row],[Unit]],)</f>
        <v>73</v>
      </c>
      <c r="W1551" s="74">
        <f>SUMIFS(SIP[[#Headers],[BO UNIT TRANSFER]]:SIP[[#This Row],[BO UNIT TRANSFER]],SIP[[#Headers],[Investor ID]]:SIP[[#This Row],[Investor ID]],SIP[[#This Row],[Investor ID]])</f>
        <v>374</v>
      </c>
    </row>
    <row r="1552" spans="1:23" ht="15" customHeight="1">
      <c r="A1552" s="101">
        <v>2025</v>
      </c>
      <c r="B1552" s="101">
        <v>11</v>
      </c>
      <c r="C1552" s="101">
        <v>26</v>
      </c>
      <c r="D1552" s="65">
        <f>DATE(SIP[[#This Row],[Year]],SIP[[#This Row],[Month]],SIP[[#This Row],[Day]])</f>
        <v>45987</v>
      </c>
      <c r="E1552" s="66" t="str" cm="1">
        <f t="array" ref="E1552">INDEX(INVESTORS_LIST[INVESTOR NAME],MATCH(SIP[[#This Row],[Investor ID]],INVESTORS_LIST[INVESTOR CODE],0),)</f>
        <v>MD. ARIFUL ISLAM</v>
      </c>
      <c r="F1552" s="46" t="s">
        <v>222</v>
      </c>
      <c r="G1552" s="46">
        <f>COUNTIF(SIP[[#Headers],[Investor ID]]:SIP[[#This Row],[Investor ID]],SIP[[#This Row],[Investor ID]])</f>
        <v>32</v>
      </c>
      <c r="H1552" s="46" t="str">
        <f>CONCATENATE(SIP[[#This Row],[Frequency]],SIP[[#This Row],[Investor ID]])</f>
        <v>32A00087</v>
      </c>
      <c r="I1552" s="46" t="str">
        <f>IF(SIP[[#This Row],[B/S]]="B","BUY",(IF(SIP[[#This Row],[B/S]]="S","SELL"," ")))</f>
        <v>BUY</v>
      </c>
      <c r="J1552" s="150" t="s">
        <v>1229</v>
      </c>
      <c r="K1552" s="153">
        <v>10000</v>
      </c>
      <c r="L1552" s="122"/>
      <c r="M1552" s="123">
        <f>SIP[[#This Row],[Amount]]/SIP[[#This Row],[Unit]]</f>
        <v>13.774104683195592</v>
      </c>
      <c r="N1552" s="71">
        <f>SIP[[#This Row],[Unit Capital]]/10</f>
        <v>726</v>
      </c>
      <c r="O1552" s="71">
        <f>SUMIFS(SIP[[#Headers],[Unit]]:SIP[[#This Row],[Unit]],SIP[[#Headers],[Investor ID]]:SIP[[#This Row],[Investor ID]],SIP[[#This Row],[Investor ID]])</f>
        <v>2958</v>
      </c>
      <c r="P1552" s="153">
        <v>7260</v>
      </c>
      <c r="Q1552" s="74">
        <f>SIP[[#This Row],[Amount]]-SIP[[#This Row],[Unit Capital]]</f>
        <v>2740</v>
      </c>
      <c r="R15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13.52265043948614</v>
      </c>
      <c r="S1552" s="46">
        <f t="shared" si="73"/>
        <v>14.224</v>
      </c>
      <c r="T15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2" s="74" cm="1">
        <f t="array" ref="U1552">IF(SIP[[#This Row],[B/S]]="S",ABS(SIP[[#This Row],[Unit]])*(INDEX(SIP[NAV at Cost (Average)],MATCH(CONCATENATE((SIP[[#This Row],[Frequency]]-1),SIP[[#This Row],[Investor ID]]),SIP[Unique Code],0),0)),0)</f>
        <v>0</v>
      </c>
      <c r="V1552" s="74">
        <f>IF(SIP[[#This Row],[BO TRANSFER]]="YES",SIP[[#This Row],[Unit]],)</f>
        <v>0</v>
      </c>
      <c r="W1552" s="74">
        <f>SUMIFS(SIP[[#Headers],[BO UNIT TRANSFER]]:SIP[[#This Row],[BO UNIT TRANSFER]],SIP[[#Headers],[Investor ID]]:SIP[[#This Row],[Investor ID]],SIP[[#This Row],[Investor ID]])</f>
        <v>0</v>
      </c>
    </row>
    <row r="1553" spans="1:23" ht="15" customHeight="1">
      <c r="A1553" s="101">
        <v>2025</v>
      </c>
      <c r="B1553" s="101">
        <v>11</v>
      </c>
      <c r="C1553" s="101">
        <v>26</v>
      </c>
      <c r="D1553" s="65">
        <f>DATE(SIP[[#This Row],[Year]],SIP[[#This Row],[Month]],SIP[[#This Row],[Day]])</f>
        <v>45987</v>
      </c>
      <c r="E1553" s="66" t="str" cm="1">
        <f t="array" ref="E1553">INDEX(INVESTORS_LIST[INVESTOR NAME],MATCH(SIP[[#This Row],[Investor ID]],INVESTORS_LIST[INVESTOR CODE],0),)</f>
        <v>NUSRAT JAHAN TISHA</v>
      </c>
      <c r="F1553" s="46" t="s">
        <v>926</v>
      </c>
      <c r="G1553" s="46">
        <f>COUNTIF(SIP[[#Headers],[Investor ID]]:SIP[[#This Row],[Investor ID]],SIP[[#This Row],[Investor ID]])</f>
        <v>20</v>
      </c>
      <c r="H1553" s="46" t="str">
        <f>CONCATENATE(SIP[[#This Row],[Frequency]],SIP[[#This Row],[Investor ID]])</f>
        <v>20A00440</v>
      </c>
      <c r="I1553" s="46" t="str">
        <f>IF(SIP[[#This Row],[B/S]]="B","BUY",(IF(SIP[[#This Row],[B/S]]="S","SELL"," ")))</f>
        <v>BUY</v>
      </c>
      <c r="J1553" s="150" t="s">
        <v>1229</v>
      </c>
      <c r="K1553" s="153">
        <v>5000</v>
      </c>
      <c r="L1553" s="122"/>
      <c r="M1553" s="123">
        <f>SIP[[#This Row],[Amount]]/SIP[[#This Row],[Unit]]</f>
        <v>13.774104683195592</v>
      </c>
      <c r="N1553" s="71">
        <f>SIP[[#This Row],[Unit Capital]]/10</f>
        <v>363</v>
      </c>
      <c r="O1553" s="71">
        <f>SUMIFS(SIP[[#Headers],[Unit]]:SIP[[#This Row],[Unit]],SIP[[#Headers],[Investor ID]]:SIP[[#This Row],[Investor ID]],SIP[[#This Row],[Investor ID]])</f>
        <v>1899</v>
      </c>
      <c r="P1553" s="153">
        <v>3630</v>
      </c>
      <c r="Q1553" s="74">
        <f>SIP[[#This Row],[Amount]]-SIP[[#This Row],[Unit Capital]]</f>
        <v>1370</v>
      </c>
      <c r="R15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13.164823591363877</v>
      </c>
      <c r="S1553" s="46">
        <f t="shared" si="73"/>
        <v>14.224</v>
      </c>
      <c r="T15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3" s="74" cm="1">
        <f t="array" ref="U1553">IF(SIP[[#This Row],[B/S]]="S",ABS(SIP[[#This Row],[Unit]])*(INDEX(SIP[NAV at Cost (Average)],MATCH(CONCATENATE((SIP[[#This Row],[Frequency]]-1),SIP[[#This Row],[Investor ID]]),SIP[Unique Code],0),0)),0)</f>
        <v>0</v>
      </c>
      <c r="V1553" s="74">
        <f>IF(SIP[[#This Row],[BO TRANSFER]]="YES",SIP[[#This Row],[Unit]],)</f>
        <v>0</v>
      </c>
      <c r="W1553" s="74">
        <f>SUMIFS(SIP[[#Headers],[BO UNIT TRANSFER]]:SIP[[#This Row],[BO UNIT TRANSFER]],SIP[[#Headers],[Investor ID]]:SIP[[#This Row],[Investor ID]],SIP[[#This Row],[Investor ID]])</f>
        <v>0</v>
      </c>
    </row>
    <row r="1554" spans="1:23" ht="15" customHeight="1">
      <c r="A1554" s="101">
        <v>2025</v>
      </c>
      <c r="B1554" s="101">
        <v>11</v>
      </c>
      <c r="C1554" s="101">
        <v>26</v>
      </c>
      <c r="D1554" s="65">
        <f>DATE(SIP[[#This Row],[Year]],SIP[[#This Row],[Month]],SIP[[#This Row],[Day]])</f>
        <v>45987</v>
      </c>
      <c r="E1554" s="66" t="str" cm="1">
        <f t="array" ref="E1554">INDEX(INVESTORS_LIST[INVESTOR NAME],MATCH(SIP[[#This Row],[Investor ID]],INVESTORS_LIST[INVESTOR CODE],0),)</f>
        <v>SRIJON GHOSH</v>
      </c>
      <c r="F1554" s="46" t="s">
        <v>894</v>
      </c>
      <c r="G1554" s="46">
        <f>COUNTIF(SIP[[#Headers],[Investor ID]]:SIP[[#This Row],[Investor ID]],SIP[[#This Row],[Investor ID]])</f>
        <v>36</v>
      </c>
      <c r="H1554" s="46" t="str">
        <f>CONCATENATE(SIP[[#This Row],[Frequency]],SIP[[#This Row],[Investor ID]])</f>
        <v>36A00424</v>
      </c>
      <c r="I1554" s="46" t="str">
        <f>IF(SIP[[#This Row],[B/S]]="B","BUY",(IF(SIP[[#This Row],[B/S]]="S","SELL"," ")))</f>
        <v>BUY</v>
      </c>
      <c r="J1554" s="150" t="s">
        <v>1229</v>
      </c>
      <c r="K1554" s="153">
        <v>10000</v>
      </c>
      <c r="L1554" s="122"/>
      <c r="M1554" s="123">
        <f>SIP[[#This Row],[Amount]]/SIP[[#This Row],[Unit]]</f>
        <v>13.774104683195592</v>
      </c>
      <c r="N1554" s="71">
        <f>SIP[[#This Row],[Unit Capital]]/10</f>
        <v>726</v>
      </c>
      <c r="O1554" s="71">
        <f>SUMIFS(SIP[[#Headers],[Unit]]:SIP[[#This Row],[Unit]],SIP[[#Headers],[Investor ID]]:SIP[[#This Row],[Investor ID]],SIP[[#This Row],[Investor ID]])</f>
        <v>726</v>
      </c>
      <c r="P1554" s="153">
        <v>7260</v>
      </c>
      <c r="Q1554" s="74">
        <f>SIP[[#This Row],[Amount]]-SIP[[#This Row],[Unit Capital]]</f>
        <v>2740</v>
      </c>
      <c r="R15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554" s="46">
        <f t="shared" si="73"/>
        <v>14.224</v>
      </c>
      <c r="T15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4" s="74" cm="1">
        <f t="array" ref="U1554">IF(SIP[[#This Row],[B/S]]="S",ABS(SIP[[#This Row],[Unit]])*(INDEX(SIP[NAV at Cost (Average)],MATCH(CONCATENATE((SIP[[#This Row],[Frequency]]-1),SIP[[#This Row],[Investor ID]]),SIP[Unique Code],0),0)),0)</f>
        <v>0</v>
      </c>
      <c r="V1554" s="74">
        <f>IF(SIP[[#This Row],[BO TRANSFER]]="YES",SIP[[#This Row],[Unit]],)</f>
        <v>0</v>
      </c>
      <c r="W1554" s="74">
        <f>SUMIFS(SIP[[#Headers],[BO UNIT TRANSFER]]:SIP[[#This Row],[BO UNIT TRANSFER]],SIP[[#Headers],[Investor ID]]:SIP[[#This Row],[Investor ID]],SIP[[#This Row],[Investor ID]])</f>
        <v>0</v>
      </c>
    </row>
    <row r="1555" spans="1:23" ht="15" customHeight="1">
      <c r="A1555" s="101">
        <v>2025</v>
      </c>
      <c r="B1555" s="101">
        <v>11</v>
      </c>
      <c r="C1555" s="101">
        <v>26</v>
      </c>
      <c r="D1555" s="65">
        <f>DATE(SIP[[#This Row],[Year]],SIP[[#This Row],[Month]],SIP[[#This Row],[Day]])</f>
        <v>45987</v>
      </c>
      <c r="E1555" s="66" t="str" cm="1">
        <f t="array" ref="E1555">INDEX(INVESTORS_LIST[INVESTOR NAME],MATCH(SIP[[#This Row],[Investor ID]],INVESTORS_LIST[INVESTOR CODE],0),)</f>
        <v>MOHAMMAD HASAN IMAM</v>
      </c>
      <c r="F1555" s="46" t="s">
        <v>1122</v>
      </c>
      <c r="G1555" s="46">
        <f>COUNTIF(SIP[[#Headers],[Investor ID]]:SIP[[#This Row],[Investor ID]],SIP[[#This Row],[Investor ID]])</f>
        <v>20</v>
      </c>
      <c r="H1555" s="46" t="str">
        <f>CONCATENATE(SIP[[#This Row],[Frequency]],SIP[[#This Row],[Investor ID]])</f>
        <v>20A00536</v>
      </c>
      <c r="I1555" s="46" t="str">
        <f>IF(SIP[[#This Row],[B/S]]="B","BUY",(IF(SIP[[#This Row],[B/S]]="S","SELL"," ")))</f>
        <v>BUY</v>
      </c>
      <c r="J1555" s="150" t="s">
        <v>1229</v>
      </c>
      <c r="K1555" s="153">
        <v>5000</v>
      </c>
      <c r="L1555" s="122"/>
      <c r="M1555" s="123">
        <f>SIP[[#This Row],[Amount]]/SIP[[#This Row],[Unit]]</f>
        <v>13.774104683195592</v>
      </c>
      <c r="N1555" s="71">
        <f>SIP[[#This Row],[Unit Capital]]/10</f>
        <v>363</v>
      </c>
      <c r="O1555" s="71">
        <f>SUMIFS(SIP[[#Headers],[Unit]]:SIP[[#This Row],[Unit]],SIP[[#Headers],[Investor ID]]:SIP[[#This Row],[Investor ID]],SIP[[#This Row],[Investor ID]])</f>
        <v>8250</v>
      </c>
      <c r="P1555" s="153">
        <v>3630</v>
      </c>
      <c r="Q1555" s="74">
        <f>SIP[[#This Row],[Amount]]-SIP[[#This Row],[Unit Capital]]</f>
        <v>1370</v>
      </c>
      <c r="R15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12.121212121212119</v>
      </c>
      <c r="S1555" s="46">
        <f t="shared" si="73"/>
        <v>14.224</v>
      </c>
      <c r="T15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5" s="74" cm="1">
        <f t="array" ref="U1555">IF(SIP[[#This Row],[B/S]]="S",ABS(SIP[[#This Row],[Unit]])*(INDEX(SIP[NAV at Cost (Average)],MATCH(CONCATENATE((SIP[[#This Row],[Frequency]]-1),SIP[[#This Row],[Investor ID]]),SIP[Unique Code],0),0)),0)</f>
        <v>0</v>
      </c>
      <c r="V1555" s="74">
        <f>IF(SIP[[#This Row],[BO TRANSFER]]="YES",SIP[[#This Row],[Unit]],)</f>
        <v>0</v>
      </c>
      <c r="W1555" s="74">
        <f>SUMIFS(SIP[[#Headers],[BO UNIT TRANSFER]]:SIP[[#This Row],[BO UNIT TRANSFER]],SIP[[#Headers],[Investor ID]]:SIP[[#This Row],[Investor ID]],SIP[[#This Row],[Investor ID]])</f>
        <v>0</v>
      </c>
    </row>
    <row r="1556" spans="1:23" ht="15" customHeight="1">
      <c r="A1556" s="101">
        <v>2025</v>
      </c>
      <c r="B1556" s="101">
        <v>11</v>
      </c>
      <c r="C1556" s="101">
        <v>26</v>
      </c>
      <c r="D1556" s="65">
        <f>DATE(SIP[[#This Row],[Year]],SIP[[#This Row],[Month]],SIP[[#This Row],[Day]])</f>
        <v>45987</v>
      </c>
      <c r="E1556" s="66" t="str" cm="1">
        <f t="array" ref="E1556">INDEX(INVESTORS_LIST[INVESTOR NAME],MATCH(SIP[[#This Row],[Investor ID]],INVESTORS_LIST[INVESTOR CODE],0),)</f>
        <v>SADIA PARVIN</v>
      </c>
      <c r="F1556" s="46" t="s">
        <v>1018</v>
      </c>
      <c r="G1556" s="46">
        <f>COUNTIF(SIP[[#Headers],[Investor ID]]:SIP[[#This Row],[Investor ID]],SIP[[#This Row],[Investor ID]])</f>
        <v>48</v>
      </c>
      <c r="H1556" s="46" t="str">
        <f>CONCATENATE(SIP[[#This Row],[Frequency]],SIP[[#This Row],[Investor ID]])</f>
        <v>48A00486</v>
      </c>
      <c r="I1556" s="46" t="str">
        <f>IF(SIP[[#This Row],[B/S]]="B","BUY",(IF(SIP[[#This Row],[B/S]]="S","SELL"," ")))</f>
        <v>BUY</v>
      </c>
      <c r="J1556" s="150" t="s">
        <v>1229</v>
      </c>
      <c r="K1556" s="153">
        <v>5000</v>
      </c>
      <c r="L1556" s="122"/>
      <c r="M1556" s="123">
        <f>SIP[[#This Row],[Amount]]/SIP[[#This Row],[Unit]]</f>
        <v>13.774104683195592</v>
      </c>
      <c r="N1556" s="71">
        <f>SIP[[#This Row],[Unit Capital]]/10</f>
        <v>363</v>
      </c>
      <c r="O1556" s="71">
        <f>SUMIFS(SIP[[#Headers],[Unit]]:SIP[[#This Row],[Unit]],SIP[[#Headers],[Investor ID]]:SIP[[#This Row],[Investor ID]],SIP[[#This Row],[Investor ID]])</f>
        <v>20447</v>
      </c>
      <c r="P1556" s="153">
        <v>3630</v>
      </c>
      <c r="Q1556" s="74">
        <f>SIP[[#This Row],[Amount]]-SIP[[#This Row],[Unit Capital]]</f>
        <v>1370</v>
      </c>
      <c r="R15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11.737663226879249</v>
      </c>
      <c r="S1556" s="46">
        <f t="shared" si="73"/>
        <v>14.224</v>
      </c>
      <c r="T15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6" s="74" cm="1">
        <f t="array" ref="U1556">IF(SIP[[#This Row],[B/S]]="S",ABS(SIP[[#This Row],[Unit]])*(INDEX(SIP[NAV at Cost (Average)],MATCH(CONCATENATE((SIP[[#This Row],[Frequency]]-1),SIP[[#This Row],[Investor ID]]),SIP[Unique Code],0),0)),0)</f>
        <v>0</v>
      </c>
      <c r="V1556" s="74">
        <f>IF(SIP[[#This Row],[BO TRANSFER]]="YES",SIP[[#This Row],[Unit]],)</f>
        <v>0</v>
      </c>
      <c r="W1556" s="74">
        <f>SUMIFS(SIP[[#Headers],[BO UNIT TRANSFER]]:SIP[[#This Row],[BO UNIT TRANSFER]],SIP[[#Headers],[Investor ID]]:SIP[[#This Row],[Investor ID]],SIP[[#This Row],[Investor ID]])</f>
        <v>0</v>
      </c>
    </row>
    <row r="1557" spans="1:23" ht="15" customHeight="1">
      <c r="A1557" s="101">
        <v>2025</v>
      </c>
      <c r="B1557" s="101">
        <v>11</v>
      </c>
      <c r="C1557" s="101">
        <v>26</v>
      </c>
      <c r="D1557" s="65">
        <f>DATE(SIP[[#This Row],[Year]],SIP[[#This Row],[Month]],SIP[[#This Row],[Day]])</f>
        <v>45987</v>
      </c>
      <c r="E1557" s="66" t="str" cm="1">
        <f t="array" ref="E1557">INDEX(INVESTORS_LIST[INVESTOR NAME],MATCH(SIP[[#This Row],[Investor ID]],INVESTORS_LIST[INVESTOR CODE],0),)</f>
        <v>MAHBUB-UL-ANAM KHAN</v>
      </c>
      <c r="F1557" s="46" t="s">
        <v>626</v>
      </c>
      <c r="G1557" s="46">
        <f>COUNTIF(SIP[[#Headers],[Investor ID]]:SIP[[#This Row],[Investor ID]],SIP[[#This Row],[Investor ID]])</f>
        <v>16</v>
      </c>
      <c r="H1557" s="46" t="str">
        <f>CONCATENATE(SIP[[#This Row],[Frequency]],SIP[[#This Row],[Investor ID]])</f>
        <v>16A00289</v>
      </c>
      <c r="I1557" s="46" t="str">
        <f>IF(SIP[[#This Row],[B/S]]="B","BUY",(IF(SIP[[#This Row],[B/S]]="S","SELL"," ")))</f>
        <v>BUY</v>
      </c>
      <c r="J1557" s="150" t="s">
        <v>1229</v>
      </c>
      <c r="K1557" s="153">
        <v>5000</v>
      </c>
      <c r="L1557" s="122"/>
      <c r="M1557" s="123">
        <f>SIP[[#This Row],[Amount]]/SIP[[#This Row],[Unit]]</f>
        <v>13.774104683195592</v>
      </c>
      <c r="N1557" s="71">
        <f>SIP[[#This Row],[Unit Capital]]/10</f>
        <v>363</v>
      </c>
      <c r="O1557" s="71">
        <f>SUMIFS(SIP[[#Headers],[Unit]]:SIP[[#This Row],[Unit]],SIP[[#Headers],[Investor ID]]:SIP[[#This Row],[Investor ID]],SIP[[#This Row],[Investor ID]])</f>
        <v>6450</v>
      </c>
      <c r="P1557" s="153">
        <v>3630</v>
      </c>
      <c r="Q1557" s="74">
        <f>SIP[[#This Row],[Amount]]-SIP[[#This Row],[Unit Capital]]</f>
        <v>1370</v>
      </c>
      <c r="R15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12.403100775193797</v>
      </c>
      <c r="S1557" s="46">
        <f t="shared" si="73"/>
        <v>14.224</v>
      </c>
      <c r="T15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7" s="74" cm="1">
        <f t="array" ref="U1557">IF(SIP[[#This Row],[B/S]]="S",ABS(SIP[[#This Row],[Unit]])*(INDEX(SIP[NAV at Cost (Average)],MATCH(CONCATENATE((SIP[[#This Row],[Frequency]]-1),SIP[[#This Row],[Investor ID]]),SIP[Unique Code],0),0)),0)</f>
        <v>0</v>
      </c>
      <c r="V1557" s="74">
        <f>IF(SIP[[#This Row],[BO TRANSFER]]="YES",SIP[[#This Row],[Unit]],)</f>
        <v>0</v>
      </c>
      <c r="W1557" s="74">
        <f>SUMIFS(SIP[[#Headers],[BO UNIT TRANSFER]]:SIP[[#This Row],[BO UNIT TRANSFER]],SIP[[#Headers],[Investor ID]]:SIP[[#This Row],[Investor ID]],SIP[[#This Row],[Investor ID]])</f>
        <v>0</v>
      </c>
    </row>
    <row r="1558" spans="1:23" ht="15" customHeight="1">
      <c r="A1558" s="101">
        <v>2025</v>
      </c>
      <c r="B1558" s="101">
        <v>11</v>
      </c>
      <c r="C1558" s="101">
        <v>26</v>
      </c>
      <c r="D1558" s="65">
        <f>DATE(SIP[[#This Row],[Year]],SIP[[#This Row],[Month]],SIP[[#This Row],[Day]])</f>
        <v>45987</v>
      </c>
      <c r="E1558" s="66" t="str" cm="1">
        <f t="array" ref="E1558">INDEX(INVESTORS_LIST[INVESTOR NAME],MATCH(SIP[[#This Row],[Investor ID]],INVESTORS_LIST[INVESTOR CODE],0),)</f>
        <v>SYED ADNAN HUDA</v>
      </c>
      <c r="F1558" s="46" t="s">
        <v>236</v>
      </c>
      <c r="G1558" s="46">
        <f>COUNTIF(SIP[[#Headers],[Investor ID]]:SIP[[#This Row],[Investor ID]],SIP[[#This Row],[Investor ID]])</f>
        <v>18</v>
      </c>
      <c r="H1558" s="46" t="str">
        <f>CONCATENATE(SIP[[#This Row],[Frequency]],SIP[[#This Row],[Investor ID]])</f>
        <v>18A00094</v>
      </c>
      <c r="I1558" s="46" t="str">
        <f>IF(SIP[[#This Row],[B/S]]="B","BUY",(IF(SIP[[#This Row],[B/S]]="S","SELL"," ")))</f>
        <v>BUY</v>
      </c>
      <c r="J1558" s="150" t="s">
        <v>1229</v>
      </c>
      <c r="K1558" s="153">
        <v>50000</v>
      </c>
      <c r="L1558" s="122"/>
      <c r="M1558" s="123">
        <f>SIP[[#This Row],[Amount]]/SIP[[#This Row],[Unit]]</f>
        <v>13.777900248002204</v>
      </c>
      <c r="N1558" s="71">
        <f>SIP[[#This Row],[Unit Capital]]/10</f>
        <v>3629</v>
      </c>
      <c r="O1558" s="71">
        <f>SUMIFS(SIP[[#Headers],[Unit]]:SIP[[#This Row],[Unit]],SIP[[#Headers],[Investor ID]]:SIP[[#This Row],[Investor ID]],SIP[[#This Row],[Investor ID]])</f>
        <v>10992</v>
      </c>
      <c r="P1558" s="153">
        <v>36290</v>
      </c>
      <c r="Q1558" s="74">
        <f>SIP[[#This Row],[Amount]]-SIP[[#This Row],[Unit Capital]]</f>
        <v>13710</v>
      </c>
      <c r="R15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13.646288209606988</v>
      </c>
      <c r="S1558" s="46">
        <f t="shared" si="73"/>
        <v>14.224</v>
      </c>
      <c r="T15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8" s="74" cm="1">
        <f t="array" ref="U1558">IF(SIP[[#This Row],[B/S]]="S",ABS(SIP[[#This Row],[Unit]])*(INDEX(SIP[NAV at Cost (Average)],MATCH(CONCATENATE((SIP[[#This Row],[Frequency]]-1),SIP[[#This Row],[Investor ID]]),SIP[Unique Code],0),0)),0)</f>
        <v>0</v>
      </c>
      <c r="V1558" s="74">
        <f>IF(SIP[[#This Row],[BO TRANSFER]]="YES",SIP[[#This Row],[Unit]],)</f>
        <v>0</v>
      </c>
      <c r="W1558" s="74">
        <f>SUMIFS(SIP[[#Headers],[BO UNIT TRANSFER]]:SIP[[#This Row],[BO UNIT TRANSFER]],SIP[[#Headers],[Investor ID]]:SIP[[#This Row],[Investor ID]],SIP[[#This Row],[Investor ID]])</f>
        <v>0</v>
      </c>
    </row>
    <row r="1559" spans="1:23" ht="15" customHeight="1">
      <c r="A1559" s="101">
        <v>2025</v>
      </c>
      <c r="B1559" s="101">
        <v>11</v>
      </c>
      <c r="C1559" s="101">
        <v>26</v>
      </c>
      <c r="D1559" s="65">
        <f>DATE(SIP[[#This Row],[Year]],SIP[[#This Row],[Month]],SIP[[#This Row],[Day]])</f>
        <v>45987</v>
      </c>
      <c r="E1559" s="66" t="str" cm="1">
        <f t="array" ref="E1559">INDEX(INVESTORS_LIST[INVESTOR NAME],MATCH(SIP[[#This Row],[Investor ID]],INVESTORS_LIST[INVESTOR CODE],0),)</f>
        <v>HUMAIRA TABASSUM READDHE</v>
      </c>
      <c r="F1559" s="46" t="s">
        <v>1052</v>
      </c>
      <c r="G1559" s="46">
        <f>COUNTIF(SIP[[#Headers],[Investor ID]]:SIP[[#This Row],[Investor ID]],SIP[[#This Row],[Investor ID]])</f>
        <v>16</v>
      </c>
      <c r="H1559" s="46" t="str">
        <f>CONCATENATE(SIP[[#This Row],[Frequency]],SIP[[#This Row],[Investor ID]])</f>
        <v>16A00503</v>
      </c>
      <c r="I1559" s="46" t="str">
        <f>IF(SIP[[#This Row],[B/S]]="B","BUY",(IF(SIP[[#This Row],[B/S]]="S","SELL"," ")))</f>
        <v>BUY</v>
      </c>
      <c r="J1559" s="150" t="s">
        <v>1229</v>
      </c>
      <c r="K1559" s="153">
        <v>3000</v>
      </c>
      <c r="L1559" s="122"/>
      <c r="M1559" s="123">
        <f>SIP[[#This Row],[Amount]]/SIP[[#This Row],[Unit]]</f>
        <v>13.761467889908257</v>
      </c>
      <c r="N1559" s="71">
        <f>SIP[[#This Row],[Unit Capital]]/10</f>
        <v>218</v>
      </c>
      <c r="O1559" s="71">
        <f>SUMIFS(SIP[[#Headers],[Unit]]:SIP[[#This Row],[Unit]],SIP[[#Headers],[Investor ID]]:SIP[[#This Row],[Investor ID]],SIP[[#This Row],[Investor ID]])</f>
        <v>3871</v>
      </c>
      <c r="P1559" s="153">
        <v>2180</v>
      </c>
      <c r="Q1559" s="74">
        <f>SIP[[#This Row],[Amount]]-SIP[[#This Row],[Unit Capital]]</f>
        <v>820</v>
      </c>
      <c r="R15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12.39989666752777</v>
      </c>
      <c r="S1559" s="46">
        <f t="shared" si="73"/>
        <v>14.224</v>
      </c>
      <c r="T15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9" s="74" cm="1">
        <f t="array" ref="U1559">IF(SIP[[#This Row],[B/S]]="S",ABS(SIP[[#This Row],[Unit]])*(INDEX(SIP[NAV at Cost (Average)],MATCH(CONCATENATE((SIP[[#This Row],[Frequency]]-1),SIP[[#This Row],[Investor ID]]),SIP[Unique Code],0),0)),0)</f>
        <v>0</v>
      </c>
      <c r="V1559" s="74">
        <f>IF(SIP[[#This Row],[BO TRANSFER]]="YES",SIP[[#This Row],[Unit]],)</f>
        <v>0</v>
      </c>
      <c r="W1559" s="74">
        <f>SUMIFS(SIP[[#Headers],[BO UNIT TRANSFER]]:SIP[[#This Row],[BO UNIT TRANSFER]],SIP[[#Headers],[Investor ID]]:SIP[[#This Row],[Investor ID]],SIP[[#This Row],[Investor ID]])</f>
        <v>0</v>
      </c>
    </row>
    <row r="1560" spans="1:23" ht="15" customHeight="1">
      <c r="A1560" s="101">
        <v>2025</v>
      </c>
      <c r="B1560" s="101">
        <v>11</v>
      </c>
      <c r="C1560" s="101">
        <v>26</v>
      </c>
      <c r="D1560" s="65">
        <f>DATE(SIP[[#This Row],[Year]],SIP[[#This Row],[Month]],SIP[[#This Row],[Day]])</f>
        <v>45987</v>
      </c>
      <c r="E1560" s="66" t="str" cm="1">
        <f t="array" ref="E1560">INDEX(INVESTORS_LIST[INVESTOR NAME],MATCH(SIP[[#This Row],[Investor ID]],INVESTORS_LIST[INVESTOR CODE],0),)</f>
        <v>MD MIZANUR RAHMAN</v>
      </c>
      <c r="F1560" s="46" t="s">
        <v>336</v>
      </c>
      <c r="G1560" s="46">
        <f>COUNTIF(SIP[[#Headers],[Investor ID]]:SIP[[#This Row],[Investor ID]],SIP[[#This Row],[Investor ID]])</f>
        <v>4</v>
      </c>
      <c r="H1560" s="46" t="str">
        <f>CONCATENATE(SIP[[#This Row],[Frequency]],SIP[[#This Row],[Investor ID]])</f>
        <v>4A00144</v>
      </c>
      <c r="I1560" s="46" t="str">
        <f>IF(SIP[[#This Row],[B/S]]="B","BUY",(IF(SIP[[#This Row],[B/S]]="S","SELL"," ")))</f>
        <v>BUY</v>
      </c>
      <c r="J1560" s="150" t="s">
        <v>1229</v>
      </c>
      <c r="K1560" s="153">
        <v>5000</v>
      </c>
      <c r="L1560" s="122"/>
      <c r="M1560" s="123">
        <f>SIP[[#This Row],[Amount]]/SIP[[#This Row],[Unit]]</f>
        <v>13.774104683195592</v>
      </c>
      <c r="N1560" s="71">
        <f>SIP[[#This Row],[Unit Capital]]/10</f>
        <v>363</v>
      </c>
      <c r="O1560" s="71">
        <f>SUMIFS(SIP[[#Headers],[Unit]]:SIP[[#This Row],[Unit]],SIP[[#Headers],[Investor ID]]:SIP[[#This Row],[Investor ID]],SIP[[#This Row],[Investor ID]])</f>
        <v>1479</v>
      </c>
      <c r="P1560" s="153">
        <v>3630</v>
      </c>
      <c r="Q1560" s="74">
        <f>SIP[[#This Row],[Amount]]-SIP[[#This Row],[Unit Capital]]</f>
        <v>1370</v>
      </c>
      <c r="R15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13.52265043948614</v>
      </c>
      <c r="S1560" s="46">
        <f t="shared" si="73"/>
        <v>14.224</v>
      </c>
      <c r="T15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0" s="74" cm="1">
        <f t="array" ref="U1560">IF(SIP[[#This Row],[B/S]]="S",ABS(SIP[[#This Row],[Unit]])*(INDEX(SIP[NAV at Cost (Average)],MATCH(CONCATENATE((SIP[[#This Row],[Frequency]]-1),SIP[[#This Row],[Investor ID]]),SIP[Unique Code],0),0)),0)</f>
        <v>0</v>
      </c>
      <c r="V1560" s="74">
        <f>IF(SIP[[#This Row],[BO TRANSFER]]="YES",SIP[[#This Row],[Unit]],)</f>
        <v>0</v>
      </c>
      <c r="W1560" s="74">
        <f>SUMIFS(SIP[[#Headers],[BO UNIT TRANSFER]]:SIP[[#This Row],[BO UNIT TRANSFER]],SIP[[#Headers],[Investor ID]]:SIP[[#This Row],[Investor ID]],SIP[[#This Row],[Investor ID]])</f>
        <v>0</v>
      </c>
    </row>
    <row r="1561" spans="1:23" ht="15" customHeight="1">
      <c r="A1561" s="101">
        <v>2025</v>
      </c>
      <c r="B1561" s="101">
        <v>11</v>
      </c>
      <c r="C1561" s="101">
        <v>26</v>
      </c>
      <c r="D1561" s="65">
        <f>DATE(SIP[[#This Row],[Year]],SIP[[#This Row],[Month]],SIP[[#This Row],[Day]])</f>
        <v>45987</v>
      </c>
      <c r="E1561" s="66" t="str" cm="1">
        <f t="array" ref="E1561">INDEX(INVESTORS_LIST[INVESTOR NAME],MATCH(SIP[[#This Row],[Investor ID]],INVESTORS_LIST[INVESTOR CODE],0),)</f>
        <v>SHAPNA RANI BARMAN</v>
      </c>
      <c r="F1561" s="46" t="s">
        <v>1292</v>
      </c>
      <c r="G1561" s="46">
        <f>COUNTIF(SIP[[#Headers],[Investor ID]]:SIP[[#This Row],[Investor ID]],SIP[[#This Row],[Investor ID]])</f>
        <v>13</v>
      </c>
      <c r="H1561" s="46" t="str">
        <f>CONCATENATE(SIP[[#This Row],[Frequency]],SIP[[#This Row],[Investor ID]])</f>
        <v>13A00593</v>
      </c>
      <c r="I1561" s="46" t="str">
        <f>IF(SIP[[#This Row],[B/S]]="B","BUY",(IF(SIP[[#This Row],[B/S]]="S","SELL"," ")))</f>
        <v>BUY</v>
      </c>
      <c r="J1561" s="150" t="s">
        <v>1229</v>
      </c>
      <c r="K1561" s="153">
        <v>1000</v>
      </c>
      <c r="L1561" s="122"/>
      <c r="M1561" s="123">
        <f>SIP[[#This Row],[Amount]]/SIP[[#This Row],[Unit]]</f>
        <v>13.698630136986301</v>
      </c>
      <c r="N1561" s="71">
        <f>SIP[[#This Row],[Unit Capital]]/10</f>
        <v>73</v>
      </c>
      <c r="O1561" s="71">
        <f>SUMIFS(SIP[[#Headers],[Unit]]:SIP[[#This Row],[Unit]],SIP[[#Headers],[Investor ID]]:SIP[[#This Row],[Investor ID]],SIP[[#This Row],[Investor ID]])</f>
        <v>1030</v>
      </c>
      <c r="P1561" s="153">
        <v>730</v>
      </c>
      <c r="Q1561" s="74">
        <f>SIP[[#This Row],[Amount]]-SIP[[#This Row],[Unit Capital]]</f>
        <v>270</v>
      </c>
      <c r="R15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12.621359223300971</v>
      </c>
      <c r="S1561" s="46">
        <f t="shared" si="73"/>
        <v>14.224</v>
      </c>
      <c r="T15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1" s="74" cm="1">
        <f t="array" ref="U1561">IF(SIP[[#This Row],[B/S]]="S",ABS(SIP[[#This Row],[Unit]])*(INDEX(SIP[NAV at Cost (Average)],MATCH(CONCATENATE((SIP[[#This Row],[Frequency]]-1),SIP[[#This Row],[Investor ID]]),SIP[Unique Code],0),0)),0)</f>
        <v>0</v>
      </c>
      <c r="V1561" s="74">
        <f>IF(SIP[[#This Row],[BO TRANSFER]]="YES",SIP[[#This Row],[Unit]],)</f>
        <v>0</v>
      </c>
      <c r="W1561" s="74">
        <f>SUMIFS(SIP[[#Headers],[BO UNIT TRANSFER]]:SIP[[#This Row],[BO UNIT TRANSFER]],SIP[[#Headers],[Investor ID]]:SIP[[#This Row],[Investor ID]],SIP[[#This Row],[Investor ID]])</f>
        <v>0</v>
      </c>
    </row>
    <row r="1562" spans="1:23" ht="15" customHeight="1">
      <c r="A1562" s="101">
        <v>2025</v>
      </c>
      <c r="B1562" s="101">
        <v>11</v>
      </c>
      <c r="C1562" s="101">
        <v>26</v>
      </c>
      <c r="D1562" s="65">
        <f>DATE(SIP[[#This Row],[Year]],SIP[[#This Row],[Month]],SIP[[#This Row],[Day]])</f>
        <v>45987</v>
      </c>
      <c r="E1562" s="66" t="str" cm="1">
        <f t="array" ref="E1562">INDEX(INVESTORS_LIST[INVESTOR NAME],MATCH(SIP[[#This Row],[Investor ID]],INVESTORS_LIST[INVESTOR CODE],0),)</f>
        <v>MAYA RANI SAHA</v>
      </c>
      <c r="F1562" s="46" t="s">
        <v>224</v>
      </c>
      <c r="G1562" s="46">
        <f>COUNTIF(SIP[[#Headers],[Investor ID]]:SIP[[#This Row],[Investor ID]],SIP[[#This Row],[Investor ID]])</f>
        <v>73</v>
      </c>
      <c r="H1562" s="46" t="str">
        <f>CONCATENATE(SIP[[#This Row],[Frequency]],SIP[[#This Row],[Investor ID]])</f>
        <v>73A00088</v>
      </c>
      <c r="I1562" s="46" t="str">
        <f>IF(SIP[[#This Row],[B/S]]="B","BUY",(IF(SIP[[#This Row],[B/S]]="S","SELL"," ")))</f>
        <v>BUY</v>
      </c>
      <c r="J1562" s="150" t="s">
        <v>1229</v>
      </c>
      <c r="K1562" s="153">
        <v>6000</v>
      </c>
      <c r="L1562" s="122"/>
      <c r="M1562" s="123">
        <f>SIP[[#This Row],[Amount]]/SIP[[#This Row],[Unit]]</f>
        <v>13.793103448275861</v>
      </c>
      <c r="N1562" s="71">
        <f>SIP[[#This Row],[Unit Capital]]/10</f>
        <v>435</v>
      </c>
      <c r="O1562" s="71">
        <f>SUMIFS(SIP[[#Headers],[Unit]]:SIP[[#This Row],[Unit]],SIP[[#Headers],[Investor ID]]:SIP[[#This Row],[Investor ID]],SIP[[#This Row],[Investor ID]])</f>
        <v>84212</v>
      </c>
      <c r="P1562" s="153">
        <v>4350</v>
      </c>
      <c r="Q1562" s="74">
        <f>SIP[[#This Row],[Amount]]-SIP[[#This Row],[Unit Capital]]</f>
        <v>1650</v>
      </c>
      <c r="R15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11.898541775518929</v>
      </c>
      <c r="S1562" s="46">
        <f t="shared" si="73"/>
        <v>14.224</v>
      </c>
      <c r="T15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2" s="74" cm="1">
        <f t="array" ref="U1562">IF(SIP[[#This Row],[B/S]]="S",ABS(SIP[[#This Row],[Unit]])*(INDEX(SIP[NAV at Cost (Average)],MATCH(CONCATENATE((SIP[[#This Row],[Frequency]]-1),SIP[[#This Row],[Investor ID]]),SIP[Unique Code],0),0)),0)</f>
        <v>0</v>
      </c>
      <c r="V1562" s="74">
        <f>IF(SIP[[#This Row],[BO TRANSFER]]="YES",SIP[[#This Row],[Unit]],)</f>
        <v>0</v>
      </c>
      <c r="W1562" s="74">
        <f>SUMIFS(SIP[[#Headers],[BO UNIT TRANSFER]]:SIP[[#This Row],[BO UNIT TRANSFER]],SIP[[#Headers],[Investor ID]]:SIP[[#This Row],[Investor ID]],SIP[[#This Row],[Investor ID]])</f>
        <v>0</v>
      </c>
    </row>
    <row r="1563" spans="1:23" ht="15" customHeight="1">
      <c r="A1563" s="101">
        <v>2025</v>
      </c>
      <c r="B1563" s="101">
        <v>11</v>
      </c>
      <c r="C1563" s="101">
        <v>26</v>
      </c>
      <c r="D1563" s="65">
        <f>DATE(SIP[[#This Row],[Year]],SIP[[#This Row],[Month]],SIP[[#This Row],[Day]])</f>
        <v>45987</v>
      </c>
      <c r="E1563" s="66" t="str" cm="1">
        <f t="array" ref="E1563">INDEX(INVESTORS_LIST[INVESTOR NAME],MATCH(SIP[[#This Row],[Investor ID]],INVESTORS_LIST[INVESTOR CODE],0),)</f>
        <v>MAYA RANI SAHA</v>
      </c>
      <c r="F1563" s="46" t="s">
        <v>224</v>
      </c>
      <c r="G1563" s="46">
        <f>COUNTIF(SIP[[#Headers],[Investor ID]]:SIP[[#This Row],[Investor ID]],SIP[[#This Row],[Investor ID]])</f>
        <v>74</v>
      </c>
      <c r="H1563" s="46" t="str">
        <f>CONCATENATE(SIP[[#This Row],[Frequency]],SIP[[#This Row],[Investor ID]])</f>
        <v>74A00088</v>
      </c>
      <c r="I1563" s="46" t="str">
        <f>IF(SIP[[#This Row],[B/S]]="B","BUY",(IF(SIP[[#This Row],[B/S]]="S","SELL"," ")))</f>
        <v>BUY</v>
      </c>
      <c r="J1563" s="150" t="s">
        <v>1229</v>
      </c>
      <c r="K1563" s="153">
        <v>10000</v>
      </c>
      <c r="L1563" s="122"/>
      <c r="M1563" s="123">
        <f>SIP[[#This Row],[Amount]]/SIP[[#This Row],[Unit]]</f>
        <v>13.774104683195592</v>
      </c>
      <c r="N1563" s="71">
        <f>SIP[[#This Row],[Unit Capital]]/10</f>
        <v>726</v>
      </c>
      <c r="O1563" s="71">
        <f>SUMIFS(SIP[[#Headers],[Unit]]:SIP[[#This Row],[Unit]],SIP[[#Headers],[Investor ID]]:SIP[[#This Row],[Investor ID]],SIP[[#This Row],[Investor ID]])</f>
        <v>84938</v>
      </c>
      <c r="P1563" s="153">
        <v>7260</v>
      </c>
      <c r="Q1563" s="74">
        <f>SIP[[#This Row],[Amount]]-SIP[[#This Row],[Unit Capital]]</f>
        <v>2740</v>
      </c>
      <c r="R15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11.914572982646167</v>
      </c>
      <c r="S1563" s="46">
        <f t="shared" si="73"/>
        <v>14.224</v>
      </c>
      <c r="T15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3" s="74" cm="1">
        <f t="array" ref="U1563">IF(SIP[[#This Row],[B/S]]="S",ABS(SIP[[#This Row],[Unit]])*(INDEX(SIP[NAV at Cost (Average)],MATCH(CONCATENATE((SIP[[#This Row],[Frequency]]-1),SIP[[#This Row],[Investor ID]]),SIP[Unique Code],0),0)),0)</f>
        <v>0</v>
      </c>
      <c r="V1563" s="74">
        <f>IF(SIP[[#This Row],[BO TRANSFER]]="YES",SIP[[#This Row],[Unit]],)</f>
        <v>0</v>
      </c>
      <c r="W1563" s="74">
        <f>SUMIFS(SIP[[#Headers],[BO UNIT TRANSFER]]:SIP[[#This Row],[BO UNIT TRANSFER]],SIP[[#Headers],[Investor ID]]:SIP[[#This Row],[Investor ID]],SIP[[#This Row],[Investor ID]])</f>
        <v>0</v>
      </c>
    </row>
    <row r="1564" spans="1:23" ht="15" customHeight="1">
      <c r="A1564" s="101">
        <v>2025</v>
      </c>
      <c r="B1564" s="101">
        <v>11</v>
      </c>
      <c r="C1564" s="101">
        <v>26</v>
      </c>
      <c r="D1564" s="65">
        <f>DATE(SIP[[#This Row],[Year]],SIP[[#This Row],[Month]],SIP[[#This Row],[Day]])</f>
        <v>45987</v>
      </c>
      <c r="E1564" s="66" t="str" cm="1">
        <f t="array" ref="E1564">INDEX(INVESTORS_LIST[INVESTOR NAME],MATCH(SIP[[#This Row],[Investor ID]],INVESTORS_LIST[INVESTOR CODE],0),)</f>
        <v>SWADESH RANJAN SAHA</v>
      </c>
      <c r="F1564" s="46" t="s">
        <v>234</v>
      </c>
      <c r="G1564" s="46">
        <f>COUNTIF(SIP[[#Headers],[Investor ID]]:SIP[[#This Row],[Investor ID]],SIP[[#This Row],[Investor ID]])</f>
        <v>12</v>
      </c>
      <c r="H1564" s="46" t="str">
        <f>CONCATENATE(SIP[[#This Row],[Frequency]],SIP[[#This Row],[Investor ID]])</f>
        <v>12A00093</v>
      </c>
      <c r="I1564" s="46" t="str">
        <f>IF(SIP[[#This Row],[B/S]]="B","BUY",(IF(SIP[[#This Row],[B/S]]="S","SELL"," ")))</f>
        <v>BUY</v>
      </c>
      <c r="J1564" s="150" t="s">
        <v>1229</v>
      </c>
      <c r="K1564" s="153">
        <v>50000</v>
      </c>
      <c r="L1564" s="122"/>
      <c r="M1564" s="123">
        <f>SIP[[#This Row],[Amount]]/SIP[[#This Row],[Unit]]</f>
        <v>13.777900248002204</v>
      </c>
      <c r="N1564" s="71">
        <f>SIP[[#This Row],[Unit Capital]]/10</f>
        <v>3629</v>
      </c>
      <c r="O1564" s="71">
        <f>SUMIFS(SIP[[#Headers],[Unit]]:SIP[[#This Row],[Unit]],SIP[[#Headers],[Investor ID]]:SIP[[#This Row],[Investor ID]],SIP[[#This Row],[Investor ID]])</f>
        <v>47133</v>
      </c>
      <c r="P1564" s="153">
        <v>36290</v>
      </c>
      <c r="Q1564" s="74">
        <f>SIP[[#This Row],[Amount]]-SIP[[#This Row],[Unit Capital]]</f>
        <v>13710</v>
      </c>
      <c r="R15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12.72993444083763</v>
      </c>
      <c r="S1564" s="46">
        <f t="shared" si="73"/>
        <v>14.224</v>
      </c>
      <c r="T15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4" s="74" cm="1">
        <f t="array" ref="U1564">IF(SIP[[#This Row],[B/S]]="S",ABS(SIP[[#This Row],[Unit]])*(INDEX(SIP[NAV at Cost (Average)],MATCH(CONCATENATE((SIP[[#This Row],[Frequency]]-1),SIP[[#This Row],[Investor ID]]),SIP[Unique Code],0),0)),0)</f>
        <v>0</v>
      </c>
      <c r="V1564" s="74">
        <f>IF(SIP[[#This Row],[BO TRANSFER]]="YES",SIP[[#This Row],[Unit]],)</f>
        <v>0</v>
      </c>
      <c r="W1564" s="74">
        <f>SUMIFS(SIP[[#Headers],[BO UNIT TRANSFER]]:SIP[[#This Row],[BO UNIT TRANSFER]],SIP[[#Headers],[Investor ID]]:SIP[[#This Row],[Investor ID]],SIP[[#This Row],[Investor ID]])</f>
        <v>0</v>
      </c>
    </row>
    <row r="1565" spans="1:23" ht="15" customHeight="1">
      <c r="A1565" s="101">
        <v>2025</v>
      </c>
      <c r="B1565" s="101">
        <v>11</v>
      </c>
      <c r="C1565" s="101">
        <v>26</v>
      </c>
      <c r="D1565" s="65">
        <f>DATE(SIP[[#This Row],[Year]],SIP[[#This Row],[Month]],SIP[[#This Row],[Day]])</f>
        <v>45987</v>
      </c>
      <c r="E1565" s="66" t="str" cm="1">
        <f t="array" ref="E1565">INDEX(INVESTORS_LIST[INVESTOR NAME],MATCH(SIP[[#This Row],[Investor ID]],INVESTORS_LIST[INVESTOR CODE],0),)</f>
        <v>BALARAM CHANDRA SAHA</v>
      </c>
      <c r="F1565" s="46" t="s">
        <v>505</v>
      </c>
      <c r="G1565" s="46">
        <f>COUNTIF(SIP[[#Headers],[Investor ID]]:SIP[[#This Row],[Investor ID]],SIP[[#This Row],[Investor ID]])</f>
        <v>8</v>
      </c>
      <c r="H1565" s="46" t="str">
        <f>CONCATENATE(SIP[[#This Row],[Frequency]],SIP[[#This Row],[Investor ID]])</f>
        <v>8A00228</v>
      </c>
      <c r="I1565" s="46" t="str">
        <f>IF(SIP[[#This Row],[B/S]]="B","BUY",(IF(SIP[[#This Row],[B/S]]="S","SELL"," ")))</f>
        <v>BUY</v>
      </c>
      <c r="J1565" s="150" t="s">
        <v>1229</v>
      </c>
      <c r="K1565" s="153">
        <v>25000</v>
      </c>
      <c r="L1565" s="122"/>
      <c r="M1565" s="123">
        <f>SIP[[#This Row],[Amount]]/SIP[[#This Row],[Unit]]</f>
        <v>13.781697905181918</v>
      </c>
      <c r="N1565" s="71">
        <f>SIP[[#This Row],[Unit Capital]]/10</f>
        <v>1814</v>
      </c>
      <c r="O1565" s="71">
        <f>SUMIFS(SIP[[#Headers],[Unit]]:SIP[[#This Row],[Unit]],SIP[[#Headers],[Investor ID]]:SIP[[#This Row],[Investor ID]],SIP[[#This Row],[Investor ID]])</f>
        <v>17377</v>
      </c>
      <c r="P1565" s="153">
        <v>18140</v>
      </c>
      <c r="Q1565" s="74">
        <f>SIP[[#This Row],[Amount]]-SIP[[#This Row],[Unit Capital]]</f>
        <v>6860</v>
      </c>
      <c r="R15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12.948149853254302</v>
      </c>
      <c r="S1565" s="46">
        <f t="shared" si="73"/>
        <v>14.224</v>
      </c>
      <c r="T15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5" s="74" cm="1">
        <f t="array" ref="U1565">IF(SIP[[#This Row],[B/S]]="S",ABS(SIP[[#This Row],[Unit]])*(INDEX(SIP[NAV at Cost (Average)],MATCH(CONCATENATE((SIP[[#This Row],[Frequency]]-1),SIP[[#This Row],[Investor ID]]),SIP[Unique Code],0),0)),0)</f>
        <v>0</v>
      </c>
      <c r="V1565" s="74">
        <f>IF(SIP[[#This Row],[BO TRANSFER]]="YES",SIP[[#This Row],[Unit]],)</f>
        <v>0</v>
      </c>
      <c r="W1565" s="74">
        <f>SUMIFS(SIP[[#Headers],[BO UNIT TRANSFER]]:SIP[[#This Row],[BO UNIT TRANSFER]],SIP[[#Headers],[Investor ID]]:SIP[[#This Row],[Investor ID]],SIP[[#This Row],[Investor ID]])</f>
        <v>0</v>
      </c>
    </row>
    <row r="1566" spans="1:23" ht="15" customHeight="1">
      <c r="A1566" s="101">
        <v>2025</v>
      </c>
      <c r="B1566" s="101">
        <v>11</v>
      </c>
      <c r="C1566" s="101">
        <v>26</v>
      </c>
      <c r="D1566" s="65">
        <f>DATE(SIP[[#This Row],[Year]],SIP[[#This Row],[Month]],SIP[[#This Row],[Day]])</f>
        <v>45987</v>
      </c>
      <c r="E1566" s="66" t="str" cm="1">
        <f t="array" ref="E1566">INDEX(INVESTORS_LIST[INVESTOR NAME],MATCH(SIP[[#This Row],[Investor ID]],INVESTORS_LIST[INVESTOR CODE],0),)</f>
        <v>MD MIZANUR RAHMAN</v>
      </c>
      <c r="F1566" s="46" t="s">
        <v>1304</v>
      </c>
      <c r="G1566" s="46">
        <f>COUNTIF(SIP[[#Headers],[Investor ID]]:SIP[[#This Row],[Investor ID]],SIP[[#This Row],[Investor ID]])</f>
        <v>13</v>
      </c>
      <c r="H1566" s="46" t="str">
        <f>CONCATENATE(SIP[[#This Row],[Frequency]],SIP[[#This Row],[Investor ID]])</f>
        <v>13A00599</v>
      </c>
      <c r="I1566" s="46" t="str">
        <f>IF(SIP[[#This Row],[B/S]]="B","BUY",(IF(SIP[[#This Row],[B/S]]="S","SELL"," ")))</f>
        <v>BUY</v>
      </c>
      <c r="J1566" s="150" t="s">
        <v>1229</v>
      </c>
      <c r="K1566" s="153">
        <v>5000</v>
      </c>
      <c r="L1566" s="122"/>
      <c r="M1566" s="123">
        <f>SIP[[#This Row],[Amount]]/SIP[[#This Row],[Unit]]</f>
        <v>13.774104683195592</v>
      </c>
      <c r="N1566" s="71">
        <f>SIP[[#This Row],[Unit Capital]]/10</f>
        <v>363</v>
      </c>
      <c r="O1566" s="71">
        <f>SUMIFS(SIP[[#Headers],[Unit]]:SIP[[#This Row],[Unit]],SIP[[#Headers],[Investor ID]]:SIP[[#This Row],[Investor ID]],SIP[[#This Row],[Investor ID]])</f>
        <v>1479</v>
      </c>
      <c r="P1566" s="153">
        <v>3630</v>
      </c>
      <c r="Q1566" s="74">
        <f>SIP[[#This Row],[Amount]]-SIP[[#This Row],[Unit Capital]]</f>
        <v>1370</v>
      </c>
      <c r="R15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13.52265043948614</v>
      </c>
      <c r="S1566" s="46">
        <f t="shared" si="73"/>
        <v>14.224</v>
      </c>
      <c r="T15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6" s="74" cm="1">
        <f t="array" ref="U1566">IF(SIP[[#This Row],[B/S]]="S",ABS(SIP[[#This Row],[Unit]])*(INDEX(SIP[NAV at Cost (Average)],MATCH(CONCATENATE((SIP[[#This Row],[Frequency]]-1),SIP[[#This Row],[Investor ID]]),SIP[Unique Code],0),0)),0)</f>
        <v>0</v>
      </c>
      <c r="V1566" s="74">
        <f>IF(SIP[[#This Row],[BO TRANSFER]]="YES",SIP[[#This Row],[Unit]],)</f>
        <v>0</v>
      </c>
      <c r="W1566" s="74">
        <f>SUMIFS(SIP[[#Headers],[BO UNIT TRANSFER]]:SIP[[#This Row],[BO UNIT TRANSFER]],SIP[[#Headers],[Investor ID]]:SIP[[#This Row],[Investor ID]],SIP[[#This Row],[Investor ID]])</f>
        <v>0</v>
      </c>
    </row>
    <row r="1567" spans="1:23" ht="15" customHeight="1">
      <c r="A1567" s="101">
        <v>2025</v>
      </c>
      <c r="B1567" s="101">
        <v>11</v>
      </c>
      <c r="C1567" s="101">
        <v>26</v>
      </c>
      <c r="D1567" s="65">
        <f>DATE(SIP[[#This Row],[Year]],SIP[[#This Row],[Month]],SIP[[#This Row],[Day]])</f>
        <v>45987</v>
      </c>
      <c r="E1567" s="66" t="str" cm="1">
        <f t="array" ref="E1567">INDEX(INVESTORS_LIST[INVESTOR NAME],MATCH(SIP[[#This Row],[Investor ID]],INVESTORS_LIST[INVESTOR CODE],0),)</f>
        <v>MOHAMMAD SAMIUL ALAM</v>
      </c>
      <c r="F1567" s="46" t="s">
        <v>537</v>
      </c>
      <c r="G1567" s="46">
        <f>COUNTIF(SIP[[#Headers],[Investor ID]]:SIP[[#This Row],[Investor ID]],SIP[[#This Row],[Investor ID]])</f>
        <v>28</v>
      </c>
      <c r="H1567" s="46" t="str">
        <f>CONCATENATE(SIP[[#This Row],[Frequency]],SIP[[#This Row],[Investor ID]])</f>
        <v>28A00244</v>
      </c>
      <c r="I1567" s="46" t="str">
        <f>IF(SIP[[#This Row],[B/S]]="B","BUY",(IF(SIP[[#This Row],[B/S]]="S","SELL"," ")))</f>
        <v>BUY</v>
      </c>
      <c r="J1567" s="150" t="s">
        <v>1229</v>
      </c>
      <c r="K1567" s="153">
        <v>35000</v>
      </c>
      <c r="L1567" s="122" t="s">
        <v>1230</v>
      </c>
      <c r="M1567" s="123">
        <f>SIP[[#This Row],[Amount]]/SIP[[#This Row],[Unit]]</f>
        <v>13.779527559055119</v>
      </c>
      <c r="N1567" s="71">
        <f>SIP[[#This Row],[Unit Capital]]/10</f>
        <v>2540</v>
      </c>
      <c r="O1567" s="71">
        <f>SUMIFS(SIP[[#Headers],[Unit]]:SIP[[#This Row],[Unit]],SIP[[#Headers],[Investor ID]]:SIP[[#This Row],[Investor ID]],SIP[[#This Row],[Investor ID]])</f>
        <v>53645</v>
      </c>
      <c r="P1567" s="153">
        <v>25400</v>
      </c>
      <c r="Q1567" s="74">
        <f>SIP[[#This Row],[Amount]]-SIP[[#This Row],[Unit Capital]]</f>
        <v>9600</v>
      </c>
      <c r="R15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11.837077080809024</v>
      </c>
      <c r="S1567" s="46">
        <f t="shared" si="73"/>
        <v>14.224</v>
      </c>
      <c r="T15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7" s="74" cm="1">
        <f t="array" ref="U1567">IF(SIP[[#This Row],[B/S]]="S",ABS(SIP[[#This Row],[Unit]])*(INDEX(SIP[NAV at Cost (Average)],MATCH(CONCATENATE((SIP[[#This Row],[Frequency]]-1),SIP[[#This Row],[Investor ID]]),SIP[Unique Code],0),0)),0)</f>
        <v>0</v>
      </c>
      <c r="V1567" s="74">
        <f>IF(SIP[[#This Row],[BO TRANSFER]]="YES",SIP[[#This Row],[Unit]],)</f>
        <v>2540</v>
      </c>
      <c r="W1567" s="74">
        <f>SUMIFS(SIP[[#Headers],[BO UNIT TRANSFER]]:SIP[[#This Row],[BO UNIT TRANSFER]],SIP[[#Headers],[Investor ID]]:SIP[[#This Row],[Investor ID]],SIP[[#This Row],[Investor ID]])</f>
        <v>13085</v>
      </c>
    </row>
    <row r="1568" spans="1:23" ht="15" customHeight="1">
      <c r="A1568" s="101">
        <v>2025</v>
      </c>
      <c r="B1568" s="101">
        <v>11</v>
      </c>
      <c r="C1568" s="101">
        <v>26</v>
      </c>
      <c r="D1568" s="65">
        <f>DATE(SIP[[#This Row],[Year]],SIP[[#This Row],[Month]],SIP[[#This Row],[Day]])</f>
        <v>45987</v>
      </c>
      <c r="E1568" s="66" t="str" cm="1">
        <f t="array" ref="E1568">INDEX(INVESTORS_LIST[INVESTOR NAME],MATCH(SIP[[#This Row],[Investor ID]],INVESTORS_LIST[INVESTOR CODE],0),)</f>
        <v>MD ABDULLAH-AL- MAMUN</v>
      </c>
      <c r="F1568" s="46" t="s">
        <v>533</v>
      </c>
      <c r="G1568" s="46">
        <f>COUNTIF(SIP[[#Headers],[Investor ID]]:SIP[[#This Row],[Investor ID]],SIP[[#This Row],[Investor ID]])</f>
        <v>32</v>
      </c>
      <c r="H1568" s="46" t="str">
        <f>CONCATENATE(SIP[[#This Row],[Frequency]],SIP[[#This Row],[Investor ID]])</f>
        <v>32A00242</v>
      </c>
      <c r="I1568" s="46" t="str">
        <f>IF(SIP[[#This Row],[B/S]]="B","BUY",(IF(SIP[[#This Row],[B/S]]="S","SELL"," ")))</f>
        <v>BUY</v>
      </c>
      <c r="J1568" s="150" t="s">
        <v>1229</v>
      </c>
      <c r="K1568" s="153">
        <v>10000</v>
      </c>
      <c r="L1568" s="122"/>
      <c r="M1568" s="123">
        <f>SIP[[#This Row],[Amount]]/SIP[[#This Row],[Unit]]</f>
        <v>13.774104683195592</v>
      </c>
      <c r="N1568" s="71">
        <f>SIP[[#This Row],[Unit Capital]]/10</f>
        <v>726</v>
      </c>
      <c r="O1568" s="71">
        <f>SUMIFS(SIP[[#Headers],[Unit]]:SIP[[#This Row],[Unit]],SIP[[#Headers],[Investor ID]]:SIP[[#This Row],[Investor ID]],SIP[[#This Row],[Investor ID]])</f>
        <v>6377</v>
      </c>
      <c r="P1568" s="153">
        <v>7260</v>
      </c>
      <c r="Q1568" s="74">
        <f>SIP[[#This Row],[Amount]]-SIP[[#This Row],[Unit Capital]]</f>
        <v>2740</v>
      </c>
      <c r="R15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13.008564899073063</v>
      </c>
      <c r="S1568" s="46">
        <f t="shared" si="73"/>
        <v>14.224</v>
      </c>
      <c r="T15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8" s="74" cm="1">
        <f t="array" ref="U1568">IF(SIP[[#This Row],[B/S]]="S",ABS(SIP[[#This Row],[Unit]])*(INDEX(SIP[NAV at Cost (Average)],MATCH(CONCATENATE((SIP[[#This Row],[Frequency]]-1),SIP[[#This Row],[Investor ID]]),SIP[Unique Code],0),0)),0)</f>
        <v>0</v>
      </c>
      <c r="V1568" s="74">
        <f>IF(SIP[[#This Row],[BO TRANSFER]]="YES",SIP[[#This Row],[Unit]],)</f>
        <v>0</v>
      </c>
      <c r="W1568" s="74">
        <f>SUMIFS(SIP[[#Headers],[BO UNIT TRANSFER]]:SIP[[#This Row],[BO UNIT TRANSFER]],SIP[[#Headers],[Investor ID]]:SIP[[#This Row],[Investor ID]],SIP[[#This Row],[Investor ID]])</f>
        <v>0</v>
      </c>
    </row>
    <row r="1569" spans="1:23" ht="15" customHeight="1">
      <c r="A1569" s="101">
        <v>2025</v>
      </c>
      <c r="B1569" s="101">
        <v>11</v>
      </c>
      <c r="C1569" s="101">
        <v>26</v>
      </c>
      <c r="D1569" s="65">
        <f>DATE(SIP[[#This Row],[Year]],SIP[[#This Row],[Month]],SIP[[#This Row],[Day]])</f>
        <v>45987</v>
      </c>
      <c r="E1569" s="66" t="str" cm="1">
        <f t="array" ref="E1569">INDEX(INVESTORS_LIST[INVESTOR NAME],MATCH(SIP[[#This Row],[Investor ID]],INVESTORS_LIST[INVESTOR CODE],0),)</f>
        <v>TANVIR HASAN</v>
      </c>
      <c r="F1569" s="46" t="s">
        <v>561</v>
      </c>
      <c r="G1569" s="46">
        <f>COUNTIF(SIP[[#Headers],[Investor ID]]:SIP[[#This Row],[Investor ID]],SIP[[#This Row],[Investor ID]])</f>
        <v>8</v>
      </c>
      <c r="H1569" s="46" t="str">
        <f>CONCATENATE(SIP[[#This Row],[Frequency]],SIP[[#This Row],[Investor ID]])</f>
        <v>8A00256</v>
      </c>
      <c r="I1569" s="46" t="str">
        <f>IF(SIP[[#This Row],[B/S]]="B","BUY",(IF(SIP[[#This Row],[B/S]]="S","SELL"," ")))</f>
        <v>BUY</v>
      </c>
      <c r="J1569" s="150" t="s">
        <v>1229</v>
      </c>
      <c r="K1569" s="153">
        <v>10000</v>
      </c>
      <c r="L1569" s="122"/>
      <c r="M1569" s="123">
        <f>SIP[[#This Row],[Amount]]/SIP[[#This Row],[Unit]]</f>
        <v>13.774104683195592</v>
      </c>
      <c r="N1569" s="71">
        <f>SIP[[#This Row],[Unit Capital]]/10</f>
        <v>726</v>
      </c>
      <c r="O1569" s="71">
        <f>SUMIFS(SIP[[#Headers],[Unit]]:SIP[[#This Row],[Unit]],SIP[[#Headers],[Investor ID]]:SIP[[#This Row],[Investor ID]],SIP[[#This Row],[Investor ID]])</f>
        <v>6149</v>
      </c>
      <c r="P1569" s="153">
        <v>7260</v>
      </c>
      <c r="Q1569" s="74">
        <f>SIP[[#This Row],[Amount]]-SIP[[#This Row],[Unit Capital]]</f>
        <v>2740</v>
      </c>
      <c r="R15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13.010245568385104</v>
      </c>
      <c r="S1569" s="46">
        <f t="shared" si="73"/>
        <v>14.224</v>
      </c>
      <c r="T15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9" s="74" cm="1">
        <f t="array" ref="U1569">IF(SIP[[#This Row],[B/S]]="S",ABS(SIP[[#This Row],[Unit]])*(INDEX(SIP[NAV at Cost (Average)],MATCH(CONCATENATE((SIP[[#This Row],[Frequency]]-1),SIP[[#This Row],[Investor ID]]),SIP[Unique Code],0),0)),0)</f>
        <v>0</v>
      </c>
      <c r="V1569" s="74">
        <f>IF(SIP[[#This Row],[BO TRANSFER]]="YES",SIP[[#This Row],[Unit]],)</f>
        <v>0</v>
      </c>
      <c r="W1569" s="74">
        <f>SUMIFS(SIP[[#Headers],[BO UNIT TRANSFER]]:SIP[[#This Row],[BO UNIT TRANSFER]],SIP[[#Headers],[Investor ID]]:SIP[[#This Row],[Investor ID]],SIP[[#This Row],[Investor ID]])</f>
        <v>0</v>
      </c>
    </row>
    <row r="1570" spans="1:23" ht="15" customHeight="1">
      <c r="A1570" s="101">
        <v>2025</v>
      </c>
      <c r="B1570" s="101">
        <v>11</v>
      </c>
      <c r="C1570" s="101">
        <v>26</v>
      </c>
      <c r="D1570" s="65">
        <f>DATE(SIP[[#This Row],[Year]],SIP[[#This Row],[Month]],SIP[[#This Row],[Day]])</f>
        <v>45987</v>
      </c>
      <c r="E1570" s="66" t="str" cm="1">
        <f t="array" ref="E1570">INDEX(INVESTORS_LIST[INVESTOR NAME],MATCH(SIP[[#This Row],[Investor ID]],INVESTORS_LIST[INVESTOR CODE],0),)</f>
        <v>RUMA AKTER</v>
      </c>
      <c r="F1570" s="46" t="s">
        <v>1323</v>
      </c>
      <c r="G1570" s="46">
        <f>COUNTIF(SIP[[#Headers],[Investor ID]]:SIP[[#This Row],[Investor ID]],SIP[[#This Row],[Investor ID]])</f>
        <v>11</v>
      </c>
      <c r="H1570" s="46" t="str">
        <f>CONCATENATE(SIP[[#This Row],[Frequency]],SIP[[#This Row],[Investor ID]])</f>
        <v>11A00608</v>
      </c>
      <c r="I1570" s="46" t="str">
        <f>IF(SIP[[#This Row],[B/S]]="B","BUY",(IF(SIP[[#This Row],[B/S]]="S","SELL"," ")))</f>
        <v>BUY</v>
      </c>
      <c r="J1570" s="150" t="s">
        <v>1229</v>
      </c>
      <c r="K1570" s="153">
        <v>1000</v>
      </c>
      <c r="L1570" s="122"/>
      <c r="M1570" s="123">
        <f>SIP[[#This Row],[Amount]]/SIP[[#This Row],[Unit]]</f>
        <v>13.698630136986301</v>
      </c>
      <c r="N1570" s="71">
        <f>SIP[[#This Row],[Unit Capital]]/10</f>
        <v>73</v>
      </c>
      <c r="O1570" s="71">
        <f>SUMIFS(SIP[[#Headers],[Unit]]:SIP[[#This Row],[Unit]],SIP[[#Headers],[Investor ID]]:SIP[[#This Row],[Investor ID]],SIP[[#This Row],[Investor ID]])</f>
        <v>838</v>
      </c>
      <c r="P1570" s="153">
        <v>730</v>
      </c>
      <c r="Q1570" s="74">
        <f>SIP[[#This Row],[Amount]]-SIP[[#This Row],[Unit Capital]]</f>
        <v>270</v>
      </c>
      <c r="R15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13.126491646778042</v>
      </c>
      <c r="S1570" s="46">
        <f t="shared" si="73"/>
        <v>14.224</v>
      </c>
      <c r="T15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0" s="74" cm="1">
        <f t="array" ref="U1570">IF(SIP[[#This Row],[B/S]]="S",ABS(SIP[[#This Row],[Unit]])*(INDEX(SIP[NAV at Cost (Average)],MATCH(CONCATENATE((SIP[[#This Row],[Frequency]]-1),SIP[[#This Row],[Investor ID]]),SIP[Unique Code],0),0)),0)</f>
        <v>0</v>
      </c>
      <c r="V1570" s="74">
        <f>IF(SIP[[#This Row],[BO TRANSFER]]="YES",SIP[[#This Row],[Unit]],)</f>
        <v>0</v>
      </c>
      <c r="W1570" s="74">
        <f>SUMIFS(SIP[[#Headers],[BO UNIT TRANSFER]]:SIP[[#This Row],[BO UNIT TRANSFER]],SIP[[#Headers],[Investor ID]]:SIP[[#This Row],[Investor ID]],SIP[[#This Row],[Investor ID]])</f>
        <v>0</v>
      </c>
    </row>
    <row r="1571" spans="1:23" ht="15" customHeight="1">
      <c r="A1571" s="101">
        <v>2025</v>
      </c>
      <c r="B1571" s="101">
        <v>11</v>
      </c>
      <c r="C1571" s="101">
        <v>26</v>
      </c>
      <c r="D1571" s="65">
        <f>DATE(SIP[[#This Row],[Year]],SIP[[#This Row],[Month]],SIP[[#This Row],[Day]])</f>
        <v>45987</v>
      </c>
      <c r="E1571" s="66" t="str" cm="1">
        <f t="array" ref="E1571">INDEX(INVESTORS_LIST[INVESTOR NAME],MATCH(SIP[[#This Row],[Investor ID]],INVESTORS_LIST[INVESTOR CODE],0),)</f>
        <v>RAJIB</v>
      </c>
      <c r="F1571" s="46" t="s">
        <v>1321</v>
      </c>
      <c r="G1571" s="46">
        <f>COUNTIF(SIP[[#Headers],[Investor ID]]:SIP[[#This Row],[Investor ID]],SIP[[#This Row],[Investor ID]])</f>
        <v>8</v>
      </c>
      <c r="H1571" s="46" t="str">
        <f>CONCATENATE(SIP[[#This Row],[Frequency]],SIP[[#This Row],[Investor ID]])</f>
        <v>8A00607</v>
      </c>
      <c r="I1571" s="46" t="str">
        <f>IF(SIP[[#This Row],[B/S]]="B","BUY",(IF(SIP[[#This Row],[B/S]]="S","SELL"," ")))</f>
        <v>BUY</v>
      </c>
      <c r="J1571" s="150" t="s">
        <v>1229</v>
      </c>
      <c r="K1571" s="153">
        <v>1000</v>
      </c>
      <c r="L1571" s="122"/>
      <c r="M1571" s="123">
        <f>SIP[[#This Row],[Amount]]/SIP[[#This Row],[Unit]]</f>
        <v>13.698630136986301</v>
      </c>
      <c r="N1571" s="71">
        <f>SIP[[#This Row],[Unit Capital]]/10</f>
        <v>73</v>
      </c>
      <c r="O1571" s="71">
        <f>SUMIFS(SIP[[#Headers],[Unit]]:SIP[[#This Row],[Unit]],SIP[[#Headers],[Investor ID]]:SIP[[#This Row],[Investor ID]],SIP[[#This Row],[Investor ID]])</f>
        <v>615</v>
      </c>
      <c r="P1571" s="153">
        <v>730</v>
      </c>
      <c r="Q1571" s="74">
        <f>SIP[[#This Row],[Amount]]-SIP[[#This Row],[Unit Capital]]</f>
        <v>270</v>
      </c>
      <c r="R15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13.008130081300813</v>
      </c>
      <c r="S1571" s="46">
        <f t="shared" si="73"/>
        <v>14.224</v>
      </c>
      <c r="T15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1" s="74" cm="1">
        <f t="array" ref="U1571">IF(SIP[[#This Row],[B/S]]="S",ABS(SIP[[#This Row],[Unit]])*(INDEX(SIP[NAV at Cost (Average)],MATCH(CONCATENATE((SIP[[#This Row],[Frequency]]-1),SIP[[#This Row],[Investor ID]]),SIP[Unique Code],0),0)),0)</f>
        <v>0</v>
      </c>
      <c r="V1571" s="74">
        <f>IF(SIP[[#This Row],[BO TRANSFER]]="YES",SIP[[#This Row],[Unit]],)</f>
        <v>0</v>
      </c>
      <c r="W1571" s="74">
        <f>SUMIFS(SIP[[#Headers],[BO UNIT TRANSFER]]:SIP[[#This Row],[BO UNIT TRANSFER]],SIP[[#Headers],[Investor ID]]:SIP[[#This Row],[Investor ID]],SIP[[#This Row],[Investor ID]])</f>
        <v>0</v>
      </c>
    </row>
    <row r="1572" spans="1:23" ht="15" customHeight="1">
      <c r="A1572" s="101">
        <v>2025</v>
      </c>
      <c r="B1572" s="101">
        <v>11</v>
      </c>
      <c r="C1572" s="101">
        <v>26</v>
      </c>
      <c r="D1572" s="65">
        <f>DATE(SIP[[#This Row],[Year]],SIP[[#This Row],[Month]],SIP[[#This Row],[Day]])</f>
        <v>45987</v>
      </c>
      <c r="E1572" s="66" t="str" cm="1">
        <f t="array" ref="E1572">INDEX(INVESTORS_LIST[INVESTOR NAME],MATCH(SIP[[#This Row],[Investor ID]],INVESTORS_LIST[INVESTOR CODE],0),)</f>
        <v>MST. GOLENUR</v>
      </c>
      <c r="F1572" s="46" t="s">
        <v>1075</v>
      </c>
      <c r="G1572" s="46">
        <f>COUNTIF(SIP[[#Headers],[Investor ID]]:SIP[[#This Row],[Investor ID]],SIP[[#This Row],[Investor ID]])</f>
        <v>13</v>
      </c>
      <c r="H1572" s="46" t="str">
        <f>CONCATENATE(SIP[[#This Row],[Frequency]],SIP[[#This Row],[Investor ID]])</f>
        <v>13A00515</v>
      </c>
      <c r="I1572" s="46" t="str">
        <f>IF(SIP[[#This Row],[B/S]]="B","BUY",(IF(SIP[[#This Row],[B/S]]="S","SELL"," ")))</f>
        <v>BUY</v>
      </c>
      <c r="J1572" s="150" t="s">
        <v>1229</v>
      </c>
      <c r="K1572" s="153">
        <v>4000</v>
      </c>
      <c r="L1572" s="122"/>
      <c r="M1572" s="123">
        <f>SIP[[#This Row],[Amount]]/SIP[[#This Row],[Unit]]</f>
        <v>13.793103448275861</v>
      </c>
      <c r="N1572" s="71">
        <f>SIP[[#This Row],[Unit Capital]]/10</f>
        <v>290</v>
      </c>
      <c r="O1572" s="71">
        <f>SUMIFS(SIP[[#Headers],[Unit]]:SIP[[#This Row],[Unit]],SIP[[#Headers],[Investor ID]]:SIP[[#This Row],[Investor ID]],SIP[[#This Row],[Investor ID]])</f>
        <v>2312</v>
      </c>
      <c r="P1572" s="153">
        <v>2900</v>
      </c>
      <c r="Q1572" s="74">
        <f>SIP[[#This Row],[Amount]]-SIP[[#This Row],[Unit Capital]]</f>
        <v>1100</v>
      </c>
      <c r="R15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12.975778546712805</v>
      </c>
      <c r="S1572" s="46">
        <f t="shared" si="73"/>
        <v>14.224</v>
      </c>
      <c r="T15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2" s="74" cm="1">
        <f t="array" ref="U1572">IF(SIP[[#This Row],[B/S]]="S",ABS(SIP[[#This Row],[Unit]])*(INDEX(SIP[NAV at Cost (Average)],MATCH(CONCATENATE((SIP[[#This Row],[Frequency]]-1),SIP[[#This Row],[Investor ID]]),SIP[Unique Code],0),0)),0)</f>
        <v>0</v>
      </c>
      <c r="V1572" s="74">
        <f>IF(SIP[[#This Row],[BO TRANSFER]]="YES",SIP[[#This Row],[Unit]],)</f>
        <v>0</v>
      </c>
      <c r="W1572" s="74">
        <f>SUMIFS(SIP[[#Headers],[BO UNIT TRANSFER]]:SIP[[#This Row],[BO UNIT TRANSFER]],SIP[[#Headers],[Investor ID]]:SIP[[#This Row],[Investor ID]],SIP[[#This Row],[Investor ID]])</f>
        <v>0</v>
      </c>
    </row>
    <row r="1573" spans="1:23" ht="15" customHeight="1">
      <c r="A1573" s="101">
        <v>2025</v>
      </c>
      <c r="B1573" s="101">
        <v>11</v>
      </c>
      <c r="C1573" s="101">
        <v>26</v>
      </c>
      <c r="D1573" s="65">
        <f>DATE(SIP[[#This Row],[Year]],SIP[[#This Row],[Month]],SIP[[#This Row],[Day]])</f>
        <v>45987</v>
      </c>
      <c r="E1573" s="66" t="str" cm="1">
        <f t="array" ref="E1573">INDEX(INVESTORS_LIST[INVESTOR NAME],MATCH(SIP[[#This Row],[Investor ID]],INVESTORS_LIST[INVESTOR CODE],0),)</f>
        <v>RUMA AKTER</v>
      </c>
      <c r="F1573" s="46" t="s">
        <v>1323</v>
      </c>
      <c r="G1573" s="46">
        <f>COUNTIF(SIP[[#Headers],[Investor ID]]:SIP[[#This Row],[Investor ID]],SIP[[#This Row],[Investor ID]])</f>
        <v>12</v>
      </c>
      <c r="H1573" s="46" t="str">
        <f>CONCATENATE(SIP[[#This Row],[Frequency]],SIP[[#This Row],[Investor ID]])</f>
        <v>12A00608</v>
      </c>
      <c r="I1573" s="46" t="str">
        <f>IF(SIP[[#This Row],[B/S]]="B","BUY",(IF(SIP[[#This Row],[B/S]]="S","SELL"," ")))</f>
        <v>BUY</v>
      </c>
      <c r="J1573" s="150" t="s">
        <v>1229</v>
      </c>
      <c r="K1573" s="153">
        <v>1000</v>
      </c>
      <c r="L1573" s="122"/>
      <c r="M1573" s="123">
        <f>SIP[[#This Row],[Amount]]/SIP[[#This Row],[Unit]]</f>
        <v>13.698630136986301</v>
      </c>
      <c r="N1573" s="71">
        <f>SIP[[#This Row],[Unit Capital]]/10</f>
        <v>73</v>
      </c>
      <c r="O1573" s="71">
        <f>SUMIFS(SIP[[#Headers],[Unit]]:SIP[[#This Row],[Unit]],SIP[[#Headers],[Investor ID]]:SIP[[#This Row],[Investor ID]],SIP[[#This Row],[Investor ID]])</f>
        <v>911</v>
      </c>
      <c r="P1573" s="153">
        <v>730</v>
      </c>
      <c r="Q1573" s="74">
        <f>SIP[[#This Row],[Amount]]-SIP[[#This Row],[Unit Capital]]</f>
        <v>270</v>
      </c>
      <c r="R15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13.172338090010975</v>
      </c>
      <c r="S1573" s="46">
        <f t="shared" si="73"/>
        <v>14.224</v>
      </c>
      <c r="T15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3" s="74" cm="1">
        <f t="array" ref="U1573">IF(SIP[[#This Row],[B/S]]="S",ABS(SIP[[#This Row],[Unit]])*(INDEX(SIP[NAV at Cost (Average)],MATCH(CONCATENATE((SIP[[#This Row],[Frequency]]-1),SIP[[#This Row],[Investor ID]]),SIP[Unique Code],0),0)),0)</f>
        <v>0</v>
      </c>
      <c r="V1573" s="74">
        <f>IF(SIP[[#This Row],[BO TRANSFER]]="YES",SIP[[#This Row],[Unit]],)</f>
        <v>0</v>
      </c>
      <c r="W1573" s="74">
        <f>SUMIFS(SIP[[#Headers],[BO UNIT TRANSFER]]:SIP[[#This Row],[BO UNIT TRANSFER]],SIP[[#Headers],[Investor ID]]:SIP[[#This Row],[Investor ID]],SIP[[#This Row],[Investor ID]])</f>
        <v>0</v>
      </c>
    </row>
    <row r="1574" spans="1:23" ht="15" customHeight="1">
      <c r="A1574" s="101">
        <v>2025</v>
      </c>
      <c r="B1574" s="101">
        <v>11</v>
      </c>
      <c r="C1574" s="101">
        <v>26</v>
      </c>
      <c r="D1574" s="65">
        <f>DATE(SIP[[#This Row],[Year]],SIP[[#This Row],[Month]],SIP[[#This Row],[Day]])</f>
        <v>45987</v>
      </c>
      <c r="E1574" s="66" t="str" cm="1">
        <f t="array" ref="E1574">INDEX(INVESTORS_LIST[INVESTOR NAME],MATCH(SIP[[#This Row],[Investor ID]],INVESTORS_LIST[INVESTOR CODE],0),)</f>
        <v>SHANTA MONI SAHA</v>
      </c>
      <c r="F1574" s="46" t="s">
        <v>1455</v>
      </c>
      <c r="G1574" s="46">
        <f>COUNTIF(SIP[[#Headers],[Investor ID]]:SIP[[#This Row],[Investor ID]],SIP[[#This Row],[Investor ID]])</f>
        <v>1</v>
      </c>
      <c r="H1574" s="46" t="str">
        <f>CONCATENATE(SIP[[#This Row],[Frequency]],SIP[[#This Row],[Investor ID]])</f>
        <v>1A00671</v>
      </c>
      <c r="I1574" s="46" t="str">
        <f>IF(SIP[[#This Row],[B/S]]="B","BUY",(IF(SIP[[#This Row],[B/S]]="S","SELL"," ")))</f>
        <v>BUY</v>
      </c>
      <c r="J1574" s="150" t="s">
        <v>1229</v>
      </c>
      <c r="K1574" s="153">
        <v>5000</v>
      </c>
      <c r="L1574" s="122"/>
      <c r="M1574" s="123">
        <f>SIP[[#This Row],[Amount]]/SIP[[#This Row],[Unit]]</f>
        <v>13.774104683195592</v>
      </c>
      <c r="N1574" s="71">
        <f>SIP[[#This Row],[Unit Capital]]/10</f>
        <v>363</v>
      </c>
      <c r="O1574" s="71">
        <f>SUMIFS(SIP[[#Headers],[Unit]]:SIP[[#This Row],[Unit]],SIP[[#Headers],[Investor ID]]:SIP[[#This Row],[Investor ID]],SIP[[#This Row],[Investor ID]])</f>
        <v>363</v>
      </c>
      <c r="P1574" s="153">
        <v>3630</v>
      </c>
      <c r="Q1574" s="74">
        <f>SIP[[#This Row],[Amount]]-SIP[[#This Row],[Unit Capital]]</f>
        <v>1370</v>
      </c>
      <c r="R15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574" s="46">
        <f t="shared" si="73"/>
        <v>14.224</v>
      </c>
      <c r="T15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4" s="74" cm="1">
        <f t="array" ref="U1574">IF(SIP[[#This Row],[B/S]]="S",ABS(SIP[[#This Row],[Unit]])*(INDEX(SIP[NAV at Cost (Average)],MATCH(CONCATENATE((SIP[[#This Row],[Frequency]]-1),SIP[[#This Row],[Investor ID]]),SIP[Unique Code],0),0)),0)</f>
        <v>0</v>
      </c>
      <c r="V1574" s="74">
        <f>IF(SIP[[#This Row],[BO TRANSFER]]="YES",SIP[[#This Row],[Unit]],)</f>
        <v>0</v>
      </c>
      <c r="W1574" s="74">
        <f>SUMIFS(SIP[[#Headers],[BO UNIT TRANSFER]]:SIP[[#This Row],[BO UNIT TRANSFER]],SIP[[#Headers],[Investor ID]]:SIP[[#This Row],[Investor ID]],SIP[[#This Row],[Investor ID]])</f>
        <v>0</v>
      </c>
    </row>
    <row r="1575" spans="1:23" ht="15" customHeight="1">
      <c r="A1575" s="101">
        <v>2025</v>
      </c>
      <c r="B1575" s="101">
        <v>11</v>
      </c>
      <c r="C1575" s="101">
        <v>26</v>
      </c>
      <c r="D1575" s="65">
        <f>DATE(SIP[[#This Row],[Year]],SIP[[#This Row],[Month]],SIP[[#This Row],[Day]])</f>
        <v>45987</v>
      </c>
      <c r="E1575" s="66" t="str" cm="1">
        <f t="array" ref="E1575">INDEX(INVESTORS_LIST[INVESTOR NAME],MATCH(SIP[[#This Row],[Investor ID]],INVESTORS_LIST[INVESTOR CODE],0),)</f>
        <v>BABITA RANI BARMAN</v>
      </c>
      <c r="F1575" s="46" t="s">
        <v>188</v>
      </c>
      <c r="G1575" s="46">
        <f>COUNTIF(SIP[[#Headers],[Investor ID]]:SIP[[#This Row],[Investor ID]],SIP[[#This Row],[Investor ID]])</f>
        <v>1</v>
      </c>
      <c r="H1575" s="46" t="str">
        <f>CONCATENATE(SIP[[#This Row],[Frequency]],SIP[[#This Row],[Investor ID]])</f>
        <v>1A00070</v>
      </c>
      <c r="I1575" s="46" t="str">
        <f>IF(SIP[[#This Row],[B/S]]="B","BUY",(IF(SIP[[#This Row],[B/S]]="S","SELL"," ")))</f>
        <v>BUY</v>
      </c>
      <c r="J1575" s="150" t="s">
        <v>1229</v>
      </c>
      <c r="K1575" s="153">
        <v>2000</v>
      </c>
      <c r="L1575" s="122"/>
      <c r="M1575" s="123">
        <f>SIP[[#This Row],[Amount]]/SIP[[#This Row],[Unit]]</f>
        <v>13.793103448275861</v>
      </c>
      <c r="N1575" s="71">
        <f>SIP[[#This Row],[Unit Capital]]/10</f>
        <v>145</v>
      </c>
      <c r="O1575" s="71">
        <f>SUMIFS(SIP[[#Headers],[Unit]]:SIP[[#This Row],[Unit]],SIP[[#Headers],[Investor ID]]:SIP[[#This Row],[Investor ID]],SIP[[#This Row],[Investor ID]])</f>
        <v>145</v>
      </c>
      <c r="P1575" s="153">
        <v>1450</v>
      </c>
      <c r="Q1575" s="74">
        <f>SIP[[#This Row],[Amount]]-SIP[[#This Row],[Unit Capital]]</f>
        <v>550</v>
      </c>
      <c r="R15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13.793103448275861</v>
      </c>
      <c r="S1575" s="46">
        <f t="shared" si="73"/>
        <v>14.224</v>
      </c>
      <c r="T15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5" s="74" cm="1">
        <f t="array" ref="U1575">IF(SIP[[#This Row],[B/S]]="S",ABS(SIP[[#This Row],[Unit]])*(INDEX(SIP[NAV at Cost (Average)],MATCH(CONCATENATE((SIP[[#This Row],[Frequency]]-1),SIP[[#This Row],[Investor ID]]),SIP[Unique Code],0),0)),0)</f>
        <v>0</v>
      </c>
      <c r="V1575" s="74">
        <f>IF(SIP[[#This Row],[BO TRANSFER]]="YES",SIP[[#This Row],[Unit]],)</f>
        <v>0</v>
      </c>
      <c r="W1575" s="74">
        <f>SUMIFS(SIP[[#Headers],[BO UNIT TRANSFER]]:SIP[[#This Row],[BO UNIT TRANSFER]],SIP[[#Headers],[Investor ID]]:SIP[[#This Row],[Investor ID]],SIP[[#This Row],[Investor ID]])</f>
        <v>0</v>
      </c>
    </row>
    <row r="1576" spans="1:23" ht="15" customHeight="1">
      <c r="A1576" s="101">
        <v>2025</v>
      </c>
      <c r="B1576" s="101">
        <v>11</v>
      </c>
      <c r="C1576" s="101">
        <v>26</v>
      </c>
      <c r="D1576" s="65">
        <f>DATE(SIP[[#This Row],[Year]],SIP[[#This Row],[Month]],SIP[[#This Row],[Day]])</f>
        <v>45987</v>
      </c>
      <c r="E1576" s="66" t="str" cm="1">
        <f t="array" ref="E1576">INDEX(INVESTORS_LIST[INVESTOR NAME],MATCH(SIP[[#This Row],[Investor ID]],INVESTORS_LIST[INVESTOR CODE],0),)</f>
        <v>EKUSH WEALTH MANAGEMENT LIMITED EMPLOYEES CONTRIBUTORY PROVIDENT FUND</v>
      </c>
      <c r="F1576" s="46" t="s">
        <v>831</v>
      </c>
      <c r="G1576" s="46">
        <f>COUNTIF(SIP[[#Headers],[Investor ID]]:SIP[[#This Row],[Investor ID]],SIP[[#This Row],[Investor ID]])</f>
        <v>21</v>
      </c>
      <c r="H1576" s="46" t="str">
        <f>CONCATENATE(SIP[[#This Row],[Frequency]],SIP[[#This Row],[Investor ID]])</f>
        <v>21A00392</v>
      </c>
      <c r="I1576" s="46" t="str">
        <f>IF(SIP[[#This Row],[B/S]]="B","BUY",(IF(SIP[[#This Row],[B/S]]="S","SELL"," ")))</f>
        <v>BUY</v>
      </c>
      <c r="J1576" s="150" t="s">
        <v>1229</v>
      </c>
      <c r="K1576" s="153">
        <v>10000</v>
      </c>
      <c r="L1576" s="122"/>
      <c r="M1576" s="123">
        <f>SIP[[#This Row],[Amount]]/SIP[[#This Row],[Unit]]</f>
        <v>13.774104683195592</v>
      </c>
      <c r="N1576" s="71">
        <f>SIP[[#This Row],[Unit Capital]]/10</f>
        <v>726</v>
      </c>
      <c r="O1576" s="71">
        <f>SUMIFS(SIP[[#Headers],[Unit]]:SIP[[#This Row],[Unit]],SIP[[#Headers],[Investor ID]]:SIP[[#This Row],[Investor ID]],SIP[[#This Row],[Investor ID]])</f>
        <v>31742</v>
      </c>
      <c r="P1576" s="153">
        <v>7260</v>
      </c>
      <c r="Q1576" s="74">
        <f>SIP[[#This Row],[Amount]]-SIP[[#This Row],[Unit Capital]]</f>
        <v>2740</v>
      </c>
      <c r="R15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11.454413960006594</v>
      </c>
      <c r="S1576" s="46">
        <f t="shared" si="73"/>
        <v>14.224</v>
      </c>
      <c r="T15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6" s="74" cm="1">
        <f t="array" ref="U1576">IF(SIP[[#This Row],[B/S]]="S",ABS(SIP[[#This Row],[Unit]])*(INDEX(SIP[NAV at Cost (Average)],MATCH(CONCATENATE((SIP[[#This Row],[Frequency]]-1),SIP[[#This Row],[Investor ID]]),SIP[Unique Code],0),0)),0)</f>
        <v>0</v>
      </c>
      <c r="V1576" s="74">
        <f>IF(SIP[[#This Row],[BO TRANSFER]]="YES",SIP[[#This Row],[Unit]],)</f>
        <v>0</v>
      </c>
      <c r="W1576" s="74">
        <f>SUMIFS(SIP[[#Headers],[BO UNIT TRANSFER]]:SIP[[#This Row],[BO UNIT TRANSFER]],SIP[[#Headers],[Investor ID]]:SIP[[#This Row],[Investor ID]],SIP[[#This Row],[Investor ID]])</f>
        <v>0</v>
      </c>
    </row>
    <row r="1577" spans="1:23" ht="15" customHeight="1">
      <c r="A1577" s="101">
        <v>2025</v>
      </c>
      <c r="B1577" s="101">
        <v>11</v>
      </c>
      <c r="C1577" s="101">
        <v>26</v>
      </c>
      <c r="D1577" s="65">
        <f>DATE(SIP[[#This Row],[Year]],SIP[[#This Row],[Month]],SIP[[#This Row],[Day]])</f>
        <v>45987</v>
      </c>
      <c r="E1577" s="66" t="str" cm="1">
        <f t="array" ref="E1577">INDEX(INVESTORS_LIST[INVESTOR NAME],MATCH(SIP[[#This Row],[Investor ID]],INVESTORS_LIST[INVESTOR CODE],0),)</f>
        <v>KAZI MUNTASIR ASHRAF</v>
      </c>
      <c r="F1577" s="46" t="s">
        <v>1465</v>
      </c>
      <c r="G1577" s="46">
        <f>COUNTIF(SIP[[#Headers],[Investor ID]]:SIP[[#This Row],[Investor ID]],SIP[[#This Row],[Investor ID]])</f>
        <v>1</v>
      </c>
      <c r="H1577" s="46" t="str">
        <f>CONCATENATE(SIP[[#This Row],[Frequency]],SIP[[#This Row],[Investor ID]])</f>
        <v>1A00676</v>
      </c>
      <c r="I1577" s="46" t="str">
        <f>IF(SIP[[#This Row],[B/S]]="B","BUY",(IF(SIP[[#This Row],[B/S]]="S","SELL"," ")))</f>
        <v>BUY</v>
      </c>
      <c r="J1577" s="150" t="s">
        <v>1229</v>
      </c>
      <c r="K1577" s="153">
        <v>5000</v>
      </c>
      <c r="L1577" s="122" t="s">
        <v>1230</v>
      </c>
      <c r="M1577" s="123">
        <f>SIP[[#This Row],[Amount]]/SIP[[#This Row],[Unit]]</f>
        <v>13.774104683195592</v>
      </c>
      <c r="N1577" s="71">
        <f>SIP[[#This Row],[Unit Capital]]/10</f>
        <v>363</v>
      </c>
      <c r="O1577" s="71">
        <f>SUMIFS(SIP[[#Headers],[Unit]]:SIP[[#This Row],[Unit]],SIP[[#Headers],[Investor ID]]:SIP[[#This Row],[Investor ID]],SIP[[#This Row],[Investor ID]])</f>
        <v>363</v>
      </c>
      <c r="P1577" s="153">
        <v>3630</v>
      </c>
      <c r="Q1577" s="74">
        <f>SIP[[#This Row],[Amount]]-SIP[[#This Row],[Unit Capital]]</f>
        <v>1370</v>
      </c>
      <c r="R15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577" s="46">
        <f t="shared" si="73"/>
        <v>14.224</v>
      </c>
      <c r="T15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7" s="74" cm="1">
        <f t="array" ref="U1577">IF(SIP[[#This Row],[B/S]]="S",ABS(SIP[[#This Row],[Unit]])*(INDEX(SIP[NAV at Cost (Average)],MATCH(CONCATENATE((SIP[[#This Row],[Frequency]]-1),SIP[[#This Row],[Investor ID]]),SIP[Unique Code],0),0)),0)</f>
        <v>0</v>
      </c>
      <c r="V1577" s="74">
        <f>IF(SIP[[#This Row],[BO TRANSFER]]="YES",SIP[[#This Row],[Unit]],)</f>
        <v>363</v>
      </c>
      <c r="W1577" s="74">
        <f>SUMIFS(SIP[[#Headers],[BO UNIT TRANSFER]]:SIP[[#This Row],[BO UNIT TRANSFER]],SIP[[#Headers],[Investor ID]]:SIP[[#This Row],[Investor ID]],SIP[[#This Row],[Investor ID]])</f>
        <v>363</v>
      </c>
    </row>
    <row r="1578" spans="1:23" ht="15" customHeight="1">
      <c r="A1578" s="101">
        <v>2025</v>
      </c>
      <c r="B1578" s="101">
        <v>11</v>
      </c>
      <c r="C1578" s="101">
        <v>26</v>
      </c>
      <c r="D1578" s="65">
        <f>DATE(SIP[[#This Row],[Year]],SIP[[#This Row],[Month]],SIP[[#This Row],[Day]])</f>
        <v>45987</v>
      </c>
      <c r="E1578" s="66" t="str" cm="1">
        <f t="array" ref="E1578">INDEX(INVESTORS_LIST[INVESTOR NAME],MATCH(SIP[[#This Row],[Investor ID]],INVESTORS_LIST[INVESTOR CODE],0),)</f>
        <v>SADIA PARVIN</v>
      </c>
      <c r="F1578" s="46" t="s">
        <v>1018</v>
      </c>
      <c r="G1578" s="46">
        <f>COUNTIF(SIP[[#Headers],[Investor ID]]:SIP[[#This Row],[Investor ID]],SIP[[#This Row],[Investor ID]])</f>
        <v>49</v>
      </c>
      <c r="H1578" s="46" t="str">
        <f>CONCATENATE(SIP[[#This Row],[Frequency]],SIP[[#This Row],[Investor ID]])</f>
        <v>49A00486</v>
      </c>
      <c r="I1578" s="46" t="str">
        <f>IF(SIP[[#This Row],[B/S]]="B","BUY",(IF(SIP[[#This Row],[B/S]]="S","SELL"," ")))</f>
        <v>BUY</v>
      </c>
      <c r="J1578" s="150" t="s">
        <v>1229</v>
      </c>
      <c r="K1578" s="153">
        <v>5000</v>
      </c>
      <c r="L1578" s="122"/>
      <c r="M1578" s="123">
        <f>SIP[[#This Row],[Amount]]/SIP[[#This Row],[Unit]]</f>
        <v>13.774104683195592</v>
      </c>
      <c r="N1578" s="71">
        <f>SIP[[#This Row],[Unit Capital]]/10</f>
        <v>363</v>
      </c>
      <c r="O1578" s="71">
        <f>SUMIFS(SIP[[#Headers],[Unit]]:SIP[[#This Row],[Unit]],SIP[[#Headers],[Investor ID]]:SIP[[#This Row],[Investor ID]],SIP[[#This Row],[Investor ID]])</f>
        <v>20810</v>
      </c>
      <c r="P1578" s="153">
        <v>3630</v>
      </c>
      <c r="Q1578" s="74">
        <f>SIP[[#This Row],[Amount]]-SIP[[#This Row],[Unit Capital]]</f>
        <v>1370</v>
      </c>
      <c r="R15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11.77318596828448</v>
      </c>
      <c r="S1578" s="46">
        <f t="shared" si="73"/>
        <v>14.224</v>
      </c>
      <c r="T15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8" s="74" cm="1">
        <f t="array" ref="U1578">IF(SIP[[#This Row],[B/S]]="S",ABS(SIP[[#This Row],[Unit]])*(INDEX(SIP[NAV at Cost (Average)],MATCH(CONCATENATE((SIP[[#This Row],[Frequency]]-1),SIP[[#This Row],[Investor ID]]),SIP[Unique Code],0),0)),0)</f>
        <v>0</v>
      </c>
      <c r="V1578" s="74">
        <f>IF(SIP[[#This Row],[BO TRANSFER]]="YES",SIP[[#This Row],[Unit]],)</f>
        <v>0</v>
      </c>
      <c r="W1578" s="74">
        <f>SUMIFS(SIP[[#Headers],[BO UNIT TRANSFER]]:SIP[[#This Row],[BO UNIT TRANSFER]],SIP[[#Headers],[Investor ID]]:SIP[[#This Row],[Investor ID]],SIP[[#This Row],[Investor ID]])</f>
        <v>0</v>
      </c>
    </row>
    <row r="1579" spans="1:23" ht="15" customHeight="1">
      <c r="A1579" s="101">
        <v>2025</v>
      </c>
      <c r="B1579" s="101">
        <v>11</v>
      </c>
      <c r="C1579" s="101">
        <v>26</v>
      </c>
      <c r="D1579" s="65">
        <f>DATE(SIP[[#This Row],[Year]],SIP[[#This Row],[Month]],SIP[[#This Row],[Day]])</f>
        <v>45987</v>
      </c>
      <c r="E1579" s="66" t="str" cm="1">
        <f t="array" ref="E1579">INDEX(INVESTORS_LIST[INVESTOR NAME],MATCH(SIP[[#This Row],[Investor ID]],INVESTORS_LIST[INVESTOR CODE],0),)</f>
        <v>MD. WALI ULLAH</v>
      </c>
      <c r="F1579" s="46" t="s">
        <v>443</v>
      </c>
      <c r="G1579" s="46">
        <f>COUNTIF(SIP[[#Headers],[Investor ID]]:SIP[[#This Row],[Investor ID]],SIP[[#This Row],[Investor ID]])</f>
        <v>31</v>
      </c>
      <c r="H1579" s="46" t="str">
        <f>CONCATENATE(SIP[[#This Row],[Frequency]],SIP[[#This Row],[Investor ID]])</f>
        <v>31A00197</v>
      </c>
      <c r="I1579" s="46" t="str">
        <f>IF(SIP[[#This Row],[B/S]]="B","BUY",(IF(SIP[[#This Row],[B/S]]="S","SELL"," ")))</f>
        <v>BUY</v>
      </c>
      <c r="J1579" s="150" t="s">
        <v>1229</v>
      </c>
      <c r="K1579" s="153">
        <v>15000</v>
      </c>
      <c r="L1579" s="122"/>
      <c r="M1579" s="123">
        <f>SIP[[#This Row],[Amount]]/SIP[[#This Row],[Unit]]</f>
        <v>13.774104683195592</v>
      </c>
      <c r="N1579" s="71">
        <f>SIP[[#This Row],[Unit Capital]]/10</f>
        <v>1089</v>
      </c>
      <c r="O1579" s="71">
        <f>SUMIFS(SIP[[#Headers],[Unit]]:SIP[[#This Row],[Unit]],SIP[[#Headers],[Investor ID]]:SIP[[#This Row],[Investor ID]],SIP[[#This Row],[Investor ID]])</f>
        <v>40411</v>
      </c>
      <c r="P1579" s="153">
        <v>10890</v>
      </c>
      <c r="Q1579" s="74">
        <f>SIP[[#This Row],[Amount]]-SIP[[#This Row],[Unit Capital]]</f>
        <v>4110</v>
      </c>
      <c r="R15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11.506767959219026</v>
      </c>
      <c r="S1579" s="46">
        <f t="shared" si="73"/>
        <v>14.224</v>
      </c>
      <c r="T15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9" s="74" cm="1">
        <f t="array" ref="U1579">IF(SIP[[#This Row],[B/S]]="S",ABS(SIP[[#This Row],[Unit]])*(INDEX(SIP[NAV at Cost (Average)],MATCH(CONCATENATE((SIP[[#This Row],[Frequency]]-1),SIP[[#This Row],[Investor ID]]),SIP[Unique Code],0),0)),0)</f>
        <v>0</v>
      </c>
      <c r="V1579" s="74">
        <f>IF(SIP[[#This Row],[BO TRANSFER]]="YES",SIP[[#This Row],[Unit]],)</f>
        <v>0</v>
      </c>
      <c r="W1579" s="74">
        <f>SUMIFS(SIP[[#Headers],[BO UNIT TRANSFER]]:SIP[[#This Row],[BO UNIT TRANSFER]],SIP[[#Headers],[Investor ID]]:SIP[[#This Row],[Investor ID]],SIP[[#This Row],[Investor ID]])</f>
        <v>0</v>
      </c>
    </row>
    <row r="1580" spans="1:23" ht="15" customHeight="1">
      <c r="A1580" s="101">
        <v>2025</v>
      </c>
      <c r="B1580" s="101">
        <v>11</v>
      </c>
      <c r="C1580" s="101">
        <v>26</v>
      </c>
      <c r="D1580" s="65">
        <f>DATE(SIP[[#This Row],[Year]],SIP[[#This Row],[Month]],SIP[[#This Row],[Day]])</f>
        <v>45987</v>
      </c>
      <c r="E1580" s="66" t="str" cm="1">
        <f t="array" ref="E1580">INDEX(INVESTORS_LIST[INVESTOR NAME],MATCH(SIP[[#This Row],[Investor ID]],INVESTORS_LIST[INVESTOR CODE],0),)</f>
        <v>MAYA RANI SAHA</v>
      </c>
      <c r="F1580" s="46" t="s">
        <v>224</v>
      </c>
      <c r="G1580" s="46">
        <f>COUNTIF(SIP[[#Headers],[Investor ID]]:SIP[[#This Row],[Investor ID]],SIP[[#This Row],[Investor ID]])</f>
        <v>75</v>
      </c>
      <c r="H1580" s="46" t="str">
        <f>CONCATENATE(SIP[[#This Row],[Frequency]],SIP[[#This Row],[Investor ID]])</f>
        <v>75A00088</v>
      </c>
      <c r="I1580" s="46" t="str">
        <f>IF(SIP[[#This Row],[B/S]]="B","BUY",(IF(SIP[[#This Row],[B/S]]="S","SELL"," ")))</f>
        <v>BUY</v>
      </c>
      <c r="J1580" s="150" t="s">
        <v>1229</v>
      </c>
      <c r="K1580" s="153">
        <v>14000</v>
      </c>
      <c r="L1580" s="122"/>
      <c r="M1580" s="123">
        <f>SIP[[#This Row],[Amount]]/SIP[[#This Row],[Unit]]</f>
        <v>13.779527559055119</v>
      </c>
      <c r="N1580" s="71">
        <f>SIP[[#This Row],[Unit Capital]]/10</f>
        <v>1016</v>
      </c>
      <c r="O1580" s="71">
        <f>SUMIFS(SIP[[#Headers],[Unit]]:SIP[[#This Row],[Unit]],SIP[[#Headers],[Investor ID]]:SIP[[#This Row],[Investor ID]],SIP[[#This Row],[Investor ID]])</f>
        <v>85954</v>
      </c>
      <c r="P1580" s="153">
        <v>10160</v>
      </c>
      <c r="Q1580" s="74">
        <f>SIP[[#This Row],[Amount]]-SIP[[#This Row],[Unit Capital]]</f>
        <v>3840</v>
      </c>
      <c r="R15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11.936617260395096</v>
      </c>
      <c r="S1580" s="46">
        <f t="shared" si="73"/>
        <v>14.224</v>
      </c>
      <c r="T15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0" s="74" cm="1">
        <f t="array" ref="U1580">IF(SIP[[#This Row],[B/S]]="S",ABS(SIP[[#This Row],[Unit]])*(INDEX(SIP[NAV at Cost (Average)],MATCH(CONCATENATE((SIP[[#This Row],[Frequency]]-1),SIP[[#This Row],[Investor ID]]),SIP[Unique Code],0),0)),0)</f>
        <v>0</v>
      </c>
      <c r="V1580" s="74">
        <f>IF(SIP[[#This Row],[BO TRANSFER]]="YES",SIP[[#This Row],[Unit]],)</f>
        <v>0</v>
      </c>
      <c r="W1580" s="74">
        <f>SUMIFS(SIP[[#Headers],[BO UNIT TRANSFER]]:SIP[[#This Row],[BO UNIT TRANSFER]],SIP[[#Headers],[Investor ID]]:SIP[[#This Row],[Investor ID]],SIP[[#This Row],[Investor ID]])</f>
        <v>0</v>
      </c>
    </row>
    <row r="1581" spans="1:23" ht="15" customHeight="1">
      <c r="A1581" s="101">
        <v>2025</v>
      </c>
      <c r="B1581" s="101">
        <v>11</v>
      </c>
      <c r="C1581" s="101">
        <v>26</v>
      </c>
      <c r="D1581" s="65">
        <f>DATE(SIP[[#This Row],[Year]],SIP[[#This Row],[Month]],SIP[[#This Row],[Day]])</f>
        <v>45987</v>
      </c>
      <c r="E1581" s="66" t="str" cm="1">
        <f t="array" ref="E1581">INDEX(INVESTORS_LIST[INVESTOR NAME],MATCH(SIP[[#This Row],[Investor ID]],INVESTORS_LIST[INVESTOR CODE],0),)</f>
        <v>SIKDER FAZLE RABBI</v>
      </c>
      <c r="F1581" s="46" t="s">
        <v>1032</v>
      </c>
      <c r="G1581" s="46">
        <f>COUNTIF(SIP[[#Headers],[Investor ID]]:SIP[[#This Row],[Investor ID]],SIP[[#This Row],[Investor ID]])</f>
        <v>30</v>
      </c>
      <c r="H1581" s="46" t="str">
        <f>CONCATENATE(SIP[[#This Row],[Frequency]],SIP[[#This Row],[Investor ID]])</f>
        <v>30A00493</v>
      </c>
      <c r="I1581" s="46" t="str">
        <f>IF(SIP[[#This Row],[B/S]]="B","BUY",(IF(SIP[[#This Row],[B/S]]="S","SELL"," ")))</f>
        <v>BUY</v>
      </c>
      <c r="J1581" s="150" t="s">
        <v>1229</v>
      </c>
      <c r="K1581" s="153">
        <v>5000</v>
      </c>
      <c r="L1581" s="122"/>
      <c r="M1581" s="123">
        <f>SIP[[#This Row],[Amount]]/SIP[[#This Row],[Unit]]</f>
        <v>13.774104683195592</v>
      </c>
      <c r="N1581" s="71">
        <f>SIP[[#This Row],[Unit Capital]]/10</f>
        <v>363</v>
      </c>
      <c r="O1581" s="71">
        <f>SUMIFS(SIP[[#Headers],[Unit]]:SIP[[#This Row],[Unit]],SIP[[#Headers],[Investor ID]]:SIP[[#This Row],[Investor ID]],SIP[[#This Row],[Investor ID]])</f>
        <v>12978</v>
      </c>
      <c r="P1581" s="153">
        <v>3630</v>
      </c>
      <c r="Q1581" s="74">
        <f>SIP[[#This Row],[Amount]]-SIP[[#This Row],[Unit Capital]]</f>
        <v>1370</v>
      </c>
      <c r="R15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11.558021266759132</v>
      </c>
      <c r="S1581" s="46">
        <f t="shared" si="73"/>
        <v>14.224</v>
      </c>
      <c r="T15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1" s="74" cm="1">
        <f t="array" ref="U1581">IF(SIP[[#This Row],[B/S]]="S",ABS(SIP[[#This Row],[Unit]])*(INDEX(SIP[NAV at Cost (Average)],MATCH(CONCATENATE((SIP[[#This Row],[Frequency]]-1),SIP[[#This Row],[Investor ID]]),SIP[Unique Code],0),0)),0)</f>
        <v>0</v>
      </c>
      <c r="V1581" s="74">
        <f>IF(SIP[[#This Row],[BO TRANSFER]]="YES",SIP[[#This Row],[Unit]],)</f>
        <v>0</v>
      </c>
      <c r="W1581" s="74">
        <f>SUMIFS(SIP[[#Headers],[BO UNIT TRANSFER]]:SIP[[#This Row],[BO UNIT TRANSFER]],SIP[[#Headers],[Investor ID]]:SIP[[#This Row],[Investor ID]],SIP[[#This Row],[Investor ID]])</f>
        <v>0</v>
      </c>
    </row>
    <row r="1582" spans="1:23" ht="15" customHeight="1">
      <c r="A1582" s="101">
        <v>2025</v>
      </c>
      <c r="B1582" s="101">
        <v>11</v>
      </c>
      <c r="C1582" s="101">
        <v>26</v>
      </c>
      <c r="D1582" s="65">
        <f>DATE(SIP[[#This Row],[Year]],SIP[[#This Row],[Month]],SIP[[#This Row],[Day]])</f>
        <v>45987</v>
      </c>
      <c r="E1582" s="66" t="str" cm="1">
        <f t="array" ref="E1582">INDEX(INVESTORS_LIST[INVESTOR NAME],MATCH(SIP[[#This Row],[Investor ID]],INVESTORS_LIST[INVESTOR CODE],0),)</f>
        <v>MOHAMMED SHARIFUL ISLAM</v>
      </c>
      <c r="F1582" s="46" t="s">
        <v>1028</v>
      </c>
      <c r="G1582" s="46">
        <f>COUNTIF(SIP[[#Headers],[Investor ID]]:SIP[[#This Row],[Investor ID]],SIP[[#This Row],[Investor ID]])</f>
        <v>30</v>
      </c>
      <c r="H1582" s="46" t="str">
        <f>CONCATENATE(SIP[[#This Row],[Frequency]],SIP[[#This Row],[Investor ID]])</f>
        <v>30A00491</v>
      </c>
      <c r="I1582" s="46" t="str">
        <f>IF(SIP[[#This Row],[B/S]]="B","BUY",(IF(SIP[[#This Row],[B/S]]="S","SELL"," ")))</f>
        <v>BUY</v>
      </c>
      <c r="J1582" s="150" t="s">
        <v>1229</v>
      </c>
      <c r="K1582" s="153">
        <v>5000</v>
      </c>
      <c r="L1582" s="122"/>
      <c r="M1582" s="123">
        <f>SIP[[#This Row],[Amount]]/SIP[[#This Row],[Unit]]</f>
        <v>13.774104683195592</v>
      </c>
      <c r="N1582" s="71">
        <f>SIP[[#This Row],[Unit Capital]]/10</f>
        <v>363</v>
      </c>
      <c r="O1582" s="71">
        <f>SUMIFS(SIP[[#Headers],[Unit]]:SIP[[#This Row],[Unit]],SIP[[#Headers],[Investor ID]]:SIP[[#This Row],[Investor ID]],SIP[[#This Row],[Investor ID]])</f>
        <v>12978</v>
      </c>
      <c r="P1582" s="153">
        <v>3630</v>
      </c>
      <c r="Q1582" s="74">
        <f>SIP[[#This Row],[Amount]]-SIP[[#This Row],[Unit Capital]]</f>
        <v>1370</v>
      </c>
      <c r="R15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11.558021266759132</v>
      </c>
      <c r="S1582" s="46">
        <f t="shared" si="73"/>
        <v>14.224</v>
      </c>
      <c r="T15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2" s="74" cm="1">
        <f t="array" ref="U1582">IF(SIP[[#This Row],[B/S]]="S",ABS(SIP[[#This Row],[Unit]])*(INDEX(SIP[NAV at Cost (Average)],MATCH(CONCATENATE((SIP[[#This Row],[Frequency]]-1),SIP[[#This Row],[Investor ID]]),SIP[Unique Code],0),0)),0)</f>
        <v>0</v>
      </c>
      <c r="V1582" s="74">
        <f>IF(SIP[[#This Row],[BO TRANSFER]]="YES",SIP[[#This Row],[Unit]],)</f>
        <v>0</v>
      </c>
      <c r="W1582" s="74">
        <f>SUMIFS(SIP[[#Headers],[BO UNIT TRANSFER]]:SIP[[#This Row],[BO UNIT TRANSFER]],SIP[[#Headers],[Investor ID]]:SIP[[#This Row],[Investor ID]],SIP[[#This Row],[Investor ID]])</f>
        <v>0</v>
      </c>
    </row>
    <row r="1583" spans="1:23" ht="15" customHeight="1">
      <c r="A1583" s="101">
        <v>2025</v>
      </c>
      <c r="B1583" s="101">
        <v>11</v>
      </c>
      <c r="C1583" s="101">
        <v>26</v>
      </c>
      <c r="D1583" s="65">
        <f>DATE(SIP[[#This Row],[Year]],SIP[[#This Row],[Month]],SIP[[#This Row],[Day]])</f>
        <v>45987</v>
      </c>
      <c r="E1583" s="66" t="str" cm="1">
        <f t="array" ref="E1583">INDEX(INVESTORS_LIST[INVESTOR NAME],MATCH(SIP[[#This Row],[Investor ID]],INVESTORS_LIST[INVESTOR CODE],0),)</f>
        <v>ABU MUSA MIRZA KAMRUZZAMAN SHAHEE</v>
      </c>
      <c r="F1583" s="46" t="s">
        <v>1012</v>
      </c>
      <c r="G1583" s="46">
        <f>COUNTIF(SIP[[#Headers],[Investor ID]]:SIP[[#This Row],[Investor ID]],SIP[[#This Row],[Investor ID]])</f>
        <v>30</v>
      </c>
      <c r="H1583" s="46" t="str">
        <f>CONCATENATE(SIP[[#This Row],[Frequency]],SIP[[#This Row],[Investor ID]])</f>
        <v>30A00483</v>
      </c>
      <c r="I1583" s="46" t="str">
        <f>IF(SIP[[#This Row],[B/S]]="B","BUY",(IF(SIP[[#This Row],[B/S]]="S","SELL"," ")))</f>
        <v>BUY</v>
      </c>
      <c r="J1583" s="150" t="s">
        <v>1229</v>
      </c>
      <c r="K1583" s="153">
        <v>5000</v>
      </c>
      <c r="L1583" s="122"/>
      <c r="M1583" s="123">
        <f>SIP[[#This Row],[Amount]]/SIP[[#This Row],[Unit]]</f>
        <v>13.774104683195592</v>
      </c>
      <c r="N1583" s="71">
        <f>SIP[[#This Row],[Unit Capital]]/10</f>
        <v>363</v>
      </c>
      <c r="O1583" s="71">
        <f>SUMIFS(SIP[[#Headers],[Unit]]:SIP[[#This Row],[Unit]],SIP[[#Headers],[Investor ID]]:SIP[[#This Row],[Investor ID]],SIP[[#This Row],[Investor ID]])</f>
        <v>12978</v>
      </c>
      <c r="P1583" s="153">
        <v>3630</v>
      </c>
      <c r="Q1583" s="74">
        <f>SIP[[#This Row],[Amount]]-SIP[[#This Row],[Unit Capital]]</f>
        <v>1370</v>
      </c>
      <c r="R15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11.558021266759132</v>
      </c>
      <c r="S1583" s="46">
        <f t="shared" si="73"/>
        <v>14.224</v>
      </c>
      <c r="T15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3" s="74" cm="1">
        <f t="array" ref="U1583">IF(SIP[[#This Row],[B/S]]="S",ABS(SIP[[#This Row],[Unit]])*(INDEX(SIP[NAV at Cost (Average)],MATCH(CONCATENATE((SIP[[#This Row],[Frequency]]-1),SIP[[#This Row],[Investor ID]]),SIP[Unique Code],0),0)),0)</f>
        <v>0</v>
      </c>
      <c r="V1583" s="74">
        <f>IF(SIP[[#This Row],[BO TRANSFER]]="YES",SIP[[#This Row],[Unit]],)</f>
        <v>0</v>
      </c>
      <c r="W1583" s="74">
        <f>SUMIFS(SIP[[#Headers],[BO UNIT TRANSFER]]:SIP[[#This Row],[BO UNIT TRANSFER]],SIP[[#Headers],[Investor ID]]:SIP[[#This Row],[Investor ID]],SIP[[#This Row],[Investor ID]])</f>
        <v>0</v>
      </c>
    </row>
    <row r="1584" spans="1:23" ht="15" customHeight="1">
      <c r="A1584" s="101">
        <v>2025</v>
      </c>
      <c r="B1584" s="101">
        <v>11</v>
      </c>
      <c r="C1584" s="101">
        <v>26</v>
      </c>
      <c r="D1584" s="65">
        <f>DATE(SIP[[#This Row],[Year]],SIP[[#This Row],[Month]],SIP[[#This Row],[Day]])</f>
        <v>45987</v>
      </c>
      <c r="E1584" s="66" t="str" cm="1">
        <f t="array" ref="E1584">INDEX(INVESTORS_LIST[INVESTOR NAME],MATCH(SIP[[#This Row],[Investor ID]],INVESTORS_LIST[INVESTOR CODE],0),)</f>
        <v>ASHIK IQBAL CHOWDHURY</v>
      </c>
      <c r="F1584" s="46" t="s">
        <v>1016</v>
      </c>
      <c r="G1584" s="46">
        <f>COUNTIF(SIP[[#Headers],[Investor ID]]:SIP[[#This Row],[Investor ID]],SIP[[#This Row],[Investor ID]])</f>
        <v>21</v>
      </c>
      <c r="H1584" s="46" t="str">
        <f>CONCATENATE(SIP[[#This Row],[Frequency]],SIP[[#This Row],[Investor ID]])</f>
        <v>21A00485</v>
      </c>
      <c r="I1584" s="46" t="str">
        <f>IF(SIP[[#This Row],[B/S]]="B","BUY",(IF(SIP[[#This Row],[B/S]]="S","SELL"," ")))</f>
        <v>BUY</v>
      </c>
      <c r="J1584" s="150" t="s">
        <v>1229</v>
      </c>
      <c r="K1584" s="153">
        <v>5000</v>
      </c>
      <c r="L1584" s="122"/>
      <c r="M1584" s="123">
        <f>SIP[[#This Row],[Amount]]/SIP[[#This Row],[Unit]]</f>
        <v>13.774104683195592</v>
      </c>
      <c r="N1584" s="71">
        <f>SIP[[#This Row],[Unit Capital]]/10</f>
        <v>363</v>
      </c>
      <c r="O1584" s="71">
        <f>SUMIFS(SIP[[#Headers],[Unit]]:SIP[[#This Row],[Unit]],SIP[[#Headers],[Investor ID]]:SIP[[#This Row],[Investor ID]],SIP[[#This Row],[Investor ID]])</f>
        <v>7630</v>
      </c>
      <c r="P1584" s="153">
        <v>3630</v>
      </c>
      <c r="Q1584" s="74">
        <f>SIP[[#This Row],[Amount]]-SIP[[#This Row],[Unit Capital]]</f>
        <v>1370</v>
      </c>
      <c r="R15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11.285243994531459</v>
      </c>
      <c r="S1584" s="46">
        <f t="shared" si="73"/>
        <v>14.224</v>
      </c>
      <c r="T15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4" s="74" cm="1">
        <f t="array" ref="U1584">IF(SIP[[#This Row],[B/S]]="S",ABS(SIP[[#This Row],[Unit]])*(INDEX(SIP[NAV at Cost (Average)],MATCH(CONCATENATE((SIP[[#This Row],[Frequency]]-1),SIP[[#This Row],[Investor ID]]),SIP[Unique Code],0),0)),0)</f>
        <v>0</v>
      </c>
      <c r="V1584" s="74">
        <f>IF(SIP[[#This Row],[BO TRANSFER]]="YES",SIP[[#This Row],[Unit]],)</f>
        <v>0</v>
      </c>
      <c r="W1584" s="74">
        <f>SUMIFS(SIP[[#Headers],[BO UNIT TRANSFER]]:SIP[[#This Row],[BO UNIT TRANSFER]],SIP[[#Headers],[Investor ID]]:SIP[[#This Row],[Investor ID]],SIP[[#This Row],[Investor ID]])</f>
        <v>0</v>
      </c>
    </row>
    <row r="1585" spans="1:23" ht="15" customHeight="1">
      <c r="A1585" s="101">
        <v>2025</v>
      </c>
      <c r="B1585" s="101">
        <v>11</v>
      </c>
      <c r="C1585" s="101">
        <v>26</v>
      </c>
      <c r="D1585" s="65">
        <f>DATE(SIP[[#This Row],[Year]],SIP[[#This Row],[Month]],SIP[[#This Row],[Day]])</f>
        <v>45987</v>
      </c>
      <c r="E1585" s="66" t="str" cm="1">
        <f t="array" ref="E1585">INDEX(INVESTORS_LIST[INVESTOR NAME],MATCH(SIP[[#This Row],[Investor ID]],INVESTORS_LIST[INVESTOR CODE],0),)</f>
        <v>SUMAN SAHA</v>
      </c>
      <c r="F1585" s="46" t="s">
        <v>1022</v>
      </c>
      <c r="G1585" s="46">
        <f>COUNTIF(SIP[[#Headers],[Investor ID]]:SIP[[#This Row],[Investor ID]],SIP[[#This Row],[Investor ID]])</f>
        <v>30</v>
      </c>
      <c r="H1585" s="46" t="str">
        <f>CONCATENATE(SIP[[#This Row],[Frequency]],SIP[[#This Row],[Investor ID]])</f>
        <v>30A00488</v>
      </c>
      <c r="I1585" s="46" t="str">
        <f>IF(SIP[[#This Row],[B/S]]="B","BUY",(IF(SIP[[#This Row],[B/S]]="S","SELL"," ")))</f>
        <v>BUY</v>
      </c>
      <c r="J1585" s="150" t="s">
        <v>1229</v>
      </c>
      <c r="K1585" s="153">
        <v>5000</v>
      </c>
      <c r="L1585" s="122"/>
      <c r="M1585" s="123">
        <f>SIP[[#This Row],[Amount]]/SIP[[#This Row],[Unit]]</f>
        <v>13.774104683195592</v>
      </c>
      <c r="N1585" s="71">
        <f>SIP[[#This Row],[Unit Capital]]/10</f>
        <v>363</v>
      </c>
      <c r="O1585" s="71">
        <f>SUMIFS(SIP[[#Headers],[Unit]]:SIP[[#This Row],[Unit]],SIP[[#Headers],[Investor ID]]:SIP[[#This Row],[Investor ID]],SIP[[#This Row],[Investor ID]])</f>
        <v>12978</v>
      </c>
      <c r="P1585" s="153">
        <v>3630</v>
      </c>
      <c r="Q1585" s="74">
        <f>SIP[[#This Row],[Amount]]-SIP[[#This Row],[Unit Capital]]</f>
        <v>1370</v>
      </c>
      <c r="R15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11.558021266759132</v>
      </c>
      <c r="S1585" s="46">
        <f t="shared" si="73"/>
        <v>14.224</v>
      </c>
      <c r="T15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5" s="74" cm="1">
        <f t="array" ref="U1585">IF(SIP[[#This Row],[B/S]]="S",ABS(SIP[[#This Row],[Unit]])*(INDEX(SIP[NAV at Cost (Average)],MATCH(CONCATENATE((SIP[[#This Row],[Frequency]]-1),SIP[[#This Row],[Investor ID]]),SIP[Unique Code],0),0)),0)</f>
        <v>0</v>
      </c>
      <c r="V1585" s="74">
        <f>IF(SIP[[#This Row],[BO TRANSFER]]="YES",SIP[[#This Row],[Unit]],)</f>
        <v>0</v>
      </c>
      <c r="W1585" s="74">
        <f>SUMIFS(SIP[[#Headers],[BO UNIT TRANSFER]]:SIP[[#This Row],[BO UNIT TRANSFER]],SIP[[#Headers],[Investor ID]]:SIP[[#This Row],[Investor ID]],SIP[[#This Row],[Investor ID]])</f>
        <v>0</v>
      </c>
    </row>
    <row r="1586" spans="1:23" ht="15" customHeight="1">
      <c r="A1586" s="101">
        <v>2025</v>
      </c>
      <c r="B1586" s="101">
        <v>11</v>
      </c>
      <c r="C1586" s="101">
        <v>26</v>
      </c>
      <c r="D1586" s="65">
        <f>DATE(SIP[[#This Row],[Year]],SIP[[#This Row],[Month]],SIP[[#This Row],[Day]])</f>
        <v>45987</v>
      </c>
      <c r="E1586" s="66" t="str" cm="1">
        <f t="array" ref="E1586">INDEX(INVESTORS_LIST[INVESTOR NAME],MATCH(SIP[[#This Row],[Investor ID]],INVESTORS_LIST[INVESTOR CODE],0),)</f>
        <v>JUBAIDA FARHANA HAQUE</v>
      </c>
      <c r="F1586" s="46" t="s">
        <v>1065</v>
      </c>
      <c r="G1586" s="46">
        <f>COUNTIF(SIP[[#Headers],[Investor ID]]:SIP[[#This Row],[Investor ID]],SIP[[#This Row],[Investor ID]])</f>
        <v>28</v>
      </c>
      <c r="H1586" s="46" t="str">
        <f>CONCATENATE(SIP[[#This Row],[Frequency]],SIP[[#This Row],[Investor ID]])</f>
        <v>28A00510</v>
      </c>
      <c r="I1586" s="46" t="str">
        <f>IF(SIP[[#This Row],[B/S]]="B","BUY",(IF(SIP[[#This Row],[B/S]]="S","SELL"," ")))</f>
        <v>BUY</v>
      </c>
      <c r="J1586" s="150" t="s">
        <v>1229</v>
      </c>
      <c r="K1586" s="153">
        <v>5000</v>
      </c>
      <c r="L1586" s="122"/>
      <c r="M1586" s="123">
        <f>SIP[[#This Row],[Amount]]/SIP[[#This Row],[Unit]]</f>
        <v>13.774104683195592</v>
      </c>
      <c r="N1586" s="71">
        <f>SIP[[#This Row],[Unit Capital]]/10</f>
        <v>363</v>
      </c>
      <c r="O1586" s="71">
        <f>SUMIFS(SIP[[#Headers],[Unit]]:SIP[[#This Row],[Unit]],SIP[[#Headers],[Investor ID]]:SIP[[#This Row],[Investor ID]],SIP[[#This Row],[Investor ID]])</f>
        <v>11054</v>
      </c>
      <c r="P1586" s="153">
        <v>3630</v>
      </c>
      <c r="Q1586" s="74">
        <f>SIP[[#This Row],[Amount]]-SIP[[#This Row],[Unit Capital]]</f>
        <v>1370</v>
      </c>
      <c r="R15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11.761875598938166</v>
      </c>
      <c r="S1586" s="46">
        <f t="shared" si="73"/>
        <v>14.224</v>
      </c>
      <c r="T15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6" s="74" cm="1">
        <f t="array" ref="U1586">IF(SIP[[#This Row],[B/S]]="S",ABS(SIP[[#This Row],[Unit]])*(INDEX(SIP[NAV at Cost (Average)],MATCH(CONCATENATE((SIP[[#This Row],[Frequency]]-1),SIP[[#This Row],[Investor ID]]),SIP[Unique Code],0),0)),0)</f>
        <v>0</v>
      </c>
      <c r="V1586" s="74">
        <f>IF(SIP[[#This Row],[BO TRANSFER]]="YES",SIP[[#This Row],[Unit]],)</f>
        <v>0</v>
      </c>
      <c r="W1586" s="74">
        <f>SUMIFS(SIP[[#Headers],[BO UNIT TRANSFER]]:SIP[[#This Row],[BO UNIT TRANSFER]],SIP[[#Headers],[Investor ID]]:SIP[[#This Row],[Investor ID]],SIP[[#This Row],[Investor ID]])</f>
        <v>0</v>
      </c>
    </row>
    <row r="1587" spans="1:23" ht="15" customHeight="1">
      <c r="A1587" s="101">
        <v>2025</v>
      </c>
      <c r="B1587" s="101">
        <v>11</v>
      </c>
      <c r="C1587" s="101">
        <v>26</v>
      </c>
      <c r="D1587" s="65">
        <f>DATE(SIP[[#This Row],[Year]],SIP[[#This Row],[Month]],SIP[[#This Row],[Day]])</f>
        <v>45987</v>
      </c>
      <c r="E1587" s="66" t="str" cm="1">
        <f t="array" ref="E1587">INDEX(INVESTORS_LIST[INVESTOR NAME],MATCH(SIP[[#This Row],[Investor ID]],INVESTORS_LIST[INVESTOR CODE],0),)</f>
        <v>MAYA RANI SAHA</v>
      </c>
      <c r="F1587" s="46" t="s">
        <v>224</v>
      </c>
      <c r="G1587" s="46">
        <f>COUNTIF(SIP[[#Headers],[Investor ID]]:SIP[[#This Row],[Investor ID]],SIP[[#This Row],[Investor ID]])</f>
        <v>76</v>
      </c>
      <c r="H1587" s="46" t="str">
        <f>CONCATENATE(SIP[[#This Row],[Frequency]],SIP[[#This Row],[Investor ID]])</f>
        <v>76A00088</v>
      </c>
      <c r="I1587" s="46" t="str">
        <f>IF(SIP[[#This Row],[B/S]]="B","BUY",(IF(SIP[[#This Row],[B/S]]="S","SELL"," ")))</f>
        <v>BUY</v>
      </c>
      <c r="J1587" s="150" t="s">
        <v>1229</v>
      </c>
      <c r="K1587" s="153">
        <v>20000</v>
      </c>
      <c r="L1587" s="122"/>
      <c r="M1587" s="123">
        <f>SIP[[#This Row],[Amount]]/SIP[[#This Row],[Unit]]</f>
        <v>13.783597518952446</v>
      </c>
      <c r="N1587" s="71">
        <f>SIP[[#This Row],[Unit Capital]]/10</f>
        <v>1451</v>
      </c>
      <c r="O1587" s="71">
        <f>SUMIFS(SIP[[#Headers],[Unit]]:SIP[[#This Row],[Unit]],SIP[[#Headers],[Investor ID]]:SIP[[#This Row],[Investor ID]],SIP[[#This Row],[Investor ID]])</f>
        <v>87405</v>
      </c>
      <c r="P1587" s="153">
        <v>14510</v>
      </c>
      <c r="Q1587" s="74">
        <f>SIP[[#This Row],[Amount]]-SIP[[#This Row],[Unit Capital]]</f>
        <v>5490</v>
      </c>
      <c r="R15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11.967278759796351</v>
      </c>
      <c r="S1587" s="46">
        <f t="shared" si="73"/>
        <v>14.224</v>
      </c>
      <c r="T15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7" s="74" cm="1">
        <f t="array" ref="U1587">IF(SIP[[#This Row],[B/S]]="S",ABS(SIP[[#This Row],[Unit]])*(INDEX(SIP[NAV at Cost (Average)],MATCH(CONCATENATE((SIP[[#This Row],[Frequency]]-1),SIP[[#This Row],[Investor ID]]),SIP[Unique Code],0),0)),0)</f>
        <v>0</v>
      </c>
      <c r="V1587" s="74">
        <f>IF(SIP[[#This Row],[BO TRANSFER]]="YES",SIP[[#This Row],[Unit]],)</f>
        <v>0</v>
      </c>
      <c r="W1587" s="74">
        <f>SUMIFS(SIP[[#Headers],[BO UNIT TRANSFER]]:SIP[[#This Row],[BO UNIT TRANSFER]],SIP[[#Headers],[Investor ID]]:SIP[[#This Row],[Investor ID]],SIP[[#This Row],[Investor ID]])</f>
        <v>0</v>
      </c>
    </row>
    <row r="1588" spans="1:23" ht="15" customHeight="1">
      <c r="A1588" s="101">
        <v>2025</v>
      </c>
      <c r="B1588" s="101">
        <v>11</v>
      </c>
      <c r="C1588" s="101">
        <v>26</v>
      </c>
      <c r="D1588" s="65">
        <f>DATE(SIP[[#This Row],[Year]],SIP[[#This Row],[Month]],SIP[[#This Row],[Day]])</f>
        <v>45987</v>
      </c>
      <c r="E1588" s="66" t="str" cm="1">
        <f t="array" ref="E1588">INDEX(INVESTORS_LIST[INVESTOR NAME],MATCH(SIP[[#This Row],[Investor ID]],INVESTORS_LIST[INVESTOR CODE],0),)</f>
        <v>MUHAMMAD SHOHIDUZZAMAN</v>
      </c>
      <c r="F1588" s="46" t="s">
        <v>986</v>
      </c>
      <c r="G1588" s="46">
        <f>COUNTIF(SIP[[#Headers],[Investor ID]]:SIP[[#This Row],[Investor ID]],SIP[[#This Row],[Investor ID]])</f>
        <v>25</v>
      </c>
      <c r="H1588" s="46" t="str">
        <f>CONCATENATE(SIP[[#This Row],[Frequency]],SIP[[#This Row],[Investor ID]])</f>
        <v>25A00470</v>
      </c>
      <c r="I1588" s="46" t="str">
        <f>IF(SIP[[#This Row],[B/S]]="B","BUY",(IF(SIP[[#This Row],[B/S]]="S","SELL"," ")))</f>
        <v>BUY</v>
      </c>
      <c r="J1588" s="150" t="s">
        <v>1229</v>
      </c>
      <c r="K1588" s="153">
        <v>10000</v>
      </c>
      <c r="L1588" s="122"/>
      <c r="M1588" s="123">
        <f>SIP[[#This Row],[Amount]]/SIP[[#This Row],[Unit]]</f>
        <v>13.774104683195592</v>
      </c>
      <c r="N1588" s="71">
        <f>SIP[[#This Row],[Unit Capital]]/10</f>
        <v>726</v>
      </c>
      <c r="O1588" s="71">
        <f>SUMIFS(SIP[[#Headers],[Unit]]:SIP[[#This Row],[Unit]],SIP[[#Headers],[Investor ID]]:SIP[[#This Row],[Investor ID]],SIP[[#This Row],[Investor ID]])</f>
        <v>21158</v>
      </c>
      <c r="P1588" s="153">
        <v>7260</v>
      </c>
      <c r="Q1588" s="74">
        <f>SIP[[#This Row],[Amount]]-SIP[[#This Row],[Unit Capital]]</f>
        <v>2740</v>
      </c>
      <c r="R15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11.81586161262879</v>
      </c>
      <c r="S1588" s="46">
        <f t="shared" si="73"/>
        <v>14.224</v>
      </c>
      <c r="T15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8" s="74" cm="1">
        <f t="array" ref="U1588">IF(SIP[[#This Row],[B/S]]="S",ABS(SIP[[#This Row],[Unit]])*(INDEX(SIP[NAV at Cost (Average)],MATCH(CONCATENATE((SIP[[#This Row],[Frequency]]-1),SIP[[#This Row],[Investor ID]]),SIP[Unique Code],0),0)),0)</f>
        <v>0</v>
      </c>
      <c r="V1588" s="74">
        <f>IF(SIP[[#This Row],[BO TRANSFER]]="YES",SIP[[#This Row],[Unit]],)</f>
        <v>0</v>
      </c>
      <c r="W1588" s="74">
        <f>SUMIFS(SIP[[#Headers],[BO UNIT TRANSFER]]:SIP[[#This Row],[BO UNIT TRANSFER]],SIP[[#Headers],[Investor ID]]:SIP[[#This Row],[Investor ID]],SIP[[#This Row],[Investor ID]])</f>
        <v>18200</v>
      </c>
    </row>
    <row r="1589" spans="1:23" ht="15" customHeight="1">
      <c r="A1589" s="101">
        <v>2025</v>
      </c>
      <c r="B1589" s="101">
        <v>11</v>
      </c>
      <c r="C1589" s="101">
        <v>26</v>
      </c>
      <c r="D1589" s="65">
        <f>DATE(SIP[[#This Row],[Year]],SIP[[#This Row],[Month]],SIP[[#This Row],[Day]])</f>
        <v>45987</v>
      </c>
      <c r="E1589" s="66" t="str" cm="1">
        <f t="array" ref="E1589">INDEX(INVESTORS_LIST[INVESTOR NAME],MATCH(SIP[[#This Row],[Investor ID]],INVESTORS_LIST[INVESTOR CODE],0),)</f>
        <v>ADNAN RASHID</v>
      </c>
      <c r="F1589" s="46" t="s">
        <v>252</v>
      </c>
      <c r="G1589" s="46">
        <f>COUNTIF(SIP[[#Headers],[Investor ID]]:SIP[[#This Row],[Investor ID]],SIP[[#This Row],[Investor ID]])</f>
        <v>27</v>
      </c>
      <c r="H1589" s="46" t="str">
        <f>CONCATENATE(SIP[[#This Row],[Frequency]],SIP[[#This Row],[Investor ID]])</f>
        <v>27A00102</v>
      </c>
      <c r="I1589" s="46" t="str">
        <f>IF(SIP[[#This Row],[B/S]]="B","BUY",(IF(SIP[[#This Row],[B/S]]="S","SELL"," ")))</f>
        <v>BUY</v>
      </c>
      <c r="J1589" s="150" t="s">
        <v>1229</v>
      </c>
      <c r="K1589" s="153">
        <v>30000</v>
      </c>
      <c r="L1589" s="122"/>
      <c r="M1589" s="123">
        <f>SIP[[#This Row],[Amount]]/SIP[[#This Row],[Unit]]</f>
        <v>13.780431786862655</v>
      </c>
      <c r="N1589" s="71">
        <f>SIP[[#This Row],[Unit Capital]]/10</f>
        <v>2177</v>
      </c>
      <c r="O1589" s="71">
        <f>SUMIFS(SIP[[#Headers],[Unit]]:SIP[[#This Row],[Unit]],SIP[[#Headers],[Investor ID]]:SIP[[#This Row],[Investor ID]],SIP[[#This Row],[Investor ID]])</f>
        <v>48550</v>
      </c>
      <c r="P1589" s="153">
        <v>21770</v>
      </c>
      <c r="Q1589" s="74">
        <f>SIP[[#This Row],[Amount]]-SIP[[#This Row],[Unit Capital]]</f>
        <v>8230</v>
      </c>
      <c r="R15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12.050991817838955</v>
      </c>
      <c r="S1589" s="46">
        <f t="shared" si="73"/>
        <v>14.224</v>
      </c>
      <c r="T15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9" s="74" cm="1">
        <f t="array" ref="U1589">IF(SIP[[#This Row],[B/S]]="S",ABS(SIP[[#This Row],[Unit]])*(INDEX(SIP[NAV at Cost (Average)],MATCH(CONCATENATE((SIP[[#This Row],[Frequency]]-1),SIP[[#This Row],[Investor ID]]),SIP[Unique Code],0),0)),0)</f>
        <v>0</v>
      </c>
      <c r="V1589" s="74">
        <f>IF(SIP[[#This Row],[BO TRANSFER]]="YES",SIP[[#This Row],[Unit]],)</f>
        <v>0</v>
      </c>
      <c r="W1589" s="74">
        <f>SUMIFS(SIP[[#Headers],[BO UNIT TRANSFER]]:SIP[[#This Row],[BO UNIT TRANSFER]],SIP[[#Headers],[Investor ID]]:SIP[[#This Row],[Investor ID]],SIP[[#This Row],[Investor ID]])</f>
        <v>0</v>
      </c>
    </row>
    <row r="1590" spans="1:23" ht="15" customHeight="1">
      <c r="A1590" s="101">
        <v>2025</v>
      </c>
      <c r="B1590" s="101">
        <v>11</v>
      </c>
      <c r="C1590" s="101">
        <v>26</v>
      </c>
      <c r="D1590" s="65">
        <f>DATE(SIP[[#This Row],[Year]],SIP[[#This Row],[Month]],SIP[[#This Row],[Day]])</f>
        <v>45987</v>
      </c>
      <c r="E1590" s="66" t="str" cm="1">
        <f t="array" ref="E1590">INDEX(INVESTORS_LIST[INVESTOR NAME],MATCH(SIP[[#This Row],[Investor ID]],INVESTORS_LIST[INVESTOR CODE],0),)</f>
        <v>MD ABDULLAH-AL- MAMUN</v>
      </c>
      <c r="F1590" s="46" t="s">
        <v>533</v>
      </c>
      <c r="G1590" s="46">
        <f>COUNTIF(SIP[[#Headers],[Investor ID]]:SIP[[#This Row],[Investor ID]],SIP[[#This Row],[Investor ID]])</f>
        <v>33</v>
      </c>
      <c r="H1590" s="46" t="str">
        <f>CONCATENATE(SIP[[#This Row],[Frequency]],SIP[[#This Row],[Investor ID]])</f>
        <v>33A00242</v>
      </c>
      <c r="I1590" s="46" t="str">
        <f>IF(SIP[[#This Row],[B/S]]="B","BUY",(IF(SIP[[#This Row],[B/S]]="S","SELL"," ")))</f>
        <v>BUY</v>
      </c>
      <c r="J1590" s="150" t="s">
        <v>1229</v>
      </c>
      <c r="K1590" s="153">
        <v>15000</v>
      </c>
      <c r="L1590" s="122"/>
      <c r="M1590" s="123">
        <f>SIP[[#This Row],[Amount]]/SIP[[#This Row],[Unit]]</f>
        <v>13.774104683195592</v>
      </c>
      <c r="N1590" s="71">
        <f>SIP[[#This Row],[Unit Capital]]/10</f>
        <v>1089</v>
      </c>
      <c r="O1590" s="71">
        <f>SUMIFS(SIP[[#Headers],[Unit]]:SIP[[#This Row],[Unit]],SIP[[#Headers],[Investor ID]]:SIP[[#This Row],[Investor ID]],SIP[[#This Row],[Investor ID]])</f>
        <v>7466</v>
      </c>
      <c r="P1590" s="153">
        <v>10890</v>
      </c>
      <c r="Q1590" s="74">
        <f>SIP[[#This Row],[Amount]]-SIP[[#This Row],[Unit Capital]]</f>
        <v>4110</v>
      </c>
      <c r="R15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13.120227479425251</v>
      </c>
      <c r="S1590" s="46">
        <f t="shared" si="73"/>
        <v>14.224</v>
      </c>
      <c r="T15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0" s="74" cm="1">
        <f t="array" ref="U1590">IF(SIP[[#This Row],[B/S]]="S",ABS(SIP[[#This Row],[Unit]])*(INDEX(SIP[NAV at Cost (Average)],MATCH(CONCATENATE((SIP[[#This Row],[Frequency]]-1),SIP[[#This Row],[Investor ID]]),SIP[Unique Code],0),0)),0)</f>
        <v>0</v>
      </c>
      <c r="V1590" s="74">
        <f>IF(SIP[[#This Row],[BO TRANSFER]]="YES",SIP[[#This Row],[Unit]],)</f>
        <v>0</v>
      </c>
      <c r="W1590" s="74">
        <f>SUMIFS(SIP[[#Headers],[BO UNIT TRANSFER]]:SIP[[#This Row],[BO UNIT TRANSFER]],SIP[[#Headers],[Investor ID]]:SIP[[#This Row],[Investor ID]],SIP[[#This Row],[Investor ID]])</f>
        <v>0</v>
      </c>
    </row>
    <row r="1591" spans="1:23" ht="15" customHeight="1">
      <c r="A1591" s="101">
        <v>2025</v>
      </c>
      <c r="B1591" s="101">
        <v>12</v>
      </c>
      <c r="C1591" s="101">
        <v>1</v>
      </c>
      <c r="D1591" s="65">
        <f>DATE(SIP[[#This Row],[Year]],SIP[[#This Row],[Month]],SIP[[#This Row],[Day]])</f>
        <v>45992</v>
      </c>
      <c r="E1591" s="66" t="str" cm="1">
        <f t="array" ref="E1591">INDEX(INVESTORS_LIST[INVESTOR NAME],MATCH(SIP[[#This Row],[Investor ID]],INVESTORS_LIST[INVESTOR CODE],0),)</f>
        <v>MD. SAIFUL ISLAM</v>
      </c>
      <c r="F1591" s="46" t="s">
        <v>1425</v>
      </c>
      <c r="G1591" s="46">
        <f>COUNTIF(SIP[[#Headers],[Investor ID]]:SIP[[#This Row],[Investor ID]],SIP[[#This Row],[Investor ID]])</f>
        <v>3</v>
      </c>
      <c r="H1591" s="46" t="str">
        <f>CONCATENATE(SIP[[#This Row],[Frequency]],SIP[[#This Row],[Investor ID]])</f>
        <v>3A00658</v>
      </c>
      <c r="I1591" s="46" t="str">
        <f>IF(SIP[[#This Row],[B/S]]="B","BUY",(IF(SIP[[#This Row],[B/S]]="S","SELL"," ")))</f>
        <v>BUY</v>
      </c>
      <c r="J1591" s="150" t="s">
        <v>1229</v>
      </c>
      <c r="K1591" s="152">
        <v>10000</v>
      </c>
      <c r="L1591" s="122"/>
      <c r="M1591" s="123">
        <f>SIP[[#This Row],[Amount]]/SIP[[#This Row],[Unit]]</f>
        <v>13.774104683195592</v>
      </c>
      <c r="N1591" s="71">
        <f>SIP[[#This Row],[Unit Capital]]/10</f>
        <v>726</v>
      </c>
      <c r="O1591" s="71">
        <f>SUMIFS(SIP[[#Headers],[Unit]]:SIP[[#This Row],[Unit]],SIP[[#Headers],[Investor ID]]:SIP[[#This Row],[Investor ID]],SIP[[#This Row],[Investor ID]])</f>
        <v>2197</v>
      </c>
      <c r="P1591" s="153">
        <v>7260</v>
      </c>
      <c r="Q1591" s="74">
        <f>SIP[[#This Row],[Amount]]-SIP[[#This Row],[Unit Capital]]</f>
        <v>2740</v>
      </c>
      <c r="R15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13.654984069185252</v>
      </c>
      <c r="S1591" s="46">
        <f t="shared" ref="S1591:S1598" si="74">NAV_MKT</f>
        <v>14.224</v>
      </c>
      <c r="T15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1" s="74" cm="1">
        <f t="array" ref="U1591">IF(SIP[[#This Row],[B/S]]="S",ABS(SIP[[#This Row],[Unit]])*(INDEX(SIP[NAV at Cost (Average)],MATCH(CONCATENATE((SIP[[#This Row],[Frequency]]-1),SIP[[#This Row],[Investor ID]]),SIP[Unique Code],0),0)),0)</f>
        <v>0</v>
      </c>
      <c r="V1591" s="74">
        <f>IF(SIP[[#This Row],[BO TRANSFER]]="YES",SIP[[#This Row],[Unit]],)</f>
        <v>0</v>
      </c>
      <c r="W1591" s="74">
        <f>SUMIFS(SIP[[#Headers],[BO UNIT TRANSFER]]:SIP[[#This Row],[BO UNIT TRANSFER]],SIP[[#Headers],[Investor ID]]:SIP[[#This Row],[Investor ID]],SIP[[#This Row],[Investor ID]])</f>
        <v>0</v>
      </c>
    </row>
    <row r="1592" spans="1:23" ht="15" customHeight="1">
      <c r="A1592" s="101">
        <v>2025</v>
      </c>
      <c r="B1592" s="101">
        <v>12</v>
      </c>
      <c r="C1592" s="101">
        <v>5</v>
      </c>
      <c r="D1592" s="65">
        <f>DATE(SIP[[#This Row],[Year]],SIP[[#This Row],[Month]],SIP[[#This Row],[Day]])</f>
        <v>45996</v>
      </c>
      <c r="E1592" s="66" t="str" cm="1">
        <f t="array" ref="E1592">INDEX(INVESTORS_LIST[INVESTOR NAME],MATCH(SIP[[#This Row],[Investor ID]],INVESTORS_LIST[INVESTOR CODE],0),)</f>
        <v>SHUVA SAHA</v>
      </c>
      <c r="F1592" s="46" t="s">
        <v>154</v>
      </c>
      <c r="G1592" s="46">
        <f>COUNTIF(SIP[[#Headers],[Investor ID]]:SIP[[#This Row],[Investor ID]],SIP[[#This Row],[Investor ID]])</f>
        <v>29</v>
      </c>
      <c r="H1592" s="46" t="str">
        <f>CONCATENATE(SIP[[#This Row],[Frequency]],SIP[[#This Row],[Investor ID]])</f>
        <v>29A00053</v>
      </c>
      <c r="I1592" s="46" t="str">
        <f>IF(SIP[[#This Row],[B/S]]="B","BUY",(IF(SIP[[#This Row],[B/S]]="S","SELL"," ")))</f>
        <v>BUY</v>
      </c>
      <c r="J1592" s="150" t="s">
        <v>1229</v>
      </c>
      <c r="K1592" s="153">
        <v>70000</v>
      </c>
      <c r="L1592" s="122"/>
      <c r="M1592" s="123">
        <f>SIP[[#This Row],[Amount]]/SIP[[#This Row],[Unit]]</f>
        <v>13.765978367748279</v>
      </c>
      <c r="N1592" s="71">
        <f>SIP[[#This Row],[Unit Capital]]/10</f>
        <v>5085</v>
      </c>
      <c r="O1592" s="71">
        <f>SUMIFS(SIP[[#Headers],[Unit]]:SIP[[#This Row],[Unit]],SIP[[#Headers],[Investor ID]]:SIP[[#This Row],[Investor ID]],SIP[[#This Row],[Investor ID]])</f>
        <v>10209</v>
      </c>
      <c r="P1592" s="153">
        <v>50850</v>
      </c>
      <c r="Q1592" s="74">
        <f>SIP[[#This Row],[Amount]]-SIP[[#This Row],[Unit Capital]]</f>
        <v>19150</v>
      </c>
      <c r="R15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13.713390145949651</v>
      </c>
      <c r="S1592" s="46">
        <f t="shared" si="74"/>
        <v>14.224</v>
      </c>
      <c r="T15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2" s="74" cm="1">
        <f t="array" ref="U1592">IF(SIP[[#This Row],[B/S]]="S",ABS(SIP[[#This Row],[Unit]])*(INDEX(SIP[NAV at Cost (Average)],MATCH(CONCATENATE((SIP[[#This Row],[Frequency]]-1),SIP[[#This Row],[Investor ID]]),SIP[Unique Code],0),0)),0)</f>
        <v>0</v>
      </c>
      <c r="V1592" s="74">
        <f>IF(SIP[[#This Row],[BO TRANSFER]]="YES",SIP[[#This Row],[Unit]],)</f>
        <v>0</v>
      </c>
      <c r="W1592" s="74">
        <f>SUMIFS(SIP[[#Headers],[BO UNIT TRANSFER]]:SIP[[#This Row],[BO UNIT TRANSFER]],SIP[[#Headers],[Investor ID]]:SIP[[#This Row],[Investor ID]],SIP[[#This Row],[Investor ID]])</f>
        <v>0</v>
      </c>
    </row>
    <row r="1593" spans="1:23" ht="15" customHeight="1">
      <c r="A1593" s="101">
        <v>2025</v>
      </c>
      <c r="B1593" s="101">
        <v>12</v>
      </c>
      <c r="C1593" s="101">
        <v>5</v>
      </c>
      <c r="D1593" s="65">
        <f>DATE(SIP[[#This Row],[Year]],SIP[[#This Row],[Month]],SIP[[#This Row],[Day]])</f>
        <v>45996</v>
      </c>
      <c r="E1593" s="66" t="str" cm="1">
        <f t="array" ref="E1593">INDEX(INVESTORS_LIST[INVESTOR NAME],MATCH(SIP[[#This Row],[Investor ID]],INVESTORS_LIST[INVESTOR CODE],0),)</f>
        <v>FAIYEAD AHMEDUL HYE</v>
      </c>
      <c r="F1593" s="46" t="s">
        <v>368</v>
      </c>
      <c r="G1593" s="46">
        <f>COUNTIF(SIP[[#Headers],[Investor ID]]:SIP[[#This Row],[Investor ID]],SIP[[#This Row],[Investor ID]])</f>
        <v>28</v>
      </c>
      <c r="H1593" s="46" t="str">
        <f>CONCATENATE(SIP[[#This Row],[Frequency]],SIP[[#This Row],[Investor ID]])</f>
        <v>28A00160</v>
      </c>
      <c r="I1593" s="46" t="str">
        <f>IF(SIP[[#This Row],[B/S]]="B","BUY",(IF(SIP[[#This Row],[B/S]]="S","SELL"," ")))</f>
        <v>BUY</v>
      </c>
      <c r="J1593" s="150" t="s">
        <v>1229</v>
      </c>
      <c r="K1593" s="153">
        <v>15000</v>
      </c>
      <c r="L1593" s="122"/>
      <c r="M1593" s="123">
        <f>SIP[[#This Row],[Amount]]/SIP[[#This Row],[Unit]]</f>
        <v>13.761467889908257</v>
      </c>
      <c r="N1593" s="71">
        <f>SIP[[#This Row],[Unit Capital]]/10</f>
        <v>1090</v>
      </c>
      <c r="O1593" s="71">
        <f>SUMIFS(SIP[[#Headers],[Unit]]:SIP[[#This Row],[Unit]],SIP[[#Headers],[Investor ID]]:SIP[[#This Row],[Investor ID]],SIP[[#This Row],[Investor ID]])</f>
        <v>36876</v>
      </c>
      <c r="P1593" s="153">
        <v>10900</v>
      </c>
      <c r="Q1593" s="74">
        <f>SIP[[#This Row],[Amount]]-SIP[[#This Row],[Unit Capital]]</f>
        <v>4100</v>
      </c>
      <c r="R15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11.389521640091118</v>
      </c>
      <c r="S1593" s="46">
        <f t="shared" si="74"/>
        <v>14.224</v>
      </c>
      <c r="T15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3" s="74" cm="1">
        <f t="array" ref="U1593">IF(SIP[[#This Row],[B/S]]="S",ABS(SIP[[#This Row],[Unit]])*(INDEX(SIP[NAV at Cost (Average)],MATCH(CONCATENATE((SIP[[#This Row],[Frequency]]-1),SIP[[#This Row],[Investor ID]]),SIP[Unique Code],0),0)),0)</f>
        <v>0</v>
      </c>
      <c r="V1593" s="74">
        <f>IF(SIP[[#This Row],[BO TRANSFER]]="YES",SIP[[#This Row],[Unit]],)</f>
        <v>0</v>
      </c>
      <c r="W1593" s="74">
        <f>SUMIFS(SIP[[#Headers],[BO UNIT TRANSFER]]:SIP[[#This Row],[BO UNIT TRANSFER]],SIP[[#Headers],[Investor ID]]:SIP[[#This Row],[Investor ID]],SIP[[#This Row],[Investor ID]])</f>
        <v>0</v>
      </c>
    </row>
    <row r="1594" spans="1:23" ht="15" customHeight="1">
      <c r="A1594" s="101">
        <v>2025</v>
      </c>
      <c r="B1594" s="101">
        <v>12</v>
      </c>
      <c r="C1594" s="101">
        <v>5</v>
      </c>
      <c r="D1594" s="65">
        <f>DATE(SIP[[#This Row],[Year]],SIP[[#This Row],[Month]],SIP[[#This Row],[Day]])</f>
        <v>45996</v>
      </c>
      <c r="E1594" s="66" t="str" cm="1">
        <f t="array" ref="E1594">INDEX(INVESTORS_LIST[INVESTOR NAME],MATCH(SIP[[#This Row],[Investor ID]],INVESTORS_LIST[INVESTOR CODE],0),)</f>
        <v>CHAONIKA SAHA</v>
      </c>
      <c r="F1594" s="46" t="s">
        <v>238</v>
      </c>
      <c r="G1594" s="46">
        <f>COUNTIF(SIP[[#Headers],[Investor ID]]:SIP[[#This Row],[Investor ID]],SIP[[#This Row],[Investor ID]])</f>
        <v>28</v>
      </c>
      <c r="H1594" s="46" t="str">
        <f>CONCATENATE(SIP[[#This Row],[Frequency]],SIP[[#This Row],[Investor ID]])</f>
        <v>28A00095</v>
      </c>
      <c r="I1594" s="46" t="str">
        <f>IF(SIP[[#This Row],[B/S]]="B","BUY",(IF(SIP[[#This Row],[B/S]]="S","SELL"," ")))</f>
        <v>BUY</v>
      </c>
      <c r="J1594" s="150" t="s">
        <v>1229</v>
      </c>
      <c r="K1594" s="153">
        <v>1000</v>
      </c>
      <c r="L1594" s="122"/>
      <c r="M1594" s="123">
        <f>SIP[[#This Row],[Amount]]/SIP[[#This Row],[Unit]]</f>
        <v>13.698630136986301</v>
      </c>
      <c r="N1594" s="71">
        <f>SIP[[#This Row],[Unit Capital]]/10</f>
        <v>73</v>
      </c>
      <c r="O1594" s="71">
        <f>SUMIFS(SIP[[#Headers],[Unit]]:SIP[[#This Row],[Unit]],SIP[[#Headers],[Investor ID]]:SIP[[#This Row],[Investor ID]],SIP[[#This Row],[Investor ID]])</f>
        <v>2398</v>
      </c>
      <c r="P1594" s="153">
        <v>730</v>
      </c>
      <c r="Q1594" s="74">
        <f>SIP[[#This Row],[Amount]]-SIP[[#This Row],[Unit Capital]]</f>
        <v>270</v>
      </c>
      <c r="R15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11.676396997497916</v>
      </c>
      <c r="S1594" s="46">
        <f t="shared" si="74"/>
        <v>14.224</v>
      </c>
      <c r="T15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4" s="74" cm="1">
        <f t="array" ref="U1594">IF(SIP[[#This Row],[B/S]]="S",ABS(SIP[[#This Row],[Unit]])*(INDEX(SIP[NAV at Cost (Average)],MATCH(CONCATENATE((SIP[[#This Row],[Frequency]]-1),SIP[[#This Row],[Investor ID]]),SIP[Unique Code],0),0)),0)</f>
        <v>0</v>
      </c>
      <c r="V1594" s="74">
        <f>IF(SIP[[#This Row],[BO TRANSFER]]="YES",SIP[[#This Row],[Unit]],)</f>
        <v>0</v>
      </c>
      <c r="W1594" s="74">
        <f>SUMIFS(SIP[[#Headers],[BO UNIT TRANSFER]]:SIP[[#This Row],[BO UNIT TRANSFER]],SIP[[#Headers],[Investor ID]]:SIP[[#This Row],[Investor ID]],SIP[[#This Row],[Investor ID]])</f>
        <v>0</v>
      </c>
    </row>
    <row r="1595" spans="1:23" ht="15" customHeight="1">
      <c r="A1595" s="101">
        <v>2025</v>
      </c>
      <c r="B1595" s="101">
        <v>12</v>
      </c>
      <c r="C1595" s="101">
        <v>5</v>
      </c>
      <c r="D1595" s="65">
        <f>DATE(SIP[[#This Row],[Year]],SIP[[#This Row],[Month]],SIP[[#This Row],[Day]])</f>
        <v>45996</v>
      </c>
      <c r="E1595" s="66" t="str" cm="1">
        <f t="array" ref="E1595">INDEX(INVESTORS_LIST[INVESTOR NAME],MATCH(SIP[[#This Row],[Investor ID]],INVESTORS_LIST[INVESTOR CODE],0),)</f>
        <v>KAZI AHSAN MARUF</v>
      </c>
      <c r="F1595" s="46" t="s">
        <v>158</v>
      </c>
      <c r="G1595" s="46">
        <f>COUNTIF(SIP[[#Headers],[Investor ID]]:SIP[[#This Row],[Investor ID]],SIP[[#This Row],[Investor ID]])</f>
        <v>38</v>
      </c>
      <c r="H1595" s="46" t="str">
        <f>CONCATENATE(SIP[[#This Row],[Frequency]],SIP[[#This Row],[Investor ID]])</f>
        <v>38A00055</v>
      </c>
      <c r="I1595" s="46" t="str">
        <f>IF(SIP[[#This Row],[B/S]]="B","BUY",(IF(SIP[[#This Row],[B/S]]="S","SELL"," ")))</f>
        <v>BUY</v>
      </c>
      <c r="J1595" s="150" t="s">
        <v>1229</v>
      </c>
      <c r="K1595" s="153">
        <v>10000</v>
      </c>
      <c r="L1595" s="122"/>
      <c r="M1595" s="123">
        <f>SIP[[#This Row],[Amount]]/SIP[[#This Row],[Unit]]</f>
        <v>13.774104683195592</v>
      </c>
      <c r="N1595" s="71">
        <f>SIP[[#This Row],[Unit Capital]]/10</f>
        <v>726</v>
      </c>
      <c r="O1595" s="71">
        <f>SUMIFS(SIP[[#Headers],[Unit]]:SIP[[#This Row],[Unit]],SIP[[#Headers],[Investor ID]]:SIP[[#This Row],[Investor ID]],SIP[[#This Row],[Investor ID]])</f>
        <v>7405</v>
      </c>
      <c r="P1595" s="153">
        <v>7260</v>
      </c>
      <c r="Q1595" s="74">
        <f>SIP[[#This Row],[Amount]]-SIP[[#This Row],[Unit Capital]]</f>
        <v>2740</v>
      </c>
      <c r="R15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13.504388926401083</v>
      </c>
      <c r="S1595" s="46">
        <f t="shared" si="74"/>
        <v>14.224</v>
      </c>
      <c r="T15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5" s="74" cm="1">
        <f t="array" ref="U1595">IF(SIP[[#This Row],[B/S]]="S",ABS(SIP[[#This Row],[Unit]])*(INDEX(SIP[NAV at Cost (Average)],MATCH(CONCATENATE((SIP[[#This Row],[Frequency]]-1),SIP[[#This Row],[Investor ID]]),SIP[Unique Code],0),0)),0)</f>
        <v>0</v>
      </c>
      <c r="V1595" s="74">
        <f>IF(SIP[[#This Row],[BO TRANSFER]]="YES",SIP[[#This Row],[Unit]],)</f>
        <v>0</v>
      </c>
      <c r="W1595" s="74">
        <f>SUMIFS(SIP[[#Headers],[BO UNIT TRANSFER]]:SIP[[#This Row],[BO UNIT TRANSFER]],SIP[[#Headers],[Investor ID]]:SIP[[#This Row],[Investor ID]],SIP[[#This Row],[Investor ID]])</f>
        <v>0</v>
      </c>
    </row>
    <row r="1596" spans="1:23" ht="15" customHeight="1">
      <c r="A1596" s="101">
        <v>2025</v>
      </c>
      <c r="B1596" s="101">
        <v>12</v>
      </c>
      <c r="C1596" s="101">
        <v>5</v>
      </c>
      <c r="D1596" s="65">
        <f>DATE(SIP[[#This Row],[Year]],SIP[[#This Row],[Month]],SIP[[#This Row],[Day]])</f>
        <v>45996</v>
      </c>
      <c r="E1596" s="66" t="str" cm="1">
        <f t="array" ref="E1596">INDEX(INVESTORS_LIST[INVESTOR NAME],MATCH(SIP[[#This Row],[Investor ID]],INVESTORS_LIST[INVESTOR CODE],0),)</f>
        <v>KAZI AHSAN MARUF</v>
      </c>
      <c r="F1596" s="46" t="s">
        <v>158</v>
      </c>
      <c r="G1596" s="46">
        <f>COUNTIF(SIP[[#Headers],[Investor ID]]:SIP[[#This Row],[Investor ID]],SIP[[#This Row],[Investor ID]])</f>
        <v>39</v>
      </c>
      <c r="H1596" s="46" t="str">
        <f>CONCATENATE(SIP[[#This Row],[Frequency]],SIP[[#This Row],[Investor ID]])</f>
        <v>39A00055</v>
      </c>
      <c r="I1596" s="46" t="str">
        <f>IF(SIP[[#This Row],[B/S]]="B","BUY",(IF(SIP[[#This Row],[B/S]]="S","SELL"," ")))</f>
        <v>BUY</v>
      </c>
      <c r="J1596" s="150" t="s">
        <v>1229</v>
      </c>
      <c r="K1596" s="153">
        <v>20000</v>
      </c>
      <c r="L1596" s="122"/>
      <c r="M1596" s="123">
        <f>SIP[[#This Row],[Amount]]/SIP[[#This Row],[Unit]]</f>
        <v>13.764624913971094</v>
      </c>
      <c r="N1596" s="71">
        <f>SIP[[#This Row],[Unit Capital]]/10</f>
        <v>1453</v>
      </c>
      <c r="O1596" s="71">
        <f>SUMIFS(SIP[[#Headers],[Unit]]:SIP[[#This Row],[Unit]],SIP[[#Headers],[Investor ID]]:SIP[[#This Row],[Investor ID]],SIP[[#This Row],[Investor ID]])</f>
        <v>8858</v>
      </c>
      <c r="P1596" s="153">
        <v>14530</v>
      </c>
      <c r="Q1596" s="74">
        <f>SIP[[#This Row],[Amount]]-SIP[[#This Row],[Unit Capital]]</f>
        <v>5470</v>
      </c>
      <c r="R15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13.547076089410703</v>
      </c>
      <c r="S1596" s="46">
        <f t="shared" si="74"/>
        <v>14.224</v>
      </c>
      <c r="T15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6" s="74" cm="1">
        <f t="array" ref="U1596">IF(SIP[[#This Row],[B/S]]="S",ABS(SIP[[#This Row],[Unit]])*(INDEX(SIP[NAV at Cost (Average)],MATCH(CONCATENATE((SIP[[#This Row],[Frequency]]-1),SIP[[#This Row],[Investor ID]]),SIP[Unique Code],0),0)),0)</f>
        <v>0</v>
      </c>
      <c r="V1596" s="74">
        <f>IF(SIP[[#This Row],[BO TRANSFER]]="YES",SIP[[#This Row],[Unit]],)</f>
        <v>0</v>
      </c>
      <c r="W1596" s="74">
        <f>SUMIFS(SIP[[#Headers],[BO UNIT TRANSFER]]:SIP[[#This Row],[BO UNIT TRANSFER]],SIP[[#Headers],[Investor ID]]:SIP[[#This Row],[Investor ID]],SIP[[#This Row],[Investor ID]])</f>
        <v>0</v>
      </c>
    </row>
    <row r="1597" spans="1:23" ht="15" customHeight="1">
      <c r="A1597" s="101">
        <v>2025</v>
      </c>
      <c r="B1597" s="101">
        <v>12</v>
      </c>
      <c r="C1597" s="101">
        <v>5</v>
      </c>
      <c r="D1597" s="65">
        <f>DATE(SIP[[#This Row],[Year]],SIP[[#This Row],[Month]],SIP[[#This Row],[Day]])</f>
        <v>45996</v>
      </c>
      <c r="E1597" s="66" t="str" cm="1">
        <f t="array" ref="E1597">INDEX(INVESTORS_LIST[INVESTOR NAME],MATCH(SIP[[#This Row],[Investor ID]],INVESTORS_LIST[INVESTOR CODE],0),)</f>
        <v>MD. SHIFUL ISLAM</v>
      </c>
      <c r="F1597" s="46" t="s">
        <v>127</v>
      </c>
      <c r="G1597" s="46">
        <f>COUNTIF(SIP[[#Headers],[Investor ID]]:SIP[[#This Row],[Investor ID]],SIP[[#This Row],[Investor ID]])</f>
        <v>4</v>
      </c>
      <c r="H1597" s="46" t="str">
        <f>CONCATENATE(SIP[[#This Row],[Frequency]],SIP[[#This Row],[Investor ID]])</f>
        <v>4A00040</v>
      </c>
      <c r="I1597" s="46" t="str">
        <f>IF(SIP[[#This Row],[B/S]]="B","BUY",(IF(SIP[[#This Row],[B/S]]="S","SELL"," ")))</f>
        <v>BUY</v>
      </c>
      <c r="J1597" s="150" t="s">
        <v>1229</v>
      </c>
      <c r="K1597" s="153">
        <v>5000</v>
      </c>
      <c r="L1597" s="122"/>
      <c r="M1597" s="123">
        <f>SIP[[#This Row],[Amount]]/SIP[[#This Row],[Unit]]</f>
        <v>13.774104683195592</v>
      </c>
      <c r="N1597" s="71">
        <f>SIP[[#This Row],[Unit Capital]]/10</f>
        <v>363</v>
      </c>
      <c r="O1597" s="71">
        <f>SUMIFS(SIP[[#Headers],[Unit]]:SIP[[#This Row],[Unit]],SIP[[#Headers],[Investor ID]]:SIP[[#This Row],[Investor ID]],SIP[[#This Row],[Investor ID]])</f>
        <v>1475</v>
      </c>
      <c r="P1597" s="153">
        <v>3630</v>
      </c>
      <c r="Q1597" s="74">
        <f>SIP[[#This Row],[Amount]]-SIP[[#This Row],[Unit Capital]]</f>
        <v>1370</v>
      </c>
      <c r="R15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13.559322033898304</v>
      </c>
      <c r="S1597" s="46">
        <f t="shared" si="74"/>
        <v>14.224</v>
      </c>
      <c r="T15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7" s="74" cm="1">
        <f t="array" ref="U1597">IF(SIP[[#This Row],[B/S]]="S",ABS(SIP[[#This Row],[Unit]])*(INDEX(SIP[NAV at Cost (Average)],MATCH(CONCATENATE((SIP[[#This Row],[Frequency]]-1),SIP[[#This Row],[Investor ID]]),SIP[Unique Code],0),0)),0)</f>
        <v>0</v>
      </c>
      <c r="V1597" s="74">
        <f>IF(SIP[[#This Row],[BO TRANSFER]]="YES",SIP[[#This Row],[Unit]],)</f>
        <v>0</v>
      </c>
      <c r="W1597" s="74">
        <f>SUMIFS(SIP[[#Headers],[BO UNIT TRANSFER]]:SIP[[#This Row],[BO UNIT TRANSFER]],SIP[[#Headers],[Investor ID]]:SIP[[#This Row],[Investor ID]],SIP[[#This Row],[Investor ID]])</f>
        <v>0</v>
      </c>
    </row>
    <row r="1598" spans="1:23" ht="15" customHeight="1">
      <c r="A1598" s="101">
        <v>2025</v>
      </c>
      <c r="B1598" s="101">
        <v>12</v>
      </c>
      <c r="C1598" s="101">
        <v>5</v>
      </c>
      <c r="D1598" s="65">
        <f>DATE(SIP[[#This Row],[Year]],SIP[[#This Row],[Month]],SIP[[#This Row],[Day]])</f>
        <v>45996</v>
      </c>
      <c r="E1598" s="66" t="str" cm="1">
        <f t="array" ref="E1598">INDEX(INVESTORS_LIST[INVESTOR NAME],MATCH(SIP[[#This Row],[Investor ID]],INVESTORS_LIST[INVESTOR CODE],0),)</f>
        <v>MAYMUNA AKTAR</v>
      </c>
      <c r="F1598" s="46" t="s">
        <v>1440</v>
      </c>
      <c r="G1598" s="46">
        <f>COUNTIF(SIP[[#Headers],[Investor ID]]:SIP[[#This Row],[Investor ID]],SIP[[#This Row],[Investor ID]])</f>
        <v>3</v>
      </c>
      <c r="H1598" s="46" t="str">
        <f>CONCATENATE(SIP[[#This Row],[Frequency]],SIP[[#This Row],[Investor ID]])</f>
        <v>3A00663</v>
      </c>
      <c r="I1598" s="46" t="str">
        <f>IF(SIP[[#This Row],[B/S]]="B","BUY",(IF(SIP[[#This Row],[B/S]]="S","SELL"," ")))</f>
        <v>BUY</v>
      </c>
      <c r="J1598" s="150" t="s">
        <v>1229</v>
      </c>
      <c r="K1598" s="153">
        <v>5000</v>
      </c>
      <c r="L1598" s="122"/>
      <c r="M1598" s="123">
        <f>SIP[[#This Row],[Amount]]/SIP[[#This Row],[Unit]]</f>
        <v>13.774104683195592</v>
      </c>
      <c r="N1598" s="71">
        <f>SIP[[#This Row],[Unit Capital]]/10</f>
        <v>363</v>
      </c>
      <c r="O1598" s="71">
        <f>SUMIFS(SIP[[#Headers],[Unit]]:SIP[[#This Row],[Unit]],SIP[[#Headers],[Investor ID]]:SIP[[#This Row],[Investor ID]],SIP[[#This Row],[Investor ID]])</f>
        <v>1098</v>
      </c>
      <c r="P1598" s="153">
        <v>3630</v>
      </c>
      <c r="Q1598" s="74">
        <f>SIP[[#This Row],[Amount]]-SIP[[#This Row],[Unit Capital]]</f>
        <v>1370</v>
      </c>
      <c r="R15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13.66120218579235</v>
      </c>
      <c r="S1598" s="46">
        <f t="shared" si="74"/>
        <v>14.224</v>
      </c>
      <c r="T15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8" s="74" cm="1">
        <f t="array" ref="U1598">IF(SIP[[#This Row],[B/S]]="S",ABS(SIP[[#This Row],[Unit]])*(INDEX(SIP[NAV at Cost (Average)],MATCH(CONCATENATE((SIP[[#This Row],[Frequency]]-1),SIP[[#This Row],[Investor ID]]),SIP[Unique Code],0),0)),0)</f>
        <v>0</v>
      </c>
      <c r="V1598" s="74">
        <f>IF(SIP[[#This Row],[BO TRANSFER]]="YES",SIP[[#This Row],[Unit]],)</f>
        <v>0</v>
      </c>
      <c r="W1598" s="74">
        <f>SUMIFS(SIP[[#Headers],[BO UNIT TRANSFER]]:SIP[[#This Row],[BO UNIT TRANSFER]],SIP[[#Headers],[Investor ID]]:SIP[[#This Row],[Investor ID]],SIP[[#This Row],[Investor ID]])</f>
        <v>0</v>
      </c>
    </row>
    <row r="1599" spans="1:23" ht="15" customHeight="1">
      <c r="A1599" s="101">
        <v>2025</v>
      </c>
      <c r="B1599" s="101">
        <v>12</v>
      </c>
      <c r="C1599" s="101">
        <v>7</v>
      </c>
      <c r="D1599" s="65">
        <f>DATE(SIP[[#This Row],[Year]],SIP[[#This Row],[Month]],SIP[[#This Row],[Day]])</f>
        <v>45998</v>
      </c>
      <c r="E1599" s="66" t="str" cm="1">
        <f t="array" ref="E1599">INDEX(INVESTORS_LIST[INVESTOR NAME],MATCH(SIP[[#This Row],[Investor ID]],INVESTORS_LIST[INVESTOR CODE],0),)</f>
        <v>SHANTA PAUL</v>
      </c>
      <c r="F1599" s="46" t="s">
        <v>544</v>
      </c>
      <c r="G1599" s="46">
        <f>COUNTIF(SIP[[#Headers],[Investor ID]]:SIP[[#This Row],[Investor ID]],SIP[[#This Row],[Investor ID]])</f>
        <v>32</v>
      </c>
      <c r="H1599" s="46" t="str">
        <f>CONCATENATE(SIP[[#This Row],[Frequency]],SIP[[#This Row],[Investor ID]])</f>
        <v>32A00247</v>
      </c>
      <c r="I1599" s="46" t="str">
        <f>IF(SIP[[#This Row],[B/S]]="B","BUY",(IF(SIP[[#This Row],[B/S]]="S","SELL"," ")))</f>
        <v>BUY</v>
      </c>
      <c r="J1599" s="150" t="s">
        <v>1229</v>
      </c>
      <c r="K1599" s="153">
        <v>20000</v>
      </c>
      <c r="L1599" s="122"/>
      <c r="M1599" s="123">
        <f>SIP[[#This Row],[Amount]]/SIP[[#This Row],[Unit]]</f>
        <v>13.764624913971094</v>
      </c>
      <c r="N1599" s="71">
        <f>SIP[[#This Row],[Unit Capital]]/10</f>
        <v>1453</v>
      </c>
      <c r="O1599" s="71">
        <f>SUMIFS(SIP[[#Headers],[Unit]]:SIP[[#This Row],[Unit]],SIP[[#Headers],[Investor ID]]:SIP[[#This Row],[Investor ID]],SIP[[#This Row],[Investor ID]])</f>
        <v>56013</v>
      </c>
      <c r="P1599" s="153">
        <v>14530</v>
      </c>
      <c r="Q1599" s="74">
        <f>SIP[[#This Row],[Amount]]-SIP[[#This Row],[Unit Capital]]</f>
        <v>5470</v>
      </c>
      <c r="R15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11.425918983093212</v>
      </c>
      <c r="S1599" s="46">
        <f t="shared" ref="S1599:S1611" si="75">NAV_MKT</f>
        <v>14.224</v>
      </c>
      <c r="T15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9" s="74" cm="1">
        <f t="array" ref="U1599">IF(SIP[[#This Row],[B/S]]="S",ABS(SIP[[#This Row],[Unit]])*(INDEX(SIP[NAV at Cost (Average)],MATCH(CONCATENATE((SIP[[#This Row],[Frequency]]-1),SIP[[#This Row],[Investor ID]]),SIP[Unique Code],0),0)),0)</f>
        <v>0</v>
      </c>
      <c r="V1599" s="74">
        <f>IF(SIP[[#This Row],[BO TRANSFER]]="YES",SIP[[#This Row],[Unit]],)</f>
        <v>0</v>
      </c>
      <c r="W1599" s="74">
        <f>SUMIFS(SIP[[#Headers],[BO UNIT TRANSFER]]:SIP[[#This Row],[BO UNIT TRANSFER]],SIP[[#Headers],[Investor ID]]:SIP[[#This Row],[Investor ID]],SIP[[#This Row],[Investor ID]])</f>
        <v>0</v>
      </c>
    </row>
    <row r="1600" spans="1:23" ht="15" customHeight="1">
      <c r="A1600" s="101">
        <v>2025</v>
      </c>
      <c r="B1600" s="101">
        <v>12</v>
      </c>
      <c r="C1600" s="101">
        <v>7</v>
      </c>
      <c r="D1600" s="65">
        <f>DATE(SIP[[#This Row],[Year]],SIP[[#This Row],[Month]],SIP[[#This Row],[Day]])</f>
        <v>45998</v>
      </c>
      <c r="E1600" s="66" t="str" cm="1">
        <f t="array" ref="E1600">INDEX(INVESTORS_LIST[INVESTOR NAME],MATCH(SIP[[#This Row],[Investor ID]],INVESTORS_LIST[INVESTOR CODE],0),)</f>
        <v>FAKARUDDIN ALI AHMED</v>
      </c>
      <c r="F1600" s="46" t="s">
        <v>228</v>
      </c>
      <c r="G1600" s="46">
        <f>COUNTIF(SIP[[#Headers],[Investor ID]]:SIP[[#This Row],[Investor ID]],SIP[[#This Row],[Investor ID]])</f>
        <v>32</v>
      </c>
      <c r="H1600" s="46" t="str">
        <f>CONCATENATE(SIP[[#This Row],[Frequency]],SIP[[#This Row],[Investor ID]])</f>
        <v>32A00090</v>
      </c>
      <c r="I1600" s="46" t="str">
        <f>IF(SIP[[#This Row],[B/S]]="B","BUY",(IF(SIP[[#This Row],[B/S]]="S","SELL"," ")))</f>
        <v>BUY</v>
      </c>
      <c r="J1600" s="150" t="s">
        <v>1229</v>
      </c>
      <c r="K1600" s="153">
        <v>10000</v>
      </c>
      <c r="L1600" s="122"/>
      <c r="M1600" s="123">
        <f>SIP[[#This Row],[Amount]]/SIP[[#This Row],[Unit]]</f>
        <v>13.774104683195592</v>
      </c>
      <c r="N1600" s="71">
        <f>SIP[[#This Row],[Unit Capital]]/10</f>
        <v>726</v>
      </c>
      <c r="O1600" s="71">
        <f>SUMIFS(SIP[[#Headers],[Unit]]:SIP[[#This Row],[Unit]],SIP[[#Headers],[Investor ID]]:SIP[[#This Row],[Investor ID]],SIP[[#This Row],[Investor ID]])</f>
        <v>3731</v>
      </c>
      <c r="P1600" s="153">
        <v>7260</v>
      </c>
      <c r="Q1600" s="74">
        <f>SIP[[#This Row],[Amount]]-SIP[[#This Row],[Unit Capital]]</f>
        <v>2740</v>
      </c>
      <c r="R16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13.401232913428036</v>
      </c>
      <c r="S1600" s="46">
        <f t="shared" si="75"/>
        <v>14.224</v>
      </c>
      <c r="T16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0" s="74" cm="1">
        <f t="array" ref="U1600">IF(SIP[[#This Row],[B/S]]="S",ABS(SIP[[#This Row],[Unit]])*(INDEX(SIP[NAV at Cost (Average)],MATCH(CONCATENATE((SIP[[#This Row],[Frequency]]-1),SIP[[#This Row],[Investor ID]]),SIP[Unique Code],0),0)),0)</f>
        <v>0</v>
      </c>
      <c r="V1600" s="74">
        <f>IF(SIP[[#This Row],[BO TRANSFER]]="YES",SIP[[#This Row],[Unit]],)</f>
        <v>0</v>
      </c>
      <c r="W1600" s="74">
        <f>SUMIFS(SIP[[#Headers],[BO UNIT TRANSFER]]:SIP[[#This Row],[BO UNIT TRANSFER]],SIP[[#Headers],[Investor ID]]:SIP[[#This Row],[Investor ID]],SIP[[#This Row],[Investor ID]])</f>
        <v>0</v>
      </c>
    </row>
    <row r="1601" spans="1:23" ht="15" customHeight="1">
      <c r="A1601" s="101">
        <v>2025</v>
      </c>
      <c r="B1601" s="101">
        <v>12</v>
      </c>
      <c r="C1601" s="101">
        <v>7</v>
      </c>
      <c r="D1601" s="65">
        <f>DATE(SIP[[#This Row],[Year]],SIP[[#This Row],[Month]],SIP[[#This Row],[Day]])</f>
        <v>45998</v>
      </c>
      <c r="E1601" s="66" t="str" cm="1">
        <f t="array" ref="E1601">INDEX(INVESTORS_LIST[INVESTOR NAME],MATCH(SIP[[#This Row],[Investor ID]],INVESTORS_LIST[INVESTOR CODE],0),)</f>
        <v>NANDINI SAHA</v>
      </c>
      <c r="F1601" s="46" t="s">
        <v>242</v>
      </c>
      <c r="G1601" s="46">
        <f>COUNTIF(SIP[[#Headers],[Investor ID]]:SIP[[#This Row],[Investor ID]],SIP[[#This Row],[Investor ID]])</f>
        <v>35</v>
      </c>
      <c r="H1601" s="46" t="str">
        <f>CONCATENATE(SIP[[#This Row],[Frequency]],SIP[[#This Row],[Investor ID]])</f>
        <v>35A00097</v>
      </c>
      <c r="I1601" s="46" t="str">
        <f>IF(SIP[[#This Row],[B/S]]="B","BUY",(IF(SIP[[#This Row],[B/S]]="S","SELL"," ")))</f>
        <v>BUY</v>
      </c>
      <c r="J1601" s="150" t="s">
        <v>1229</v>
      </c>
      <c r="K1601" s="153">
        <v>30000</v>
      </c>
      <c r="L1601" s="122"/>
      <c r="M1601" s="123">
        <f>SIP[[#This Row],[Amount]]/SIP[[#This Row],[Unit]]</f>
        <v>13.767783386874713</v>
      </c>
      <c r="N1601" s="71">
        <f>SIP[[#This Row],[Unit Capital]]/10</f>
        <v>2179</v>
      </c>
      <c r="O1601" s="71">
        <f>SUMIFS(SIP[[#Headers],[Unit]]:SIP[[#This Row],[Unit]],SIP[[#Headers],[Investor ID]]:SIP[[#This Row],[Investor ID]],SIP[[#This Row],[Investor ID]])</f>
        <v>21973</v>
      </c>
      <c r="P1601" s="153">
        <v>21790</v>
      </c>
      <c r="Q1601" s="74">
        <f>SIP[[#This Row],[Amount]]-SIP[[#This Row],[Unit Capital]]</f>
        <v>8210</v>
      </c>
      <c r="R16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11.622260859701079</v>
      </c>
      <c r="S1601" s="46">
        <f t="shared" si="75"/>
        <v>14.224</v>
      </c>
      <c r="T16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1" s="74" cm="1">
        <f t="array" ref="U1601">IF(SIP[[#This Row],[B/S]]="S",ABS(SIP[[#This Row],[Unit]])*(INDEX(SIP[NAV at Cost (Average)],MATCH(CONCATENATE((SIP[[#This Row],[Frequency]]-1),SIP[[#This Row],[Investor ID]]),SIP[Unique Code],0),0)),0)</f>
        <v>0</v>
      </c>
      <c r="V1601" s="74">
        <f>IF(SIP[[#This Row],[BO TRANSFER]]="YES",SIP[[#This Row],[Unit]],)</f>
        <v>0</v>
      </c>
      <c r="W1601" s="74">
        <f>SUMIFS(SIP[[#Headers],[BO UNIT TRANSFER]]:SIP[[#This Row],[BO UNIT TRANSFER]],SIP[[#Headers],[Investor ID]]:SIP[[#This Row],[Investor ID]],SIP[[#This Row],[Investor ID]])</f>
        <v>0</v>
      </c>
    </row>
    <row r="1602" spans="1:23" ht="15" customHeight="1">
      <c r="A1602" s="101">
        <v>2025</v>
      </c>
      <c r="B1602" s="101">
        <v>12</v>
      </c>
      <c r="C1602" s="101">
        <v>7</v>
      </c>
      <c r="D1602" s="65">
        <f>DATE(SIP[[#This Row],[Year]],SIP[[#This Row],[Month]],SIP[[#This Row],[Day]])</f>
        <v>45998</v>
      </c>
      <c r="E1602" s="66" t="str" cm="1">
        <f t="array" ref="E1602">INDEX(INVESTORS_LIST[INVESTOR NAME],MATCH(SIP[[#This Row],[Investor ID]],INVESTORS_LIST[INVESTOR CODE],0),)</f>
        <v>ROKSABA KASEM</v>
      </c>
      <c r="F1602" s="46" t="s">
        <v>900</v>
      </c>
      <c r="G1602" s="46">
        <f>COUNTIF(SIP[[#Headers],[Investor ID]]:SIP[[#This Row],[Investor ID]],SIP[[#This Row],[Investor ID]])</f>
        <v>31</v>
      </c>
      <c r="H1602" s="46" t="str">
        <f>CONCATENATE(SIP[[#This Row],[Frequency]],SIP[[#This Row],[Investor ID]])</f>
        <v>31A00427</v>
      </c>
      <c r="I1602" s="46" t="str">
        <f>IF(SIP[[#This Row],[B/S]]="B","BUY",(IF(SIP[[#This Row],[B/S]]="S","SELL"," ")))</f>
        <v>BUY</v>
      </c>
      <c r="J1602" s="150" t="s">
        <v>1229</v>
      </c>
      <c r="K1602" s="153">
        <v>20000</v>
      </c>
      <c r="L1602" s="122" t="s">
        <v>1230</v>
      </c>
      <c r="M1602" s="123">
        <f>SIP[[#This Row],[Amount]]/SIP[[#This Row],[Unit]]</f>
        <v>13.764624913971094</v>
      </c>
      <c r="N1602" s="71">
        <f>SIP[[#This Row],[Unit Capital]]/10</f>
        <v>1453</v>
      </c>
      <c r="O1602" s="71">
        <f>SUMIFS(SIP[[#Headers],[Unit]]:SIP[[#This Row],[Unit]],SIP[[#Headers],[Investor ID]]:SIP[[#This Row],[Investor ID]],SIP[[#This Row],[Investor ID]])</f>
        <v>53747</v>
      </c>
      <c r="P1602" s="153">
        <v>14530</v>
      </c>
      <c r="Q1602" s="74">
        <f>SIP[[#This Row],[Amount]]-SIP[[#This Row],[Unit Capital]]</f>
        <v>5470</v>
      </c>
      <c r="R16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11.535527564329177</v>
      </c>
      <c r="S1602" s="46">
        <f t="shared" si="75"/>
        <v>14.224</v>
      </c>
      <c r="T16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2" s="74" cm="1">
        <f t="array" ref="U1602">IF(SIP[[#This Row],[B/S]]="S",ABS(SIP[[#This Row],[Unit]])*(INDEX(SIP[NAV at Cost (Average)],MATCH(CONCATENATE((SIP[[#This Row],[Frequency]]-1),SIP[[#This Row],[Investor ID]]),SIP[Unique Code],0),0)),0)</f>
        <v>0</v>
      </c>
      <c r="V1602" s="74">
        <f>IF(SIP[[#This Row],[BO TRANSFER]]="YES",SIP[[#This Row],[Unit]],)</f>
        <v>1453</v>
      </c>
      <c r="W1602" s="74">
        <f>SUMIFS(SIP[[#Headers],[BO UNIT TRANSFER]]:SIP[[#This Row],[BO UNIT TRANSFER]],SIP[[#Headers],[Investor ID]]:SIP[[#This Row],[Investor ID]],SIP[[#This Row],[Investor ID]])</f>
        <v>9050</v>
      </c>
    </row>
    <row r="1603" spans="1:23" ht="15" customHeight="1">
      <c r="A1603" s="101">
        <v>2025</v>
      </c>
      <c r="B1603" s="101">
        <v>12</v>
      </c>
      <c r="C1603" s="101">
        <v>7</v>
      </c>
      <c r="D1603" s="65">
        <f>DATE(SIP[[#This Row],[Year]],SIP[[#This Row],[Month]],SIP[[#This Row],[Day]])</f>
        <v>45998</v>
      </c>
      <c r="E1603" s="66" t="str" cm="1">
        <f t="array" ref="E1603">INDEX(INVESTORS_LIST[INVESTOR NAME],MATCH(SIP[[#This Row],[Investor ID]],INVESTORS_LIST[INVESTOR CODE],0),)</f>
        <v>MD. MONIRUL ISLAM</v>
      </c>
      <c r="F1603" s="46" t="s">
        <v>996</v>
      </c>
      <c r="G1603" s="46">
        <f>COUNTIF(SIP[[#Headers],[Investor ID]]:SIP[[#This Row],[Investor ID]],SIP[[#This Row],[Investor ID]])</f>
        <v>30</v>
      </c>
      <c r="H1603" s="46" t="str">
        <f>CONCATENATE(SIP[[#This Row],[Frequency]],SIP[[#This Row],[Investor ID]])</f>
        <v>30A00475</v>
      </c>
      <c r="I1603" s="46" t="str">
        <f>IF(SIP[[#This Row],[B/S]]="B","BUY",(IF(SIP[[#This Row],[B/S]]="S","SELL"," ")))</f>
        <v>BUY</v>
      </c>
      <c r="J1603" s="150" t="s">
        <v>1229</v>
      </c>
      <c r="K1603" s="153">
        <v>10000</v>
      </c>
      <c r="L1603" s="122"/>
      <c r="M1603" s="123">
        <f>SIP[[#This Row],[Amount]]/SIP[[#This Row],[Unit]]</f>
        <v>13.774104683195592</v>
      </c>
      <c r="N1603" s="71">
        <f>SIP[[#This Row],[Unit Capital]]/10</f>
        <v>726</v>
      </c>
      <c r="O1603" s="71">
        <f>SUMIFS(SIP[[#Headers],[Unit]]:SIP[[#This Row],[Unit]],SIP[[#Headers],[Investor ID]]:SIP[[#This Row],[Investor ID]],SIP[[#This Row],[Investor ID]])</f>
        <v>26299</v>
      </c>
      <c r="P1603" s="153">
        <v>7260</v>
      </c>
      <c r="Q1603" s="74">
        <f>SIP[[#This Row],[Amount]]-SIP[[#This Row],[Unit Capital]]</f>
        <v>2740</v>
      </c>
      <c r="R16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11.407277843264001</v>
      </c>
      <c r="S1603" s="46">
        <f t="shared" si="75"/>
        <v>14.224</v>
      </c>
      <c r="T16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3" s="74" cm="1">
        <f t="array" ref="U1603">IF(SIP[[#This Row],[B/S]]="S",ABS(SIP[[#This Row],[Unit]])*(INDEX(SIP[NAV at Cost (Average)],MATCH(CONCATENATE((SIP[[#This Row],[Frequency]]-1),SIP[[#This Row],[Investor ID]]),SIP[Unique Code],0),0)),0)</f>
        <v>0</v>
      </c>
      <c r="V1603" s="74">
        <f>IF(SIP[[#This Row],[BO TRANSFER]]="YES",SIP[[#This Row],[Unit]],)</f>
        <v>0</v>
      </c>
      <c r="W1603" s="74">
        <f>SUMIFS(SIP[[#Headers],[BO UNIT TRANSFER]]:SIP[[#This Row],[BO UNIT TRANSFER]],SIP[[#Headers],[Investor ID]]:SIP[[#This Row],[Investor ID]],SIP[[#This Row],[Investor ID]])</f>
        <v>0</v>
      </c>
    </row>
    <row r="1604" spans="1:23" ht="15" customHeight="1">
      <c r="A1604" s="101">
        <v>2025</v>
      </c>
      <c r="B1604" s="101">
        <v>12</v>
      </c>
      <c r="C1604" s="101">
        <v>7</v>
      </c>
      <c r="D1604" s="65">
        <f>DATE(SIP[[#This Row],[Year]],SIP[[#This Row],[Month]],SIP[[#This Row],[Day]])</f>
        <v>45998</v>
      </c>
      <c r="E1604" s="66" t="str" cm="1">
        <f t="array" ref="E1604">INDEX(INVESTORS_LIST[INVESTOR NAME],MATCH(SIP[[#This Row],[Investor ID]],INVESTORS_LIST[INVESTOR CODE],0),)</f>
        <v>MONIR AHMED</v>
      </c>
      <c r="F1604" s="46" t="s">
        <v>125</v>
      </c>
      <c r="G1604" s="46">
        <f>COUNTIF(SIP[[#Headers],[Investor ID]]:SIP[[#This Row],[Investor ID]],SIP[[#This Row],[Investor ID]])</f>
        <v>34</v>
      </c>
      <c r="H1604" s="46" t="str">
        <f>CONCATENATE(SIP[[#This Row],[Frequency]],SIP[[#This Row],[Investor ID]])</f>
        <v>34A00039</v>
      </c>
      <c r="I1604" s="46" t="str">
        <f>IF(SIP[[#This Row],[B/S]]="B","BUY",(IF(SIP[[#This Row],[B/S]]="S","SELL"," ")))</f>
        <v>BUY</v>
      </c>
      <c r="J1604" s="150" t="s">
        <v>1229</v>
      </c>
      <c r="K1604" s="153">
        <v>10000</v>
      </c>
      <c r="L1604" s="122"/>
      <c r="M1604" s="123">
        <f>SIP[[#This Row],[Amount]]/SIP[[#This Row],[Unit]]</f>
        <v>13.774104683195592</v>
      </c>
      <c r="N1604" s="71">
        <f>SIP[[#This Row],[Unit Capital]]/10</f>
        <v>726</v>
      </c>
      <c r="O1604" s="71">
        <f>SUMIFS(SIP[[#Headers],[Unit]]:SIP[[#This Row],[Unit]],SIP[[#Headers],[Investor ID]]:SIP[[#This Row],[Investor ID]],SIP[[#This Row],[Investor ID]])</f>
        <v>1458</v>
      </c>
      <c r="P1604" s="153">
        <v>7260</v>
      </c>
      <c r="Q1604" s="74">
        <f>SIP[[#This Row],[Amount]]-SIP[[#This Row],[Unit Capital]]</f>
        <v>2740</v>
      </c>
      <c r="R16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13.717421124828533</v>
      </c>
      <c r="S1604" s="46">
        <f t="shared" si="75"/>
        <v>14.224</v>
      </c>
      <c r="T16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4" s="74" cm="1">
        <f t="array" ref="U1604">IF(SIP[[#This Row],[B/S]]="S",ABS(SIP[[#This Row],[Unit]])*(INDEX(SIP[NAV at Cost (Average)],MATCH(CONCATENATE((SIP[[#This Row],[Frequency]]-1),SIP[[#This Row],[Investor ID]]),SIP[Unique Code],0),0)),0)</f>
        <v>0</v>
      </c>
      <c r="V1604" s="74">
        <f>IF(SIP[[#This Row],[BO TRANSFER]]="YES",SIP[[#This Row],[Unit]],)</f>
        <v>0</v>
      </c>
      <c r="W1604" s="74">
        <f>SUMIFS(SIP[[#Headers],[BO UNIT TRANSFER]]:SIP[[#This Row],[BO UNIT TRANSFER]],SIP[[#Headers],[Investor ID]]:SIP[[#This Row],[Investor ID]],SIP[[#This Row],[Investor ID]])</f>
        <v>0</v>
      </c>
    </row>
    <row r="1605" spans="1:23" ht="15" customHeight="1">
      <c r="A1605" s="101">
        <v>2025</v>
      </c>
      <c r="B1605" s="101">
        <v>12</v>
      </c>
      <c r="C1605" s="101">
        <v>7</v>
      </c>
      <c r="D1605" s="65">
        <f>DATE(SIP[[#This Row],[Year]],SIP[[#This Row],[Month]],SIP[[#This Row],[Day]])</f>
        <v>45998</v>
      </c>
      <c r="E1605" s="66" t="str" cm="1">
        <f t="array" ref="E1605">INDEX(INVESTORS_LIST[INVESTOR NAME],MATCH(SIP[[#This Row],[Investor ID]],INVESTORS_LIST[INVESTOR CODE],0),)</f>
        <v>AHMED BIN MONSUR</v>
      </c>
      <c r="F1605" s="46" t="s">
        <v>692</v>
      </c>
      <c r="G1605" s="46">
        <f>COUNTIF(SIP[[#Headers],[Investor ID]]:SIP[[#This Row],[Investor ID]],SIP[[#This Row],[Investor ID]])</f>
        <v>19</v>
      </c>
      <c r="H1605" s="46" t="str">
        <f>CONCATENATE(SIP[[#This Row],[Frequency]],SIP[[#This Row],[Investor ID]])</f>
        <v>19A00322</v>
      </c>
      <c r="I1605" s="46" t="str">
        <f>IF(SIP[[#This Row],[B/S]]="B","BUY",(IF(SIP[[#This Row],[B/S]]="S","SELL"," ")))</f>
        <v>BUY</v>
      </c>
      <c r="J1605" s="150" t="s">
        <v>1229</v>
      </c>
      <c r="K1605" s="153">
        <v>20000</v>
      </c>
      <c r="L1605" s="122"/>
      <c r="M1605" s="123">
        <f>SIP[[#This Row],[Amount]]/SIP[[#This Row],[Unit]]</f>
        <v>13.764624913971094</v>
      </c>
      <c r="N1605" s="71">
        <f>SIP[[#This Row],[Unit Capital]]/10</f>
        <v>1453</v>
      </c>
      <c r="O1605" s="71">
        <f>SUMIFS(SIP[[#Headers],[Unit]]:SIP[[#This Row],[Unit]],SIP[[#Headers],[Investor ID]]:SIP[[#This Row],[Investor ID]],SIP[[#This Row],[Investor ID]])</f>
        <v>7461</v>
      </c>
      <c r="P1605" s="153">
        <v>14530</v>
      </c>
      <c r="Q1605" s="74">
        <f>SIP[[#This Row],[Amount]]-SIP[[#This Row],[Unit Capital]]</f>
        <v>5470</v>
      </c>
      <c r="R16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13.403029084573113</v>
      </c>
      <c r="S1605" s="46">
        <f t="shared" si="75"/>
        <v>14.224</v>
      </c>
      <c r="T16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5" s="74" cm="1">
        <f t="array" ref="U1605">IF(SIP[[#This Row],[B/S]]="S",ABS(SIP[[#This Row],[Unit]])*(INDEX(SIP[NAV at Cost (Average)],MATCH(CONCATENATE((SIP[[#This Row],[Frequency]]-1),SIP[[#This Row],[Investor ID]]),SIP[Unique Code],0),0)),0)</f>
        <v>0</v>
      </c>
      <c r="V1605" s="74">
        <f>IF(SIP[[#This Row],[BO TRANSFER]]="YES",SIP[[#This Row],[Unit]],)</f>
        <v>0</v>
      </c>
      <c r="W1605" s="74">
        <f>SUMIFS(SIP[[#Headers],[BO UNIT TRANSFER]]:SIP[[#This Row],[BO UNIT TRANSFER]],SIP[[#Headers],[Investor ID]]:SIP[[#This Row],[Investor ID]],SIP[[#This Row],[Investor ID]])</f>
        <v>0</v>
      </c>
    </row>
    <row r="1606" spans="1:23" ht="15" customHeight="1">
      <c r="A1606" s="101">
        <v>2025</v>
      </c>
      <c r="B1606" s="101">
        <v>12</v>
      </c>
      <c r="C1606" s="101">
        <v>7</v>
      </c>
      <c r="D1606" s="65">
        <f>DATE(SIP[[#This Row],[Year]],SIP[[#This Row],[Month]],SIP[[#This Row],[Day]])</f>
        <v>45998</v>
      </c>
      <c r="E1606" s="66" t="str" cm="1">
        <f t="array" ref="E1606">INDEX(INVESTORS_LIST[INVESTOR NAME],MATCH(SIP[[#This Row],[Investor ID]],INVESTORS_LIST[INVESTOR CODE],0),)</f>
        <v>SK FEROZ ALAM</v>
      </c>
      <c r="F1606" s="46" t="s">
        <v>240</v>
      </c>
      <c r="G1606" s="46">
        <f>COUNTIF(SIP[[#Headers],[Investor ID]]:SIP[[#This Row],[Investor ID]],SIP[[#This Row],[Investor ID]])</f>
        <v>21</v>
      </c>
      <c r="H1606" s="46" t="str">
        <f>CONCATENATE(SIP[[#This Row],[Frequency]],SIP[[#This Row],[Investor ID]])</f>
        <v>21A00096</v>
      </c>
      <c r="I1606" s="46" t="str">
        <f>IF(SIP[[#This Row],[B/S]]="B","BUY",(IF(SIP[[#This Row],[B/S]]="S","SELL"," ")))</f>
        <v>BUY</v>
      </c>
      <c r="J1606" s="150" t="s">
        <v>1229</v>
      </c>
      <c r="K1606" s="153">
        <v>1000</v>
      </c>
      <c r="L1606" s="122"/>
      <c r="M1606" s="123">
        <f>SIP[[#This Row],[Amount]]/SIP[[#This Row],[Unit]]</f>
        <v>13.698630136986301</v>
      </c>
      <c r="N1606" s="71">
        <f>SIP[[#This Row],[Unit Capital]]/10</f>
        <v>73</v>
      </c>
      <c r="O1606" s="71">
        <f>SUMIFS(SIP[[#Headers],[Unit]]:SIP[[#This Row],[Unit]],SIP[[#Headers],[Investor ID]]:SIP[[#This Row],[Investor ID]],SIP[[#This Row],[Investor ID]])</f>
        <v>374</v>
      </c>
      <c r="P1606" s="153">
        <v>730</v>
      </c>
      <c r="Q1606" s="74">
        <f>SIP[[#This Row],[Amount]]-SIP[[#This Row],[Unit Capital]]</f>
        <v>270</v>
      </c>
      <c r="R16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13.368983957219251</v>
      </c>
      <c r="S1606" s="46">
        <f t="shared" si="75"/>
        <v>14.224</v>
      </c>
      <c r="T16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6" s="74" cm="1">
        <f t="array" ref="U1606">IF(SIP[[#This Row],[B/S]]="S",ABS(SIP[[#This Row],[Unit]])*(INDEX(SIP[NAV at Cost (Average)],MATCH(CONCATENATE((SIP[[#This Row],[Frequency]]-1),SIP[[#This Row],[Investor ID]]),SIP[Unique Code],0),0)),0)</f>
        <v>0</v>
      </c>
      <c r="V1606" s="74">
        <f>IF(SIP[[#This Row],[BO TRANSFER]]="YES",SIP[[#This Row],[Unit]],)</f>
        <v>0</v>
      </c>
      <c r="W1606" s="74">
        <f>SUMIFS(SIP[[#Headers],[BO UNIT TRANSFER]]:SIP[[#This Row],[BO UNIT TRANSFER]],SIP[[#Headers],[Investor ID]]:SIP[[#This Row],[Investor ID]],SIP[[#This Row],[Investor ID]])</f>
        <v>0</v>
      </c>
    </row>
    <row r="1607" spans="1:23" ht="15" customHeight="1">
      <c r="A1607" s="101">
        <v>2025</v>
      </c>
      <c r="B1607" s="101">
        <v>12</v>
      </c>
      <c r="C1607" s="101">
        <v>7</v>
      </c>
      <c r="D1607" s="65">
        <f>DATE(SIP[[#This Row],[Year]],SIP[[#This Row],[Month]],SIP[[#This Row],[Day]])</f>
        <v>45998</v>
      </c>
      <c r="E1607" s="66" t="str" cm="1">
        <f t="array" ref="E1607">INDEX(INVESTORS_LIST[INVESTOR NAME],MATCH(SIP[[#This Row],[Investor ID]],INVESTORS_LIST[INVESTOR CODE],0),)</f>
        <v>BIJOY CHANDRA DAS</v>
      </c>
      <c r="F1607" s="46" t="s">
        <v>497</v>
      </c>
      <c r="G1607" s="46">
        <f>COUNTIF(SIP[[#Headers],[Investor ID]]:SIP[[#This Row],[Investor ID]],SIP[[#This Row],[Investor ID]])</f>
        <v>20</v>
      </c>
      <c r="H1607" s="46" t="str">
        <f>CONCATENATE(SIP[[#This Row],[Frequency]],SIP[[#This Row],[Investor ID]])</f>
        <v>20A00224</v>
      </c>
      <c r="I1607" s="46" t="str">
        <f>IF(SIP[[#This Row],[B/S]]="B","BUY",(IF(SIP[[#This Row],[B/S]]="S","SELL"," ")))</f>
        <v>BUY</v>
      </c>
      <c r="J1607" s="150" t="s">
        <v>1229</v>
      </c>
      <c r="K1607" s="153">
        <v>5000</v>
      </c>
      <c r="L1607" s="122"/>
      <c r="M1607" s="123">
        <f>SIP[[#This Row],[Amount]]/SIP[[#This Row],[Unit]]</f>
        <v>13.774104683195592</v>
      </c>
      <c r="N1607" s="71">
        <f>SIP[[#This Row],[Unit Capital]]/10</f>
        <v>363</v>
      </c>
      <c r="O1607" s="71">
        <f>SUMIFS(SIP[[#Headers],[Unit]]:SIP[[#This Row],[Unit]],SIP[[#Headers],[Investor ID]]:SIP[[#This Row],[Investor ID]],SIP[[#This Row],[Investor ID]])</f>
        <v>8261</v>
      </c>
      <c r="P1607" s="153">
        <v>3630</v>
      </c>
      <c r="Q1607" s="74">
        <f>SIP[[#This Row],[Amount]]-SIP[[#This Row],[Unit Capital]]</f>
        <v>1370</v>
      </c>
      <c r="R16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12.105072025178554</v>
      </c>
      <c r="S1607" s="46">
        <f t="shared" si="75"/>
        <v>14.224</v>
      </c>
      <c r="T16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7" s="74" cm="1">
        <f t="array" ref="U1607">IF(SIP[[#This Row],[B/S]]="S",ABS(SIP[[#This Row],[Unit]])*(INDEX(SIP[NAV at Cost (Average)],MATCH(CONCATENATE((SIP[[#This Row],[Frequency]]-1),SIP[[#This Row],[Investor ID]]),SIP[Unique Code],0),0)),0)</f>
        <v>0</v>
      </c>
      <c r="V1607" s="74">
        <f>IF(SIP[[#This Row],[BO TRANSFER]]="YES",SIP[[#This Row],[Unit]],)</f>
        <v>0</v>
      </c>
      <c r="W1607" s="74">
        <f>SUMIFS(SIP[[#Headers],[BO UNIT TRANSFER]]:SIP[[#This Row],[BO UNIT TRANSFER]],SIP[[#Headers],[Investor ID]]:SIP[[#This Row],[Investor ID]],SIP[[#This Row],[Investor ID]])</f>
        <v>0</v>
      </c>
    </row>
    <row r="1608" spans="1:23" ht="15" customHeight="1">
      <c r="A1608" s="101">
        <v>2025</v>
      </c>
      <c r="B1608" s="101">
        <v>12</v>
      </c>
      <c r="C1608" s="101">
        <v>7</v>
      </c>
      <c r="D1608" s="65">
        <f>DATE(SIP[[#This Row],[Year]],SIP[[#This Row],[Month]],SIP[[#This Row],[Day]])</f>
        <v>45998</v>
      </c>
      <c r="E1608" s="66" t="str" cm="1">
        <f t="array" ref="E1608">INDEX(INVESTORS_LIST[INVESTOR NAME],MATCH(SIP[[#This Row],[Investor ID]],INVESTORS_LIST[INVESTOR CODE],0),)</f>
        <v>NANI GOPAL DATTA</v>
      </c>
      <c r="F1608" s="46" t="s">
        <v>232</v>
      </c>
      <c r="G1608" s="46">
        <f>COUNTIF(SIP[[#Headers],[Investor ID]]:SIP[[#This Row],[Investor ID]],SIP[[#This Row],[Investor ID]])</f>
        <v>23</v>
      </c>
      <c r="H1608" s="46" t="str">
        <f>CONCATENATE(SIP[[#This Row],[Frequency]],SIP[[#This Row],[Investor ID]])</f>
        <v>23A00092</v>
      </c>
      <c r="I1608" s="46" t="str">
        <f>IF(SIP[[#This Row],[B/S]]="B","BUY",(IF(SIP[[#This Row],[B/S]]="S","SELL"," ")))</f>
        <v>BUY</v>
      </c>
      <c r="J1608" s="150" t="s">
        <v>1229</v>
      </c>
      <c r="K1608" s="153">
        <v>2000</v>
      </c>
      <c r="L1608" s="122"/>
      <c r="M1608" s="123">
        <f>SIP[[#This Row],[Amount]]/SIP[[#This Row],[Unit]]</f>
        <v>13.793103448275861</v>
      </c>
      <c r="N1608" s="71">
        <f>SIP[[#This Row],[Unit Capital]]/10</f>
        <v>145</v>
      </c>
      <c r="O1608" s="71">
        <f>SUMIFS(SIP[[#Headers],[Unit]]:SIP[[#This Row],[Unit]],SIP[[#Headers],[Investor ID]]:SIP[[#This Row],[Investor ID]],SIP[[#This Row],[Investor ID]])</f>
        <v>3540</v>
      </c>
      <c r="P1608" s="153">
        <v>1450</v>
      </c>
      <c r="Q1608" s="74">
        <f>SIP[[#This Row],[Amount]]-SIP[[#This Row],[Unit Capital]]</f>
        <v>550</v>
      </c>
      <c r="R16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11.889104998301999</v>
      </c>
      <c r="S1608" s="46">
        <f t="shared" si="75"/>
        <v>14.224</v>
      </c>
      <c r="T16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8" s="74" cm="1">
        <f t="array" ref="U1608">IF(SIP[[#This Row],[B/S]]="S",ABS(SIP[[#This Row],[Unit]])*(INDEX(SIP[NAV at Cost (Average)],MATCH(CONCATENATE((SIP[[#This Row],[Frequency]]-1),SIP[[#This Row],[Investor ID]]),SIP[Unique Code],0),0)),0)</f>
        <v>0</v>
      </c>
      <c r="V1608" s="74">
        <f>IF(SIP[[#This Row],[BO TRANSFER]]="YES",SIP[[#This Row],[Unit]],)</f>
        <v>0</v>
      </c>
      <c r="W1608" s="74">
        <f>SUMIFS(SIP[[#Headers],[BO UNIT TRANSFER]]:SIP[[#This Row],[BO UNIT TRANSFER]],SIP[[#Headers],[Investor ID]]:SIP[[#This Row],[Investor ID]],SIP[[#This Row],[Investor ID]])</f>
        <v>0</v>
      </c>
    </row>
    <row r="1609" spans="1:23" ht="15" customHeight="1">
      <c r="A1609" s="101">
        <v>2025</v>
      </c>
      <c r="B1609" s="101">
        <v>12</v>
      </c>
      <c r="C1609" s="101">
        <v>7</v>
      </c>
      <c r="D1609" s="65">
        <f>DATE(SIP[[#This Row],[Year]],SIP[[#This Row],[Month]],SIP[[#This Row],[Day]])</f>
        <v>45998</v>
      </c>
      <c r="E1609" s="66" t="str" cm="1">
        <f t="array" ref="E1609">INDEX(INVESTORS_LIST[INVESTOR NAME],MATCH(SIP[[#This Row],[Investor ID]],INVESTORS_LIST[INVESTOR CODE],0),)</f>
        <v>SABRIA ISLAM TALUKDER</v>
      </c>
      <c r="F1609" s="46" t="s">
        <v>409</v>
      </c>
      <c r="G1609" s="46">
        <f>COUNTIF(SIP[[#Headers],[Investor ID]]:SIP[[#This Row],[Investor ID]],SIP[[#This Row],[Investor ID]])</f>
        <v>28</v>
      </c>
      <c r="H1609" s="46" t="str">
        <f>CONCATENATE(SIP[[#This Row],[Frequency]],SIP[[#This Row],[Investor ID]])</f>
        <v>28A00180</v>
      </c>
      <c r="I1609" s="46" t="str">
        <f>IF(SIP[[#This Row],[B/S]]="B","BUY",(IF(SIP[[#This Row],[B/S]]="S","SELL"," ")))</f>
        <v>BUY</v>
      </c>
      <c r="J1609" s="150" t="s">
        <v>1229</v>
      </c>
      <c r="K1609" s="153">
        <v>5000</v>
      </c>
      <c r="L1609" s="122"/>
      <c r="M1609" s="123">
        <f>SIP[[#This Row],[Amount]]/SIP[[#This Row],[Unit]]</f>
        <v>13.774104683195592</v>
      </c>
      <c r="N1609" s="71">
        <f>SIP[[#This Row],[Unit Capital]]/10</f>
        <v>363</v>
      </c>
      <c r="O1609" s="71">
        <f>SUMIFS(SIP[[#Headers],[Unit]]:SIP[[#This Row],[Unit]],SIP[[#Headers],[Investor ID]]:SIP[[#This Row],[Investor ID]],SIP[[#This Row],[Investor ID]])</f>
        <v>11976</v>
      </c>
      <c r="P1609" s="153">
        <v>3630</v>
      </c>
      <c r="Q1609" s="74">
        <f>SIP[[#This Row],[Amount]]-SIP[[#This Row],[Unit Capital]]</f>
        <v>1370</v>
      </c>
      <c r="R16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11.690046760187041</v>
      </c>
      <c r="S1609" s="46">
        <f t="shared" si="75"/>
        <v>14.224</v>
      </c>
      <c r="T16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9" s="74" cm="1">
        <f t="array" ref="U1609">IF(SIP[[#This Row],[B/S]]="S",ABS(SIP[[#This Row],[Unit]])*(INDEX(SIP[NAV at Cost (Average)],MATCH(CONCATENATE((SIP[[#This Row],[Frequency]]-1),SIP[[#This Row],[Investor ID]]),SIP[Unique Code],0),0)),0)</f>
        <v>0</v>
      </c>
      <c r="V1609" s="74">
        <f>IF(SIP[[#This Row],[BO TRANSFER]]="YES",SIP[[#This Row],[Unit]],)</f>
        <v>0</v>
      </c>
      <c r="W1609" s="74">
        <f>SUMIFS(SIP[[#Headers],[BO UNIT TRANSFER]]:SIP[[#This Row],[BO UNIT TRANSFER]],SIP[[#Headers],[Investor ID]]:SIP[[#This Row],[Investor ID]],SIP[[#This Row],[Investor ID]])</f>
        <v>0</v>
      </c>
    </row>
    <row r="1610" spans="1:23" ht="15" customHeight="1">
      <c r="A1610" s="101">
        <v>2025</v>
      </c>
      <c r="B1610" s="101">
        <v>12</v>
      </c>
      <c r="C1610" s="101">
        <v>7</v>
      </c>
      <c r="D1610" s="65">
        <f>DATE(SIP[[#This Row],[Year]],SIP[[#This Row],[Month]],SIP[[#This Row],[Day]])</f>
        <v>45998</v>
      </c>
      <c r="E1610" s="66" t="str" cm="1">
        <f t="array" ref="E1610">INDEX(INVESTORS_LIST[INVESTOR NAME],MATCH(SIP[[#This Row],[Investor ID]],INVESTORS_LIST[INVESTOR CODE],0),)</f>
        <v>NANDINI SAHA</v>
      </c>
      <c r="F1610" s="46" t="s">
        <v>242</v>
      </c>
      <c r="G1610" s="46">
        <f>COUNTIF(SIP[[#Headers],[Investor ID]]:SIP[[#This Row],[Investor ID]],SIP[[#This Row],[Investor ID]])</f>
        <v>36</v>
      </c>
      <c r="H1610" s="46" t="str">
        <f>CONCATENATE(SIP[[#This Row],[Frequency]],SIP[[#This Row],[Investor ID]])</f>
        <v>36A00097</v>
      </c>
      <c r="I1610" s="46" t="str">
        <f>IF(SIP[[#This Row],[B/S]]="B","BUY",(IF(SIP[[#This Row],[B/S]]="S","SELL"," ")))</f>
        <v>BUY</v>
      </c>
      <c r="J1610" s="150" t="s">
        <v>1229</v>
      </c>
      <c r="K1610" s="153">
        <v>5000</v>
      </c>
      <c r="L1610" s="122"/>
      <c r="M1610" s="123">
        <f>SIP[[#This Row],[Amount]]/SIP[[#This Row],[Unit]]</f>
        <v>13.774104683195592</v>
      </c>
      <c r="N1610" s="71">
        <f>SIP[[#This Row],[Unit Capital]]/10</f>
        <v>363</v>
      </c>
      <c r="O1610" s="71">
        <f>SUMIFS(SIP[[#Headers],[Unit]]:SIP[[#This Row],[Unit]],SIP[[#Headers],[Investor ID]]:SIP[[#This Row],[Investor ID]],SIP[[#This Row],[Investor ID]])</f>
        <v>22336</v>
      </c>
      <c r="P1610" s="153">
        <v>3630</v>
      </c>
      <c r="Q1610" s="74">
        <f>SIP[[#This Row],[Amount]]-SIP[[#This Row],[Unit Capital]]</f>
        <v>1370</v>
      </c>
      <c r="R16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11.657232175421374</v>
      </c>
      <c r="S1610" s="46">
        <f t="shared" si="75"/>
        <v>14.224</v>
      </c>
      <c r="T16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0" s="74" cm="1">
        <f t="array" ref="U1610">IF(SIP[[#This Row],[B/S]]="S",ABS(SIP[[#This Row],[Unit]])*(INDEX(SIP[NAV at Cost (Average)],MATCH(CONCATENATE((SIP[[#This Row],[Frequency]]-1),SIP[[#This Row],[Investor ID]]),SIP[Unique Code],0),0)),0)</f>
        <v>0</v>
      </c>
      <c r="V1610" s="74">
        <f>IF(SIP[[#This Row],[BO TRANSFER]]="YES",SIP[[#This Row],[Unit]],)</f>
        <v>0</v>
      </c>
      <c r="W1610" s="74">
        <f>SUMIFS(SIP[[#Headers],[BO UNIT TRANSFER]]:SIP[[#This Row],[BO UNIT TRANSFER]],SIP[[#Headers],[Investor ID]]:SIP[[#This Row],[Investor ID]],SIP[[#This Row],[Investor ID]])</f>
        <v>0</v>
      </c>
    </row>
    <row r="1611" spans="1:23" ht="15" customHeight="1">
      <c r="A1611" s="101">
        <v>2025</v>
      </c>
      <c r="B1611" s="101">
        <v>12</v>
      </c>
      <c r="C1611" s="101">
        <v>7</v>
      </c>
      <c r="D1611" s="65">
        <f>DATE(SIP[[#This Row],[Year]],SIP[[#This Row],[Month]],SIP[[#This Row],[Day]])</f>
        <v>45998</v>
      </c>
      <c r="E1611" s="66" t="str" cm="1">
        <f t="array" ref="E1611">INDEX(INVESTORS_LIST[INVESTOR NAME],MATCH(SIP[[#This Row],[Investor ID]],INVESTORS_LIST[INVESTOR CODE],0),)</f>
        <v>AKIB TANVIR ANJUM</v>
      </c>
      <c r="F1611" s="46" t="s">
        <v>1116</v>
      </c>
      <c r="G1611" s="46">
        <f>COUNTIF(SIP[[#Headers],[Investor ID]]:SIP[[#This Row],[Investor ID]],SIP[[#This Row],[Investor ID]])</f>
        <v>28</v>
      </c>
      <c r="H1611" s="46" t="str">
        <f>CONCATENATE(SIP[[#This Row],[Frequency]],SIP[[#This Row],[Investor ID]])</f>
        <v>28A00533</v>
      </c>
      <c r="I1611" s="46" t="str">
        <f>IF(SIP[[#This Row],[B/S]]="B","BUY",(IF(SIP[[#This Row],[B/S]]="S","SELL"," ")))</f>
        <v>BUY</v>
      </c>
      <c r="J1611" s="150" t="s">
        <v>1229</v>
      </c>
      <c r="K1611" s="153">
        <v>4000</v>
      </c>
      <c r="L1611" s="122"/>
      <c r="M1611" s="123">
        <f>SIP[[#This Row],[Amount]]/SIP[[#This Row],[Unit]]</f>
        <v>13.745704467353951</v>
      </c>
      <c r="N1611" s="71">
        <f>SIP[[#This Row],[Unit Capital]]/10</f>
        <v>291</v>
      </c>
      <c r="O1611" s="71">
        <f>SUMIFS(SIP[[#Headers],[Unit]]:SIP[[#This Row],[Unit]],SIP[[#Headers],[Investor ID]]:SIP[[#This Row],[Investor ID]],SIP[[#This Row],[Investor ID]])</f>
        <v>2129</v>
      </c>
      <c r="P1611" s="153">
        <v>2910</v>
      </c>
      <c r="Q1611" s="74">
        <f>SIP[[#This Row],[Amount]]-SIP[[#This Row],[Unit Capital]]</f>
        <v>1090</v>
      </c>
      <c r="R16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13.151714419915452</v>
      </c>
      <c r="S1611" s="46">
        <f t="shared" si="75"/>
        <v>14.224</v>
      </c>
      <c r="T16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1" s="74" cm="1">
        <f t="array" ref="U1611">IF(SIP[[#This Row],[B/S]]="S",ABS(SIP[[#This Row],[Unit]])*(INDEX(SIP[NAV at Cost (Average)],MATCH(CONCATENATE((SIP[[#This Row],[Frequency]]-1),SIP[[#This Row],[Investor ID]]),SIP[Unique Code],0),0)),0)</f>
        <v>0</v>
      </c>
      <c r="V1611" s="74">
        <f>IF(SIP[[#This Row],[BO TRANSFER]]="YES",SIP[[#This Row],[Unit]],)</f>
        <v>0</v>
      </c>
      <c r="W1611" s="74">
        <f>SUMIFS(SIP[[#Headers],[BO UNIT TRANSFER]]:SIP[[#This Row],[BO UNIT TRANSFER]],SIP[[#Headers],[Investor ID]]:SIP[[#This Row],[Investor ID]],SIP[[#This Row],[Investor ID]])</f>
        <v>0</v>
      </c>
    </row>
    <row r="1612" spans="1:23" ht="15" customHeight="1">
      <c r="A1612" s="101">
        <v>2025</v>
      </c>
      <c r="B1612" s="101">
        <v>12</v>
      </c>
      <c r="C1612" s="101">
        <v>10</v>
      </c>
      <c r="D1612" s="65">
        <f>DATE(SIP[[#This Row],[Year]],SIP[[#This Row],[Month]],SIP[[#This Row],[Day]])</f>
        <v>46001</v>
      </c>
      <c r="E1612" s="66" t="str" cm="1">
        <f t="array" ref="E1612">INDEX(INVESTORS_LIST[INVESTOR NAME],MATCH(SIP[[#This Row],[Investor ID]],INVESTORS_LIST[INVESTOR CODE],0),)</f>
        <v>SRIJON GHOSH</v>
      </c>
      <c r="F1612" s="254" t="s">
        <v>894</v>
      </c>
      <c r="G1612" s="46">
        <f>COUNTIF(SIP[[#Headers],[Investor ID]]:SIP[[#This Row],[Investor ID]],SIP[[#This Row],[Investor ID]])</f>
        <v>37</v>
      </c>
      <c r="H1612" s="46" t="str">
        <f>CONCATENATE(SIP[[#This Row],[Frequency]],SIP[[#This Row],[Investor ID]])</f>
        <v>37A00424</v>
      </c>
      <c r="I1612" s="46" t="str">
        <f>IF(SIP[[#This Row],[B/S]]="B","BUY",(IF(SIP[[#This Row],[B/S]]="S","SELL"," ")))</f>
        <v>SELL</v>
      </c>
      <c r="J1612" s="150" t="s">
        <v>1231</v>
      </c>
      <c r="K1612" s="153">
        <v>-7000</v>
      </c>
      <c r="L1612" s="122"/>
      <c r="M1612" s="123">
        <f>SIP[[#This Row],[Amount]]/SIP[[#This Row],[Unit]]</f>
        <v>13.779527559055119</v>
      </c>
      <c r="N1612" s="71">
        <f>SIP[[#This Row],[Unit Capital]]/10</f>
        <v>-508</v>
      </c>
      <c r="O1612" s="71">
        <f>SUMIFS(SIP[[#Headers],[Unit]]:SIP[[#This Row],[Unit]],SIP[[#Headers],[Investor ID]]:SIP[[#This Row],[Investor ID]],SIP[[#This Row],[Investor ID]])</f>
        <v>218</v>
      </c>
      <c r="P1612" s="153">
        <v>-5080</v>
      </c>
      <c r="Q1612" s="74">
        <f>SIP[[#This Row],[Amount]]-SIP[[#This Row],[Unit Capital]]</f>
        <v>-1920</v>
      </c>
      <c r="R16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612" s="46">
        <f t="shared" ref="S1612:S1623" si="76">NAV_MKT</f>
        <v>14.224</v>
      </c>
      <c r="T1612" s="74">
        <f>IF(SIP[[#This Row],[B/S]]="B",0,ABS(SIP[[#This Row],[Unit]])*(SIP[[#This Row],[NAV (Strike Rate)]]-INDEX(SIP[NAV at Cost (Average)],MATCH(CONCATENATE(SIP[[#This Row],[Frequency]]-1,SIP[[#This Row],[Investor ID]]),SIP[Unique Code],0),)))</f>
        <v>2.7548209366394616</v>
      </c>
      <c r="U1612" s="74" cm="1">
        <f t="array" ref="U1612">IF(SIP[[#This Row],[B/S]]="S",ABS(SIP[[#This Row],[Unit]])*(INDEX(SIP[NAV at Cost (Average)],MATCH(CONCATENATE((SIP[[#This Row],[Frequency]]-1),SIP[[#This Row],[Investor ID]]),SIP[Unique Code],0),0)),0)</f>
        <v>6997.2451790633604</v>
      </c>
      <c r="V1612" s="74">
        <f>IF(SIP[[#This Row],[BO TRANSFER]]="YES",SIP[[#This Row],[Unit]],)</f>
        <v>0</v>
      </c>
      <c r="W1612" s="74">
        <f>SUMIFS(SIP[[#Headers],[BO UNIT TRANSFER]]:SIP[[#This Row],[BO UNIT TRANSFER]],SIP[[#Headers],[Investor ID]]:SIP[[#This Row],[Investor ID]],SIP[[#This Row],[Investor ID]])</f>
        <v>0</v>
      </c>
    </row>
    <row r="1613" spans="1:23" ht="15" customHeight="1">
      <c r="A1613" s="101">
        <v>2025</v>
      </c>
      <c r="B1613" s="101">
        <v>12</v>
      </c>
      <c r="C1613" s="101">
        <v>10</v>
      </c>
      <c r="D1613" s="65">
        <f>DATE(SIP[[#This Row],[Year]],SIP[[#This Row],[Month]],SIP[[#This Row],[Day]])</f>
        <v>46001</v>
      </c>
      <c r="E1613" s="66" t="str" cm="1">
        <f t="array" ref="E1613">INDEX(INVESTORS_LIST[INVESTOR NAME],MATCH(SIP[[#This Row],[Investor ID]],INVESTORS_LIST[INVESTOR CODE],0),)</f>
        <v>MD. OMAR FARUQUE Al QUADERI</v>
      </c>
      <c r="F1613" s="46" t="s">
        <v>160</v>
      </c>
      <c r="G1613" s="46">
        <f>COUNTIF(SIP[[#Headers],[Investor ID]]:SIP[[#This Row],[Investor ID]],SIP[[#This Row],[Investor ID]])</f>
        <v>3</v>
      </c>
      <c r="H1613" s="46" t="str">
        <f>CONCATENATE(SIP[[#This Row],[Frequency]],SIP[[#This Row],[Investor ID]])</f>
        <v>3A00056</v>
      </c>
      <c r="I1613" s="46" t="str">
        <f>IF(SIP[[#This Row],[B/S]]="B","BUY",(IF(SIP[[#This Row],[B/S]]="S","SELL"," ")))</f>
        <v>BUY</v>
      </c>
      <c r="J1613" s="150" t="s">
        <v>1229</v>
      </c>
      <c r="K1613" s="152">
        <v>5000</v>
      </c>
      <c r="L1613" s="122"/>
      <c r="M1613" s="123">
        <f>SIP[[#This Row],[Amount]]/SIP[[#This Row],[Unit]]</f>
        <v>13.774104683195592</v>
      </c>
      <c r="N1613" s="71">
        <f>SIP[[#This Row],[Unit Capital]]/10</f>
        <v>363</v>
      </c>
      <c r="O1613" s="71">
        <f>SUMIFS(SIP[[#Headers],[Unit]]:SIP[[#This Row],[Unit]],SIP[[#Headers],[Investor ID]]:SIP[[#This Row],[Investor ID]],SIP[[#This Row],[Investor ID]])</f>
        <v>1095</v>
      </c>
      <c r="P1613" s="153">
        <v>3630</v>
      </c>
      <c r="Q1613" s="74">
        <f>SIP[[#This Row],[Amount]]-SIP[[#This Row],[Unit Capital]]</f>
        <v>1370</v>
      </c>
      <c r="R16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13.698630136986303</v>
      </c>
      <c r="S1613" s="46">
        <f t="shared" si="76"/>
        <v>14.224</v>
      </c>
      <c r="T16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3" s="74" cm="1">
        <f t="array" ref="U1613">IF(SIP[[#This Row],[B/S]]="S",ABS(SIP[[#This Row],[Unit]])*(INDEX(SIP[NAV at Cost (Average)],MATCH(CONCATENATE((SIP[[#This Row],[Frequency]]-1),SIP[[#This Row],[Investor ID]]),SIP[Unique Code],0),0)),0)</f>
        <v>0</v>
      </c>
      <c r="V1613" s="74">
        <f>IF(SIP[[#This Row],[BO TRANSFER]]="YES",SIP[[#This Row],[Unit]],)</f>
        <v>0</v>
      </c>
      <c r="W1613" s="74">
        <f>SUMIFS(SIP[[#Headers],[BO UNIT TRANSFER]]:SIP[[#This Row],[BO UNIT TRANSFER]],SIP[[#Headers],[Investor ID]]:SIP[[#This Row],[Investor ID]],SIP[[#This Row],[Investor ID]])</f>
        <v>0</v>
      </c>
    </row>
    <row r="1614" spans="1:23" ht="15" customHeight="1">
      <c r="A1614" s="101">
        <v>2025</v>
      </c>
      <c r="B1614" s="101">
        <v>12</v>
      </c>
      <c r="C1614" s="101">
        <v>15</v>
      </c>
      <c r="D1614" s="65">
        <f>DATE(SIP[[#This Row],[Year]],SIP[[#This Row],[Month]],SIP[[#This Row],[Day]])</f>
        <v>46006</v>
      </c>
      <c r="E1614" s="66" t="str" cm="1">
        <f t="array" ref="E1614">INDEX(INVESTORS_LIST[INVESTOR NAME],MATCH(SIP[[#This Row],[Investor ID]],INVESTORS_LIST[INVESTOR CODE],0),)</f>
        <v>KAZI AHSAN MARUF</v>
      </c>
      <c r="F1614" s="46" t="s">
        <v>158</v>
      </c>
      <c r="G1614" s="46">
        <f>COUNTIF(SIP[[#Headers],[Investor ID]]:SIP[[#This Row],[Investor ID]],SIP[[#This Row],[Investor ID]])</f>
        <v>40</v>
      </c>
      <c r="H1614" s="46" t="str">
        <f>CONCATENATE(SIP[[#This Row],[Frequency]],SIP[[#This Row],[Investor ID]])</f>
        <v>40A00055</v>
      </c>
      <c r="I1614" s="46" t="str">
        <f>IF(SIP[[#This Row],[B/S]]="B","BUY",(IF(SIP[[#This Row],[B/S]]="S","SELL"," ")))</f>
        <v>SELL</v>
      </c>
      <c r="J1614" s="150" t="s">
        <v>1231</v>
      </c>
      <c r="K1614" s="153">
        <v>-50000</v>
      </c>
      <c r="L1614" s="122"/>
      <c r="M1614" s="123">
        <f>SIP[[#This Row],[Amount]]/SIP[[#This Row],[Unit]]</f>
        <v>13.766519823788546</v>
      </c>
      <c r="N1614" s="71">
        <f>SIP[[#This Row],[Unit Capital]]/10</f>
        <v>-3632</v>
      </c>
      <c r="O1614" s="71">
        <f>SUMIFS(SIP[[#Headers],[Unit]]:SIP[[#This Row],[Unit]],SIP[[#Headers],[Investor ID]]:SIP[[#This Row],[Investor ID]],SIP[[#This Row],[Investor ID]])</f>
        <v>5226</v>
      </c>
      <c r="P1614" s="153">
        <v>-36320</v>
      </c>
      <c r="Q1614" s="74">
        <f>SIP[[#This Row],[Amount]]-SIP[[#This Row],[Unit Capital]]</f>
        <v>-13680</v>
      </c>
      <c r="R16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13.547076089410703</v>
      </c>
      <c r="S1614" s="46">
        <f t="shared" si="76"/>
        <v>14.224</v>
      </c>
      <c r="T1614" s="74">
        <f>IF(SIP[[#This Row],[B/S]]="B",0,ABS(SIP[[#This Row],[Unit]])*(SIP[[#This Row],[NAV (Strike Rate)]]-INDEX(SIP[NAV at Cost (Average)],MATCH(CONCATENATE(SIP[[#This Row],[Frequency]]-1,SIP[[#This Row],[Investor ID]]),SIP[Unique Code],0),)))</f>
        <v>797.01964326032271</v>
      </c>
      <c r="U1614" s="74" cm="1">
        <f t="array" ref="U1614">IF(SIP[[#This Row],[B/S]]="S",ABS(SIP[[#This Row],[Unit]])*(INDEX(SIP[NAV at Cost (Average)],MATCH(CONCATENATE((SIP[[#This Row],[Frequency]]-1),SIP[[#This Row],[Investor ID]]),SIP[Unique Code],0),0)),0)</f>
        <v>49202.980356739674</v>
      </c>
      <c r="V1614" s="74">
        <f>IF(SIP[[#This Row],[BO TRANSFER]]="YES",SIP[[#This Row],[Unit]],)</f>
        <v>0</v>
      </c>
      <c r="W1614" s="74">
        <f>SUMIFS(SIP[[#Headers],[BO UNIT TRANSFER]]:SIP[[#This Row],[BO UNIT TRANSFER]],SIP[[#Headers],[Investor ID]]:SIP[[#This Row],[Investor ID]],SIP[[#This Row],[Investor ID]])</f>
        <v>0</v>
      </c>
    </row>
    <row r="1615" spans="1:23" ht="15" customHeight="1">
      <c r="A1615" s="101">
        <v>2025</v>
      </c>
      <c r="B1615" s="101">
        <v>12</v>
      </c>
      <c r="C1615" s="101">
        <v>15</v>
      </c>
      <c r="D1615" s="65">
        <f>DATE(SIP[[#This Row],[Year]],SIP[[#This Row],[Month]],SIP[[#This Row],[Day]])</f>
        <v>46006</v>
      </c>
      <c r="E1615" s="66" t="str" cm="1">
        <f t="array" ref="E1615">INDEX(INVESTORS_LIST[INVESTOR NAME],MATCH(SIP[[#This Row],[Investor ID]],INVESTORS_LIST[INVESTOR CODE],0),)</f>
        <v>MAHMUD ALI ALAMGIR &amp; MOHAMMED ALI XAHANGIR</v>
      </c>
      <c r="F1615" s="46" t="s">
        <v>1130</v>
      </c>
      <c r="G1615" s="46">
        <f>COUNTIF(SIP[[#Headers],[Investor ID]]:SIP[[#This Row],[Investor ID]],SIP[[#This Row],[Investor ID]])</f>
        <v>34</v>
      </c>
      <c r="H1615" s="46" t="str">
        <f>CONCATENATE(SIP[[#This Row],[Frequency]],SIP[[#This Row],[Investor ID]])</f>
        <v>34A00540</v>
      </c>
      <c r="I1615" s="46" t="str">
        <f>IF(SIP[[#This Row],[B/S]]="B","BUY",(IF(SIP[[#This Row],[B/S]]="S","SELL"," ")))</f>
        <v>BUY</v>
      </c>
      <c r="J1615" s="150" t="s">
        <v>1229</v>
      </c>
      <c r="K1615" s="153">
        <v>40000</v>
      </c>
      <c r="L1615" s="122"/>
      <c r="M1615" s="123">
        <f>SIP[[#This Row],[Amount]]/SIP[[#This Row],[Unit]]</f>
        <v>13.769363166953529</v>
      </c>
      <c r="N1615" s="71">
        <f>SIP[[#This Row],[Unit Capital]]/10</f>
        <v>2905</v>
      </c>
      <c r="O1615" s="71">
        <f>SUMIFS(SIP[[#Headers],[Unit]]:SIP[[#This Row],[Unit]],SIP[[#Headers],[Investor ID]]:SIP[[#This Row],[Investor ID]],SIP[[#This Row],[Investor ID]])</f>
        <v>24518</v>
      </c>
      <c r="P1615" s="153">
        <v>29050</v>
      </c>
      <c r="Q1615" s="74">
        <f>SIP[[#This Row],[Amount]]-SIP[[#This Row],[Unit Capital]]</f>
        <v>10950</v>
      </c>
      <c r="R16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13.251274646138086</v>
      </c>
      <c r="S1615" s="46">
        <f t="shared" si="76"/>
        <v>14.224</v>
      </c>
      <c r="T16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5" s="74" cm="1">
        <f t="array" ref="U1615">IF(SIP[[#This Row],[B/S]]="S",ABS(SIP[[#This Row],[Unit]])*(INDEX(SIP[NAV at Cost (Average)],MATCH(CONCATENATE((SIP[[#This Row],[Frequency]]-1),SIP[[#This Row],[Investor ID]]),SIP[Unique Code],0),0)),0)</f>
        <v>0</v>
      </c>
      <c r="V1615" s="74">
        <f>IF(SIP[[#This Row],[BO TRANSFER]]="YES",SIP[[#This Row],[Unit]],)</f>
        <v>0</v>
      </c>
      <c r="W1615" s="74">
        <f>SUMIFS(SIP[[#Headers],[BO UNIT TRANSFER]]:SIP[[#This Row],[BO UNIT TRANSFER]],SIP[[#Headers],[Investor ID]]:SIP[[#This Row],[Investor ID]],SIP[[#This Row],[Investor ID]])</f>
        <v>0</v>
      </c>
    </row>
    <row r="1616" spans="1:23" ht="15" customHeight="1">
      <c r="A1616" s="101">
        <v>2025</v>
      </c>
      <c r="B1616" s="101">
        <v>12</v>
      </c>
      <c r="C1616" s="101">
        <v>15</v>
      </c>
      <c r="D1616" s="65">
        <f>DATE(SIP[[#This Row],[Year]],SIP[[#This Row],[Month]],SIP[[#This Row],[Day]])</f>
        <v>46006</v>
      </c>
      <c r="E1616" s="66" t="str" cm="1">
        <f t="array" ref="E1616">INDEX(INVESTORS_LIST[INVESTOR NAME],MATCH(SIP[[#This Row],[Investor ID]],INVESTORS_LIST[INVESTOR CODE],0),)</f>
        <v>ASRAAR HOSSAIN</v>
      </c>
      <c r="F1616" s="46" t="s">
        <v>786</v>
      </c>
      <c r="G1616" s="46">
        <f>COUNTIF(SIP[[#Headers],[Investor ID]]:SIP[[#This Row],[Investor ID]],SIP[[#This Row],[Investor ID]])</f>
        <v>15</v>
      </c>
      <c r="H1616" s="46" t="str">
        <f>CONCATENATE(SIP[[#This Row],[Frequency]],SIP[[#This Row],[Investor ID]])</f>
        <v>15A00369</v>
      </c>
      <c r="I1616" s="46" t="str">
        <f>IF(SIP[[#This Row],[B/S]]="B","BUY",(IF(SIP[[#This Row],[B/S]]="S","SELL"," ")))</f>
        <v>BUY</v>
      </c>
      <c r="J1616" s="150" t="s">
        <v>1229</v>
      </c>
      <c r="K1616" s="153">
        <v>15000</v>
      </c>
      <c r="L1616" s="122" t="s">
        <v>1230</v>
      </c>
      <c r="M1616" s="123">
        <f>SIP[[#This Row],[Amount]]/SIP[[#This Row],[Unit]]</f>
        <v>13.761467889908257</v>
      </c>
      <c r="N1616" s="71">
        <f>SIP[[#This Row],[Unit Capital]]/10</f>
        <v>1090</v>
      </c>
      <c r="O1616" s="71">
        <f>SUMIFS(SIP[[#Headers],[Unit]]:SIP[[#This Row],[Unit]],SIP[[#Headers],[Investor ID]]:SIP[[#This Row],[Investor ID]],SIP[[#This Row],[Investor ID]])</f>
        <v>17886</v>
      </c>
      <c r="P1616" s="153">
        <v>10900</v>
      </c>
      <c r="Q1616" s="74">
        <f>SIP[[#This Row],[Amount]]-SIP[[#This Row],[Unit Capital]]</f>
        <v>4100</v>
      </c>
      <c r="R16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12.579671251257965</v>
      </c>
      <c r="S1616" s="46">
        <f t="shared" si="76"/>
        <v>14.224</v>
      </c>
      <c r="T16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6" s="74" cm="1">
        <f t="array" ref="U1616">IF(SIP[[#This Row],[B/S]]="S",ABS(SIP[[#This Row],[Unit]])*(INDEX(SIP[NAV at Cost (Average)],MATCH(CONCATENATE((SIP[[#This Row],[Frequency]]-1),SIP[[#This Row],[Investor ID]]),SIP[Unique Code],0),0)),0)</f>
        <v>0</v>
      </c>
      <c r="V1616" s="74">
        <f>IF(SIP[[#This Row],[BO TRANSFER]]="YES",SIP[[#This Row],[Unit]],)</f>
        <v>1090</v>
      </c>
      <c r="W1616" s="74">
        <f>SUMIFS(SIP[[#Headers],[BO UNIT TRANSFER]]:SIP[[#This Row],[BO UNIT TRANSFER]],SIP[[#Headers],[Investor ID]]:SIP[[#This Row],[Investor ID]],SIP[[#This Row],[Investor ID]])</f>
        <v>6746</v>
      </c>
    </row>
    <row r="1617" spans="1:23" ht="15" customHeight="1">
      <c r="A1617" s="101">
        <v>2025</v>
      </c>
      <c r="B1617" s="101">
        <v>12</v>
      </c>
      <c r="C1617" s="101">
        <v>15</v>
      </c>
      <c r="D1617" s="65">
        <f>DATE(SIP[[#This Row],[Year]],SIP[[#This Row],[Month]],SIP[[#This Row],[Day]])</f>
        <v>46006</v>
      </c>
      <c r="E1617" s="66" t="str" cm="1">
        <f t="array" ref="E1617">INDEX(INVESTORS_LIST[INVESTOR NAME],MATCH(SIP[[#This Row],[Investor ID]],INVESTORS_LIST[INVESTOR CODE],0),)</f>
        <v>MD. RAFIQUR RAHMAN</v>
      </c>
      <c r="F1617" s="46" t="s">
        <v>622</v>
      </c>
      <c r="G1617" s="46">
        <f>COUNTIF(SIP[[#Headers],[Investor ID]]:SIP[[#This Row],[Investor ID]],SIP[[#This Row],[Investor ID]])</f>
        <v>28</v>
      </c>
      <c r="H1617" s="46" t="str">
        <f>CONCATENATE(SIP[[#This Row],[Frequency]],SIP[[#This Row],[Investor ID]])</f>
        <v>28A00287</v>
      </c>
      <c r="I1617" s="46" t="str">
        <f>IF(SIP[[#This Row],[B/S]]="B","BUY",(IF(SIP[[#This Row],[B/S]]="S","SELL"," ")))</f>
        <v>BUY</v>
      </c>
      <c r="J1617" s="150" t="s">
        <v>1229</v>
      </c>
      <c r="K1617" s="153">
        <v>20000</v>
      </c>
      <c r="L1617" s="122"/>
      <c r="M1617" s="123">
        <f>SIP[[#This Row],[Amount]]/SIP[[#This Row],[Unit]]</f>
        <v>13.764624913971094</v>
      </c>
      <c r="N1617" s="71">
        <f>SIP[[#This Row],[Unit Capital]]/10</f>
        <v>1453</v>
      </c>
      <c r="O1617" s="71">
        <f>SUMIFS(SIP[[#Headers],[Unit]]:SIP[[#This Row],[Unit]],SIP[[#Headers],[Investor ID]]:SIP[[#This Row],[Investor ID]],SIP[[#This Row],[Investor ID]])</f>
        <v>47722</v>
      </c>
      <c r="P1617" s="153">
        <v>14530</v>
      </c>
      <c r="Q1617" s="74">
        <f>SIP[[#This Row],[Amount]]-SIP[[#This Row],[Unit Capital]]</f>
        <v>5470</v>
      </c>
      <c r="R16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11.734629730522615</v>
      </c>
      <c r="S1617" s="46">
        <f t="shared" si="76"/>
        <v>14.224</v>
      </c>
      <c r="T16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7" s="74" cm="1">
        <f t="array" ref="U1617">IF(SIP[[#This Row],[B/S]]="S",ABS(SIP[[#This Row],[Unit]])*(INDEX(SIP[NAV at Cost (Average)],MATCH(CONCATENATE((SIP[[#This Row],[Frequency]]-1),SIP[[#This Row],[Investor ID]]),SIP[Unique Code],0),0)),0)</f>
        <v>0</v>
      </c>
      <c r="V1617" s="74">
        <f>IF(SIP[[#This Row],[BO TRANSFER]]="YES",SIP[[#This Row],[Unit]],)</f>
        <v>0</v>
      </c>
      <c r="W1617" s="74">
        <f>SUMIFS(SIP[[#Headers],[BO UNIT TRANSFER]]:SIP[[#This Row],[BO UNIT TRANSFER]],SIP[[#Headers],[Investor ID]]:SIP[[#This Row],[Investor ID]],SIP[[#This Row],[Investor ID]])</f>
        <v>0</v>
      </c>
    </row>
    <row r="1618" spans="1:23" ht="15" customHeight="1">
      <c r="A1618" s="101">
        <v>2025</v>
      </c>
      <c r="B1618" s="101">
        <v>12</v>
      </c>
      <c r="C1618" s="101">
        <v>15</v>
      </c>
      <c r="D1618" s="65">
        <f>DATE(SIP[[#This Row],[Year]],SIP[[#This Row],[Month]],SIP[[#This Row],[Day]])</f>
        <v>46006</v>
      </c>
      <c r="E1618" s="66" t="str" cm="1">
        <f t="array" ref="E1618">INDEX(INVESTORS_LIST[INVESTOR NAME],MATCH(SIP[[#This Row],[Investor ID]],INVESTORS_LIST[INVESTOR CODE],0),)</f>
        <v>MAHMUD ALI ALAMGIR &amp; MOHAMMED ALI XAHANGIR</v>
      </c>
      <c r="F1618" s="46" t="s">
        <v>1130</v>
      </c>
      <c r="G1618" s="46">
        <f>COUNTIF(SIP[[#Headers],[Investor ID]]:SIP[[#This Row],[Investor ID]],SIP[[#This Row],[Investor ID]])</f>
        <v>35</v>
      </c>
      <c r="H1618" s="46" t="str">
        <f>CONCATENATE(SIP[[#This Row],[Frequency]],SIP[[#This Row],[Investor ID]])</f>
        <v>35A00540</v>
      </c>
      <c r="I1618" s="46" t="str">
        <f>IF(SIP[[#This Row],[B/S]]="B","BUY",(IF(SIP[[#This Row],[B/S]]="S","SELL"," ")))</f>
        <v>BUY</v>
      </c>
      <c r="J1618" s="150" t="s">
        <v>1229</v>
      </c>
      <c r="K1618" s="153">
        <v>20000</v>
      </c>
      <c r="L1618" s="122"/>
      <c r="M1618" s="123">
        <f>SIP[[#This Row],[Amount]]/SIP[[#This Row],[Unit]]</f>
        <v>13.764624913971094</v>
      </c>
      <c r="N1618" s="71">
        <f>SIP[[#This Row],[Unit Capital]]/10</f>
        <v>1453</v>
      </c>
      <c r="O1618" s="71">
        <f>SUMIFS(SIP[[#Headers],[Unit]]:SIP[[#This Row],[Unit]],SIP[[#Headers],[Investor ID]]:SIP[[#This Row],[Investor ID]],SIP[[#This Row],[Investor ID]])</f>
        <v>25971</v>
      </c>
      <c r="P1618" s="153">
        <v>14530</v>
      </c>
      <c r="Q1618" s="74">
        <f>SIP[[#This Row],[Amount]]-SIP[[#This Row],[Unit Capital]]</f>
        <v>5470</v>
      </c>
      <c r="R16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13.279995062724328</v>
      </c>
      <c r="S1618" s="46">
        <f t="shared" si="76"/>
        <v>14.224</v>
      </c>
      <c r="T16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8" s="74" cm="1">
        <f t="array" ref="U1618">IF(SIP[[#This Row],[B/S]]="S",ABS(SIP[[#This Row],[Unit]])*(INDEX(SIP[NAV at Cost (Average)],MATCH(CONCATENATE((SIP[[#This Row],[Frequency]]-1),SIP[[#This Row],[Investor ID]]),SIP[Unique Code],0),0)),0)</f>
        <v>0</v>
      </c>
      <c r="V1618" s="74">
        <f>IF(SIP[[#This Row],[BO TRANSFER]]="YES",SIP[[#This Row],[Unit]],)</f>
        <v>0</v>
      </c>
      <c r="W1618" s="74">
        <f>SUMIFS(SIP[[#Headers],[BO UNIT TRANSFER]]:SIP[[#This Row],[BO UNIT TRANSFER]],SIP[[#Headers],[Investor ID]]:SIP[[#This Row],[Investor ID]],SIP[[#This Row],[Investor ID]])</f>
        <v>0</v>
      </c>
    </row>
    <row r="1619" spans="1:23" ht="15" customHeight="1">
      <c r="A1619" s="101">
        <v>2025</v>
      </c>
      <c r="B1619" s="101">
        <v>12</v>
      </c>
      <c r="C1619" s="101">
        <v>15</v>
      </c>
      <c r="D1619" s="65">
        <f>DATE(SIP[[#This Row],[Year]],SIP[[#This Row],[Month]],SIP[[#This Row],[Day]])</f>
        <v>46006</v>
      </c>
      <c r="E1619" s="66" t="str" cm="1">
        <f t="array" ref="E1619">INDEX(INVESTORS_LIST[INVESTOR NAME],MATCH(SIP[[#This Row],[Investor ID]],INVESTORS_LIST[INVESTOR CODE],0),)</f>
        <v>RUKAIYA FAHMIDA</v>
      </c>
      <c r="F1619" s="46" t="s">
        <v>1190</v>
      </c>
      <c r="G1619" s="46">
        <f>COUNTIF(SIP[[#Headers],[Investor ID]]:SIP[[#This Row],[Investor ID]],SIP[[#This Row],[Investor ID]])</f>
        <v>10</v>
      </c>
      <c r="H1619" s="46" t="str">
        <f>CONCATENATE(SIP[[#This Row],[Frequency]],SIP[[#This Row],[Investor ID]])</f>
        <v>10A00571</v>
      </c>
      <c r="I1619" s="46" t="str">
        <f>IF(SIP[[#This Row],[B/S]]="B","BUY",(IF(SIP[[#This Row],[B/S]]="S","SELL"," ")))</f>
        <v>BUY</v>
      </c>
      <c r="J1619" s="150" t="s">
        <v>1229</v>
      </c>
      <c r="K1619" s="153">
        <v>2000</v>
      </c>
      <c r="L1619" s="122"/>
      <c r="M1619" s="123">
        <f>SIP[[#This Row],[Amount]]/SIP[[#This Row],[Unit]]</f>
        <v>13.793103448275861</v>
      </c>
      <c r="N1619" s="71">
        <f>SIP[[#This Row],[Unit Capital]]/10</f>
        <v>145</v>
      </c>
      <c r="O1619" s="71">
        <f>SUMIFS(SIP[[#Headers],[Unit]]:SIP[[#This Row],[Unit]],SIP[[#Headers],[Investor ID]]:SIP[[#This Row],[Investor ID]],SIP[[#This Row],[Investor ID]])</f>
        <v>1539</v>
      </c>
      <c r="P1619" s="153">
        <v>1450</v>
      </c>
      <c r="Q1619" s="74">
        <f>SIP[[#This Row],[Amount]]-SIP[[#This Row],[Unit Capital]]</f>
        <v>550</v>
      </c>
      <c r="R16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12.995451591942818</v>
      </c>
      <c r="S1619" s="46">
        <f t="shared" si="76"/>
        <v>14.224</v>
      </c>
      <c r="T16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9" s="74" cm="1">
        <f t="array" ref="U1619">IF(SIP[[#This Row],[B/S]]="S",ABS(SIP[[#This Row],[Unit]])*(INDEX(SIP[NAV at Cost (Average)],MATCH(CONCATENATE((SIP[[#This Row],[Frequency]]-1),SIP[[#This Row],[Investor ID]]),SIP[Unique Code],0),0)),0)</f>
        <v>0</v>
      </c>
      <c r="V1619" s="74">
        <f>IF(SIP[[#This Row],[BO TRANSFER]]="YES",SIP[[#This Row],[Unit]],)</f>
        <v>0</v>
      </c>
      <c r="W1619" s="74">
        <f>SUMIFS(SIP[[#Headers],[BO UNIT TRANSFER]]:SIP[[#This Row],[BO UNIT TRANSFER]],SIP[[#Headers],[Investor ID]]:SIP[[#This Row],[Investor ID]],SIP[[#This Row],[Investor ID]])</f>
        <v>0</v>
      </c>
    </row>
    <row r="1620" spans="1:23" ht="15" customHeight="1">
      <c r="A1620" s="101">
        <v>2025</v>
      </c>
      <c r="B1620" s="101">
        <v>12</v>
      </c>
      <c r="C1620" s="101">
        <v>15</v>
      </c>
      <c r="D1620" s="65">
        <f>DATE(SIP[[#This Row],[Year]],SIP[[#This Row],[Month]],SIP[[#This Row],[Day]])</f>
        <v>46006</v>
      </c>
      <c r="E1620" s="66" t="str" cm="1">
        <f t="array" ref="E1620">INDEX(INVESTORS_LIST[INVESTOR NAME],MATCH(SIP[[#This Row],[Investor ID]],INVESTORS_LIST[INVESTOR CODE],0),)</f>
        <v>MAHFUZA ANIKA</v>
      </c>
      <c r="F1620" s="46" t="s">
        <v>1277</v>
      </c>
      <c r="G1620" s="46">
        <f>COUNTIF(SIP[[#Headers],[Investor ID]]:SIP[[#This Row],[Investor ID]],SIP[[#This Row],[Investor ID]])</f>
        <v>20</v>
      </c>
      <c r="H1620" s="46" t="str">
        <f>CONCATENATE(SIP[[#This Row],[Frequency]],SIP[[#This Row],[Investor ID]])</f>
        <v>20A00585</v>
      </c>
      <c r="I1620" s="46" t="str">
        <f>IF(SIP[[#This Row],[B/S]]="B","BUY",(IF(SIP[[#This Row],[B/S]]="S","SELL"," ")))</f>
        <v>BUY</v>
      </c>
      <c r="J1620" s="150" t="s">
        <v>1229</v>
      </c>
      <c r="K1620" s="153">
        <v>2000</v>
      </c>
      <c r="L1620" s="122"/>
      <c r="M1620" s="123">
        <f>SIP[[#This Row],[Amount]]/SIP[[#This Row],[Unit]]</f>
        <v>13.793103448275861</v>
      </c>
      <c r="N1620" s="71">
        <f>SIP[[#This Row],[Unit Capital]]/10</f>
        <v>145</v>
      </c>
      <c r="O1620" s="71">
        <f>SUMIFS(SIP[[#Headers],[Unit]]:SIP[[#This Row],[Unit]],SIP[[#Headers],[Investor ID]]:SIP[[#This Row],[Investor ID]],SIP[[#This Row],[Investor ID]])</f>
        <v>728</v>
      </c>
      <c r="P1620" s="153">
        <v>1450</v>
      </c>
      <c r="Q1620" s="74">
        <f>SIP[[#This Row],[Amount]]-SIP[[#This Row],[Unit Capital]]</f>
        <v>550</v>
      </c>
      <c r="R16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13.322015053857307</v>
      </c>
      <c r="S1620" s="46">
        <f t="shared" si="76"/>
        <v>14.224</v>
      </c>
      <c r="T16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0" s="74" cm="1">
        <f t="array" ref="U1620">IF(SIP[[#This Row],[B/S]]="S",ABS(SIP[[#This Row],[Unit]])*(INDEX(SIP[NAV at Cost (Average)],MATCH(CONCATENATE((SIP[[#This Row],[Frequency]]-1),SIP[[#This Row],[Investor ID]]),SIP[Unique Code],0),0)),0)</f>
        <v>0</v>
      </c>
      <c r="V1620" s="74">
        <f>IF(SIP[[#This Row],[BO TRANSFER]]="YES",SIP[[#This Row],[Unit]],)</f>
        <v>0</v>
      </c>
      <c r="W1620" s="74">
        <f>SUMIFS(SIP[[#Headers],[BO UNIT TRANSFER]]:SIP[[#This Row],[BO UNIT TRANSFER]],SIP[[#Headers],[Investor ID]]:SIP[[#This Row],[Investor ID]],SIP[[#This Row],[Investor ID]])</f>
        <v>0</v>
      </c>
    </row>
    <row r="1621" spans="1:23" ht="15" customHeight="1">
      <c r="A1621" s="101">
        <v>2025</v>
      </c>
      <c r="B1621" s="101">
        <v>12</v>
      </c>
      <c r="C1621" s="101">
        <v>15</v>
      </c>
      <c r="D1621" s="65">
        <f>DATE(SIP[[#This Row],[Year]],SIP[[#This Row],[Month]],SIP[[#This Row],[Day]])</f>
        <v>46006</v>
      </c>
      <c r="E1621" s="66" t="str" cm="1">
        <f t="array" ref="E1621">INDEX(INVESTORS_LIST[INVESTOR NAME],MATCH(SIP[[#This Row],[Investor ID]],INVESTORS_LIST[INVESTOR CODE],0),)</f>
        <v>SANJIB KUMAR ROY</v>
      </c>
      <c r="F1621" s="46" t="s">
        <v>1020</v>
      </c>
      <c r="G1621" s="46">
        <f>COUNTIF(SIP[[#Headers],[Investor ID]]:SIP[[#This Row],[Investor ID]],SIP[[#This Row],[Investor ID]])</f>
        <v>31</v>
      </c>
      <c r="H1621" s="46" t="str">
        <f>CONCATENATE(SIP[[#This Row],[Frequency]],SIP[[#This Row],[Investor ID]])</f>
        <v>31A00487</v>
      </c>
      <c r="I1621" s="46" t="str">
        <f>IF(SIP[[#This Row],[B/S]]="B","BUY",(IF(SIP[[#This Row],[B/S]]="S","SELL"," ")))</f>
        <v>BUY</v>
      </c>
      <c r="J1621" s="150" t="s">
        <v>1229</v>
      </c>
      <c r="K1621" s="153">
        <v>5000</v>
      </c>
      <c r="L1621" s="122"/>
      <c r="M1621" s="123">
        <f>SIP[[#This Row],[Amount]]/SIP[[#This Row],[Unit]]</f>
        <v>13.774104683195592</v>
      </c>
      <c r="N1621" s="71">
        <f>SIP[[#This Row],[Unit Capital]]/10</f>
        <v>363</v>
      </c>
      <c r="O1621" s="71">
        <f>SUMIFS(SIP[[#Headers],[Unit]]:SIP[[#This Row],[Unit]],SIP[[#Headers],[Investor ID]]:SIP[[#This Row],[Investor ID]],SIP[[#This Row],[Investor ID]])</f>
        <v>13387</v>
      </c>
      <c r="P1621" s="153">
        <v>3630</v>
      </c>
      <c r="Q1621" s="74">
        <f>SIP[[#This Row],[Amount]]-SIP[[#This Row],[Unit Capital]]</f>
        <v>1370</v>
      </c>
      <c r="R16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11.578396952267122</v>
      </c>
      <c r="S1621" s="46">
        <f t="shared" si="76"/>
        <v>14.224</v>
      </c>
      <c r="T16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1" s="74" cm="1">
        <f t="array" ref="U1621">IF(SIP[[#This Row],[B/S]]="S",ABS(SIP[[#This Row],[Unit]])*(INDEX(SIP[NAV at Cost (Average)],MATCH(CONCATENATE((SIP[[#This Row],[Frequency]]-1),SIP[[#This Row],[Investor ID]]),SIP[Unique Code],0),0)),0)</f>
        <v>0</v>
      </c>
      <c r="V1621" s="74">
        <f>IF(SIP[[#This Row],[BO TRANSFER]]="YES",SIP[[#This Row],[Unit]],)</f>
        <v>0</v>
      </c>
      <c r="W1621" s="74">
        <f>SUMIFS(SIP[[#Headers],[BO UNIT TRANSFER]]:SIP[[#This Row],[BO UNIT TRANSFER]],SIP[[#Headers],[Investor ID]]:SIP[[#This Row],[Investor ID]],SIP[[#This Row],[Investor ID]])</f>
        <v>0</v>
      </c>
    </row>
    <row r="1622" spans="1:23" ht="15" customHeight="1">
      <c r="A1622" s="101">
        <v>2025</v>
      </c>
      <c r="B1622" s="101">
        <v>12</v>
      </c>
      <c r="C1622" s="101">
        <v>15</v>
      </c>
      <c r="D1622" s="65">
        <f>DATE(SIP[[#This Row],[Year]],SIP[[#This Row],[Month]],SIP[[#This Row],[Day]])</f>
        <v>46006</v>
      </c>
      <c r="E1622" s="66" t="str" cm="1">
        <f t="array" ref="E1622">INDEX(INVESTORS_LIST[INVESTOR NAME],MATCH(SIP[[#This Row],[Investor ID]],INVESTORS_LIST[INVESTOR CODE],0),)</f>
        <v>JOY SARKAR</v>
      </c>
      <c r="F1622" s="46" t="s">
        <v>1444</v>
      </c>
      <c r="G1622" s="46">
        <f>COUNTIF(SIP[[#Headers],[Investor ID]]:SIP[[#This Row],[Investor ID]],SIP[[#This Row],[Investor ID]])</f>
        <v>3</v>
      </c>
      <c r="H1622" s="46" t="str">
        <f>CONCATENATE(SIP[[#This Row],[Frequency]],SIP[[#This Row],[Investor ID]])</f>
        <v>3A00665</v>
      </c>
      <c r="I1622" s="46" t="str">
        <f>IF(SIP[[#This Row],[B/S]]="B","BUY",(IF(SIP[[#This Row],[B/S]]="S","SELL"," ")))</f>
        <v>BUY</v>
      </c>
      <c r="J1622" s="150" t="s">
        <v>1229</v>
      </c>
      <c r="K1622" s="153">
        <v>6000</v>
      </c>
      <c r="L1622" s="122"/>
      <c r="M1622" s="123">
        <f>SIP[[#This Row],[Amount]]/SIP[[#This Row],[Unit]]</f>
        <v>13.761467889908257</v>
      </c>
      <c r="N1622" s="71">
        <f>SIP[[#This Row],[Unit Capital]]/10</f>
        <v>436</v>
      </c>
      <c r="O1622" s="71">
        <f>SUMIFS(SIP[[#Headers],[Unit]]:SIP[[#This Row],[Unit]],SIP[[#Headers],[Investor ID]]:SIP[[#This Row],[Investor ID]],SIP[[#This Row],[Investor ID]])</f>
        <v>1312</v>
      </c>
      <c r="P1622" s="153">
        <v>4360</v>
      </c>
      <c r="Q1622" s="74">
        <f>SIP[[#This Row],[Amount]]-SIP[[#This Row],[Unit Capital]]</f>
        <v>1640</v>
      </c>
      <c r="R16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13.719512195121954</v>
      </c>
      <c r="S1622" s="46">
        <f t="shared" si="76"/>
        <v>14.224</v>
      </c>
      <c r="T16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2" s="74" cm="1">
        <f t="array" ref="U1622">IF(SIP[[#This Row],[B/S]]="S",ABS(SIP[[#This Row],[Unit]])*(INDEX(SIP[NAV at Cost (Average)],MATCH(CONCATENATE((SIP[[#This Row],[Frequency]]-1),SIP[[#This Row],[Investor ID]]),SIP[Unique Code],0),0)),0)</f>
        <v>0</v>
      </c>
      <c r="V1622" s="74">
        <f>IF(SIP[[#This Row],[BO TRANSFER]]="YES",SIP[[#This Row],[Unit]],)</f>
        <v>0</v>
      </c>
      <c r="W1622" s="74">
        <f>SUMIFS(SIP[[#Headers],[BO UNIT TRANSFER]]:SIP[[#This Row],[BO UNIT TRANSFER]],SIP[[#Headers],[Investor ID]]:SIP[[#This Row],[Investor ID]],SIP[[#This Row],[Investor ID]])</f>
        <v>0</v>
      </c>
    </row>
    <row r="1623" spans="1:23" ht="15" customHeight="1">
      <c r="A1623" s="101">
        <v>2025</v>
      </c>
      <c r="B1623" s="101">
        <v>12</v>
      </c>
      <c r="C1623" s="101">
        <v>18</v>
      </c>
      <c r="D1623" s="65">
        <f>DATE(SIP[[#This Row],[Year]],SIP[[#This Row],[Month]],SIP[[#This Row],[Day]])</f>
        <v>46009</v>
      </c>
      <c r="E1623" s="66" t="str" cm="1">
        <f t="array" ref="E1623">INDEX(INVESTORS_LIST[INVESTOR NAME],MATCH(SIP[[#This Row],[Investor ID]],INVESTORS_LIST[INVESTOR CODE],0),)</f>
        <v>AMIT KANTI SARKER</v>
      </c>
      <c r="F1623" s="46" t="s">
        <v>364</v>
      </c>
      <c r="G1623" s="46">
        <f>COUNTIF(SIP[[#Headers],[Investor ID]]:SIP[[#This Row],[Investor ID]],SIP[[#This Row],[Investor ID]])</f>
        <v>1</v>
      </c>
      <c r="H1623" s="46" t="str">
        <f>CONCATENATE(SIP[[#This Row],[Frequency]],SIP[[#This Row],[Investor ID]])</f>
        <v>1A00158</v>
      </c>
      <c r="I1623" s="46" t="str">
        <f>IF(SIP[[#This Row],[B/S]]="B","BUY",(IF(SIP[[#This Row],[B/S]]="S","SELL"," ")))</f>
        <v>BUY</v>
      </c>
      <c r="J1623" s="150" t="s">
        <v>1229</v>
      </c>
      <c r="K1623" s="153">
        <v>10000</v>
      </c>
      <c r="L1623" s="122"/>
      <c r="M1623" s="123">
        <f>SIP[[#This Row],[Amount]]/SIP[[#This Row],[Unit]]</f>
        <v>13.774104683195592</v>
      </c>
      <c r="N1623" s="71">
        <f>SIP[[#This Row],[Unit Capital]]/10</f>
        <v>726</v>
      </c>
      <c r="O1623" s="71">
        <f>SUMIFS(SIP[[#Headers],[Unit]]:SIP[[#This Row],[Unit]],SIP[[#Headers],[Investor ID]]:SIP[[#This Row],[Investor ID]],SIP[[#This Row],[Investor ID]])</f>
        <v>726</v>
      </c>
      <c r="P1623" s="153">
        <v>7260</v>
      </c>
      <c r="Q1623" s="74">
        <f>SIP[[#This Row],[Amount]]-SIP[[#This Row],[Unit Capital]]</f>
        <v>2740</v>
      </c>
      <c r="R16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623" s="46">
        <f t="shared" si="76"/>
        <v>14.224</v>
      </c>
      <c r="T16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3" s="74" cm="1">
        <f t="array" ref="U1623">IF(SIP[[#This Row],[B/S]]="S",ABS(SIP[[#This Row],[Unit]])*(INDEX(SIP[NAV at Cost (Average)],MATCH(CONCATENATE((SIP[[#This Row],[Frequency]]-1),SIP[[#This Row],[Investor ID]]),SIP[Unique Code],0),0)),0)</f>
        <v>0</v>
      </c>
      <c r="V1623" s="74">
        <f>IF(SIP[[#This Row],[BO TRANSFER]]="YES",SIP[[#This Row],[Unit]],)</f>
        <v>0</v>
      </c>
      <c r="W1623" s="74">
        <f>SUMIFS(SIP[[#Headers],[BO UNIT TRANSFER]]:SIP[[#This Row],[BO UNIT TRANSFER]],SIP[[#Headers],[Investor ID]]:SIP[[#This Row],[Investor ID]],SIP[[#This Row],[Investor ID]])</f>
        <v>0</v>
      </c>
    </row>
    <row r="1624" spans="1:23" ht="15" customHeight="1">
      <c r="A1624" s="101">
        <v>2025</v>
      </c>
      <c r="B1624" s="101">
        <v>12</v>
      </c>
      <c r="C1624" s="101">
        <v>21</v>
      </c>
      <c r="D1624" s="65">
        <f>DATE(SIP[[#This Row],[Year]],SIP[[#This Row],[Month]],SIP[[#This Row],[Day]])</f>
        <v>46012</v>
      </c>
      <c r="E1624" s="66" t="str" cm="1">
        <f t="array" ref="E1624">INDEX(INVESTORS_LIST[INVESTOR NAME],MATCH(SIP[[#This Row],[Investor ID]],INVESTORS_LIST[INVESTOR CODE],0),)</f>
        <v>AKIB TANVIR ANJUM</v>
      </c>
      <c r="F1624" s="150" t="s">
        <v>1116</v>
      </c>
      <c r="G1624" s="46">
        <f>COUNTIF(SIP[[#Headers],[Investor ID]]:SIP[[#This Row],[Investor ID]],SIP[[#This Row],[Investor ID]])</f>
        <v>29</v>
      </c>
      <c r="H1624" s="46" t="str">
        <f>CONCATENATE(SIP[[#This Row],[Frequency]],SIP[[#This Row],[Investor ID]])</f>
        <v>29A00533</v>
      </c>
      <c r="I1624" s="46" t="str">
        <f>IF(SIP[[#This Row],[B/S]]="B","BUY",(IF(SIP[[#This Row],[B/S]]="S","SELL"," ")))</f>
        <v>SELL</v>
      </c>
      <c r="J1624" s="150" t="s">
        <v>1231</v>
      </c>
      <c r="K1624" s="153">
        <v>-2500</v>
      </c>
      <c r="L1624" s="122"/>
      <c r="M1624" s="123">
        <f>SIP[[#This Row],[Amount]]/SIP[[#This Row],[Unit]]</f>
        <v>13.736263736263735</v>
      </c>
      <c r="N1624" s="71">
        <f>SIP[[#This Row],[Unit Capital]]/10</f>
        <v>-182</v>
      </c>
      <c r="O1624" s="71">
        <f>SUMIFS(SIP[[#Headers],[Unit]]:SIP[[#This Row],[Unit]],SIP[[#Headers],[Investor ID]]:SIP[[#This Row],[Investor ID]],SIP[[#This Row],[Investor ID]])</f>
        <v>1947</v>
      </c>
      <c r="P1624" s="153">
        <v>-1820</v>
      </c>
      <c r="Q1624" s="74">
        <f>SIP[[#This Row],[Amount]]-SIP[[#This Row],[Unit Capital]]</f>
        <v>-680</v>
      </c>
      <c r="R16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13.151714419915452</v>
      </c>
      <c r="S1624" s="46">
        <f t="shared" ref="S1624:S1668" si="77">NAV_MKT</f>
        <v>14.224</v>
      </c>
      <c r="T1624" s="74">
        <f>IF(SIP[[#This Row],[B/S]]="B",0,ABS(SIP[[#This Row],[Unit]])*(SIP[[#This Row],[NAV (Strike Rate)]]-INDEX(SIP[NAV at Cost (Average)],MATCH(CONCATENATE(SIP[[#This Row],[Frequency]]-1,SIP[[#This Row],[Investor ID]]),SIP[Unique Code],0),)))</f>
        <v>106.3879755753876</v>
      </c>
      <c r="U1624" s="74" cm="1">
        <f t="array" ref="U1624">IF(SIP[[#This Row],[B/S]]="S",ABS(SIP[[#This Row],[Unit]])*(INDEX(SIP[NAV at Cost (Average)],MATCH(CONCATENATE((SIP[[#This Row],[Frequency]]-1),SIP[[#This Row],[Investor ID]]),SIP[Unique Code],0),0)),0)</f>
        <v>2393.6120244246122</v>
      </c>
      <c r="V1624" s="74">
        <f>IF(SIP[[#This Row],[BO TRANSFER]]="YES",SIP[[#This Row],[Unit]],)</f>
        <v>0</v>
      </c>
      <c r="W1624" s="74">
        <f>SUMIFS(SIP[[#Headers],[BO UNIT TRANSFER]]:SIP[[#This Row],[BO UNIT TRANSFER]],SIP[[#Headers],[Investor ID]]:SIP[[#This Row],[Investor ID]],SIP[[#This Row],[Investor ID]])</f>
        <v>0</v>
      </c>
    </row>
    <row r="1625" spans="1:23" ht="15" customHeight="1">
      <c r="A1625" s="101">
        <v>2025</v>
      </c>
      <c r="B1625" s="101">
        <v>12</v>
      </c>
      <c r="C1625" s="101">
        <v>22</v>
      </c>
      <c r="D1625" s="65">
        <f>DATE(SIP[[#This Row],[Year]],SIP[[#This Row],[Month]],SIP[[#This Row],[Day]])</f>
        <v>46013</v>
      </c>
      <c r="E1625" s="66" t="str" cm="1">
        <f t="array" ref="E1625">INDEX(INVESTORS_LIST[INVESTOR NAME],MATCH(SIP[[#This Row],[Investor ID]],INVESTORS_LIST[INVESTOR CODE],0),)</f>
        <v>SHUVA SAHA</v>
      </c>
      <c r="F1625" s="46" t="s">
        <v>154</v>
      </c>
      <c r="G1625" s="46">
        <f>COUNTIF(SIP[[#Headers],[Investor ID]]:SIP[[#This Row],[Investor ID]],SIP[[#This Row],[Investor ID]])</f>
        <v>30</v>
      </c>
      <c r="H1625" s="46" t="str">
        <f>CONCATENATE(SIP[[#This Row],[Frequency]],SIP[[#This Row],[Investor ID]])</f>
        <v>30A00053</v>
      </c>
      <c r="I1625" s="46" t="str">
        <f>IF(SIP[[#This Row],[B/S]]="B","BUY",(IF(SIP[[#This Row],[B/S]]="S","SELL"," ")))</f>
        <v>SELL</v>
      </c>
      <c r="J1625" s="150" t="s">
        <v>1231</v>
      </c>
      <c r="K1625" s="153">
        <v>-140551.39000000001</v>
      </c>
      <c r="L1625" s="122"/>
      <c r="M1625" s="123">
        <f>SIP[[#This Row],[Amount]]/SIP[[#This Row],[Unit]]</f>
        <v>13.767400333039477</v>
      </c>
      <c r="N1625" s="71">
        <f>SIP[[#This Row],[Unit Capital]]/10</f>
        <v>-10209</v>
      </c>
      <c r="O1625" s="71">
        <f>SUMIFS(SIP[[#Headers],[Unit]]:SIP[[#This Row],[Unit]],SIP[[#Headers],[Investor ID]]:SIP[[#This Row],[Investor ID]],SIP[[#This Row],[Investor ID]])</f>
        <v>0</v>
      </c>
      <c r="P1625" s="153">
        <v>-102090</v>
      </c>
      <c r="Q1625" s="74">
        <f>SIP[[#This Row],[Amount]]-SIP[[#This Row],[Unit Capital]]</f>
        <v>-38461.390000000014</v>
      </c>
      <c r="R16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625" s="46">
        <f t="shared" si="77"/>
        <v>14.224</v>
      </c>
      <c r="T1625" s="74">
        <f>IF(SIP[[#This Row],[B/S]]="B",0,ABS(SIP[[#This Row],[Unit]])*(SIP[[#This Row],[NAV (Strike Rate)]]-INDEX(SIP[NAV at Cost (Average)],MATCH(CONCATENATE(SIP[[#This Row],[Frequency]]-1,SIP[[#This Row],[Investor ID]]),SIP[Unique Code],0),)))</f>
        <v>551.39000000003557</v>
      </c>
      <c r="U1625" s="74" cm="1">
        <f t="array" ref="U1625">IF(SIP[[#This Row],[B/S]]="S",ABS(SIP[[#This Row],[Unit]])*(INDEX(SIP[NAV at Cost (Average)],MATCH(CONCATENATE((SIP[[#This Row],[Frequency]]-1),SIP[[#This Row],[Investor ID]]),SIP[Unique Code],0),0)),0)</f>
        <v>140000</v>
      </c>
      <c r="V1625" s="74">
        <f>IF(SIP[[#This Row],[BO TRANSFER]]="YES",SIP[[#This Row],[Unit]],)</f>
        <v>0</v>
      </c>
      <c r="W1625" s="74">
        <f>SUMIFS(SIP[[#Headers],[BO UNIT TRANSFER]]:SIP[[#This Row],[BO UNIT TRANSFER]],SIP[[#Headers],[Investor ID]]:SIP[[#This Row],[Investor ID]],SIP[[#This Row],[Investor ID]])</f>
        <v>0</v>
      </c>
    </row>
    <row r="1626" spans="1:23" ht="15" customHeight="1">
      <c r="A1626" s="101">
        <v>2025</v>
      </c>
      <c r="B1626" s="101">
        <v>12</v>
      </c>
      <c r="C1626" s="101">
        <v>22</v>
      </c>
      <c r="D1626" s="65">
        <f>DATE(SIP[[#This Row],[Year]],SIP[[#This Row],[Month]],SIP[[#This Row],[Day]])</f>
        <v>46013</v>
      </c>
      <c r="E1626" s="66" t="str" cm="1">
        <f t="array" ref="E1626">INDEX(INVESTORS_LIST[INVESTOR NAME],MATCH(SIP[[#This Row],[Investor ID]],INVESTORS_LIST[INVESTOR CODE],0),)</f>
        <v>EKUSH WEALTH MANAGEMENT LIMITED EMPLOYEES CONTRIBUTORY PROVIDENT FUND</v>
      </c>
      <c r="F1626" s="46" t="s">
        <v>831</v>
      </c>
      <c r="G1626" s="46">
        <f>COUNTIF(SIP[[#Headers],[Investor ID]]:SIP[[#This Row],[Investor ID]],SIP[[#This Row],[Investor ID]])</f>
        <v>22</v>
      </c>
      <c r="H1626" s="46" t="str">
        <f>CONCATENATE(SIP[[#This Row],[Frequency]],SIP[[#This Row],[Investor ID]])</f>
        <v>22A00392</v>
      </c>
      <c r="I1626" s="46" t="str">
        <f>IF(SIP[[#This Row],[B/S]]="B","BUY",(IF(SIP[[#This Row],[B/S]]="S","SELL"," ")))</f>
        <v>SELL</v>
      </c>
      <c r="J1626" s="150" t="s">
        <v>1231</v>
      </c>
      <c r="K1626" s="153">
        <v>-437004.81</v>
      </c>
      <c r="L1626" s="122"/>
      <c r="M1626" s="123">
        <f>SIP[[#This Row],[Amount]]/SIP[[#This Row],[Unit]]</f>
        <v>13.767399974796799</v>
      </c>
      <c r="N1626" s="71">
        <f>SIP[[#This Row],[Unit Capital]]/10</f>
        <v>-31742</v>
      </c>
      <c r="O1626" s="71">
        <f>SUMIFS(SIP[[#Headers],[Unit]]:SIP[[#This Row],[Unit]],SIP[[#Headers],[Investor ID]]:SIP[[#This Row],[Investor ID]],SIP[[#This Row],[Investor ID]])</f>
        <v>0</v>
      </c>
      <c r="P1626" s="153">
        <v>-317420</v>
      </c>
      <c r="Q1626" s="74">
        <f>SIP[[#This Row],[Amount]]-SIP[[#This Row],[Unit Capital]]</f>
        <v>-119584.81</v>
      </c>
      <c r="R16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626" s="46">
        <f t="shared" si="77"/>
        <v>14.224</v>
      </c>
      <c r="T1626" s="74">
        <f>IF(SIP[[#This Row],[B/S]]="B",0,ABS(SIP[[#This Row],[Unit]])*(SIP[[#This Row],[NAV (Strike Rate)]]-INDEX(SIP[NAV at Cost (Average)],MATCH(CONCATENATE(SIP[[#This Row],[Frequency]]-1,SIP[[#This Row],[Investor ID]]),SIP[Unique Code],0),)))</f>
        <v>73418.802081470683</v>
      </c>
      <c r="U1626" s="74" cm="1">
        <f t="array" ref="U1626">IF(SIP[[#This Row],[B/S]]="S",ABS(SIP[[#This Row],[Unit]])*(INDEX(SIP[NAV at Cost (Average)],MATCH(CONCATENATE((SIP[[#This Row],[Frequency]]-1),SIP[[#This Row],[Investor ID]]),SIP[Unique Code],0),0)),0)</f>
        <v>363586.00791852933</v>
      </c>
      <c r="V1626" s="74">
        <f>IF(SIP[[#This Row],[BO TRANSFER]]="YES",SIP[[#This Row],[Unit]],)</f>
        <v>0</v>
      </c>
      <c r="W1626" s="74">
        <f>SUMIFS(SIP[[#Headers],[BO UNIT TRANSFER]]:SIP[[#This Row],[BO UNIT TRANSFER]],SIP[[#Headers],[Investor ID]]:SIP[[#This Row],[Investor ID]],SIP[[#This Row],[Investor ID]])</f>
        <v>0</v>
      </c>
    </row>
    <row r="1627" spans="1:23" ht="15" customHeight="1">
      <c r="A1627" s="101">
        <v>2025</v>
      </c>
      <c r="B1627" s="101">
        <v>12</v>
      </c>
      <c r="C1627" s="101">
        <v>22</v>
      </c>
      <c r="D1627" s="65">
        <f>DATE(SIP[[#This Row],[Year]],SIP[[#This Row],[Month]],SIP[[#This Row],[Day]])</f>
        <v>46013</v>
      </c>
      <c r="E1627" s="66" t="str" cm="1">
        <f t="array" ref="E1627">INDEX(INVESTORS_LIST[INVESTOR NAME],MATCH(SIP[[#This Row],[Investor ID]],INVESTORS_LIST[INVESTOR CODE],0),)</f>
        <v>CHAONIKA SAHA</v>
      </c>
      <c r="F1627" s="46" t="s">
        <v>238</v>
      </c>
      <c r="G1627" s="46">
        <f>COUNTIF(SIP[[#Headers],[Investor ID]]:SIP[[#This Row],[Investor ID]],SIP[[#This Row],[Investor ID]])</f>
        <v>29</v>
      </c>
      <c r="H1627" s="46" t="str">
        <f>CONCATENATE(SIP[[#This Row],[Frequency]],SIP[[#This Row],[Investor ID]])</f>
        <v>29A00095</v>
      </c>
      <c r="I1627" s="46" t="str">
        <f>IF(SIP[[#This Row],[B/S]]="B","BUY",(IF(SIP[[#This Row],[B/S]]="S","SELL"," ")))</f>
        <v>SELL</v>
      </c>
      <c r="J1627" s="150" t="s">
        <v>1231</v>
      </c>
      <c r="K1627" s="153">
        <v>-33014.230000000003</v>
      </c>
      <c r="L1627" s="122"/>
      <c r="M1627" s="123">
        <f>SIP[[#This Row],[Amount]]/SIP[[#This Row],[Unit]]</f>
        <v>13.767402001668058</v>
      </c>
      <c r="N1627" s="71">
        <f>SIP[[#This Row],[Unit Capital]]/10</f>
        <v>-2398</v>
      </c>
      <c r="O1627" s="71">
        <f>SUMIFS(SIP[[#Headers],[Unit]]:SIP[[#This Row],[Unit]],SIP[[#Headers],[Investor ID]]:SIP[[#This Row],[Investor ID]],SIP[[#This Row],[Investor ID]])</f>
        <v>0</v>
      </c>
      <c r="P1627" s="153">
        <v>-23980</v>
      </c>
      <c r="Q1627" s="74">
        <f>SIP[[#This Row],[Amount]]-SIP[[#This Row],[Unit Capital]]</f>
        <v>-9034.2300000000032</v>
      </c>
      <c r="R16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627" s="46">
        <f t="shared" si="77"/>
        <v>14.224</v>
      </c>
      <c r="T1627" s="74">
        <f>IF(SIP[[#This Row],[B/S]]="B",0,ABS(SIP[[#This Row],[Unit]])*(SIP[[#This Row],[NAV (Strike Rate)]]-INDEX(SIP[NAV at Cost (Average)],MATCH(CONCATENATE(SIP[[#This Row],[Frequency]]-1,SIP[[#This Row],[Investor ID]]),SIP[Unique Code],0),)))</f>
        <v>5014.2300000000014</v>
      </c>
      <c r="U1627" s="74" cm="1">
        <f t="array" ref="U1627">IF(SIP[[#This Row],[B/S]]="S",ABS(SIP[[#This Row],[Unit]])*(INDEX(SIP[NAV at Cost (Average)],MATCH(CONCATENATE((SIP[[#This Row],[Frequency]]-1),SIP[[#This Row],[Investor ID]]),SIP[Unique Code],0),0)),0)</f>
        <v>28000.000000000004</v>
      </c>
      <c r="V1627" s="74">
        <f>IF(SIP[[#This Row],[BO TRANSFER]]="YES",SIP[[#This Row],[Unit]],)</f>
        <v>0</v>
      </c>
      <c r="W1627" s="74">
        <f>SUMIFS(SIP[[#Headers],[BO UNIT TRANSFER]]:SIP[[#This Row],[BO UNIT TRANSFER]],SIP[[#Headers],[Investor ID]]:SIP[[#This Row],[Investor ID]],SIP[[#This Row],[Investor ID]])</f>
        <v>0</v>
      </c>
    </row>
    <row r="1628" spans="1:23" ht="15" customHeight="1">
      <c r="A1628" s="101">
        <v>2025</v>
      </c>
      <c r="B1628" s="101">
        <v>12</v>
      </c>
      <c r="C1628" s="101">
        <v>26</v>
      </c>
      <c r="D1628" s="65">
        <f>DATE(SIP[[#This Row],[Year]],SIP[[#This Row],[Month]],SIP[[#This Row],[Day]])</f>
        <v>46017</v>
      </c>
      <c r="E1628" s="66" t="str" cm="1">
        <f t="array" ref="E1628">INDEX(INVESTORS_LIST[INVESTOR NAME],MATCH(SIP[[#This Row],[Investor ID]],INVESTORS_LIST[INVESTOR CODE],0),)</f>
        <v>KHAN MUHAMMAD FAISOL</v>
      </c>
      <c r="F1628" s="46" t="s">
        <v>930</v>
      </c>
      <c r="G1628" s="46">
        <f>COUNTIF(SIP[[#Headers],[Investor ID]]:SIP[[#This Row],[Investor ID]],SIP[[#This Row],[Investor ID]])</f>
        <v>33</v>
      </c>
      <c r="H1628" s="46" t="str">
        <f>CONCATENATE(SIP[[#This Row],[Frequency]],SIP[[#This Row],[Investor ID]])</f>
        <v>33A00442</v>
      </c>
      <c r="I1628" s="46" t="str">
        <f>IF(SIP[[#This Row],[B/S]]="B","BUY",(IF(SIP[[#This Row],[B/S]]="S","SELL"," ")))</f>
        <v>BUY</v>
      </c>
      <c r="J1628" s="150" t="s">
        <v>1229</v>
      </c>
      <c r="K1628" s="153">
        <v>1000</v>
      </c>
      <c r="L1628" s="122" t="s">
        <v>1230</v>
      </c>
      <c r="M1628" s="123">
        <f>SIP[[#This Row],[Amount]]/SIP[[#This Row],[Unit]]</f>
        <v>13.698630136986301</v>
      </c>
      <c r="N1628" s="71">
        <f>SIP[[#This Row],[Unit Capital]]/10</f>
        <v>73</v>
      </c>
      <c r="O1628" s="71">
        <f>SUMIFS(SIP[[#Headers],[Unit]]:SIP[[#This Row],[Unit]],SIP[[#Headers],[Investor ID]]:SIP[[#This Row],[Investor ID]],SIP[[#This Row],[Investor ID]])</f>
        <v>447</v>
      </c>
      <c r="P1628" s="153">
        <v>730</v>
      </c>
      <c r="Q1628" s="74">
        <f>SIP[[#This Row],[Amount]]-SIP[[#This Row],[Unit Capital]]</f>
        <v>270</v>
      </c>
      <c r="R16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13.422818791946309</v>
      </c>
      <c r="S1628" s="46">
        <f t="shared" si="77"/>
        <v>14.224</v>
      </c>
      <c r="T16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8" s="74" cm="1">
        <f t="array" ref="U1628">IF(SIP[[#This Row],[B/S]]="S",ABS(SIP[[#This Row],[Unit]])*(INDEX(SIP[NAV at Cost (Average)],MATCH(CONCATENATE((SIP[[#This Row],[Frequency]]-1),SIP[[#This Row],[Investor ID]]),SIP[Unique Code],0),0)),0)</f>
        <v>0</v>
      </c>
      <c r="V1628" s="74">
        <f>IF(SIP[[#This Row],[BO TRANSFER]]="YES",SIP[[#This Row],[Unit]],)</f>
        <v>73</v>
      </c>
      <c r="W1628" s="74">
        <f>SUMIFS(SIP[[#Headers],[BO UNIT TRANSFER]]:SIP[[#This Row],[BO UNIT TRANSFER]],SIP[[#Headers],[Investor ID]]:SIP[[#This Row],[Investor ID]],SIP[[#This Row],[Investor ID]])</f>
        <v>447</v>
      </c>
    </row>
    <row r="1629" spans="1:23" ht="15" customHeight="1">
      <c r="A1629" s="101">
        <v>2025</v>
      </c>
      <c r="B1629" s="101">
        <v>12</v>
      </c>
      <c r="C1629" s="101">
        <v>26</v>
      </c>
      <c r="D1629" s="65">
        <f>DATE(SIP[[#This Row],[Year]],SIP[[#This Row],[Month]],SIP[[#This Row],[Day]])</f>
        <v>46017</v>
      </c>
      <c r="E1629" s="66" t="str" cm="1">
        <f t="array" ref="E1629">INDEX(INVESTORS_LIST[INVESTOR NAME],MATCH(SIP[[#This Row],[Investor ID]],INVESTORS_LIST[INVESTOR CODE],0),)</f>
        <v>MD. ARIFUL ISLAM</v>
      </c>
      <c r="F1629" s="46" t="s">
        <v>222</v>
      </c>
      <c r="G1629" s="46">
        <f>COUNTIF(SIP[[#Headers],[Investor ID]]:SIP[[#This Row],[Investor ID]],SIP[[#This Row],[Investor ID]])</f>
        <v>33</v>
      </c>
      <c r="H1629" s="46" t="str">
        <f>CONCATENATE(SIP[[#This Row],[Frequency]],SIP[[#This Row],[Investor ID]])</f>
        <v>33A00087</v>
      </c>
      <c r="I1629" s="46" t="str">
        <f>IF(SIP[[#This Row],[B/S]]="B","BUY",(IF(SIP[[#This Row],[B/S]]="S","SELL"," ")))</f>
        <v>BUY</v>
      </c>
      <c r="J1629" s="150" t="s">
        <v>1229</v>
      </c>
      <c r="K1629" s="153">
        <v>10000</v>
      </c>
      <c r="L1629" s="122"/>
      <c r="M1629" s="123">
        <f>SIP[[#This Row],[Amount]]/SIP[[#This Row],[Unit]]</f>
        <v>13.774104683195592</v>
      </c>
      <c r="N1629" s="71">
        <f>SIP[[#This Row],[Unit Capital]]/10</f>
        <v>726</v>
      </c>
      <c r="O1629" s="71">
        <f>SUMIFS(SIP[[#Headers],[Unit]]:SIP[[#This Row],[Unit]],SIP[[#Headers],[Investor ID]]:SIP[[#This Row],[Investor ID]],SIP[[#This Row],[Investor ID]])</f>
        <v>3684</v>
      </c>
      <c r="P1629" s="153">
        <v>7260</v>
      </c>
      <c r="Q1629" s="74">
        <f>SIP[[#This Row],[Amount]]-SIP[[#This Row],[Unit Capital]]</f>
        <v>2740</v>
      </c>
      <c r="R16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13.572204125950055</v>
      </c>
      <c r="S1629" s="46">
        <f t="shared" si="77"/>
        <v>14.224</v>
      </c>
      <c r="T16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9" s="74" cm="1">
        <f t="array" ref="U1629">IF(SIP[[#This Row],[B/S]]="S",ABS(SIP[[#This Row],[Unit]])*(INDEX(SIP[NAV at Cost (Average)],MATCH(CONCATENATE((SIP[[#This Row],[Frequency]]-1),SIP[[#This Row],[Investor ID]]),SIP[Unique Code],0),0)),0)</f>
        <v>0</v>
      </c>
      <c r="V1629" s="74">
        <f>IF(SIP[[#This Row],[BO TRANSFER]]="YES",SIP[[#This Row],[Unit]],)</f>
        <v>0</v>
      </c>
      <c r="W1629" s="74">
        <f>SUMIFS(SIP[[#Headers],[BO UNIT TRANSFER]]:SIP[[#This Row],[BO UNIT TRANSFER]],SIP[[#Headers],[Investor ID]]:SIP[[#This Row],[Investor ID]],SIP[[#This Row],[Investor ID]])</f>
        <v>0</v>
      </c>
    </row>
    <row r="1630" spans="1:23" ht="15" customHeight="1">
      <c r="A1630" s="101">
        <v>2025</v>
      </c>
      <c r="B1630" s="101">
        <v>12</v>
      </c>
      <c r="C1630" s="101">
        <v>28</v>
      </c>
      <c r="D1630" s="65">
        <f>DATE(SIP[[#This Row],[Year]],SIP[[#This Row],[Month]],SIP[[#This Row],[Day]])</f>
        <v>46019</v>
      </c>
      <c r="E1630" s="66" t="str" cm="1">
        <f t="array" ref="E1630">INDEX(INVESTORS_LIST[INVESTOR NAME],MATCH(SIP[[#This Row],[Investor ID]],INVESTORS_LIST[INVESTOR CODE],0),)</f>
        <v>ASHIK IQBAL CHOWDHURY</v>
      </c>
      <c r="F1630" s="46" t="s">
        <v>1016</v>
      </c>
      <c r="G1630" s="46">
        <f>COUNTIF(SIP[[#Headers],[Investor ID]]:SIP[[#This Row],[Investor ID]],SIP[[#This Row],[Investor ID]])</f>
        <v>22</v>
      </c>
      <c r="H1630" s="46" t="str">
        <f>CONCATENATE(SIP[[#This Row],[Frequency]],SIP[[#This Row],[Investor ID]])</f>
        <v>22A00485</v>
      </c>
      <c r="I1630" s="46" t="str">
        <f>IF(SIP[[#This Row],[B/S]]="B","BUY",(IF(SIP[[#This Row],[B/S]]="S","SELL"," ")))</f>
        <v>BUY</v>
      </c>
      <c r="J1630" s="150" t="s">
        <v>1229</v>
      </c>
      <c r="K1630" s="153">
        <v>5000</v>
      </c>
      <c r="L1630" s="122"/>
      <c r="M1630" s="123">
        <f>SIP[[#This Row],[Amount]]/SIP[[#This Row],[Unit]]</f>
        <v>13.774104683195592</v>
      </c>
      <c r="N1630" s="71">
        <f>SIP[[#This Row],[Unit Capital]]/10</f>
        <v>363</v>
      </c>
      <c r="O1630" s="71">
        <f>SUMIFS(SIP[[#Headers],[Unit]]:SIP[[#This Row],[Unit]],SIP[[#Headers],[Investor ID]]:SIP[[#This Row],[Investor ID]],SIP[[#This Row],[Investor ID]])</f>
        <v>7993</v>
      </c>
      <c r="P1630" s="153">
        <v>3630</v>
      </c>
      <c r="Q1630" s="74">
        <f>SIP[[#This Row],[Amount]]-SIP[[#This Row],[Unit Capital]]</f>
        <v>1370</v>
      </c>
      <c r="R16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11.398274950365948</v>
      </c>
      <c r="S1630" s="46">
        <f t="shared" si="77"/>
        <v>14.224</v>
      </c>
      <c r="T16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0" s="74" cm="1">
        <f t="array" ref="U1630">IF(SIP[[#This Row],[B/S]]="S",ABS(SIP[[#This Row],[Unit]])*(INDEX(SIP[NAV at Cost (Average)],MATCH(CONCATENATE((SIP[[#This Row],[Frequency]]-1),SIP[[#This Row],[Investor ID]]),SIP[Unique Code],0),0)),0)</f>
        <v>0</v>
      </c>
      <c r="V1630" s="74">
        <f>IF(SIP[[#This Row],[BO TRANSFER]]="YES",SIP[[#This Row],[Unit]],)</f>
        <v>0</v>
      </c>
      <c r="W1630" s="74">
        <f>SUMIFS(SIP[[#Headers],[BO UNIT TRANSFER]]:SIP[[#This Row],[BO UNIT TRANSFER]],SIP[[#Headers],[Investor ID]]:SIP[[#This Row],[Investor ID]],SIP[[#This Row],[Investor ID]])</f>
        <v>0</v>
      </c>
    </row>
    <row r="1631" spans="1:23" ht="15" customHeight="1">
      <c r="A1631" s="101">
        <v>2025</v>
      </c>
      <c r="B1631" s="101">
        <v>12</v>
      </c>
      <c r="C1631" s="101">
        <v>28</v>
      </c>
      <c r="D1631" s="65">
        <f>DATE(SIP[[#This Row],[Year]],SIP[[#This Row],[Month]],SIP[[#This Row],[Day]])</f>
        <v>46019</v>
      </c>
      <c r="E1631" s="66" t="str" cm="1">
        <f t="array" ref="E1631">INDEX(INVESTORS_LIST[INVESTOR NAME],MATCH(SIP[[#This Row],[Investor ID]],INVESTORS_LIST[INVESTOR CODE],0),)</f>
        <v>MUHAMMAD SHOHIDUZZAMAN</v>
      </c>
      <c r="F1631" s="46" t="s">
        <v>986</v>
      </c>
      <c r="G1631" s="46">
        <f>COUNTIF(SIP[[#Headers],[Investor ID]]:SIP[[#This Row],[Investor ID]],SIP[[#This Row],[Investor ID]])</f>
        <v>26</v>
      </c>
      <c r="H1631" s="46" t="str">
        <f>CONCATENATE(SIP[[#This Row],[Frequency]],SIP[[#This Row],[Investor ID]])</f>
        <v>26A00470</v>
      </c>
      <c r="I1631" s="46" t="str">
        <f>IF(SIP[[#This Row],[B/S]]="B","BUY",(IF(SIP[[#This Row],[B/S]]="S","SELL"," ")))</f>
        <v>BUY</v>
      </c>
      <c r="J1631" s="150" t="s">
        <v>1229</v>
      </c>
      <c r="K1631" s="153">
        <v>10000</v>
      </c>
      <c r="L1631" s="122"/>
      <c r="M1631" s="123">
        <f>SIP[[#This Row],[Amount]]/SIP[[#This Row],[Unit]]</f>
        <v>13.774104683195592</v>
      </c>
      <c r="N1631" s="71">
        <f>SIP[[#This Row],[Unit Capital]]/10</f>
        <v>726</v>
      </c>
      <c r="O1631" s="71">
        <f>SUMIFS(SIP[[#Headers],[Unit]]:SIP[[#This Row],[Unit]],SIP[[#Headers],[Investor ID]]:SIP[[#This Row],[Investor ID]],SIP[[#This Row],[Investor ID]])</f>
        <v>21884</v>
      </c>
      <c r="P1631" s="153">
        <v>7260</v>
      </c>
      <c r="Q1631" s="74">
        <f>SIP[[#This Row],[Amount]]-SIP[[#This Row],[Unit Capital]]</f>
        <v>2740</v>
      </c>
      <c r="R16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11.880826174373968</v>
      </c>
      <c r="S1631" s="46">
        <f t="shared" si="77"/>
        <v>14.224</v>
      </c>
      <c r="T16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1" s="74" cm="1">
        <f t="array" ref="U1631">IF(SIP[[#This Row],[B/S]]="S",ABS(SIP[[#This Row],[Unit]])*(INDEX(SIP[NAV at Cost (Average)],MATCH(CONCATENATE((SIP[[#This Row],[Frequency]]-1),SIP[[#This Row],[Investor ID]]),SIP[Unique Code],0),0)),0)</f>
        <v>0</v>
      </c>
      <c r="V1631" s="74">
        <f>IF(SIP[[#This Row],[BO TRANSFER]]="YES",SIP[[#This Row],[Unit]],)</f>
        <v>0</v>
      </c>
      <c r="W1631" s="74">
        <f>SUMIFS(SIP[[#Headers],[BO UNIT TRANSFER]]:SIP[[#This Row],[BO UNIT TRANSFER]],SIP[[#Headers],[Investor ID]]:SIP[[#This Row],[Investor ID]],SIP[[#This Row],[Investor ID]])</f>
        <v>18200</v>
      </c>
    </row>
    <row r="1632" spans="1:23" ht="15" customHeight="1">
      <c r="A1632" s="101">
        <v>2025</v>
      </c>
      <c r="B1632" s="101">
        <v>12</v>
      </c>
      <c r="C1632" s="101">
        <v>28</v>
      </c>
      <c r="D1632" s="65">
        <f>DATE(SIP[[#This Row],[Year]],SIP[[#This Row],[Month]],SIP[[#This Row],[Day]])</f>
        <v>46019</v>
      </c>
      <c r="E1632" s="66" t="str" cm="1">
        <f t="array" ref="E1632">INDEX(INVESTORS_LIST[INVESTOR NAME],MATCH(SIP[[#This Row],[Investor ID]],INVESTORS_LIST[INVESTOR CODE],0),)</f>
        <v>SHAPNA RANI BARMAN</v>
      </c>
      <c r="F1632" s="46" t="s">
        <v>1292</v>
      </c>
      <c r="G1632" s="46">
        <f>COUNTIF(SIP[[#Headers],[Investor ID]]:SIP[[#This Row],[Investor ID]],SIP[[#This Row],[Investor ID]])</f>
        <v>14</v>
      </c>
      <c r="H1632" s="46" t="str">
        <f>CONCATENATE(SIP[[#This Row],[Frequency]],SIP[[#This Row],[Investor ID]])</f>
        <v>14A00593</v>
      </c>
      <c r="I1632" s="46" t="str">
        <f>IF(SIP[[#This Row],[B/S]]="B","BUY",(IF(SIP[[#This Row],[B/S]]="S","SELL"," ")))</f>
        <v>BUY</v>
      </c>
      <c r="J1632" s="150" t="s">
        <v>1229</v>
      </c>
      <c r="K1632" s="153">
        <v>1000</v>
      </c>
      <c r="L1632" s="122"/>
      <c r="M1632" s="123">
        <f>SIP[[#This Row],[Amount]]/SIP[[#This Row],[Unit]]</f>
        <v>13.698630136986301</v>
      </c>
      <c r="N1632" s="71">
        <f>SIP[[#This Row],[Unit Capital]]/10</f>
        <v>73</v>
      </c>
      <c r="O1632" s="71">
        <f>SUMIFS(SIP[[#Headers],[Unit]]:SIP[[#This Row],[Unit]],SIP[[#Headers],[Investor ID]]:SIP[[#This Row],[Investor ID]],SIP[[#This Row],[Investor ID]])</f>
        <v>1103</v>
      </c>
      <c r="P1632" s="153">
        <v>730</v>
      </c>
      <c r="Q1632" s="74">
        <f>SIP[[#This Row],[Amount]]-SIP[[#This Row],[Unit Capital]]</f>
        <v>270</v>
      </c>
      <c r="R16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12.69265639165911</v>
      </c>
      <c r="S1632" s="46">
        <f t="shared" si="77"/>
        <v>14.224</v>
      </c>
      <c r="T16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2" s="74" cm="1">
        <f t="array" ref="U1632">IF(SIP[[#This Row],[B/S]]="S",ABS(SIP[[#This Row],[Unit]])*(INDEX(SIP[NAV at Cost (Average)],MATCH(CONCATENATE((SIP[[#This Row],[Frequency]]-1),SIP[[#This Row],[Investor ID]]),SIP[Unique Code],0),0)),0)</f>
        <v>0</v>
      </c>
      <c r="V1632" s="74">
        <f>IF(SIP[[#This Row],[BO TRANSFER]]="YES",SIP[[#This Row],[Unit]],)</f>
        <v>0</v>
      </c>
      <c r="W1632" s="74">
        <f>SUMIFS(SIP[[#Headers],[BO UNIT TRANSFER]]:SIP[[#This Row],[BO UNIT TRANSFER]],SIP[[#Headers],[Investor ID]]:SIP[[#This Row],[Investor ID]],SIP[[#This Row],[Investor ID]])</f>
        <v>0</v>
      </c>
    </row>
    <row r="1633" spans="1:23" ht="15" customHeight="1">
      <c r="A1633" s="101">
        <v>2025</v>
      </c>
      <c r="B1633" s="101">
        <v>12</v>
      </c>
      <c r="C1633" s="101">
        <v>28</v>
      </c>
      <c r="D1633" s="65">
        <f>DATE(SIP[[#This Row],[Year]],SIP[[#This Row],[Month]],SIP[[#This Row],[Day]])</f>
        <v>46019</v>
      </c>
      <c r="E1633" s="66" t="str" cm="1">
        <f t="array" ref="E1633">INDEX(INVESTORS_LIST[INVESTOR NAME],MATCH(SIP[[#This Row],[Investor ID]],INVESTORS_LIST[INVESTOR CODE],0),)</f>
        <v>MAYA RANI SAHA</v>
      </c>
      <c r="F1633" s="46" t="s">
        <v>224</v>
      </c>
      <c r="G1633" s="46">
        <f>COUNTIF(SIP[[#Headers],[Investor ID]]:SIP[[#This Row],[Investor ID]],SIP[[#This Row],[Investor ID]])</f>
        <v>77</v>
      </c>
      <c r="H1633" s="46" t="str">
        <f>CONCATENATE(SIP[[#This Row],[Frequency]],SIP[[#This Row],[Investor ID]])</f>
        <v>77A00088</v>
      </c>
      <c r="I1633" s="46" t="str">
        <f>IF(SIP[[#This Row],[B/S]]="B","BUY",(IF(SIP[[#This Row],[B/S]]="S","SELL"," ")))</f>
        <v>BUY</v>
      </c>
      <c r="J1633" s="150" t="s">
        <v>1229</v>
      </c>
      <c r="K1633" s="153">
        <v>10000</v>
      </c>
      <c r="L1633" s="122"/>
      <c r="M1633" s="123">
        <f>SIP[[#This Row],[Amount]]/SIP[[#This Row],[Unit]]</f>
        <v>13.774104683195592</v>
      </c>
      <c r="N1633" s="71">
        <f>SIP[[#This Row],[Unit Capital]]/10</f>
        <v>726</v>
      </c>
      <c r="O1633" s="71">
        <f>SUMIFS(SIP[[#Headers],[Unit]]:SIP[[#This Row],[Unit]],SIP[[#Headers],[Investor ID]]:SIP[[#This Row],[Investor ID]],SIP[[#This Row],[Investor ID]])</f>
        <v>88131</v>
      </c>
      <c r="P1633" s="153">
        <v>7260</v>
      </c>
      <c r="Q1633" s="74">
        <f>SIP[[#This Row],[Amount]]-SIP[[#This Row],[Unit Capital]]</f>
        <v>2740</v>
      </c>
      <c r="R16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11.982162916567383</v>
      </c>
      <c r="S1633" s="46">
        <f t="shared" si="77"/>
        <v>14.224</v>
      </c>
      <c r="T16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3" s="74" cm="1">
        <f t="array" ref="U1633">IF(SIP[[#This Row],[B/S]]="S",ABS(SIP[[#This Row],[Unit]])*(INDEX(SIP[NAV at Cost (Average)],MATCH(CONCATENATE((SIP[[#This Row],[Frequency]]-1),SIP[[#This Row],[Investor ID]]),SIP[Unique Code],0),0)),0)</f>
        <v>0</v>
      </c>
      <c r="V1633" s="74">
        <f>IF(SIP[[#This Row],[BO TRANSFER]]="YES",SIP[[#This Row],[Unit]],)</f>
        <v>0</v>
      </c>
      <c r="W1633" s="74">
        <f>SUMIFS(SIP[[#Headers],[BO UNIT TRANSFER]]:SIP[[#This Row],[BO UNIT TRANSFER]],SIP[[#Headers],[Investor ID]]:SIP[[#This Row],[Investor ID]],SIP[[#This Row],[Investor ID]])</f>
        <v>0</v>
      </c>
    </row>
    <row r="1634" spans="1:23" ht="15" customHeight="1">
      <c r="A1634" s="101">
        <v>2025</v>
      </c>
      <c r="B1634" s="101">
        <v>12</v>
      </c>
      <c r="C1634" s="101">
        <v>28</v>
      </c>
      <c r="D1634" s="65">
        <f>DATE(SIP[[#This Row],[Year]],SIP[[#This Row],[Month]],SIP[[#This Row],[Day]])</f>
        <v>46019</v>
      </c>
      <c r="E1634" s="66" t="str" cm="1">
        <f t="array" ref="E1634">INDEX(INVESTORS_LIST[INVESTOR NAME],MATCH(SIP[[#This Row],[Investor ID]],INVESTORS_LIST[INVESTOR CODE],0),)</f>
        <v>MOHAMMAD SAMIUL ALAM</v>
      </c>
      <c r="F1634" s="46" t="s">
        <v>537</v>
      </c>
      <c r="G1634" s="46">
        <f>COUNTIF(SIP[[#Headers],[Investor ID]]:SIP[[#This Row],[Investor ID]],SIP[[#This Row],[Investor ID]])</f>
        <v>29</v>
      </c>
      <c r="H1634" s="46" t="str">
        <f>CONCATENATE(SIP[[#This Row],[Frequency]],SIP[[#This Row],[Investor ID]])</f>
        <v>29A00244</v>
      </c>
      <c r="I1634" s="46" t="str">
        <f>IF(SIP[[#This Row],[B/S]]="B","BUY",(IF(SIP[[#This Row],[B/S]]="S","SELL"," ")))</f>
        <v>BUY</v>
      </c>
      <c r="J1634" s="150" t="s">
        <v>1229</v>
      </c>
      <c r="K1634" s="153">
        <v>35000</v>
      </c>
      <c r="L1634" s="122" t="s">
        <v>1230</v>
      </c>
      <c r="M1634" s="123">
        <f>SIP[[#This Row],[Amount]]/SIP[[#This Row],[Unit]]</f>
        <v>13.768686073957515</v>
      </c>
      <c r="N1634" s="71">
        <f>SIP[[#This Row],[Unit Capital]]/10</f>
        <v>2542</v>
      </c>
      <c r="O1634" s="71">
        <f>SUMIFS(SIP[[#Headers],[Unit]]:SIP[[#This Row],[Unit]],SIP[[#Headers],[Investor ID]]:SIP[[#This Row],[Investor ID]],SIP[[#This Row],[Investor ID]])</f>
        <v>56187</v>
      </c>
      <c r="P1634" s="153">
        <v>25420</v>
      </c>
      <c r="Q1634" s="74">
        <f>SIP[[#This Row],[Amount]]-SIP[[#This Row],[Unit Capital]]</f>
        <v>9580</v>
      </c>
      <c r="R16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11.924466513606353</v>
      </c>
      <c r="S1634" s="46">
        <f t="shared" si="77"/>
        <v>14.224</v>
      </c>
      <c r="T16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4" s="74" cm="1">
        <f t="array" ref="U1634">IF(SIP[[#This Row],[B/S]]="S",ABS(SIP[[#This Row],[Unit]])*(INDEX(SIP[NAV at Cost (Average)],MATCH(CONCATENATE((SIP[[#This Row],[Frequency]]-1),SIP[[#This Row],[Investor ID]]),SIP[Unique Code],0),0)),0)</f>
        <v>0</v>
      </c>
      <c r="V1634" s="74">
        <f>IF(SIP[[#This Row],[BO TRANSFER]]="YES",SIP[[#This Row],[Unit]],)</f>
        <v>2542</v>
      </c>
      <c r="W1634" s="74">
        <f>SUMIFS(SIP[[#Headers],[BO UNIT TRANSFER]]:SIP[[#This Row],[BO UNIT TRANSFER]],SIP[[#Headers],[Investor ID]]:SIP[[#This Row],[Investor ID]],SIP[[#This Row],[Investor ID]])</f>
        <v>15627</v>
      </c>
    </row>
    <row r="1635" spans="1:23" ht="15" customHeight="1">
      <c r="A1635" s="101">
        <v>2025</v>
      </c>
      <c r="B1635" s="101">
        <v>12</v>
      </c>
      <c r="C1635" s="101">
        <v>28</v>
      </c>
      <c r="D1635" s="65">
        <f>DATE(SIP[[#This Row],[Year]],SIP[[#This Row],[Month]],SIP[[#This Row],[Day]])</f>
        <v>46019</v>
      </c>
      <c r="E1635" s="66" t="str" cm="1">
        <f t="array" ref="E1635">INDEX(INVESTORS_LIST[INVESTOR NAME],MATCH(SIP[[#This Row],[Investor ID]],INVESTORS_LIST[INVESTOR CODE],0),)</f>
        <v>RUMA AKTER</v>
      </c>
      <c r="F1635" s="46" t="s">
        <v>1323</v>
      </c>
      <c r="G1635" s="46">
        <f>COUNTIF(SIP[[#Headers],[Investor ID]]:SIP[[#This Row],[Investor ID]],SIP[[#This Row],[Investor ID]])</f>
        <v>13</v>
      </c>
      <c r="H1635" s="46" t="str">
        <f>CONCATENATE(SIP[[#This Row],[Frequency]],SIP[[#This Row],[Investor ID]])</f>
        <v>13A00608</v>
      </c>
      <c r="I1635" s="46" t="str">
        <f>IF(SIP[[#This Row],[B/S]]="B","BUY",(IF(SIP[[#This Row],[B/S]]="S","SELL"," ")))</f>
        <v>BUY</v>
      </c>
      <c r="J1635" s="150" t="s">
        <v>1229</v>
      </c>
      <c r="K1635" s="153">
        <v>1000</v>
      </c>
      <c r="L1635" s="122"/>
      <c r="M1635" s="123">
        <f>SIP[[#This Row],[Amount]]/SIP[[#This Row],[Unit]]</f>
        <v>13.698630136986301</v>
      </c>
      <c r="N1635" s="71">
        <f>SIP[[#This Row],[Unit Capital]]/10</f>
        <v>73</v>
      </c>
      <c r="O1635" s="71">
        <f>SUMIFS(SIP[[#Headers],[Unit]]:SIP[[#This Row],[Unit]],SIP[[#Headers],[Investor ID]]:SIP[[#This Row],[Investor ID]],SIP[[#This Row],[Investor ID]])</f>
        <v>984</v>
      </c>
      <c r="P1635" s="153">
        <v>730</v>
      </c>
      <c r="Q1635" s="74">
        <f>SIP[[#This Row],[Amount]]-SIP[[#This Row],[Unit Capital]]</f>
        <v>270</v>
      </c>
      <c r="R16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13.211382113821134</v>
      </c>
      <c r="S1635" s="46">
        <f t="shared" si="77"/>
        <v>14.224</v>
      </c>
      <c r="T16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5" s="74" cm="1">
        <f t="array" ref="U1635">IF(SIP[[#This Row],[B/S]]="S",ABS(SIP[[#This Row],[Unit]])*(INDEX(SIP[NAV at Cost (Average)],MATCH(CONCATENATE((SIP[[#This Row],[Frequency]]-1),SIP[[#This Row],[Investor ID]]),SIP[Unique Code],0),0)),0)</f>
        <v>0</v>
      </c>
      <c r="V1635" s="74">
        <f>IF(SIP[[#This Row],[BO TRANSFER]]="YES",SIP[[#This Row],[Unit]],)</f>
        <v>0</v>
      </c>
      <c r="W1635" s="74">
        <f>SUMIFS(SIP[[#Headers],[BO UNIT TRANSFER]]:SIP[[#This Row],[BO UNIT TRANSFER]],SIP[[#Headers],[Investor ID]]:SIP[[#This Row],[Investor ID]],SIP[[#This Row],[Investor ID]])</f>
        <v>0</v>
      </c>
    </row>
    <row r="1636" spans="1:23" ht="15" customHeight="1">
      <c r="A1636" s="101">
        <v>2025</v>
      </c>
      <c r="B1636" s="101">
        <v>12</v>
      </c>
      <c r="C1636" s="101">
        <v>28</v>
      </c>
      <c r="D1636" s="65">
        <f>DATE(SIP[[#This Row],[Year]],SIP[[#This Row],[Month]],SIP[[#This Row],[Day]])</f>
        <v>46019</v>
      </c>
      <c r="E1636" s="66" t="str" cm="1">
        <f t="array" ref="E1636">INDEX(INVESTORS_LIST[INVESTOR NAME],MATCH(SIP[[#This Row],[Investor ID]],INVESTORS_LIST[INVESTOR CODE],0),)</f>
        <v>KAZI MUNTASIR ASHRAF</v>
      </c>
      <c r="F1636" s="46" t="s">
        <v>1465</v>
      </c>
      <c r="G1636" s="46">
        <f>COUNTIF(SIP[[#Headers],[Investor ID]]:SIP[[#This Row],[Investor ID]],SIP[[#This Row],[Investor ID]])</f>
        <v>2</v>
      </c>
      <c r="H1636" s="46" t="str">
        <f>CONCATENATE(SIP[[#This Row],[Frequency]],SIP[[#This Row],[Investor ID]])</f>
        <v>2A00676</v>
      </c>
      <c r="I1636" s="46" t="str">
        <f>IF(SIP[[#This Row],[B/S]]="B","BUY",(IF(SIP[[#This Row],[B/S]]="S","SELL"," ")))</f>
        <v>BUY</v>
      </c>
      <c r="J1636" s="150" t="s">
        <v>1229</v>
      </c>
      <c r="K1636" s="153">
        <v>5000</v>
      </c>
      <c r="L1636" s="122" t="s">
        <v>1230</v>
      </c>
      <c r="M1636" s="123">
        <f>SIP[[#This Row],[Amount]]/SIP[[#This Row],[Unit]]</f>
        <v>13.774104683195592</v>
      </c>
      <c r="N1636" s="71">
        <f>SIP[[#This Row],[Unit Capital]]/10</f>
        <v>363</v>
      </c>
      <c r="O1636" s="71">
        <f>SUMIFS(SIP[[#Headers],[Unit]]:SIP[[#This Row],[Unit]],SIP[[#Headers],[Investor ID]]:SIP[[#This Row],[Investor ID]],SIP[[#This Row],[Investor ID]])</f>
        <v>726</v>
      </c>
      <c r="P1636" s="153">
        <v>3630</v>
      </c>
      <c r="Q1636" s="74">
        <f>SIP[[#This Row],[Amount]]-SIP[[#This Row],[Unit Capital]]</f>
        <v>1370</v>
      </c>
      <c r="R16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636" s="46">
        <f t="shared" si="77"/>
        <v>14.224</v>
      </c>
      <c r="T16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6" s="74" cm="1">
        <f t="array" ref="U1636">IF(SIP[[#This Row],[B/S]]="S",ABS(SIP[[#This Row],[Unit]])*(INDEX(SIP[NAV at Cost (Average)],MATCH(CONCATENATE((SIP[[#This Row],[Frequency]]-1),SIP[[#This Row],[Investor ID]]),SIP[Unique Code],0),0)),0)</f>
        <v>0</v>
      </c>
      <c r="V1636" s="74">
        <f>IF(SIP[[#This Row],[BO TRANSFER]]="YES",SIP[[#This Row],[Unit]],)</f>
        <v>363</v>
      </c>
      <c r="W1636" s="74">
        <f>SUMIFS(SIP[[#Headers],[BO UNIT TRANSFER]]:SIP[[#This Row],[BO UNIT TRANSFER]],SIP[[#Headers],[Investor ID]]:SIP[[#This Row],[Investor ID]],SIP[[#This Row],[Investor ID]])</f>
        <v>726</v>
      </c>
    </row>
    <row r="1637" spans="1:23" ht="15" customHeight="1">
      <c r="A1637" s="101">
        <v>2025</v>
      </c>
      <c r="B1637" s="101">
        <v>12</v>
      </c>
      <c r="C1637" s="101">
        <v>28</v>
      </c>
      <c r="D1637" s="65">
        <f>DATE(SIP[[#This Row],[Year]],SIP[[#This Row],[Month]],SIP[[#This Row],[Day]])</f>
        <v>46019</v>
      </c>
      <c r="E1637" s="66" t="str" cm="1">
        <f t="array" ref="E1637">INDEX(INVESTORS_LIST[INVESTOR NAME],MATCH(SIP[[#This Row],[Investor ID]],INVESTORS_LIST[INVESTOR CODE],0),)</f>
        <v>MOHAMMAD HASAN IMAM</v>
      </c>
      <c r="F1637" s="46" t="s">
        <v>1122</v>
      </c>
      <c r="G1637" s="46">
        <f>COUNTIF(SIP[[#Headers],[Investor ID]]:SIP[[#This Row],[Investor ID]],SIP[[#This Row],[Investor ID]])</f>
        <v>21</v>
      </c>
      <c r="H1637" s="46" t="str">
        <f>CONCATENATE(SIP[[#This Row],[Frequency]],SIP[[#This Row],[Investor ID]])</f>
        <v>21A00536</v>
      </c>
      <c r="I1637" s="46" t="str">
        <f>IF(SIP[[#This Row],[B/S]]="B","BUY",(IF(SIP[[#This Row],[B/S]]="S","SELL"," ")))</f>
        <v>BUY</v>
      </c>
      <c r="J1637" s="150" t="s">
        <v>1229</v>
      </c>
      <c r="K1637" s="153">
        <v>5000</v>
      </c>
      <c r="L1637" s="122"/>
      <c r="M1637" s="123">
        <f>SIP[[#This Row],[Amount]]/SIP[[#This Row],[Unit]]</f>
        <v>13.774104683195592</v>
      </c>
      <c r="N1637" s="71">
        <f>SIP[[#This Row],[Unit Capital]]/10</f>
        <v>363</v>
      </c>
      <c r="O1637" s="71">
        <f>SUMIFS(SIP[[#Headers],[Unit]]:SIP[[#This Row],[Unit]],SIP[[#Headers],[Investor ID]]:SIP[[#This Row],[Investor ID]],SIP[[#This Row],[Investor ID]])</f>
        <v>8613</v>
      </c>
      <c r="P1637" s="153">
        <v>3630</v>
      </c>
      <c r="Q1637" s="74">
        <f>SIP[[#This Row],[Amount]]-SIP[[#This Row],[Unit Capital]]</f>
        <v>1370</v>
      </c>
      <c r="R16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12.190874259839775</v>
      </c>
      <c r="S1637" s="46">
        <f t="shared" si="77"/>
        <v>14.224</v>
      </c>
      <c r="T16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7" s="74" cm="1">
        <f t="array" ref="U1637">IF(SIP[[#This Row],[B/S]]="S",ABS(SIP[[#This Row],[Unit]])*(INDEX(SIP[NAV at Cost (Average)],MATCH(CONCATENATE((SIP[[#This Row],[Frequency]]-1),SIP[[#This Row],[Investor ID]]),SIP[Unique Code],0),0)),0)</f>
        <v>0</v>
      </c>
      <c r="V1637" s="74">
        <f>IF(SIP[[#This Row],[BO TRANSFER]]="YES",SIP[[#This Row],[Unit]],)</f>
        <v>0</v>
      </c>
      <c r="W1637" s="74">
        <f>SUMIFS(SIP[[#Headers],[BO UNIT TRANSFER]]:SIP[[#This Row],[BO UNIT TRANSFER]],SIP[[#Headers],[Investor ID]]:SIP[[#This Row],[Investor ID]],SIP[[#This Row],[Investor ID]])</f>
        <v>0</v>
      </c>
    </row>
    <row r="1638" spans="1:23" ht="15" customHeight="1">
      <c r="A1638" s="101">
        <v>2025</v>
      </c>
      <c r="B1638" s="101">
        <v>12</v>
      </c>
      <c r="C1638" s="101">
        <v>28</v>
      </c>
      <c r="D1638" s="65">
        <f>DATE(SIP[[#This Row],[Year]],SIP[[#This Row],[Month]],SIP[[#This Row],[Day]])</f>
        <v>46019</v>
      </c>
      <c r="E1638" s="66" t="str" cm="1">
        <f t="array" ref="E1638">INDEX(INVESTORS_LIST[INVESTOR NAME],MATCH(SIP[[#This Row],[Investor ID]],INVESTORS_LIST[INVESTOR CODE],0),)</f>
        <v>HUMAIRA TABASSUM READDHE</v>
      </c>
      <c r="F1638" s="46" t="s">
        <v>1052</v>
      </c>
      <c r="G1638" s="46">
        <f>COUNTIF(SIP[[#Headers],[Investor ID]]:SIP[[#This Row],[Investor ID]],SIP[[#This Row],[Investor ID]])</f>
        <v>17</v>
      </c>
      <c r="H1638" s="46" t="str">
        <f>CONCATENATE(SIP[[#This Row],[Frequency]],SIP[[#This Row],[Investor ID]])</f>
        <v>17A00503</v>
      </c>
      <c r="I1638" s="46" t="str">
        <f>IF(SIP[[#This Row],[B/S]]="B","BUY",(IF(SIP[[#This Row],[B/S]]="S","SELL"," ")))</f>
        <v>BUY</v>
      </c>
      <c r="J1638" s="150" t="s">
        <v>1229</v>
      </c>
      <c r="K1638" s="153">
        <v>3000</v>
      </c>
      <c r="L1638" s="122"/>
      <c r="M1638" s="123">
        <f>SIP[[#This Row],[Amount]]/SIP[[#This Row],[Unit]]</f>
        <v>13.761467889908257</v>
      </c>
      <c r="N1638" s="71">
        <f>SIP[[#This Row],[Unit Capital]]/10</f>
        <v>218</v>
      </c>
      <c r="O1638" s="71">
        <f>SUMIFS(SIP[[#Headers],[Unit]]:SIP[[#This Row],[Unit]],SIP[[#Headers],[Investor ID]]:SIP[[#This Row],[Investor ID]],SIP[[#This Row],[Investor ID]])</f>
        <v>4089</v>
      </c>
      <c r="P1638" s="153">
        <v>2180</v>
      </c>
      <c r="Q1638" s="74">
        <f>SIP[[#This Row],[Amount]]-SIP[[#This Row],[Unit Capital]]</f>
        <v>820</v>
      </c>
      <c r="R16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12.472487160674982</v>
      </c>
      <c r="S1638" s="46">
        <f t="shared" si="77"/>
        <v>14.224</v>
      </c>
      <c r="T16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8" s="74" cm="1">
        <f t="array" ref="U1638">IF(SIP[[#This Row],[B/S]]="S",ABS(SIP[[#This Row],[Unit]])*(INDEX(SIP[NAV at Cost (Average)],MATCH(CONCATENATE((SIP[[#This Row],[Frequency]]-1),SIP[[#This Row],[Investor ID]]),SIP[Unique Code],0),0)),0)</f>
        <v>0</v>
      </c>
      <c r="V1638" s="74">
        <f>IF(SIP[[#This Row],[BO TRANSFER]]="YES",SIP[[#This Row],[Unit]],)</f>
        <v>0</v>
      </c>
      <c r="W1638" s="74">
        <f>SUMIFS(SIP[[#Headers],[BO UNIT TRANSFER]]:SIP[[#This Row],[BO UNIT TRANSFER]],SIP[[#Headers],[Investor ID]]:SIP[[#This Row],[Investor ID]],SIP[[#This Row],[Investor ID]])</f>
        <v>0</v>
      </c>
    </row>
    <row r="1639" spans="1:23" ht="15" customHeight="1">
      <c r="A1639" s="101">
        <v>2025</v>
      </c>
      <c r="B1639" s="101">
        <v>12</v>
      </c>
      <c r="C1639" s="101">
        <v>28</v>
      </c>
      <c r="D1639" s="65">
        <f>DATE(SIP[[#This Row],[Year]],SIP[[#This Row],[Month]],SIP[[#This Row],[Day]])</f>
        <v>46019</v>
      </c>
      <c r="E1639" s="66" t="str" cm="1">
        <f t="array" ref="E1639">INDEX(INVESTORS_LIST[INVESTOR NAME],MATCH(SIP[[#This Row],[Investor ID]],INVESTORS_LIST[INVESTOR CODE],0),)</f>
        <v>SADIA PARVIN</v>
      </c>
      <c r="F1639" s="46" t="s">
        <v>1018</v>
      </c>
      <c r="G1639" s="46">
        <f>COUNTIF(SIP[[#Headers],[Investor ID]]:SIP[[#This Row],[Investor ID]],SIP[[#This Row],[Investor ID]])</f>
        <v>50</v>
      </c>
      <c r="H1639" s="46" t="str">
        <f>CONCATENATE(SIP[[#This Row],[Frequency]],SIP[[#This Row],[Investor ID]])</f>
        <v>50A00486</v>
      </c>
      <c r="I1639" s="46" t="str">
        <f>IF(SIP[[#This Row],[B/S]]="B","BUY",(IF(SIP[[#This Row],[B/S]]="S","SELL"," ")))</f>
        <v>BUY</v>
      </c>
      <c r="J1639" s="150" t="s">
        <v>1229</v>
      </c>
      <c r="K1639" s="153">
        <v>5000</v>
      </c>
      <c r="L1639" s="122"/>
      <c r="M1639" s="123">
        <f>SIP[[#This Row],[Amount]]/SIP[[#This Row],[Unit]]</f>
        <v>13.774104683195592</v>
      </c>
      <c r="N1639" s="71">
        <f>SIP[[#This Row],[Unit Capital]]/10</f>
        <v>363</v>
      </c>
      <c r="O1639" s="71">
        <f>SUMIFS(SIP[[#Headers],[Unit]]:SIP[[#This Row],[Unit]],SIP[[#Headers],[Investor ID]]:SIP[[#This Row],[Investor ID]],SIP[[#This Row],[Investor ID]])</f>
        <v>21173</v>
      </c>
      <c r="P1639" s="153">
        <v>3630</v>
      </c>
      <c r="Q1639" s="74">
        <f>SIP[[#This Row],[Amount]]-SIP[[#This Row],[Unit Capital]]</f>
        <v>1370</v>
      </c>
      <c r="R16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11.80749067208237</v>
      </c>
      <c r="S1639" s="46">
        <f t="shared" si="77"/>
        <v>14.224</v>
      </c>
      <c r="T16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9" s="74" cm="1">
        <f t="array" ref="U1639">IF(SIP[[#This Row],[B/S]]="S",ABS(SIP[[#This Row],[Unit]])*(INDEX(SIP[NAV at Cost (Average)],MATCH(CONCATENATE((SIP[[#This Row],[Frequency]]-1),SIP[[#This Row],[Investor ID]]),SIP[Unique Code],0),0)),0)</f>
        <v>0</v>
      </c>
      <c r="V1639" s="74">
        <f>IF(SIP[[#This Row],[BO TRANSFER]]="YES",SIP[[#This Row],[Unit]],)</f>
        <v>0</v>
      </c>
      <c r="W1639" s="74">
        <f>SUMIFS(SIP[[#Headers],[BO UNIT TRANSFER]]:SIP[[#This Row],[BO UNIT TRANSFER]],SIP[[#Headers],[Investor ID]]:SIP[[#This Row],[Investor ID]],SIP[[#This Row],[Investor ID]])</f>
        <v>0</v>
      </c>
    </row>
    <row r="1640" spans="1:23" ht="15" customHeight="1">
      <c r="A1640" s="101">
        <v>2025</v>
      </c>
      <c r="B1640" s="101">
        <v>12</v>
      </c>
      <c r="C1640" s="101">
        <v>28</v>
      </c>
      <c r="D1640" s="65">
        <f>DATE(SIP[[#This Row],[Year]],SIP[[#This Row],[Month]],SIP[[#This Row],[Day]])</f>
        <v>46019</v>
      </c>
      <c r="E1640" s="66" t="str" cm="1">
        <f t="array" ref="E1640">INDEX(INVESTORS_LIST[INVESTOR NAME],MATCH(SIP[[#This Row],[Investor ID]],INVESTORS_LIST[INVESTOR CODE],0),)</f>
        <v>SADIA PARVIN</v>
      </c>
      <c r="F1640" s="46" t="s">
        <v>1018</v>
      </c>
      <c r="G1640" s="46">
        <f>COUNTIF(SIP[[#Headers],[Investor ID]]:SIP[[#This Row],[Investor ID]],SIP[[#This Row],[Investor ID]])</f>
        <v>51</v>
      </c>
      <c r="H1640" s="46" t="str">
        <f>CONCATENATE(SIP[[#This Row],[Frequency]],SIP[[#This Row],[Investor ID]])</f>
        <v>51A00486</v>
      </c>
      <c r="I1640" s="46" t="str">
        <f>IF(SIP[[#This Row],[B/S]]="B","BUY",(IF(SIP[[#This Row],[B/S]]="S","SELL"," ")))</f>
        <v>BUY</v>
      </c>
      <c r="J1640" s="150" t="s">
        <v>1229</v>
      </c>
      <c r="K1640" s="153">
        <v>5000</v>
      </c>
      <c r="L1640" s="122"/>
      <c r="M1640" s="123">
        <f>SIP[[#This Row],[Amount]]/SIP[[#This Row],[Unit]]</f>
        <v>13.774104683195592</v>
      </c>
      <c r="N1640" s="71">
        <f>SIP[[#This Row],[Unit Capital]]/10</f>
        <v>363</v>
      </c>
      <c r="O1640" s="71">
        <f>SUMIFS(SIP[[#Headers],[Unit]]:SIP[[#This Row],[Unit]],SIP[[#Headers],[Investor ID]]:SIP[[#This Row],[Investor ID]],SIP[[#This Row],[Investor ID]])</f>
        <v>21536</v>
      </c>
      <c r="P1640" s="153">
        <v>3630</v>
      </c>
      <c r="Q1640" s="74">
        <f>SIP[[#This Row],[Amount]]-SIP[[#This Row],[Unit Capital]]</f>
        <v>1370</v>
      </c>
      <c r="R16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11.840638930163447</v>
      </c>
      <c r="S1640" s="46">
        <f t="shared" si="77"/>
        <v>14.224</v>
      </c>
      <c r="T16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0" s="74" cm="1">
        <f t="array" ref="U1640">IF(SIP[[#This Row],[B/S]]="S",ABS(SIP[[#This Row],[Unit]])*(INDEX(SIP[NAV at Cost (Average)],MATCH(CONCATENATE((SIP[[#This Row],[Frequency]]-1),SIP[[#This Row],[Investor ID]]),SIP[Unique Code],0),0)),0)</f>
        <v>0</v>
      </c>
      <c r="V1640" s="74">
        <f>IF(SIP[[#This Row],[BO TRANSFER]]="YES",SIP[[#This Row],[Unit]],)</f>
        <v>0</v>
      </c>
      <c r="W1640" s="74">
        <f>SUMIFS(SIP[[#Headers],[BO UNIT TRANSFER]]:SIP[[#This Row],[BO UNIT TRANSFER]],SIP[[#Headers],[Investor ID]]:SIP[[#This Row],[Investor ID]],SIP[[#This Row],[Investor ID]])</f>
        <v>0</v>
      </c>
    </row>
    <row r="1641" spans="1:23" ht="15" customHeight="1">
      <c r="A1641" s="101">
        <v>2025</v>
      </c>
      <c r="B1641" s="101">
        <v>12</v>
      </c>
      <c r="C1641" s="101">
        <v>28</v>
      </c>
      <c r="D1641" s="65">
        <f>DATE(SIP[[#This Row],[Year]],SIP[[#This Row],[Month]],SIP[[#This Row],[Day]])</f>
        <v>46019</v>
      </c>
      <c r="E1641" s="66" t="str" cm="1">
        <f t="array" ref="E1641">INDEX(INVESTORS_LIST[INVESTOR NAME],MATCH(SIP[[#This Row],[Investor ID]],INVESTORS_LIST[INVESTOR CODE],0),)</f>
        <v>MD. WALI ULLAH</v>
      </c>
      <c r="F1641" s="46" t="s">
        <v>443</v>
      </c>
      <c r="G1641" s="46">
        <f>COUNTIF(SIP[[#Headers],[Investor ID]]:SIP[[#This Row],[Investor ID]],SIP[[#This Row],[Investor ID]])</f>
        <v>32</v>
      </c>
      <c r="H1641" s="46" t="str">
        <f>CONCATENATE(SIP[[#This Row],[Frequency]],SIP[[#This Row],[Investor ID]])</f>
        <v>32A00197</v>
      </c>
      <c r="I1641" s="46" t="str">
        <f>IF(SIP[[#This Row],[B/S]]="B","BUY",(IF(SIP[[#This Row],[B/S]]="S","SELL"," ")))</f>
        <v>BUY</v>
      </c>
      <c r="J1641" s="150" t="s">
        <v>1229</v>
      </c>
      <c r="K1641" s="153">
        <v>15000</v>
      </c>
      <c r="L1641" s="122"/>
      <c r="M1641" s="123">
        <f>SIP[[#This Row],[Amount]]/SIP[[#This Row],[Unit]]</f>
        <v>13.774104683195592</v>
      </c>
      <c r="N1641" s="71">
        <f>SIP[[#This Row],[Unit Capital]]/10</f>
        <v>1089</v>
      </c>
      <c r="O1641" s="71">
        <f>SUMIFS(SIP[[#Headers],[Unit]]:SIP[[#This Row],[Unit]],SIP[[#Headers],[Investor ID]]:SIP[[#This Row],[Investor ID]],SIP[[#This Row],[Investor ID]])</f>
        <v>41500</v>
      </c>
      <c r="P1641" s="153">
        <v>10890</v>
      </c>
      <c r="Q1641" s="74">
        <f>SIP[[#This Row],[Amount]]-SIP[[#This Row],[Unit Capital]]</f>
        <v>4110</v>
      </c>
      <c r="R16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11.566265060240964</v>
      </c>
      <c r="S1641" s="46">
        <f t="shared" si="77"/>
        <v>14.224</v>
      </c>
      <c r="T16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1" s="74" cm="1">
        <f t="array" ref="U1641">IF(SIP[[#This Row],[B/S]]="S",ABS(SIP[[#This Row],[Unit]])*(INDEX(SIP[NAV at Cost (Average)],MATCH(CONCATENATE((SIP[[#This Row],[Frequency]]-1),SIP[[#This Row],[Investor ID]]),SIP[Unique Code],0),0)),0)</f>
        <v>0</v>
      </c>
      <c r="V1641" s="74">
        <f>IF(SIP[[#This Row],[BO TRANSFER]]="YES",SIP[[#This Row],[Unit]],)</f>
        <v>0</v>
      </c>
      <c r="W1641" s="74">
        <f>SUMIFS(SIP[[#Headers],[BO UNIT TRANSFER]]:SIP[[#This Row],[BO UNIT TRANSFER]],SIP[[#Headers],[Investor ID]]:SIP[[#This Row],[Investor ID]],SIP[[#This Row],[Investor ID]])</f>
        <v>0</v>
      </c>
    </row>
    <row r="1642" spans="1:23" ht="15" customHeight="1">
      <c r="A1642" s="101">
        <v>2025</v>
      </c>
      <c r="B1642" s="101">
        <v>12</v>
      </c>
      <c r="C1642" s="101">
        <v>28</v>
      </c>
      <c r="D1642" s="65">
        <f>DATE(SIP[[#This Row],[Year]],SIP[[#This Row],[Month]],SIP[[#This Row],[Day]])</f>
        <v>46019</v>
      </c>
      <c r="E1642" s="66" t="str" cm="1">
        <f t="array" ref="E1642">INDEX(INVESTORS_LIST[INVESTOR NAME],MATCH(SIP[[#This Row],[Investor ID]],INVESTORS_LIST[INVESTOR CODE],0),)</f>
        <v>MAYA RANI SAHA</v>
      </c>
      <c r="F1642" s="46" t="s">
        <v>224</v>
      </c>
      <c r="G1642" s="46">
        <f>COUNTIF(SIP[[#Headers],[Investor ID]]:SIP[[#This Row],[Investor ID]],SIP[[#This Row],[Investor ID]])</f>
        <v>78</v>
      </c>
      <c r="H1642" s="46" t="str">
        <f>CONCATENATE(SIP[[#This Row],[Frequency]],SIP[[#This Row],[Investor ID]])</f>
        <v>78A00088</v>
      </c>
      <c r="I1642" s="46" t="str">
        <f>IF(SIP[[#This Row],[B/S]]="B","BUY",(IF(SIP[[#This Row],[B/S]]="S","SELL"," ")))</f>
        <v>BUY</v>
      </c>
      <c r="J1642" s="150" t="s">
        <v>1229</v>
      </c>
      <c r="K1642" s="153">
        <v>14000</v>
      </c>
      <c r="L1642" s="122"/>
      <c r="M1642" s="123">
        <f>SIP[[#This Row],[Amount]]/SIP[[#This Row],[Unit]]</f>
        <v>13.765978367748279</v>
      </c>
      <c r="N1642" s="71">
        <f>SIP[[#This Row],[Unit Capital]]/10</f>
        <v>1017</v>
      </c>
      <c r="O1642" s="71">
        <f>SUMIFS(SIP[[#Headers],[Unit]]:SIP[[#This Row],[Unit]],SIP[[#Headers],[Investor ID]]:SIP[[#This Row],[Investor ID]],SIP[[#This Row],[Investor ID]])</f>
        <v>89148</v>
      </c>
      <c r="P1642" s="153">
        <v>10170</v>
      </c>
      <c r="Q1642" s="74">
        <f>SIP[[#This Row],[Amount]]-SIP[[#This Row],[Unit Capital]]</f>
        <v>3830</v>
      </c>
      <c r="R16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12.002512675550769</v>
      </c>
      <c r="S1642" s="46">
        <f t="shared" si="77"/>
        <v>14.224</v>
      </c>
      <c r="T16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2" s="74" cm="1">
        <f t="array" ref="U1642">IF(SIP[[#This Row],[B/S]]="S",ABS(SIP[[#This Row],[Unit]])*(INDEX(SIP[NAV at Cost (Average)],MATCH(CONCATENATE((SIP[[#This Row],[Frequency]]-1),SIP[[#This Row],[Investor ID]]),SIP[Unique Code],0),0)),0)</f>
        <v>0</v>
      </c>
      <c r="V1642" s="74">
        <f>IF(SIP[[#This Row],[BO TRANSFER]]="YES",SIP[[#This Row],[Unit]],)</f>
        <v>0</v>
      </c>
      <c r="W1642" s="74">
        <f>SUMIFS(SIP[[#Headers],[BO UNIT TRANSFER]]:SIP[[#This Row],[BO UNIT TRANSFER]],SIP[[#Headers],[Investor ID]]:SIP[[#This Row],[Investor ID]],SIP[[#This Row],[Investor ID]])</f>
        <v>0</v>
      </c>
    </row>
    <row r="1643" spans="1:23" ht="15" customHeight="1">
      <c r="A1643" s="101">
        <v>2025</v>
      </c>
      <c r="B1643" s="101">
        <v>12</v>
      </c>
      <c r="C1643" s="101">
        <v>28</v>
      </c>
      <c r="D1643" s="65">
        <f>DATE(SIP[[#This Row],[Year]],SIP[[#This Row],[Month]],SIP[[#This Row],[Day]])</f>
        <v>46019</v>
      </c>
      <c r="E1643" s="66" t="str" cm="1">
        <f t="array" ref="E1643">INDEX(INVESTORS_LIST[INVESTOR NAME],MATCH(SIP[[#This Row],[Investor ID]],INVESTORS_LIST[INVESTOR CODE],0),)</f>
        <v>SIKDER FAZLE RABBI</v>
      </c>
      <c r="F1643" s="46" t="s">
        <v>1032</v>
      </c>
      <c r="G1643" s="46">
        <f>COUNTIF(SIP[[#Headers],[Investor ID]]:SIP[[#This Row],[Investor ID]],SIP[[#This Row],[Investor ID]])</f>
        <v>31</v>
      </c>
      <c r="H1643" s="46" t="str">
        <f>CONCATENATE(SIP[[#This Row],[Frequency]],SIP[[#This Row],[Investor ID]])</f>
        <v>31A00493</v>
      </c>
      <c r="I1643" s="46" t="str">
        <f>IF(SIP[[#This Row],[B/S]]="B","BUY",(IF(SIP[[#This Row],[B/S]]="S","SELL"," ")))</f>
        <v>BUY</v>
      </c>
      <c r="J1643" s="150" t="s">
        <v>1229</v>
      </c>
      <c r="K1643" s="153">
        <v>5000</v>
      </c>
      <c r="L1643" s="122"/>
      <c r="M1643" s="123">
        <f>SIP[[#This Row],[Amount]]/SIP[[#This Row],[Unit]]</f>
        <v>13.774104683195592</v>
      </c>
      <c r="N1643" s="71">
        <f>SIP[[#This Row],[Unit Capital]]/10</f>
        <v>363</v>
      </c>
      <c r="O1643" s="71">
        <f>SUMIFS(SIP[[#Headers],[Unit]]:SIP[[#This Row],[Unit]],SIP[[#Headers],[Investor ID]]:SIP[[#This Row],[Investor ID]],SIP[[#This Row],[Investor ID]])</f>
        <v>13341</v>
      </c>
      <c r="P1643" s="153">
        <v>3630</v>
      </c>
      <c r="Q1643" s="74">
        <f>SIP[[#This Row],[Amount]]-SIP[[#This Row],[Unit Capital]]</f>
        <v>1370</v>
      </c>
      <c r="R16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11.618319466306874</v>
      </c>
      <c r="S1643" s="46">
        <f t="shared" si="77"/>
        <v>14.224</v>
      </c>
      <c r="T16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3" s="74" cm="1">
        <f t="array" ref="U1643">IF(SIP[[#This Row],[B/S]]="S",ABS(SIP[[#This Row],[Unit]])*(INDEX(SIP[NAV at Cost (Average)],MATCH(CONCATENATE((SIP[[#This Row],[Frequency]]-1),SIP[[#This Row],[Investor ID]]),SIP[Unique Code],0),0)),0)</f>
        <v>0</v>
      </c>
      <c r="V1643" s="74">
        <f>IF(SIP[[#This Row],[BO TRANSFER]]="YES",SIP[[#This Row],[Unit]],)</f>
        <v>0</v>
      </c>
      <c r="W1643" s="74">
        <f>SUMIFS(SIP[[#Headers],[BO UNIT TRANSFER]]:SIP[[#This Row],[BO UNIT TRANSFER]],SIP[[#Headers],[Investor ID]]:SIP[[#This Row],[Investor ID]],SIP[[#This Row],[Investor ID]])</f>
        <v>0</v>
      </c>
    </row>
    <row r="1644" spans="1:23" ht="15" customHeight="1">
      <c r="A1644" s="101">
        <v>2025</v>
      </c>
      <c r="B1644" s="101">
        <v>12</v>
      </c>
      <c r="C1644" s="101">
        <v>28</v>
      </c>
      <c r="D1644" s="65">
        <f>DATE(SIP[[#This Row],[Year]],SIP[[#This Row],[Month]],SIP[[#This Row],[Day]])</f>
        <v>46019</v>
      </c>
      <c r="E1644" s="66" t="str" cm="1">
        <f t="array" ref="E1644">INDEX(INVESTORS_LIST[INVESTOR NAME],MATCH(SIP[[#This Row],[Investor ID]],INVESTORS_LIST[INVESTOR CODE],0),)</f>
        <v>ADNAN RASHID</v>
      </c>
      <c r="F1644" s="46" t="s">
        <v>252</v>
      </c>
      <c r="G1644" s="46">
        <f>COUNTIF(SIP[[#Headers],[Investor ID]]:SIP[[#This Row],[Investor ID]],SIP[[#This Row],[Investor ID]])</f>
        <v>28</v>
      </c>
      <c r="H1644" s="46" t="str">
        <f>CONCATENATE(SIP[[#This Row],[Frequency]],SIP[[#This Row],[Investor ID]])</f>
        <v>28A00102</v>
      </c>
      <c r="I1644" s="46" t="str">
        <f>IF(SIP[[#This Row],[B/S]]="B","BUY",(IF(SIP[[#This Row],[B/S]]="S","SELL"," ")))</f>
        <v>BUY</v>
      </c>
      <c r="J1644" s="150" t="s">
        <v>1229</v>
      </c>
      <c r="K1644" s="153">
        <v>30000</v>
      </c>
      <c r="L1644" s="122"/>
      <c r="M1644" s="123">
        <f>SIP[[#This Row],[Amount]]/SIP[[#This Row],[Unit]]</f>
        <v>13.767783386874713</v>
      </c>
      <c r="N1644" s="71">
        <f>SIP[[#This Row],[Unit Capital]]/10</f>
        <v>2179</v>
      </c>
      <c r="O1644" s="71">
        <f>SUMIFS(SIP[[#Headers],[Unit]]:SIP[[#This Row],[Unit]],SIP[[#Headers],[Investor ID]]:SIP[[#This Row],[Investor ID]],SIP[[#This Row],[Investor ID]])</f>
        <v>50729</v>
      </c>
      <c r="P1644" s="153">
        <v>21790</v>
      </c>
      <c r="Q1644" s="74">
        <f>SIP[[#This Row],[Amount]]-SIP[[#This Row],[Unit Capital]]</f>
        <v>8210</v>
      </c>
      <c r="R16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12.124734427173438</v>
      </c>
      <c r="S1644" s="46">
        <f t="shared" si="77"/>
        <v>14.224</v>
      </c>
      <c r="T16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4" s="74" cm="1">
        <f t="array" ref="U1644">IF(SIP[[#This Row],[B/S]]="S",ABS(SIP[[#This Row],[Unit]])*(INDEX(SIP[NAV at Cost (Average)],MATCH(CONCATENATE((SIP[[#This Row],[Frequency]]-1),SIP[[#This Row],[Investor ID]]),SIP[Unique Code],0),0)),0)</f>
        <v>0</v>
      </c>
      <c r="V1644" s="74">
        <f>IF(SIP[[#This Row],[BO TRANSFER]]="YES",SIP[[#This Row],[Unit]],)</f>
        <v>0</v>
      </c>
      <c r="W1644" s="74">
        <f>SUMIFS(SIP[[#Headers],[BO UNIT TRANSFER]]:SIP[[#This Row],[BO UNIT TRANSFER]],SIP[[#Headers],[Investor ID]]:SIP[[#This Row],[Investor ID]],SIP[[#This Row],[Investor ID]])</f>
        <v>0</v>
      </c>
    </row>
    <row r="1645" spans="1:23" ht="15" customHeight="1">
      <c r="A1645" s="101">
        <v>2025</v>
      </c>
      <c r="B1645" s="101">
        <v>12</v>
      </c>
      <c r="C1645" s="101">
        <v>28</v>
      </c>
      <c r="D1645" s="65">
        <f>DATE(SIP[[#This Row],[Year]],SIP[[#This Row],[Month]],SIP[[#This Row],[Day]])</f>
        <v>46019</v>
      </c>
      <c r="E1645" s="66" t="str" cm="1">
        <f t="array" ref="E1645">INDEX(INVESTORS_LIST[INVESTOR NAME],MATCH(SIP[[#This Row],[Investor ID]],INVESTORS_LIST[INVESTOR CODE],0),)</f>
        <v>SAJJAD CHOWDHURY</v>
      </c>
      <c r="F1645" s="46" t="s">
        <v>461</v>
      </c>
      <c r="G1645" s="46">
        <f>COUNTIF(SIP[[#Headers],[Investor ID]]:SIP[[#This Row],[Investor ID]],SIP[[#This Row],[Investor ID]])</f>
        <v>28</v>
      </c>
      <c r="H1645" s="46" t="str">
        <f>CONCATENATE(SIP[[#This Row],[Frequency]],SIP[[#This Row],[Investor ID]])</f>
        <v>28A00206</v>
      </c>
      <c r="I1645" s="46" t="str">
        <f>IF(SIP[[#This Row],[B/S]]="B","BUY",(IF(SIP[[#This Row],[B/S]]="S","SELL"," ")))</f>
        <v>BUY</v>
      </c>
      <c r="J1645" s="150" t="s">
        <v>1229</v>
      </c>
      <c r="K1645" s="153">
        <v>7500</v>
      </c>
      <c r="L1645" s="122"/>
      <c r="M1645" s="123">
        <f>SIP[[#This Row],[Amount]]/SIP[[#This Row],[Unit]]</f>
        <v>13.761467889908257</v>
      </c>
      <c r="N1645" s="71">
        <f>SIP[[#This Row],[Unit Capital]]/10</f>
        <v>545</v>
      </c>
      <c r="O1645" s="71">
        <f>SUMIFS(SIP[[#Headers],[Unit]]:SIP[[#This Row],[Unit]],SIP[[#Headers],[Investor ID]]:SIP[[#This Row],[Investor ID]],SIP[[#This Row],[Investor ID]])</f>
        <v>1858</v>
      </c>
      <c r="P1645" s="153">
        <v>5450</v>
      </c>
      <c r="Q1645" s="74">
        <f>SIP[[#This Row],[Amount]]-SIP[[#This Row],[Unit Capital]]</f>
        <v>2050</v>
      </c>
      <c r="R16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12.647419452911404</v>
      </c>
      <c r="S1645" s="46">
        <f t="shared" si="77"/>
        <v>14.224</v>
      </c>
      <c r="T16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5" s="74" cm="1">
        <f t="array" ref="U1645">IF(SIP[[#This Row],[B/S]]="S",ABS(SIP[[#This Row],[Unit]])*(INDEX(SIP[NAV at Cost (Average)],MATCH(CONCATENATE((SIP[[#This Row],[Frequency]]-1),SIP[[#This Row],[Investor ID]]),SIP[Unique Code],0),0)),0)</f>
        <v>0</v>
      </c>
      <c r="V1645" s="74">
        <f>IF(SIP[[#This Row],[BO TRANSFER]]="YES",SIP[[#This Row],[Unit]],)</f>
        <v>0</v>
      </c>
      <c r="W1645" s="74">
        <f>SUMIFS(SIP[[#Headers],[BO UNIT TRANSFER]]:SIP[[#This Row],[BO UNIT TRANSFER]],SIP[[#Headers],[Investor ID]]:SIP[[#This Row],[Investor ID]],SIP[[#This Row],[Investor ID]])</f>
        <v>0</v>
      </c>
    </row>
    <row r="1646" spans="1:23" ht="15" customHeight="1">
      <c r="A1646" s="101">
        <v>2025</v>
      </c>
      <c r="B1646" s="101">
        <v>12</v>
      </c>
      <c r="C1646" s="101">
        <v>28</v>
      </c>
      <c r="D1646" s="65">
        <f>DATE(SIP[[#This Row],[Year]],SIP[[#This Row],[Month]],SIP[[#This Row],[Day]])</f>
        <v>46019</v>
      </c>
      <c r="E1646" s="66" t="str" cm="1">
        <f t="array" ref="E1646">INDEX(INVESTORS_LIST[INVESTOR NAME],MATCH(SIP[[#This Row],[Investor ID]],INVESTORS_LIST[INVESTOR CODE],0),)</f>
        <v>MD MIZANUR RAHMAN</v>
      </c>
      <c r="F1646" s="46" t="s">
        <v>336</v>
      </c>
      <c r="G1646" s="46">
        <f>COUNTIF(SIP[[#Headers],[Investor ID]]:SIP[[#This Row],[Investor ID]],SIP[[#This Row],[Investor ID]])</f>
        <v>5</v>
      </c>
      <c r="H1646" s="46" t="str">
        <f>CONCATENATE(SIP[[#This Row],[Frequency]],SIP[[#This Row],[Investor ID]])</f>
        <v>5A00144</v>
      </c>
      <c r="I1646" s="46" t="str">
        <f>IF(SIP[[#This Row],[B/S]]="B","BUY",(IF(SIP[[#This Row],[B/S]]="S","SELL"," ")))</f>
        <v>BUY</v>
      </c>
      <c r="J1646" s="150" t="s">
        <v>1229</v>
      </c>
      <c r="K1646" s="153">
        <v>5000</v>
      </c>
      <c r="L1646" s="122"/>
      <c r="M1646" s="123">
        <f>SIP[[#This Row],[Amount]]/SIP[[#This Row],[Unit]]</f>
        <v>13.774104683195592</v>
      </c>
      <c r="N1646" s="71">
        <f>SIP[[#This Row],[Unit Capital]]/10</f>
        <v>363</v>
      </c>
      <c r="O1646" s="71">
        <f>SUMIFS(SIP[[#Headers],[Unit]]:SIP[[#This Row],[Unit]],SIP[[#Headers],[Investor ID]]:SIP[[#This Row],[Investor ID]],SIP[[#This Row],[Investor ID]])</f>
        <v>1842</v>
      </c>
      <c r="P1646" s="153">
        <v>3630</v>
      </c>
      <c r="Q1646" s="74">
        <f>SIP[[#This Row],[Amount]]-SIP[[#This Row],[Unit Capital]]</f>
        <v>1370</v>
      </c>
      <c r="R16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13.572204125950055</v>
      </c>
      <c r="S1646" s="46">
        <f t="shared" si="77"/>
        <v>14.224</v>
      </c>
      <c r="T16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6" s="74" cm="1">
        <f t="array" ref="U1646">IF(SIP[[#This Row],[B/S]]="S",ABS(SIP[[#This Row],[Unit]])*(INDEX(SIP[NAV at Cost (Average)],MATCH(CONCATENATE((SIP[[#This Row],[Frequency]]-1),SIP[[#This Row],[Investor ID]]),SIP[Unique Code],0),0)),0)</f>
        <v>0</v>
      </c>
      <c r="V1646" s="74">
        <f>IF(SIP[[#This Row],[BO TRANSFER]]="YES",SIP[[#This Row],[Unit]],)</f>
        <v>0</v>
      </c>
      <c r="W1646" s="74">
        <f>SUMIFS(SIP[[#Headers],[BO UNIT TRANSFER]]:SIP[[#This Row],[BO UNIT TRANSFER]],SIP[[#Headers],[Investor ID]]:SIP[[#This Row],[Investor ID]],SIP[[#This Row],[Investor ID]])</f>
        <v>0</v>
      </c>
    </row>
    <row r="1647" spans="1:23" ht="15" customHeight="1">
      <c r="A1647" s="101">
        <v>2025</v>
      </c>
      <c r="B1647" s="101">
        <v>12</v>
      </c>
      <c r="C1647" s="101">
        <v>28</v>
      </c>
      <c r="D1647" s="65">
        <f>DATE(SIP[[#This Row],[Year]],SIP[[#This Row],[Month]],SIP[[#This Row],[Day]])</f>
        <v>46019</v>
      </c>
      <c r="E1647" s="66" t="str" cm="1">
        <f t="array" ref="E1647">INDEX(INVESTORS_LIST[INVESTOR NAME],MATCH(SIP[[#This Row],[Investor ID]],INVESTORS_LIST[INVESTOR CODE],0),)</f>
        <v>MOHAMMED SHARIFUL ISLAM</v>
      </c>
      <c r="F1647" s="46" t="s">
        <v>1028</v>
      </c>
      <c r="G1647" s="46">
        <f>COUNTIF(SIP[[#Headers],[Investor ID]]:SIP[[#This Row],[Investor ID]],SIP[[#This Row],[Investor ID]])</f>
        <v>31</v>
      </c>
      <c r="H1647" s="46" t="str">
        <f>CONCATENATE(SIP[[#This Row],[Frequency]],SIP[[#This Row],[Investor ID]])</f>
        <v>31A00491</v>
      </c>
      <c r="I1647" s="46" t="str">
        <f>IF(SIP[[#This Row],[B/S]]="B","BUY",(IF(SIP[[#This Row],[B/S]]="S","SELL"," ")))</f>
        <v>BUY</v>
      </c>
      <c r="J1647" s="150" t="s">
        <v>1229</v>
      </c>
      <c r="K1647" s="153">
        <v>5000</v>
      </c>
      <c r="L1647" s="122"/>
      <c r="M1647" s="123">
        <f>SIP[[#This Row],[Amount]]/SIP[[#This Row],[Unit]]</f>
        <v>13.774104683195592</v>
      </c>
      <c r="N1647" s="71">
        <f>SIP[[#This Row],[Unit Capital]]/10</f>
        <v>363</v>
      </c>
      <c r="O1647" s="71">
        <f>SUMIFS(SIP[[#Headers],[Unit]]:SIP[[#This Row],[Unit]],SIP[[#Headers],[Investor ID]]:SIP[[#This Row],[Investor ID]],SIP[[#This Row],[Investor ID]])</f>
        <v>13341</v>
      </c>
      <c r="P1647" s="153">
        <v>3630</v>
      </c>
      <c r="Q1647" s="74">
        <f>SIP[[#This Row],[Amount]]-SIP[[#This Row],[Unit Capital]]</f>
        <v>1370</v>
      </c>
      <c r="R16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11.618319466306874</v>
      </c>
      <c r="S1647" s="46">
        <f t="shared" si="77"/>
        <v>14.224</v>
      </c>
      <c r="T16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7" s="74" cm="1">
        <f t="array" ref="U1647">IF(SIP[[#This Row],[B/S]]="S",ABS(SIP[[#This Row],[Unit]])*(INDEX(SIP[NAV at Cost (Average)],MATCH(CONCATENATE((SIP[[#This Row],[Frequency]]-1),SIP[[#This Row],[Investor ID]]),SIP[Unique Code],0),0)),0)</f>
        <v>0</v>
      </c>
      <c r="V1647" s="74">
        <f>IF(SIP[[#This Row],[BO TRANSFER]]="YES",SIP[[#This Row],[Unit]],)</f>
        <v>0</v>
      </c>
      <c r="W1647" s="74">
        <f>SUMIFS(SIP[[#Headers],[BO UNIT TRANSFER]]:SIP[[#This Row],[BO UNIT TRANSFER]],SIP[[#Headers],[Investor ID]]:SIP[[#This Row],[Investor ID]],SIP[[#This Row],[Investor ID]])</f>
        <v>0</v>
      </c>
    </row>
    <row r="1648" spans="1:23" ht="15" customHeight="1">
      <c r="A1648" s="101">
        <v>2025</v>
      </c>
      <c r="B1648" s="101">
        <v>12</v>
      </c>
      <c r="C1648" s="101">
        <v>28</v>
      </c>
      <c r="D1648" s="65">
        <f>DATE(SIP[[#This Row],[Year]],SIP[[#This Row],[Month]],SIP[[#This Row],[Day]])</f>
        <v>46019</v>
      </c>
      <c r="E1648" s="66" t="str" cm="1">
        <f t="array" ref="E1648">INDEX(INVESTORS_LIST[INVESTOR NAME],MATCH(SIP[[#This Row],[Investor ID]],INVESTORS_LIST[INVESTOR CODE],0),)</f>
        <v>MRINMOY GHOSH</v>
      </c>
      <c r="F1648" s="46" t="s">
        <v>69</v>
      </c>
      <c r="G1648" s="46">
        <f>COUNTIF(SIP[[#Headers],[Investor ID]]:SIP[[#This Row],[Investor ID]],SIP[[#This Row],[Investor ID]])</f>
        <v>21</v>
      </c>
      <c r="H1648" s="46" t="str">
        <f>CONCATENATE(SIP[[#This Row],[Frequency]],SIP[[#This Row],[Investor ID]])</f>
        <v>21A00012</v>
      </c>
      <c r="I1648" s="46" t="str">
        <f>IF(SIP[[#This Row],[B/S]]="B","BUY",(IF(SIP[[#This Row],[B/S]]="S","SELL"," ")))</f>
        <v>BUY</v>
      </c>
      <c r="J1648" s="150" t="s">
        <v>1229</v>
      </c>
      <c r="K1648" s="153">
        <v>10000</v>
      </c>
      <c r="L1648" s="122"/>
      <c r="M1648" s="123">
        <f>SIP[[#This Row],[Amount]]/SIP[[#This Row],[Unit]]</f>
        <v>13.774104683195592</v>
      </c>
      <c r="N1648" s="71">
        <f>SIP[[#This Row],[Unit Capital]]/10</f>
        <v>726</v>
      </c>
      <c r="O1648" s="71">
        <f>SUMIFS(SIP[[#Headers],[Unit]]:SIP[[#This Row],[Unit]],SIP[[#Headers],[Investor ID]]:SIP[[#This Row],[Investor ID]],SIP[[#This Row],[Investor ID]])</f>
        <v>726</v>
      </c>
      <c r="P1648" s="153">
        <v>7260</v>
      </c>
      <c r="Q1648" s="74">
        <f>SIP[[#This Row],[Amount]]-SIP[[#This Row],[Unit Capital]]</f>
        <v>2740</v>
      </c>
      <c r="R16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648" s="46">
        <f t="shared" si="77"/>
        <v>14.224</v>
      </c>
      <c r="T16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8" s="74" cm="1">
        <f t="array" ref="U1648">IF(SIP[[#This Row],[B/S]]="S",ABS(SIP[[#This Row],[Unit]])*(INDEX(SIP[NAV at Cost (Average)],MATCH(CONCATENATE((SIP[[#This Row],[Frequency]]-1),SIP[[#This Row],[Investor ID]]),SIP[Unique Code],0),0)),0)</f>
        <v>0</v>
      </c>
      <c r="V1648" s="74">
        <f>IF(SIP[[#This Row],[BO TRANSFER]]="YES",SIP[[#This Row],[Unit]],)</f>
        <v>0</v>
      </c>
      <c r="W1648" s="74">
        <f>SUMIFS(SIP[[#Headers],[BO UNIT TRANSFER]]:SIP[[#This Row],[BO UNIT TRANSFER]],SIP[[#Headers],[Investor ID]]:SIP[[#This Row],[Investor ID]],SIP[[#This Row],[Investor ID]])</f>
        <v>0</v>
      </c>
    </row>
    <row r="1649" spans="1:23" ht="15" customHeight="1">
      <c r="A1649" s="101">
        <v>2025</v>
      </c>
      <c r="B1649" s="101">
        <v>12</v>
      </c>
      <c r="C1649" s="101">
        <v>28</v>
      </c>
      <c r="D1649" s="65">
        <f>DATE(SIP[[#This Row],[Year]],SIP[[#This Row],[Month]],SIP[[#This Row],[Day]])</f>
        <v>46019</v>
      </c>
      <c r="E1649" s="66" t="str" cm="1">
        <f t="array" ref="E1649">INDEX(INVESTORS_LIST[INVESTOR NAME],MATCH(SIP[[#This Row],[Investor ID]],INVESTORS_LIST[INVESTOR CODE],0),)</f>
        <v>MD ABDULLAH-AL- MAMUN</v>
      </c>
      <c r="F1649" s="46" t="s">
        <v>533</v>
      </c>
      <c r="G1649" s="46">
        <f>COUNTIF(SIP[[#Headers],[Investor ID]]:SIP[[#This Row],[Investor ID]],SIP[[#This Row],[Investor ID]])</f>
        <v>34</v>
      </c>
      <c r="H1649" s="46" t="str">
        <f>CONCATENATE(SIP[[#This Row],[Frequency]],SIP[[#This Row],[Investor ID]])</f>
        <v>34A00242</v>
      </c>
      <c r="I1649" s="46" t="str">
        <f>IF(SIP[[#This Row],[B/S]]="B","BUY",(IF(SIP[[#This Row],[B/S]]="S","SELL"," ")))</f>
        <v>BUY</v>
      </c>
      <c r="J1649" s="150" t="s">
        <v>1229</v>
      </c>
      <c r="K1649" s="153">
        <v>15000</v>
      </c>
      <c r="L1649" s="122"/>
      <c r="M1649" s="123">
        <f>SIP[[#This Row],[Amount]]/SIP[[#This Row],[Unit]]</f>
        <v>13.774104683195592</v>
      </c>
      <c r="N1649" s="71">
        <f>SIP[[#This Row],[Unit Capital]]/10</f>
        <v>1089</v>
      </c>
      <c r="O1649" s="71">
        <f>SUMIFS(SIP[[#Headers],[Unit]]:SIP[[#This Row],[Unit]],SIP[[#Headers],[Investor ID]]:SIP[[#This Row],[Investor ID]],SIP[[#This Row],[Investor ID]])</f>
        <v>8555</v>
      </c>
      <c r="P1649" s="153">
        <v>10890</v>
      </c>
      <c r="Q1649" s="74">
        <f>SIP[[#This Row],[Amount]]-SIP[[#This Row],[Unit Capital]]</f>
        <v>4110</v>
      </c>
      <c r="R16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13.203462111208525</v>
      </c>
      <c r="S1649" s="46">
        <f t="shared" si="77"/>
        <v>14.224</v>
      </c>
      <c r="T16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9" s="74" cm="1">
        <f t="array" ref="U1649">IF(SIP[[#This Row],[B/S]]="S",ABS(SIP[[#This Row],[Unit]])*(INDEX(SIP[NAV at Cost (Average)],MATCH(CONCATENATE((SIP[[#This Row],[Frequency]]-1),SIP[[#This Row],[Investor ID]]),SIP[Unique Code],0),0)),0)</f>
        <v>0</v>
      </c>
      <c r="V1649" s="74">
        <f>IF(SIP[[#This Row],[BO TRANSFER]]="YES",SIP[[#This Row],[Unit]],)</f>
        <v>0</v>
      </c>
      <c r="W1649" s="74">
        <f>SUMIFS(SIP[[#Headers],[BO UNIT TRANSFER]]:SIP[[#This Row],[BO UNIT TRANSFER]],SIP[[#Headers],[Investor ID]]:SIP[[#This Row],[Investor ID]],SIP[[#This Row],[Investor ID]])</f>
        <v>0</v>
      </c>
    </row>
    <row r="1650" spans="1:23" ht="15" customHeight="1">
      <c r="A1650" s="101">
        <v>2025</v>
      </c>
      <c r="B1650" s="101">
        <v>12</v>
      </c>
      <c r="C1650" s="101">
        <v>28</v>
      </c>
      <c r="D1650" s="65">
        <f>DATE(SIP[[#This Row],[Year]],SIP[[#This Row],[Month]],SIP[[#This Row],[Day]])</f>
        <v>46019</v>
      </c>
      <c r="E1650" s="66" t="str" cm="1">
        <f t="array" ref="E1650">INDEX(INVESTORS_LIST[INVESTOR NAME],MATCH(SIP[[#This Row],[Investor ID]],INVESTORS_LIST[INVESTOR CODE],0),)</f>
        <v>ABU MUSA MIRZA KAMRUZZAMAN SHAHEE</v>
      </c>
      <c r="F1650" s="46" t="s">
        <v>1012</v>
      </c>
      <c r="G1650" s="46">
        <f>COUNTIF(SIP[[#Headers],[Investor ID]]:SIP[[#This Row],[Investor ID]],SIP[[#This Row],[Investor ID]])</f>
        <v>31</v>
      </c>
      <c r="H1650" s="46" t="str">
        <f>CONCATENATE(SIP[[#This Row],[Frequency]],SIP[[#This Row],[Investor ID]])</f>
        <v>31A00483</v>
      </c>
      <c r="I1650" s="46" t="str">
        <f>IF(SIP[[#This Row],[B/S]]="B","BUY",(IF(SIP[[#This Row],[B/S]]="S","SELL"," ")))</f>
        <v>BUY</v>
      </c>
      <c r="J1650" s="150" t="s">
        <v>1229</v>
      </c>
      <c r="K1650" s="153">
        <v>5000</v>
      </c>
      <c r="L1650" s="122"/>
      <c r="M1650" s="123">
        <f>SIP[[#This Row],[Amount]]/SIP[[#This Row],[Unit]]</f>
        <v>13.774104683195592</v>
      </c>
      <c r="N1650" s="71">
        <f>SIP[[#This Row],[Unit Capital]]/10</f>
        <v>363</v>
      </c>
      <c r="O1650" s="71">
        <f>SUMIFS(SIP[[#Headers],[Unit]]:SIP[[#This Row],[Unit]],SIP[[#Headers],[Investor ID]]:SIP[[#This Row],[Investor ID]],SIP[[#This Row],[Investor ID]])</f>
        <v>13341</v>
      </c>
      <c r="P1650" s="153">
        <v>3630</v>
      </c>
      <c r="Q1650" s="74">
        <f>SIP[[#This Row],[Amount]]-SIP[[#This Row],[Unit Capital]]</f>
        <v>1370</v>
      </c>
      <c r="R16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11.618319466306874</v>
      </c>
      <c r="S1650" s="46">
        <f t="shared" si="77"/>
        <v>14.224</v>
      </c>
      <c r="T16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0" s="74" cm="1">
        <f t="array" ref="U1650">IF(SIP[[#This Row],[B/S]]="S",ABS(SIP[[#This Row],[Unit]])*(INDEX(SIP[NAV at Cost (Average)],MATCH(CONCATENATE((SIP[[#This Row],[Frequency]]-1),SIP[[#This Row],[Investor ID]]),SIP[Unique Code],0),0)),0)</f>
        <v>0</v>
      </c>
      <c r="V1650" s="74">
        <f>IF(SIP[[#This Row],[BO TRANSFER]]="YES",SIP[[#This Row],[Unit]],)</f>
        <v>0</v>
      </c>
      <c r="W1650" s="74">
        <f>SUMIFS(SIP[[#Headers],[BO UNIT TRANSFER]]:SIP[[#This Row],[BO UNIT TRANSFER]],SIP[[#Headers],[Investor ID]]:SIP[[#This Row],[Investor ID]],SIP[[#This Row],[Investor ID]])</f>
        <v>0</v>
      </c>
    </row>
    <row r="1651" spans="1:23" ht="15" customHeight="1">
      <c r="A1651" s="101">
        <v>2025</v>
      </c>
      <c r="B1651" s="101">
        <v>12</v>
      </c>
      <c r="C1651" s="101">
        <v>28</v>
      </c>
      <c r="D1651" s="65">
        <f>DATE(SIP[[#This Row],[Year]],SIP[[#This Row],[Month]],SIP[[#This Row],[Day]])</f>
        <v>46019</v>
      </c>
      <c r="E1651" s="66" t="str" cm="1">
        <f t="array" ref="E1651">INDEX(INVESTORS_LIST[INVESTOR NAME],MATCH(SIP[[#This Row],[Investor ID]],INVESTORS_LIST[INVESTOR CODE],0),)</f>
        <v>MD MIZANUR RAHMAN</v>
      </c>
      <c r="F1651" s="46" t="s">
        <v>1304</v>
      </c>
      <c r="G1651" s="46">
        <f>COUNTIF(SIP[[#Headers],[Investor ID]]:SIP[[#This Row],[Investor ID]],SIP[[#This Row],[Investor ID]])</f>
        <v>14</v>
      </c>
      <c r="H1651" s="46" t="str">
        <f>CONCATENATE(SIP[[#This Row],[Frequency]],SIP[[#This Row],[Investor ID]])</f>
        <v>14A00599</v>
      </c>
      <c r="I1651" s="46" t="str">
        <f>IF(SIP[[#This Row],[B/S]]="B","BUY",(IF(SIP[[#This Row],[B/S]]="S","SELL"," ")))</f>
        <v>BUY</v>
      </c>
      <c r="J1651" s="150" t="s">
        <v>1229</v>
      </c>
      <c r="K1651" s="153">
        <v>5000</v>
      </c>
      <c r="L1651" s="122"/>
      <c r="M1651" s="123">
        <f>SIP[[#This Row],[Amount]]/SIP[[#This Row],[Unit]]</f>
        <v>13.774104683195592</v>
      </c>
      <c r="N1651" s="71">
        <f>SIP[[#This Row],[Unit Capital]]/10</f>
        <v>363</v>
      </c>
      <c r="O1651" s="71">
        <f>SUMIFS(SIP[[#Headers],[Unit]]:SIP[[#This Row],[Unit]],SIP[[#Headers],[Investor ID]]:SIP[[#This Row],[Investor ID]],SIP[[#This Row],[Investor ID]])</f>
        <v>1842</v>
      </c>
      <c r="P1651" s="153">
        <v>3630</v>
      </c>
      <c r="Q1651" s="74">
        <f>SIP[[#This Row],[Amount]]-SIP[[#This Row],[Unit Capital]]</f>
        <v>1370</v>
      </c>
      <c r="R16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13.572204125950055</v>
      </c>
      <c r="S1651" s="46">
        <f t="shared" si="77"/>
        <v>14.224</v>
      </c>
      <c r="T16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1" s="74" cm="1">
        <f t="array" ref="U1651">IF(SIP[[#This Row],[B/S]]="S",ABS(SIP[[#This Row],[Unit]])*(INDEX(SIP[NAV at Cost (Average)],MATCH(CONCATENATE((SIP[[#This Row],[Frequency]]-1),SIP[[#This Row],[Investor ID]]),SIP[Unique Code],0),0)),0)</f>
        <v>0</v>
      </c>
      <c r="V1651" s="74">
        <f>IF(SIP[[#This Row],[BO TRANSFER]]="YES",SIP[[#This Row],[Unit]],)</f>
        <v>0</v>
      </c>
      <c r="W1651" s="74">
        <f>SUMIFS(SIP[[#Headers],[BO UNIT TRANSFER]]:SIP[[#This Row],[BO UNIT TRANSFER]],SIP[[#Headers],[Investor ID]]:SIP[[#This Row],[Investor ID]],SIP[[#This Row],[Investor ID]])</f>
        <v>0</v>
      </c>
    </row>
    <row r="1652" spans="1:23" ht="15" customHeight="1">
      <c r="A1652" s="101">
        <v>2025</v>
      </c>
      <c r="B1652" s="101">
        <v>12</v>
      </c>
      <c r="C1652" s="101">
        <v>28</v>
      </c>
      <c r="D1652" s="65">
        <f>DATE(SIP[[#This Row],[Year]],SIP[[#This Row],[Month]],SIP[[#This Row],[Day]])</f>
        <v>46019</v>
      </c>
      <c r="E1652" s="66" t="str" cm="1">
        <f t="array" ref="E1652">INDEX(INVESTORS_LIST[INVESTOR NAME],MATCH(SIP[[#This Row],[Investor ID]],INVESTORS_LIST[INVESTOR CODE],0),)</f>
        <v>MAHFUZUL ISLAM &amp; HUMAIRA TABASSUM READDHE</v>
      </c>
      <c r="F1652" s="46" t="s">
        <v>1315</v>
      </c>
      <c r="G1652" s="46">
        <f>COUNTIF(SIP[[#Headers],[Investor ID]]:SIP[[#This Row],[Investor ID]],SIP[[#This Row],[Investor ID]])</f>
        <v>9</v>
      </c>
      <c r="H1652" s="46" t="str">
        <f>CONCATENATE(SIP[[#This Row],[Frequency]],SIP[[#This Row],[Investor ID]])</f>
        <v>9A00605</v>
      </c>
      <c r="I1652" s="46" t="str">
        <f>IF(SIP[[#This Row],[B/S]]="B","BUY",(IF(SIP[[#This Row],[B/S]]="S","SELL"," ")))</f>
        <v>BUY</v>
      </c>
      <c r="J1652" s="150" t="s">
        <v>1229</v>
      </c>
      <c r="K1652" s="153">
        <v>18140</v>
      </c>
      <c r="L1652" s="122"/>
      <c r="M1652" s="123">
        <f>SIP[[#This Row],[Amount]]/SIP[[#This Row],[Unit]]</f>
        <v>13.763277693474961</v>
      </c>
      <c r="N1652" s="71">
        <f>SIP[[#This Row],[Unit Capital]]/10</f>
        <v>1318</v>
      </c>
      <c r="O1652" s="71">
        <f>SUMIFS(SIP[[#Headers],[Unit]]:SIP[[#This Row],[Unit]],SIP[[#Headers],[Investor ID]]:SIP[[#This Row],[Investor ID]],SIP[[#This Row],[Investor ID]])</f>
        <v>10720</v>
      </c>
      <c r="P1652" s="153">
        <v>13180</v>
      </c>
      <c r="Q1652" s="74">
        <f>SIP[[#This Row],[Amount]]-SIP[[#This Row],[Unit Capital]]</f>
        <v>4960</v>
      </c>
      <c r="R16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13.02861169274567</v>
      </c>
      <c r="S1652" s="46">
        <f t="shared" si="77"/>
        <v>14.224</v>
      </c>
      <c r="T16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2" s="74" cm="1">
        <f t="array" ref="U1652">IF(SIP[[#This Row],[B/S]]="S",ABS(SIP[[#This Row],[Unit]])*(INDEX(SIP[NAV at Cost (Average)],MATCH(CONCATENATE((SIP[[#This Row],[Frequency]]-1),SIP[[#This Row],[Investor ID]]),SIP[Unique Code],0),0)),0)</f>
        <v>0</v>
      </c>
      <c r="V1652" s="74">
        <f>IF(SIP[[#This Row],[BO TRANSFER]]="YES",SIP[[#This Row],[Unit]],)</f>
        <v>0</v>
      </c>
      <c r="W1652" s="74">
        <f>SUMIFS(SIP[[#Headers],[BO UNIT TRANSFER]]:SIP[[#This Row],[BO UNIT TRANSFER]],SIP[[#Headers],[Investor ID]]:SIP[[#This Row],[Investor ID]],SIP[[#This Row],[Investor ID]])</f>
        <v>0</v>
      </c>
    </row>
    <row r="1653" spans="1:23" ht="15" customHeight="1">
      <c r="A1653" s="101">
        <v>2025</v>
      </c>
      <c r="B1653" s="101">
        <v>12</v>
      </c>
      <c r="C1653" s="101">
        <v>28</v>
      </c>
      <c r="D1653" s="65">
        <f>DATE(SIP[[#This Row],[Year]],SIP[[#This Row],[Month]],SIP[[#This Row],[Day]])</f>
        <v>46019</v>
      </c>
      <c r="E1653" s="66" t="str" cm="1">
        <f t="array" ref="E1653">INDEX(INVESTORS_LIST[INVESTOR NAME],MATCH(SIP[[#This Row],[Investor ID]],INVESTORS_LIST[INVESTOR CODE],0),)</f>
        <v>TANVIR HASAN</v>
      </c>
      <c r="F1653" s="46" t="s">
        <v>561</v>
      </c>
      <c r="G1653" s="46">
        <f>COUNTIF(SIP[[#Headers],[Investor ID]]:SIP[[#This Row],[Investor ID]],SIP[[#This Row],[Investor ID]])</f>
        <v>9</v>
      </c>
      <c r="H1653" s="46" t="str">
        <f>CONCATENATE(SIP[[#This Row],[Frequency]],SIP[[#This Row],[Investor ID]])</f>
        <v>9A00256</v>
      </c>
      <c r="I1653" s="46" t="str">
        <f>IF(SIP[[#This Row],[B/S]]="B","BUY",(IF(SIP[[#This Row],[B/S]]="S","SELL"," ")))</f>
        <v>BUY</v>
      </c>
      <c r="J1653" s="150" t="s">
        <v>1229</v>
      </c>
      <c r="K1653" s="153">
        <v>10000</v>
      </c>
      <c r="L1653" s="122"/>
      <c r="M1653" s="123">
        <f>SIP[[#This Row],[Amount]]/SIP[[#This Row],[Unit]]</f>
        <v>13.774104683195592</v>
      </c>
      <c r="N1653" s="71">
        <f>SIP[[#This Row],[Unit Capital]]/10</f>
        <v>726</v>
      </c>
      <c r="O1653" s="71">
        <f>SUMIFS(SIP[[#Headers],[Unit]]:SIP[[#This Row],[Unit]],SIP[[#Headers],[Investor ID]]:SIP[[#This Row],[Investor ID]],SIP[[#This Row],[Investor ID]])</f>
        <v>6875</v>
      </c>
      <c r="P1653" s="153">
        <v>7260</v>
      </c>
      <c r="Q1653" s="74">
        <f>SIP[[#This Row],[Amount]]-SIP[[#This Row],[Unit Capital]]</f>
        <v>2740</v>
      </c>
      <c r="R16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13.090909090909092</v>
      </c>
      <c r="S1653" s="46">
        <f t="shared" si="77"/>
        <v>14.224</v>
      </c>
      <c r="T16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3" s="74" cm="1">
        <f t="array" ref="U1653">IF(SIP[[#This Row],[B/S]]="S",ABS(SIP[[#This Row],[Unit]])*(INDEX(SIP[NAV at Cost (Average)],MATCH(CONCATENATE((SIP[[#This Row],[Frequency]]-1),SIP[[#This Row],[Investor ID]]),SIP[Unique Code],0),0)),0)</f>
        <v>0</v>
      </c>
      <c r="V1653" s="74">
        <f>IF(SIP[[#This Row],[BO TRANSFER]]="YES",SIP[[#This Row],[Unit]],)</f>
        <v>0</v>
      </c>
      <c r="W1653" s="74">
        <f>SUMIFS(SIP[[#Headers],[BO UNIT TRANSFER]]:SIP[[#This Row],[BO UNIT TRANSFER]],SIP[[#Headers],[Investor ID]]:SIP[[#This Row],[Investor ID]],SIP[[#This Row],[Investor ID]])</f>
        <v>0</v>
      </c>
    </row>
    <row r="1654" spans="1:23" ht="15" customHeight="1">
      <c r="A1654" s="101">
        <v>2025</v>
      </c>
      <c r="B1654" s="101">
        <v>12</v>
      </c>
      <c r="C1654" s="101">
        <v>28</v>
      </c>
      <c r="D1654" s="65">
        <f>DATE(SIP[[#This Row],[Year]],SIP[[#This Row],[Month]],SIP[[#This Row],[Day]])</f>
        <v>46019</v>
      </c>
      <c r="E1654" s="66" t="str" cm="1">
        <f t="array" ref="E1654">INDEX(INVESTORS_LIST[INVESTOR NAME],MATCH(SIP[[#This Row],[Investor ID]],INVESTORS_LIST[INVESTOR CODE],0),)</f>
        <v>RAJIB</v>
      </c>
      <c r="F1654" s="46" t="s">
        <v>1321</v>
      </c>
      <c r="G1654" s="46">
        <f>COUNTIF(SIP[[#Headers],[Investor ID]]:SIP[[#This Row],[Investor ID]],SIP[[#This Row],[Investor ID]])</f>
        <v>9</v>
      </c>
      <c r="H1654" s="46" t="str">
        <f>CONCATENATE(SIP[[#This Row],[Frequency]],SIP[[#This Row],[Investor ID]])</f>
        <v>9A00607</v>
      </c>
      <c r="I1654" s="46" t="str">
        <f>IF(SIP[[#This Row],[B/S]]="B","BUY",(IF(SIP[[#This Row],[B/S]]="S","SELL"," ")))</f>
        <v>BUY</v>
      </c>
      <c r="J1654" s="150" t="s">
        <v>1229</v>
      </c>
      <c r="K1654" s="153">
        <v>1000</v>
      </c>
      <c r="L1654" s="122"/>
      <c r="M1654" s="123">
        <f>SIP[[#This Row],[Amount]]/SIP[[#This Row],[Unit]]</f>
        <v>13.698630136986301</v>
      </c>
      <c r="N1654" s="71">
        <f>SIP[[#This Row],[Unit Capital]]/10</f>
        <v>73</v>
      </c>
      <c r="O1654" s="71">
        <f>SUMIFS(SIP[[#Headers],[Unit]]:SIP[[#This Row],[Unit]],SIP[[#Headers],[Investor ID]]:SIP[[#This Row],[Investor ID]],SIP[[#This Row],[Investor ID]])</f>
        <v>688</v>
      </c>
      <c r="P1654" s="153">
        <v>730</v>
      </c>
      <c r="Q1654" s="74">
        <f>SIP[[#This Row],[Amount]]-SIP[[#This Row],[Unit Capital]]</f>
        <v>270</v>
      </c>
      <c r="R16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13.081395348837209</v>
      </c>
      <c r="S1654" s="46">
        <f t="shared" si="77"/>
        <v>14.224</v>
      </c>
      <c r="T16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4" s="74" cm="1">
        <f t="array" ref="U1654">IF(SIP[[#This Row],[B/S]]="S",ABS(SIP[[#This Row],[Unit]])*(INDEX(SIP[NAV at Cost (Average)],MATCH(CONCATENATE((SIP[[#This Row],[Frequency]]-1),SIP[[#This Row],[Investor ID]]),SIP[Unique Code],0),0)),0)</f>
        <v>0</v>
      </c>
      <c r="V1654" s="74">
        <f>IF(SIP[[#This Row],[BO TRANSFER]]="YES",SIP[[#This Row],[Unit]],)</f>
        <v>0</v>
      </c>
      <c r="W1654" s="74">
        <f>SUMIFS(SIP[[#Headers],[BO UNIT TRANSFER]]:SIP[[#This Row],[BO UNIT TRANSFER]],SIP[[#Headers],[Investor ID]]:SIP[[#This Row],[Investor ID]],SIP[[#This Row],[Investor ID]])</f>
        <v>0</v>
      </c>
    </row>
    <row r="1655" spans="1:23" ht="15" customHeight="1">
      <c r="A1655" s="101">
        <v>2025</v>
      </c>
      <c r="B1655" s="101">
        <v>12</v>
      </c>
      <c r="C1655" s="101">
        <v>28</v>
      </c>
      <c r="D1655" s="65">
        <f>DATE(SIP[[#This Row],[Year]],SIP[[#This Row],[Month]],SIP[[#This Row],[Day]])</f>
        <v>46019</v>
      </c>
      <c r="E1655" s="66" t="str" cm="1">
        <f t="array" ref="E1655">INDEX(INVESTORS_LIST[INVESTOR NAME],MATCH(SIP[[#This Row],[Investor ID]],INVESTORS_LIST[INVESTOR CODE],0),)</f>
        <v>SUMAN SAHA</v>
      </c>
      <c r="F1655" s="46" t="s">
        <v>1022</v>
      </c>
      <c r="G1655" s="46">
        <f>COUNTIF(SIP[[#Headers],[Investor ID]]:SIP[[#This Row],[Investor ID]],SIP[[#This Row],[Investor ID]])</f>
        <v>31</v>
      </c>
      <c r="H1655" s="46" t="str">
        <f>CONCATENATE(SIP[[#This Row],[Frequency]],SIP[[#This Row],[Investor ID]])</f>
        <v>31A00488</v>
      </c>
      <c r="I1655" s="46" t="str">
        <f>IF(SIP[[#This Row],[B/S]]="B","BUY",(IF(SIP[[#This Row],[B/S]]="S","SELL"," ")))</f>
        <v>BUY</v>
      </c>
      <c r="J1655" s="150" t="s">
        <v>1229</v>
      </c>
      <c r="K1655" s="153">
        <v>5000</v>
      </c>
      <c r="L1655" s="122" t="s">
        <v>1230</v>
      </c>
      <c r="M1655" s="123">
        <f>SIP[[#This Row],[Amount]]/SIP[[#This Row],[Unit]]</f>
        <v>13.774104683195592</v>
      </c>
      <c r="N1655" s="71">
        <f>SIP[[#This Row],[Unit Capital]]/10</f>
        <v>363</v>
      </c>
      <c r="O1655" s="71">
        <f>SUMIFS(SIP[[#Headers],[Unit]]:SIP[[#This Row],[Unit]],SIP[[#Headers],[Investor ID]]:SIP[[#This Row],[Investor ID]],SIP[[#This Row],[Investor ID]])</f>
        <v>13341</v>
      </c>
      <c r="P1655" s="153">
        <v>3630</v>
      </c>
      <c r="Q1655" s="74">
        <f>SIP[[#This Row],[Amount]]-SIP[[#This Row],[Unit Capital]]</f>
        <v>1370</v>
      </c>
      <c r="R16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11.618319466306874</v>
      </c>
      <c r="S1655" s="46">
        <f t="shared" si="77"/>
        <v>14.224</v>
      </c>
      <c r="T16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5" s="74" cm="1">
        <f t="array" ref="U1655">IF(SIP[[#This Row],[B/S]]="S",ABS(SIP[[#This Row],[Unit]])*(INDEX(SIP[NAV at Cost (Average)],MATCH(CONCATENATE((SIP[[#This Row],[Frequency]]-1),SIP[[#This Row],[Investor ID]]),SIP[Unique Code],0),0)),0)</f>
        <v>0</v>
      </c>
      <c r="V1655" s="74">
        <f>IF(SIP[[#This Row],[BO TRANSFER]]="YES",SIP[[#This Row],[Unit]],)</f>
        <v>363</v>
      </c>
      <c r="W1655" s="74">
        <f>SUMIFS(SIP[[#Headers],[BO UNIT TRANSFER]]:SIP[[#This Row],[BO UNIT TRANSFER]],SIP[[#Headers],[Investor ID]]:SIP[[#This Row],[Investor ID]],SIP[[#This Row],[Investor ID]])</f>
        <v>363</v>
      </c>
    </row>
    <row r="1656" spans="1:23" ht="15" customHeight="1">
      <c r="A1656" s="101">
        <v>2025</v>
      </c>
      <c r="B1656" s="101">
        <v>12</v>
      </c>
      <c r="C1656" s="101">
        <v>28</v>
      </c>
      <c r="D1656" s="65">
        <f>DATE(SIP[[#This Row],[Year]],SIP[[#This Row],[Month]],SIP[[#This Row],[Day]])</f>
        <v>46019</v>
      </c>
      <c r="E1656" s="66" t="str" cm="1">
        <f t="array" ref="E1656">INDEX(INVESTORS_LIST[INVESTOR NAME],MATCH(SIP[[#This Row],[Investor ID]],INVESTORS_LIST[INVESTOR CODE],0),)</f>
        <v>MAYA RANI SAHA</v>
      </c>
      <c r="F1656" s="46" t="s">
        <v>224</v>
      </c>
      <c r="G1656" s="46">
        <f>COUNTIF(SIP[[#Headers],[Investor ID]]:SIP[[#This Row],[Investor ID]],SIP[[#This Row],[Investor ID]])</f>
        <v>79</v>
      </c>
      <c r="H1656" s="46" t="str">
        <f>CONCATENATE(SIP[[#This Row],[Frequency]],SIP[[#This Row],[Investor ID]])</f>
        <v>79A00088</v>
      </c>
      <c r="I1656" s="46" t="str">
        <f>IF(SIP[[#This Row],[B/S]]="B","BUY",(IF(SIP[[#This Row],[B/S]]="S","SELL"," ")))</f>
        <v>BUY</v>
      </c>
      <c r="J1656" s="150" t="s">
        <v>1229</v>
      </c>
      <c r="K1656" s="153">
        <v>20000</v>
      </c>
      <c r="L1656" s="122"/>
      <c r="M1656" s="123">
        <f>SIP[[#This Row],[Amount]]/SIP[[#This Row],[Unit]]</f>
        <v>13.764624913971094</v>
      </c>
      <c r="N1656" s="71">
        <f>SIP[[#This Row],[Unit Capital]]/10</f>
        <v>1453</v>
      </c>
      <c r="O1656" s="71">
        <f>SUMIFS(SIP[[#Headers],[Unit]]:SIP[[#This Row],[Unit]],SIP[[#Headers],[Investor ID]]:SIP[[#This Row],[Investor ID]],SIP[[#This Row],[Investor ID]])</f>
        <v>90601</v>
      </c>
      <c r="P1656" s="153">
        <v>14530</v>
      </c>
      <c r="Q1656" s="74">
        <f>SIP[[#This Row],[Amount]]-SIP[[#This Row],[Unit Capital]]</f>
        <v>5470</v>
      </c>
      <c r="R16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12.030772287281597</v>
      </c>
      <c r="S1656" s="46">
        <f t="shared" si="77"/>
        <v>14.224</v>
      </c>
      <c r="T16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6" s="74" cm="1">
        <f t="array" ref="U1656">IF(SIP[[#This Row],[B/S]]="S",ABS(SIP[[#This Row],[Unit]])*(INDEX(SIP[NAV at Cost (Average)],MATCH(CONCATENATE((SIP[[#This Row],[Frequency]]-1),SIP[[#This Row],[Investor ID]]),SIP[Unique Code],0),0)),0)</f>
        <v>0</v>
      </c>
      <c r="V1656" s="74">
        <f>IF(SIP[[#This Row],[BO TRANSFER]]="YES",SIP[[#This Row],[Unit]],)</f>
        <v>0</v>
      </c>
      <c r="W1656" s="74">
        <f>SUMIFS(SIP[[#Headers],[BO UNIT TRANSFER]]:SIP[[#This Row],[BO UNIT TRANSFER]],SIP[[#Headers],[Investor ID]]:SIP[[#This Row],[Investor ID]],SIP[[#This Row],[Investor ID]])</f>
        <v>0</v>
      </c>
    </row>
    <row r="1657" spans="1:23" ht="15" customHeight="1">
      <c r="A1657" s="101">
        <v>2025</v>
      </c>
      <c r="B1657" s="101">
        <v>12</v>
      </c>
      <c r="C1657" s="101">
        <v>28</v>
      </c>
      <c r="D1657" s="65">
        <f>DATE(SIP[[#This Row],[Year]],SIP[[#This Row],[Month]],SIP[[#This Row],[Day]])</f>
        <v>46019</v>
      </c>
      <c r="E1657" s="66" t="str" cm="1">
        <f t="array" ref="E1657">INDEX(INVESTORS_LIST[INVESTOR NAME],MATCH(SIP[[#This Row],[Investor ID]],INVESTORS_LIST[INVESTOR CODE],0),)</f>
        <v>EKUSH WEALTH MANAGEMENT LIMITED EMPLOYEES CONTRIBUTORY PROVIDENT FUND</v>
      </c>
      <c r="F1657" s="46" t="s">
        <v>831</v>
      </c>
      <c r="G1657" s="46">
        <f>COUNTIF(SIP[[#Headers],[Investor ID]]:SIP[[#This Row],[Investor ID]],SIP[[#This Row],[Investor ID]])</f>
        <v>23</v>
      </c>
      <c r="H1657" s="46" t="str">
        <f>CONCATENATE(SIP[[#This Row],[Frequency]],SIP[[#This Row],[Investor ID]])</f>
        <v>23A00392</v>
      </c>
      <c r="I1657" s="46" t="str">
        <f>IF(SIP[[#This Row],[B/S]]="B","BUY",(IF(SIP[[#This Row],[B/S]]="S","SELL"," ")))</f>
        <v>BUY</v>
      </c>
      <c r="J1657" s="150" t="s">
        <v>1229</v>
      </c>
      <c r="K1657" s="153">
        <v>10000</v>
      </c>
      <c r="L1657" s="122"/>
      <c r="M1657" s="123">
        <f>SIP[[#This Row],[Amount]]/SIP[[#This Row],[Unit]]</f>
        <v>13.774104683195592</v>
      </c>
      <c r="N1657" s="71">
        <f>SIP[[#This Row],[Unit Capital]]/10</f>
        <v>726</v>
      </c>
      <c r="O1657" s="71">
        <f>SUMIFS(SIP[[#Headers],[Unit]]:SIP[[#This Row],[Unit]],SIP[[#Headers],[Investor ID]]:SIP[[#This Row],[Investor ID]],SIP[[#This Row],[Investor ID]])</f>
        <v>726</v>
      </c>
      <c r="P1657" s="153">
        <v>7260</v>
      </c>
      <c r="Q1657" s="74">
        <f>SIP[[#This Row],[Amount]]-SIP[[#This Row],[Unit Capital]]</f>
        <v>2740</v>
      </c>
      <c r="R16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13.774104683195592</v>
      </c>
      <c r="S1657" s="46">
        <f t="shared" si="77"/>
        <v>14.224</v>
      </c>
      <c r="T16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7" s="74" cm="1">
        <f t="array" ref="U1657">IF(SIP[[#This Row],[B/S]]="S",ABS(SIP[[#This Row],[Unit]])*(INDEX(SIP[NAV at Cost (Average)],MATCH(CONCATENATE((SIP[[#This Row],[Frequency]]-1),SIP[[#This Row],[Investor ID]]),SIP[Unique Code],0),0)),0)</f>
        <v>0</v>
      </c>
      <c r="V1657" s="74">
        <f>IF(SIP[[#This Row],[BO TRANSFER]]="YES",SIP[[#This Row],[Unit]],)</f>
        <v>0</v>
      </c>
      <c r="W1657" s="74">
        <f>SUMIFS(SIP[[#Headers],[BO UNIT TRANSFER]]:SIP[[#This Row],[BO UNIT TRANSFER]],SIP[[#Headers],[Investor ID]]:SIP[[#This Row],[Investor ID]],SIP[[#This Row],[Investor ID]])</f>
        <v>0</v>
      </c>
    </row>
    <row r="1658" spans="1:23" ht="15" customHeight="1">
      <c r="A1658" s="101">
        <v>2025</v>
      </c>
      <c r="B1658" s="101">
        <v>12</v>
      </c>
      <c r="C1658" s="101">
        <v>28</v>
      </c>
      <c r="D1658" s="65">
        <f>DATE(SIP[[#This Row],[Year]],SIP[[#This Row],[Month]],SIP[[#This Row],[Day]])</f>
        <v>46019</v>
      </c>
      <c r="E1658" s="66" t="str" cm="1">
        <f t="array" ref="E1658">INDEX(INVESTORS_LIST[INVESTOR NAME],MATCH(SIP[[#This Row],[Investor ID]],INVESTORS_LIST[INVESTOR CODE],0),)</f>
        <v>BABITA RANI BARMAN</v>
      </c>
      <c r="F1658" s="46" t="s">
        <v>188</v>
      </c>
      <c r="G1658" s="46">
        <f>COUNTIF(SIP[[#Headers],[Investor ID]]:SIP[[#This Row],[Investor ID]],SIP[[#This Row],[Investor ID]])</f>
        <v>2</v>
      </c>
      <c r="H1658" s="46" t="str">
        <f>CONCATENATE(SIP[[#This Row],[Frequency]],SIP[[#This Row],[Investor ID]])</f>
        <v>2A00070</v>
      </c>
      <c r="I1658" s="46" t="str">
        <f>IF(SIP[[#This Row],[B/S]]="B","BUY",(IF(SIP[[#This Row],[B/S]]="S","SELL"," ")))</f>
        <v>BUY</v>
      </c>
      <c r="J1658" s="150" t="s">
        <v>1229</v>
      </c>
      <c r="K1658" s="153">
        <v>2000</v>
      </c>
      <c r="L1658" s="122"/>
      <c r="M1658" s="123">
        <f>SIP[[#This Row],[Amount]]/SIP[[#This Row],[Unit]]</f>
        <v>13.793103448275861</v>
      </c>
      <c r="N1658" s="71">
        <f>SIP[[#This Row],[Unit Capital]]/10</f>
        <v>145</v>
      </c>
      <c r="O1658" s="71">
        <f>SUMIFS(SIP[[#Headers],[Unit]]:SIP[[#This Row],[Unit]],SIP[[#Headers],[Investor ID]]:SIP[[#This Row],[Investor ID]],SIP[[#This Row],[Investor ID]])</f>
        <v>290</v>
      </c>
      <c r="P1658" s="153">
        <v>1450</v>
      </c>
      <c r="Q1658" s="74">
        <f>SIP[[#This Row],[Amount]]-SIP[[#This Row],[Unit Capital]]</f>
        <v>550</v>
      </c>
      <c r="R16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13.793103448275861</v>
      </c>
      <c r="S1658" s="46">
        <f t="shared" si="77"/>
        <v>14.224</v>
      </c>
      <c r="T16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8" s="74" cm="1">
        <f t="array" ref="U1658">IF(SIP[[#This Row],[B/S]]="S",ABS(SIP[[#This Row],[Unit]])*(INDEX(SIP[NAV at Cost (Average)],MATCH(CONCATENATE((SIP[[#This Row],[Frequency]]-1),SIP[[#This Row],[Investor ID]]),SIP[Unique Code],0),0)),0)</f>
        <v>0</v>
      </c>
      <c r="V1658" s="74">
        <f>IF(SIP[[#This Row],[BO TRANSFER]]="YES",SIP[[#This Row],[Unit]],)</f>
        <v>0</v>
      </c>
      <c r="W1658" s="74">
        <f>SUMIFS(SIP[[#Headers],[BO UNIT TRANSFER]]:SIP[[#This Row],[BO UNIT TRANSFER]],SIP[[#Headers],[Investor ID]]:SIP[[#This Row],[Investor ID]],SIP[[#This Row],[Investor ID]])</f>
        <v>0</v>
      </c>
    </row>
    <row r="1659" spans="1:23" ht="15" customHeight="1">
      <c r="A1659" s="101">
        <v>2025</v>
      </c>
      <c r="B1659" s="101">
        <v>12</v>
      </c>
      <c r="C1659" s="101">
        <v>28</v>
      </c>
      <c r="D1659" s="65">
        <f>DATE(SIP[[#This Row],[Year]],SIP[[#This Row],[Month]],SIP[[#This Row],[Day]])</f>
        <v>46019</v>
      </c>
      <c r="E1659" s="66" t="str" cm="1">
        <f t="array" ref="E1659">INDEX(INVESTORS_LIST[INVESTOR NAME],MATCH(SIP[[#This Row],[Investor ID]],INVESTORS_LIST[INVESTOR CODE],0),)</f>
        <v>MAHFUZUL ISLAM</v>
      </c>
      <c r="F1659" s="46" t="s">
        <v>473</v>
      </c>
      <c r="G1659" s="46">
        <f>COUNTIF(SIP[[#Headers],[Investor ID]]:SIP[[#This Row],[Investor ID]],SIP[[#This Row],[Investor ID]])</f>
        <v>17</v>
      </c>
      <c r="H1659" s="46" t="str">
        <f>CONCATENATE(SIP[[#This Row],[Frequency]],SIP[[#This Row],[Investor ID]])</f>
        <v>17A00212</v>
      </c>
      <c r="I1659" s="46" t="str">
        <f>IF(SIP[[#This Row],[B/S]]="B","BUY",(IF(SIP[[#This Row],[B/S]]="S","SELL"," ")))</f>
        <v>BUY</v>
      </c>
      <c r="J1659" s="150" t="s">
        <v>1229</v>
      </c>
      <c r="K1659" s="153">
        <v>3000</v>
      </c>
      <c r="L1659" s="122" t="s">
        <v>1230</v>
      </c>
      <c r="M1659" s="123">
        <f>SIP[[#This Row],[Amount]]/SIP[[#This Row],[Unit]]</f>
        <v>13.761467889908257</v>
      </c>
      <c r="N1659" s="71">
        <f>SIP[[#This Row],[Unit Capital]]/10</f>
        <v>218</v>
      </c>
      <c r="O1659" s="71">
        <f>SUMIFS(SIP[[#Headers],[Unit]]:SIP[[#This Row],[Unit]],SIP[[#Headers],[Investor ID]]:SIP[[#This Row],[Investor ID]],SIP[[#This Row],[Investor ID]])</f>
        <v>3063</v>
      </c>
      <c r="P1659" s="153">
        <v>2180</v>
      </c>
      <c r="Q1659" s="74">
        <f>SIP[[#This Row],[Amount]]-SIP[[#This Row],[Unit Capital]]</f>
        <v>820</v>
      </c>
      <c r="R16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12.079660463597781</v>
      </c>
      <c r="S1659" s="46">
        <f t="shared" si="77"/>
        <v>14.224</v>
      </c>
      <c r="T16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9" s="74" cm="1">
        <f t="array" ref="U1659">IF(SIP[[#This Row],[B/S]]="S",ABS(SIP[[#This Row],[Unit]])*(INDEX(SIP[NAV at Cost (Average)],MATCH(CONCATENATE((SIP[[#This Row],[Frequency]]-1),SIP[[#This Row],[Investor ID]]),SIP[Unique Code],0),0)),0)</f>
        <v>0</v>
      </c>
      <c r="V1659" s="74">
        <f>IF(SIP[[#This Row],[BO TRANSFER]]="YES",SIP[[#This Row],[Unit]],)</f>
        <v>218</v>
      </c>
      <c r="W1659" s="74">
        <f>SUMIFS(SIP[[#Headers],[BO UNIT TRANSFER]]:SIP[[#This Row],[BO UNIT TRANSFER]],SIP[[#Headers],[Investor ID]]:SIP[[#This Row],[Investor ID]],SIP[[#This Row],[Investor ID]])</f>
        <v>3063</v>
      </c>
    </row>
    <row r="1660" spans="1:23" ht="15" customHeight="1">
      <c r="A1660" s="101">
        <v>2025</v>
      </c>
      <c r="B1660" s="101">
        <v>12</v>
      </c>
      <c r="C1660" s="101">
        <v>28</v>
      </c>
      <c r="D1660" s="65">
        <f>DATE(SIP[[#This Row],[Year]],SIP[[#This Row],[Month]],SIP[[#This Row],[Day]])</f>
        <v>46019</v>
      </c>
      <c r="E1660" s="66" t="str" cm="1">
        <f t="array" ref="E1660">INDEX(INVESTORS_LIST[INVESTOR NAME],MATCH(SIP[[#This Row],[Investor ID]],INVESTORS_LIST[INVESTOR CODE],0),)</f>
        <v>JUBAIDA FARHANA HAQUE</v>
      </c>
      <c r="F1660" s="46" t="s">
        <v>1065</v>
      </c>
      <c r="G1660" s="46">
        <f>COUNTIF(SIP[[#Headers],[Investor ID]]:SIP[[#This Row],[Investor ID]],SIP[[#This Row],[Investor ID]])</f>
        <v>29</v>
      </c>
      <c r="H1660" s="46" t="str">
        <f>CONCATENATE(SIP[[#This Row],[Frequency]],SIP[[#This Row],[Investor ID]])</f>
        <v>29A00510</v>
      </c>
      <c r="I1660" s="46" t="str">
        <f>IF(SIP[[#This Row],[B/S]]="B","BUY",(IF(SIP[[#This Row],[B/S]]="S","SELL"," ")))</f>
        <v>BUY</v>
      </c>
      <c r="J1660" s="150" t="s">
        <v>1229</v>
      </c>
      <c r="K1660" s="153">
        <v>5000</v>
      </c>
      <c r="L1660" s="122"/>
      <c r="M1660" s="123">
        <f>SIP[[#This Row],[Amount]]/SIP[[#This Row],[Unit]]</f>
        <v>13.774104683195592</v>
      </c>
      <c r="N1660" s="71">
        <f>SIP[[#This Row],[Unit Capital]]/10</f>
        <v>363</v>
      </c>
      <c r="O1660" s="71">
        <f>SUMIFS(SIP[[#Headers],[Unit]]:SIP[[#This Row],[Unit]],SIP[[#Headers],[Investor ID]]:SIP[[#This Row],[Investor ID]],SIP[[#This Row],[Investor ID]])</f>
        <v>11417</v>
      </c>
      <c r="P1660" s="153">
        <v>3630</v>
      </c>
      <c r="Q1660" s="74">
        <f>SIP[[#This Row],[Amount]]-SIP[[#This Row],[Unit Capital]]</f>
        <v>1370</v>
      </c>
      <c r="R16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11.825853803158667</v>
      </c>
      <c r="S1660" s="46">
        <f t="shared" si="77"/>
        <v>14.224</v>
      </c>
      <c r="T16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0" s="74" cm="1">
        <f t="array" ref="U1660">IF(SIP[[#This Row],[B/S]]="S",ABS(SIP[[#This Row],[Unit]])*(INDEX(SIP[NAV at Cost (Average)],MATCH(CONCATENATE((SIP[[#This Row],[Frequency]]-1),SIP[[#This Row],[Investor ID]]),SIP[Unique Code],0),0)),0)</f>
        <v>0</v>
      </c>
      <c r="V1660" s="74">
        <f>IF(SIP[[#This Row],[BO TRANSFER]]="YES",SIP[[#This Row],[Unit]],)</f>
        <v>0</v>
      </c>
      <c r="W1660" s="74">
        <f>SUMIFS(SIP[[#Headers],[BO UNIT TRANSFER]]:SIP[[#This Row],[BO UNIT TRANSFER]],SIP[[#Headers],[Investor ID]]:SIP[[#This Row],[Investor ID]],SIP[[#This Row],[Investor ID]])</f>
        <v>0</v>
      </c>
    </row>
    <row r="1661" spans="1:23" ht="15" customHeight="1">
      <c r="A1661" s="101">
        <v>2025</v>
      </c>
      <c r="B1661" s="101">
        <v>12</v>
      </c>
      <c r="C1661" s="101">
        <v>28</v>
      </c>
      <c r="D1661" s="65">
        <f>DATE(SIP[[#This Row],[Year]],SIP[[#This Row],[Month]],SIP[[#This Row],[Day]])</f>
        <v>46019</v>
      </c>
      <c r="E1661" s="66" t="str" cm="1">
        <f t="array" ref="E1661">INDEX(INVESTORS_LIST[INVESTOR NAME],MATCH(SIP[[#This Row],[Investor ID]],INVESTORS_LIST[INVESTOR CODE],0),)</f>
        <v>RUMA AKTER</v>
      </c>
      <c r="F1661" s="46" t="s">
        <v>1323</v>
      </c>
      <c r="G1661" s="46">
        <f>COUNTIF(SIP[[#Headers],[Investor ID]]:SIP[[#This Row],[Investor ID]],SIP[[#This Row],[Investor ID]])</f>
        <v>14</v>
      </c>
      <c r="H1661" s="46" t="str">
        <f>CONCATENATE(SIP[[#This Row],[Frequency]],SIP[[#This Row],[Investor ID]])</f>
        <v>14A00608</v>
      </c>
      <c r="I1661" s="46" t="str">
        <f>IF(SIP[[#This Row],[B/S]]="B","BUY",(IF(SIP[[#This Row],[B/S]]="S","SELL"," ")))</f>
        <v>BUY</v>
      </c>
      <c r="J1661" s="150" t="s">
        <v>1229</v>
      </c>
      <c r="K1661" s="153">
        <v>1000</v>
      </c>
      <c r="L1661" s="122"/>
      <c r="M1661" s="123">
        <f>SIP[[#This Row],[Amount]]/SIP[[#This Row],[Unit]]</f>
        <v>13.698630136986301</v>
      </c>
      <c r="N1661" s="71">
        <f>SIP[[#This Row],[Unit Capital]]/10</f>
        <v>73</v>
      </c>
      <c r="O1661" s="71">
        <f>SUMIFS(SIP[[#Headers],[Unit]]:SIP[[#This Row],[Unit]],SIP[[#Headers],[Investor ID]]:SIP[[#This Row],[Investor ID]],SIP[[#This Row],[Investor ID]])</f>
        <v>1057</v>
      </c>
      <c r="P1661" s="153">
        <v>730</v>
      </c>
      <c r="Q1661" s="74">
        <f>SIP[[#This Row],[Amount]]-SIP[[#This Row],[Unit Capital]]</f>
        <v>270</v>
      </c>
      <c r="R16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13.245033112582776</v>
      </c>
      <c r="S1661" s="46">
        <f t="shared" si="77"/>
        <v>14.224</v>
      </c>
      <c r="T16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1" s="74" cm="1">
        <f t="array" ref="U1661">IF(SIP[[#This Row],[B/S]]="S",ABS(SIP[[#This Row],[Unit]])*(INDEX(SIP[NAV at Cost (Average)],MATCH(CONCATENATE((SIP[[#This Row],[Frequency]]-1),SIP[[#This Row],[Investor ID]]),SIP[Unique Code],0),0)),0)</f>
        <v>0</v>
      </c>
      <c r="V1661" s="74">
        <f>IF(SIP[[#This Row],[BO TRANSFER]]="YES",SIP[[#This Row],[Unit]],)</f>
        <v>0</v>
      </c>
      <c r="W1661" s="74">
        <f>SUMIFS(SIP[[#Headers],[BO UNIT TRANSFER]]:SIP[[#This Row],[BO UNIT TRANSFER]],SIP[[#Headers],[Investor ID]]:SIP[[#This Row],[Investor ID]],SIP[[#This Row],[Investor ID]])</f>
        <v>0</v>
      </c>
    </row>
    <row r="1662" spans="1:23" ht="15" customHeight="1">
      <c r="A1662" s="101">
        <v>2025</v>
      </c>
      <c r="B1662" s="101">
        <v>12</v>
      </c>
      <c r="C1662" s="101">
        <v>28</v>
      </c>
      <c r="D1662" s="65">
        <f>DATE(SIP[[#This Row],[Year]],SIP[[#This Row],[Month]],SIP[[#This Row],[Day]])</f>
        <v>46019</v>
      </c>
      <c r="E1662" s="66" t="str" cm="1">
        <f t="array" ref="E1662">INDEX(INVESTORS_LIST[INVESTOR NAME],MATCH(SIP[[#This Row],[Investor ID]],INVESTORS_LIST[INVESTOR CODE],0),)</f>
        <v>MAYA RANI SAHA</v>
      </c>
      <c r="F1662" s="46" t="s">
        <v>224</v>
      </c>
      <c r="G1662" s="46">
        <f>COUNTIF(SIP[[#Headers],[Investor ID]]:SIP[[#This Row],[Investor ID]],SIP[[#This Row],[Investor ID]])</f>
        <v>80</v>
      </c>
      <c r="H1662" s="46" t="str">
        <f>CONCATENATE(SIP[[#This Row],[Frequency]],SIP[[#This Row],[Investor ID]])</f>
        <v>80A00088</v>
      </c>
      <c r="I1662" s="46" t="str">
        <f>IF(SIP[[#This Row],[B/S]]="B","BUY",(IF(SIP[[#This Row],[B/S]]="S","SELL"," ")))</f>
        <v>BUY</v>
      </c>
      <c r="J1662" s="150" t="s">
        <v>1229</v>
      </c>
      <c r="K1662" s="153">
        <v>6000</v>
      </c>
      <c r="L1662" s="122"/>
      <c r="M1662" s="123">
        <f>SIP[[#This Row],[Amount]]/SIP[[#This Row],[Unit]]</f>
        <v>13.761467889908257</v>
      </c>
      <c r="N1662" s="71">
        <f>SIP[[#This Row],[Unit Capital]]/10</f>
        <v>436</v>
      </c>
      <c r="O1662" s="71">
        <f>SUMIFS(SIP[[#Headers],[Unit]]:SIP[[#This Row],[Unit]],SIP[[#Headers],[Investor ID]]:SIP[[#This Row],[Investor ID]],SIP[[#This Row],[Investor ID]])</f>
        <v>91037</v>
      </c>
      <c r="P1662" s="153">
        <v>4360</v>
      </c>
      <c r="Q1662" s="74">
        <f>SIP[[#This Row],[Amount]]-SIP[[#This Row],[Unit Capital]]</f>
        <v>1640</v>
      </c>
      <c r="R16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12.039061041115151</v>
      </c>
      <c r="S1662" s="46">
        <f t="shared" si="77"/>
        <v>14.224</v>
      </c>
      <c r="T16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2" s="74" cm="1">
        <f t="array" ref="U1662">IF(SIP[[#This Row],[B/S]]="S",ABS(SIP[[#This Row],[Unit]])*(INDEX(SIP[NAV at Cost (Average)],MATCH(CONCATENATE((SIP[[#This Row],[Frequency]]-1),SIP[[#This Row],[Investor ID]]),SIP[Unique Code],0),0)),0)</f>
        <v>0</v>
      </c>
      <c r="V1662" s="74">
        <f>IF(SIP[[#This Row],[BO TRANSFER]]="YES",SIP[[#This Row],[Unit]],)</f>
        <v>0</v>
      </c>
      <c r="W1662" s="74">
        <f>SUMIFS(SIP[[#Headers],[BO UNIT TRANSFER]]:SIP[[#This Row],[BO UNIT TRANSFER]],SIP[[#Headers],[Investor ID]]:SIP[[#This Row],[Investor ID]],SIP[[#This Row],[Investor ID]])</f>
        <v>0</v>
      </c>
    </row>
    <row r="1663" spans="1:23" ht="15" customHeight="1">
      <c r="A1663" s="101">
        <v>2025</v>
      </c>
      <c r="B1663" s="101">
        <v>12</v>
      </c>
      <c r="C1663" s="101">
        <v>28</v>
      </c>
      <c r="D1663" s="65">
        <f>DATE(SIP[[#This Row],[Year]],SIP[[#This Row],[Month]],SIP[[#This Row],[Day]])</f>
        <v>46019</v>
      </c>
      <c r="E1663" s="66" t="str" cm="1">
        <f t="array" ref="E1663">INDEX(INVESTORS_LIST[INVESTOR NAME],MATCH(SIP[[#This Row],[Investor ID]],INVESTORS_LIST[INVESTOR CODE],0),)</f>
        <v>SWADESH RANJAN SAHA</v>
      </c>
      <c r="F1663" s="46" t="s">
        <v>234</v>
      </c>
      <c r="G1663" s="46">
        <f>COUNTIF(SIP[[#Headers],[Investor ID]]:SIP[[#This Row],[Investor ID]],SIP[[#This Row],[Investor ID]])</f>
        <v>13</v>
      </c>
      <c r="H1663" s="46" t="str">
        <f>CONCATENATE(SIP[[#This Row],[Frequency]],SIP[[#This Row],[Investor ID]])</f>
        <v>13A00093</v>
      </c>
      <c r="I1663" s="46" t="str">
        <f>IF(SIP[[#This Row],[B/S]]="B","BUY",(IF(SIP[[#This Row],[B/S]]="S","SELL"," ")))</f>
        <v>BUY</v>
      </c>
      <c r="J1663" s="150" t="s">
        <v>1229</v>
      </c>
      <c r="K1663" s="153">
        <v>50000</v>
      </c>
      <c r="L1663" s="122"/>
      <c r="M1663" s="123">
        <f>SIP[[#This Row],[Amount]]/SIP[[#This Row],[Unit]]</f>
        <v>13.766519823788546</v>
      </c>
      <c r="N1663" s="71">
        <f>SIP[[#This Row],[Unit Capital]]/10</f>
        <v>3632</v>
      </c>
      <c r="O1663" s="71">
        <f>SUMIFS(SIP[[#Headers],[Unit]]:SIP[[#This Row],[Unit]],SIP[[#Headers],[Investor ID]]:SIP[[#This Row],[Investor ID]],SIP[[#This Row],[Investor ID]])</f>
        <v>50765</v>
      </c>
      <c r="P1663" s="153">
        <v>36320</v>
      </c>
      <c r="Q1663" s="74">
        <f>SIP[[#This Row],[Amount]]-SIP[[#This Row],[Unit Capital]]</f>
        <v>13680</v>
      </c>
      <c r="R16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12.804097311139566</v>
      </c>
      <c r="S1663" s="46">
        <f t="shared" si="77"/>
        <v>14.224</v>
      </c>
      <c r="T16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3" s="74" cm="1">
        <f t="array" ref="U1663">IF(SIP[[#This Row],[B/S]]="S",ABS(SIP[[#This Row],[Unit]])*(INDEX(SIP[NAV at Cost (Average)],MATCH(CONCATENATE((SIP[[#This Row],[Frequency]]-1),SIP[[#This Row],[Investor ID]]),SIP[Unique Code],0),0)),0)</f>
        <v>0</v>
      </c>
      <c r="V1663" s="74">
        <f>IF(SIP[[#This Row],[BO TRANSFER]]="YES",SIP[[#This Row],[Unit]],)</f>
        <v>0</v>
      </c>
      <c r="W1663" s="74">
        <f>SUMIFS(SIP[[#Headers],[BO UNIT TRANSFER]]:SIP[[#This Row],[BO UNIT TRANSFER]],SIP[[#Headers],[Investor ID]]:SIP[[#This Row],[Investor ID]],SIP[[#This Row],[Investor ID]])</f>
        <v>0</v>
      </c>
    </row>
    <row r="1664" spans="1:23" ht="15" customHeight="1">
      <c r="A1664" s="101">
        <v>2025</v>
      </c>
      <c r="B1664" s="101">
        <v>12</v>
      </c>
      <c r="C1664" s="101">
        <v>28</v>
      </c>
      <c r="D1664" s="65">
        <f>DATE(SIP[[#This Row],[Year]],SIP[[#This Row],[Month]],SIP[[#This Row],[Day]])</f>
        <v>46019</v>
      </c>
      <c r="E1664" s="66" t="str" cm="1">
        <f t="array" ref="E1664">INDEX(INVESTORS_LIST[INVESTOR NAME],MATCH(SIP[[#This Row],[Investor ID]],INVESTORS_LIST[INVESTOR CODE],0),)</f>
        <v>MAHBUB-UL-ANAM KHAN</v>
      </c>
      <c r="F1664" s="46" t="s">
        <v>626</v>
      </c>
      <c r="G1664" s="46">
        <f>COUNTIF(SIP[[#Headers],[Investor ID]]:SIP[[#This Row],[Investor ID]],SIP[[#This Row],[Investor ID]])</f>
        <v>17</v>
      </c>
      <c r="H1664" s="46" t="str">
        <f>CONCATENATE(SIP[[#This Row],[Frequency]],SIP[[#This Row],[Investor ID]])</f>
        <v>17A00289</v>
      </c>
      <c r="I1664" s="46" t="str">
        <f>IF(SIP[[#This Row],[B/S]]="B","BUY",(IF(SIP[[#This Row],[B/S]]="S","SELL"," ")))</f>
        <v>BUY</v>
      </c>
      <c r="J1664" s="150" t="s">
        <v>1229</v>
      </c>
      <c r="K1664" s="153">
        <v>5000</v>
      </c>
      <c r="L1664" s="122"/>
      <c r="M1664" s="123">
        <f>SIP[[#This Row],[Amount]]/SIP[[#This Row],[Unit]]</f>
        <v>13.774104683195592</v>
      </c>
      <c r="N1664" s="71">
        <f>SIP[[#This Row],[Unit Capital]]/10</f>
        <v>363</v>
      </c>
      <c r="O1664" s="71">
        <f>SUMIFS(SIP[[#Headers],[Unit]]:SIP[[#This Row],[Unit]],SIP[[#Headers],[Investor ID]]:SIP[[#This Row],[Investor ID]],SIP[[#This Row],[Investor ID]])</f>
        <v>6813</v>
      </c>
      <c r="P1664" s="153">
        <v>3630</v>
      </c>
      <c r="Q1664" s="74">
        <f>SIP[[#This Row],[Amount]]-SIP[[#This Row],[Unit Capital]]</f>
        <v>1370</v>
      </c>
      <c r="R16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12.476148539556728</v>
      </c>
      <c r="S1664" s="46">
        <f t="shared" si="77"/>
        <v>14.224</v>
      </c>
      <c r="T16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4" s="74" cm="1">
        <f t="array" ref="U1664">IF(SIP[[#This Row],[B/S]]="S",ABS(SIP[[#This Row],[Unit]])*(INDEX(SIP[NAV at Cost (Average)],MATCH(CONCATENATE((SIP[[#This Row],[Frequency]]-1),SIP[[#This Row],[Investor ID]]),SIP[Unique Code],0),0)),0)</f>
        <v>0</v>
      </c>
      <c r="V1664" s="74">
        <f>IF(SIP[[#This Row],[BO TRANSFER]]="YES",SIP[[#This Row],[Unit]],)</f>
        <v>0</v>
      </c>
      <c r="W1664" s="74">
        <f>SUMIFS(SIP[[#Headers],[BO UNIT TRANSFER]]:SIP[[#This Row],[BO UNIT TRANSFER]],SIP[[#Headers],[Investor ID]]:SIP[[#This Row],[Investor ID]],SIP[[#This Row],[Investor ID]])</f>
        <v>0</v>
      </c>
    </row>
    <row r="1665" spans="1:23" ht="15" customHeight="1">
      <c r="A1665" s="101">
        <v>2025</v>
      </c>
      <c r="B1665" s="101">
        <v>12</v>
      </c>
      <c r="C1665" s="101">
        <v>28</v>
      </c>
      <c r="D1665" s="65">
        <f>DATE(SIP[[#This Row],[Year]],SIP[[#This Row],[Month]],SIP[[#This Row],[Day]])</f>
        <v>46019</v>
      </c>
      <c r="E1665" s="66" t="str" cm="1">
        <f t="array" ref="E1665">INDEX(INVESTORS_LIST[INVESTOR NAME],MATCH(SIP[[#This Row],[Investor ID]],INVESTORS_LIST[INVESTOR CODE],0),)</f>
        <v>SYED ADNAN HUDA</v>
      </c>
      <c r="F1665" s="46" t="s">
        <v>236</v>
      </c>
      <c r="G1665" s="46">
        <f>COUNTIF(SIP[[#Headers],[Investor ID]]:SIP[[#This Row],[Investor ID]],SIP[[#This Row],[Investor ID]])</f>
        <v>19</v>
      </c>
      <c r="H1665" s="46" t="str">
        <f>CONCATENATE(SIP[[#This Row],[Frequency]],SIP[[#This Row],[Investor ID]])</f>
        <v>19A00094</v>
      </c>
      <c r="I1665" s="46" t="str">
        <f>IF(SIP[[#This Row],[B/S]]="B","BUY",(IF(SIP[[#This Row],[B/S]]="S","SELL"," ")))</f>
        <v>BUY</v>
      </c>
      <c r="J1665" s="150" t="s">
        <v>1229</v>
      </c>
      <c r="K1665" s="153">
        <v>50000</v>
      </c>
      <c r="L1665" s="122"/>
      <c r="M1665" s="123">
        <f>SIP[[#This Row],[Amount]]/SIP[[#This Row],[Unit]]</f>
        <v>13.766519823788546</v>
      </c>
      <c r="N1665" s="71">
        <f>SIP[[#This Row],[Unit Capital]]/10</f>
        <v>3632</v>
      </c>
      <c r="O1665" s="71">
        <f>SUMIFS(SIP[[#Headers],[Unit]]:SIP[[#This Row],[Unit]],SIP[[#Headers],[Investor ID]]:SIP[[#This Row],[Investor ID]],SIP[[#This Row],[Investor ID]])</f>
        <v>14624</v>
      </c>
      <c r="P1665" s="153">
        <v>36320</v>
      </c>
      <c r="Q1665" s="74">
        <f>SIP[[#This Row],[Amount]]-SIP[[#This Row],[Unit Capital]]</f>
        <v>13680</v>
      </c>
      <c r="R16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13.676148796498907</v>
      </c>
      <c r="S1665" s="46">
        <f t="shared" si="77"/>
        <v>14.224</v>
      </c>
      <c r="T16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5" s="74" cm="1">
        <f t="array" ref="U1665">IF(SIP[[#This Row],[B/S]]="S",ABS(SIP[[#This Row],[Unit]])*(INDEX(SIP[NAV at Cost (Average)],MATCH(CONCATENATE((SIP[[#This Row],[Frequency]]-1),SIP[[#This Row],[Investor ID]]),SIP[Unique Code],0),0)),0)</f>
        <v>0</v>
      </c>
      <c r="V1665" s="74">
        <f>IF(SIP[[#This Row],[BO TRANSFER]]="YES",SIP[[#This Row],[Unit]],)</f>
        <v>0</v>
      </c>
      <c r="W1665" s="74">
        <f>SUMIFS(SIP[[#Headers],[BO UNIT TRANSFER]]:SIP[[#This Row],[BO UNIT TRANSFER]],SIP[[#Headers],[Investor ID]]:SIP[[#This Row],[Investor ID]],SIP[[#This Row],[Investor ID]])</f>
        <v>0</v>
      </c>
    </row>
    <row r="1666" spans="1:23" ht="15" customHeight="1">
      <c r="A1666" s="101">
        <v>2025</v>
      </c>
      <c r="B1666" s="101">
        <v>12</v>
      </c>
      <c r="C1666" s="101">
        <v>28</v>
      </c>
      <c r="D1666" s="65">
        <f>DATE(SIP[[#This Row],[Year]],SIP[[#This Row],[Month]],SIP[[#This Row],[Day]])</f>
        <v>46019</v>
      </c>
      <c r="E1666" s="66" t="str" cm="1">
        <f t="array" ref="E1666">INDEX(INVESTORS_LIST[INVESTOR NAME],MATCH(SIP[[#This Row],[Investor ID]],INVESTORS_LIST[INVESTOR CODE],0),)</f>
        <v>BALARAM CHANDRA SAHA</v>
      </c>
      <c r="F1666" s="46" t="s">
        <v>505</v>
      </c>
      <c r="G1666" s="46">
        <f>COUNTIF(SIP[[#Headers],[Investor ID]]:SIP[[#This Row],[Investor ID]],SIP[[#This Row],[Investor ID]])</f>
        <v>9</v>
      </c>
      <c r="H1666" s="46" t="str">
        <f>CONCATENATE(SIP[[#This Row],[Frequency]],SIP[[#This Row],[Investor ID]])</f>
        <v>9A00228</v>
      </c>
      <c r="I1666" s="46" t="str">
        <f>IF(SIP[[#This Row],[B/S]]="B","BUY",(IF(SIP[[#This Row],[B/S]]="S","SELL"," ")))</f>
        <v>BUY</v>
      </c>
      <c r="J1666" s="150" t="s">
        <v>1229</v>
      </c>
      <c r="K1666" s="153">
        <v>25000</v>
      </c>
      <c r="L1666" s="122"/>
      <c r="M1666" s="123">
        <f>SIP[[#This Row],[Amount]]/SIP[[#This Row],[Unit]]</f>
        <v>13.766519823788546</v>
      </c>
      <c r="N1666" s="71">
        <f>SIP[[#This Row],[Unit Capital]]/10</f>
        <v>1816</v>
      </c>
      <c r="O1666" s="71">
        <f>SUMIFS(SIP[[#Headers],[Unit]]:SIP[[#This Row],[Unit]],SIP[[#Headers],[Investor ID]]:SIP[[#This Row],[Investor ID]],SIP[[#This Row],[Investor ID]])</f>
        <v>19193</v>
      </c>
      <c r="P1666" s="153">
        <v>18160</v>
      </c>
      <c r="Q1666" s="74">
        <f>SIP[[#This Row],[Amount]]-SIP[[#This Row],[Unit Capital]]</f>
        <v>6840</v>
      </c>
      <c r="R16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13.025582243526285</v>
      </c>
      <c r="S1666" s="46">
        <f t="shared" si="77"/>
        <v>14.224</v>
      </c>
      <c r="T16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6" s="74" cm="1">
        <f t="array" ref="U1666">IF(SIP[[#This Row],[B/S]]="S",ABS(SIP[[#This Row],[Unit]])*(INDEX(SIP[NAV at Cost (Average)],MATCH(CONCATENATE((SIP[[#This Row],[Frequency]]-1),SIP[[#This Row],[Investor ID]]),SIP[Unique Code],0),0)),0)</f>
        <v>0</v>
      </c>
      <c r="V1666" s="74">
        <f>IF(SIP[[#This Row],[BO TRANSFER]]="YES",SIP[[#This Row],[Unit]],)</f>
        <v>0</v>
      </c>
      <c r="W1666" s="74">
        <f>SUMIFS(SIP[[#Headers],[BO UNIT TRANSFER]]:SIP[[#This Row],[BO UNIT TRANSFER]],SIP[[#Headers],[Investor ID]]:SIP[[#This Row],[Investor ID]],SIP[[#This Row],[Investor ID]])</f>
        <v>0</v>
      </c>
    </row>
    <row r="1667" spans="1:23" ht="15" customHeight="1">
      <c r="A1667" s="101">
        <v>2025</v>
      </c>
      <c r="B1667" s="101">
        <v>12</v>
      </c>
      <c r="C1667" s="101">
        <v>28</v>
      </c>
      <c r="D1667" s="65">
        <f>DATE(SIP[[#This Row],[Year]],SIP[[#This Row],[Month]],SIP[[#This Row],[Day]])</f>
        <v>46019</v>
      </c>
      <c r="E1667" s="66" t="str" cm="1">
        <f t="array" ref="E1667">INDEX(INVESTORS_LIST[INVESTOR NAME],MATCH(SIP[[#This Row],[Investor ID]],INVESTORS_LIST[INVESTOR CODE],0),)</f>
        <v>MD ABDULLAH-AL- MAMUN</v>
      </c>
      <c r="F1667" s="46" t="s">
        <v>533</v>
      </c>
      <c r="G1667" s="46">
        <f>COUNTIF(SIP[[#Headers],[Investor ID]]:SIP[[#This Row],[Investor ID]],SIP[[#This Row],[Investor ID]])</f>
        <v>35</v>
      </c>
      <c r="H1667" s="46" t="str">
        <f>CONCATENATE(SIP[[#This Row],[Frequency]],SIP[[#This Row],[Investor ID]])</f>
        <v>35A00242</v>
      </c>
      <c r="I1667" s="46" t="str">
        <f>IF(SIP[[#This Row],[B/S]]="B","BUY",(IF(SIP[[#This Row],[B/S]]="S","SELL"," ")))</f>
        <v>BUY</v>
      </c>
      <c r="J1667" s="150" t="s">
        <v>1229</v>
      </c>
      <c r="K1667" s="153">
        <v>10000</v>
      </c>
      <c r="L1667" s="122"/>
      <c r="M1667" s="123">
        <f>SIP[[#This Row],[Amount]]/SIP[[#This Row],[Unit]]</f>
        <v>13.774104683195592</v>
      </c>
      <c r="N1667" s="71">
        <f>SIP[[#This Row],[Unit Capital]]/10</f>
        <v>726</v>
      </c>
      <c r="O1667" s="71">
        <f>SUMIFS(SIP[[#Headers],[Unit]]:SIP[[#This Row],[Unit]],SIP[[#Headers],[Investor ID]]:SIP[[#This Row],[Investor ID]],SIP[[#This Row],[Investor ID]])</f>
        <v>9281</v>
      </c>
      <c r="P1667" s="153">
        <v>7260</v>
      </c>
      <c r="Q1667" s="74">
        <f>SIP[[#This Row],[Amount]]-SIP[[#This Row],[Unit Capital]]</f>
        <v>2740</v>
      </c>
      <c r="R16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13.248100243657895</v>
      </c>
      <c r="S1667" s="46">
        <f t="shared" si="77"/>
        <v>14.224</v>
      </c>
      <c r="T16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7" s="74" cm="1">
        <f t="array" ref="U1667">IF(SIP[[#This Row],[B/S]]="S",ABS(SIP[[#This Row],[Unit]])*(INDEX(SIP[NAV at Cost (Average)],MATCH(CONCATENATE((SIP[[#This Row],[Frequency]]-1),SIP[[#This Row],[Investor ID]]),SIP[Unique Code],0),0)),0)</f>
        <v>0</v>
      </c>
      <c r="V1667" s="74">
        <f>IF(SIP[[#This Row],[BO TRANSFER]]="YES",SIP[[#This Row],[Unit]],)</f>
        <v>0</v>
      </c>
      <c r="W1667" s="74">
        <f>SUMIFS(SIP[[#Headers],[BO UNIT TRANSFER]]:SIP[[#This Row],[BO UNIT TRANSFER]],SIP[[#Headers],[Investor ID]]:SIP[[#This Row],[Investor ID]],SIP[[#This Row],[Investor ID]])</f>
        <v>0</v>
      </c>
    </row>
    <row r="1668" spans="1:23" ht="15" customHeight="1">
      <c r="A1668" s="101">
        <v>2025</v>
      </c>
      <c r="B1668" s="101">
        <v>12</v>
      </c>
      <c r="C1668" s="101">
        <v>28</v>
      </c>
      <c r="D1668" s="65">
        <f>DATE(SIP[[#This Row],[Year]],SIP[[#This Row],[Month]],SIP[[#This Row],[Day]])</f>
        <v>46019</v>
      </c>
      <c r="E1668" s="66" t="str" cm="1">
        <f t="array" ref="E1668">INDEX(INVESTORS_LIST[INVESTOR NAME],MATCH(SIP[[#This Row],[Investor ID]],INVESTORS_LIST[INVESTOR CODE],0),)</f>
        <v>MST. GOLENUR</v>
      </c>
      <c r="F1668" s="46" t="s">
        <v>1075</v>
      </c>
      <c r="G1668" s="46">
        <f>COUNTIF(SIP[[#Headers],[Investor ID]]:SIP[[#This Row],[Investor ID]],SIP[[#This Row],[Investor ID]])</f>
        <v>14</v>
      </c>
      <c r="H1668" s="46" t="str">
        <f>CONCATENATE(SIP[[#This Row],[Frequency]],SIP[[#This Row],[Investor ID]])</f>
        <v>14A00515</v>
      </c>
      <c r="I1668" s="46" t="str">
        <f>IF(SIP[[#This Row],[B/S]]="B","BUY",(IF(SIP[[#This Row],[B/S]]="S","SELL"," ")))</f>
        <v>BUY</v>
      </c>
      <c r="J1668" s="150" t="s">
        <v>1229</v>
      </c>
      <c r="K1668" s="153">
        <v>4000</v>
      </c>
      <c r="L1668" s="122"/>
      <c r="M1668" s="123">
        <f>SIP[[#This Row],[Amount]]/SIP[[#This Row],[Unit]]</f>
        <v>13.745704467353951</v>
      </c>
      <c r="N1668" s="71">
        <f>SIP[[#This Row],[Unit Capital]]/10</f>
        <v>291</v>
      </c>
      <c r="O1668" s="71">
        <f>SUMIFS(SIP[[#Headers],[Unit]]:SIP[[#This Row],[Unit]],SIP[[#Headers],[Investor ID]]:SIP[[#This Row],[Investor ID]],SIP[[#This Row],[Investor ID]])</f>
        <v>2603</v>
      </c>
      <c r="P1668" s="153">
        <v>2910</v>
      </c>
      <c r="Q1668" s="74">
        <f>SIP[[#This Row],[Amount]]-SIP[[#This Row],[Unit Capital]]</f>
        <v>1090</v>
      </c>
      <c r="R16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13.061851709565886</v>
      </c>
      <c r="S1668" s="46">
        <f t="shared" si="77"/>
        <v>14.224</v>
      </c>
      <c r="T16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8" s="74" cm="1">
        <f t="array" ref="U1668">IF(SIP[[#This Row],[B/S]]="S",ABS(SIP[[#This Row],[Unit]])*(INDEX(SIP[NAV at Cost (Average)],MATCH(CONCATENATE((SIP[[#This Row],[Frequency]]-1),SIP[[#This Row],[Investor ID]]),SIP[Unique Code],0),0)),0)</f>
        <v>0</v>
      </c>
      <c r="V1668" s="74">
        <f>IF(SIP[[#This Row],[BO TRANSFER]]="YES",SIP[[#This Row],[Unit]],)</f>
        <v>0</v>
      </c>
      <c r="W1668" s="74">
        <f>SUMIFS(SIP[[#Headers],[BO UNIT TRANSFER]]:SIP[[#This Row],[BO UNIT TRANSFER]],SIP[[#Headers],[Investor ID]]:SIP[[#This Row],[Investor ID]],SIP[[#This Row],[Investor ID]])</f>
        <v>0</v>
      </c>
    </row>
    <row r="1669" spans="1:23" ht="15" customHeight="1">
      <c r="A1669" s="101">
        <v>2025</v>
      </c>
      <c r="B1669" s="101">
        <v>12</v>
      </c>
      <c r="C1669" s="101">
        <v>29</v>
      </c>
      <c r="D1669" s="65">
        <f>DATE(SIP[[#This Row],[Year]],SIP[[#This Row],[Month]],SIP[[#This Row],[Day]])</f>
        <v>46020</v>
      </c>
      <c r="E1669" s="66" t="str" cm="1">
        <f t="array" ref="E1669">INDEX(INVESTORS_LIST[INVESTOR NAME],MATCH(SIP[[#This Row],[Investor ID]],INVESTORS_LIST[INVESTOR CODE],0),)</f>
        <v>SHAPNA RANI BARMAN</v>
      </c>
      <c r="F1669" s="46" t="s">
        <v>1292</v>
      </c>
      <c r="G1669" s="46">
        <f>COUNTIF(SIP[[#Headers],[Investor ID]]:SIP[[#This Row],[Investor ID]],SIP[[#This Row],[Investor ID]])</f>
        <v>15</v>
      </c>
      <c r="H1669" s="46" t="str">
        <f>CONCATENATE(SIP[[#This Row],[Frequency]],SIP[[#This Row],[Investor ID]])</f>
        <v>15A00593</v>
      </c>
      <c r="I1669" s="46" t="str">
        <f>IF(SIP[[#This Row],[B/S]]="B","BUY",(IF(SIP[[#This Row],[B/S]]="S","SELL"," ")))</f>
        <v>SELL</v>
      </c>
      <c r="J1669" s="150" t="s">
        <v>1231</v>
      </c>
      <c r="K1669" s="152">
        <v>-1000</v>
      </c>
      <c r="L1669" s="122"/>
      <c r="M1669" s="123">
        <f>SIP[[#This Row],[Amount]]/SIP[[#This Row],[Unit]]</f>
        <v>13.698630136986301</v>
      </c>
      <c r="N1669" s="71">
        <f>SIP[[#This Row],[Unit Capital]]/10</f>
        <v>-73</v>
      </c>
      <c r="O1669" s="71">
        <f>SUMIFS(SIP[[#Headers],[Unit]]:SIP[[#This Row],[Unit]],SIP[[#Headers],[Investor ID]]:SIP[[#This Row],[Investor ID]],SIP[[#This Row],[Investor ID]])</f>
        <v>1030</v>
      </c>
      <c r="P1669" s="153">
        <v>-730</v>
      </c>
      <c r="Q1669" s="74">
        <f>SIP[[#This Row],[Amount]]-SIP[[#This Row],[Unit Capital]]</f>
        <v>-270</v>
      </c>
      <c r="R16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12.69265639165911</v>
      </c>
      <c r="S1669" s="46">
        <f t="shared" ref="S1669:S1674" si="78">NAV_MKT</f>
        <v>14.224</v>
      </c>
      <c r="T1669" s="74">
        <f>IF(SIP[[#This Row],[B/S]]="B",0,ABS(SIP[[#This Row],[Unit]])*(SIP[[#This Row],[NAV (Strike Rate)]]-INDEX(SIP[NAV at Cost (Average)],MATCH(CONCATENATE(SIP[[#This Row],[Frequency]]-1,SIP[[#This Row],[Investor ID]]),SIP[Unique Code],0),)))</f>
        <v>73.436083408884954</v>
      </c>
      <c r="U1669" s="74" cm="1">
        <f t="array" ref="U1669">IF(SIP[[#This Row],[B/S]]="S",ABS(SIP[[#This Row],[Unit]])*(INDEX(SIP[NAV at Cost (Average)],MATCH(CONCATENATE((SIP[[#This Row],[Frequency]]-1),SIP[[#This Row],[Investor ID]]),SIP[Unique Code],0),0)),0)</f>
        <v>926.563916591115</v>
      </c>
      <c r="V1669" s="74">
        <f>IF(SIP[[#This Row],[BO TRANSFER]]="YES",SIP[[#This Row],[Unit]],)</f>
        <v>0</v>
      </c>
      <c r="W1669" s="74">
        <f>SUMIFS(SIP[[#Headers],[BO UNIT TRANSFER]]:SIP[[#This Row],[BO UNIT TRANSFER]],SIP[[#Headers],[Investor ID]]:SIP[[#This Row],[Investor ID]],SIP[[#This Row],[Investor ID]])</f>
        <v>0</v>
      </c>
    </row>
    <row r="1670" spans="1:23" ht="15" customHeight="1">
      <c r="A1670" s="101">
        <v>2025</v>
      </c>
      <c r="B1670" s="101">
        <v>12</v>
      </c>
      <c r="C1670" s="101">
        <v>29</v>
      </c>
      <c r="D1670" s="65">
        <f>DATE(SIP[[#This Row],[Year]],SIP[[#This Row],[Month]],SIP[[#This Row],[Day]])</f>
        <v>46020</v>
      </c>
      <c r="E1670" s="66" t="str" cm="1">
        <f t="array" ref="E1670">INDEX(INVESTORS_LIST[INVESTOR NAME],MATCH(SIP[[#This Row],[Investor ID]],INVESTORS_LIST[INVESTOR CODE],0),)</f>
        <v>MRINMOY GHOSH</v>
      </c>
      <c r="F1670" s="46" t="s">
        <v>69</v>
      </c>
      <c r="G1670" s="46">
        <f>COUNTIF(SIP[[#Headers],[Investor ID]]:SIP[[#This Row],[Investor ID]],SIP[[#This Row],[Investor ID]])</f>
        <v>22</v>
      </c>
      <c r="H1670" s="46" t="str">
        <f>CONCATENATE(SIP[[#This Row],[Frequency]],SIP[[#This Row],[Investor ID]])</f>
        <v>22A00012</v>
      </c>
      <c r="I1670" s="46" t="str">
        <f>IF(SIP[[#This Row],[B/S]]="B","BUY",(IF(SIP[[#This Row],[B/S]]="S","SELL"," ")))</f>
        <v>SELL</v>
      </c>
      <c r="J1670" s="150" t="s">
        <v>1231</v>
      </c>
      <c r="K1670" s="152">
        <v>-10000</v>
      </c>
      <c r="L1670" s="122"/>
      <c r="M1670" s="123">
        <f>SIP[[#This Row],[Amount]]/SIP[[#This Row],[Unit]]</f>
        <v>13.774104683195592</v>
      </c>
      <c r="N1670" s="71">
        <f>SIP[[#This Row],[Unit Capital]]/10</f>
        <v>-726</v>
      </c>
      <c r="O1670" s="71">
        <f>SUMIFS(SIP[[#Headers],[Unit]]:SIP[[#This Row],[Unit]],SIP[[#Headers],[Investor ID]]:SIP[[#This Row],[Investor ID]],SIP[[#This Row],[Investor ID]])</f>
        <v>0</v>
      </c>
      <c r="P1670" s="153">
        <v>-7260</v>
      </c>
      <c r="Q1670" s="74">
        <f>SIP[[#This Row],[Amount]]-SIP[[#This Row],[Unit Capital]]</f>
        <v>-2740</v>
      </c>
      <c r="R16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670" s="46">
        <f t="shared" si="78"/>
        <v>14.224</v>
      </c>
      <c r="T16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0" s="74" cm="1">
        <f t="array" ref="U1670">IF(SIP[[#This Row],[B/S]]="S",ABS(SIP[[#This Row],[Unit]])*(INDEX(SIP[NAV at Cost (Average)],MATCH(CONCATENATE((SIP[[#This Row],[Frequency]]-1),SIP[[#This Row],[Investor ID]]),SIP[Unique Code],0),0)),0)</f>
        <v>10000</v>
      </c>
      <c r="V1670" s="74">
        <f>IF(SIP[[#This Row],[BO TRANSFER]]="YES",SIP[[#This Row],[Unit]],)</f>
        <v>0</v>
      </c>
      <c r="W1670" s="74">
        <f>SUMIFS(SIP[[#Headers],[BO UNIT TRANSFER]]:SIP[[#This Row],[BO UNIT TRANSFER]],SIP[[#Headers],[Investor ID]]:SIP[[#This Row],[Investor ID]],SIP[[#This Row],[Investor ID]])</f>
        <v>0</v>
      </c>
    </row>
    <row r="1671" spans="1:23" ht="15" customHeight="1">
      <c r="A1671" s="101">
        <v>2025</v>
      </c>
      <c r="B1671" s="101">
        <v>12</v>
      </c>
      <c r="C1671" s="101">
        <v>30</v>
      </c>
      <c r="D1671" s="65">
        <f>DATE(SIP[[#This Row],[Year]],SIP[[#This Row],[Month]],SIP[[#This Row],[Day]])</f>
        <v>46021</v>
      </c>
      <c r="E1671" s="66" t="str" cm="1">
        <f t="array" ref="E1671">INDEX(INVESTORS_LIST[INVESTOR NAME],MATCH(SIP[[#This Row],[Investor ID]],INVESTORS_LIST[INVESTOR CODE],0),)</f>
        <v>MD. NAZMUS SAKIB</v>
      </c>
      <c r="F1671" s="150" t="s">
        <v>1475</v>
      </c>
      <c r="G1671" s="46">
        <f>COUNTIF(SIP[[#Headers],[Investor ID]]:SIP[[#This Row],[Investor ID]],SIP[[#This Row],[Investor ID]])</f>
        <v>1</v>
      </c>
      <c r="H1671" s="46" t="str">
        <f>CONCATENATE(SIP[[#This Row],[Frequency]],SIP[[#This Row],[Investor ID]])</f>
        <v>1A00684</v>
      </c>
      <c r="I1671" s="46" t="str">
        <f>IF(SIP[[#This Row],[B/S]]="B","BUY",(IF(SIP[[#This Row],[B/S]]="S","SELL"," ")))</f>
        <v>BUY</v>
      </c>
      <c r="J1671" s="150" t="s">
        <v>1229</v>
      </c>
      <c r="K1671" s="152">
        <v>2500</v>
      </c>
      <c r="L1671" s="122"/>
      <c r="M1671" s="123">
        <f>SIP[[#This Row],[Amount]]/SIP[[#This Row],[Unit]]</f>
        <v>13.736263736263735</v>
      </c>
      <c r="N1671" s="71">
        <f>SIP[[#This Row],[Unit Capital]]/10</f>
        <v>182</v>
      </c>
      <c r="O1671" s="71">
        <f>SUMIFS(SIP[[#Headers],[Unit]]:SIP[[#This Row],[Unit]],SIP[[#Headers],[Investor ID]]:SIP[[#This Row],[Investor ID]],SIP[[#This Row],[Investor ID]])</f>
        <v>182</v>
      </c>
      <c r="P1671" s="153">
        <v>1820</v>
      </c>
      <c r="Q1671" s="74">
        <f>SIP[[#This Row],[Amount]]-SIP[[#This Row],[Unit Capital]]</f>
        <v>680</v>
      </c>
      <c r="R16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13.736263736263735</v>
      </c>
      <c r="S1671" s="46">
        <f t="shared" si="78"/>
        <v>14.224</v>
      </c>
      <c r="T16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1" s="74" cm="1">
        <f t="array" ref="U1671">IF(SIP[[#This Row],[B/S]]="S",ABS(SIP[[#This Row],[Unit]])*(INDEX(SIP[NAV at Cost (Average)],MATCH(CONCATENATE((SIP[[#This Row],[Frequency]]-1),SIP[[#This Row],[Investor ID]]),SIP[Unique Code],0),0)),0)</f>
        <v>0</v>
      </c>
      <c r="V1671" s="74">
        <f>IF(SIP[[#This Row],[BO TRANSFER]]="YES",SIP[[#This Row],[Unit]],)</f>
        <v>0</v>
      </c>
      <c r="W1671" s="74">
        <f>SUMIFS(SIP[[#Headers],[BO UNIT TRANSFER]]:SIP[[#This Row],[BO UNIT TRANSFER]],SIP[[#Headers],[Investor ID]]:SIP[[#This Row],[Investor ID]],SIP[[#This Row],[Investor ID]])</f>
        <v>0</v>
      </c>
    </row>
    <row r="1672" spans="1:23" ht="15" customHeight="1">
      <c r="A1672" s="101">
        <v>2025</v>
      </c>
      <c r="B1672" s="101">
        <v>12</v>
      </c>
      <c r="C1672" s="101">
        <v>30</v>
      </c>
      <c r="D1672" s="65">
        <f>DATE(SIP[[#This Row],[Year]],SIP[[#This Row],[Month]],SIP[[#This Row],[Day]])</f>
        <v>46021</v>
      </c>
      <c r="E1672" s="66" t="str" cm="1">
        <f t="array" ref="E1672">INDEX(INVESTORS_LIST[INVESTOR NAME],MATCH(SIP[[#This Row],[Investor ID]],INVESTORS_LIST[INVESTOR CODE],0),)</f>
        <v>MD. NAZMUS SAKIB</v>
      </c>
      <c r="F1672" s="46" t="s">
        <v>1476</v>
      </c>
      <c r="G1672" s="46">
        <f>COUNTIF(SIP[[#Headers],[Investor ID]]:SIP[[#This Row],[Investor ID]],SIP[[#This Row],[Investor ID]])</f>
        <v>1</v>
      </c>
      <c r="H1672" s="46" t="str">
        <f>CONCATENATE(SIP[[#This Row],[Frequency]],SIP[[#This Row],[Investor ID]])</f>
        <v>1A00683</v>
      </c>
      <c r="I1672" s="46" t="str">
        <f>IF(SIP[[#This Row],[B/S]]="B","BUY",(IF(SIP[[#This Row],[B/S]]="S","SELL"," ")))</f>
        <v>BUY</v>
      </c>
      <c r="J1672" s="150" t="s">
        <v>1229</v>
      </c>
      <c r="K1672" s="152">
        <v>2500</v>
      </c>
      <c r="L1672" s="122"/>
      <c r="M1672" s="123">
        <f>SIP[[#This Row],[Amount]]/SIP[[#This Row],[Unit]]</f>
        <v>13.736263736263735</v>
      </c>
      <c r="N1672" s="71">
        <f>SIP[[#This Row],[Unit Capital]]/10</f>
        <v>182</v>
      </c>
      <c r="O1672" s="71">
        <f>SUMIFS(SIP[[#Headers],[Unit]]:SIP[[#This Row],[Unit]],SIP[[#Headers],[Investor ID]]:SIP[[#This Row],[Investor ID]],SIP[[#This Row],[Investor ID]])</f>
        <v>182</v>
      </c>
      <c r="P1672" s="153">
        <v>1820</v>
      </c>
      <c r="Q1672" s="74">
        <f>SIP[[#This Row],[Amount]]-SIP[[#This Row],[Unit Capital]]</f>
        <v>680</v>
      </c>
      <c r="R16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13.736263736263735</v>
      </c>
      <c r="S1672" s="46">
        <f t="shared" si="78"/>
        <v>14.224</v>
      </c>
      <c r="T16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2" s="74" cm="1">
        <f t="array" ref="U1672">IF(SIP[[#This Row],[B/S]]="S",ABS(SIP[[#This Row],[Unit]])*(INDEX(SIP[NAV at Cost (Average)],MATCH(CONCATENATE((SIP[[#This Row],[Frequency]]-1),SIP[[#This Row],[Investor ID]]),SIP[Unique Code],0),0)),0)</f>
        <v>0</v>
      </c>
      <c r="V1672" s="74">
        <f>IF(SIP[[#This Row],[BO TRANSFER]]="YES",SIP[[#This Row],[Unit]],)</f>
        <v>0</v>
      </c>
      <c r="W1672" s="74">
        <f>SUMIFS(SIP[[#Headers],[BO UNIT TRANSFER]]:SIP[[#This Row],[BO UNIT TRANSFER]],SIP[[#Headers],[Investor ID]]:SIP[[#This Row],[Investor ID]],SIP[[#This Row],[Investor ID]])</f>
        <v>0</v>
      </c>
    </row>
    <row r="1673" spans="1:23" ht="15" customHeight="1">
      <c r="A1673" s="101">
        <v>2025</v>
      </c>
      <c r="B1673" s="101">
        <v>12</v>
      </c>
      <c r="C1673" s="101">
        <v>30</v>
      </c>
      <c r="D1673" s="65">
        <f>DATE(SIP[[#This Row],[Year]],SIP[[#This Row],[Month]],SIP[[#This Row],[Day]])</f>
        <v>46021</v>
      </c>
      <c r="E1673" s="66" t="str" cm="1">
        <f t="array" ref="E1673">INDEX(INVESTORS_LIST[INVESTOR NAME],MATCH(SIP[[#This Row],[Investor ID]],INVESTORS_LIST[INVESTOR CODE],0),)</f>
        <v>MAHMUD ALI ALAMGIR &amp; MOHAMMED ALI XAHANGIR</v>
      </c>
      <c r="F1673" s="166" t="s">
        <v>1130</v>
      </c>
      <c r="G1673" s="46">
        <f>COUNTIF(SIP[[#Headers],[Investor ID]]:SIP[[#This Row],[Investor ID]],SIP[[#This Row],[Investor ID]])</f>
        <v>36</v>
      </c>
      <c r="H1673" s="46" t="str">
        <f>CONCATENATE(SIP[[#This Row],[Frequency]],SIP[[#This Row],[Investor ID]])</f>
        <v>36A00540</v>
      </c>
      <c r="I1673" s="46" t="str">
        <f>IF(SIP[[#This Row],[B/S]]="B","BUY",(IF(SIP[[#This Row],[B/S]]="S","SELL"," ")))</f>
        <v>SELL</v>
      </c>
      <c r="J1673" s="150" t="s">
        <v>1231</v>
      </c>
      <c r="K1673" s="287">
        <v>-350000</v>
      </c>
      <c r="L1673" s="122"/>
      <c r="M1673" s="123">
        <f>SIP[[#This Row],[Amount]]/SIP[[#This Row],[Unit]]</f>
        <v>13.728181996469896</v>
      </c>
      <c r="N1673" s="71">
        <f>SIP[[#This Row],[Unit Capital]]/10</f>
        <v>-25495</v>
      </c>
      <c r="O1673" s="71">
        <f>SUMIFS(SIP[[#Headers],[Unit]]:SIP[[#This Row],[Unit]],SIP[[#Headers],[Investor ID]]:SIP[[#This Row],[Investor ID]],SIP[[#This Row],[Investor ID]])</f>
        <v>476</v>
      </c>
      <c r="P1673" s="153">
        <v>-254950</v>
      </c>
      <c r="Q1673" s="74">
        <f>SIP[[#This Row],[Amount]]-SIP[[#This Row],[Unit Capital]]</f>
        <v>-95050</v>
      </c>
      <c r="R16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13.279995062724328</v>
      </c>
      <c r="S1673" s="46">
        <f t="shared" si="78"/>
        <v>14.224</v>
      </c>
      <c r="T1673" s="74">
        <f>IF(SIP[[#This Row],[B/S]]="B",0,ABS(SIP[[#This Row],[Unit]])*(SIP[[#This Row],[NAV (Strike Rate)]]-INDEX(SIP[NAV at Cost (Average)],MATCH(CONCATENATE(SIP[[#This Row],[Frequency]]-1,SIP[[#This Row],[Investor ID]]),SIP[Unique Code],0),)))</f>
        <v>11426.52587584325</v>
      </c>
      <c r="U1673" s="74" cm="1">
        <f t="array" ref="U1673">IF(SIP[[#This Row],[B/S]]="S",ABS(SIP[[#This Row],[Unit]])*(INDEX(SIP[NAV at Cost (Average)],MATCH(CONCATENATE((SIP[[#This Row],[Frequency]]-1),SIP[[#This Row],[Investor ID]]),SIP[Unique Code],0),0)),0)</f>
        <v>338573.47412415675</v>
      </c>
      <c r="V1673" s="74">
        <f>IF(SIP[[#This Row],[BO TRANSFER]]="YES",SIP[[#This Row],[Unit]],)</f>
        <v>0</v>
      </c>
      <c r="W1673" s="74">
        <f>SUMIFS(SIP[[#Headers],[BO UNIT TRANSFER]]:SIP[[#This Row],[BO UNIT TRANSFER]],SIP[[#Headers],[Investor ID]]:SIP[[#This Row],[Investor ID]],SIP[[#This Row],[Investor ID]])</f>
        <v>0</v>
      </c>
    </row>
    <row r="1674" spans="1:23" ht="15" customHeight="1">
      <c r="A1674" s="101">
        <v>2026</v>
      </c>
      <c r="B1674" s="101">
        <v>1</v>
      </c>
      <c r="C1674" s="101">
        <v>1</v>
      </c>
      <c r="D1674" s="65">
        <f>DATE(SIP[[#This Row],[Year]],SIP[[#This Row],[Month]],SIP[[#This Row],[Day]])</f>
        <v>46023</v>
      </c>
      <c r="E1674" s="66" t="str" cm="1">
        <f t="array" ref="E1674">INDEX(INVESTORS_LIST[INVESTOR NAME],MATCH(SIP[[#This Row],[Investor ID]],INVESTORS_LIST[INVESTOR CODE],0),)</f>
        <v>MD. SAIFUL ISLAM</v>
      </c>
      <c r="F1674" s="46" t="s">
        <v>1425</v>
      </c>
      <c r="G1674" s="46">
        <f>COUNTIF(SIP[[#Headers],[Investor ID]]:SIP[[#This Row],[Investor ID]],SIP[[#This Row],[Investor ID]])</f>
        <v>4</v>
      </c>
      <c r="H1674" s="46" t="str">
        <f>CONCATENATE(SIP[[#This Row],[Frequency]],SIP[[#This Row],[Investor ID]])</f>
        <v>4A00658</v>
      </c>
      <c r="I1674" s="46" t="str">
        <f>IF(SIP[[#This Row],[B/S]]="B","BUY",(IF(SIP[[#This Row],[B/S]]="S","SELL"," ")))</f>
        <v>BUY</v>
      </c>
      <c r="J1674" s="150" t="s">
        <v>1229</v>
      </c>
      <c r="K1674" s="152">
        <v>10000</v>
      </c>
      <c r="L1674" s="122"/>
      <c r="M1674" s="123">
        <f>SIP[[#This Row],[Amount]]/SIP[[#This Row],[Unit]]</f>
        <v>13.774104683195592</v>
      </c>
      <c r="N1674" s="71">
        <f>SIP[[#This Row],[Unit Capital]]/10</f>
        <v>726</v>
      </c>
      <c r="O1674" s="71">
        <f>SUMIFS(SIP[[#Headers],[Unit]]:SIP[[#This Row],[Unit]],SIP[[#Headers],[Investor ID]]:SIP[[#This Row],[Investor ID]],SIP[[#This Row],[Investor ID]])</f>
        <v>2923</v>
      </c>
      <c r="P1674" s="153">
        <v>7260</v>
      </c>
      <c r="Q1674" s="74">
        <f>SIP[[#This Row],[Amount]]-SIP[[#This Row],[Unit Capital]]</f>
        <v>2740</v>
      </c>
      <c r="R16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13.684570646595963</v>
      </c>
      <c r="S1674" s="46">
        <f t="shared" si="78"/>
        <v>14.224</v>
      </c>
      <c r="T16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4" s="74" cm="1">
        <f t="array" ref="U1674">IF(SIP[[#This Row],[B/S]]="S",ABS(SIP[[#This Row],[Unit]])*(INDEX(SIP[NAV at Cost (Average)],MATCH(CONCATENATE((SIP[[#This Row],[Frequency]]-1),SIP[[#This Row],[Investor ID]]),SIP[Unique Code],0),0)),0)</f>
        <v>0</v>
      </c>
      <c r="V1674" s="74">
        <f>IF(SIP[[#This Row],[BO TRANSFER]]="YES",SIP[[#This Row],[Unit]],)</f>
        <v>0</v>
      </c>
      <c r="W1674" s="74">
        <f>SUMIFS(SIP[[#Headers],[BO UNIT TRANSFER]]:SIP[[#This Row],[BO UNIT TRANSFER]],SIP[[#Headers],[Investor ID]]:SIP[[#This Row],[Investor ID]],SIP[[#This Row],[Investor ID]])</f>
        <v>0</v>
      </c>
    </row>
    <row r="1675" spans="1:23" ht="15" customHeight="1">
      <c r="A1675" s="101">
        <v>2026</v>
      </c>
      <c r="B1675" s="101">
        <v>1</v>
      </c>
      <c r="C1675" s="101">
        <v>5</v>
      </c>
      <c r="D1675" s="65">
        <f>DATE(SIP[[#This Row],[Year]],SIP[[#This Row],[Month]],SIP[[#This Row],[Day]])</f>
        <v>46027</v>
      </c>
      <c r="E1675" s="66" t="str" cm="1">
        <f t="array" ref="E1675">INDEX(INVESTORS_LIST[INVESTOR NAME],MATCH(SIP[[#This Row],[Investor ID]],INVESTORS_LIST[INVESTOR CODE],0),)</f>
        <v>ROKSABA KASEM</v>
      </c>
      <c r="F1675" s="46" t="s">
        <v>900</v>
      </c>
      <c r="G1675" s="46">
        <f>COUNTIF(SIP[[#Headers],[Investor ID]]:SIP[[#This Row],[Investor ID]],SIP[[#This Row],[Investor ID]])</f>
        <v>32</v>
      </c>
      <c r="H1675" s="46" t="str">
        <f>CONCATENATE(SIP[[#This Row],[Frequency]],SIP[[#This Row],[Investor ID]])</f>
        <v>32A00427</v>
      </c>
      <c r="I1675" s="46" t="str">
        <f>IF(SIP[[#This Row],[B/S]]="B","BUY",(IF(SIP[[#This Row],[B/S]]="S","SELL"," ")))</f>
        <v>BUY</v>
      </c>
      <c r="J1675" s="150" t="s">
        <v>1229</v>
      </c>
      <c r="K1675" s="153">
        <v>20000</v>
      </c>
      <c r="L1675" s="122" t="s">
        <v>1230</v>
      </c>
      <c r="M1675" s="123">
        <f>SIP[[#This Row],[Amount]]/SIP[[#This Row],[Unit]]</f>
        <v>13.774104683195592</v>
      </c>
      <c r="N1675" s="71">
        <f>SIP[[#This Row],[Unit Capital]]/10</f>
        <v>1452</v>
      </c>
      <c r="O1675" s="71">
        <f>SUMIFS(SIP[[#Headers],[Unit]]:SIP[[#This Row],[Unit]],SIP[[#Headers],[Investor ID]]:SIP[[#This Row],[Investor ID]],SIP[[#This Row],[Investor ID]])</f>
        <v>55199</v>
      </c>
      <c r="P1675" s="153">
        <v>14520</v>
      </c>
      <c r="Q1675" s="74">
        <f>SIP[[#This Row],[Amount]]-SIP[[#This Row],[Unit Capital]]</f>
        <v>5480</v>
      </c>
      <c r="R16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11.594412942263451</v>
      </c>
      <c r="S1675" s="46">
        <f t="shared" ref="S1675:S1690" si="79">NAV_MKT</f>
        <v>14.224</v>
      </c>
      <c r="T16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5" s="74" cm="1">
        <f t="array" ref="U1675">IF(SIP[[#This Row],[B/S]]="S",ABS(SIP[[#This Row],[Unit]])*(INDEX(SIP[NAV at Cost (Average)],MATCH(CONCATENATE((SIP[[#This Row],[Frequency]]-1),SIP[[#This Row],[Investor ID]]),SIP[Unique Code],0),0)),0)</f>
        <v>0</v>
      </c>
      <c r="V1675" s="74">
        <f>IF(SIP[[#This Row],[BO TRANSFER]]="YES",SIP[[#This Row],[Unit]],)</f>
        <v>1452</v>
      </c>
      <c r="W1675" s="74">
        <f>SUMIFS(SIP[[#Headers],[BO UNIT TRANSFER]]:SIP[[#This Row],[BO UNIT TRANSFER]],SIP[[#Headers],[Investor ID]]:SIP[[#This Row],[Investor ID]],SIP[[#This Row],[Investor ID]])</f>
        <v>10502</v>
      </c>
    </row>
    <row r="1676" spans="1:23" ht="15" customHeight="1">
      <c r="A1676" s="101">
        <v>2026</v>
      </c>
      <c r="B1676" s="101">
        <v>1</v>
      </c>
      <c r="C1676" s="101">
        <v>5</v>
      </c>
      <c r="D1676" s="65">
        <f>DATE(SIP[[#This Row],[Year]],SIP[[#This Row],[Month]],SIP[[#This Row],[Day]])</f>
        <v>46027</v>
      </c>
      <c r="E1676" s="66" t="str" cm="1">
        <f t="array" ref="E1676">INDEX(INVESTORS_LIST[INVESTOR NAME],MATCH(SIP[[#This Row],[Investor ID]],INVESTORS_LIST[INVESTOR CODE],0),)</f>
        <v>NANDINI SAHA</v>
      </c>
      <c r="F1676" s="46" t="s">
        <v>242</v>
      </c>
      <c r="G1676" s="46">
        <f>COUNTIF(SIP[[#Headers],[Investor ID]]:SIP[[#This Row],[Investor ID]],SIP[[#This Row],[Investor ID]])</f>
        <v>37</v>
      </c>
      <c r="H1676" s="46" t="str">
        <f>CONCATENATE(SIP[[#This Row],[Frequency]],SIP[[#This Row],[Investor ID]])</f>
        <v>37A00097</v>
      </c>
      <c r="I1676" s="46" t="str">
        <f>IF(SIP[[#This Row],[B/S]]="B","BUY",(IF(SIP[[#This Row],[B/S]]="S","SELL"," ")))</f>
        <v>BUY</v>
      </c>
      <c r="J1676" s="150" t="s">
        <v>1229</v>
      </c>
      <c r="K1676" s="153">
        <v>5000</v>
      </c>
      <c r="L1676" s="122"/>
      <c r="M1676" s="123">
        <f>SIP[[#This Row],[Amount]]/SIP[[#This Row],[Unit]]</f>
        <v>13.774104683195592</v>
      </c>
      <c r="N1676" s="71">
        <f>SIP[[#This Row],[Unit Capital]]/10</f>
        <v>363</v>
      </c>
      <c r="O1676" s="71">
        <f>SUMIFS(SIP[[#Headers],[Unit]]:SIP[[#This Row],[Unit]],SIP[[#Headers],[Investor ID]]:SIP[[#This Row],[Investor ID]],SIP[[#This Row],[Investor ID]])</f>
        <v>22699</v>
      </c>
      <c r="P1676" s="153">
        <v>3630</v>
      </c>
      <c r="Q1676" s="74">
        <f>SIP[[#This Row],[Amount]]-SIP[[#This Row],[Unit Capital]]</f>
        <v>1370</v>
      </c>
      <c r="R16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11.691084975999463</v>
      </c>
      <c r="S1676" s="46">
        <f t="shared" si="79"/>
        <v>14.224</v>
      </c>
      <c r="T16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6" s="74" cm="1">
        <f t="array" ref="U1676">IF(SIP[[#This Row],[B/S]]="S",ABS(SIP[[#This Row],[Unit]])*(INDEX(SIP[NAV at Cost (Average)],MATCH(CONCATENATE((SIP[[#This Row],[Frequency]]-1),SIP[[#This Row],[Investor ID]]),SIP[Unique Code],0),0)),0)</f>
        <v>0</v>
      </c>
      <c r="V1676" s="74">
        <f>IF(SIP[[#This Row],[BO TRANSFER]]="YES",SIP[[#This Row],[Unit]],)</f>
        <v>0</v>
      </c>
      <c r="W1676" s="74">
        <f>SUMIFS(SIP[[#Headers],[BO UNIT TRANSFER]]:SIP[[#This Row],[BO UNIT TRANSFER]],SIP[[#Headers],[Investor ID]]:SIP[[#This Row],[Investor ID]],SIP[[#This Row],[Investor ID]])</f>
        <v>0</v>
      </c>
    </row>
    <row r="1677" spans="1:23" ht="15" customHeight="1">
      <c r="A1677" s="101">
        <v>2026</v>
      </c>
      <c r="B1677" s="101">
        <v>1</v>
      </c>
      <c r="C1677" s="101">
        <v>5</v>
      </c>
      <c r="D1677" s="65">
        <f>DATE(SIP[[#This Row],[Year]],SIP[[#This Row],[Month]],SIP[[#This Row],[Day]])</f>
        <v>46027</v>
      </c>
      <c r="E1677" s="66" t="str" cm="1">
        <f t="array" ref="E1677">INDEX(INVESTORS_LIST[INVESTOR NAME],MATCH(SIP[[#This Row],[Investor ID]],INVESTORS_LIST[INVESTOR CODE],0),)</f>
        <v>AKIB TANVIR ANJUM</v>
      </c>
      <c r="F1677" s="46" t="s">
        <v>1116</v>
      </c>
      <c r="G1677" s="46">
        <f>COUNTIF(SIP[[#Headers],[Investor ID]]:SIP[[#This Row],[Investor ID]],SIP[[#This Row],[Investor ID]])</f>
        <v>30</v>
      </c>
      <c r="H1677" s="46" t="str">
        <f>CONCATENATE(SIP[[#This Row],[Frequency]],SIP[[#This Row],[Investor ID]])</f>
        <v>30A00533</v>
      </c>
      <c r="I1677" s="46" t="str">
        <f>IF(SIP[[#This Row],[B/S]]="B","BUY",(IF(SIP[[#This Row],[B/S]]="S","SELL"," ")))</f>
        <v>BUY</v>
      </c>
      <c r="J1677" s="150" t="s">
        <v>1229</v>
      </c>
      <c r="K1677" s="153">
        <v>4000</v>
      </c>
      <c r="L1677" s="122"/>
      <c r="M1677" s="123">
        <f>SIP[[#This Row],[Amount]]/SIP[[#This Row],[Unit]]</f>
        <v>13.793103448275861</v>
      </c>
      <c r="N1677" s="71">
        <f>SIP[[#This Row],[Unit Capital]]/10</f>
        <v>290</v>
      </c>
      <c r="O1677" s="71">
        <f>SUMIFS(SIP[[#Headers],[Unit]]:SIP[[#This Row],[Unit]],SIP[[#Headers],[Investor ID]]:SIP[[#This Row],[Investor ID]],SIP[[#This Row],[Investor ID]])</f>
        <v>2237</v>
      </c>
      <c r="P1677" s="153">
        <v>2900</v>
      </c>
      <c r="Q1677" s="74">
        <f>SIP[[#This Row],[Amount]]-SIP[[#This Row],[Unit Capital]]</f>
        <v>1100</v>
      </c>
      <c r="R16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13.23486275171005</v>
      </c>
      <c r="S1677" s="46">
        <f t="shared" si="79"/>
        <v>14.224</v>
      </c>
      <c r="T16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7" s="74" cm="1">
        <f t="array" ref="U1677">IF(SIP[[#This Row],[B/S]]="S",ABS(SIP[[#This Row],[Unit]])*(INDEX(SIP[NAV at Cost (Average)],MATCH(CONCATENATE((SIP[[#This Row],[Frequency]]-1),SIP[[#This Row],[Investor ID]]),SIP[Unique Code],0),0)),0)</f>
        <v>0</v>
      </c>
      <c r="V1677" s="74">
        <f>IF(SIP[[#This Row],[BO TRANSFER]]="YES",SIP[[#This Row],[Unit]],)</f>
        <v>0</v>
      </c>
      <c r="W1677" s="74">
        <f>SUMIFS(SIP[[#Headers],[BO UNIT TRANSFER]]:SIP[[#This Row],[BO UNIT TRANSFER]],SIP[[#Headers],[Investor ID]]:SIP[[#This Row],[Investor ID]],SIP[[#This Row],[Investor ID]])</f>
        <v>0</v>
      </c>
    </row>
    <row r="1678" spans="1:23" ht="15" customHeight="1">
      <c r="A1678" s="101">
        <v>2026</v>
      </c>
      <c r="B1678" s="101">
        <v>1</v>
      </c>
      <c r="C1678" s="101">
        <v>5</v>
      </c>
      <c r="D1678" s="65">
        <f>DATE(SIP[[#This Row],[Year]],SIP[[#This Row],[Month]],SIP[[#This Row],[Day]])</f>
        <v>46027</v>
      </c>
      <c r="E1678" s="66" t="str" cm="1">
        <f t="array" ref="E1678">INDEX(INVESTORS_LIST[INVESTOR NAME],MATCH(SIP[[#This Row],[Investor ID]],INVESTORS_LIST[INVESTOR CODE],0),)</f>
        <v>FAKARUDDIN ALI AHMED</v>
      </c>
      <c r="F1678" s="46" t="s">
        <v>228</v>
      </c>
      <c r="G1678" s="46">
        <f>COUNTIF(SIP[[#Headers],[Investor ID]]:SIP[[#This Row],[Investor ID]],SIP[[#This Row],[Investor ID]])</f>
        <v>33</v>
      </c>
      <c r="H1678" s="46" t="str">
        <f>CONCATENATE(SIP[[#This Row],[Frequency]],SIP[[#This Row],[Investor ID]])</f>
        <v>33A00090</v>
      </c>
      <c r="I1678" s="46" t="str">
        <f>IF(SIP[[#This Row],[B/S]]="B","BUY",(IF(SIP[[#This Row],[B/S]]="S","SELL"," ")))</f>
        <v>BUY</v>
      </c>
      <c r="J1678" s="150" t="s">
        <v>1229</v>
      </c>
      <c r="K1678" s="153">
        <v>10000</v>
      </c>
      <c r="L1678" s="122"/>
      <c r="M1678" s="123">
        <f>SIP[[#This Row],[Amount]]/SIP[[#This Row],[Unit]]</f>
        <v>13.774104683195592</v>
      </c>
      <c r="N1678" s="71">
        <f>SIP[[#This Row],[Unit Capital]]/10</f>
        <v>726</v>
      </c>
      <c r="O1678" s="71">
        <f>SUMIFS(SIP[[#Headers],[Unit]]:SIP[[#This Row],[Unit]],SIP[[#Headers],[Investor ID]]:SIP[[#This Row],[Investor ID]],SIP[[#This Row],[Investor ID]])</f>
        <v>4457</v>
      </c>
      <c r="P1678" s="153">
        <v>7260</v>
      </c>
      <c r="Q1678" s="74">
        <f>SIP[[#This Row],[Amount]]-SIP[[#This Row],[Unit Capital]]</f>
        <v>2740</v>
      </c>
      <c r="R16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13.461969934933812</v>
      </c>
      <c r="S1678" s="46">
        <f t="shared" si="79"/>
        <v>14.224</v>
      </c>
      <c r="T16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8" s="74" cm="1">
        <f t="array" ref="U1678">IF(SIP[[#This Row],[B/S]]="S",ABS(SIP[[#This Row],[Unit]])*(INDEX(SIP[NAV at Cost (Average)],MATCH(CONCATENATE((SIP[[#This Row],[Frequency]]-1),SIP[[#This Row],[Investor ID]]),SIP[Unique Code],0),0)),0)</f>
        <v>0</v>
      </c>
      <c r="V1678" s="74">
        <f>IF(SIP[[#This Row],[BO TRANSFER]]="YES",SIP[[#This Row],[Unit]],)</f>
        <v>0</v>
      </c>
      <c r="W1678" s="74">
        <f>SUMIFS(SIP[[#Headers],[BO UNIT TRANSFER]]:SIP[[#This Row],[BO UNIT TRANSFER]],SIP[[#Headers],[Investor ID]]:SIP[[#This Row],[Investor ID]],SIP[[#This Row],[Investor ID]])</f>
        <v>0</v>
      </c>
    </row>
    <row r="1679" spans="1:23" ht="15" customHeight="1">
      <c r="A1679" s="101">
        <v>2026</v>
      </c>
      <c r="B1679" s="101">
        <v>1</v>
      </c>
      <c r="C1679" s="101">
        <v>5</v>
      </c>
      <c r="D1679" s="65">
        <f>DATE(SIP[[#This Row],[Year]],SIP[[#This Row],[Month]],SIP[[#This Row],[Day]])</f>
        <v>46027</v>
      </c>
      <c r="E1679" s="66" t="str" cm="1">
        <f t="array" ref="E1679">INDEX(INVESTORS_LIST[INVESTOR NAME],MATCH(SIP[[#This Row],[Investor ID]],INVESTORS_LIST[INVESTOR CODE],0),)</f>
        <v>MONIR AHMED</v>
      </c>
      <c r="F1679" s="46" t="s">
        <v>125</v>
      </c>
      <c r="G1679" s="46">
        <f>COUNTIF(SIP[[#Headers],[Investor ID]]:SIP[[#This Row],[Investor ID]],SIP[[#This Row],[Investor ID]])</f>
        <v>35</v>
      </c>
      <c r="H1679" s="46" t="str">
        <f>CONCATENATE(SIP[[#This Row],[Frequency]],SIP[[#This Row],[Investor ID]])</f>
        <v>35A00039</v>
      </c>
      <c r="I1679" s="46" t="str">
        <f>IF(SIP[[#This Row],[B/S]]="B","BUY",(IF(SIP[[#This Row],[B/S]]="S","SELL"," ")))</f>
        <v>BUY</v>
      </c>
      <c r="J1679" s="150" t="s">
        <v>1229</v>
      </c>
      <c r="K1679" s="153">
        <v>10000</v>
      </c>
      <c r="L1679" s="122"/>
      <c r="M1679" s="123">
        <f>SIP[[#This Row],[Amount]]/SIP[[#This Row],[Unit]]</f>
        <v>13.774104683195592</v>
      </c>
      <c r="N1679" s="71">
        <f>SIP[[#This Row],[Unit Capital]]/10</f>
        <v>726</v>
      </c>
      <c r="O1679" s="71">
        <f>SUMIFS(SIP[[#Headers],[Unit]]:SIP[[#This Row],[Unit]],SIP[[#Headers],[Investor ID]]:SIP[[#This Row],[Investor ID]],SIP[[#This Row],[Investor ID]])</f>
        <v>2184</v>
      </c>
      <c r="P1679" s="153">
        <v>7260</v>
      </c>
      <c r="Q1679" s="74">
        <f>SIP[[#This Row],[Amount]]-SIP[[#This Row],[Unit Capital]]</f>
        <v>2740</v>
      </c>
      <c r="R16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13.736263736263735</v>
      </c>
      <c r="S1679" s="46">
        <f t="shared" si="79"/>
        <v>14.224</v>
      </c>
      <c r="T16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9" s="74" cm="1">
        <f t="array" ref="U1679">IF(SIP[[#This Row],[B/S]]="S",ABS(SIP[[#This Row],[Unit]])*(INDEX(SIP[NAV at Cost (Average)],MATCH(CONCATENATE((SIP[[#This Row],[Frequency]]-1),SIP[[#This Row],[Investor ID]]),SIP[Unique Code],0),0)),0)</f>
        <v>0</v>
      </c>
      <c r="V1679" s="74">
        <f>IF(SIP[[#This Row],[BO TRANSFER]]="YES",SIP[[#This Row],[Unit]],)</f>
        <v>0</v>
      </c>
      <c r="W1679" s="74">
        <f>SUMIFS(SIP[[#Headers],[BO UNIT TRANSFER]]:SIP[[#This Row],[BO UNIT TRANSFER]],SIP[[#Headers],[Investor ID]]:SIP[[#This Row],[Investor ID]],SIP[[#This Row],[Investor ID]])</f>
        <v>0</v>
      </c>
    </row>
    <row r="1680" spans="1:23" ht="15" customHeight="1">
      <c r="A1680" s="101">
        <v>2026</v>
      </c>
      <c r="B1680" s="101">
        <v>1</v>
      </c>
      <c r="C1680" s="101">
        <v>5</v>
      </c>
      <c r="D1680" s="65">
        <f>DATE(SIP[[#This Row],[Year]],SIP[[#This Row],[Month]],SIP[[#This Row],[Day]])</f>
        <v>46027</v>
      </c>
      <c r="E1680" s="66" t="str" cm="1">
        <f t="array" ref="E1680">INDEX(INVESTORS_LIST[INVESTOR NAME],MATCH(SIP[[#This Row],[Investor ID]],INVESTORS_LIST[INVESTOR CODE],0),)</f>
        <v>MD. MONIRUL ISLAM</v>
      </c>
      <c r="F1680" s="46" t="s">
        <v>996</v>
      </c>
      <c r="G1680" s="46">
        <f>COUNTIF(SIP[[#Headers],[Investor ID]]:SIP[[#This Row],[Investor ID]],SIP[[#This Row],[Investor ID]])</f>
        <v>31</v>
      </c>
      <c r="H1680" s="46" t="str">
        <f>CONCATENATE(SIP[[#This Row],[Frequency]],SIP[[#This Row],[Investor ID]])</f>
        <v>31A00475</v>
      </c>
      <c r="I1680" s="46" t="str">
        <f>IF(SIP[[#This Row],[B/S]]="B","BUY",(IF(SIP[[#This Row],[B/S]]="S","SELL"," ")))</f>
        <v>BUY</v>
      </c>
      <c r="J1680" s="150" t="s">
        <v>1229</v>
      </c>
      <c r="K1680" s="153">
        <v>10000</v>
      </c>
      <c r="L1680" s="122"/>
      <c r="M1680" s="123">
        <f>SIP[[#This Row],[Amount]]/SIP[[#This Row],[Unit]]</f>
        <v>13.774104683195592</v>
      </c>
      <c r="N1680" s="71">
        <f>SIP[[#This Row],[Unit Capital]]/10</f>
        <v>726</v>
      </c>
      <c r="O1680" s="71">
        <f>SUMIFS(SIP[[#Headers],[Unit]]:SIP[[#This Row],[Unit]],SIP[[#Headers],[Investor ID]]:SIP[[#This Row],[Investor ID]],SIP[[#This Row],[Investor ID]])</f>
        <v>27025</v>
      </c>
      <c r="P1680" s="153">
        <v>7260</v>
      </c>
      <c r="Q1680" s="74">
        <f>SIP[[#This Row],[Amount]]-SIP[[#This Row],[Unit Capital]]</f>
        <v>2740</v>
      </c>
      <c r="R16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11.470860314523588</v>
      </c>
      <c r="S1680" s="46">
        <f t="shared" si="79"/>
        <v>14.224</v>
      </c>
      <c r="T16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0" s="74" cm="1">
        <f t="array" ref="U1680">IF(SIP[[#This Row],[B/S]]="S",ABS(SIP[[#This Row],[Unit]])*(INDEX(SIP[NAV at Cost (Average)],MATCH(CONCATENATE((SIP[[#This Row],[Frequency]]-1),SIP[[#This Row],[Investor ID]]),SIP[Unique Code],0),0)),0)</f>
        <v>0</v>
      </c>
      <c r="V1680" s="74">
        <f>IF(SIP[[#This Row],[BO TRANSFER]]="YES",SIP[[#This Row],[Unit]],)</f>
        <v>0</v>
      </c>
      <c r="W1680" s="74">
        <f>SUMIFS(SIP[[#Headers],[BO UNIT TRANSFER]]:SIP[[#This Row],[BO UNIT TRANSFER]],SIP[[#Headers],[Investor ID]]:SIP[[#This Row],[Investor ID]],SIP[[#This Row],[Investor ID]])</f>
        <v>0</v>
      </c>
    </row>
    <row r="1681" spans="1:23" ht="15" customHeight="1">
      <c r="A1681" s="101">
        <v>2026</v>
      </c>
      <c r="B1681" s="101">
        <v>1</v>
      </c>
      <c r="C1681" s="101">
        <v>5</v>
      </c>
      <c r="D1681" s="65">
        <f>DATE(SIP[[#This Row],[Year]],SIP[[#This Row],[Month]],SIP[[#This Row],[Day]])</f>
        <v>46027</v>
      </c>
      <c r="E1681" s="66" t="str" cm="1">
        <f t="array" ref="E1681">INDEX(INVESTORS_LIST[INVESTOR NAME],MATCH(SIP[[#This Row],[Investor ID]],INVESTORS_LIST[INVESTOR CODE],0),)</f>
        <v>NANI GOPAL DATTA</v>
      </c>
      <c r="F1681" s="46" t="s">
        <v>232</v>
      </c>
      <c r="G1681" s="46">
        <f>COUNTIF(SIP[[#Headers],[Investor ID]]:SIP[[#This Row],[Investor ID]],SIP[[#This Row],[Investor ID]])</f>
        <v>24</v>
      </c>
      <c r="H1681" s="46" t="str">
        <f>CONCATENATE(SIP[[#This Row],[Frequency]],SIP[[#This Row],[Investor ID]])</f>
        <v>24A00092</v>
      </c>
      <c r="I1681" s="46" t="str">
        <f>IF(SIP[[#This Row],[B/S]]="B","BUY",(IF(SIP[[#This Row],[B/S]]="S","SELL"," ")))</f>
        <v>BUY</v>
      </c>
      <c r="J1681" s="150" t="s">
        <v>1229</v>
      </c>
      <c r="K1681" s="153">
        <v>2000</v>
      </c>
      <c r="L1681" s="122"/>
      <c r="M1681" s="123">
        <f>SIP[[#This Row],[Amount]]/SIP[[#This Row],[Unit]]</f>
        <v>13.793103448275861</v>
      </c>
      <c r="N1681" s="71">
        <f>SIP[[#This Row],[Unit Capital]]/10</f>
        <v>145</v>
      </c>
      <c r="O1681" s="71">
        <f>SUMIFS(SIP[[#Headers],[Unit]]:SIP[[#This Row],[Unit]],SIP[[#Headers],[Investor ID]]:SIP[[#This Row],[Investor ID]],SIP[[#This Row],[Investor ID]])</f>
        <v>3685</v>
      </c>
      <c r="P1681" s="153">
        <v>1450</v>
      </c>
      <c r="Q1681" s="74">
        <f>SIP[[#This Row],[Amount]]-SIP[[#This Row],[Unit Capital]]</f>
        <v>550</v>
      </c>
      <c r="R16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11.964024883036384</v>
      </c>
      <c r="S1681" s="46">
        <f t="shared" si="79"/>
        <v>14.224</v>
      </c>
      <c r="T16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1" s="74" cm="1">
        <f t="array" ref="U1681">IF(SIP[[#This Row],[B/S]]="S",ABS(SIP[[#This Row],[Unit]])*(INDEX(SIP[NAV at Cost (Average)],MATCH(CONCATENATE((SIP[[#This Row],[Frequency]]-1),SIP[[#This Row],[Investor ID]]),SIP[Unique Code],0),0)),0)</f>
        <v>0</v>
      </c>
      <c r="V1681" s="74">
        <f>IF(SIP[[#This Row],[BO TRANSFER]]="YES",SIP[[#This Row],[Unit]],)</f>
        <v>0</v>
      </c>
      <c r="W1681" s="74">
        <f>SUMIFS(SIP[[#Headers],[BO UNIT TRANSFER]]:SIP[[#This Row],[BO UNIT TRANSFER]],SIP[[#Headers],[Investor ID]]:SIP[[#This Row],[Investor ID]],SIP[[#This Row],[Investor ID]])</f>
        <v>0</v>
      </c>
    </row>
    <row r="1682" spans="1:23" ht="15" customHeight="1">
      <c r="A1682" s="101">
        <v>2026</v>
      </c>
      <c r="B1682" s="101">
        <v>1</v>
      </c>
      <c r="C1682" s="101">
        <v>5</v>
      </c>
      <c r="D1682" s="65">
        <f>DATE(SIP[[#This Row],[Year]],SIP[[#This Row],[Month]],SIP[[#This Row],[Day]])</f>
        <v>46027</v>
      </c>
      <c r="E1682" s="66" t="str" cm="1">
        <f t="array" ref="E1682">INDEX(INVESTORS_LIST[INVESTOR NAME],MATCH(SIP[[#This Row],[Investor ID]],INVESTORS_LIST[INVESTOR CODE],0),)</f>
        <v>SABRIA ISLAM TALUKDER</v>
      </c>
      <c r="F1682" s="46" t="s">
        <v>409</v>
      </c>
      <c r="G1682" s="46">
        <f>COUNTIF(SIP[[#Headers],[Investor ID]]:SIP[[#This Row],[Investor ID]],SIP[[#This Row],[Investor ID]])</f>
        <v>29</v>
      </c>
      <c r="H1682" s="46" t="str">
        <f>CONCATENATE(SIP[[#This Row],[Frequency]],SIP[[#This Row],[Investor ID]])</f>
        <v>29A00180</v>
      </c>
      <c r="I1682" s="46" t="str">
        <f>IF(SIP[[#This Row],[B/S]]="B","BUY",(IF(SIP[[#This Row],[B/S]]="S","SELL"," ")))</f>
        <v>BUY</v>
      </c>
      <c r="J1682" s="150" t="s">
        <v>1229</v>
      </c>
      <c r="K1682" s="153">
        <v>5000</v>
      </c>
      <c r="L1682" s="122"/>
      <c r="M1682" s="123">
        <f>SIP[[#This Row],[Amount]]/SIP[[#This Row],[Unit]]</f>
        <v>13.774104683195592</v>
      </c>
      <c r="N1682" s="71">
        <f>SIP[[#This Row],[Unit Capital]]/10</f>
        <v>363</v>
      </c>
      <c r="O1682" s="71">
        <f>SUMIFS(SIP[[#Headers],[Unit]]:SIP[[#This Row],[Unit]],SIP[[#Headers],[Investor ID]]:SIP[[#This Row],[Investor ID]],SIP[[#This Row],[Investor ID]])</f>
        <v>12339</v>
      </c>
      <c r="P1682" s="153">
        <v>3630</v>
      </c>
      <c r="Q1682" s="74">
        <f>SIP[[#This Row],[Amount]]-SIP[[#This Row],[Unit Capital]]</f>
        <v>1370</v>
      </c>
      <c r="R16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11.75135748439906</v>
      </c>
      <c r="S1682" s="46">
        <f t="shared" si="79"/>
        <v>14.224</v>
      </c>
      <c r="T16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2" s="74" cm="1">
        <f t="array" ref="U1682">IF(SIP[[#This Row],[B/S]]="S",ABS(SIP[[#This Row],[Unit]])*(INDEX(SIP[NAV at Cost (Average)],MATCH(CONCATENATE((SIP[[#This Row],[Frequency]]-1),SIP[[#This Row],[Investor ID]]),SIP[Unique Code],0),0)),0)</f>
        <v>0</v>
      </c>
      <c r="V1682" s="74">
        <f>IF(SIP[[#This Row],[BO TRANSFER]]="YES",SIP[[#This Row],[Unit]],)</f>
        <v>0</v>
      </c>
      <c r="W1682" s="74">
        <f>SUMIFS(SIP[[#Headers],[BO UNIT TRANSFER]]:SIP[[#This Row],[BO UNIT TRANSFER]],SIP[[#Headers],[Investor ID]]:SIP[[#This Row],[Investor ID]],SIP[[#This Row],[Investor ID]])</f>
        <v>0</v>
      </c>
    </row>
    <row r="1683" spans="1:23" ht="15" customHeight="1">
      <c r="A1683" s="101">
        <v>2026</v>
      </c>
      <c r="B1683" s="101">
        <v>1</v>
      </c>
      <c r="C1683" s="101">
        <v>5</v>
      </c>
      <c r="D1683" s="65">
        <f>DATE(SIP[[#This Row],[Year]],SIP[[#This Row],[Month]],SIP[[#This Row],[Day]])</f>
        <v>46027</v>
      </c>
      <c r="E1683" s="66" t="str" cm="1">
        <f t="array" ref="E1683">INDEX(INVESTORS_LIST[INVESTOR NAME],MATCH(SIP[[#This Row],[Investor ID]],INVESTORS_LIST[INVESTOR CODE],0),)</f>
        <v>SHANTA PAUL</v>
      </c>
      <c r="F1683" s="46" t="s">
        <v>544</v>
      </c>
      <c r="G1683" s="46">
        <f>COUNTIF(SIP[[#Headers],[Investor ID]]:SIP[[#This Row],[Investor ID]],SIP[[#This Row],[Investor ID]])</f>
        <v>33</v>
      </c>
      <c r="H1683" s="46" t="str">
        <f>CONCATENATE(SIP[[#This Row],[Frequency]],SIP[[#This Row],[Investor ID]])</f>
        <v>33A00247</v>
      </c>
      <c r="I1683" s="46" t="str">
        <f>IF(SIP[[#This Row],[B/S]]="B","BUY",(IF(SIP[[#This Row],[B/S]]="S","SELL"," ")))</f>
        <v>BUY</v>
      </c>
      <c r="J1683" s="150" t="s">
        <v>1229</v>
      </c>
      <c r="K1683" s="153">
        <v>20000</v>
      </c>
      <c r="L1683" s="122"/>
      <c r="M1683" s="123">
        <f>SIP[[#This Row],[Amount]]/SIP[[#This Row],[Unit]]</f>
        <v>13.774104683195592</v>
      </c>
      <c r="N1683" s="71">
        <f>SIP[[#This Row],[Unit Capital]]/10</f>
        <v>1452</v>
      </c>
      <c r="O1683" s="71">
        <f>SUMIFS(SIP[[#Headers],[Unit]]:SIP[[#This Row],[Unit]],SIP[[#Headers],[Investor ID]]:SIP[[#This Row],[Investor ID]],SIP[[#This Row],[Investor ID]])</f>
        <v>57465</v>
      </c>
      <c r="P1683" s="153">
        <v>14520</v>
      </c>
      <c r="Q1683" s="74">
        <f>SIP[[#This Row],[Amount]]-SIP[[#This Row],[Unit Capital]]</f>
        <v>5480</v>
      </c>
      <c r="R16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11.485251892456279</v>
      </c>
      <c r="S1683" s="46">
        <f t="shared" si="79"/>
        <v>14.224</v>
      </c>
      <c r="T16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3" s="74" cm="1">
        <f t="array" ref="U1683">IF(SIP[[#This Row],[B/S]]="S",ABS(SIP[[#This Row],[Unit]])*(INDEX(SIP[NAV at Cost (Average)],MATCH(CONCATENATE((SIP[[#This Row],[Frequency]]-1),SIP[[#This Row],[Investor ID]]),SIP[Unique Code],0),0)),0)</f>
        <v>0</v>
      </c>
      <c r="V1683" s="74">
        <f>IF(SIP[[#This Row],[BO TRANSFER]]="YES",SIP[[#This Row],[Unit]],)</f>
        <v>0</v>
      </c>
      <c r="W1683" s="74">
        <f>SUMIFS(SIP[[#Headers],[BO UNIT TRANSFER]]:SIP[[#This Row],[BO UNIT TRANSFER]],SIP[[#Headers],[Investor ID]]:SIP[[#This Row],[Investor ID]],SIP[[#This Row],[Investor ID]])</f>
        <v>0</v>
      </c>
    </row>
    <row r="1684" spans="1:23" ht="15" customHeight="1">
      <c r="A1684" s="101">
        <v>2026</v>
      </c>
      <c r="B1684" s="101">
        <v>1</v>
      </c>
      <c r="C1684" s="101">
        <v>5</v>
      </c>
      <c r="D1684" s="65">
        <f>DATE(SIP[[#This Row],[Year]],SIP[[#This Row],[Month]],SIP[[#This Row],[Day]])</f>
        <v>46027</v>
      </c>
      <c r="E1684" s="66" t="str" cm="1">
        <f t="array" ref="E1684">INDEX(INVESTORS_LIST[INVESTOR NAME],MATCH(SIP[[#This Row],[Investor ID]],INVESTORS_LIST[INVESTOR CODE],0),)</f>
        <v>BIJOY CHANDRA DAS</v>
      </c>
      <c r="F1684" s="46" t="s">
        <v>497</v>
      </c>
      <c r="G1684" s="46">
        <f>COUNTIF(SIP[[#Headers],[Investor ID]]:SIP[[#This Row],[Investor ID]],SIP[[#This Row],[Investor ID]])</f>
        <v>21</v>
      </c>
      <c r="H1684" s="46" t="str">
        <f>CONCATENATE(SIP[[#This Row],[Frequency]],SIP[[#This Row],[Investor ID]])</f>
        <v>21A00224</v>
      </c>
      <c r="I1684" s="46" t="str">
        <f>IF(SIP[[#This Row],[B/S]]="B","BUY",(IF(SIP[[#This Row],[B/S]]="S","SELL"," ")))</f>
        <v>BUY</v>
      </c>
      <c r="J1684" s="150" t="s">
        <v>1229</v>
      </c>
      <c r="K1684" s="153">
        <v>5000</v>
      </c>
      <c r="L1684" s="122"/>
      <c r="M1684" s="123">
        <f>SIP[[#This Row],[Amount]]/SIP[[#This Row],[Unit]]</f>
        <v>13.774104683195592</v>
      </c>
      <c r="N1684" s="71">
        <f>SIP[[#This Row],[Unit Capital]]/10</f>
        <v>363</v>
      </c>
      <c r="O1684" s="71">
        <f>SUMIFS(SIP[[#Headers],[Unit]]:SIP[[#This Row],[Unit]],SIP[[#Headers],[Investor ID]]:SIP[[#This Row],[Investor ID]],SIP[[#This Row],[Investor ID]])</f>
        <v>8624</v>
      </c>
      <c r="P1684" s="153">
        <v>3630</v>
      </c>
      <c r="Q1684" s="74">
        <f>SIP[[#This Row],[Amount]]-SIP[[#This Row],[Unit Capital]]</f>
        <v>1370</v>
      </c>
      <c r="R16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12.17532467532468</v>
      </c>
      <c r="S1684" s="46">
        <f t="shared" si="79"/>
        <v>14.224</v>
      </c>
      <c r="T16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4" s="74" cm="1">
        <f t="array" ref="U1684">IF(SIP[[#This Row],[B/S]]="S",ABS(SIP[[#This Row],[Unit]])*(INDEX(SIP[NAV at Cost (Average)],MATCH(CONCATENATE((SIP[[#This Row],[Frequency]]-1),SIP[[#This Row],[Investor ID]]),SIP[Unique Code],0),0)),0)</f>
        <v>0</v>
      </c>
      <c r="V1684" s="74">
        <f>IF(SIP[[#This Row],[BO TRANSFER]]="YES",SIP[[#This Row],[Unit]],)</f>
        <v>0</v>
      </c>
      <c r="W1684" s="74">
        <f>SUMIFS(SIP[[#Headers],[BO UNIT TRANSFER]]:SIP[[#This Row],[BO UNIT TRANSFER]],SIP[[#Headers],[Investor ID]]:SIP[[#This Row],[Investor ID]],SIP[[#This Row],[Investor ID]])</f>
        <v>0</v>
      </c>
    </row>
    <row r="1685" spans="1:23" ht="15" customHeight="1">
      <c r="A1685" s="101">
        <v>2026</v>
      </c>
      <c r="B1685" s="101">
        <v>1</v>
      </c>
      <c r="C1685" s="101">
        <v>5</v>
      </c>
      <c r="D1685" s="65">
        <f>DATE(SIP[[#This Row],[Year]],SIP[[#This Row],[Month]],SIP[[#This Row],[Day]])</f>
        <v>46027</v>
      </c>
      <c r="E1685" s="66" t="str" cm="1">
        <f t="array" ref="E1685">INDEX(INVESTORS_LIST[INVESTOR NAME],MATCH(SIP[[#This Row],[Investor ID]],INVESTORS_LIST[INVESTOR CODE],0),)</f>
        <v>AHMED BIN MONSUR</v>
      </c>
      <c r="F1685" s="46" t="s">
        <v>692</v>
      </c>
      <c r="G1685" s="46">
        <f>COUNTIF(SIP[[#Headers],[Investor ID]]:SIP[[#This Row],[Investor ID]],SIP[[#This Row],[Investor ID]])</f>
        <v>20</v>
      </c>
      <c r="H1685" s="46" t="str">
        <f>CONCATENATE(SIP[[#This Row],[Frequency]],SIP[[#This Row],[Investor ID]])</f>
        <v>20A00322</v>
      </c>
      <c r="I1685" s="46" t="str">
        <f>IF(SIP[[#This Row],[B/S]]="B","BUY",(IF(SIP[[#This Row],[B/S]]="S","SELL"," ")))</f>
        <v>BUY</v>
      </c>
      <c r="J1685" s="150" t="s">
        <v>1229</v>
      </c>
      <c r="K1685" s="153">
        <v>20000</v>
      </c>
      <c r="L1685" s="122"/>
      <c r="M1685" s="123">
        <f>SIP[[#This Row],[Amount]]/SIP[[#This Row],[Unit]]</f>
        <v>13.774104683195592</v>
      </c>
      <c r="N1685" s="71">
        <f>SIP[[#This Row],[Unit Capital]]/10</f>
        <v>1452</v>
      </c>
      <c r="O1685" s="71">
        <f>SUMIFS(SIP[[#Headers],[Unit]]:SIP[[#This Row],[Unit]],SIP[[#Headers],[Investor ID]]:SIP[[#This Row],[Investor ID]],SIP[[#This Row],[Investor ID]])</f>
        <v>8913</v>
      </c>
      <c r="P1685" s="153">
        <v>14520</v>
      </c>
      <c r="Q1685" s="74">
        <f>SIP[[#This Row],[Amount]]-SIP[[#This Row],[Unit Capital]]</f>
        <v>5480</v>
      </c>
      <c r="R16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13.463480309660046</v>
      </c>
      <c r="S1685" s="46">
        <f t="shared" si="79"/>
        <v>14.224</v>
      </c>
      <c r="T16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5" s="74" cm="1">
        <f t="array" ref="U1685">IF(SIP[[#This Row],[B/S]]="S",ABS(SIP[[#This Row],[Unit]])*(INDEX(SIP[NAV at Cost (Average)],MATCH(CONCATENATE((SIP[[#This Row],[Frequency]]-1),SIP[[#This Row],[Investor ID]]),SIP[Unique Code],0),0)),0)</f>
        <v>0</v>
      </c>
      <c r="V1685" s="74">
        <f>IF(SIP[[#This Row],[BO TRANSFER]]="YES",SIP[[#This Row],[Unit]],)</f>
        <v>0</v>
      </c>
      <c r="W1685" s="74">
        <f>SUMIFS(SIP[[#Headers],[BO UNIT TRANSFER]]:SIP[[#This Row],[BO UNIT TRANSFER]],SIP[[#Headers],[Investor ID]]:SIP[[#This Row],[Investor ID]],SIP[[#This Row],[Investor ID]])</f>
        <v>0</v>
      </c>
    </row>
    <row r="1686" spans="1:23" ht="15" customHeight="1">
      <c r="A1686" s="101">
        <v>2026</v>
      </c>
      <c r="B1686" s="101">
        <v>1</v>
      </c>
      <c r="C1686" s="101">
        <v>5</v>
      </c>
      <c r="D1686" s="65">
        <f>DATE(SIP[[#This Row],[Year]],SIP[[#This Row],[Month]],SIP[[#This Row],[Day]])</f>
        <v>46027</v>
      </c>
      <c r="E1686" s="66" t="str" cm="1">
        <f t="array" ref="E1686">INDEX(INVESTORS_LIST[INVESTOR NAME],MATCH(SIP[[#This Row],[Investor ID]],INVESTORS_LIST[INVESTOR CODE],0),)</f>
        <v>SK FEROZ ALAM</v>
      </c>
      <c r="F1686" s="46" t="s">
        <v>240</v>
      </c>
      <c r="G1686" s="46">
        <f>COUNTIF(SIP[[#Headers],[Investor ID]]:SIP[[#This Row],[Investor ID]],SIP[[#This Row],[Investor ID]])</f>
        <v>22</v>
      </c>
      <c r="H1686" s="46" t="str">
        <f>CONCATENATE(SIP[[#This Row],[Frequency]],SIP[[#This Row],[Investor ID]])</f>
        <v>22A00096</v>
      </c>
      <c r="I1686" s="46" t="str">
        <f>IF(SIP[[#This Row],[B/S]]="B","BUY",(IF(SIP[[#This Row],[B/S]]="S","SELL"," ")))</f>
        <v>BUY</v>
      </c>
      <c r="J1686" s="150" t="s">
        <v>1229</v>
      </c>
      <c r="K1686" s="153">
        <v>1000</v>
      </c>
      <c r="L1686" s="122"/>
      <c r="M1686" s="123">
        <f>SIP[[#This Row],[Amount]]/SIP[[#This Row],[Unit]]</f>
        <v>13.698630136986301</v>
      </c>
      <c r="N1686" s="71">
        <f>SIP[[#This Row],[Unit Capital]]/10</f>
        <v>73</v>
      </c>
      <c r="O1686" s="71">
        <f>SUMIFS(SIP[[#Headers],[Unit]]:SIP[[#This Row],[Unit]],SIP[[#Headers],[Investor ID]]:SIP[[#This Row],[Investor ID]],SIP[[#This Row],[Investor ID]])</f>
        <v>447</v>
      </c>
      <c r="P1686" s="153">
        <v>730</v>
      </c>
      <c r="Q1686" s="74">
        <f>SIP[[#This Row],[Amount]]-SIP[[#This Row],[Unit Capital]]</f>
        <v>270</v>
      </c>
      <c r="R16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13.422818791946309</v>
      </c>
      <c r="S1686" s="46">
        <f t="shared" si="79"/>
        <v>14.224</v>
      </c>
      <c r="T168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6" s="74" cm="1">
        <f t="array" ref="U1686">IF(SIP[[#This Row],[B/S]]="S",ABS(SIP[[#This Row],[Unit]])*(INDEX(SIP[NAV at Cost (Average)],MATCH(CONCATENATE((SIP[[#This Row],[Frequency]]-1),SIP[[#This Row],[Investor ID]]),SIP[Unique Code],0),0)),0)</f>
        <v>0</v>
      </c>
      <c r="V1686" s="74">
        <f>IF(SIP[[#This Row],[BO TRANSFER]]="YES",SIP[[#This Row],[Unit]],)</f>
        <v>0</v>
      </c>
      <c r="W1686" s="74">
        <f>SUMIFS(SIP[[#Headers],[BO UNIT TRANSFER]]:SIP[[#This Row],[BO UNIT TRANSFER]],SIP[[#Headers],[Investor ID]]:SIP[[#This Row],[Investor ID]],SIP[[#This Row],[Investor ID]])</f>
        <v>0</v>
      </c>
    </row>
    <row r="1687" spans="1:23" ht="15" customHeight="1">
      <c r="A1687" s="101">
        <v>2026</v>
      </c>
      <c r="B1687" s="101">
        <v>1</v>
      </c>
      <c r="C1687" s="101">
        <v>5</v>
      </c>
      <c r="D1687" s="65">
        <f>DATE(SIP[[#This Row],[Year]],SIP[[#This Row],[Month]],SIP[[#This Row],[Day]])</f>
        <v>46027</v>
      </c>
      <c r="E1687" s="66" t="str" cm="1">
        <f t="array" ref="E1687">INDEX(INVESTORS_LIST[INVESTOR NAME],MATCH(SIP[[#This Row],[Investor ID]],INVESTORS_LIST[INVESTOR CODE],0),)</f>
        <v>FAIYEAD AHMEDUL HYE</v>
      </c>
      <c r="F1687" s="46" t="s">
        <v>368</v>
      </c>
      <c r="G1687" s="46">
        <f>COUNTIF(SIP[[#Headers],[Investor ID]]:SIP[[#This Row],[Investor ID]],SIP[[#This Row],[Investor ID]])</f>
        <v>29</v>
      </c>
      <c r="H1687" s="46" t="str">
        <f>CONCATENATE(SIP[[#This Row],[Frequency]],SIP[[#This Row],[Investor ID]])</f>
        <v>29A00160</v>
      </c>
      <c r="I1687" s="46" t="str">
        <f>IF(SIP[[#This Row],[B/S]]="B","BUY",(IF(SIP[[#This Row],[B/S]]="S","SELL"," ")))</f>
        <v>BUY</v>
      </c>
      <c r="J1687" s="150" t="s">
        <v>1229</v>
      </c>
      <c r="K1687" s="153">
        <v>15000</v>
      </c>
      <c r="L1687" s="122"/>
      <c r="M1687" s="123">
        <f>SIP[[#This Row],[Amount]]/SIP[[#This Row],[Unit]]</f>
        <v>13.774104683195592</v>
      </c>
      <c r="N1687" s="71">
        <f>SIP[[#This Row],[Unit Capital]]/10</f>
        <v>1089</v>
      </c>
      <c r="O1687" s="71">
        <f>SUMIFS(SIP[[#Headers],[Unit]]:SIP[[#This Row],[Unit]],SIP[[#Headers],[Investor ID]]:SIP[[#This Row],[Investor ID]],SIP[[#This Row],[Investor ID]])</f>
        <v>37965</v>
      </c>
      <c r="P1687" s="153">
        <v>10890</v>
      </c>
      <c r="Q1687" s="74">
        <f>SIP[[#This Row],[Amount]]-SIP[[#This Row],[Unit Capital]]</f>
        <v>4110</v>
      </c>
      <c r="R16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11.457921770051366</v>
      </c>
      <c r="S1687" s="46">
        <f t="shared" si="79"/>
        <v>14.224</v>
      </c>
      <c r="T168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7" s="74" cm="1">
        <f t="array" ref="U1687">IF(SIP[[#This Row],[B/S]]="S",ABS(SIP[[#This Row],[Unit]])*(INDEX(SIP[NAV at Cost (Average)],MATCH(CONCATENATE((SIP[[#This Row],[Frequency]]-1),SIP[[#This Row],[Investor ID]]),SIP[Unique Code],0),0)),0)</f>
        <v>0</v>
      </c>
      <c r="V1687" s="74">
        <f>IF(SIP[[#This Row],[BO TRANSFER]]="YES",SIP[[#This Row],[Unit]],)</f>
        <v>0</v>
      </c>
      <c r="W1687" s="74">
        <f>SUMIFS(SIP[[#Headers],[BO UNIT TRANSFER]]:SIP[[#This Row],[BO UNIT TRANSFER]],SIP[[#Headers],[Investor ID]]:SIP[[#This Row],[Investor ID]],SIP[[#This Row],[Investor ID]])</f>
        <v>0</v>
      </c>
    </row>
    <row r="1688" spans="1:23" ht="15" customHeight="1">
      <c r="A1688" s="101">
        <v>2026</v>
      </c>
      <c r="B1688" s="101">
        <v>1</v>
      </c>
      <c r="C1688" s="101">
        <v>5</v>
      </c>
      <c r="D1688" s="65">
        <f>DATE(SIP[[#This Row],[Year]],SIP[[#This Row],[Month]],SIP[[#This Row],[Day]])</f>
        <v>46027</v>
      </c>
      <c r="E1688" s="66" t="str" cm="1">
        <f t="array" ref="E1688">INDEX(INVESTORS_LIST[INVESTOR NAME],MATCH(SIP[[#This Row],[Investor ID]],INVESTORS_LIST[INVESTOR CODE],0),)</f>
        <v>CHAONIKA SAHA</v>
      </c>
      <c r="F1688" s="46" t="s">
        <v>238</v>
      </c>
      <c r="G1688" s="46">
        <f>COUNTIF(SIP[[#Headers],[Investor ID]]:SIP[[#This Row],[Investor ID]],SIP[[#This Row],[Investor ID]])</f>
        <v>30</v>
      </c>
      <c r="H1688" s="46" t="str">
        <f>CONCATENATE(SIP[[#This Row],[Frequency]],SIP[[#This Row],[Investor ID]])</f>
        <v>30A00095</v>
      </c>
      <c r="I1688" s="46" t="str">
        <f>IF(SIP[[#This Row],[B/S]]="B","BUY",(IF(SIP[[#This Row],[B/S]]="S","SELL"," ")))</f>
        <v>BUY</v>
      </c>
      <c r="J1688" s="150" t="s">
        <v>1229</v>
      </c>
      <c r="K1688" s="153">
        <v>1000</v>
      </c>
      <c r="L1688" s="122"/>
      <c r="M1688" s="123">
        <f>SIP[[#This Row],[Amount]]/SIP[[#This Row],[Unit]]</f>
        <v>13.698630136986301</v>
      </c>
      <c r="N1688" s="71">
        <f>SIP[[#This Row],[Unit Capital]]/10</f>
        <v>73</v>
      </c>
      <c r="O1688" s="71">
        <f>SUMIFS(SIP[[#Headers],[Unit]]:SIP[[#This Row],[Unit]],SIP[[#Headers],[Investor ID]]:SIP[[#This Row],[Investor ID]],SIP[[#This Row],[Investor ID]])</f>
        <v>73</v>
      </c>
      <c r="P1688" s="153">
        <v>730</v>
      </c>
      <c r="Q1688" s="74">
        <f>SIP[[#This Row],[Amount]]-SIP[[#This Row],[Unit Capital]]</f>
        <v>270</v>
      </c>
      <c r="R16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13.698630136986301</v>
      </c>
      <c r="S1688" s="46">
        <f t="shared" si="79"/>
        <v>14.224</v>
      </c>
      <c r="T168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8" s="74" cm="1">
        <f t="array" ref="U1688">IF(SIP[[#This Row],[B/S]]="S",ABS(SIP[[#This Row],[Unit]])*(INDEX(SIP[NAV at Cost (Average)],MATCH(CONCATENATE((SIP[[#This Row],[Frequency]]-1),SIP[[#This Row],[Investor ID]]),SIP[Unique Code],0),0)),0)</f>
        <v>0</v>
      </c>
      <c r="V1688" s="74">
        <f>IF(SIP[[#This Row],[BO TRANSFER]]="YES",SIP[[#This Row],[Unit]],)</f>
        <v>0</v>
      </c>
      <c r="W1688" s="74">
        <f>SUMIFS(SIP[[#Headers],[BO UNIT TRANSFER]]:SIP[[#This Row],[BO UNIT TRANSFER]],SIP[[#Headers],[Investor ID]]:SIP[[#This Row],[Investor ID]],SIP[[#This Row],[Investor ID]])</f>
        <v>0</v>
      </c>
    </row>
    <row r="1689" spans="1:23" ht="15" customHeight="1">
      <c r="A1689" s="101">
        <v>2026</v>
      </c>
      <c r="B1689" s="101">
        <v>1</v>
      </c>
      <c r="C1689" s="101">
        <v>5</v>
      </c>
      <c r="D1689" s="65">
        <f>DATE(SIP[[#This Row],[Year]],SIP[[#This Row],[Month]],SIP[[#This Row],[Day]])</f>
        <v>46027</v>
      </c>
      <c r="E1689" s="66" t="str" cm="1">
        <f t="array" ref="E1689">INDEX(INVESTORS_LIST[INVESTOR NAME],MATCH(SIP[[#This Row],[Investor ID]],INVESTORS_LIST[INVESTOR CODE],0),)</f>
        <v>MD. SHIFUL ISLAM</v>
      </c>
      <c r="F1689" s="46" t="s">
        <v>127</v>
      </c>
      <c r="G1689" s="46">
        <f>COUNTIF(SIP[[#Headers],[Investor ID]]:SIP[[#This Row],[Investor ID]],SIP[[#This Row],[Investor ID]])</f>
        <v>5</v>
      </c>
      <c r="H1689" s="46" t="str">
        <f>CONCATENATE(SIP[[#This Row],[Frequency]],SIP[[#This Row],[Investor ID]])</f>
        <v>5A00040</v>
      </c>
      <c r="I1689" s="46" t="str">
        <f>IF(SIP[[#This Row],[B/S]]="B","BUY",(IF(SIP[[#This Row],[B/S]]="S","SELL"," ")))</f>
        <v>BUY</v>
      </c>
      <c r="J1689" s="150" t="s">
        <v>1229</v>
      </c>
      <c r="K1689" s="153">
        <v>5000</v>
      </c>
      <c r="L1689" s="122"/>
      <c r="M1689" s="123">
        <f>SIP[[#This Row],[Amount]]/SIP[[#This Row],[Unit]]</f>
        <v>13.774104683195592</v>
      </c>
      <c r="N1689" s="71">
        <f>SIP[[#This Row],[Unit Capital]]/10</f>
        <v>363</v>
      </c>
      <c r="O1689" s="71">
        <f>SUMIFS(SIP[[#Headers],[Unit]]:SIP[[#This Row],[Unit]],SIP[[#Headers],[Investor ID]]:SIP[[#This Row],[Investor ID]],SIP[[#This Row],[Investor ID]])</f>
        <v>1838</v>
      </c>
      <c r="P1689" s="153">
        <v>3630</v>
      </c>
      <c r="Q1689" s="74">
        <f>SIP[[#This Row],[Amount]]-SIP[[#This Row],[Unit Capital]]</f>
        <v>1370</v>
      </c>
      <c r="R16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13.601741022850923</v>
      </c>
      <c r="S1689" s="46">
        <f t="shared" si="79"/>
        <v>14.224</v>
      </c>
      <c r="T168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9" s="74" cm="1">
        <f t="array" ref="U1689">IF(SIP[[#This Row],[B/S]]="S",ABS(SIP[[#This Row],[Unit]])*(INDEX(SIP[NAV at Cost (Average)],MATCH(CONCATENATE((SIP[[#This Row],[Frequency]]-1),SIP[[#This Row],[Investor ID]]),SIP[Unique Code],0),0)),0)</f>
        <v>0</v>
      </c>
      <c r="V1689" s="74">
        <f>IF(SIP[[#This Row],[BO TRANSFER]]="YES",SIP[[#This Row],[Unit]],)</f>
        <v>0</v>
      </c>
      <c r="W1689" s="74">
        <f>SUMIFS(SIP[[#Headers],[BO UNIT TRANSFER]]:SIP[[#This Row],[BO UNIT TRANSFER]],SIP[[#Headers],[Investor ID]]:SIP[[#This Row],[Investor ID]],SIP[[#This Row],[Investor ID]])</f>
        <v>0</v>
      </c>
    </row>
    <row r="1690" spans="1:23" ht="15" customHeight="1">
      <c r="A1690" s="101">
        <v>2026</v>
      </c>
      <c r="B1690" s="101">
        <v>1</v>
      </c>
      <c r="C1690" s="101">
        <v>5</v>
      </c>
      <c r="D1690" s="65">
        <f>DATE(SIP[[#This Row],[Year]],SIP[[#This Row],[Month]],SIP[[#This Row],[Day]])</f>
        <v>46027</v>
      </c>
      <c r="E1690" s="66" t="str" cm="1">
        <f t="array" ref="E1690">INDEX(INVESTORS_LIST[INVESTOR NAME],MATCH(SIP[[#This Row],[Investor ID]],INVESTORS_LIST[INVESTOR CODE],0),)</f>
        <v>MAYMUNA AKTAR</v>
      </c>
      <c r="F1690" s="46" t="s">
        <v>1440</v>
      </c>
      <c r="G1690" s="46">
        <f>COUNTIF(SIP[[#Headers],[Investor ID]]:SIP[[#This Row],[Investor ID]],SIP[[#This Row],[Investor ID]])</f>
        <v>4</v>
      </c>
      <c r="H1690" s="46" t="str">
        <f>CONCATENATE(SIP[[#This Row],[Frequency]],SIP[[#This Row],[Investor ID]])</f>
        <v>4A00663</v>
      </c>
      <c r="I1690" s="46" t="str">
        <f>IF(SIP[[#This Row],[B/S]]="B","BUY",(IF(SIP[[#This Row],[B/S]]="S","SELL"," ")))</f>
        <v>BUY</v>
      </c>
      <c r="J1690" s="150" t="s">
        <v>1229</v>
      </c>
      <c r="K1690" s="153">
        <v>5000</v>
      </c>
      <c r="L1690" s="122"/>
      <c r="M1690" s="123">
        <f>SIP[[#This Row],[Amount]]/SIP[[#This Row],[Unit]]</f>
        <v>13.774104683195592</v>
      </c>
      <c r="N1690" s="71">
        <f>SIP[[#This Row],[Unit Capital]]/10</f>
        <v>363</v>
      </c>
      <c r="O1690" s="71">
        <f>SUMIFS(SIP[[#Headers],[Unit]]:SIP[[#This Row],[Unit]],SIP[[#Headers],[Investor ID]]:SIP[[#This Row],[Investor ID]],SIP[[#This Row],[Investor ID]])</f>
        <v>1461</v>
      </c>
      <c r="P1690" s="153">
        <v>3630</v>
      </c>
      <c r="Q1690" s="74">
        <f>SIP[[#This Row],[Amount]]-SIP[[#This Row],[Unit Capital]]</f>
        <v>1370</v>
      </c>
      <c r="R16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13.689253935660506</v>
      </c>
      <c r="S1690" s="46">
        <f t="shared" si="79"/>
        <v>14.224</v>
      </c>
      <c r="T16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0" s="74" cm="1">
        <f t="array" ref="U1690">IF(SIP[[#This Row],[B/S]]="S",ABS(SIP[[#This Row],[Unit]])*(INDEX(SIP[NAV at Cost (Average)],MATCH(CONCATENATE((SIP[[#This Row],[Frequency]]-1),SIP[[#This Row],[Investor ID]]),SIP[Unique Code],0),0)),0)</f>
        <v>0</v>
      </c>
      <c r="V1690" s="74">
        <f>IF(SIP[[#This Row],[BO TRANSFER]]="YES",SIP[[#This Row],[Unit]],)</f>
        <v>0</v>
      </c>
      <c r="W1690" s="74">
        <f>SUMIFS(SIP[[#Headers],[BO UNIT TRANSFER]]:SIP[[#This Row],[BO UNIT TRANSFER]],SIP[[#Headers],[Investor ID]]:SIP[[#This Row],[Investor ID]],SIP[[#This Row],[Investor ID]])</f>
        <v>0</v>
      </c>
    </row>
    <row r="1691" spans="1:23" ht="15" customHeight="1">
      <c r="A1691" s="101">
        <v>2026</v>
      </c>
      <c r="B1691" s="101">
        <v>1</v>
      </c>
      <c r="C1691" s="101">
        <v>11</v>
      </c>
      <c r="D1691" s="65">
        <f>DATE(SIP[[#This Row],[Year]],SIP[[#This Row],[Month]],SIP[[#This Row],[Day]])</f>
        <v>46033</v>
      </c>
      <c r="E1691" s="66" t="str" cm="1">
        <f t="array" ref="E1691">INDEX(INVESTORS_LIST[INVESTOR NAME],MATCH(SIP[[#This Row],[Investor ID]],INVESTORS_LIST[INVESTOR CODE],0),)</f>
        <v>MD. OMAR FARUQUE Al QUADERI</v>
      </c>
      <c r="F1691" s="46" t="s">
        <v>160</v>
      </c>
      <c r="G1691" s="46">
        <f>COUNTIF(SIP[[#Headers],[Investor ID]]:SIP[[#This Row],[Investor ID]],SIP[[#This Row],[Investor ID]])</f>
        <v>4</v>
      </c>
      <c r="H1691" s="46" t="str">
        <f>CONCATENATE(SIP[[#This Row],[Frequency]],SIP[[#This Row],[Investor ID]])</f>
        <v>4A00056</v>
      </c>
      <c r="I1691" s="46" t="str">
        <f>IF(SIP[[#This Row],[B/S]]="B","BUY",(IF(SIP[[#This Row],[B/S]]="S","SELL"," ")))</f>
        <v>BUY</v>
      </c>
      <c r="J1691" s="150" t="s">
        <v>1229</v>
      </c>
      <c r="K1691" s="153">
        <v>5000</v>
      </c>
      <c r="L1691" s="122"/>
      <c r="M1691" s="123">
        <f>SIP[[#This Row],[Amount]]/SIP[[#This Row],[Unit]]</f>
        <v>13.812154696132596</v>
      </c>
      <c r="N1691" s="71">
        <f>SIP[[#This Row],[Unit Capital]]/10</f>
        <v>362</v>
      </c>
      <c r="O1691" s="71">
        <f>SUMIFS(SIP[[#Headers],[Unit]]:SIP[[#This Row],[Unit]],SIP[[#Headers],[Investor ID]]:SIP[[#This Row],[Investor ID]],SIP[[#This Row],[Investor ID]])</f>
        <v>1457</v>
      </c>
      <c r="P1691" s="153">
        <v>3620</v>
      </c>
      <c r="Q1691" s="74">
        <f>SIP[[#This Row],[Amount]]-SIP[[#This Row],[Unit Capital]]</f>
        <v>1380</v>
      </c>
      <c r="R16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13.726835964310228</v>
      </c>
      <c r="S1691" s="46">
        <f t="shared" ref="S1691:S1703" si="80">NAV_MKT</f>
        <v>14.224</v>
      </c>
      <c r="T16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1" s="74" cm="1">
        <f t="array" ref="U1691">IF(SIP[[#This Row],[B/S]]="S",ABS(SIP[[#This Row],[Unit]])*(INDEX(SIP[NAV at Cost (Average)],MATCH(CONCATENATE((SIP[[#This Row],[Frequency]]-1),SIP[[#This Row],[Investor ID]]),SIP[Unique Code],0),0)),0)</f>
        <v>0</v>
      </c>
      <c r="V1691" s="74">
        <f>IF(SIP[[#This Row],[BO TRANSFER]]="YES",SIP[[#This Row],[Unit]],)</f>
        <v>0</v>
      </c>
      <c r="W1691" s="74">
        <f>SUMIFS(SIP[[#Headers],[BO UNIT TRANSFER]]:SIP[[#This Row],[BO UNIT TRANSFER]],SIP[[#Headers],[Investor ID]]:SIP[[#This Row],[Investor ID]],SIP[[#This Row],[Investor ID]])</f>
        <v>0</v>
      </c>
    </row>
    <row r="1692" spans="1:23" ht="15" customHeight="1">
      <c r="A1692" s="101">
        <v>2026</v>
      </c>
      <c r="B1692" s="101">
        <v>1</v>
      </c>
      <c r="C1692" s="101">
        <v>14</v>
      </c>
      <c r="D1692" s="65">
        <f>DATE(SIP[[#This Row],[Year]],SIP[[#This Row],[Month]],SIP[[#This Row],[Day]])</f>
        <v>46036</v>
      </c>
      <c r="E1692" s="66" t="str" cm="1">
        <f t="array" ref="E1692">INDEX(INVESTORS_LIST[INVESTOR NAME],MATCH(SIP[[#This Row],[Investor ID]],INVESTORS_LIST[INVESTOR CODE],0),)</f>
        <v>EDUINT LIMITED</v>
      </c>
      <c r="F1692" s="46" t="s">
        <v>1482</v>
      </c>
      <c r="G1692" s="46">
        <f>COUNTIF(SIP[[#Headers],[Investor ID]]:SIP[[#This Row],[Investor ID]],SIP[[#This Row],[Investor ID]])</f>
        <v>1</v>
      </c>
      <c r="H1692" s="46" t="str">
        <f>CONCATENATE(SIP[[#This Row],[Frequency]],SIP[[#This Row],[Investor ID]])</f>
        <v>1A00687</v>
      </c>
      <c r="I1692" s="46" t="str">
        <f>IF(SIP[[#This Row],[B/S]]="B","BUY",(IF(SIP[[#This Row],[B/S]]="S","SELL"," ")))</f>
        <v>BUY</v>
      </c>
      <c r="J1692" s="150" t="s">
        <v>1229</v>
      </c>
      <c r="K1692" s="152">
        <v>5000</v>
      </c>
      <c r="L1692" s="122"/>
      <c r="M1692" s="123">
        <f>SIP[[#This Row],[Amount]]/SIP[[#This Row],[Unit]]</f>
        <v>13.812154696132596</v>
      </c>
      <c r="N1692" s="71">
        <f>SIP[[#This Row],[Unit Capital]]/10</f>
        <v>362</v>
      </c>
      <c r="O1692" s="71">
        <f>SUMIFS(SIP[[#Headers],[Unit]]:SIP[[#This Row],[Unit]],SIP[[#Headers],[Investor ID]]:SIP[[#This Row],[Investor ID]],SIP[[#This Row],[Investor ID]])</f>
        <v>362</v>
      </c>
      <c r="P1692" s="153">
        <v>3620</v>
      </c>
      <c r="Q1692" s="74">
        <f>SIP[[#This Row],[Amount]]-SIP[[#This Row],[Unit Capital]]</f>
        <v>1380</v>
      </c>
      <c r="R16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13.812154696132596</v>
      </c>
      <c r="S1692" s="46">
        <f t="shared" si="80"/>
        <v>14.224</v>
      </c>
      <c r="T16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2" s="74" cm="1">
        <f t="array" ref="U1692">IF(SIP[[#This Row],[B/S]]="S",ABS(SIP[[#This Row],[Unit]])*(INDEX(SIP[NAV at Cost (Average)],MATCH(CONCATENATE((SIP[[#This Row],[Frequency]]-1),SIP[[#This Row],[Investor ID]]),SIP[Unique Code],0),0)),0)</f>
        <v>0</v>
      </c>
      <c r="V1692" s="74">
        <f>IF(SIP[[#This Row],[BO TRANSFER]]="YES",SIP[[#This Row],[Unit]],)</f>
        <v>0</v>
      </c>
      <c r="W1692" s="74">
        <f>SUMIFS(SIP[[#Headers],[BO UNIT TRANSFER]]:SIP[[#This Row],[BO UNIT TRANSFER]],SIP[[#Headers],[Investor ID]]:SIP[[#This Row],[Investor ID]],SIP[[#This Row],[Investor ID]])</f>
        <v>0</v>
      </c>
    </row>
    <row r="1693" spans="1:23" ht="15" customHeight="1">
      <c r="A1693" s="101">
        <v>2026</v>
      </c>
      <c r="B1693" s="101">
        <v>1</v>
      </c>
      <c r="C1693" s="101">
        <v>15</v>
      </c>
      <c r="D1693" s="65">
        <f>DATE(SIP[[#This Row],[Year]],SIP[[#This Row],[Month]],SIP[[#This Row],[Day]])</f>
        <v>46037</v>
      </c>
      <c r="E1693" s="66" t="str" cm="1">
        <f t="array" ref="E1693">INDEX(INVESTORS_LIST[INVESTOR NAME],MATCH(SIP[[#This Row],[Investor ID]],INVESTORS_LIST[INVESTOR CODE],0),)</f>
        <v>MAHFUZA ANIKA</v>
      </c>
      <c r="F1693" s="46" t="s">
        <v>1277</v>
      </c>
      <c r="G1693" s="46">
        <f>COUNTIF(SIP[[#Headers],[Investor ID]]:SIP[[#This Row],[Investor ID]],SIP[[#This Row],[Investor ID]])</f>
        <v>21</v>
      </c>
      <c r="H1693" s="46" t="str">
        <f>CONCATENATE(SIP[[#This Row],[Frequency]],SIP[[#This Row],[Investor ID]])</f>
        <v>21A00585</v>
      </c>
      <c r="I1693" s="46" t="str">
        <f>IF(SIP[[#This Row],[B/S]]="B","BUY",(IF(SIP[[#This Row],[B/S]]="S","SELL"," ")))</f>
        <v>BUY</v>
      </c>
      <c r="J1693" s="150" t="s">
        <v>1229</v>
      </c>
      <c r="K1693" s="152">
        <v>2000</v>
      </c>
      <c r="L1693" s="122"/>
      <c r="M1693" s="123">
        <f>SIP[[#This Row],[Amount]]/SIP[[#This Row],[Unit]]</f>
        <v>13.793103448275861</v>
      </c>
      <c r="N1693" s="71">
        <f>SIP[[#This Row],[Unit Capital]]/10</f>
        <v>145</v>
      </c>
      <c r="O1693" s="71">
        <f>SUMIFS(SIP[[#Headers],[Unit]]:SIP[[#This Row],[Unit]],SIP[[#Headers],[Investor ID]]:SIP[[#This Row],[Investor ID]],SIP[[#This Row],[Investor ID]])</f>
        <v>873</v>
      </c>
      <c r="P1693" s="153">
        <v>1450</v>
      </c>
      <c r="Q1693" s="74">
        <f>SIP[[#This Row],[Amount]]-SIP[[#This Row],[Unit Capital]]</f>
        <v>550</v>
      </c>
      <c r="R16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13.400259976183413</v>
      </c>
      <c r="S1693" s="46">
        <f t="shared" si="80"/>
        <v>14.224</v>
      </c>
      <c r="T16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3" s="74" cm="1">
        <f t="array" ref="U1693">IF(SIP[[#This Row],[B/S]]="S",ABS(SIP[[#This Row],[Unit]])*(INDEX(SIP[NAV at Cost (Average)],MATCH(CONCATENATE((SIP[[#This Row],[Frequency]]-1),SIP[[#This Row],[Investor ID]]),SIP[Unique Code],0),0)),0)</f>
        <v>0</v>
      </c>
      <c r="V1693" s="74">
        <f>IF(SIP[[#This Row],[BO TRANSFER]]="YES",SIP[[#This Row],[Unit]],)</f>
        <v>0</v>
      </c>
      <c r="W1693" s="74">
        <f>SUMIFS(SIP[[#Headers],[BO UNIT TRANSFER]]:SIP[[#This Row],[BO UNIT TRANSFER]],SIP[[#Headers],[Investor ID]]:SIP[[#This Row],[Investor ID]],SIP[[#This Row],[Investor ID]])</f>
        <v>0</v>
      </c>
    </row>
    <row r="1694" spans="1:23" ht="15" customHeight="1">
      <c r="A1694" s="101">
        <v>2026</v>
      </c>
      <c r="B1694" s="101">
        <v>1</v>
      </c>
      <c r="C1694" s="101">
        <v>15</v>
      </c>
      <c r="D1694" s="65">
        <f>DATE(SIP[[#This Row],[Year]],SIP[[#This Row],[Month]],SIP[[#This Row],[Day]])</f>
        <v>46037</v>
      </c>
      <c r="E1694" s="66" t="str" cm="1">
        <f t="array" ref="E1694">INDEX(INVESTORS_LIST[INVESTOR NAME],MATCH(SIP[[#This Row],[Investor ID]],INVESTORS_LIST[INVESTOR CODE],0),)</f>
        <v>ASRAAR HOSSAIN</v>
      </c>
      <c r="F1694" s="46" t="s">
        <v>786</v>
      </c>
      <c r="G1694" s="46">
        <f>COUNTIF(SIP[[#Headers],[Investor ID]]:SIP[[#This Row],[Investor ID]],SIP[[#This Row],[Investor ID]])</f>
        <v>16</v>
      </c>
      <c r="H1694" s="46" t="str">
        <f>CONCATENATE(SIP[[#This Row],[Frequency]],SIP[[#This Row],[Investor ID]])</f>
        <v>16A00369</v>
      </c>
      <c r="I1694" s="46" t="str">
        <f>IF(SIP[[#This Row],[B/S]]="B","BUY",(IF(SIP[[#This Row],[B/S]]="S","SELL"," ")))</f>
        <v>BUY</v>
      </c>
      <c r="J1694" s="150" t="s">
        <v>1229</v>
      </c>
      <c r="K1694" s="152">
        <v>15000</v>
      </c>
      <c r="L1694" s="122" t="s">
        <v>1230</v>
      </c>
      <c r="M1694" s="123">
        <f>SIP[[#This Row],[Amount]]/SIP[[#This Row],[Unit]]</f>
        <v>13.837638376383763</v>
      </c>
      <c r="N1694" s="71">
        <f>SIP[[#This Row],[Unit Capital]]/10</f>
        <v>1084</v>
      </c>
      <c r="O1694" s="71">
        <f>SUMIFS(SIP[[#Headers],[Unit]]:SIP[[#This Row],[Unit]],SIP[[#Headers],[Investor ID]]:SIP[[#This Row],[Investor ID]],SIP[[#This Row],[Investor ID]])</f>
        <v>18970</v>
      </c>
      <c r="P1694" s="153">
        <v>10840</v>
      </c>
      <c r="Q1694" s="74">
        <f>SIP[[#This Row],[Amount]]-SIP[[#This Row],[Unit Capital]]</f>
        <v>4160</v>
      </c>
      <c r="R16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12.651555086979439</v>
      </c>
      <c r="S1694" s="46">
        <f t="shared" si="80"/>
        <v>14.224</v>
      </c>
      <c r="T16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4" s="74" cm="1">
        <f t="array" ref="U1694">IF(SIP[[#This Row],[B/S]]="S",ABS(SIP[[#This Row],[Unit]])*(INDEX(SIP[NAV at Cost (Average)],MATCH(CONCATENATE((SIP[[#This Row],[Frequency]]-1),SIP[[#This Row],[Investor ID]]),SIP[Unique Code],0),0)),0)</f>
        <v>0</v>
      </c>
      <c r="V1694" s="74">
        <f>IF(SIP[[#This Row],[BO TRANSFER]]="YES",SIP[[#This Row],[Unit]],)</f>
        <v>1084</v>
      </c>
      <c r="W1694" s="74">
        <f>SUMIFS(SIP[[#Headers],[BO UNIT TRANSFER]]:SIP[[#This Row],[BO UNIT TRANSFER]],SIP[[#Headers],[Investor ID]]:SIP[[#This Row],[Investor ID]],SIP[[#This Row],[Investor ID]])</f>
        <v>7830</v>
      </c>
    </row>
    <row r="1695" spans="1:23" ht="15" customHeight="1">
      <c r="A1695" s="101">
        <v>2026</v>
      </c>
      <c r="B1695" s="101">
        <v>1</v>
      </c>
      <c r="C1695" s="101">
        <v>15</v>
      </c>
      <c r="D1695" s="65">
        <f>DATE(SIP[[#This Row],[Year]],SIP[[#This Row],[Month]],SIP[[#This Row],[Day]])</f>
        <v>46037</v>
      </c>
      <c r="E1695" s="66" t="str" cm="1">
        <f t="array" ref="E1695">INDEX(INVESTORS_LIST[INVESTOR NAME],MATCH(SIP[[#This Row],[Investor ID]],INVESTORS_LIST[INVESTOR CODE],0),)</f>
        <v>ASHIK CHOWDHURY OVI</v>
      </c>
      <c r="F1695" s="46" t="s">
        <v>1101</v>
      </c>
      <c r="G1695" s="46">
        <f>COUNTIF(SIP[[#Headers],[Investor ID]]:SIP[[#This Row],[Investor ID]],SIP[[#This Row],[Investor ID]])</f>
        <v>10</v>
      </c>
      <c r="H1695" s="46" t="str">
        <f>CONCATENATE(SIP[[#This Row],[Frequency]],SIP[[#This Row],[Investor ID]])</f>
        <v>10A00527</v>
      </c>
      <c r="I1695" s="46" t="str">
        <f>IF(SIP[[#This Row],[B/S]]="B","BUY",(IF(SIP[[#This Row],[B/S]]="S","SELL"," ")))</f>
        <v>BUY</v>
      </c>
      <c r="J1695" s="150" t="s">
        <v>1229</v>
      </c>
      <c r="K1695" s="152">
        <v>5000</v>
      </c>
      <c r="L1695" s="122"/>
      <c r="M1695" s="123">
        <f>SIP[[#This Row],[Amount]]/SIP[[#This Row],[Unit]]</f>
        <v>13.850415512465373</v>
      </c>
      <c r="N1695" s="71">
        <f>SIP[[#This Row],[Unit Capital]]/10</f>
        <v>361</v>
      </c>
      <c r="O1695" s="71">
        <f>SUMIFS(SIP[[#Headers],[Unit]]:SIP[[#This Row],[Unit]],SIP[[#Headers],[Investor ID]]:SIP[[#This Row],[Investor ID]],SIP[[#This Row],[Investor ID]])</f>
        <v>723</v>
      </c>
      <c r="P1695" s="153">
        <v>3610</v>
      </c>
      <c r="Q1695" s="74">
        <f>SIP[[#This Row],[Amount]]-SIP[[#This Row],[Unit Capital]]</f>
        <v>1390</v>
      </c>
      <c r="R16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13.831258644536653</v>
      </c>
      <c r="S1695" s="46">
        <f t="shared" si="80"/>
        <v>14.224</v>
      </c>
      <c r="T16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5" s="74" cm="1">
        <f t="array" ref="U1695">IF(SIP[[#This Row],[B/S]]="S",ABS(SIP[[#This Row],[Unit]])*(INDEX(SIP[NAV at Cost (Average)],MATCH(CONCATENATE((SIP[[#This Row],[Frequency]]-1),SIP[[#This Row],[Investor ID]]),SIP[Unique Code],0),0)),0)</f>
        <v>0</v>
      </c>
      <c r="V1695" s="74">
        <f>IF(SIP[[#This Row],[BO TRANSFER]]="YES",SIP[[#This Row],[Unit]],)</f>
        <v>0</v>
      </c>
      <c r="W1695" s="74">
        <f>SUMIFS(SIP[[#Headers],[BO UNIT TRANSFER]]:SIP[[#This Row],[BO UNIT TRANSFER]],SIP[[#Headers],[Investor ID]]:SIP[[#This Row],[Investor ID]],SIP[[#This Row],[Investor ID]])</f>
        <v>0</v>
      </c>
    </row>
    <row r="1696" spans="1:23" ht="15" customHeight="1">
      <c r="A1696" s="101">
        <v>2026</v>
      </c>
      <c r="B1696" s="101">
        <v>1</v>
      </c>
      <c r="C1696" s="101">
        <v>15</v>
      </c>
      <c r="D1696" s="65">
        <f>DATE(SIP[[#This Row],[Year]],SIP[[#This Row],[Month]],SIP[[#This Row],[Day]])</f>
        <v>46037</v>
      </c>
      <c r="E1696" s="66" t="str" cm="1">
        <f t="array" ref="E1696">INDEX(INVESTORS_LIST[INVESTOR NAME],MATCH(SIP[[#This Row],[Investor ID]],INVESTORS_LIST[INVESTOR CODE],0),)</f>
        <v>AMIT KANTI SARKER</v>
      </c>
      <c r="F1696" s="46" t="s">
        <v>364</v>
      </c>
      <c r="G1696" s="46">
        <f>COUNTIF(SIP[[#Headers],[Investor ID]]:SIP[[#This Row],[Investor ID]],SIP[[#This Row],[Investor ID]])</f>
        <v>2</v>
      </c>
      <c r="H1696" s="46" t="str">
        <f>CONCATENATE(SIP[[#This Row],[Frequency]],SIP[[#This Row],[Investor ID]])</f>
        <v>2A00158</v>
      </c>
      <c r="I1696" s="46" t="str">
        <f>IF(SIP[[#This Row],[B/S]]="B","BUY",(IF(SIP[[#This Row],[B/S]]="S","SELL"," ")))</f>
        <v>BUY</v>
      </c>
      <c r="J1696" s="150" t="s">
        <v>1229</v>
      </c>
      <c r="K1696" s="152">
        <v>10000</v>
      </c>
      <c r="L1696" s="122"/>
      <c r="M1696" s="123">
        <f>SIP[[#This Row],[Amount]]/SIP[[#This Row],[Unit]]</f>
        <v>13.831258644536653</v>
      </c>
      <c r="N1696" s="71">
        <f>SIP[[#This Row],[Unit Capital]]/10</f>
        <v>723</v>
      </c>
      <c r="O1696" s="71">
        <f>SUMIFS(SIP[[#Headers],[Unit]]:SIP[[#This Row],[Unit]],SIP[[#Headers],[Investor ID]]:SIP[[#This Row],[Investor ID]],SIP[[#This Row],[Investor ID]])</f>
        <v>1449</v>
      </c>
      <c r="P1696" s="153">
        <v>7230</v>
      </c>
      <c r="Q1696" s="74">
        <f>SIP[[#This Row],[Amount]]-SIP[[#This Row],[Unit Capital]]</f>
        <v>2770</v>
      </c>
      <c r="R16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13.802622498274673</v>
      </c>
      <c r="S1696" s="46">
        <f t="shared" si="80"/>
        <v>14.224</v>
      </c>
      <c r="T16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6" s="74" cm="1">
        <f t="array" ref="U1696">IF(SIP[[#This Row],[B/S]]="S",ABS(SIP[[#This Row],[Unit]])*(INDEX(SIP[NAV at Cost (Average)],MATCH(CONCATENATE((SIP[[#This Row],[Frequency]]-1),SIP[[#This Row],[Investor ID]]),SIP[Unique Code],0),0)),0)</f>
        <v>0</v>
      </c>
      <c r="V1696" s="74">
        <f>IF(SIP[[#This Row],[BO TRANSFER]]="YES",SIP[[#This Row],[Unit]],)</f>
        <v>0</v>
      </c>
      <c r="W1696" s="74">
        <f>SUMIFS(SIP[[#Headers],[BO UNIT TRANSFER]]:SIP[[#This Row],[BO UNIT TRANSFER]],SIP[[#Headers],[Investor ID]]:SIP[[#This Row],[Investor ID]],SIP[[#This Row],[Investor ID]])</f>
        <v>0</v>
      </c>
    </row>
    <row r="1697" spans="1:23" ht="15" customHeight="1">
      <c r="A1697" s="101">
        <v>2026</v>
      </c>
      <c r="B1697" s="101">
        <v>1</v>
      </c>
      <c r="C1697" s="101">
        <v>15</v>
      </c>
      <c r="D1697" s="65">
        <f>DATE(SIP[[#This Row],[Year]],SIP[[#This Row],[Month]],SIP[[#This Row],[Day]])</f>
        <v>46037</v>
      </c>
      <c r="E1697" s="66" t="str" cm="1">
        <f t="array" ref="E1697">INDEX(INVESTORS_LIST[INVESTOR NAME],MATCH(SIP[[#This Row],[Investor ID]],INVESTORS_LIST[INVESTOR CODE],0),)</f>
        <v>MAHMUD ALI ALAMGIR &amp; MOHAMMED ALI XAHANGIR</v>
      </c>
      <c r="F1697" s="46" t="s">
        <v>1130</v>
      </c>
      <c r="G1697" s="46">
        <f>COUNTIF(SIP[[#Headers],[Investor ID]]:SIP[[#This Row],[Investor ID]],SIP[[#This Row],[Investor ID]])</f>
        <v>37</v>
      </c>
      <c r="H1697" s="46" t="str">
        <f>CONCATENATE(SIP[[#This Row],[Frequency]],SIP[[#This Row],[Investor ID]])</f>
        <v>37A00540</v>
      </c>
      <c r="I1697" s="46" t="str">
        <f>IF(SIP[[#This Row],[B/S]]="B","BUY",(IF(SIP[[#This Row],[B/S]]="S","SELL"," ")))</f>
        <v>BUY</v>
      </c>
      <c r="J1697" s="150" t="s">
        <v>1229</v>
      </c>
      <c r="K1697" s="152">
        <v>40000</v>
      </c>
      <c r="L1697" s="122"/>
      <c r="M1697" s="123">
        <f>SIP[[#This Row],[Amount]]/SIP[[#This Row],[Unit]]</f>
        <v>13.836042891732964</v>
      </c>
      <c r="N1697" s="71">
        <f>SIP[[#This Row],[Unit Capital]]/10</f>
        <v>2891</v>
      </c>
      <c r="O1697" s="71">
        <f>SUMIFS(SIP[[#Headers],[Unit]]:SIP[[#This Row],[Unit]],SIP[[#Headers],[Investor ID]]:SIP[[#This Row],[Investor ID]],SIP[[#This Row],[Investor ID]])</f>
        <v>3367</v>
      </c>
      <c r="P1697" s="153">
        <v>28910</v>
      </c>
      <c r="Q1697" s="74">
        <f>SIP[[#This Row],[Amount]]-SIP[[#This Row],[Unit Capital]]</f>
        <v>11090</v>
      </c>
      <c r="R16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13.757433219440683</v>
      </c>
      <c r="S1697" s="46">
        <f t="shared" si="80"/>
        <v>14.224</v>
      </c>
      <c r="T16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7" s="74" cm="1">
        <f t="array" ref="U1697">IF(SIP[[#This Row],[B/S]]="S",ABS(SIP[[#This Row],[Unit]])*(INDEX(SIP[NAV at Cost (Average)],MATCH(CONCATENATE((SIP[[#This Row],[Frequency]]-1),SIP[[#This Row],[Investor ID]]),SIP[Unique Code],0),0)),0)</f>
        <v>0</v>
      </c>
      <c r="V1697" s="74">
        <f>IF(SIP[[#This Row],[BO TRANSFER]]="YES",SIP[[#This Row],[Unit]],)</f>
        <v>0</v>
      </c>
      <c r="W1697" s="74">
        <f>SUMIFS(SIP[[#Headers],[BO UNIT TRANSFER]]:SIP[[#This Row],[BO UNIT TRANSFER]],SIP[[#Headers],[Investor ID]]:SIP[[#This Row],[Investor ID]],SIP[[#This Row],[Investor ID]])</f>
        <v>0</v>
      </c>
    </row>
    <row r="1698" spans="1:23" ht="15" customHeight="1">
      <c r="A1698" s="101">
        <v>2026</v>
      </c>
      <c r="B1698" s="101">
        <v>1</v>
      </c>
      <c r="C1698" s="101">
        <v>15</v>
      </c>
      <c r="D1698" s="65">
        <f>DATE(SIP[[#This Row],[Year]],SIP[[#This Row],[Month]],SIP[[#This Row],[Day]])</f>
        <v>46037</v>
      </c>
      <c r="E1698" s="66" t="str" cm="1">
        <f t="array" ref="E1698">INDEX(INVESTORS_LIST[INVESTOR NAME],MATCH(SIP[[#This Row],[Investor ID]],INVESTORS_LIST[INVESTOR CODE],0),)</f>
        <v>TAPAN KUMAR KHAN</v>
      </c>
      <c r="F1698" s="46" t="s">
        <v>1483</v>
      </c>
      <c r="G1698" s="46">
        <f>COUNTIF(SIP[[#Headers],[Investor ID]]:SIP[[#This Row],[Investor ID]],SIP[[#This Row],[Investor ID]])</f>
        <v>1</v>
      </c>
      <c r="H1698" s="46" t="str">
        <f>CONCATENATE(SIP[[#This Row],[Frequency]],SIP[[#This Row],[Investor ID]])</f>
        <v>1A00688</v>
      </c>
      <c r="I1698" s="46" t="str">
        <f>IF(SIP[[#This Row],[B/S]]="B","BUY",(IF(SIP[[#This Row],[B/S]]="S","SELL"," ")))</f>
        <v>BUY</v>
      </c>
      <c r="J1698" s="150" t="s">
        <v>1229</v>
      </c>
      <c r="K1698" s="152">
        <v>3000</v>
      </c>
      <c r="L1698" s="122" t="s">
        <v>1230</v>
      </c>
      <c r="M1698" s="123">
        <f>SIP[[#This Row],[Amount]]/SIP[[#This Row],[Unit]]</f>
        <v>13.824884792626728</v>
      </c>
      <c r="N1698" s="71">
        <f>SIP[[#This Row],[Unit Capital]]/10</f>
        <v>217</v>
      </c>
      <c r="O1698" s="71">
        <f>SUMIFS(SIP[[#Headers],[Unit]]:SIP[[#This Row],[Unit]],SIP[[#Headers],[Investor ID]]:SIP[[#This Row],[Investor ID]],SIP[[#This Row],[Investor ID]])</f>
        <v>217</v>
      </c>
      <c r="P1698" s="153">
        <v>2170</v>
      </c>
      <c r="Q1698" s="74">
        <f>SIP[[#This Row],[Amount]]-SIP[[#This Row],[Unit Capital]]</f>
        <v>830</v>
      </c>
      <c r="R16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13.824884792626728</v>
      </c>
      <c r="S1698" s="46">
        <f t="shared" si="80"/>
        <v>14.224</v>
      </c>
      <c r="T16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8" s="74" cm="1">
        <f t="array" ref="U1698">IF(SIP[[#This Row],[B/S]]="S",ABS(SIP[[#This Row],[Unit]])*(INDEX(SIP[NAV at Cost (Average)],MATCH(CONCATENATE((SIP[[#This Row],[Frequency]]-1),SIP[[#This Row],[Investor ID]]),SIP[Unique Code],0),0)),0)</f>
        <v>0</v>
      </c>
      <c r="V1698" s="74">
        <f>IF(SIP[[#This Row],[BO TRANSFER]]="YES",SIP[[#This Row],[Unit]],)</f>
        <v>217</v>
      </c>
      <c r="W1698" s="74">
        <f>SUMIFS(SIP[[#Headers],[BO UNIT TRANSFER]]:SIP[[#This Row],[BO UNIT TRANSFER]],SIP[[#Headers],[Investor ID]]:SIP[[#This Row],[Investor ID]],SIP[[#This Row],[Investor ID]])</f>
        <v>217</v>
      </c>
    </row>
    <row r="1699" spans="1:23" ht="15" customHeight="1">
      <c r="A1699" s="101">
        <v>2026</v>
      </c>
      <c r="B1699" s="101">
        <v>1</v>
      </c>
      <c r="C1699" s="101">
        <v>15</v>
      </c>
      <c r="D1699" s="65">
        <f>DATE(SIP[[#This Row],[Year]],SIP[[#This Row],[Month]],SIP[[#This Row],[Day]])</f>
        <v>46037</v>
      </c>
      <c r="E1699" s="66" t="str" cm="1">
        <f t="array" ref="E1699">INDEX(INVESTORS_LIST[INVESTOR NAME],MATCH(SIP[[#This Row],[Investor ID]],INVESTORS_LIST[INVESTOR CODE],0),)</f>
        <v>MAHMUD ALI ALAMGIR &amp; MOHAMMED ALI XAHANGIR</v>
      </c>
      <c r="F1699" s="46" t="s">
        <v>1130</v>
      </c>
      <c r="G1699" s="46">
        <f>COUNTIF(SIP[[#Headers],[Investor ID]]:SIP[[#This Row],[Investor ID]],SIP[[#This Row],[Investor ID]])</f>
        <v>38</v>
      </c>
      <c r="H1699" s="46" t="str">
        <f>CONCATENATE(SIP[[#This Row],[Frequency]],SIP[[#This Row],[Investor ID]])</f>
        <v>38A00540</v>
      </c>
      <c r="I1699" s="46" t="str">
        <f>IF(SIP[[#This Row],[B/S]]="B","BUY",(IF(SIP[[#This Row],[B/S]]="S","SELL"," ")))</f>
        <v>BUY</v>
      </c>
      <c r="J1699" s="150" t="s">
        <v>1229</v>
      </c>
      <c r="K1699" s="152">
        <v>20000</v>
      </c>
      <c r="L1699" s="122"/>
      <c r="M1699" s="123">
        <f>SIP[[#This Row],[Amount]]/SIP[[#This Row],[Unit]]</f>
        <v>13.831258644536653</v>
      </c>
      <c r="N1699" s="71">
        <f>SIP[[#This Row],[Unit Capital]]/10</f>
        <v>1446</v>
      </c>
      <c r="O1699" s="71">
        <f>SUMIFS(SIP[[#Headers],[Unit]]:SIP[[#This Row],[Unit]],SIP[[#Headers],[Investor ID]]:SIP[[#This Row],[Investor ID]],SIP[[#This Row],[Investor ID]])</f>
        <v>4813</v>
      </c>
      <c r="P1699" s="153">
        <v>14460</v>
      </c>
      <c r="Q1699" s="74">
        <f>SIP[[#This Row],[Amount]]-SIP[[#This Row],[Unit Capital]]</f>
        <v>5540</v>
      </c>
      <c r="R16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13.779613058353789</v>
      </c>
      <c r="S1699" s="46">
        <f t="shared" si="80"/>
        <v>14.224</v>
      </c>
      <c r="T16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9" s="74" cm="1">
        <f t="array" ref="U1699">IF(SIP[[#This Row],[B/S]]="S",ABS(SIP[[#This Row],[Unit]])*(INDEX(SIP[NAV at Cost (Average)],MATCH(CONCATENATE((SIP[[#This Row],[Frequency]]-1),SIP[[#This Row],[Investor ID]]),SIP[Unique Code],0),0)),0)</f>
        <v>0</v>
      </c>
      <c r="V1699" s="74">
        <f>IF(SIP[[#This Row],[BO TRANSFER]]="YES",SIP[[#This Row],[Unit]],)</f>
        <v>0</v>
      </c>
      <c r="W1699" s="74">
        <f>SUMIFS(SIP[[#Headers],[BO UNIT TRANSFER]]:SIP[[#This Row],[BO UNIT TRANSFER]],SIP[[#Headers],[Investor ID]]:SIP[[#This Row],[Investor ID]],SIP[[#This Row],[Investor ID]])</f>
        <v>0</v>
      </c>
    </row>
    <row r="1700" spans="1:23" ht="15" customHeight="1">
      <c r="A1700" s="101">
        <v>2026</v>
      </c>
      <c r="B1700" s="101">
        <v>1</v>
      </c>
      <c r="C1700" s="101">
        <v>15</v>
      </c>
      <c r="D1700" s="65">
        <f>DATE(SIP[[#This Row],[Year]],SIP[[#This Row],[Month]],SIP[[#This Row],[Day]])</f>
        <v>46037</v>
      </c>
      <c r="E1700" s="66" t="str" cm="1">
        <f t="array" ref="E1700">INDEX(INVESTORS_LIST[INVESTOR NAME],MATCH(SIP[[#This Row],[Investor ID]],INVESTORS_LIST[INVESTOR CODE],0),)</f>
        <v>RUKAIYA FAHMIDA</v>
      </c>
      <c r="F1700" s="46" t="s">
        <v>1190</v>
      </c>
      <c r="G1700" s="46">
        <f>COUNTIF(SIP[[#Headers],[Investor ID]]:SIP[[#This Row],[Investor ID]],SIP[[#This Row],[Investor ID]])</f>
        <v>11</v>
      </c>
      <c r="H1700" s="46" t="str">
        <f>CONCATENATE(SIP[[#This Row],[Frequency]],SIP[[#This Row],[Investor ID]])</f>
        <v>11A00571</v>
      </c>
      <c r="I1700" s="46" t="str">
        <f>IF(SIP[[#This Row],[B/S]]="B","BUY",(IF(SIP[[#This Row],[B/S]]="S","SELL"," ")))</f>
        <v>BUY</v>
      </c>
      <c r="J1700" s="150" t="s">
        <v>1229</v>
      </c>
      <c r="K1700" s="152">
        <v>2000</v>
      </c>
      <c r="L1700" s="122"/>
      <c r="M1700" s="123">
        <f>SIP[[#This Row],[Amount]]/SIP[[#This Row],[Unit]]</f>
        <v>13.793103448275861</v>
      </c>
      <c r="N1700" s="71">
        <f>SIP[[#This Row],[Unit Capital]]/10</f>
        <v>145</v>
      </c>
      <c r="O1700" s="71">
        <f>SUMIFS(SIP[[#Headers],[Unit]]:SIP[[#This Row],[Unit]],SIP[[#Headers],[Investor ID]]:SIP[[#This Row],[Investor ID]],SIP[[#This Row],[Investor ID]])</f>
        <v>1684</v>
      </c>
      <c r="P1700" s="153">
        <v>1450</v>
      </c>
      <c r="Q1700" s="74">
        <f>SIP[[#This Row],[Amount]]-SIP[[#This Row],[Unit Capital]]</f>
        <v>550</v>
      </c>
      <c r="R17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13.064133016627075</v>
      </c>
      <c r="S1700" s="46">
        <f t="shared" si="80"/>
        <v>14.224</v>
      </c>
      <c r="T17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0" s="74" cm="1">
        <f t="array" ref="U1700">IF(SIP[[#This Row],[B/S]]="S",ABS(SIP[[#This Row],[Unit]])*(INDEX(SIP[NAV at Cost (Average)],MATCH(CONCATENATE((SIP[[#This Row],[Frequency]]-1),SIP[[#This Row],[Investor ID]]),SIP[Unique Code],0),0)),0)</f>
        <v>0</v>
      </c>
      <c r="V1700" s="74">
        <f>IF(SIP[[#This Row],[BO TRANSFER]]="YES",SIP[[#This Row],[Unit]],)</f>
        <v>0</v>
      </c>
      <c r="W1700" s="74">
        <f>SUMIFS(SIP[[#Headers],[BO UNIT TRANSFER]]:SIP[[#This Row],[BO UNIT TRANSFER]],SIP[[#Headers],[Investor ID]]:SIP[[#This Row],[Investor ID]],SIP[[#This Row],[Investor ID]])</f>
        <v>0</v>
      </c>
    </row>
    <row r="1701" spans="1:23" ht="15" customHeight="1">
      <c r="A1701" s="101">
        <v>2026</v>
      </c>
      <c r="B1701" s="101">
        <v>1</v>
      </c>
      <c r="C1701" s="101">
        <v>15</v>
      </c>
      <c r="D1701" s="65">
        <f>DATE(SIP[[#This Row],[Year]],SIP[[#This Row],[Month]],SIP[[#This Row],[Day]])</f>
        <v>46037</v>
      </c>
      <c r="E1701" s="66" t="str" cm="1">
        <f t="array" ref="E1701">INDEX(INVESTORS_LIST[INVESTOR NAME],MATCH(SIP[[#This Row],[Investor ID]],INVESTORS_LIST[INVESTOR CODE],0),)</f>
        <v>MD. RAFIQUR RAHMAN</v>
      </c>
      <c r="F1701" s="46" t="s">
        <v>622</v>
      </c>
      <c r="G1701" s="46">
        <f>COUNTIF(SIP[[#Headers],[Investor ID]]:SIP[[#This Row],[Investor ID]],SIP[[#This Row],[Investor ID]])</f>
        <v>29</v>
      </c>
      <c r="H1701" s="46" t="str">
        <f>CONCATENATE(SIP[[#This Row],[Frequency]],SIP[[#This Row],[Investor ID]])</f>
        <v>29A00287</v>
      </c>
      <c r="I1701" s="46" t="str">
        <f>IF(SIP[[#This Row],[B/S]]="B","BUY",(IF(SIP[[#This Row],[B/S]]="S","SELL"," ")))</f>
        <v>BUY</v>
      </c>
      <c r="J1701" s="150" t="s">
        <v>1229</v>
      </c>
      <c r="K1701" s="152">
        <v>20000</v>
      </c>
      <c r="L1701" s="122"/>
      <c r="M1701" s="123">
        <f>SIP[[#This Row],[Amount]]/SIP[[#This Row],[Unit]]</f>
        <v>13.831258644536653</v>
      </c>
      <c r="N1701" s="71">
        <f>SIP[[#This Row],[Unit Capital]]/10</f>
        <v>1446</v>
      </c>
      <c r="O1701" s="71">
        <f>SUMIFS(SIP[[#Headers],[Unit]]:SIP[[#This Row],[Unit]],SIP[[#Headers],[Investor ID]]:SIP[[#This Row],[Investor ID]],SIP[[#This Row],[Investor ID]])</f>
        <v>49168</v>
      </c>
      <c r="P1701" s="153">
        <v>14460</v>
      </c>
      <c r="Q1701" s="74">
        <f>SIP[[#This Row],[Amount]]-SIP[[#This Row],[Unit Capital]]</f>
        <v>5540</v>
      </c>
      <c r="R17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11.796290270094374</v>
      </c>
      <c r="S1701" s="46">
        <f t="shared" si="80"/>
        <v>14.224</v>
      </c>
      <c r="T17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1" s="74" cm="1">
        <f t="array" ref="U1701">IF(SIP[[#This Row],[B/S]]="S",ABS(SIP[[#This Row],[Unit]])*(INDEX(SIP[NAV at Cost (Average)],MATCH(CONCATENATE((SIP[[#This Row],[Frequency]]-1),SIP[[#This Row],[Investor ID]]),SIP[Unique Code],0),0)),0)</f>
        <v>0</v>
      </c>
      <c r="V1701" s="74">
        <f>IF(SIP[[#This Row],[BO TRANSFER]]="YES",SIP[[#This Row],[Unit]],)</f>
        <v>0</v>
      </c>
      <c r="W1701" s="74">
        <f>SUMIFS(SIP[[#Headers],[BO UNIT TRANSFER]]:SIP[[#This Row],[BO UNIT TRANSFER]],SIP[[#Headers],[Investor ID]]:SIP[[#This Row],[Investor ID]],SIP[[#This Row],[Investor ID]])</f>
        <v>0</v>
      </c>
    </row>
    <row r="1702" spans="1:23" ht="15" customHeight="1">
      <c r="A1702" s="101">
        <v>2026</v>
      </c>
      <c r="B1702" s="101">
        <v>1</v>
      </c>
      <c r="C1702" s="101">
        <v>15</v>
      </c>
      <c r="D1702" s="65">
        <f>DATE(SIP[[#This Row],[Year]],SIP[[#This Row],[Month]],SIP[[#This Row],[Day]])</f>
        <v>46037</v>
      </c>
      <c r="E1702" s="66" t="str" cm="1">
        <f t="array" ref="E1702">INDEX(INVESTORS_LIST[INVESTOR NAME],MATCH(SIP[[#This Row],[Investor ID]],INVESTORS_LIST[INVESTOR CODE],0),)</f>
        <v>SANJIB KUMAR ROY</v>
      </c>
      <c r="F1702" s="46" t="s">
        <v>1020</v>
      </c>
      <c r="G1702" s="46">
        <f>COUNTIF(SIP[[#Headers],[Investor ID]]:SIP[[#This Row],[Investor ID]],SIP[[#This Row],[Investor ID]])</f>
        <v>32</v>
      </c>
      <c r="H1702" s="46" t="str">
        <f>CONCATENATE(SIP[[#This Row],[Frequency]],SIP[[#This Row],[Investor ID]])</f>
        <v>32A00487</v>
      </c>
      <c r="I1702" s="46" t="str">
        <f>IF(SIP[[#This Row],[B/S]]="B","BUY",(IF(SIP[[#This Row],[B/S]]="S","SELL"," ")))</f>
        <v>BUY</v>
      </c>
      <c r="J1702" s="150" t="s">
        <v>1229</v>
      </c>
      <c r="K1702" s="152">
        <v>5000</v>
      </c>
      <c r="L1702" s="122" t="s">
        <v>1230</v>
      </c>
      <c r="M1702" s="123">
        <f>SIP[[#This Row],[Amount]]/SIP[[#This Row],[Unit]]</f>
        <v>13.850415512465373</v>
      </c>
      <c r="N1702" s="71">
        <f>SIP[[#This Row],[Unit Capital]]/10</f>
        <v>361</v>
      </c>
      <c r="O1702" s="71">
        <f>SUMIFS(SIP[[#Headers],[Unit]]:SIP[[#This Row],[Unit]],SIP[[#Headers],[Investor ID]]:SIP[[#This Row],[Investor ID]],SIP[[#This Row],[Investor ID]])</f>
        <v>13748</v>
      </c>
      <c r="P1702" s="153">
        <v>3610</v>
      </c>
      <c r="Q1702" s="74">
        <f>SIP[[#This Row],[Amount]]-SIP[[#This Row],[Unit Capital]]</f>
        <v>1390</v>
      </c>
      <c r="R17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11.638056444573753</v>
      </c>
      <c r="S1702" s="46">
        <f t="shared" si="80"/>
        <v>14.224</v>
      </c>
      <c r="T17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2" s="74" cm="1">
        <f t="array" ref="U1702">IF(SIP[[#This Row],[B/S]]="S",ABS(SIP[[#This Row],[Unit]])*(INDEX(SIP[NAV at Cost (Average)],MATCH(CONCATENATE((SIP[[#This Row],[Frequency]]-1),SIP[[#This Row],[Investor ID]]),SIP[Unique Code],0),0)),0)</f>
        <v>0</v>
      </c>
      <c r="V1702" s="74">
        <f>IF(SIP[[#This Row],[BO TRANSFER]]="YES",SIP[[#This Row],[Unit]],)</f>
        <v>361</v>
      </c>
      <c r="W1702" s="74">
        <f>SUMIFS(SIP[[#Headers],[BO UNIT TRANSFER]]:SIP[[#This Row],[BO UNIT TRANSFER]],SIP[[#Headers],[Investor ID]]:SIP[[#This Row],[Investor ID]],SIP[[#This Row],[Investor ID]])</f>
        <v>361</v>
      </c>
    </row>
    <row r="1703" spans="1:23" ht="15" customHeight="1">
      <c r="A1703" s="101">
        <v>2026</v>
      </c>
      <c r="B1703" s="101">
        <v>1</v>
      </c>
      <c r="C1703" s="101">
        <v>15</v>
      </c>
      <c r="D1703" s="65">
        <f>DATE(SIP[[#This Row],[Year]],SIP[[#This Row],[Month]],SIP[[#This Row],[Day]])</f>
        <v>46037</v>
      </c>
      <c r="E1703" s="66" t="str" cm="1">
        <f t="array" ref="E1703">INDEX(INVESTORS_LIST[INVESTOR NAME],MATCH(SIP[[#This Row],[Investor ID]],INVESTORS_LIST[INVESTOR CODE],0),)</f>
        <v>JOY SARKAR</v>
      </c>
      <c r="F1703" s="46" t="s">
        <v>1444</v>
      </c>
      <c r="G1703" s="46">
        <f>COUNTIF(SIP[[#Headers],[Investor ID]]:SIP[[#This Row],[Investor ID]],SIP[[#This Row],[Investor ID]])</f>
        <v>4</v>
      </c>
      <c r="H1703" s="46" t="str">
        <f>CONCATENATE(SIP[[#This Row],[Frequency]],SIP[[#This Row],[Investor ID]])</f>
        <v>4A00665</v>
      </c>
      <c r="I1703" s="46" t="str">
        <f>IF(SIP[[#This Row],[B/S]]="B","BUY",(IF(SIP[[#This Row],[B/S]]="S","SELL"," ")))</f>
        <v>BUY</v>
      </c>
      <c r="J1703" s="150" t="s">
        <v>1229</v>
      </c>
      <c r="K1703" s="152">
        <v>6000</v>
      </c>
      <c r="L1703" s="122"/>
      <c r="M1703" s="123">
        <f>SIP[[#This Row],[Amount]]/SIP[[#This Row],[Unit]]</f>
        <v>13.824884792626728</v>
      </c>
      <c r="N1703" s="71">
        <f>SIP[[#This Row],[Unit Capital]]/10</f>
        <v>434</v>
      </c>
      <c r="O1703" s="71">
        <f>SUMIFS(SIP[[#Headers],[Unit]]:SIP[[#This Row],[Unit]],SIP[[#Headers],[Investor ID]]:SIP[[#This Row],[Investor ID]],SIP[[#This Row],[Investor ID]])</f>
        <v>1746</v>
      </c>
      <c r="P1703" s="153">
        <v>4340</v>
      </c>
      <c r="Q1703" s="74">
        <f>SIP[[#This Row],[Amount]]-SIP[[#This Row],[Unit Capital]]</f>
        <v>1660</v>
      </c>
      <c r="R17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13.745704467353955</v>
      </c>
      <c r="S1703" s="46">
        <f t="shared" si="80"/>
        <v>14.224</v>
      </c>
      <c r="T17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3" s="74" cm="1">
        <f t="array" ref="U1703">IF(SIP[[#This Row],[B/S]]="S",ABS(SIP[[#This Row],[Unit]])*(INDEX(SIP[NAV at Cost (Average)],MATCH(CONCATENATE((SIP[[#This Row],[Frequency]]-1),SIP[[#This Row],[Investor ID]]),SIP[Unique Code],0),0)),0)</f>
        <v>0</v>
      </c>
      <c r="V1703" s="74">
        <f>IF(SIP[[#This Row],[BO TRANSFER]]="YES",SIP[[#This Row],[Unit]],)</f>
        <v>0</v>
      </c>
      <c r="W1703" s="74">
        <f>SUMIFS(SIP[[#Headers],[BO UNIT TRANSFER]]:SIP[[#This Row],[BO UNIT TRANSFER]],SIP[[#Headers],[Investor ID]]:SIP[[#This Row],[Investor ID]],SIP[[#This Row],[Investor ID]])</f>
        <v>0</v>
      </c>
    </row>
    <row r="1704" spans="1:23" ht="15" customHeight="1">
      <c r="A1704" s="101">
        <v>2026</v>
      </c>
      <c r="B1704" s="101">
        <v>1</v>
      </c>
      <c r="C1704" s="101">
        <v>18</v>
      </c>
      <c r="D1704" s="65">
        <f>DATE(SIP[[#This Row],[Year]],SIP[[#This Row],[Month]],SIP[[#This Row],[Day]])</f>
        <v>46040</v>
      </c>
      <c r="E1704" s="66" t="str" cm="1">
        <f t="array" ref="E1704">INDEX(INVESTORS_LIST[INVESTOR NAME],MATCH(SIP[[#This Row],[Investor ID]],INVESTORS_LIST[INVESTOR CODE],0),)</f>
        <v>EDUINT LIMITED</v>
      </c>
      <c r="F1704" s="46" t="s">
        <v>1482</v>
      </c>
      <c r="G1704" s="46">
        <f>COUNTIF(SIP[[#Headers],[Investor ID]]:SIP[[#This Row],[Investor ID]],SIP[[#This Row],[Investor ID]])</f>
        <v>2</v>
      </c>
      <c r="H1704" s="46" t="str">
        <f>CONCATENATE(SIP[[#This Row],[Frequency]],SIP[[#This Row],[Investor ID]])</f>
        <v>2A00687</v>
      </c>
      <c r="I1704" s="46" t="str">
        <f>IF(SIP[[#This Row],[B/S]]="B","BUY",(IF(SIP[[#This Row],[B/S]]="S","SELL"," ")))</f>
        <v>BUY</v>
      </c>
      <c r="J1704" s="150" t="s">
        <v>1229</v>
      </c>
      <c r="K1704" s="153">
        <v>3000</v>
      </c>
      <c r="L1704" s="122"/>
      <c r="M1704" s="123">
        <f>SIP[[#This Row],[Amount]]/SIP[[#This Row],[Unit]]</f>
        <v>13.824884792626728</v>
      </c>
      <c r="N1704" s="71">
        <f>SIP[[#This Row],[Unit Capital]]/10</f>
        <v>217</v>
      </c>
      <c r="O1704" s="71">
        <f>SUMIFS(SIP[[#Headers],[Unit]]:SIP[[#This Row],[Unit]],SIP[[#Headers],[Investor ID]]:SIP[[#This Row],[Investor ID]],SIP[[#This Row],[Investor ID]])</f>
        <v>579</v>
      </c>
      <c r="P1704" s="153">
        <v>2170</v>
      </c>
      <c r="Q1704" s="74">
        <f>SIP[[#This Row],[Amount]]-SIP[[#This Row],[Unit Capital]]</f>
        <v>830</v>
      </c>
      <c r="R17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13.816925734024181</v>
      </c>
      <c r="S1704" s="46">
        <f t="shared" ref="S1704:S1734" si="81">NAV_MKT</f>
        <v>14.224</v>
      </c>
      <c r="T17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4" s="74" cm="1">
        <f t="array" ref="U1704">IF(SIP[[#This Row],[B/S]]="S",ABS(SIP[[#This Row],[Unit]])*(INDEX(SIP[NAV at Cost (Average)],MATCH(CONCATENATE((SIP[[#This Row],[Frequency]]-1),SIP[[#This Row],[Investor ID]]),SIP[Unique Code],0),0)),0)</f>
        <v>0</v>
      </c>
      <c r="V1704" s="74">
        <f>IF(SIP[[#This Row],[BO TRANSFER]]="YES",SIP[[#This Row],[Unit]],)</f>
        <v>0</v>
      </c>
      <c r="W1704" s="74">
        <f>SUMIFS(SIP[[#Headers],[BO UNIT TRANSFER]]:SIP[[#This Row],[BO UNIT TRANSFER]],SIP[[#Headers],[Investor ID]]:SIP[[#This Row],[Investor ID]],SIP[[#This Row],[Investor ID]])</f>
        <v>0</v>
      </c>
    </row>
    <row r="1705" spans="1:23" ht="15" customHeight="1">
      <c r="A1705" s="101">
        <v>2026</v>
      </c>
      <c r="B1705" s="101">
        <v>1</v>
      </c>
      <c r="C1705" s="101">
        <v>18</v>
      </c>
      <c r="D1705" s="65">
        <f>DATE(SIP[[#This Row],[Year]],SIP[[#This Row],[Month]],SIP[[#This Row],[Day]])</f>
        <v>46040</v>
      </c>
      <c r="E1705" s="66" t="str" cm="1">
        <f t="array" ref="E1705">INDEX(INVESTORS_LIST[INVESTOR NAME],MATCH(SIP[[#This Row],[Investor ID]],INVESTORS_LIST[INVESTOR CODE],0),)</f>
        <v>ASHIK CHOWDHURY OVI</v>
      </c>
      <c r="F1705" s="150" t="s">
        <v>1101</v>
      </c>
      <c r="G1705" s="46">
        <f>COUNTIF(SIP[[#Headers],[Investor ID]]:SIP[[#This Row],[Investor ID]],SIP[[#This Row],[Investor ID]])</f>
        <v>11</v>
      </c>
      <c r="H1705" s="46" t="str">
        <f>CONCATENATE(SIP[[#This Row],[Frequency]],SIP[[#This Row],[Investor ID]])</f>
        <v>11A00527</v>
      </c>
      <c r="I1705" s="46" t="str">
        <f>IF(SIP[[#This Row],[B/S]]="B","BUY",(IF(SIP[[#This Row],[B/S]]="S","SELL"," ")))</f>
        <v>SELL</v>
      </c>
      <c r="J1705" s="150" t="s">
        <v>1231</v>
      </c>
      <c r="K1705" s="153">
        <v>-5000</v>
      </c>
      <c r="L1705" s="122"/>
      <c r="M1705" s="123">
        <f>SIP[[#This Row],[Amount]]/SIP[[#This Row],[Unit]]</f>
        <v>13.850415512465373</v>
      </c>
      <c r="N1705" s="71">
        <f>SIP[[#This Row],[Unit Capital]]/10</f>
        <v>-361</v>
      </c>
      <c r="O1705" s="71">
        <f>SUMIFS(SIP[[#Headers],[Unit]]:SIP[[#This Row],[Unit]],SIP[[#Headers],[Investor ID]]:SIP[[#This Row],[Investor ID]],SIP[[#This Row],[Investor ID]])</f>
        <v>362</v>
      </c>
      <c r="P1705" s="153">
        <v>-3610</v>
      </c>
      <c r="Q1705" s="74">
        <f>SIP[[#This Row],[Amount]]-SIP[[#This Row],[Unit Capital]]</f>
        <v>-1390</v>
      </c>
      <c r="R17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13.831258644536653</v>
      </c>
      <c r="S1705" s="46">
        <f t="shared" si="81"/>
        <v>14.224</v>
      </c>
      <c r="T1705" s="74">
        <f>IF(SIP[[#This Row],[B/S]]="B",0,ABS(SIP[[#This Row],[Unit]])*(SIP[[#This Row],[NAV (Strike Rate)]]-INDEX(SIP[NAV at Cost (Average)],MATCH(CONCATENATE(SIP[[#This Row],[Frequency]]-1,SIP[[#This Row],[Investor ID]]),SIP[Unique Code],0),)))</f>
        <v>6.915629322267824</v>
      </c>
      <c r="U1705" s="74" cm="1">
        <f t="array" ref="U1705">IF(SIP[[#This Row],[B/S]]="S",ABS(SIP[[#This Row],[Unit]])*(INDEX(SIP[NAV at Cost (Average)],MATCH(CONCATENATE((SIP[[#This Row],[Frequency]]-1),SIP[[#This Row],[Investor ID]]),SIP[Unique Code],0),0)),0)</f>
        <v>4993.0843706777323</v>
      </c>
      <c r="V1705" s="74">
        <f>IF(SIP[[#This Row],[BO TRANSFER]]="YES",SIP[[#This Row],[Unit]],)</f>
        <v>0</v>
      </c>
      <c r="W1705" s="74">
        <f>SUMIFS(SIP[[#Headers],[BO UNIT TRANSFER]]:SIP[[#This Row],[BO UNIT TRANSFER]],SIP[[#Headers],[Investor ID]]:SIP[[#This Row],[Investor ID]],SIP[[#This Row],[Investor ID]])</f>
        <v>0</v>
      </c>
    </row>
    <row r="1706" spans="1:23" ht="15" customHeight="1">
      <c r="A1706" s="101">
        <v>2026</v>
      </c>
      <c r="B1706" s="101">
        <v>1</v>
      </c>
      <c r="C1706" s="101">
        <v>21</v>
      </c>
      <c r="D1706" s="65">
        <f>DATE(SIP[[#This Row],[Year]],SIP[[#This Row],[Month]],SIP[[#This Row],[Day]])</f>
        <v>46043</v>
      </c>
      <c r="E1706" s="66" t="str" cm="1">
        <f t="array" ref="E1706">INDEX(INVESTORS_LIST[INVESTOR NAME],MATCH(SIP[[#This Row],[Investor ID]],INVESTORS_LIST[INVESTOR CODE],0),)</f>
        <v>AKIB TANVIR ANJUM</v>
      </c>
      <c r="F1706" s="46" t="s">
        <v>1116</v>
      </c>
      <c r="G1706" s="46">
        <f>COUNTIF(SIP[[#Headers],[Investor ID]]:SIP[[#This Row],[Investor ID]],SIP[[#This Row],[Investor ID]])</f>
        <v>31</v>
      </c>
      <c r="H1706" s="46" t="str">
        <f>CONCATENATE(SIP[[#This Row],[Frequency]],SIP[[#This Row],[Investor ID]])</f>
        <v>31A00533</v>
      </c>
      <c r="I1706" s="46" t="str">
        <f>IF(SIP[[#This Row],[B/S]]="B","BUY",(IF(SIP[[#This Row],[B/S]]="S","SELL"," ")))</f>
        <v>SELL</v>
      </c>
      <c r="J1706" s="150" t="s">
        <v>1231</v>
      </c>
      <c r="K1706" s="153">
        <v>-10000</v>
      </c>
      <c r="L1706" s="122"/>
      <c r="M1706" s="123">
        <f>SIP[[#This Row],[Amount]]/SIP[[#This Row],[Unit]]</f>
        <v>13.908205841446453</v>
      </c>
      <c r="N1706" s="71">
        <f>SIP[[#This Row],[Unit Capital]]/10</f>
        <v>-719</v>
      </c>
      <c r="O1706" s="71">
        <f>SUMIFS(SIP[[#Headers],[Unit]]:SIP[[#This Row],[Unit]],SIP[[#Headers],[Investor ID]]:SIP[[#This Row],[Investor ID]],SIP[[#This Row],[Investor ID]])</f>
        <v>1518</v>
      </c>
      <c r="P1706" s="153">
        <v>-7190</v>
      </c>
      <c r="Q1706" s="74">
        <f>SIP[[#This Row],[Amount]]-SIP[[#This Row],[Unit Capital]]</f>
        <v>-2810</v>
      </c>
      <c r="R17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13.23486275171005</v>
      </c>
      <c r="S1706" s="46">
        <f t="shared" si="81"/>
        <v>14.224</v>
      </c>
      <c r="T1706" s="74">
        <f>IF(SIP[[#This Row],[B/S]]="B",0,ABS(SIP[[#This Row],[Unit]])*(SIP[[#This Row],[NAV (Strike Rate)]]-INDEX(SIP[NAV at Cost (Average)],MATCH(CONCATENATE(SIP[[#This Row],[Frequency]]-1,SIP[[#This Row],[Investor ID]]),SIP[Unique Code],0),)))</f>
        <v>484.13368152047326</v>
      </c>
      <c r="U1706" s="74" cm="1">
        <f t="array" ref="U1706">IF(SIP[[#This Row],[B/S]]="S",ABS(SIP[[#This Row],[Unit]])*(INDEX(SIP[NAV at Cost (Average)],MATCH(CONCATENATE((SIP[[#This Row],[Frequency]]-1),SIP[[#This Row],[Investor ID]]),SIP[Unique Code],0),0)),0)</f>
        <v>9515.8663184795259</v>
      </c>
      <c r="V1706" s="74">
        <f>IF(SIP[[#This Row],[BO TRANSFER]]="YES",SIP[[#This Row],[Unit]],)</f>
        <v>0</v>
      </c>
      <c r="W1706" s="74">
        <f>SUMIFS(SIP[[#Headers],[BO UNIT TRANSFER]]:SIP[[#This Row],[BO UNIT TRANSFER]],SIP[[#Headers],[Investor ID]]:SIP[[#This Row],[Investor ID]],SIP[[#This Row],[Investor ID]])</f>
        <v>0</v>
      </c>
    </row>
    <row r="1707" spans="1:23" ht="15" customHeight="1">
      <c r="A1707" s="101">
        <v>2026</v>
      </c>
      <c r="B1707" s="101">
        <v>1</v>
      </c>
      <c r="C1707" s="101">
        <v>27</v>
      </c>
      <c r="D1707" s="65">
        <f>DATE(SIP[[#This Row],[Year]],SIP[[#This Row],[Month]],SIP[[#This Row],[Day]])</f>
        <v>46049</v>
      </c>
      <c r="E1707" s="66" t="str" cm="1">
        <f t="array" ref="E1707">INDEX(INVESTORS_LIST[INVESTOR NAME],MATCH(SIP[[#This Row],[Investor ID]],INVESTORS_LIST[INVESTOR CODE],0),)</f>
        <v>MD. MONIRUL ISLAM</v>
      </c>
      <c r="F1707" s="166" t="s">
        <v>996</v>
      </c>
      <c r="G1707" s="46">
        <f>COUNTIF(SIP[[#Headers],[Investor ID]]:SIP[[#This Row],[Investor ID]],SIP[[#This Row],[Investor ID]])</f>
        <v>32</v>
      </c>
      <c r="H1707" s="46" t="str">
        <f>CONCATENATE(SIP[[#This Row],[Frequency]],SIP[[#This Row],[Investor ID]])</f>
        <v>32A00475</v>
      </c>
      <c r="I1707" s="46" t="str">
        <f>IF(SIP[[#This Row],[B/S]]="B","BUY",(IF(SIP[[#This Row],[B/S]]="S","SELL"," ")))</f>
        <v>SELL</v>
      </c>
      <c r="J1707" s="150" t="s">
        <v>1231</v>
      </c>
      <c r="K1707" s="287">
        <v>-376566.35</v>
      </c>
      <c r="L1707" s="122"/>
      <c r="M1707" s="123">
        <f>SIP[[#This Row],[Amount]]/SIP[[#This Row],[Unit]]</f>
        <v>13.933999999999999</v>
      </c>
      <c r="N1707" s="71">
        <f>SIP[[#This Row],[Unit Capital]]/10</f>
        <v>-27025</v>
      </c>
      <c r="O1707" s="71">
        <f>SUMIFS(SIP[[#Headers],[Unit]]:SIP[[#This Row],[Unit]],SIP[[#Headers],[Investor ID]]:SIP[[#This Row],[Investor ID]],SIP[[#This Row],[Investor ID]])</f>
        <v>0</v>
      </c>
      <c r="P1707" s="153">
        <v>-270250</v>
      </c>
      <c r="Q1707" s="74">
        <f>SIP[[#This Row],[Amount]]-SIP[[#This Row],[Unit Capital]]</f>
        <v>-106316.34999999998</v>
      </c>
      <c r="R17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707" s="46">
        <f t="shared" si="81"/>
        <v>14.224</v>
      </c>
      <c r="T1707" s="74">
        <f>IF(SIP[[#This Row],[B/S]]="B",0,ABS(SIP[[#This Row],[Unit]])*(SIP[[#This Row],[NAV (Strike Rate)]]-INDEX(SIP[NAV at Cost (Average)],MATCH(CONCATENATE(SIP[[#This Row],[Frequency]]-1,SIP[[#This Row],[Investor ID]]),SIP[Unique Code],0),)))</f>
        <v>66566.35000000002</v>
      </c>
      <c r="U1707" s="74" cm="1">
        <f t="array" ref="U1707">IF(SIP[[#This Row],[B/S]]="S",ABS(SIP[[#This Row],[Unit]])*(INDEX(SIP[NAV at Cost (Average)],MATCH(CONCATENATE((SIP[[#This Row],[Frequency]]-1),SIP[[#This Row],[Investor ID]]),SIP[Unique Code],0),0)),0)</f>
        <v>309999.99999999994</v>
      </c>
      <c r="V1707" s="74">
        <f>IF(SIP[[#This Row],[BO TRANSFER]]="YES",SIP[[#This Row],[Unit]],)</f>
        <v>0</v>
      </c>
      <c r="W1707" s="74">
        <f>SUMIFS(SIP[[#Headers],[BO UNIT TRANSFER]]:SIP[[#This Row],[BO UNIT TRANSFER]],SIP[[#Headers],[Investor ID]]:SIP[[#This Row],[Investor ID]],SIP[[#This Row],[Investor ID]])</f>
        <v>0</v>
      </c>
    </row>
    <row r="1708" spans="1:23" ht="15" customHeight="1">
      <c r="A1708" s="101">
        <v>2026</v>
      </c>
      <c r="B1708" s="101">
        <v>1</v>
      </c>
      <c r="C1708" s="101">
        <v>26</v>
      </c>
      <c r="D1708" s="65">
        <f>DATE(SIP[[#This Row],[Year]],SIP[[#This Row],[Month]],SIP[[#This Row],[Day]])</f>
        <v>46048</v>
      </c>
      <c r="E1708" s="66" t="str" cm="1">
        <f t="array" ref="E1708">INDEX(INVESTORS_LIST[INVESTOR NAME],MATCH(SIP[[#This Row],[Investor ID]],INVESTORS_LIST[INVESTOR CODE],0),)</f>
        <v>MOHAMMED SHARIFUL ISLAM</v>
      </c>
      <c r="F1708" s="46" t="s">
        <v>1028</v>
      </c>
      <c r="G1708" s="46">
        <f>COUNTIF(SIP[[#Headers],[Investor ID]]:SIP[[#This Row],[Investor ID]],SIP[[#This Row],[Investor ID]])</f>
        <v>32</v>
      </c>
      <c r="H1708" s="46" t="str">
        <f>CONCATENATE(SIP[[#This Row],[Frequency]],SIP[[#This Row],[Investor ID]])</f>
        <v>32A00491</v>
      </c>
      <c r="I1708" s="46" t="str">
        <f>IF(SIP[[#This Row],[B/S]]="B","BUY",(IF(SIP[[#This Row],[B/S]]="S","SELL"," ")))</f>
        <v>BUY</v>
      </c>
      <c r="J1708" s="150" t="s">
        <v>1229</v>
      </c>
      <c r="K1708" s="153">
        <v>5000</v>
      </c>
      <c r="L1708" s="122"/>
      <c r="M1708" s="123">
        <f>SIP[[#This Row],[Amount]]/SIP[[#This Row],[Unit]]</f>
        <v>13.927576601671309</v>
      </c>
      <c r="N1708" s="71">
        <f>SIP[[#This Row],[Unit Capital]]/10</f>
        <v>359</v>
      </c>
      <c r="O1708" s="71">
        <f>SUMIFS(SIP[[#Headers],[Unit]]:SIP[[#This Row],[Unit]],SIP[[#Headers],[Investor ID]]:SIP[[#This Row],[Investor ID]],SIP[[#This Row],[Investor ID]])</f>
        <v>13700</v>
      </c>
      <c r="P1708" s="153">
        <v>3590</v>
      </c>
      <c r="Q1708" s="74">
        <f>SIP[[#This Row],[Amount]]-SIP[[#This Row],[Unit Capital]]</f>
        <v>1410</v>
      </c>
      <c r="R17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11.678832116788321</v>
      </c>
      <c r="S1708" s="46">
        <f t="shared" si="81"/>
        <v>14.224</v>
      </c>
      <c r="T17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8" s="74" cm="1">
        <f t="array" ref="U1708">IF(SIP[[#This Row],[B/S]]="S",ABS(SIP[[#This Row],[Unit]])*(INDEX(SIP[NAV at Cost (Average)],MATCH(CONCATENATE((SIP[[#This Row],[Frequency]]-1),SIP[[#This Row],[Investor ID]]),SIP[Unique Code],0),0)),0)</f>
        <v>0</v>
      </c>
      <c r="V1708" s="74">
        <f>IF(SIP[[#This Row],[BO TRANSFER]]="YES",SIP[[#This Row],[Unit]],)</f>
        <v>0</v>
      </c>
      <c r="W1708" s="74">
        <f>SUMIFS(SIP[[#Headers],[BO UNIT TRANSFER]]:SIP[[#This Row],[BO UNIT TRANSFER]],SIP[[#Headers],[Investor ID]]:SIP[[#This Row],[Investor ID]],SIP[[#This Row],[Investor ID]])</f>
        <v>0</v>
      </c>
    </row>
    <row r="1709" spans="1:23" ht="15" customHeight="1">
      <c r="A1709" s="101">
        <v>2026</v>
      </c>
      <c r="B1709" s="101">
        <v>1</v>
      </c>
      <c r="C1709" s="101">
        <v>26</v>
      </c>
      <c r="D1709" s="65">
        <f>DATE(SIP[[#This Row],[Year]],SIP[[#This Row],[Month]],SIP[[#This Row],[Day]])</f>
        <v>46048</v>
      </c>
      <c r="E1709" s="66" t="str" cm="1">
        <f t="array" ref="E1709">INDEX(INVESTORS_LIST[INVESTOR NAME],MATCH(SIP[[#This Row],[Investor ID]],INVESTORS_LIST[INVESTOR CODE],0),)</f>
        <v>ADNAN RASHID</v>
      </c>
      <c r="F1709" s="46" t="s">
        <v>252</v>
      </c>
      <c r="G1709" s="46">
        <f>COUNTIF(SIP[[#Headers],[Investor ID]]:SIP[[#This Row],[Investor ID]],SIP[[#This Row],[Investor ID]])</f>
        <v>29</v>
      </c>
      <c r="H1709" s="46" t="str">
        <f>CONCATENATE(SIP[[#This Row],[Frequency]],SIP[[#This Row],[Investor ID]])</f>
        <v>29A00102</v>
      </c>
      <c r="I1709" s="46" t="str">
        <f>IF(SIP[[#This Row],[B/S]]="B","BUY",(IF(SIP[[#This Row],[B/S]]="S","SELL"," ")))</f>
        <v>BUY</v>
      </c>
      <c r="J1709" s="150" t="s">
        <v>1229</v>
      </c>
      <c r="K1709" s="153">
        <v>30000</v>
      </c>
      <c r="L1709" s="122"/>
      <c r="M1709" s="123">
        <f>SIP[[#This Row],[Amount]]/SIP[[#This Row],[Unit]]</f>
        <v>13.927576601671309</v>
      </c>
      <c r="N1709" s="71">
        <f>SIP[[#This Row],[Unit Capital]]/10</f>
        <v>2154</v>
      </c>
      <c r="O1709" s="71">
        <f>SUMIFS(SIP[[#Headers],[Unit]]:SIP[[#This Row],[Unit]],SIP[[#Headers],[Investor ID]]:SIP[[#This Row],[Investor ID]],SIP[[#This Row],[Investor ID]])</f>
        <v>52883</v>
      </c>
      <c r="P1709" s="153">
        <v>21540</v>
      </c>
      <c r="Q1709" s="74">
        <f>SIP[[#This Row],[Amount]]-SIP[[#This Row],[Unit Capital]]</f>
        <v>8460</v>
      </c>
      <c r="R17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12.198166759754198</v>
      </c>
      <c r="S1709" s="46">
        <f t="shared" si="81"/>
        <v>14.224</v>
      </c>
      <c r="T17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9" s="74" cm="1">
        <f t="array" ref="U1709">IF(SIP[[#This Row],[B/S]]="S",ABS(SIP[[#This Row],[Unit]])*(INDEX(SIP[NAV at Cost (Average)],MATCH(CONCATENATE((SIP[[#This Row],[Frequency]]-1),SIP[[#This Row],[Investor ID]]),SIP[Unique Code],0),0)),0)</f>
        <v>0</v>
      </c>
      <c r="V1709" s="74">
        <f>IF(SIP[[#This Row],[BO TRANSFER]]="YES",SIP[[#This Row],[Unit]],)</f>
        <v>0</v>
      </c>
      <c r="W1709" s="74">
        <f>SUMIFS(SIP[[#Headers],[BO UNIT TRANSFER]]:SIP[[#This Row],[BO UNIT TRANSFER]],SIP[[#Headers],[Investor ID]]:SIP[[#This Row],[Investor ID]],SIP[[#This Row],[Investor ID]])</f>
        <v>0</v>
      </c>
    </row>
    <row r="1710" spans="1:23" ht="15" customHeight="1">
      <c r="A1710" s="101">
        <v>2026</v>
      </c>
      <c r="B1710" s="101">
        <v>1</v>
      </c>
      <c r="C1710" s="101">
        <v>26</v>
      </c>
      <c r="D1710" s="65">
        <f>DATE(SIP[[#This Row],[Year]],SIP[[#This Row],[Month]],SIP[[#This Row],[Day]])</f>
        <v>46048</v>
      </c>
      <c r="E1710" s="66" t="str" cm="1">
        <f t="array" ref="E1710">INDEX(INVESTORS_LIST[INVESTOR NAME],MATCH(SIP[[#This Row],[Investor ID]],INVESTORS_LIST[INVESTOR CODE],0),)</f>
        <v>MD ABDULLAH-AL- MAMUN</v>
      </c>
      <c r="F1710" s="46" t="s">
        <v>533</v>
      </c>
      <c r="G1710" s="46">
        <f>COUNTIF(SIP[[#Headers],[Investor ID]]:SIP[[#This Row],[Investor ID]],SIP[[#This Row],[Investor ID]])</f>
        <v>36</v>
      </c>
      <c r="H1710" s="46" t="str">
        <f>CONCATENATE(SIP[[#This Row],[Frequency]],SIP[[#This Row],[Investor ID]])</f>
        <v>36A00242</v>
      </c>
      <c r="I1710" s="46" t="str">
        <f>IF(SIP[[#This Row],[B/S]]="B","BUY",(IF(SIP[[#This Row],[B/S]]="S","SELL"," ")))</f>
        <v>BUY</v>
      </c>
      <c r="J1710" s="150" t="s">
        <v>1229</v>
      </c>
      <c r="K1710" s="153">
        <v>15000</v>
      </c>
      <c r="L1710" s="122"/>
      <c r="M1710" s="123">
        <f>SIP[[#This Row],[Amount]]/SIP[[#This Row],[Unit]]</f>
        <v>13.927576601671309</v>
      </c>
      <c r="N1710" s="71">
        <f>SIP[[#This Row],[Unit Capital]]/10</f>
        <v>1077</v>
      </c>
      <c r="O1710" s="71">
        <f>SUMIFS(SIP[[#Headers],[Unit]]:SIP[[#This Row],[Unit]],SIP[[#Headers],[Investor ID]]:SIP[[#This Row],[Investor ID]],SIP[[#This Row],[Investor ID]])</f>
        <v>10358</v>
      </c>
      <c r="P1710" s="153">
        <v>10770</v>
      </c>
      <c r="Q1710" s="74">
        <f>SIP[[#This Row],[Amount]]-SIP[[#This Row],[Unit Capital]]</f>
        <v>4230</v>
      </c>
      <c r="R17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13.318750565880375</v>
      </c>
      <c r="S1710" s="46">
        <f t="shared" si="81"/>
        <v>14.224</v>
      </c>
      <c r="T17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0" s="74" cm="1">
        <f t="array" ref="U1710">IF(SIP[[#This Row],[B/S]]="S",ABS(SIP[[#This Row],[Unit]])*(INDEX(SIP[NAV at Cost (Average)],MATCH(CONCATENATE((SIP[[#This Row],[Frequency]]-1),SIP[[#This Row],[Investor ID]]),SIP[Unique Code],0),0)),0)</f>
        <v>0</v>
      </c>
      <c r="V1710" s="74">
        <f>IF(SIP[[#This Row],[BO TRANSFER]]="YES",SIP[[#This Row],[Unit]],)</f>
        <v>0</v>
      </c>
      <c r="W1710" s="74">
        <f>SUMIFS(SIP[[#Headers],[BO UNIT TRANSFER]]:SIP[[#This Row],[BO UNIT TRANSFER]],SIP[[#Headers],[Investor ID]]:SIP[[#This Row],[Investor ID]],SIP[[#This Row],[Investor ID]])</f>
        <v>0</v>
      </c>
    </row>
    <row r="1711" spans="1:23" ht="15" customHeight="1">
      <c r="A1711" s="101">
        <v>2026</v>
      </c>
      <c r="B1711" s="101">
        <v>1</v>
      </c>
      <c r="C1711" s="101">
        <v>26</v>
      </c>
      <c r="D1711" s="65">
        <f>DATE(SIP[[#This Row],[Year]],SIP[[#This Row],[Month]],SIP[[#This Row],[Day]])</f>
        <v>46048</v>
      </c>
      <c r="E1711" s="66" t="str" cm="1">
        <f t="array" ref="E1711">INDEX(INVESTORS_LIST[INVESTOR NAME],MATCH(SIP[[#This Row],[Investor ID]],INVESTORS_LIST[INVESTOR CODE],0),)</f>
        <v>SUMAN SAHA</v>
      </c>
      <c r="F1711" s="46" t="s">
        <v>1022</v>
      </c>
      <c r="G1711" s="46">
        <f>COUNTIF(SIP[[#Headers],[Investor ID]]:SIP[[#This Row],[Investor ID]],SIP[[#This Row],[Investor ID]])</f>
        <v>32</v>
      </c>
      <c r="H1711" s="46" t="str">
        <f>CONCATENATE(SIP[[#This Row],[Frequency]],SIP[[#This Row],[Investor ID]])</f>
        <v>32A00488</v>
      </c>
      <c r="I1711" s="46" t="str">
        <f>IF(SIP[[#This Row],[B/S]]="B","BUY",(IF(SIP[[#This Row],[B/S]]="S","SELL"," ")))</f>
        <v>BUY</v>
      </c>
      <c r="J1711" s="150" t="s">
        <v>1229</v>
      </c>
      <c r="K1711" s="153">
        <v>5000</v>
      </c>
      <c r="L1711" s="122" t="s">
        <v>1230</v>
      </c>
      <c r="M1711" s="123">
        <f>SIP[[#This Row],[Amount]]/SIP[[#This Row],[Unit]]</f>
        <v>13.927576601671309</v>
      </c>
      <c r="N1711" s="71">
        <f>SIP[[#This Row],[Unit Capital]]/10</f>
        <v>359</v>
      </c>
      <c r="O1711" s="71">
        <f>SUMIFS(SIP[[#Headers],[Unit]]:SIP[[#This Row],[Unit]],SIP[[#Headers],[Investor ID]]:SIP[[#This Row],[Investor ID]],SIP[[#This Row],[Investor ID]])</f>
        <v>13700</v>
      </c>
      <c r="P1711" s="153">
        <v>3590</v>
      </c>
      <c r="Q1711" s="74">
        <f>SIP[[#This Row],[Amount]]-SIP[[#This Row],[Unit Capital]]</f>
        <v>1410</v>
      </c>
      <c r="R17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11.678832116788321</v>
      </c>
      <c r="S1711" s="46">
        <f t="shared" si="81"/>
        <v>14.224</v>
      </c>
      <c r="T17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1" s="74" cm="1">
        <f t="array" ref="U1711">IF(SIP[[#This Row],[B/S]]="S",ABS(SIP[[#This Row],[Unit]])*(INDEX(SIP[NAV at Cost (Average)],MATCH(CONCATENATE((SIP[[#This Row],[Frequency]]-1),SIP[[#This Row],[Investor ID]]),SIP[Unique Code],0),0)),0)</f>
        <v>0</v>
      </c>
      <c r="V1711" s="74">
        <f>IF(SIP[[#This Row],[BO TRANSFER]]="YES",SIP[[#This Row],[Unit]],)</f>
        <v>359</v>
      </c>
      <c r="W1711" s="74">
        <f>SUMIFS(SIP[[#Headers],[BO UNIT TRANSFER]]:SIP[[#This Row],[BO UNIT TRANSFER]],SIP[[#Headers],[Investor ID]]:SIP[[#This Row],[Investor ID]],SIP[[#This Row],[Investor ID]])</f>
        <v>722</v>
      </c>
    </row>
    <row r="1712" spans="1:23" ht="15" customHeight="1">
      <c r="A1712" s="101">
        <v>2026</v>
      </c>
      <c r="B1712" s="101">
        <v>1</v>
      </c>
      <c r="C1712" s="101">
        <v>26</v>
      </c>
      <c r="D1712" s="65">
        <f>DATE(SIP[[#This Row],[Year]],SIP[[#This Row],[Month]],SIP[[#This Row],[Day]])</f>
        <v>46048</v>
      </c>
      <c r="E1712" s="66" t="str" cm="1">
        <f t="array" ref="E1712">INDEX(INVESTORS_LIST[INVESTOR NAME],MATCH(SIP[[#This Row],[Investor ID]],INVESTORS_LIST[INVESTOR CODE],0),)</f>
        <v>MAYA RANI SAHA</v>
      </c>
      <c r="F1712" s="46" t="s">
        <v>224</v>
      </c>
      <c r="G1712" s="46">
        <f>COUNTIF(SIP[[#Headers],[Investor ID]]:SIP[[#This Row],[Investor ID]],SIP[[#This Row],[Investor ID]])</f>
        <v>81</v>
      </c>
      <c r="H1712" s="46" t="str">
        <f>CONCATENATE(SIP[[#This Row],[Frequency]],SIP[[#This Row],[Investor ID]])</f>
        <v>81A00088</v>
      </c>
      <c r="I1712" s="46" t="str">
        <f>IF(SIP[[#This Row],[B/S]]="B","BUY",(IF(SIP[[#This Row],[B/S]]="S","SELL"," ")))</f>
        <v>BUY</v>
      </c>
      <c r="J1712" s="150" t="s">
        <v>1229</v>
      </c>
      <c r="K1712" s="153">
        <v>20000</v>
      </c>
      <c r="L1712" s="122"/>
      <c r="M1712" s="123">
        <f>SIP[[#This Row],[Amount]]/SIP[[#This Row],[Unit]]</f>
        <v>13.927576601671309</v>
      </c>
      <c r="N1712" s="71">
        <f>SIP[[#This Row],[Unit Capital]]/10</f>
        <v>1436</v>
      </c>
      <c r="O1712" s="71">
        <f>SUMIFS(SIP[[#Headers],[Unit]]:SIP[[#This Row],[Unit]],SIP[[#Headers],[Investor ID]]:SIP[[#This Row],[Investor ID]],SIP[[#This Row],[Investor ID]])</f>
        <v>92473</v>
      </c>
      <c r="P1712" s="153">
        <v>14360</v>
      </c>
      <c r="Q1712" s="74">
        <f>SIP[[#This Row],[Amount]]-SIP[[#This Row],[Unit Capital]]</f>
        <v>5640</v>
      </c>
      <c r="R17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12.068387529332886</v>
      </c>
      <c r="S1712" s="46">
        <f t="shared" si="81"/>
        <v>14.224</v>
      </c>
      <c r="T17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2" s="74" cm="1">
        <f t="array" ref="U1712">IF(SIP[[#This Row],[B/S]]="S",ABS(SIP[[#This Row],[Unit]])*(INDEX(SIP[NAV at Cost (Average)],MATCH(CONCATENATE((SIP[[#This Row],[Frequency]]-1),SIP[[#This Row],[Investor ID]]),SIP[Unique Code],0),0)),0)</f>
        <v>0</v>
      </c>
      <c r="V1712" s="74">
        <f>IF(SIP[[#This Row],[BO TRANSFER]]="YES",SIP[[#This Row],[Unit]],)</f>
        <v>0</v>
      </c>
      <c r="W1712" s="74">
        <f>SUMIFS(SIP[[#Headers],[BO UNIT TRANSFER]]:SIP[[#This Row],[BO UNIT TRANSFER]],SIP[[#Headers],[Investor ID]]:SIP[[#This Row],[Investor ID]],SIP[[#This Row],[Investor ID]])</f>
        <v>0</v>
      </c>
    </row>
    <row r="1713" spans="1:23" ht="15" customHeight="1">
      <c r="A1713" s="101">
        <v>2026</v>
      </c>
      <c r="B1713" s="101">
        <v>1</v>
      </c>
      <c r="C1713" s="101">
        <v>26</v>
      </c>
      <c r="D1713" s="65">
        <f>DATE(SIP[[#This Row],[Year]],SIP[[#This Row],[Month]],SIP[[#This Row],[Day]])</f>
        <v>46048</v>
      </c>
      <c r="E1713" s="66" t="str" cm="1">
        <f t="array" ref="E1713">INDEX(INVESTORS_LIST[INVESTOR NAME],MATCH(SIP[[#This Row],[Investor ID]],INVESTORS_LIST[INVESTOR CODE],0),)</f>
        <v>MUHAMMAD SHOHIDUZZAMAN</v>
      </c>
      <c r="F1713" s="46" t="s">
        <v>986</v>
      </c>
      <c r="G1713" s="46">
        <f>COUNTIF(SIP[[#Headers],[Investor ID]]:SIP[[#This Row],[Investor ID]],SIP[[#This Row],[Investor ID]])</f>
        <v>27</v>
      </c>
      <c r="H1713" s="46" t="str">
        <f>CONCATENATE(SIP[[#This Row],[Frequency]],SIP[[#This Row],[Investor ID]])</f>
        <v>27A00470</v>
      </c>
      <c r="I1713" s="46" t="str">
        <f>IF(SIP[[#This Row],[B/S]]="B","BUY",(IF(SIP[[#This Row],[B/S]]="S","SELL"," ")))</f>
        <v>BUY</v>
      </c>
      <c r="J1713" s="150" t="s">
        <v>1229</v>
      </c>
      <c r="K1713" s="153">
        <v>10000</v>
      </c>
      <c r="L1713" s="122"/>
      <c r="M1713" s="123">
        <f>SIP[[#This Row],[Amount]]/SIP[[#This Row],[Unit]]</f>
        <v>13.927576601671309</v>
      </c>
      <c r="N1713" s="71">
        <f>SIP[[#This Row],[Unit Capital]]/10</f>
        <v>718</v>
      </c>
      <c r="O1713" s="71">
        <f>SUMIFS(SIP[[#Headers],[Unit]]:SIP[[#This Row],[Unit]],SIP[[#Headers],[Investor ID]]:SIP[[#This Row],[Investor ID]],SIP[[#This Row],[Investor ID]])</f>
        <v>22602</v>
      </c>
      <c r="P1713" s="153">
        <v>7180</v>
      </c>
      <c r="Q1713" s="74">
        <f>SIP[[#This Row],[Amount]]-SIP[[#This Row],[Unit Capital]]</f>
        <v>2820</v>
      </c>
      <c r="R17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11.945845500398191</v>
      </c>
      <c r="S1713" s="46">
        <f t="shared" si="81"/>
        <v>14.224</v>
      </c>
      <c r="T17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3" s="74" cm="1">
        <f t="array" ref="U1713">IF(SIP[[#This Row],[B/S]]="S",ABS(SIP[[#This Row],[Unit]])*(INDEX(SIP[NAV at Cost (Average)],MATCH(CONCATENATE((SIP[[#This Row],[Frequency]]-1),SIP[[#This Row],[Investor ID]]),SIP[Unique Code],0),0)),0)</f>
        <v>0</v>
      </c>
      <c r="V1713" s="74">
        <f>IF(SIP[[#This Row],[BO TRANSFER]]="YES",SIP[[#This Row],[Unit]],)</f>
        <v>0</v>
      </c>
      <c r="W1713" s="74">
        <f>SUMIFS(SIP[[#Headers],[BO UNIT TRANSFER]]:SIP[[#This Row],[BO UNIT TRANSFER]],SIP[[#Headers],[Investor ID]]:SIP[[#This Row],[Investor ID]],SIP[[#This Row],[Investor ID]])</f>
        <v>18200</v>
      </c>
    </row>
    <row r="1714" spans="1:23" ht="15" customHeight="1">
      <c r="A1714" s="101">
        <v>2026</v>
      </c>
      <c r="B1714" s="101">
        <v>1</v>
      </c>
      <c r="C1714" s="101">
        <v>26</v>
      </c>
      <c r="D1714" s="65">
        <f>DATE(SIP[[#This Row],[Year]],SIP[[#This Row],[Month]],SIP[[#This Row],[Day]])</f>
        <v>46048</v>
      </c>
      <c r="E1714" s="66" t="str" cm="1">
        <f t="array" ref="E1714">INDEX(INVESTORS_LIST[INVESTOR NAME],MATCH(SIP[[#This Row],[Investor ID]],INVESTORS_LIST[INVESTOR CODE],0),)</f>
        <v>MOHAMMAD HASAN IMAM</v>
      </c>
      <c r="F1714" s="46" t="s">
        <v>1122</v>
      </c>
      <c r="G1714" s="46">
        <f>COUNTIF(SIP[[#Headers],[Investor ID]]:SIP[[#This Row],[Investor ID]],SIP[[#This Row],[Investor ID]])</f>
        <v>22</v>
      </c>
      <c r="H1714" s="46" t="str">
        <f>CONCATENATE(SIP[[#This Row],[Frequency]],SIP[[#This Row],[Investor ID]])</f>
        <v>22A00536</v>
      </c>
      <c r="I1714" s="46" t="str">
        <f>IF(SIP[[#This Row],[B/S]]="B","BUY",(IF(SIP[[#This Row],[B/S]]="S","SELL"," ")))</f>
        <v>BUY</v>
      </c>
      <c r="J1714" s="150" t="s">
        <v>1229</v>
      </c>
      <c r="K1714" s="153">
        <v>5000</v>
      </c>
      <c r="L1714" s="122"/>
      <c r="M1714" s="123">
        <f>SIP[[#This Row],[Amount]]/SIP[[#This Row],[Unit]]</f>
        <v>13.927576601671309</v>
      </c>
      <c r="N1714" s="71">
        <f>SIP[[#This Row],[Unit Capital]]/10</f>
        <v>359</v>
      </c>
      <c r="O1714" s="71">
        <f>SUMIFS(SIP[[#Headers],[Unit]]:SIP[[#This Row],[Unit]],SIP[[#Headers],[Investor ID]]:SIP[[#This Row],[Investor ID]],SIP[[#This Row],[Investor ID]])</f>
        <v>8972</v>
      </c>
      <c r="P1714" s="153">
        <v>3590</v>
      </c>
      <c r="Q1714" s="74">
        <f>SIP[[#This Row],[Amount]]-SIP[[#This Row],[Unit Capital]]</f>
        <v>1410</v>
      </c>
      <c r="R17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12.260365581810074</v>
      </c>
      <c r="S1714" s="46">
        <f t="shared" si="81"/>
        <v>14.224</v>
      </c>
      <c r="T17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4" s="74" cm="1">
        <f t="array" ref="U1714">IF(SIP[[#This Row],[B/S]]="S",ABS(SIP[[#This Row],[Unit]])*(INDEX(SIP[NAV at Cost (Average)],MATCH(CONCATENATE((SIP[[#This Row],[Frequency]]-1),SIP[[#This Row],[Investor ID]]),SIP[Unique Code],0),0)),0)</f>
        <v>0</v>
      </c>
      <c r="V1714" s="74">
        <f>IF(SIP[[#This Row],[BO TRANSFER]]="YES",SIP[[#This Row],[Unit]],)</f>
        <v>0</v>
      </c>
      <c r="W1714" s="74">
        <f>SUMIFS(SIP[[#Headers],[BO UNIT TRANSFER]]:SIP[[#This Row],[BO UNIT TRANSFER]],SIP[[#Headers],[Investor ID]]:SIP[[#This Row],[Investor ID]],SIP[[#This Row],[Investor ID]])</f>
        <v>0</v>
      </c>
    </row>
    <row r="1715" spans="1:23" ht="15" customHeight="1">
      <c r="A1715" s="101">
        <v>2026</v>
      </c>
      <c r="B1715" s="101">
        <v>1</v>
      </c>
      <c r="C1715" s="101">
        <v>26</v>
      </c>
      <c r="D1715" s="65">
        <f>DATE(SIP[[#This Row],[Year]],SIP[[#This Row],[Month]],SIP[[#This Row],[Day]])</f>
        <v>46048</v>
      </c>
      <c r="E1715" s="66" t="str" cm="1">
        <f t="array" ref="E1715">INDEX(INVESTORS_LIST[INVESTOR NAME],MATCH(SIP[[#This Row],[Investor ID]],INVESTORS_LIST[INVESTOR CODE],0),)</f>
        <v>SADIA PARVIN</v>
      </c>
      <c r="F1715" s="46" t="s">
        <v>1018</v>
      </c>
      <c r="G1715" s="46">
        <f>COUNTIF(SIP[[#Headers],[Investor ID]]:SIP[[#This Row],[Investor ID]],SIP[[#This Row],[Investor ID]])</f>
        <v>52</v>
      </c>
      <c r="H1715" s="46" t="str">
        <f>CONCATENATE(SIP[[#This Row],[Frequency]],SIP[[#This Row],[Investor ID]])</f>
        <v>52A00486</v>
      </c>
      <c r="I1715" s="46" t="str">
        <f>IF(SIP[[#This Row],[B/S]]="B","BUY",(IF(SIP[[#This Row],[B/S]]="S","SELL"," ")))</f>
        <v>BUY</v>
      </c>
      <c r="J1715" s="150" t="s">
        <v>1229</v>
      </c>
      <c r="K1715" s="153">
        <v>5000</v>
      </c>
      <c r="L1715" s="122"/>
      <c r="M1715" s="123">
        <f>SIP[[#This Row],[Amount]]/SIP[[#This Row],[Unit]]</f>
        <v>13.927576601671309</v>
      </c>
      <c r="N1715" s="71">
        <f>SIP[[#This Row],[Unit Capital]]/10</f>
        <v>359</v>
      </c>
      <c r="O1715" s="71">
        <f>SUMIFS(SIP[[#Headers],[Unit]]:SIP[[#This Row],[Unit]],SIP[[#Headers],[Investor ID]]:SIP[[#This Row],[Investor ID]],SIP[[#This Row],[Investor ID]])</f>
        <v>21895</v>
      </c>
      <c r="P1715" s="153">
        <v>3590</v>
      </c>
      <c r="Q1715" s="74">
        <f>SIP[[#This Row],[Amount]]-SIP[[#This Row],[Unit Capital]]</f>
        <v>1410</v>
      </c>
      <c r="R17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11.874857273350081</v>
      </c>
      <c r="S1715" s="46">
        <f t="shared" si="81"/>
        <v>14.224</v>
      </c>
      <c r="T17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5" s="74" cm="1">
        <f t="array" ref="U1715">IF(SIP[[#This Row],[B/S]]="S",ABS(SIP[[#This Row],[Unit]])*(INDEX(SIP[NAV at Cost (Average)],MATCH(CONCATENATE((SIP[[#This Row],[Frequency]]-1),SIP[[#This Row],[Investor ID]]),SIP[Unique Code],0),0)),0)</f>
        <v>0</v>
      </c>
      <c r="V1715" s="74">
        <f>IF(SIP[[#This Row],[BO TRANSFER]]="YES",SIP[[#This Row],[Unit]],)</f>
        <v>0</v>
      </c>
      <c r="W1715" s="74">
        <f>SUMIFS(SIP[[#Headers],[BO UNIT TRANSFER]]:SIP[[#This Row],[BO UNIT TRANSFER]],SIP[[#Headers],[Investor ID]]:SIP[[#This Row],[Investor ID]],SIP[[#This Row],[Investor ID]])</f>
        <v>0</v>
      </c>
    </row>
    <row r="1716" spans="1:23" ht="15" customHeight="1">
      <c r="A1716" s="101">
        <v>2026</v>
      </c>
      <c r="B1716" s="101">
        <v>1</v>
      </c>
      <c r="C1716" s="101">
        <v>26</v>
      </c>
      <c r="D1716" s="65">
        <f>DATE(SIP[[#This Row],[Year]],SIP[[#This Row],[Month]],SIP[[#This Row],[Day]])</f>
        <v>46048</v>
      </c>
      <c r="E1716" s="66" t="str" cm="1">
        <f t="array" ref="E1716">INDEX(INVESTORS_LIST[INVESTOR NAME],MATCH(SIP[[#This Row],[Investor ID]],INVESTORS_LIST[INVESTOR CODE],0),)</f>
        <v>MAYA RANI SAHA</v>
      </c>
      <c r="F1716" s="46" t="s">
        <v>224</v>
      </c>
      <c r="G1716" s="46">
        <f>COUNTIF(SIP[[#Headers],[Investor ID]]:SIP[[#This Row],[Investor ID]],SIP[[#This Row],[Investor ID]])</f>
        <v>82</v>
      </c>
      <c r="H1716" s="46" t="str">
        <f>CONCATENATE(SIP[[#This Row],[Frequency]],SIP[[#This Row],[Investor ID]])</f>
        <v>82A00088</v>
      </c>
      <c r="I1716" s="46" t="str">
        <f>IF(SIP[[#This Row],[B/S]]="B","BUY",(IF(SIP[[#This Row],[B/S]]="S","SELL"," ")))</f>
        <v>BUY</v>
      </c>
      <c r="J1716" s="150" t="s">
        <v>1229</v>
      </c>
      <c r="K1716" s="153">
        <v>6000</v>
      </c>
      <c r="L1716" s="122"/>
      <c r="M1716" s="123">
        <f>SIP[[#This Row],[Amount]]/SIP[[#This Row],[Unit]]</f>
        <v>13.921113689095128</v>
      </c>
      <c r="N1716" s="71">
        <f>SIP[[#This Row],[Unit Capital]]/10</f>
        <v>431</v>
      </c>
      <c r="O1716" s="71">
        <f>SUMIFS(SIP[[#Headers],[Unit]]:SIP[[#This Row],[Unit]],SIP[[#Headers],[Investor ID]]:SIP[[#This Row],[Investor ID]],SIP[[#This Row],[Investor ID]])</f>
        <v>92904</v>
      </c>
      <c r="P1716" s="153">
        <v>4310</v>
      </c>
      <c r="Q1716" s="74">
        <f>SIP[[#This Row],[Amount]]-SIP[[#This Row],[Unit Capital]]</f>
        <v>1690</v>
      </c>
      <c r="R17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12.076982691810901</v>
      </c>
      <c r="S1716" s="46">
        <f t="shared" si="81"/>
        <v>14.224</v>
      </c>
      <c r="T17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6" s="74" cm="1">
        <f t="array" ref="U1716">IF(SIP[[#This Row],[B/S]]="S",ABS(SIP[[#This Row],[Unit]])*(INDEX(SIP[NAV at Cost (Average)],MATCH(CONCATENATE((SIP[[#This Row],[Frequency]]-1),SIP[[#This Row],[Investor ID]]),SIP[Unique Code],0),0)),0)</f>
        <v>0</v>
      </c>
      <c r="V1716" s="74">
        <f>IF(SIP[[#This Row],[BO TRANSFER]]="YES",SIP[[#This Row],[Unit]],)</f>
        <v>0</v>
      </c>
      <c r="W1716" s="74">
        <f>SUMIFS(SIP[[#Headers],[BO UNIT TRANSFER]]:SIP[[#This Row],[BO UNIT TRANSFER]],SIP[[#Headers],[Investor ID]]:SIP[[#This Row],[Investor ID]],SIP[[#This Row],[Investor ID]])</f>
        <v>0</v>
      </c>
    </row>
    <row r="1717" spans="1:23" ht="15" customHeight="1">
      <c r="A1717" s="101">
        <v>2026</v>
      </c>
      <c r="B1717" s="101">
        <v>1</v>
      </c>
      <c r="C1717" s="101">
        <v>26</v>
      </c>
      <c r="D1717" s="65">
        <f>DATE(SIP[[#This Row],[Year]],SIP[[#This Row],[Month]],SIP[[#This Row],[Day]])</f>
        <v>46048</v>
      </c>
      <c r="E1717" s="66" t="str" cm="1">
        <f t="array" ref="E1717">INDEX(INVESTORS_LIST[INVESTOR NAME],MATCH(SIP[[#This Row],[Investor ID]],INVESTORS_LIST[INVESTOR CODE],0),)</f>
        <v>SADIA PARVIN</v>
      </c>
      <c r="F1717" s="46" t="s">
        <v>1018</v>
      </c>
      <c r="G1717" s="46">
        <f>COUNTIF(SIP[[#Headers],[Investor ID]]:SIP[[#This Row],[Investor ID]],SIP[[#This Row],[Investor ID]])</f>
        <v>53</v>
      </c>
      <c r="H1717" s="46" t="str">
        <f>CONCATENATE(SIP[[#This Row],[Frequency]],SIP[[#This Row],[Investor ID]])</f>
        <v>53A00486</v>
      </c>
      <c r="I1717" s="46" t="str">
        <f>IF(SIP[[#This Row],[B/S]]="B","BUY",(IF(SIP[[#This Row],[B/S]]="S","SELL"," ")))</f>
        <v>BUY</v>
      </c>
      <c r="J1717" s="150" t="s">
        <v>1229</v>
      </c>
      <c r="K1717" s="153">
        <v>5000</v>
      </c>
      <c r="L1717" s="122"/>
      <c r="M1717" s="123">
        <f>SIP[[#This Row],[Amount]]/SIP[[#This Row],[Unit]]</f>
        <v>13.927576601671309</v>
      </c>
      <c r="N1717" s="71">
        <f>SIP[[#This Row],[Unit Capital]]/10</f>
        <v>359</v>
      </c>
      <c r="O1717" s="71">
        <f>SUMIFS(SIP[[#Headers],[Unit]]:SIP[[#This Row],[Unit]],SIP[[#Headers],[Investor ID]]:SIP[[#This Row],[Investor ID]],SIP[[#This Row],[Investor ID]])</f>
        <v>22254</v>
      </c>
      <c r="P1717" s="153">
        <v>3590</v>
      </c>
      <c r="Q1717" s="74">
        <f>SIP[[#This Row],[Amount]]-SIP[[#This Row],[Unit Capital]]</f>
        <v>1410</v>
      </c>
      <c r="R17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11.907971600611129</v>
      </c>
      <c r="S1717" s="46">
        <f t="shared" si="81"/>
        <v>14.224</v>
      </c>
      <c r="T17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7" s="74" cm="1">
        <f t="array" ref="U1717">IF(SIP[[#This Row],[B/S]]="S",ABS(SIP[[#This Row],[Unit]])*(INDEX(SIP[NAV at Cost (Average)],MATCH(CONCATENATE((SIP[[#This Row],[Frequency]]-1),SIP[[#This Row],[Investor ID]]),SIP[Unique Code],0),0)),0)</f>
        <v>0</v>
      </c>
      <c r="V1717" s="74">
        <f>IF(SIP[[#This Row],[BO TRANSFER]]="YES",SIP[[#This Row],[Unit]],)</f>
        <v>0</v>
      </c>
      <c r="W1717" s="74">
        <f>SUMIFS(SIP[[#Headers],[BO UNIT TRANSFER]]:SIP[[#This Row],[BO UNIT TRANSFER]],SIP[[#Headers],[Investor ID]]:SIP[[#This Row],[Investor ID]],SIP[[#This Row],[Investor ID]])</f>
        <v>0</v>
      </c>
    </row>
    <row r="1718" spans="1:23" ht="15" customHeight="1">
      <c r="A1718" s="101">
        <v>2026</v>
      </c>
      <c r="B1718" s="101">
        <v>1</v>
      </c>
      <c r="C1718" s="101">
        <v>26</v>
      </c>
      <c r="D1718" s="65">
        <f>DATE(SIP[[#This Row],[Year]],SIP[[#This Row],[Month]],SIP[[#This Row],[Day]])</f>
        <v>46048</v>
      </c>
      <c r="E1718" s="66" t="str" cm="1">
        <f t="array" ref="E1718">INDEX(INVESTORS_LIST[INVESTOR NAME],MATCH(SIP[[#This Row],[Investor ID]],INVESTORS_LIST[INVESTOR CODE],0),)</f>
        <v>MD. WALI ULLAH</v>
      </c>
      <c r="F1718" s="46" t="s">
        <v>443</v>
      </c>
      <c r="G1718" s="46">
        <f>COUNTIF(SIP[[#Headers],[Investor ID]]:SIP[[#This Row],[Investor ID]],SIP[[#This Row],[Investor ID]])</f>
        <v>33</v>
      </c>
      <c r="H1718" s="46" t="str">
        <f>CONCATENATE(SIP[[#This Row],[Frequency]],SIP[[#This Row],[Investor ID]])</f>
        <v>33A00197</v>
      </c>
      <c r="I1718" s="46" t="str">
        <f>IF(SIP[[#This Row],[B/S]]="B","BUY",(IF(SIP[[#This Row],[B/S]]="S","SELL"," ")))</f>
        <v>BUY</v>
      </c>
      <c r="J1718" s="150" t="s">
        <v>1229</v>
      </c>
      <c r="K1718" s="153">
        <v>15000</v>
      </c>
      <c r="L1718" s="122"/>
      <c r="M1718" s="123">
        <f>SIP[[#This Row],[Amount]]/SIP[[#This Row],[Unit]]</f>
        <v>13.927576601671309</v>
      </c>
      <c r="N1718" s="71">
        <f>SIP[[#This Row],[Unit Capital]]/10</f>
        <v>1077</v>
      </c>
      <c r="O1718" s="71">
        <f>SUMIFS(SIP[[#Headers],[Unit]]:SIP[[#This Row],[Unit]],SIP[[#Headers],[Investor ID]]:SIP[[#This Row],[Investor ID]],SIP[[#This Row],[Investor ID]])</f>
        <v>42577</v>
      </c>
      <c r="P1718" s="153">
        <v>10770</v>
      </c>
      <c r="Q1718" s="74">
        <f>SIP[[#This Row],[Amount]]-SIP[[#This Row],[Unit Capital]]</f>
        <v>4230</v>
      </c>
      <c r="R17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11.625995255654463</v>
      </c>
      <c r="S1718" s="46">
        <f t="shared" si="81"/>
        <v>14.224</v>
      </c>
      <c r="T17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8" s="74" cm="1">
        <f t="array" ref="U1718">IF(SIP[[#This Row],[B/S]]="S",ABS(SIP[[#This Row],[Unit]])*(INDEX(SIP[NAV at Cost (Average)],MATCH(CONCATENATE((SIP[[#This Row],[Frequency]]-1),SIP[[#This Row],[Investor ID]]),SIP[Unique Code],0),0)),0)</f>
        <v>0</v>
      </c>
      <c r="V1718" s="74">
        <f>IF(SIP[[#This Row],[BO TRANSFER]]="YES",SIP[[#This Row],[Unit]],)</f>
        <v>0</v>
      </c>
      <c r="W1718" s="74">
        <f>SUMIFS(SIP[[#Headers],[BO UNIT TRANSFER]]:SIP[[#This Row],[BO UNIT TRANSFER]],SIP[[#Headers],[Investor ID]]:SIP[[#This Row],[Investor ID]],SIP[[#This Row],[Investor ID]])</f>
        <v>0</v>
      </c>
    </row>
    <row r="1719" spans="1:23" ht="15" customHeight="1">
      <c r="A1719" s="101">
        <v>2026</v>
      </c>
      <c r="B1719" s="101">
        <v>1</v>
      </c>
      <c r="C1719" s="101">
        <v>26</v>
      </c>
      <c r="D1719" s="65">
        <f>DATE(SIP[[#This Row],[Year]],SIP[[#This Row],[Month]],SIP[[#This Row],[Day]])</f>
        <v>46048</v>
      </c>
      <c r="E1719" s="66" t="str" cm="1">
        <f t="array" ref="E1719">INDEX(INVESTORS_LIST[INVESTOR NAME],MATCH(SIP[[#This Row],[Investor ID]],INVESTORS_LIST[INVESTOR CODE],0),)</f>
        <v>SAJJAD CHOWDHURY</v>
      </c>
      <c r="F1719" s="46" t="s">
        <v>461</v>
      </c>
      <c r="G1719" s="46">
        <f>COUNTIF(SIP[[#Headers],[Investor ID]]:SIP[[#This Row],[Investor ID]],SIP[[#This Row],[Investor ID]])</f>
        <v>29</v>
      </c>
      <c r="H1719" s="46" t="str">
        <f>CONCATENATE(SIP[[#This Row],[Frequency]],SIP[[#This Row],[Investor ID]])</f>
        <v>29A00206</v>
      </c>
      <c r="I1719" s="46" t="str">
        <f>IF(SIP[[#This Row],[B/S]]="B","BUY",(IF(SIP[[#This Row],[B/S]]="S","SELL"," ")))</f>
        <v>BUY</v>
      </c>
      <c r="J1719" s="150" t="s">
        <v>1229</v>
      </c>
      <c r="K1719" s="153">
        <v>7500</v>
      </c>
      <c r="L1719" s="122"/>
      <c r="M1719" s="123">
        <f>SIP[[#This Row],[Amount]]/SIP[[#This Row],[Unit]]</f>
        <v>13.940520446096654</v>
      </c>
      <c r="N1719" s="71">
        <f>SIP[[#This Row],[Unit Capital]]/10</f>
        <v>538</v>
      </c>
      <c r="O1719" s="71">
        <f>SUMIFS(SIP[[#Headers],[Unit]]:SIP[[#This Row],[Unit]],SIP[[#Headers],[Investor ID]]:SIP[[#This Row],[Investor ID]],SIP[[#This Row],[Investor ID]])</f>
        <v>2396</v>
      </c>
      <c r="P1719" s="153">
        <v>5380</v>
      </c>
      <c r="Q1719" s="74">
        <f>SIP[[#This Row],[Amount]]-SIP[[#This Row],[Unit Capital]]</f>
        <v>2120</v>
      </c>
      <c r="R17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12.937773515655003</v>
      </c>
      <c r="S1719" s="46">
        <f t="shared" si="81"/>
        <v>14.224</v>
      </c>
      <c r="T17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9" s="74" cm="1">
        <f t="array" ref="U1719">IF(SIP[[#This Row],[B/S]]="S",ABS(SIP[[#This Row],[Unit]])*(INDEX(SIP[NAV at Cost (Average)],MATCH(CONCATENATE((SIP[[#This Row],[Frequency]]-1),SIP[[#This Row],[Investor ID]]),SIP[Unique Code],0),0)),0)</f>
        <v>0</v>
      </c>
      <c r="V1719" s="74">
        <f>IF(SIP[[#This Row],[BO TRANSFER]]="YES",SIP[[#This Row],[Unit]],)</f>
        <v>0</v>
      </c>
      <c r="W1719" s="74">
        <f>SUMIFS(SIP[[#Headers],[BO UNIT TRANSFER]]:SIP[[#This Row],[BO UNIT TRANSFER]],SIP[[#Headers],[Investor ID]]:SIP[[#This Row],[Investor ID]],SIP[[#This Row],[Investor ID]])</f>
        <v>0</v>
      </c>
    </row>
    <row r="1720" spans="1:23" ht="15" customHeight="1">
      <c r="A1720" s="101">
        <v>2026</v>
      </c>
      <c r="B1720" s="101">
        <v>1</v>
      </c>
      <c r="C1720" s="101">
        <v>26</v>
      </c>
      <c r="D1720" s="65">
        <f>DATE(SIP[[#This Row],[Year]],SIP[[#This Row],[Month]],SIP[[#This Row],[Day]])</f>
        <v>46048</v>
      </c>
      <c r="E1720" s="66" t="str" cm="1">
        <f t="array" ref="E1720">INDEX(INVESTORS_LIST[INVESTOR NAME],MATCH(SIP[[#This Row],[Investor ID]],INVESTORS_LIST[INVESTOR CODE],0),)</f>
        <v>ABU MUSA MIRZA KAMRUZZAMAN SHAHEE</v>
      </c>
      <c r="F1720" s="46" t="s">
        <v>1012</v>
      </c>
      <c r="G1720" s="46">
        <f>COUNTIF(SIP[[#Headers],[Investor ID]]:SIP[[#This Row],[Investor ID]],SIP[[#This Row],[Investor ID]])</f>
        <v>32</v>
      </c>
      <c r="H1720" s="46" t="str">
        <f>CONCATENATE(SIP[[#This Row],[Frequency]],SIP[[#This Row],[Investor ID]])</f>
        <v>32A00483</v>
      </c>
      <c r="I1720" s="46" t="str">
        <f>IF(SIP[[#This Row],[B/S]]="B","BUY",(IF(SIP[[#This Row],[B/S]]="S","SELL"," ")))</f>
        <v>BUY</v>
      </c>
      <c r="J1720" s="150" t="s">
        <v>1229</v>
      </c>
      <c r="K1720" s="153">
        <v>5000</v>
      </c>
      <c r="L1720" s="122"/>
      <c r="M1720" s="123">
        <f>SIP[[#This Row],[Amount]]/SIP[[#This Row],[Unit]]</f>
        <v>13.927576601671309</v>
      </c>
      <c r="N1720" s="71">
        <f>SIP[[#This Row],[Unit Capital]]/10</f>
        <v>359</v>
      </c>
      <c r="O1720" s="71">
        <f>SUMIFS(SIP[[#Headers],[Unit]]:SIP[[#This Row],[Unit]],SIP[[#Headers],[Investor ID]]:SIP[[#This Row],[Investor ID]],SIP[[#This Row],[Investor ID]])</f>
        <v>13700</v>
      </c>
      <c r="P1720" s="153">
        <v>3590</v>
      </c>
      <c r="Q1720" s="74">
        <f>SIP[[#This Row],[Amount]]-SIP[[#This Row],[Unit Capital]]</f>
        <v>1410</v>
      </c>
      <c r="R17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11.678832116788321</v>
      </c>
      <c r="S1720" s="46">
        <f t="shared" si="81"/>
        <v>14.224</v>
      </c>
      <c r="T17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0" s="74" cm="1">
        <f t="array" ref="U1720">IF(SIP[[#This Row],[B/S]]="S",ABS(SIP[[#This Row],[Unit]])*(INDEX(SIP[NAV at Cost (Average)],MATCH(CONCATENATE((SIP[[#This Row],[Frequency]]-1),SIP[[#This Row],[Investor ID]]),SIP[Unique Code],0),0)),0)</f>
        <v>0</v>
      </c>
      <c r="V1720" s="74">
        <f>IF(SIP[[#This Row],[BO TRANSFER]]="YES",SIP[[#This Row],[Unit]],)</f>
        <v>0</v>
      </c>
      <c r="W1720" s="74">
        <f>SUMIFS(SIP[[#Headers],[BO UNIT TRANSFER]]:SIP[[#This Row],[BO UNIT TRANSFER]],SIP[[#Headers],[Investor ID]]:SIP[[#This Row],[Investor ID]],SIP[[#This Row],[Investor ID]])</f>
        <v>0</v>
      </c>
    </row>
    <row r="1721" spans="1:23" ht="15" customHeight="1">
      <c r="A1721" s="101">
        <v>2026</v>
      </c>
      <c r="B1721" s="101">
        <v>1</v>
      </c>
      <c r="C1721" s="101">
        <v>26</v>
      </c>
      <c r="D1721" s="65">
        <f>DATE(SIP[[#This Row],[Year]],SIP[[#This Row],[Month]],SIP[[#This Row],[Day]])</f>
        <v>46048</v>
      </c>
      <c r="E1721" s="66" t="str" cm="1">
        <f t="array" ref="E1721">INDEX(INVESTORS_LIST[INVESTOR NAME],MATCH(SIP[[#This Row],[Investor ID]],INVESTORS_LIST[INVESTOR CODE],0),)</f>
        <v>JUBAIDA FARHANA HAQUE</v>
      </c>
      <c r="F1721" s="46" t="s">
        <v>1065</v>
      </c>
      <c r="G1721" s="46">
        <f>COUNTIF(SIP[[#Headers],[Investor ID]]:SIP[[#This Row],[Investor ID]],SIP[[#This Row],[Investor ID]])</f>
        <v>30</v>
      </c>
      <c r="H1721" s="46" t="str">
        <f>CONCATENATE(SIP[[#This Row],[Frequency]],SIP[[#This Row],[Investor ID]])</f>
        <v>30A00510</v>
      </c>
      <c r="I1721" s="46" t="str">
        <f>IF(SIP[[#This Row],[B/S]]="B","BUY",(IF(SIP[[#This Row],[B/S]]="S","SELL"," ")))</f>
        <v>BUY</v>
      </c>
      <c r="J1721" s="150" t="s">
        <v>1229</v>
      </c>
      <c r="K1721" s="153">
        <v>5000</v>
      </c>
      <c r="L1721" s="122"/>
      <c r="M1721" s="123">
        <f>SIP[[#This Row],[Amount]]/SIP[[#This Row],[Unit]]</f>
        <v>13.927576601671309</v>
      </c>
      <c r="N1721" s="71">
        <f>SIP[[#This Row],[Unit Capital]]/10</f>
        <v>359</v>
      </c>
      <c r="O1721" s="71">
        <f>SUMIFS(SIP[[#Headers],[Unit]]:SIP[[#This Row],[Unit]],SIP[[#Headers],[Investor ID]]:SIP[[#This Row],[Investor ID]],SIP[[#This Row],[Investor ID]])</f>
        <v>11776</v>
      </c>
      <c r="P1721" s="153">
        <v>3590</v>
      </c>
      <c r="Q1721" s="74">
        <f>SIP[[#This Row],[Amount]]-SIP[[#This Row],[Unit Capital]]</f>
        <v>1410</v>
      </c>
      <c r="R17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11.889926364696203</v>
      </c>
      <c r="S1721" s="46">
        <f t="shared" si="81"/>
        <v>14.224</v>
      </c>
      <c r="T17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1" s="74" cm="1">
        <f t="array" ref="U1721">IF(SIP[[#This Row],[B/S]]="S",ABS(SIP[[#This Row],[Unit]])*(INDEX(SIP[NAV at Cost (Average)],MATCH(CONCATENATE((SIP[[#This Row],[Frequency]]-1),SIP[[#This Row],[Investor ID]]),SIP[Unique Code],0),0)),0)</f>
        <v>0</v>
      </c>
      <c r="V1721" s="74">
        <f>IF(SIP[[#This Row],[BO TRANSFER]]="YES",SIP[[#This Row],[Unit]],)</f>
        <v>0</v>
      </c>
      <c r="W1721" s="74">
        <f>SUMIFS(SIP[[#Headers],[BO UNIT TRANSFER]]:SIP[[#This Row],[BO UNIT TRANSFER]],SIP[[#Headers],[Investor ID]]:SIP[[#This Row],[Investor ID]],SIP[[#This Row],[Investor ID]])</f>
        <v>0</v>
      </c>
    </row>
    <row r="1722" spans="1:23" ht="15" customHeight="1">
      <c r="A1722" s="101">
        <v>2026</v>
      </c>
      <c r="B1722" s="101">
        <v>1</v>
      </c>
      <c r="C1722" s="101">
        <v>26</v>
      </c>
      <c r="D1722" s="65">
        <f>DATE(SIP[[#This Row],[Year]],SIP[[#This Row],[Month]],SIP[[#This Row],[Day]])</f>
        <v>46048</v>
      </c>
      <c r="E1722" s="66" t="str" cm="1">
        <f t="array" ref="E1722">INDEX(INVESTORS_LIST[INVESTOR NAME],MATCH(SIP[[#This Row],[Investor ID]],INVESTORS_LIST[INVESTOR CODE],0),)</f>
        <v>MAYA RANI SAHA</v>
      </c>
      <c r="F1722" s="46" t="s">
        <v>224</v>
      </c>
      <c r="G1722" s="46">
        <f>COUNTIF(SIP[[#Headers],[Investor ID]]:SIP[[#This Row],[Investor ID]],SIP[[#This Row],[Investor ID]])</f>
        <v>83</v>
      </c>
      <c r="H1722" s="46" t="str">
        <f>CONCATENATE(SIP[[#This Row],[Frequency]],SIP[[#This Row],[Investor ID]])</f>
        <v>83A00088</v>
      </c>
      <c r="I1722" s="46" t="str">
        <f>IF(SIP[[#This Row],[B/S]]="B","BUY",(IF(SIP[[#This Row],[B/S]]="S","SELL"," ")))</f>
        <v>BUY</v>
      </c>
      <c r="J1722" s="150" t="s">
        <v>1229</v>
      </c>
      <c r="K1722" s="153">
        <v>14000</v>
      </c>
      <c r="L1722" s="122"/>
      <c r="M1722" s="123">
        <f>SIP[[#This Row],[Amount]]/SIP[[#This Row],[Unit]]</f>
        <v>13.930348258706468</v>
      </c>
      <c r="N1722" s="71">
        <f>SIP[[#This Row],[Unit Capital]]/10</f>
        <v>1005</v>
      </c>
      <c r="O1722" s="71">
        <f>SUMIFS(SIP[[#Headers],[Unit]]:SIP[[#This Row],[Unit]],SIP[[#Headers],[Investor ID]]:SIP[[#This Row],[Investor ID]],SIP[[#This Row],[Investor ID]])</f>
        <v>93909</v>
      </c>
      <c r="P1722" s="153">
        <v>10050</v>
      </c>
      <c r="Q1722" s="74">
        <f>SIP[[#This Row],[Amount]]-SIP[[#This Row],[Unit Capital]]</f>
        <v>3950</v>
      </c>
      <c r="R17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12.096817131478344</v>
      </c>
      <c r="S1722" s="46">
        <f t="shared" si="81"/>
        <v>14.224</v>
      </c>
      <c r="T17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2" s="74" cm="1">
        <f t="array" ref="U1722">IF(SIP[[#This Row],[B/S]]="S",ABS(SIP[[#This Row],[Unit]])*(INDEX(SIP[NAV at Cost (Average)],MATCH(CONCATENATE((SIP[[#This Row],[Frequency]]-1),SIP[[#This Row],[Investor ID]]),SIP[Unique Code],0),0)),0)</f>
        <v>0</v>
      </c>
      <c r="V1722" s="74">
        <f>IF(SIP[[#This Row],[BO TRANSFER]]="YES",SIP[[#This Row],[Unit]],)</f>
        <v>0</v>
      </c>
      <c r="W1722" s="74">
        <f>SUMIFS(SIP[[#Headers],[BO UNIT TRANSFER]]:SIP[[#This Row],[BO UNIT TRANSFER]],SIP[[#Headers],[Investor ID]]:SIP[[#This Row],[Investor ID]],SIP[[#This Row],[Investor ID]])</f>
        <v>0</v>
      </c>
    </row>
    <row r="1723" spans="1:23" ht="15" customHeight="1">
      <c r="A1723" s="101">
        <v>2026</v>
      </c>
      <c r="B1723" s="101">
        <v>1</v>
      </c>
      <c r="C1723" s="101">
        <v>26</v>
      </c>
      <c r="D1723" s="65">
        <f>DATE(SIP[[#This Row],[Year]],SIP[[#This Row],[Month]],SIP[[#This Row],[Day]])</f>
        <v>46048</v>
      </c>
      <c r="E1723" s="66" t="str" cm="1">
        <f t="array" ref="E1723">INDEX(INVESTORS_LIST[INVESTOR NAME],MATCH(SIP[[#This Row],[Investor ID]],INVESTORS_LIST[INVESTOR CODE],0),)</f>
        <v>SIKDER FAZLE RABBI</v>
      </c>
      <c r="F1723" s="46" t="s">
        <v>1032</v>
      </c>
      <c r="G1723" s="46">
        <f>COUNTIF(SIP[[#Headers],[Investor ID]]:SIP[[#This Row],[Investor ID]],SIP[[#This Row],[Investor ID]])</f>
        <v>32</v>
      </c>
      <c r="H1723" s="46" t="str">
        <f>CONCATENATE(SIP[[#This Row],[Frequency]],SIP[[#This Row],[Investor ID]])</f>
        <v>32A00493</v>
      </c>
      <c r="I1723" s="46" t="str">
        <f>IF(SIP[[#This Row],[B/S]]="B","BUY",(IF(SIP[[#This Row],[B/S]]="S","SELL"," ")))</f>
        <v>BUY</v>
      </c>
      <c r="J1723" s="150" t="s">
        <v>1229</v>
      </c>
      <c r="K1723" s="153">
        <v>5000</v>
      </c>
      <c r="L1723" s="122"/>
      <c r="M1723" s="123">
        <f>SIP[[#This Row],[Amount]]/SIP[[#This Row],[Unit]]</f>
        <v>13.927576601671309</v>
      </c>
      <c r="N1723" s="71">
        <f>SIP[[#This Row],[Unit Capital]]/10</f>
        <v>359</v>
      </c>
      <c r="O1723" s="71">
        <f>SUMIFS(SIP[[#Headers],[Unit]]:SIP[[#This Row],[Unit]],SIP[[#Headers],[Investor ID]]:SIP[[#This Row],[Investor ID]],SIP[[#This Row],[Investor ID]])</f>
        <v>13700</v>
      </c>
      <c r="P1723" s="153">
        <v>3590</v>
      </c>
      <c r="Q1723" s="74">
        <f>SIP[[#This Row],[Amount]]-SIP[[#This Row],[Unit Capital]]</f>
        <v>1410</v>
      </c>
      <c r="R17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11.678832116788321</v>
      </c>
      <c r="S1723" s="46">
        <f t="shared" si="81"/>
        <v>14.224</v>
      </c>
      <c r="T17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3" s="74" cm="1">
        <f t="array" ref="U1723">IF(SIP[[#This Row],[B/S]]="S",ABS(SIP[[#This Row],[Unit]])*(INDEX(SIP[NAV at Cost (Average)],MATCH(CONCATENATE((SIP[[#This Row],[Frequency]]-1),SIP[[#This Row],[Investor ID]]),SIP[Unique Code],0),0)),0)</f>
        <v>0</v>
      </c>
      <c r="V1723" s="74">
        <f>IF(SIP[[#This Row],[BO TRANSFER]]="YES",SIP[[#This Row],[Unit]],)</f>
        <v>0</v>
      </c>
      <c r="W1723" s="74">
        <f>SUMIFS(SIP[[#Headers],[BO UNIT TRANSFER]]:SIP[[#This Row],[BO UNIT TRANSFER]],SIP[[#Headers],[Investor ID]]:SIP[[#This Row],[Investor ID]],SIP[[#This Row],[Investor ID]])</f>
        <v>0</v>
      </c>
    </row>
    <row r="1724" spans="1:23" ht="15" customHeight="1">
      <c r="A1724" s="101">
        <v>2026</v>
      </c>
      <c r="B1724" s="101">
        <v>1</v>
      </c>
      <c r="C1724" s="101">
        <v>26</v>
      </c>
      <c r="D1724" s="65">
        <f>DATE(SIP[[#This Row],[Year]],SIP[[#This Row],[Month]],SIP[[#This Row],[Day]])</f>
        <v>46048</v>
      </c>
      <c r="E1724" s="66" t="str" cm="1">
        <f t="array" ref="E1724">INDEX(INVESTORS_LIST[INVESTOR NAME],MATCH(SIP[[#This Row],[Investor ID]],INVESTORS_LIST[INVESTOR CODE],0),)</f>
        <v>MAHBUB-UL-ANAM KHAN</v>
      </c>
      <c r="F1724" s="46" t="s">
        <v>626</v>
      </c>
      <c r="G1724" s="46">
        <f>COUNTIF(SIP[[#Headers],[Investor ID]]:SIP[[#This Row],[Investor ID]],SIP[[#This Row],[Investor ID]])</f>
        <v>18</v>
      </c>
      <c r="H1724" s="46" t="str">
        <f>CONCATENATE(SIP[[#This Row],[Frequency]],SIP[[#This Row],[Investor ID]])</f>
        <v>18A00289</v>
      </c>
      <c r="I1724" s="46" t="str">
        <f>IF(SIP[[#This Row],[B/S]]="B","BUY",(IF(SIP[[#This Row],[B/S]]="S","SELL"," ")))</f>
        <v>BUY</v>
      </c>
      <c r="J1724" s="150" t="s">
        <v>1229</v>
      </c>
      <c r="K1724" s="153">
        <v>5000</v>
      </c>
      <c r="L1724" s="122"/>
      <c r="M1724" s="123">
        <f>SIP[[#This Row],[Amount]]/SIP[[#This Row],[Unit]]</f>
        <v>13.927576601671309</v>
      </c>
      <c r="N1724" s="71">
        <f>SIP[[#This Row],[Unit Capital]]/10</f>
        <v>359</v>
      </c>
      <c r="O1724" s="71">
        <f>SUMIFS(SIP[[#Headers],[Unit]]:SIP[[#This Row],[Unit]],SIP[[#Headers],[Investor ID]]:SIP[[#This Row],[Investor ID]],SIP[[#This Row],[Investor ID]])</f>
        <v>7172</v>
      </c>
      <c r="P1724" s="153">
        <v>3590</v>
      </c>
      <c r="Q1724" s="74">
        <f>SIP[[#This Row],[Amount]]-SIP[[#This Row],[Unit Capital]]</f>
        <v>1410</v>
      </c>
      <c r="R17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12.548800892359173</v>
      </c>
      <c r="S1724" s="46">
        <f t="shared" si="81"/>
        <v>14.224</v>
      </c>
      <c r="T17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4" s="74" cm="1">
        <f t="array" ref="U1724">IF(SIP[[#This Row],[B/S]]="S",ABS(SIP[[#This Row],[Unit]])*(INDEX(SIP[NAV at Cost (Average)],MATCH(CONCATENATE((SIP[[#This Row],[Frequency]]-1),SIP[[#This Row],[Investor ID]]),SIP[Unique Code],0),0)),0)</f>
        <v>0</v>
      </c>
      <c r="V1724" s="74">
        <f>IF(SIP[[#This Row],[BO TRANSFER]]="YES",SIP[[#This Row],[Unit]],)</f>
        <v>0</v>
      </c>
      <c r="W1724" s="74">
        <f>SUMIFS(SIP[[#Headers],[BO UNIT TRANSFER]]:SIP[[#This Row],[BO UNIT TRANSFER]],SIP[[#Headers],[Investor ID]]:SIP[[#This Row],[Investor ID]],SIP[[#This Row],[Investor ID]])</f>
        <v>0</v>
      </c>
    </row>
    <row r="1725" spans="1:23" ht="15" customHeight="1">
      <c r="A1725" s="101">
        <v>2026</v>
      </c>
      <c r="B1725" s="101">
        <v>1</v>
      </c>
      <c r="C1725" s="101">
        <v>26</v>
      </c>
      <c r="D1725" s="65">
        <f>DATE(SIP[[#This Row],[Year]],SIP[[#This Row],[Month]],SIP[[#This Row],[Day]])</f>
        <v>46048</v>
      </c>
      <c r="E1725" s="66" t="str" cm="1">
        <f t="array" ref="E1725">INDEX(INVESTORS_LIST[INVESTOR NAME],MATCH(SIP[[#This Row],[Investor ID]],INVESTORS_LIST[INVESTOR CODE],0),)</f>
        <v>SYED ADNAN HUDA</v>
      </c>
      <c r="F1725" s="46" t="s">
        <v>236</v>
      </c>
      <c r="G1725" s="46">
        <f>COUNTIF(SIP[[#Headers],[Investor ID]]:SIP[[#This Row],[Investor ID]],SIP[[#This Row],[Investor ID]])</f>
        <v>20</v>
      </c>
      <c r="H1725" s="46" t="str">
        <f>CONCATENATE(SIP[[#This Row],[Frequency]],SIP[[#This Row],[Investor ID]])</f>
        <v>20A00094</v>
      </c>
      <c r="I1725" s="46" t="str">
        <f>IF(SIP[[#This Row],[B/S]]="B","BUY",(IF(SIP[[#This Row],[B/S]]="S","SELL"," ")))</f>
        <v>BUY</v>
      </c>
      <c r="J1725" s="150" t="s">
        <v>1229</v>
      </c>
      <c r="K1725" s="153">
        <v>50000</v>
      </c>
      <c r="L1725" s="122"/>
      <c r="M1725" s="123">
        <f>SIP[[#This Row],[Amount]]/SIP[[#This Row],[Unit]]</f>
        <v>13.931457230426302</v>
      </c>
      <c r="N1725" s="71">
        <f>SIP[[#This Row],[Unit Capital]]/10</f>
        <v>3589</v>
      </c>
      <c r="O1725" s="71">
        <f>SUMIFS(SIP[[#Headers],[Unit]]:SIP[[#This Row],[Unit]],SIP[[#Headers],[Investor ID]]:SIP[[#This Row],[Investor ID]],SIP[[#This Row],[Investor ID]])</f>
        <v>18213</v>
      </c>
      <c r="P1725" s="153">
        <v>35890</v>
      </c>
      <c r="Q1725" s="74">
        <f>SIP[[#This Row],[Amount]]-SIP[[#This Row],[Unit Capital]]</f>
        <v>14110</v>
      </c>
      <c r="R17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13.726459122604734</v>
      </c>
      <c r="S1725" s="46">
        <f t="shared" si="81"/>
        <v>14.224</v>
      </c>
      <c r="T17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5" s="74" cm="1">
        <f t="array" ref="U1725">IF(SIP[[#This Row],[B/S]]="S",ABS(SIP[[#This Row],[Unit]])*(INDEX(SIP[NAV at Cost (Average)],MATCH(CONCATENATE((SIP[[#This Row],[Frequency]]-1),SIP[[#This Row],[Investor ID]]),SIP[Unique Code],0),0)),0)</f>
        <v>0</v>
      </c>
      <c r="V1725" s="74">
        <f>IF(SIP[[#This Row],[BO TRANSFER]]="YES",SIP[[#This Row],[Unit]],)</f>
        <v>0</v>
      </c>
      <c r="W1725" s="74">
        <f>SUMIFS(SIP[[#Headers],[BO UNIT TRANSFER]]:SIP[[#This Row],[BO UNIT TRANSFER]],SIP[[#Headers],[Investor ID]]:SIP[[#This Row],[Investor ID]],SIP[[#This Row],[Investor ID]])</f>
        <v>0</v>
      </c>
    </row>
    <row r="1726" spans="1:23" ht="15" customHeight="1">
      <c r="A1726" s="101">
        <v>2026</v>
      </c>
      <c r="B1726" s="101">
        <v>1</v>
      </c>
      <c r="C1726" s="101">
        <v>26</v>
      </c>
      <c r="D1726" s="65">
        <f>DATE(SIP[[#This Row],[Year]],SIP[[#This Row],[Month]],SIP[[#This Row],[Day]])</f>
        <v>46048</v>
      </c>
      <c r="E1726" s="66" t="str" cm="1">
        <f t="array" ref="E1726">INDEX(INVESTORS_LIST[INVESTOR NAME],MATCH(SIP[[#This Row],[Investor ID]],INVESTORS_LIST[INVESTOR CODE],0),)</f>
        <v>HUMAIRA TABASSUM READDHE</v>
      </c>
      <c r="F1726" s="46" t="s">
        <v>1052</v>
      </c>
      <c r="G1726" s="46">
        <f>COUNTIF(SIP[[#Headers],[Investor ID]]:SIP[[#This Row],[Investor ID]],SIP[[#This Row],[Investor ID]])</f>
        <v>18</v>
      </c>
      <c r="H1726" s="46" t="str">
        <f>CONCATENATE(SIP[[#This Row],[Frequency]],SIP[[#This Row],[Investor ID]])</f>
        <v>18A00503</v>
      </c>
      <c r="I1726" s="46" t="str">
        <f>IF(SIP[[#This Row],[B/S]]="B","BUY",(IF(SIP[[#This Row],[B/S]]="S","SELL"," ")))</f>
        <v>BUY</v>
      </c>
      <c r="J1726" s="150" t="s">
        <v>1229</v>
      </c>
      <c r="K1726" s="153">
        <v>3000</v>
      </c>
      <c r="L1726" s="122"/>
      <c r="M1726" s="123">
        <f>SIP[[#This Row],[Amount]]/SIP[[#This Row],[Unit]]</f>
        <v>13.953488372093023</v>
      </c>
      <c r="N1726" s="71">
        <f>SIP[[#This Row],[Unit Capital]]/10</f>
        <v>215</v>
      </c>
      <c r="O1726" s="71">
        <f>SUMIFS(SIP[[#Headers],[Unit]]:SIP[[#This Row],[Unit]],SIP[[#Headers],[Investor ID]]:SIP[[#This Row],[Investor ID]],SIP[[#This Row],[Investor ID]])</f>
        <v>4304</v>
      </c>
      <c r="P1726" s="153">
        <v>2150</v>
      </c>
      <c r="Q1726" s="74">
        <f>SIP[[#This Row],[Amount]]-SIP[[#This Row],[Unit Capital]]</f>
        <v>850</v>
      </c>
      <c r="R17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12.546468401486988</v>
      </c>
      <c r="S1726" s="46">
        <f t="shared" si="81"/>
        <v>14.224</v>
      </c>
      <c r="T17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6" s="74" cm="1">
        <f t="array" ref="U1726">IF(SIP[[#This Row],[B/S]]="S",ABS(SIP[[#This Row],[Unit]])*(INDEX(SIP[NAV at Cost (Average)],MATCH(CONCATENATE((SIP[[#This Row],[Frequency]]-1),SIP[[#This Row],[Investor ID]]),SIP[Unique Code],0),0)),0)</f>
        <v>0</v>
      </c>
      <c r="V1726" s="74">
        <f>IF(SIP[[#This Row],[BO TRANSFER]]="YES",SIP[[#This Row],[Unit]],)</f>
        <v>0</v>
      </c>
      <c r="W1726" s="74">
        <f>SUMIFS(SIP[[#Headers],[BO UNIT TRANSFER]]:SIP[[#This Row],[BO UNIT TRANSFER]],SIP[[#Headers],[Investor ID]]:SIP[[#This Row],[Investor ID]],SIP[[#This Row],[Investor ID]])</f>
        <v>0</v>
      </c>
    </row>
    <row r="1727" spans="1:23" ht="15" customHeight="1">
      <c r="A1727" s="101">
        <v>2026</v>
      </c>
      <c r="B1727" s="101">
        <v>1</v>
      </c>
      <c r="C1727" s="101">
        <v>26</v>
      </c>
      <c r="D1727" s="65">
        <f>DATE(SIP[[#This Row],[Year]],SIP[[#This Row],[Month]],SIP[[#This Row],[Day]])</f>
        <v>46048</v>
      </c>
      <c r="E1727" s="66" t="str" cm="1">
        <f t="array" ref="E1727">INDEX(INVESTORS_LIST[INVESTOR NAME],MATCH(SIP[[#This Row],[Investor ID]],INVESTORS_LIST[INVESTOR CODE],0),)</f>
        <v>MD MIZANUR RAHMAN</v>
      </c>
      <c r="F1727" s="46" t="s">
        <v>336</v>
      </c>
      <c r="G1727" s="46">
        <f>COUNTIF(SIP[[#Headers],[Investor ID]]:SIP[[#This Row],[Investor ID]],SIP[[#This Row],[Investor ID]])</f>
        <v>6</v>
      </c>
      <c r="H1727" s="46" t="str">
        <f>CONCATENATE(SIP[[#This Row],[Frequency]],SIP[[#This Row],[Investor ID]])</f>
        <v>6A00144</v>
      </c>
      <c r="I1727" s="46" t="str">
        <f>IF(SIP[[#This Row],[B/S]]="B","BUY",(IF(SIP[[#This Row],[B/S]]="S","SELL"," ")))</f>
        <v>BUY</v>
      </c>
      <c r="J1727" s="150" t="s">
        <v>1229</v>
      </c>
      <c r="K1727" s="153">
        <v>5000</v>
      </c>
      <c r="L1727" s="122"/>
      <c r="M1727" s="123">
        <f>SIP[[#This Row],[Amount]]/SIP[[#This Row],[Unit]]</f>
        <v>13.927576601671309</v>
      </c>
      <c r="N1727" s="71">
        <f>SIP[[#This Row],[Unit Capital]]/10</f>
        <v>359</v>
      </c>
      <c r="O1727" s="71">
        <f>SUMIFS(SIP[[#Headers],[Unit]]:SIP[[#This Row],[Unit]],SIP[[#Headers],[Investor ID]]:SIP[[#This Row],[Investor ID]],SIP[[#This Row],[Investor ID]])</f>
        <v>2201</v>
      </c>
      <c r="P1727" s="153">
        <v>3590</v>
      </c>
      <c r="Q1727" s="74">
        <f>SIP[[#This Row],[Amount]]-SIP[[#This Row],[Unit Capital]]</f>
        <v>1410</v>
      </c>
      <c r="R17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13.630168105406632</v>
      </c>
      <c r="S1727" s="46">
        <f t="shared" si="81"/>
        <v>14.224</v>
      </c>
      <c r="T17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7" s="74" cm="1">
        <f t="array" ref="U1727">IF(SIP[[#This Row],[B/S]]="S",ABS(SIP[[#This Row],[Unit]])*(INDEX(SIP[NAV at Cost (Average)],MATCH(CONCATENATE((SIP[[#This Row],[Frequency]]-1),SIP[[#This Row],[Investor ID]]),SIP[Unique Code],0),0)),0)</f>
        <v>0</v>
      </c>
      <c r="V1727" s="74">
        <f>IF(SIP[[#This Row],[BO TRANSFER]]="YES",SIP[[#This Row],[Unit]],)</f>
        <v>0</v>
      </c>
      <c r="W1727" s="74">
        <f>SUMIFS(SIP[[#Headers],[BO UNIT TRANSFER]]:SIP[[#This Row],[BO UNIT TRANSFER]],SIP[[#Headers],[Investor ID]]:SIP[[#This Row],[Investor ID]],SIP[[#This Row],[Investor ID]])</f>
        <v>0</v>
      </c>
    </row>
    <row r="1728" spans="1:23" ht="15" customHeight="1">
      <c r="A1728" s="101">
        <v>2026</v>
      </c>
      <c r="B1728" s="101">
        <v>1</v>
      </c>
      <c r="C1728" s="101">
        <v>26</v>
      </c>
      <c r="D1728" s="65">
        <f>DATE(SIP[[#This Row],[Year]],SIP[[#This Row],[Month]],SIP[[#This Row],[Day]])</f>
        <v>46048</v>
      </c>
      <c r="E1728" s="66" t="str" cm="1">
        <f t="array" ref="E1728">INDEX(INVESTORS_LIST[INVESTOR NAME],MATCH(SIP[[#This Row],[Investor ID]],INVESTORS_LIST[INVESTOR CODE],0),)</f>
        <v>SHAPNA RANI BARMAN</v>
      </c>
      <c r="F1728" s="46" t="s">
        <v>1292</v>
      </c>
      <c r="G1728" s="46">
        <f>COUNTIF(SIP[[#Headers],[Investor ID]]:SIP[[#This Row],[Investor ID]],SIP[[#This Row],[Investor ID]])</f>
        <v>16</v>
      </c>
      <c r="H1728" s="46" t="str">
        <f>CONCATENATE(SIP[[#This Row],[Frequency]],SIP[[#This Row],[Investor ID]])</f>
        <v>16A00593</v>
      </c>
      <c r="I1728" s="46" t="str">
        <f>IF(SIP[[#This Row],[B/S]]="B","BUY",(IF(SIP[[#This Row],[B/S]]="S","SELL"," ")))</f>
        <v>BUY</v>
      </c>
      <c r="J1728" s="150" t="s">
        <v>1229</v>
      </c>
      <c r="K1728" s="153">
        <v>1000</v>
      </c>
      <c r="L1728" s="122"/>
      <c r="M1728" s="123">
        <f>SIP[[#This Row],[Amount]]/SIP[[#This Row],[Unit]]</f>
        <v>13.888888888888889</v>
      </c>
      <c r="N1728" s="71">
        <f>SIP[[#This Row],[Unit Capital]]/10</f>
        <v>72</v>
      </c>
      <c r="O1728" s="71">
        <f>SUMIFS(SIP[[#Headers],[Unit]]:SIP[[#This Row],[Unit]],SIP[[#Headers],[Investor ID]]:SIP[[#This Row],[Investor ID]],SIP[[#This Row],[Investor ID]])</f>
        <v>1102</v>
      </c>
      <c r="P1728" s="153">
        <v>720</v>
      </c>
      <c r="Q1728" s="74">
        <f>SIP[[#This Row],[Amount]]-SIP[[#This Row],[Unit Capital]]</f>
        <v>280</v>
      </c>
      <c r="R17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12.770813142839277</v>
      </c>
      <c r="S1728" s="46">
        <f t="shared" si="81"/>
        <v>14.224</v>
      </c>
      <c r="T17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8" s="74" cm="1">
        <f t="array" ref="U1728">IF(SIP[[#This Row],[B/S]]="S",ABS(SIP[[#This Row],[Unit]])*(INDEX(SIP[NAV at Cost (Average)],MATCH(CONCATENATE((SIP[[#This Row],[Frequency]]-1),SIP[[#This Row],[Investor ID]]),SIP[Unique Code],0),0)),0)</f>
        <v>0</v>
      </c>
      <c r="V1728" s="74">
        <f>IF(SIP[[#This Row],[BO TRANSFER]]="YES",SIP[[#This Row],[Unit]],)</f>
        <v>0</v>
      </c>
      <c r="W1728" s="74">
        <f>SUMIFS(SIP[[#Headers],[BO UNIT TRANSFER]]:SIP[[#This Row],[BO UNIT TRANSFER]],SIP[[#Headers],[Investor ID]]:SIP[[#This Row],[Investor ID]],SIP[[#This Row],[Investor ID]])</f>
        <v>0</v>
      </c>
    </row>
    <row r="1729" spans="1:23" ht="15" customHeight="1">
      <c r="A1729" s="101">
        <v>2026</v>
      </c>
      <c r="B1729" s="101">
        <v>1</v>
      </c>
      <c r="C1729" s="101">
        <v>26</v>
      </c>
      <c r="D1729" s="65">
        <f>DATE(SIP[[#This Row],[Year]],SIP[[#This Row],[Month]],SIP[[#This Row],[Day]])</f>
        <v>46048</v>
      </c>
      <c r="E1729" s="66" t="str" cm="1">
        <f t="array" ref="E1729">INDEX(INVESTORS_LIST[INVESTOR NAME],MATCH(SIP[[#This Row],[Investor ID]],INVESTORS_LIST[INVESTOR CODE],0),)</f>
        <v>MAYA RANI SAHA</v>
      </c>
      <c r="F1729" s="46" t="s">
        <v>224</v>
      </c>
      <c r="G1729" s="46">
        <f>COUNTIF(SIP[[#Headers],[Investor ID]]:SIP[[#This Row],[Investor ID]],SIP[[#This Row],[Investor ID]])</f>
        <v>84</v>
      </c>
      <c r="H1729" s="46" t="str">
        <f>CONCATENATE(SIP[[#This Row],[Frequency]],SIP[[#This Row],[Investor ID]])</f>
        <v>84A00088</v>
      </c>
      <c r="I1729" s="46" t="str">
        <f>IF(SIP[[#This Row],[B/S]]="B","BUY",(IF(SIP[[#This Row],[B/S]]="S","SELL"," ")))</f>
        <v>BUY</v>
      </c>
      <c r="J1729" s="150" t="s">
        <v>1229</v>
      </c>
      <c r="K1729" s="153">
        <v>10000</v>
      </c>
      <c r="L1729" s="122"/>
      <c r="M1729" s="123">
        <f>SIP[[#This Row],[Amount]]/SIP[[#This Row],[Unit]]</f>
        <v>13.927576601671309</v>
      </c>
      <c r="N1729" s="71">
        <f>SIP[[#This Row],[Unit Capital]]/10</f>
        <v>718</v>
      </c>
      <c r="O1729" s="71">
        <f>SUMIFS(SIP[[#Headers],[Unit]]:SIP[[#This Row],[Unit]],SIP[[#Headers],[Investor ID]]:SIP[[#This Row],[Investor ID]],SIP[[#This Row],[Investor ID]])</f>
        <v>94627</v>
      </c>
      <c r="P1729" s="153">
        <v>7180</v>
      </c>
      <c r="Q1729" s="74">
        <f>SIP[[#This Row],[Amount]]-SIP[[#This Row],[Unit Capital]]</f>
        <v>2820</v>
      </c>
      <c r="R17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12.110708360193179</v>
      </c>
      <c r="S1729" s="46">
        <f t="shared" si="81"/>
        <v>14.224</v>
      </c>
      <c r="T17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9" s="74" cm="1">
        <f t="array" ref="U1729">IF(SIP[[#This Row],[B/S]]="S",ABS(SIP[[#This Row],[Unit]])*(INDEX(SIP[NAV at Cost (Average)],MATCH(CONCATENATE((SIP[[#This Row],[Frequency]]-1),SIP[[#This Row],[Investor ID]]),SIP[Unique Code],0),0)),0)</f>
        <v>0</v>
      </c>
      <c r="V1729" s="74">
        <f>IF(SIP[[#This Row],[BO TRANSFER]]="YES",SIP[[#This Row],[Unit]],)</f>
        <v>0</v>
      </c>
      <c r="W1729" s="74">
        <f>SUMIFS(SIP[[#Headers],[BO UNIT TRANSFER]]:SIP[[#This Row],[BO UNIT TRANSFER]],SIP[[#Headers],[Investor ID]]:SIP[[#This Row],[Investor ID]],SIP[[#This Row],[Investor ID]])</f>
        <v>0</v>
      </c>
    </row>
    <row r="1730" spans="1:23" ht="15" customHeight="1">
      <c r="A1730" s="101">
        <v>2026</v>
      </c>
      <c r="B1730" s="101">
        <v>1</v>
      </c>
      <c r="C1730" s="101">
        <v>26</v>
      </c>
      <c r="D1730" s="65">
        <f>DATE(SIP[[#This Row],[Year]],SIP[[#This Row],[Month]],SIP[[#This Row],[Day]])</f>
        <v>46048</v>
      </c>
      <c r="E1730" s="66" t="str" cm="1">
        <f t="array" ref="E1730">INDEX(INVESTORS_LIST[INVESTOR NAME],MATCH(SIP[[#This Row],[Investor ID]],INVESTORS_LIST[INVESTOR CODE],0),)</f>
        <v>SWADESH RANJAN SAHA</v>
      </c>
      <c r="F1730" s="46" t="s">
        <v>234</v>
      </c>
      <c r="G1730" s="46">
        <f>COUNTIF(SIP[[#Headers],[Investor ID]]:SIP[[#This Row],[Investor ID]],SIP[[#This Row],[Investor ID]])</f>
        <v>14</v>
      </c>
      <c r="H1730" s="46" t="str">
        <f>CONCATENATE(SIP[[#This Row],[Frequency]],SIP[[#This Row],[Investor ID]])</f>
        <v>14A00093</v>
      </c>
      <c r="I1730" s="46" t="str">
        <f>IF(SIP[[#This Row],[B/S]]="B","BUY",(IF(SIP[[#This Row],[B/S]]="S","SELL"," ")))</f>
        <v>BUY</v>
      </c>
      <c r="J1730" s="150" t="s">
        <v>1229</v>
      </c>
      <c r="K1730" s="153">
        <v>50000</v>
      </c>
      <c r="L1730" s="122"/>
      <c r="M1730" s="123">
        <f>SIP[[#This Row],[Amount]]/SIP[[#This Row],[Unit]]</f>
        <v>13.931457230426302</v>
      </c>
      <c r="N1730" s="71">
        <f>SIP[[#This Row],[Unit Capital]]/10</f>
        <v>3589</v>
      </c>
      <c r="O1730" s="71">
        <f>SUMIFS(SIP[[#Headers],[Unit]]:SIP[[#This Row],[Unit]],SIP[[#Headers],[Investor ID]]:SIP[[#This Row],[Investor ID]],SIP[[#This Row],[Investor ID]])</f>
        <v>54354</v>
      </c>
      <c r="P1730" s="153">
        <v>35890</v>
      </c>
      <c r="Q1730" s="74">
        <f>SIP[[#This Row],[Amount]]-SIP[[#This Row],[Unit Capital]]</f>
        <v>14110</v>
      </c>
      <c r="R17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12.878536998197006</v>
      </c>
      <c r="S1730" s="46">
        <f t="shared" si="81"/>
        <v>14.224</v>
      </c>
      <c r="T17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0" s="74" cm="1">
        <f t="array" ref="U1730">IF(SIP[[#This Row],[B/S]]="S",ABS(SIP[[#This Row],[Unit]])*(INDEX(SIP[NAV at Cost (Average)],MATCH(CONCATENATE((SIP[[#This Row],[Frequency]]-1),SIP[[#This Row],[Investor ID]]),SIP[Unique Code],0),0)),0)</f>
        <v>0</v>
      </c>
      <c r="V1730" s="74">
        <f>IF(SIP[[#This Row],[BO TRANSFER]]="YES",SIP[[#This Row],[Unit]],)</f>
        <v>0</v>
      </c>
      <c r="W1730" s="74">
        <f>SUMIFS(SIP[[#Headers],[BO UNIT TRANSFER]]:SIP[[#This Row],[BO UNIT TRANSFER]],SIP[[#Headers],[Investor ID]]:SIP[[#This Row],[Investor ID]],SIP[[#This Row],[Investor ID]])</f>
        <v>0</v>
      </c>
    </row>
    <row r="1731" spans="1:23" ht="15" customHeight="1">
      <c r="A1731" s="101">
        <v>2026</v>
      </c>
      <c r="B1731" s="101">
        <v>1</v>
      </c>
      <c r="C1731" s="101">
        <v>26</v>
      </c>
      <c r="D1731" s="65">
        <f>DATE(SIP[[#This Row],[Year]],SIP[[#This Row],[Month]],SIP[[#This Row],[Day]])</f>
        <v>46048</v>
      </c>
      <c r="E1731" s="66" t="str" cm="1">
        <f t="array" ref="E1731">INDEX(INVESTORS_LIST[INVESTOR NAME],MATCH(SIP[[#This Row],[Investor ID]],INVESTORS_LIST[INVESTOR CODE],0),)</f>
        <v>BALARAM CHANDRA SAHA</v>
      </c>
      <c r="F1731" s="46" t="s">
        <v>505</v>
      </c>
      <c r="G1731" s="46">
        <f>COUNTIF(SIP[[#Headers],[Investor ID]]:SIP[[#This Row],[Investor ID]],SIP[[#This Row],[Investor ID]])</f>
        <v>10</v>
      </c>
      <c r="H1731" s="46" t="str">
        <f>CONCATENATE(SIP[[#This Row],[Frequency]],SIP[[#This Row],[Investor ID]])</f>
        <v>10A00228</v>
      </c>
      <c r="I1731" s="46" t="str">
        <f>IF(SIP[[#This Row],[B/S]]="B","BUY",(IF(SIP[[#This Row],[B/S]]="S","SELL"," ")))</f>
        <v>BUY</v>
      </c>
      <c r="J1731" s="150" t="s">
        <v>1229</v>
      </c>
      <c r="K1731" s="153">
        <v>25000</v>
      </c>
      <c r="L1731" s="122"/>
      <c r="M1731" s="123">
        <f>SIP[[#This Row],[Amount]]/SIP[[#This Row],[Unit]]</f>
        <v>13.927576601671309</v>
      </c>
      <c r="N1731" s="71">
        <f>SIP[[#This Row],[Unit Capital]]/10</f>
        <v>1795</v>
      </c>
      <c r="O1731" s="71">
        <f>SUMIFS(SIP[[#Headers],[Unit]]:SIP[[#This Row],[Unit]],SIP[[#Headers],[Investor ID]]:SIP[[#This Row],[Investor ID]],SIP[[#This Row],[Investor ID]])</f>
        <v>20988</v>
      </c>
      <c r="P1731" s="153">
        <v>17950</v>
      </c>
      <c r="Q1731" s="74">
        <f>SIP[[#This Row],[Amount]]-SIP[[#This Row],[Unit Capital]]</f>
        <v>7050</v>
      </c>
      <c r="R17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13.10272536687631</v>
      </c>
      <c r="S1731" s="46">
        <f t="shared" si="81"/>
        <v>14.224</v>
      </c>
      <c r="T17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1" s="74" cm="1">
        <f t="array" ref="U1731">IF(SIP[[#This Row],[B/S]]="S",ABS(SIP[[#This Row],[Unit]])*(INDEX(SIP[NAV at Cost (Average)],MATCH(CONCATENATE((SIP[[#This Row],[Frequency]]-1),SIP[[#This Row],[Investor ID]]),SIP[Unique Code],0),0)),0)</f>
        <v>0</v>
      </c>
      <c r="V1731" s="74">
        <f>IF(SIP[[#This Row],[BO TRANSFER]]="YES",SIP[[#This Row],[Unit]],)</f>
        <v>0</v>
      </c>
      <c r="W1731" s="74">
        <f>SUMIFS(SIP[[#Headers],[BO UNIT TRANSFER]]:SIP[[#This Row],[BO UNIT TRANSFER]],SIP[[#Headers],[Investor ID]]:SIP[[#This Row],[Investor ID]],SIP[[#This Row],[Investor ID]])</f>
        <v>0</v>
      </c>
    </row>
    <row r="1732" spans="1:23" ht="15" customHeight="1">
      <c r="A1732" s="101">
        <v>2026</v>
      </c>
      <c r="B1732" s="101">
        <v>1</v>
      </c>
      <c r="C1732" s="101">
        <v>26</v>
      </c>
      <c r="D1732" s="65">
        <f>DATE(SIP[[#This Row],[Year]],SIP[[#This Row],[Month]],SIP[[#This Row],[Day]])</f>
        <v>46048</v>
      </c>
      <c r="E1732" s="66" t="str" cm="1">
        <f t="array" ref="E1732">INDEX(INVESTORS_LIST[INVESTOR NAME],MATCH(SIP[[#This Row],[Investor ID]],INVESTORS_LIST[INVESTOR CODE],0),)</f>
        <v>EKUSH WEALTH MANAGEMENT LIMITED EMPLOYEES CONTRIBUTORY PROVIDENT FUND</v>
      </c>
      <c r="F1732" s="46" t="s">
        <v>831</v>
      </c>
      <c r="G1732" s="46">
        <f>COUNTIF(SIP[[#Headers],[Investor ID]]:SIP[[#This Row],[Investor ID]],SIP[[#This Row],[Investor ID]])</f>
        <v>24</v>
      </c>
      <c r="H1732" s="46" t="str">
        <f>CONCATENATE(SIP[[#This Row],[Frequency]],SIP[[#This Row],[Investor ID]])</f>
        <v>24A00392</v>
      </c>
      <c r="I1732" s="46" t="str">
        <f>IF(SIP[[#This Row],[B/S]]="B","BUY",(IF(SIP[[#This Row],[B/S]]="S","SELL"," ")))</f>
        <v>BUY</v>
      </c>
      <c r="J1732" s="150" t="s">
        <v>1229</v>
      </c>
      <c r="K1732" s="153">
        <v>10000</v>
      </c>
      <c r="L1732" s="122"/>
      <c r="M1732" s="123">
        <f>SIP[[#This Row],[Amount]]/SIP[[#This Row],[Unit]]</f>
        <v>13.927576601671309</v>
      </c>
      <c r="N1732" s="71">
        <f>SIP[[#This Row],[Unit Capital]]/10</f>
        <v>718</v>
      </c>
      <c r="O1732" s="71">
        <f>SUMIFS(SIP[[#Headers],[Unit]]:SIP[[#This Row],[Unit]],SIP[[#Headers],[Investor ID]]:SIP[[#This Row],[Investor ID]],SIP[[#This Row],[Investor ID]])</f>
        <v>1444</v>
      </c>
      <c r="P1732" s="153">
        <v>7180</v>
      </c>
      <c r="Q1732" s="74">
        <f>SIP[[#This Row],[Amount]]-SIP[[#This Row],[Unit Capital]]</f>
        <v>2820</v>
      </c>
      <c r="R17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13.850415512465373</v>
      </c>
      <c r="S1732" s="46">
        <f t="shared" si="81"/>
        <v>14.224</v>
      </c>
      <c r="T17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2" s="74" cm="1">
        <f t="array" ref="U1732">IF(SIP[[#This Row],[B/S]]="S",ABS(SIP[[#This Row],[Unit]])*(INDEX(SIP[NAV at Cost (Average)],MATCH(CONCATENATE((SIP[[#This Row],[Frequency]]-1),SIP[[#This Row],[Investor ID]]),SIP[Unique Code],0),0)),0)</f>
        <v>0</v>
      </c>
      <c r="V1732" s="74">
        <f>IF(SIP[[#This Row],[BO TRANSFER]]="YES",SIP[[#This Row],[Unit]],)</f>
        <v>0</v>
      </c>
      <c r="W1732" s="74">
        <f>SUMIFS(SIP[[#Headers],[BO UNIT TRANSFER]]:SIP[[#This Row],[BO UNIT TRANSFER]],SIP[[#Headers],[Investor ID]]:SIP[[#This Row],[Investor ID]],SIP[[#This Row],[Investor ID]])</f>
        <v>0</v>
      </c>
    </row>
    <row r="1733" spans="1:23" ht="15" customHeight="1">
      <c r="A1733" s="101">
        <v>2026</v>
      </c>
      <c r="B1733" s="101">
        <v>1</v>
      </c>
      <c r="C1733" s="101">
        <v>26</v>
      </c>
      <c r="D1733" s="65">
        <f>DATE(SIP[[#This Row],[Year]],SIP[[#This Row],[Month]],SIP[[#This Row],[Day]])</f>
        <v>46048</v>
      </c>
      <c r="E1733" s="66" t="str" cm="1">
        <f t="array" ref="E1733">INDEX(INVESTORS_LIST[INVESTOR NAME],MATCH(SIP[[#This Row],[Investor ID]],INVESTORS_LIST[INVESTOR CODE],0),)</f>
        <v>MD MIZANUR RAHMAN</v>
      </c>
      <c r="F1733" s="46" t="s">
        <v>1304</v>
      </c>
      <c r="G1733" s="46">
        <f>COUNTIF(SIP[[#Headers],[Investor ID]]:SIP[[#This Row],[Investor ID]],SIP[[#This Row],[Investor ID]])</f>
        <v>15</v>
      </c>
      <c r="H1733" s="46" t="str">
        <f>CONCATENATE(SIP[[#This Row],[Frequency]],SIP[[#This Row],[Investor ID]])</f>
        <v>15A00599</v>
      </c>
      <c r="I1733" s="46" t="str">
        <f>IF(SIP[[#This Row],[B/S]]="B","BUY",(IF(SIP[[#This Row],[B/S]]="S","SELL"," ")))</f>
        <v>BUY</v>
      </c>
      <c r="J1733" s="150" t="s">
        <v>1229</v>
      </c>
      <c r="K1733" s="153">
        <v>5000</v>
      </c>
      <c r="L1733" s="122"/>
      <c r="M1733" s="123">
        <f>SIP[[#This Row],[Amount]]/SIP[[#This Row],[Unit]]</f>
        <v>13.927576601671309</v>
      </c>
      <c r="N1733" s="71">
        <f>SIP[[#This Row],[Unit Capital]]/10</f>
        <v>359</v>
      </c>
      <c r="O1733" s="71">
        <f>SUMIFS(SIP[[#Headers],[Unit]]:SIP[[#This Row],[Unit]],SIP[[#Headers],[Investor ID]]:SIP[[#This Row],[Investor ID]],SIP[[#This Row],[Investor ID]])</f>
        <v>2201</v>
      </c>
      <c r="P1733" s="153">
        <v>3590</v>
      </c>
      <c r="Q1733" s="74">
        <f>SIP[[#This Row],[Amount]]-SIP[[#This Row],[Unit Capital]]</f>
        <v>1410</v>
      </c>
      <c r="R17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13.630168105406632</v>
      </c>
      <c r="S1733" s="46">
        <f t="shared" si="81"/>
        <v>14.224</v>
      </c>
      <c r="T17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3" s="74" cm="1">
        <f t="array" ref="U1733">IF(SIP[[#This Row],[B/S]]="S",ABS(SIP[[#This Row],[Unit]])*(INDEX(SIP[NAV at Cost (Average)],MATCH(CONCATENATE((SIP[[#This Row],[Frequency]]-1),SIP[[#This Row],[Investor ID]]),SIP[Unique Code],0),0)),0)</f>
        <v>0</v>
      </c>
      <c r="V1733" s="74">
        <f>IF(SIP[[#This Row],[BO TRANSFER]]="YES",SIP[[#This Row],[Unit]],)</f>
        <v>0</v>
      </c>
      <c r="W1733" s="74">
        <f>SUMIFS(SIP[[#Headers],[BO UNIT TRANSFER]]:SIP[[#This Row],[BO UNIT TRANSFER]],SIP[[#Headers],[Investor ID]]:SIP[[#This Row],[Investor ID]],SIP[[#This Row],[Investor ID]])</f>
        <v>0</v>
      </c>
    </row>
    <row r="1734" spans="1:23" ht="15" customHeight="1">
      <c r="A1734" s="101">
        <v>2026</v>
      </c>
      <c r="B1734" s="101">
        <v>1</v>
      </c>
      <c r="C1734" s="101">
        <v>26</v>
      </c>
      <c r="D1734" s="65">
        <f>DATE(SIP[[#This Row],[Year]],SIP[[#This Row],[Month]],SIP[[#This Row],[Day]])</f>
        <v>46048</v>
      </c>
      <c r="E1734" s="66" t="str" cm="1">
        <f t="array" ref="E1734">INDEX(INVESTORS_LIST[INVESTOR NAME],MATCH(SIP[[#This Row],[Investor ID]],INVESTORS_LIST[INVESTOR CODE],0),)</f>
        <v>MOHAMMAD SAMIUL ALAM</v>
      </c>
      <c r="F1734" s="46" t="s">
        <v>537</v>
      </c>
      <c r="G1734" s="46">
        <f>COUNTIF(SIP[[#Headers],[Investor ID]]:SIP[[#This Row],[Investor ID]],SIP[[#This Row],[Investor ID]])</f>
        <v>30</v>
      </c>
      <c r="H1734" s="46" t="str">
        <f>CONCATENATE(SIP[[#This Row],[Frequency]],SIP[[#This Row],[Investor ID]])</f>
        <v>30A00244</v>
      </c>
      <c r="I1734" s="46" t="str">
        <f>IF(SIP[[#This Row],[B/S]]="B","BUY",(IF(SIP[[#This Row],[B/S]]="S","SELL"," ")))</f>
        <v>BUY</v>
      </c>
      <c r="J1734" s="150" t="s">
        <v>1229</v>
      </c>
      <c r="K1734" s="153">
        <v>35000</v>
      </c>
      <c r="L1734" s="122" t="s">
        <v>1230</v>
      </c>
      <c r="M1734" s="123">
        <f>SIP[[#This Row],[Amount]]/SIP[[#This Row],[Unit]]</f>
        <v>13.927576601671309</v>
      </c>
      <c r="N1734" s="71">
        <f>SIP[[#This Row],[Unit Capital]]/10</f>
        <v>2513</v>
      </c>
      <c r="O1734" s="71">
        <f>SUMIFS(SIP[[#Headers],[Unit]]:SIP[[#This Row],[Unit]],SIP[[#Headers],[Investor ID]]:SIP[[#This Row],[Investor ID]],SIP[[#This Row],[Investor ID]])</f>
        <v>58700</v>
      </c>
      <c r="P1734" s="153">
        <v>25130</v>
      </c>
      <c r="Q1734" s="74">
        <f>SIP[[#This Row],[Amount]]-SIP[[#This Row],[Unit Capital]]</f>
        <v>9870</v>
      </c>
      <c r="R17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12.010221465076663</v>
      </c>
      <c r="S1734" s="46">
        <f t="shared" si="81"/>
        <v>14.224</v>
      </c>
      <c r="T17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4" s="74" cm="1">
        <f t="array" ref="U1734">IF(SIP[[#This Row],[B/S]]="S",ABS(SIP[[#This Row],[Unit]])*(INDEX(SIP[NAV at Cost (Average)],MATCH(CONCATENATE((SIP[[#This Row],[Frequency]]-1),SIP[[#This Row],[Investor ID]]),SIP[Unique Code],0),0)),0)</f>
        <v>0</v>
      </c>
      <c r="V1734" s="74">
        <f>IF(SIP[[#This Row],[BO TRANSFER]]="YES",SIP[[#This Row],[Unit]],)</f>
        <v>2513</v>
      </c>
      <c r="W1734" s="74">
        <f>SUMIFS(SIP[[#Headers],[BO UNIT TRANSFER]]:SIP[[#This Row],[BO UNIT TRANSFER]],SIP[[#Headers],[Investor ID]]:SIP[[#This Row],[Investor ID]],SIP[[#This Row],[Investor ID]])</f>
        <v>18140</v>
      </c>
    </row>
    <row r="1735" spans="1:23" ht="15" customHeight="1">
      <c r="A1735" s="101">
        <v>2026</v>
      </c>
      <c r="B1735" s="101">
        <v>1</v>
      </c>
      <c r="C1735" s="101">
        <v>26</v>
      </c>
      <c r="D1735" s="65">
        <f>DATE(SIP[[#This Row],[Year]],SIP[[#This Row],[Month]],SIP[[#This Row],[Day]])</f>
        <v>46048</v>
      </c>
      <c r="E1735" s="66" t="str" cm="1">
        <f t="array" ref="E1735">INDEX(INVESTORS_LIST[INVESTOR NAME],MATCH(SIP[[#This Row],[Investor ID]],INVESTORS_LIST[INVESTOR CODE],0),)</f>
        <v>MD ABDULLAH-AL- MAMUN</v>
      </c>
      <c r="F1735" s="46" t="s">
        <v>533</v>
      </c>
      <c r="G1735" s="46">
        <f>COUNTIF(SIP[[#Headers],[Investor ID]]:SIP[[#This Row],[Investor ID]],SIP[[#This Row],[Investor ID]])</f>
        <v>37</v>
      </c>
      <c r="H1735" s="46" t="str">
        <f>CONCATENATE(SIP[[#This Row],[Frequency]],SIP[[#This Row],[Investor ID]])</f>
        <v>37A00242</v>
      </c>
      <c r="I1735" s="46" t="str">
        <f>IF(SIP[[#This Row],[B/S]]="B","BUY",(IF(SIP[[#This Row],[B/S]]="S","SELL"," ")))</f>
        <v>BUY</v>
      </c>
      <c r="J1735" s="150" t="s">
        <v>1229</v>
      </c>
      <c r="K1735" s="153">
        <v>10000</v>
      </c>
      <c r="L1735" s="122"/>
      <c r="M1735" s="123">
        <f>SIP[[#This Row],[Amount]]/SIP[[#This Row],[Unit]]</f>
        <v>13.927576601671309</v>
      </c>
      <c r="N1735" s="71">
        <f>SIP[[#This Row],[Unit Capital]]/10</f>
        <v>718</v>
      </c>
      <c r="O1735" s="71">
        <f>SUMIFS(SIP[[#Headers],[Unit]]:SIP[[#This Row],[Unit]],SIP[[#Headers],[Investor ID]]:SIP[[#This Row],[Investor ID]],SIP[[#This Row],[Investor ID]])</f>
        <v>11076</v>
      </c>
      <c r="P1735" s="153">
        <v>7180</v>
      </c>
      <c r="Q1735" s="74">
        <f>SIP[[#This Row],[Amount]]-SIP[[#This Row],[Unit Capital]]</f>
        <v>2820</v>
      </c>
      <c r="R17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13.358217620204851</v>
      </c>
      <c r="S1735" s="46">
        <f t="shared" ref="S1735:S1751" si="82">NAV_MKT</f>
        <v>14.224</v>
      </c>
      <c r="T173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5" s="74" cm="1">
        <f t="array" ref="U1735">IF(SIP[[#This Row],[B/S]]="S",ABS(SIP[[#This Row],[Unit]])*(INDEX(SIP[NAV at Cost (Average)],MATCH(CONCATENATE((SIP[[#This Row],[Frequency]]-1),SIP[[#This Row],[Investor ID]]),SIP[Unique Code],0),0)),0)</f>
        <v>0</v>
      </c>
      <c r="V1735" s="74">
        <f>IF(SIP[[#This Row],[BO TRANSFER]]="YES",SIP[[#This Row],[Unit]],)</f>
        <v>0</v>
      </c>
      <c r="W1735" s="74">
        <f>SUMIFS(SIP[[#Headers],[BO UNIT TRANSFER]]:SIP[[#This Row],[BO UNIT TRANSFER]],SIP[[#Headers],[Investor ID]]:SIP[[#This Row],[Investor ID]],SIP[[#This Row],[Investor ID]])</f>
        <v>0</v>
      </c>
    </row>
    <row r="1736" spans="1:23" ht="15" customHeight="1">
      <c r="A1736" s="101">
        <v>2026</v>
      </c>
      <c r="B1736" s="101">
        <v>1</v>
      </c>
      <c r="C1736" s="101">
        <v>26</v>
      </c>
      <c r="D1736" s="65">
        <f>DATE(SIP[[#This Row],[Year]],SIP[[#This Row],[Month]],SIP[[#This Row],[Day]])</f>
        <v>46048</v>
      </c>
      <c r="E1736" s="66" t="str" cm="1">
        <f t="array" ref="E1736">INDEX(INVESTORS_LIST[INVESTOR NAME],MATCH(SIP[[#This Row],[Investor ID]],INVESTORS_LIST[INVESTOR CODE],0),)</f>
        <v>MAHFUZUL ISLAM &amp; HUMAIRA TABASSUM READDHE</v>
      </c>
      <c r="F1736" s="46" t="s">
        <v>1315</v>
      </c>
      <c r="G1736" s="46">
        <f>COUNTIF(SIP[[#Headers],[Investor ID]]:SIP[[#This Row],[Investor ID]],SIP[[#This Row],[Investor ID]])</f>
        <v>10</v>
      </c>
      <c r="H1736" s="46" t="str">
        <f>CONCATENATE(SIP[[#This Row],[Frequency]],SIP[[#This Row],[Investor ID]])</f>
        <v>10A00605</v>
      </c>
      <c r="I1736" s="46" t="str">
        <f>IF(SIP[[#This Row],[B/S]]="B","BUY",(IF(SIP[[#This Row],[B/S]]="S","SELL"," ")))</f>
        <v>BUY</v>
      </c>
      <c r="J1736" s="150" t="s">
        <v>1229</v>
      </c>
      <c r="K1736" s="153">
        <v>18140</v>
      </c>
      <c r="L1736" s="122"/>
      <c r="M1736" s="123">
        <f>SIP[[#This Row],[Amount]]/SIP[[#This Row],[Unit]]</f>
        <v>13.932411674347158</v>
      </c>
      <c r="N1736" s="71">
        <f>SIP[[#This Row],[Unit Capital]]/10</f>
        <v>1302</v>
      </c>
      <c r="O1736" s="71">
        <f>SUMIFS(SIP[[#Headers],[Unit]]:SIP[[#This Row],[Unit]],SIP[[#Headers],[Investor ID]]:SIP[[#This Row],[Investor ID]],SIP[[#This Row],[Investor ID]])</f>
        <v>12022</v>
      </c>
      <c r="P1736" s="153">
        <v>13020</v>
      </c>
      <c r="Q1736" s="74">
        <f>SIP[[#This Row],[Amount]]-SIP[[#This Row],[Unit Capital]]</f>
        <v>5120</v>
      </c>
      <c r="R17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13.126494538864879</v>
      </c>
      <c r="S1736" s="46">
        <f t="shared" si="82"/>
        <v>14.224</v>
      </c>
      <c r="T173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6" s="74" cm="1">
        <f t="array" ref="U1736">IF(SIP[[#This Row],[B/S]]="S",ABS(SIP[[#This Row],[Unit]])*(INDEX(SIP[NAV at Cost (Average)],MATCH(CONCATENATE((SIP[[#This Row],[Frequency]]-1),SIP[[#This Row],[Investor ID]]),SIP[Unique Code],0),0)),0)</f>
        <v>0</v>
      </c>
      <c r="V1736" s="74">
        <f>IF(SIP[[#This Row],[BO TRANSFER]]="YES",SIP[[#This Row],[Unit]],)</f>
        <v>0</v>
      </c>
      <c r="W1736" s="74">
        <f>SUMIFS(SIP[[#Headers],[BO UNIT TRANSFER]]:SIP[[#This Row],[BO UNIT TRANSFER]],SIP[[#Headers],[Investor ID]]:SIP[[#This Row],[Investor ID]],SIP[[#This Row],[Investor ID]])</f>
        <v>0</v>
      </c>
    </row>
    <row r="1737" spans="1:23" ht="15" customHeight="1">
      <c r="A1737" s="101">
        <v>2026</v>
      </c>
      <c r="B1737" s="101">
        <v>1</v>
      </c>
      <c r="C1737" s="101">
        <v>26</v>
      </c>
      <c r="D1737" s="65">
        <f>DATE(SIP[[#This Row],[Year]],SIP[[#This Row],[Month]],SIP[[#This Row],[Day]])</f>
        <v>46048</v>
      </c>
      <c r="E1737" s="66" t="str" cm="1">
        <f t="array" ref="E1737">INDEX(INVESTORS_LIST[INVESTOR NAME],MATCH(SIP[[#This Row],[Investor ID]],INVESTORS_LIST[INVESTOR CODE],0),)</f>
        <v>MAHFUZUL ISLAM</v>
      </c>
      <c r="F1737" s="46" t="s">
        <v>473</v>
      </c>
      <c r="G1737" s="46">
        <f>COUNTIF(SIP[[#Headers],[Investor ID]]:SIP[[#This Row],[Investor ID]],SIP[[#This Row],[Investor ID]])</f>
        <v>18</v>
      </c>
      <c r="H1737" s="46" t="str">
        <f>CONCATENATE(SIP[[#This Row],[Frequency]],SIP[[#This Row],[Investor ID]])</f>
        <v>18A00212</v>
      </c>
      <c r="I1737" s="46" t="str">
        <f>IF(SIP[[#This Row],[B/S]]="B","BUY",(IF(SIP[[#This Row],[B/S]]="S","SELL"," ")))</f>
        <v>BUY</v>
      </c>
      <c r="J1737" s="150" t="s">
        <v>1229</v>
      </c>
      <c r="K1737" s="153">
        <v>3000</v>
      </c>
      <c r="L1737" s="122" t="s">
        <v>1230</v>
      </c>
      <c r="M1737" s="123">
        <f>SIP[[#This Row],[Amount]]/SIP[[#This Row],[Unit]]</f>
        <v>13.953488372093023</v>
      </c>
      <c r="N1737" s="71">
        <f>SIP[[#This Row],[Unit Capital]]/10</f>
        <v>215</v>
      </c>
      <c r="O1737" s="71">
        <f>SUMIFS(SIP[[#Headers],[Unit]]:SIP[[#This Row],[Unit]],SIP[[#Headers],[Investor ID]]:SIP[[#This Row],[Investor ID]],SIP[[#This Row],[Investor ID]])</f>
        <v>3278</v>
      </c>
      <c r="P1737" s="153">
        <v>2150</v>
      </c>
      <c r="Q1737" s="74">
        <f>SIP[[#This Row],[Amount]]-SIP[[#This Row],[Unit Capital]]</f>
        <v>850</v>
      </c>
      <c r="R17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12.202562538133009</v>
      </c>
      <c r="S1737" s="46">
        <f t="shared" si="82"/>
        <v>14.224</v>
      </c>
      <c r="T173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7" s="74" cm="1">
        <f t="array" ref="U1737">IF(SIP[[#This Row],[B/S]]="S",ABS(SIP[[#This Row],[Unit]])*(INDEX(SIP[NAV at Cost (Average)],MATCH(CONCATENATE((SIP[[#This Row],[Frequency]]-1),SIP[[#This Row],[Investor ID]]),SIP[Unique Code],0),0)),0)</f>
        <v>0</v>
      </c>
      <c r="V1737" s="74">
        <f>IF(SIP[[#This Row],[BO TRANSFER]]="YES",SIP[[#This Row],[Unit]],)</f>
        <v>215</v>
      </c>
      <c r="W1737" s="74">
        <f>SUMIFS(SIP[[#Headers],[BO UNIT TRANSFER]]:SIP[[#This Row],[BO UNIT TRANSFER]],SIP[[#Headers],[Investor ID]]:SIP[[#This Row],[Investor ID]],SIP[[#This Row],[Investor ID]])</f>
        <v>3278</v>
      </c>
    </row>
    <row r="1738" spans="1:23" ht="15" customHeight="1">
      <c r="A1738" s="101">
        <v>2026</v>
      </c>
      <c r="B1738" s="101">
        <v>1</v>
      </c>
      <c r="C1738" s="101">
        <v>26</v>
      </c>
      <c r="D1738" s="65">
        <f>DATE(SIP[[#This Row],[Year]],SIP[[#This Row],[Month]],SIP[[#This Row],[Day]])</f>
        <v>46048</v>
      </c>
      <c r="E1738" s="66" t="str" cm="1">
        <f t="array" ref="E1738">INDEX(INVESTORS_LIST[INVESTOR NAME],MATCH(SIP[[#This Row],[Investor ID]],INVESTORS_LIST[INVESTOR CODE],0),)</f>
        <v>TANVIR HASAN</v>
      </c>
      <c r="F1738" s="46" t="s">
        <v>561</v>
      </c>
      <c r="G1738" s="46">
        <f>COUNTIF(SIP[[#Headers],[Investor ID]]:SIP[[#This Row],[Investor ID]],SIP[[#This Row],[Investor ID]])</f>
        <v>10</v>
      </c>
      <c r="H1738" s="46" t="str">
        <f>CONCATENATE(SIP[[#This Row],[Frequency]],SIP[[#This Row],[Investor ID]])</f>
        <v>10A00256</v>
      </c>
      <c r="I1738" s="46" t="str">
        <f>IF(SIP[[#This Row],[B/S]]="B","BUY",(IF(SIP[[#This Row],[B/S]]="S","SELL"," ")))</f>
        <v>BUY</v>
      </c>
      <c r="J1738" s="150" t="s">
        <v>1229</v>
      </c>
      <c r="K1738" s="153">
        <v>10000</v>
      </c>
      <c r="L1738" s="122"/>
      <c r="M1738" s="123">
        <f>SIP[[#This Row],[Amount]]/SIP[[#This Row],[Unit]]</f>
        <v>13.927576601671309</v>
      </c>
      <c r="N1738" s="71">
        <f>SIP[[#This Row],[Unit Capital]]/10</f>
        <v>718</v>
      </c>
      <c r="O1738" s="71">
        <f>SUMIFS(SIP[[#Headers],[Unit]]:SIP[[#This Row],[Unit]],SIP[[#Headers],[Investor ID]]:SIP[[#This Row],[Investor ID]],SIP[[#This Row],[Investor ID]])</f>
        <v>7593</v>
      </c>
      <c r="P1738" s="153">
        <v>7180</v>
      </c>
      <c r="Q1738" s="74">
        <f>SIP[[#This Row],[Amount]]-SIP[[#This Row],[Unit Capital]]</f>
        <v>2820</v>
      </c>
      <c r="R17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13.170025023047545</v>
      </c>
      <c r="S1738" s="46">
        <f t="shared" si="82"/>
        <v>14.224</v>
      </c>
      <c r="T17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8" s="74" cm="1">
        <f t="array" ref="U1738">IF(SIP[[#This Row],[B/S]]="S",ABS(SIP[[#This Row],[Unit]])*(INDEX(SIP[NAV at Cost (Average)],MATCH(CONCATENATE((SIP[[#This Row],[Frequency]]-1),SIP[[#This Row],[Investor ID]]),SIP[Unique Code],0),0)),0)</f>
        <v>0</v>
      </c>
      <c r="V1738" s="74">
        <f>IF(SIP[[#This Row],[BO TRANSFER]]="YES",SIP[[#This Row],[Unit]],)</f>
        <v>0</v>
      </c>
      <c r="W1738" s="74">
        <f>SUMIFS(SIP[[#Headers],[BO UNIT TRANSFER]]:SIP[[#This Row],[BO UNIT TRANSFER]],SIP[[#Headers],[Investor ID]]:SIP[[#This Row],[Investor ID]],SIP[[#This Row],[Investor ID]])</f>
        <v>0</v>
      </c>
    </row>
    <row r="1739" spans="1:23" ht="15" customHeight="1">
      <c r="A1739" s="101">
        <v>2026</v>
      </c>
      <c r="B1739" s="101">
        <v>1</v>
      </c>
      <c r="C1739" s="101">
        <v>26</v>
      </c>
      <c r="D1739" s="65">
        <f>DATE(SIP[[#This Row],[Year]],SIP[[#This Row],[Month]],SIP[[#This Row],[Day]])</f>
        <v>46048</v>
      </c>
      <c r="E1739" s="66" t="str" cm="1">
        <f t="array" ref="E1739">INDEX(INVESTORS_LIST[INVESTOR NAME],MATCH(SIP[[#This Row],[Investor ID]],INVESTORS_LIST[INVESTOR CODE],0),)</f>
        <v>RUMA AKTER</v>
      </c>
      <c r="F1739" s="46" t="s">
        <v>1323</v>
      </c>
      <c r="G1739" s="46">
        <f>COUNTIF(SIP[[#Headers],[Investor ID]]:SIP[[#This Row],[Investor ID]],SIP[[#This Row],[Investor ID]])</f>
        <v>15</v>
      </c>
      <c r="H1739" s="46" t="str">
        <f>CONCATENATE(SIP[[#This Row],[Frequency]],SIP[[#This Row],[Investor ID]])</f>
        <v>15A00608</v>
      </c>
      <c r="I1739" s="46" t="str">
        <f>IF(SIP[[#This Row],[B/S]]="B","BUY",(IF(SIP[[#This Row],[B/S]]="S","SELL"," ")))</f>
        <v>BUY</v>
      </c>
      <c r="J1739" s="150" t="s">
        <v>1229</v>
      </c>
      <c r="K1739" s="153">
        <v>1000</v>
      </c>
      <c r="L1739" s="122"/>
      <c r="M1739" s="123">
        <f>SIP[[#This Row],[Amount]]/SIP[[#This Row],[Unit]]</f>
        <v>13.888888888888889</v>
      </c>
      <c r="N1739" s="71">
        <f>SIP[[#This Row],[Unit Capital]]/10</f>
        <v>72</v>
      </c>
      <c r="O1739" s="71">
        <f>SUMIFS(SIP[[#Headers],[Unit]]:SIP[[#This Row],[Unit]],SIP[[#Headers],[Investor ID]]:SIP[[#This Row],[Investor ID]],SIP[[#This Row],[Investor ID]])</f>
        <v>1129</v>
      </c>
      <c r="P1739" s="153">
        <v>720</v>
      </c>
      <c r="Q1739" s="74">
        <f>SIP[[#This Row],[Amount]]-SIP[[#This Row],[Unit Capital]]</f>
        <v>280</v>
      </c>
      <c r="R17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13.286093888396806</v>
      </c>
      <c r="S1739" s="46">
        <f t="shared" si="82"/>
        <v>14.224</v>
      </c>
      <c r="T17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9" s="74" cm="1">
        <f t="array" ref="U1739">IF(SIP[[#This Row],[B/S]]="S",ABS(SIP[[#This Row],[Unit]])*(INDEX(SIP[NAV at Cost (Average)],MATCH(CONCATENATE((SIP[[#This Row],[Frequency]]-1),SIP[[#This Row],[Investor ID]]),SIP[Unique Code],0),0)),0)</f>
        <v>0</v>
      </c>
      <c r="V1739" s="74">
        <f>IF(SIP[[#This Row],[BO TRANSFER]]="YES",SIP[[#This Row],[Unit]],)</f>
        <v>0</v>
      </c>
      <c r="W1739" s="74">
        <f>SUMIFS(SIP[[#Headers],[BO UNIT TRANSFER]]:SIP[[#This Row],[BO UNIT TRANSFER]],SIP[[#Headers],[Investor ID]]:SIP[[#This Row],[Investor ID]],SIP[[#This Row],[Investor ID]])</f>
        <v>0</v>
      </c>
    </row>
    <row r="1740" spans="1:23" ht="15" customHeight="1">
      <c r="A1740" s="101">
        <v>2026</v>
      </c>
      <c r="B1740" s="101">
        <v>1</v>
      </c>
      <c r="C1740" s="101">
        <v>26</v>
      </c>
      <c r="D1740" s="65">
        <f>DATE(SIP[[#This Row],[Year]],SIP[[#This Row],[Month]],SIP[[#This Row],[Day]])</f>
        <v>46048</v>
      </c>
      <c r="E1740" s="66" t="str" cm="1">
        <f t="array" ref="E1740">INDEX(INVESTORS_LIST[INVESTOR NAME],MATCH(SIP[[#This Row],[Investor ID]],INVESTORS_LIST[INVESTOR CODE],0),)</f>
        <v>RAJIB</v>
      </c>
      <c r="F1740" s="46" t="s">
        <v>1321</v>
      </c>
      <c r="G1740" s="46">
        <f>COUNTIF(SIP[[#Headers],[Investor ID]]:SIP[[#This Row],[Investor ID]],SIP[[#This Row],[Investor ID]])</f>
        <v>10</v>
      </c>
      <c r="H1740" s="46" t="str">
        <f>CONCATENATE(SIP[[#This Row],[Frequency]],SIP[[#This Row],[Investor ID]])</f>
        <v>10A00607</v>
      </c>
      <c r="I1740" s="46" t="str">
        <f>IF(SIP[[#This Row],[B/S]]="B","BUY",(IF(SIP[[#This Row],[B/S]]="S","SELL"," ")))</f>
        <v>BUY</v>
      </c>
      <c r="J1740" s="150" t="s">
        <v>1229</v>
      </c>
      <c r="K1740" s="153">
        <v>1000</v>
      </c>
      <c r="L1740" s="122"/>
      <c r="M1740" s="123">
        <f>SIP[[#This Row],[Amount]]/SIP[[#This Row],[Unit]]</f>
        <v>13.888888888888889</v>
      </c>
      <c r="N1740" s="71">
        <f>SIP[[#This Row],[Unit Capital]]/10</f>
        <v>72</v>
      </c>
      <c r="O1740" s="71">
        <f>SUMIFS(SIP[[#Headers],[Unit]]:SIP[[#This Row],[Unit]],SIP[[#Headers],[Investor ID]]:SIP[[#This Row],[Investor ID]],SIP[[#This Row],[Investor ID]])</f>
        <v>760</v>
      </c>
      <c r="P1740" s="153">
        <v>720</v>
      </c>
      <c r="Q1740" s="74">
        <f>SIP[[#This Row],[Amount]]-SIP[[#This Row],[Unit Capital]]</f>
        <v>280</v>
      </c>
      <c r="R17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13.157894736842104</v>
      </c>
      <c r="S1740" s="46">
        <f t="shared" si="82"/>
        <v>14.224</v>
      </c>
      <c r="T17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0" s="74" cm="1">
        <f t="array" ref="U1740">IF(SIP[[#This Row],[B/S]]="S",ABS(SIP[[#This Row],[Unit]])*(INDEX(SIP[NAV at Cost (Average)],MATCH(CONCATENATE((SIP[[#This Row],[Frequency]]-1),SIP[[#This Row],[Investor ID]]),SIP[Unique Code],0),0)),0)</f>
        <v>0</v>
      </c>
      <c r="V1740" s="74">
        <f>IF(SIP[[#This Row],[BO TRANSFER]]="YES",SIP[[#This Row],[Unit]],)</f>
        <v>0</v>
      </c>
      <c r="W1740" s="74">
        <f>SUMIFS(SIP[[#Headers],[BO UNIT TRANSFER]]:SIP[[#This Row],[BO UNIT TRANSFER]],SIP[[#Headers],[Investor ID]]:SIP[[#This Row],[Investor ID]],SIP[[#This Row],[Investor ID]])</f>
        <v>0</v>
      </c>
    </row>
    <row r="1741" spans="1:23" ht="15" customHeight="1">
      <c r="A1741" s="101">
        <v>2026</v>
      </c>
      <c r="B1741" s="101">
        <v>1</v>
      </c>
      <c r="C1741" s="101">
        <v>26</v>
      </c>
      <c r="D1741" s="65">
        <f>DATE(SIP[[#This Row],[Year]],SIP[[#This Row],[Month]],SIP[[#This Row],[Day]])</f>
        <v>46048</v>
      </c>
      <c r="E1741" s="66" t="str" cm="1">
        <f t="array" ref="E1741">INDEX(INVESTORS_LIST[INVESTOR NAME],MATCH(SIP[[#This Row],[Investor ID]],INVESTORS_LIST[INVESTOR CODE],0),)</f>
        <v>MST. GOLENUR</v>
      </c>
      <c r="F1741" s="46" t="s">
        <v>1075</v>
      </c>
      <c r="G1741" s="46">
        <f>COUNTIF(SIP[[#Headers],[Investor ID]]:SIP[[#This Row],[Investor ID]],SIP[[#This Row],[Investor ID]])</f>
        <v>15</v>
      </c>
      <c r="H1741" s="46" t="str">
        <f>CONCATENATE(SIP[[#This Row],[Frequency]],SIP[[#This Row],[Investor ID]])</f>
        <v>15A00515</v>
      </c>
      <c r="I1741" s="46" t="str">
        <f>IF(SIP[[#This Row],[B/S]]="B","BUY",(IF(SIP[[#This Row],[B/S]]="S","SELL"," ")))</f>
        <v>BUY</v>
      </c>
      <c r="J1741" s="150" t="s">
        <v>1229</v>
      </c>
      <c r="K1741" s="153">
        <v>4000</v>
      </c>
      <c r="L1741" s="122"/>
      <c r="M1741" s="123">
        <f>SIP[[#This Row],[Amount]]/SIP[[#This Row],[Unit]]</f>
        <v>13.937282229965156</v>
      </c>
      <c r="N1741" s="71">
        <f>SIP[[#This Row],[Unit Capital]]/10</f>
        <v>287</v>
      </c>
      <c r="O1741" s="71">
        <f>SUMIFS(SIP[[#Headers],[Unit]]:SIP[[#This Row],[Unit]],SIP[[#Headers],[Investor ID]]:SIP[[#This Row],[Investor ID]],SIP[[#This Row],[Investor ID]])</f>
        <v>2890</v>
      </c>
      <c r="P1741" s="153">
        <v>2870</v>
      </c>
      <c r="Q1741" s="74">
        <f>SIP[[#This Row],[Amount]]-SIP[[#This Row],[Unit Capital]]</f>
        <v>1130</v>
      </c>
      <c r="R17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13.148788927335641</v>
      </c>
      <c r="S1741" s="46">
        <f t="shared" si="82"/>
        <v>14.224</v>
      </c>
      <c r="T17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1" s="74" cm="1">
        <f t="array" ref="U1741">IF(SIP[[#This Row],[B/S]]="S",ABS(SIP[[#This Row],[Unit]])*(INDEX(SIP[NAV at Cost (Average)],MATCH(CONCATENATE((SIP[[#This Row],[Frequency]]-1),SIP[[#This Row],[Investor ID]]),SIP[Unique Code],0),0)),0)</f>
        <v>0</v>
      </c>
      <c r="V1741" s="74">
        <f>IF(SIP[[#This Row],[BO TRANSFER]]="YES",SIP[[#This Row],[Unit]],)</f>
        <v>0</v>
      </c>
      <c r="W1741" s="74">
        <f>SUMIFS(SIP[[#Headers],[BO UNIT TRANSFER]]:SIP[[#This Row],[BO UNIT TRANSFER]],SIP[[#Headers],[Investor ID]]:SIP[[#This Row],[Investor ID]],SIP[[#This Row],[Investor ID]])</f>
        <v>0</v>
      </c>
    </row>
    <row r="1742" spans="1:23" ht="15" customHeight="1">
      <c r="A1742" s="101">
        <v>2026</v>
      </c>
      <c r="B1742" s="101">
        <v>1</v>
      </c>
      <c r="C1742" s="101">
        <v>26</v>
      </c>
      <c r="D1742" s="65">
        <f>DATE(SIP[[#This Row],[Year]],SIP[[#This Row],[Month]],SIP[[#This Row],[Day]])</f>
        <v>46048</v>
      </c>
      <c r="E1742" s="66" t="str" cm="1">
        <f t="array" ref="E1742">INDEX(INVESTORS_LIST[INVESTOR NAME],MATCH(SIP[[#This Row],[Investor ID]],INVESTORS_LIST[INVESTOR CODE],0),)</f>
        <v>RUMA AKTER</v>
      </c>
      <c r="F1742" s="46" t="s">
        <v>1323</v>
      </c>
      <c r="G1742" s="46">
        <f>COUNTIF(SIP[[#Headers],[Investor ID]]:SIP[[#This Row],[Investor ID]],SIP[[#This Row],[Investor ID]])</f>
        <v>16</v>
      </c>
      <c r="H1742" s="46" t="str">
        <f>CONCATENATE(SIP[[#This Row],[Frequency]],SIP[[#This Row],[Investor ID]])</f>
        <v>16A00608</v>
      </c>
      <c r="I1742" s="46" t="str">
        <f>IF(SIP[[#This Row],[B/S]]="B","BUY",(IF(SIP[[#This Row],[B/S]]="S","SELL"," ")))</f>
        <v>BUY</v>
      </c>
      <c r="J1742" s="150" t="s">
        <v>1229</v>
      </c>
      <c r="K1742" s="153">
        <v>1000</v>
      </c>
      <c r="L1742" s="122"/>
      <c r="M1742" s="123">
        <f>SIP[[#This Row],[Amount]]/SIP[[#This Row],[Unit]]</f>
        <v>13.888888888888889</v>
      </c>
      <c r="N1742" s="71">
        <f>SIP[[#This Row],[Unit Capital]]/10</f>
        <v>72</v>
      </c>
      <c r="O1742" s="71">
        <f>SUMIFS(SIP[[#Headers],[Unit]]:SIP[[#This Row],[Unit]],SIP[[#Headers],[Investor ID]]:SIP[[#This Row],[Investor ID]],SIP[[#This Row],[Investor ID]])</f>
        <v>1201</v>
      </c>
      <c r="P1742" s="153">
        <v>720</v>
      </c>
      <c r="Q1742" s="74">
        <f>SIP[[#This Row],[Amount]]-SIP[[#This Row],[Unit Capital]]</f>
        <v>280</v>
      </c>
      <c r="R17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13.322231473771852</v>
      </c>
      <c r="S1742" s="46">
        <f t="shared" si="82"/>
        <v>14.224</v>
      </c>
      <c r="T17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2" s="74" cm="1">
        <f t="array" ref="U1742">IF(SIP[[#This Row],[B/S]]="S",ABS(SIP[[#This Row],[Unit]])*(INDEX(SIP[NAV at Cost (Average)],MATCH(CONCATENATE((SIP[[#This Row],[Frequency]]-1),SIP[[#This Row],[Investor ID]]),SIP[Unique Code],0),0)),0)</f>
        <v>0</v>
      </c>
      <c r="V1742" s="74">
        <f>IF(SIP[[#This Row],[BO TRANSFER]]="YES",SIP[[#This Row],[Unit]],)</f>
        <v>0</v>
      </c>
      <c r="W1742" s="74">
        <f>SUMIFS(SIP[[#Headers],[BO UNIT TRANSFER]]:SIP[[#This Row],[BO UNIT TRANSFER]],SIP[[#Headers],[Investor ID]]:SIP[[#This Row],[Investor ID]],SIP[[#This Row],[Investor ID]])</f>
        <v>0</v>
      </c>
    </row>
    <row r="1743" spans="1:23" ht="15" customHeight="1">
      <c r="A1743" s="101">
        <v>2026</v>
      </c>
      <c r="B1743" s="101">
        <v>1</v>
      </c>
      <c r="C1743" s="101">
        <v>26</v>
      </c>
      <c r="D1743" s="65">
        <f>DATE(SIP[[#This Row],[Year]],SIP[[#This Row],[Month]],SIP[[#This Row],[Day]])</f>
        <v>46048</v>
      </c>
      <c r="E1743" s="66" t="str" cm="1">
        <f t="array" ref="E1743">INDEX(INVESTORS_LIST[INVESTOR NAME],MATCH(SIP[[#This Row],[Investor ID]],INVESTORS_LIST[INVESTOR CODE],0),)</f>
        <v>SHANTA MONI SAHA</v>
      </c>
      <c r="F1743" s="46" t="s">
        <v>1455</v>
      </c>
      <c r="G1743" s="46">
        <f>COUNTIF(SIP[[#Headers],[Investor ID]]:SIP[[#This Row],[Investor ID]],SIP[[#This Row],[Investor ID]])</f>
        <v>2</v>
      </c>
      <c r="H1743" s="46" t="str">
        <f>CONCATENATE(SIP[[#This Row],[Frequency]],SIP[[#This Row],[Investor ID]])</f>
        <v>2A00671</v>
      </c>
      <c r="I1743" s="46" t="str">
        <f>IF(SIP[[#This Row],[B/S]]="B","BUY",(IF(SIP[[#This Row],[B/S]]="S","SELL"," ")))</f>
        <v>BUY</v>
      </c>
      <c r="J1743" s="150" t="s">
        <v>1229</v>
      </c>
      <c r="K1743" s="153">
        <v>5000</v>
      </c>
      <c r="L1743" s="122"/>
      <c r="M1743" s="123">
        <f>SIP[[#This Row],[Amount]]/SIP[[#This Row],[Unit]]</f>
        <v>13.927576601671309</v>
      </c>
      <c r="N1743" s="71">
        <f>SIP[[#This Row],[Unit Capital]]/10</f>
        <v>359</v>
      </c>
      <c r="O1743" s="71">
        <f>SUMIFS(SIP[[#Headers],[Unit]]:SIP[[#This Row],[Unit]],SIP[[#Headers],[Investor ID]]:SIP[[#This Row],[Investor ID]],SIP[[#This Row],[Investor ID]])</f>
        <v>722</v>
      </c>
      <c r="P1743" s="153">
        <v>3590</v>
      </c>
      <c r="Q1743" s="74">
        <f>SIP[[#This Row],[Amount]]-SIP[[#This Row],[Unit Capital]]</f>
        <v>1410</v>
      </c>
      <c r="R17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13.850415512465373</v>
      </c>
      <c r="S1743" s="46">
        <f t="shared" si="82"/>
        <v>14.224</v>
      </c>
      <c r="T17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3" s="74" cm="1">
        <f t="array" ref="U1743">IF(SIP[[#This Row],[B/S]]="S",ABS(SIP[[#This Row],[Unit]])*(INDEX(SIP[NAV at Cost (Average)],MATCH(CONCATENATE((SIP[[#This Row],[Frequency]]-1),SIP[[#This Row],[Investor ID]]),SIP[Unique Code],0),0)),0)</f>
        <v>0</v>
      </c>
      <c r="V1743" s="74">
        <f>IF(SIP[[#This Row],[BO TRANSFER]]="YES",SIP[[#This Row],[Unit]],)</f>
        <v>0</v>
      </c>
      <c r="W1743" s="74">
        <f>SUMIFS(SIP[[#Headers],[BO UNIT TRANSFER]]:SIP[[#This Row],[BO UNIT TRANSFER]],SIP[[#Headers],[Investor ID]]:SIP[[#This Row],[Investor ID]],SIP[[#This Row],[Investor ID]])</f>
        <v>0</v>
      </c>
    </row>
    <row r="1744" spans="1:23" ht="15" customHeight="1">
      <c r="A1744" s="101">
        <v>2026</v>
      </c>
      <c r="B1744" s="101">
        <v>1</v>
      </c>
      <c r="C1744" s="101">
        <v>26</v>
      </c>
      <c r="D1744" s="65">
        <f>DATE(SIP[[#This Row],[Year]],SIP[[#This Row],[Month]],SIP[[#This Row],[Day]])</f>
        <v>46048</v>
      </c>
      <c r="E1744" s="66" t="str" cm="1">
        <f t="array" ref="E1744">INDEX(INVESTORS_LIST[INVESTOR NAME],MATCH(SIP[[#This Row],[Investor ID]],INVESTORS_LIST[INVESTOR CODE],0),)</f>
        <v>BABITA RANI BARMAN</v>
      </c>
      <c r="F1744" s="46" t="s">
        <v>188</v>
      </c>
      <c r="G1744" s="46">
        <f>COUNTIF(SIP[[#Headers],[Investor ID]]:SIP[[#This Row],[Investor ID]],SIP[[#This Row],[Investor ID]])</f>
        <v>3</v>
      </c>
      <c r="H1744" s="46" t="str">
        <f>CONCATENATE(SIP[[#This Row],[Frequency]],SIP[[#This Row],[Investor ID]])</f>
        <v>3A00070</v>
      </c>
      <c r="I1744" s="46" t="str">
        <f>IF(SIP[[#This Row],[B/S]]="B","BUY",(IF(SIP[[#This Row],[B/S]]="S","SELL"," ")))</f>
        <v>BUY</v>
      </c>
      <c r="J1744" s="150" t="s">
        <v>1229</v>
      </c>
      <c r="K1744" s="153">
        <v>2000</v>
      </c>
      <c r="L1744" s="122"/>
      <c r="M1744" s="123">
        <f>SIP[[#This Row],[Amount]]/SIP[[#This Row],[Unit]]</f>
        <v>13.888888888888889</v>
      </c>
      <c r="N1744" s="71">
        <f>SIP[[#This Row],[Unit Capital]]/10</f>
        <v>144</v>
      </c>
      <c r="O1744" s="71">
        <f>SUMIFS(SIP[[#Headers],[Unit]]:SIP[[#This Row],[Unit]],SIP[[#Headers],[Investor ID]]:SIP[[#This Row],[Investor ID]],SIP[[#This Row],[Investor ID]])</f>
        <v>434</v>
      </c>
      <c r="P1744" s="153">
        <v>1440</v>
      </c>
      <c r="Q1744" s="74">
        <f>SIP[[#This Row],[Amount]]-SIP[[#This Row],[Unit Capital]]</f>
        <v>560</v>
      </c>
      <c r="R17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13.824884792626728</v>
      </c>
      <c r="S1744" s="46">
        <f t="shared" si="82"/>
        <v>14.224</v>
      </c>
      <c r="T17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4" s="74" cm="1">
        <f t="array" ref="U1744">IF(SIP[[#This Row],[B/S]]="S",ABS(SIP[[#This Row],[Unit]])*(INDEX(SIP[NAV at Cost (Average)],MATCH(CONCATENATE((SIP[[#This Row],[Frequency]]-1),SIP[[#This Row],[Investor ID]]),SIP[Unique Code],0),0)),0)</f>
        <v>0</v>
      </c>
      <c r="V1744" s="74">
        <f>IF(SIP[[#This Row],[BO TRANSFER]]="YES",SIP[[#This Row],[Unit]],)</f>
        <v>0</v>
      </c>
      <c r="W1744" s="74">
        <f>SUMIFS(SIP[[#Headers],[BO UNIT TRANSFER]]:SIP[[#This Row],[BO UNIT TRANSFER]],SIP[[#Headers],[Investor ID]]:SIP[[#This Row],[Investor ID]],SIP[[#This Row],[Investor ID]])</f>
        <v>0</v>
      </c>
    </row>
    <row r="1745" spans="1:23" ht="15" customHeight="1">
      <c r="A1745" s="101">
        <v>2026</v>
      </c>
      <c r="B1745" s="101">
        <v>1</v>
      </c>
      <c r="C1745" s="101">
        <v>26</v>
      </c>
      <c r="D1745" s="65">
        <f>DATE(SIP[[#This Row],[Year]],SIP[[#This Row],[Month]],SIP[[#This Row],[Day]])</f>
        <v>46048</v>
      </c>
      <c r="E1745" s="66" t="str" cm="1">
        <f t="array" ref="E1745">INDEX(INVESTORS_LIST[INVESTOR NAME],MATCH(SIP[[#This Row],[Investor ID]],INVESTORS_LIST[INVESTOR CODE],0),)</f>
        <v>FAHMIDA SAEED SAKI</v>
      </c>
      <c r="F1745" s="46" t="s">
        <v>936</v>
      </c>
      <c r="G1745" s="46">
        <f>COUNTIF(SIP[[#Headers],[Investor ID]]:SIP[[#This Row],[Investor ID]],SIP[[#This Row],[Investor ID]])</f>
        <v>1</v>
      </c>
      <c r="H1745" s="46" t="str">
        <f>CONCATENATE(SIP[[#This Row],[Frequency]],SIP[[#This Row],[Investor ID]])</f>
        <v>1A00445</v>
      </c>
      <c r="I1745" s="46" t="str">
        <f>IF(SIP[[#This Row],[B/S]]="B","BUY",(IF(SIP[[#This Row],[B/S]]="S","SELL"," ")))</f>
        <v>BUY</v>
      </c>
      <c r="J1745" s="150" t="s">
        <v>1229</v>
      </c>
      <c r="K1745" s="153">
        <v>10000</v>
      </c>
      <c r="L1745" s="122"/>
      <c r="M1745" s="123">
        <f>SIP[[#This Row],[Amount]]/SIP[[#This Row],[Unit]]</f>
        <v>13.927576601671309</v>
      </c>
      <c r="N1745" s="71">
        <f>SIP[[#This Row],[Unit Capital]]/10</f>
        <v>718</v>
      </c>
      <c r="O1745" s="71">
        <f>SUMIFS(SIP[[#Headers],[Unit]]:SIP[[#This Row],[Unit]],SIP[[#Headers],[Investor ID]]:SIP[[#This Row],[Investor ID]],SIP[[#This Row],[Investor ID]])</f>
        <v>718</v>
      </c>
      <c r="P1745" s="153">
        <v>7180</v>
      </c>
      <c r="Q1745" s="74">
        <f>SIP[[#This Row],[Amount]]-SIP[[#This Row],[Unit Capital]]</f>
        <v>2820</v>
      </c>
      <c r="R17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13.927576601671309</v>
      </c>
      <c r="S1745" s="46">
        <f t="shared" si="82"/>
        <v>14.224</v>
      </c>
      <c r="T17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5" s="74" cm="1">
        <f t="array" ref="U1745">IF(SIP[[#This Row],[B/S]]="S",ABS(SIP[[#This Row],[Unit]])*(INDEX(SIP[NAV at Cost (Average)],MATCH(CONCATENATE((SIP[[#This Row],[Frequency]]-1),SIP[[#This Row],[Investor ID]]),SIP[Unique Code],0),0)),0)</f>
        <v>0</v>
      </c>
      <c r="V1745" s="74">
        <f>IF(SIP[[#This Row],[BO TRANSFER]]="YES",SIP[[#This Row],[Unit]],)</f>
        <v>0</v>
      </c>
      <c r="W1745" s="74">
        <f>SUMIFS(SIP[[#Headers],[BO UNIT TRANSFER]]:SIP[[#This Row],[BO UNIT TRANSFER]],SIP[[#Headers],[Investor ID]]:SIP[[#This Row],[Investor ID]],SIP[[#This Row],[Investor ID]])</f>
        <v>0</v>
      </c>
    </row>
    <row r="1746" spans="1:23" ht="15" customHeight="1">
      <c r="A1746" s="101">
        <v>2026</v>
      </c>
      <c r="B1746" s="101">
        <v>1</v>
      </c>
      <c r="C1746" s="101">
        <v>26</v>
      </c>
      <c r="D1746" s="65">
        <f>DATE(SIP[[#This Row],[Year]],SIP[[#This Row],[Month]],SIP[[#This Row],[Day]])</f>
        <v>46048</v>
      </c>
      <c r="E1746" s="66" t="str" cm="1">
        <f t="array" ref="E1746">INDEX(INVESTORS_LIST[INVESTOR NAME],MATCH(SIP[[#This Row],[Investor ID]],INVESTORS_LIST[INVESTOR CODE],0),)</f>
        <v>KAZI MUNTASIR ASHRAF</v>
      </c>
      <c r="F1746" s="46" t="s">
        <v>1465</v>
      </c>
      <c r="G1746" s="46">
        <f>COUNTIF(SIP[[#Headers],[Investor ID]]:SIP[[#This Row],[Investor ID]],SIP[[#This Row],[Investor ID]])</f>
        <v>3</v>
      </c>
      <c r="H1746" s="46" t="str">
        <f>CONCATENATE(SIP[[#This Row],[Frequency]],SIP[[#This Row],[Investor ID]])</f>
        <v>3A00676</v>
      </c>
      <c r="I1746" s="46" t="str">
        <f>IF(SIP[[#This Row],[B/S]]="B","BUY",(IF(SIP[[#This Row],[B/S]]="S","SELL"," ")))</f>
        <v>BUY</v>
      </c>
      <c r="J1746" s="150" t="s">
        <v>1229</v>
      </c>
      <c r="K1746" s="153">
        <v>5000</v>
      </c>
      <c r="L1746" s="122" t="s">
        <v>1230</v>
      </c>
      <c r="M1746" s="123">
        <f>SIP[[#This Row],[Amount]]/SIP[[#This Row],[Unit]]</f>
        <v>13.927576601671309</v>
      </c>
      <c r="N1746" s="71">
        <f>SIP[[#This Row],[Unit Capital]]/10</f>
        <v>359</v>
      </c>
      <c r="O1746" s="71">
        <f>SUMIFS(SIP[[#Headers],[Unit]]:SIP[[#This Row],[Unit]],SIP[[#Headers],[Investor ID]]:SIP[[#This Row],[Investor ID]],SIP[[#This Row],[Investor ID]])</f>
        <v>1085</v>
      </c>
      <c r="P1746" s="153">
        <v>3590</v>
      </c>
      <c r="Q1746" s="74">
        <f>SIP[[#This Row],[Amount]]-SIP[[#This Row],[Unit Capital]]</f>
        <v>1410</v>
      </c>
      <c r="R17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13.824884792626726</v>
      </c>
      <c r="S1746" s="46">
        <f t="shared" si="82"/>
        <v>14.224</v>
      </c>
      <c r="T17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6" s="74" cm="1">
        <f t="array" ref="U1746">IF(SIP[[#This Row],[B/S]]="S",ABS(SIP[[#This Row],[Unit]])*(INDEX(SIP[NAV at Cost (Average)],MATCH(CONCATENATE((SIP[[#This Row],[Frequency]]-1),SIP[[#This Row],[Investor ID]]),SIP[Unique Code],0),0)),0)</f>
        <v>0</v>
      </c>
      <c r="V1746" s="74">
        <f>IF(SIP[[#This Row],[BO TRANSFER]]="YES",SIP[[#This Row],[Unit]],)</f>
        <v>359</v>
      </c>
      <c r="W1746" s="74">
        <f>SUMIFS(SIP[[#Headers],[BO UNIT TRANSFER]]:SIP[[#This Row],[BO UNIT TRANSFER]],SIP[[#Headers],[Investor ID]]:SIP[[#This Row],[Investor ID]],SIP[[#This Row],[Investor ID]])</f>
        <v>1085</v>
      </c>
    </row>
    <row r="1747" spans="1:23" ht="15" customHeight="1">
      <c r="A1747" s="101">
        <v>2026</v>
      </c>
      <c r="B1747" s="101">
        <v>1</v>
      </c>
      <c r="C1747" s="101">
        <v>26</v>
      </c>
      <c r="D1747" s="65">
        <f>DATE(SIP[[#This Row],[Year]],SIP[[#This Row],[Month]],SIP[[#This Row],[Day]])</f>
        <v>46048</v>
      </c>
      <c r="E1747" s="66" t="str" cm="1">
        <f t="array" ref="E1747">INDEX(INVESTORS_LIST[INVESTOR NAME],MATCH(SIP[[#This Row],[Investor ID]],INVESTORS_LIST[INVESTOR CODE],0),)</f>
        <v>ABIR SAHA</v>
      </c>
      <c r="F1747" s="46" t="s">
        <v>990</v>
      </c>
      <c r="G1747" s="46">
        <f>COUNTIF(SIP[[#Headers],[Investor ID]]:SIP[[#This Row],[Investor ID]],SIP[[#This Row],[Investor ID]])</f>
        <v>6</v>
      </c>
      <c r="H1747" s="46" t="str">
        <f>CONCATENATE(SIP[[#This Row],[Frequency]],SIP[[#This Row],[Investor ID]])</f>
        <v>6A00472</v>
      </c>
      <c r="I1747" s="46" t="str">
        <f>IF(SIP[[#This Row],[B/S]]="B","BUY",(IF(SIP[[#This Row],[B/S]]="S","SELL"," ")))</f>
        <v>BUY</v>
      </c>
      <c r="J1747" s="150" t="s">
        <v>1229</v>
      </c>
      <c r="K1747" s="153">
        <v>1500</v>
      </c>
      <c r="L1747" s="122"/>
      <c r="M1747" s="123">
        <f>SIP[[#This Row],[Amount]]/SIP[[#This Row],[Unit]]</f>
        <v>13.888888888888889</v>
      </c>
      <c r="N1747" s="71">
        <f>SIP[[#This Row],[Unit Capital]]/10</f>
        <v>108</v>
      </c>
      <c r="O1747" s="71">
        <f>SUMIFS(SIP[[#Headers],[Unit]]:SIP[[#This Row],[Unit]],SIP[[#Headers],[Investor ID]]:SIP[[#This Row],[Investor ID]],SIP[[#This Row],[Investor ID]])</f>
        <v>108</v>
      </c>
      <c r="P1747" s="153">
        <v>1080</v>
      </c>
      <c r="Q1747" s="74">
        <f>SIP[[#This Row],[Amount]]-SIP[[#This Row],[Unit Capital]]</f>
        <v>420</v>
      </c>
      <c r="R17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13.888888888888889</v>
      </c>
      <c r="S1747" s="46">
        <f t="shared" si="82"/>
        <v>14.224</v>
      </c>
      <c r="T17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7" s="74" cm="1">
        <f t="array" ref="U1747">IF(SIP[[#This Row],[B/S]]="S",ABS(SIP[[#This Row],[Unit]])*(INDEX(SIP[NAV at Cost (Average)],MATCH(CONCATENATE((SIP[[#This Row],[Frequency]]-1),SIP[[#This Row],[Investor ID]]),SIP[Unique Code],0),0)),0)</f>
        <v>0</v>
      </c>
      <c r="V1747" s="74">
        <f>IF(SIP[[#This Row],[BO TRANSFER]]="YES",SIP[[#This Row],[Unit]],)</f>
        <v>0</v>
      </c>
      <c r="W1747" s="74">
        <f>SUMIFS(SIP[[#Headers],[BO UNIT TRANSFER]]:SIP[[#This Row],[BO UNIT TRANSFER]],SIP[[#Headers],[Investor ID]]:SIP[[#This Row],[Investor ID]],SIP[[#This Row],[Investor ID]])</f>
        <v>0</v>
      </c>
    </row>
    <row r="1748" spans="1:23" ht="15" customHeight="1">
      <c r="A1748" s="101">
        <v>2026</v>
      </c>
      <c r="B1748" s="101">
        <v>1</v>
      </c>
      <c r="C1748" s="101">
        <v>26</v>
      </c>
      <c r="D1748" s="65">
        <f>DATE(SIP[[#This Row],[Year]],SIP[[#This Row],[Month]],SIP[[#This Row],[Day]])</f>
        <v>46048</v>
      </c>
      <c r="E1748" s="66" t="str" cm="1">
        <f t="array" ref="E1748">INDEX(INVESTORS_LIST[INVESTOR NAME],MATCH(SIP[[#This Row],[Investor ID]],INVESTORS_LIST[INVESTOR CODE],0),)</f>
        <v>KHAN MUHAMMAD FAISOL</v>
      </c>
      <c r="F1748" s="46" t="s">
        <v>930</v>
      </c>
      <c r="G1748" s="46">
        <f>COUNTIF(SIP[[#Headers],[Investor ID]]:SIP[[#This Row],[Investor ID]],SIP[[#This Row],[Investor ID]])</f>
        <v>34</v>
      </c>
      <c r="H1748" s="46" t="str">
        <f>CONCATENATE(SIP[[#This Row],[Frequency]],SIP[[#This Row],[Investor ID]])</f>
        <v>34A00442</v>
      </c>
      <c r="I1748" s="46" t="str">
        <f>IF(SIP[[#This Row],[B/S]]="B","BUY",(IF(SIP[[#This Row],[B/S]]="S","SELL"," ")))</f>
        <v>BUY</v>
      </c>
      <c r="J1748" s="150" t="s">
        <v>1229</v>
      </c>
      <c r="K1748" s="153">
        <v>1000</v>
      </c>
      <c r="L1748" s="122" t="s">
        <v>1230</v>
      </c>
      <c r="M1748" s="123">
        <f>SIP[[#This Row],[Amount]]/SIP[[#This Row],[Unit]]</f>
        <v>13.888888888888889</v>
      </c>
      <c r="N1748" s="71">
        <f>SIP[[#This Row],[Unit Capital]]/10</f>
        <v>72</v>
      </c>
      <c r="O1748" s="71">
        <f>SUMIFS(SIP[[#Headers],[Unit]]:SIP[[#This Row],[Unit]],SIP[[#Headers],[Investor ID]]:SIP[[#This Row],[Investor ID]],SIP[[#This Row],[Investor ID]])</f>
        <v>519</v>
      </c>
      <c r="P1748" s="153">
        <v>720</v>
      </c>
      <c r="Q1748" s="74">
        <f>SIP[[#This Row],[Amount]]-SIP[[#This Row],[Unit Capital]]</f>
        <v>280</v>
      </c>
      <c r="R17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13.48747591522158</v>
      </c>
      <c r="S1748" s="46">
        <f t="shared" si="82"/>
        <v>14.224</v>
      </c>
      <c r="T17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8" s="74" cm="1">
        <f t="array" ref="U1748">IF(SIP[[#This Row],[B/S]]="S",ABS(SIP[[#This Row],[Unit]])*(INDEX(SIP[NAV at Cost (Average)],MATCH(CONCATENATE((SIP[[#This Row],[Frequency]]-1),SIP[[#This Row],[Investor ID]]),SIP[Unique Code],0),0)),0)</f>
        <v>0</v>
      </c>
      <c r="V1748" s="74">
        <f>IF(SIP[[#This Row],[BO TRANSFER]]="YES",SIP[[#This Row],[Unit]],)</f>
        <v>72</v>
      </c>
      <c r="W1748" s="74">
        <f>SUMIFS(SIP[[#Headers],[BO UNIT TRANSFER]]:SIP[[#This Row],[BO UNIT TRANSFER]],SIP[[#Headers],[Investor ID]]:SIP[[#This Row],[Investor ID]],SIP[[#This Row],[Investor ID]])</f>
        <v>519</v>
      </c>
    </row>
    <row r="1749" spans="1:23" ht="15" customHeight="1">
      <c r="A1749" s="101">
        <v>2026</v>
      </c>
      <c r="B1749" s="101">
        <v>1</v>
      </c>
      <c r="C1749" s="101">
        <v>26</v>
      </c>
      <c r="D1749" s="65">
        <f>DATE(SIP[[#This Row],[Year]],SIP[[#This Row],[Month]],SIP[[#This Row],[Day]])</f>
        <v>46048</v>
      </c>
      <c r="E1749" s="66" t="str" cm="1">
        <f t="array" ref="E1749">INDEX(INVESTORS_LIST[INVESTOR NAME],MATCH(SIP[[#This Row],[Investor ID]],INVESTORS_LIST[INVESTOR CODE],0),)</f>
        <v>MD. ARIFUL ISLAM</v>
      </c>
      <c r="F1749" s="46" t="s">
        <v>222</v>
      </c>
      <c r="G1749" s="46">
        <f>COUNTIF(SIP[[#Headers],[Investor ID]]:SIP[[#This Row],[Investor ID]],SIP[[#This Row],[Investor ID]])</f>
        <v>34</v>
      </c>
      <c r="H1749" s="46" t="str">
        <f>CONCATENATE(SIP[[#This Row],[Frequency]],SIP[[#This Row],[Investor ID]])</f>
        <v>34A00087</v>
      </c>
      <c r="I1749" s="46" t="str">
        <f>IF(SIP[[#This Row],[B/S]]="B","BUY",(IF(SIP[[#This Row],[B/S]]="S","SELL"," ")))</f>
        <v>BUY</v>
      </c>
      <c r="J1749" s="150" t="s">
        <v>1229</v>
      </c>
      <c r="K1749" s="153">
        <v>10000</v>
      </c>
      <c r="L1749" s="122"/>
      <c r="M1749" s="123">
        <f>SIP[[#This Row],[Amount]]/SIP[[#This Row],[Unit]]</f>
        <v>13.927576601671309</v>
      </c>
      <c r="N1749" s="71">
        <f>SIP[[#This Row],[Unit Capital]]/10</f>
        <v>718</v>
      </c>
      <c r="O1749" s="71">
        <f>SUMIFS(SIP[[#Headers],[Unit]]:SIP[[#This Row],[Unit]],SIP[[#Headers],[Investor ID]]:SIP[[#This Row],[Investor ID]],SIP[[#This Row],[Investor ID]])</f>
        <v>4402</v>
      </c>
      <c r="P1749" s="153">
        <v>7180</v>
      </c>
      <c r="Q1749" s="74">
        <f>SIP[[#This Row],[Amount]]-SIP[[#This Row],[Unit Capital]]</f>
        <v>2820</v>
      </c>
      <c r="R17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13.630168105406632</v>
      </c>
      <c r="S1749" s="46">
        <f t="shared" si="82"/>
        <v>14.224</v>
      </c>
      <c r="T17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9" s="74" cm="1">
        <f t="array" ref="U1749">IF(SIP[[#This Row],[B/S]]="S",ABS(SIP[[#This Row],[Unit]])*(INDEX(SIP[NAV at Cost (Average)],MATCH(CONCATENATE((SIP[[#This Row],[Frequency]]-1),SIP[[#This Row],[Investor ID]]),SIP[Unique Code],0),0)),0)</f>
        <v>0</v>
      </c>
      <c r="V1749" s="74">
        <f>IF(SIP[[#This Row],[BO TRANSFER]]="YES",SIP[[#This Row],[Unit]],)</f>
        <v>0</v>
      </c>
      <c r="W1749" s="74">
        <f>SUMIFS(SIP[[#Headers],[BO UNIT TRANSFER]]:SIP[[#This Row],[BO UNIT TRANSFER]],SIP[[#Headers],[Investor ID]]:SIP[[#This Row],[Investor ID]],SIP[[#This Row],[Investor ID]])</f>
        <v>0</v>
      </c>
    </row>
    <row r="1750" spans="1:23" ht="15" customHeight="1">
      <c r="A1750" s="101">
        <v>2026</v>
      </c>
      <c r="B1750" s="101">
        <v>1</v>
      </c>
      <c r="C1750" s="101">
        <v>27</v>
      </c>
      <c r="D1750" s="65">
        <f>DATE(SIP[[#This Row],[Year]],SIP[[#This Row],[Month]],SIP[[#This Row],[Day]])</f>
        <v>46049</v>
      </c>
      <c r="E1750" s="66" t="str" cm="1">
        <f t="array" ref="E1750">INDEX(INVESTORS_LIST[INVESTOR NAME],MATCH(SIP[[#This Row],[Investor ID]],INVESTORS_LIST[INVESTOR CODE],0),)</f>
        <v>MD. NAZMUS SAKIB</v>
      </c>
      <c r="F1750" s="46" t="s">
        <v>1476</v>
      </c>
      <c r="G1750" s="46">
        <f>COUNTIF(SIP[[#Headers],[Investor ID]]:SIP[[#This Row],[Investor ID]],SIP[[#This Row],[Investor ID]])</f>
        <v>2</v>
      </c>
      <c r="H1750" s="46" t="str">
        <f>CONCATENATE(SIP[[#This Row],[Frequency]],SIP[[#This Row],[Investor ID]])</f>
        <v>2A00683</v>
      </c>
      <c r="I1750" s="46" t="str">
        <f>IF(SIP[[#This Row],[B/S]]="B","BUY",(IF(SIP[[#This Row],[B/S]]="S","SELL"," ")))</f>
        <v>BUY</v>
      </c>
      <c r="J1750" s="150" t="s">
        <v>1229</v>
      </c>
      <c r="K1750" s="153">
        <v>2500</v>
      </c>
      <c r="L1750" s="122"/>
      <c r="M1750" s="123">
        <f>SIP[[#This Row],[Amount]]/SIP[[#This Row],[Unit]]</f>
        <v>13.966480446927374</v>
      </c>
      <c r="N1750" s="71">
        <f>SIP[[#This Row],[Unit Capital]]/10</f>
        <v>179</v>
      </c>
      <c r="O1750" s="71">
        <f>SUMIFS(SIP[[#Headers],[Unit]]:SIP[[#This Row],[Unit]],SIP[[#Headers],[Investor ID]]:SIP[[#This Row],[Investor ID]],SIP[[#This Row],[Investor ID]])</f>
        <v>361</v>
      </c>
      <c r="P1750" s="153">
        <v>1790</v>
      </c>
      <c r="Q1750" s="74">
        <f>SIP[[#This Row],[Amount]]-SIP[[#This Row],[Unit Capital]]</f>
        <v>710</v>
      </c>
      <c r="R17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13.850415512465371</v>
      </c>
      <c r="S1750" s="46">
        <f t="shared" si="82"/>
        <v>14.224</v>
      </c>
      <c r="T17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0" s="74" cm="1">
        <f t="array" ref="U1750">IF(SIP[[#This Row],[B/S]]="S",ABS(SIP[[#This Row],[Unit]])*(INDEX(SIP[NAV at Cost (Average)],MATCH(CONCATENATE((SIP[[#This Row],[Frequency]]-1),SIP[[#This Row],[Investor ID]]),SIP[Unique Code],0),0)),0)</f>
        <v>0</v>
      </c>
      <c r="V1750" s="74">
        <f>IF(SIP[[#This Row],[BO TRANSFER]]="YES",SIP[[#This Row],[Unit]],)</f>
        <v>0</v>
      </c>
      <c r="W1750" s="74">
        <f>SUMIFS(SIP[[#Headers],[BO UNIT TRANSFER]]:SIP[[#This Row],[BO UNIT TRANSFER]],SIP[[#Headers],[Investor ID]]:SIP[[#This Row],[Investor ID]],SIP[[#This Row],[Investor ID]])</f>
        <v>0</v>
      </c>
    </row>
    <row r="1751" spans="1:23" ht="15" customHeight="1">
      <c r="A1751" s="101">
        <v>2026</v>
      </c>
      <c r="B1751" s="101">
        <v>1</v>
      </c>
      <c r="C1751" s="101">
        <v>27</v>
      </c>
      <c r="D1751" s="65">
        <f>DATE(SIP[[#This Row],[Year]],SIP[[#This Row],[Month]],SIP[[#This Row],[Day]])</f>
        <v>46049</v>
      </c>
      <c r="E1751" s="66" t="str" cm="1">
        <f t="array" ref="E1751">INDEX(INVESTORS_LIST[INVESTOR NAME],MATCH(SIP[[#This Row],[Investor ID]],INVESTORS_LIST[INVESTOR CODE],0),)</f>
        <v>MD. NAZMUS SAKIB</v>
      </c>
      <c r="F1751" s="46" t="s">
        <v>1475</v>
      </c>
      <c r="G1751" s="46">
        <f>COUNTIF(SIP[[#Headers],[Investor ID]]:SIP[[#This Row],[Investor ID]],SIP[[#This Row],[Investor ID]])</f>
        <v>2</v>
      </c>
      <c r="H1751" s="46" t="str">
        <f>CONCATENATE(SIP[[#This Row],[Frequency]],SIP[[#This Row],[Investor ID]])</f>
        <v>2A00684</v>
      </c>
      <c r="I1751" s="46" t="str">
        <f>IF(SIP[[#This Row],[B/S]]="B","BUY",(IF(SIP[[#This Row],[B/S]]="S","SELL"," ")))</f>
        <v>BUY</v>
      </c>
      <c r="J1751" s="150" t="s">
        <v>1229</v>
      </c>
      <c r="K1751" s="153">
        <v>2500</v>
      </c>
      <c r="L1751" s="122"/>
      <c r="M1751" s="123">
        <f>SIP[[#This Row],[Amount]]/SIP[[#This Row],[Unit]]</f>
        <v>13.966480446927374</v>
      </c>
      <c r="N1751" s="71">
        <f>SIP[[#This Row],[Unit Capital]]/10</f>
        <v>179</v>
      </c>
      <c r="O1751" s="71">
        <f>SUMIFS(SIP[[#Headers],[Unit]]:SIP[[#This Row],[Unit]],SIP[[#Headers],[Investor ID]]:SIP[[#This Row],[Investor ID]],SIP[[#This Row],[Investor ID]])</f>
        <v>361</v>
      </c>
      <c r="P1751" s="153">
        <v>1790</v>
      </c>
      <c r="Q1751" s="74">
        <f>SIP[[#This Row],[Amount]]-SIP[[#This Row],[Unit Capital]]</f>
        <v>710</v>
      </c>
      <c r="R17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13.850415512465371</v>
      </c>
      <c r="S1751" s="46">
        <f t="shared" si="82"/>
        <v>14.224</v>
      </c>
      <c r="T17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1" s="74" cm="1">
        <f t="array" ref="U1751">IF(SIP[[#This Row],[B/S]]="S",ABS(SIP[[#This Row],[Unit]])*(INDEX(SIP[NAV at Cost (Average)],MATCH(CONCATENATE((SIP[[#This Row],[Frequency]]-1),SIP[[#This Row],[Investor ID]]),SIP[Unique Code],0),0)),0)</f>
        <v>0</v>
      </c>
      <c r="V1751" s="74">
        <f>IF(SIP[[#This Row],[BO TRANSFER]]="YES",SIP[[#This Row],[Unit]],)</f>
        <v>0</v>
      </c>
      <c r="W1751" s="74">
        <f>SUMIFS(SIP[[#Headers],[BO UNIT TRANSFER]]:SIP[[#This Row],[BO UNIT TRANSFER]],SIP[[#Headers],[Investor ID]]:SIP[[#This Row],[Investor ID]],SIP[[#This Row],[Investor ID]])</f>
        <v>0</v>
      </c>
    </row>
    <row r="1752" spans="1:23" ht="15" customHeight="1">
      <c r="A1752" s="101">
        <v>2026</v>
      </c>
      <c r="B1752" s="101">
        <v>2</v>
      </c>
      <c r="C1752" s="101">
        <v>1</v>
      </c>
      <c r="D1752" s="65">
        <f>DATE(SIP[[#This Row],[Year]],SIP[[#This Row],[Month]],SIP[[#This Row],[Day]])</f>
        <v>46054</v>
      </c>
      <c r="E1752" s="66" t="str" cm="1">
        <f t="array" ref="E1752">INDEX(INVESTORS_LIST[INVESTOR NAME],MATCH(SIP[[#This Row],[Investor ID]],INVESTORS_LIST[INVESTOR CODE],0),)</f>
        <v>MD. SAIFUL ISLAM</v>
      </c>
      <c r="F1752" s="46" t="s">
        <v>1425</v>
      </c>
      <c r="G1752" s="46">
        <f>COUNTIF(SIP[[#Headers],[Investor ID]]:SIP[[#This Row],[Investor ID]],SIP[[#This Row],[Investor ID]])</f>
        <v>5</v>
      </c>
      <c r="H1752" s="46" t="str">
        <f>CONCATENATE(SIP[[#This Row],[Frequency]],SIP[[#This Row],[Investor ID]])</f>
        <v>5A00658</v>
      </c>
      <c r="I1752" s="46" t="str">
        <f>IF(SIP[[#This Row],[B/S]]="B","BUY",(IF(SIP[[#This Row],[B/S]]="S","SELL"," ")))</f>
        <v>BUY</v>
      </c>
      <c r="J1752" s="150" t="s">
        <v>1229</v>
      </c>
      <c r="K1752" s="152">
        <v>10000</v>
      </c>
      <c r="L1752" s="122"/>
      <c r="M1752" s="123">
        <f>SIP[[#This Row],[Amount]]/SIP[[#This Row],[Unit]]</f>
        <v>13.947001394700139</v>
      </c>
      <c r="N1752" s="71">
        <f>SIP[[#This Row],[Unit Capital]]/10</f>
        <v>717</v>
      </c>
      <c r="O1752" s="71">
        <f>SUMIFS(SIP[[#Headers],[Unit]]:SIP[[#This Row],[Unit]],SIP[[#Headers],[Investor ID]]:SIP[[#This Row],[Investor ID]],SIP[[#This Row],[Investor ID]])</f>
        <v>3640</v>
      </c>
      <c r="P1752" s="153">
        <v>7170</v>
      </c>
      <c r="Q1752" s="74">
        <f>SIP[[#This Row],[Amount]]-SIP[[#This Row],[Unit Capital]]</f>
        <v>2830</v>
      </c>
      <c r="R17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13.736263736263737</v>
      </c>
      <c r="S1752" s="46">
        <f t="shared" ref="S1752:S1771" si="83">NAV_MKT</f>
        <v>14.224</v>
      </c>
      <c r="T17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2" s="74" cm="1">
        <f t="array" ref="U1752">IF(SIP[[#This Row],[B/S]]="S",ABS(SIP[[#This Row],[Unit]])*(INDEX(SIP[NAV at Cost (Average)],MATCH(CONCATENATE((SIP[[#This Row],[Frequency]]-1),SIP[[#This Row],[Investor ID]]),SIP[Unique Code],0),0)),0)</f>
        <v>0</v>
      </c>
      <c r="V1752" s="74">
        <f>IF(SIP[[#This Row],[BO TRANSFER]]="YES",SIP[[#This Row],[Unit]],)</f>
        <v>0</v>
      </c>
      <c r="W1752" s="74">
        <f>SUMIFS(SIP[[#Headers],[BO UNIT TRANSFER]]:SIP[[#This Row],[BO UNIT TRANSFER]],SIP[[#Headers],[Investor ID]]:SIP[[#This Row],[Investor ID]],SIP[[#This Row],[Investor ID]])</f>
        <v>0</v>
      </c>
    </row>
    <row r="1753" spans="1:23" ht="15" customHeight="1">
      <c r="A1753" s="101">
        <v>2026</v>
      </c>
      <c r="B1753" s="101">
        <v>2</v>
      </c>
      <c r="C1753" s="101">
        <v>5</v>
      </c>
      <c r="D1753" s="65">
        <f>DATE(SIP[[#This Row],[Year]],SIP[[#This Row],[Month]],SIP[[#This Row],[Day]])</f>
        <v>46058</v>
      </c>
      <c r="E1753" s="66" t="str" cm="1">
        <f t="array" ref="E1753">INDEX(INVESTORS_LIST[INVESTOR NAME],MATCH(SIP[[#This Row],[Investor ID]],INVESTORS_LIST[INVESTOR CODE],0),)</f>
        <v>SK FEROZ ALAM</v>
      </c>
      <c r="F1753" s="97" t="s">
        <v>240</v>
      </c>
      <c r="G1753" s="46">
        <f>COUNTIF(SIP[[#Headers],[Investor ID]]:SIP[[#This Row],[Investor ID]],SIP[[#This Row],[Investor ID]])</f>
        <v>23</v>
      </c>
      <c r="H1753" s="46" t="str">
        <f>CONCATENATE(SIP[[#This Row],[Frequency]],SIP[[#This Row],[Investor ID]])</f>
        <v>23A00096</v>
      </c>
      <c r="I1753" s="46" t="str">
        <f>IF(SIP[[#This Row],[B/S]]="B","BUY",(IF(SIP[[#This Row],[B/S]]="S","SELL"," ")))</f>
        <v>BUY</v>
      </c>
      <c r="J1753" s="150" t="s">
        <v>1229</v>
      </c>
      <c r="K1753" s="152">
        <v>1000</v>
      </c>
      <c r="L1753" s="122"/>
      <c r="M1753" s="123">
        <f>SIP[[#This Row],[Amount]]/SIP[[#This Row],[Unit]]</f>
        <v>13.888888888888889</v>
      </c>
      <c r="N1753" s="71">
        <f>SIP[[#This Row],[Unit Capital]]/10</f>
        <v>72</v>
      </c>
      <c r="O1753" s="71">
        <f>SUMIFS(SIP[[#Headers],[Unit]]:SIP[[#This Row],[Unit]],SIP[[#Headers],[Investor ID]]:SIP[[#This Row],[Investor ID]],SIP[[#This Row],[Investor ID]])</f>
        <v>519</v>
      </c>
      <c r="P1753" s="153">
        <v>720</v>
      </c>
      <c r="Q1753" s="74">
        <f>SIP[[#This Row],[Amount]]-SIP[[#This Row],[Unit Capital]]</f>
        <v>280</v>
      </c>
      <c r="R17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13.48747591522158</v>
      </c>
      <c r="S1753" s="46">
        <f t="shared" si="83"/>
        <v>14.224</v>
      </c>
      <c r="T17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3" s="74" cm="1">
        <f t="array" ref="U1753">IF(SIP[[#This Row],[B/S]]="S",ABS(SIP[[#This Row],[Unit]])*(INDEX(SIP[NAV at Cost (Average)],MATCH(CONCATENATE((SIP[[#This Row],[Frequency]]-1),SIP[[#This Row],[Investor ID]]),SIP[Unique Code],0),0)),0)</f>
        <v>0</v>
      </c>
      <c r="V1753" s="74">
        <f>IF(SIP[[#This Row],[BO TRANSFER]]="YES",SIP[[#This Row],[Unit]],)</f>
        <v>0</v>
      </c>
      <c r="W1753" s="74">
        <f>SUMIFS(SIP[[#Headers],[BO UNIT TRANSFER]]:SIP[[#This Row],[BO UNIT TRANSFER]],SIP[[#Headers],[Investor ID]]:SIP[[#This Row],[Investor ID]],SIP[[#This Row],[Investor ID]])</f>
        <v>0</v>
      </c>
    </row>
    <row r="1754" spans="1:23" ht="15" customHeight="1">
      <c r="A1754" s="101">
        <v>2026</v>
      </c>
      <c r="B1754" s="101">
        <v>2</v>
      </c>
      <c r="C1754" s="101">
        <v>5</v>
      </c>
      <c r="D1754" s="65">
        <f>DATE(SIP[[#This Row],[Year]],SIP[[#This Row],[Month]],SIP[[#This Row],[Day]])</f>
        <v>46058</v>
      </c>
      <c r="E1754" s="66" t="str" cm="1">
        <f t="array" ref="E1754">INDEX(INVESTORS_LIST[INVESTOR NAME],MATCH(SIP[[#This Row],[Investor ID]],INVESTORS_LIST[INVESTOR CODE],0),)</f>
        <v>NANDINI SAHA</v>
      </c>
      <c r="F1754" s="97" t="s">
        <v>242</v>
      </c>
      <c r="G1754" s="46">
        <f>COUNTIF(SIP[[#Headers],[Investor ID]]:SIP[[#This Row],[Investor ID]],SIP[[#This Row],[Investor ID]])</f>
        <v>38</v>
      </c>
      <c r="H1754" s="46" t="str">
        <f>CONCATENATE(SIP[[#This Row],[Frequency]],SIP[[#This Row],[Investor ID]])</f>
        <v>38A00097</v>
      </c>
      <c r="I1754" s="46" t="str">
        <f>IF(SIP[[#This Row],[B/S]]="B","BUY",(IF(SIP[[#This Row],[B/S]]="S","SELL"," ")))</f>
        <v>BUY</v>
      </c>
      <c r="J1754" s="150" t="s">
        <v>1229</v>
      </c>
      <c r="K1754" s="152">
        <v>30000</v>
      </c>
      <c r="L1754" s="122"/>
      <c r="M1754" s="123">
        <f>SIP[[#This Row],[Amount]]/SIP[[#This Row],[Unit]]</f>
        <v>13.972985561248253</v>
      </c>
      <c r="N1754" s="71">
        <f>SIP[[#This Row],[Unit Capital]]/10</f>
        <v>2147</v>
      </c>
      <c r="O1754" s="71">
        <f>SUMIFS(SIP[[#Headers],[Unit]]:SIP[[#This Row],[Unit]],SIP[[#Headers],[Investor ID]]:SIP[[#This Row],[Investor ID]],SIP[[#This Row],[Investor ID]])</f>
        <v>24846</v>
      </c>
      <c r="P1754" s="153">
        <v>21470</v>
      </c>
      <c r="Q1754" s="74">
        <f>SIP[[#This Row],[Amount]]-SIP[[#This Row],[Unit Capital]]</f>
        <v>8530</v>
      </c>
      <c r="R17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11.888269253409474</v>
      </c>
      <c r="S1754" s="46">
        <f t="shared" si="83"/>
        <v>14.224</v>
      </c>
      <c r="T17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4" s="74" cm="1">
        <f t="array" ref="U1754">IF(SIP[[#This Row],[B/S]]="S",ABS(SIP[[#This Row],[Unit]])*(INDEX(SIP[NAV at Cost (Average)],MATCH(CONCATENATE((SIP[[#This Row],[Frequency]]-1),SIP[[#This Row],[Investor ID]]),SIP[Unique Code],0),0)),0)</f>
        <v>0</v>
      </c>
      <c r="V1754" s="74">
        <f>IF(SIP[[#This Row],[BO TRANSFER]]="YES",SIP[[#This Row],[Unit]],)</f>
        <v>0</v>
      </c>
      <c r="W1754" s="74">
        <f>SUMIFS(SIP[[#Headers],[BO UNIT TRANSFER]]:SIP[[#This Row],[BO UNIT TRANSFER]],SIP[[#Headers],[Investor ID]]:SIP[[#This Row],[Investor ID]],SIP[[#This Row],[Investor ID]])</f>
        <v>0</v>
      </c>
    </row>
    <row r="1755" spans="1:23" ht="15" customHeight="1">
      <c r="A1755" s="101">
        <v>2026</v>
      </c>
      <c r="B1755" s="101">
        <v>2</v>
      </c>
      <c r="C1755" s="101">
        <v>5</v>
      </c>
      <c r="D1755" s="65">
        <f>DATE(SIP[[#This Row],[Year]],SIP[[#This Row],[Month]],SIP[[#This Row],[Day]])</f>
        <v>46058</v>
      </c>
      <c r="E1755" s="66" t="str" cm="1">
        <f t="array" ref="E1755">INDEX(INVESTORS_LIST[INVESTOR NAME],MATCH(SIP[[#This Row],[Investor ID]],INVESTORS_LIST[INVESTOR CODE],0),)</f>
        <v>ROKSABA KASEM</v>
      </c>
      <c r="F1755" s="97" t="s">
        <v>900</v>
      </c>
      <c r="G1755" s="46">
        <f>COUNTIF(SIP[[#Headers],[Investor ID]]:SIP[[#This Row],[Investor ID]],SIP[[#This Row],[Investor ID]])</f>
        <v>33</v>
      </c>
      <c r="H1755" s="46" t="str">
        <f>CONCATENATE(SIP[[#This Row],[Frequency]],SIP[[#This Row],[Investor ID]])</f>
        <v>33A00427</v>
      </c>
      <c r="I1755" s="46" t="str">
        <f>IF(SIP[[#This Row],[B/S]]="B","BUY",(IF(SIP[[#This Row],[B/S]]="S","SELL"," ")))</f>
        <v>BUY</v>
      </c>
      <c r="J1755" s="150" t="s">
        <v>1229</v>
      </c>
      <c r="K1755" s="152">
        <v>20000</v>
      </c>
      <c r="L1755" s="122" t="s">
        <v>1230</v>
      </c>
      <c r="M1755" s="123">
        <f>SIP[[#This Row],[Amount]]/SIP[[#This Row],[Unit]]</f>
        <v>13.966480446927374</v>
      </c>
      <c r="N1755" s="71">
        <f>SIP[[#This Row],[Unit Capital]]/10</f>
        <v>1432</v>
      </c>
      <c r="O1755" s="71">
        <f>SUMIFS(SIP[[#Headers],[Unit]]:SIP[[#This Row],[Unit]],SIP[[#Headers],[Investor ID]]:SIP[[#This Row],[Investor ID]],SIP[[#This Row],[Investor ID]])</f>
        <v>56631</v>
      </c>
      <c r="P1755" s="153">
        <v>14320</v>
      </c>
      <c r="Q1755" s="74">
        <f>SIP[[#This Row],[Amount]]-SIP[[#This Row],[Unit Capital]]</f>
        <v>5680</v>
      </c>
      <c r="R17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11.65439423637231</v>
      </c>
      <c r="S1755" s="46">
        <f t="shared" si="83"/>
        <v>14.224</v>
      </c>
      <c r="T17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5" s="74" cm="1">
        <f t="array" ref="U1755">IF(SIP[[#This Row],[B/S]]="S",ABS(SIP[[#This Row],[Unit]])*(INDEX(SIP[NAV at Cost (Average)],MATCH(CONCATENATE((SIP[[#This Row],[Frequency]]-1),SIP[[#This Row],[Investor ID]]),SIP[Unique Code],0),0)),0)</f>
        <v>0</v>
      </c>
      <c r="V1755" s="74">
        <f>IF(SIP[[#This Row],[BO TRANSFER]]="YES",SIP[[#This Row],[Unit]],)</f>
        <v>1432</v>
      </c>
      <c r="W1755" s="74">
        <f>SUMIFS(SIP[[#Headers],[BO UNIT TRANSFER]]:SIP[[#This Row],[BO UNIT TRANSFER]],SIP[[#Headers],[Investor ID]]:SIP[[#This Row],[Investor ID]],SIP[[#This Row],[Investor ID]])</f>
        <v>11934</v>
      </c>
    </row>
    <row r="1756" spans="1:23" ht="15" customHeight="1">
      <c r="A1756" s="101">
        <v>2026</v>
      </c>
      <c r="B1756" s="101">
        <v>2</v>
      </c>
      <c r="C1756" s="101">
        <v>5</v>
      </c>
      <c r="D1756" s="65">
        <f>DATE(SIP[[#This Row],[Year]],SIP[[#This Row],[Month]],SIP[[#This Row],[Day]])</f>
        <v>46058</v>
      </c>
      <c r="E1756" s="66" t="str" cm="1">
        <f t="array" ref="E1756">INDEX(INVESTORS_LIST[INVESTOR NAME],MATCH(SIP[[#This Row],[Investor ID]],INVESTORS_LIST[INVESTOR CODE],0),)</f>
        <v>IFFAT JAHAN YASHA</v>
      </c>
      <c r="F1756" s="97" t="s">
        <v>1499</v>
      </c>
      <c r="G1756" s="46">
        <f>COUNTIF(SIP[[#Headers],[Investor ID]]:SIP[[#This Row],[Investor ID]],SIP[[#This Row],[Investor ID]])</f>
        <v>1</v>
      </c>
      <c r="H1756" s="46" t="str">
        <f>CONCATENATE(SIP[[#This Row],[Frequency]],SIP[[#This Row],[Investor ID]])</f>
        <v>1A00691</v>
      </c>
      <c r="I1756" s="46" t="str">
        <f>IF(SIP[[#This Row],[B/S]]="B","BUY",(IF(SIP[[#This Row],[B/S]]="S","SELL"," ")))</f>
        <v>BUY</v>
      </c>
      <c r="J1756" s="150" t="s">
        <v>1229</v>
      </c>
      <c r="K1756" s="152">
        <v>1500</v>
      </c>
      <c r="L1756" s="122"/>
      <c r="M1756" s="123">
        <f>SIP[[#This Row],[Amount]]/SIP[[#This Row],[Unit]]</f>
        <v>14.018691588785046</v>
      </c>
      <c r="N1756" s="71">
        <f>SIP[[#This Row],[Unit Capital]]/10</f>
        <v>107</v>
      </c>
      <c r="O1756" s="71">
        <f>SUMIFS(SIP[[#Headers],[Unit]]:SIP[[#This Row],[Unit]],SIP[[#Headers],[Investor ID]]:SIP[[#This Row],[Investor ID]],SIP[[#This Row],[Investor ID]])</f>
        <v>107</v>
      </c>
      <c r="P1756" s="153">
        <v>1070</v>
      </c>
      <c r="Q1756" s="74">
        <f>SIP[[#This Row],[Amount]]-SIP[[#This Row],[Unit Capital]]</f>
        <v>430</v>
      </c>
      <c r="R17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14.018691588785046</v>
      </c>
      <c r="S1756" s="46">
        <f t="shared" si="83"/>
        <v>14.224</v>
      </c>
      <c r="T17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6" s="74" cm="1">
        <f t="array" ref="U1756">IF(SIP[[#This Row],[B/S]]="S",ABS(SIP[[#This Row],[Unit]])*(INDEX(SIP[NAV at Cost (Average)],MATCH(CONCATENATE((SIP[[#This Row],[Frequency]]-1),SIP[[#This Row],[Investor ID]]),SIP[Unique Code],0),0)),0)</f>
        <v>0</v>
      </c>
      <c r="V1756" s="74">
        <f>IF(SIP[[#This Row],[BO TRANSFER]]="YES",SIP[[#This Row],[Unit]],)</f>
        <v>0</v>
      </c>
      <c r="W1756" s="74">
        <f>SUMIFS(SIP[[#Headers],[BO UNIT TRANSFER]]:SIP[[#This Row],[BO UNIT TRANSFER]],SIP[[#Headers],[Investor ID]]:SIP[[#This Row],[Investor ID]],SIP[[#This Row],[Investor ID]])</f>
        <v>0</v>
      </c>
    </row>
    <row r="1757" spans="1:23" ht="15" customHeight="1">
      <c r="A1757" s="101">
        <v>2026</v>
      </c>
      <c r="B1757" s="101">
        <v>2</v>
      </c>
      <c r="C1757" s="101">
        <v>5</v>
      </c>
      <c r="D1757" s="65">
        <f>DATE(SIP[[#This Row],[Year]],SIP[[#This Row],[Month]],SIP[[#This Row],[Day]])</f>
        <v>46058</v>
      </c>
      <c r="E1757" s="66" t="str" cm="1">
        <f t="array" ref="E1757">INDEX(INVESTORS_LIST[INVESTOR NAME],MATCH(SIP[[#This Row],[Investor ID]],INVESTORS_LIST[INVESTOR CODE],0),)</f>
        <v>BIJOY CHANDRA DAS</v>
      </c>
      <c r="F1757" s="97" t="s">
        <v>497</v>
      </c>
      <c r="G1757" s="46">
        <f>COUNTIF(SIP[[#Headers],[Investor ID]]:SIP[[#This Row],[Investor ID]],SIP[[#This Row],[Investor ID]])</f>
        <v>22</v>
      </c>
      <c r="H1757" s="46" t="str">
        <f>CONCATENATE(SIP[[#This Row],[Frequency]],SIP[[#This Row],[Investor ID]])</f>
        <v>22A00224</v>
      </c>
      <c r="I1757" s="46" t="str">
        <f>IF(SIP[[#This Row],[B/S]]="B","BUY",(IF(SIP[[#This Row],[B/S]]="S","SELL"," ")))</f>
        <v>BUY</v>
      </c>
      <c r="J1757" s="150" t="s">
        <v>1229</v>
      </c>
      <c r="K1757" s="152">
        <v>5000</v>
      </c>
      <c r="L1757" s="122"/>
      <c r="M1757" s="123">
        <f>SIP[[#This Row],[Amount]]/SIP[[#This Row],[Unit]]</f>
        <v>13.966480446927374</v>
      </c>
      <c r="N1757" s="71">
        <f>SIP[[#This Row],[Unit Capital]]/10</f>
        <v>358</v>
      </c>
      <c r="O1757" s="71">
        <f>SUMIFS(SIP[[#Headers],[Unit]]:SIP[[#This Row],[Unit]],SIP[[#Headers],[Investor ID]]:SIP[[#This Row],[Investor ID]],SIP[[#This Row],[Investor ID]])</f>
        <v>8982</v>
      </c>
      <c r="P1757" s="153">
        <v>3580</v>
      </c>
      <c r="Q1757" s="74">
        <f>SIP[[#This Row],[Amount]]-SIP[[#This Row],[Unit Capital]]</f>
        <v>1420</v>
      </c>
      <c r="R17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12.246715653529284</v>
      </c>
      <c r="S1757" s="46">
        <f t="shared" si="83"/>
        <v>14.224</v>
      </c>
      <c r="T17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7" s="74" cm="1">
        <f t="array" ref="U1757">IF(SIP[[#This Row],[B/S]]="S",ABS(SIP[[#This Row],[Unit]])*(INDEX(SIP[NAV at Cost (Average)],MATCH(CONCATENATE((SIP[[#This Row],[Frequency]]-1),SIP[[#This Row],[Investor ID]]),SIP[Unique Code],0),0)),0)</f>
        <v>0</v>
      </c>
      <c r="V1757" s="74">
        <f>IF(SIP[[#This Row],[BO TRANSFER]]="YES",SIP[[#This Row],[Unit]],)</f>
        <v>0</v>
      </c>
      <c r="W1757" s="74">
        <f>SUMIFS(SIP[[#Headers],[BO UNIT TRANSFER]]:SIP[[#This Row],[BO UNIT TRANSFER]],SIP[[#Headers],[Investor ID]]:SIP[[#This Row],[Investor ID]],SIP[[#This Row],[Investor ID]])</f>
        <v>0</v>
      </c>
    </row>
    <row r="1758" spans="1:23" ht="15" customHeight="1">
      <c r="A1758" s="101">
        <v>2026</v>
      </c>
      <c r="B1758" s="101">
        <v>2</v>
      </c>
      <c r="C1758" s="101">
        <v>5</v>
      </c>
      <c r="D1758" s="65">
        <f>DATE(SIP[[#This Row],[Year]],SIP[[#This Row],[Month]],SIP[[#This Row],[Day]])</f>
        <v>46058</v>
      </c>
      <c r="E1758" s="66" t="str" cm="1">
        <f t="array" ref="E1758">INDEX(INVESTORS_LIST[INVESTOR NAME],MATCH(SIP[[#This Row],[Investor ID]],INVESTORS_LIST[INVESTOR CODE],0),)</f>
        <v>NANDINI SAHA</v>
      </c>
      <c r="F1758" s="97" t="s">
        <v>242</v>
      </c>
      <c r="G1758" s="46">
        <f>COUNTIF(SIP[[#Headers],[Investor ID]]:SIP[[#This Row],[Investor ID]],SIP[[#This Row],[Investor ID]])</f>
        <v>39</v>
      </c>
      <c r="H1758" s="46" t="str">
        <f>CONCATENATE(SIP[[#This Row],[Frequency]],SIP[[#This Row],[Investor ID]])</f>
        <v>39A00097</v>
      </c>
      <c r="I1758" s="46" t="str">
        <f>IF(SIP[[#This Row],[B/S]]="B","BUY",(IF(SIP[[#This Row],[B/S]]="S","SELL"," ")))</f>
        <v>BUY</v>
      </c>
      <c r="J1758" s="150" t="s">
        <v>1229</v>
      </c>
      <c r="K1758" s="152">
        <v>5000</v>
      </c>
      <c r="L1758" s="122"/>
      <c r="M1758" s="123">
        <f>SIP[[#This Row],[Amount]]/SIP[[#This Row],[Unit]]</f>
        <v>13.966480446927374</v>
      </c>
      <c r="N1758" s="71">
        <f>SIP[[#This Row],[Unit Capital]]/10</f>
        <v>358</v>
      </c>
      <c r="O1758" s="71">
        <f>SUMIFS(SIP[[#Headers],[Unit]]:SIP[[#This Row],[Unit]],SIP[[#Headers],[Investor ID]]:SIP[[#This Row],[Investor ID]],SIP[[#This Row],[Investor ID]])</f>
        <v>25204</v>
      </c>
      <c r="P1758" s="153">
        <v>3580</v>
      </c>
      <c r="Q1758" s="74">
        <f>SIP[[#This Row],[Amount]]-SIP[[#This Row],[Unit Capital]]</f>
        <v>1420</v>
      </c>
      <c r="R17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11.917788361776378</v>
      </c>
      <c r="S1758" s="46">
        <f t="shared" si="83"/>
        <v>14.224</v>
      </c>
      <c r="T17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8" s="74" cm="1">
        <f t="array" ref="U1758">IF(SIP[[#This Row],[B/S]]="S",ABS(SIP[[#This Row],[Unit]])*(INDEX(SIP[NAV at Cost (Average)],MATCH(CONCATENATE((SIP[[#This Row],[Frequency]]-1),SIP[[#This Row],[Investor ID]]),SIP[Unique Code],0),0)),0)</f>
        <v>0</v>
      </c>
      <c r="V1758" s="74">
        <f>IF(SIP[[#This Row],[BO TRANSFER]]="YES",SIP[[#This Row],[Unit]],)</f>
        <v>0</v>
      </c>
      <c r="W1758" s="74">
        <f>SUMIFS(SIP[[#Headers],[BO UNIT TRANSFER]]:SIP[[#This Row],[BO UNIT TRANSFER]],SIP[[#Headers],[Investor ID]]:SIP[[#This Row],[Investor ID]],SIP[[#This Row],[Investor ID]])</f>
        <v>0</v>
      </c>
    </row>
    <row r="1759" spans="1:23" ht="15" customHeight="1">
      <c r="A1759" s="101">
        <v>2026</v>
      </c>
      <c r="B1759" s="101">
        <v>2</v>
      </c>
      <c r="C1759" s="101">
        <v>5</v>
      </c>
      <c r="D1759" s="65">
        <f>DATE(SIP[[#This Row],[Year]],SIP[[#This Row],[Month]],SIP[[#This Row],[Day]])</f>
        <v>46058</v>
      </c>
      <c r="E1759" s="66" t="str" cm="1">
        <f t="array" ref="E1759">INDEX(INVESTORS_LIST[INVESTOR NAME],MATCH(SIP[[#This Row],[Investor ID]],INVESTORS_LIST[INVESTOR CODE],0),)</f>
        <v>MD. MONIRUL ISLAM</v>
      </c>
      <c r="F1759" s="97" t="s">
        <v>996</v>
      </c>
      <c r="G1759" s="46">
        <f>COUNTIF(SIP[[#Headers],[Investor ID]]:SIP[[#This Row],[Investor ID]],SIP[[#This Row],[Investor ID]])</f>
        <v>33</v>
      </c>
      <c r="H1759" s="46" t="str">
        <f>CONCATENATE(SIP[[#This Row],[Frequency]],SIP[[#This Row],[Investor ID]])</f>
        <v>33A00475</v>
      </c>
      <c r="I1759" s="46" t="str">
        <f>IF(SIP[[#This Row],[B/S]]="B","BUY",(IF(SIP[[#This Row],[B/S]]="S","SELL"," ")))</f>
        <v>BUY</v>
      </c>
      <c r="J1759" s="150" t="s">
        <v>1229</v>
      </c>
      <c r="K1759" s="152">
        <v>10000</v>
      </c>
      <c r="L1759" s="122"/>
      <c r="M1759" s="123">
        <f>SIP[[#This Row],[Amount]]/SIP[[#This Row],[Unit]]</f>
        <v>13.966480446927374</v>
      </c>
      <c r="N1759" s="71">
        <f>SIP[[#This Row],[Unit Capital]]/10</f>
        <v>716</v>
      </c>
      <c r="O1759" s="71">
        <f>SUMIFS(SIP[[#Headers],[Unit]]:SIP[[#This Row],[Unit]],SIP[[#Headers],[Investor ID]]:SIP[[#This Row],[Investor ID]],SIP[[#This Row],[Investor ID]])</f>
        <v>716</v>
      </c>
      <c r="P1759" s="153">
        <v>7160</v>
      </c>
      <c r="Q1759" s="74">
        <f>SIP[[#This Row],[Amount]]-SIP[[#This Row],[Unit Capital]]</f>
        <v>2840</v>
      </c>
      <c r="R17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13.966480446927374</v>
      </c>
      <c r="S1759" s="46">
        <f t="shared" si="83"/>
        <v>14.224</v>
      </c>
      <c r="T17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9" s="74" cm="1">
        <f t="array" ref="U1759">IF(SIP[[#This Row],[B/S]]="S",ABS(SIP[[#This Row],[Unit]])*(INDEX(SIP[NAV at Cost (Average)],MATCH(CONCATENATE((SIP[[#This Row],[Frequency]]-1),SIP[[#This Row],[Investor ID]]),SIP[Unique Code],0),0)),0)</f>
        <v>0</v>
      </c>
      <c r="V1759" s="74">
        <f>IF(SIP[[#This Row],[BO TRANSFER]]="YES",SIP[[#This Row],[Unit]],)</f>
        <v>0</v>
      </c>
      <c r="W1759" s="74">
        <f>SUMIFS(SIP[[#Headers],[BO UNIT TRANSFER]]:SIP[[#This Row],[BO UNIT TRANSFER]],SIP[[#Headers],[Investor ID]]:SIP[[#This Row],[Investor ID]],SIP[[#This Row],[Investor ID]])</f>
        <v>0</v>
      </c>
    </row>
    <row r="1760" spans="1:23" ht="15" customHeight="1">
      <c r="A1760" s="101">
        <v>2026</v>
      </c>
      <c r="B1760" s="101">
        <v>2</v>
      </c>
      <c r="C1760" s="101">
        <v>5</v>
      </c>
      <c r="D1760" s="65">
        <f>DATE(SIP[[#This Row],[Year]],SIP[[#This Row],[Month]],SIP[[#This Row],[Day]])</f>
        <v>46058</v>
      </c>
      <c r="E1760" s="66" t="str" cm="1">
        <f t="array" ref="E1760">INDEX(INVESTORS_LIST[INVESTOR NAME],MATCH(SIP[[#This Row],[Investor ID]],INVESTORS_LIST[INVESTOR CODE],0),)</f>
        <v>NANI GOPAL DATTA</v>
      </c>
      <c r="F1760" s="97" t="s">
        <v>232</v>
      </c>
      <c r="G1760" s="46">
        <f>COUNTIF(SIP[[#Headers],[Investor ID]]:SIP[[#This Row],[Investor ID]],SIP[[#This Row],[Investor ID]])</f>
        <v>25</v>
      </c>
      <c r="H1760" s="46" t="str">
        <f>CONCATENATE(SIP[[#This Row],[Frequency]],SIP[[#This Row],[Investor ID]])</f>
        <v>25A00092</v>
      </c>
      <c r="I1760" s="46" t="str">
        <f>IF(SIP[[#This Row],[B/S]]="B","BUY",(IF(SIP[[#This Row],[B/S]]="S","SELL"," ")))</f>
        <v>BUY</v>
      </c>
      <c r="J1760" s="150" t="s">
        <v>1229</v>
      </c>
      <c r="K1760" s="152">
        <v>2000</v>
      </c>
      <c r="L1760" s="122"/>
      <c r="M1760" s="123">
        <f>SIP[[#This Row],[Amount]]/SIP[[#This Row],[Unit]]</f>
        <v>13.986013986013987</v>
      </c>
      <c r="N1760" s="71">
        <f>SIP[[#This Row],[Unit Capital]]/10</f>
        <v>143</v>
      </c>
      <c r="O1760" s="71">
        <f>SUMIFS(SIP[[#Headers],[Unit]]:SIP[[#This Row],[Unit]],SIP[[#Headers],[Investor ID]]:SIP[[#This Row],[Investor ID]],SIP[[#This Row],[Investor ID]])</f>
        <v>3828</v>
      </c>
      <c r="P1760" s="153">
        <v>1430</v>
      </c>
      <c r="Q1760" s="74">
        <f>SIP[[#This Row],[Amount]]-SIP[[#This Row],[Unit Capital]]</f>
        <v>570</v>
      </c>
      <c r="R17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12.03955895872233</v>
      </c>
      <c r="S1760" s="46">
        <f t="shared" si="83"/>
        <v>14.224</v>
      </c>
      <c r="T17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0" s="74" cm="1">
        <f t="array" ref="U1760">IF(SIP[[#This Row],[B/S]]="S",ABS(SIP[[#This Row],[Unit]])*(INDEX(SIP[NAV at Cost (Average)],MATCH(CONCATENATE((SIP[[#This Row],[Frequency]]-1),SIP[[#This Row],[Investor ID]]),SIP[Unique Code],0),0)),0)</f>
        <v>0</v>
      </c>
      <c r="V1760" s="74">
        <f>IF(SIP[[#This Row],[BO TRANSFER]]="YES",SIP[[#This Row],[Unit]],)</f>
        <v>0</v>
      </c>
      <c r="W1760" s="74">
        <f>SUMIFS(SIP[[#Headers],[BO UNIT TRANSFER]]:SIP[[#This Row],[BO UNIT TRANSFER]],SIP[[#Headers],[Investor ID]]:SIP[[#This Row],[Investor ID]],SIP[[#This Row],[Investor ID]])</f>
        <v>0</v>
      </c>
    </row>
    <row r="1761" spans="1:23" ht="15" customHeight="1">
      <c r="A1761" s="101">
        <v>2026</v>
      </c>
      <c r="B1761" s="101">
        <v>2</v>
      </c>
      <c r="C1761" s="101">
        <v>5</v>
      </c>
      <c r="D1761" s="65">
        <f>DATE(SIP[[#This Row],[Year]],SIP[[#This Row],[Month]],SIP[[#This Row],[Day]])</f>
        <v>46058</v>
      </c>
      <c r="E1761" s="66" t="str" cm="1">
        <f t="array" ref="E1761">INDEX(INVESTORS_LIST[INVESTOR NAME],MATCH(SIP[[#This Row],[Investor ID]],INVESTORS_LIST[INVESTOR CODE],0),)</f>
        <v>SABRIA ISLAM TALUKDER</v>
      </c>
      <c r="F1761" s="97" t="s">
        <v>409</v>
      </c>
      <c r="G1761" s="46">
        <f>COUNTIF(SIP[[#Headers],[Investor ID]]:SIP[[#This Row],[Investor ID]],SIP[[#This Row],[Investor ID]])</f>
        <v>30</v>
      </c>
      <c r="H1761" s="46" t="str">
        <f>CONCATENATE(SIP[[#This Row],[Frequency]],SIP[[#This Row],[Investor ID]])</f>
        <v>30A00180</v>
      </c>
      <c r="I1761" s="46" t="str">
        <f>IF(SIP[[#This Row],[B/S]]="B","BUY",(IF(SIP[[#This Row],[B/S]]="S","SELL"," ")))</f>
        <v>BUY</v>
      </c>
      <c r="J1761" s="150" t="s">
        <v>1229</v>
      </c>
      <c r="K1761" s="152">
        <v>5000</v>
      </c>
      <c r="L1761" s="122"/>
      <c r="M1761" s="123">
        <f>SIP[[#This Row],[Amount]]/SIP[[#This Row],[Unit]]</f>
        <v>13.966480446927374</v>
      </c>
      <c r="N1761" s="71">
        <f>SIP[[#This Row],[Unit Capital]]/10</f>
        <v>358</v>
      </c>
      <c r="O1761" s="71">
        <f>SUMIFS(SIP[[#Headers],[Unit]]:SIP[[#This Row],[Unit]],SIP[[#Headers],[Investor ID]]:SIP[[#This Row],[Investor ID]],SIP[[#This Row],[Investor ID]])</f>
        <v>12697</v>
      </c>
      <c r="P1761" s="153">
        <v>3580</v>
      </c>
      <c r="Q1761" s="74">
        <f>SIP[[#This Row],[Amount]]-SIP[[#This Row],[Unit Capital]]</f>
        <v>1420</v>
      </c>
      <c r="R17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11.813814286839412</v>
      </c>
      <c r="S1761" s="46">
        <f t="shared" si="83"/>
        <v>14.224</v>
      </c>
      <c r="T176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1" s="74" cm="1">
        <f t="array" ref="U1761">IF(SIP[[#This Row],[B/S]]="S",ABS(SIP[[#This Row],[Unit]])*(INDEX(SIP[NAV at Cost (Average)],MATCH(CONCATENATE((SIP[[#This Row],[Frequency]]-1),SIP[[#This Row],[Investor ID]]),SIP[Unique Code],0),0)),0)</f>
        <v>0</v>
      </c>
      <c r="V1761" s="74">
        <f>IF(SIP[[#This Row],[BO TRANSFER]]="YES",SIP[[#This Row],[Unit]],)</f>
        <v>0</v>
      </c>
      <c r="W1761" s="74">
        <f>SUMIFS(SIP[[#Headers],[BO UNIT TRANSFER]]:SIP[[#This Row],[BO UNIT TRANSFER]],SIP[[#Headers],[Investor ID]]:SIP[[#This Row],[Investor ID]],SIP[[#This Row],[Investor ID]])</f>
        <v>0</v>
      </c>
    </row>
    <row r="1762" spans="1:23" ht="15" customHeight="1">
      <c r="A1762" s="101">
        <v>2026</v>
      </c>
      <c r="B1762" s="101">
        <v>2</v>
      </c>
      <c r="C1762" s="101">
        <v>5</v>
      </c>
      <c r="D1762" s="65">
        <f>DATE(SIP[[#This Row],[Year]],SIP[[#This Row],[Month]],SIP[[#This Row],[Day]])</f>
        <v>46058</v>
      </c>
      <c r="E1762" s="66" t="str" cm="1">
        <f t="array" ref="E1762">INDEX(INVESTORS_LIST[INVESTOR NAME],MATCH(SIP[[#This Row],[Investor ID]],INVESTORS_LIST[INVESTOR CODE],0),)</f>
        <v>AHMED BIN MONSUR</v>
      </c>
      <c r="F1762" s="97" t="s">
        <v>692</v>
      </c>
      <c r="G1762" s="46">
        <f>COUNTIF(SIP[[#Headers],[Investor ID]]:SIP[[#This Row],[Investor ID]],SIP[[#This Row],[Investor ID]])</f>
        <v>21</v>
      </c>
      <c r="H1762" s="46" t="str">
        <f>CONCATENATE(SIP[[#This Row],[Frequency]],SIP[[#This Row],[Investor ID]])</f>
        <v>21A00322</v>
      </c>
      <c r="I1762" s="46" t="str">
        <f>IF(SIP[[#This Row],[B/S]]="B","BUY",(IF(SIP[[#This Row],[B/S]]="S","SELL"," ")))</f>
        <v>BUY</v>
      </c>
      <c r="J1762" s="150" t="s">
        <v>1229</v>
      </c>
      <c r="K1762" s="152">
        <v>20000</v>
      </c>
      <c r="L1762" s="122"/>
      <c r="M1762" s="123">
        <f>SIP[[#This Row],[Amount]]/SIP[[#This Row],[Unit]]</f>
        <v>13.966480446927374</v>
      </c>
      <c r="N1762" s="71">
        <f>SIP[[#This Row],[Unit Capital]]/10</f>
        <v>1432</v>
      </c>
      <c r="O1762" s="71">
        <f>SUMIFS(SIP[[#Headers],[Unit]]:SIP[[#This Row],[Unit]],SIP[[#Headers],[Investor ID]]:SIP[[#This Row],[Investor ID]],SIP[[#This Row],[Investor ID]])</f>
        <v>10345</v>
      </c>
      <c r="P1762" s="153">
        <v>14320</v>
      </c>
      <c r="Q1762" s="74">
        <f>SIP[[#This Row],[Amount]]-SIP[[#This Row],[Unit Capital]]</f>
        <v>5680</v>
      </c>
      <c r="R17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13.533107781536973</v>
      </c>
      <c r="S1762" s="46">
        <f t="shared" si="83"/>
        <v>14.224</v>
      </c>
      <c r="T176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2" s="74" cm="1">
        <f t="array" ref="U1762">IF(SIP[[#This Row],[B/S]]="S",ABS(SIP[[#This Row],[Unit]])*(INDEX(SIP[NAV at Cost (Average)],MATCH(CONCATENATE((SIP[[#This Row],[Frequency]]-1),SIP[[#This Row],[Investor ID]]),SIP[Unique Code],0),0)),0)</f>
        <v>0</v>
      </c>
      <c r="V1762" s="74">
        <f>IF(SIP[[#This Row],[BO TRANSFER]]="YES",SIP[[#This Row],[Unit]],)</f>
        <v>0</v>
      </c>
      <c r="W1762" s="74">
        <f>SUMIFS(SIP[[#Headers],[BO UNIT TRANSFER]]:SIP[[#This Row],[BO UNIT TRANSFER]],SIP[[#Headers],[Investor ID]]:SIP[[#This Row],[Investor ID]],SIP[[#This Row],[Investor ID]])</f>
        <v>0</v>
      </c>
    </row>
    <row r="1763" spans="1:23" ht="15" customHeight="1">
      <c r="A1763" s="101">
        <v>2026</v>
      </c>
      <c r="B1763" s="101">
        <v>2</v>
      </c>
      <c r="C1763" s="101">
        <v>5</v>
      </c>
      <c r="D1763" s="65">
        <f>DATE(SIP[[#This Row],[Year]],SIP[[#This Row],[Month]],SIP[[#This Row],[Day]])</f>
        <v>46058</v>
      </c>
      <c r="E1763" s="66" t="str" cm="1">
        <f t="array" ref="E1763">INDEX(INVESTORS_LIST[INVESTOR NAME],MATCH(SIP[[#This Row],[Investor ID]],INVESTORS_LIST[INVESTOR CODE],0),)</f>
        <v>FAKARUDDIN ALI AHMED</v>
      </c>
      <c r="F1763" s="97" t="s">
        <v>228</v>
      </c>
      <c r="G1763" s="46">
        <f>COUNTIF(SIP[[#Headers],[Investor ID]]:SIP[[#This Row],[Investor ID]],SIP[[#This Row],[Investor ID]])</f>
        <v>34</v>
      </c>
      <c r="H1763" s="46" t="str">
        <f>CONCATENATE(SIP[[#This Row],[Frequency]],SIP[[#This Row],[Investor ID]])</f>
        <v>34A00090</v>
      </c>
      <c r="I1763" s="46" t="str">
        <f>IF(SIP[[#This Row],[B/S]]="B","BUY",(IF(SIP[[#This Row],[B/S]]="S","SELL"," ")))</f>
        <v>BUY</v>
      </c>
      <c r="J1763" s="150" t="s">
        <v>1229</v>
      </c>
      <c r="K1763" s="152">
        <v>10000</v>
      </c>
      <c r="L1763" s="122"/>
      <c r="M1763" s="123">
        <f>SIP[[#This Row],[Amount]]/SIP[[#This Row],[Unit]]</f>
        <v>13.966480446927374</v>
      </c>
      <c r="N1763" s="71">
        <f>SIP[[#This Row],[Unit Capital]]/10</f>
        <v>716</v>
      </c>
      <c r="O1763" s="71">
        <f>SUMIFS(SIP[[#Headers],[Unit]]:SIP[[#This Row],[Unit]],SIP[[#Headers],[Investor ID]]:SIP[[#This Row],[Investor ID]],SIP[[#This Row],[Investor ID]])</f>
        <v>5173</v>
      </c>
      <c r="P1763" s="153">
        <v>7160</v>
      </c>
      <c r="Q1763" s="74">
        <f>SIP[[#This Row],[Amount]]-SIP[[#This Row],[Unit Capital]]</f>
        <v>2840</v>
      </c>
      <c r="R17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13.531799729364005</v>
      </c>
      <c r="S1763" s="46">
        <f t="shared" si="83"/>
        <v>14.224</v>
      </c>
      <c r="T17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3" s="74" cm="1">
        <f t="array" ref="U1763">IF(SIP[[#This Row],[B/S]]="S",ABS(SIP[[#This Row],[Unit]])*(INDEX(SIP[NAV at Cost (Average)],MATCH(CONCATENATE((SIP[[#This Row],[Frequency]]-1),SIP[[#This Row],[Investor ID]]),SIP[Unique Code],0),0)),0)</f>
        <v>0</v>
      </c>
      <c r="V1763" s="74">
        <f>IF(SIP[[#This Row],[BO TRANSFER]]="YES",SIP[[#This Row],[Unit]],)</f>
        <v>0</v>
      </c>
      <c r="W1763" s="74">
        <f>SUMIFS(SIP[[#Headers],[BO UNIT TRANSFER]]:SIP[[#This Row],[BO UNIT TRANSFER]],SIP[[#Headers],[Investor ID]]:SIP[[#This Row],[Investor ID]],SIP[[#This Row],[Investor ID]])</f>
        <v>0</v>
      </c>
    </row>
    <row r="1764" spans="1:23" ht="15" customHeight="1">
      <c r="A1764" s="101">
        <v>2026</v>
      </c>
      <c r="B1764" s="101">
        <v>2</v>
      </c>
      <c r="C1764" s="101">
        <v>5</v>
      </c>
      <c r="D1764" s="65">
        <f>DATE(SIP[[#This Row],[Year]],SIP[[#This Row],[Month]],SIP[[#This Row],[Day]])</f>
        <v>46058</v>
      </c>
      <c r="E1764" s="66" t="str" cm="1">
        <f t="array" ref="E1764">INDEX(INVESTORS_LIST[INVESTOR NAME],MATCH(SIP[[#This Row],[Investor ID]],INVESTORS_LIST[INVESTOR CODE],0),)</f>
        <v>MONIR AHMED</v>
      </c>
      <c r="F1764" s="97" t="s">
        <v>125</v>
      </c>
      <c r="G1764" s="46">
        <f>COUNTIF(SIP[[#Headers],[Investor ID]]:SIP[[#This Row],[Investor ID]],SIP[[#This Row],[Investor ID]])</f>
        <v>36</v>
      </c>
      <c r="H1764" s="46" t="str">
        <f>CONCATENATE(SIP[[#This Row],[Frequency]],SIP[[#This Row],[Investor ID]])</f>
        <v>36A00039</v>
      </c>
      <c r="I1764" s="46" t="str">
        <f>IF(SIP[[#This Row],[B/S]]="B","BUY",(IF(SIP[[#This Row],[B/S]]="S","SELL"," ")))</f>
        <v>BUY</v>
      </c>
      <c r="J1764" s="150" t="s">
        <v>1229</v>
      </c>
      <c r="K1764" s="152">
        <v>10000</v>
      </c>
      <c r="L1764" s="122"/>
      <c r="M1764" s="123">
        <f>SIP[[#This Row],[Amount]]/SIP[[#This Row],[Unit]]</f>
        <v>13.966480446927374</v>
      </c>
      <c r="N1764" s="71">
        <f>SIP[[#This Row],[Unit Capital]]/10</f>
        <v>716</v>
      </c>
      <c r="O1764" s="71">
        <f>SUMIFS(SIP[[#Headers],[Unit]]:SIP[[#This Row],[Unit]],SIP[[#Headers],[Investor ID]]:SIP[[#This Row],[Investor ID]],SIP[[#This Row],[Investor ID]])</f>
        <v>2900</v>
      </c>
      <c r="P1764" s="153">
        <v>7160</v>
      </c>
      <c r="Q1764" s="74">
        <f>SIP[[#This Row],[Amount]]-SIP[[#This Row],[Unit Capital]]</f>
        <v>2840</v>
      </c>
      <c r="R17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13.793103448275861</v>
      </c>
      <c r="S1764" s="46">
        <f t="shared" si="83"/>
        <v>14.224</v>
      </c>
      <c r="T17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4" s="74" cm="1">
        <f t="array" ref="U1764">IF(SIP[[#This Row],[B/S]]="S",ABS(SIP[[#This Row],[Unit]])*(INDEX(SIP[NAV at Cost (Average)],MATCH(CONCATENATE((SIP[[#This Row],[Frequency]]-1),SIP[[#This Row],[Investor ID]]),SIP[Unique Code],0),0)),0)</f>
        <v>0</v>
      </c>
      <c r="V1764" s="74">
        <f>IF(SIP[[#This Row],[BO TRANSFER]]="YES",SIP[[#This Row],[Unit]],)</f>
        <v>0</v>
      </c>
      <c r="W1764" s="74">
        <f>SUMIFS(SIP[[#Headers],[BO UNIT TRANSFER]]:SIP[[#This Row],[BO UNIT TRANSFER]],SIP[[#Headers],[Investor ID]]:SIP[[#This Row],[Investor ID]],SIP[[#This Row],[Investor ID]])</f>
        <v>0</v>
      </c>
    </row>
    <row r="1765" spans="1:23" ht="15" customHeight="1">
      <c r="A1765" s="101">
        <v>2026</v>
      </c>
      <c r="B1765" s="101">
        <v>2</v>
      </c>
      <c r="C1765" s="101">
        <v>5</v>
      </c>
      <c r="D1765" s="65">
        <f>DATE(SIP[[#This Row],[Year]],SIP[[#This Row],[Month]],SIP[[#This Row],[Day]])</f>
        <v>46058</v>
      </c>
      <c r="E1765" s="66" t="str" cm="1">
        <f t="array" ref="E1765">INDEX(INVESTORS_LIST[INVESTOR NAME],MATCH(SIP[[#This Row],[Investor ID]],INVESTORS_LIST[INVESTOR CODE],0),)</f>
        <v>SHANTA PAUL</v>
      </c>
      <c r="F1765" s="97" t="s">
        <v>544</v>
      </c>
      <c r="G1765" s="46">
        <f>COUNTIF(SIP[[#Headers],[Investor ID]]:SIP[[#This Row],[Investor ID]],SIP[[#This Row],[Investor ID]])</f>
        <v>34</v>
      </c>
      <c r="H1765" s="46" t="str">
        <f>CONCATENATE(SIP[[#This Row],[Frequency]],SIP[[#This Row],[Investor ID]])</f>
        <v>34A00247</v>
      </c>
      <c r="I1765" s="46" t="str">
        <f>IF(SIP[[#This Row],[B/S]]="B","BUY",(IF(SIP[[#This Row],[B/S]]="S","SELL"," ")))</f>
        <v>BUY</v>
      </c>
      <c r="J1765" s="150" t="s">
        <v>1229</v>
      </c>
      <c r="K1765" s="152">
        <v>20000</v>
      </c>
      <c r="L1765" s="122"/>
      <c r="M1765" s="123">
        <f>SIP[[#This Row],[Amount]]/SIP[[#This Row],[Unit]]</f>
        <v>13.966480446927374</v>
      </c>
      <c r="N1765" s="71">
        <f>SIP[[#This Row],[Unit Capital]]/10</f>
        <v>1432</v>
      </c>
      <c r="O1765" s="71">
        <f>SUMIFS(SIP[[#Headers],[Unit]]:SIP[[#This Row],[Unit]],SIP[[#Headers],[Investor ID]]:SIP[[#This Row],[Investor ID]],SIP[[#This Row],[Investor ID]])</f>
        <v>58897</v>
      </c>
      <c r="P1765" s="153">
        <v>14320</v>
      </c>
      <c r="Q1765" s="74">
        <f>SIP[[#This Row],[Amount]]-SIP[[#This Row],[Unit Capital]]</f>
        <v>5680</v>
      </c>
      <c r="R17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11.545579571115679</v>
      </c>
      <c r="S1765" s="46">
        <f t="shared" si="83"/>
        <v>14.224</v>
      </c>
      <c r="T17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5" s="74" cm="1">
        <f t="array" ref="U1765">IF(SIP[[#This Row],[B/S]]="S",ABS(SIP[[#This Row],[Unit]])*(INDEX(SIP[NAV at Cost (Average)],MATCH(CONCATENATE((SIP[[#This Row],[Frequency]]-1),SIP[[#This Row],[Investor ID]]),SIP[Unique Code],0),0)),0)</f>
        <v>0</v>
      </c>
      <c r="V1765" s="74">
        <f>IF(SIP[[#This Row],[BO TRANSFER]]="YES",SIP[[#This Row],[Unit]],)</f>
        <v>0</v>
      </c>
      <c r="W1765" s="74">
        <f>SUMIFS(SIP[[#Headers],[BO UNIT TRANSFER]]:SIP[[#This Row],[BO UNIT TRANSFER]],SIP[[#Headers],[Investor ID]]:SIP[[#This Row],[Investor ID]],SIP[[#This Row],[Investor ID]])</f>
        <v>0</v>
      </c>
    </row>
    <row r="1766" spans="1:23" ht="15" customHeight="1">
      <c r="A1766" s="101">
        <v>2026</v>
      </c>
      <c r="B1766" s="101">
        <v>2</v>
      </c>
      <c r="C1766" s="101">
        <v>5</v>
      </c>
      <c r="D1766" s="65">
        <f>DATE(SIP[[#This Row],[Year]],SIP[[#This Row],[Month]],SIP[[#This Row],[Day]])</f>
        <v>46058</v>
      </c>
      <c r="E1766" s="66" t="str" cm="1">
        <f t="array" ref="E1766">INDEX(INVESTORS_LIST[INVESTOR NAME],MATCH(SIP[[#This Row],[Investor ID]],INVESTORS_LIST[INVESTOR CODE],0),)</f>
        <v>SHUVA SAHA</v>
      </c>
      <c r="F1766" s="97" t="s">
        <v>154</v>
      </c>
      <c r="G1766" s="46">
        <f>COUNTIF(SIP[[#Headers],[Investor ID]]:SIP[[#This Row],[Investor ID]],SIP[[#This Row],[Investor ID]])</f>
        <v>31</v>
      </c>
      <c r="H1766" s="46" t="str">
        <f>CONCATENATE(SIP[[#This Row],[Frequency]],SIP[[#This Row],[Investor ID]])</f>
        <v>31A00053</v>
      </c>
      <c r="I1766" s="46" t="str">
        <f>IF(SIP[[#This Row],[B/S]]="B","BUY",(IF(SIP[[#This Row],[B/S]]="S","SELL"," ")))</f>
        <v>BUY</v>
      </c>
      <c r="J1766" s="150" t="s">
        <v>1229</v>
      </c>
      <c r="K1766" s="152">
        <v>70000</v>
      </c>
      <c r="L1766" s="122"/>
      <c r="M1766" s="123">
        <f>SIP[[#This Row],[Amount]]/SIP[[#This Row],[Unit]]</f>
        <v>13.972055888223553</v>
      </c>
      <c r="N1766" s="71">
        <f>SIP[[#This Row],[Unit Capital]]/10</f>
        <v>5010</v>
      </c>
      <c r="O1766" s="71">
        <f>SUMIFS(SIP[[#Headers],[Unit]]:SIP[[#This Row],[Unit]],SIP[[#Headers],[Investor ID]]:SIP[[#This Row],[Investor ID]],SIP[[#This Row],[Investor ID]])</f>
        <v>5010</v>
      </c>
      <c r="P1766" s="153">
        <v>50100</v>
      </c>
      <c r="Q1766" s="74">
        <f>SIP[[#This Row],[Amount]]-SIP[[#This Row],[Unit Capital]]</f>
        <v>19900</v>
      </c>
      <c r="R17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13.972055888223553</v>
      </c>
      <c r="S1766" s="46">
        <f t="shared" si="83"/>
        <v>14.224</v>
      </c>
      <c r="T176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6" s="74" cm="1">
        <f t="array" ref="U1766">IF(SIP[[#This Row],[B/S]]="S",ABS(SIP[[#This Row],[Unit]])*(INDEX(SIP[NAV at Cost (Average)],MATCH(CONCATENATE((SIP[[#This Row],[Frequency]]-1),SIP[[#This Row],[Investor ID]]),SIP[Unique Code],0),0)),0)</f>
        <v>0</v>
      </c>
      <c r="V1766" s="74">
        <f>IF(SIP[[#This Row],[BO TRANSFER]]="YES",SIP[[#This Row],[Unit]],)</f>
        <v>0</v>
      </c>
      <c r="W1766" s="74">
        <f>SUMIFS(SIP[[#Headers],[BO UNIT TRANSFER]]:SIP[[#This Row],[BO UNIT TRANSFER]],SIP[[#Headers],[Investor ID]]:SIP[[#This Row],[Investor ID]],SIP[[#This Row],[Investor ID]])</f>
        <v>0</v>
      </c>
    </row>
    <row r="1767" spans="1:23" ht="15" customHeight="1">
      <c r="A1767" s="101">
        <v>2026</v>
      </c>
      <c r="B1767" s="101">
        <v>2</v>
      </c>
      <c r="C1767" s="101">
        <v>5</v>
      </c>
      <c r="D1767" s="65">
        <f>DATE(SIP[[#This Row],[Year]],SIP[[#This Row],[Month]],SIP[[#This Row],[Day]])</f>
        <v>46058</v>
      </c>
      <c r="E1767" s="66" t="str" cm="1">
        <f t="array" ref="E1767">INDEX(INVESTORS_LIST[INVESTOR NAME],MATCH(SIP[[#This Row],[Investor ID]],INVESTORS_LIST[INVESTOR CODE],0),)</f>
        <v>CHAONIKA SAHA</v>
      </c>
      <c r="F1767" s="97" t="s">
        <v>238</v>
      </c>
      <c r="G1767" s="46">
        <f>COUNTIF(SIP[[#Headers],[Investor ID]]:SIP[[#This Row],[Investor ID]],SIP[[#This Row],[Investor ID]])</f>
        <v>31</v>
      </c>
      <c r="H1767" s="46" t="str">
        <f>CONCATENATE(SIP[[#This Row],[Frequency]],SIP[[#This Row],[Investor ID]])</f>
        <v>31A00095</v>
      </c>
      <c r="I1767" s="46" t="str">
        <f>IF(SIP[[#This Row],[B/S]]="B","BUY",(IF(SIP[[#This Row],[B/S]]="S","SELL"," ")))</f>
        <v>BUY</v>
      </c>
      <c r="J1767" s="150" t="s">
        <v>1229</v>
      </c>
      <c r="K1767" s="152">
        <v>1000</v>
      </c>
      <c r="L1767" s="122"/>
      <c r="M1767" s="123">
        <f>SIP[[#This Row],[Amount]]/SIP[[#This Row],[Unit]]</f>
        <v>13.888888888888889</v>
      </c>
      <c r="N1767" s="71">
        <f>SIP[[#This Row],[Unit Capital]]/10</f>
        <v>72</v>
      </c>
      <c r="O1767" s="71">
        <f>SUMIFS(SIP[[#Headers],[Unit]]:SIP[[#This Row],[Unit]],SIP[[#Headers],[Investor ID]]:SIP[[#This Row],[Investor ID]],SIP[[#This Row],[Investor ID]])</f>
        <v>145</v>
      </c>
      <c r="P1767" s="153">
        <v>720</v>
      </c>
      <c r="Q1767" s="74">
        <f>SIP[[#This Row],[Amount]]-SIP[[#This Row],[Unit Capital]]</f>
        <v>280</v>
      </c>
      <c r="R17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13.793103448275861</v>
      </c>
      <c r="S1767" s="46">
        <f t="shared" si="83"/>
        <v>14.224</v>
      </c>
      <c r="T176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7" s="74" cm="1">
        <f t="array" ref="U1767">IF(SIP[[#This Row],[B/S]]="S",ABS(SIP[[#This Row],[Unit]])*(INDEX(SIP[NAV at Cost (Average)],MATCH(CONCATENATE((SIP[[#This Row],[Frequency]]-1),SIP[[#This Row],[Investor ID]]),SIP[Unique Code],0),0)),0)</f>
        <v>0</v>
      </c>
      <c r="V1767" s="74">
        <f>IF(SIP[[#This Row],[BO TRANSFER]]="YES",SIP[[#This Row],[Unit]],)</f>
        <v>0</v>
      </c>
      <c r="W1767" s="74">
        <f>SUMIFS(SIP[[#Headers],[BO UNIT TRANSFER]]:SIP[[#This Row],[BO UNIT TRANSFER]],SIP[[#Headers],[Investor ID]]:SIP[[#This Row],[Investor ID]],SIP[[#This Row],[Investor ID]])</f>
        <v>0</v>
      </c>
    </row>
    <row r="1768" spans="1:23" ht="15" customHeight="1">
      <c r="A1768" s="101">
        <v>2026</v>
      </c>
      <c r="B1768" s="101">
        <v>2</v>
      </c>
      <c r="C1768" s="101">
        <v>5</v>
      </c>
      <c r="D1768" s="65">
        <f>DATE(SIP[[#This Row],[Year]],SIP[[#This Row],[Month]],SIP[[#This Row],[Day]])</f>
        <v>46058</v>
      </c>
      <c r="E1768" s="66" t="str" cm="1">
        <f t="array" ref="E1768">INDEX(INVESTORS_LIST[INVESTOR NAME],MATCH(SIP[[#This Row],[Investor ID]],INVESTORS_LIST[INVESTOR CODE],0),)</f>
        <v>KAZI AHSAN MARUF</v>
      </c>
      <c r="F1768" s="97" t="s">
        <v>158</v>
      </c>
      <c r="G1768" s="46">
        <f>COUNTIF(SIP[[#Headers],[Investor ID]]:SIP[[#This Row],[Investor ID]],SIP[[#This Row],[Investor ID]])</f>
        <v>41</v>
      </c>
      <c r="H1768" s="46" t="str">
        <f>CONCATENATE(SIP[[#This Row],[Frequency]],SIP[[#This Row],[Investor ID]])</f>
        <v>41A00055</v>
      </c>
      <c r="I1768" s="46" t="str">
        <f>IF(SIP[[#This Row],[B/S]]="B","BUY",(IF(SIP[[#This Row],[B/S]]="S","SELL"," ")))</f>
        <v>BUY</v>
      </c>
      <c r="J1768" s="150" t="s">
        <v>1229</v>
      </c>
      <c r="K1768" s="152">
        <v>10000</v>
      </c>
      <c r="L1768" s="122"/>
      <c r="M1768" s="123">
        <f>SIP[[#This Row],[Amount]]/SIP[[#This Row],[Unit]]</f>
        <v>13.966480446927374</v>
      </c>
      <c r="N1768" s="71">
        <f>SIP[[#This Row],[Unit Capital]]/10</f>
        <v>716</v>
      </c>
      <c r="O1768" s="71">
        <f>SUMIFS(SIP[[#Headers],[Unit]]:SIP[[#This Row],[Unit]],SIP[[#Headers],[Investor ID]]:SIP[[#This Row],[Investor ID]],SIP[[#This Row],[Investor ID]])</f>
        <v>5942</v>
      </c>
      <c r="P1768" s="153">
        <v>7160</v>
      </c>
      <c r="Q1768" s="74">
        <f>SIP[[#This Row],[Amount]]-SIP[[#This Row],[Unit Capital]]</f>
        <v>2840</v>
      </c>
      <c r="R17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13.597613538078145</v>
      </c>
      <c r="S1768" s="46">
        <f t="shared" si="83"/>
        <v>14.224</v>
      </c>
      <c r="T176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8" s="74" cm="1">
        <f t="array" ref="U1768">IF(SIP[[#This Row],[B/S]]="S",ABS(SIP[[#This Row],[Unit]])*(INDEX(SIP[NAV at Cost (Average)],MATCH(CONCATENATE((SIP[[#This Row],[Frequency]]-1),SIP[[#This Row],[Investor ID]]),SIP[Unique Code],0),0)),0)</f>
        <v>0</v>
      </c>
      <c r="V1768" s="74">
        <f>IF(SIP[[#This Row],[BO TRANSFER]]="YES",SIP[[#This Row],[Unit]],)</f>
        <v>0</v>
      </c>
      <c r="W1768" s="74">
        <f>SUMIFS(SIP[[#Headers],[BO UNIT TRANSFER]]:SIP[[#This Row],[BO UNIT TRANSFER]],SIP[[#Headers],[Investor ID]]:SIP[[#This Row],[Investor ID]],SIP[[#This Row],[Investor ID]])</f>
        <v>0</v>
      </c>
    </row>
    <row r="1769" spans="1:23" ht="15" customHeight="1">
      <c r="A1769" s="101">
        <v>2026</v>
      </c>
      <c r="B1769" s="101">
        <v>2</v>
      </c>
      <c r="C1769" s="101">
        <v>5</v>
      </c>
      <c r="D1769" s="65">
        <f>DATE(SIP[[#This Row],[Year]],SIP[[#This Row],[Month]],SIP[[#This Row],[Day]])</f>
        <v>46058</v>
      </c>
      <c r="E1769" s="66" t="str" cm="1">
        <f t="array" ref="E1769">INDEX(INVESTORS_LIST[INVESTOR NAME],MATCH(SIP[[#This Row],[Investor ID]],INVESTORS_LIST[INVESTOR CODE],0),)</f>
        <v>KAZI AHSAN MARUF</v>
      </c>
      <c r="F1769" s="97" t="s">
        <v>158</v>
      </c>
      <c r="G1769" s="46">
        <f>COUNTIF(SIP[[#Headers],[Investor ID]]:SIP[[#This Row],[Investor ID]],SIP[[#This Row],[Investor ID]])</f>
        <v>42</v>
      </c>
      <c r="H1769" s="46" t="str">
        <f>CONCATENATE(SIP[[#This Row],[Frequency]],SIP[[#This Row],[Investor ID]])</f>
        <v>42A00055</v>
      </c>
      <c r="I1769" s="46" t="str">
        <f>IF(SIP[[#This Row],[B/S]]="B","BUY",(IF(SIP[[#This Row],[B/S]]="S","SELL"," ")))</f>
        <v>BUY</v>
      </c>
      <c r="J1769" s="150" t="s">
        <v>1229</v>
      </c>
      <c r="K1769" s="152">
        <v>20000</v>
      </c>
      <c r="L1769" s="122"/>
      <c r="M1769" s="123">
        <f>SIP[[#This Row],[Amount]]/SIP[[#This Row],[Unit]]</f>
        <v>13.966480446927374</v>
      </c>
      <c r="N1769" s="71">
        <f>SIP[[#This Row],[Unit Capital]]/10</f>
        <v>1432</v>
      </c>
      <c r="O1769" s="71">
        <f>SUMIFS(SIP[[#Headers],[Unit]]:SIP[[#This Row],[Unit]],SIP[[#Headers],[Investor ID]]:SIP[[#This Row],[Investor ID]],SIP[[#This Row],[Investor ID]])</f>
        <v>7374</v>
      </c>
      <c r="P1769" s="153">
        <v>14320</v>
      </c>
      <c r="Q1769" s="74">
        <f>SIP[[#This Row],[Amount]]-SIP[[#This Row],[Unit Capital]]</f>
        <v>5680</v>
      </c>
      <c r="R17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13.669245951079514</v>
      </c>
      <c r="S1769" s="46">
        <f t="shared" si="83"/>
        <v>14.224</v>
      </c>
      <c r="T17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9" s="74" cm="1">
        <f t="array" ref="U1769">IF(SIP[[#This Row],[B/S]]="S",ABS(SIP[[#This Row],[Unit]])*(INDEX(SIP[NAV at Cost (Average)],MATCH(CONCATENATE((SIP[[#This Row],[Frequency]]-1),SIP[[#This Row],[Investor ID]]),SIP[Unique Code],0),0)),0)</f>
        <v>0</v>
      </c>
      <c r="V1769" s="74">
        <f>IF(SIP[[#This Row],[BO TRANSFER]]="YES",SIP[[#This Row],[Unit]],)</f>
        <v>0</v>
      </c>
      <c r="W1769" s="74">
        <f>SUMIFS(SIP[[#Headers],[BO UNIT TRANSFER]]:SIP[[#This Row],[BO UNIT TRANSFER]],SIP[[#Headers],[Investor ID]]:SIP[[#This Row],[Investor ID]],SIP[[#This Row],[Investor ID]])</f>
        <v>0</v>
      </c>
    </row>
    <row r="1770" spans="1:23" ht="15" customHeight="1">
      <c r="A1770" s="101">
        <v>2026</v>
      </c>
      <c r="B1770" s="101">
        <v>2</v>
      </c>
      <c r="C1770" s="101">
        <v>5</v>
      </c>
      <c r="D1770" s="65">
        <f>DATE(SIP[[#This Row],[Year]],SIP[[#This Row],[Month]],SIP[[#This Row],[Day]])</f>
        <v>46058</v>
      </c>
      <c r="E1770" s="66" t="str" cm="1">
        <f t="array" ref="E1770">INDEX(INVESTORS_LIST[INVESTOR NAME],MATCH(SIP[[#This Row],[Investor ID]],INVESTORS_LIST[INVESTOR CODE],0),)</f>
        <v>MD. SHIFUL ISLAM</v>
      </c>
      <c r="F1770" s="97" t="s">
        <v>127</v>
      </c>
      <c r="G1770" s="46">
        <f>COUNTIF(SIP[[#Headers],[Investor ID]]:SIP[[#This Row],[Investor ID]],SIP[[#This Row],[Investor ID]])</f>
        <v>6</v>
      </c>
      <c r="H1770" s="46" t="str">
        <f>CONCATENATE(SIP[[#This Row],[Frequency]],SIP[[#This Row],[Investor ID]])</f>
        <v>6A00040</v>
      </c>
      <c r="I1770" s="46" t="str">
        <f>IF(SIP[[#This Row],[B/S]]="B","BUY",(IF(SIP[[#This Row],[B/S]]="S","SELL"," ")))</f>
        <v>BUY</v>
      </c>
      <c r="J1770" s="150" t="s">
        <v>1229</v>
      </c>
      <c r="K1770" s="152">
        <v>5000</v>
      </c>
      <c r="L1770" s="122"/>
      <c r="M1770" s="123">
        <f>SIP[[#This Row],[Amount]]/SIP[[#This Row],[Unit]]</f>
        <v>13.966480446927374</v>
      </c>
      <c r="N1770" s="71">
        <f>SIP[[#This Row],[Unit Capital]]/10</f>
        <v>358</v>
      </c>
      <c r="O1770" s="71">
        <f>SUMIFS(SIP[[#Headers],[Unit]]:SIP[[#This Row],[Unit]],SIP[[#Headers],[Investor ID]]:SIP[[#This Row],[Investor ID]],SIP[[#This Row],[Investor ID]])</f>
        <v>2196</v>
      </c>
      <c r="P1770" s="153">
        <v>3580</v>
      </c>
      <c r="Q1770" s="74">
        <f>SIP[[#This Row],[Amount]]-SIP[[#This Row],[Unit Capital]]</f>
        <v>1420</v>
      </c>
      <c r="R17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13.661202185792348</v>
      </c>
      <c r="S1770" s="46">
        <f t="shared" si="83"/>
        <v>14.224</v>
      </c>
      <c r="T17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0" s="74" cm="1">
        <f t="array" ref="U1770">IF(SIP[[#This Row],[B/S]]="S",ABS(SIP[[#This Row],[Unit]])*(INDEX(SIP[NAV at Cost (Average)],MATCH(CONCATENATE((SIP[[#This Row],[Frequency]]-1),SIP[[#This Row],[Investor ID]]),SIP[Unique Code],0),0)),0)</f>
        <v>0</v>
      </c>
      <c r="V1770" s="74">
        <f>IF(SIP[[#This Row],[BO TRANSFER]]="YES",SIP[[#This Row],[Unit]],)</f>
        <v>0</v>
      </c>
      <c r="W1770" s="74">
        <f>SUMIFS(SIP[[#Headers],[BO UNIT TRANSFER]]:SIP[[#This Row],[BO UNIT TRANSFER]],SIP[[#Headers],[Investor ID]]:SIP[[#This Row],[Investor ID]],SIP[[#This Row],[Investor ID]])</f>
        <v>0</v>
      </c>
    </row>
    <row r="1771" spans="1:23" ht="15" customHeight="1">
      <c r="A1771" s="101">
        <v>2026</v>
      </c>
      <c r="B1771" s="101">
        <v>2</v>
      </c>
      <c r="C1771" s="101">
        <v>5</v>
      </c>
      <c r="D1771" s="65">
        <f>DATE(SIP[[#This Row],[Year]],SIP[[#This Row],[Month]],SIP[[#This Row],[Day]])</f>
        <v>46058</v>
      </c>
      <c r="E1771" s="66" t="str" cm="1">
        <f t="array" ref="E1771">INDEX(INVESTORS_LIST[INVESTOR NAME],MATCH(SIP[[#This Row],[Investor ID]],INVESTORS_LIST[INVESTOR CODE],0),)</f>
        <v>MAYMUNA AKTAR</v>
      </c>
      <c r="F1771" s="97" t="s">
        <v>1440</v>
      </c>
      <c r="G1771" s="46">
        <f>COUNTIF(SIP[[#Headers],[Investor ID]]:SIP[[#This Row],[Investor ID]],SIP[[#This Row],[Investor ID]])</f>
        <v>5</v>
      </c>
      <c r="H1771" s="46" t="str">
        <f>CONCATENATE(SIP[[#This Row],[Frequency]],SIP[[#This Row],[Investor ID]])</f>
        <v>5A00663</v>
      </c>
      <c r="I1771" s="46" t="str">
        <f>IF(SIP[[#This Row],[B/S]]="B","BUY",(IF(SIP[[#This Row],[B/S]]="S","SELL"," ")))</f>
        <v>BUY</v>
      </c>
      <c r="J1771" s="150" t="s">
        <v>1229</v>
      </c>
      <c r="K1771" s="152">
        <v>5000</v>
      </c>
      <c r="L1771" s="122"/>
      <c r="M1771" s="123">
        <f>SIP[[#This Row],[Amount]]/SIP[[#This Row],[Unit]]</f>
        <v>13.966480446927374</v>
      </c>
      <c r="N1771" s="71">
        <f>SIP[[#This Row],[Unit Capital]]/10</f>
        <v>358</v>
      </c>
      <c r="O1771" s="71">
        <f>SUMIFS(SIP[[#Headers],[Unit]]:SIP[[#This Row],[Unit]],SIP[[#Headers],[Investor ID]]:SIP[[#This Row],[Investor ID]],SIP[[#This Row],[Investor ID]])</f>
        <v>1819</v>
      </c>
      <c r="P1771" s="153">
        <v>3580</v>
      </c>
      <c r="Q1771" s="74">
        <f>SIP[[#This Row],[Amount]]-SIP[[#This Row],[Unit Capital]]</f>
        <v>1420</v>
      </c>
      <c r="R17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13.743815283122595</v>
      </c>
      <c r="S1771" s="46">
        <f t="shared" si="83"/>
        <v>14.224</v>
      </c>
      <c r="T17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1" s="74" cm="1">
        <f t="array" ref="U1771">IF(SIP[[#This Row],[B/S]]="S",ABS(SIP[[#This Row],[Unit]])*(INDEX(SIP[NAV at Cost (Average)],MATCH(CONCATENATE((SIP[[#This Row],[Frequency]]-1),SIP[[#This Row],[Investor ID]]),SIP[Unique Code],0),0)),0)</f>
        <v>0</v>
      </c>
      <c r="V1771" s="74">
        <f>IF(SIP[[#This Row],[BO TRANSFER]]="YES",SIP[[#This Row],[Unit]],)</f>
        <v>0</v>
      </c>
      <c r="W1771" s="74">
        <f>SUMIFS(SIP[[#Headers],[BO UNIT TRANSFER]]:SIP[[#This Row],[BO UNIT TRANSFER]],SIP[[#Headers],[Investor ID]]:SIP[[#This Row],[Investor ID]],SIP[[#This Row],[Investor ID]])</f>
        <v>0</v>
      </c>
    </row>
    <row r="1772" spans="1:23" ht="15" customHeight="1">
      <c r="A1772" s="101">
        <v>2026</v>
      </c>
      <c r="B1772" s="101">
        <v>2</v>
      </c>
      <c r="C1772" s="46">
        <v>9</v>
      </c>
      <c r="D1772" s="65">
        <f>DATE(SIP[[#This Row],[Year]],SIP[[#This Row],[Month]],SIP[[#This Row],[Day]])</f>
        <v>46062</v>
      </c>
      <c r="E1772" s="66" t="str" cm="1">
        <f t="array" ref="E1772">INDEX(INVESTORS_LIST[INVESTOR NAME],MATCH(SIP[[#This Row],[Investor ID]],INVESTORS_LIST[INVESTOR CODE],0),)</f>
        <v>AHMED BIN MONSUR</v>
      </c>
      <c r="F1772" s="150" t="s">
        <v>692</v>
      </c>
      <c r="G1772" s="46">
        <f>COUNTIF(SIP[[#Headers],[Investor ID]]:SIP[[#This Row],[Investor ID]],SIP[[#This Row],[Investor ID]])</f>
        <v>22</v>
      </c>
      <c r="H1772" s="46" t="str">
        <f>CONCATENATE(SIP[[#This Row],[Frequency]],SIP[[#This Row],[Investor ID]])</f>
        <v>22A00322</v>
      </c>
      <c r="I1772" s="46" t="str">
        <f>IF(SIP[[#This Row],[B/S]]="B","BUY",(IF(SIP[[#This Row],[B/S]]="S","SELL"," ")))</f>
        <v>SELL</v>
      </c>
      <c r="J1772" s="150" t="s">
        <v>1231</v>
      </c>
      <c r="K1772" s="153">
        <v>-124523.52</v>
      </c>
      <c r="L1772" s="122"/>
      <c r="M1772" s="123">
        <f>SIP[[#This Row],[Amount]]/SIP[[#This Row],[Unit]]</f>
        <v>13.970999663412993</v>
      </c>
      <c r="N1772" s="71">
        <f>SIP[[#This Row],[Unit Capital]]/10</f>
        <v>-8913</v>
      </c>
      <c r="O1772" s="71">
        <f>SUMIFS(SIP[[#Headers],[Unit]]:SIP[[#This Row],[Unit]],SIP[[#Headers],[Investor ID]]:SIP[[#This Row],[Investor ID]],SIP[[#This Row],[Investor ID]])</f>
        <v>1432</v>
      </c>
      <c r="P1772" s="153">
        <v>-89130</v>
      </c>
      <c r="Q1772" s="74">
        <f>SIP[[#This Row],[Amount]]-SIP[[#This Row],[Unit Capital]]</f>
        <v>-35393.520000000004</v>
      </c>
      <c r="R17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13.533107781536973</v>
      </c>
      <c r="S1772" s="46">
        <f t="shared" ref="S1772:S1785" si="84">NAV_MKT</f>
        <v>14.224</v>
      </c>
      <c r="T1772" s="74">
        <f>IF(SIP[[#This Row],[B/S]]="B",0,ABS(SIP[[#This Row],[Unit]])*(SIP[[#This Row],[NAV (Strike Rate)]]-INDEX(SIP[NAV at Cost (Average)],MATCH(CONCATENATE(SIP[[#This Row],[Frequency]]-1,SIP[[#This Row],[Investor ID]]),SIP[Unique Code],0),)))</f>
        <v>3902.9303431609646</v>
      </c>
      <c r="U1772" s="74" cm="1">
        <f t="array" ref="U1772">IF(SIP[[#This Row],[B/S]]="S",ABS(SIP[[#This Row],[Unit]])*(INDEX(SIP[NAV at Cost (Average)],MATCH(CONCATENATE((SIP[[#This Row],[Frequency]]-1),SIP[[#This Row],[Investor ID]]),SIP[Unique Code],0),0)),0)</f>
        <v>120620.58965683905</v>
      </c>
      <c r="V1772" s="74">
        <f>IF(SIP[[#This Row],[BO TRANSFER]]="YES",SIP[[#This Row],[Unit]],)</f>
        <v>0</v>
      </c>
      <c r="W1772" s="74">
        <f>SUMIFS(SIP[[#Headers],[BO UNIT TRANSFER]]:SIP[[#This Row],[BO UNIT TRANSFER]],SIP[[#Headers],[Investor ID]]:SIP[[#This Row],[Investor ID]],SIP[[#This Row],[Investor ID]])</f>
        <v>0</v>
      </c>
    </row>
    <row r="1773" spans="1:23" ht="15" customHeight="1">
      <c r="A1773" s="101">
        <v>2026</v>
      </c>
      <c r="B1773" s="101">
        <v>2</v>
      </c>
      <c r="C1773" s="46">
        <v>9</v>
      </c>
      <c r="D1773" s="65">
        <f>DATE(SIP[[#This Row],[Year]],SIP[[#This Row],[Month]],SIP[[#This Row],[Day]])</f>
        <v>46062</v>
      </c>
      <c r="E1773" s="66" t="str" cm="1">
        <f t="array" ref="E1773">INDEX(INVESTORS_LIST[INVESTOR NAME],MATCH(SIP[[#This Row],[Investor ID]],INVESTORS_LIST[INVESTOR CODE],0),)</f>
        <v>SABIKUN NAHAR TANHA</v>
      </c>
      <c r="F1773" s="150" t="s">
        <v>1519</v>
      </c>
      <c r="G1773" s="46">
        <f>COUNTIF(SIP[[#Headers],[Investor ID]]:SIP[[#This Row],[Investor ID]],SIP[[#This Row],[Investor ID]])</f>
        <v>1</v>
      </c>
      <c r="H1773" s="46" t="str">
        <f>CONCATENATE(SIP[[#This Row],[Frequency]],SIP[[#This Row],[Investor ID]])</f>
        <v>1BR0001</v>
      </c>
      <c r="I1773" s="46" t="str">
        <f>IF(SIP[[#This Row],[B/S]]="B","BUY",(IF(SIP[[#This Row],[B/S]]="S","SELL"," ")))</f>
        <v>BUY</v>
      </c>
      <c r="J1773" s="150" t="s">
        <v>1229</v>
      </c>
      <c r="K1773" s="153">
        <v>1000</v>
      </c>
      <c r="L1773" s="122" t="s">
        <v>1230</v>
      </c>
      <c r="M1773" s="123">
        <f>SIP[[#This Row],[Amount]]/SIP[[#This Row],[Unit]]</f>
        <v>13.888888888888889</v>
      </c>
      <c r="N1773" s="71">
        <f>SIP[[#This Row],[Unit Capital]]/10</f>
        <v>72</v>
      </c>
      <c r="O1773" s="71">
        <f>SUMIFS(SIP[[#Headers],[Unit]]:SIP[[#This Row],[Unit]],SIP[[#Headers],[Investor ID]]:SIP[[#This Row],[Investor ID]],SIP[[#This Row],[Investor ID]])</f>
        <v>72</v>
      </c>
      <c r="P1773" s="153">
        <v>720</v>
      </c>
      <c r="Q1773" s="74">
        <f>SIP[[#This Row],[Amount]]-SIP[[#This Row],[Unit Capital]]</f>
        <v>280</v>
      </c>
      <c r="R17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13.888888888888889</v>
      </c>
      <c r="S1773" s="46">
        <f t="shared" si="84"/>
        <v>14.224</v>
      </c>
      <c r="T17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3" s="74" cm="1">
        <f t="array" ref="U1773">IF(SIP[[#This Row],[B/S]]="S",ABS(SIP[[#This Row],[Unit]])*(INDEX(SIP[NAV at Cost (Average)],MATCH(CONCATENATE((SIP[[#This Row],[Frequency]]-1),SIP[[#This Row],[Investor ID]]),SIP[Unique Code],0),0)),0)</f>
        <v>0</v>
      </c>
      <c r="V1773" s="74">
        <f>IF(SIP[[#This Row],[BO TRANSFER]]="YES",SIP[[#This Row],[Unit]],)</f>
        <v>72</v>
      </c>
      <c r="W1773" s="74">
        <f>SUMIFS(SIP[[#Headers],[BO UNIT TRANSFER]]:SIP[[#This Row],[BO UNIT TRANSFER]],SIP[[#Headers],[Investor ID]]:SIP[[#This Row],[Investor ID]],SIP[[#This Row],[Investor ID]])</f>
        <v>72</v>
      </c>
    </row>
    <row r="1774" spans="1:23" ht="15" customHeight="1">
      <c r="A1774" s="101">
        <v>2026</v>
      </c>
      <c r="B1774" s="101">
        <v>2</v>
      </c>
      <c r="C1774" s="46">
        <v>15</v>
      </c>
      <c r="D1774" s="65">
        <f>DATE(SIP[[#This Row],[Year]],SIP[[#This Row],[Month]],SIP[[#This Row],[Day]])</f>
        <v>46068</v>
      </c>
      <c r="E1774" s="66" t="str" cm="1">
        <f t="array" ref="E1774">INDEX(INVESTORS_LIST[INVESTOR NAME],MATCH(SIP[[#This Row],[Investor ID]],INVESTORS_LIST[INVESTOR CODE],0),)</f>
        <v>MD. OMAR FARUQUE Al QUADERI</v>
      </c>
      <c r="F1774" s="46" t="s">
        <v>160</v>
      </c>
      <c r="G1774" s="46">
        <f>COUNTIF(SIP[[#Headers],[Investor ID]]:SIP[[#This Row],[Investor ID]],SIP[[#This Row],[Investor ID]])</f>
        <v>5</v>
      </c>
      <c r="H1774" s="46" t="str">
        <f>CONCATENATE(SIP[[#This Row],[Frequency]],SIP[[#This Row],[Investor ID]])</f>
        <v>5A00056</v>
      </c>
      <c r="I1774" s="46" t="str">
        <f>IF(SIP[[#This Row],[B/S]]="B","BUY",(IF(SIP[[#This Row],[B/S]]="S","SELL"," ")))</f>
        <v>BUY</v>
      </c>
      <c r="J1774" s="150" t="s">
        <v>1229</v>
      </c>
      <c r="K1774" s="153">
        <v>5000</v>
      </c>
      <c r="L1774" s="122"/>
      <c r="M1774" s="123">
        <f>SIP[[#This Row],[Amount]]/SIP[[#This Row],[Unit]]</f>
        <v>14.005602240896359</v>
      </c>
      <c r="N1774" s="71">
        <f>SIP[[#This Row],[Unit Capital]]/10</f>
        <v>357</v>
      </c>
      <c r="O1774" s="71">
        <f>SUMIFS(SIP[[#Headers],[Unit]]:SIP[[#This Row],[Unit]],SIP[[#Headers],[Investor ID]]:SIP[[#This Row],[Investor ID]],SIP[[#This Row],[Investor ID]])</f>
        <v>1814</v>
      </c>
      <c r="P1774" s="153">
        <v>3570</v>
      </c>
      <c r="Q1774" s="74">
        <f>SIP[[#This Row],[Amount]]-SIP[[#This Row],[Unit Capital]]</f>
        <v>1430</v>
      </c>
      <c r="R17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13.781697905181918</v>
      </c>
      <c r="S1774" s="46">
        <f t="shared" si="84"/>
        <v>14.224</v>
      </c>
      <c r="T17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4" s="74" cm="1">
        <f t="array" ref="U1774">IF(SIP[[#This Row],[B/S]]="S",ABS(SIP[[#This Row],[Unit]])*(INDEX(SIP[NAV at Cost (Average)],MATCH(CONCATENATE((SIP[[#This Row],[Frequency]]-1),SIP[[#This Row],[Investor ID]]),SIP[Unique Code],0),0)),0)</f>
        <v>0</v>
      </c>
      <c r="V1774" s="74">
        <f>IF(SIP[[#This Row],[BO TRANSFER]]="YES",SIP[[#This Row],[Unit]],)</f>
        <v>0</v>
      </c>
      <c r="W1774" s="74">
        <f>SUMIFS(SIP[[#Headers],[BO UNIT TRANSFER]]:SIP[[#This Row],[BO UNIT TRANSFER]],SIP[[#Headers],[Investor ID]]:SIP[[#This Row],[Investor ID]],SIP[[#This Row],[Investor ID]])</f>
        <v>0</v>
      </c>
    </row>
    <row r="1775" spans="1:23" ht="15" customHeight="1">
      <c r="A1775" s="101">
        <v>2026</v>
      </c>
      <c r="B1775" s="101">
        <v>2</v>
      </c>
      <c r="C1775" s="46">
        <v>15</v>
      </c>
      <c r="D1775" s="65">
        <f>DATE(SIP[[#This Row],[Year]],SIP[[#This Row],[Month]],SIP[[#This Row],[Day]])</f>
        <v>46068</v>
      </c>
      <c r="E1775" s="66" t="str" cm="1">
        <f t="array" ref="E1775">INDEX(INVESTORS_LIST[INVESTOR NAME],MATCH(SIP[[#This Row],[Investor ID]],INVESTORS_LIST[INVESTOR CODE],0),)</f>
        <v>MAHMUD ALI ALAMGIR &amp; MOHAMMED ALI XAHANGIR</v>
      </c>
      <c r="F1775" s="46" t="s">
        <v>1130</v>
      </c>
      <c r="G1775" s="46">
        <f>COUNTIF(SIP[[#Headers],[Investor ID]]:SIP[[#This Row],[Investor ID]],SIP[[#This Row],[Investor ID]])</f>
        <v>39</v>
      </c>
      <c r="H1775" s="46" t="str">
        <f>CONCATENATE(SIP[[#This Row],[Frequency]],SIP[[#This Row],[Investor ID]])</f>
        <v>39A00540</v>
      </c>
      <c r="I1775" s="46" t="str">
        <f>IF(SIP[[#This Row],[B/S]]="B","BUY",(IF(SIP[[#This Row],[B/S]]="S","SELL"," ")))</f>
        <v>BUY</v>
      </c>
      <c r="J1775" s="150" t="s">
        <v>1229</v>
      </c>
      <c r="K1775" s="153">
        <v>20000</v>
      </c>
      <c r="L1775" s="122"/>
      <c r="M1775" s="123">
        <f>SIP[[#This Row],[Amount]]/SIP[[#This Row],[Unit]]</f>
        <v>14.005602240896359</v>
      </c>
      <c r="N1775" s="71">
        <f>SIP[[#This Row],[Unit Capital]]/10</f>
        <v>1428</v>
      </c>
      <c r="O1775" s="71">
        <f>SUMIFS(SIP[[#Headers],[Unit]]:SIP[[#This Row],[Unit]],SIP[[#Headers],[Investor ID]]:SIP[[#This Row],[Investor ID]],SIP[[#This Row],[Investor ID]])</f>
        <v>6241</v>
      </c>
      <c r="P1775" s="153">
        <v>14280</v>
      </c>
      <c r="Q1775" s="74">
        <f>SIP[[#This Row],[Amount]]-SIP[[#This Row],[Unit Capital]]</f>
        <v>5720</v>
      </c>
      <c r="R17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13.83132152697593</v>
      </c>
      <c r="S1775" s="46">
        <f t="shared" si="84"/>
        <v>14.224</v>
      </c>
      <c r="T17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5" s="74" cm="1">
        <f t="array" ref="U1775">IF(SIP[[#This Row],[B/S]]="S",ABS(SIP[[#This Row],[Unit]])*(INDEX(SIP[NAV at Cost (Average)],MATCH(CONCATENATE((SIP[[#This Row],[Frequency]]-1),SIP[[#This Row],[Investor ID]]),SIP[Unique Code],0),0)),0)</f>
        <v>0</v>
      </c>
      <c r="V1775" s="74">
        <f>IF(SIP[[#This Row],[BO TRANSFER]]="YES",SIP[[#This Row],[Unit]],)</f>
        <v>0</v>
      </c>
      <c r="W1775" s="74">
        <f>SUMIFS(SIP[[#Headers],[BO UNIT TRANSFER]]:SIP[[#This Row],[BO UNIT TRANSFER]],SIP[[#Headers],[Investor ID]]:SIP[[#This Row],[Investor ID]],SIP[[#This Row],[Investor ID]])</f>
        <v>0</v>
      </c>
    </row>
    <row r="1776" spans="1:23" ht="15" customHeight="1">
      <c r="A1776" s="101">
        <v>2026</v>
      </c>
      <c r="B1776" s="101">
        <v>2</v>
      </c>
      <c r="C1776" s="46">
        <v>15</v>
      </c>
      <c r="D1776" s="65">
        <f>DATE(SIP[[#This Row],[Year]],SIP[[#This Row],[Month]],SIP[[#This Row],[Day]])</f>
        <v>46068</v>
      </c>
      <c r="E1776" s="66" t="str" cm="1">
        <f t="array" ref="E1776">INDEX(INVESTORS_LIST[INVESTOR NAME],MATCH(SIP[[#This Row],[Investor ID]],INVESTORS_LIST[INVESTOR CODE],0),)</f>
        <v>ASRAAR HOSSAIN</v>
      </c>
      <c r="F1776" s="46" t="s">
        <v>786</v>
      </c>
      <c r="G1776" s="46">
        <f>COUNTIF(SIP[[#Headers],[Investor ID]]:SIP[[#This Row],[Investor ID]],SIP[[#This Row],[Investor ID]])</f>
        <v>17</v>
      </c>
      <c r="H1776" s="46" t="str">
        <f>CONCATENATE(SIP[[#This Row],[Frequency]],SIP[[#This Row],[Investor ID]])</f>
        <v>17A00369</v>
      </c>
      <c r="I1776" s="46" t="str">
        <f>IF(SIP[[#This Row],[B/S]]="B","BUY",(IF(SIP[[#This Row],[B/S]]="S","SELL"," ")))</f>
        <v>BUY</v>
      </c>
      <c r="J1776" s="150" t="s">
        <v>1229</v>
      </c>
      <c r="K1776" s="153">
        <v>15000</v>
      </c>
      <c r="L1776" s="122" t="s">
        <v>1230</v>
      </c>
      <c r="M1776" s="123">
        <f>SIP[[#This Row],[Amount]]/SIP[[#This Row],[Unit]]</f>
        <v>14.005602240896359</v>
      </c>
      <c r="N1776" s="71">
        <f>SIP[[#This Row],[Unit Capital]]/10</f>
        <v>1071</v>
      </c>
      <c r="O1776" s="71">
        <f>SUMIFS(SIP[[#Headers],[Unit]]:SIP[[#This Row],[Unit]],SIP[[#Headers],[Investor ID]]:SIP[[#This Row],[Investor ID]],SIP[[#This Row],[Investor ID]])</f>
        <v>20041</v>
      </c>
      <c r="P1776" s="153">
        <v>10710</v>
      </c>
      <c r="Q1776" s="74">
        <f>SIP[[#This Row],[Amount]]-SIP[[#This Row],[Unit Capital]]</f>
        <v>4290</v>
      </c>
      <c r="R17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12.723915972256872</v>
      </c>
      <c r="S1776" s="46">
        <f t="shared" si="84"/>
        <v>14.224</v>
      </c>
      <c r="T17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6" s="74" cm="1">
        <f t="array" ref="U1776">IF(SIP[[#This Row],[B/S]]="S",ABS(SIP[[#This Row],[Unit]])*(INDEX(SIP[NAV at Cost (Average)],MATCH(CONCATENATE((SIP[[#This Row],[Frequency]]-1),SIP[[#This Row],[Investor ID]]),SIP[Unique Code],0),0)),0)</f>
        <v>0</v>
      </c>
      <c r="V1776" s="74">
        <f>IF(SIP[[#This Row],[BO TRANSFER]]="YES",SIP[[#This Row],[Unit]],)</f>
        <v>1071</v>
      </c>
      <c r="W1776" s="74">
        <f>SUMIFS(SIP[[#Headers],[BO UNIT TRANSFER]]:SIP[[#This Row],[BO UNIT TRANSFER]],SIP[[#Headers],[Investor ID]]:SIP[[#This Row],[Investor ID]],SIP[[#This Row],[Investor ID]])</f>
        <v>8901</v>
      </c>
    </row>
    <row r="1777" spans="1:23" ht="15" customHeight="1">
      <c r="A1777" s="101">
        <v>2026</v>
      </c>
      <c r="B1777" s="101">
        <v>2</v>
      </c>
      <c r="C1777" s="46">
        <v>15</v>
      </c>
      <c r="D1777" s="65">
        <f>DATE(SIP[[#This Row],[Year]],SIP[[#This Row],[Month]],SIP[[#This Row],[Day]])</f>
        <v>46068</v>
      </c>
      <c r="E1777" s="66" t="str" cm="1">
        <f t="array" ref="E1777">INDEX(INVESTORS_LIST[INVESTOR NAME],MATCH(SIP[[#This Row],[Investor ID]],INVESTORS_LIST[INVESTOR CODE],0),)</f>
        <v>MAHFUZA ANIKA</v>
      </c>
      <c r="F1777" s="46" t="s">
        <v>1277</v>
      </c>
      <c r="G1777" s="46">
        <f>COUNTIF(SIP[[#Headers],[Investor ID]]:SIP[[#This Row],[Investor ID]],SIP[[#This Row],[Investor ID]])</f>
        <v>22</v>
      </c>
      <c r="H1777" s="46" t="str">
        <f>CONCATENATE(SIP[[#This Row],[Frequency]],SIP[[#This Row],[Investor ID]])</f>
        <v>22A00585</v>
      </c>
      <c r="I1777" s="46" t="str">
        <f>IF(SIP[[#This Row],[B/S]]="B","BUY",(IF(SIP[[#This Row],[B/S]]="S","SELL"," ")))</f>
        <v>BUY</v>
      </c>
      <c r="J1777" s="150" t="s">
        <v>1229</v>
      </c>
      <c r="K1777" s="153">
        <v>2000</v>
      </c>
      <c r="L1777" s="122"/>
      <c r="M1777" s="123">
        <f>SIP[[#This Row],[Amount]]/SIP[[#This Row],[Unit]]</f>
        <v>13.986013986013987</v>
      </c>
      <c r="N1777" s="71">
        <f>SIP[[#This Row],[Unit Capital]]/10</f>
        <v>143</v>
      </c>
      <c r="O1777" s="71">
        <f>SUMIFS(SIP[[#Headers],[Unit]]:SIP[[#This Row],[Unit]],SIP[[#Headers],[Investor ID]]:SIP[[#This Row],[Investor ID]],SIP[[#This Row],[Investor ID]])</f>
        <v>1016</v>
      </c>
      <c r="P1777" s="153">
        <v>1430</v>
      </c>
      <c r="Q1777" s="74">
        <f>SIP[[#This Row],[Amount]]-SIP[[#This Row],[Unit Capital]]</f>
        <v>570</v>
      </c>
      <c r="R17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13.482703700007992</v>
      </c>
      <c r="S1777" s="46">
        <f t="shared" si="84"/>
        <v>14.224</v>
      </c>
      <c r="T17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7" s="74" cm="1">
        <f t="array" ref="U1777">IF(SIP[[#This Row],[B/S]]="S",ABS(SIP[[#This Row],[Unit]])*(INDEX(SIP[NAV at Cost (Average)],MATCH(CONCATENATE((SIP[[#This Row],[Frequency]]-1),SIP[[#This Row],[Investor ID]]),SIP[Unique Code],0),0)),0)</f>
        <v>0</v>
      </c>
      <c r="V1777" s="74">
        <f>IF(SIP[[#This Row],[BO TRANSFER]]="YES",SIP[[#This Row],[Unit]],)</f>
        <v>0</v>
      </c>
      <c r="W1777" s="74">
        <f>SUMIFS(SIP[[#Headers],[BO UNIT TRANSFER]]:SIP[[#This Row],[BO UNIT TRANSFER]],SIP[[#Headers],[Investor ID]]:SIP[[#This Row],[Investor ID]],SIP[[#This Row],[Investor ID]])</f>
        <v>0</v>
      </c>
    </row>
    <row r="1778" spans="1:23" ht="15" customHeight="1">
      <c r="A1778" s="101">
        <v>2026</v>
      </c>
      <c r="B1778" s="101">
        <v>2</v>
      </c>
      <c r="C1778" s="46">
        <v>15</v>
      </c>
      <c r="D1778" s="65">
        <f>DATE(SIP[[#This Row],[Year]],SIP[[#This Row],[Month]],SIP[[#This Row],[Day]])</f>
        <v>46068</v>
      </c>
      <c r="E1778" s="66" t="str" cm="1">
        <f t="array" ref="E1778">INDEX(INVESTORS_LIST[INVESTOR NAME],MATCH(SIP[[#This Row],[Investor ID]],INVESTORS_LIST[INVESTOR CODE],0),)</f>
        <v>AMIT KANTI SARKER</v>
      </c>
      <c r="F1778" s="46" t="s">
        <v>364</v>
      </c>
      <c r="G1778" s="46">
        <f>COUNTIF(SIP[[#Headers],[Investor ID]]:SIP[[#This Row],[Investor ID]],SIP[[#This Row],[Investor ID]])</f>
        <v>3</v>
      </c>
      <c r="H1778" s="46" t="str">
        <f>CONCATENATE(SIP[[#This Row],[Frequency]],SIP[[#This Row],[Investor ID]])</f>
        <v>3A00158</v>
      </c>
      <c r="I1778" s="46" t="str">
        <f>IF(SIP[[#This Row],[B/S]]="B","BUY",(IF(SIP[[#This Row],[B/S]]="S","SELL"," ")))</f>
        <v>BUY</v>
      </c>
      <c r="J1778" s="150" t="s">
        <v>1229</v>
      </c>
      <c r="K1778" s="153">
        <v>10000</v>
      </c>
      <c r="L1778" s="122"/>
      <c r="M1778" s="123">
        <f>SIP[[#This Row],[Amount]]/SIP[[#This Row],[Unit]]</f>
        <v>14.005602240896359</v>
      </c>
      <c r="N1778" s="71">
        <f>SIP[[#This Row],[Unit Capital]]/10</f>
        <v>714</v>
      </c>
      <c r="O1778" s="71">
        <f>SUMIFS(SIP[[#Headers],[Unit]]:SIP[[#This Row],[Unit]],SIP[[#Headers],[Investor ID]]:SIP[[#This Row],[Investor ID]],SIP[[#This Row],[Investor ID]])</f>
        <v>2163</v>
      </c>
      <c r="P1778" s="153">
        <v>7140</v>
      </c>
      <c r="Q1778" s="74">
        <f>SIP[[#This Row],[Amount]]-SIP[[#This Row],[Unit Capital]]</f>
        <v>2860</v>
      </c>
      <c r="R17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13.869625520110958</v>
      </c>
      <c r="S1778" s="46">
        <f t="shared" si="84"/>
        <v>14.224</v>
      </c>
      <c r="T17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8" s="74" cm="1">
        <f t="array" ref="U1778">IF(SIP[[#This Row],[B/S]]="S",ABS(SIP[[#This Row],[Unit]])*(INDEX(SIP[NAV at Cost (Average)],MATCH(CONCATENATE((SIP[[#This Row],[Frequency]]-1),SIP[[#This Row],[Investor ID]]),SIP[Unique Code],0),0)),0)</f>
        <v>0</v>
      </c>
      <c r="V1778" s="74">
        <f>IF(SIP[[#This Row],[BO TRANSFER]]="YES",SIP[[#This Row],[Unit]],)</f>
        <v>0</v>
      </c>
      <c r="W1778" s="74">
        <f>SUMIFS(SIP[[#Headers],[BO UNIT TRANSFER]]:SIP[[#This Row],[BO UNIT TRANSFER]],SIP[[#Headers],[Investor ID]]:SIP[[#This Row],[Investor ID]],SIP[[#This Row],[Investor ID]])</f>
        <v>0</v>
      </c>
    </row>
    <row r="1779" spans="1:23" ht="15" customHeight="1">
      <c r="A1779" s="101">
        <v>2026</v>
      </c>
      <c r="B1779" s="101">
        <v>2</v>
      </c>
      <c r="C1779" s="46">
        <v>15</v>
      </c>
      <c r="D1779" s="65">
        <f>DATE(SIP[[#This Row],[Year]],SIP[[#This Row],[Month]],SIP[[#This Row],[Day]])</f>
        <v>46068</v>
      </c>
      <c r="E1779" s="66" t="str" cm="1">
        <f t="array" ref="E1779">INDEX(INVESTORS_LIST[INVESTOR NAME],MATCH(SIP[[#This Row],[Investor ID]],INVESTORS_LIST[INVESTOR CODE],0),)</f>
        <v>MD. RAFIQUR RAHMAN</v>
      </c>
      <c r="F1779" s="46" t="s">
        <v>622</v>
      </c>
      <c r="G1779" s="46">
        <f>COUNTIF(SIP[[#Headers],[Investor ID]]:SIP[[#This Row],[Investor ID]],SIP[[#This Row],[Investor ID]])</f>
        <v>30</v>
      </c>
      <c r="H1779" s="46" t="str">
        <f>CONCATENATE(SIP[[#This Row],[Frequency]],SIP[[#This Row],[Investor ID]])</f>
        <v>30A00287</v>
      </c>
      <c r="I1779" s="46" t="str">
        <f>IF(SIP[[#This Row],[B/S]]="B","BUY",(IF(SIP[[#This Row],[B/S]]="S","SELL"," ")))</f>
        <v>BUY</v>
      </c>
      <c r="J1779" s="150" t="s">
        <v>1229</v>
      </c>
      <c r="K1779" s="153">
        <v>20000</v>
      </c>
      <c r="L1779" s="122"/>
      <c r="M1779" s="123">
        <f>SIP[[#This Row],[Amount]]/SIP[[#This Row],[Unit]]</f>
        <v>14.005602240896359</v>
      </c>
      <c r="N1779" s="71">
        <f>SIP[[#This Row],[Unit Capital]]/10</f>
        <v>1428</v>
      </c>
      <c r="O1779" s="71">
        <f>SUMIFS(SIP[[#Headers],[Unit]]:SIP[[#This Row],[Unit]],SIP[[#Headers],[Investor ID]]:SIP[[#This Row],[Investor ID]],SIP[[#This Row],[Investor ID]])</f>
        <v>50596</v>
      </c>
      <c r="P1779" s="153">
        <v>14280</v>
      </c>
      <c r="Q1779" s="74">
        <f>SIP[[#This Row],[Amount]]-SIP[[#This Row],[Unit Capital]]</f>
        <v>5720</v>
      </c>
      <c r="R177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11.858644952170135</v>
      </c>
      <c r="S1779" s="46">
        <f t="shared" si="84"/>
        <v>14.224</v>
      </c>
      <c r="T177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9" s="74" cm="1">
        <f t="array" ref="U1779">IF(SIP[[#This Row],[B/S]]="S",ABS(SIP[[#This Row],[Unit]])*(INDEX(SIP[NAV at Cost (Average)],MATCH(CONCATENATE((SIP[[#This Row],[Frequency]]-1),SIP[[#This Row],[Investor ID]]),SIP[Unique Code],0),0)),0)</f>
        <v>0</v>
      </c>
      <c r="V1779" s="74">
        <f>IF(SIP[[#This Row],[BO TRANSFER]]="YES",SIP[[#This Row],[Unit]],)</f>
        <v>0</v>
      </c>
      <c r="W1779" s="74">
        <f>SUMIFS(SIP[[#Headers],[BO UNIT TRANSFER]]:SIP[[#This Row],[BO UNIT TRANSFER]],SIP[[#Headers],[Investor ID]]:SIP[[#This Row],[Investor ID]],SIP[[#This Row],[Investor ID]])</f>
        <v>0</v>
      </c>
    </row>
    <row r="1780" spans="1:23" ht="15" customHeight="1">
      <c r="A1780" s="101">
        <v>2026</v>
      </c>
      <c r="B1780" s="101">
        <v>2</v>
      </c>
      <c r="C1780" s="46">
        <v>15</v>
      </c>
      <c r="D1780" s="65">
        <f>DATE(SIP[[#This Row],[Year]],SIP[[#This Row],[Month]],SIP[[#This Row],[Day]])</f>
        <v>46068</v>
      </c>
      <c r="E1780" s="66" t="str" cm="1">
        <f t="array" ref="E1780">INDEX(INVESTORS_LIST[INVESTOR NAME],MATCH(SIP[[#This Row],[Investor ID]],INVESTORS_LIST[INVESTOR CODE],0),)</f>
        <v>EDUINT LIMITED</v>
      </c>
      <c r="F1780" s="46" t="s">
        <v>1482</v>
      </c>
      <c r="G1780" s="46">
        <f>COUNTIF(SIP[[#Headers],[Investor ID]]:SIP[[#This Row],[Investor ID]],SIP[[#This Row],[Investor ID]])</f>
        <v>3</v>
      </c>
      <c r="H1780" s="46" t="str">
        <f>CONCATENATE(SIP[[#This Row],[Frequency]],SIP[[#This Row],[Investor ID]])</f>
        <v>3A00687</v>
      </c>
      <c r="I1780" s="46" t="str">
        <f>IF(SIP[[#This Row],[B/S]]="B","BUY",(IF(SIP[[#This Row],[B/S]]="S","SELL"," ")))</f>
        <v>BUY</v>
      </c>
      <c r="J1780" s="150" t="s">
        <v>1229</v>
      </c>
      <c r="K1780" s="153">
        <v>8000</v>
      </c>
      <c r="L1780" s="122"/>
      <c r="M1780" s="123">
        <f>SIP[[#This Row],[Amount]]/SIP[[#This Row],[Unit]]</f>
        <v>14.010507880910684</v>
      </c>
      <c r="N1780" s="71">
        <f>SIP[[#This Row],[Unit Capital]]/10</f>
        <v>571</v>
      </c>
      <c r="O1780" s="71">
        <f>SUMIFS(SIP[[#Headers],[Unit]]:SIP[[#This Row],[Unit]],SIP[[#Headers],[Investor ID]]:SIP[[#This Row],[Investor ID]],SIP[[#This Row],[Investor ID]])</f>
        <v>1150</v>
      </c>
      <c r="P1780" s="153">
        <v>5710</v>
      </c>
      <c r="Q1780" s="74">
        <f>SIP[[#This Row],[Amount]]-SIP[[#This Row],[Unit Capital]]</f>
        <v>2290</v>
      </c>
      <c r="R178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13.913043478260871</v>
      </c>
      <c r="S1780" s="46">
        <f t="shared" si="84"/>
        <v>14.224</v>
      </c>
      <c r="T178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0" s="74" cm="1">
        <f t="array" ref="U1780">IF(SIP[[#This Row],[B/S]]="S",ABS(SIP[[#This Row],[Unit]])*(INDEX(SIP[NAV at Cost (Average)],MATCH(CONCATENATE((SIP[[#This Row],[Frequency]]-1),SIP[[#This Row],[Investor ID]]),SIP[Unique Code],0),0)),0)</f>
        <v>0</v>
      </c>
      <c r="V1780" s="74">
        <f>IF(SIP[[#This Row],[BO TRANSFER]]="YES",SIP[[#This Row],[Unit]],)</f>
        <v>0</v>
      </c>
      <c r="W1780" s="74">
        <f>SUMIFS(SIP[[#Headers],[BO UNIT TRANSFER]]:SIP[[#This Row],[BO UNIT TRANSFER]],SIP[[#Headers],[Investor ID]]:SIP[[#This Row],[Investor ID]],SIP[[#This Row],[Investor ID]])</f>
        <v>0</v>
      </c>
    </row>
    <row r="1781" spans="1:23" ht="15" customHeight="1">
      <c r="A1781" s="101">
        <v>2026</v>
      </c>
      <c r="B1781" s="101">
        <v>2</v>
      </c>
      <c r="C1781" s="46">
        <v>15</v>
      </c>
      <c r="D1781" s="65">
        <f>DATE(SIP[[#This Row],[Year]],SIP[[#This Row],[Month]],SIP[[#This Row],[Day]])</f>
        <v>46068</v>
      </c>
      <c r="E1781" s="66" t="str" cm="1">
        <f t="array" ref="E1781">INDEX(INVESTORS_LIST[INVESTOR NAME],MATCH(SIP[[#This Row],[Investor ID]],INVESTORS_LIST[INVESTOR CODE],0),)</f>
        <v>RUKAIYA FAHMIDA</v>
      </c>
      <c r="F1781" s="46" t="s">
        <v>1190</v>
      </c>
      <c r="G1781" s="46">
        <f>COUNTIF(SIP[[#Headers],[Investor ID]]:SIP[[#This Row],[Investor ID]],SIP[[#This Row],[Investor ID]])</f>
        <v>12</v>
      </c>
      <c r="H1781" s="46" t="str">
        <f>CONCATENATE(SIP[[#This Row],[Frequency]],SIP[[#This Row],[Investor ID]])</f>
        <v>12A00571</v>
      </c>
      <c r="I1781" s="46" t="str">
        <f>IF(SIP[[#This Row],[B/S]]="B","BUY",(IF(SIP[[#This Row],[B/S]]="S","SELL"," ")))</f>
        <v>BUY</v>
      </c>
      <c r="J1781" s="150" t="s">
        <v>1229</v>
      </c>
      <c r="K1781" s="153">
        <v>2000</v>
      </c>
      <c r="L1781" s="122"/>
      <c r="M1781" s="123">
        <f>SIP[[#This Row],[Amount]]/SIP[[#This Row],[Unit]]</f>
        <v>13.986013986013987</v>
      </c>
      <c r="N1781" s="71">
        <f>SIP[[#This Row],[Unit Capital]]/10</f>
        <v>143</v>
      </c>
      <c r="O1781" s="71">
        <f>SUMIFS(SIP[[#Headers],[Unit]]:SIP[[#This Row],[Unit]],SIP[[#Headers],[Investor ID]]:SIP[[#This Row],[Investor ID]],SIP[[#This Row],[Investor ID]])</f>
        <v>1827</v>
      </c>
      <c r="P1781" s="153">
        <v>1430</v>
      </c>
      <c r="Q1781" s="74">
        <f>SIP[[#This Row],[Amount]]-SIP[[#This Row],[Unit Capital]]</f>
        <v>570</v>
      </c>
      <c r="R178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13.13628899835796</v>
      </c>
      <c r="S1781" s="46">
        <f t="shared" si="84"/>
        <v>14.224</v>
      </c>
      <c r="T178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1" s="74" cm="1">
        <f t="array" ref="U1781">IF(SIP[[#This Row],[B/S]]="S",ABS(SIP[[#This Row],[Unit]])*(INDEX(SIP[NAV at Cost (Average)],MATCH(CONCATENATE((SIP[[#This Row],[Frequency]]-1),SIP[[#This Row],[Investor ID]]),SIP[Unique Code],0),0)),0)</f>
        <v>0</v>
      </c>
      <c r="V1781" s="74">
        <f>IF(SIP[[#This Row],[BO TRANSFER]]="YES",SIP[[#This Row],[Unit]],)</f>
        <v>0</v>
      </c>
      <c r="W1781" s="74">
        <f>SUMIFS(SIP[[#Headers],[BO UNIT TRANSFER]]:SIP[[#This Row],[BO UNIT TRANSFER]],SIP[[#Headers],[Investor ID]]:SIP[[#This Row],[Investor ID]],SIP[[#This Row],[Investor ID]])</f>
        <v>0</v>
      </c>
    </row>
    <row r="1782" spans="1:23" ht="15" customHeight="1">
      <c r="A1782" s="101">
        <v>2026</v>
      </c>
      <c r="B1782" s="101">
        <v>2</v>
      </c>
      <c r="C1782" s="46">
        <v>15</v>
      </c>
      <c r="D1782" s="65">
        <f>DATE(SIP[[#This Row],[Year]],SIP[[#This Row],[Month]],SIP[[#This Row],[Day]])</f>
        <v>46068</v>
      </c>
      <c r="E1782" s="66" t="str" cm="1">
        <f t="array" ref="E1782">INDEX(INVESTORS_LIST[INVESTOR NAME],MATCH(SIP[[#This Row],[Investor ID]],INVESTORS_LIST[INVESTOR CODE],0),)</f>
        <v>TAPAN KUMAR KHAN</v>
      </c>
      <c r="F1782" s="46" t="s">
        <v>1483</v>
      </c>
      <c r="G1782" s="46">
        <f>COUNTIF(SIP[[#Headers],[Investor ID]]:SIP[[#This Row],[Investor ID]],SIP[[#This Row],[Investor ID]])</f>
        <v>2</v>
      </c>
      <c r="H1782" s="46" t="str">
        <f>CONCATENATE(SIP[[#This Row],[Frequency]],SIP[[#This Row],[Investor ID]])</f>
        <v>2A00688</v>
      </c>
      <c r="I1782" s="46" t="str">
        <f>IF(SIP[[#This Row],[B/S]]="B","BUY",(IF(SIP[[#This Row],[B/S]]="S","SELL"," ")))</f>
        <v>BUY</v>
      </c>
      <c r="J1782" s="150" t="s">
        <v>1229</v>
      </c>
      <c r="K1782" s="153">
        <v>3000</v>
      </c>
      <c r="L1782" s="122" t="s">
        <v>1230</v>
      </c>
      <c r="M1782" s="123">
        <f>SIP[[#This Row],[Amount]]/SIP[[#This Row],[Unit]]</f>
        <v>14.018691588785046</v>
      </c>
      <c r="N1782" s="71">
        <f>SIP[[#This Row],[Unit Capital]]/10</f>
        <v>214</v>
      </c>
      <c r="O1782" s="71">
        <f>SUMIFS(SIP[[#Headers],[Unit]]:SIP[[#This Row],[Unit]],SIP[[#Headers],[Investor ID]]:SIP[[#This Row],[Investor ID]],SIP[[#This Row],[Investor ID]])</f>
        <v>431</v>
      </c>
      <c r="P1782" s="153">
        <v>2140</v>
      </c>
      <c r="Q1782" s="74">
        <f>SIP[[#This Row],[Amount]]-SIP[[#This Row],[Unit Capital]]</f>
        <v>860</v>
      </c>
      <c r="R178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13.921113689095129</v>
      </c>
      <c r="S1782" s="46">
        <f t="shared" si="84"/>
        <v>14.224</v>
      </c>
      <c r="T178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2" s="74" cm="1">
        <f t="array" ref="U1782">IF(SIP[[#This Row],[B/S]]="S",ABS(SIP[[#This Row],[Unit]])*(INDEX(SIP[NAV at Cost (Average)],MATCH(CONCATENATE((SIP[[#This Row],[Frequency]]-1),SIP[[#This Row],[Investor ID]]),SIP[Unique Code],0),0)),0)</f>
        <v>0</v>
      </c>
      <c r="V1782" s="74">
        <f>IF(SIP[[#This Row],[BO TRANSFER]]="YES",SIP[[#This Row],[Unit]],)</f>
        <v>214</v>
      </c>
      <c r="W1782" s="74">
        <f>SUMIFS(SIP[[#Headers],[BO UNIT TRANSFER]]:SIP[[#This Row],[BO UNIT TRANSFER]],SIP[[#Headers],[Investor ID]]:SIP[[#This Row],[Investor ID]],SIP[[#This Row],[Investor ID]])</f>
        <v>431</v>
      </c>
    </row>
    <row r="1783" spans="1:23" ht="15" customHeight="1">
      <c r="A1783" s="101">
        <v>2026</v>
      </c>
      <c r="B1783" s="101">
        <v>2</v>
      </c>
      <c r="C1783" s="46">
        <v>15</v>
      </c>
      <c r="D1783" s="65">
        <f>DATE(SIP[[#This Row],[Year]],SIP[[#This Row],[Month]],SIP[[#This Row],[Day]])</f>
        <v>46068</v>
      </c>
      <c r="E1783" s="66" t="str" cm="1">
        <f t="array" ref="E1783">INDEX(INVESTORS_LIST[INVESTOR NAME],MATCH(SIP[[#This Row],[Investor ID]],INVESTORS_LIST[INVESTOR CODE],0),)</f>
        <v>MAHMUD ALI ALAMGIR &amp; MOHAMMED ALI XAHANGIR</v>
      </c>
      <c r="F1783" s="46" t="s">
        <v>1130</v>
      </c>
      <c r="G1783" s="46">
        <f>COUNTIF(SIP[[#Headers],[Investor ID]]:SIP[[#This Row],[Investor ID]],SIP[[#This Row],[Investor ID]])</f>
        <v>40</v>
      </c>
      <c r="H1783" s="46" t="str">
        <f>CONCATENATE(SIP[[#This Row],[Frequency]],SIP[[#This Row],[Investor ID]])</f>
        <v>40A00540</v>
      </c>
      <c r="I1783" s="46" t="str">
        <f>IF(SIP[[#This Row],[B/S]]="B","BUY",(IF(SIP[[#This Row],[B/S]]="S","SELL"," ")))</f>
        <v>BUY</v>
      </c>
      <c r="J1783" s="150" t="s">
        <v>1229</v>
      </c>
      <c r="K1783" s="153">
        <v>40000</v>
      </c>
      <c r="L1783" s="122"/>
      <c r="M1783" s="123">
        <f>SIP[[#This Row],[Amount]]/SIP[[#This Row],[Unit]]</f>
        <v>14.000700035001749</v>
      </c>
      <c r="N1783" s="71">
        <f>SIP[[#This Row],[Unit Capital]]/10</f>
        <v>2857</v>
      </c>
      <c r="O1783" s="71">
        <f>SUMIFS(SIP[[#Headers],[Unit]]:SIP[[#This Row],[Unit]],SIP[[#Headers],[Investor ID]]:SIP[[#This Row],[Investor ID]],SIP[[#This Row],[Investor ID]])</f>
        <v>9098</v>
      </c>
      <c r="P1783" s="153">
        <v>28570</v>
      </c>
      <c r="Q1783" s="74">
        <f>SIP[[#This Row],[Amount]]-SIP[[#This Row],[Unit Capital]]</f>
        <v>11430</v>
      </c>
      <c r="R178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13.884510623198153</v>
      </c>
      <c r="S1783" s="46">
        <f t="shared" si="84"/>
        <v>14.224</v>
      </c>
      <c r="T178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3" s="74" cm="1">
        <f t="array" ref="U1783">IF(SIP[[#This Row],[B/S]]="S",ABS(SIP[[#This Row],[Unit]])*(INDEX(SIP[NAV at Cost (Average)],MATCH(CONCATENATE((SIP[[#This Row],[Frequency]]-1),SIP[[#This Row],[Investor ID]]),SIP[Unique Code],0),0)),0)</f>
        <v>0</v>
      </c>
      <c r="V1783" s="74">
        <f>IF(SIP[[#This Row],[BO TRANSFER]]="YES",SIP[[#This Row],[Unit]],)</f>
        <v>0</v>
      </c>
      <c r="W1783" s="74">
        <f>SUMIFS(SIP[[#Headers],[BO UNIT TRANSFER]]:SIP[[#This Row],[BO UNIT TRANSFER]],SIP[[#Headers],[Investor ID]]:SIP[[#This Row],[Investor ID]],SIP[[#This Row],[Investor ID]])</f>
        <v>0</v>
      </c>
    </row>
    <row r="1784" spans="1:23" ht="15" customHeight="1">
      <c r="A1784" s="101">
        <v>2026</v>
      </c>
      <c r="B1784" s="101">
        <v>2</v>
      </c>
      <c r="C1784" s="46">
        <v>15</v>
      </c>
      <c r="D1784" s="65">
        <f>DATE(SIP[[#This Row],[Year]],SIP[[#This Row],[Month]],SIP[[#This Row],[Day]])</f>
        <v>46068</v>
      </c>
      <c r="E1784" s="66" t="str" cm="1">
        <f t="array" ref="E1784">INDEX(INVESTORS_LIST[INVESTOR NAME],MATCH(SIP[[#This Row],[Investor ID]],INVESTORS_LIST[INVESTOR CODE],0),)</f>
        <v>SANJIB KUMAR ROY</v>
      </c>
      <c r="F1784" s="46" t="s">
        <v>1020</v>
      </c>
      <c r="G1784" s="46">
        <f>COUNTIF(SIP[[#Headers],[Investor ID]]:SIP[[#This Row],[Investor ID]],SIP[[#This Row],[Investor ID]])</f>
        <v>33</v>
      </c>
      <c r="H1784" s="46" t="str">
        <f>CONCATENATE(SIP[[#This Row],[Frequency]],SIP[[#This Row],[Investor ID]])</f>
        <v>33A00487</v>
      </c>
      <c r="I1784" s="46" t="str">
        <f>IF(SIP[[#This Row],[B/S]]="B","BUY",(IF(SIP[[#This Row],[B/S]]="S","SELL"," ")))</f>
        <v>BUY</v>
      </c>
      <c r="J1784" s="150" t="s">
        <v>1229</v>
      </c>
      <c r="K1784" s="153">
        <v>5000</v>
      </c>
      <c r="L1784" s="122" t="s">
        <v>1230</v>
      </c>
      <c r="M1784" s="123">
        <f>SIP[[#This Row],[Amount]]/SIP[[#This Row],[Unit]]</f>
        <v>14.005602240896359</v>
      </c>
      <c r="N1784" s="71">
        <f>SIP[[#This Row],[Unit Capital]]/10</f>
        <v>357</v>
      </c>
      <c r="O1784" s="71">
        <f>SUMIFS(SIP[[#Headers],[Unit]]:SIP[[#This Row],[Unit]],SIP[[#Headers],[Investor ID]]:SIP[[#This Row],[Investor ID]],SIP[[#This Row],[Investor ID]])</f>
        <v>14105</v>
      </c>
      <c r="P1784" s="153">
        <v>3570</v>
      </c>
      <c r="Q1784" s="74">
        <f>SIP[[#This Row],[Amount]]-SIP[[#This Row],[Unit Capital]]</f>
        <v>1430</v>
      </c>
      <c r="R178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11.697979439914921</v>
      </c>
      <c r="S1784" s="46">
        <f t="shared" si="84"/>
        <v>14.224</v>
      </c>
      <c r="T178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4" s="74" cm="1">
        <f t="array" ref="U1784">IF(SIP[[#This Row],[B/S]]="S",ABS(SIP[[#This Row],[Unit]])*(INDEX(SIP[NAV at Cost (Average)],MATCH(CONCATENATE((SIP[[#This Row],[Frequency]]-1),SIP[[#This Row],[Investor ID]]),SIP[Unique Code],0),0)),0)</f>
        <v>0</v>
      </c>
      <c r="V1784" s="74">
        <f>IF(SIP[[#This Row],[BO TRANSFER]]="YES",SIP[[#This Row],[Unit]],)</f>
        <v>357</v>
      </c>
      <c r="W1784" s="74">
        <f>SUMIFS(SIP[[#Headers],[BO UNIT TRANSFER]]:SIP[[#This Row],[BO UNIT TRANSFER]],SIP[[#Headers],[Investor ID]]:SIP[[#This Row],[Investor ID]],SIP[[#This Row],[Investor ID]])</f>
        <v>718</v>
      </c>
    </row>
    <row r="1785" spans="1:23" ht="15" customHeight="1">
      <c r="A1785" s="101">
        <v>2026</v>
      </c>
      <c r="B1785" s="101">
        <v>2</v>
      </c>
      <c r="C1785" s="46">
        <v>15</v>
      </c>
      <c r="D1785" s="65">
        <f>DATE(SIP[[#This Row],[Year]],SIP[[#This Row],[Month]],SIP[[#This Row],[Day]])</f>
        <v>46068</v>
      </c>
      <c r="E1785" s="66" t="str" cm="1">
        <f t="array" ref="E1785">INDEX(INVESTORS_LIST[INVESTOR NAME],MATCH(SIP[[#This Row],[Investor ID]],INVESTORS_LIST[INVESTOR CODE],0),)</f>
        <v>JOY SARKAR</v>
      </c>
      <c r="F1785" s="46" t="s">
        <v>1444</v>
      </c>
      <c r="G1785" s="46">
        <f>COUNTIF(SIP[[#Headers],[Investor ID]]:SIP[[#This Row],[Investor ID]],SIP[[#This Row],[Investor ID]])</f>
        <v>5</v>
      </c>
      <c r="H1785" s="46" t="str">
        <f>CONCATENATE(SIP[[#This Row],[Frequency]],SIP[[#This Row],[Investor ID]])</f>
        <v>5A00665</v>
      </c>
      <c r="I1785" s="46" t="str">
        <f>IF(SIP[[#This Row],[B/S]]="B","BUY",(IF(SIP[[#This Row],[B/S]]="S","SELL"," ")))</f>
        <v>BUY</v>
      </c>
      <c r="J1785" s="150" t="s">
        <v>1229</v>
      </c>
      <c r="K1785" s="153">
        <v>6000</v>
      </c>
      <c r="L1785" s="122"/>
      <c r="M1785" s="123">
        <f>SIP[[#This Row],[Amount]]/SIP[[#This Row],[Unit]]</f>
        <v>13.986013986013987</v>
      </c>
      <c r="N1785" s="71">
        <f>SIP[[#This Row],[Unit Capital]]/10</f>
        <v>429</v>
      </c>
      <c r="O1785" s="71">
        <f>SUMIFS(SIP[[#Headers],[Unit]]:SIP[[#This Row],[Unit]],SIP[[#Headers],[Investor ID]]:SIP[[#This Row],[Investor ID]],SIP[[#This Row],[Investor ID]])</f>
        <v>2175</v>
      </c>
      <c r="P1785" s="153">
        <v>4290</v>
      </c>
      <c r="Q1785" s="74">
        <f>SIP[[#This Row],[Amount]]-SIP[[#This Row],[Unit Capital]]</f>
        <v>1710</v>
      </c>
      <c r="R178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13.793103448275865</v>
      </c>
      <c r="S1785" s="46">
        <f t="shared" si="84"/>
        <v>14.224</v>
      </c>
      <c r="T178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5" s="74" cm="1">
        <f t="array" ref="U1785">IF(SIP[[#This Row],[B/S]]="S",ABS(SIP[[#This Row],[Unit]])*(INDEX(SIP[NAV at Cost (Average)],MATCH(CONCATENATE((SIP[[#This Row],[Frequency]]-1),SIP[[#This Row],[Investor ID]]),SIP[Unique Code],0),0)),0)</f>
        <v>0</v>
      </c>
      <c r="V1785" s="74">
        <f>IF(SIP[[#This Row],[BO TRANSFER]]="YES",SIP[[#This Row],[Unit]],)</f>
        <v>0</v>
      </c>
      <c r="W1785" s="74">
        <f>SUMIFS(SIP[[#Headers],[BO UNIT TRANSFER]]:SIP[[#This Row],[BO UNIT TRANSFER]],SIP[[#Headers],[Investor ID]]:SIP[[#This Row],[Investor ID]],SIP[[#This Row],[Investor ID]])</f>
        <v>0</v>
      </c>
    </row>
    <row r="1786" spans="1:23" ht="15" customHeight="1">
      <c r="A1786" s="101">
        <v>2026</v>
      </c>
      <c r="B1786" s="101">
        <v>2</v>
      </c>
      <c r="C1786" s="46">
        <v>16</v>
      </c>
      <c r="D1786" s="65">
        <f>DATE(SIP[[#This Row],[Year]],SIP[[#This Row],[Month]],SIP[[#This Row],[Day]])</f>
        <v>46069</v>
      </c>
      <c r="E1786" s="66" t="str" cm="1">
        <f t="array" ref="E1786">INDEX(INVESTORS_LIST[INVESTOR NAME],MATCH(SIP[[#This Row],[Investor ID]],INVESTORS_LIST[INVESTOR CODE],0),)</f>
        <v>MAHFUZUL ISLAM &amp; HUMAIRA TABASSUM READDHE</v>
      </c>
      <c r="F1786" s="46" t="s">
        <v>1315</v>
      </c>
      <c r="G1786" s="46">
        <f>COUNTIF(SIP[[#Headers],[Investor ID]]:SIP[[#This Row],[Investor ID]],SIP[[#This Row],[Investor ID]])</f>
        <v>11</v>
      </c>
      <c r="H1786" s="46" t="str">
        <f>CONCATENATE(SIP[[#This Row],[Frequency]],SIP[[#This Row],[Investor ID]])</f>
        <v>11A00605</v>
      </c>
      <c r="I1786" s="46" t="str">
        <f>IF(SIP[[#This Row],[B/S]]="B","BUY",(IF(SIP[[#This Row],[B/S]]="S","SELL"," ")))</f>
        <v>SELL</v>
      </c>
      <c r="J1786" s="150" t="s">
        <v>1231</v>
      </c>
      <c r="K1786" s="153">
        <v>-20094.36</v>
      </c>
      <c r="L1786" s="122"/>
      <c r="M1786" s="123">
        <f>SIP[[#This Row],[Amount]]/SIP[[#This Row],[Unit]]</f>
        <v>14.022581995812979</v>
      </c>
      <c r="N1786" s="71">
        <f>SIP[[#This Row],[Unit Capital]]/10</f>
        <v>-1433</v>
      </c>
      <c r="O1786" s="71">
        <f>SUMIFS(SIP[[#Headers],[Unit]]:SIP[[#This Row],[Unit]],SIP[[#Headers],[Investor ID]]:SIP[[#This Row],[Investor ID]],SIP[[#This Row],[Investor ID]])</f>
        <v>10589</v>
      </c>
      <c r="P1786" s="153">
        <v>-14330</v>
      </c>
      <c r="Q1786" s="74">
        <f>SIP[[#This Row],[Amount]]-SIP[[#This Row],[Unit Capital]]</f>
        <v>-5764.3600000000006</v>
      </c>
      <c r="R178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13.126494538864879</v>
      </c>
      <c r="S1786" s="46">
        <f t="shared" ref="S1786:S1817" si="85">NAV_MKT</f>
        <v>14.224</v>
      </c>
      <c r="T1786" s="74">
        <f>IF(SIP[[#This Row],[B/S]]="B",0,ABS(SIP[[#This Row],[Unit]])*(SIP[[#This Row],[NAV (Strike Rate)]]-INDEX(SIP[NAV at Cost (Average)],MATCH(CONCATENATE(SIP[[#This Row],[Frequency]]-1,SIP[[#This Row],[Investor ID]]),SIP[Unique Code],0),)))</f>
        <v>1284.0933258066277</v>
      </c>
      <c r="U1786" s="74" cm="1">
        <f t="array" ref="U1786">IF(SIP[[#This Row],[B/S]]="S",ABS(SIP[[#This Row],[Unit]])*(INDEX(SIP[NAV at Cost (Average)],MATCH(CONCATENATE((SIP[[#This Row],[Frequency]]-1),SIP[[#This Row],[Investor ID]]),SIP[Unique Code],0),0)),0)</f>
        <v>18810.266674193372</v>
      </c>
      <c r="V1786" s="74">
        <f>IF(SIP[[#This Row],[BO TRANSFER]]="YES",SIP[[#This Row],[Unit]],)</f>
        <v>0</v>
      </c>
      <c r="W1786" s="74">
        <f>SUMIFS(SIP[[#Headers],[BO UNIT TRANSFER]]:SIP[[#This Row],[BO UNIT TRANSFER]],SIP[[#Headers],[Investor ID]]:SIP[[#This Row],[Investor ID]],SIP[[#This Row],[Investor ID]])</f>
        <v>0</v>
      </c>
    </row>
    <row r="1787" spans="1:23" ht="15" customHeight="1">
      <c r="A1787" s="101">
        <v>2026</v>
      </c>
      <c r="B1787" s="101">
        <v>2</v>
      </c>
      <c r="C1787" s="46">
        <v>16</v>
      </c>
      <c r="D1787" s="65">
        <f>DATE(SIP[[#This Row],[Year]],SIP[[#This Row],[Month]],SIP[[#This Row],[Day]])</f>
        <v>46069</v>
      </c>
      <c r="E1787" s="66" t="str" cm="1">
        <f t="array" ref="E1787">INDEX(INVESTORS_LIST[INVESTOR NAME],MATCH(SIP[[#This Row],[Investor ID]],INVESTORS_LIST[INVESTOR CODE],0),)</f>
        <v>SRIJON GHOSH</v>
      </c>
      <c r="F1787" s="46" t="s">
        <v>894</v>
      </c>
      <c r="G1787" s="46">
        <f>COUNTIF(SIP[[#Headers],[Investor ID]]:SIP[[#This Row],[Investor ID]],SIP[[#This Row],[Investor ID]])</f>
        <v>38</v>
      </c>
      <c r="H1787" s="46" t="str">
        <f>CONCATENATE(SIP[[#This Row],[Frequency]],SIP[[#This Row],[Investor ID]])</f>
        <v>38A00424</v>
      </c>
      <c r="I1787" s="46" t="str">
        <f>IF(SIP[[#This Row],[B/S]]="B","BUY",(IF(SIP[[#This Row],[B/S]]="S","SELL"," ")))</f>
        <v>SELL</v>
      </c>
      <c r="J1787" s="150" t="s">
        <v>1231</v>
      </c>
      <c r="K1787" s="153">
        <v>-3063.34</v>
      </c>
      <c r="L1787" s="122"/>
      <c r="M1787" s="123">
        <f>SIP[[#This Row],[Amount]]/SIP[[#This Row],[Unit]]</f>
        <v>14.052018348623854</v>
      </c>
      <c r="N1787" s="71">
        <f>SIP[[#This Row],[Unit Capital]]/10</f>
        <v>-218</v>
      </c>
      <c r="O1787" s="71">
        <f>SUMIFS(SIP[[#Headers],[Unit]]:SIP[[#This Row],[Unit]],SIP[[#Headers],[Investor ID]]:SIP[[#This Row],[Investor ID]],SIP[[#This Row],[Investor ID]])</f>
        <v>0</v>
      </c>
      <c r="P1787" s="153">
        <v>-2180</v>
      </c>
      <c r="Q1787" s="74">
        <f>SIP[[#This Row],[Amount]]-SIP[[#This Row],[Unit Capital]]</f>
        <v>-883.34000000000015</v>
      </c>
      <c r="R178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787" s="46">
        <f t="shared" si="85"/>
        <v>14.224</v>
      </c>
      <c r="T1787" s="74">
        <f>IF(SIP[[#This Row],[B/S]]="B",0,ABS(SIP[[#This Row],[Unit]])*(SIP[[#This Row],[NAV (Strike Rate)]]-INDEX(SIP[NAV at Cost (Average)],MATCH(CONCATENATE(SIP[[#This Row],[Frequency]]-1,SIP[[#This Row],[Investor ID]]),SIP[Unique Code],0),)))</f>
        <v>60.585179063361046</v>
      </c>
      <c r="U1787" s="74" cm="1">
        <f t="array" ref="U1787">IF(SIP[[#This Row],[B/S]]="S",ABS(SIP[[#This Row],[Unit]])*(INDEX(SIP[NAV at Cost (Average)],MATCH(CONCATENATE((SIP[[#This Row],[Frequency]]-1),SIP[[#This Row],[Investor ID]]),SIP[Unique Code],0),0)),0)</f>
        <v>3002.7548209366391</v>
      </c>
      <c r="V1787" s="74">
        <f>IF(SIP[[#This Row],[BO TRANSFER]]="YES",SIP[[#This Row],[Unit]],)</f>
        <v>0</v>
      </c>
      <c r="W1787" s="74">
        <f>SUMIFS(SIP[[#Headers],[BO UNIT TRANSFER]]:SIP[[#This Row],[BO UNIT TRANSFER]],SIP[[#Headers],[Investor ID]]:SIP[[#This Row],[Investor ID]],SIP[[#This Row],[Investor ID]])</f>
        <v>0</v>
      </c>
    </row>
    <row r="1788" spans="1:23" ht="15" customHeight="1">
      <c r="A1788" s="101">
        <v>2026</v>
      </c>
      <c r="B1788" s="101">
        <v>2</v>
      </c>
      <c r="C1788" s="46">
        <v>18</v>
      </c>
      <c r="D1788" s="65">
        <f>DATE(SIP[[#This Row],[Year]],SIP[[#This Row],[Month]],SIP[[#This Row],[Day]])</f>
        <v>46071</v>
      </c>
      <c r="E1788" s="66" t="str" cm="1">
        <f t="array" ref="E1788">INDEX(INVESTORS_LIST[INVESTOR NAME],MATCH(SIP[[#This Row],[Investor ID]],INVESTORS_LIST[INVESTOR CODE],0),)</f>
        <v>MD. SHIFUL ISLAM</v>
      </c>
      <c r="F1788" s="46" t="s">
        <v>127</v>
      </c>
      <c r="G1788" s="46">
        <f>COUNTIF(SIP[[#Headers],[Investor ID]]:SIP[[#This Row],[Investor ID]],SIP[[#This Row],[Investor ID]])</f>
        <v>7</v>
      </c>
      <c r="H1788" s="46" t="str">
        <f>CONCATENATE(SIP[[#This Row],[Frequency]],SIP[[#This Row],[Investor ID]])</f>
        <v>7A00040</v>
      </c>
      <c r="I1788" s="46" t="str">
        <f>IF(SIP[[#This Row],[B/S]]="B","BUY",(IF(SIP[[#This Row],[B/S]]="S","SELL"," ")))</f>
        <v>SELL</v>
      </c>
      <c r="J1788" s="150" t="s">
        <v>1231</v>
      </c>
      <c r="K1788" s="153">
        <v>-30812.080000000002</v>
      </c>
      <c r="L1788" s="122"/>
      <c r="M1788" s="123">
        <f>SIP[[#This Row],[Amount]]/SIP[[#This Row],[Unit]]</f>
        <v>14.031001821493625</v>
      </c>
      <c r="N1788" s="71">
        <f>SIP[[#This Row],[Unit Capital]]/10</f>
        <v>-2196</v>
      </c>
      <c r="O1788" s="71">
        <f>SUMIFS(SIP[[#Headers],[Unit]]:SIP[[#This Row],[Unit]],SIP[[#Headers],[Investor ID]]:SIP[[#This Row],[Investor ID]],SIP[[#This Row],[Investor ID]])</f>
        <v>0</v>
      </c>
      <c r="P1788" s="153">
        <v>-21960</v>
      </c>
      <c r="Q1788" s="74">
        <f>SIP[[#This Row],[Amount]]-SIP[[#This Row],[Unit Capital]]</f>
        <v>-8852.0800000000017</v>
      </c>
      <c r="R178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788" s="46">
        <f t="shared" si="85"/>
        <v>14.224</v>
      </c>
      <c r="T1788" s="74">
        <f>IF(SIP[[#This Row],[B/S]]="B",0,ABS(SIP[[#This Row],[Unit]])*(SIP[[#This Row],[NAV (Strike Rate)]]-INDEX(SIP[NAV at Cost (Average)],MATCH(CONCATENATE(SIP[[#This Row],[Frequency]]-1,SIP[[#This Row],[Investor ID]]),SIP[Unique Code],0),)))</f>
        <v>812.08000000000413</v>
      </c>
      <c r="U1788" s="74" cm="1">
        <f t="array" ref="U1788">IF(SIP[[#This Row],[B/S]]="S",ABS(SIP[[#This Row],[Unit]])*(INDEX(SIP[NAV at Cost (Average)],MATCH(CONCATENATE((SIP[[#This Row],[Frequency]]-1),SIP[[#This Row],[Investor ID]]),SIP[Unique Code],0),0)),0)</f>
        <v>29999.999999999996</v>
      </c>
      <c r="V1788" s="74">
        <f>IF(SIP[[#This Row],[BO TRANSFER]]="YES",SIP[[#This Row],[Unit]],)</f>
        <v>0</v>
      </c>
      <c r="W1788" s="74">
        <f>SUMIFS(SIP[[#Headers],[BO UNIT TRANSFER]]:SIP[[#This Row],[BO UNIT TRANSFER]],SIP[[#Headers],[Investor ID]]:SIP[[#This Row],[Investor ID]],SIP[[#This Row],[Investor ID]])</f>
        <v>0</v>
      </c>
    </row>
    <row r="1789" spans="1:23" ht="15" customHeight="1">
      <c r="A1789" s="101">
        <v>2026</v>
      </c>
      <c r="B1789" s="101">
        <v>2</v>
      </c>
      <c r="C1789" s="46">
        <v>22</v>
      </c>
      <c r="D1789" s="65">
        <f>DATE(SIP[[#This Row],[Year]],SIP[[#This Row],[Month]],SIP[[#This Row],[Day]])</f>
        <v>46075</v>
      </c>
      <c r="E1789" s="66" t="str" cm="1">
        <f t="array" ref="E1789">INDEX(INVESTORS_LIST[INVESTOR NAME],MATCH(SIP[[#This Row],[Investor ID]],INVESTORS_LIST[INVESTOR CODE],0),)</f>
        <v>FAIYEAD AHMEDUL HYE</v>
      </c>
      <c r="F1789" s="46" t="s">
        <v>368</v>
      </c>
      <c r="G1789" s="46">
        <f>COUNTIF(SIP[[#Headers],[Investor ID]]:SIP[[#This Row],[Investor ID]],SIP[[#This Row],[Investor ID]])</f>
        <v>30</v>
      </c>
      <c r="H1789" s="46" t="str">
        <f>CONCATENATE(SIP[[#This Row],[Frequency]],SIP[[#This Row],[Investor ID]])</f>
        <v>30A00160</v>
      </c>
      <c r="I1789" s="46" t="str">
        <f>IF(SIP[[#This Row],[B/S]]="B","BUY",(IF(SIP[[#This Row],[B/S]]="S","SELL"," ")))</f>
        <v>SELL</v>
      </c>
      <c r="J1789" s="150" t="s">
        <v>1231</v>
      </c>
      <c r="K1789" s="153">
        <v>-357445.36</v>
      </c>
      <c r="L1789" s="122"/>
      <c r="M1789" s="123">
        <f>SIP[[#This Row],[Amount]]/SIP[[#This Row],[Unit]]</f>
        <v>14.06323956407129</v>
      </c>
      <c r="N1789" s="71">
        <f>SIP[[#This Row],[Unit Capital]]/10</f>
        <v>-25417</v>
      </c>
      <c r="O1789" s="71">
        <f>SUMIFS(SIP[[#Headers],[Unit]]:SIP[[#This Row],[Unit]],SIP[[#Headers],[Investor ID]]:SIP[[#This Row],[Investor ID]],SIP[[#This Row],[Investor ID]])</f>
        <v>12548</v>
      </c>
      <c r="P1789" s="153">
        <v>-254170</v>
      </c>
      <c r="Q1789" s="74">
        <f>SIP[[#This Row],[Amount]]-SIP[[#This Row],[Unit Capital]]</f>
        <v>-103275.35999999999</v>
      </c>
      <c r="R178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11.457921770051366</v>
      </c>
      <c r="S1789" s="46">
        <f t="shared" si="85"/>
        <v>14.224</v>
      </c>
      <c r="T1789" s="74">
        <f>IF(SIP[[#This Row],[B/S]]="B",0,ABS(SIP[[#This Row],[Unit]])*(SIP[[#This Row],[NAV (Strike Rate)]]-INDEX(SIP[NAV at Cost (Average)],MATCH(CONCATENATE(SIP[[#This Row],[Frequency]]-1,SIP[[#This Row],[Investor ID]]),SIP[Unique Code],0),)))</f>
        <v>66219.362370604431</v>
      </c>
      <c r="U1789" s="74" cm="1">
        <f t="array" ref="U1789">IF(SIP[[#This Row],[B/S]]="S",ABS(SIP[[#This Row],[Unit]])*(INDEX(SIP[NAV at Cost (Average)],MATCH(CONCATENATE((SIP[[#This Row],[Frequency]]-1),SIP[[#This Row],[Investor ID]]),SIP[Unique Code],0),0)),0)</f>
        <v>291225.99762939557</v>
      </c>
      <c r="V1789" s="74">
        <f>IF(SIP[[#This Row],[BO TRANSFER]]="YES",SIP[[#This Row],[Unit]],)</f>
        <v>0</v>
      </c>
      <c r="W1789" s="74">
        <f>SUMIFS(SIP[[#Headers],[BO UNIT TRANSFER]]:SIP[[#This Row],[BO UNIT TRANSFER]],SIP[[#Headers],[Investor ID]]:SIP[[#This Row],[Investor ID]],SIP[[#This Row],[Investor ID]])</f>
        <v>0</v>
      </c>
    </row>
    <row r="1790" spans="1:23" ht="15" customHeight="1">
      <c r="A1790" s="101">
        <v>2026</v>
      </c>
      <c r="B1790" s="101">
        <v>2</v>
      </c>
      <c r="C1790" s="46">
        <v>26</v>
      </c>
      <c r="D1790" s="65">
        <f>DATE(SIP[[#This Row],[Year]],SIP[[#This Row],[Month]],SIP[[#This Row],[Day]])</f>
        <v>46079</v>
      </c>
      <c r="E1790" s="66" t="str" cm="1">
        <f t="array" ref="E1790">INDEX(INVESTORS_LIST[INVESTOR NAME],MATCH(SIP[[#This Row],[Investor ID]],INVESTORS_LIST[INVESTOR CODE],0),)</f>
        <v>SIKDER FAZLE RABBI</v>
      </c>
      <c r="F1790" s="46" t="s">
        <v>1032</v>
      </c>
      <c r="G1790" s="46">
        <f>COUNTIF(SIP[[#Headers],[Investor ID]]:SIP[[#This Row],[Investor ID]],SIP[[#This Row],[Investor ID]])</f>
        <v>33</v>
      </c>
      <c r="H1790" s="46" t="str">
        <f>CONCATENATE(SIP[[#This Row],[Frequency]],SIP[[#This Row],[Investor ID]])</f>
        <v>33A00493</v>
      </c>
      <c r="I1790" s="46" t="str">
        <f>IF(SIP[[#This Row],[B/S]]="B","BUY",(IF(SIP[[#This Row],[B/S]]="S","SELL"," ")))</f>
        <v>BUY</v>
      </c>
      <c r="J1790" s="150" t="s">
        <v>1229</v>
      </c>
      <c r="K1790" s="153">
        <v>5000</v>
      </c>
      <c r="L1790" s="122"/>
      <c r="M1790" s="123">
        <f>SIP[[#This Row],[Amount]]/SIP[[#This Row],[Unit]]</f>
        <v>14.084507042253522</v>
      </c>
      <c r="N1790" s="71">
        <f>SIP[[#This Row],[Unit Capital]]/10</f>
        <v>355</v>
      </c>
      <c r="O1790" s="71">
        <f>SUMIFS(SIP[[#Headers],[Unit]]:SIP[[#This Row],[Unit]],SIP[[#Headers],[Investor ID]]:SIP[[#This Row],[Investor ID]],SIP[[#This Row],[Investor ID]])</f>
        <v>14055</v>
      </c>
      <c r="P1790" s="153">
        <v>3550</v>
      </c>
      <c r="Q1790" s="74">
        <f>SIP[[#This Row],[Amount]]-SIP[[#This Row],[Unit Capital]]</f>
        <v>1450</v>
      </c>
      <c r="R179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11.739594450373533</v>
      </c>
      <c r="S1790" s="46">
        <f t="shared" si="85"/>
        <v>14.224</v>
      </c>
      <c r="T179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0" s="74" cm="1">
        <f t="array" ref="U1790">IF(SIP[[#This Row],[B/S]]="S",ABS(SIP[[#This Row],[Unit]])*(INDEX(SIP[NAV at Cost (Average)],MATCH(CONCATENATE((SIP[[#This Row],[Frequency]]-1),SIP[[#This Row],[Investor ID]]),SIP[Unique Code],0),0)),0)</f>
        <v>0</v>
      </c>
      <c r="V1790" s="74">
        <f>IF(SIP[[#This Row],[BO TRANSFER]]="YES",SIP[[#This Row],[Unit]],)</f>
        <v>0</v>
      </c>
      <c r="W1790" s="74">
        <f>SUMIFS(SIP[[#Headers],[BO UNIT TRANSFER]]:SIP[[#This Row],[BO UNIT TRANSFER]],SIP[[#Headers],[Investor ID]]:SIP[[#This Row],[Investor ID]],SIP[[#This Row],[Investor ID]])</f>
        <v>0</v>
      </c>
    </row>
    <row r="1791" spans="1:23" ht="15" customHeight="1">
      <c r="A1791" s="101">
        <v>2026</v>
      </c>
      <c r="B1791" s="101">
        <v>2</v>
      </c>
      <c r="C1791" s="46">
        <v>26</v>
      </c>
      <c r="D1791" s="65">
        <f>DATE(SIP[[#This Row],[Year]],SIP[[#This Row],[Month]],SIP[[#This Row],[Day]])</f>
        <v>46079</v>
      </c>
      <c r="E1791" s="66" t="str" cm="1">
        <f t="array" ref="E1791">INDEX(INVESTORS_LIST[INVESTOR NAME],MATCH(SIP[[#This Row],[Investor ID]],INVESTORS_LIST[INVESTOR CODE],0),)</f>
        <v>MOHAMMED SHARIFUL ISLAM</v>
      </c>
      <c r="F1791" s="46" t="s">
        <v>1028</v>
      </c>
      <c r="G1791" s="46">
        <f>COUNTIF(SIP[[#Headers],[Investor ID]]:SIP[[#This Row],[Investor ID]],SIP[[#This Row],[Investor ID]])</f>
        <v>33</v>
      </c>
      <c r="H1791" s="46" t="str">
        <f>CONCATENATE(SIP[[#This Row],[Frequency]],SIP[[#This Row],[Investor ID]])</f>
        <v>33A00491</v>
      </c>
      <c r="I1791" s="46" t="str">
        <f>IF(SIP[[#This Row],[B/S]]="B","BUY",(IF(SIP[[#This Row],[B/S]]="S","SELL"," ")))</f>
        <v>BUY</v>
      </c>
      <c r="J1791" s="150" t="s">
        <v>1229</v>
      </c>
      <c r="K1791" s="153">
        <v>5000</v>
      </c>
      <c r="L1791" s="122"/>
      <c r="M1791" s="123">
        <f>SIP[[#This Row],[Amount]]/SIP[[#This Row],[Unit]]</f>
        <v>14.084507042253522</v>
      </c>
      <c r="N1791" s="71">
        <f>SIP[[#This Row],[Unit Capital]]/10</f>
        <v>355</v>
      </c>
      <c r="O1791" s="71">
        <f>SUMIFS(SIP[[#Headers],[Unit]]:SIP[[#This Row],[Unit]],SIP[[#Headers],[Investor ID]]:SIP[[#This Row],[Investor ID]],SIP[[#This Row],[Investor ID]])</f>
        <v>14055</v>
      </c>
      <c r="P1791" s="153">
        <v>3550</v>
      </c>
      <c r="Q1791" s="74">
        <f>SIP[[#This Row],[Amount]]-SIP[[#This Row],[Unit Capital]]</f>
        <v>1450</v>
      </c>
      <c r="R179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11.739594450373533</v>
      </c>
      <c r="S1791" s="46">
        <f t="shared" si="85"/>
        <v>14.224</v>
      </c>
      <c r="T179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1" s="74" cm="1">
        <f t="array" ref="U1791">IF(SIP[[#This Row],[B/S]]="S",ABS(SIP[[#This Row],[Unit]])*(INDEX(SIP[NAV at Cost (Average)],MATCH(CONCATENATE((SIP[[#This Row],[Frequency]]-1),SIP[[#This Row],[Investor ID]]),SIP[Unique Code],0),0)),0)</f>
        <v>0</v>
      </c>
      <c r="V1791" s="74">
        <f>IF(SIP[[#This Row],[BO TRANSFER]]="YES",SIP[[#This Row],[Unit]],)</f>
        <v>0</v>
      </c>
      <c r="W1791" s="74">
        <f>SUMIFS(SIP[[#Headers],[BO UNIT TRANSFER]]:SIP[[#This Row],[BO UNIT TRANSFER]],SIP[[#Headers],[Investor ID]]:SIP[[#This Row],[Investor ID]],SIP[[#This Row],[Investor ID]])</f>
        <v>0</v>
      </c>
    </row>
    <row r="1792" spans="1:23" ht="15" customHeight="1">
      <c r="A1792" s="101">
        <v>2026</v>
      </c>
      <c r="B1792" s="101">
        <v>2</v>
      </c>
      <c r="C1792" s="46">
        <v>26</v>
      </c>
      <c r="D1792" s="65">
        <f>DATE(SIP[[#This Row],[Year]],SIP[[#This Row],[Month]],SIP[[#This Row],[Day]])</f>
        <v>46079</v>
      </c>
      <c r="E1792" s="66" t="str" cm="1">
        <f t="array" ref="E1792">INDEX(INVESTORS_LIST[INVESTOR NAME],MATCH(SIP[[#This Row],[Investor ID]],INVESTORS_LIST[INVESTOR CODE],0),)</f>
        <v>MRINMOY GHOSH</v>
      </c>
      <c r="F1792" s="46" t="s">
        <v>69</v>
      </c>
      <c r="G1792" s="46">
        <f>COUNTIF(SIP[[#Headers],[Investor ID]]:SIP[[#This Row],[Investor ID]],SIP[[#This Row],[Investor ID]])</f>
        <v>23</v>
      </c>
      <c r="H1792" s="46" t="str">
        <f>CONCATENATE(SIP[[#This Row],[Frequency]],SIP[[#This Row],[Investor ID]])</f>
        <v>23A00012</v>
      </c>
      <c r="I1792" s="46" t="str">
        <f>IF(SIP[[#This Row],[B/S]]="B","BUY",(IF(SIP[[#This Row],[B/S]]="S","SELL"," ")))</f>
        <v>BUY</v>
      </c>
      <c r="J1792" s="150" t="s">
        <v>1229</v>
      </c>
      <c r="K1792" s="153">
        <v>10000</v>
      </c>
      <c r="L1792" s="122"/>
      <c r="M1792" s="123">
        <f>SIP[[#This Row],[Amount]]/SIP[[#This Row],[Unit]]</f>
        <v>14.084507042253522</v>
      </c>
      <c r="N1792" s="71">
        <f>SIP[[#This Row],[Unit Capital]]/10</f>
        <v>710</v>
      </c>
      <c r="O1792" s="71">
        <f>SUMIFS(SIP[[#Headers],[Unit]]:SIP[[#This Row],[Unit]],SIP[[#Headers],[Investor ID]]:SIP[[#This Row],[Investor ID]],SIP[[#This Row],[Investor ID]])</f>
        <v>710</v>
      </c>
      <c r="P1792" s="153">
        <v>7100</v>
      </c>
      <c r="Q1792" s="74">
        <f>SIP[[#This Row],[Amount]]-SIP[[#This Row],[Unit Capital]]</f>
        <v>2900</v>
      </c>
      <c r="R179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14.084507042253522</v>
      </c>
      <c r="S1792" s="46">
        <f t="shared" si="85"/>
        <v>14.224</v>
      </c>
      <c r="T179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2" s="74" cm="1">
        <f t="array" ref="U1792">IF(SIP[[#This Row],[B/S]]="S",ABS(SIP[[#This Row],[Unit]])*(INDEX(SIP[NAV at Cost (Average)],MATCH(CONCATENATE((SIP[[#This Row],[Frequency]]-1),SIP[[#This Row],[Investor ID]]),SIP[Unique Code],0),0)),0)</f>
        <v>0</v>
      </c>
      <c r="V1792" s="74">
        <f>IF(SIP[[#This Row],[BO TRANSFER]]="YES",SIP[[#This Row],[Unit]],)</f>
        <v>0</v>
      </c>
      <c r="W1792" s="74">
        <f>SUMIFS(SIP[[#Headers],[BO UNIT TRANSFER]]:SIP[[#This Row],[BO UNIT TRANSFER]],SIP[[#Headers],[Investor ID]]:SIP[[#This Row],[Investor ID]],SIP[[#This Row],[Investor ID]])</f>
        <v>0</v>
      </c>
    </row>
    <row r="1793" spans="1:23" ht="15" customHeight="1">
      <c r="A1793" s="101">
        <v>2026</v>
      </c>
      <c r="B1793" s="101">
        <v>2</v>
      </c>
      <c r="C1793" s="46">
        <v>26</v>
      </c>
      <c r="D1793" s="65">
        <f>DATE(SIP[[#This Row],[Year]],SIP[[#This Row],[Month]],SIP[[#This Row],[Day]])</f>
        <v>46079</v>
      </c>
      <c r="E1793" s="66" t="str" cm="1">
        <f t="array" ref="E1793">INDEX(INVESTORS_LIST[INVESTOR NAME],MATCH(SIP[[#This Row],[Investor ID]],INVESTORS_LIST[INVESTOR CODE],0),)</f>
        <v>ADNAN RASHID</v>
      </c>
      <c r="F1793" s="46" t="s">
        <v>252</v>
      </c>
      <c r="G1793" s="46">
        <f>COUNTIF(SIP[[#Headers],[Investor ID]]:SIP[[#This Row],[Investor ID]],SIP[[#This Row],[Investor ID]])</f>
        <v>30</v>
      </c>
      <c r="H1793" s="46" t="str">
        <f>CONCATENATE(SIP[[#This Row],[Frequency]],SIP[[#This Row],[Investor ID]])</f>
        <v>30A00102</v>
      </c>
      <c r="I1793" s="46" t="str">
        <f>IF(SIP[[#This Row],[B/S]]="B","BUY",(IF(SIP[[#This Row],[B/S]]="S","SELL"," ")))</f>
        <v>BUY</v>
      </c>
      <c r="J1793" s="150" t="s">
        <v>1229</v>
      </c>
      <c r="K1793" s="153">
        <v>30000</v>
      </c>
      <c r="L1793" s="122"/>
      <c r="M1793" s="123">
        <f>SIP[[#This Row],[Amount]]/SIP[[#This Row],[Unit]]</f>
        <v>14.091122592766556</v>
      </c>
      <c r="N1793" s="71">
        <f>SIP[[#This Row],[Unit Capital]]/10</f>
        <v>2129</v>
      </c>
      <c r="O1793" s="71">
        <f>SUMIFS(SIP[[#Headers],[Unit]]:SIP[[#This Row],[Unit]],SIP[[#Headers],[Investor ID]]:SIP[[#This Row],[Investor ID]],SIP[[#This Row],[Investor ID]])</f>
        <v>55012</v>
      </c>
      <c r="P1793" s="153">
        <v>21290</v>
      </c>
      <c r="Q1793" s="74">
        <f>SIP[[#This Row],[Amount]]-SIP[[#This Row],[Unit Capital]]</f>
        <v>8710</v>
      </c>
      <c r="R179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12.27142537548319</v>
      </c>
      <c r="S1793" s="46">
        <f t="shared" si="85"/>
        <v>14.224</v>
      </c>
      <c r="T179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3" s="74" cm="1">
        <f t="array" ref="U1793">IF(SIP[[#This Row],[B/S]]="S",ABS(SIP[[#This Row],[Unit]])*(INDEX(SIP[NAV at Cost (Average)],MATCH(CONCATENATE((SIP[[#This Row],[Frequency]]-1),SIP[[#This Row],[Investor ID]]),SIP[Unique Code],0),0)),0)</f>
        <v>0</v>
      </c>
      <c r="V1793" s="74">
        <f>IF(SIP[[#This Row],[BO TRANSFER]]="YES",SIP[[#This Row],[Unit]],)</f>
        <v>0</v>
      </c>
      <c r="W1793" s="74">
        <f>SUMIFS(SIP[[#Headers],[BO UNIT TRANSFER]]:SIP[[#This Row],[BO UNIT TRANSFER]],SIP[[#Headers],[Investor ID]]:SIP[[#This Row],[Investor ID]],SIP[[#This Row],[Investor ID]])</f>
        <v>0</v>
      </c>
    </row>
    <row r="1794" spans="1:23" ht="15" customHeight="1">
      <c r="A1794" s="101">
        <v>2026</v>
      </c>
      <c r="B1794" s="101">
        <v>2</v>
      </c>
      <c r="C1794" s="46">
        <v>26</v>
      </c>
      <c r="D1794" s="65">
        <f>DATE(SIP[[#This Row],[Year]],SIP[[#This Row],[Month]],SIP[[#This Row],[Day]])</f>
        <v>46079</v>
      </c>
      <c r="E1794" s="66" t="str" cm="1">
        <f t="array" ref="E1794">INDEX(INVESTORS_LIST[INVESTOR NAME],MATCH(SIP[[#This Row],[Investor ID]],INVESTORS_LIST[INVESTOR CODE],0),)</f>
        <v>MD ABDULLAH-AL- MAMUN</v>
      </c>
      <c r="F1794" s="46" t="s">
        <v>533</v>
      </c>
      <c r="G1794" s="46">
        <f>COUNTIF(SIP[[#Headers],[Investor ID]]:SIP[[#This Row],[Investor ID]],SIP[[#This Row],[Investor ID]])</f>
        <v>38</v>
      </c>
      <c r="H1794" s="46" t="str">
        <f>CONCATENATE(SIP[[#This Row],[Frequency]],SIP[[#This Row],[Investor ID]])</f>
        <v>38A00242</v>
      </c>
      <c r="I1794" s="46" t="str">
        <f>IF(SIP[[#This Row],[B/S]]="B","BUY",(IF(SIP[[#This Row],[B/S]]="S","SELL"," ")))</f>
        <v>BUY</v>
      </c>
      <c r="J1794" s="150" t="s">
        <v>1229</v>
      </c>
      <c r="K1794" s="153">
        <v>15000</v>
      </c>
      <c r="L1794" s="122"/>
      <c r="M1794" s="123">
        <f>SIP[[#This Row],[Amount]]/SIP[[#This Row],[Unit]]</f>
        <v>14.084507042253522</v>
      </c>
      <c r="N1794" s="71">
        <f>SIP[[#This Row],[Unit Capital]]/10</f>
        <v>1065</v>
      </c>
      <c r="O1794" s="71">
        <f>SUMIFS(SIP[[#Headers],[Unit]]:SIP[[#This Row],[Unit]],SIP[[#Headers],[Investor ID]]:SIP[[#This Row],[Investor ID]],SIP[[#This Row],[Investor ID]])</f>
        <v>12141</v>
      </c>
      <c r="P1794" s="153">
        <v>10650</v>
      </c>
      <c r="Q1794" s="74">
        <f>SIP[[#This Row],[Amount]]-SIP[[#This Row],[Unit Capital]]</f>
        <v>4350</v>
      </c>
      <c r="R179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13.421927218630172</v>
      </c>
      <c r="S1794" s="46">
        <f t="shared" si="85"/>
        <v>14.224</v>
      </c>
      <c r="T179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4" s="74" cm="1">
        <f t="array" ref="U1794">IF(SIP[[#This Row],[B/S]]="S",ABS(SIP[[#This Row],[Unit]])*(INDEX(SIP[NAV at Cost (Average)],MATCH(CONCATENATE((SIP[[#This Row],[Frequency]]-1),SIP[[#This Row],[Investor ID]]),SIP[Unique Code],0),0)),0)</f>
        <v>0</v>
      </c>
      <c r="V1794" s="74">
        <f>IF(SIP[[#This Row],[BO TRANSFER]]="YES",SIP[[#This Row],[Unit]],)</f>
        <v>0</v>
      </c>
      <c r="W1794" s="74">
        <f>SUMIFS(SIP[[#Headers],[BO UNIT TRANSFER]]:SIP[[#This Row],[BO UNIT TRANSFER]],SIP[[#Headers],[Investor ID]]:SIP[[#This Row],[Investor ID]],SIP[[#This Row],[Investor ID]])</f>
        <v>0</v>
      </c>
    </row>
    <row r="1795" spans="1:23" ht="15" customHeight="1">
      <c r="A1795" s="101">
        <v>2026</v>
      </c>
      <c r="B1795" s="101">
        <v>2</v>
      </c>
      <c r="C1795" s="46">
        <v>26</v>
      </c>
      <c r="D1795" s="65">
        <f>DATE(SIP[[#This Row],[Year]],SIP[[#This Row],[Month]],SIP[[#This Row],[Day]])</f>
        <v>46079</v>
      </c>
      <c r="E1795" s="66" t="str" cm="1">
        <f t="array" ref="E1795">INDEX(INVESTORS_LIST[INVESTOR NAME],MATCH(SIP[[#This Row],[Investor ID]],INVESTORS_LIST[INVESTOR CODE],0),)</f>
        <v>ABU MUSA MIRZA KAMRUZZAMAN SHAHEE</v>
      </c>
      <c r="F1795" s="46" t="s">
        <v>1012</v>
      </c>
      <c r="G1795" s="46">
        <f>COUNTIF(SIP[[#Headers],[Investor ID]]:SIP[[#This Row],[Investor ID]],SIP[[#This Row],[Investor ID]])</f>
        <v>33</v>
      </c>
      <c r="H1795" s="46" t="str">
        <f>CONCATENATE(SIP[[#This Row],[Frequency]],SIP[[#This Row],[Investor ID]])</f>
        <v>33A00483</v>
      </c>
      <c r="I1795" s="46" t="str">
        <f>IF(SIP[[#This Row],[B/S]]="B","BUY",(IF(SIP[[#This Row],[B/S]]="S","SELL"," ")))</f>
        <v>BUY</v>
      </c>
      <c r="J1795" s="150" t="s">
        <v>1229</v>
      </c>
      <c r="K1795" s="153">
        <v>5000</v>
      </c>
      <c r="L1795" s="122"/>
      <c r="M1795" s="123">
        <f>SIP[[#This Row],[Amount]]/SIP[[#This Row],[Unit]]</f>
        <v>14.084507042253522</v>
      </c>
      <c r="N1795" s="71">
        <f>SIP[[#This Row],[Unit Capital]]/10</f>
        <v>355</v>
      </c>
      <c r="O1795" s="71">
        <f>SUMIFS(SIP[[#Headers],[Unit]]:SIP[[#This Row],[Unit]],SIP[[#Headers],[Investor ID]]:SIP[[#This Row],[Investor ID]],SIP[[#This Row],[Investor ID]])</f>
        <v>14055</v>
      </c>
      <c r="P1795" s="153">
        <v>3550</v>
      </c>
      <c r="Q1795" s="74">
        <f>SIP[[#This Row],[Amount]]-SIP[[#This Row],[Unit Capital]]</f>
        <v>1450</v>
      </c>
      <c r="R179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11.739594450373533</v>
      </c>
      <c r="S1795" s="46">
        <f t="shared" si="85"/>
        <v>14.224</v>
      </c>
      <c r="T179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5" s="74" cm="1">
        <f t="array" ref="U1795">IF(SIP[[#This Row],[B/S]]="S",ABS(SIP[[#This Row],[Unit]])*(INDEX(SIP[NAV at Cost (Average)],MATCH(CONCATENATE((SIP[[#This Row],[Frequency]]-1),SIP[[#This Row],[Investor ID]]),SIP[Unique Code],0),0)),0)</f>
        <v>0</v>
      </c>
      <c r="V1795" s="74">
        <f>IF(SIP[[#This Row],[BO TRANSFER]]="YES",SIP[[#This Row],[Unit]],)</f>
        <v>0</v>
      </c>
      <c r="W1795" s="74">
        <f>SUMIFS(SIP[[#Headers],[BO UNIT TRANSFER]]:SIP[[#This Row],[BO UNIT TRANSFER]],SIP[[#Headers],[Investor ID]]:SIP[[#This Row],[Investor ID]],SIP[[#This Row],[Investor ID]])</f>
        <v>0</v>
      </c>
    </row>
    <row r="1796" spans="1:23" ht="15" customHeight="1">
      <c r="A1796" s="101">
        <v>2026</v>
      </c>
      <c r="B1796" s="101">
        <v>2</v>
      </c>
      <c r="C1796" s="46">
        <v>26</v>
      </c>
      <c r="D1796" s="65">
        <f>DATE(SIP[[#This Row],[Year]],SIP[[#This Row],[Month]],SIP[[#This Row],[Day]])</f>
        <v>46079</v>
      </c>
      <c r="E1796" s="66" t="str" cm="1">
        <f t="array" ref="E1796">INDEX(INVESTORS_LIST[INVESTOR NAME],MATCH(SIP[[#This Row],[Investor ID]],INVESTORS_LIST[INVESTOR CODE],0),)</f>
        <v>ASHIK IQBAL CHOWDHURY</v>
      </c>
      <c r="F1796" s="46" t="s">
        <v>1016</v>
      </c>
      <c r="G1796" s="46">
        <f>COUNTIF(SIP[[#Headers],[Investor ID]]:SIP[[#This Row],[Investor ID]],SIP[[#This Row],[Investor ID]])</f>
        <v>23</v>
      </c>
      <c r="H1796" s="46" t="str">
        <f>CONCATENATE(SIP[[#This Row],[Frequency]],SIP[[#This Row],[Investor ID]])</f>
        <v>23A00485</v>
      </c>
      <c r="I1796" s="46" t="str">
        <f>IF(SIP[[#This Row],[B/S]]="B","BUY",(IF(SIP[[#This Row],[B/S]]="S","SELL"," ")))</f>
        <v>BUY</v>
      </c>
      <c r="J1796" s="150" t="s">
        <v>1229</v>
      </c>
      <c r="K1796" s="153">
        <v>5000</v>
      </c>
      <c r="L1796" s="122"/>
      <c r="M1796" s="123">
        <f>SIP[[#This Row],[Amount]]/SIP[[#This Row],[Unit]]</f>
        <v>14.084507042253522</v>
      </c>
      <c r="N1796" s="71">
        <f>SIP[[#This Row],[Unit Capital]]/10</f>
        <v>355</v>
      </c>
      <c r="O1796" s="71">
        <f>SUMIFS(SIP[[#Headers],[Unit]]:SIP[[#This Row],[Unit]],SIP[[#Headers],[Investor ID]]:SIP[[#This Row],[Investor ID]],SIP[[#This Row],[Investor ID]])</f>
        <v>8348</v>
      </c>
      <c r="P1796" s="153">
        <v>3550</v>
      </c>
      <c r="Q1796" s="74">
        <f>SIP[[#This Row],[Amount]]-SIP[[#This Row],[Unit Capital]]</f>
        <v>1450</v>
      </c>
      <c r="R179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11.512507388389437</v>
      </c>
      <c r="S1796" s="46">
        <f t="shared" si="85"/>
        <v>14.224</v>
      </c>
      <c r="T179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6" s="74" cm="1">
        <f t="array" ref="U1796">IF(SIP[[#This Row],[B/S]]="S",ABS(SIP[[#This Row],[Unit]])*(INDEX(SIP[NAV at Cost (Average)],MATCH(CONCATENATE((SIP[[#This Row],[Frequency]]-1),SIP[[#This Row],[Investor ID]]),SIP[Unique Code],0),0)),0)</f>
        <v>0</v>
      </c>
      <c r="V1796" s="74">
        <f>IF(SIP[[#This Row],[BO TRANSFER]]="YES",SIP[[#This Row],[Unit]],)</f>
        <v>0</v>
      </c>
      <c r="W1796" s="74">
        <f>SUMIFS(SIP[[#Headers],[BO UNIT TRANSFER]]:SIP[[#This Row],[BO UNIT TRANSFER]],SIP[[#Headers],[Investor ID]]:SIP[[#This Row],[Investor ID]],SIP[[#This Row],[Investor ID]])</f>
        <v>0</v>
      </c>
    </row>
    <row r="1797" spans="1:23" ht="15" customHeight="1">
      <c r="A1797" s="101">
        <v>2026</v>
      </c>
      <c r="B1797" s="101">
        <v>2</v>
      </c>
      <c r="C1797" s="46">
        <v>26</v>
      </c>
      <c r="D1797" s="65">
        <f>DATE(SIP[[#This Row],[Year]],SIP[[#This Row],[Month]],SIP[[#This Row],[Day]])</f>
        <v>46079</v>
      </c>
      <c r="E1797" s="66" t="str" cm="1">
        <f t="array" ref="E1797">INDEX(INVESTORS_LIST[INVESTOR NAME],MATCH(SIP[[#This Row],[Investor ID]],INVESTORS_LIST[INVESTOR CODE],0),)</f>
        <v>SUMAN SAHA</v>
      </c>
      <c r="F1797" s="46" t="s">
        <v>1022</v>
      </c>
      <c r="G1797" s="46">
        <f>COUNTIF(SIP[[#Headers],[Investor ID]]:SIP[[#This Row],[Investor ID]],SIP[[#This Row],[Investor ID]])</f>
        <v>33</v>
      </c>
      <c r="H1797" s="46" t="str">
        <f>CONCATENATE(SIP[[#This Row],[Frequency]],SIP[[#This Row],[Investor ID]])</f>
        <v>33A00488</v>
      </c>
      <c r="I1797" s="46" t="str">
        <f>IF(SIP[[#This Row],[B/S]]="B","BUY",(IF(SIP[[#This Row],[B/S]]="S","SELL"," ")))</f>
        <v>BUY</v>
      </c>
      <c r="J1797" s="150" t="s">
        <v>1229</v>
      </c>
      <c r="K1797" s="153">
        <v>5000</v>
      </c>
      <c r="L1797" s="122"/>
      <c r="M1797" s="123">
        <f>SIP[[#This Row],[Amount]]/SIP[[#This Row],[Unit]]</f>
        <v>14.084507042253522</v>
      </c>
      <c r="N1797" s="71">
        <f>SIP[[#This Row],[Unit Capital]]/10</f>
        <v>355</v>
      </c>
      <c r="O1797" s="71">
        <f>SUMIFS(SIP[[#Headers],[Unit]]:SIP[[#This Row],[Unit]],SIP[[#Headers],[Investor ID]]:SIP[[#This Row],[Investor ID]],SIP[[#This Row],[Investor ID]])</f>
        <v>14055</v>
      </c>
      <c r="P1797" s="153">
        <v>3550</v>
      </c>
      <c r="Q1797" s="74">
        <f>SIP[[#This Row],[Amount]]-SIP[[#This Row],[Unit Capital]]</f>
        <v>1450</v>
      </c>
      <c r="R179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11.739594450373533</v>
      </c>
      <c r="S1797" s="46">
        <f t="shared" si="85"/>
        <v>14.224</v>
      </c>
      <c r="T179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7" s="74" cm="1">
        <f t="array" ref="U1797">IF(SIP[[#This Row],[B/S]]="S",ABS(SIP[[#This Row],[Unit]])*(INDEX(SIP[NAV at Cost (Average)],MATCH(CONCATENATE((SIP[[#This Row],[Frequency]]-1),SIP[[#This Row],[Investor ID]]),SIP[Unique Code],0),0)),0)</f>
        <v>0</v>
      </c>
      <c r="V1797" s="74">
        <f>IF(SIP[[#This Row],[BO TRANSFER]]="YES",SIP[[#This Row],[Unit]],)</f>
        <v>0</v>
      </c>
      <c r="W1797" s="74">
        <f>SUMIFS(SIP[[#Headers],[BO UNIT TRANSFER]]:SIP[[#This Row],[BO UNIT TRANSFER]],SIP[[#Headers],[Investor ID]]:SIP[[#This Row],[Investor ID]],SIP[[#This Row],[Investor ID]])</f>
        <v>722</v>
      </c>
    </row>
    <row r="1798" spans="1:23" ht="15" customHeight="1">
      <c r="A1798" s="101">
        <v>2026</v>
      </c>
      <c r="B1798" s="101">
        <v>2</v>
      </c>
      <c r="C1798" s="46">
        <v>26</v>
      </c>
      <c r="D1798" s="65">
        <f>DATE(SIP[[#This Row],[Year]],SIP[[#This Row],[Month]],SIP[[#This Row],[Day]])</f>
        <v>46079</v>
      </c>
      <c r="E1798" s="66" t="str" cm="1">
        <f t="array" ref="E1798">INDEX(INVESTORS_LIST[INVESTOR NAME],MATCH(SIP[[#This Row],[Investor ID]],INVESTORS_LIST[INVESTOR CODE],0),)</f>
        <v>MAYA RANI SAHA</v>
      </c>
      <c r="F1798" s="46" t="s">
        <v>224</v>
      </c>
      <c r="G1798" s="46">
        <f>COUNTIF(SIP[[#Headers],[Investor ID]]:SIP[[#This Row],[Investor ID]],SIP[[#This Row],[Investor ID]])</f>
        <v>85</v>
      </c>
      <c r="H1798" s="46" t="str">
        <f>CONCATENATE(SIP[[#This Row],[Frequency]],SIP[[#This Row],[Investor ID]])</f>
        <v>85A00088</v>
      </c>
      <c r="I1798" s="46" t="str">
        <f>IF(SIP[[#This Row],[B/S]]="B","BUY",(IF(SIP[[#This Row],[B/S]]="S","SELL"," ")))</f>
        <v>BUY</v>
      </c>
      <c r="J1798" s="150" t="s">
        <v>1229</v>
      </c>
      <c r="K1798" s="153">
        <v>20000</v>
      </c>
      <c r="L1798" s="122"/>
      <c r="M1798" s="123">
        <f>SIP[[#This Row],[Amount]]/SIP[[#This Row],[Unit]]</f>
        <v>14.084507042253522</v>
      </c>
      <c r="N1798" s="71">
        <f>SIP[[#This Row],[Unit Capital]]/10</f>
        <v>1420</v>
      </c>
      <c r="O1798" s="71">
        <f>SUMIFS(SIP[[#Headers],[Unit]]:SIP[[#This Row],[Unit]],SIP[[#Headers],[Investor ID]]:SIP[[#This Row],[Investor ID]],SIP[[#This Row],[Investor ID]])</f>
        <v>96047</v>
      </c>
      <c r="P1798" s="153">
        <v>14200</v>
      </c>
      <c r="Q1798" s="74">
        <f>SIP[[#This Row],[Amount]]-SIP[[#This Row],[Unit Capital]]</f>
        <v>5800</v>
      </c>
      <c r="R179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12.139889845596425</v>
      </c>
      <c r="S1798" s="46">
        <f t="shared" si="85"/>
        <v>14.224</v>
      </c>
      <c r="T179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8" s="74" cm="1">
        <f t="array" ref="U1798">IF(SIP[[#This Row],[B/S]]="S",ABS(SIP[[#This Row],[Unit]])*(INDEX(SIP[NAV at Cost (Average)],MATCH(CONCATENATE((SIP[[#This Row],[Frequency]]-1),SIP[[#This Row],[Investor ID]]),SIP[Unique Code],0),0)),0)</f>
        <v>0</v>
      </c>
      <c r="V1798" s="74">
        <f>IF(SIP[[#This Row],[BO TRANSFER]]="YES",SIP[[#This Row],[Unit]],)</f>
        <v>0</v>
      </c>
      <c r="W1798" s="74">
        <f>SUMIFS(SIP[[#Headers],[BO UNIT TRANSFER]]:SIP[[#This Row],[BO UNIT TRANSFER]],SIP[[#Headers],[Investor ID]]:SIP[[#This Row],[Investor ID]],SIP[[#This Row],[Investor ID]])</f>
        <v>0</v>
      </c>
    </row>
    <row r="1799" spans="1:23" ht="15" customHeight="1">
      <c r="A1799" s="101">
        <v>2026</v>
      </c>
      <c r="B1799" s="101">
        <v>2</v>
      </c>
      <c r="C1799" s="46">
        <v>26</v>
      </c>
      <c r="D1799" s="65">
        <f>DATE(SIP[[#This Row],[Year]],SIP[[#This Row],[Month]],SIP[[#This Row],[Day]])</f>
        <v>46079</v>
      </c>
      <c r="E1799" s="66" t="str" cm="1">
        <f t="array" ref="E1799">INDEX(INVESTORS_LIST[INVESTOR NAME],MATCH(SIP[[#This Row],[Investor ID]],INVESTORS_LIST[INVESTOR CODE],0),)</f>
        <v>MUHAMMAD SHOHIDUZZAMAN</v>
      </c>
      <c r="F1799" s="46" t="s">
        <v>986</v>
      </c>
      <c r="G1799" s="46">
        <f>COUNTIF(SIP[[#Headers],[Investor ID]]:SIP[[#This Row],[Investor ID]],SIP[[#This Row],[Investor ID]])</f>
        <v>28</v>
      </c>
      <c r="H1799" s="46" t="str">
        <f>CONCATENATE(SIP[[#This Row],[Frequency]],SIP[[#This Row],[Investor ID]])</f>
        <v>28A00470</v>
      </c>
      <c r="I1799" s="46" t="str">
        <f>IF(SIP[[#This Row],[B/S]]="B","BUY",(IF(SIP[[#This Row],[B/S]]="S","SELL"," ")))</f>
        <v>BUY</v>
      </c>
      <c r="J1799" s="150" t="s">
        <v>1229</v>
      </c>
      <c r="K1799" s="153">
        <v>10000</v>
      </c>
      <c r="L1799" s="122"/>
      <c r="M1799" s="123">
        <f>SIP[[#This Row],[Amount]]/SIP[[#This Row],[Unit]]</f>
        <v>14.084507042253522</v>
      </c>
      <c r="N1799" s="71">
        <f>SIP[[#This Row],[Unit Capital]]/10</f>
        <v>710</v>
      </c>
      <c r="O1799" s="71">
        <f>SUMIFS(SIP[[#Headers],[Unit]]:SIP[[#This Row],[Unit]],SIP[[#Headers],[Investor ID]]:SIP[[#This Row],[Investor ID]],SIP[[#This Row],[Investor ID]])</f>
        <v>23312</v>
      </c>
      <c r="P1799" s="153">
        <v>7100</v>
      </c>
      <c r="Q1799" s="74">
        <f>SIP[[#This Row],[Amount]]-SIP[[#This Row],[Unit Capital]]</f>
        <v>2900</v>
      </c>
      <c r="R179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12.010981468771444</v>
      </c>
      <c r="S1799" s="46">
        <f t="shared" si="85"/>
        <v>14.224</v>
      </c>
      <c r="T179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9" s="74" cm="1">
        <f t="array" ref="U1799">IF(SIP[[#This Row],[B/S]]="S",ABS(SIP[[#This Row],[Unit]])*(INDEX(SIP[NAV at Cost (Average)],MATCH(CONCATENATE((SIP[[#This Row],[Frequency]]-1),SIP[[#This Row],[Investor ID]]),SIP[Unique Code],0),0)),0)</f>
        <v>0</v>
      </c>
      <c r="V1799" s="74">
        <f>IF(SIP[[#This Row],[BO TRANSFER]]="YES",SIP[[#This Row],[Unit]],)</f>
        <v>0</v>
      </c>
      <c r="W1799" s="74">
        <f>SUMIFS(SIP[[#Headers],[BO UNIT TRANSFER]]:SIP[[#This Row],[BO UNIT TRANSFER]],SIP[[#Headers],[Investor ID]]:SIP[[#This Row],[Investor ID]],SIP[[#This Row],[Investor ID]])</f>
        <v>18200</v>
      </c>
    </row>
    <row r="1800" spans="1:23" ht="15" customHeight="1">
      <c r="A1800" s="101">
        <v>2026</v>
      </c>
      <c r="B1800" s="101">
        <v>2</v>
      </c>
      <c r="C1800" s="46">
        <v>26</v>
      </c>
      <c r="D1800" s="65">
        <f>DATE(SIP[[#This Row],[Year]],SIP[[#This Row],[Month]],SIP[[#This Row],[Day]])</f>
        <v>46079</v>
      </c>
      <c r="E1800" s="66" t="str" cm="1">
        <f t="array" ref="E1800">INDEX(INVESTORS_LIST[INVESTOR NAME],MATCH(SIP[[#This Row],[Investor ID]],INVESTORS_LIST[INVESTOR CODE],0),)</f>
        <v>MOHAMMAD HASAN IMAM</v>
      </c>
      <c r="F1800" s="46" t="s">
        <v>1122</v>
      </c>
      <c r="G1800" s="46">
        <f>COUNTIF(SIP[[#Headers],[Investor ID]]:SIP[[#This Row],[Investor ID]],SIP[[#This Row],[Investor ID]])</f>
        <v>23</v>
      </c>
      <c r="H1800" s="46" t="str">
        <f>CONCATENATE(SIP[[#This Row],[Frequency]],SIP[[#This Row],[Investor ID]])</f>
        <v>23A00536</v>
      </c>
      <c r="I1800" s="46" t="str">
        <f>IF(SIP[[#This Row],[B/S]]="B","BUY",(IF(SIP[[#This Row],[B/S]]="S","SELL"," ")))</f>
        <v>BUY</v>
      </c>
      <c r="J1800" s="150" t="s">
        <v>1229</v>
      </c>
      <c r="K1800" s="153">
        <v>5000</v>
      </c>
      <c r="L1800" s="122"/>
      <c r="M1800" s="123">
        <f>SIP[[#This Row],[Amount]]/SIP[[#This Row],[Unit]]</f>
        <v>14.084507042253522</v>
      </c>
      <c r="N1800" s="71">
        <f>SIP[[#This Row],[Unit Capital]]/10</f>
        <v>355</v>
      </c>
      <c r="O1800" s="71">
        <f>SUMIFS(SIP[[#Headers],[Unit]]:SIP[[#This Row],[Unit]],SIP[[#Headers],[Investor ID]]:SIP[[#This Row],[Investor ID]],SIP[[#This Row],[Investor ID]])</f>
        <v>9327</v>
      </c>
      <c r="P1800" s="153">
        <v>3550</v>
      </c>
      <c r="Q1800" s="74">
        <f>SIP[[#This Row],[Amount]]-SIP[[#This Row],[Unit Capital]]</f>
        <v>1450</v>
      </c>
      <c r="R180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12.329795218183765</v>
      </c>
      <c r="S1800" s="46">
        <f t="shared" si="85"/>
        <v>14.224</v>
      </c>
      <c r="T180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0" s="74" cm="1">
        <f t="array" ref="U1800">IF(SIP[[#This Row],[B/S]]="S",ABS(SIP[[#This Row],[Unit]])*(INDEX(SIP[NAV at Cost (Average)],MATCH(CONCATENATE((SIP[[#This Row],[Frequency]]-1),SIP[[#This Row],[Investor ID]]),SIP[Unique Code],0),0)),0)</f>
        <v>0</v>
      </c>
      <c r="V1800" s="74">
        <f>IF(SIP[[#This Row],[BO TRANSFER]]="YES",SIP[[#This Row],[Unit]],)</f>
        <v>0</v>
      </c>
      <c r="W1800" s="74">
        <f>SUMIFS(SIP[[#Headers],[BO UNIT TRANSFER]]:SIP[[#This Row],[BO UNIT TRANSFER]],SIP[[#Headers],[Investor ID]]:SIP[[#This Row],[Investor ID]],SIP[[#This Row],[Investor ID]])</f>
        <v>0</v>
      </c>
    </row>
    <row r="1801" spans="1:23" ht="15" customHeight="1">
      <c r="A1801" s="101">
        <v>2026</v>
      </c>
      <c r="B1801" s="101">
        <v>2</v>
      </c>
      <c r="C1801" s="46">
        <v>26</v>
      </c>
      <c r="D1801" s="65">
        <f>DATE(SIP[[#This Row],[Year]],SIP[[#This Row],[Month]],SIP[[#This Row],[Day]])</f>
        <v>46079</v>
      </c>
      <c r="E1801" s="66" t="str" cm="1">
        <f t="array" ref="E1801">INDEX(INVESTORS_LIST[INVESTOR NAME],MATCH(SIP[[#This Row],[Investor ID]],INVESTORS_LIST[INVESTOR CODE],0),)</f>
        <v>SADIA PARVIN</v>
      </c>
      <c r="F1801" s="46" t="s">
        <v>1018</v>
      </c>
      <c r="G1801" s="46">
        <f>COUNTIF(SIP[[#Headers],[Investor ID]]:SIP[[#This Row],[Investor ID]],SIP[[#This Row],[Investor ID]])</f>
        <v>54</v>
      </c>
      <c r="H1801" s="46" t="str">
        <f>CONCATENATE(SIP[[#This Row],[Frequency]],SIP[[#This Row],[Investor ID]])</f>
        <v>54A00486</v>
      </c>
      <c r="I1801" s="46" t="str">
        <f>IF(SIP[[#This Row],[B/S]]="B","BUY",(IF(SIP[[#This Row],[B/S]]="S","SELL"," ")))</f>
        <v>BUY</v>
      </c>
      <c r="J1801" s="150" t="s">
        <v>1229</v>
      </c>
      <c r="K1801" s="153">
        <v>5000</v>
      </c>
      <c r="L1801" s="122"/>
      <c r="M1801" s="123">
        <f>SIP[[#This Row],[Amount]]/SIP[[#This Row],[Unit]]</f>
        <v>14.084507042253522</v>
      </c>
      <c r="N1801" s="71">
        <f>SIP[[#This Row],[Unit Capital]]/10</f>
        <v>355</v>
      </c>
      <c r="O1801" s="71">
        <f>SUMIFS(SIP[[#Headers],[Unit]]:SIP[[#This Row],[Unit]],SIP[[#Headers],[Investor ID]]:SIP[[#This Row],[Investor ID]],SIP[[#This Row],[Investor ID]])</f>
        <v>22609</v>
      </c>
      <c r="P1801" s="153">
        <v>3550</v>
      </c>
      <c r="Q1801" s="74">
        <f>SIP[[#This Row],[Amount]]-SIP[[#This Row],[Unit Capital]]</f>
        <v>1450</v>
      </c>
      <c r="R180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11.942146932637447</v>
      </c>
      <c r="S1801" s="46">
        <f t="shared" si="85"/>
        <v>14.224</v>
      </c>
      <c r="T180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1" s="74" cm="1">
        <f t="array" ref="U1801">IF(SIP[[#This Row],[B/S]]="S",ABS(SIP[[#This Row],[Unit]])*(INDEX(SIP[NAV at Cost (Average)],MATCH(CONCATENATE((SIP[[#This Row],[Frequency]]-1),SIP[[#This Row],[Investor ID]]),SIP[Unique Code],0),0)),0)</f>
        <v>0</v>
      </c>
      <c r="V1801" s="74">
        <f>IF(SIP[[#This Row],[BO TRANSFER]]="YES",SIP[[#This Row],[Unit]],)</f>
        <v>0</v>
      </c>
      <c r="W1801" s="74">
        <f>SUMIFS(SIP[[#Headers],[BO UNIT TRANSFER]]:SIP[[#This Row],[BO UNIT TRANSFER]],SIP[[#Headers],[Investor ID]]:SIP[[#This Row],[Investor ID]],SIP[[#This Row],[Investor ID]])</f>
        <v>0</v>
      </c>
    </row>
    <row r="1802" spans="1:23" ht="15" customHeight="1">
      <c r="A1802" s="101">
        <v>2026</v>
      </c>
      <c r="B1802" s="101">
        <v>2</v>
      </c>
      <c r="C1802" s="46">
        <v>26</v>
      </c>
      <c r="D1802" s="65">
        <f>DATE(SIP[[#This Row],[Year]],SIP[[#This Row],[Month]],SIP[[#This Row],[Day]])</f>
        <v>46079</v>
      </c>
      <c r="E1802" s="66" t="str" cm="1">
        <f t="array" ref="E1802">INDEX(INVESTORS_LIST[INVESTOR NAME],MATCH(SIP[[#This Row],[Investor ID]],INVESTORS_LIST[INVESTOR CODE],0),)</f>
        <v>MAHBUB-UL-ANAM KHAN</v>
      </c>
      <c r="F1802" s="46" t="s">
        <v>626</v>
      </c>
      <c r="G1802" s="46">
        <f>COUNTIF(SIP[[#Headers],[Investor ID]]:SIP[[#This Row],[Investor ID]],SIP[[#This Row],[Investor ID]])</f>
        <v>19</v>
      </c>
      <c r="H1802" s="46" t="str">
        <f>CONCATENATE(SIP[[#This Row],[Frequency]],SIP[[#This Row],[Investor ID]])</f>
        <v>19A00289</v>
      </c>
      <c r="I1802" s="46" t="str">
        <f>IF(SIP[[#This Row],[B/S]]="B","BUY",(IF(SIP[[#This Row],[B/S]]="S","SELL"," ")))</f>
        <v>BUY</v>
      </c>
      <c r="J1802" s="150" t="s">
        <v>1229</v>
      </c>
      <c r="K1802" s="153">
        <v>5000</v>
      </c>
      <c r="L1802" s="122"/>
      <c r="M1802" s="123">
        <f>SIP[[#This Row],[Amount]]/SIP[[#This Row],[Unit]]</f>
        <v>14.084507042253522</v>
      </c>
      <c r="N1802" s="71">
        <f>SIP[[#This Row],[Unit Capital]]/10</f>
        <v>355</v>
      </c>
      <c r="O1802" s="71">
        <f>SUMIFS(SIP[[#Headers],[Unit]]:SIP[[#This Row],[Unit]],SIP[[#Headers],[Investor ID]]:SIP[[#This Row],[Investor ID]],SIP[[#This Row],[Investor ID]])</f>
        <v>7527</v>
      </c>
      <c r="P1802" s="153">
        <v>3550</v>
      </c>
      <c r="Q1802" s="74">
        <f>SIP[[#This Row],[Amount]]-SIP[[#This Row],[Unit Capital]]</f>
        <v>1450</v>
      </c>
      <c r="R180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12.621230237810547</v>
      </c>
      <c r="S1802" s="46">
        <f t="shared" si="85"/>
        <v>14.224</v>
      </c>
      <c r="T180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2" s="74" cm="1">
        <f t="array" ref="U1802">IF(SIP[[#This Row],[B/S]]="S",ABS(SIP[[#This Row],[Unit]])*(INDEX(SIP[NAV at Cost (Average)],MATCH(CONCATENATE((SIP[[#This Row],[Frequency]]-1),SIP[[#This Row],[Investor ID]]),SIP[Unique Code],0),0)),0)</f>
        <v>0</v>
      </c>
      <c r="V1802" s="74">
        <f>IF(SIP[[#This Row],[BO TRANSFER]]="YES",SIP[[#This Row],[Unit]],)</f>
        <v>0</v>
      </c>
      <c r="W1802" s="74">
        <f>SUMIFS(SIP[[#Headers],[BO UNIT TRANSFER]]:SIP[[#This Row],[BO UNIT TRANSFER]],SIP[[#Headers],[Investor ID]]:SIP[[#This Row],[Investor ID]],SIP[[#This Row],[Investor ID]])</f>
        <v>0</v>
      </c>
    </row>
    <row r="1803" spans="1:23" ht="15" customHeight="1">
      <c r="A1803" s="101">
        <v>2026</v>
      </c>
      <c r="B1803" s="101">
        <v>2</v>
      </c>
      <c r="C1803" s="46">
        <v>26</v>
      </c>
      <c r="D1803" s="65">
        <f>DATE(SIP[[#This Row],[Year]],SIP[[#This Row],[Month]],SIP[[#This Row],[Day]])</f>
        <v>46079</v>
      </c>
      <c r="E1803" s="66" t="str" cm="1">
        <f t="array" ref="E1803">INDEX(INVESTORS_LIST[INVESTOR NAME],MATCH(SIP[[#This Row],[Investor ID]],INVESTORS_LIST[INVESTOR CODE],0),)</f>
        <v>SYED ADNAN HUDA</v>
      </c>
      <c r="F1803" s="46" t="s">
        <v>236</v>
      </c>
      <c r="G1803" s="46">
        <f>COUNTIF(SIP[[#Headers],[Investor ID]]:SIP[[#This Row],[Investor ID]],SIP[[#This Row],[Investor ID]])</f>
        <v>21</v>
      </c>
      <c r="H1803" s="46" t="str">
        <f>CONCATENATE(SIP[[#This Row],[Frequency]],SIP[[#This Row],[Investor ID]])</f>
        <v>21A00094</v>
      </c>
      <c r="I1803" s="46" t="str">
        <f>IF(SIP[[#This Row],[B/S]]="B","BUY",(IF(SIP[[#This Row],[B/S]]="S","SELL"," ")))</f>
        <v>BUY</v>
      </c>
      <c r="J1803" s="150" t="s">
        <v>1229</v>
      </c>
      <c r="K1803" s="153">
        <v>50000</v>
      </c>
      <c r="L1803" s="122"/>
      <c r="M1803" s="123">
        <f>SIP[[#This Row],[Amount]]/SIP[[#This Row],[Unit]]</f>
        <v>14.088475626937166</v>
      </c>
      <c r="N1803" s="71">
        <f>SIP[[#This Row],[Unit Capital]]/10</f>
        <v>3549</v>
      </c>
      <c r="O1803" s="71">
        <f>SUMIFS(SIP[[#Headers],[Unit]]:SIP[[#This Row],[Unit]],SIP[[#Headers],[Investor ID]]:SIP[[#This Row],[Investor ID]],SIP[[#This Row],[Investor ID]])</f>
        <v>21762</v>
      </c>
      <c r="P1803" s="153">
        <v>35490</v>
      </c>
      <c r="Q1803" s="74">
        <f>SIP[[#This Row],[Amount]]-SIP[[#This Row],[Unit Capital]]</f>
        <v>14510</v>
      </c>
      <c r="R180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13.785497656465399</v>
      </c>
      <c r="S1803" s="46">
        <f t="shared" si="85"/>
        <v>14.224</v>
      </c>
      <c r="T180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3" s="74" cm="1">
        <f t="array" ref="U1803">IF(SIP[[#This Row],[B/S]]="S",ABS(SIP[[#This Row],[Unit]])*(INDEX(SIP[NAV at Cost (Average)],MATCH(CONCATENATE((SIP[[#This Row],[Frequency]]-1),SIP[[#This Row],[Investor ID]]),SIP[Unique Code],0),0)),0)</f>
        <v>0</v>
      </c>
      <c r="V1803" s="74">
        <f>IF(SIP[[#This Row],[BO TRANSFER]]="YES",SIP[[#This Row],[Unit]],)</f>
        <v>0</v>
      </c>
      <c r="W1803" s="74">
        <f>SUMIFS(SIP[[#Headers],[BO UNIT TRANSFER]]:SIP[[#This Row],[BO UNIT TRANSFER]],SIP[[#Headers],[Investor ID]]:SIP[[#This Row],[Investor ID]],SIP[[#This Row],[Investor ID]])</f>
        <v>0</v>
      </c>
    </row>
    <row r="1804" spans="1:23" ht="15" customHeight="1">
      <c r="A1804" s="101">
        <v>2026</v>
      </c>
      <c r="B1804" s="101">
        <v>2</v>
      </c>
      <c r="C1804" s="46">
        <v>26</v>
      </c>
      <c r="D1804" s="65">
        <f>DATE(SIP[[#This Row],[Year]],SIP[[#This Row],[Month]],SIP[[#This Row],[Day]])</f>
        <v>46079</v>
      </c>
      <c r="E1804" s="66" t="str" cm="1">
        <f t="array" ref="E1804">INDEX(INVESTORS_LIST[INVESTOR NAME],MATCH(SIP[[#This Row],[Investor ID]],INVESTORS_LIST[INVESTOR CODE],0),)</f>
        <v>HUMAIRA TABASSUM READDHE</v>
      </c>
      <c r="F1804" s="46" t="s">
        <v>1052</v>
      </c>
      <c r="G1804" s="46">
        <f>COUNTIF(SIP[[#Headers],[Investor ID]]:SIP[[#This Row],[Investor ID]],SIP[[#This Row],[Investor ID]])</f>
        <v>19</v>
      </c>
      <c r="H1804" s="46" t="str">
        <f>CONCATENATE(SIP[[#This Row],[Frequency]],SIP[[#This Row],[Investor ID]])</f>
        <v>19A00503</v>
      </c>
      <c r="I1804" s="46" t="str">
        <f>IF(SIP[[#This Row],[B/S]]="B","BUY",(IF(SIP[[#This Row],[B/S]]="S","SELL"," ")))</f>
        <v>BUY</v>
      </c>
      <c r="J1804" s="150" t="s">
        <v>1229</v>
      </c>
      <c r="K1804" s="153">
        <v>3000</v>
      </c>
      <c r="L1804" s="122"/>
      <c r="M1804" s="123">
        <f>SIP[[#This Row],[Amount]]/SIP[[#This Row],[Unit]]</f>
        <v>14.084507042253522</v>
      </c>
      <c r="N1804" s="71">
        <f>SIP[[#This Row],[Unit Capital]]/10</f>
        <v>213</v>
      </c>
      <c r="O1804" s="71">
        <f>SUMIFS(SIP[[#Headers],[Unit]]:SIP[[#This Row],[Unit]],SIP[[#Headers],[Investor ID]]:SIP[[#This Row],[Investor ID]],SIP[[#This Row],[Investor ID]])</f>
        <v>4517</v>
      </c>
      <c r="P1804" s="153">
        <v>2130</v>
      </c>
      <c r="Q1804" s="74">
        <f>SIP[[#This Row],[Amount]]-SIP[[#This Row],[Unit Capital]]</f>
        <v>870</v>
      </c>
      <c r="R180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12.618994908124861</v>
      </c>
      <c r="S1804" s="46">
        <f t="shared" si="85"/>
        <v>14.224</v>
      </c>
      <c r="T180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4" s="74" cm="1">
        <f t="array" ref="U1804">IF(SIP[[#This Row],[B/S]]="S",ABS(SIP[[#This Row],[Unit]])*(INDEX(SIP[NAV at Cost (Average)],MATCH(CONCATENATE((SIP[[#This Row],[Frequency]]-1),SIP[[#This Row],[Investor ID]]),SIP[Unique Code],0),0)),0)</f>
        <v>0</v>
      </c>
      <c r="V1804" s="74">
        <f>IF(SIP[[#This Row],[BO TRANSFER]]="YES",SIP[[#This Row],[Unit]],)</f>
        <v>0</v>
      </c>
      <c r="W1804" s="74">
        <f>SUMIFS(SIP[[#Headers],[BO UNIT TRANSFER]]:SIP[[#This Row],[BO UNIT TRANSFER]],SIP[[#Headers],[Investor ID]]:SIP[[#This Row],[Investor ID]],SIP[[#This Row],[Investor ID]])</f>
        <v>0</v>
      </c>
    </row>
    <row r="1805" spans="1:23" ht="15" customHeight="1">
      <c r="A1805" s="101">
        <v>2026</v>
      </c>
      <c r="B1805" s="101">
        <v>2</v>
      </c>
      <c r="C1805" s="46">
        <v>26</v>
      </c>
      <c r="D1805" s="65">
        <f>DATE(SIP[[#This Row],[Year]],SIP[[#This Row],[Month]],SIP[[#This Row],[Day]])</f>
        <v>46079</v>
      </c>
      <c r="E1805" s="66" t="str" cm="1">
        <f t="array" ref="E1805">INDEX(INVESTORS_LIST[INVESTOR NAME],MATCH(SIP[[#This Row],[Investor ID]],INVESTORS_LIST[INVESTOR CODE],0),)</f>
        <v>SAJJAD CHOWDHURY</v>
      </c>
      <c r="F1805" s="46" t="s">
        <v>461</v>
      </c>
      <c r="G1805" s="46">
        <f>COUNTIF(SIP[[#Headers],[Investor ID]]:SIP[[#This Row],[Investor ID]],SIP[[#This Row],[Investor ID]])</f>
        <v>30</v>
      </c>
      <c r="H1805" s="46" t="str">
        <f>CONCATENATE(SIP[[#This Row],[Frequency]],SIP[[#This Row],[Investor ID]])</f>
        <v>30A00206</v>
      </c>
      <c r="I1805" s="46" t="str">
        <f>IF(SIP[[#This Row],[B/S]]="B","BUY",(IF(SIP[[#This Row],[B/S]]="S","SELL"," ")))</f>
        <v>BUY</v>
      </c>
      <c r="J1805" s="150" t="s">
        <v>1229</v>
      </c>
      <c r="K1805" s="153">
        <v>7500</v>
      </c>
      <c r="L1805" s="122"/>
      <c r="M1805" s="123">
        <f>SIP[[#This Row],[Amount]]/SIP[[#This Row],[Unit]]</f>
        <v>14.097744360902256</v>
      </c>
      <c r="N1805" s="71">
        <f>SIP[[#This Row],[Unit Capital]]/10</f>
        <v>532</v>
      </c>
      <c r="O1805" s="71">
        <f>SUMIFS(SIP[[#Headers],[Unit]]:SIP[[#This Row],[Unit]],SIP[[#Headers],[Investor ID]]:SIP[[#This Row],[Investor ID]],SIP[[#This Row],[Investor ID]])</f>
        <v>2928</v>
      </c>
      <c r="P1805" s="153">
        <v>5320</v>
      </c>
      <c r="Q1805" s="74">
        <f>SIP[[#This Row],[Amount]]-SIP[[#This Row],[Unit Capital]]</f>
        <v>2180</v>
      </c>
      <c r="R180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13.148533245734079</v>
      </c>
      <c r="S1805" s="46">
        <f t="shared" si="85"/>
        <v>14.224</v>
      </c>
      <c r="T180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5" s="74" cm="1">
        <f t="array" ref="U1805">IF(SIP[[#This Row],[B/S]]="S",ABS(SIP[[#This Row],[Unit]])*(INDEX(SIP[NAV at Cost (Average)],MATCH(CONCATENATE((SIP[[#This Row],[Frequency]]-1),SIP[[#This Row],[Investor ID]]),SIP[Unique Code],0),0)),0)</f>
        <v>0</v>
      </c>
      <c r="V1805" s="74">
        <f>IF(SIP[[#This Row],[BO TRANSFER]]="YES",SIP[[#This Row],[Unit]],)</f>
        <v>0</v>
      </c>
      <c r="W1805" s="74">
        <f>SUMIFS(SIP[[#Headers],[BO UNIT TRANSFER]]:SIP[[#This Row],[BO UNIT TRANSFER]],SIP[[#Headers],[Investor ID]]:SIP[[#This Row],[Investor ID]],SIP[[#This Row],[Investor ID]])</f>
        <v>0</v>
      </c>
    </row>
    <row r="1806" spans="1:23" ht="15" customHeight="1">
      <c r="A1806" s="101">
        <v>2026</v>
      </c>
      <c r="B1806" s="101">
        <v>2</v>
      </c>
      <c r="C1806" s="46">
        <v>26</v>
      </c>
      <c r="D1806" s="65">
        <f>DATE(SIP[[#This Row],[Year]],SIP[[#This Row],[Month]],SIP[[#This Row],[Day]])</f>
        <v>46079</v>
      </c>
      <c r="E1806" s="66" t="str" cm="1">
        <f t="array" ref="E1806">INDEX(INVESTORS_LIST[INVESTOR NAME],MATCH(SIP[[#This Row],[Investor ID]],INVESTORS_LIST[INVESTOR CODE],0),)</f>
        <v>JUBAIDA FARHANA HAQUE</v>
      </c>
      <c r="F1806" s="46" t="s">
        <v>1065</v>
      </c>
      <c r="G1806" s="46">
        <f>COUNTIF(SIP[[#Headers],[Investor ID]]:SIP[[#This Row],[Investor ID]],SIP[[#This Row],[Investor ID]])</f>
        <v>31</v>
      </c>
      <c r="H1806" s="46" t="str">
        <f>CONCATENATE(SIP[[#This Row],[Frequency]],SIP[[#This Row],[Investor ID]])</f>
        <v>31A00510</v>
      </c>
      <c r="I1806" s="46" t="str">
        <f>IF(SIP[[#This Row],[B/S]]="B","BUY",(IF(SIP[[#This Row],[B/S]]="S","SELL"," ")))</f>
        <v>BUY</v>
      </c>
      <c r="J1806" s="150" t="s">
        <v>1229</v>
      </c>
      <c r="K1806" s="153">
        <v>5000</v>
      </c>
      <c r="L1806" s="122"/>
      <c r="M1806" s="123">
        <f>SIP[[#This Row],[Amount]]/SIP[[#This Row],[Unit]]</f>
        <v>14.084507042253522</v>
      </c>
      <c r="N1806" s="71">
        <f>SIP[[#This Row],[Unit Capital]]/10</f>
        <v>355</v>
      </c>
      <c r="O1806" s="71">
        <f>SUMIFS(SIP[[#Headers],[Unit]]:SIP[[#This Row],[Unit]],SIP[[#Headers],[Investor ID]]:SIP[[#This Row],[Investor ID]],SIP[[#This Row],[Investor ID]])</f>
        <v>12131</v>
      </c>
      <c r="P1806" s="153">
        <v>3550</v>
      </c>
      <c r="Q1806" s="74">
        <f>SIP[[#This Row],[Amount]]-SIP[[#This Row],[Unit Capital]]</f>
        <v>1450</v>
      </c>
      <c r="R180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11.954148287087833</v>
      </c>
      <c r="S1806" s="46">
        <f t="shared" si="85"/>
        <v>14.224</v>
      </c>
      <c r="T180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6" s="74" cm="1">
        <f t="array" ref="U1806">IF(SIP[[#This Row],[B/S]]="S",ABS(SIP[[#This Row],[Unit]])*(INDEX(SIP[NAV at Cost (Average)],MATCH(CONCATENATE((SIP[[#This Row],[Frequency]]-1),SIP[[#This Row],[Investor ID]]),SIP[Unique Code],0),0)),0)</f>
        <v>0</v>
      </c>
      <c r="V1806" s="74">
        <f>IF(SIP[[#This Row],[BO TRANSFER]]="YES",SIP[[#This Row],[Unit]],)</f>
        <v>0</v>
      </c>
      <c r="W1806" s="74">
        <f>SUMIFS(SIP[[#Headers],[BO UNIT TRANSFER]]:SIP[[#This Row],[BO UNIT TRANSFER]],SIP[[#Headers],[Investor ID]]:SIP[[#This Row],[Investor ID]],SIP[[#This Row],[Investor ID]])</f>
        <v>0</v>
      </c>
    </row>
    <row r="1807" spans="1:23" ht="15" customHeight="1">
      <c r="A1807" s="101">
        <v>2026</v>
      </c>
      <c r="B1807" s="101">
        <v>2</v>
      </c>
      <c r="C1807" s="46">
        <v>26</v>
      </c>
      <c r="D1807" s="65">
        <f>DATE(SIP[[#This Row],[Year]],SIP[[#This Row],[Month]],SIP[[#This Row],[Day]])</f>
        <v>46079</v>
      </c>
      <c r="E1807" s="66" t="str" cm="1">
        <f t="array" ref="E1807">INDEX(INVESTORS_LIST[INVESTOR NAME],MATCH(SIP[[#This Row],[Investor ID]],INVESTORS_LIST[INVESTOR CODE],0),)</f>
        <v>SADIA PARVIN</v>
      </c>
      <c r="F1807" s="46" t="s">
        <v>1018</v>
      </c>
      <c r="G1807" s="46">
        <f>COUNTIF(SIP[[#Headers],[Investor ID]]:SIP[[#This Row],[Investor ID]],SIP[[#This Row],[Investor ID]])</f>
        <v>55</v>
      </c>
      <c r="H1807" s="46" t="str">
        <f>CONCATENATE(SIP[[#This Row],[Frequency]],SIP[[#This Row],[Investor ID]])</f>
        <v>55A00486</v>
      </c>
      <c r="I1807" s="46" t="str">
        <f>IF(SIP[[#This Row],[B/S]]="B","BUY",(IF(SIP[[#This Row],[B/S]]="S","SELL"," ")))</f>
        <v>BUY</v>
      </c>
      <c r="J1807" s="150" t="s">
        <v>1229</v>
      </c>
      <c r="K1807" s="153">
        <v>5000</v>
      </c>
      <c r="L1807" s="122"/>
      <c r="M1807" s="123">
        <f>SIP[[#This Row],[Amount]]/SIP[[#This Row],[Unit]]</f>
        <v>14.084507042253522</v>
      </c>
      <c r="N1807" s="71">
        <f>SIP[[#This Row],[Unit Capital]]/10</f>
        <v>355</v>
      </c>
      <c r="O1807" s="71">
        <f>SUMIFS(SIP[[#Headers],[Unit]]:SIP[[#This Row],[Unit]],SIP[[#Headers],[Investor ID]]:SIP[[#This Row],[Investor ID]],SIP[[#This Row],[Investor ID]])</f>
        <v>22964</v>
      </c>
      <c r="P1807" s="153">
        <v>3550</v>
      </c>
      <c r="Q1807" s="74">
        <f>SIP[[#This Row],[Amount]]-SIP[[#This Row],[Unit Capital]]</f>
        <v>1450</v>
      </c>
      <c r="R180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11.975265633164955</v>
      </c>
      <c r="S1807" s="46">
        <f t="shared" si="85"/>
        <v>14.224</v>
      </c>
      <c r="T180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7" s="74" cm="1">
        <f t="array" ref="U1807">IF(SIP[[#This Row],[B/S]]="S",ABS(SIP[[#This Row],[Unit]])*(INDEX(SIP[NAV at Cost (Average)],MATCH(CONCATENATE((SIP[[#This Row],[Frequency]]-1),SIP[[#This Row],[Investor ID]]),SIP[Unique Code],0),0)),0)</f>
        <v>0</v>
      </c>
      <c r="V1807" s="74">
        <f>IF(SIP[[#This Row],[BO TRANSFER]]="YES",SIP[[#This Row],[Unit]],)</f>
        <v>0</v>
      </c>
      <c r="W1807" s="74">
        <f>SUMIFS(SIP[[#Headers],[BO UNIT TRANSFER]]:SIP[[#This Row],[BO UNIT TRANSFER]],SIP[[#Headers],[Investor ID]]:SIP[[#This Row],[Investor ID]],SIP[[#This Row],[Investor ID]])</f>
        <v>0</v>
      </c>
    </row>
    <row r="1808" spans="1:23" ht="15" customHeight="1">
      <c r="A1808" s="101">
        <v>2026</v>
      </c>
      <c r="B1808" s="101">
        <v>2</v>
      </c>
      <c r="C1808" s="46">
        <v>26</v>
      </c>
      <c r="D1808" s="65">
        <f>DATE(SIP[[#This Row],[Year]],SIP[[#This Row],[Month]],SIP[[#This Row],[Day]])</f>
        <v>46079</v>
      </c>
      <c r="E1808" s="66" t="str" cm="1">
        <f t="array" ref="E1808">INDEX(INVESTORS_LIST[INVESTOR NAME],MATCH(SIP[[#This Row],[Investor ID]],INVESTORS_LIST[INVESTOR CODE],0),)</f>
        <v>MAYA RANI SAHA</v>
      </c>
      <c r="F1808" s="46" t="s">
        <v>224</v>
      </c>
      <c r="G1808" s="46">
        <f>COUNTIF(SIP[[#Headers],[Investor ID]]:SIP[[#This Row],[Investor ID]],SIP[[#This Row],[Investor ID]])</f>
        <v>86</v>
      </c>
      <c r="H1808" s="46" t="str">
        <f>CONCATENATE(SIP[[#This Row],[Frequency]],SIP[[#This Row],[Investor ID]])</f>
        <v>86A00088</v>
      </c>
      <c r="I1808" s="46" t="str">
        <f>IF(SIP[[#This Row],[B/S]]="B","BUY",(IF(SIP[[#This Row],[B/S]]="S","SELL"," ")))</f>
        <v>BUY</v>
      </c>
      <c r="J1808" s="150" t="s">
        <v>1229</v>
      </c>
      <c r="K1808" s="153">
        <v>14000</v>
      </c>
      <c r="L1808" s="122"/>
      <c r="M1808" s="123">
        <f>SIP[[#This Row],[Amount]]/SIP[[#This Row],[Unit]]</f>
        <v>14.084507042253522</v>
      </c>
      <c r="N1808" s="71">
        <f>SIP[[#This Row],[Unit Capital]]/10</f>
        <v>994</v>
      </c>
      <c r="O1808" s="71">
        <f>SUMIFS(SIP[[#Headers],[Unit]]:SIP[[#This Row],[Unit]],SIP[[#Headers],[Investor ID]]:SIP[[#This Row],[Investor ID]],SIP[[#This Row],[Investor ID]])</f>
        <v>97041</v>
      </c>
      <c r="P1808" s="153">
        <v>9940</v>
      </c>
      <c r="Q1808" s="74">
        <f>SIP[[#This Row],[Amount]]-SIP[[#This Row],[Unit Capital]]</f>
        <v>4060</v>
      </c>
      <c r="R180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12.1598087406354</v>
      </c>
      <c r="S1808" s="46">
        <f t="shared" si="85"/>
        <v>14.224</v>
      </c>
      <c r="T180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8" s="74" cm="1">
        <f t="array" ref="U1808">IF(SIP[[#This Row],[B/S]]="S",ABS(SIP[[#This Row],[Unit]])*(INDEX(SIP[NAV at Cost (Average)],MATCH(CONCATENATE((SIP[[#This Row],[Frequency]]-1),SIP[[#This Row],[Investor ID]]),SIP[Unique Code],0),0)),0)</f>
        <v>0</v>
      </c>
      <c r="V1808" s="74">
        <f>IF(SIP[[#This Row],[BO TRANSFER]]="YES",SIP[[#This Row],[Unit]],)</f>
        <v>0</v>
      </c>
      <c r="W1808" s="74">
        <f>SUMIFS(SIP[[#Headers],[BO UNIT TRANSFER]]:SIP[[#This Row],[BO UNIT TRANSFER]],SIP[[#Headers],[Investor ID]]:SIP[[#This Row],[Investor ID]],SIP[[#This Row],[Investor ID]])</f>
        <v>0</v>
      </c>
    </row>
    <row r="1809" spans="1:23" ht="15" customHeight="1">
      <c r="A1809" s="101">
        <v>2026</v>
      </c>
      <c r="B1809" s="101">
        <v>2</v>
      </c>
      <c r="C1809" s="46">
        <v>26</v>
      </c>
      <c r="D1809" s="65">
        <f>DATE(SIP[[#This Row],[Year]],SIP[[#This Row],[Month]],SIP[[#This Row],[Day]])</f>
        <v>46079</v>
      </c>
      <c r="E1809" s="66" t="str" cm="1">
        <f t="array" ref="E1809">INDEX(INVESTORS_LIST[INVESTOR NAME],MATCH(SIP[[#This Row],[Investor ID]],INVESTORS_LIST[INVESTOR CODE],0),)</f>
        <v>FAHMIDA SAEED SAKI</v>
      </c>
      <c r="F1809" s="46" t="s">
        <v>936</v>
      </c>
      <c r="G1809" s="46">
        <f>COUNTIF(SIP[[#Headers],[Investor ID]]:SIP[[#This Row],[Investor ID]],SIP[[#This Row],[Investor ID]])</f>
        <v>2</v>
      </c>
      <c r="H1809" s="46" t="str">
        <f>CONCATENATE(SIP[[#This Row],[Frequency]],SIP[[#This Row],[Investor ID]])</f>
        <v>2A00445</v>
      </c>
      <c r="I1809" s="46" t="str">
        <f>IF(SIP[[#This Row],[B/S]]="B","BUY",(IF(SIP[[#This Row],[B/S]]="S","SELL"," ")))</f>
        <v>BUY</v>
      </c>
      <c r="J1809" s="150" t="s">
        <v>1229</v>
      </c>
      <c r="K1809" s="153">
        <v>10000</v>
      </c>
      <c r="L1809" s="122"/>
      <c r="M1809" s="123">
        <f>SIP[[#This Row],[Amount]]/SIP[[#This Row],[Unit]]</f>
        <v>14.084507042253522</v>
      </c>
      <c r="N1809" s="71">
        <f>SIP[[#This Row],[Unit Capital]]/10</f>
        <v>710</v>
      </c>
      <c r="O1809" s="71">
        <f>SUMIFS(SIP[[#Headers],[Unit]]:SIP[[#This Row],[Unit]],SIP[[#Headers],[Investor ID]]:SIP[[#This Row],[Investor ID]],SIP[[#This Row],[Investor ID]])</f>
        <v>1428</v>
      </c>
      <c r="P1809" s="153">
        <v>7100</v>
      </c>
      <c r="Q1809" s="74">
        <f>SIP[[#This Row],[Amount]]-SIP[[#This Row],[Unit Capital]]</f>
        <v>2900</v>
      </c>
      <c r="R180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14.005602240896359</v>
      </c>
      <c r="S1809" s="46">
        <f t="shared" si="85"/>
        <v>14.224</v>
      </c>
      <c r="T180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9" s="74" cm="1">
        <f t="array" ref="U1809">IF(SIP[[#This Row],[B/S]]="S",ABS(SIP[[#This Row],[Unit]])*(INDEX(SIP[NAV at Cost (Average)],MATCH(CONCATENATE((SIP[[#This Row],[Frequency]]-1),SIP[[#This Row],[Investor ID]]),SIP[Unique Code],0),0)),0)</f>
        <v>0</v>
      </c>
      <c r="V1809" s="74">
        <f>IF(SIP[[#This Row],[BO TRANSFER]]="YES",SIP[[#This Row],[Unit]],)</f>
        <v>0</v>
      </c>
      <c r="W1809" s="74">
        <f>SUMIFS(SIP[[#Headers],[BO UNIT TRANSFER]]:SIP[[#This Row],[BO UNIT TRANSFER]],SIP[[#Headers],[Investor ID]]:SIP[[#This Row],[Investor ID]],SIP[[#This Row],[Investor ID]])</f>
        <v>0</v>
      </c>
    </row>
    <row r="1810" spans="1:23" ht="15" customHeight="1">
      <c r="A1810" s="101">
        <v>2026</v>
      </c>
      <c r="B1810" s="101">
        <v>2</v>
      </c>
      <c r="C1810" s="46">
        <v>26</v>
      </c>
      <c r="D1810" s="65">
        <f>DATE(SIP[[#This Row],[Year]],SIP[[#This Row],[Month]],SIP[[#This Row],[Day]])</f>
        <v>46079</v>
      </c>
      <c r="E1810" s="66" t="str" cm="1">
        <f t="array" ref="E1810">INDEX(INVESTORS_LIST[INVESTOR NAME],MATCH(SIP[[#This Row],[Investor ID]],INVESTORS_LIST[INVESTOR CODE],0),)</f>
        <v>EKUSH WEALTH MANAGEMENT LIMITED EMPLOYEES CONTRIBUTORY PROVIDENT FUND</v>
      </c>
      <c r="F1810" s="46" t="s">
        <v>831</v>
      </c>
      <c r="G1810" s="46">
        <f>COUNTIF(SIP[[#Headers],[Investor ID]]:SIP[[#This Row],[Investor ID]],SIP[[#This Row],[Investor ID]])</f>
        <v>25</v>
      </c>
      <c r="H1810" s="46" t="str">
        <f>CONCATENATE(SIP[[#This Row],[Frequency]],SIP[[#This Row],[Investor ID]])</f>
        <v>25A00392</v>
      </c>
      <c r="I1810" s="46" t="str">
        <f>IF(SIP[[#This Row],[B/S]]="B","BUY",(IF(SIP[[#This Row],[B/S]]="S","SELL"," ")))</f>
        <v>BUY</v>
      </c>
      <c r="J1810" s="150" t="s">
        <v>1229</v>
      </c>
      <c r="K1810" s="153">
        <v>10000</v>
      </c>
      <c r="L1810" s="122"/>
      <c r="M1810" s="123">
        <f>SIP[[#This Row],[Amount]]/SIP[[#This Row],[Unit]]</f>
        <v>14.084507042253522</v>
      </c>
      <c r="N1810" s="71">
        <f>SIP[[#This Row],[Unit Capital]]/10</f>
        <v>710</v>
      </c>
      <c r="O1810" s="71">
        <f>SUMIFS(SIP[[#Headers],[Unit]]:SIP[[#This Row],[Unit]],SIP[[#Headers],[Investor ID]]:SIP[[#This Row],[Investor ID]],SIP[[#This Row],[Investor ID]])</f>
        <v>2154</v>
      </c>
      <c r="P1810" s="153">
        <v>7100</v>
      </c>
      <c r="Q1810" s="74">
        <f>SIP[[#This Row],[Amount]]-SIP[[#This Row],[Unit Capital]]</f>
        <v>2900</v>
      </c>
      <c r="R181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13.92757660167131</v>
      </c>
      <c r="S1810" s="46">
        <f t="shared" si="85"/>
        <v>14.224</v>
      </c>
      <c r="T181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0" s="74" cm="1">
        <f t="array" ref="U1810">IF(SIP[[#This Row],[B/S]]="S",ABS(SIP[[#This Row],[Unit]])*(INDEX(SIP[NAV at Cost (Average)],MATCH(CONCATENATE((SIP[[#This Row],[Frequency]]-1),SIP[[#This Row],[Investor ID]]),SIP[Unique Code],0),0)),0)</f>
        <v>0</v>
      </c>
      <c r="V1810" s="74">
        <f>IF(SIP[[#This Row],[BO TRANSFER]]="YES",SIP[[#This Row],[Unit]],)</f>
        <v>0</v>
      </c>
      <c r="W1810" s="74">
        <f>SUMIFS(SIP[[#Headers],[BO UNIT TRANSFER]]:SIP[[#This Row],[BO UNIT TRANSFER]],SIP[[#Headers],[Investor ID]]:SIP[[#This Row],[Investor ID]],SIP[[#This Row],[Investor ID]])</f>
        <v>0</v>
      </c>
    </row>
    <row r="1811" spans="1:23" ht="15" customHeight="1">
      <c r="A1811" s="101">
        <v>2026</v>
      </c>
      <c r="B1811" s="101">
        <v>2</v>
      </c>
      <c r="C1811" s="46">
        <v>26</v>
      </c>
      <c r="D1811" s="65">
        <f>DATE(SIP[[#This Row],[Year]],SIP[[#This Row],[Month]],SIP[[#This Row],[Day]])</f>
        <v>46079</v>
      </c>
      <c r="E1811" s="66" t="str" cm="1">
        <f t="array" ref="E1811">INDEX(INVESTORS_LIST[INVESTOR NAME],MATCH(SIP[[#This Row],[Investor ID]],INVESTORS_LIST[INVESTOR CODE],0),)</f>
        <v>KAZI MUNTASIR ASHRAF</v>
      </c>
      <c r="F1811" s="46" t="s">
        <v>1465</v>
      </c>
      <c r="G1811" s="46">
        <f>COUNTIF(SIP[[#Headers],[Investor ID]]:SIP[[#This Row],[Investor ID]],SIP[[#This Row],[Investor ID]])</f>
        <v>4</v>
      </c>
      <c r="H1811" s="46" t="str">
        <f>CONCATENATE(SIP[[#This Row],[Frequency]],SIP[[#This Row],[Investor ID]])</f>
        <v>4A00676</v>
      </c>
      <c r="I1811" s="46" t="str">
        <f>IF(SIP[[#This Row],[B/S]]="B","BUY",(IF(SIP[[#This Row],[B/S]]="S","SELL"," ")))</f>
        <v>BUY</v>
      </c>
      <c r="J1811" s="150" t="s">
        <v>1229</v>
      </c>
      <c r="K1811" s="153">
        <v>5000</v>
      </c>
      <c r="L1811" s="122"/>
      <c r="M1811" s="123">
        <f>SIP[[#This Row],[Amount]]/SIP[[#This Row],[Unit]]</f>
        <v>14.084507042253522</v>
      </c>
      <c r="N1811" s="71">
        <f>SIP[[#This Row],[Unit Capital]]/10</f>
        <v>355</v>
      </c>
      <c r="O1811" s="71">
        <f>SUMIFS(SIP[[#Headers],[Unit]]:SIP[[#This Row],[Unit]],SIP[[#Headers],[Investor ID]]:SIP[[#This Row],[Investor ID]],SIP[[#This Row],[Investor ID]])</f>
        <v>1440</v>
      </c>
      <c r="P1811" s="153">
        <v>3550</v>
      </c>
      <c r="Q1811" s="74">
        <f>SIP[[#This Row],[Amount]]-SIP[[#This Row],[Unit Capital]]</f>
        <v>1450</v>
      </c>
      <c r="R181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13.888888888888888</v>
      </c>
      <c r="S1811" s="46">
        <f t="shared" si="85"/>
        <v>14.224</v>
      </c>
      <c r="T181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1" s="74" cm="1">
        <f t="array" ref="U1811">IF(SIP[[#This Row],[B/S]]="S",ABS(SIP[[#This Row],[Unit]])*(INDEX(SIP[NAV at Cost (Average)],MATCH(CONCATENATE((SIP[[#This Row],[Frequency]]-1),SIP[[#This Row],[Investor ID]]),SIP[Unique Code],0),0)),0)</f>
        <v>0</v>
      </c>
      <c r="V1811" s="74">
        <f>IF(SIP[[#This Row],[BO TRANSFER]]="YES",SIP[[#This Row],[Unit]],)</f>
        <v>0</v>
      </c>
      <c r="W1811" s="74">
        <f>SUMIFS(SIP[[#Headers],[BO UNIT TRANSFER]]:SIP[[#This Row],[BO UNIT TRANSFER]],SIP[[#Headers],[Investor ID]]:SIP[[#This Row],[Investor ID]],SIP[[#This Row],[Investor ID]])</f>
        <v>1085</v>
      </c>
    </row>
    <row r="1812" spans="1:23" ht="15" customHeight="1">
      <c r="A1812" s="101">
        <v>2026</v>
      </c>
      <c r="B1812" s="101">
        <v>2</v>
      </c>
      <c r="C1812" s="46">
        <v>26</v>
      </c>
      <c r="D1812" s="65">
        <f>DATE(SIP[[#This Row],[Year]],SIP[[#This Row],[Month]],SIP[[#This Row],[Day]])</f>
        <v>46079</v>
      </c>
      <c r="E1812" s="66" t="str" cm="1">
        <f t="array" ref="E1812">INDEX(INVESTORS_LIST[INVESTOR NAME],MATCH(SIP[[#This Row],[Investor ID]],INVESTORS_LIST[INVESTOR CODE],0),)</f>
        <v>ABIR SAHA</v>
      </c>
      <c r="F1812" s="46" t="s">
        <v>990</v>
      </c>
      <c r="G1812" s="46">
        <f>COUNTIF(SIP[[#Headers],[Investor ID]]:SIP[[#This Row],[Investor ID]],SIP[[#This Row],[Investor ID]])</f>
        <v>7</v>
      </c>
      <c r="H1812" s="46" t="str">
        <f>CONCATENATE(SIP[[#This Row],[Frequency]],SIP[[#This Row],[Investor ID]])</f>
        <v>7A00472</v>
      </c>
      <c r="I1812" s="46" t="str">
        <f>IF(SIP[[#This Row],[B/S]]="B","BUY",(IF(SIP[[#This Row],[B/S]]="S","SELL"," ")))</f>
        <v>BUY</v>
      </c>
      <c r="J1812" s="150" t="s">
        <v>1229</v>
      </c>
      <c r="K1812" s="153">
        <v>1500</v>
      </c>
      <c r="L1812" s="122"/>
      <c r="M1812" s="123">
        <f>SIP[[#This Row],[Amount]]/SIP[[#This Row],[Unit]]</f>
        <v>14.150943396226415</v>
      </c>
      <c r="N1812" s="71">
        <f>SIP[[#This Row],[Unit Capital]]/10</f>
        <v>106</v>
      </c>
      <c r="O1812" s="71">
        <f>SUMIFS(SIP[[#Headers],[Unit]]:SIP[[#This Row],[Unit]],SIP[[#Headers],[Investor ID]]:SIP[[#This Row],[Investor ID]],SIP[[#This Row],[Investor ID]])</f>
        <v>214</v>
      </c>
      <c r="P1812" s="153">
        <v>1060</v>
      </c>
      <c r="Q1812" s="74">
        <f>SIP[[#This Row],[Amount]]-SIP[[#This Row],[Unit Capital]]</f>
        <v>440</v>
      </c>
      <c r="R181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14.018691588785046</v>
      </c>
      <c r="S1812" s="46">
        <f t="shared" si="85"/>
        <v>14.224</v>
      </c>
      <c r="T181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2" s="74" cm="1">
        <f t="array" ref="U1812">IF(SIP[[#This Row],[B/S]]="S",ABS(SIP[[#This Row],[Unit]])*(INDEX(SIP[NAV at Cost (Average)],MATCH(CONCATENATE((SIP[[#This Row],[Frequency]]-1),SIP[[#This Row],[Investor ID]]),SIP[Unique Code],0),0)),0)</f>
        <v>0</v>
      </c>
      <c r="V1812" s="74">
        <f>IF(SIP[[#This Row],[BO TRANSFER]]="YES",SIP[[#This Row],[Unit]],)</f>
        <v>0</v>
      </c>
      <c r="W1812" s="74">
        <f>SUMIFS(SIP[[#Headers],[BO UNIT TRANSFER]]:SIP[[#This Row],[BO UNIT TRANSFER]],SIP[[#Headers],[Investor ID]]:SIP[[#This Row],[Investor ID]],SIP[[#This Row],[Investor ID]])</f>
        <v>0</v>
      </c>
    </row>
    <row r="1813" spans="1:23" ht="15" customHeight="1">
      <c r="A1813" s="101">
        <v>2026</v>
      </c>
      <c r="B1813" s="101">
        <v>2</v>
      </c>
      <c r="C1813" s="46">
        <v>26</v>
      </c>
      <c r="D1813" s="65">
        <f>DATE(SIP[[#This Row],[Year]],SIP[[#This Row],[Month]],SIP[[#This Row],[Day]])</f>
        <v>46079</v>
      </c>
      <c r="E1813" s="66" t="str" cm="1">
        <f t="array" ref="E1813">INDEX(INVESTORS_LIST[INVESTOR NAME],MATCH(SIP[[#This Row],[Investor ID]],INVESTORS_LIST[INVESTOR CODE],0),)</f>
        <v>MD. WALI ULLAH</v>
      </c>
      <c r="F1813" s="46" t="s">
        <v>443</v>
      </c>
      <c r="G1813" s="46">
        <f>COUNTIF(SIP[[#Headers],[Investor ID]]:SIP[[#This Row],[Investor ID]],SIP[[#This Row],[Investor ID]])</f>
        <v>34</v>
      </c>
      <c r="H1813" s="46" t="str">
        <f>CONCATENATE(SIP[[#This Row],[Frequency]],SIP[[#This Row],[Investor ID]])</f>
        <v>34A00197</v>
      </c>
      <c r="I1813" s="46" t="str">
        <f>IF(SIP[[#This Row],[B/S]]="B","BUY",(IF(SIP[[#This Row],[B/S]]="S","SELL"," ")))</f>
        <v>BUY</v>
      </c>
      <c r="J1813" s="150" t="s">
        <v>1229</v>
      </c>
      <c r="K1813" s="153">
        <v>15000</v>
      </c>
      <c r="L1813" s="122"/>
      <c r="M1813" s="123">
        <f>SIP[[#This Row],[Amount]]/SIP[[#This Row],[Unit]]</f>
        <v>14.084507042253522</v>
      </c>
      <c r="N1813" s="71">
        <f>SIP[[#This Row],[Unit Capital]]/10</f>
        <v>1065</v>
      </c>
      <c r="O1813" s="71">
        <f>SUMIFS(SIP[[#Headers],[Unit]]:SIP[[#This Row],[Unit]],SIP[[#Headers],[Investor ID]]:SIP[[#This Row],[Investor ID]],SIP[[#This Row],[Investor ID]])</f>
        <v>43642</v>
      </c>
      <c r="P1813" s="153">
        <v>10650</v>
      </c>
      <c r="Q1813" s="74">
        <f>SIP[[#This Row],[Amount]]-SIP[[#This Row],[Unit Capital]]</f>
        <v>4350</v>
      </c>
      <c r="R181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11.685990559552726</v>
      </c>
      <c r="S1813" s="46">
        <f t="shared" si="85"/>
        <v>14.224</v>
      </c>
      <c r="T181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3" s="74" cm="1">
        <f t="array" ref="U1813">IF(SIP[[#This Row],[B/S]]="S",ABS(SIP[[#This Row],[Unit]])*(INDEX(SIP[NAV at Cost (Average)],MATCH(CONCATENATE((SIP[[#This Row],[Frequency]]-1),SIP[[#This Row],[Investor ID]]),SIP[Unique Code],0),0)),0)</f>
        <v>0</v>
      </c>
      <c r="V1813" s="74">
        <f>IF(SIP[[#This Row],[BO TRANSFER]]="YES",SIP[[#This Row],[Unit]],)</f>
        <v>0</v>
      </c>
      <c r="W1813" s="74">
        <f>SUMIFS(SIP[[#Headers],[BO UNIT TRANSFER]]:SIP[[#This Row],[BO UNIT TRANSFER]],SIP[[#Headers],[Investor ID]]:SIP[[#This Row],[Investor ID]],SIP[[#This Row],[Investor ID]])</f>
        <v>0</v>
      </c>
    </row>
    <row r="1814" spans="1:23" ht="15" customHeight="1">
      <c r="A1814" s="101">
        <v>2026</v>
      </c>
      <c r="B1814" s="101">
        <v>2</v>
      </c>
      <c r="C1814" s="46">
        <v>26</v>
      </c>
      <c r="D1814" s="65">
        <f>DATE(SIP[[#This Row],[Year]],SIP[[#This Row],[Month]],SIP[[#This Row],[Day]])</f>
        <v>46079</v>
      </c>
      <c r="E1814" s="66" t="str" cm="1">
        <f t="array" ref="E1814">INDEX(INVESTORS_LIST[INVESTOR NAME],MATCH(SIP[[#This Row],[Investor ID]],INVESTORS_LIST[INVESTOR CODE],0),)</f>
        <v>MD MIZANUR RAHMAN</v>
      </c>
      <c r="F1814" s="46" t="s">
        <v>336</v>
      </c>
      <c r="G1814" s="46">
        <f>COUNTIF(SIP[[#Headers],[Investor ID]]:SIP[[#This Row],[Investor ID]],SIP[[#This Row],[Investor ID]])</f>
        <v>7</v>
      </c>
      <c r="H1814" s="46" t="str">
        <f>CONCATENATE(SIP[[#This Row],[Frequency]],SIP[[#This Row],[Investor ID]])</f>
        <v>7A00144</v>
      </c>
      <c r="I1814" s="46" t="str">
        <f>IF(SIP[[#This Row],[B/S]]="B","BUY",(IF(SIP[[#This Row],[B/S]]="S","SELL"," ")))</f>
        <v>BUY</v>
      </c>
      <c r="J1814" s="150" t="s">
        <v>1229</v>
      </c>
      <c r="K1814" s="153">
        <v>5000</v>
      </c>
      <c r="L1814" s="122"/>
      <c r="M1814" s="123">
        <f>SIP[[#This Row],[Amount]]/SIP[[#This Row],[Unit]]</f>
        <v>14.084507042253522</v>
      </c>
      <c r="N1814" s="71">
        <f>SIP[[#This Row],[Unit Capital]]/10</f>
        <v>355</v>
      </c>
      <c r="O1814" s="71">
        <f>SUMIFS(SIP[[#Headers],[Unit]]:SIP[[#This Row],[Unit]],SIP[[#Headers],[Investor ID]]:SIP[[#This Row],[Investor ID]],SIP[[#This Row],[Investor ID]])</f>
        <v>2556</v>
      </c>
      <c r="P1814" s="153">
        <v>3550</v>
      </c>
      <c r="Q1814" s="74">
        <f>SIP[[#This Row],[Amount]]-SIP[[#This Row],[Unit Capital]]</f>
        <v>1450</v>
      </c>
      <c r="R181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13.693270735524257</v>
      </c>
      <c r="S1814" s="46">
        <f t="shared" si="85"/>
        <v>14.224</v>
      </c>
      <c r="T181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4" s="74" cm="1">
        <f t="array" ref="U1814">IF(SIP[[#This Row],[B/S]]="S",ABS(SIP[[#This Row],[Unit]])*(INDEX(SIP[NAV at Cost (Average)],MATCH(CONCATENATE((SIP[[#This Row],[Frequency]]-1),SIP[[#This Row],[Investor ID]]),SIP[Unique Code],0),0)),0)</f>
        <v>0</v>
      </c>
      <c r="V1814" s="74">
        <f>IF(SIP[[#This Row],[BO TRANSFER]]="YES",SIP[[#This Row],[Unit]],)</f>
        <v>0</v>
      </c>
      <c r="W1814" s="74">
        <f>SUMIFS(SIP[[#Headers],[BO UNIT TRANSFER]]:SIP[[#This Row],[BO UNIT TRANSFER]],SIP[[#Headers],[Investor ID]]:SIP[[#This Row],[Investor ID]],SIP[[#This Row],[Investor ID]])</f>
        <v>0</v>
      </c>
    </row>
    <row r="1815" spans="1:23" ht="15" customHeight="1">
      <c r="A1815" s="101">
        <v>2026</v>
      </c>
      <c r="B1815" s="101">
        <v>2</v>
      </c>
      <c r="C1815" s="46">
        <v>26</v>
      </c>
      <c r="D1815" s="65">
        <f>DATE(SIP[[#This Row],[Year]],SIP[[#This Row],[Month]],SIP[[#This Row],[Day]])</f>
        <v>46079</v>
      </c>
      <c r="E1815" s="66" t="str" cm="1">
        <f t="array" ref="E1815">INDEX(INVESTORS_LIST[INVESTOR NAME],MATCH(SIP[[#This Row],[Investor ID]],INVESTORS_LIST[INVESTOR CODE],0),)</f>
        <v>SHAPNA RANI BARMAN</v>
      </c>
      <c r="F1815" s="46" t="s">
        <v>1292</v>
      </c>
      <c r="G1815" s="46">
        <f>COUNTIF(SIP[[#Headers],[Investor ID]]:SIP[[#This Row],[Investor ID]],SIP[[#This Row],[Investor ID]])</f>
        <v>17</v>
      </c>
      <c r="H1815" s="46" t="str">
        <f>CONCATENATE(SIP[[#This Row],[Frequency]],SIP[[#This Row],[Investor ID]])</f>
        <v>17A00593</v>
      </c>
      <c r="I1815" s="46" t="str">
        <f>IF(SIP[[#This Row],[B/S]]="B","BUY",(IF(SIP[[#This Row],[B/S]]="S","SELL"," ")))</f>
        <v>BUY</v>
      </c>
      <c r="J1815" s="150" t="s">
        <v>1229</v>
      </c>
      <c r="K1815" s="153">
        <v>1000</v>
      </c>
      <c r="L1815" s="122"/>
      <c r="M1815" s="123">
        <f>SIP[[#This Row],[Amount]]/SIP[[#This Row],[Unit]]</f>
        <v>14.084507042253522</v>
      </c>
      <c r="N1815" s="71">
        <f>SIP[[#This Row],[Unit Capital]]/10</f>
        <v>71</v>
      </c>
      <c r="O1815" s="71">
        <f>SUMIFS(SIP[[#Headers],[Unit]]:SIP[[#This Row],[Unit]],SIP[[#Headers],[Investor ID]]:SIP[[#This Row],[Investor ID]],SIP[[#This Row],[Investor ID]])</f>
        <v>1173</v>
      </c>
      <c r="P1815" s="153">
        <v>710</v>
      </c>
      <c r="Q1815" s="74">
        <f>SIP[[#This Row],[Amount]]-SIP[[#This Row],[Unit Capital]]</f>
        <v>290</v>
      </c>
      <c r="R181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12.850329141866057</v>
      </c>
      <c r="S1815" s="46">
        <f t="shared" si="85"/>
        <v>14.224</v>
      </c>
      <c r="T181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5" s="74" cm="1">
        <f t="array" ref="U1815">IF(SIP[[#This Row],[B/S]]="S",ABS(SIP[[#This Row],[Unit]])*(INDEX(SIP[NAV at Cost (Average)],MATCH(CONCATENATE((SIP[[#This Row],[Frequency]]-1),SIP[[#This Row],[Investor ID]]),SIP[Unique Code],0),0)),0)</f>
        <v>0</v>
      </c>
      <c r="V1815" s="74">
        <f>IF(SIP[[#This Row],[BO TRANSFER]]="YES",SIP[[#This Row],[Unit]],)</f>
        <v>0</v>
      </c>
      <c r="W1815" s="74">
        <f>SUMIFS(SIP[[#Headers],[BO UNIT TRANSFER]]:SIP[[#This Row],[BO UNIT TRANSFER]],SIP[[#Headers],[Investor ID]]:SIP[[#This Row],[Investor ID]],SIP[[#This Row],[Investor ID]])</f>
        <v>0</v>
      </c>
    </row>
    <row r="1816" spans="1:23" ht="15" customHeight="1">
      <c r="A1816" s="101">
        <v>2026</v>
      </c>
      <c r="B1816" s="101">
        <v>2</v>
      </c>
      <c r="C1816" s="46">
        <v>26</v>
      </c>
      <c r="D1816" s="65">
        <f>DATE(SIP[[#This Row],[Year]],SIP[[#This Row],[Month]],SIP[[#This Row],[Day]])</f>
        <v>46079</v>
      </c>
      <c r="E1816" s="66" t="str" cm="1">
        <f t="array" ref="E1816">INDEX(INVESTORS_LIST[INVESTOR NAME],MATCH(SIP[[#This Row],[Investor ID]],INVESTORS_LIST[INVESTOR CODE],0),)</f>
        <v>MAYA RANI SAHA</v>
      </c>
      <c r="F1816" s="46" t="s">
        <v>224</v>
      </c>
      <c r="G1816" s="46">
        <f>COUNTIF(SIP[[#Headers],[Investor ID]]:SIP[[#This Row],[Investor ID]],SIP[[#This Row],[Investor ID]])</f>
        <v>87</v>
      </c>
      <c r="H1816" s="46" t="str">
        <f>CONCATENATE(SIP[[#This Row],[Frequency]],SIP[[#This Row],[Investor ID]])</f>
        <v>87A00088</v>
      </c>
      <c r="I1816" s="46" t="str">
        <f>IF(SIP[[#This Row],[B/S]]="B","BUY",(IF(SIP[[#This Row],[B/S]]="S","SELL"," ")))</f>
        <v>BUY</v>
      </c>
      <c r="J1816" s="150" t="s">
        <v>1229</v>
      </c>
      <c r="K1816" s="153">
        <v>6000</v>
      </c>
      <c r="L1816" s="122"/>
      <c r="M1816" s="123">
        <f>SIP[[#This Row],[Amount]]/SIP[[#This Row],[Unit]]</f>
        <v>14.084507042253522</v>
      </c>
      <c r="N1816" s="71">
        <f>SIP[[#This Row],[Unit Capital]]/10</f>
        <v>426</v>
      </c>
      <c r="O1816" s="71">
        <f>SUMIFS(SIP[[#Headers],[Unit]]:SIP[[#This Row],[Unit]],SIP[[#Headers],[Investor ID]]:SIP[[#This Row],[Investor ID]],SIP[[#This Row],[Investor ID]])</f>
        <v>97467</v>
      </c>
      <c r="P1816" s="153">
        <v>4260</v>
      </c>
      <c r="Q1816" s="74">
        <f>SIP[[#This Row],[Amount]]-SIP[[#This Row],[Unit Capital]]</f>
        <v>1740</v>
      </c>
      <c r="R181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12.168221038915734</v>
      </c>
      <c r="S1816" s="46">
        <f t="shared" si="85"/>
        <v>14.224</v>
      </c>
      <c r="T181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6" s="74" cm="1">
        <f t="array" ref="U1816">IF(SIP[[#This Row],[B/S]]="S",ABS(SIP[[#This Row],[Unit]])*(INDEX(SIP[NAV at Cost (Average)],MATCH(CONCATENATE((SIP[[#This Row],[Frequency]]-1),SIP[[#This Row],[Investor ID]]),SIP[Unique Code],0),0)),0)</f>
        <v>0</v>
      </c>
      <c r="V1816" s="74">
        <f>IF(SIP[[#This Row],[BO TRANSFER]]="YES",SIP[[#This Row],[Unit]],)</f>
        <v>0</v>
      </c>
      <c r="W1816" s="74">
        <f>SUMIFS(SIP[[#Headers],[BO UNIT TRANSFER]]:SIP[[#This Row],[BO UNIT TRANSFER]],SIP[[#Headers],[Investor ID]]:SIP[[#This Row],[Investor ID]],SIP[[#This Row],[Investor ID]])</f>
        <v>0</v>
      </c>
    </row>
    <row r="1817" spans="1:23" ht="15" customHeight="1">
      <c r="A1817" s="101">
        <v>2026</v>
      </c>
      <c r="B1817" s="101">
        <v>2</v>
      </c>
      <c r="C1817" s="46">
        <v>26</v>
      </c>
      <c r="D1817" s="65">
        <f>DATE(SIP[[#This Row],[Year]],SIP[[#This Row],[Month]],SIP[[#This Row],[Day]])</f>
        <v>46079</v>
      </c>
      <c r="E1817" s="66" t="str" cm="1">
        <f t="array" ref="E1817">INDEX(INVESTORS_LIST[INVESTOR NAME],MATCH(SIP[[#This Row],[Investor ID]],INVESTORS_LIST[INVESTOR CODE],0),)</f>
        <v>MAYA RANI SAHA</v>
      </c>
      <c r="F1817" s="46" t="s">
        <v>224</v>
      </c>
      <c r="G1817" s="46">
        <f>COUNTIF(SIP[[#Headers],[Investor ID]]:SIP[[#This Row],[Investor ID]],SIP[[#This Row],[Investor ID]])</f>
        <v>88</v>
      </c>
      <c r="H1817" s="46" t="str">
        <f>CONCATENATE(SIP[[#This Row],[Frequency]],SIP[[#This Row],[Investor ID]])</f>
        <v>88A00088</v>
      </c>
      <c r="I1817" s="46" t="str">
        <f>IF(SIP[[#This Row],[B/S]]="B","BUY",(IF(SIP[[#This Row],[B/S]]="S","SELL"," ")))</f>
        <v>BUY</v>
      </c>
      <c r="J1817" s="150" t="s">
        <v>1229</v>
      </c>
      <c r="K1817" s="153">
        <v>10000</v>
      </c>
      <c r="L1817" s="122"/>
      <c r="M1817" s="123">
        <f>SIP[[#This Row],[Amount]]/SIP[[#This Row],[Unit]]</f>
        <v>14.084507042253522</v>
      </c>
      <c r="N1817" s="71">
        <f>SIP[[#This Row],[Unit Capital]]/10</f>
        <v>710</v>
      </c>
      <c r="O1817" s="71">
        <f>SUMIFS(SIP[[#Headers],[Unit]]:SIP[[#This Row],[Unit]],SIP[[#Headers],[Investor ID]]:SIP[[#This Row],[Investor ID]],SIP[[#This Row],[Investor ID]])</f>
        <v>98177</v>
      </c>
      <c r="P1817" s="153">
        <v>7100</v>
      </c>
      <c r="Q1817" s="74">
        <f>SIP[[#This Row],[Amount]]-SIP[[#This Row],[Unit Capital]]</f>
        <v>2900</v>
      </c>
      <c r="R181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12.182079305743706</v>
      </c>
      <c r="S1817" s="46">
        <f t="shared" si="85"/>
        <v>14.224</v>
      </c>
      <c r="T181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7" s="74" cm="1">
        <f t="array" ref="U1817">IF(SIP[[#This Row],[B/S]]="S",ABS(SIP[[#This Row],[Unit]])*(INDEX(SIP[NAV at Cost (Average)],MATCH(CONCATENATE((SIP[[#This Row],[Frequency]]-1),SIP[[#This Row],[Investor ID]]),SIP[Unique Code],0),0)),0)</f>
        <v>0</v>
      </c>
      <c r="V1817" s="74">
        <f>IF(SIP[[#This Row],[BO TRANSFER]]="YES",SIP[[#This Row],[Unit]],)</f>
        <v>0</v>
      </c>
      <c r="W1817" s="74">
        <f>SUMIFS(SIP[[#Headers],[BO UNIT TRANSFER]]:SIP[[#This Row],[BO UNIT TRANSFER]],SIP[[#Headers],[Investor ID]]:SIP[[#This Row],[Investor ID]],SIP[[#This Row],[Investor ID]])</f>
        <v>0</v>
      </c>
    </row>
    <row r="1818" spans="1:23" ht="15" customHeight="1">
      <c r="A1818" s="101">
        <v>2026</v>
      </c>
      <c r="B1818" s="101">
        <v>2</v>
      </c>
      <c r="C1818" s="46">
        <v>26</v>
      </c>
      <c r="D1818" s="65">
        <f>DATE(SIP[[#This Row],[Year]],SIP[[#This Row],[Month]],SIP[[#This Row],[Day]])</f>
        <v>46079</v>
      </c>
      <c r="E1818" s="66" t="str" cm="1">
        <f t="array" ref="E1818">INDEX(INVESTORS_LIST[INVESTOR NAME],MATCH(SIP[[#This Row],[Investor ID]],INVESTORS_LIST[INVESTOR CODE],0),)</f>
        <v>SWADESH RANJAN SAHA</v>
      </c>
      <c r="F1818" s="46" t="s">
        <v>234</v>
      </c>
      <c r="G1818" s="46">
        <f>COUNTIF(SIP[[#Headers],[Investor ID]]:SIP[[#This Row],[Investor ID]],SIP[[#This Row],[Investor ID]])</f>
        <v>15</v>
      </c>
      <c r="H1818" s="46" t="str">
        <f>CONCATENATE(SIP[[#This Row],[Frequency]],SIP[[#This Row],[Investor ID]])</f>
        <v>15A00093</v>
      </c>
      <c r="I1818" s="46" t="str">
        <f>IF(SIP[[#This Row],[B/S]]="B","BUY",(IF(SIP[[#This Row],[B/S]]="S","SELL"," ")))</f>
        <v>BUY</v>
      </c>
      <c r="J1818" s="150" t="s">
        <v>1229</v>
      </c>
      <c r="K1818" s="153">
        <v>50000</v>
      </c>
      <c r="L1818" s="122"/>
      <c r="M1818" s="123">
        <f>SIP[[#This Row],[Amount]]/SIP[[#This Row],[Unit]]</f>
        <v>14.088475626937166</v>
      </c>
      <c r="N1818" s="71">
        <f>SIP[[#This Row],[Unit Capital]]/10</f>
        <v>3549</v>
      </c>
      <c r="O1818" s="71">
        <f>SUMIFS(SIP[[#Headers],[Unit]]:SIP[[#This Row],[Unit]],SIP[[#Headers],[Investor ID]]:SIP[[#This Row],[Investor ID]],SIP[[#This Row],[Investor ID]])</f>
        <v>57903</v>
      </c>
      <c r="P1818" s="153">
        <v>35490</v>
      </c>
      <c r="Q1818" s="74">
        <f>SIP[[#This Row],[Amount]]-SIP[[#This Row],[Unit Capital]]</f>
        <v>14510</v>
      </c>
      <c r="R181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12.952696751463657</v>
      </c>
      <c r="S1818" s="46">
        <f t="shared" ref="S1818:S1839" si="86">NAV_MKT</f>
        <v>14.224</v>
      </c>
      <c r="T181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8" s="74" cm="1">
        <f t="array" ref="U1818">IF(SIP[[#This Row],[B/S]]="S",ABS(SIP[[#This Row],[Unit]])*(INDEX(SIP[NAV at Cost (Average)],MATCH(CONCATENATE((SIP[[#This Row],[Frequency]]-1),SIP[[#This Row],[Investor ID]]),SIP[Unique Code],0),0)),0)</f>
        <v>0</v>
      </c>
      <c r="V1818" s="74">
        <f>IF(SIP[[#This Row],[BO TRANSFER]]="YES",SIP[[#This Row],[Unit]],)</f>
        <v>0</v>
      </c>
      <c r="W1818" s="74">
        <f>SUMIFS(SIP[[#Headers],[BO UNIT TRANSFER]]:SIP[[#This Row],[BO UNIT TRANSFER]],SIP[[#Headers],[Investor ID]]:SIP[[#This Row],[Investor ID]],SIP[[#This Row],[Investor ID]])</f>
        <v>0</v>
      </c>
    </row>
    <row r="1819" spans="1:23" ht="15" customHeight="1">
      <c r="A1819" s="101">
        <v>2026</v>
      </c>
      <c r="B1819" s="101">
        <v>2</v>
      </c>
      <c r="C1819" s="46">
        <v>26</v>
      </c>
      <c r="D1819" s="65">
        <f>DATE(SIP[[#This Row],[Year]],SIP[[#This Row],[Month]],SIP[[#This Row],[Day]])</f>
        <v>46079</v>
      </c>
      <c r="E1819" s="66" t="str" cm="1">
        <f t="array" ref="E1819">INDEX(INVESTORS_LIST[INVESTOR NAME],MATCH(SIP[[#This Row],[Investor ID]],INVESTORS_LIST[INVESTOR CODE],0),)</f>
        <v>BALARAM CHANDRA SAHA</v>
      </c>
      <c r="F1819" s="46" t="s">
        <v>505</v>
      </c>
      <c r="G1819" s="46">
        <f>COUNTIF(SIP[[#Headers],[Investor ID]]:SIP[[#This Row],[Investor ID]],SIP[[#This Row],[Investor ID]])</f>
        <v>11</v>
      </c>
      <c r="H1819" s="46" t="str">
        <f>CONCATENATE(SIP[[#This Row],[Frequency]],SIP[[#This Row],[Investor ID]])</f>
        <v>11A00228</v>
      </c>
      <c r="I1819" s="46" t="str">
        <f>IF(SIP[[#This Row],[B/S]]="B","BUY",(IF(SIP[[#This Row],[B/S]]="S","SELL"," ")))</f>
        <v>BUY</v>
      </c>
      <c r="J1819" s="150" t="s">
        <v>1229</v>
      </c>
      <c r="K1819" s="153">
        <v>25000</v>
      </c>
      <c r="L1819" s="122"/>
      <c r="M1819" s="123">
        <f>SIP[[#This Row],[Amount]]/SIP[[#This Row],[Unit]]</f>
        <v>14.084507042253522</v>
      </c>
      <c r="N1819" s="71">
        <f>SIP[[#This Row],[Unit Capital]]/10</f>
        <v>1775</v>
      </c>
      <c r="O1819" s="71">
        <f>SUMIFS(SIP[[#Headers],[Unit]]:SIP[[#This Row],[Unit]],SIP[[#Headers],[Investor ID]]:SIP[[#This Row],[Investor ID]],SIP[[#This Row],[Investor ID]])</f>
        <v>22763</v>
      </c>
      <c r="P1819" s="153">
        <v>17750</v>
      </c>
      <c r="Q1819" s="74">
        <f>SIP[[#This Row],[Amount]]-SIP[[#This Row],[Unit Capital]]</f>
        <v>7250</v>
      </c>
      <c r="R181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13.179282168431225</v>
      </c>
      <c r="S1819" s="46">
        <f t="shared" si="86"/>
        <v>14.224</v>
      </c>
      <c r="T181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9" s="74" cm="1">
        <f t="array" ref="U1819">IF(SIP[[#This Row],[B/S]]="S",ABS(SIP[[#This Row],[Unit]])*(INDEX(SIP[NAV at Cost (Average)],MATCH(CONCATENATE((SIP[[#This Row],[Frequency]]-1),SIP[[#This Row],[Investor ID]]),SIP[Unique Code],0),0)),0)</f>
        <v>0</v>
      </c>
      <c r="V1819" s="74">
        <f>IF(SIP[[#This Row],[BO TRANSFER]]="YES",SIP[[#This Row],[Unit]],)</f>
        <v>0</v>
      </c>
      <c r="W1819" s="74">
        <f>SUMIFS(SIP[[#Headers],[BO UNIT TRANSFER]]:SIP[[#This Row],[BO UNIT TRANSFER]],SIP[[#Headers],[Investor ID]]:SIP[[#This Row],[Investor ID]],SIP[[#This Row],[Investor ID]])</f>
        <v>0</v>
      </c>
    </row>
    <row r="1820" spans="1:23" ht="15" customHeight="1">
      <c r="A1820" s="101">
        <v>2026</v>
      </c>
      <c r="B1820" s="101">
        <v>2</v>
      </c>
      <c r="C1820" s="46">
        <v>26</v>
      </c>
      <c r="D1820" s="65">
        <f>DATE(SIP[[#This Row],[Year]],SIP[[#This Row],[Month]],SIP[[#This Row],[Day]])</f>
        <v>46079</v>
      </c>
      <c r="E1820" s="66" t="str" cm="1">
        <f t="array" ref="E1820">INDEX(INVESTORS_LIST[INVESTOR NAME],MATCH(SIP[[#This Row],[Investor ID]],INVESTORS_LIST[INVESTOR CODE],0),)</f>
        <v>MD MIZANUR RAHMAN</v>
      </c>
      <c r="F1820" s="46" t="s">
        <v>1304</v>
      </c>
      <c r="G1820" s="46">
        <f>COUNTIF(SIP[[#Headers],[Investor ID]]:SIP[[#This Row],[Investor ID]],SIP[[#This Row],[Investor ID]])</f>
        <v>16</v>
      </c>
      <c r="H1820" s="46" t="str">
        <f>CONCATENATE(SIP[[#This Row],[Frequency]],SIP[[#This Row],[Investor ID]])</f>
        <v>16A00599</v>
      </c>
      <c r="I1820" s="46" t="str">
        <f>IF(SIP[[#This Row],[B/S]]="B","BUY",(IF(SIP[[#This Row],[B/S]]="S","SELL"," ")))</f>
        <v>BUY</v>
      </c>
      <c r="J1820" s="150" t="s">
        <v>1229</v>
      </c>
      <c r="K1820" s="153">
        <v>5000</v>
      </c>
      <c r="L1820" s="122"/>
      <c r="M1820" s="123">
        <f>SIP[[#This Row],[Amount]]/SIP[[#This Row],[Unit]]</f>
        <v>14.084507042253522</v>
      </c>
      <c r="N1820" s="71">
        <f>SIP[[#This Row],[Unit Capital]]/10</f>
        <v>355</v>
      </c>
      <c r="O1820" s="71">
        <f>SUMIFS(SIP[[#Headers],[Unit]]:SIP[[#This Row],[Unit]],SIP[[#Headers],[Investor ID]]:SIP[[#This Row],[Investor ID]],SIP[[#This Row],[Investor ID]])</f>
        <v>2556</v>
      </c>
      <c r="P1820" s="153">
        <v>3550</v>
      </c>
      <c r="Q1820" s="74">
        <f>SIP[[#This Row],[Amount]]-SIP[[#This Row],[Unit Capital]]</f>
        <v>1450</v>
      </c>
      <c r="R182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13.693270735524257</v>
      </c>
      <c r="S1820" s="46">
        <f t="shared" si="86"/>
        <v>14.224</v>
      </c>
      <c r="T182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0" s="74" cm="1">
        <f t="array" ref="U1820">IF(SIP[[#This Row],[B/S]]="S",ABS(SIP[[#This Row],[Unit]])*(INDEX(SIP[NAV at Cost (Average)],MATCH(CONCATENATE((SIP[[#This Row],[Frequency]]-1),SIP[[#This Row],[Investor ID]]),SIP[Unique Code],0),0)),0)</f>
        <v>0</v>
      </c>
      <c r="V1820" s="74">
        <f>IF(SIP[[#This Row],[BO TRANSFER]]="YES",SIP[[#This Row],[Unit]],)</f>
        <v>0</v>
      </c>
      <c r="W1820" s="74">
        <f>SUMIFS(SIP[[#Headers],[BO UNIT TRANSFER]]:SIP[[#This Row],[BO UNIT TRANSFER]],SIP[[#Headers],[Investor ID]]:SIP[[#This Row],[Investor ID]],SIP[[#This Row],[Investor ID]])</f>
        <v>0</v>
      </c>
    </row>
    <row r="1821" spans="1:23" ht="15" customHeight="1">
      <c r="A1821" s="101">
        <v>2026</v>
      </c>
      <c r="B1821" s="101">
        <v>2</v>
      </c>
      <c r="C1821" s="46">
        <v>26</v>
      </c>
      <c r="D1821" s="65">
        <f>DATE(SIP[[#This Row],[Year]],SIP[[#This Row],[Month]],SIP[[#This Row],[Day]])</f>
        <v>46079</v>
      </c>
      <c r="E1821" s="66" t="str" cm="1">
        <f t="array" ref="E1821">INDEX(INVESTORS_LIST[INVESTOR NAME],MATCH(SIP[[#This Row],[Investor ID]],INVESTORS_LIST[INVESTOR CODE],0),)</f>
        <v>MOHAMMAD SAMIUL ALAM</v>
      </c>
      <c r="F1821" s="46" t="s">
        <v>537</v>
      </c>
      <c r="G1821" s="46">
        <f>COUNTIF(SIP[[#Headers],[Investor ID]]:SIP[[#This Row],[Investor ID]],SIP[[#This Row],[Investor ID]])</f>
        <v>31</v>
      </c>
      <c r="H1821" s="46" t="str">
        <f>CONCATENATE(SIP[[#This Row],[Frequency]],SIP[[#This Row],[Investor ID]])</f>
        <v>31A00244</v>
      </c>
      <c r="I1821" s="46" t="str">
        <f>IF(SIP[[#This Row],[B/S]]="B","BUY",(IF(SIP[[#This Row],[B/S]]="S","SELL"," ")))</f>
        <v>BUY</v>
      </c>
      <c r="J1821" s="150" t="s">
        <v>1229</v>
      </c>
      <c r="K1821" s="153">
        <v>35000</v>
      </c>
      <c r="L1821" s="122"/>
      <c r="M1821" s="123">
        <f>SIP[[#This Row],[Amount]]/SIP[[#This Row],[Unit]]</f>
        <v>14.090177133655395</v>
      </c>
      <c r="N1821" s="71">
        <f>SIP[[#This Row],[Unit Capital]]/10</f>
        <v>2484</v>
      </c>
      <c r="O1821" s="71">
        <f>SUMIFS(SIP[[#Headers],[Unit]]:SIP[[#This Row],[Unit]],SIP[[#Headers],[Investor ID]]:SIP[[#This Row],[Investor ID]],SIP[[#This Row],[Investor ID]])</f>
        <v>61184</v>
      </c>
      <c r="P1821" s="153">
        <v>24840</v>
      </c>
      <c r="Q1821" s="74">
        <f>SIP[[#This Row],[Amount]]-SIP[[#This Row],[Unit Capital]]</f>
        <v>10160</v>
      </c>
      <c r="R182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12.09466527196653</v>
      </c>
      <c r="S1821" s="46">
        <f t="shared" si="86"/>
        <v>14.224</v>
      </c>
      <c r="T182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1" s="74" cm="1">
        <f t="array" ref="U1821">IF(SIP[[#This Row],[B/S]]="S",ABS(SIP[[#This Row],[Unit]])*(INDEX(SIP[NAV at Cost (Average)],MATCH(CONCATENATE((SIP[[#This Row],[Frequency]]-1),SIP[[#This Row],[Investor ID]]),SIP[Unique Code],0),0)),0)</f>
        <v>0</v>
      </c>
      <c r="V1821" s="74">
        <f>IF(SIP[[#This Row],[BO TRANSFER]]="YES",SIP[[#This Row],[Unit]],)</f>
        <v>0</v>
      </c>
      <c r="W1821" s="74">
        <f>SUMIFS(SIP[[#Headers],[BO UNIT TRANSFER]]:SIP[[#This Row],[BO UNIT TRANSFER]],SIP[[#Headers],[Investor ID]]:SIP[[#This Row],[Investor ID]],SIP[[#This Row],[Investor ID]])</f>
        <v>18140</v>
      </c>
    </row>
    <row r="1822" spans="1:23" ht="15" customHeight="1">
      <c r="A1822" s="101">
        <v>2026</v>
      </c>
      <c r="B1822" s="101">
        <v>2</v>
      </c>
      <c r="C1822" s="46">
        <v>26</v>
      </c>
      <c r="D1822" s="65">
        <f>DATE(SIP[[#This Row],[Year]],SIP[[#This Row],[Month]],SIP[[#This Row],[Day]])</f>
        <v>46079</v>
      </c>
      <c r="E1822" s="66" t="str" cm="1">
        <f t="array" ref="E1822">INDEX(INVESTORS_LIST[INVESTOR NAME],MATCH(SIP[[#This Row],[Investor ID]],INVESTORS_LIST[INVESTOR CODE],0),)</f>
        <v>MD ABDULLAH-AL- MAMUN</v>
      </c>
      <c r="F1822" s="46" t="s">
        <v>533</v>
      </c>
      <c r="G1822" s="46">
        <f>COUNTIF(SIP[[#Headers],[Investor ID]]:SIP[[#This Row],[Investor ID]],SIP[[#This Row],[Investor ID]])</f>
        <v>39</v>
      </c>
      <c r="H1822" s="46" t="str">
        <f>CONCATENATE(SIP[[#This Row],[Frequency]],SIP[[#This Row],[Investor ID]])</f>
        <v>39A00242</v>
      </c>
      <c r="I1822" s="46" t="str">
        <f>IF(SIP[[#This Row],[B/S]]="B","BUY",(IF(SIP[[#This Row],[B/S]]="S","SELL"," ")))</f>
        <v>BUY</v>
      </c>
      <c r="J1822" s="150" t="s">
        <v>1229</v>
      </c>
      <c r="K1822" s="153">
        <v>10000</v>
      </c>
      <c r="L1822" s="122"/>
      <c r="M1822" s="123">
        <f>SIP[[#This Row],[Amount]]/SIP[[#This Row],[Unit]]</f>
        <v>14.084507042253522</v>
      </c>
      <c r="N1822" s="71">
        <f>SIP[[#This Row],[Unit Capital]]/10</f>
        <v>710</v>
      </c>
      <c r="O1822" s="71">
        <f>SUMIFS(SIP[[#Headers],[Unit]]:SIP[[#This Row],[Unit]],SIP[[#Headers],[Investor ID]]:SIP[[#This Row],[Investor ID]],SIP[[#This Row],[Investor ID]])</f>
        <v>12851</v>
      </c>
      <c r="P1822" s="153">
        <v>7100</v>
      </c>
      <c r="Q1822" s="74">
        <f>SIP[[#This Row],[Amount]]-SIP[[#This Row],[Unit Capital]]</f>
        <v>2900</v>
      </c>
      <c r="R182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13.458533838719861</v>
      </c>
      <c r="S1822" s="46">
        <f t="shared" si="86"/>
        <v>14.224</v>
      </c>
      <c r="T182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2" s="74" cm="1">
        <f t="array" ref="U1822">IF(SIP[[#This Row],[B/S]]="S",ABS(SIP[[#This Row],[Unit]])*(INDEX(SIP[NAV at Cost (Average)],MATCH(CONCATENATE((SIP[[#This Row],[Frequency]]-1),SIP[[#This Row],[Investor ID]]),SIP[Unique Code],0),0)),0)</f>
        <v>0</v>
      </c>
      <c r="V1822" s="74">
        <f>IF(SIP[[#This Row],[BO TRANSFER]]="YES",SIP[[#This Row],[Unit]],)</f>
        <v>0</v>
      </c>
      <c r="W1822" s="74">
        <f>SUMIFS(SIP[[#Headers],[BO UNIT TRANSFER]]:SIP[[#This Row],[BO UNIT TRANSFER]],SIP[[#Headers],[Investor ID]]:SIP[[#This Row],[Investor ID]],SIP[[#This Row],[Investor ID]])</f>
        <v>0</v>
      </c>
    </row>
    <row r="1823" spans="1:23" ht="15" customHeight="1">
      <c r="A1823" s="101">
        <v>2026</v>
      </c>
      <c r="B1823" s="101">
        <v>2</v>
      </c>
      <c r="C1823" s="46">
        <v>26</v>
      </c>
      <c r="D1823" s="65">
        <f>DATE(SIP[[#This Row],[Year]],SIP[[#This Row],[Month]],SIP[[#This Row],[Day]])</f>
        <v>46079</v>
      </c>
      <c r="E1823" s="66" t="str" cm="1">
        <f t="array" ref="E1823">INDEX(INVESTORS_LIST[INVESTOR NAME],MATCH(SIP[[#This Row],[Investor ID]],INVESTORS_LIST[INVESTOR CODE],0),)</f>
        <v>MAHFUZUL ISLAM &amp; HUMAIRA TABASSUM READDHE</v>
      </c>
      <c r="F1823" s="46" t="s">
        <v>1315</v>
      </c>
      <c r="G1823" s="46">
        <f>COUNTIF(SIP[[#Headers],[Investor ID]]:SIP[[#This Row],[Investor ID]],SIP[[#This Row],[Investor ID]])</f>
        <v>12</v>
      </c>
      <c r="H1823" s="46" t="str">
        <f>CONCATENATE(SIP[[#This Row],[Frequency]],SIP[[#This Row],[Investor ID]])</f>
        <v>12A00605</v>
      </c>
      <c r="I1823" s="46" t="str">
        <f>IF(SIP[[#This Row],[B/S]]="B","BUY",(IF(SIP[[#This Row],[B/S]]="S","SELL"," ")))</f>
        <v>BUY</v>
      </c>
      <c r="J1823" s="150" t="s">
        <v>1229</v>
      </c>
      <c r="K1823" s="153">
        <v>18140</v>
      </c>
      <c r="L1823" s="122"/>
      <c r="M1823" s="123">
        <f>SIP[[#This Row],[Amount]]/SIP[[#This Row],[Unit]]</f>
        <v>14.083850931677018</v>
      </c>
      <c r="N1823" s="71">
        <f>SIP[[#This Row],[Unit Capital]]/10</f>
        <v>1288</v>
      </c>
      <c r="O1823" s="71">
        <f>SUMIFS(SIP[[#Headers],[Unit]]:SIP[[#This Row],[Unit]],SIP[[#Headers],[Investor ID]]:SIP[[#This Row],[Investor ID]],SIP[[#This Row],[Investor ID]])</f>
        <v>11877</v>
      </c>
      <c r="P1823" s="153">
        <v>12880</v>
      </c>
      <c r="Q1823" s="74">
        <f>SIP[[#This Row],[Amount]]-SIP[[#This Row],[Unit Capital]]</f>
        <v>5260</v>
      </c>
      <c r="R182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13.230314950916917</v>
      </c>
      <c r="S1823" s="46">
        <f t="shared" si="86"/>
        <v>14.224</v>
      </c>
      <c r="T182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3" s="74" cm="1">
        <f t="array" ref="U1823">IF(SIP[[#This Row],[B/S]]="S",ABS(SIP[[#This Row],[Unit]])*(INDEX(SIP[NAV at Cost (Average)],MATCH(CONCATENATE((SIP[[#This Row],[Frequency]]-1),SIP[[#This Row],[Investor ID]]),SIP[Unique Code],0),0)),0)</f>
        <v>0</v>
      </c>
      <c r="V1823" s="74">
        <f>IF(SIP[[#This Row],[BO TRANSFER]]="YES",SIP[[#This Row],[Unit]],)</f>
        <v>0</v>
      </c>
      <c r="W1823" s="74">
        <f>SUMIFS(SIP[[#Headers],[BO UNIT TRANSFER]]:SIP[[#This Row],[BO UNIT TRANSFER]],SIP[[#Headers],[Investor ID]]:SIP[[#This Row],[Investor ID]],SIP[[#This Row],[Investor ID]])</f>
        <v>0</v>
      </c>
    </row>
    <row r="1824" spans="1:23" ht="15" customHeight="1">
      <c r="A1824" s="101">
        <v>2026</v>
      </c>
      <c r="B1824" s="101">
        <v>2</v>
      </c>
      <c r="C1824" s="46">
        <v>26</v>
      </c>
      <c r="D1824" s="65">
        <f>DATE(SIP[[#This Row],[Year]],SIP[[#This Row],[Month]],SIP[[#This Row],[Day]])</f>
        <v>46079</v>
      </c>
      <c r="E1824" s="66" t="str" cm="1">
        <f t="array" ref="E1824">INDEX(INVESTORS_LIST[INVESTOR NAME],MATCH(SIP[[#This Row],[Investor ID]],INVESTORS_LIST[INVESTOR CODE],0),)</f>
        <v>MAHFUZUL ISLAM</v>
      </c>
      <c r="F1824" s="46" t="s">
        <v>473</v>
      </c>
      <c r="G1824" s="46">
        <f>COUNTIF(SIP[[#Headers],[Investor ID]]:SIP[[#This Row],[Investor ID]],SIP[[#This Row],[Investor ID]])</f>
        <v>19</v>
      </c>
      <c r="H1824" s="46" t="str">
        <f>CONCATENATE(SIP[[#This Row],[Frequency]],SIP[[#This Row],[Investor ID]])</f>
        <v>19A00212</v>
      </c>
      <c r="I1824" s="46" t="str">
        <f>IF(SIP[[#This Row],[B/S]]="B","BUY",(IF(SIP[[#This Row],[B/S]]="S","SELL"," ")))</f>
        <v>BUY</v>
      </c>
      <c r="J1824" s="150" t="s">
        <v>1229</v>
      </c>
      <c r="K1824" s="153">
        <v>3000</v>
      </c>
      <c r="L1824" s="122"/>
      <c r="M1824" s="123">
        <f>SIP[[#This Row],[Amount]]/SIP[[#This Row],[Unit]]</f>
        <v>14.084507042253522</v>
      </c>
      <c r="N1824" s="71">
        <f>SIP[[#This Row],[Unit Capital]]/10</f>
        <v>213</v>
      </c>
      <c r="O1824" s="71">
        <f>SUMIFS(SIP[[#Headers],[Unit]]:SIP[[#This Row],[Unit]],SIP[[#Headers],[Investor ID]]:SIP[[#This Row],[Investor ID]],SIP[[#This Row],[Investor ID]])</f>
        <v>3491</v>
      </c>
      <c r="P1824" s="153">
        <v>2130</v>
      </c>
      <c r="Q1824" s="74">
        <f>SIP[[#This Row],[Amount]]-SIP[[#This Row],[Unit Capital]]</f>
        <v>870</v>
      </c>
      <c r="R182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12.317387568032082</v>
      </c>
      <c r="S1824" s="46">
        <f t="shared" si="86"/>
        <v>14.224</v>
      </c>
      <c r="T182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4" s="74" cm="1">
        <f t="array" ref="U1824">IF(SIP[[#This Row],[B/S]]="S",ABS(SIP[[#This Row],[Unit]])*(INDEX(SIP[NAV at Cost (Average)],MATCH(CONCATENATE((SIP[[#This Row],[Frequency]]-1),SIP[[#This Row],[Investor ID]]),SIP[Unique Code],0),0)),0)</f>
        <v>0</v>
      </c>
      <c r="V1824" s="74">
        <f>IF(SIP[[#This Row],[BO TRANSFER]]="YES",SIP[[#This Row],[Unit]],)</f>
        <v>0</v>
      </c>
      <c r="W1824" s="74">
        <f>SUMIFS(SIP[[#Headers],[BO UNIT TRANSFER]]:SIP[[#This Row],[BO UNIT TRANSFER]],SIP[[#Headers],[Investor ID]]:SIP[[#This Row],[Investor ID]],SIP[[#This Row],[Investor ID]])</f>
        <v>3278</v>
      </c>
    </row>
    <row r="1825" spans="1:23" ht="15" customHeight="1">
      <c r="A1825" s="101">
        <v>2026</v>
      </c>
      <c r="B1825" s="101">
        <v>2</v>
      </c>
      <c r="C1825" s="46">
        <v>26</v>
      </c>
      <c r="D1825" s="65">
        <f>DATE(SIP[[#This Row],[Year]],SIP[[#This Row],[Month]],SIP[[#This Row],[Day]])</f>
        <v>46079</v>
      </c>
      <c r="E1825" s="66" t="str" cm="1">
        <f t="array" ref="E1825">INDEX(INVESTORS_LIST[INVESTOR NAME],MATCH(SIP[[#This Row],[Investor ID]],INVESTORS_LIST[INVESTOR CODE],0),)</f>
        <v>TANVIR HASAN</v>
      </c>
      <c r="F1825" s="46" t="s">
        <v>561</v>
      </c>
      <c r="G1825" s="46">
        <f>COUNTIF(SIP[[#Headers],[Investor ID]]:SIP[[#This Row],[Investor ID]],SIP[[#This Row],[Investor ID]])</f>
        <v>11</v>
      </c>
      <c r="H1825" s="46" t="str">
        <f>CONCATENATE(SIP[[#This Row],[Frequency]],SIP[[#This Row],[Investor ID]])</f>
        <v>11A00256</v>
      </c>
      <c r="I1825" s="46" t="str">
        <f>IF(SIP[[#This Row],[B/S]]="B","BUY",(IF(SIP[[#This Row],[B/S]]="S","SELL"," ")))</f>
        <v>BUY</v>
      </c>
      <c r="J1825" s="150" t="s">
        <v>1229</v>
      </c>
      <c r="K1825" s="153">
        <v>10000</v>
      </c>
      <c r="L1825" s="122"/>
      <c r="M1825" s="123">
        <f>SIP[[#This Row],[Amount]]/SIP[[#This Row],[Unit]]</f>
        <v>14.084507042253522</v>
      </c>
      <c r="N1825" s="71">
        <f>SIP[[#This Row],[Unit Capital]]/10</f>
        <v>710</v>
      </c>
      <c r="O1825" s="71">
        <f>SUMIFS(SIP[[#Headers],[Unit]]:SIP[[#This Row],[Unit]],SIP[[#Headers],[Investor ID]]:SIP[[#This Row],[Investor ID]],SIP[[#This Row],[Investor ID]])</f>
        <v>8303</v>
      </c>
      <c r="P1825" s="153">
        <v>7100</v>
      </c>
      <c r="Q1825" s="74">
        <f>SIP[[#This Row],[Amount]]-SIP[[#This Row],[Unit Capital]]</f>
        <v>2900</v>
      </c>
      <c r="R182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13.248223533662534</v>
      </c>
      <c r="S1825" s="46">
        <f t="shared" si="86"/>
        <v>14.224</v>
      </c>
      <c r="T182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5" s="74" cm="1">
        <f t="array" ref="U1825">IF(SIP[[#This Row],[B/S]]="S",ABS(SIP[[#This Row],[Unit]])*(INDEX(SIP[NAV at Cost (Average)],MATCH(CONCATENATE((SIP[[#This Row],[Frequency]]-1),SIP[[#This Row],[Investor ID]]),SIP[Unique Code],0),0)),0)</f>
        <v>0</v>
      </c>
      <c r="V1825" s="74">
        <f>IF(SIP[[#This Row],[BO TRANSFER]]="YES",SIP[[#This Row],[Unit]],)</f>
        <v>0</v>
      </c>
      <c r="W1825" s="74">
        <f>SUMIFS(SIP[[#Headers],[BO UNIT TRANSFER]]:SIP[[#This Row],[BO UNIT TRANSFER]],SIP[[#Headers],[Investor ID]]:SIP[[#This Row],[Investor ID]],SIP[[#This Row],[Investor ID]])</f>
        <v>0</v>
      </c>
    </row>
    <row r="1826" spans="1:23" ht="15" customHeight="1">
      <c r="A1826" s="101">
        <v>2026</v>
      </c>
      <c r="B1826" s="101">
        <v>2</v>
      </c>
      <c r="C1826" s="46">
        <v>26</v>
      </c>
      <c r="D1826" s="65">
        <f>DATE(SIP[[#This Row],[Year]],SIP[[#This Row],[Month]],SIP[[#This Row],[Day]])</f>
        <v>46079</v>
      </c>
      <c r="E1826" s="66" t="str" cm="1">
        <f t="array" ref="E1826">INDEX(INVESTORS_LIST[INVESTOR NAME],MATCH(SIP[[#This Row],[Investor ID]],INVESTORS_LIST[INVESTOR CODE],0),)</f>
        <v>RUMA AKTER</v>
      </c>
      <c r="F1826" s="46" t="s">
        <v>1323</v>
      </c>
      <c r="G1826" s="46">
        <f>COUNTIF(SIP[[#Headers],[Investor ID]]:SIP[[#This Row],[Investor ID]],SIP[[#This Row],[Investor ID]])</f>
        <v>17</v>
      </c>
      <c r="H1826" s="46" t="str">
        <f>CONCATENATE(SIP[[#This Row],[Frequency]],SIP[[#This Row],[Investor ID]])</f>
        <v>17A00608</v>
      </c>
      <c r="I1826" s="46" t="str">
        <f>IF(SIP[[#This Row],[B/S]]="B","BUY",(IF(SIP[[#This Row],[B/S]]="S","SELL"," ")))</f>
        <v>BUY</v>
      </c>
      <c r="J1826" s="150" t="s">
        <v>1229</v>
      </c>
      <c r="K1826" s="153">
        <v>1000</v>
      </c>
      <c r="L1826" s="122"/>
      <c r="M1826" s="123">
        <f>SIP[[#This Row],[Amount]]/SIP[[#This Row],[Unit]]</f>
        <v>14.084507042253522</v>
      </c>
      <c r="N1826" s="71">
        <f>SIP[[#This Row],[Unit Capital]]/10</f>
        <v>71</v>
      </c>
      <c r="O1826" s="71">
        <f>SUMIFS(SIP[[#Headers],[Unit]]:SIP[[#This Row],[Unit]],SIP[[#Headers],[Investor ID]]:SIP[[#This Row],[Investor ID]],SIP[[#This Row],[Investor ID]])</f>
        <v>1272</v>
      </c>
      <c r="P1826" s="153">
        <v>710</v>
      </c>
      <c r="Q1826" s="74">
        <f>SIP[[#This Row],[Amount]]-SIP[[#This Row],[Unit Capital]]</f>
        <v>290</v>
      </c>
      <c r="R182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13.364779874213832</v>
      </c>
      <c r="S1826" s="46">
        <f t="shared" si="86"/>
        <v>14.224</v>
      </c>
      <c r="T182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6" s="74" cm="1">
        <f t="array" ref="U1826">IF(SIP[[#This Row],[B/S]]="S",ABS(SIP[[#This Row],[Unit]])*(INDEX(SIP[NAV at Cost (Average)],MATCH(CONCATENATE((SIP[[#This Row],[Frequency]]-1),SIP[[#This Row],[Investor ID]]),SIP[Unique Code],0),0)),0)</f>
        <v>0</v>
      </c>
      <c r="V1826" s="74">
        <f>IF(SIP[[#This Row],[BO TRANSFER]]="YES",SIP[[#This Row],[Unit]],)</f>
        <v>0</v>
      </c>
      <c r="W1826" s="74">
        <f>SUMIFS(SIP[[#Headers],[BO UNIT TRANSFER]]:SIP[[#This Row],[BO UNIT TRANSFER]],SIP[[#Headers],[Investor ID]]:SIP[[#This Row],[Investor ID]],SIP[[#This Row],[Investor ID]])</f>
        <v>0</v>
      </c>
    </row>
    <row r="1827" spans="1:23" ht="15" customHeight="1">
      <c r="A1827" s="101">
        <v>2026</v>
      </c>
      <c r="B1827" s="101">
        <v>2</v>
      </c>
      <c r="C1827" s="46">
        <v>26</v>
      </c>
      <c r="D1827" s="65">
        <f>DATE(SIP[[#This Row],[Year]],SIP[[#This Row],[Month]],SIP[[#This Row],[Day]])</f>
        <v>46079</v>
      </c>
      <c r="E1827" s="66" t="str" cm="1">
        <f t="array" ref="E1827">INDEX(INVESTORS_LIST[INVESTOR NAME],MATCH(SIP[[#This Row],[Investor ID]],INVESTORS_LIST[INVESTOR CODE],0),)</f>
        <v>RAJIB</v>
      </c>
      <c r="F1827" s="46" t="s">
        <v>1321</v>
      </c>
      <c r="G1827" s="46">
        <f>COUNTIF(SIP[[#Headers],[Investor ID]]:SIP[[#This Row],[Investor ID]],SIP[[#This Row],[Investor ID]])</f>
        <v>11</v>
      </c>
      <c r="H1827" s="46" t="str">
        <f>CONCATENATE(SIP[[#This Row],[Frequency]],SIP[[#This Row],[Investor ID]])</f>
        <v>11A00607</v>
      </c>
      <c r="I1827" s="46" t="str">
        <f>IF(SIP[[#This Row],[B/S]]="B","BUY",(IF(SIP[[#This Row],[B/S]]="S","SELL"," ")))</f>
        <v>BUY</v>
      </c>
      <c r="J1827" s="150" t="s">
        <v>1229</v>
      </c>
      <c r="K1827" s="153">
        <v>1000</v>
      </c>
      <c r="L1827" s="122"/>
      <c r="M1827" s="123">
        <f>SIP[[#This Row],[Amount]]/SIP[[#This Row],[Unit]]</f>
        <v>14.084507042253522</v>
      </c>
      <c r="N1827" s="71">
        <f>SIP[[#This Row],[Unit Capital]]/10</f>
        <v>71</v>
      </c>
      <c r="O1827" s="71">
        <f>SUMIFS(SIP[[#Headers],[Unit]]:SIP[[#This Row],[Unit]],SIP[[#Headers],[Investor ID]]:SIP[[#This Row],[Investor ID]],SIP[[#This Row],[Investor ID]])</f>
        <v>831</v>
      </c>
      <c r="P1827" s="153">
        <v>710</v>
      </c>
      <c r="Q1827" s="74">
        <f>SIP[[#This Row],[Amount]]-SIP[[#This Row],[Unit Capital]]</f>
        <v>290</v>
      </c>
      <c r="R182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13.237063778580023</v>
      </c>
      <c r="S1827" s="46">
        <f t="shared" si="86"/>
        <v>14.224</v>
      </c>
      <c r="T182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7" s="74" cm="1">
        <f t="array" ref="U1827">IF(SIP[[#This Row],[B/S]]="S",ABS(SIP[[#This Row],[Unit]])*(INDEX(SIP[NAV at Cost (Average)],MATCH(CONCATENATE((SIP[[#This Row],[Frequency]]-1),SIP[[#This Row],[Investor ID]]),SIP[Unique Code],0),0)),0)</f>
        <v>0</v>
      </c>
      <c r="V1827" s="74">
        <f>IF(SIP[[#This Row],[BO TRANSFER]]="YES",SIP[[#This Row],[Unit]],)</f>
        <v>0</v>
      </c>
      <c r="W1827" s="74">
        <f>SUMIFS(SIP[[#Headers],[BO UNIT TRANSFER]]:SIP[[#This Row],[BO UNIT TRANSFER]],SIP[[#Headers],[Investor ID]]:SIP[[#This Row],[Investor ID]],SIP[[#This Row],[Investor ID]])</f>
        <v>0</v>
      </c>
    </row>
    <row r="1828" spans="1:23" ht="15" customHeight="1">
      <c r="A1828" s="101">
        <v>2026</v>
      </c>
      <c r="B1828" s="101">
        <v>2</v>
      </c>
      <c r="C1828" s="46">
        <v>26</v>
      </c>
      <c r="D1828" s="65">
        <f>DATE(SIP[[#This Row],[Year]],SIP[[#This Row],[Month]],SIP[[#This Row],[Day]])</f>
        <v>46079</v>
      </c>
      <c r="E1828" s="66" t="str" cm="1">
        <f t="array" ref="E1828">INDEX(INVESTORS_LIST[INVESTOR NAME],MATCH(SIP[[#This Row],[Investor ID]],INVESTORS_LIST[INVESTOR CODE],0),)</f>
        <v>MST. GOLENUR</v>
      </c>
      <c r="F1828" s="46" t="s">
        <v>1075</v>
      </c>
      <c r="G1828" s="46">
        <f>COUNTIF(SIP[[#Headers],[Investor ID]]:SIP[[#This Row],[Investor ID]],SIP[[#This Row],[Investor ID]])</f>
        <v>16</v>
      </c>
      <c r="H1828" s="46" t="str">
        <f>CONCATENATE(SIP[[#This Row],[Frequency]],SIP[[#This Row],[Investor ID]])</f>
        <v>16A00515</v>
      </c>
      <c r="I1828" s="46" t="str">
        <f>IF(SIP[[#This Row],[B/S]]="B","BUY",(IF(SIP[[#This Row],[B/S]]="S","SELL"," ")))</f>
        <v>BUY</v>
      </c>
      <c r="J1828" s="150" t="s">
        <v>1229</v>
      </c>
      <c r="K1828" s="153">
        <v>4000</v>
      </c>
      <c r="L1828" s="122"/>
      <c r="M1828" s="123">
        <f>SIP[[#This Row],[Amount]]/SIP[[#This Row],[Unit]]</f>
        <v>14.084507042253522</v>
      </c>
      <c r="N1828" s="71">
        <f>SIP[[#This Row],[Unit Capital]]/10</f>
        <v>284</v>
      </c>
      <c r="O1828" s="71">
        <f>SUMIFS(SIP[[#Headers],[Unit]]:SIP[[#This Row],[Unit]],SIP[[#Headers],[Investor ID]]:SIP[[#This Row],[Investor ID]],SIP[[#This Row],[Investor ID]])</f>
        <v>3174</v>
      </c>
      <c r="P1828" s="153">
        <v>2840</v>
      </c>
      <c r="Q1828" s="74">
        <f>SIP[[#This Row],[Amount]]-SIP[[#This Row],[Unit Capital]]</f>
        <v>1160</v>
      </c>
      <c r="R182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13.232514177693762</v>
      </c>
      <c r="S1828" s="46">
        <f t="shared" si="86"/>
        <v>14.224</v>
      </c>
      <c r="T182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8" s="74" cm="1">
        <f t="array" ref="U1828">IF(SIP[[#This Row],[B/S]]="S",ABS(SIP[[#This Row],[Unit]])*(INDEX(SIP[NAV at Cost (Average)],MATCH(CONCATENATE((SIP[[#This Row],[Frequency]]-1),SIP[[#This Row],[Investor ID]]),SIP[Unique Code],0),0)),0)</f>
        <v>0</v>
      </c>
      <c r="V1828" s="74">
        <f>IF(SIP[[#This Row],[BO TRANSFER]]="YES",SIP[[#This Row],[Unit]],)</f>
        <v>0</v>
      </c>
      <c r="W1828" s="74">
        <f>SUMIFS(SIP[[#Headers],[BO UNIT TRANSFER]]:SIP[[#This Row],[BO UNIT TRANSFER]],SIP[[#Headers],[Investor ID]]:SIP[[#This Row],[Investor ID]],SIP[[#This Row],[Investor ID]])</f>
        <v>0</v>
      </c>
    </row>
    <row r="1829" spans="1:23" ht="15" customHeight="1">
      <c r="A1829" s="101">
        <v>2026</v>
      </c>
      <c r="B1829" s="101">
        <v>2</v>
      </c>
      <c r="C1829" s="46">
        <v>26</v>
      </c>
      <c r="D1829" s="65">
        <f>DATE(SIP[[#This Row],[Year]],SIP[[#This Row],[Month]],SIP[[#This Row],[Day]])</f>
        <v>46079</v>
      </c>
      <c r="E1829" s="66" t="str" cm="1">
        <f t="array" ref="E1829">INDEX(INVESTORS_LIST[INVESTOR NAME],MATCH(SIP[[#This Row],[Investor ID]],INVESTORS_LIST[INVESTOR CODE],0),)</f>
        <v>RUMA AKTER</v>
      </c>
      <c r="F1829" s="46" t="s">
        <v>1323</v>
      </c>
      <c r="G1829" s="46">
        <f>COUNTIF(SIP[[#Headers],[Investor ID]]:SIP[[#This Row],[Investor ID]],SIP[[#This Row],[Investor ID]])</f>
        <v>18</v>
      </c>
      <c r="H1829" s="46" t="str">
        <f>CONCATENATE(SIP[[#This Row],[Frequency]],SIP[[#This Row],[Investor ID]])</f>
        <v>18A00608</v>
      </c>
      <c r="I1829" s="46" t="str">
        <f>IF(SIP[[#This Row],[B/S]]="B","BUY",(IF(SIP[[#This Row],[B/S]]="S","SELL"," ")))</f>
        <v>BUY</v>
      </c>
      <c r="J1829" s="150" t="s">
        <v>1229</v>
      </c>
      <c r="K1829" s="153">
        <v>1000</v>
      </c>
      <c r="L1829" s="122"/>
      <c r="M1829" s="123">
        <f>SIP[[#This Row],[Amount]]/SIP[[#This Row],[Unit]]</f>
        <v>14.084507042253522</v>
      </c>
      <c r="N1829" s="71">
        <f>SIP[[#This Row],[Unit Capital]]/10</f>
        <v>71</v>
      </c>
      <c r="O1829" s="71">
        <f>SUMIFS(SIP[[#Headers],[Unit]]:SIP[[#This Row],[Unit]],SIP[[#Headers],[Investor ID]]:SIP[[#This Row],[Investor ID]],SIP[[#This Row],[Investor ID]])</f>
        <v>1343</v>
      </c>
      <c r="P1829" s="153">
        <v>710</v>
      </c>
      <c r="Q1829" s="74">
        <f>SIP[[#This Row],[Amount]]-SIP[[#This Row],[Unit Capital]]</f>
        <v>290</v>
      </c>
      <c r="R182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13.402829486224865</v>
      </c>
      <c r="S1829" s="46">
        <f t="shared" si="86"/>
        <v>14.224</v>
      </c>
      <c r="T182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9" s="74" cm="1">
        <f t="array" ref="U1829">IF(SIP[[#This Row],[B/S]]="S",ABS(SIP[[#This Row],[Unit]])*(INDEX(SIP[NAV at Cost (Average)],MATCH(CONCATENATE((SIP[[#This Row],[Frequency]]-1),SIP[[#This Row],[Investor ID]]),SIP[Unique Code],0),0)),0)</f>
        <v>0</v>
      </c>
      <c r="V1829" s="74">
        <f>IF(SIP[[#This Row],[BO TRANSFER]]="YES",SIP[[#This Row],[Unit]],)</f>
        <v>0</v>
      </c>
      <c r="W1829" s="74">
        <f>SUMIFS(SIP[[#Headers],[BO UNIT TRANSFER]]:SIP[[#This Row],[BO UNIT TRANSFER]],SIP[[#Headers],[Investor ID]]:SIP[[#This Row],[Investor ID]],SIP[[#This Row],[Investor ID]])</f>
        <v>0</v>
      </c>
    </row>
    <row r="1830" spans="1:23" ht="15" customHeight="1">
      <c r="A1830" s="101">
        <v>2026</v>
      </c>
      <c r="B1830" s="101">
        <v>2</v>
      </c>
      <c r="C1830" s="46">
        <v>26</v>
      </c>
      <c r="D1830" s="65">
        <f>DATE(SIP[[#This Row],[Year]],SIP[[#This Row],[Month]],SIP[[#This Row],[Day]])</f>
        <v>46079</v>
      </c>
      <c r="E1830" s="66" t="str" cm="1">
        <f t="array" ref="E1830">INDEX(INVESTORS_LIST[INVESTOR NAME],MATCH(SIP[[#This Row],[Investor ID]],INVESTORS_LIST[INVESTOR CODE],0),)</f>
        <v>SHANTA MONI SAHA</v>
      </c>
      <c r="F1830" s="46" t="s">
        <v>1455</v>
      </c>
      <c r="G1830" s="46">
        <f>COUNTIF(SIP[[#Headers],[Investor ID]]:SIP[[#This Row],[Investor ID]],SIP[[#This Row],[Investor ID]])</f>
        <v>3</v>
      </c>
      <c r="H1830" s="46" t="str">
        <f>CONCATENATE(SIP[[#This Row],[Frequency]],SIP[[#This Row],[Investor ID]])</f>
        <v>3A00671</v>
      </c>
      <c r="I1830" s="46" t="str">
        <f>IF(SIP[[#This Row],[B/S]]="B","BUY",(IF(SIP[[#This Row],[B/S]]="S","SELL"," ")))</f>
        <v>BUY</v>
      </c>
      <c r="J1830" s="150" t="s">
        <v>1229</v>
      </c>
      <c r="K1830" s="153">
        <v>5000</v>
      </c>
      <c r="L1830" s="122"/>
      <c r="M1830" s="123">
        <f>SIP[[#This Row],[Amount]]/SIP[[#This Row],[Unit]]</f>
        <v>14.084507042253522</v>
      </c>
      <c r="N1830" s="71">
        <f>SIP[[#This Row],[Unit Capital]]/10</f>
        <v>355</v>
      </c>
      <c r="O1830" s="71">
        <f>SUMIFS(SIP[[#Headers],[Unit]]:SIP[[#This Row],[Unit]],SIP[[#Headers],[Investor ID]]:SIP[[#This Row],[Investor ID]],SIP[[#This Row],[Investor ID]])</f>
        <v>1077</v>
      </c>
      <c r="P1830" s="153">
        <v>3550</v>
      </c>
      <c r="Q1830" s="74">
        <f>SIP[[#This Row],[Amount]]-SIP[[#This Row],[Unit Capital]]</f>
        <v>1450</v>
      </c>
      <c r="R183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13.92757660167131</v>
      </c>
      <c r="S1830" s="46">
        <f t="shared" si="86"/>
        <v>14.224</v>
      </c>
      <c r="T183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0" s="74" cm="1">
        <f t="array" ref="U1830">IF(SIP[[#This Row],[B/S]]="S",ABS(SIP[[#This Row],[Unit]])*(INDEX(SIP[NAV at Cost (Average)],MATCH(CONCATENATE((SIP[[#This Row],[Frequency]]-1),SIP[[#This Row],[Investor ID]]),SIP[Unique Code],0),0)),0)</f>
        <v>0</v>
      </c>
      <c r="V1830" s="74">
        <f>IF(SIP[[#This Row],[BO TRANSFER]]="YES",SIP[[#This Row],[Unit]],)</f>
        <v>0</v>
      </c>
      <c r="W1830" s="74">
        <f>SUMIFS(SIP[[#Headers],[BO UNIT TRANSFER]]:SIP[[#This Row],[BO UNIT TRANSFER]],SIP[[#Headers],[Investor ID]]:SIP[[#This Row],[Investor ID]],SIP[[#This Row],[Investor ID]])</f>
        <v>0</v>
      </c>
    </row>
    <row r="1831" spans="1:23" ht="15" customHeight="1">
      <c r="A1831" s="101">
        <v>2026</v>
      </c>
      <c r="B1831" s="101">
        <v>2</v>
      </c>
      <c r="C1831" s="46">
        <v>26</v>
      </c>
      <c r="D1831" s="65">
        <f>DATE(SIP[[#This Row],[Year]],SIP[[#This Row],[Month]],SIP[[#This Row],[Day]])</f>
        <v>46079</v>
      </c>
      <c r="E1831" s="66" t="str" cm="1">
        <f t="array" ref="E1831">INDEX(INVESTORS_LIST[INVESTOR NAME],MATCH(SIP[[#This Row],[Investor ID]],INVESTORS_LIST[INVESTOR CODE],0),)</f>
        <v>BABITA RANI BARMAN</v>
      </c>
      <c r="F1831" s="46" t="s">
        <v>188</v>
      </c>
      <c r="G1831" s="46">
        <f>COUNTIF(SIP[[#Headers],[Investor ID]]:SIP[[#This Row],[Investor ID]],SIP[[#This Row],[Investor ID]])</f>
        <v>4</v>
      </c>
      <c r="H1831" s="46" t="str">
        <f>CONCATENATE(SIP[[#This Row],[Frequency]],SIP[[#This Row],[Investor ID]])</f>
        <v>4A00070</v>
      </c>
      <c r="I1831" s="46" t="str">
        <f>IF(SIP[[#This Row],[B/S]]="B","BUY",(IF(SIP[[#This Row],[B/S]]="S","SELL"," ")))</f>
        <v>BUY</v>
      </c>
      <c r="J1831" s="150" t="s">
        <v>1229</v>
      </c>
      <c r="K1831" s="153">
        <v>2000</v>
      </c>
      <c r="L1831" s="122"/>
      <c r="M1831" s="123">
        <f>SIP[[#This Row],[Amount]]/SIP[[#This Row],[Unit]]</f>
        <v>14.084507042253522</v>
      </c>
      <c r="N1831" s="71">
        <f>SIP[[#This Row],[Unit Capital]]/10</f>
        <v>142</v>
      </c>
      <c r="O1831" s="71">
        <f>SUMIFS(SIP[[#Headers],[Unit]]:SIP[[#This Row],[Unit]],SIP[[#Headers],[Investor ID]]:SIP[[#This Row],[Investor ID]],SIP[[#This Row],[Investor ID]])</f>
        <v>576</v>
      </c>
      <c r="P1831" s="153">
        <v>1420</v>
      </c>
      <c r="Q1831" s="74">
        <f>SIP[[#This Row],[Amount]]-SIP[[#This Row],[Unit Capital]]</f>
        <v>580</v>
      </c>
      <c r="R183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13.888888888888889</v>
      </c>
      <c r="S1831" s="46">
        <f t="shared" si="86"/>
        <v>14.224</v>
      </c>
      <c r="T183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1" s="74" cm="1">
        <f t="array" ref="U1831">IF(SIP[[#This Row],[B/S]]="S",ABS(SIP[[#This Row],[Unit]])*(INDEX(SIP[NAV at Cost (Average)],MATCH(CONCATENATE((SIP[[#This Row],[Frequency]]-1),SIP[[#This Row],[Investor ID]]),SIP[Unique Code],0),0)),0)</f>
        <v>0</v>
      </c>
      <c r="V1831" s="74">
        <f>IF(SIP[[#This Row],[BO TRANSFER]]="YES",SIP[[#This Row],[Unit]],)</f>
        <v>0</v>
      </c>
      <c r="W1831" s="74">
        <f>SUMIFS(SIP[[#Headers],[BO UNIT TRANSFER]]:SIP[[#This Row],[BO UNIT TRANSFER]],SIP[[#Headers],[Investor ID]]:SIP[[#This Row],[Investor ID]],SIP[[#This Row],[Investor ID]])</f>
        <v>0</v>
      </c>
    </row>
    <row r="1832" spans="1:23" ht="15" customHeight="1">
      <c r="A1832" s="101">
        <v>2026</v>
      </c>
      <c r="B1832" s="101">
        <v>2</v>
      </c>
      <c r="C1832" s="46">
        <v>26</v>
      </c>
      <c r="D1832" s="65">
        <f>DATE(SIP[[#This Row],[Year]],SIP[[#This Row],[Month]],SIP[[#This Row],[Day]])</f>
        <v>46079</v>
      </c>
      <c r="E1832" s="66" t="str" cm="1">
        <f t="array" ref="E1832">INDEX(INVESTORS_LIST[INVESTOR NAME],MATCH(SIP[[#This Row],[Investor ID]],INVESTORS_LIST[INVESTOR CODE],0),)</f>
        <v>KHAN MUHAMMAD FAISOL</v>
      </c>
      <c r="F1832" s="46" t="s">
        <v>930</v>
      </c>
      <c r="G1832" s="46">
        <f>COUNTIF(SIP[[#Headers],[Investor ID]]:SIP[[#This Row],[Investor ID]],SIP[[#This Row],[Investor ID]])</f>
        <v>35</v>
      </c>
      <c r="H1832" s="46" t="str">
        <f>CONCATENATE(SIP[[#This Row],[Frequency]],SIP[[#This Row],[Investor ID]])</f>
        <v>35A00442</v>
      </c>
      <c r="I1832" s="46" t="str">
        <f>IF(SIP[[#This Row],[B/S]]="B","BUY",(IF(SIP[[#This Row],[B/S]]="S","SELL"," ")))</f>
        <v>BUY</v>
      </c>
      <c r="J1832" s="150" t="s">
        <v>1229</v>
      </c>
      <c r="K1832" s="153">
        <v>1000</v>
      </c>
      <c r="L1832" s="122"/>
      <c r="M1832" s="123">
        <f>SIP[[#This Row],[Amount]]/SIP[[#This Row],[Unit]]</f>
        <v>14.084507042253522</v>
      </c>
      <c r="N1832" s="71">
        <f>SIP[[#This Row],[Unit Capital]]/10</f>
        <v>71</v>
      </c>
      <c r="O1832" s="71">
        <f>SUMIFS(SIP[[#Headers],[Unit]]:SIP[[#This Row],[Unit]],SIP[[#Headers],[Investor ID]]:SIP[[#This Row],[Investor ID]],SIP[[#This Row],[Investor ID]])</f>
        <v>590</v>
      </c>
      <c r="P1832" s="153">
        <v>710</v>
      </c>
      <c r="Q1832" s="74">
        <f>SIP[[#This Row],[Amount]]-SIP[[#This Row],[Unit Capital]]</f>
        <v>290</v>
      </c>
      <c r="R183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13.559322033898306</v>
      </c>
      <c r="S1832" s="46">
        <f t="shared" si="86"/>
        <v>14.224</v>
      </c>
      <c r="T183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2" s="74" cm="1">
        <f t="array" ref="U1832">IF(SIP[[#This Row],[B/S]]="S",ABS(SIP[[#This Row],[Unit]])*(INDEX(SIP[NAV at Cost (Average)],MATCH(CONCATENATE((SIP[[#This Row],[Frequency]]-1),SIP[[#This Row],[Investor ID]]),SIP[Unique Code],0),0)),0)</f>
        <v>0</v>
      </c>
      <c r="V1832" s="74">
        <f>IF(SIP[[#This Row],[BO TRANSFER]]="YES",SIP[[#This Row],[Unit]],)</f>
        <v>0</v>
      </c>
      <c r="W1832" s="74">
        <f>SUMIFS(SIP[[#Headers],[BO UNIT TRANSFER]]:SIP[[#This Row],[BO UNIT TRANSFER]],SIP[[#Headers],[Investor ID]]:SIP[[#This Row],[Investor ID]],SIP[[#This Row],[Investor ID]])</f>
        <v>519</v>
      </c>
    </row>
    <row r="1833" spans="1:23" ht="15" customHeight="1">
      <c r="A1833" s="101">
        <v>2026</v>
      </c>
      <c r="B1833" s="101">
        <v>2</v>
      </c>
      <c r="C1833" s="46">
        <v>26</v>
      </c>
      <c r="D1833" s="65">
        <f>DATE(SIP[[#This Row],[Year]],SIP[[#This Row],[Month]],SIP[[#This Row],[Day]])</f>
        <v>46079</v>
      </c>
      <c r="E1833" s="66" t="str" cm="1">
        <f t="array" ref="E1833">INDEX(INVESTORS_LIST[INVESTOR NAME],MATCH(SIP[[#This Row],[Investor ID]],INVESTORS_LIST[INVESTOR CODE],0),)</f>
        <v>MOHAMMAD SAMIUL ALAM</v>
      </c>
      <c r="F1833" s="46" t="s">
        <v>537</v>
      </c>
      <c r="G1833" s="46">
        <f>COUNTIF(SIP[[#Headers],[Investor ID]]:SIP[[#This Row],[Investor ID]],SIP[[#This Row],[Investor ID]])</f>
        <v>32</v>
      </c>
      <c r="H1833" s="46" t="str">
        <f>CONCATENATE(SIP[[#This Row],[Frequency]],SIP[[#This Row],[Investor ID]])</f>
        <v>32A00244</v>
      </c>
      <c r="I1833" s="46" t="str">
        <f>IF(SIP[[#This Row],[B/S]]="B","BUY",(IF(SIP[[#This Row],[B/S]]="S","SELL"," ")))</f>
        <v>BUY</v>
      </c>
      <c r="J1833" s="150" t="s">
        <v>1229</v>
      </c>
      <c r="K1833" s="153">
        <v>15000</v>
      </c>
      <c r="L1833" s="122"/>
      <c r="M1833" s="123">
        <f>SIP[[#This Row],[Amount]]/SIP[[#This Row],[Unit]]</f>
        <v>14.084507042253522</v>
      </c>
      <c r="N1833" s="71">
        <f>SIP[[#This Row],[Unit Capital]]/10</f>
        <v>1065</v>
      </c>
      <c r="O1833" s="71">
        <f>SUMIFS(SIP[[#Headers],[Unit]]:SIP[[#This Row],[Unit]],SIP[[#Headers],[Investor ID]]:SIP[[#This Row],[Investor ID]],SIP[[#This Row],[Investor ID]])</f>
        <v>62249</v>
      </c>
      <c r="P1833" s="153">
        <v>10650</v>
      </c>
      <c r="Q1833" s="74">
        <f>SIP[[#This Row],[Amount]]-SIP[[#This Row],[Unit Capital]]</f>
        <v>4350</v>
      </c>
      <c r="R183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12.12870889492201</v>
      </c>
      <c r="S1833" s="46">
        <f t="shared" si="86"/>
        <v>14.224</v>
      </c>
      <c r="T183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3" s="74" cm="1">
        <f t="array" ref="U1833">IF(SIP[[#This Row],[B/S]]="S",ABS(SIP[[#This Row],[Unit]])*(INDEX(SIP[NAV at Cost (Average)],MATCH(CONCATENATE((SIP[[#This Row],[Frequency]]-1),SIP[[#This Row],[Investor ID]]),SIP[Unique Code],0),0)),0)</f>
        <v>0</v>
      </c>
      <c r="V1833" s="74">
        <f>IF(SIP[[#This Row],[BO TRANSFER]]="YES",SIP[[#This Row],[Unit]],)</f>
        <v>0</v>
      </c>
      <c r="W1833" s="74">
        <f>SUMIFS(SIP[[#Headers],[BO UNIT TRANSFER]]:SIP[[#This Row],[BO UNIT TRANSFER]],SIP[[#Headers],[Investor ID]]:SIP[[#This Row],[Investor ID]],SIP[[#This Row],[Investor ID]])</f>
        <v>18140</v>
      </c>
    </row>
    <row r="1834" spans="1:23" ht="15" customHeight="1">
      <c r="A1834" s="101">
        <v>2026</v>
      </c>
      <c r="B1834" s="101">
        <v>3</v>
      </c>
      <c r="C1834" s="46">
        <v>1</v>
      </c>
      <c r="D1834" s="65">
        <f>DATE(SIP[[#This Row],[Year]],SIP[[#This Row],[Month]],SIP[[#This Row],[Day]])</f>
        <v>46082</v>
      </c>
      <c r="E1834" s="66" t="str" cm="1">
        <f t="array" ref="E1834">INDEX(INVESTORS_LIST[INVESTOR NAME],MATCH(SIP[[#This Row],[Investor ID]],INVESTORS_LIST[INVESTOR CODE],0),)</f>
        <v>MRINMOY GHOSH</v>
      </c>
      <c r="F1834" s="46" t="s">
        <v>69</v>
      </c>
      <c r="G1834" s="46">
        <f>COUNTIF(SIP[[#Headers],[Investor ID]]:SIP[[#This Row],[Investor ID]],SIP[[#This Row],[Investor ID]])</f>
        <v>24</v>
      </c>
      <c r="H1834" s="46" t="str">
        <f>CONCATENATE(SIP[[#This Row],[Frequency]],SIP[[#This Row],[Investor ID]])</f>
        <v>24A00012</v>
      </c>
      <c r="I1834" s="46" t="str">
        <f>IF(SIP[[#This Row],[B/S]]="B","BUY",(IF(SIP[[#This Row],[B/S]]="S","SELL"," ")))</f>
        <v>SELL</v>
      </c>
      <c r="J1834" s="150" t="s">
        <v>1231</v>
      </c>
      <c r="K1834" s="153">
        <v>-10000</v>
      </c>
      <c r="L1834" s="122"/>
      <c r="M1834" s="123">
        <f>SIP[[#This Row],[Amount]]/SIP[[#This Row],[Unit]]</f>
        <v>14.084507042253522</v>
      </c>
      <c r="N1834" s="71">
        <f>SIP[[#This Row],[Unit Capital]]/10</f>
        <v>-710</v>
      </c>
      <c r="O1834" s="71">
        <f>SUMIFS(SIP[[#Headers],[Unit]]:SIP[[#This Row],[Unit]],SIP[[#Headers],[Investor ID]]:SIP[[#This Row],[Investor ID]],SIP[[#This Row],[Investor ID]])</f>
        <v>0</v>
      </c>
      <c r="P1834" s="153">
        <v>-7100</v>
      </c>
      <c r="Q1834" s="74">
        <f>SIP[[#This Row],[Amount]]-SIP[[#This Row],[Unit Capital]]</f>
        <v>-2900</v>
      </c>
      <c r="R183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834" s="46">
        <f t="shared" si="86"/>
        <v>14.224</v>
      </c>
      <c r="T183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4" s="74" cm="1">
        <f t="array" ref="U1834">IF(SIP[[#This Row],[B/S]]="S",ABS(SIP[[#This Row],[Unit]])*(INDEX(SIP[NAV at Cost (Average)],MATCH(CONCATENATE((SIP[[#This Row],[Frequency]]-1),SIP[[#This Row],[Investor ID]]),SIP[Unique Code],0),0)),0)</f>
        <v>10000</v>
      </c>
      <c r="V1834" s="74">
        <f>IF(SIP[[#This Row],[BO TRANSFER]]="YES",SIP[[#This Row],[Unit]],)</f>
        <v>0</v>
      </c>
      <c r="W1834" s="74">
        <f>SUMIFS(SIP[[#Headers],[BO UNIT TRANSFER]]:SIP[[#This Row],[BO UNIT TRANSFER]],SIP[[#Headers],[Investor ID]]:SIP[[#This Row],[Investor ID]],SIP[[#This Row],[Investor ID]])</f>
        <v>0</v>
      </c>
    </row>
    <row r="1835" spans="1:23" ht="15" customHeight="1">
      <c r="A1835" s="101">
        <v>2026</v>
      </c>
      <c r="B1835" s="101">
        <v>3</v>
      </c>
      <c r="C1835" s="46">
        <v>1</v>
      </c>
      <c r="D1835" s="65">
        <f>DATE(SIP[[#This Row],[Year]],SIP[[#This Row],[Month]],SIP[[#This Row],[Day]])</f>
        <v>46082</v>
      </c>
      <c r="E1835" s="66" t="str" cm="1">
        <f t="array" ref="E1835">INDEX(INVESTORS_LIST[INVESTOR NAME],MATCH(SIP[[#This Row],[Investor ID]],INVESTORS_LIST[INVESTOR CODE],0),)</f>
        <v>MD MIZANUR RAHMAN</v>
      </c>
      <c r="F1835" s="46" t="s">
        <v>1304</v>
      </c>
      <c r="G1835" s="46">
        <f>COUNTIF(SIP[[#Headers],[Investor ID]]:SIP[[#This Row],[Investor ID]],SIP[[#This Row],[Investor ID]])</f>
        <v>17</v>
      </c>
      <c r="H1835" s="46" t="str">
        <f>CONCATENATE(SIP[[#This Row],[Frequency]],SIP[[#This Row],[Investor ID]])</f>
        <v>17A00599</v>
      </c>
      <c r="I1835" s="46" t="str">
        <f>IF(SIP[[#This Row],[B/S]]="B","BUY",(IF(SIP[[#This Row],[B/S]]="S","SELL"," ")))</f>
        <v>SELL</v>
      </c>
      <c r="J1835" s="150" t="s">
        <v>1231</v>
      </c>
      <c r="K1835" s="153">
        <v>-5000</v>
      </c>
      <c r="L1835" s="122"/>
      <c r="M1835" s="123">
        <f>SIP[[#This Row],[Amount]]/SIP[[#This Row],[Unit]]</f>
        <v>14.084507042253522</v>
      </c>
      <c r="N1835" s="71">
        <f>SIP[[#This Row],[Unit Capital]]/10</f>
        <v>-355</v>
      </c>
      <c r="O1835" s="71">
        <f>SUMIFS(SIP[[#Headers],[Unit]]:SIP[[#This Row],[Unit]],SIP[[#Headers],[Investor ID]]:SIP[[#This Row],[Investor ID]],SIP[[#This Row],[Investor ID]])</f>
        <v>2201</v>
      </c>
      <c r="P1835" s="153">
        <v>-3550</v>
      </c>
      <c r="Q1835" s="74">
        <f>SIP[[#This Row],[Amount]]-SIP[[#This Row],[Unit Capital]]</f>
        <v>-1450</v>
      </c>
      <c r="R183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13.693270735524257</v>
      </c>
      <c r="S1835" s="46">
        <f t="shared" si="86"/>
        <v>14.224</v>
      </c>
      <c r="T1835" s="74">
        <f>IF(SIP[[#This Row],[B/S]]="B",0,ABS(SIP[[#This Row],[Unit]])*(SIP[[#This Row],[NAV (Strike Rate)]]-INDEX(SIP[NAV at Cost (Average)],MATCH(CONCATENATE(SIP[[#This Row],[Frequency]]-1,SIP[[#This Row],[Investor ID]]),SIP[Unique Code],0),)))</f>
        <v>138.88888888888917</v>
      </c>
      <c r="U1835" s="74" cm="1">
        <f t="array" ref="U1835">IF(SIP[[#This Row],[B/S]]="S",ABS(SIP[[#This Row],[Unit]])*(INDEX(SIP[NAV at Cost (Average)],MATCH(CONCATENATE((SIP[[#This Row],[Frequency]]-1),SIP[[#This Row],[Investor ID]]),SIP[Unique Code],0),0)),0)</f>
        <v>4861.1111111111113</v>
      </c>
      <c r="V1835" s="74">
        <f>IF(SIP[[#This Row],[BO TRANSFER]]="YES",SIP[[#This Row],[Unit]],)</f>
        <v>0</v>
      </c>
      <c r="W1835" s="74">
        <f>SUMIFS(SIP[[#Headers],[BO UNIT TRANSFER]]:SIP[[#This Row],[BO UNIT TRANSFER]],SIP[[#Headers],[Investor ID]]:SIP[[#This Row],[Investor ID]],SIP[[#This Row],[Investor ID]])</f>
        <v>0</v>
      </c>
    </row>
    <row r="1836" spans="1:23" ht="15" customHeight="1">
      <c r="A1836" s="101">
        <v>2026</v>
      </c>
      <c r="B1836" s="101">
        <v>3</v>
      </c>
      <c r="C1836" s="46">
        <v>1</v>
      </c>
      <c r="D1836" s="65">
        <f>DATE(SIP[[#This Row],[Year]],SIP[[#This Row],[Month]],SIP[[#This Row],[Day]])</f>
        <v>46082</v>
      </c>
      <c r="E1836" s="66" t="str" cm="1">
        <f t="array" ref="E1836">INDEX(INVESTORS_LIST[INVESTOR NAME],MATCH(SIP[[#This Row],[Investor ID]],INVESTORS_LIST[INVESTOR CODE],0),)</f>
        <v>ASHIK IQBAL CHOWDHURY</v>
      </c>
      <c r="F1836" s="46" t="s">
        <v>1016</v>
      </c>
      <c r="G1836" s="46">
        <f>COUNTIF(SIP[[#Headers],[Investor ID]]:SIP[[#This Row],[Investor ID]],SIP[[#This Row],[Investor ID]])</f>
        <v>24</v>
      </c>
      <c r="H1836" s="46" t="str">
        <f>CONCATENATE(SIP[[#This Row],[Frequency]],SIP[[#This Row],[Investor ID]])</f>
        <v>24A00485</v>
      </c>
      <c r="I1836" s="46" t="str">
        <f>IF(SIP[[#This Row],[B/S]]="B","BUY",(IF(SIP[[#This Row],[B/S]]="S","SELL"," ")))</f>
        <v>SELL</v>
      </c>
      <c r="J1836" s="150" t="s">
        <v>1231</v>
      </c>
      <c r="K1836" s="153">
        <v>-5000</v>
      </c>
      <c r="L1836" s="122"/>
      <c r="M1836" s="123">
        <f>SIP[[#This Row],[Amount]]/SIP[[#This Row],[Unit]]</f>
        <v>14.084507042253522</v>
      </c>
      <c r="N1836" s="71">
        <f>SIP[[#This Row],[Unit Capital]]/10</f>
        <v>-355</v>
      </c>
      <c r="O1836" s="71">
        <f>SUMIFS(SIP[[#Headers],[Unit]]:SIP[[#This Row],[Unit]],SIP[[#Headers],[Investor ID]]:SIP[[#This Row],[Investor ID]],SIP[[#This Row],[Investor ID]])</f>
        <v>7993</v>
      </c>
      <c r="P1836" s="153">
        <v>-3550</v>
      </c>
      <c r="Q1836" s="74">
        <f>SIP[[#This Row],[Amount]]-SIP[[#This Row],[Unit Capital]]</f>
        <v>-1450</v>
      </c>
      <c r="R183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11.512507388389437</v>
      </c>
      <c r="S1836" s="46">
        <f t="shared" si="86"/>
        <v>14.224</v>
      </c>
      <c r="T1836" s="74">
        <f>IF(SIP[[#This Row],[B/S]]="B",0,ABS(SIP[[#This Row],[Unit]])*(SIP[[#This Row],[NAV (Strike Rate)]]-INDEX(SIP[NAV at Cost (Average)],MATCH(CONCATENATE(SIP[[#This Row],[Frequency]]-1,SIP[[#This Row],[Investor ID]]),SIP[Unique Code],0),)))</f>
        <v>913.05987712174999</v>
      </c>
      <c r="U1836" s="74" cm="1">
        <f t="array" ref="U1836">IF(SIP[[#This Row],[B/S]]="S",ABS(SIP[[#This Row],[Unit]])*(INDEX(SIP[NAV at Cost (Average)],MATCH(CONCATENATE((SIP[[#This Row],[Frequency]]-1),SIP[[#This Row],[Investor ID]]),SIP[Unique Code],0),0)),0)</f>
        <v>4086.9401228782503</v>
      </c>
      <c r="V1836" s="74">
        <f>IF(SIP[[#This Row],[BO TRANSFER]]="YES",SIP[[#This Row],[Unit]],)</f>
        <v>0</v>
      </c>
      <c r="W1836" s="74">
        <f>SUMIFS(SIP[[#Headers],[BO UNIT TRANSFER]]:SIP[[#This Row],[BO UNIT TRANSFER]],SIP[[#Headers],[Investor ID]]:SIP[[#This Row],[Investor ID]],SIP[[#This Row],[Investor ID]])</f>
        <v>0</v>
      </c>
    </row>
    <row r="1837" spans="1:23" ht="15" customHeight="1">
      <c r="A1837" s="101">
        <v>2026</v>
      </c>
      <c r="B1837" s="101">
        <v>3</v>
      </c>
      <c r="C1837" s="46">
        <v>1</v>
      </c>
      <c r="D1837" s="65">
        <f>DATE(SIP[[#This Row],[Year]],SIP[[#This Row],[Month]],SIP[[#This Row],[Day]])</f>
        <v>46082</v>
      </c>
      <c r="E1837" s="66" t="str" cm="1">
        <f t="array" ref="E1837">INDEX(INVESTORS_LIST[INVESTOR NAME],MATCH(SIP[[#This Row],[Investor ID]],INVESTORS_LIST[INVESTOR CODE],0),)</f>
        <v>SAJJAD CHOWDHURY</v>
      </c>
      <c r="F1837" s="46" t="s">
        <v>461</v>
      </c>
      <c r="G1837" s="46">
        <f>COUNTIF(SIP[[#Headers],[Investor ID]]:SIP[[#This Row],[Investor ID]],SIP[[#This Row],[Investor ID]])</f>
        <v>31</v>
      </c>
      <c r="H1837" s="46" t="str">
        <f>CONCATENATE(SIP[[#This Row],[Frequency]],SIP[[#This Row],[Investor ID]])</f>
        <v>31A00206</v>
      </c>
      <c r="I1837" s="46" t="str">
        <f>IF(SIP[[#This Row],[B/S]]="B","BUY",(IF(SIP[[#This Row],[B/S]]="S","SELL"," ")))</f>
        <v>SELL</v>
      </c>
      <c r="J1837" s="150" t="s">
        <v>1231</v>
      </c>
      <c r="K1837" s="153">
        <v>-7500</v>
      </c>
      <c r="L1837" s="122"/>
      <c r="M1837" s="123">
        <f>SIP[[#This Row],[Amount]]/SIP[[#This Row],[Unit]]</f>
        <v>14.097744360902256</v>
      </c>
      <c r="N1837" s="71">
        <f>SIP[[#This Row],[Unit Capital]]/10</f>
        <v>-532</v>
      </c>
      <c r="O1837" s="71">
        <f>SUMIFS(SIP[[#Headers],[Unit]]:SIP[[#This Row],[Unit]],SIP[[#Headers],[Investor ID]]:SIP[[#This Row],[Investor ID]],SIP[[#This Row],[Investor ID]])</f>
        <v>2396</v>
      </c>
      <c r="P1837" s="153">
        <v>-5320</v>
      </c>
      <c r="Q1837" s="74">
        <f>SIP[[#This Row],[Amount]]-SIP[[#This Row],[Unit Capital]]</f>
        <v>-2180</v>
      </c>
      <c r="R183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13.148533245734079</v>
      </c>
      <c r="S1837" s="46">
        <f t="shared" si="86"/>
        <v>14.224</v>
      </c>
      <c r="T1837" s="74">
        <f>IF(SIP[[#This Row],[B/S]]="B",0,ABS(SIP[[#This Row],[Unit]])*(SIP[[#This Row],[NAV (Strike Rate)]]-INDEX(SIP[NAV at Cost (Average)],MATCH(CONCATENATE(SIP[[#This Row],[Frequency]]-1,SIP[[#This Row],[Investor ID]]),SIP[Unique Code],0),)))</f>
        <v>504.98031326947029</v>
      </c>
      <c r="U1837" s="74" cm="1">
        <f t="array" ref="U1837">IF(SIP[[#This Row],[B/S]]="S",ABS(SIP[[#This Row],[Unit]])*(INDEX(SIP[NAV at Cost (Average)],MATCH(CONCATENATE((SIP[[#This Row],[Frequency]]-1),SIP[[#This Row],[Investor ID]]),SIP[Unique Code],0),0)),0)</f>
        <v>6995.0196867305303</v>
      </c>
      <c r="V1837" s="74">
        <f>IF(SIP[[#This Row],[BO TRANSFER]]="YES",SIP[[#This Row],[Unit]],)</f>
        <v>0</v>
      </c>
      <c r="W1837" s="74">
        <f>SUMIFS(SIP[[#Headers],[BO UNIT TRANSFER]]:SIP[[#This Row],[BO UNIT TRANSFER]],SIP[[#Headers],[Investor ID]]:SIP[[#This Row],[Investor ID]],SIP[[#This Row],[Investor ID]])</f>
        <v>0</v>
      </c>
    </row>
    <row r="1838" spans="1:23" ht="15" customHeight="1">
      <c r="A1838" s="101">
        <v>2026</v>
      </c>
      <c r="B1838" s="101">
        <v>3</v>
      </c>
      <c r="C1838" s="46">
        <v>1</v>
      </c>
      <c r="D1838" s="65">
        <f>DATE(SIP[[#This Row],[Year]],SIP[[#This Row],[Month]],SIP[[#This Row],[Day]])</f>
        <v>46082</v>
      </c>
      <c r="E1838" s="66" t="str" cm="1">
        <f t="array" ref="E1838">INDEX(INVESTORS_LIST[INVESTOR NAME],MATCH(SIP[[#This Row],[Investor ID]],INVESTORS_LIST[INVESTOR CODE],0),)</f>
        <v>MD. NAZMUS SAKIB</v>
      </c>
      <c r="F1838" s="46" t="s">
        <v>1475</v>
      </c>
      <c r="G1838" s="46">
        <f>COUNTIF(SIP[[#Headers],[Investor ID]]:SIP[[#This Row],[Investor ID]],SIP[[#This Row],[Investor ID]])</f>
        <v>3</v>
      </c>
      <c r="H1838" s="46" t="str">
        <f>CONCATENATE(SIP[[#This Row],[Frequency]],SIP[[#This Row],[Investor ID]])</f>
        <v>3A00684</v>
      </c>
      <c r="I1838" s="46" t="str">
        <f>IF(SIP[[#This Row],[B/S]]="B","BUY",(IF(SIP[[#This Row],[B/S]]="S","SELL"," ")))</f>
        <v>BUY</v>
      </c>
      <c r="J1838" s="150" t="s">
        <v>1229</v>
      </c>
      <c r="K1838" s="153">
        <v>2500</v>
      </c>
      <c r="L1838" s="122"/>
      <c r="M1838" s="123">
        <f>SIP[[#This Row],[Amount]]/SIP[[#This Row],[Unit]]</f>
        <v>14.124293785310735</v>
      </c>
      <c r="N1838" s="71">
        <f>SIP[[#This Row],[Unit Capital]]/10</f>
        <v>177</v>
      </c>
      <c r="O1838" s="71">
        <f>SUMIFS(SIP[[#Headers],[Unit]]:SIP[[#This Row],[Unit]],SIP[[#Headers],[Investor ID]]:SIP[[#This Row],[Investor ID]],SIP[[#This Row],[Investor ID]])</f>
        <v>538</v>
      </c>
      <c r="P1838" s="153">
        <v>1770</v>
      </c>
      <c r="Q1838" s="74">
        <f>SIP[[#This Row],[Amount]]-SIP[[#This Row],[Unit Capital]]</f>
        <v>730</v>
      </c>
      <c r="R183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13.940520446096652</v>
      </c>
      <c r="S1838" s="46">
        <f t="shared" si="86"/>
        <v>14.224</v>
      </c>
      <c r="T183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8" s="74" cm="1">
        <f t="array" ref="U1838">IF(SIP[[#This Row],[B/S]]="S",ABS(SIP[[#This Row],[Unit]])*(INDEX(SIP[NAV at Cost (Average)],MATCH(CONCATENATE((SIP[[#This Row],[Frequency]]-1),SIP[[#This Row],[Investor ID]]),SIP[Unique Code],0),0)),0)</f>
        <v>0</v>
      </c>
      <c r="V1838" s="74">
        <f>IF(SIP[[#This Row],[BO TRANSFER]]="YES",SIP[[#This Row],[Unit]],)</f>
        <v>0</v>
      </c>
      <c r="W1838" s="74">
        <f>SUMIFS(SIP[[#Headers],[BO UNIT TRANSFER]]:SIP[[#This Row],[BO UNIT TRANSFER]],SIP[[#Headers],[Investor ID]]:SIP[[#This Row],[Investor ID]],SIP[[#This Row],[Investor ID]])</f>
        <v>0</v>
      </c>
    </row>
    <row r="1839" spans="1:23" ht="15" customHeight="1">
      <c r="A1839" s="101">
        <v>2026</v>
      </c>
      <c r="B1839" s="101">
        <v>3</v>
      </c>
      <c r="C1839" s="46">
        <v>1</v>
      </c>
      <c r="D1839" s="65">
        <f>DATE(SIP[[#This Row],[Year]],SIP[[#This Row],[Month]],SIP[[#This Row],[Day]])</f>
        <v>46082</v>
      </c>
      <c r="E1839" s="66" t="str" cm="1">
        <f t="array" ref="E1839">INDEX(INVESTORS_LIST[INVESTOR NAME],MATCH(SIP[[#This Row],[Investor ID]],INVESTORS_LIST[INVESTOR CODE],0),)</f>
        <v>MD. NAZMUS SAKIB</v>
      </c>
      <c r="F1839" s="46" t="s">
        <v>1476</v>
      </c>
      <c r="G1839" s="46">
        <f>COUNTIF(SIP[[#Headers],[Investor ID]]:SIP[[#This Row],[Investor ID]],SIP[[#This Row],[Investor ID]])</f>
        <v>3</v>
      </c>
      <c r="H1839" s="46" t="str">
        <f>CONCATENATE(SIP[[#This Row],[Frequency]],SIP[[#This Row],[Investor ID]])</f>
        <v>3A00683</v>
      </c>
      <c r="I1839" s="46" t="str">
        <f>IF(SIP[[#This Row],[B/S]]="B","BUY",(IF(SIP[[#This Row],[B/S]]="S","SELL"," ")))</f>
        <v>BUY</v>
      </c>
      <c r="J1839" s="150" t="s">
        <v>1229</v>
      </c>
      <c r="K1839" s="153">
        <v>2500</v>
      </c>
      <c r="L1839" s="122"/>
      <c r="M1839" s="123">
        <f>SIP[[#This Row],[Amount]]/SIP[[#This Row],[Unit]]</f>
        <v>14.124293785310735</v>
      </c>
      <c r="N1839" s="71">
        <f>SIP[[#This Row],[Unit Capital]]/10</f>
        <v>177</v>
      </c>
      <c r="O1839" s="71">
        <f>SUMIFS(SIP[[#Headers],[Unit]]:SIP[[#This Row],[Unit]],SIP[[#Headers],[Investor ID]]:SIP[[#This Row],[Investor ID]],SIP[[#This Row],[Investor ID]])</f>
        <v>538</v>
      </c>
      <c r="P1839" s="153">
        <v>1770</v>
      </c>
      <c r="Q1839" s="74">
        <f>SIP[[#This Row],[Amount]]-SIP[[#This Row],[Unit Capital]]</f>
        <v>730</v>
      </c>
      <c r="R183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13.940520446096652</v>
      </c>
      <c r="S1839" s="46">
        <f t="shared" si="86"/>
        <v>14.224</v>
      </c>
      <c r="T183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39" s="74" cm="1">
        <f t="array" ref="U1839">IF(SIP[[#This Row],[B/S]]="S",ABS(SIP[[#This Row],[Unit]])*(INDEX(SIP[NAV at Cost (Average)],MATCH(CONCATENATE((SIP[[#This Row],[Frequency]]-1),SIP[[#This Row],[Investor ID]]),SIP[Unique Code],0),0)),0)</f>
        <v>0</v>
      </c>
      <c r="V1839" s="74">
        <f>IF(SIP[[#This Row],[BO TRANSFER]]="YES",SIP[[#This Row],[Unit]],)</f>
        <v>0</v>
      </c>
      <c r="W1839" s="74">
        <f>SUMIFS(SIP[[#Headers],[BO UNIT TRANSFER]]:SIP[[#This Row],[BO UNIT TRANSFER]],SIP[[#Headers],[Investor ID]]:SIP[[#This Row],[Investor ID]],SIP[[#This Row],[Investor ID]])</f>
        <v>0</v>
      </c>
    </row>
    <row r="1840" spans="1:23" ht="15" customHeight="1">
      <c r="A1840" s="101">
        <v>2026</v>
      </c>
      <c r="B1840" s="101">
        <v>3</v>
      </c>
      <c r="C1840" s="46">
        <v>1</v>
      </c>
      <c r="D1840" s="65">
        <f>DATE(SIP[[#This Row],[Year]],SIP[[#This Row],[Month]],SIP[[#This Row],[Day]])</f>
        <v>46082</v>
      </c>
      <c r="E1840" s="66" t="str" cm="1">
        <f t="array" ref="E1840">INDEX(INVESTORS_LIST[INVESTOR NAME],MATCH(SIP[[#This Row],[Investor ID]],INVESTORS_LIST[INVESTOR CODE],0),)</f>
        <v>MD. SAIFUL ISLAM</v>
      </c>
      <c r="F1840" s="46" t="s">
        <v>1425</v>
      </c>
      <c r="G1840" s="46">
        <f>COUNTIF(SIP[[#Headers],[Investor ID]]:SIP[[#This Row],[Investor ID]],SIP[[#This Row],[Investor ID]])</f>
        <v>6</v>
      </c>
      <c r="H1840" s="46" t="str">
        <f>CONCATENATE(SIP[[#This Row],[Frequency]],SIP[[#This Row],[Investor ID]])</f>
        <v>6A00658</v>
      </c>
      <c r="I1840" s="46" t="str">
        <f>IF(SIP[[#This Row],[B/S]]="B","BUY",(IF(SIP[[#This Row],[B/S]]="S","SELL"," ")))</f>
        <v>BUY</v>
      </c>
      <c r="J1840" s="150" t="s">
        <v>1229</v>
      </c>
      <c r="K1840" s="153">
        <v>10000</v>
      </c>
      <c r="L1840" s="122"/>
      <c r="M1840" s="123">
        <f>SIP[[#This Row],[Amount]]/SIP[[#This Row],[Unit]]</f>
        <v>14.084507042253522</v>
      </c>
      <c r="N1840" s="71">
        <f>SIP[[#This Row],[Unit Capital]]/10</f>
        <v>710</v>
      </c>
      <c r="O1840" s="71">
        <f>SUMIFS(SIP[[#Headers],[Unit]]:SIP[[#This Row],[Unit]],SIP[[#Headers],[Investor ID]]:SIP[[#This Row],[Investor ID]],SIP[[#This Row],[Investor ID]])</f>
        <v>4350</v>
      </c>
      <c r="P1840" s="153">
        <v>7100</v>
      </c>
      <c r="Q1840" s="74">
        <f>SIP[[#This Row],[Amount]]-SIP[[#This Row],[Unit Capital]]</f>
        <v>2900</v>
      </c>
      <c r="R184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13.793103448275863</v>
      </c>
      <c r="S1840" s="46">
        <f t="shared" ref="S1840:S1860" si="87">NAV_MKT</f>
        <v>14.224</v>
      </c>
      <c r="T184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0" s="74" cm="1">
        <f t="array" ref="U1840">IF(SIP[[#This Row],[B/S]]="S",ABS(SIP[[#This Row],[Unit]])*(INDEX(SIP[NAV at Cost (Average)],MATCH(CONCATENATE((SIP[[#This Row],[Frequency]]-1),SIP[[#This Row],[Investor ID]]),SIP[Unique Code],0),0)),0)</f>
        <v>0</v>
      </c>
      <c r="V1840" s="74">
        <f>IF(SIP[[#This Row],[BO TRANSFER]]="YES",SIP[[#This Row],[Unit]],)</f>
        <v>0</v>
      </c>
      <c r="W1840" s="74">
        <f>SUMIFS(SIP[[#Headers],[BO UNIT TRANSFER]]:SIP[[#This Row],[BO UNIT TRANSFER]],SIP[[#Headers],[Investor ID]]:SIP[[#This Row],[Investor ID]],SIP[[#This Row],[Investor ID]])</f>
        <v>0</v>
      </c>
    </row>
    <row r="1841" spans="1:23" ht="15" customHeight="1">
      <c r="A1841" s="46">
        <v>2026</v>
      </c>
      <c r="B1841" s="46">
        <v>3</v>
      </c>
      <c r="C1841" s="46">
        <v>5</v>
      </c>
      <c r="D1841" s="65">
        <f>DATE(SIP[[#This Row],[Year]],SIP[[#This Row],[Month]],SIP[[#This Row],[Day]])</f>
        <v>46086</v>
      </c>
      <c r="E1841" s="66" t="str" cm="1">
        <f t="array" ref="E1841">INDEX(INVESTORS_LIST[INVESTOR NAME],MATCH(SIP[[#This Row],[Investor ID]],INVESTORS_LIST[INVESTOR CODE],0),)</f>
        <v>AKIB TANVIR ANJUM</v>
      </c>
      <c r="F1841" s="46" t="s">
        <v>1116</v>
      </c>
      <c r="G1841" s="46">
        <f>COUNTIF(SIP[[#Headers],[Investor ID]]:SIP[[#This Row],[Investor ID]],SIP[[#This Row],[Investor ID]])</f>
        <v>32</v>
      </c>
      <c r="H1841" s="46" t="str">
        <f>CONCATENATE(SIP[[#This Row],[Frequency]],SIP[[#This Row],[Investor ID]])</f>
        <v>32A00533</v>
      </c>
      <c r="I1841" s="46" t="str">
        <f>IF(SIP[[#This Row],[B/S]]="B","BUY",(IF(SIP[[#This Row],[B/S]]="S","SELL"," ")))</f>
        <v>BUY</v>
      </c>
      <c r="J1841" s="150" t="s">
        <v>1229</v>
      </c>
      <c r="K1841" s="153">
        <v>4000</v>
      </c>
      <c r="L1841" s="122"/>
      <c r="M1841" s="123">
        <f>SIP[[#This Row],[Amount]]/SIP[[#This Row],[Unit]]</f>
        <v>14.134275618374557</v>
      </c>
      <c r="N1841" s="71">
        <f>SIP[[#This Row],[Unit Capital]]/10</f>
        <v>283</v>
      </c>
      <c r="O1841" s="71">
        <f>SUMIFS(SIP[[#Headers],[Unit]]:SIP[[#This Row],[Unit]],SIP[[#Headers],[Investor ID]]:SIP[[#This Row],[Investor ID]],SIP[[#This Row],[Investor ID]])</f>
        <v>1801</v>
      </c>
      <c r="P1841" s="153">
        <v>2830</v>
      </c>
      <c r="Q1841" s="74">
        <f>SIP[[#This Row],[Amount]]-SIP[[#This Row],[Unit Capital]]</f>
        <v>1170</v>
      </c>
      <c r="R184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13.376191925094867</v>
      </c>
      <c r="S1841" s="46">
        <f t="shared" si="87"/>
        <v>14.224</v>
      </c>
      <c r="T184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1" s="74" cm="1">
        <f t="array" ref="U1841">IF(SIP[[#This Row],[B/S]]="S",ABS(SIP[[#This Row],[Unit]])*(INDEX(SIP[NAV at Cost (Average)],MATCH(CONCATENATE((SIP[[#This Row],[Frequency]]-1),SIP[[#This Row],[Investor ID]]),SIP[Unique Code],0),0)),0)</f>
        <v>0</v>
      </c>
      <c r="V1841" s="74">
        <f>IF(SIP[[#This Row],[BO TRANSFER]]="YES",SIP[[#This Row],[Unit]],)</f>
        <v>0</v>
      </c>
      <c r="W1841" s="74">
        <f>SUMIFS(SIP[[#Headers],[BO UNIT TRANSFER]]:SIP[[#This Row],[BO UNIT TRANSFER]],SIP[[#Headers],[Investor ID]]:SIP[[#This Row],[Investor ID]],SIP[[#This Row],[Investor ID]])</f>
        <v>0</v>
      </c>
    </row>
    <row r="1842" spans="1:23" ht="15" customHeight="1">
      <c r="A1842" s="46">
        <v>2026</v>
      </c>
      <c r="B1842" s="46">
        <v>3</v>
      </c>
      <c r="C1842" s="46">
        <v>5</v>
      </c>
      <c r="D1842" s="65">
        <f>DATE(SIP[[#This Row],[Year]],SIP[[#This Row],[Month]],SIP[[#This Row],[Day]])</f>
        <v>46086</v>
      </c>
      <c r="E1842" s="66" t="str" cm="1">
        <f t="array" ref="E1842">INDEX(INVESTORS_LIST[INVESTOR NAME],MATCH(SIP[[#This Row],[Investor ID]],INVESTORS_LIST[INVESTOR CODE],0),)</f>
        <v>IFFAT JAHAN YASHA</v>
      </c>
      <c r="F1842" s="46" t="s">
        <v>1499</v>
      </c>
      <c r="G1842" s="46">
        <f>COUNTIF(SIP[[#Headers],[Investor ID]]:SIP[[#This Row],[Investor ID]],SIP[[#This Row],[Investor ID]])</f>
        <v>2</v>
      </c>
      <c r="H1842" s="46" t="str">
        <f>CONCATENATE(SIP[[#This Row],[Frequency]],SIP[[#This Row],[Investor ID]])</f>
        <v>2A00691</v>
      </c>
      <c r="I1842" s="46" t="str">
        <f>IF(SIP[[#This Row],[B/S]]="B","BUY",(IF(SIP[[#This Row],[B/S]]="S","SELL"," ")))</f>
        <v>BUY</v>
      </c>
      <c r="J1842" s="150" t="s">
        <v>1229</v>
      </c>
      <c r="K1842" s="153">
        <v>1500</v>
      </c>
      <c r="L1842" s="122"/>
      <c r="M1842" s="123">
        <f>SIP[[#This Row],[Amount]]/SIP[[#This Row],[Unit]]</f>
        <v>14.150943396226415</v>
      </c>
      <c r="N1842" s="71">
        <f>SIP[[#This Row],[Unit Capital]]/10</f>
        <v>106</v>
      </c>
      <c r="O1842" s="71">
        <f>SUMIFS(SIP[[#Headers],[Unit]]:SIP[[#This Row],[Unit]],SIP[[#Headers],[Investor ID]]:SIP[[#This Row],[Investor ID]],SIP[[#This Row],[Investor ID]])</f>
        <v>213</v>
      </c>
      <c r="P1842" s="153">
        <v>1060</v>
      </c>
      <c r="Q1842" s="74">
        <f>SIP[[#This Row],[Amount]]-SIP[[#This Row],[Unit Capital]]</f>
        <v>440</v>
      </c>
      <c r="R184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14.084507042253522</v>
      </c>
      <c r="S1842" s="46">
        <f t="shared" si="87"/>
        <v>14.224</v>
      </c>
      <c r="T184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2" s="74" cm="1">
        <f t="array" ref="U1842">IF(SIP[[#This Row],[B/S]]="S",ABS(SIP[[#This Row],[Unit]])*(INDEX(SIP[NAV at Cost (Average)],MATCH(CONCATENATE((SIP[[#This Row],[Frequency]]-1),SIP[[#This Row],[Investor ID]]),SIP[Unique Code],0),0)),0)</f>
        <v>0</v>
      </c>
      <c r="V1842" s="74">
        <f>IF(SIP[[#This Row],[BO TRANSFER]]="YES",SIP[[#This Row],[Unit]],)</f>
        <v>0</v>
      </c>
      <c r="W1842" s="74">
        <f>SUMIFS(SIP[[#Headers],[BO UNIT TRANSFER]]:SIP[[#This Row],[BO UNIT TRANSFER]],SIP[[#Headers],[Investor ID]]:SIP[[#This Row],[Investor ID]],SIP[[#This Row],[Investor ID]])</f>
        <v>0</v>
      </c>
    </row>
    <row r="1843" spans="1:23" ht="15" customHeight="1">
      <c r="A1843" s="46">
        <v>2026</v>
      </c>
      <c r="B1843" s="46">
        <v>3</v>
      </c>
      <c r="C1843" s="46">
        <v>5</v>
      </c>
      <c r="D1843" s="65">
        <f>DATE(SIP[[#This Row],[Year]],SIP[[#This Row],[Month]],SIP[[#This Row],[Day]])</f>
        <v>46086</v>
      </c>
      <c r="E1843" s="66" t="str" cm="1">
        <f t="array" ref="E1843">INDEX(INVESTORS_LIST[INVESTOR NAME],MATCH(SIP[[#This Row],[Investor ID]],INVESTORS_LIST[INVESTOR CODE],0),)</f>
        <v>NANDINI SAHA</v>
      </c>
      <c r="F1843" s="46" t="s">
        <v>242</v>
      </c>
      <c r="G1843" s="46">
        <f>COUNTIF(SIP[[#Headers],[Investor ID]]:SIP[[#This Row],[Investor ID]],SIP[[#This Row],[Investor ID]])</f>
        <v>40</v>
      </c>
      <c r="H1843" s="46" t="str">
        <f>CONCATENATE(SIP[[#This Row],[Frequency]],SIP[[#This Row],[Investor ID]])</f>
        <v>40A00097</v>
      </c>
      <c r="I1843" s="46" t="str">
        <f>IF(SIP[[#This Row],[B/S]]="B","BUY",(IF(SIP[[#This Row],[B/S]]="S","SELL"," ")))</f>
        <v>BUY</v>
      </c>
      <c r="J1843" s="150" t="s">
        <v>1229</v>
      </c>
      <c r="K1843" s="153">
        <v>5000</v>
      </c>
      <c r="L1843" s="122"/>
      <c r="M1843" s="123">
        <f>SIP[[#This Row],[Amount]]/SIP[[#This Row],[Unit]]</f>
        <v>14.124293785310735</v>
      </c>
      <c r="N1843" s="71">
        <f>SIP[[#This Row],[Unit Capital]]/10</f>
        <v>354</v>
      </c>
      <c r="O1843" s="71">
        <f>SUMIFS(SIP[[#Headers],[Unit]]:SIP[[#This Row],[Unit]],SIP[[#Headers],[Investor ID]]:SIP[[#This Row],[Investor ID]],SIP[[#This Row],[Investor ID]])</f>
        <v>25558</v>
      </c>
      <c r="P1843" s="153">
        <v>3540</v>
      </c>
      <c r="Q1843" s="74">
        <f>SIP[[#This Row],[Amount]]-SIP[[#This Row],[Unit Capital]]</f>
        <v>1460</v>
      </c>
      <c r="R184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11.94835033532404</v>
      </c>
      <c r="S1843" s="46">
        <f t="shared" si="87"/>
        <v>14.224</v>
      </c>
      <c r="T184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3" s="74" cm="1">
        <f t="array" ref="U1843">IF(SIP[[#This Row],[B/S]]="S",ABS(SIP[[#This Row],[Unit]])*(INDEX(SIP[NAV at Cost (Average)],MATCH(CONCATENATE((SIP[[#This Row],[Frequency]]-1),SIP[[#This Row],[Investor ID]]),SIP[Unique Code],0),0)),0)</f>
        <v>0</v>
      </c>
      <c r="V1843" s="74">
        <f>IF(SIP[[#This Row],[BO TRANSFER]]="YES",SIP[[#This Row],[Unit]],)</f>
        <v>0</v>
      </c>
      <c r="W1843" s="74">
        <f>SUMIFS(SIP[[#Headers],[BO UNIT TRANSFER]]:SIP[[#This Row],[BO UNIT TRANSFER]],SIP[[#Headers],[Investor ID]]:SIP[[#This Row],[Investor ID]],SIP[[#This Row],[Investor ID]])</f>
        <v>0</v>
      </c>
    </row>
    <row r="1844" spans="1:23" ht="15" customHeight="1">
      <c r="A1844" s="46">
        <v>2026</v>
      </c>
      <c r="B1844" s="46">
        <v>3</v>
      </c>
      <c r="C1844" s="46">
        <v>5</v>
      </c>
      <c r="D1844" s="65">
        <f>DATE(SIP[[#This Row],[Year]],SIP[[#This Row],[Month]],SIP[[#This Row],[Day]])</f>
        <v>46086</v>
      </c>
      <c r="E1844" s="66" t="str" cm="1">
        <f t="array" ref="E1844">INDEX(INVESTORS_LIST[INVESTOR NAME],MATCH(SIP[[#This Row],[Investor ID]],INVESTORS_LIST[INVESTOR CODE],0),)</f>
        <v>ROKSABA KASEM</v>
      </c>
      <c r="F1844" s="46" t="s">
        <v>900</v>
      </c>
      <c r="G1844" s="46">
        <f>COUNTIF(SIP[[#Headers],[Investor ID]]:SIP[[#This Row],[Investor ID]],SIP[[#This Row],[Investor ID]])</f>
        <v>34</v>
      </c>
      <c r="H1844" s="46" t="str">
        <f>CONCATENATE(SIP[[#This Row],[Frequency]],SIP[[#This Row],[Investor ID]])</f>
        <v>34A00427</v>
      </c>
      <c r="I1844" s="46" t="str">
        <f>IF(SIP[[#This Row],[B/S]]="B","BUY",(IF(SIP[[#This Row],[B/S]]="S","SELL"," ")))</f>
        <v>BUY</v>
      </c>
      <c r="J1844" s="150" t="s">
        <v>1229</v>
      </c>
      <c r="K1844" s="153">
        <v>20000</v>
      </c>
      <c r="L1844" s="122"/>
      <c r="M1844" s="123">
        <f>SIP[[#This Row],[Amount]]/SIP[[#This Row],[Unit]]</f>
        <v>14.124293785310735</v>
      </c>
      <c r="N1844" s="71">
        <f>SIP[[#This Row],[Unit Capital]]/10</f>
        <v>1416</v>
      </c>
      <c r="O1844" s="71">
        <f>SUMIFS(SIP[[#Headers],[Unit]]:SIP[[#This Row],[Unit]],SIP[[#Headers],[Investor ID]]:SIP[[#This Row],[Investor ID]],SIP[[#This Row],[Investor ID]])</f>
        <v>58047</v>
      </c>
      <c r="P1844" s="153">
        <v>14160</v>
      </c>
      <c r="Q1844" s="74">
        <f>SIP[[#This Row],[Amount]]-SIP[[#This Row],[Unit Capital]]</f>
        <v>5840</v>
      </c>
      <c r="R184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11.714645029028206</v>
      </c>
      <c r="S1844" s="46">
        <f t="shared" si="87"/>
        <v>14.224</v>
      </c>
      <c r="T184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4" s="74" cm="1">
        <f t="array" ref="U1844">IF(SIP[[#This Row],[B/S]]="S",ABS(SIP[[#This Row],[Unit]])*(INDEX(SIP[NAV at Cost (Average)],MATCH(CONCATENATE((SIP[[#This Row],[Frequency]]-1),SIP[[#This Row],[Investor ID]]),SIP[Unique Code],0),0)),0)</f>
        <v>0</v>
      </c>
      <c r="V1844" s="74">
        <f>IF(SIP[[#This Row],[BO TRANSFER]]="YES",SIP[[#This Row],[Unit]],)</f>
        <v>0</v>
      </c>
      <c r="W1844" s="74">
        <f>SUMIFS(SIP[[#Headers],[BO UNIT TRANSFER]]:SIP[[#This Row],[BO UNIT TRANSFER]],SIP[[#Headers],[Investor ID]]:SIP[[#This Row],[Investor ID]],SIP[[#This Row],[Investor ID]])</f>
        <v>11934</v>
      </c>
    </row>
    <row r="1845" spans="1:23" ht="15" customHeight="1">
      <c r="A1845" s="46">
        <v>2026</v>
      </c>
      <c r="B1845" s="46">
        <v>3</v>
      </c>
      <c r="C1845" s="46">
        <v>5</v>
      </c>
      <c r="D1845" s="65">
        <f>DATE(SIP[[#This Row],[Year]],SIP[[#This Row],[Month]],SIP[[#This Row],[Day]])</f>
        <v>46086</v>
      </c>
      <c r="E1845" s="66" t="str" cm="1">
        <f t="array" ref="E1845">INDEX(INVESTORS_LIST[INVESTOR NAME],MATCH(SIP[[#This Row],[Investor ID]],INVESTORS_LIST[INVESTOR CODE],0),)</f>
        <v>MD. MONIRUL ISLAM</v>
      </c>
      <c r="F1845" s="46" t="s">
        <v>996</v>
      </c>
      <c r="G1845" s="46">
        <f>COUNTIF(SIP[[#Headers],[Investor ID]]:SIP[[#This Row],[Investor ID]],SIP[[#This Row],[Investor ID]])</f>
        <v>34</v>
      </c>
      <c r="H1845" s="46" t="str">
        <f>CONCATENATE(SIP[[#This Row],[Frequency]],SIP[[#This Row],[Investor ID]])</f>
        <v>34A00475</v>
      </c>
      <c r="I1845" s="46" t="str">
        <f>IF(SIP[[#This Row],[B/S]]="B","BUY",(IF(SIP[[#This Row],[B/S]]="S","SELL"," ")))</f>
        <v>BUY</v>
      </c>
      <c r="J1845" s="150" t="s">
        <v>1229</v>
      </c>
      <c r="K1845" s="153">
        <v>10000</v>
      </c>
      <c r="L1845" s="122"/>
      <c r="M1845" s="123">
        <f>SIP[[#This Row],[Amount]]/SIP[[#This Row],[Unit]]</f>
        <v>14.124293785310735</v>
      </c>
      <c r="N1845" s="71">
        <f>SIP[[#This Row],[Unit Capital]]/10</f>
        <v>708</v>
      </c>
      <c r="O1845" s="71">
        <f>SUMIFS(SIP[[#Headers],[Unit]]:SIP[[#This Row],[Unit]],SIP[[#Headers],[Investor ID]]:SIP[[#This Row],[Investor ID]],SIP[[#This Row],[Investor ID]])</f>
        <v>1424</v>
      </c>
      <c r="P1845" s="153">
        <v>7080</v>
      </c>
      <c r="Q1845" s="74">
        <f>SIP[[#This Row],[Amount]]-SIP[[#This Row],[Unit Capital]]</f>
        <v>2920</v>
      </c>
      <c r="R184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14.04494382022472</v>
      </c>
      <c r="S1845" s="46">
        <f t="shared" si="87"/>
        <v>14.224</v>
      </c>
      <c r="T184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5" s="74" cm="1">
        <f t="array" ref="U1845">IF(SIP[[#This Row],[B/S]]="S",ABS(SIP[[#This Row],[Unit]])*(INDEX(SIP[NAV at Cost (Average)],MATCH(CONCATENATE((SIP[[#This Row],[Frequency]]-1),SIP[[#This Row],[Investor ID]]),SIP[Unique Code],0),0)),0)</f>
        <v>0</v>
      </c>
      <c r="V1845" s="74">
        <f>IF(SIP[[#This Row],[BO TRANSFER]]="YES",SIP[[#This Row],[Unit]],)</f>
        <v>0</v>
      </c>
      <c r="W1845" s="74">
        <f>SUMIFS(SIP[[#Headers],[BO UNIT TRANSFER]]:SIP[[#This Row],[BO UNIT TRANSFER]],SIP[[#Headers],[Investor ID]]:SIP[[#This Row],[Investor ID]],SIP[[#This Row],[Investor ID]])</f>
        <v>0</v>
      </c>
    </row>
    <row r="1846" spans="1:23" ht="15" customHeight="1">
      <c r="A1846" s="46">
        <v>2026</v>
      </c>
      <c r="B1846" s="46">
        <v>3</v>
      </c>
      <c r="C1846" s="46">
        <v>5</v>
      </c>
      <c r="D1846" s="65">
        <f>DATE(SIP[[#This Row],[Year]],SIP[[#This Row],[Month]],SIP[[#This Row],[Day]])</f>
        <v>46086</v>
      </c>
      <c r="E1846" s="66" t="str" cm="1">
        <f t="array" ref="E1846">INDEX(INVESTORS_LIST[INVESTOR NAME],MATCH(SIP[[#This Row],[Investor ID]],INVESTORS_LIST[INVESTOR CODE],0),)</f>
        <v>NANI GOPAL DATTA</v>
      </c>
      <c r="F1846" s="46" t="s">
        <v>232</v>
      </c>
      <c r="G1846" s="46">
        <f>COUNTIF(SIP[[#Headers],[Investor ID]]:SIP[[#This Row],[Investor ID]],SIP[[#This Row],[Investor ID]])</f>
        <v>26</v>
      </c>
      <c r="H1846" s="46" t="str">
        <f>CONCATENATE(SIP[[#This Row],[Frequency]],SIP[[#This Row],[Investor ID]])</f>
        <v>26A00092</v>
      </c>
      <c r="I1846" s="46" t="str">
        <f>IF(SIP[[#This Row],[B/S]]="B","BUY",(IF(SIP[[#This Row],[B/S]]="S","SELL"," ")))</f>
        <v>BUY</v>
      </c>
      <c r="J1846" s="150" t="s">
        <v>1229</v>
      </c>
      <c r="K1846" s="153">
        <v>2000</v>
      </c>
      <c r="L1846" s="122"/>
      <c r="M1846" s="123">
        <f>SIP[[#This Row],[Amount]]/SIP[[#This Row],[Unit]]</f>
        <v>14.084507042253522</v>
      </c>
      <c r="N1846" s="71">
        <f>SIP[[#This Row],[Unit Capital]]/10</f>
        <v>142</v>
      </c>
      <c r="O1846" s="71">
        <f>SUMIFS(SIP[[#Headers],[Unit]]:SIP[[#This Row],[Unit]],SIP[[#Headers],[Investor ID]]:SIP[[#This Row],[Investor ID]],SIP[[#This Row],[Investor ID]])</f>
        <v>3970</v>
      </c>
      <c r="P1846" s="153">
        <v>1420</v>
      </c>
      <c r="Q1846" s="74">
        <f>SIP[[#This Row],[Amount]]-SIP[[#This Row],[Unit Capital]]</f>
        <v>580</v>
      </c>
      <c r="R184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12.112703197478357</v>
      </c>
      <c r="S1846" s="46">
        <f t="shared" si="87"/>
        <v>14.224</v>
      </c>
      <c r="T184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6" s="74" cm="1">
        <f t="array" ref="U1846">IF(SIP[[#This Row],[B/S]]="S",ABS(SIP[[#This Row],[Unit]])*(INDEX(SIP[NAV at Cost (Average)],MATCH(CONCATENATE((SIP[[#This Row],[Frequency]]-1),SIP[[#This Row],[Investor ID]]),SIP[Unique Code],0),0)),0)</f>
        <v>0</v>
      </c>
      <c r="V1846" s="74">
        <f>IF(SIP[[#This Row],[BO TRANSFER]]="YES",SIP[[#This Row],[Unit]],)</f>
        <v>0</v>
      </c>
      <c r="W1846" s="74">
        <f>SUMIFS(SIP[[#Headers],[BO UNIT TRANSFER]]:SIP[[#This Row],[BO UNIT TRANSFER]],SIP[[#Headers],[Investor ID]]:SIP[[#This Row],[Investor ID]],SIP[[#This Row],[Investor ID]])</f>
        <v>0</v>
      </c>
    </row>
    <row r="1847" spans="1:23" ht="15" customHeight="1">
      <c r="A1847" s="46">
        <v>2026</v>
      </c>
      <c r="B1847" s="46">
        <v>3</v>
      </c>
      <c r="C1847" s="46">
        <v>5</v>
      </c>
      <c r="D1847" s="65">
        <f>DATE(SIP[[#This Row],[Year]],SIP[[#This Row],[Month]],SIP[[#This Row],[Day]])</f>
        <v>46086</v>
      </c>
      <c r="E1847" s="66" t="str" cm="1">
        <f t="array" ref="E1847">INDEX(INVESTORS_LIST[INVESTOR NAME],MATCH(SIP[[#This Row],[Investor ID]],INVESTORS_LIST[INVESTOR CODE],0),)</f>
        <v>SK FEROZ ALAM</v>
      </c>
      <c r="F1847" s="46" t="s">
        <v>240</v>
      </c>
      <c r="G1847" s="46">
        <f>COUNTIF(SIP[[#Headers],[Investor ID]]:SIP[[#This Row],[Investor ID]],SIP[[#This Row],[Investor ID]])</f>
        <v>24</v>
      </c>
      <c r="H1847" s="46" t="str">
        <f>CONCATENATE(SIP[[#This Row],[Frequency]],SIP[[#This Row],[Investor ID]])</f>
        <v>24A00096</v>
      </c>
      <c r="I1847" s="46" t="str">
        <f>IF(SIP[[#This Row],[B/S]]="B","BUY",(IF(SIP[[#This Row],[B/S]]="S","SELL"," ")))</f>
        <v>BUY</v>
      </c>
      <c r="J1847" s="150" t="s">
        <v>1229</v>
      </c>
      <c r="K1847" s="153">
        <v>1000</v>
      </c>
      <c r="L1847" s="122"/>
      <c r="M1847" s="123">
        <f>SIP[[#This Row],[Amount]]/SIP[[#This Row],[Unit]]</f>
        <v>14.084507042253522</v>
      </c>
      <c r="N1847" s="71">
        <f>SIP[[#This Row],[Unit Capital]]/10</f>
        <v>71</v>
      </c>
      <c r="O1847" s="71">
        <f>SUMIFS(SIP[[#Headers],[Unit]]:SIP[[#This Row],[Unit]],SIP[[#Headers],[Investor ID]]:SIP[[#This Row],[Investor ID]],SIP[[#This Row],[Investor ID]])</f>
        <v>590</v>
      </c>
      <c r="P1847" s="153">
        <v>710</v>
      </c>
      <c r="Q1847" s="74">
        <f>SIP[[#This Row],[Amount]]-SIP[[#This Row],[Unit Capital]]</f>
        <v>290</v>
      </c>
      <c r="R184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13.559322033898306</v>
      </c>
      <c r="S1847" s="46">
        <f t="shared" si="87"/>
        <v>14.224</v>
      </c>
      <c r="T184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7" s="74" cm="1">
        <f t="array" ref="U1847">IF(SIP[[#This Row],[B/S]]="S",ABS(SIP[[#This Row],[Unit]])*(INDEX(SIP[NAV at Cost (Average)],MATCH(CONCATENATE((SIP[[#This Row],[Frequency]]-1),SIP[[#This Row],[Investor ID]]),SIP[Unique Code],0),0)),0)</f>
        <v>0</v>
      </c>
      <c r="V1847" s="74">
        <f>IF(SIP[[#This Row],[BO TRANSFER]]="YES",SIP[[#This Row],[Unit]],)</f>
        <v>0</v>
      </c>
      <c r="W1847" s="74">
        <f>SUMIFS(SIP[[#Headers],[BO UNIT TRANSFER]]:SIP[[#This Row],[BO UNIT TRANSFER]],SIP[[#Headers],[Investor ID]]:SIP[[#This Row],[Investor ID]],SIP[[#This Row],[Investor ID]])</f>
        <v>0</v>
      </c>
    </row>
    <row r="1848" spans="1:23" ht="15" customHeight="1">
      <c r="A1848" s="46">
        <v>2026</v>
      </c>
      <c r="B1848" s="46">
        <v>3</v>
      </c>
      <c r="C1848" s="46">
        <v>5</v>
      </c>
      <c r="D1848" s="65">
        <f>DATE(SIP[[#This Row],[Year]],SIP[[#This Row],[Month]],SIP[[#This Row],[Day]])</f>
        <v>46086</v>
      </c>
      <c r="E1848" s="66" t="str" cm="1">
        <f t="array" ref="E1848">INDEX(INVESTORS_LIST[INVESTOR NAME],MATCH(SIP[[#This Row],[Investor ID]],INVESTORS_LIST[INVESTOR CODE],0),)</f>
        <v>FAKARUDDIN ALI AHMED</v>
      </c>
      <c r="F1848" s="46" t="s">
        <v>228</v>
      </c>
      <c r="G1848" s="46">
        <f>COUNTIF(SIP[[#Headers],[Investor ID]]:SIP[[#This Row],[Investor ID]],SIP[[#This Row],[Investor ID]])</f>
        <v>35</v>
      </c>
      <c r="H1848" s="46" t="str">
        <f>CONCATENATE(SIP[[#This Row],[Frequency]],SIP[[#This Row],[Investor ID]])</f>
        <v>35A00090</v>
      </c>
      <c r="I1848" s="46" t="str">
        <f>IF(SIP[[#This Row],[B/S]]="B","BUY",(IF(SIP[[#This Row],[B/S]]="S","SELL"," ")))</f>
        <v>BUY</v>
      </c>
      <c r="J1848" s="150" t="s">
        <v>1229</v>
      </c>
      <c r="K1848" s="153">
        <v>10000</v>
      </c>
      <c r="L1848" s="122"/>
      <c r="M1848" s="123">
        <f>SIP[[#This Row],[Amount]]/SIP[[#This Row],[Unit]]</f>
        <v>14.124293785310735</v>
      </c>
      <c r="N1848" s="71">
        <f>SIP[[#This Row],[Unit Capital]]/10</f>
        <v>708</v>
      </c>
      <c r="O1848" s="71">
        <f>SUMIFS(SIP[[#Headers],[Unit]]:SIP[[#This Row],[Unit]],SIP[[#Headers],[Investor ID]]:SIP[[#This Row],[Investor ID]],SIP[[#This Row],[Investor ID]])</f>
        <v>5881</v>
      </c>
      <c r="P1848" s="153">
        <v>7080</v>
      </c>
      <c r="Q1848" s="74">
        <f>SIP[[#This Row],[Amount]]-SIP[[#This Row],[Unit Capital]]</f>
        <v>2920</v>
      </c>
      <c r="R184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13.603128719605509</v>
      </c>
      <c r="S1848" s="46">
        <f t="shared" si="87"/>
        <v>14.224</v>
      </c>
      <c r="T184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8" s="74" cm="1">
        <f t="array" ref="U1848">IF(SIP[[#This Row],[B/S]]="S",ABS(SIP[[#This Row],[Unit]])*(INDEX(SIP[NAV at Cost (Average)],MATCH(CONCATENATE((SIP[[#This Row],[Frequency]]-1),SIP[[#This Row],[Investor ID]]),SIP[Unique Code],0),0)),0)</f>
        <v>0</v>
      </c>
      <c r="V1848" s="74">
        <f>IF(SIP[[#This Row],[BO TRANSFER]]="YES",SIP[[#This Row],[Unit]],)</f>
        <v>0</v>
      </c>
      <c r="W1848" s="74">
        <f>SUMIFS(SIP[[#Headers],[BO UNIT TRANSFER]]:SIP[[#This Row],[BO UNIT TRANSFER]],SIP[[#Headers],[Investor ID]]:SIP[[#This Row],[Investor ID]],SIP[[#This Row],[Investor ID]])</f>
        <v>0</v>
      </c>
    </row>
    <row r="1849" spans="1:23" ht="15" customHeight="1">
      <c r="A1849" s="46">
        <v>2026</v>
      </c>
      <c r="B1849" s="46">
        <v>3</v>
      </c>
      <c r="C1849" s="46">
        <v>5</v>
      </c>
      <c r="D1849" s="65">
        <f>DATE(SIP[[#This Row],[Year]],SIP[[#This Row],[Month]],SIP[[#This Row],[Day]])</f>
        <v>46086</v>
      </c>
      <c r="E1849" s="66" t="str" cm="1">
        <f t="array" ref="E1849">INDEX(INVESTORS_LIST[INVESTOR NAME],MATCH(SIP[[#This Row],[Investor ID]],INVESTORS_LIST[INVESTOR CODE],0),)</f>
        <v>SABIKUN NAHAR TANHA</v>
      </c>
      <c r="F1849" s="46" t="s">
        <v>1519</v>
      </c>
      <c r="G1849" s="46">
        <f>COUNTIF(SIP[[#Headers],[Investor ID]]:SIP[[#This Row],[Investor ID]],SIP[[#This Row],[Investor ID]])</f>
        <v>2</v>
      </c>
      <c r="H1849" s="46" t="str">
        <f>CONCATENATE(SIP[[#This Row],[Frequency]],SIP[[#This Row],[Investor ID]])</f>
        <v>2BR0001</v>
      </c>
      <c r="I1849" s="46" t="str">
        <f>IF(SIP[[#This Row],[B/S]]="B","BUY",(IF(SIP[[#This Row],[B/S]]="S","SELL"," ")))</f>
        <v>BUY</v>
      </c>
      <c r="J1849" s="150" t="s">
        <v>1229</v>
      </c>
      <c r="K1849" s="153">
        <v>1000</v>
      </c>
      <c r="L1849" s="122"/>
      <c r="M1849" s="123">
        <f>SIP[[#This Row],[Amount]]/SIP[[#This Row],[Unit]]</f>
        <v>14.084507042253522</v>
      </c>
      <c r="N1849" s="71">
        <f>SIP[[#This Row],[Unit Capital]]/10</f>
        <v>71</v>
      </c>
      <c r="O1849" s="71">
        <f>SUMIFS(SIP[[#Headers],[Unit]]:SIP[[#This Row],[Unit]],SIP[[#Headers],[Investor ID]]:SIP[[#This Row],[Investor ID]],SIP[[#This Row],[Investor ID]])</f>
        <v>143</v>
      </c>
      <c r="P1849" s="153">
        <v>710</v>
      </c>
      <c r="Q1849" s="74">
        <f>SIP[[#This Row],[Amount]]-SIP[[#This Row],[Unit Capital]]</f>
        <v>290</v>
      </c>
      <c r="R184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13.986013986013987</v>
      </c>
      <c r="S1849" s="46">
        <f t="shared" si="87"/>
        <v>14.224</v>
      </c>
      <c r="T184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9" s="74" cm="1">
        <f t="array" ref="U1849">IF(SIP[[#This Row],[B/S]]="S",ABS(SIP[[#This Row],[Unit]])*(INDEX(SIP[NAV at Cost (Average)],MATCH(CONCATENATE((SIP[[#This Row],[Frequency]]-1),SIP[[#This Row],[Investor ID]]),SIP[Unique Code],0),0)),0)</f>
        <v>0</v>
      </c>
      <c r="V1849" s="74">
        <f>IF(SIP[[#This Row],[BO TRANSFER]]="YES",SIP[[#This Row],[Unit]],)</f>
        <v>0</v>
      </c>
      <c r="W1849" s="74">
        <f>SUMIFS(SIP[[#Headers],[BO UNIT TRANSFER]]:SIP[[#This Row],[BO UNIT TRANSFER]],SIP[[#Headers],[Investor ID]]:SIP[[#This Row],[Investor ID]],SIP[[#This Row],[Investor ID]])</f>
        <v>72</v>
      </c>
    </row>
    <row r="1850" spans="1:23" ht="15" customHeight="1">
      <c r="A1850" s="46">
        <v>2026</v>
      </c>
      <c r="B1850" s="46">
        <v>3</v>
      </c>
      <c r="C1850" s="46">
        <v>5</v>
      </c>
      <c r="D1850" s="65">
        <f>DATE(SIP[[#This Row],[Year]],SIP[[#This Row],[Month]],SIP[[#This Row],[Day]])</f>
        <v>46086</v>
      </c>
      <c r="E1850" s="66" t="str" cm="1">
        <f t="array" ref="E1850">INDEX(INVESTORS_LIST[INVESTOR NAME],MATCH(SIP[[#This Row],[Investor ID]],INVESTORS_LIST[INVESTOR CODE],0),)</f>
        <v>NANDINI SAHA</v>
      </c>
      <c r="F1850" s="46" t="s">
        <v>242</v>
      </c>
      <c r="G1850" s="46">
        <f>COUNTIF(SIP[[#Headers],[Investor ID]]:SIP[[#This Row],[Investor ID]],SIP[[#This Row],[Investor ID]])</f>
        <v>41</v>
      </c>
      <c r="H1850" s="46" t="str">
        <f>CONCATENATE(SIP[[#This Row],[Frequency]],SIP[[#This Row],[Investor ID]])</f>
        <v>41A00097</v>
      </c>
      <c r="I1850" s="46" t="str">
        <f>IF(SIP[[#This Row],[B/S]]="B","BUY",(IF(SIP[[#This Row],[B/S]]="S","SELL"," ")))</f>
        <v>BUY</v>
      </c>
      <c r="J1850" s="150" t="s">
        <v>1229</v>
      </c>
      <c r="K1850" s="153">
        <v>30000</v>
      </c>
      <c r="L1850" s="122"/>
      <c r="M1850" s="123">
        <f>SIP[[#This Row],[Amount]]/SIP[[#This Row],[Unit]]</f>
        <v>14.124293785310735</v>
      </c>
      <c r="N1850" s="71">
        <f>SIP[[#This Row],[Unit Capital]]/10</f>
        <v>2124</v>
      </c>
      <c r="O1850" s="71">
        <f>SUMIFS(SIP[[#Headers],[Unit]]:SIP[[#This Row],[Unit]],SIP[[#Headers],[Investor ID]]:SIP[[#This Row],[Investor ID]],SIP[[#This Row],[Investor ID]])</f>
        <v>27682</v>
      </c>
      <c r="P1850" s="153">
        <v>21240</v>
      </c>
      <c r="Q1850" s="74">
        <f>SIP[[#This Row],[Amount]]-SIP[[#This Row],[Unit Capital]]</f>
        <v>8760</v>
      </c>
      <c r="R185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12.11530734304645</v>
      </c>
      <c r="S1850" s="46">
        <f t="shared" si="87"/>
        <v>14.224</v>
      </c>
      <c r="T185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0" s="74" cm="1">
        <f t="array" ref="U1850">IF(SIP[[#This Row],[B/S]]="S",ABS(SIP[[#This Row],[Unit]])*(INDEX(SIP[NAV at Cost (Average)],MATCH(CONCATENATE((SIP[[#This Row],[Frequency]]-1),SIP[[#This Row],[Investor ID]]),SIP[Unique Code],0),0)),0)</f>
        <v>0</v>
      </c>
      <c r="V1850" s="74">
        <f>IF(SIP[[#This Row],[BO TRANSFER]]="YES",SIP[[#This Row],[Unit]],)</f>
        <v>0</v>
      </c>
      <c r="W1850" s="74">
        <f>SUMIFS(SIP[[#Headers],[BO UNIT TRANSFER]]:SIP[[#This Row],[BO UNIT TRANSFER]],SIP[[#Headers],[Investor ID]]:SIP[[#This Row],[Investor ID]],SIP[[#This Row],[Investor ID]])</f>
        <v>0</v>
      </c>
    </row>
    <row r="1851" spans="1:23" ht="15" customHeight="1">
      <c r="A1851" s="46">
        <v>2026</v>
      </c>
      <c r="B1851" s="46">
        <v>3</v>
      </c>
      <c r="C1851" s="46">
        <v>5</v>
      </c>
      <c r="D1851" s="65">
        <f>DATE(SIP[[#This Row],[Year]],SIP[[#This Row],[Month]],SIP[[#This Row],[Day]])</f>
        <v>46086</v>
      </c>
      <c r="E1851" s="66" t="str" cm="1">
        <f t="array" ref="E1851">INDEX(INVESTORS_LIST[INVESTOR NAME],MATCH(SIP[[#This Row],[Investor ID]],INVESTORS_LIST[INVESTOR CODE],0),)</f>
        <v>SHANTA PAUL</v>
      </c>
      <c r="F1851" s="46" t="s">
        <v>544</v>
      </c>
      <c r="G1851" s="46">
        <f>COUNTIF(SIP[[#Headers],[Investor ID]]:SIP[[#This Row],[Investor ID]],SIP[[#This Row],[Investor ID]])</f>
        <v>35</v>
      </c>
      <c r="H1851" s="46" t="str">
        <f>CONCATENATE(SIP[[#This Row],[Frequency]],SIP[[#This Row],[Investor ID]])</f>
        <v>35A00247</v>
      </c>
      <c r="I1851" s="46" t="str">
        <f>IF(SIP[[#This Row],[B/S]]="B","BUY",(IF(SIP[[#This Row],[B/S]]="S","SELL"," ")))</f>
        <v>BUY</v>
      </c>
      <c r="J1851" s="150" t="s">
        <v>1229</v>
      </c>
      <c r="K1851" s="153">
        <v>20000</v>
      </c>
      <c r="L1851" s="122"/>
      <c r="M1851" s="123">
        <f>SIP[[#This Row],[Amount]]/SIP[[#This Row],[Unit]]</f>
        <v>14.124293785310735</v>
      </c>
      <c r="N1851" s="71">
        <f>SIP[[#This Row],[Unit Capital]]/10</f>
        <v>1416</v>
      </c>
      <c r="O1851" s="71">
        <f>SUMIFS(SIP[[#Headers],[Unit]]:SIP[[#This Row],[Unit]],SIP[[#Headers],[Investor ID]]:SIP[[#This Row],[Investor ID]],SIP[[#This Row],[Investor ID]])</f>
        <v>60313</v>
      </c>
      <c r="P1851" s="153">
        <v>14160</v>
      </c>
      <c r="Q1851" s="74">
        <f>SIP[[#This Row],[Amount]]-SIP[[#This Row],[Unit Capital]]</f>
        <v>5840</v>
      </c>
      <c r="R185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11.606121400029846</v>
      </c>
      <c r="S1851" s="46">
        <f t="shared" si="87"/>
        <v>14.224</v>
      </c>
      <c r="T185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1" s="74" cm="1">
        <f t="array" ref="U1851">IF(SIP[[#This Row],[B/S]]="S",ABS(SIP[[#This Row],[Unit]])*(INDEX(SIP[NAV at Cost (Average)],MATCH(CONCATENATE((SIP[[#This Row],[Frequency]]-1),SIP[[#This Row],[Investor ID]]),SIP[Unique Code],0),0)),0)</f>
        <v>0</v>
      </c>
      <c r="V1851" s="74">
        <f>IF(SIP[[#This Row],[BO TRANSFER]]="YES",SIP[[#This Row],[Unit]],)</f>
        <v>0</v>
      </c>
      <c r="W1851" s="74">
        <f>SUMIFS(SIP[[#Headers],[BO UNIT TRANSFER]]:SIP[[#This Row],[BO UNIT TRANSFER]],SIP[[#Headers],[Investor ID]]:SIP[[#This Row],[Investor ID]],SIP[[#This Row],[Investor ID]])</f>
        <v>0</v>
      </c>
    </row>
    <row r="1852" spans="1:23" ht="15" customHeight="1">
      <c r="A1852" s="46">
        <v>2026</v>
      </c>
      <c r="B1852" s="46">
        <v>3</v>
      </c>
      <c r="C1852" s="46">
        <v>5</v>
      </c>
      <c r="D1852" s="65">
        <f>DATE(SIP[[#This Row],[Year]],SIP[[#This Row],[Month]],SIP[[#This Row],[Day]])</f>
        <v>46086</v>
      </c>
      <c r="E1852" s="66" t="str" cm="1">
        <f t="array" ref="E1852">INDEX(INVESTORS_LIST[INVESTOR NAME],MATCH(SIP[[#This Row],[Investor ID]],INVESTORS_LIST[INVESTOR CODE],0),)</f>
        <v>AHMED BIN MONSUR</v>
      </c>
      <c r="F1852" s="46" t="s">
        <v>692</v>
      </c>
      <c r="G1852" s="46">
        <f>COUNTIF(SIP[[#Headers],[Investor ID]]:SIP[[#This Row],[Investor ID]],SIP[[#This Row],[Investor ID]])</f>
        <v>23</v>
      </c>
      <c r="H1852" s="46" t="str">
        <f>CONCATENATE(SIP[[#This Row],[Frequency]],SIP[[#This Row],[Investor ID]])</f>
        <v>23A00322</v>
      </c>
      <c r="I1852" s="46" t="str">
        <f>IF(SIP[[#This Row],[B/S]]="B","BUY",(IF(SIP[[#This Row],[B/S]]="S","SELL"," ")))</f>
        <v>BUY</v>
      </c>
      <c r="J1852" s="150" t="s">
        <v>1229</v>
      </c>
      <c r="K1852" s="153">
        <v>20000</v>
      </c>
      <c r="L1852" s="122"/>
      <c r="M1852" s="123">
        <f>SIP[[#This Row],[Amount]]/SIP[[#This Row],[Unit]]</f>
        <v>14.124293785310735</v>
      </c>
      <c r="N1852" s="71">
        <f>SIP[[#This Row],[Unit Capital]]/10</f>
        <v>1416</v>
      </c>
      <c r="O1852" s="71">
        <f>SUMIFS(SIP[[#Headers],[Unit]]:SIP[[#This Row],[Unit]],SIP[[#Headers],[Investor ID]]:SIP[[#This Row],[Investor ID]],SIP[[#This Row],[Investor ID]])</f>
        <v>2848</v>
      </c>
      <c r="P1852" s="153">
        <v>14160</v>
      </c>
      <c r="Q1852" s="74">
        <f>SIP[[#This Row],[Amount]]-SIP[[#This Row],[Unit Capital]]</f>
        <v>5840</v>
      </c>
      <c r="R185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13.827040148581792</v>
      </c>
      <c r="S1852" s="46">
        <f t="shared" si="87"/>
        <v>14.224</v>
      </c>
      <c r="T185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2" s="74" cm="1">
        <f t="array" ref="U1852">IF(SIP[[#This Row],[B/S]]="S",ABS(SIP[[#This Row],[Unit]])*(INDEX(SIP[NAV at Cost (Average)],MATCH(CONCATENATE((SIP[[#This Row],[Frequency]]-1),SIP[[#This Row],[Investor ID]]),SIP[Unique Code],0),0)),0)</f>
        <v>0</v>
      </c>
      <c r="V1852" s="74">
        <f>IF(SIP[[#This Row],[BO TRANSFER]]="YES",SIP[[#This Row],[Unit]],)</f>
        <v>0</v>
      </c>
      <c r="W1852" s="74">
        <f>SUMIFS(SIP[[#Headers],[BO UNIT TRANSFER]]:SIP[[#This Row],[BO UNIT TRANSFER]],SIP[[#Headers],[Investor ID]]:SIP[[#This Row],[Investor ID]],SIP[[#This Row],[Investor ID]])</f>
        <v>0</v>
      </c>
    </row>
    <row r="1853" spans="1:23" ht="15" customHeight="1">
      <c r="A1853" s="46">
        <v>2026</v>
      </c>
      <c r="B1853" s="46">
        <v>3</v>
      </c>
      <c r="C1853" s="46">
        <v>5</v>
      </c>
      <c r="D1853" s="65">
        <f>DATE(SIP[[#This Row],[Year]],SIP[[#This Row],[Month]],SIP[[#This Row],[Day]])</f>
        <v>46086</v>
      </c>
      <c r="E1853" s="66" t="str" cm="1">
        <f t="array" ref="E1853">INDEX(INVESTORS_LIST[INVESTOR NAME],MATCH(SIP[[#This Row],[Investor ID]],INVESTORS_LIST[INVESTOR CODE],0),)</f>
        <v>BIJOY CHANDRA DAS</v>
      </c>
      <c r="F1853" s="46" t="s">
        <v>497</v>
      </c>
      <c r="G1853" s="46">
        <f>COUNTIF(SIP[[#Headers],[Investor ID]]:SIP[[#This Row],[Investor ID]],SIP[[#This Row],[Investor ID]])</f>
        <v>23</v>
      </c>
      <c r="H1853" s="46" t="str">
        <f>CONCATENATE(SIP[[#This Row],[Frequency]],SIP[[#This Row],[Investor ID]])</f>
        <v>23A00224</v>
      </c>
      <c r="I1853" s="46" t="str">
        <f>IF(SIP[[#This Row],[B/S]]="B","BUY",(IF(SIP[[#This Row],[B/S]]="S","SELL"," ")))</f>
        <v>BUY</v>
      </c>
      <c r="J1853" s="150" t="s">
        <v>1229</v>
      </c>
      <c r="K1853" s="153">
        <v>5000</v>
      </c>
      <c r="L1853" s="122"/>
      <c r="M1853" s="123">
        <f>SIP[[#This Row],[Amount]]/SIP[[#This Row],[Unit]]</f>
        <v>14.124293785310735</v>
      </c>
      <c r="N1853" s="71">
        <f>SIP[[#This Row],[Unit Capital]]/10</f>
        <v>354</v>
      </c>
      <c r="O1853" s="71">
        <f>SUMIFS(SIP[[#Headers],[Unit]]:SIP[[#This Row],[Unit]],SIP[[#Headers],[Investor ID]]:SIP[[#This Row],[Investor ID]],SIP[[#This Row],[Investor ID]])</f>
        <v>9336</v>
      </c>
      <c r="P1853" s="153">
        <v>3540</v>
      </c>
      <c r="Q1853" s="74">
        <f>SIP[[#This Row],[Amount]]-SIP[[#This Row],[Unit Capital]]</f>
        <v>1460</v>
      </c>
      <c r="R185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12.317909168808916</v>
      </c>
      <c r="S1853" s="46">
        <f t="shared" si="87"/>
        <v>14.224</v>
      </c>
      <c r="T185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3" s="74" cm="1">
        <f t="array" ref="U1853">IF(SIP[[#This Row],[B/S]]="S",ABS(SIP[[#This Row],[Unit]])*(INDEX(SIP[NAV at Cost (Average)],MATCH(CONCATENATE((SIP[[#This Row],[Frequency]]-1),SIP[[#This Row],[Investor ID]]),SIP[Unique Code],0),0)),0)</f>
        <v>0</v>
      </c>
      <c r="V1853" s="74">
        <f>IF(SIP[[#This Row],[BO TRANSFER]]="YES",SIP[[#This Row],[Unit]],)</f>
        <v>0</v>
      </c>
      <c r="W1853" s="74">
        <f>SUMIFS(SIP[[#Headers],[BO UNIT TRANSFER]]:SIP[[#This Row],[BO UNIT TRANSFER]],SIP[[#Headers],[Investor ID]]:SIP[[#This Row],[Investor ID]],SIP[[#This Row],[Investor ID]])</f>
        <v>0</v>
      </c>
    </row>
    <row r="1854" spans="1:23" ht="15" customHeight="1">
      <c r="A1854" s="46">
        <v>2026</v>
      </c>
      <c r="B1854" s="46">
        <v>3</v>
      </c>
      <c r="C1854" s="46">
        <v>5</v>
      </c>
      <c r="D1854" s="65">
        <f>DATE(SIP[[#This Row],[Year]],SIP[[#This Row],[Month]],SIP[[#This Row],[Day]])</f>
        <v>46086</v>
      </c>
      <c r="E1854" s="66" t="str" cm="1">
        <f t="array" ref="E1854">INDEX(INVESTORS_LIST[INVESTOR NAME],MATCH(SIP[[#This Row],[Investor ID]],INVESTORS_LIST[INVESTOR CODE],0),)</f>
        <v>MONIR AHMED</v>
      </c>
      <c r="F1854" s="46" t="s">
        <v>125</v>
      </c>
      <c r="G1854" s="46">
        <f>COUNTIF(SIP[[#Headers],[Investor ID]]:SIP[[#This Row],[Investor ID]],SIP[[#This Row],[Investor ID]])</f>
        <v>37</v>
      </c>
      <c r="H1854" s="46" t="str">
        <f>CONCATENATE(SIP[[#This Row],[Frequency]],SIP[[#This Row],[Investor ID]])</f>
        <v>37A00039</v>
      </c>
      <c r="I1854" s="46" t="str">
        <f>IF(SIP[[#This Row],[B/S]]="B","BUY",(IF(SIP[[#This Row],[B/S]]="S","SELL"," ")))</f>
        <v>BUY</v>
      </c>
      <c r="J1854" s="150" t="s">
        <v>1229</v>
      </c>
      <c r="K1854" s="153">
        <v>10000</v>
      </c>
      <c r="L1854" s="122"/>
      <c r="M1854" s="123">
        <f>SIP[[#This Row],[Amount]]/SIP[[#This Row],[Unit]]</f>
        <v>14.124293785310735</v>
      </c>
      <c r="N1854" s="71">
        <f>SIP[[#This Row],[Unit Capital]]/10</f>
        <v>708</v>
      </c>
      <c r="O1854" s="71">
        <f>SUMIFS(SIP[[#Headers],[Unit]]:SIP[[#This Row],[Unit]],SIP[[#Headers],[Investor ID]]:SIP[[#This Row],[Investor ID]],SIP[[#This Row],[Investor ID]])</f>
        <v>3608</v>
      </c>
      <c r="P1854" s="153">
        <v>7080</v>
      </c>
      <c r="Q1854" s="74">
        <f>SIP[[#This Row],[Amount]]-SIP[[#This Row],[Unit Capital]]</f>
        <v>2920</v>
      </c>
      <c r="R185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13.858093126385807</v>
      </c>
      <c r="S1854" s="46">
        <f t="shared" si="87"/>
        <v>14.224</v>
      </c>
      <c r="T185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4" s="74" cm="1">
        <f t="array" ref="U1854">IF(SIP[[#This Row],[B/S]]="S",ABS(SIP[[#This Row],[Unit]])*(INDEX(SIP[NAV at Cost (Average)],MATCH(CONCATENATE((SIP[[#This Row],[Frequency]]-1),SIP[[#This Row],[Investor ID]]),SIP[Unique Code],0),0)),0)</f>
        <v>0</v>
      </c>
      <c r="V1854" s="74">
        <f>IF(SIP[[#This Row],[BO TRANSFER]]="YES",SIP[[#This Row],[Unit]],)</f>
        <v>0</v>
      </c>
      <c r="W1854" s="74">
        <f>SUMIFS(SIP[[#Headers],[BO UNIT TRANSFER]]:SIP[[#This Row],[BO UNIT TRANSFER]],SIP[[#Headers],[Investor ID]]:SIP[[#This Row],[Investor ID]],SIP[[#This Row],[Investor ID]])</f>
        <v>0</v>
      </c>
    </row>
    <row r="1855" spans="1:23" ht="15" customHeight="1">
      <c r="A1855" s="46">
        <v>2026</v>
      </c>
      <c r="B1855" s="46">
        <v>3</v>
      </c>
      <c r="C1855" s="46">
        <v>5</v>
      </c>
      <c r="D1855" s="65">
        <f>DATE(SIP[[#This Row],[Year]],SIP[[#This Row],[Month]],SIP[[#This Row],[Day]])</f>
        <v>46086</v>
      </c>
      <c r="E1855" s="66" t="str" cm="1">
        <f t="array" ref="E1855">INDEX(INVESTORS_LIST[INVESTOR NAME],MATCH(SIP[[#This Row],[Investor ID]],INVESTORS_LIST[INVESTOR CODE],0),)</f>
        <v>SHUVA SAHA</v>
      </c>
      <c r="F1855" s="46" t="s">
        <v>154</v>
      </c>
      <c r="G1855" s="46">
        <f>COUNTIF(SIP[[#Headers],[Investor ID]]:SIP[[#This Row],[Investor ID]],SIP[[#This Row],[Investor ID]])</f>
        <v>32</v>
      </c>
      <c r="H1855" s="46" t="str">
        <f>CONCATENATE(SIP[[#This Row],[Frequency]],SIP[[#This Row],[Investor ID]])</f>
        <v>32A00053</v>
      </c>
      <c r="I1855" s="46" t="str">
        <f>IF(SIP[[#This Row],[B/S]]="B","BUY",(IF(SIP[[#This Row],[B/S]]="S","SELL"," ")))</f>
        <v>BUY</v>
      </c>
      <c r="J1855" s="150" t="s">
        <v>1229</v>
      </c>
      <c r="K1855" s="153">
        <v>70000</v>
      </c>
      <c r="L1855" s="122"/>
      <c r="M1855" s="123">
        <f>SIP[[#This Row],[Amount]]/SIP[[#This Row],[Unit]]</f>
        <v>14.121444422029453</v>
      </c>
      <c r="N1855" s="71">
        <f>SIP[[#This Row],[Unit Capital]]/10</f>
        <v>4957</v>
      </c>
      <c r="O1855" s="71">
        <f>SUMIFS(SIP[[#Headers],[Unit]]:SIP[[#This Row],[Unit]],SIP[[#Headers],[Investor ID]]:SIP[[#This Row],[Investor ID]],SIP[[#This Row],[Investor ID]])</f>
        <v>9967</v>
      </c>
      <c r="P1855" s="153">
        <v>49570</v>
      </c>
      <c r="Q1855" s="74">
        <f>SIP[[#This Row],[Amount]]-SIP[[#This Row],[Unit Capital]]</f>
        <v>20430</v>
      </c>
      <c r="R185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14.046352964783786</v>
      </c>
      <c r="S1855" s="46">
        <f t="shared" si="87"/>
        <v>14.224</v>
      </c>
      <c r="T185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5" s="74" cm="1">
        <f t="array" ref="U1855">IF(SIP[[#This Row],[B/S]]="S",ABS(SIP[[#This Row],[Unit]])*(INDEX(SIP[NAV at Cost (Average)],MATCH(CONCATENATE((SIP[[#This Row],[Frequency]]-1),SIP[[#This Row],[Investor ID]]),SIP[Unique Code],0),0)),0)</f>
        <v>0</v>
      </c>
      <c r="V1855" s="74">
        <f>IF(SIP[[#This Row],[BO TRANSFER]]="YES",SIP[[#This Row],[Unit]],)</f>
        <v>0</v>
      </c>
      <c r="W1855" s="74">
        <f>SUMIFS(SIP[[#Headers],[BO UNIT TRANSFER]]:SIP[[#This Row],[BO UNIT TRANSFER]],SIP[[#Headers],[Investor ID]]:SIP[[#This Row],[Investor ID]],SIP[[#This Row],[Investor ID]])</f>
        <v>0</v>
      </c>
    </row>
    <row r="1856" spans="1:23" ht="15" customHeight="1">
      <c r="A1856" s="46">
        <v>2026</v>
      </c>
      <c r="B1856" s="46">
        <v>3</v>
      </c>
      <c r="C1856" s="46">
        <v>5</v>
      </c>
      <c r="D1856" s="65">
        <f>DATE(SIP[[#This Row],[Year]],SIP[[#This Row],[Month]],SIP[[#This Row],[Day]])</f>
        <v>46086</v>
      </c>
      <c r="E1856" s="66" t="str" cm="1">
        <f t="array" ref="E1856">INDEX(INVESTORS_LIST[INVESTOR NAME],MATCH(SIP[[#This Row],[Investor ID]],INVESTORS_LIST[INVESTOR CODE],0),)</f>
        <v>FAIYEAD AHMEDUL HYE</v>
      </c>
      <c r="F1856" s="46" t="s">
        <v>368</v>
      </c>
      <c r="G1856" s="46">
        <f>COUNTIF(SIP[[#Headers],[Investor ID]]:SIP[[#This Row],[Investor ID]],SIP[[#This Row],[Investor ID]])</f>
        <v>31</v>
      </c>
      <c r="H1856" s="46" t="str">
        <f>CONCATENATE(SIP[[#This Row],[Frequency]],SIP[[#This Row],[Investor ID]])</f>
        <v>31A00160</v>
      </c>
      <c r="I1856" s="46" t="str">
        <f>IF(SIP[[#This Row],[B/S]]="B","BUY",(IF(SIP[[#This Row],[B/S]]="S","SELL"," ")))</f>
        <v>BUY</v>
      </c>
      <c r="J1856" s="150" t="s">
        <v>1229</v>
      </c>
      <c r="K1856" s="153">
        <v>15000</v>
      </c>
      <c r="L1856" s="122"/>
      <c r="M1856" s="123">
        <f>SIP[[#This Row],[Amount]]/SIP[[#This Row],[Unit]]</f>
        <v>14.124293785310735</v>
      </c>
      <c r="N1856" s="71">
        <f>SIP[[#This Row],[Unit Capital]]/10</f>
        <v>1062</v>
      </c>
      <c r="O1856" s="71">
        <f>SUMIFS(SIP[[#Headers],[Unit]]:SIP[[#This Row],[Unit]],SIP[[#Headers],[Investor ID]]:SIP[[#This Row],[Investor ID]],SIP[[#This Row],[Investor ID]])</f>
        <v>13610</v>
      </c>
      <c r="P1856" s="153">
        <v>10620</v>
      </c>
      <c r="Q1856" s="74">
        <f>SIP[[#This Row],[Amount]]-SIP[[#This Row],[Unit Capital]]</f>
        <v>4380</v>
      </c>
      <c r="R185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11.66598107058079</v>
      </c>
      <c r="S1856" s="46">
        <f t="shared" si="87"/>
        <v>14.224</v>
      </c>
      <c r="T185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6" s="74" cm="1">
        <f t="array" ref="U1856">IF(SIP[[#This Row],[B/S]]="S",ABS(SIP[[#This Row],[Unit]])*(INDEX(SIP[NAV at Cost (Average)],MATCH(CONCATENATE((SIP[[#This Row],[Frequency]]-1),SIP[[#This Row],[Investor ID]]),SIP[Unique Code],0),0)),0)</f>
        <v>0</v>
      </c>
      <c r="V1856" s="74">
        <f>IF(SIP[[#This Row],[BO TRANSFER]]="YES",SIP[[#This Row],[Unit]],)</f>
        <v>0</v>
      </c>
      <c r="W1856" s="74">
        <f>SUMIFS(SIP[[#Headers],[BO UNIT TRANSFER]]:SIP[[#This Row],[BO UNIT TRANSFER]],SIP[[#Headers],[Investor ID]]:SIP[[#This Row],[Investor ID]],SIP[[#This Row],[Investor ID]])</f>
        <v>0</v>
      </c>
    </row>
    <row r="1857" spans="1:23" ht="15" customHeight="1">
      <c r="A1857" s="46">
        <v>2026</v>
      </c>
      <c r="B1857" s="46">
        <v>3</v>
      </c>
      <c r="C1857" s="46">
        <v>5</v>
      </c>
      <c r="D1857" s="65">
        <f>DATE(SIP[[#This Row],[Year]],SIP[[#This Row],[Month]],SIP[[#This Row],[Day]])</f>
        <v>46086</v>
      </c>
      <c r="E1857" s="66" t="str" cm="1">
        <f t="array" ref="E1857">INDEX(INVESTORS_LIST[INVESTOR NAME],MATCH(SIP[[#This Row],[Investor ID]],INVESTORS_LIST[INVESTOR CODE],0),)</f>
        <v>CHAONIKA SAHA</v>
      </c>
      <c r="F1857" s="46" t="s">
        <v>238</v>
      </c>
      <c r="G1857" s="46">
        <f>COUNTIF(SIP[[#Headers],[Investor ID]]:SIP[[#This Row],[Investor ID]],SIP[[#This Row],[Investor ID]])</f>
        <v>32</v>
      </c>
      <c r="H1857" s="46" t="str">
        <f>CONCATENATE(SIP[[#This Row],[Frequency]],SIP[[#This Row],[Investor ID]])</f>
        <v>32A00095</v>
      </c>
      <c r="I1857" s="46" t="str">
        <f>IF(SIP[[#This Row],[B/S]]="B","BUY",(IF(SIP[[#This Row],[B/S]]="S","SELL"," ")))</f>
        <v>BUY</v>
      </c>
      <c r="J1857" s="150" t="s">
        <v>1229</v>
      </c>
      <c r="K1857" s="153">
        <v>1000</v>
      </c>
      <c r="L1857" s="122"/>
      <c r="M1857" s="123">
        <f>SIP[[#This Row],[Amount]]/SIP[[#This Row],[Unit]]</f>
        <v>14.084507042253522</v>
      </c>
      <c r="N1857" s="71">
        <f>SIP[[#This Row],[Unit Capital]]/10</f>
        <v>71</v>
      </c>
      <c r="O1857" s="71">
        <f>SUMIFS(SIP[[#Headers],[Unit]]:SIP[[#This Row],[Unit]],SIP[[#Headers],[Investor ID]]:SIP[[#This Row],[Investor ID]],SIP[[#This Row],[Investor ID]])</f>
        <v>216</v>
      </c>
      <c r="P1857" s="153">
        <v>710</v>
      </c>
      <c r="Q1857" s="74">
        <f>SIP[[#This Row],[Amount]]-SIP[[#This Row],[Unit Capital]]</f>
        <v>290</v>
      </c>
      <c r="R185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13.888888888888888</v>
      </c>
      <c r="S1857" s="46">
        <f t="shared" si="87"/>
        <v>14.224</v>
      </c>
      <c r="T185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7" s="74" cm="1">
        <f t="array" ref="U1857">IF(SIP[[#This Row],[B/S]]="S",ABS(SIP[[#This Row],[Unit]])*(INDEX(SIP[NAV at Cost (Average)],MATCH(CONCATENATE((SIP[[#This Row],[Frequency]]-1),SIP[[#This Row],[Investor ID]]),SIP[Unique Code],0),0)),0)</f>
        <v>0</v>
      </c>
      <c r="V1857" s="74">
        <f>IF(SIP[[#This Row],[BO TRANSFER]]="YES",SIP[[#This Row],[Unit]],)</f>
        <v>0</v>
      </c>
      <c r="W1857" s="74">
        <f>SUMIFS(SIP[[#Headers],[BO UNIT TRANSFER]]:SIP[[#This Row],[BO UNIT TRANSFER]],SIP[[#Headers],[Investor ID]]:SIP[[#This Row],[Investor ID]],SIP[[#This Row],[Investor ID]])</f>
        <v>0</v>
      </c>
    </row>
    <row r="1858" spans="1:23" ht="15" customHeight="1">
      <c r="A1858" s="46">
        <v>2026</v>
      </c>
      <c r="B1858" s="46">
        <v>3</v>
      </c>
      <c r="C1858" s="46">
        <v>5</v>
      </c>
      <c r="D1858" s="65">
        <f>DATE(SIP[[#This Row],[Year]],SIP[[#This Row],[Month]],SIP[[#This Row],[Day]])</f>
        <v>46086</v>
      </c>
      <c r="E1858" s="66" t="str" cm="1">
        <f t="array" ref="E1858">INDEX(INVESTORS_LIST[INVESTOR NAME],MATCH(SIP[[#This Row],[Investor ID]],INVESTORS_LIST[INVESTOR CODE],0),)</f>
        <v>KAZI AHSAN MARUF</v>
      </c>
      <c r="F1858" s="46" t="s">
        <v>158</v>
      </c>
      <c r="G1858" s="46">
        <f>COUNTIF(SIP[[#Headers],[Investor ID]]:SIP[[#This Row],[Investor ID]],SIP[[#This Row],[Investor ID]])</f>
        <v>43</v>
      </c>
      <c r="H1858" s="46" t="str">
        <f>CONCATENATE(SIP[[#This Row],[Frequency]],SIP[[#This Row],[Investor ID]])</f>
        <v>43A00055</v>
      </c>
      <c r="I1858" s="46" t="str">
        <f>IF(SIP[[#This Row],[B/S]]="B","BUY",(IF(SIP[[#This Row],[B/S]]="S","SELL"," ")))</f>
        <v>BUY</v>
      </c>
      <c r="J1858" s="150" t="s">
        <v>1229</v>
      </c>
      <c r="K1858" s="153">
        <v>10000</v>
      </c>
      <c r="L1858" s="122"/>
      <c r="M1858" s="123">
        <f>SIP[[#This Row],[Amount]]/SIP[[#This Row],[Unit]]</f>
        <v>14.124293785310735</v>
      </c>
      <c r="N1858" s="71">
        <f>SIP[[#This Row],[Unit Capital]]/10</f>
        <v>708</v>
      </c>
      <c r="O1858" s="71">
        <f>SUMIFS(SIP[[#Headers],[Unit]]:SIP[[#This Row],[Unit]],SIP[[#Headers],[Investor ID]]:SIP[[#This Row],[Investor ID]],SIP[[#This Row],[Investor ID]])</f>
        <v>8082</v>
      </c>
      <c r="P1858" s="153">
        <v>7080</v>
      </c>
      <c r="Q1858" s="74">
        <f>SIP[[#This Row],[Amount]]-SIP[[#This Row],[Unit Capital]]</f>
        <v>2920</v>
      </c>
      <c r="R185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13.709109087263094</v>
      </c>
      <c r="S1858" s="46">
        <f t="shared" si="87"/>
        <v>14.224</v>
      </c>
      <c r="T185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8" s="74" cm="1">
        <f t="array" ref="U1858">IF(SIP[[#This Row],[B/S]]="S",ABS(SIP[[#This Row],[Unit]])*(INDEX(SIP[NAV at Cost (Average)],MATCH(CONCATENATE((SIP[[#This Row],[Frequency]]-1),SIP[[#This Row],[Investor ID]]),SIP[Unique Code],0),0)),0)</f>
        <v>0</v>
      </c>
      <c r="V1858" s="74">
        <f>IF(SIP[[#This Row],[BO TRANSFER]]="YES",SIP[[#This Row],[Unit]],)</f>
        <v>0</v>
      </c>
      <c r="W1858" s="74">
        <f>SUMIFS(SIP[[#Headers],[BO UNIT TRANSFER]]:SIP[[#This Row],[BO UNIT TRANSFER]],SIP[[#Headers],[Investor ID]]:SIP[[#This Row],[Investor ID]],SIP[[#This Row],[Investor ID]])</f>
        <v>0</v>
      </c>
    </row>
    <row r="1859" spans="1:23" ht="15" customHeight="1">
      <c r="A1859" s="46">
        <v>2026</v>
      </c>
      <c r="B1859" s="46">
        <v>3</v>
      </c>
      <c r="C1859" s="46">
        <v>5</v>
      </c>
      <c r="D1859" s="65">
        <f>DATE(SIP[[#This Row],[Year]],SIP[[#This Row],[Month]],SIP[[#This Row],[Day]])</f>
        <v>46086</v>
      </c>
      <c r="E1859" s="66" t="str" cm="1">
        <f t="array" ref="E1859">INDEX(INVESTORS_LIST[INVESTOR NAME],MATCH(SIP[[#This Row],[Investor ID]],INVESTORS_LIST[INVESTOR CODE],0),)</f>
        <v>KAZI AHSAN MARUF</v>
      </c>
      <c r="F1859" s="46" t="s">
        <v>158</v>
      </c>
      <c r="G1859" s="46">
        <f>COUNTIF(SIP[[#Headers],[Investor ID]]:SIP[[#This Row],[Investor ID]],SIP[[#This Row],[Investor ID]])</f>
        <v>44</v>
      </c>
      <c r="H1859" s="46" t="str">
        <f>CONCATENATE(SIP[[#This Row],[Frequency]],SIP[[#This Row],[Investor ID]])</f>
        <v>44A00055</v>
      </c>
      <c r="I1859" s="46" t="str">
        <f>IF(SIP[[#This Row],[B/S]]="B","BUY",(IF(SIP[[#This Row],[B/S]]="S","SELL"," ")))</f>
        <v>BUY</v>
      </c>
      <c r="J1859" s="150" t="s">
        <v>1229</v>
      </c>
      <c r="K1859" s="153">
        <v>20000</v>
      </c>
      <c r="L1859" s="122"/>
      <c r="M1859" s="123">
        <f>SIP[[#This Row],[Amount]]/SIP[[#This Row],[Unit]]</f>
        <v>14.124293785310735</v>
      </c>
      <c r="N1859" s="71">
        <f>SIP[[#This Row],[Unit Capital]]/10</f>
        <v>1416</v>
      </c>
      <c r="O1859" s="71">
        <f>SUMIFS(SIP[[#Headers],[Unit]]:SIP[[#This Row],[Unit]],SIP[[#Headers],[Investor ID]]:SIP[[#This Row],[Investor ID]],SIP[[#This Row],[Investor ID]])</f>
        <v>9498</v>
      </c>
      <c r="P1859" s="153">
        <v>14160</v>
      </c>
      <c r="Q1859" s="74">
        <f>SIP[[#This Row],[Amount]]-SIP[[#This Row],[Unit Capital]]</f>
        <v>5840</v>
      </c>
      <c r="R185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13.771006490130588</v>
      </c>
      <c r="S1859" s="46">
        <f t="shared" si="87"/>
        <v>14.224</v>
      </c>
      <c r="T185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9" s="74" cm="1">
        <f t="array" ref="U1859">IF(SIP[[#This Row],[B/S]]="S",ABS(SIP[[#This Row],[Unit]])*(INDEX(SIP[NAV at Cost (Average)],MATCH(CONCATENATE((SIP[[#This Row],[Frequency]]-1),SIP[[#This Row],[Investor ID]]),SIP[Unique Code],0),0)),0)</f>
        <v>0</v>
      </c>
      <c r="V1859" s="74">
        <f>IF(SIP[[#This Row],[BO TRANSFER]]="YES",SIP[[#This Row],[Unit]],)</f>
        <v>0</v>
      </c>
      <c r="W1859" s="74">
        <f>SUMIFS(SIP[[#Headers],[BO UNIT TRANSFER]]:SIP[[#This Row],[BO UNIT TRANSFER]],SIP[[#Headers],[Investor ID]]:SIP[[#This Row],[Investor ID]],SIP[[#This Row],[Investor ID]])</f>
        <v>0</v>
      </c>
    </row>
    <row r="1860" spans="1:23" ht="15" customHeight="1">
      <c r="A1860" s="46">
        <v>2026</v>
      </c>
      <c r="B1860" s="46">
        <v>3</v>
      </c>
      <c r="C1860" s="46">
        <v>5</v>
      </c>
      <c r="D1860" s="65">
        <f>DATE(SIP[[#This Row],[Year]],SIP[[#This Row],[Month]],SIP[[#This Row],[Day]])</f>
        <v>46086</v>
      </c>
      <c r="E1860" s="66" t="str" cm="1">
        <f t="array" ref="E1860">INDEX(INVESTORS_LIST[INVESTOR NAME],MATCH(SIP[[#This Row],[Investor ID]],INVESTORS_LIST[INVESTOR CODE],0),)</f>
        <v>MAYMUNA AKTAR</v>
      </c>
      <c r="F1860" s="46" t="s">
        <v>1440</v>
      </c>
      <c r="G1860" s="46">
        <f>COUNTIF(SIP[[#Headers],[Investor ID]]:SIP[[#This Row],[Investor ID]],SIP[[#This Row],[Investor ID]])</f>
        <v>6</v>
      </c>
      <c r="H1860" s="46" t="str">
        <f>CONCATENATE(SIP[[#This Row],[Frequency]],SIP[[#This Row],[Investor ID]])</f>
        <v>6A00663</v>
      </c>
      <c r="I1860" s="46" t="str">
        <f>IF(SIP[[#This Row],[B/S]]="B","BUY",(IF(SIP[[#This Row],[B/S]]="S","SELL"," ")))</f>
        <v>BUY</v>
      </c>
      <c r="J1860" s="150" t="s">
        <v>1229</v>
      </c>
      <c r="K1860" s="153">
        <v>5000</v>
      </c>
      <c r="L1860" s="122"/>
      <c r="M1860" s="123">
        <f>SIP[[#This Row],[Amount]]/SIP[[#This Row],[Unit]]</f>
        <v>14.124293785310735</v>
      </c>
      <c r="N1860" s="71">
        <f>SIP[[#This Row],[Unit Capital]]/10</f>
        <v>354</v>
      </c>
      <c r="O1860" s="71">
        <f>SUMIFS(SIP[[#Headers],[Unit]]:SIP[[#This Row],[Unit]],SIP[[#Headers],[Investor ID]]:SIP[[#This Row],[Investor ID]],SIP[[#This Row],[Investor ID]])</f>
        <v>2173</v>
      </c>
      <c r="P1860" s="153">
        <v>3540</v>
      </c>
      <c r="Q1860" s="74">
        <f>SIP[[#This Row],[Amount]]-SIP[[#This Row],[Unit Capital]]</f>
        <v>1460</v>
      </c>
      <c r="R186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13.805798435342844</v>
      </c>
      <c r="S1860" s="46">
        <f t="shared" si="87"/>
        <v>14.224</v>
      </c>
      <c r="T186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0" s="74" cm="1">
        <f t="array" ref="U1860">IF(SIP[[#This Row],[B/S]]="S",ABS(SIP[[#This Row],[Unit]])*(INDEX(SIP[NAV at Cost (Average)],MATCH(CONCATENATE((SIP[[#This Row],[Frequency]]-1),SIP[[#This Row],[Investor ID]]),SIP[Unique Code],0),0)),0)</f>
        <v>0</v>
      </c>
      <c r="V1860" s="74">
        <f>IF(SIP[[#This Row],[BO TRANSFER]]="YES",SIP[[#This Row],[Unit]],)</f>
        <v>0</v>
      </c>
      <c r="W1860" s="74">
        <f>SUMIFS(SIP[[#Headers],[BO UNIT TRANSFER]]:SIP[[#This Row],[BO UNIT TRANSFER]],SIP[[#Headers],[Investor ID]]:SIP[[#This Row],[Investor ID]],SIP[[#This Row],[Investor ID]])</f>
        <v>0</v>
      </c>
    </row>
    <row r="1861" spans="1:23" ht="15" customHeight="1">
      <c r="A1861" s="46">
        <v>2026</v>
      </c>
      <c r="B1861" s="46">
        <v>3</v>
      </c>
      <c r="C1861" s="46">
        <v>9</v>
      </c>
      <c r="D1861" s="65">
        <f>DATE(SIP[[#This Row],[Year]],SIP[[#This Row],[Month]],SIP[[#This Row],[Day]])</f>
        <v>46090</v>
      </c>
      <c r="E1861" s="66" t="str" cm="1">
        <f t="array" ref="E1861">INDEX(INVESTORS_LIST[INVESTOR NAME],MATCH(SIP[[#This Row],[Investor ID]],INVESTORS_LIST[INVESTOR CODE],0),)</f>
        <v>SHUVA SAHA</v>
      </c>
      <c r="F1861" s="46" t="s">
        <v>154</v>
      </c>
      <c r="G1861" s="46">
        <f>COUNTIF(SIP[[#Headers],[Investor ID]]:SIP[[#This Row],[Investor ID]],SIP[[#This Row],[Investor ID]])</f>
        <v>33</v>
      </c>
      <c r="H1861" s="46" t="str">
        <f>CONCATENATE(SIP[[#This Row],[Frequency]],SIP[[#This Row],[Investor ID]])</f>
        <v>33A00053</v>
      </c>
      <c r="I1861" s="46" t="str">
        <f>IF(SIP[[#This Row],[B/S]]="B","BUY",(IF(SIP[[#This Row],[B/S]]="S","SELL"," ")))</f>
        <v>SELL</v>
      </c>
      <c r="J1861" s="150" t="s">
        <v>1231</v>
      </c>
      <c r="K1861" s="153">
        <v>-140903.48000000001</v>
      </c>
      <c r="L1861" s="122"/>
      <c r="M1861" s="123">
        <f>SIP[[#This Row],[Amount]]/SIP[[#This Row],[Unit]]</f>
        <v>14.137000100331093</v>
      </c>
      <c r="N1861" s="71">
        <f>SIP[[#This Row],[Unit Capital]]/10</f>
        <v>-9967</v>
      </c>
      <c r="O1861" s="71">
        <f>SUMIFS(SIP[[#Headers],[Unit]]:SIP[[#This Row],[Unit]],SIP[[#Headers],[Investor ID]]:SIP[[#This Row],[Investor ID]],SIP[[#This Row],[Investor ID]])</f>
        <v>0</v>
      </c>
      <c r="P1861" s="153">
        <v>-99670</v>
      </c>
      <c r="Q1861" s="74">
        <f>SIP[[#This Row],[Amount]]-SIP[[#This Row],[Unit Capital]]</f>
        <v>-41233.48000000001</v>
      </c>
      <c r="R186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861" s="46">
        <f t="shared" ref="S1861:S1866" si="88">NAV_MKT</f>
        <v>14.224</v>
      </c>
      <c r="T1861" s="74">
        <f>IF(SIP[[#This Row],[B/S]]="B",0,ABS(SIP[[#This Row],[Unit]])*(SIP[[#This Row],[NAV (Strike Rate)]]-INDEX(SIP[NAV at Cost (Average)],MATCH(CONCATENATE(SIP[[#This Row],[Frequency]]-1,SIP[[#This Row],[Investor ID]]),SIP[Unique Code],0),)))</f>
        <v>903.48000000001184</v>
      </c>
      <c r="U1861" s="74" cm="1">
        <f t="array" ref="U1861">IF(SIP[[#This Row],[B/S]]="S",ABS(SIP[[#This Row],[Unit]])*(INDEX(SIP[NAV at Cost (Average)],MATCH(CONCATENATE((SIP[[#This Row],[Frequency]]-1),SIP[[#This Row],[Investor ID]]),SIP[Unique Code],0),0)),0)</f>
        <v>140000</v>
      </c>
      <c r="V1861" s="74">
        <f>IF(SIP[[#This Row],[BO TRANSFER]]="YES",SIP[[#This Row],[Unit]],)</f>
        <v>0</v>
      </c>
      <c r="W1861" s="74">
        <f>SUMIFS(SIP[[#Headers],[BO UNIT TRANSFER]]:SIP[[#This Row],[BO UNIT TRANSFER]],SIP[[#Headers],[Investor ID]]:SIP[[#This Row],[Investor ID]],SIP[[#This Row],[Investor ID]])</f>
        <v>0</v>
      </c>
    </row>
    <row r="1862" spans="1:23" ht="15" customHeight="1">
      <c r="A1862" s="46">
        <v>2026</v>
      </c>
      <c r="B1862" s="46">
        <v>3</v>
      </c>
      <c r="C1862" s="46">
        <v>9</v>
      </c>
      <c r="D1862" s="65">
        <f>DATE(SIP[[#This Row],[Year]],SIP[[#This Row],[Month]],SIP[[#This Row],[Day]])</f>
        <v>46090</v>
      </c>
      <c r="E1862" s="66" t="str" cm="1">
        <f t="array" ref="E1862">INDEX(INVESTORS_LIST[INVESTOR NAME],MATCH(SIP[[#This Row],[Investor ID]],INVESTORS_LIST[INVESTOR CODE],0),)</f>
        <v>AHMED BIN MONSUR</v>
      </c>
      <c r="F1862" s="46" t="s">
        <v>692</v>
      </c>
      <c r="G1862" s="46">
        <f>COUNTIF(SIP[[#Headers],[Investor ID]]:SIP[[#This Row],[Investor ID]],SIP[[#This Row],[Investor ID]])</f>
        <v>24</v>
      </c>
      <c r="H1862" s="46" t="str">
        <f>CONCATENATE(SIP[[#This Row],[Frequency]],SIP[[#This Row],[Investor ID]])</f>
        <v>24A00322</v>
      </c>
      <c r="I1862" s="46" t="str">
        <f>IF(SIP[[#This Row],[B/S]]="B","BUY",(IF(SIP[[#This Row],[B/S]]="S","SELL"," ")))</f>
        <v>SELL</v>
      </c>
      <c r="J1862" s="150" t="s">
        <v>1231</v>
      </c>
      <c r="K1862" s="153">
        <v>-40228</v>
      </c>
      <c r="L1862" s="122"/>
      <c r="M1862" s="123">
        <f>SIP[[#This Row],[Amount]]/SIP[[#This Row],[Unit]]</f>
        <v>14.125</v>
      </c>
      <c r="N1862" s="71">
        <f>SIP[[#This Row],[Unit Capital]]/10</f>
        <v>-2848</v>
      </c>
      <c r="O1862" s="71">
        <f>SUMIFS(SIP[[#Headers],[Unit]]:SIP[[#This Row],[Unit]],SIP[[#Headers],[Investor ID]]:SIP[[#This Row],[Investor ID]],SIP[[#This Row],[Investor ID]])</f>
        <v>0</v>
      </c>
      <c r="P1862" s="153">
        <v>-28480</v>
      </c>
      <c r="Q1862" s="74">
        <f>SIP[[#This Row],[Amount]]-SIP[[#This Row],[Unit Capital]]</f>
        <v>-11748</v>
      </c>
      <c r="R186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862" s="46">
        <f t="shared" si="88"/>
        <v>14.224</v>
      </c>
      <c r="T1862" s="74">
        <f>IF(SIP[[#This Row],[B/S]]="B",0,ABS(SIP[[#This Row],[Unit]])*(SIP[[#This Row],[NAV (Strike Rate)]]-INDEX(SIP[NAV at Cost (Average)],MATCH(CONCATENATE(SIP[[#This Row],[Frequency]]-1,SIP[[#This Row],[Investor ID]]),SIP[Unique Code],0),)))</f>
        <v>848.58965683905512</v>
      </c>
      <c r="U1862" s="74" cm="1">
        <f t="array" ref="U1862">IF(SIP[[#This Row],[B/S]]="S",ABS(SIP[[#This Row],[Unit]])*(INDEX(SIP[NAV at Cost (Average)],MATCH(CONCATENATE((SIP[[#This Row],[Frequency]]-1),SIP[[#This Row],[Investor ID]]),SIP[Unique Code],0),0)),0)</f>
        <v>39379.410343160947</v>
      </c>
      <c r="V1862" s="74">
        <f>IF(SIP[[#This Row],[BO TRANSFER]]="YES",SIP[[#This Row],[Unit]],)</f>
        <v>0</v>
      </c>
      <c r="W1862" s="74">
        <f>SUMIFS(SIP[[#Headers],[BO UNIT TRANSFER]]:SIP[[#This Row],[BO UNIT TRANSFER]],SIP[[#Headers],[Investor ID]]:SIP[[#This Row],[Investor ID]],SIP[[#This Row],[Investor ID]])</f>
        <v>0</v>
      </c>
    </row>
    <row r="1863" spans="1:23" ht="15" customHeight="1">
      <c r="A1863" s="46">
        <v>2026</v>
      </c>
      <c r="B1863" s="46">
        <v>3</v>
      </c>
      <c r="C1863" s="46">
        <v>9</v>
      </c>
      <c r="D1863" s="65">
        <f>DATE(SIP[[#This Row],[Year]],SIP[[#This Row],[Month]],SIP[[#This Row],[Day]])</f>
        <v>46090</v>
      </c>
      <c r="E1863" s="66" t="str" cm="1">
        <f t="array" ref="E1863">INDEX(INVESTORS_LIST[INVESTOR NAME],MATCH(SIP[[#This Row],[Investor ID]],INVESTORS_LIST[INVESTOR CODE],0),)</f>
        <v>SUBIR HAGIDOK</v>
      </c>
      <c r="F1863" s="46" t="s">
        <v>1436</v>
      </c>
      <c r="G1863" s="46">
        <f>COUNTIF(SIP[[#Headers],[Investor ID]]:SIP[[#This Row],[Investor ID]],SIP[[#This Row],[Investor ID]])</f>
        <v>1</v>
      </c>
      <c r="H1863" s="46" t="str">
        <f>CONCATENATE(SIP[[#This Row],[Frequency]],SIP[[#This Row],[Investor ID]])</f>
        <v>1A00661</v>
      </c>
      <c r="I1863" s="46" t="str">
        <f>IF(SIP[[#This Row],[B/S]]="B","BUY",(IF(SIP[[#This Row],[B/S]]="S","SELL"," ")))</f>
        <v>BUY</v>
      </c>
      <c r="J1863" s="150" t="s">
        <v>1229</v>
      </c>
      <c r="K1863" s="153">
        <v>2000</v>
      </c>
      <c r="L1863" s="122"/>
      <c r="M1863" s="123">
        <f>SIP[[#This Row],[Amount]]/SIP[[#This Row],[Unit]]</f>
        <v>14.084507042253522</v>
      </c>
      <c r="N1863" s="71">
        <f>SIP[[#This Row],[Unit Capital]]/10</f>
        <v>142</v>
      </c>
      <c r="O1863" s="71">
        <f>SUMIFS(SIP[[#Headers],[Unit]]:SIP[[#This Row],[Unit]],SIP[[#Headers],[Investor ID]]:SIP[[#This Row],[Investor ID]],SIP[[#This Row],[Investor ID]])</f>
        <v>142</v>
      </c>
      <c r="P1863" s="153">
        <v>1420</v>
      </c>
      <c r="Q1863" s="74">
        <f>SIP[[#This Row],[Amount]]-SIP[[#This Row],[Unit Capital]]</f>
        <v>580</v>
      </c>
      <c r="R186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14.084507042253522</v>
      </c>
      <c r="S1863" s="46">
        <f t="shared" si="88"/>
        <v>14.224</v>
      </c>
      <c r="T186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3" s="74" cm="1">
        <f t="array" ref="U1863">IF(SIP[[#This Row],[B/S]]="S",ABS(SIP[[#This Row],[Unit]])*(INDEX(SIP[NAV at Cost (Average)],MATCH(CONCATENATE((SIP[[#This Row],[Frequency]]-1),SIP[[#This Row],[Investor ID]]),SIP[Unique Code],0),0)),0)</f>
        <v>0</v>
      </c>
      <c r="V1863" s="74">
        <f>IF(SIP[[#This Row],[BO TRANSFER]]="YES",SIP[[#This Row],[Unit]],)</f>
        <v>0</v>
      </c>
      <c r="W1863" s="74">
        <f>SUMIFS(SIP[[#Headers],[BO UNIT TRANSFER]]:SIP[[#This Row],[BO UNIT TRANSFER]],SIP[[#Headers],[Investor ID]]:SIP[[#This Row],[Investor ID]],SIP[[#This Row],[Investor ID]])</f>
        <v>0</v>
      </c>
    </row>
    <row r="1864" spans="1:23" ht="15" customHeight="1">
      <c r="A1864" s="46">
        <v>2026</v>
      </c>
      <c r="B1864" s="46">
        <v>3</v>
      </c>
      <c r="C1864" s="46">
        <v>10</v>
      </c>
      <c r="D1864" s="65">
        <f>DATE(SIP[[#This Row],[Year]],SIP[[#This Row],[Month]],SIP[[#This Row],[Day]])</f>
        <v>46091</v>
      </c>
      <c r="E1864" s="66" t="str" cm="1">
        <f t="array" ref="E1864">INDEX(INVESTORS_LIST[INVESTOR NAME],MATCH(SIP[[#This Row],[Investor ID]],INVESTORS_LIST[INVESTOR CODE],0),)</f>
        <v>MD. RAKIBUL ALOM</v>
      </c>
      <c r="F1864" s="46" t="s">
        <v>1524</v>
      </c>
      <c r="G1864" s="46">
        <f>COUNTIF(SIP[[#Headers],[Investor ID]]:SIP[[#This Row],[Investor ID]],SIP[[#This Row],[Investor ID]])</f>
        <v>1</v>
      </c>
      <c r="H1864" s="46" t="str">
        <f>CONCATENATE(SIP[[#This Row],[Frequency]],SIP[[#This Row],[Investor ID]])</f>
        <v>1A00697</v>
      </c>
      <c r="I1864" s="46" t="str">
        <f>IF(SIP[[#This Row],[B/S]]="B","BUY",(IF(SIP[[#This Row],[B/S]]="S","SELL"," ")))</f>
        <v>BUY</v>
      </c>
      <c r="J1864" s="150" t="s">
        <v>1229</v>
      </c>
      <c r="K1864" s="152">
        <v>5000</v>
      </c>
      <c r="L1864" s="122"/>
      <c r="M1864" s="123">
        <f>SIP[[#This Row],[Amount]]/SIP[[#This Row],[Unit]]</f>
        <v>14.124293785310735</v>
      </c>
      <c r="N1864" s="71">
        <f>SIP[[#This Row],[Unit Capital]]/10</f>
        <v>354</v>
      </c>
      <c r="O1864" s="71">
        <f>SUMIFS(SIP[[#Headers],[Unit]]:SIP[[#This Row],[Unit]],SIP[[#Headers],[Investor ID]]:SIP[[#This Row],[Investor ID]],SIP[[#This Row],[Investor ID]])</f>
        <v>354</v>
      </c>
      <c r="P1864" s="153">
        <v>3540</v>
      </c>
      <c r="Q1864" s="74">
        <f>SIP[[#This Row],[Amount]]-SIP[[#This Row],[Unit Capital]]</f>
        <v>1460</v>
      </c>
      <c r="R186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14.124293785310735</v>
      </c>
      <c r="S1864" s="46">
        <f t="shared" si="88"/>
        <v>14.224</v>
      </c>
      <c r="T186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4" s="74" cm="1">
        <f t="array" ref="U1864">IF(SIP[[#This Row],[B/S]]="S",ABS(SIP[[#This Row],[Unit]])*(INDEX(SIP[NAV at Cost (Average)],MATCH(CONCATENATE((SIP[[#This Row],[Frequency]]-1),SIP[[#This Row],[Investor ID]]),SIP[Unique Code],0),0)),0)</f>
        <v>0</v>
      </c>
      <c r="V1864" s="74">
        <f>IF(SIP[[#This Row],[BO TRANSFER]]="YES",SIP[[#This Row],[Unit]],)</f>
        <v>0</v>
      </c>
      <c r="W1864" s="74">
        <f>SUMIFS(SIP[[#Headers],[BO UNIT TRANSFER]]:SIP[[#This Row],[BO UNIT TRANSFER]],SIP[[#Headers],[Investor ID]]:SIP[[#This Row],[Investor ID]],SIP[[#This Row],[Investor ID]])</f>
        <v>0</v>
      </c>
    </row>
    <row r="1865" spans="1:23" ht="15" customHeight="1">
      <c r="A1865" s="46">
        <v>2026</v>
      </c>
      <c r="B1865" s="46">
        <v>3</v>
      </c>
      <c r="C1865" s="46">
        <v>10</v>
      </c>
      <c r="D1865" s="65">
        <f>DATE(SIP[[#This Row],[Year]],SIP[[#This Row],[Month]],SIP[[#This Row],[Day]])</f>
        <v>46091</v>
      </c>
      <c r="E1865" s="66" t="str" cm="1">
        <f t="array" ref="E1865">INDEX(INVESTORS_LIST[INVESTOR NAME],MATCH(SIP[[#This Row],[Investor ID]],INVESTORS_LIST[INVESTOR CODE],0),)</f>
        <v>MD. OMAR FARUQUE Al QUADERI</v>
      </c>
      <c r="F1865" s="46" t="s">
        <v>160</v>
      </c>
      <c r="G1865" s="46">
        <f>COUNTIF(SIP[[#Headers],[Investor ID]]:SIP[[#This Row],[Investor ID]],SIP[[#This Row],[Investor ID]])</f>
        <v>6</v>
      </c>
      <c r="H1865" s="46" t="str">
        <f>CONCATENATE(SIP[[#This Row],[Frequency]],SIP[[#This Row],[Investor ID]])</f>
        <v>6A00056</v>
      </c>
      <c r="I1865" s="46" t="str">
        <f>IF(SIP[[#This Row],[B/S]]="B","BUY",(IF(SIP[[#This Row],[B/S]]="S","SELL"," ")))</f>
        <v>BUY</v>
      </c>
      <c r="J1865" s="150" t="s">
        <v>1229</v>
      </c>
      <c r="K1865" s="152">
        <v>5000</v>
      </c>
      <c r="L1865" s="122"/>
      <c r="M1865" s="123">
        <f>SIP[[#This Row],[Amount]]/SIP[[#This Row],[Unit]]</f>
        <v>14.124293785310735</v>
      </c>
      <c r="N1865" s="71">
        <f>SIP[[#This Row],[Unit Capital]]/10</f>
        <v>354</v>
      </c>
      <c r="O1865" s="71">
        <f>SUMIFS(SIP[[#Headers],[Unit]]:SIP[[#This Row],[Unit]],SIP[[#Headers],[Investor ID]]:SIP[[#This Row],[Investor ID]],SIP[[#This Row],[Investor ID]])</f>
        <v>2168</v>
      </c>
      <c r="P1865" s="153">
        <v>3540</v>
      </c>
      <c r="Q1865" s="74">
        <f>SIP[[#This Row],[Amount]]-SIP[[#This Row],[Unit Capital]]</f>
        <v>1460</v>
      </c>
      <c r="R186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13.837638376383763</v>
      </c>
      <c r="S1865" s="46">
        <f t="shared" si="88"/>
        <v>14.224</v>
      </c>
      <c r="T186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5" s="74" cm="1">
        <f t="array" ref="U1865">IF(SIP[[#This Row],[B/S]]="S",ABS(SIP[[#This Row],[Unit]])*(INDEX(SIP[NAV at Cost (Average)],MATCH(CONCATENATE((SIP[[#This Row],[Frequency]]-1),SIP[[#This Row],[Investor ID]]),SIP[Unique Code],0),0)),0)</f>
        <v>0</v>
      </c>
      <c r="V1865" s="74">
        <f>IF(SIP[[#This Row],[BO TRANSFER]]="YES",SIP[[#This Row],[Unit]],)</f>
        <v>0</v>
      </c>
      <c r="W1865" s="74">
        <f>SUMIFS(SIP[[#Headers],[BO UNIT TRANSFER]]:SIP[[#This Row],[BO UNIT TRANSFER]],SIP[[#Headers],[Investor ID]]:SIP[[#This Row],[Investor ID]],SIP[[#This Row],[Investor ID]])</f>
        <v>0</v>
      </c>
    </row>
    <row r="1866" spans="1:23" ht="15" customHeight="1">
      <c r="A1866" s="46">
        <v>2026</v>
      </c>
      <c r="B1866" s="46">
        <v>3</v>
      </c>
      <c r="C1866" s="46">
        <v>15</v>
      </c>
      <c r="D1866" s="65">
        <f>DATE(SIP[[#This Row],[Year]],SIP[[#This Row],[Month]],SIP[[#This Row],[Day]])</f>
        <v>46096</v>
      </c>
      <c r="E1866" s="66" t="str" cm="1">
        <f t="array" ref="E1866">INDEX(INVESTORS_LIST[INVESTOR NAME],MATCH(SIP[[#This Row],[Investor ID]],INVESTORS_LIST[INVESTOR CODE],0),)</f>
        <v>MAHFUZA ANIKA</v>
      </c>
      <c r="F1866" s="166" t="s">
        <v>1277</v>
      </c>
      <c r="G1866" s="46">
        <f>COUNTIF(SIP[[#Headers],[Investor ID]]:SIP[[#This Row],[Investor ID]],SIP[[#This Row],[Investor ID]])</f>
        <v>23</v>
      </c>
      <c r="H1866" s="46" t="str">
        <f>CONCATENATE(SIP[[#This Row],[Frequency]],SIP[[#This Row],[Investor ID]])</f>
        <v>23A00585</v>
      </c>
      <c r="I1866" s="46" t="str">
        <f>IF(SIP[[#This Row],[B/S]]="B","BUY",(IF(SIP[[#This Row],[B/S]]="S","SELL"," ")))</f>
        <v>SELL</v>
      </c>
      <c r="J1866" s="150" t="s">
        <v>1231</v>
      </c>
      <c r="K1866" s="153">
        <v>-14000</v>
      </c>
      <c r="L1866" s="122"/>
      <c r="M1866" s="123">
        <f>SIP[[#This Row],[Amount]]/SIP[[#This Row],[Unit]]</f>
        <v>14.155712841253791</v>
      </c>
      <c r="N1866" s="71">
        <f>SIP[[#This Row],[Unit Capital]]/10</f>
        <v>-989</v>
      </c>
      <c r="O1866" s="71">
        <f>SUMIFS(SIP[[#Headers],[Unit]]:SIP[[#This Row],[Unit]],SIP[[#Headers],[Investor ID]]:SIP[[#This Row],[Investor ID]],SIP[[#This Row],[Investor ID]])</f>
        <v>27</v>
      </c>
      <c r="P1866" s="153">
        <v>-9890</v>
      </c>
      <c r="Q1866" s="74">
        <f>SIP[[#This Row],[Amount]]-SIP[[#This Row],[Unit Capital]]</f>
        <v>-4110</v>
      </c>
      <c r="R186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13.482703700007992</v>
      </c>
      <c r="S1866" s="46">
        <f t="shared" si="88"/>
        <v>14.224</v>
      </c>
      <c r="T1866" s="74">
        <f>IF(SIP[[#This Row],[B/S]]="B",0,ABS(SIP[[#This Row],[Unit]])*(SIP[[#This Row],[NAV (Strike Rate)]]-INDEX(SIP[NAV at Cost (Average)],MATCH(CONCATENATE(SIP[[#This Row],[Frequency]]-1,SIP[[#This Row],[Investor ID]]),SIP[Unique Code],0),)))</f>
        <v>665.60604069209569</v>
      </c>
      <c r="U1866" s="74" cm="1">
        <f t="array" ref="U1866">IF(SIP[[#This Row],[B/S]]="S",ABS(SIP[[#This Row],[Unit]])*(INDEX(SIP[NAV at Cost (Average)],MATCH(CONCATENATE((SIP[[#This Row],[Frequency]]-1),SIP[[#This Row],[Investor ID]]),SIP[Unique Code],0),0)),0)</f>
        <v>13334.393959307905</v>
      </c>
      <c r="V1866" s="74">
        <f>IF(SIP[[#This Row],[BO TRANSFER]]="YES",SIP[[#This Row],[Unit]],)</f>
        <v>0</v>
      </c>
      <c r="W1866" s="74">
        <f>SUMIFS(SIP[[#Headers],[BO UNIT TRANSFER]]:SIP[[#This Row],[BO UNIT TRANSFER]],SIP[[#Headers],[Investor ID]]:SIP[[#This Row],[Investor ID]],SIP[[#This Row],[Investor ID]])</f>
        <v>0</v>
      </c>
    </row>
    <row r="1867" spans="1:23" ht="15" customHeight="1">
      <c r="A1867" s="46">
        <v>2026</v>
      </c>
      <c r="B1867" s="46">
        <v>3</v>
      </c>
      <c r="C1867" s="46">
        <v>15</v>
      </c>
      <c r="D1867" s="65">
        <f>DATE(SIP[[#This Row],[Year]],SIP[[#This Row],[Month]],SIP[[#This Row],[Day]])</f>
        <v>46096</v>
      </c>
      <c r="E1867" s="66" t="str" cm="1">
        <f t="array" ref="E1867">INDEX(INVESTORS_LIST[INVESTOR NAME],MATCH(SIP[[#This Row],[Investor ID]],INVESTORS_LIST[INVESTOR CODE],0),)</f>
        <v>NUSRAT JAHAN TISHA</v>
      </c>
      <c r="F1867" s="46" t="s">
        <v>926</v>
      </c>
      <c r="G1867" s="46">
        <f>COUNTIF(SIP[[#Headers],[Investor ID]]:SIP[[#This Row],[Investor ID]],SIP[[#This Row],[Investor ID]])</f>
        <v>21</v>
      </c>
      <c r="H1867" s="46" t="str">
        <f>CONCATENATE(SIP[[#This Row],[Frequency]],SIP[[#This Row],[Investor ID]])</f>
        <v>21A00440</v>
      </c>
      <c r="I1867" s="46" t="str">
        <f>IF(SIP[[#This Row],[B/S]]="B","BUY",(IF(SIP[[#This Row],[B/S]]="S","SELL"," ")))</f>
        <v>SELL</v>
      </c>
      <c r="J1867" s="150" t="s">
        <v>1231</v>
      </c>
      <c r="K1867" s="153">
        <v>-26889.84</v>
      </c>
      <c r="L1867" s="122"/>
      <c r="M1867" s="123">
        <f>SIP[[#This Row],[Amount]]/SIP[[#This Row],[Unit]]</f>
        <v>14.16</v>
      </c>
      <c r="N1867" s="71">
        <f>SIP[[#This Row],[Unit Capital]]/10</f>
        <v>-1899</v>
      </c>
      <c r="O1867" s="71">
        <f>SUMIFS(SIP[[#Headers],[Unit]]:SIP[[#This Row],[Unit]],SIP[[#Headers],[Investor ID]]:SIP[[#This Row],[Investor ID]],SIP[[#This Row],[Investor ID]])</f>
        <v>0</v>
      </c>
      <c r="P1867" s="153">
        <f>ROUND(SIP[[#This Row],[Amount]]/14.16,0)*10</f>
        <v>-18990</v>
      </c>
      <c r="Q1867" s="74">
        <f>SIP[[#This Row],[Amount]]-SIP[[#This Row],[Unit Capital]]</f>
        <v>-7899.84</v>
      </c>
      <c r="R186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867" s="46">
        <f t="shared" ref="S1867:S1878" si="89">NAV_MKT</f>
        <v>14.224</v>
      </c>
      <c r="T1867" s="74">
        <f>IF(SIP[[#This Row],[B/S]]="B",0,ABS(SIP[[#This Row],[Unit]])*(SIP[[#This Row],[NAV (Strike Rate)]]-INDEX(SIP[NAV at Cost (Average)],MATCH(CONCATENATE(SIP[[#This Row],[Frequency]]-1,SIP[[#This Row],[Investor ID]]),SIP[Unique Code],0),)))</f>
        <v>1889.8399999999976</v>
      </c>
      <c r="U1867" s="74" cm="1">
        <f t="array" ref="U1867">IF(SIP[[#This Row],[B/S]]="S",ABS(SIP[[#This Row],[Unit]])*(INDEX(SIP[NAV at Cost (Average)],MATCH(CONCATENATE((SIP[[#This Row],[Frequency]]-1),SIP[[#This Row],[Investor ID]]),SIP[Unique Code],0),0)),0)</f>
        <v>25000.000000000004</v>
      </c>
      <c r="V1867" s="74">
        <f>IF(SIP[[#This Row],[BO TRANSFER]]="YES",SIP[[#This Row],[Unit]],)</f>
        <v>0</v>
      </c>
      <c r="W1867" s="74">
        <f>SUMIFS(SIP[[#Headers],[BO UNIT TRANSFER]]:SIP[[#This Row],[BO UNIT TRANSFER]],SIP[[#Headers],[Investor ID]]:SIP[[#This Row],[Investor ID]],SIP[[#This Row],[Investor ID]])</f>
        <v>0</v>
      </c>
    </row>
    <row r="1868" spans="1:23" ht="15" customHeight="1">
      <c r="A1868" s="46">
        <v>2026</v>
      </c>
      <c r="B1868" s="46">
        <v>3</v>
      </c>
      <c r="C1868" s="46">
        <v>15</v>
      </c>
      <c r="D1868" s="65">
        <f>DATE(SIP[[#This Row],[Year]],SIP[[#This Row],[Month]],SIP[[#This Row],[Day]])</f>
        <v>46096</v>
      </c>
      <c r="E1868" s="66" t="str" cm="1">
        <f t="array" ref="E1868">INDEX(INVESTORS_LIST[INVESTOR NAME],MATCH(SIP[[#This Row],[Investor ID]],INVESTORS_LIST[INVESTOR CODE],0),)</f>
        <v>EDUINT LIMITED</v>
      </c>
      <c r="F1868" s="46" t="s">
        <v>1482</v>
      </c>
      <c r="G1868" s="46">
        <f>COUNTIF(SIP[[#Headers],[Investor ID]]:SIP[[#This Row],[Investor ID]],SIP[[#This Row],[Investor ID]])</f>
        <v>4</v>
      </c>
      <c r="H1868" s="46" t="str">
        <f>CONCATENATE(SIP[[#This Row],[Frequency]],SIP[[#This Row],[Investor ID]])</f>
        <v>4A00687</v>
      </c>
      <c r="I1868" s="46" t="str">
        <f>IF(SIP[[#This Row],[B/S]]="B","BUY",(IF(SIP[[#This Row],[B/S]]="S","SELL"," ")))</f>
        <v>SELL</v>
      </c>
      <c r="J1868" s="150" t="s">
        <v>1231</v>
      </c>
      <c r="K1868" s="153">
        <v>-8000</v>
      </c>
      <c r="L1868" s="122"/>
      <c r="M1868" s="123">
        <f>SIP[[#This Row],[Amount]]/SIP[[#This Row],[Unit]]</f>
        <v>14.159292035398231</v>
      </c>
      <c r="N1868" s="71">
        <f>SIP[[#This Row],[Unit Capital]]/10</f>
        <v>-565</v>
      </c>
      <c r="O1868" s="71">
        <f>SUMIFS(SIP[[#Headers],[Unit]]:SIP[[#This Row],[Unit]],SIP[[#Headers],[Investor ID]]:SIP[[#This Row],[Investor ID]],SIP[[#This Row],[Investor ID]])</f>
        <v>585</v>
      </c>
      <c r="P1868" s="153">
        <f>ROUND(SIP[[#This Row],[Amount]]/14.16,0)*10</f>
        <v>-5650</v>
      </c>
      <c r="Q1868" s="74">
        <f>SIP[[#This Row],[Amount]]-SIP[[#This Row],[Unit Capital]]</f>
        <v>-2350</v>
      </c>
      <c r="R186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13.913043478260871</v>
      </c>
      <c r="S1868" s="46">
        <f t="shared" si="89"/>
        <v>14.224</v>
      </c>
      <c r="T1868" s="74">
        <f>IF(SIP[[#This Row],[B/S]]="B",0,ABS(SIP[[#This Row],[Unit]])*(SIP[[#This Row],[NAV (Strike Rate)]]-INDEX(SIP[NAV at Cost (Average)],MATCH(CONCATENATE(SIP[[#This Row],[Frequency]]-1,SIP[[#This Row],[Investor ID]]),SIP[Unique Code],0),)))</f>
        <v>139.13043478260829</v>
      </c>
      <c r="U1868" s="74" cm="1">
        <f t="array" ref="U1868">IF(SIP[[#This Row],[B/S]]="S",ABS(SIP[[#This Row],[Unit]])*(INDEX(SIP[NAV at Cost (Average)],MATCH(CONCATENATE((SIP[[#This Row],[Frequency]]-1),SIP[[#This Row],[Investor ID]]),SIP[Unique Code],0),0)),0)</f>
        <v>7860.8695652173919</v>
      </c>
      <c r="V1868" s="74">
        <f>IF(SIP[[#This Row],[BO TRANSFER]]="YES",SIP[[#This Row],[Unit]],)</f>
        <v>0</v>
      </c>
      <c r="W1868" s="74">
        <f>SUMIFS(SIP[[#Headers],[BO UNIT TRANSFER]]:SIP[[#This Row],[BO UNIT TRANSFER]],SIP[[#Headers],[Investor ID]]:SIP[[#This Row],[Investor ID]],SIP[[#This Row],[Investor ID]])</f>
        <v>0</v>
      </c>
    </row>
    <row r="1869" spans="1:23" ht="15" customHeight="1">
      <c r="A1869" s="46">
        <v>2026</v>
      </c>
      <c r="B1869" s="46">
        <v>3</v>
      </c>
      <c r="C1869" s="46">
        <v>15</v>
      </c>
      <c r="D1869" s="65">
        <f>DATE(SIP[[#This Row],[Year]],SIP[[#This Row],[Month]],SIP[[#This Row],[Day]])</f>
        <v>46096</v>
      </c>
      <c r="E1869" s="66" t="str" cm="1">
        <f t="array" ref="E1869">INDEX(INVESTORS_LIST[INVESTOR NAME],MATCH(SIP[[#This Row],[Investor ID]],INVESTORS_LIST[INVESTOR CODE],0),)</f>
        <v>MAHMUD ALI ALAMGIR &amp; MOHAMMED ALI XAHANGIR</v>
      </c>
      <c r="F1869" s="46" t="s">
        <v>1130</v>
      </c>
      <c r="G1869" s="46">
        <f>COUNTIF(SIP[[#Headers],[Investor ID]]:SIP[[#This Row],[Investor ID]],SIP[[#This Row],[Investor ID]])</f>
        <v>41</v>
      </c>
      <c r="H1869" s="46" t="str">
        <f>CONCATENATE(SIP[[#This Row],[Frequency]],SIP[[#This Row],[Investor ID]])</f>
        <v>41A00540</v>
      </c>
      <c r="I1869" s="46" t="str">
        <f>IF(SIP[[#This Row],[B/S]]="B","BUY",(IF(SIP[[#This Row],[B/S]]="S","SELL"," ")))</f>
        <v>BUY</v>
      </c>
      <c r="J1869" s="150" t="s">
        <v>1229</v>
      </c>
      <c r="K1869" s="153">
        <v>40000</v>
      </c>
      <c r="L1869" s="122"/>
      <c r="M1869" s="123">
        <f>SIP[[#This Row],[Amount]]/SIP[[#This Row],[Unit]]</f>
        <v>14.159292035398231</v>
      </c>
      <c r="N1869" s="71">
        <f>SIP[[#This Row],[Unit Capital]]/10</f>
        <v>2825</v>
      </c>
      <c r="O1869" s="71">
        <f>SUMIFS(SIP[[#Headers],[Unit]]:SIP[[#This Row],[Unit]],SIP[[#Headers],[Investor ID]]:SIP[[#This Row],[Investor ID]],SIP[[#This Row],[Investor ID]])</f>
        <v>11923</v>
      </c>
      <c r="P1869" s="153">
        <f>ROUND(SIP[[#This Row],[Amount]]/14.16,0)*10</f>
        <v>28250</v>
      </c>
      <c r="Q1869" s="74">
        <f>SIP[[#This Row],[Amount]]-SIP[[#This Row],[Unit Capital]]</f>
        <v>11750</v>
      </c>
      <c r="R1869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13.949616510094508</v>
      </c>
      <c r="S1869" s="46">
        <f t="shared" si="89"/>
        <v>14.224</v>
      </c>
      <c r="T1869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9" s="74" cm="1">
        <f t="array" ref="U1869">IF(SIP[[#This Row],[B/S]]="S",ABS(SIP[[#This Row],[Unit]])*(INDEX(SIP[NAV at Cost (Average)],MATCH(CONCATENATE((SIP[[#This Row],[Frequency]]-1),SIP[[#This Row],[Investor ID]]),SIP[Unique Code],0),0)),0)</f>
        <v>0</v>
      </c>
      <c r="V1869" s="74">
        <f>IF(SIP[[#This Row],[BO TRANSFER]]="YES",SIP[[#This Row],[Unit]],)</f>
        <v>0</v>
      </c>
      <c r="W1869" s="74">
        <f>SUMIFS(SIP[[#Headers],[BO UNIT TRANSFER]]:SIP[[#This Row],[BO UNIT TRANSFER]],SIP[[#Headers],[Investor ID]]:SIP[[#This Row],[Investor ID]],SIP[[#This Row],[Investor ID]])</f>
        <v>0</v>
      </c>
    </row>
    <row r="1870" spans="1:23" ht="15" customHeight="1">
      <c r="A1870" s="46">
        <v>2026</v>
      </c>
      <c r="B1870" s="46">
        <v>3</v>
      </c>
      <c r="C1870" s="46">
        <v>15</v>
      </c>
      <c r="D1870" s="65">
        <f>DATE(SIP[[#This Row],[Year]],SIP[[#This Row],[Month]],SIP[[#This Row],[Day]])</f>
        <v>46096</v>
      </c>
      <c r="E1870" s="66" t="str" cm="1">
        <f t="array" ref="E1870">INDEX(INVESTORS_LIST[INVESTOR NAME],MATCH(SIP[[#This Row],[Investor ID]],INVESTORS_LIST[INVESTOR CODE],0),)</f>
        <v>ASRAAR HOSSAIN</v>
      </c>
      <c r="F1870" s="46" t="s">
        <v>786</v>
      </c>
      <c r="G1870" s="46">
        <f>COUNTIF(SIP[[#Headers],[Investor ID]]:SIP[[#This Row],[Investor ID]],SIP[[#This Row],[Investor ID]])</f>
        <v>18</v>
      </c>
      <c r="H1870" s="46" t="str">
        <f>CONCATENATE(SIP[[#This Row],[Frequency]],SIP[[#This Row],[Investor ID]])</f>
        <v>18A00369</v>
      </c>
      <c r="I1870" s="46" t="str">
        <f>IF(SIP[[#This Row],[B/S]]="B","BUY",(IF(SIP[[#This Row],[B/S]]="S","SELL"," ")))</f>
        <v>BUY</v>
      </c>
      <c r="J1870" s="150" t="s">
        <v>1229</v>
      </c>
      <c r="K1870" s="153">
        <v>15000</v>
      </c>
      <c r="L1870" s="122"/>
      <c r="M1870" s="123">
        <f>SIP[[#This Row],[Amount]]/SIP[[#This Row],[Unit]]</f>
        <v>14.164305949008499</v>
      </c>
      <c r="N1870" s="71">
        <f>SIP[[#This Row],[Unit Capital]]/10</f>
        <v>1059</v>
      </c>
      <c r="O1870" s="71">
        <f>SUMIFS(SIP[[#Headers],[Unit]]:SIP[[#This Row],[Unit]],SIP[[#Headers],[Investor ID]]:SIP[[#This Row],[Investor ID]],SIP[[#This Row],[Investor ID]])</f>
        <v>21100</v>
      </c>
      <c r="P1870" s="153">
        <f>ROUND(SIP[[#This Row],[Amount]]/14.16,0)*10</f>
        <v>10590</v>
      </c>
      <c r="Q1870" s="74">
        <f>SIP[[#This Row],[Amount]]-SIP[[#This Row],[Unit Capital]]</f>
        <v>4410</v>
      </c>
      <c r="R1870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12.796208530805686</v>
      </c>
      <c r="S1870" s="46">
        <f t="shared" si="89"/>
        <v>14.224</v>
      </c>
      <c r="T1870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0" s="74" cm="1">
        <f t="array" ref="U1870">IF(SIP[[#This Row],[B/S]]="S",ABS(SIP[[#This Row],[Unit]])*(INDEX(SIP[NAV at Cost (Average)],MATCH(CONCATENATE((SIP[[#This Row],[Frequency]]-1),SIP[[#This Row],[Investor ID]]),SIP[Unique Code],0),0)),0)</f>
        <v>0</v>
      </c>
      <c r="V1870" s="74">
        <f>IF(SIP[[#This Row],[BO TRANSFER]]="YES",SIP[[#This Row],[Unit]],)</f>
        <v>0</v>
      </c>
      <c r="W1870" s="74">
        <f>SUMIFS(SIP[[#Headers],[BO UNIT TRANSFER]]:SIP[[#This Row],[BO UNIT TRANSFER]],SIP[[#Headers],[Investor ID]]:SIP[[#This Row],[Investor ID]],SIP[[#This Row],[Investor ID]])</f>
        <v>8901</v>
      </c>
    </row>
    <row r="1871" spans="1:23" ht="15" customHeight="1">
      <c r="A1871" s="46">
        <v>2026</v>
      </c>
      <c r="B1871" s="46">
        <v>3</v>
      </c>
      <c r="C1871" s="46">
        <v>15</v>
      </c>
      <c r="D1871" s="65">
        <f>DATE(SIP[[#This Row],[Year]],SIP[[#This Row],[Month]],SIP[[#This Row],[Day]])</f>
        <v>46096</v>
      </c>
      <c r="E1871" s="66" t="str" cm="1">
        <f t="array" ref="E1871">INDEX(INVESTORS_LIST[INVESTOR NAME],MATCH(SIP[[#This Row],[Investor ID]],INVESTORS_LIST[INVESTOR CODE],0),)</f>
        <v>RUKAIYA FAHMIDA</v>
      </c>
      <c r="F1871" s="46" t="s">
        <v>1190</v>
      </c>
      <c r="G1871" s="46">
        <f>COUNTIF(SIP[[#Headers],[Investor ID]]:SIP[[#This Row],[Investor ID]],SIP[[#This Row],[Investor ID]])</f>
        <v>13</v>
      </c>
      <c r="H1871" s="46" t="str">
        <f>CONCATENATE(SIP[[#This Row],[Frequency]],SIP[[#This Row],[Investor ID]])</f>
        <v>13A00571</v>
      </c>
      <c r="I1871" s="46" t="str">
        <f>IF(SIP[[#This Row],[B/S]]="B","BUY",(IF(SIP[[#This Row],[B/S]]="S","SELL"," ")))</f>
        <v>BUY</v>
      </c>
      <c r="J1871" s="150" t="s">
        <v>1229</v>
      </c>
      <c r="K1871" s="153">
        <v>2000</v>
      </c>
      <c r="L1871" s="122"/>
      <c r="M1871" s="123">
        <f>SIP[[#This Row],[Amount]]/SIP[[#This Row],[Unit]]</f>
        <v>14.184397163120567</v>
      </c>
      <c r="N1871" s="71">
        <f>SIP[[#This Row],[Unit Capital]]/10</f>
        <v>141</v>
      </c>
      <c r="O1871" s="71">
        <f>SUMIFS(SIP[[#Headers],[Unit]]:SIP[[#This Row],[Unit]],SIP[[#Headers],[Investor ID]]:SIP[[#This Row],[Investor ID]],SIP[[#This Row],[Investor ID]])</f>
        <v>1968</v>
      </c>
      <c r="P1871" s="153">
        <f>ROUND(SIP[[#This Row],[Amount]]/14.16,0)*10</f>
        <v>1410</v>
      </c>
      <c r="Q1871" s="74">
        <f>SIP[[#This Row],[Amount]]-SIP[[#This Row],[Unit Capital]]</f>
        <v>590</v>
      </c>
      <c r="R1871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13.211382113821134</v>
      </c>
      <c r="S1871" s="46">
        <f t="shared" si="89"/>
        <v>14.224</v>
      </c>
      <c r="T1871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1" s="74" cm="1">
        <f t="array" ref="U1871">IF(SIP[[#This Row],[B/S]]="S",ABS(SIP[[#This Row],[Unit]])*(INDEX(SIP[NAV at Cost (Average)],MATCH(CONCATENATE((SIP[[#This Row],[Frequency]]-1),SIP[[#This Row],[Investor ID]]),SIP[Unique Code],0),0)),0)</f>
        <v>0</v>
      </c>
      <c r="V1871" s="74">
        <f>IF(SIP[[#This Row],[BO TRANSFER]]="YES",SIP[[#This Row],[Unit]],)</f>
        <v>0</v>
      </c>
      <c r="W1871" s="74">
        <f>SUMIFS(SIP[[#Headers],[BO UNIT TRANSFER]]:SIP[[#This Row],[BO UNIT TRANSFER]],SIP[[#Headers],[Investor ID]]:SIP[[#This Row],[Investor ID]],SIP[[#This Row],[Investor ID]])</f>
        <v>0</v>
      </c>
    </row>
    <row r="1872" spans="1:23" ht="15" customHeight="1">
      <c r="A1872" s="46">
        <v>2026</v>
      </c>
      <c r="B1872" s="46">
        <v>3</v>
      </c>
      <c r="C1872" s="46">
        <v>15</v>
      </c>
      <c r="D1872" s="65">
        <f>DATE(SIP[[#This Row],[Year]],SIP[[#This Row],[Month]],SIP[[#This Row],[Day]])</f>
        <v>46096</v>
      </c>
      <c r="E1872" s="66" t="str" cm="1">
        <f t="array" ref="E1872">INDEX(INVESTORS_LIST[INVESTOR NAME],MATCH(SIP[[#This Row],[Investor ID]],INVESTORS_LIST[INVESTOR CODE],0),)</f>
        <v>MAHMUD ALI ALAMGIR &amp; MOHAMMED ALI XAHANGIR</v>
      </c>
      <c r="F1872" s="46" t="s">
        <v>1130</v>
      </c>
      <c r="G1872" s="46">
        <f>COUNTIF(SIP[[#Headers],[Investor ID]]:SIP[[#This Row],[Investor ID]],SIP[[#This Row],[Investor ID]])</f>
        <v>42</v>
      </c>
      <c r="H1872" s="46" t="str">
        <f>CONCATENATE(SIP[[#This Row],[Frequency]],SIP[[#This Row],[Investor ID]])</f>
        <v>42A00540</v>
      </c>
      <c r="I1872" s="46" t="str">
        <f>IF(SIP[[#This Row],[B/S]]="B","BUY",(IF(SIP[[#This Row],[B/S]]="S","SELL"," ")))</f>
        <v>BUY</v>
      </c>
      <c r="J1872" s="150" t="s">
        <v>1229</v>
      </c>
      <c r="K1872" s="153">
        <v>20000</v>
      </c>
      <c r="L1872" s="122"/>
      <c r="M1872" s="123">
        <f>SIP[[#This Row],[Amount]]/SIP[[#This Row],[Unit]]</f>
        <v>14.164305949008499</v>
      </c>
      <c r="N1872" s="71">
        <f>SIP[[#This Row],[Unit Capital]]/10</f>
        <v>1412</v>
      </c>
      <c r="O1872" s="71">
        <f>SUMIFS(SIP[[#Headers],[Unit]]:SIP[[#This Row],[Unit]],SIP[[#Headers],[Investor ID]]:SIP[[#This Row],[Investor ID]],SIP[[#This Row],[Investor ID]])</f>
        <v>13335</v>
      </c>
      <c r="P1872" s="153">
        <f>ROUND(SIP[[#This Row],[Amount]]/14.16,0)*10</f>
        <v>14120</v>
      </c>
      <c r="Q1872" s="74">
        <f>SIP[[#This Row],[Amount]]-SIP[[#This Row],[Unit Capital]]</f>
        <v>5880</v>
      </c>
      <c r="R1872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13.97234928007925</v>
      </c>
      <c r="S1872" s="46">
        <f t="shared" si="89"/>
        <v>14.224</v>
      </c>
      <c r="T1872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2" s="74" cm="1">
        <f t="array" ref="U1872">IF(SIP[[#This Row],[B/S]]="S",ABS(SIP[[#This Row],[Unit]])*(INDEX(SIP[NAV at Cost (Average)],MATCH(CONCATENATE((SIP[[#This Row],[Frequency]]-1),SIP[[#This Row],[Investor ID]]),SIP[Unique Code],0),0)),0)</f>
        <v>0</v>
      </c>
      <c r="V1872" s="74">
        <f>IF(SIP[[#This Row],[BO TRANSFER]]="YES",SIP[[#This Row],[Unit]],)</f>
        <v>0</v>
      </c>
      <c r="W1872" s="74">
        <f>SUMIFS(SIP[[#Headers],[BO UNIT TRANSFER]]:SIP[[#This Row],[BO UNIT TRANSFER]],SIP[[#Headers],[Investor ID]]:SIP[[#This Row],[Investor ID]],SIP[[#This Row],[Investor ID]])</f>
        <v>0</v>
      </c>
    </row>
    <row r="1873" spans="1:23" ht="15" customHeight="1">
      <c r="A1873" s="46">
        <v>2026</v>
      </c>
      <c r="B1873" s="46">
        <v>3</v>
      </c>
      <c r="C1873" s="46">
        <v>15</v>
      </c>
      <c r="D1873" s="65">
        <f>DATE(SIP[[#This Row],[Year]],SIP[[#This Row],[Month]],SIP[[#This Row],[Day]])</f>
        <v>46096</v>
      </c>
      <c r="E1873" s="66" t="str" cm="1">
        <f t="array" ref="E1873">INDEX(INVESTORS_LIST[INVESTOR NAME],MATCH(SIP[[#This Row],[Investor ID]],INVESTORS_LIST[INVESTOR CODE],0),)</f>
        <v>MD. RAFIQUR RAHMAN</v>
      </c>
      <c r="F1873" s="46" t="s">
        <v>622</v>
      </c>
      <c r="G1873" s="46">
        <f>COUNTIF(SIP[[#Headers],[Investor ID]]:SIP[[#This Row],[Investor ID]],SIP[[#This Row],[Investor ID]])</f>
        <v>31</v>
      </c>
      <c r="H1873" s="46" t="str">
        <f>CONCATENATE(SIP[[#This Row],[Frequency]],SIP[[#This Row],[Investor ID]])</f>
        <v>31A00287</v>
      </c>
      <c r="I1873" s="46" t="str">
        <f>IF(SIP[[#This Row],[B/S]]="B","BUY",(IF(SIP[[#This Row],[B/S]]="S","SELL"," ")))</f>
        <v>BUY</v>
      </c>
      <c r="J1873" s="150" t="s">
        <v>1229</v>
      </c>
      <c r="K1873" s="153">
        <v>20000</v>
      </c>
      <c r="L1873" s="122"/>
      <c r="M1873" s="123">
        <f>SIP[[#This Row],[Amount]]/SIP[[#This Row],[Unit]]</f>
        <v>14.164305949008499</v>
      </c>
      <c r="N1873" s="71">
        <f>SIP[[#This Row],[Unit Capital]]/10</f>
        <v>1412</v>
      </c>
      <c r="O1873" s="71">
        <f>SUMIFS(SIP[[#Headers],[Unit]]:SIP[[#This Row],[Unit]],SIP[[#Headers],[Investor ID]]:SIP[[#This Row],[Investor ID]],SIP[[#This Row],[Investor ID]])</f>
        <v>52008</v>
      </c>
      <c r="P1873" s="153">
        <f>ROUND(SIP[[#This Row],[Amount]]/14.16,0)*10</f>
        <v>14120</v>
      </c>
      <c r="Q1873" s="74">
        <f>SIP[[#This Row],[Amount]]-SIP[[#This Row],[Unit Capital]]</f>
        <v>5880</v>
      </c>
      <c r="R1873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11.921242885709892</v>
      </c>
      <c r="S1873" s="46">
        <f t="shared" si="89"/>
        <v>14.224</v>
      </c>
      <c r="T1873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3" s="74" cm="1">
        <f t="array" ref="U1873">IF(SIP[[#This Row],[B/S]]="S",ABS(SIP[[#This Row],[Unit]])*(INDEX(SIP[NAV at Cost (Average)],MATCH(CONCATENATE((SIP[[#This Row],[Frequency]]-1),SIP[[#This Row],[Investor ID]]),SIP[Unique Code],0),0)),0)</f>
        <v>0</v>
      </c>
      <c r="V1873" s="74">
        <f>IF(SIP[[#This Row],[BO TRANSFER]]="YES",SIP[[#This Row],[Unit]],)</f>
        <v>0</v>
      </c>
      <c r="W1873" s="74">
        <f>SUMIFS(SIP[[#Headers],[BO UNIT TRANSFER]]:SIP[[#This Row],[BO UNIT TRANSFER]],SIP[[#Headers],[Investor ID]]:SIP[[#This Row],[Investor ID]],SIP[[#This Row],[Investor ID]])</f>
        <v>0</v>
      </c>
    </row>
    <row r="1874" spans="1:23" ht="15" customHeight="1">
      <c r="A1874" s="46">
        <v>2026</v>
      </c>
      <c r="B1874" s="46">
        <v>3</v>
      </c>
      <c r="C1874" s="46">
        <v>15</v>
      </c>
      <c r="D1874" s="65">
        <f>DATE(SIP[[#This Row],[Year]],SIP[[#This Row],[Month]],SIP[[#This Row],[Day]])</f>
        <v>46096</v>
      </c>
      <c r="E1874" s="66" t="str" cm="1">
        <f t="array" ref="E1874">INDEX(INVESTORS_LIST[INVESTOR NAME],MATCH(SIP[[#This Row],[Investor ID]],INVESTORS_LIST[INVESTOR CODE],0),)</f>
        <v>TAPAN KUMAR KHAN</v>
      </c>
      <c r="F1874" s="46" t="s">
        <v>1483</v>
      </c>
      <c r="G1874" s="46">
        <f>COUNTIF(SIP[[#Headers],[Investor ID]]:SIP[[#This Row],[Investor ID]],SIP[[#This Row],[Investor ID]])</f>
        <v>3</v>
      </c>
      <c r="H1874" s="46" t="str">
        <f>CONCATENATE(SIP[[#This Row],[Frequency]],SIP[[#This Row],[Investor ID]])</f>
        <v>3A00688</v>
      </c>
      <c r="I1874" s="46" t="str">
        <f>IF(SIP[[#This Row],[B/S]]="B","BUY",(IF(SIP[[#This Row],[B/S]]="S","SELL"," ")))</f>
        <v>BUY</v>
      </c>
      <c r="J1874" s="150" t="s">
        <v>1229</v>
      </c>
      <c r="K1874" s="153">
        <v>3000</v>
      </c>
      <c r="L1874" s="122"/>
      <c r="M1874" s="123">
        <f>SIP[[#This Row],[Amount]]/SIP[[#This Row],[Unit]]</f>
        <v>14.150943396226415</v>
      </c>
      <c r="N1874" s="71">
        <f>SIP[[#This Row],[Unit Capital]]/10</f>
        <v>212</v>
      </c>
      <c r="O1874" s="71">
        <f>SUMIFS(SIP[[#Headers],[Unit]]:SIP[[#This Row],[Unit]],SIP[[#Headers],[Investor ID]]:SIP[[#This Row],[Investor ID]],SIP[[#This Row],[Investor ID]])</f>
        <v>643</v>
      </c>
      <c r="P1874" s="153">
        <f>ROUND(SIP[[#This Row],[Amount]]/14.16,0)*10</f>
        <v>2120</v>
      </c>
      <c r="Q1874" s="74">
        <f>SIP[[#This Row],[Amount]]-SIP[[#This Row],[Unit Capital]]</f>
        <v>880</v>
      </c>
      <c r="R1874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13.996889580093313</v>
      </c>
      <c r="S1874" s="46">
        <f t="shared" si="89"/>
        <v>14.224</v>
      </c>
      <c r="T1874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4" s="74" cm="1">
        <f t="array" ref="U1874">IF(SIP[[#This Row],[B/S]]="S",ABS(SIP[[#This Row],[Unit]])*(INDEX(SIP[NAV at Cost (Average)],MATCH(CONCATENATE((SIP[[#This Row],[Frequency]]-1),SIP[[#This Row],[Investor ID]]),SIP[Unique Code],0),0)),0)</f>
        <v>0</v>
      </c>
      <c r="V1874" s="74">
        <f>IF(SIP[[#This Row],[BO TRANSFER]]="YES",SIP[[#This Row],[Unit]],)</f>
        <v>0</v>
      </c>
      <c r="W1874" s="74">
        <f>SUMIFS(SIP[[#Headers],[BO UNIT TRANSFER]]:SIP[[#This Row],[BO UNIT TRANSFER]],SIP[[#Headers],[Investor ID]]:SIP[[#This Row],[Investor ID]],SIP[[#This Row],[Investor ID]])</f>
        <v>431</v>
      </c>
    </row>
    <row r="1875" spans="1:23" ht="15" customHeight="1">
      <c r="A1875" s="46">
        <v>2026</v>
      </c>
      <c r="B1875" s="46">
        <v>3</v>
      </c>
      <c r="C1875" s="46">
        <v>15</v>
      </c>
      <c r="D1875" s="65">
        <f>DATE(SIP[[#This Row],[Year]],SIP[[#This Row],[Month]],SIP[[#This Row],[Day]])</f>
        <v>46096</v>
      </c>
      <c r="E1875" s="66" t="str" cm="1">
        <f t="array" ref="E1875">INDEX(INVESTORS_LIST[INVESTOR NAME],MATCH(SIP[[#This Row],[Investor ID]],INVESTORS_LIST[INVESTOR CODE],0),)</f>
        <v>MAHFUZA ANIKA</v>
      </c>
      <c r="F1875" s="46" t="s">
        <v>1277</v>
      </c>
      <c r="G1875" s="46">
        <f>COUNTIF(SIP[[#Headers],[Investor ID]]:SIP[[#This Row],[Investor ID]],SIP[[#This Row],[Investor ID]])</f>
        <v>24</v>
      </c>
      <c r="H1875" s="46" t="str">
        <f>CONCATENATE(SIP[[#This Row],[Frequency]],SIP[[#This Row],[Investor ID]])</f>
        <v>24A00585</v>
      </c>
      <c r="I1875" s="46" t="str">
        <f>IF(SIP[[#This Row],[B/S]]="B","BUY",(IF(SIP[[#This Row],[B/S]]="S","SELL"," ")))</f>
        <v>BUY</v>
      </c>
      <c r="J1875" s="150" t="s">
        <v>1229</v>
      </c>
      <c r="K1875" s="153">
        <v>2000</v>
      </c>
      <c r="L1875" s="122"/>
      <c r="M1875" s="123">
        <f>SIP[[#This Row],[Amount]]/SIP[[#This Row],[Unit]]</f>
        <v>14.184397163120567</v>
      </c>
      <c r="N1875" s="71">
        <f>SIP[[#This Row],[Unit Capital]]/10</f>
        <v>141</v>
      </c>
      <c r="O1875" s="71">
        <f>SUMIFS(SIP[[#Headers],[Unit]]:SIP[[#This Row],[Unit]],SIP[[#Headers],[Investor ID]]:SIP[[#This Row],[Investor ID]],SIP[[#This Row],[Investor ID]])</f>
        <v>168</v>
      </c>
      <c r="P1875" s="153">
        <f>ROUND(SIP[[#This Row],[Amount]]/14.16,0)*10</f>
        <v>1410</v>
      </c>
      <c r="Q1875" s="74">
        <f>SIP[[#This Row],[Amount]]-SIP[[#This Row],[Unit Capital]]</f>
        <v>590</v>
      </c>
      <c r="R1875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14.071624999406048</v>
      </c>
      <c r="S1875" s="46">
        <f t="shared" si="89"/>
        <v>14.224</v>
      </c>
      <c r="T1875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5" s="74" cm="1">
        <f t="array" ref="U1875">IF(SIP[[#This Row],[B/S]]="S",ABS(SIP[[#This Row],[Unit]])*(INDEX(SIP[NAV at Cost (Average)],MATCH(CONCATENATE((SIP[[#This Row],[Frequency]]-1),SIP[[#This Row],[Investor ID]]),SIP[Unique Code],0),0)),0)</f>
        <v>0</v>
      </c>
      <c r="V1875" s="74">
        <f>IF(SIP[[#This Row],[BO TRANSFER]]="YES",SIP[[#This Row],[Unit]],)</f>
        <v>0</v>
      </c>
      <c r="W1875" s="74">
        <f>SUMIFS(SIP[[#Headers],[BO UNIT TRANSFER]]:SIP[[#This Row],[BO UNIT TRANSFER]],SIP[[#Headers],[Investor ID]]:SIP[[#This Row],[Investor ID]],SIP[[#This Row],[Investor ID]])</f>
        <v>0</v>
      </c>
    </row>
    <row r="1876" spans="1:23" ht="15" customHeight="1">
      <c r="A1876" s="46">
        <v>2026</v>
      </c>
      <c r="B1876" s="46">
        <v>3</v>
      </c>
      <c r="C1876" s="46">
        <v>15</v>
      </c>
      <c r="D1876" s="65">
        <f>DATE(SIP[[#This Row],[Year]],SIP[[#This Row],[Month]],SIP[[#This Row],[Day]])</f>
        <v>46096</v>
      </c>
      <c r="E1876" s="66" t="str" cm="1">
        <f t="array" ref="E1876">INDEX(INVESTORS_LIST[INVESTOR NAME],MATCH(SIP[[#This Row],[Investor ID]],INVESTORS_LIST[INVESTOR CODE],0),)</f>
        <v>AMIT KANTI SARKER</v>
      </c>
      <c r="F1876" s="46" t="s">
        <v>364</v>
      </c>
      <c r="G1876" s="46">
        <f>COUNTIF(SIP[[#Headers],[Investor ID]]:SIP[[#This Row],[Investor ID]],SIP[[#This Row],[Investor ID]])</f>
        <v>4</v>
      </c>
      <c r="H1876" s="46" t="str">
        <f>CONCATENATE(SIP[[#This Row],[Frequency]],SIP[[#This Row],[Investor ID]])</f>
        <v>4A00158</v>
      </c>
      <c r="I1876" s="46" t="str">
        <f>IF(SIP[[#This Row],[B/S]]="B","BUY",(IF(SIP[[#This Row],[B/S]]="S","SELL"," ")))</f>
        <v>BUY</v>
      </c>
      <c r="J1876" s="150" t="s">
        <v>1229</v>
      </c>
      <c r="K1876" s="153">
        <v>10000</v>
      </c>
      <c r="L1876" s="122"/>
      <c r="M1876" s="123">
        <f>SIP[[#This Row],[Amount]]/SIP[[#This Row],[Unit]]</f>
        <v>14.164305949008499</v>
      </c>
      <c r="N1876" s="71">
        <f>SIP[[#This Row],[Unit Capital]]/10</f>
        <v>706</v>
      </c>
      <c r="O1876" s="71">
        <f>SUMIFS(SIP[[#Headers],[Unit]]:SIP[[#This Row],[Unit]],SIP[[#Headers],[Investor ID]]:SIP[[#This Row],[Investor ID]],SIP[[#This Row],[Investor ID]])</f>
        <v>2869</v>
      </c>
      <c r="P1876" s="153">
        <f>ROUND(SIP[[#This Row],[Amount]]/14.16,0)*10</f>
        <v>7060</v>
      </c>
      <c r="Q1876" s="74">
        <f>SIP[[#This Row],[Amount]]-SIP[[#This Row],[Unit Capital]]</f>
        <v>2940</v>
      </c>
      <c r="R1876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13.942140118508192</v>
      </c>
      <c r="S1876" s="46">
        <f t="shared" si="89"/>
        <v>14.224</v>
      </c>
      <c r="T1876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6" s="74" cm="1">
        <f t="array" ref="U1876">IF(SIP[[#This Row],[B/S]]="S",ABS(SIP[[#This Row],[Unit]])*(INDEX(SIP[NAV at Cost (Average)],MATCH(CONCATENATE((SIP[[#This Row],[Frequency]]-1),SIP[[#This Row],[Investor ID]]),SIP[Unique Code],0),0)),0)</f>
        <v>0</v>
      </c>
      <c r="V1876" s="74">
        <f>IF(SIP[[#This Row],[BO TRANSFER]]="YES",SIP[[#This Row],[Unit]],)</f>
        <v>0</v>
      </c>
      <c r="W1876" s="74">
        <f>SUMIFS(SIP[[#Headers],[BO UNIT TRANSFER]]:SIP[[#This Row],[BO UNIT TRANSFER]],SIP[[#Headers],[Investor ID]]:SIP[[#This Row],[Investor ID]],SIP[[#This Row],[Investor ID]])</f>
        <v>0</v>
      </c>
    </row>
    <row r="1877" spans="1:23" ht="15" customHeight="1">
      <c r="A1877" s="46">
        <v>2026</v>
      </c>
      <c r="B1877" s="46">
        <v>3</v>
      </c>
      <c r="C1877" s="46">
        <v>15</v>
      </c>
      <c r="D1877" s="65">
        <f>DATE(SIP[[#This Row],[Year]],SIP[[#This Row],[Month]],SIP[[#This Row],[Day]])</f>
        <v>46096</v>
      </c>
      <c r="E1877" s="66" t="str" cm="1">
        <f t="array" ref="E1877">INDEX(INVESTORS_LIST[INVESTOR NAME],MATCH(SIP[[#This Row],[Investor ID]],INVESTORS_LIST[INVESTOR CODE],0),)</f>
        <v>SANJIB KUMAR ROY</v>
      </c>
      <c r="F1877" s="46" t="s">
        <v>1020</v>
      </c>
      <c r="G1877" s="46">
        <f>COUNTIF(SIP[[#Headers],[Investor ID]]:SIP[[#This Row],[Investor ID]],SIP[[#This Row],[Investor ID]])</f>
        <v>34</v>
      </c>
      <c r="H1877" s="46" t="str">
        <f>CONCATENATE(SIP[[#This Row],[Frequency]],SIP[[#This Row],[Investor ID]])</f>
        <v>34A00487</v>
      </c>
      <c r="I1877" s="46" t="str">
        <f>IF(SIP[[#This Row],[B/S]]="B","BUY",(IF(SIP[[#This Row],[B/S]]="S","SELL"," ")))</f>
        <v>BUY</v>
      </c>
      <c r="J1877" s="150" t="s">
        <v>1229</v>
      </c>
      <c r="K1877" s="153">
        <v>5000</v>
      </c>
      <c r="L1877" s="122"/>
      <c r="M1877" s="123">
        <f>SIP[[#This Row],[Amount]]/SIP[[#This Row],[Unit]]</f>
        <v>14.164305949008499</v>
      </c>
      <c r="N1877" s="71">
        <f>SIP[[#This Row],[Unit Capital]]/10</f>
        <v>353</v>
      </c>
      <c r="O1877" s="71">
        <f>SUMIFS(SIP[[#Headers],[Unit]]:SIP[[#This Row],[Unit]],SIP[[#Headers],[Investor ID]]:SIP[[#This Row],[Investor ID]],SIP[[#This Row],[Investor ID]])</f>
        <v>14458</v>
      </c>
      <c r="P1877" s="153">
        <f>ROUND(SIP[[#This Row],[Amount]]/14.16,0)*10</f>
        <v>3530</v>
      </c>
      <c r="Q1877" s="74">
        <f>SIP[[#This Row],[Amount]]-SIP[[#This Row],[Unit Capital]]</f>
        <v>1470</v>
      </c>
      <c r="R1877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11.758196154378195</v>
      </c>
      <c r="S1877" s="46">
        <f t="shared" si="89"/>
        <v>14.224</v>
      </c>
      <c r="T1877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7" s="74" cm="1">
        <f t="array" ref="U1877">IF(SIP[[#This Row],[B/S]]="S",ABS(SIP[[#This Row],[Unit]])*(INDEX(SIP[NAV at Cost (Average)],MATCH(CONCATENATE((SIP[[#This Row],[Frequency]]-1),SIP[[#This Row],[Investor ID]]),SIP[Unique Code],0),0)),0)</f>
        <v>0</v>
      </c>
      <c r="V1877" s="74">
        <f>IF(SIP[[#This Row],[BO TRANSFER]]="YES",SIP[[#This Row],[Unit]],)</f>
        <v>0</v>
      </c>
      <c r="W1877" s="74">
        <f>SUMIFS(SIP[[#Headers],[BO UNIT TRANSFER]]:SIP[[#This Row],[BO UNIT TRANSFER]],SIP[[#Headers],[Investor ID]]:SIP[[#This Row],[Investor ID]],SIP[[#This Row],[Investor ID]])</f>
        <v>718</v>
      </c>
    </row>
    <row r="1878" spans="1:23" ht="15" customHeight="1">
      <c r="A1878" s="46">
        <v>2026</v>
      </c>
      <c r="B1878" s="46">
        <v>3</v>
      </c>
      <c r="C1878" s="46">
        <v>15</v>
      </c>
      <c r="D1878" s="65">
        <f>DATE(SIP[[#This Row],[Year]],SIP[[#This Row],[Month]],SIP[[#This Row],[Day]])</f>
        <v>46096</v>
      </c>
      <c r="E1878" s="66" t="str" cm="1">
        <f t="array" ref="E1878">INDEX(INVESTORS_LIST[INVESTOR NAME],MATCH(SIP[[#This Row],[Investor ID]],INVESTORS_LIST[INVESTOR CODE],0),)</f>
        <v>JOY SARKAR</v>
      </c>
      <c r="F1878" s="46" t="s">
        <v>1444</v>
      </c>
      <c r="G1878" s="46">
        <f>COUNTIF(SIP[[#Headers],[Investor ID]]:SIP[[#This Row],[Investor ID]],SIP[[#This Row],[Investor ID]])</f>
        <v>6</v>
      </c>
      <c r="H1878" s="46" t="str">
        <f>CONCATENATE(SIP[[#This Row],[Frequency]],SIP[[#This Row],[Investor ID]])</f>
        <v>6A00665</v>
      </c>
      <c r="I1878" s="46" t="str">
        <f>IF(SIP[[#This Row],[B/S]]="B","BUY",(IF(SIP[[#This Row],[B/S]]="S","SELL"," ")))</f>
        <v>BUY</v>
      </c>
      <c r="J1878" s="150" t="s">
        <v>1229</v>
      </c>
      <c r="K1878" s="153">
        <v>6000</v>
      </c>
      <c r="L1878" s="122"/>
      <c r="M1878" s="123">
        <f>SIP[[#This Row],[Amount]]/SIP[[#This Row],[Unit]]</f>
        <v>14.150943396226415</v>
      </c>
      <c r="N1878" s="71">
        <f>SIP[[#This Row],[Unit Capital]]/10</f>
        <v>424</v>
      </c>
      <c r="O1878" s="71">
        <f>SUMIFS(SIP[[#Headers],[Unit]]:SIP[[#This Row],[Unit]],SIP[[#Headers],[Investor ID]]:SIP[[#This Row],[Investor ID]],SIP[[#This Row],[Investor ID]])</f>
        <v>2599</v>
      </c>
      <c r="P1878" s="153">
        <f>ROUND(SIP[[#This Row],[Amount]]/14.16,0)*10</f>
        <v>4240</v>
      </c>
      <c r="Q1878" s="74">
        <f>SIP[[#This Row],[Amount]]-SIP[[#This Row],[Unit Capital]]</f>
        <v>1760</v>
      </c>
      <c r="R1878" s="74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13.851481338976532</v>
      </c>
      <c r="S1878" s="46">
        <f t="shared" si="89"/>
        <v>14.224</v>
      </c>
      <c r="T1878" s="74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8" s="74" cm="1">
        <f t="array" ref="U1878">IF(SIP[[#This Row],[B/S]]="S",ABS(SIP[[#This Row],[Unit]])*(INDEX(SIP[NAV at Cost (Average)],MATCH(CONCATENATE((SIP[[#This Row],[Frequency]]-1),SIP[[#This Row],[Investor ID]]),SIP[Unique Code],0),0)),0)</f>
        <v>0</v>
      </c>
      <c r="V1878" s="74">
        <f>IF(SIP[[#This Row],[BO TRANSFER]]="YES",SIP[[#This Row],[Unit]],)</f>
        <v>0</v>
      </c>
      <c r="W1878" s="74">
        <f>SUMIFS(SIP[[#Headers],[BO UNIT TRANSFER]]:SIP[[#This Row],[BO UNIT TRANSFER]],SIP[[#Headers],[Investor ID]]:SIP[[#This Row],[Investor ID]],SIP[[#This Row],[Investor ID]])</f>
        <v>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LS!$X$3</xm:f>
          </x14:formula1>
          <xm:sqref>L3:L1048576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A584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defaultColWidth="9" defaultRowHeight="15"/>
  <cols>
    <col min="1" max="1" width="15.28515625" bestFit="1" customWidth="1"/>
    <col min="2" max="2" width="14.5703125" customWidth="1"/>
    <col min="3" max="3" width="17.28515625" customWidth="1"/>
    <col min="4" max="4" width="23.28515625" customWidth="1"/>
    <col min="5" max="5" width="23.42578125" customWidth="1"/>
    <col min="6" max="6" width="20" customWidth="1"/>
    <col min="7" max="7" width="19.85546875" customWidth="1"/>
    <col min="8" max="8" width="20" customWidth="1"/>
    <col min="9" max="9" width="19.85546875" customWidth="1"/>
    <col min="10" max="10" width="26.85546875" customWidth="1"/>
    <col min="11" max="11" width="23.42578125" customWidth="1"/>
    <col min="12" max="12" width="29.7109375" customWidth="1"/>
    <col min="13" max="13" width="24.5703125" customWidth="1"/>
    <col min="14" max="14" width="33.140625" customWidth="1"/>
    <col min="15" max="15" width="25.28515625" customWidth="1"/>
    <col min="16" max="16" width="17.85546875" customWidth="1"/>
    <col min="17" max="19" width="15.140625" customWidth="1"/>
    <col min="24" max="24" width="5" customWidth="1"/>
    <col min="25" max="25" width="8" customWidth="1"/>
    <col min="26" max="26" width="9.7109375" bestFit="1" customWidth="1"/>
    <col min="27" max="27" width="11.42578125" customWidth="1"/>
    <col min="28" max="28" width="12" customWidth="1"/>
  </cols>
  <sheetData>
    <row r="1" spans="1:27" s="46" customFormat="1" ht="45">
      <c r="A1" s="46" t="s">
        <v>1</v>
      </c>
      <c r="B1" s="46" t="s">
        <v>1233</v>
      </c>
      <c r="C1" s="46" t="s">
        <v>1234</v>
      </c>
      <c r="D1" s="46" t="s">
        <v>1235</v>
      </c>
      <c r="E1" s="46" t="s">
        <v>1236</v>
      </c>
      <c r="F1" s="46" t="s">
        <v>1237</v>
      </c>
      <c r="G1" s="46" t="s">
        <v>1238</v>
      </c>
      <c r="H1" s="46" t="s">
        <v>1239</v>
      </c>
      <c r="I1" s="46" t="s">
        <v>1240</v>
      </c>
      <c r="J1" s="46" t="s">
        <v>1241</v>
      </c>
      <c r="K1" s="46" t="s">
        <v>1242</v>
      </c>
      <c r="L1" s="46" t="s">
        <v>1243</v>
      </c>
      <c r="M1" s="46" t="s">
        <v>1244</v>
      </c>
      <c r="N1" s="46" t="s">
        <v>1245</v>
      </c>
      <c r="O1" s="46" t="s">
        <v>39</v>
      </c>
      <c r="P1" s="46" t="s">
        <v>1246</v>
      </c>
      <c r="Q1" s="46" t="s">
        <v>1247</v>
      </c>
      <c r="R1" s="46" t="s">
        <v>1248</v>
      </c>
      <c r="W1" s="51" t="s">
        <v>1232</v>
      </c>
      <c r="X1" s="52" t="s">
        <v>1207</v>
      </c>
      <c r="Y1" s="57" t="s">
        <v>1208</v>
      </c>
      <c r="Z1" s="57" t="s">
        <v>1249</v>
      </c>
      <c r="AA1" s="58" t="s">
        <v>33</v>
      </c>
    </row>
    <row r="2" spans="1:27">
      <c r="A2" t="s">
        <v>43</v>
      </c>
      <c r="B2" s="47">
        <f>SUMIFS(LS[Unit],LS[Investor ID],'TAX CERTIFICATE'!A2,LS[Date Value],"&lt;"&amp;$Z$2)+SUMIFS(SIP[Unit],SIP[Investor ID],'TAX CERTIFICATE'!A2,SIP[Date Value],"&lt;"&amp;$Z$2)</f>
        <v>0</v>
      </c>
      <c r="C2" s="48">
        <f>(SUMIFS(LS[Amount],LS[B/S],"B",LS[Investor ID],A2,LS[Date Value],"&lt;"&amp;$Z$2)-SUMIFS(LS[Cost of Units Sold],LS[B/S],"S",LS[Investor ID],A2,LS[Date Value],"&lt;"&amp;$Z$2))+(SUMIFS(SIP[Amount],SIP[B/S],"B",SIP[Investor ID],#REF!,SIP[Date Value],"&lt;"&amp;$Z$2)-SUMIFS(SIP[Cost of Units Sold],SIP[B/S],"S",SIP[Investor ID],A2,SIP[Date Value],"&lt;"&amp;$Z$2))</f>
        <v>0</v>
      </c>
      <c r="D2" s="49">
        <f>B2*$AA$2</f>
        <v>0</v>
      </c>
      <c r="E2" s="49">
        <f>D2-C2</f>
        <v>0</v>
      </c>
      <c r="F2" s="47">
        <f>SUMIFS(LS[Unit],LS[Investor ID],A2,LS[Date Value],"&lt;="&amp;$Z$3)+SUMIFS(SIP[Unit],SIP[Investor ID],A2,SIP[Date Value],"&lt;="&amp;$Z$3)</f>
        <v>0</v>
      </c>
      <c r="G2" s="49">
        <f>(SUMIFS(LS[Amount],LS[B/S],"B",LS[Investor ID],A2,LS[Date Value],"&lt;="&amp;$Z$3)-SUMIFS(LS[Cost of Units Sold],LS[B/S],"S",LS[Investor ID],A2,LS[Date Value],"&lt;="&amp;$Z$3))+(SUMIFS(SIP[Amount],SIP[B/S],"B",SIP[Investor ID],A2,SIP[Date Value],"&lt;="&amp;$Z$3)-SUMIFS(SIP[Cost of Units Sold],SIP[B/S],"S",SIP[Investor ID],A2,SIP[Date Value],"&lt;="&amp;$Z$3))</f>
        <v>0</v>
      </c>
      <c r="H2" s="49">
        <f>F2*$AA$3</f>
        <v>0</v>
      </c>
      <c r="I2" s="49">
        <f>H2-G2</f>
        <v>0</v>
      </c>
      <c r="J2" s="47">
        <f>(SUMIFS(LS[Unit],LS[Investor ID],A2,LS[B/S],"B",LS[Date Value],"&gt;="&amp;$Z$2,LS[Date Value],"&lt;="&amp;$Z$3))+(SUMIFS(SIP[Unit],SIP[Investor ID],A2,SIP[B/S],"B",SIP[Date Value],"&gt;="&amp;$Z$2,SIP[Date Value],"&lt;="&amp;$Z$3))</f>
        <v>0</v>
      </c>
      <c r="K2" s="49">
        <f>(SUMIFS(LS[Amount],LS[Investor ID],A2,LS[B/S],"B",LS[Date Value],"&gt;="&amp;$Z$2,LS[Date Value],"&lt;="&amp;$Z$3))+(SUMIFS(SIP[Amount],SIP[Investor ID],A2,SIP[B/S],"B",SIP[Date Value],"&gt;="&amp;$Z$2,SIP[Date Value],"&lt;="&amp;$Z$3))</f>
        <v>0</v>
      </c>
      <c r="L2" s="47">
        <f>(-SUMIFS(LS[Unit],LS[Investor ID],A2,LS[B/S],"S",LS[Date Value],"&gt;="&amp;$Z$2,LS[Date Value],"&lt;="&amp;$Z$3))+(-SUMIFS(SIP[Unit],SIP[Investor ID],A2,SIP[B/S],"S",SIP[Date Value],"&gt;="&amp;$Z$2,SIP[Date Value],"&lt;="&amp;$Z$3))</f>
        <v>0</v>
      </c>
      <c r="M2" s="49">
        <f>(SUMIFS(LS[Cost of Units Sold],LS[Investor ID],A2,LS[B/S],"S",LS[Date Value],"&gt;="&amp;$Z$2,LS[Date Value],"&lt;="&amp;$Z$3))+(SUMIFS(SIP[Cost of Units Sold],SIP[Investor ID],A2,SIP[B/S],"S",SIP[Date Value],"&gt;="&amp;$Z$2,SIP[Date Value],"&lt;="&amp;$Z$3))</f>
        <v>0</v>
      </c>
      <c r="N2" s="49">
        <f>K2-M2</f>
        <v>0</v>
      </c>
      <c r="O2" s="49">
        <f>(SUMIFS(LS[Realized Gain],LS[Investor ID],A2,LS[Date Value],"&gt;="&amp;$Z$2,LS[Date Value],"&lt;="&amp;$Z$3))+(SUMIFS(SIP[Realized Gain],SIP[Investor ID],A2,SIP[Date Value],"&gt;="&amp;$Z$2,SIP[Date Value],"&lt;="&amp;$Z$3))</f>
        <v>0</v>
      </c>
      <c r="P2" s="49">
        <v>0</v>
      </c>
      <c r="Q2" s="49">
        <v>0</v>
      </c>
      <c r="R2" s="49">
        <v>0</v>
      </c>
      <c r="W2" s="53">
        <v>2023</v>
      </c>
      <c r="X2" s="54">
        <v>7</v>
      </c>
      <c r="Y2" s="59">
        <v>1</v>
      </c>
      <c r="Z2" s="140">
        <f>DATE(W2,X2,Y2)</f>
        <v>45108</v>
      </c>
      <c r="AA2" s="60">
        <v>10.271000000000001</v>
      </c>
    </row>
    <row r="3" spans="1:27">
      <c r="A3" t="s">
        <v>47</v>
      </c>
      <c r="B3" s="47">
        <f>SUMIFS(LS[Unit],LS[Investor ID],'TAX CERTIFICATE'!A3,LS[Date Value],"&lt;"&amp;$Z$2)+SUMIFS(SIP[Unit],SIP[Investor ID],'TAX CERTIFICATE'!A3,SIP[Date Value],"&lt;"&amp;$Z$2)</f>
        <v>2706608</v>
      </c>
      <c r="C3" s="48">
        <f>(SUMIFS(LS[Amount],LS[B/S],"B",LS[Investor ID],A3,LS[Date Value],"&lt;"&amp;$Z$2)-SUMIFS(LS[Cost of Units Sold],LS[B/S],"S",LS[Investor ID],A3,LS[Date Value],"&lt;"&amp;$Z$2))+(SUMIFS(SIP[Amount],SIP[B/S],"B",SIP[Investor ID],#REF!,SIP[Date Value],"&lt;"&amp;$Z$2)-SUMIFS(SIP[Cost of Units Sold],SIP[B/S],"S",SIP[Investor ID],A3,SIP[Date Value],"&lt;"&amp;$Z$2))</f>
        <v>27104500</v>
      </c>
      <c r="D3" s="49">
        <f t="shared" ref="D3:D66" si="0">B3*$AA$2</f>
        <v>27799570.768000003</v>
      </c>
      <c r="E3" s="49">
        <f t="shared" ref="E3:E66" si="1">D3-C3</f>
        <v>695070.76800000295</v>
      </c>
      <c r="F3" s="47">
        <f>SUMIFS(LS[Unit],LS[Investor ID],A3,LS[Date Value],"&lt;="&amp;$Z$3)+SUMIFS(SIP[Unit],SIP[Investor ID],A3,SIP[Date Value],"&lt;="&amp;$Z$3)</f>
        <v>250000</v>
      </c>
      <c r="G3" s="49">
        <f>(SUMIFS(LS[Amount],LS[B/S],"B",LS[Investor ID],A3,LS[Date Value],"&lt;="&amp;$Z$3)-SUMIFS(LS[Cost of Units Sold],LS[B/S],"S",LS[Investor ID],A3,LS[Date Value],"&lt;="&amp;$Z$3))+(SUMIFS(SIP[Amount],SIP[B/S],"B",SIP[Investor ID],A3,SIP[Date Value],"&lt;="&amp;$Z$3)-SUMIFS(SIP[Cost of Units Sold],SIP[B/S],"S",SIP[Investor ID],A3,SIP[Date Value],"&lt;="&amp;$Z$3))</f>
        <v>2503548.7222383134</v>
      </c>
      <c r="H3" s="49">
        <f t="shared" ref="H3:H66" si="2">F3*$AA$3</f>
        <v>2791000</v>
      </c>
      <c r="I3" s="49">
        <f t="shared" ref="I3:I66" si="3">H3-G3</f>
        <v>287451.27776168659</v>
      </c>
      <c r="J3" s="47">
        <f>(SUMIFS(LS[Unit],LS[Investor ID],A3,LS[B/S],"B",LS[Date Value],"&gt;="&amp;$Z$2,LS[Date Value],"&lt;="&amp;$Z$3))+(SUMIFS(SIP[Unit],SIP[Investor ID],A3,SIP[B/S],"B",SIP[Date Value],"&gt;="&amp;$Z$2,SIP[Date Value],"&lt;="&amp;$Z$3))</f>
        <v>0</v>
      </c>
      <c r="K3" s="49">
        <f>(SUMIFS(LS[Amount],LS[Investor ID],A3,LS[B/S],"B",LS[Date Value],"&gt;="&amp;$Z$2,LS[Date Value],"&lt;="&amp;$Z$3))+(SUMIFS(SIP[Amount],SIP[Investor ID],A3,SIP[B/S],"B",SIP[Date Value],"&gt;="&amp;$Z$2,SIP[Date Value],"&lt;="&amp;$Z$3))</f>
        <v>0</v>
      </c>
      <c r="L3" s="47">
        <f>(-SUMIFS(LS[Unit],LS[Investor ID],A3,LS[B/S],"S",LS[Date Value],"&gt;="&amp;$Z$2,LS[Date Value],"&lt;="&amp;$Z$3))+(-SUMIFS(SIP[Unit],SIP[Investor ID],A3,SIP[B/S],"S",SIP[Date Value],"&gt;="&amp;$Z$2,SIP[Date Value],"&lt;="&amp;$Z$3))</f>
        <v>2456608</v>
      </c>
      <c r="M3" s="49">
        <f>(SUMIFS(LS[Cost of Units Sold],LS[Investor ID],A3,LS[B/S],"S",LS[Date Value],"&gt;="&amp;$Z$2,LS[Date Value],"&lt;="&amp;$Z$3))+(SUMIFS(SIP[Cost of Units Sold],SIP[Investor ID],A3,SIP[B/S],"S",SIP[Date Value],"&gt;="&amp;$Z$2,SIP[Date Value],"&lt;="&amp;$Z$3))</f>
        <v>24600951.277761687</v>
      </c>
      <c r="N3" s="49">
        <f t="shared" ref="N3:N66" si="4">K3-M3</f>
        <v>-24600951.277761687</v>
      </c>
      <c r="O3" s="49">
        <f>(SUMIFS(LS[Realized Gain],LS[Investor ID],A3,LS[Date Value],"&gt;="&amp;$Z$2,LS[Date Value],"&lt;="&amp;$Z$3))+(SUMIFS(SIP[Realized Gain],SIP[Investor ID],A3,SIP[Date Value],"&gt;="&amp;$Z$2,SIP[Date Value],"&lt;="&amp;$Z$3))</f>
        <v>1917000.8722383124</v>
      </c>
      <c r="P3" s="49">
        <v>0</v>
      </c>
      <c r="Q3" s="49">
        <v>0</v>
      </c>
      <c r="R3" s="49">
        <v>0</v>
      </c>
      <c r="W3" s="55">
        <v>2024</v>
      </c>
      <c r="X3" s="56">
        <v>6</v>
      </c>
      <c r="Y3" s="61">
        <v>30</v>
      </c>
      <c r="Z3" s="141">
        <f>DATE(W3,X3,Y3)</f>
        <v>45473</v>
      </c>
      <c r="AA3" s="62">
        <v>11.164</v>
      </c>
    </row>
    <row r="4" spans="1:27">
      <c r="A4" t="s">
        <v>51</v>
      </c>
      <c r="B4" s="47">
        <f>SUMIFS(LS[Unit],LS[Investor ID],'TAX CERTIFICATE'!A4,LS[Date Value],"&lt;"&amp;$Z$2)+SUMIFS(SIP[Unit],SIP[Investor ID],'TAX CERTIFICATE'!A4,SIP[Date Value],"&lt;"&amp;$Z$2)</f>
        <v>0</v>
      </c>
      <c r="C4" s="48">
        <f>(SUMIFS(LS[Amount],LS[B/S],"B",LS[Investor ID],A4,LS[Date Value],"&lt;"&amp;$Z$2)-SUMIFS(LS[Cost of Units Sold],LS[B/S],"S",LS[Investor ID],A4,LS[Date Value],"&lt;"&amp;$Z$2))+(SUMIFS(SIP[Amount],SIP[B/S],"B",SIP[Investor ID],#REF!,SIP[Date Value],"&lt;"&amp;$Z$2)-SUMIFS(SIP[Cost of Units Sold],SIP[B/S],"S",SIP[Investor ID],A4,SIP[Date Value],"&lt;"&amp;$Z$2))</f>
        <v>0</v>
      </c>
      <c r="D4" s="49">
        <f t="shared" si="0"/>
        <v>0</v>
      </c>
      <c r="E4" s="49">
        <f t="shared" si="1"/>
        <v>0</v>
      </c>
      <c r="F4" s="47">
        <f>SUMIFS(LS[Unit],LS[Investor ID],A4,LS[Date Value],"&lt;="&amp;$Z$3)+SUMIFS(SIP[Unit],SIP[Investor ID],A4,SIP[Date Value],"&lt;="&amp;$Z$3)</f>
        <v>0</v>
      </c>
      <c r="G4" s="49">
        <f>(SUMIFS(LS[Amount],LS[B/S],"B",LS[Investor ID],A4,LS[Date Value],"&lt;="&amp;$Z$3)-SUMIFS(LS[Cost of Units Sold],LS[B/S],"S",LS[Investor ID],A4,LS[Date Value],"&lt;="&amp;$Z$3))+(SUMIFS(SIP[Amount],SIP[B/S],"B",SIP[Investor ID],A4,SIP[Date Value],"&lt;="&amp;$Z$3)-SUMIFS(SIP[Cost of Units Sold],SIP[B/S],"S",SIP[Investor ID],A4,SIP[Date Value],"&lt;="&amp;$Z$3))</f>
        <v>0</v>
      </c>
      <c r="H4" s="49">
        <f t="shared" si="2"/>
        <v>0</v>
      </c>
      <c r="I4" s="49">
        <f t="shared" si="3"/>
        <v>0</v>
      </c>
      <c r="J4" s="47">
        <f>(SUMIFS(LS[Unit],LS[Investor ID],A4,LS[B/S],"B",LS[Date Value],"&gt;="&amp;$Z$2,LS[Date Value],"&lt;="&amp;$Z$3))+(SUMIFS(SIP[Unit],SIP[Investor ID],A4,SIP[B/S],"B",SIP[Date Value],"&gt;="&amp;$Z$2,SIP[Date Value],"&lt;="&amp;$Z$3))</f>
        <v>0</v>
      </c>
      <c r="K4" s="49">
        <f>(SUMIFS(LS[Amount],LS[Investor ID],A4,LS[B/S],"B",LS[Date Value],"&gt;="&amp;$Z$2,LS[Date Value],"&lt;="&amp;$Z$3))+(SUMIFS(SIP[Amount],SIP[Investor ID],A4,SIP[B/S],"B",SIP[Date Value],"&gt;="&amp;$Z$2,SIP[Date Value],"&lt;="&amp;$Z$3))</f>
        <v>0</v>
      </c>
      <c r="L4" s="47">
        <f>(-SUMIFS(LS[Unit],LS[Investor ID],A4,LS[B/S],"S",LS[Date Value],"&gt;="&amp;$Z$2,LS[Date Value],"&lt;="&amp;$Z$3))+(-SUMIFS(SIP[Unit],SIP[Investor ID],A4,SIP[B/S],"S",SIP[Date Value],"&gt;="&amp;$Z$2,SIP[Date Value],"&lt;="&amp;$Z$3))</f>
        <v>0</v>
      </c>
      <c r="M4" s="49">
        <f>(SUMIFS(LS[Cost of Units Sold],LS[Investor ID],A4,LS[B/S],"S",LS[Date Value],"&gt;="&amp;$Z$2,LS[Date Value],"&lt;="&amp;$Z$3))+(SUMIFS(SIP[Cost of Units Sold],SIP[Investor ID],A4,SIP[B/S],"S",SIP[Date Value],"&gt;="&amp;$Z$2,SIP[Date Value],"&lt;="&amp;$Z$3))</f>
        <v>0</v>
      </c>
      <c r="N4" s="49">
        <f t="shared" si="4"/>
        <v>0</v>
      </c>
      <c r="O4" s="49">
        <f>(SUMIFS(LS[Realized Gain],LS[Investor ID],A4,LS[Date Value],"&gt;="&amp;$Z$2,LS[Date Value],"&lt;="&amp;$Z$3))+(SUMIFS(SIP[Realized Gain],SIP[Investor ID],A4,SIP[Date Value],"&gt;="&amp;$Z$2,SIP[Date Value],"&lt;="&amp;$Z$3))</f>
        <v>0</v>
      </c>
      <c r="P4" s="49">
        <v>0</v>
      </c>
      <c r="Q4" s="49">
        <v>0</v>
      </c>
      <c r="R4" s="49">
        <v>0</v>
      </c>
    </row>
    <row r="5" spans="1:27">
      <c r="A5" t="s">
        <v>54</v>
      </c>
      <c r="B5" s="47">
        <f>SUMIFS(LS[Unit],LS[Investor ID],'TAX CERTIFICATE'!A5,LS[Date Value],"&lt;"&amp;$Z$2)+SUMIFS(SIP[Unit],SIP[Investor ID],'TAX CERTIFICATE'!A5,SIP[Date Value],"&lt;"&amp;$Z$2)</f>
        <v>0</v>
      </c>
      <c r="C5" s="48">
        <f>(SUMIFS(LS[Amount],LS[B/S],"B",LS[Investor ID],A5,LS[Date Value],"&lt;"&amp;$Z$2)-SUMIFS(LS[Cost of Units Sold],LS[B/S],"S",LS[Investor ID],A5,LS[Date Value],"&lt;"&amp;$Z$2))+(SUMIFS(SIP[Amount],SIP[B/S],"B",SIP[Investor ID],#REF!,SIP[Date Value],"&lt;"&amp;$Z$2)-SUMIFS(SIP[Cost of Units Sold],SIP[B/S],"S",SIP[Investor ID],A5,SIP[Date Value],"&lt;"&amp;$Z$2))</f>
        <v>0</v>
      </c>
      <c r="D5" s="49">
        <f t="shared" si="0"/>
        <v>0</v>
      </c>
      <c r="E5" s="49">
        <f t="shared" si="1"/>
        <v>0</v>
      </c>
      <c r="F5" s="47">
        <f>SUMIFS(LS[Unit],LS[Investor ID],A5,LS[Date Value],"&lt;="&amp;$Z$3)+SUMIFS(SIP[Unit],SIP[Investor ID],A5,SIP[Date Value],"&lt;="&amp;$Z$3)</f>
        <v>47468</v>
      </c>
      <c r="G5" s="49">
        <f>(SUMIFS(LS[Amount],LS[B/S],"B",LS[Investor ID],A5,LS[Date Value],"&lt;="&amp;$Z$3)-SUMIFS(LS[Cost of Units Sold],LS[B/S],"S",LS[Investor ID],A5,LS[Date Value],"&lt;="&amp;$Z$3))+(SUMIFS(SIP[Amount],SIP[B/S],"B",SIP[Investor ID],A5,SIP[Date Value],"&lt;="&amp;$Z$3)-SUMIFS(SIP[Cost of Units Sold],SIP[B/S],"S",SIP[Investor ID],A5,SIP[Date Value],"&lt;="&amp;$Z$3))</f>
        <v>501452.55173725187</v>
      </c>
      <c r="H5" s="49">
        <f t="shared" si="2"/>
        <v>529932.75199999998</v>
      </c>
      <c r="I5" s="49">
        <f t="shared" si="3"/>
        <v>28480.200262748112</v>
      </c>
      <c r="J5" s="47">
        <f>(SUMIFS(LS[Unit],LS[Investor ID],A5,LS[B/S],"B",LS[Date Value],"&gt;="&amp;$Z$2,LS[Date Value],"&lt;="&amp;$Z$3))+(SUMIFS(SIP[Unit],SIP[Investor ID],A5,SIP[B/S],"B",SIP[Date Value],"&gt;="&amp;$Z$2,SIP[Date Value],"&lt;="&amp;$Z$3))</f>
        <v>94661</v>
      </c>
      <c r="K5" s="49">
        <f>(SUMIFS(LS[Amount],LS[Investor ID],A5,LS[B/S],"B",LS[Date Value],"&gt;="&amp;$Z$2,LS[Date Value],"&lt;="&amp;$Z$3))+(SUMIFS(SIP[Amount],SIP[Investor ID],A5,SIP[B/S],"B",SIP[Date Value],"&gt;="&amp;$Z$2,SIP[Date Value],"&lt;="&amp;$Z$3))</f>
        <v>1000000</v>
      </c>
      <c r="L5" s="47">
        <f>(-SUMIFS(LS[Unit],LS[Investor ID],A5,LS[B/S],"S",LS[Date Value],"&gt;="&amp;$Z$2,LS[Date Value],"&lt;="&amp;$Z$3))+(-SUMIFS(SIP[Unit],SIP[Investor ID],A5,SIP[B/S],"S",SIP[Date Value],"&gt;="&amp;$Z$2,SIP[Date Value],"&lt;="&amp;$Z$3))</f>
        <v>47193</v>
      </c>
      <c r="M5" s="49">
        <f>(SUMIFS(LS[Cost of Units Sold],LS[Investor ID],A5,LS[B/S],"S",LS[Date Value],"&gt;="&amp;$Z$2,LS[Date Value],"&lt;="&amp;$Z$3))+(SUMIFS(SIP[Cost of Units Sold],SIP[Investor ID],A5,SIP[B/S],"S",SIP[Date Value],"&gt;="&amp;$Z$2,SIP[Date Value],"&lt;="&amp;$Z$3))</f>
        <v>498547.44826274813</v>
      </c>
      <c r="N5" s="49">
        <f t="shared" si="4"/>
        <v>501452.55173725187</v>
      </c>
      <c r="O5" s="49">
        <f>(SUMIFS(LS[Realized Gain],LS[Investor ID],A5,LS[Date Value],"&gt;="&amp;$Z$2,LS[Date Value],"&lt;="&amp;$Z$3))+(SUMIFS(SIP[Realized Gain],SIP[Investor ID],A5,SIP[Date Value],"&gt;="&amp;$Z$2,SIP[Date Value],"&lt;="&amp;$Z$3))</f>
        <v>1462.5517372518605</v>
      </c>
      <c r="P5" s="49">
        <v>0</v>
      </c>
      <c r="Q5" s="49">
        <v>0</v>
      </c>
      <c r="R5" s="49">
        <v>0</v>
      </c>
    </row>
    <row r="6" spans="1:27">
      <c r="A6" t="s">
        <v>56</v>
      </c>
      <c r="B6" s="47">
        <f>SUMIFS(LS[Unit],LS[Investor ID],'TAX CERTIFICATE'!A6,LS[Date Value],"&lt;"&amp;$Z$2)+SUMIFS(SIP[Unit],SIP[Investor ID],'TAX CERTIFICATE'!A6,SIP[Date Value],"&lt;"&amp;$Z$2)</f>
        <v>0</v>
      </c>
      <c r="C6" s="48">
        <f>(SUMIFS(LS[Amount],LS[B/S],"B",LS[Investor ID],A6,LS[Date Value],"&lt;"&amp;$Z$2)-SUMIFS(LS[Cost of Units Sold],LS[B/S],"S",LS[Investor ID],A6,LS[Date Value],"&lt;"&amp;$Z$2))+(SUMIFS(SIP[Amount],SIP[B/S],"B",SIP[Investor ID],#REF!,SIP[Date Value],"&lt;"&amp;$Z$2)-SUMIFS(SIP[Cost of Units Sold],SIP[B/S],"S",SIP[Investor ID],A6,SIP[Date Value],"&lt;"&amp;$Z$2))</f>
        <v>0</v>
      </c>
      <c r="D6" s="49">
        <f t="shared" si="0"/>
        <v>0</v>
      </c>
      <c r="E6" s="49">
        <f t="shared" si="1"/>
        <v>0</v>
      </c>
      <c r="F6" s="47">
        <f>SUMIFS(LS[Unit],LS[Investor ID],A6,LS[Date Value],"&lt;="&amp;$Z$3)+SUMIFS(SIP[Unit],SIP[Investor ID],A6,SIP[Date Value],"&lt;="&amp;$Z$3)</f>
        <v>0</v>
      </c>
      <c r="G6" s="49">
        <f>(SUMIFS(LS[Amount],LS[B/S],"B",LS[Investor ID],A6,LS[Date Value],"&lt;="&amp;$Z$3)-SUMIFS(LS[Cost of Units Sold],LS[B/S],"S",LS[Investor ID],A6,LS[Date Value],"&lt;="&amp;$Z$3))+(SUMIFS(SIP[Amount],SIP[B/S],"B",SIP[Investor ID],A6,SIP[Date Value],"&lt;="&amp;$Z$3)-SUMIFS(SIP[Cost of Units Sold],SIP[B/S],"S",SIP[Investor ID],A6,SIP[Date Value],"&lt;="&amp;$Z$3))</f>
        <v>0</v>
      </c>
      <c r="H6" s="49">
        <f t="shared" si="2"/>
        <v>0</v>
      </c>
      <c r="I6" s="49">
        <f t="shared" si="3"/>
        <v>0</v>
      </c>
      <c r="J6" s="47">
        <f>(SUMIFS(LS[Unit],LS[Investor ID],A6,LS[B/S],"B",LS[Date Value],"&gt;="&amp;$Z$2,LS[Date Value],"&lt;="&amp;$Z$3))+(SUMIFS(SIP[Unit],SIP[Investor ID],A6,SIP[B/S],"B",SIP[Date Value],"&gt;="&amp;$Z$2,SIP[Date Value],"&lt;="&amp;$Z$3))</f>
        <v>0</v>
      </c>
      <c r="K6" s="49">
        <f>(SUMIFS(LS[Amount],LS[Investor ID],A6,LS[B/S],"B",LS[Date Value],"&gt;="&amp;$Z$2,LS[Date Value],"&lt;="&amp;$Z$3))+(SUMIFS(SIP[Amount],SIP[Investor ID],A6,SIP[B/S],"B",SIP[Date Value],"&gt;="&amp;$Z$2,SIP[Date Value],"&lt;="&amp;$Z$3))</f>
        <v>0</v>
      </c>
      <c r="L6" s="47">
        <f>(-SUMIFS(LS[Unit],LS[Investor ID],A6,LS[B/S],"S",LS[Date Value],"&gt;="&amp;$Z$2,LS[Date Value],"&lt;="&amp;$Z$3))+(-SUMIFS(SIP[Unit],SIP[Investor ID],A6,SIP[B/S],"S",SIP[Date Value],"&gt;="&amp;$Z$2,SIP[Date Value],"&lt;="&amp;$Z$3))</f>
        <v>0</v>
      </c>
      <c r="M6" s="49">
        <f>(SUMIFS(LS[Cost of Units Sold],LS[Investor ID],A6,LS[B/S],"S",LS[Date Value],"&gt;="&amp;$Z$2,LS[Date Value],"&lt;="&amp;$Z$3))+(SUMIFS(SIP[Cost of Units Sold],SIP[Investor ID],A6,SIP[B/S],"S",SIP[Date Value],"&gt;="&amp;$Z$2,SIP[Date Value],"&lt;="&amp;$Z$3))</f>
        <v>0</v>
      </c>
      <c r="N6" s="49">
        <f t="shared" si="4"/>
        <v>0</v>
      </c>
      <c r="O6" s="49">
        <f>(SUMIFS(LS[Realized Gain],LS[Investor ID],A6,LS[Date Value],"&gt;="&amp;$Z$2,LS[Date Value],"&lt;="&amp;$Z$3))+(SUMIFS(SIP[Realized Gain],SIP[Investor ID],A6,SIP[Date Value],"&gt;="&amp;$Z$2,SIP[Date Value],"&lt;="&amp;$Z$3))</f>
        <v>0</v>
      </c>
      <c r="P6" s="49">
        <v>0</v>
      </c>
      <c r="Q6" s="49">
        <v>0</v>
      </c>
      <c r="R6" s="49">
        <v>0</v>
      </c>
    </row>
    <row r="7" spans="1:27">
      <c r="A7" t="s">
        <v>58</v>
      </c>
      <c r="B7" s="47">
        <f>SUMIFS(LS[Unit],LS[Investor ID],'TAX CERTIFICATE'!A7,LS[Date Value],"&lt;"&amp;$Z$2)+SUMIFS(SIP[Unit],SIP[Investor ID],'TAX CERTIFICATE'!A7,SIP[Date Value],"&lt;"&amp;$Z$2)</f>
        <v>0</v>
      </c>
      <c r="C7" s="48">
        <f>(SUMIFS(LS[Amount],LS[B/S],"B",LS[Investor ID],A7,LS[Date Value],"&lt;"&amp;$Z$2)-SUMIFS(LS[Cost of Units Sold],LS[B/S],"S",LS[Investor ID],A7,LS[Date Value],"&lt;"&amp;$Z$2))+(SUMIFS(SIP[Amount],SIP[B/S],"B",SIP[Investor ID],#REF!,SIP[Date Value],"&lt;"&amp;$Z$2)-SUMIFS(SIP[Cost of Units Sold],SIP[B/S],"S",SIP[Investor ID],A7,SIP[Date Value],"&lt;"&amp;$Z$2))</f>
        <v>0</v>
      </c>
      <c r="D7" s="49">
        <f t="shared" si="0"/>
        <v>0</v>
      </c>
      <c r="E7" s="49">
        <f t="shared" si="1"/>
        <v>0</v>
      </c>
      <c r="F7" s="47">
        <f>SUMIFS(LS[Unit],LS[Investor ID],A7,LS[Date Value],"&lt;="&amp;$Z$3)+SUMIFS(SIP[Unit],SIP[Investor ID],A7,SIP[Date Value],"&lt;="&amp;$Z$3)</f>
        <v>0</v>
      </c>
      <c r="G7" s="49">
        <f>(SUMIFS(LS[Amount],LS[B/S],"B",LS[Investor ID],A7,LS[Date Value],"&lt;="&amp;$Z$3)-SUMIFS(LS[Cost of Units Sold],LS[B/S],"S",LS[Investor ID],A7,LS[Date Value],"&lt;="&amp;$Z$3))+(SUMIFS(SIP[Amount],SIP[B/S],"B",SIP[Investor ID],A7,SIP[Date Value],"&lt;="&amp;$Z$3)-SUMIFS(SIP[Cost of Units Sold],SIP[B/S],"S",SIP[Investor ID],A7,SIP[Date Value],"&lt;="&amp;$Z$3))</f>
        <v>0</v>
      </c>
      <c r="H7" s="49">
        <f t="shared" si="2"/>
        <v>0</v>
      </c>
      <c r="I7" s="49">
        <f t="shared" si="3"/>
        <v>0</v>
      </c>
      <c r="J7" s="47">
        <f>(SUMIFS(LS[Unit],LS[Investor ID],A7,LS[B/S],"B",LS[Date Value],"&gt;="&amp;$Z$2,LS[Date Value],"&lt;="&amp;$Z$3))+(SUMIFS(SIP[Unit],SIP[Investor ID],A7,SIP[B/S],"B",SIP[Date Value],"&gt;="&amp;$Z$2,SIP[Date Value],"&lt;="&amp;$Z$3))</f>
        <v>0</v>
      </c>
      <c r="K7" s="49">
        <f>(SUMIFS(LS[Amount],LS[Investor ID],A7,LS[B/S],"B",LS[Date Value],"&gt;="&amp;$Z$2,LS[Date Value],"&lt;="&amp;$Z$3))+(SUMIFS(SIP[Amount],SIP[Investor ID],A7,SIP[B/S],"B",SIP[Date Value],"&gt;="&amp;$Z$2,SIP[Date Value],"&lt;="&amp;$Z$3))</f>
        <v>0</v>
      </c>
      <c r="L7" s="47">
        <f>(-SUMIFS(LS[Unit],LS[Investor ID],A7,LS[B/S],"S",LS[Date Value],"&gt;="&amp;$Z$2,LS[Date Value],"&lt;="&amp;$Z$3))+(-SUMIFS(SIP[Unit],SIP[Investor ID],A7,SIP[B/S],"S",SIP[Date Value],"&gt;="&amp;$Z$2,SIP[Date Value],"&lt;="&amp;$Z$3))</f>
        <v>0</v>
      </c>
      <c r="M7" s="49">
        <f>(SUMIFS(LS[Cost of Units Sold],LS[Investor ID],A7,LS[B/S],"S",LS[Date Value],"&gt;="&amp;$Z$2,LS[Date Value],"&lt;="&amp;$Z$3))+(SUMIFS(SIP[Cost of Units Sold],SIP[Investor ID],A7,SIP[B/S],"S",SIP[Date Value],"&gt;="&amp;$Z$2,SIP[Date Value],"&lt;="&amp;$Z$3))</f>
        <v>0</v>
      </c>
      <c r="N7" s="49">
        <f t="shared" si="4"/>
        <v>0</v>
      </c>
      <c r="O7" s="49">
        <f>(SUMIFS(LS[Realized Gain],LS[Investor ID],A7,LS[Date Value],"&gt;="&amp;$Z$2,LS[Date Value],"&lt;="&amp;$Z$3))+(SUMIFS(SIP[Realized Gain],SIP[Investor ID],A7,SIP[Date Value],"&gt;="&amp;$Z$2,SIP[Date Value],"&lt;="&amp;$Z$3))</f>
        <v>0</v>
      </c>
      <c r="P7" s="49">
        <v>0</v>
      </c>
      <c r="Q7" s="49">
        <v>0</v>
      </c>
      <c r="R7" s="49">
        <v>0</v>
      </c>
    </row>
    <row r="8" spans="1:27">
      <c r="A8" t="s">
        <v>60</v>
      </c>
      <c r="B8" s="47">
        <f>SUMIFS(LS[Unit],LS[Investor ID],'TAX CERTIFICATE'!A8,LS[Date Value],"&lt;"&amp;$Z$2)+SUMIFS(SIP[Unit],SIP[Investor ID],'TAX CERTIFICATE'!A8,SIP[Date Value],"&lt;"&amp;$Z$2)</f>
        <v>0</v>
      </c>
      <c r="C8" s="48">
        <f>(SUMIFS(LS[Amount],LS[B/S],"B",LS[Investor ID],A8,LS[Date Value],"&lt;"&amp;$Z$2)-SUMIFS(LS[Cost of Units Sold],LS[B/S],"S",LS[Investor ID],A8,LS[Date Value],"&lt;"&amp;$Z$2))+(SUMIFS(SIP[Amount],SIP[B/S],"B",SIP[Investor ID],#REF!,SIP[Date Value],"&lt;"&amp;$Z$2)-SUMIFS(SIP[Cost of Units Sold],SIP[B/S],"S",SIP[Investor ID],A8,SIP[Date Value],"&lt;"&amp;$Z$2))</f>
        <v>0</v>
      </c>
      <c r="D8" s="49">
        <f t="shared" si="0"/>
        <v>0</v>
      </c>
      <c r="E8" s="49">
        <f t="shared" si="1"/>
        <v>0</v>
      </c>
      <c r="F8" s="47">
        <f>SUMIFS(LS[Unit],LS[Investor ID],A8,LS[Date Value],"&lt;="&amp;$Z$3)+SUMIFS(SIP[Unit],SIP[Investor ID],A8,SIP[Date Value],"&lt;="&amp;$Z$3)</f>
        <v>0</v>
      </c>
      <c r="G8" s="49">
        <f>(SUMIFS(LS[Amount],LS[B/S],"B",LS[Investor ID],A8,LS[Date Value],"&lt;="&amp;$Z$3)-SUMIFS(LS[Cost of Units Sold],LS[B/S],"S",LS[Investor ID],A8,LS[Date Value],"&lt;="&amp;$Z$3))+(SUMIFS(SIP[Amount],SIP[B/S],"B",SIP[Investor ID],A8,SIP[Date Value],"&lt;="&amp;$Z$3)-SUMIFS(SIP[Cost of Units Sold],SIP[B/S],"S",SIP[Investor ID],A8,SIP[Date Value],"&lt;="&amp;$Z$3))</f>
        <v>0</v>
      </c>
      <c r="H8" s="49">
        <f t="shared" si="2"/>
        <v>0</v>
      </c>
      <c r="I8" s="49">
        <f t="shared" si="3"/>
        <v>0</v>
      </c>
      <c r="J8" s="47">
        <f>(SUMIFS(LS[Unit],LS[Investor ID],A8,LS[B/S],"B",LS[Date Value],"&gt;="&amp;$Z$2,LS[Date Value],"&lt;="&amp;$Z$3))+(SUMIFS(SIP[Unit],SIP[Investor ID],A8,SIP[B/S],"B",SIP[Date Value],"&gt;="&amp;$Z$2,SIP[Date Value],"&lt;="&amp;$Z$3))</f>
        <v>0</v>
      </c>
      <c r="K8" s="49">
        <f>(SUMIFS(LS[Amount],LS[Investor ID],A8,LS[B/S],"B",LS[Date Value],"&gt;="&amp;$Z$2,LS[Date Value],"&lt;="&amp;$Z$3))+(SUMIFS(SIP[Amount],SIP[Investor ID],A8,SIP[B/S],"B",SIP[Date Value],"&gt;="&amp;$Z$2,SIP[Date Value],"&lt;="&amp;$Z$3))</f>
        <v>0</v>
      </c>
      <c r="L8" s="47">
        <f>(-SUMIFS(LS[Unit],LS[Investor ID],A8,LS[B/S],"S",LS[Date Value],"&gt;="&amp;$Z$2,LS[Date Value],"&lt;="&amp;$Z$3))+(-SUMIFS(SIP[Unit],SIP[Investor ID],A8,SIP[B/S],"S",SIP[Date Value],"&gt;="&amp;$Z$2,SIP[Date Value],"&lt;="&amp;$Z$3))</f>
        <v>0</v>
      </c>
      <c r="M8" s="49">
        <f>(SUMIFS(LS[Cost of Units Sold],LS[Investor ID],A8,LS[B/S],"S",LS[Date Value],"&gt;="&amp;$Z$2,LS[Date Value],"&lt;="&amp;$Z$3))+(SUMIFS(SIP[Cost of Units Sold],SIP[Investor ID],A8,SIP[B/S],"S",SIP[Date Value],"&gt;="&amp;$Z$2,SIP[Date Value],"&lt;="&amp;$Z$3))</f>
        <v>0</v>
      </c>
      <c r="N8" s="49">
        <f t="shared" si="4"/>
        <v>0</v>
      </c>
      <c r="O8" s="49">
        <f>(SUMIFS(LS[Realized Gain],LS[Investor ID],A8,LS[Date Value],"&gt;="&amp;$Z$2,LS[Date Value],"&lt;="&amp;$Z$3))+(SUMIFS(SIP[Realized Gain],SIP[Investor ID],A8,SIP[Date Value],"&gt;="&amp;$Z$2,SIP[Date Value],"&lt;="&amp;$Z$3))</f>
        <v>0</v>
      </c>
      <c r="P8" s="49">
        <v>0</v>
      </c>
      <c r="Q8" s="49">
        <v>0</v>
      </c>
      <c r="R8" s="49">
        <v>0</v>
      </c>
    </row>
    <row r="9" spans="1:27">
      <c r="A9" t="s">
        <v>62</v>
      </c>
      <c r="B9" s="47">
        <f>SUMIFS(LS[Unit],LS[Investor ID],'TAX CERTIFICATE'!A9,LS[Date Value],"&lt;"&amp;$Z$2)+SUMIFS(SIP[Unit],SIP[Investor ID],'TAX CERTIFICATE'!A9,SIP[Date Value],"&lt;"&amp;$Z$2)</f>
        <v>0</v>
      </c>
      <c r="C9" s="48">
        <f>(SUMIFS(LS[Amount],LS[B/S],"B",LS[Investor ID],A9,LS[Date Value],"&lt;"&amp;$Z$2)-SUMIFS(LS[Cost of Units Sold],LS[B/S],"S",LS[Investor ID],A9,LS[Date Value],"&lt;"&amp;$Z$2))+(SUMIFS(SIP[Amount],SIP[B/S],"B",SIP[Investor ID],#REF!,SIP[Date Value],"&lt;"&amp;$Z$2)-SUMIFS(SIP[Cost of Units Sold],SIP[B/S],"S",SIP[Investor ID],A9,SIP[Date Value],"&lt;"&amp;$Z$2))</f>
        <v>0</v>
      </c>
      <c r="D9" s="49">
        <f t="shared" si="0"/>
        <v>0</v>
      </c>
      <c r="E9" s="49">
        <f t="shared" si="1"/>
        <v>0</v>
      </c>
      <c r="F9" s="47">
        <f>SUMIFS(LS[Unit],LS[Investor ID],A9,LS[Date Value],"&lt;="&amp;$Z$3)+SUMIFS(SIP[Unit],SIP[Investor ID],A9,SIP[Date Value],"&lt;="&amp;$Z$3)</f>
        <v>0</v>
      </c>
      <c r="G9" s="49">
        <f>(SUMIFS(LS[Amount],LS[B/S],"B",LS[Investor ID],A9,LS[Date Value],"&lt;="&amp;$Z$3)-SUMIFS(LS[Cost of Units Sold],LS[B/S],"S",LS[Investor ID],A9,LS[Date Value],"&lt;="&amp;$Z$3))+(SUMIFS(SIP[Amount],SIP[B/S],"B",SIP[Investor ID],A9,SIP[Date Value],"&lt;="&amp;$Z$3)-SUMIFS(SIP[Cost of Units Sold],SIP[B/S],"S",SIP[Investor ID],A9,SIP[Date Value],"&lt;="&amp;$Z$3))</f>
        <v>0</v>
      </c>
      <c r="H9" s="49">
        <f t="shared" si="2"/>
        <v>0</v>
      </c>
      <c r="I9" s="49">
        <f t="shared" si="3"/>
        <v>0</v>
      </c>
      <c r="J9" s="47">
        <f>(SUMIFS(LS[Unit],LS[Investor ID],A9,LS[B/S],"B",LS[Date Value],"&gt;="&amp;$Z$2,LS[Date Value],"&lt;="&amp;$Z$3))+(SUMIFS(SIP[Unit],SIP[Investor ID],A9,SIP[B/S],"B",SIP[Date Value],"&gt;="&amp;$Z$2,SIP[Date Value],"&lt;="&amp;$Z$3))</f>
        <v>0</v>
      </c>
      <c r="K9" s="49">
        <f>(SUMIFS(LS[Amount],LS[Investor ID],A9,LS[B/S],"B",LS[Date Value],"&gt;="&amp;$Z$2,LS[Date Value],"&lt;="&amp;$Z$3))+(SUMIFS(SIP[Amount],SIP[Investor ID],A9,SIP[B/S],"B",SIP[Date Value],"&gt;="&amp;$Z$2,SIP[Date Value],"&lt;="&amp;$Z$3))</f>
        <v>0</v>
      </c>
      <c r="L9" s="47">
        <f>(-SUMIFS(LS[Unit],LS[Investor ID],A9,LS[B/S],"S",LS[Date Value],"&gt;="&amp;$Z$2,LS[Date Value],"&lt;="&amp;$Z$3))+(-SUMIFS(SIP[Unit],SIP[Investor ID],A9,SIP[B/S],"S",SIP[Date Value],"&gt;="&amp;$Z$2,SIP[Date Value],"&lt;="&amp;$Z$3))</f>
        <v>0</v>
      </c>
      <c r="M9" s="49">
        <f>(SUMIFS(LS[Cost of Units Sold],LS[Investor ID],A9,LS[B/S],"S",LS[Date Value],"&gt;="&amp;$Z$2,LS[Date Value],"&lt;="&amp;$Z$3))+(SUMIFS(SIP[Cost of Units Sold],SIP[Investor ID],A9,SIP[B/S],"S",SIP[Date Value],"&gt;="&amp;$Z$2,SIP[Date Value],"&lt;="&amp;$Z$3))</f>
        <v>0</v>
      </c>
      <c r="N9" s="49">
        <f t="shared" si="4"/>
        <v>0</v>
      </c>
      <c r="O9" s="49">
        <f>(SUMIFS(LS[Realized Gain],LS[Investor ID],A9,LS[Date Value],"&gt;="&amp;$Z$2,LS[Date Value],"&lt;="&amp;$Z$3))+(SUMIFS(SIP[Realized Gain],SIP[Investor ID],A9,SIP[Date Value],"&gt;="&amp;$Z$2,SIP[Date Value],"&lt;="&amp;$Z$3))</f>
        <v>0</v>
      </c>
      <c r="P9" s="49">
        <v>0</v>
      </c>
      <c r="Q9" s="49">
        <v>0</v>
      </c>
      <c r="R9" s="49">
        <v>0</v>
      </c>
    </row>
    <row r="10" spans="1:27">
      <c r="A10" t="s">
        <v>64</v>
      </c>
      <c r="B10" s="47">
        <f>SUMIFS(LS[Unit],LS[Investor ID],'TAX CERTIFICATE'!A10,LS[Date Value],"&lt;"&amp;$Z$2)+SUMIFS(SIP[Unit],SIP[Investor ID],'TAX CERTIFICATE'!A10,SIP[Date Value],"&lt;"&amp;$Z$2)</f>
        <v>0</v>
      </c>
      <c r="C10" s="48">
        <f>(SUMIFS(LS[Amount],LS[B/S],"B",LS[Investor ID],A10,LS[Date Value],"&lt;"&amp;$Z$2)-SUMIFS(LS[Cost of Units Sold],LS[B/S],"S",LS[Investor ID],A10,LS[Date Value],"&lt;"&amp;$Z$2))+(SUMIFS(SIP[Amount],SIP[B/S],"B",SIP[Investor ID],#REF!,SIP[Date Value],"&lt;"&amp;$Z$2)-SUMIFS(SIP[Cost of Units Sold],SIP[B/S],"S",SIP[Investor ID],A10,SIP[Date Value],"&lt;"&amp;$Z$2))</f>
        <v>0</v>
      </c>
      <c r="D10" s="49">
        <f t="shared" si="0"/>
        <v>0</v>
      </c>
      <c r="E10" s="49">
        <f t="shared" si="1"/>
        <v>0</v>
      </c>
      <c r="F10" s="47">
        <f>SUMIFS(LS[Unit],LS[Investor ID],A10,LS[Date Value],"&lt;="&amp;$Z$3)+SUMIFS(SIP[Unit],SIP[Investor ID],A10,SIP[Date Value],"&lt;="&amp;$Z$3)</f>
        <v>0</v>
      </c>
      <c r="G10" s="49">
        <f>(SUMIFS(LS[Amount],LS[B/S],"B",LS[Investor ID],A10,LS[Date Value],"&lt;="&amp;$Z$3)-SUMIFS(LS[Cost of Units Sold],LS[B/S],"S",LS[Investor ID],A10,LS[Date Value],"&lt;="&amp;$Z$3))+(SUMIFS(SIP[Amount],SIP[B/S],"B",SIP[Investor ID],A10,SIP[Date Value],"&lt;="&amp;$Z$3)-SUMIFS(SIP[Cost of Units Sold],SIP[B/S],"S",SIP[Investor ID],A10,SIP[Date Value],"&lt;="&amp;$Z$3))</f>
        <v>0</v>
      </c>
      <c r="H10" s="49">
        <f t="shared" si="2"/>
        <v>0</v>
      </c>
      <c r="I10" s="49">
        <f t="shared" si="3"/>
        <v>0</v>
      </c>
      <c r="J10" s="47">
        <f>(SUMIFS(LS[Unit],LS[Investor ID],A10,LS[B/S],"B",LS[Date Value],"&gt;="&amp;$Z$2,LS[Date Value],"&lt;="&amp;$Z$3))+(SUMIFS(SIP[Unit],SIP[Investor ID],A10,SIP[B/S],"B",SIP[Date Value],"&gt;="&amp;$Z$2,SIP[Date Value],"&lt;="&amp;$Z$3))</f>
        <v>0</v>
      </c>
      <c r="K10" s="49">
        <f>(SUMIFS(LS[Amount],LS[Investor ID],A10,LS[B/S],"B",LS[Date Value],"&gt;="&amp;$Z$2,LS[Date Value],"&lt;="&amp;$Z$3))+(SUMIFS(SIP[Amount],SIP[Investor ID],A10,SIP[B/S],"B",SIP[Date Value],"&gt;="&amp;$Z$2,SIP[Date Value],"&lt;="&amp;$Z$3))</f>
        <v>0</v>
      </c>
      <c r="L10" s="47">
        <f>(-SUMIFS(LS[Unit],LS[Investor ID],A10,LS[B/S],"S",LS[Date Value],"&gt;="&amp;$Z$2,LS[Date Value],"&lt;="&amp;$Z$3))+(-SUMIFS(SIP[Unit],SIP[Investor ID],A10,SIP[B/S],"S",SIP[Date Value],"&gt;="&amp;$Z$2,SIP[Date Value],"&lt;="&amp;$Z$3))</f>
        <v>0</v>
      </c>
      <c r="M10" s="49">
        <f>(SUMIFS(LS[Cost of Units Sold],LS[Investor ID],A10,LS[B/S],"S",LS[Date Value],"&gt;="&amp;$Z$2,LS[Date Value],"&lt;="&amp;$Z$3))+(SUMIFS(SIP[Cost of Units Sold],SIP[Investor ID],A10,SIP[B/S],"S",SIP[Date Value],"&gt;="&amp;$Z$2,SIP[Date Value],"&lt;="&amp;$Z$3))</f>
        <v>0</v>
      </c>
      <c r="N10" s="49">
        <f t="shared" si="4"/>
        <v>0</v>
      </c>
      <c r="O10" s="49">
        <f>(SUMIFS(LS[Realized Gain],LS[Investor ID],A10,LS[Date Value],"&gt;="&amp;$Z$2,LS[Date Value],"&lt;="&amp;$Z$3))+(SUMIFS(SIP[Realized Gain],SIP[Investor ID],A10,SIP[Date Value],"&gt;="&amp;$Z$2,SIP[Date Value],"&lt;="&amp;$Z$3))</f>
        <v>0</v>
      </c>
      <c r="P10" s="49">
        <v>0</v>
      </c>
      <c r="Q10" s="49">
        <v>0</v>
      </c>
      <c r="R10" s="49">
        <v>0</v>
      </c>
    </row>
    <row r="11" spans="1:27">
      <c r="A11" t="s">
        <v>66</v>
      </c>
      <c r="B11" s="47">
        <f>SUMIFS(LS[Unit],LS[Investor ID],'TAX CERTIFICATE'!A11,LS[Date Value],"&lt;"&amp;$Z$2)+SUMIFS(SIP[Unit],SIP[Investor ID],'TAX CERTIFICATE'!A11,SIP[Date Value],"&lt;"&amp;$Z$2)</f>
        <v>0</v>
      </c>
      <c r="C11" s="48">
        <f>(SUMIFS(LS[Amount],LS[B/S],"B",LS[Investor ID],A11,LS[Date Value],"&lt;"&amp;$Z$2)-SUMIFS(LS[Cost of Units Sold],LS[B/S],"S",LS[Investor ID],A11,LS[Date Value],"&lt;"&amp;$Z$2))+(SUMIFS(SIP[Amount],SIP[B/S],"B",SIP[Investor ID],#REF!,SIP[Date Value],"&lt;"&amp;$Z$2)-SUMIFS(SIP[Cost of Units Sold],SIP[B/S],"S",SIP[Investor ID],A11,SIP[Date Value],"&lt;"&amp;$Z$2))</f>
        <v>0</v>
      </c>
      <c r="D11" s="49">
        <f t="shared" si="0"/>
        <v>0</v>
      </c>
      <c r="E11" s="49">
        <f t="shared" si="1"/>
        <v>0</v>
      </c>
      <c r="F11" s="47">
        <f>SUMIFS(LS[Unit],LS[Investor ID],A11,LS[Date Value],"&lt;="&amp;$Z$3)+SUMIFS(SIP[Unit],SIP[Investor ID],A11,SIP[Date Value],"&lt;="&amp;$Z$3)</f>
        <v>0</v>
      </c>
      <c r="G11" s="49">
        <f>(SUMIFS(LS[Amount],LS[B/S],"B",LS[Investor ID],A11,LS[Date Value],"&lt;="&amp;$Z$3)-SUMIFS(LS[Cost of Units Sold],LS[B/S],"S",LS[Investor ID],A11,LS[Date Value],"&lt;="&amp;$Z$3))+(SUMIFS(SIP[Amount],SIP[B/S],"B",SIP[Investor ID],A11,SIP[Date Value],"&lt;="&amp;$Z$3)-SUMIFS(SIP[Cost of Units Sold],SIP[B/S],"S",SIP[Investor ID],A11,SIP[Date Value],"&lt;="&amp;$Z$3))</f>
        <v>0</v>
      </c>
      <c r="H11" s="49">
        <f t="shared" si="2"/>
        <v>0</v>
      </c>
      <c r="I11" s="49">
        <f t="shared" si="3"/>
        <v>0</v>
      </c>
      <c r="J11" s="47">
        <f>(SUMIFS(LS[Unit],LS[Investor ID],A11,LS[B/S],"B",LS[Date Value],"&gt;="&amp;$Z$2,LS[Date Value],"&lt;="&amp;$Z$3))+(SUMIFS(SIP[Unit],SIP[Investor ID],A11,SIP[B/S],"B",SIP[Date Value],"&gt;="&amp;$Z$2,SIP[Date Value],"&lt;="&amp;$Z$3))</f>
        <v>0</v>
      </c>
      <c r="K11" s="49">
        <f>(SUMIFS(LS[Amount],LS[Investor ID],A11,LS[B/S],"B",LS[Date Value],"&gt;="&amp;$Z$2,LS[Date Value],"&lt;="&amp;$Z$3))+(SUMIFS(SIP[Amount],SIP[Investor ID],A11,SIP[B/S],"B",SIP[Date Value],"&gt;="&amp;$Z$2,SIP[Date Value],"&lt;="&amp;$Z$3))</f>
        <v>0</v>
      </c>
      <c r="L11" s="47">
        <f>(-SUMIFS(LS[Unit],LS[Investor ID],A11,LS[B/S],"S",LS[Date Value],"&gt;="&amp;$Z$2,LS[Date Value],"&lt;="&amp;$Z$3))+(-SUMIFS(SIP[Unit],SIP[Investor ID],A11,SIP[B/S],"S",SIP[Date Value],"&gt;="&amp;$Z$2,SIP[Date Value],"&lt;="&amp;$Z$3))</f>
        <v>0</v>
      </c>
      <c r="M11" s="49">
        <f>(SUMIFS(LS[Cost of Units Sold],LS[Investor ID],A11,LS[B/S],"S",LS[Date Value],"&gt;="&amp;$Z$2,LS[Date Value],"&lt;="&amp;$Z$3))+(SUMIFS(SIP[Cost of Units Sold],SIP[Investor ID],A11,SIP[B/S],"S",SIP[Date Value],"&gt;="&amp;$Z$2,SIP[Date Value],"&lt;="&amp;$Z$3))</f>
        <v>0</v>
      </c>
      <c r="N11" s="49">
        <f t="shared" si="4"/>
        <v>0</v>
      </c>
      <c r="O11" s="49">
        <f>(SUMIFS(LS[Realized Gain],LS[Investor ID],A11,LS[Date Value],"&gt;="&amp;$Z$2,LS[Date Value],"&lt;="&amp;$Z$3))+(SUMIFS(SIP[Realized Gain],SIP[Investor ID],A11,SIP[Date Value],"&gt;="&amp;$Z$2,SIP[Date Value],"&lt;="&amp;$Z$3))</f>
        <v>0</v>
      </c>
      <c r="P11" s="49">
        <v>0</v>
      </c>
      <c r="Q11" s="49">
        <v>0</v>
      </c>
      <c r="R11" s="49">
        <v>0</v>
      </c>
    </row>
    <row r="12" spans="1:27">
      <c r="A12" t="s">
        <v>69</v>
      </c>
      <c r="B12" s="47">
        <f>SUMIFS(LS[Unit],LS[Investor ID],'TAX CERTIFICATE'!A12,LS[Date Value],"&lt;"&amp;$Z$2)+SUMIFS(SIP[Unit],SIP[Investor ID],'TAX CERTIFICATE'!A12,SIP[Date Value],"&lt;"&amp;$Z$2)</f>
        <v>0</v>
      </c>
      <c r="C12" s="48">
        <f>(SUMIFS(LS[Amount],LS[B/S],"B",LS[Investor ID],A12,LS[Date Value],"&lt;"&amp;$Z$2)-SUMIFS(LS[Cost of Units Sold],LS[B/S],"S",LS[Investor ID],A12,LS[Date Value],"&lt;"&amp;$Z$2))+(SUMIFS(SIP[Amount],SIP[B/S],"B",SIP[Investor ID],#REF!,SIP[Date Value],"&lt;"&amp;$Z$2)-SUMIFS(SIP[Cost of Units Sold],SIP[B/S],"S",SIP[Investor ID],A12,SIP[Date Value],"&lt;"&amp;$Z$2))</f>
        <v>0</v>
      </c>
      <c r="D12" s="49">
        <f t="shared" si="0"/>
        <v>0</v>
      </c>
      <c r="E12" s="49">
        <f t="shared" si="1"/>
        <v>0</v>
      </c>
      <c r="F12" s="47">
        <f>SUMIFS(LS[Unit],LS[Investor ID],A12,LS[Date Value],"&lt;="&amp;$Z$3)+SUMIFS(SIP[Unit],SIP[Investor ID],A12,SIP[Date Value],"&lt;="&amp;$Z$3)</f>
        <v>9271</v>
      </c>
      <c r="G12" s="49">
        <f>(SUMIFS(LS[Amount],LS[B/S],"B",LS[Investor ID],A12,LS[Date Value],"&lt;="&amp;$Z$3)-SUMIFS(LS[Cost of Units Sold],LS[B/S],"S",LS[Investor ID],A12,LS[Date Value],"&lt;="&amp;$Z$3))+(SUMIFS(SIP[Amount],SIP[B/S],"B",SIP[Investor ID],A12,SIP[Date Value],"&lt;="&amp;$Z$3)-SUMIFS(SIP[Cost of Units Sold],SIP[B/S],"S",SIP[Investor ID],A12,SIP[Date Value],"&lt;="&amp;$Z$3))</f>
        <v>100000</v>
      </c>
      <c r="H12" s="49">
        <f t="shared" si="2"/>
        <v>103501.444</v>
      </c>
      <c r="I12" s="49">
        <f t="shared" si="3"/>
        <v>3501.4440000000031</v>
      </c>
      <c r="J12" s="47">
        <f>(SUMIFS(LS[Unit],LS[Investor ID],A12,LS[B/S],"B",LS[Date Value],"&gt;="&amp;$Z$2,LS[Date Value],"&lt;="&amp;$Z$3))+(SUMIFS(SIP[Unit],SIP[Investor ID],A12,SIP[B/S],"B",SIP[Date Value],"&gt;="&amp;$Z$2,SIP[Date Value],"&lt;="&amp;$Z$3))</f>
        <v>9271</v>
      </c>
      <c r="K12" s="49">
        <f>(SUMIFS(LS[Amount],LS[Investor ID],A12,LS[B/S],"B",LS[Date Value],"&gt;="&amp;$Z$2,LS[Date Value],"&lt;="&amp;$Z$3))+(SUMIFS(SIP[Amount],SIP[Investor ID],A12,SIP[B/S],"B",SIP[Date Value],"&gt;="&amp;$Z$2,SIP[Date Value],"&lt;="&amp;$Z$3))</f>
        <v>100000</v>
      </c>
      <c r="L12" s="47">
        <f>(-SUMIFS(LS[Unit],LS[Investor ID],A12,LS[B/S],"S",LS[Date Value],"&gt;="&amp;$Z$2,LS[Date Value],"&lt;="&amp;$Z$3))+(-SUMIFS(SIP[Unit],SIP[Investor ID],A12,SIP[B/S],"S",SIP[Date Value],"&gt;="&amp;$Z$2,SIP[Date Value],"&lt;="&amp;$Z$3))</f>
        <v>0</v>
      </c>
      <c r="M12" s="49">
        <f>(SUMIFS(LS[Cost of Units Sold],LS[Investor ID],A12,LS[B/S],"S",LS[Date Value],"&gt;="&amp;$Z$2,LS[Date Value],"&lt;="&amp;$Z$3))+(SUMIFS(SIP[Cost of Units Sold],SIP[Investor ID],A12,SIP[B/S],"S",SIP[Date Value],"&gt;="&amp;$Z$2,SIP[Date Value],"&lt;="&amp;$Z$3))</f>
        <v>0</v>
      </c>
      <c r="N12" s="49">
        <f t="shared" si="4"/>
        <v>100000</v>
      </c>
      <c r="O12" s="49">
        <f>(SUMIFS(LS[Realized Gain],LS[Investor ID],A12,LS[Date Value],"&gt;="&amp;$Z$2,LS[Date Value],"&lt;="&amp;$Z$3))+(SUMIFS(SIP[Realized Gain],SIP[Investor ID],A12,SIP[Date Value],"&gt;="&amp;$Z$2,SIP[Date Value],"&lt;="&amp;$Z$3))</f>
        <v>0</v>
      </c>
      <c r="P12" s="49">
        <v>0</v>
      </c>
      <c r="Q12" s="49">
        <v>0</v>
      </c>
      <c r="R12" s="49">
        <v>0</v>
      </c>
    </row>
    <row r="13" spans="1:27">
      <c r="A13" t="s">
        <v>71</v>
      </c>
      <c r="B13" s="47">
        <f>SUMIFS(LS[Unit],LS[Investor ID],'TAX CERTIFICATE'!A13,LS[Date Value],"&lt;"&amp;$Z$2)+SUMIFS(SIP[Unit],SIP[Investor ID],'TAX CERTIFICATE'!A13,SIP[Date Value],"&lt;"&amp;$Z$2)</f>
        <v>0</v>
      </c>
      <c r="C13" s="48">
        <f>(SUMIFS(LS[Amount],LS[B/S],"B",LS[Investor ID],A13,LS[Date Value],"&lt;"&amp;$Z$2)-SUMIFS(LS[Cost of Units Sold],LS[B/S],"S",LS[Investor ID],A13,LS[Date Value],"&lt;"&amp;$Z$2))+(SUMIFS(SIP[Amount],SIP[B/S],"B",SIP[Investor ID],#REF!,SIP[Date Value],"&lt;"&amp;$Z$2)-SUMIFS(SIP[Cost of Units Sold],SIP[B/S],"S",SIP[Investor ID],A13,SIP[Date Value],"&lt;"&amp;$Z$2))</f>
        <v>0</v>
      </c>
      <c r="D13" s="49">
        <f t="shared" si="0"/>
        <v>0</v>
      </c>
      <c r="E13" s="49">
        <f t="shared" si="1"/>
        <v>0</v>
      </c>
      <c r="F13" s="47">
        <f>SUMIFS(LS[Unit],LS[Investor ID],A13,LS[Date Value],"&lt;="&amp;$Z$3)+SUMIFS(SIP[Unit],SIP[Investor ID],A13,SIP[Date Value],"&lt;="&amp;$Z$3)</f>
        <v>0</v>
      </c>
      <c r="G13" s="49">
        <f>(SUMIFS(LS[Amount],LS[B/S],"B",LS[Investor ID],A13,LS[Date Value],"&lt;="&amp;$Z$3)-SUMIFS(LS[Cost of Units Sold],LS[B/S],"S",LS[Investor ID],A13,LS[Date Value],"&lt;="&amp;$Z$3))+(SUMIFS(SIP[Amount],SIP[B/S],"B",SIP[Investor ID],A13,SIP[Date Value],"&lt;="&amp;$Z$3)-SUMIFS(SIP[Cost of Units Sold],SIP[B/S],"S",SIP[Investor ID],A13,SIP[Date Value],"&lt;="&amp;$Z$3))</f>
        <v>0</v>
      </c>
      <c r="H13" s="49">
        <f t="shared" si="2"/>
        <v>0</v>
      </c>
      <c r="I13" s="49">
        <f t="shared" si="3"/>
        <v>0</v>
      </c>
      <c r="J13" s="47">
        <f>(SUMIFS(LS[Unit],LS[Investor ID],A13,LS[B/S],"B",LS[Date Value],"&gt;="&amp;$Z$2,LS[Date Value],"&lt;="&amp;$Z$3))+(SUMIFS(SIP[Unit],SIP[Investor ID],A13,SIP[B/S],"B",SIP[Date Value],"&gt;="&amp;$Z$2,SIP[Date Value],"&lt;="&amp;$Z$3))</f>
        <v>0</v>
      </c>
      <c r="K13" s="49">
        <f>(SUMIFS(LS[Amount],LS[Investor ID],A13,LS[B/S],"B",LS[Date Value],"&gt;="&amp;$Z$2,LS[Date Value],"&lt;="&amp;$Z$3))+(SUMIFS(SIP[Amount],SIP[Investor ID],A13,SIP[B/S],"B",SIP[Date Value],"&gt;="&amp;$Z$2,SIP[Date Value],"&lt;="&amp;$Z$3))</f>
        <v>0</v>
      </c>
      <c r="L13" s="47">
        <f>(-SUMIFS(LS[Unit],LS[Investor ID],A13,LS[B/S],"S",LS[Date Value],"&gt;="&amp;$Z$2,LS[Date Value],"&lt;="&amp;$Z$3))+(-SUMIFS(SIP[Unit],SIP[Investor ID],A13,SIP[B/S],"S",SIP[Date Value],"&gt;="&amp;$Z$2,SIP[Date Value],"&lt;="&amp;$Z$3))</f>
        <v>0</v>
      </c>
      <c r="M13" s="49">
        <f>(SUMIFS(LS[Cost of Units Sold],LS[Investor ID],A13,LS[B/S],"S",LS[Date Value],"&gt;="&amp;$Z$2,LS[Date Value],"&lt;="&amp;$Z$3))+(SUMIFS(SIP[Cost of Units Sold],SIP[Investor ID],A13,SIP[B/S],"S",SIP[Date Value],"&gt;="&amp;$Z$2,SIP[Date Value],"&lt;="&amp;$Z$3))</f>
        <v>0</v>
      </c>
      <c r="N13" s="49">
        <f t="shared" si="4"/>
        <v>0</v>
      </c>
      <c r="O13" s="49">
        <f>(SUMIFS(LS[Realized Gain],LS[Investor ID],A13,LS[Date Value],"&gt;="&amp;$Z$2,LS[Date Value],"&lt;="&amp;$Z$3))+(SUMIFS(SIP[Realized Gain],SIP[Investor ID],A13,SIP[Date Value],"&gt;="&amp;$Z$2,SIP[Date Value],"&lt;="&amp;$Z$3))</f>
        <v>0</v>
      </c>
      <c r="P13" s="49">
        <v>0</v>
      </c>
      <c r="Q13" s="49">
        <v>0</v>
      </c>
      <c r="R13" s="49">
        <v>0</v>
      </c>
    </row>
    <row r="14" spans="1:27">
      <c r="A14" t="s">
        <v>73</v>
      </c>
      <c r="B14" s="47">
        <f>SUMIFS(LS[Unit],LS[Investor ID],'TAX CERTIFICATE'!A14,LS[Date Value],"&lt;"&amp;$Z$2)+SUMIFS(SIP[Unit],SIP[Investor ID],'TAX CERTIFICATE'!A14,SIP[Date Value],"&lt;"&amp;$Z$2)</f>
        <v>150000</v>
      </c>
      <c r="C14" s="48">
        <f>(SUMIFS(LS[Amount],LS[B/S],"B",LS[Investor ID],A14,LS[Date Value],"&lt;"&amp;$Z$2)-SUMIFS(LS[Cost of Units Sold],LS[B/S],"S",LS[Investor ID],A14,LS[Date Value],"&lt;"&amp;$Z$2))+(SUMIFS(SIP[Amount],SIP[B/S],"B",SIP[Investor ID],#REF!,SIP[Date Value],"&lt;"&amp;$Z$2)-SUMIFS(SIP[Cost of Units Sold],SIP[B/S],"S",SIP[Investor ID],A14,SIP[Date Value],"&lt;"&amp;$Z$2))</f>
        <v>1500000</v>
      </c>
      <c r="D14" s="49">
        <f t="shared" si="0"/>
        <v>1540650.0000000002</v>
      </c>
      <c r="E14" s="49">
        <f t="shared" si="1"/>
        <v>40650.000000000233</v>
      </c>
      <c r="F14" s="47">
        <f>SUMIFS(LS[Unit],LS[Investor ID],A14,LS[Date Value],"&lt;="&amp;$Z$3)+SUMIFS(SIP[Unit],SIP[Investor ID],A14,SIP[Date Value],"&lt;="&amp;$Z$3)</f>
        <v>381782</v>
      </c>
      <c r="G14" s="49">
        <f>(SUMIFS(LS[Amount],LS[B/S],"B",LS[Investor ID],A14,LS[Date Value],"&lt;="&amp;$Z$3)-SUMIFS(LS[Cost of Units Sold],LS[B/S],"S",LS[Investor ID],A14,LS[Date Value],"&lt;="&amp;$Z$3))+(SUMIFS(SIP[Amount],SIP[B/S],"B",SIP[Investor ID],A14,SIP[Date Value],"&lt;="&amp;$Z$3)-SUMIFS(SIP[Cost of Units Sold],SIP[B/S],"S",SIP[Investor ID],A14,SIP[Date Value],"&lt;="&amp;$Z$3))</f>
        <v>4000000</v>
      </c>
      <c r="H14" s="49">
        <f t="shared" si="2"/>
        <v>4262214.2479999997</v>
      </c>
      <c r="I14" s="49">
        <f t="shared" si="3"/>
        <v>262214.24799999967</v>
      </c>
      <c r="J14" s="47">
        <f>(SUMIFS(LS[Unit],LS[Investor ID],A14,LS[B/S],"B",LS[Date Value],"&gt;="&amp;$Z$2,LS[Date Value],"&lt;="&amp;$Z$3))+(SUMIFS(SIP[Unit],SIP[Investor ID],A14,SIP[B/S],"B",SIP[Date Value],"&gt;="&amp;$Z$2,SIP[Date Value],"&lt;="&amp;$Z$3))</f>
        <v>231782</v>
      </c>
      <c r="K14" s="49">
        <f>(SUMIFS(LS[Amount],LS[Investor ID],A14,LS[B/S],"B",LS[Date Value],"&gt;="&amp;$Z$2,LS[Date Value],"&lt;="&amp;$Z$3))+(SUMIFS(SIP[Amount],SIP[Investor ID],A14,SIP[B/S],"B",SIP[Date Value],"&gt;="&amp;$Z$2,SIP[Date Value],"&lt;="&amp;$Z$3))</f>
        <v>2500000</v>
      </c>
      <c r="L14" s="47">
        <f>(-SUMIFS(LS[Unit],LS[Investor ID],A14,LS[B/S],"S",LS[Date Value],"&gt;="&amp;$Z$2,LS[Date Value],"&lt;="&amp;$Z$3))+(-SUMIFS(SIP[Unit],SIP[Investor ID],A14,SIP[B/S],"S",SIP[Date Value],"&gt;="&amp;$Z$2,SIP[Date Value],"&lt;="&amp;$Z$3))</f>
        <v>0</v>
      </c>
      <c r="M14" s="49">
        <f>(SUMIFS(LS[Cost of Units Sold],LS[Investor ID],A14,LS[B/S],"S",LS[Date Value],"&gt;="&amp;$Z$2,LS[Date Value],"&lt;="&amp;$Z$3))+(SUMIFS(SIP[Cost of Units Sold],SIP[Investor ID],A14,SIP[B/S],"S",SIP[Date Value],"&gt;="&amp;$Z$2,SIP[Date Value],"&lt;="&amp;$Z$3))</f>
        <v>0</v>
      </c>
      <c r="N14" s="49">
        <f t="shared" si="4"/>
        <v>2500000</v>
      </c>
      <c r="O14" s="49">
        <f>(SUMIFS(LS[Realized Gain],LS[Investor ID],A14,LS[Date Value],"&gt;="&amp;$Z$2,LS[Date Value],"&lt;="&amp;$Z$3))+(SUMIFS(SIP[Realized Gain],SIP[Investor ID],A14,SIP[Date Value],"&gt;="&amp;$Z$2,SIP[Date Value],"&lt;="&amp;$Z$3))</f>
        <v>0</v>
      </c>
      <c r="P14" s="49">
        <v>0</v>
      </c>
      <c r="Q14" s="49">
        <v>0</v>
      </c>
      <c r="R14" s="49">
        <v>0</v>
      </c>
    </row>
    <row r="15" spans="1:27">
      <c r="A15" t="s">
        <v>75</v>
      </c>
      <c r="B15" s="47">
        <f>SUMIFS(LS[Unit],LS[Investor ID],'TAX CERTIFICATE'!A15,LS[Date Value],"&lt;"&amp;$Z$2)+SUMIFS(SIP[Unit],SIP[Investor ID],'TAX CERTIFICATE'!A15,SIP[Date Value],"&lt;"&amp;$Z$2)</f>
        <v>0</v>
      </c>
      <c r="C15" s="48">
        <f>(SUMIFS(LS[Amount],LS[B/S],"B",LS[Investor ID],A15,LS[Date Value],"&lt;"&amp;$Z$2)-SUMIFS(LS[Cost of Units Sold],LS[B/S],"S",LS[Investor ID],A15,LS[Date Value],"&lt;"&amp;$Z$2))+(SUMIFS(SIP[Amount],SIP[B/S],"B",SIP[Investor ID],#REF!,SIP[Date Value],"&lt;"&amp;$Z$2)-SUMIFS(SIP[Cost of Units Sold],SIP[B/S],"S",SIP[Investor ID],A15,SIP[Date Value],"&lt;"&amp;$Z$2))</f>
        <v>0</v>
      </c>
      <c r="D15" s="49">
        <f t="shared" si="0"/>
        <v>0</v>
      </c>
      <c r="E15" s="49">
        <f t="shared" si="1"/>
        <v>0</v>
      </c>
      <c r="F15" s="47">
        <f>SUMIFS(LS[Unit],LS[Investor ID],A15,LS[Date Value],"&lt;="&amp;$Z$3)+SUMIFS(SIP[Unit],SIP[Investor ID],A15,SIP[Date Value],"&lt;="&amp;$Z$3)</f>
        <v>0</v>
      </c>
      <c r="G15" s="49">
        <f>(SUMIFS(LS[Amount],LS[B/S],"B",LS[Investor ID],A15,LS[Date Value],"&lt;="&amp;$Z$3)-SUMIFS(LS[Cost of Units Sold],LS[B/S],"S",LS[Investor ID],A15,LS[Date Value],"&lt;="&amp;$Z$3))+(SUMIFS(SIP[Amount],SIP[B/S],"B",SIP[Investor ID],A15,SIP[Date Value],"&lt;="&amp;$Z$3)-SUMIFS(SIP[Cost of Units Sold],SIP[B/S],"S",SIP[Investor ID],A15,SIP[Date Value],"&lt;="&amp;$Z$3))</f>
        <v>0</v>
      </c>
      <c r="H15" s="49">
        <f t="shared" si="2"/>
        <v>0</v>
      </c>
      <c r="I15" s="49">
        <f t="shared" si="3"/>
        <v>0</v>
      </c>
      <c r="J15" s="47">
        <f>(SUMIFS(LS[Unit],LS[Investor ID],A15,LS[B/S],"B",LS[Date Value],"&gt;="&amp;$Z$2,LS[Date Value],"&lt;="&amp;$Z$3))+(SUMIFS(SIP[Unit],SIP[Investor ID],A15,SIP[B/S],"B",SIP[Date Value],"&gt;="&amp;$Z$2,SIP[Date Value],"&lt;="&amp;$Z$3))</f>
        <v>0</v>
      </c>
      <c r="K15" s="49">
        <f>(SUMIFS(LS[Amount],LS[Investor ID],A15,LS[B/S],"B",LS[Date Value],"&gt;="&amp;$Z$2,LS[Date Value],"&lt;="&amp;$Z$3))+(SUMIFS(SIP[Amount],SIP[Investor ID],A15,SIP[B/S],"B",SIP[Date Value],"&gt;="&amp;$Z$2,SIP[Date Value],"&lt;="&amp;$Z$3))</f>
        <v>0</v>
      </c>
      <c r="L15" s="47">
        <f>(-SUMIFS(LS[Unit],LS[Investor ID],A15,LS[B/S],"S",LS[Date Value],"&gt;="&amp;$Z$2,LS[Date Value],"&lt;="&amp;$Z$3))+(-SUMIFS(SIP[Unit],SIP[Investor ID],A15,SIP[B/S],"S",SIP[Date Value],"&gt;="&amp;$Z$2,SIP[Date Value],"&lt;="&amp;$Z$3))</f>
        <v>0</v>
      </c>
      <c r="M15" s="49">
        <f>(SUMIFS(LS[Cost of Units Sold],LS[Investor ID],A15,LS[B/S],"S",LS[Date Value],"&gt;="&amp;$Z$2,LS[Date Value],"&lt;="&amp;$Z$3))+(SUMIFS(SIP[Cost of Units Sold],SIP[Investor ID],A15,SIP[B/S],"S",SIP[Date Value],"&gt;="&amp;$Z$2,SIP[Date Value],"&lt;="&amp;$Z$3))</f>
        <v>0</v>
      </c>
      <c r="N15" s="49">
        <f t="shared" si="4"/>
        <v>0</v>
      </c>
      <c r="O15" s="49">
        <f>(SUMIFS(LS[Realized Gain],LS[Investor ID],A15,LS[Date Value],"&gt;="&amp;$Z$2,LS[Date Value],"&lt;="&amp;$Z$3))+(SUMIFS(SIP[Realized Gain],SIP[Investor ID],A15,SIP[Date Value],"&gt;="&amp;$Z$2,SIP[Date Value],"&lt;="&amp;$Z$3))</f>
        <v>0</v>
      </c>
      <c r="P15" s="49">
        <v>0</v>
      </c>
      <c r="Q15" s="49">
        <v>0</v>
      </c>
      <c r="R15" s="49">
        <v>0</v>
      </c>
    </row>
    <row r="16" spans="1:27">
      <c r="A16" t="s">
        <v>77</v>
      </c>
      <c r="B16" s="47">
        <f>SUMIFS(LS[Unit],LS[Investor ID],'TAX CERTIFICATE'!A16,LS[Date Value],"&lt;"&amp;$Z$2)+SUMIFS(SIP[Unit],SIP[Investor ID],'TAX CERTIFICATE'!A16,SIP[Date Value],"&lt;"&amp;$Z$2)</f>
        <v>0</v>
      </c>
      <c r="C16" s="48">
        <f>(SUMIFS(LS[Amount],LS[B/S],"B",LS[Investor ID],A16,LS[Date Value],"&lt;"&amp;$Z$2)-SUMIFS(LS[Cost of Units Sold],LS[B/S],"S",LS[Investor ID],A16,LS[Date Value],"&lt;"&amp;$Z$2))+(SUMIFS(SIP[Amount],SIP[B/S],"B",SIP[Investor ID],#REF!,SIP[Date Value],"&lt;"&amp;$Z$2)-SUMIFS(SIP[Cost of Units Sold],SIP[B/S],"S",SIP[Investor ID],A16,SIP[Date Value],"&lt;"&amp;$Z$2))</f>
        <v>0</v>
      </c>
      <c r="D16" s="49">
        <f t="shared" si="0"/>
        <v>0</v>
      </c>
      <c r="E16" s="49">
        <f t="shared" si="1"/>
        <v>0</v>
      </c>
      <c r="F16" s="47">
        <f>SUMIFS(LS[Unit],LS[Investor ID],A16,LS[Date Value],"&lt;="&amp;$Z$3)+SUMIFS(SIP[Unit],SIP[Investor ID],A16,SIP[Date Value],"&lt;="&amp;$Z$3)</f>
        <v>0</v>
      </c>
      <c r="G16" s="49">
        <f>(SUMIFS(LS[Amount],LS[B/S],"B",LS[Investor ID],A16,LS[Date Value],"&lt;="&amp;$Z$3)-SUMIFS(LS[Cost of Units Sold],LS[B/S],"S",LS[Investor ID],A16,LS[Date Value],"&lt;="&amp;$Z$3))+(SUMIFS(SIP[Amount],SIP[B/S],"B",SIP[Investor ID],A16,SIP[Date Value],"&lt;="&amp;$Z$3)-SUMIFS(SIP[Cost of Units Sold],SIP[B/S],"S",SIP[Investor ID],A16,SIP[Date Value],"&lt;="&amp;$Z$3))</f>
        <v>0</v>
      </c>
      <c r="H16" s="49">
        <f t="shared" si="2"/>
        <v>0</v>
      </c>
      <c r="I16" s="49">
        <f t="shared" si="3"/>
        <v>0</v>
      </c>
      <c r="J16" s="47">
        <f>(SUMIFS(LS[Unit],LS[Investor ID],A16,LS[B/S],"B",LS[Date Value],"&gt;="&amp;$Z$2,LS[Date Value],"&lt;="&amp;$Z$3))+(SUMIFS(SIP[Unit],SIP[Investor ID],A16,SIP[B/S],"B",SIP[Date Value],"&gt;="&amp;$Z$2,SIP[Date Value],"&lt;="&amp;$Z$3))</f>
        <v>0</v>
      </c>
      <c r="K16" s="49">
        <f>(SUMIFS(LS[Amount],LS[Investor ID],A16,LS[B/S],"B",LS[Date Value],"&gt;="&amp;$Z$2,LS[Date Value],"&lt;="&amp;$Z$3))+(SUMIFS(SIP[Amount],SIP[Investor ID],A16,SIP[B/S],"B",SIP[Date Value],"&gt;="&amp;$Z$2,SIP[Date Value],"&lt;="&amp;$Z$3))</f>
        <v>0</v>
      </c>
      <c r="L16" s="47">
        <f>(-SUMIFS(LS[Unit],LS[Investor ID],A16,LS[B/S],"S",LS[Date Value],"&gt;="&amp;$Z$2,LS[Date Value],"&lt;="&amp;$Z$3))+(-SUMIFS(SIP[Unit],SIP[Investor ID],A16,SIP[B/S],"S",SIP[Date Value],"&gt;="&amp;$Z$2,SIP[Date Value],"&lt;="&amp;$Z$3))</f>
        <v>0</v>
      </c>
      <c r="M16" s="49">
        <f>(SUMIFS(LS[Cost of Units Sold],LS[Investor ID],A16,LS[B/S],"S",LS[Date Value],"&gt;="&amp;$Z$2,LS[Date Value],"&lt;="&amp;$Z$3))+(SUMIFS(SIP[Cost of Units Sold],SIP[Investor ID],A16,SIP[B/S],"S",SIP[Date Value],"&gt;="&amp;$Z$2,SIP[Date Value],"&lt;="&amp;$Z$3))</f>
        <v>0</v>
      </c>
      <c r="N16" s="49">
        <f t="shared" si="4"/>
        <v>0</v>
      </c>
      <c r="O16" s="49">
        <f>(SUMIFS(LS[Realized Gain],LS[Investor ID],A16,LS[Date Value],"&gt;="&amp;$Z$2,LS[Date Value],"&lt;="&amp;$Z$3))+(SUMIFS(SIP[Realized Gain],SIP[Investor ID],A16,SIP[Date Value],"&gt;="&amp;$Z$2,SIP[Date Value],"&lt;="&amp;$Z$3))</f>
        <v>0</v>
      </c>
      <c r="P16" s="49">
        <v>0</v>
      </c>
      <c r="Q16" s="49">
        <v>0</v>
      </c>
      <c r="R16" s="49">
        <v>0</v>
      </c>
    </row>
    <row r="17" spans="1:18">
      <c r="A17" t="s">
        <v>79</v>
      </c>
      <c r="B17" s="47">
        <f>SUMIFS(LS[Unit],LS[Investor ID],'TAX CERTIFICATE'!A17,LS[Date Value],"&lt;"&amp;$Z$2)+SUMIFS(SIP[Unit],SIP[Investor ID],'TAX CERTIFICATE'!A17,SIP[Date Value],"&lt;"&amp;$Z$2)</f>
        <v>0</v>
      </c>
      <c r="C17" s="48">
        <f>(SUMIFS(LS[Amount],LS[B/S],"B",LS[Investor ID],A17,LS[Date Value],"&lt;"&amp;$Z$2)-SUMIFS(LS[Cost of Units Sold],LS[B/S],"S",LS[Investor ID],A17,LS[Date Value],"&lt;"&amp;$Z$2))+(SUMIFS(SIP[Amount],SIP[B/S],"B",SIP[Investor ID],#REF!,SIP[Date Value],"&lt;"&amp;$Z$2)-SUMIFS(SIP[Cost of Units Sold],SIP[B/S],"S",SIP[Investor ID],A17,SIP[Date Value],"&lt;"&amp;$Z$2))</f>
        <v>0</v>
      </c>
      <c r="D17" s="49">
        <f t="shared" si="0"/>
        <v>0</v>
      </c>
      <c r="E17" s="49">
        <f t="shared" si="1"/>
        <v>0</v>
      </c>
      <c r="F17" s="47">
        <f>SUMIFS(LS[Unit],LS[Investor ID],A17,LS[Date Value],"&lt;="&amp;$Z$3)+SUMIFS(SIP[Unit],SIP[Investor ID],A17,SIP[Date Value],"&lt;="&amp;$Z$3)</f>
        <v>0</v>
      </c>
      <c r="G17" s="49">
        <f>(SUMIFS(LS[Amount],LS[B/S],"B",LS[Investor ID],A17,LS[Date Value],"&lt;="&amp;$Z$3)-SUMIFS(LS[Cost of Units Sold],LS[B/S],"S",LS[Investor ID],A17,LS[Date Value],"&lt;="&amp;$Z$3))+(SUMIFS(SIP[Amount],SIP[B/S],"B",SIP[Investor ID],A17,SIP[Date Value],"&lt;="&amp;$Z$3)-SUMIFS(SIP[Cost of Units Sold],SIP[B/S],"S",SIP[Investor ID],A17,SIP[Date Value],"&lt;="&amp;$Z$3))</f>
        <v>0</v>
      </c>
      <c r="H17" s="49">
        <f t="shared" si="2"/>
        <v>0</v>
      </c>
      <c r="I17" s="49">
        <f t="shared" si="3"/>
        <v>0</v>
      </c>
      <c r="J17" s="47">
        <f>(SUMIFS(LS[Unit],LS[Investor ID],A17,LS[B/S],"B",LS[Date Value],"&gt;="&amp;$Z$2,LS[Date Value],"&lt;="&amp;$Z$3))+(SUMIFS(SIP[Unit],SIP[Investor ID],A17,SIP[B/S],"B",SIP[Date Value],"&gt;="&amp;$Z$2,SIP[Date Value],"&lt;="&amp;$Z$3))</f>
        <v>0</v>
      </c>
      <c r="K17" s="49">
        <f>(SUMIFS(LS[Amount],LS[Investor ID],A17,LS[B/S],"B",LS[Date Value],"&gt;="&amp;$Z$2,LS[Date Value],"&lt;="&amp;$Z$3))+(SUMIFS(SIP[Amount],SIP[Investor ID],A17,SIP[B/S],"B",SIP[Date Value],"&gt;="&amp;$Z$2,SIP[Date Value],"&lt;="&amp;$Z$3))</f>
        <v>0</v>
      </c>
      <c r="L17" s="47">
        <f>(-SUMIFS(LS[Unit],LS[Investor ID],A17,LS[B/S],"S",LS[Date Value],"&gt;="&amp;$Z$2,LS[Date Value],"&lt;="&amp;$Z$3))+(-SUMIFS(SIP[Unit],SIP[Investor ID],A17,SIP[B/S],"S",SIP[Date Value],"&gt;="&amp;$Z$2,SIP[Date Value],"&lt;="&amp;$Z$3))</f>
        <v>0</v>
      </c>
      <c r="M17" s="49">
        <f>(SUMIFS(LS[Cost of Units Sold],LS[Investor ID],A17,LS[B/S],"S",LS[Date Value],"&gt;="&amp;$Z$2,LS[Date Value],"&lt;="&amp;$Z$3))+(SUMIFS(SIP[Cost of Units Sold],SIP[Investor ID],A17,SIP[B/S],"S",SIP[Date Value],"&gt;="&amp;$Z$2,SIP[Date Value],"&lt;="&amp;$Z$3))</f>
        <v>0</v>
      </c>
      <c r="N17" s="49">
        <f t="shared" si="4"/>
        <v>0</v>
      </c>
      <c r="O17" s="49">
        <f>(SUMIFS(LS[Realized Gain],LS[Investor ID],A17,LS[Date Value],"&gt;="&amp;$Z$2,LS[Date Value],"&lt;="&amp;$Z$3))+(SUMIFS(SIP[Realized Gain],SIP[Investor ID],A17,SIP[Date Value],"&gt;="&amp;$Z$2,SIP[Date Value],"&lt;="&amp;$Z$3))</f>
        <v>0</v>
      </c>
      <c r="P17" s="49">
        <v>0</v>
      </c>
      <c r="Q17" s="49">
        <v>0</v>
      </c>
      <c r="R17" s="49">
        <v>0</v>
      </c>
    </row>
    <row r="18" spans="1:18">
      <c r="A18" t="s">
        <v>82</v>
      </c>
      <c r="B18" s="47">
        <f>SUMIFS(LS[Unit],LS[Investor ID],'TAX CERTIFICATE'!A18,LS[Date Value],"&lt;"&amp;$Z$2)+SUMIFS(SIP[Unit],SIP[Investor ID],'TAX CERTIFICATE'!A18,SIP[Date Value],"&lt;"&amp;$Z$2)</f>
        <v>80000</v>
      </c>
      <c r="C18" s="48">
        <f>(SUMIFS(LS[Amount],LS[B/S],"B",LS[Investor ID],A18,LS[Date Value],"&lt;"&amp;$Z$2)-SUMIFS(LS[Cost of Units Sold],LS[B/S],"S",LS[Investor ID],A18,LS[Date Value],"&lt;"&amp;$Z$2))+(SUMIFS(SIP[Amount],SIP[B/S],"B",SIP[Investor ID],#REF!,SIP[Date Value],"&lt;"&amp;$Z$2)-SUMIFS(SIP[Cost of Units Sold],SIP[B/S],"S",SIP[Investor ID],A18,SIP[Date Value],"&lt;"&amp;$Z$2))</f>
        <v>800000</v>
      </c>
      <c r="D18" s="49">
        <f t="shared" si="0"/>
        <v>821680.00000000012</v>
      </c>
      <c r="E18" s="49">
        <f t="shared" si="1"/>
        <v>21680.000000000116</v>
      </c>
      <c r="F18" s="47">
        <f>SUMIFS(LS[Unit],LS[Investor ID],A18,LS[Date Value],"&lt;="&amp;$Z$3)+SUMIFS(SIP[Unit],SIP[Investor ID],A18,SIP[Date Value],"&lt;="&amp;$Z$3)</f>
        <v>80000</v>
      </c>
      <c r="G18" s="49">
        <f>(SUMIFS(LS[Amount],LS[B/S],"B",LS[Investor ID],A18,LS[Date Value],"&lt;="&amp;$Z$3)-SUMIFS(LS[Cost of Units Sold],LS[B/S],"S",LS[Investor ID],A18,LS[Date Value],"&lt;="&amp;$Z$3))+(SUMIFS(SIP[Amount],SIP[B/S],"B",SIP[Investor ID],A18,SIP[Date Value],"&lt;="&amp;$Z$3)-SUMIFS(SIP[Cost of Units Sold],SIP[B/S],"S",SIP[Investor ID],A18,SIP[Date Value],"&lt;="&amp;$Z$3))</f>
        <v>800000</v>
      </c>
      <c r="H18" s="49">
        <f t="shared" si="2"/>
        <v>893120</v>
      </c>
      <c r="I18" s="49">
        <f t="shared" si="3"/>
        <v>93120</v>
      </c>
      <c r="J18" s="47">
        <f>(SUMIFS(LS[Unit],LS[Investor ID],A18,LS[B/S],"B",LS[Date Value],"&gt;="&amp;$Z$2,LS[Date Value],"&lt;="&amp;$Z$3))+(SUMIFS(SIP[Unit],SIP[Investor ID],A18,SIP[B/S],"B",SIP[Date Value],"&gt;="&amp;$Z$2,SIP[Date Value],"&lt;="&amp;$Z$3))</f>
        <v>0</v>
      </c>
      <c r="K18" s="49">
        <f>(SUMIFS(LS[Amount],LS[Investor ID],A18,LS[B/S],"B",LS[Date Value],"&gt;="&amp;$Z$2,LS[Date Value],"&lt;="&amp;$Z$3))+(SUMIFS(SIP[Amount],SIP[Investor ID],A18,SIP[B/S],"B",SIP[Date Value],"&gt;="&amp;$Z$2,SIP[Date Value],"&lt;="&amp;$Z$3))</f>
        <v>0</v>
      </c>
      <c r="L18" s="47">
        <f>(-SUMIFS(LS[Unit],LS[Investor ID],A18,LS[B/S],"S",LS[Date Value],"&gt;="&amp;$Z$2,LS[Date Value],"&lt;="&amp;$Z$3))+(-SUMIFS(SIP[Unit],SIP[Investor ID],A18,SIP[B/S],"S",SIP[Date Value],"&gt;="&amp;$Z$2,SIP[Date Value],"&lt;="&amp;$Z$3))</f>
        <v>0</v>
      </c>
      <c r="M18" s="49">
        <f>(SUMIFS(LS[Cost of Units Sold],LS[Investor ID],A18,LS[B/S],"S",LS[Date Value],"&gt;="&amp;$Z$2,LS[Date Value],"&lt;="&amp;$Z$3))+(SUMIFS(SIP[Cost of Units Sold],SIP[Investor ID],A18,SIP[B/S],"S",SIP[Date Value],"&gt;="&amp;$Z$2,SIP[Date Value],"&lt;="&amp;$Z$3))</f>
        <v>0</v>
      </c>
      <c r="N18" s="49">
        <f t="shared" si="4"/>
        <v>0</v>
      </c>
      <c r="O18" s="49">
        <f>(SUMIFS(LS[Realized Gain],LS[Investor ID],A18,LS[Date Value],"&gt;="&amp;$Z$2,LS[Date Value],"&lt;="&amp;$Z$3))+(SUMIFS(SIP[Realized Gain],SIP[Investor ID],A18,SIP[Date Value],"&gt;="&amp;$Z$2,SIP[Date Value],"&lt;="&amp;$Z$3))</f>
        <v>0</v>
      </c>
      <c r="P18" s="49">
        <v>0</v>
      </c>
      <c r="Q18" s="49">
        <v>0</v>
      </c>
      <c r="R18" s="49">
        <v>0</v>
      </c>
    </row>
    <row r="19" spans="1:18">
      <c r="A19" t="s">
        <v>84</v>
      </c>
      <c r="B19" s="47">
        <f>SUMIFS(LS[Unit],LS[Investor ID],'TAX CERTIFICATE'!A19,LS[Date Value],"&lt;"&amp;$Z$2)+SUMIFS(SIP[Unit],SIP[Investor ID],'TAX CERTIFICATE'!A19,SIP[Date Value],"&lt;"&amp;$Z$2)</f>
        <v>100000</v>
      </c>
      <c r="C19" s="48">
        <f>(SUMIFS(LS[Amount],LS[B/S],"B",LS[Investor ID],A19,LS[Date Value],"&lt;"&amp;$Z$2)-SUMIFS(LS[Cost of Units Sold],LS[B/S],"S",LS[Investor ID],A19,LS[Date Value],"&lt;"&amp;$Z$2))+(SUMIFS(SIP[Amount],SIP[B/S],"B",SIP[Investor ID],#REF!,SIP[Date Value],"&lt;"&amp;$Z$2)-SUMIFS(SIP[Cost of Units Sold],SIP[B/S],"S",SIP[Investor ID],A19,SIP[Date Value],"&lt;"&amp;$Z$2))</f>
        <v>1000000</v>
      </c>
      <c r="D19" s="49">
        <f t="shared" si="0"/>
        <v>1027100.0000000001</v>
      </c>
      <c r="E19" s="49">
        <f t="shared" si="1"/>
        <v>27100.000000000116</v>
      </c>
      <c r="F19" s="47">
        <f>SUMIFS(LS[Unit],LS[Investor ID],A19,LS[Date Value],"&lt;="&amp;$Z$3)+SUMIFS(SIP[Unit],SIP[Investor ID],A19,SIP[Date Value],"&lt;="&amp;$Z$3)</f>
        <v>171839</v>
      </c>
      <c r="G19" s="49">
        <f>(SUMIFS(LS[Amount],LS[B/S],"B",LS[Investor ID],A19,LS[Date Value],"&lt;="&amp;$Z$3)-SUMIFS(LS[Cost of Units Sold],LS[B/S],"S",LS[Investor ID],A19,LS[Date Value],"&lt;="&amp;$Z$3))+(SUMIFS(SIP[Amount],SIP[B/S],"B",SIP[Investor ID],A19,SIP[Date Value],"&lt;="&amp;$Z$3)-SUMIFS(SIP[Cost of Units Sold],SIP[B/S],"S",SIP[Investor ID],A19,SIP[Date Value],"&lt;="&amp;$Z$3))</f>
        <v>1800000</v>
      </c>
      <c r="H19" s="49">
        <f t="shared" si="2"/>
        <v>1918410.5959999999</v>
      </c>
      <c r="I19" s="49">
        <f t="shared" si="3"/>
        <v>118410.5959999999</v>
      </c>
      <c r="J19" s="47">
        <f>(SUMIFS(LS[Unit],LS[Investor ID],A19,LS[B/S],"B",LS[Date Value],"&gt;="&amp;$Z$2,LS[Date Value],"&lt;="&amp;$Z$3))+(SUMIFS(SIP[Unit],SIP[Investor ID],A19,SIP[B/S],"B",SIP[Date Value],"&gt;="&amp;$Z$2,SIP[Date Value],"&lt;="&amp;$Z$3))</f>
        <v>71839</v>
      </c>
      <c r="K19" s="49">
        <f>(SUMIFS(LS[Amount],LS[Investor ID],A19,LS[B/S],"B",LS[Date Value],"&gt;="&amp;$Z$2,LS[Date Value],"&lt;="&amp;$Z$3))+(SUMIFS(SIP[Amount],SIP[Investor ID],A19,SIP[B/S],"B",SIP[Date Value],"&gt;="&amp;$Z$2,SIP[Date Value],"&lt;="&amp;$Z$3))</f>
        <v>800000</v>
      </c>
      <c r="L19" s="47">
        <f>(-SUMIFS(LS[Unit],LS[Investor ID],A19,LS[B/S],"S",LS[Date Value],"&gt;="&amp;$Z$2,LS[Date Value],"&lt;="&amp;$Z$3))+(-SUMIFS(SIP[Unit],SIP[Investor ID],A19,SIP[B/S],"S",SIP[Date Value],"&gt;="&amp;$Z$2,SIP[Date Value],"&lt;="&amp;$Z$3))</f>
        <v>0</v>
      </c>
      <c r="M19" s="49">
        <f>(SUMIFS(LS[Cost of Units Sold],LS[Investor ID],A19,LS[B/S],"S",LS[Date Value],"&gt;="&amp;$Z$2,LS[Date Value],"&lt;="&amp;$Z$3))+(SUMIFS(SIP[Cost of Units Sold],SIP[Investor ID],A19,SIP[B/S],"S",SIP[Date Value],"&gt;="&amp;$Z$2,SIP[Date Value],"&lt;="&amp;$Z$3))</f>
        <v>0</v>
      </c>
      <c r="N19" s="49">
        <f t="shared" si="4"/>
        <v>800000</v>
      </c>
      <c r="O19" s="49">
        <f>(SUMIFS(LS[Realized Gain],LS[Investor ID],A19,LS[Date Value],"&gt;="&amp;$Z$2,LS[Date Value],"&lt;="&amp;$Z$3))+(SUMIFS(SIP[Realized Gain],SIP[Investor ID],A19,SIP[Date Value],"&gt;="&amp;$Z$2,SIP[Date Value],"&lt;="&amp;$Z$3))</f>
        <v>0</v>
      </c>
      <c r="P19" s="49">
        <v>0</v>
      </c>
      <c r="Q19" s="49">
        <v>0</v>
      </c>
      <c r="R19" s="49">
        <v>0</v>
      </c>
    </row>
    <row r="20" spans="1:18">
      <c r="A20" t="s">
        <v>86</v>
      </c>
      <c r="B20" s="47">
        <f>SUMIFS(LS[Unit],LS[Investor ID],'TAX CERTIFICATE'!A20,LS[Date Value],"&lt;"&amp;$Z$2)+SUMIFS(SIP[Unit],SIP[Investor ID],'TAX CERTIFICATE'!A20,SIP[Date Value],"&lt;"&amp;$Z$2)</f>
        <v>0</v>
      </c>
      <c r="C20" s="48">
        <f>(SUMIFS(LS[Amount],LS[B/S],"B",LS[Investor ID],A20,LS[Date Value],"&lt;"&amp;$Z$2)-SUMIFS(LS[Cost of Units Sold],LS[B/S],"S",LS[Investor ID],A20,LS[Date Value],"&lt;"&amp;$Z$2))+(SUMIFS(SIP[Amount],SIP[B/S],"B",SIP[Investor ID],#REF!,SIP[Date Value],"&lt;"&amp;$Z$2)-SUMIFS(SIP[Cost of Units Sold],SIP[B/S],"S",SIP[Investor ID],A20,SIP[Date Value],"&lt;"&amp;$Z$2))</f>
        <v>0</v>
      </c>
      <c r="D20" s="49">
        <f t="shared" si="0"/>
        <v>0</v>
      </c>
      <c r="E20" s="49">
        <f t="shared" si="1"/>
        <v>0</v>
      </c>
      <c r="F20" s="47">
        <f>SUMIFS(LS[Unit],LS[Investor ID],A20,LS[Date Value],"&lt;="&amp;$Z$3)+SUMIFS(SIP[Unit],SIP[Investor ID],A20,SIP[Date Value],"&lt;="&amp;$Z$3)</f>
        <v>0</v>
      </c>
      <c r="G20" s="49">
        <f>(SUMIFS(LS[Amount],LS[B/S],"B",LS[Investor ID],A20,LS[Date Value],"&lt;="&amp;$Z$3)-SUMIFS(LS[Cost of Units Sold],LS[B/S],"S",LS[Investor ID],A20,LS[Date Value],"&lt;="&amp;$Z$3))+(SUMIFS(SIP[Amount],SIP[B/S],"B",SIP[Investor ID],A20,SIP[Date Value],"&lt;="&amp;$Z$3)-SUMIFS(SIP[Cost of Units Sold],SIP[B/S],"S",SIP[Investor ID],A20,SIP[Date Value],"&lt;="&amp;$Z$3))</f>
        <v>0</v>
      </c>
      <c r="H20" s="49">
        <f t="shared" si="2"/>
        <v>0</v>
      </c>
      <c r="I20" s="49">
        <f t="shared" si="3"/>
        <v>0</v>
      </c>
      <c r="J20" s="47">
        <f>(SUMIFS(LS[Unit],LS[Investor ID],A20,LS[B/S],"B",LS[Date Value],"&gt;="&amp;$Z$2,LS[Date Value],"&lt;="&amp;$Z$3))+(SUMIFS(SIP[Unit],SIP[Investor ID],A20,SIP[B/S],"B",SIP[Date Value],"&gt;="&amp;$Z$2,SIP[Date Value],"&lt;="&amp;$Z$3))</f>
        <v>0</v>
      </c>
      <c r="K20" s="49">
        <f>(SUMIFS(LS[Amount],LS[Investor ID],A20,LS[B/S],"B",LS[Date Value],"&gt;="&amp;$Z$2,LS[Date Value],"&lt;="&amp;$Z$3))+(SUMIFS(SIP[Amount],SIP[Investor ID],A20,SIP[B/S],"B",SIP[Date Value],"&gt;="&amp;$Z$2,SIP[Date Value],"&lt;="&amp;$Z$3))</f>
        <v>0</v>
      </c>
      <c r="L20" s="47">
        <f>(-SUMIFS(LS[Unit],LS[Investor ID],A20,LS[B/S],"S",LS[Date Value],"&gt;="&amp;$Z$2,LS[Date Value],"&lt;="&amp;$Z$3))+(-SUMIFS(SIP[Unit],SIP[Investor ID],A20,SIP[B/S],"S",SIP[Date Value],"&gt;="&amp;$Z$2,SIP[Date Value],"&lt;="&amp;$Z$3))</f>
        <v>0</v>
      </c>
      <c r="M20" s="49">
        <f>(SUMIFS(LS[Cost of Units Sold],LS[Investor ID],A20,LS[B/S],"S",LS[Date Value],"&gt;="&amp;$Z$2,LS[Date Value],"&lt;="&amp;$Z$3))+(SUMIFS(SIP[Cost of Units Sold],SIP[Investor ID],A20,SIP[B/S],"S",SIP[Date Value],"&gt;="&amp;$Z$2,SIP[Date Value],"&lt;="&amp;$Z$3))</f>
        <v>0</v>
      </c>
      <c r="N20" s="49">
        <f t="shared" si="4"/>
        <v>0</v>
      </c>
      <c r="O20" s="49">
        <f>(SUMIFS(LS[Realized Gain],LS[Investor ID],A20,LS[Date Value],"&gt;="&amp;$Z$2,LS[Date Value],"&lt;="&amp;$Z$3))+(SUMIFS(SIP[Realized Gain],SIP[Investor ID],A20,SIP[Date Value],"&gt;="&amp;$Z$2,SIP[Date Value],"&lt;="&amp;$Z$3))</f>
        <v>0</v>
      </c>
      <c r="P20" s="49">
        <v>0</v>
      </c>
      <c r="Q20" s="49">
        <v>0</v>
      </c>
      <c r="R20" s="49">
        <v>0</v>
      </c>
    </row>
    <row r="21" spans="1:18">
      <c r="A21" t="s">
        <v>88</v>
      </c>
      <c r="B21" s="47">
        <f>SUMIFS(LS[Unit],LS[Investor ID],'TAX CERTIFICATE'!A21,LS[Date Value],"&lt;"&amp;$Z$2)+SUMIFS(SIP[Unit],SIP[Investor ID],'TAX CERTIFICATE'!A21,SIP[Date Value],"&lt;"&amp;$Z$2)</f>
        <v>0</v>
      </c>
      <c r="C21" s="48">
        <f>(SUMIFS(LS[Amount],LS[B/S],"B",LS[Investor ID],A21,LS[Date Value],"&lt;"&amp;$Z$2)-SUMIFS(LS[Cost of Units Sold],LS[B/S],"S",LS[Investor ID],A21,LS[Date Value],"&lt;"&amp;$Z$2))+(SUMIFS(SIP[Amount],SIP[B/S],"B",SIP[Investor ID],#REF!,SIP[Date Value],"&lt;"&amp;$Z$2)-SUMIFS(SIP[Cost of Units Sold],SIP[B/S],"S",SIP[Investor ID],A21,SIP[Date Value],"&lt;"&amp;$Z$2))</f>
        <v>0</v>
      </c>
      <c r="D21" s="49">
        <f t="shared" si="0"/>
        <v>0</v>
      </c>
      <c r="E21" s="49">
        <f t="shared" si="1"/>
        <v>0</v>
      </c>
      <c r="F21" s="47">
        <f>SUMIFS(LS[Unit],LS[Investor ID],A21,LS[Date Value],"&lt;="&amp;$Z$3)+SUMIFS(SIP[Unit],SIP[Investor ID],A21,SIP[Date Value],"&lt;="&amp;$Z$3)</f>
        <v>0</v>
      </c>
      <c r="G21" s="49">
        <f>(SUMIFS(LS[Amount],LS[B/S],"B",LS[Investor ID],A21,LS[Date Value],"&lt;="&amp;$Z$3)-SUMIFS(LS[Cost of Units Sold],LS[B/S],"S",LS[Investor ID],A21,LS[Date Value],"&lt;="&amp;$Z$3))+(SUMIFS(SIP[Amount],SIP[B/S],"B",SIP[Investor ID],A21,SIP[Date Value],"&lt;="&amp;$Z$3)-SUMIFS(SIP[Cost of Units Sold],SIP[B/S],"S",SIP[Investor ID],A21,SIP[Date Value],"&lt;="&amp;$Z$3))</f>
        <v>0</v>
      </c>
      <c r="H21" s="49">
        <f t="shared" si="2"/>
        <v>0</v>
      </c>
      <c r="I21" s="49">
        <f t="shared" si="3"/>
        <v>0</v>
      </c>
      <c r="J21" s="47">
        <f>(SUMIFS(LS[Unit],LS[Investor ID],A21,LS[B/S],"B",LS[Date Value],"&gt;="&amp;$Z$2,LS[Date Value],"&lt;="&amp;$Z$3))+(SUMIFS(SIP[Unit],SIP[Investor ID],A21,SIP[B/S],"B",SIP[Date Value],"&gt;="&amp;$Z$2,SIP[Date Value],"&lt;="&amp;$Z$3))</f>
        <v>0</v>
      </c>
      <c r="K21" s="49">
        <f>(SUMIFS(LS[Amount],LS[Investor ID],A21,LS[B/S],"B",LS[Date Value],"&gt;="&amp;$Z$2,LS[Date Value],"&lt;="&amp;$Z$3))+(SUMIFS(SIP[Amount],SIP[Investor ID],A21,SIP[B/S],"B",SIP[Date Value],"&gt;="&amp;$Z$2,SIP[Date Value],"&lt;="&amp;$Z$3))</f>
        <v>0</v>
      </c>
      <c r="L21" s="47">
        <f>(-SUMIFS(LS[Unit],LS[Investor ID],A21,LS[B/S],"S",LS[Date Value],"&gt;="&amp;$Z$2,LS[Date Value],"&lt;="&amp;$Z$3))+(-SUMIFS(SIP[Unit],SIP[Investor ID],A21,SIP[B/S],"S",SIP[Date Value],"&gt;="&amp;$Z$2,SIP[Date Value],"&lt;="&amp;$Z$3))</f>
        <v>0</v>
      </c>
      <c r="M21" s="49">
        <f>(SUMIFS(LS[Cost of Units Sold],LS[Investor ID],A21,LS[B/S],"S",LS[Date Value],"&gt;="&amp;$Z$2,LS[Date Value],"&lt;="&amp;$Z$3))+(SUMIFS(SIP[Cost of Units Sold],SIP[Investor ID],A21,SIP[B/S],"S",SIP[Date Value],"&gt;="&amp;$Z$2,SIP[Date Value],"&lt;="&amp;$Z$3))</f>
        <v>0</v>
      </c>
      <c r="N21" s="49">
        <f t="shared" si="4"/>
        <v>0</v>
      </c>
      <c r="O21" s="49">
        <f>(SUMIFS(LS[Realized Gain],LS[Investor ID],A21,LS[Date Value],"&gt;="&amp;$Z$2,LS[Date Value],"&lt;="&amp;$Z$3))+(SUMIFS(SIP[Realized Gain],SIP[Investor ID],A21,SIP[Date Value],"&gt;="&amp;$Z$2,SIP[Date Value],"&lt;="&amp;$Z$3))</f>
        <v>0</v>
      </c>
      <c r="P21" s="49">
        <v>0</v>
      </c>
      <c r="Q21" s="49">
        <v>0</v>
      </c>
      <c r="R21" s="49">
        <v>0</v>
      </c>
    </row>
    <row r="22" spans="1:18">
      <c r="A22" t="s">
        <v>90</v>
      </c>
      <c r="B22" s="47">
        <f>SUMIFS(LS[Unit],LS[Investor ID],'TAX CERTIFICATE'!A22,LS[Date Value],"&lt;"&amp;$Z$2)+SUMIFS(SIP[Unit],SIP[Investor ID],'TAX CERTIFICATE'!A22,SIP[Date Value],"&lt;"&amp;$Z$2)</f>
        <v>85000</v>
      </c>
      <c r="C22" s="48">
        <f>(SUMIFS(LS[Amount],LS[B/S],"B",LS[Investor ID],A22,LS[Date Value],"&lt;"&amp;$Z$2)-SUMIFS(LS[Cost of Units Sold],LS[B/S],"S",LS[Investor ID],A22,LS[Date Value],"&lt;"&amp;$Z$2))+(SUMIFS(SIP[Amount],SIP[B/S],"B",SIP[Investor ID],#REF!,SIP[Date Value],"&lt;"&amp;$Z$2)-SUMIFS(SIP[Cost of Units Sold],SIP[B/S],"S",SIP[Investor ID],A22,SIP[Date Value],"&lt;"&amp;$Z$2))</f>
        <v>850000</v>
      </c>
      <c r="D22" s="49">
        <f t="shared" si="0"/>
        <v>873035.00000000012</v>
      </c>
      <c r="E22" s="49">
        <f t="shared" si="1"/>
        <v>23035.000000000116</v>
      </c>
      <c r="F22" s="47">
        <f>SUMIFS(LS[Unit],LS[Investor ID],A22,LS[Date Value],"&lt;="&amp;$Z$3)+SUMIFS(SIP[Unit],SIP[Investor ID],A22,SIP[Date Value],"&lt;="&amp;$Z$3)</f>
        <v>0</v>
      </c>
      <c r="G22" s="49">
        <f>(SUMIFS(LS[Amount],LS[B/S],"B",LS[Investor ID],A22,LS[Date Value],"&lt;="&amp;$Z$3)-SUMIFS(LS[Cost of Units Sold],LS[B/S],"S",LS[Investor ID],A22,LS[Date Value],"&lt;="&amp;$Z$3))+(SUMIFS(SIP[Amount],SIP[B/S],"B",SIP[Investor ID],A22,SIP[Date Value],"&lt;="&amp;$Z$3)-SUMIFS(SIP[Cost of Units Sold],SIP[B/S],"S",SIP[Investor ID],A22,SIP[Date Value],"&lt;="&amp;$Z$3))</f>
        <v>0</v>
      </c>
      <c r="H22" s="49">
        <f t="shared" si="2"/>
        <v>0</v>
      </c>
      <c r="I22" s="49">
        <f t="shared" si="3"/>
        <v>0</v>
      </c>
      <c r="J22" s="47">
        <f>(SUMIFS(LS[Unit],LS[Investor ID],A22,LS[B/S],"B",LS[Date Value],"&gt;="&amp;$Z$2,LS[Date Value],"&lt;="&amp;$Z$3))+(SUMIFS(SIP[Unit],SIP[Investor ID],A22,SIP[B/S],"B",SIP[Date Value],"&gt;="&amp;$Z$2,SIP[Date Value],"&lt;="&amp;$Z$3))</f>
        <v>0</v>
      </c>
      <c r="K22" s="49">
        <f>(SUMIFS(LS[Amount],LS[Investor ID],A22,LS[B/S],"B",LS[Date Value],"&gt;="&amp;$Z$2,LS[Date Value],"&lt;="&amp;$Z$3))+(SUMIFS(SIP[Amount],SIP[Investor ID],A22,SIP[B/S],"B",SIP[Date Value],"&gt;="&amp;$Z$2,SIP[Date Value],"&lt;="&amp;$Z$3))</f>
        <v>0</v>
      </c>
      <c r="L22" s="47">
        <f>(-SUMIFS(LS[Unit],LS[Investor ID],A22,LS[B/S],"S",LS[Date Value],"&gt;="&amp;$Z$2,LS[Date Value],"&lt;="&amp;$Z$3))+(-SUMIFS(SIP[Unit],SIP[Investor ID],A22,SIP[B/S],"S",SIP[Date Value],"&gt;="&amp;$Z$2,SIP[Date Value],"&lt;="&amp;$Z$3))</f>
        <v>85000</v>
      </c>
      <c r="M22" s="49">
        <f>(SUMIFS(LS[Cost of Units Sold],LS[Investor ID],A22,LS[B/S],"S",LS[Date Value],"&gt;="&amp;$Z$2,LS[Date Value],"&lt;="&amp;$Z$3))+(SUMIFS(SIP[Cost of Units Sold],SIP[Investor ID],A22,SIP[B/S],"S",SIP[Date Value],"&gt;="&amp;$Z$2,SIP[Date Value],"&lt;="&amp;$Z$3))</f>
        <v>850000</v>
      </c>
      <c r="N22" s="49">
        <f t="shared" si="4"/>
        <v>-850000</v>
      </c>
      <c r="O22" s="49">
        <f>(SUMIFS(LS[Realized Gain],LS[Investor ID],A22,LS[Date Value],"&gt;="&amp;$Z$2,LS[Date Value],"&lt;="&amp;$Z$3))+(SUMIFS(SIP[Realized Gain],SIP[Investor ID],A22,SIP[Date Value],"&gt;="&amp;$Z$2,SIP[Date Value],"&lt;="&amp;$Z$3))</f>
        <v>42329.999999999942</v>
      </c>
      <c r="P22" s="49">
        <v>0</v>
      </c>
      <c r="Q22" s="49">
        <v>0</v>
      </c>
      <c r="R22" s="49">
        <v>0</v>
      </c>
    </row>
    <row r="23" spans="1:18">
      <c r="A23" t="s">
        <v>92</v>
      </c>
      <c r="B23" s="47">
        <f>SUMIFS(LS[Unit],LS[Investor ID],'TAX CERTIFICATE'!A23,LS[Date Value],"&lt;"&amp;$Z$2)+SUMIFS(SIP[Unit],SIP[Investor ID],'TAX CERTIFICATE'!A23,SIP[Date Value],"&lt;"&amp;$Z$2)</f>
        <v>0</v>
      </c>
      <c r="C23" s="48">
        <f>(SUMIFS(LS[Amount],LS[B/S],"B",LS[Investor ID],A23,LS[Date Value],"&lt;"&amp;$Z$2)-SUMIFS(LS[Cost of Units Sold],LS[B/S],"S",LS[Investor ID],A23,LS[Date Value],"&lt;"&amp;$Z$2))+(SUMIFS(SIP[Amount],SIP[B/S],"B",SIP[Investor ID],#REF!,SIP[Date Value],"&lt;"&amp;$Z$2)-SUMIFS(SIP[Cost of Units Sold],SIP[B/S],"S",SIP[Investor ID],A23,SIP[Date Value],"&lt;"&amp;$Z$2))</f>
        <v>0</v>
      </c>
      <c r="D23" s="49">
        <f t="shared" si="0"/>
        <v>0</v>
      </c>
      <c r="E23" s="49">
        <f t="shared" si="1"/>
        <v>0</v>
      </c>
      <c r="F23" s="47">
        <f>SUMIFS(LS[Unit],LS[Investor ID],A23,LS[Date Value],"&lt;="&amp;$Z$3)+SUMIFS(SIP[Unit],SIP[Investor ID],A23,SIP[Date Value],"&lt;="&amp;$Z$3)</f>
        <v>0</v>
      </c>
      <c r="G23" s="49">
        <f>(SUMIFS(LS[Amount],LS[B/S],"B",LS[Investor ID],A23,LS[Date Value],"&lt;="&amp;$Z$3)-SUMIFS(LS[Cost of Units Sold],LS[B/S],"S",LS[Investor ID],A23,LS[Date Value],"&lt;="&amp;$Z$3))+(SUMIFS(SIP[Amount],SIP[B/S],"B",SIP[Investor ID],A23,SIP[Date Value],"&lt;="&amp;$Z$3)-SUMIFS(SIP[Cost of Units Sold],SIP[B/S],"S",SIP[Investor ID],A23,SIP[Date Value],"&lt;="&amp;$Z$3))</f>
        <v>0</v>
      </c>
      <c r="H23" s="49">
        <f t="shared" si="2"/>
        <v>0</v>
      </c>
      <c r="I23" s="49">
        <f t="shared" si="3"/>
        <v>0</v>
      </c>
      <c r="J23" s="47">
        <f>(SUMIFS(LS[Unit],LS[Investor ID],A23,LS[B/S],"B",LS[Date Value],"&gt;="&amp;$Z$2,LS[Date Value],"&lt;="&amp;$Z$3))+(SUMIFS(SIP[Unit],SIP[Investor ID],A23,SIP[B/S],"B",SIP[Date Value],"&gt;="&amp;$Z$2,SIP[Date Value],"&lt;="&amp;$Z$3))</f>
        <v>0</v>
      </c>
      <c r="K23" s="49">
        <f>(SUMIFS(LS[Amount],LS[Investor ID],A23,LS[B/S],"B",LS[Date Value],"&gt;="&amp;$Z$2,LS[Date Value],"&lt;="&amp;$Z$3))+(SUMIFS(SIP[Amount],SIP[Investor ID],A23,SIP[B/S],"B",SIP[Date Value],"&gt;="&amp;$Z$2,SIP[Date Value],"&lt;="&amp;$Z$3))</f>
        <v>0</v>
      </c>
      <c r="L23" s="47">
        <f>(-SUMIFS(LS[Unit],LS[Investor ID],A23,LS[B/S],"S",LS[Date Value],"&gt;="&amp;$Z$2,LS[Date Value],"&lt;="&amp;$Z$3))+(-SUMIFS(SIP[Unit],SIP[Investor ID],A23,SIP[B/S],"S",SIP[Date Value],"&gt;="&amp;$Z$2,SIP[Date Value],"&lt;="&amp;$Z$3))</f>
        <v>0</v>
      </c>
      <c r="M23" s="49">
        <f>(SUMIFS(LS[Cost of Units Sold],LS[Investor ID],A23,LS[B/S],"S",LS[Date Value],"&gt;="&amp;$Z$2,LS[Date Value],"&lt;="&amp;$Z$3))+(SUMIFS(SIP[Cost of Units Sold],SIP[Investor ID],A23,SIP[B/S],"S",SIP[Date Value],"&gt;="&amp;$Z$2,SIP[Date Value],"&lt;="&amp;$Z$3))</f>
        <v>0</v>
      </c>
      <c r="N23" s="49">
        <f t="shared" si="4"/>
        <v>0</v>
      </c>
      <c r="O23" s="49">
        <f>(SUMIFS(LS[Realized Gain],LS[Investor ID],A23,LS[Date Value],"&gt;="&amp;$Z$2,LS[Date Value],"&lt;="&amp;$Z$3))+(SUMIFS(SIP[Realized Gain],SIP[Investor ID],A23,SIP[Date Value],"&gt;="&amp;$Z$2,SIP[Date Value],"&lt;="&amp;$Z$3))</f>
        <v>0</v>
      </c>
      <c r="P23" s="49">
        <v>0</v>
      </c>
      <c r="Q23" s="49">
        <v>0</v>
      </c>
      <c r="R23" s="49">
        <v>0</v>
      </c>
    </row>
    <row r="24" spans="1:18">
      <c r="A24" t="s">
        <v>94</v>
      </c>
      <c r="B24" s="47">
        <f>SUMIFS(LS[Unit],LS[Investor ID],'TAX CERTIFICATE'!A24,LS[Date Value],"&lt;"&amp;$Z$2)+SUMIFS(SIP[Unit],SIP[Investor ID],'TAX CERTIFICATE'!A24,SIP[Date Value],"&lt;"&amp;$Z$2)</f>
        <v>0</v>
      </c>
      <c r="C24" s="48">
        <f>(SUMIFS(LS[Amount],LS[B/S],"B",LS[Investor ID],A24,LS[Date Value],"&lt;"&amp;$Z$2)-SUMIFS(LS[Cost of Units Sold],LS[B/S],"S",LS[Investor ID],A24,LS[Date Value],"&lt;"&amp;$Z$2))+(SUMIFS(SIP[Amount],SIP[B/S],"B",SIP[Investor ID],#REF!,SIP[Date Value],"&lt;"&amp;$Z$2)-SUMIFS(SIP[Cost of Units Sold],SIP[B/S],"S",SIP[Investor ID],A24,SIP[Date Value],"&lt;"&amp;$Z$2))</f>
        <v>0</v>
      </c>
      <c r="D24" s="49">
        <f t="shared" si="0"/>
        <v>0</v>
      </c>
      <c r="E24" s="49">
        <f t="shared" si="1"/>
        <v>0</v>
      </c>
      <c r="F24" s="47">
        <f>SUMIFS(LS[Unit],LS[Investor ID],A24,LS[Date Value],"&lt;="&amp;$Z$3)+SUMIFS(SIP[Unit],SIP[Investor ID],A24,SIP[Date Value],"&lt;="&amp;$Z$3)</f>
        <v>0</v>
      </c>
      <c r="G24" s="49">
        <f>(SUMIFS(LS[Amount],LS[B/S],"B",LS[Investor ID],A24,LS[Date Value],"&lt;="&amp;$Z$3)-SUMIFS(LS[Cost of Units Sold],LS[B/S],"S",LS[Investor ID],A24,LS[Date Value],"&lt;="&amp;$Z$3))+(SUMIFS(SIP[Amount],SIP[B/S],"B",SIP[Investor ID],A24,SIP[Date Value],"&lt;="&amp;$Z$3)-SUMIFS(SIP[Cost of Units Sold],SIP[B/S],"S",SIP[Investor ID],A24,SIP[Date Value],"&lt;="&amp;$Z$3))</f>
        <v>0</v>
      </c>
      <c r="H24" s="49">
        <f t="shared" si="2"/>
        <v>0</v>
      </c>
      <c r="I24" s="49">
        <f t="shared" si="3"/>
        <v>0</v>
      </c>
      <c r="J24" s="47">
        <f>(SUMIFS(LS[Unit],LS[Investor ID],A24,LS[B/S],"B",LS[Date Value],"&gt;="&amp;$Z$2,LS[Date Value],"&lt;="&amp;$Z$3))+(SUMIFS(SIP[Unit],SIP[Investor ID],A24,SIP[B/S],"B",SIP[Date Value],"&gt;="&amp;$Z$2,SIP[Date Value],"&lt;="&amp;$Z$3))</f>
        <v>0</v>
      </c>
      <c r="K24" s="49">
        <f>(SUMIFS(LS[Amount],LS[Investor ID],A24,LS[B/S],"B",LS[Date Value],"&gt;="&amp;$Z$2,LS[Date Value],"&lt;="&amp;$Z$3))+(SUMIFS(SIP[Amount],SIP[Investor ID],A24,SIP[B/S],"B",SIP[Date Value],"&gt;="&amp;$Z$2,SIP[Date Value],"&lt;="&amp;$Z$3))</f>
        <v>0</v>
      </c>
      <c r="L24" s="47">
        <f>(-SUMIFS(LS[Unit],LS[Investor ID],A24,LS[B/S],"S",LS[Date Value],"&gt;="&amp;$Z$2,LS[Date Value],"&lt;="&amp;$Z$3))+(-SUMIFS(SIP[Unit],SIP[Investor ID],A24,SIP[B/S],"S",SIP[Date Value],"&gt;="&amp;$Z$2,SIP[Date Value],"&lt;="&amp;$Z$3))</f>
        <v>0</v>
      </c>
      <c r="M24" s="49">
        <f>(SUMIFS(LS[Cost of Units Sold],LS[Investor ID],A24,LS[B/S],"S",LS[Date Value],"&gt;="&amp;$Z$2,LS[Date Value],"&lt;="&amp;$Z$3))+(SUMIFS(SIP[Cost of Units Sold],SIP[Investor ID],A24,SIP[B/S],"S",SIP[Date Value],"&gt;="&amp;$Z$2,SIP[Date Value],"&lt;="&amp;$Z$3))</f>
        <v>0</v>
      </c>
      <c r="N24" s="49">
        <f t="shared" si="4"/>
        <v>0</v>
      </c>
      <c r="O24" s="49">
        <f>(SUMIFS(LS[Realized Gain],LS[Investor ID],A24,LS[Date Value],"&gt;="&amp;$Z$2,LS[Date Value],"&lt;="&amp;$Z$3))+(SUMIFS(SIP[Realized Gain],SIP[Investor ID],A24,SIP[Date Value],"&gt;="&amp;$Z$2,SIP[Date Value],"&lt;="&amp;$Z$3))</f>
        <v>0</v>
      </c>
      <c r="P24" s="49">
        <v>0</v>
      </c>
      <c r="Q24" s="49">
        <v>0</v>
      </c>
      <c r="R24" s="49">
        <v>0</v>
      </c>
    </row>
    <row r="25" spans="1:18">
      <c r="A25" t="s">
        <v>97</v>
      </c>
      <c r="B25" s="47">
        <f>SUMIFS(LS[Unit],LS[Investor ID],'TAX CERTIFICATE'!A25,LS[Date Value],"&lt;"&amp;$Z$2)+SUMIFS(SIP[Unit],SIP[Investor ID],'TAX CERTIFICATE'!A25,SIP[Date Value],"&lt;"&amp;$Z$2)</f>
        <v>0</v>
      </c>
      <c r="C25" s="48">
        <f>(SUMIFS(LS[Amount],LS[B/S],"B",LS[Investor ID],A25,LS[Date Value],"&lt;"&amp;$Z$2)-SUMIFS(LS[Cost of Units Sold],LS[B/S],"S",LS[Investor ID],A25,LS[Date Value],"&lt;"&amp;$Z$2))+(SUMIFS(SIP[Amount],SIP[B/S],"B",SIP[Investor ID],#REF!,SIP[Date Value],"&lt;"&amp;$Z$2)-SUMIFS(SIP[Cost of Units Sold],SIP[B/S],"S",SIP[Investor ID],A25,SIP[Date Value],"&lt;"&amp;$Z$2))</f>
        <v>0</v>
      </c>
      <c r="D25" s="49">
        <f t="shared" si="0"/>
        <v>0</v>
      </c>
      <c r="E25" s="49">
        <f t="shared" si="1"/>
        <v>0</v>
      </c>
      <c r="F25" s="47">
        <f>SUMIFS(LS[Unit],LS[Investor ID],A25,LS[Date Value],"&lt;="&amp;$Z$3)+SUMIFS(SIP[Unit],SIP[Investor ID],A25,SIP[Date Value],"&lt;="&amp;$Z$3)</f>
        <v>0</v>
      </c>
      <c r="G25" s="49">
        <f>(SUMIFS(LS[Amount],LS[B/S],"B",LS[Investor ID],A25,LS[Date Value],"&lt;="&amp;$Z$3)-SUMIFS(LS[Cost of Units Sold],LS[B/S],"S",LS[Investor ID],A25,LS[Date Value],"&lt;="&amp;$Z$3))+(SUMIFS(SIP[Amount],SIP[B/S],"B",SIP[Investor ID],A25,SIP[Date Value],"&lt;="&amp;$Z$3)-SUMIFS(SIP[Cost of Units Sold],SIP[B/S],"S",SIP[Investor ID],A25,SIP[Date Value],"&lt;="&amp;$Z$3))</f>
        <v>0</v>
      </c>
      <c r="H25" s="49">
        <f t="shared" si="2"/>
        <v>0</v>
      </c>
      <c r="I25" s="49">
        <f t="shared" si="3"/>
        <v>0</v>
      </c>
      <c r="J25" s="47">
        <f>(SUMIFS(LS[Unit],LS[Investor ID],A25,LS[B/S],"B",LS[Date Value],"&gt;="&amp;$Z$2,LS[Date Value],"&lt;="&amp;$Z$3))+(SUMIFS(SIP[Unit],SIP[Investor ID],A25,SIP[B/S],"B",SIP[Date Value],"&gt;="&amp;$Z$2,SIP[Date Value],"&lt;="&amp;$Z$3))</f>
        <v>0</v>
      </c>
      <c r="K25" s="49">
        <f>(SUMIFS(LS[Amount],LS[Investor ID],A25,LS[B/S],"B",LS[Date Value],"&gt;="&amp;$Z$2,LS[Date Value],"&lt;="&amp;$Z$3))+(SUMIFS(SIP[Amount],SIP[Investor ID],A25,SIP[B/S],"B",SIP[Date Value],"&gt;="&amp;$Z$2,SIP[Date Value],"&lt;="&amp;$Z$3))</f>
        <v>0</v>
      </c>
      <c r="L25" s="47">
        <f>(-SUMIFS(LS[Unit],LS[Investor ID],A25,LS[B/S],"S",LS[Date Value],"&gt;="&amp;$Z$2,LS[Date Value],"&lt;="&amp;$Z$3))+(-SUMIFS(SIP[Unit],SIP[Investor ID],A25,SIP[B/S],"S",SIP[Date Value],"&gt;="&amp;$Z$2,SIP[Date Value],"&lt;="&amp;$Z$3))</f>
        <v>0</v>
      </c>
      <c r="M25" s="49">
        <f>(SUMIFS(LS[Cost of Units Sold],LS[Investor ID],A25,LS[B/S],"S",LS[Date Value],"&gt;="&amp;$Z$2,LS[Date Value],"&lt;="&amp;$Z$3))+(SUMIFS(SIP[Cost of Units Sold],SIP[Investor ID],A25,SIP[B/S],"S",SIP[Date Value],"&gt;="&amp;$Z$2,SIP[Date Value],"&lt;="&amp;$Z$3))</f>
        <v>0</v>
      </c>
      <c r="N25" s="49">
        <f t="shared" si="4"/>
        <v>0</v>
      </c>
      <c r="O25" s="49">
        <f>(SUMIFS(LS[Realized Gain],LS[Investor ID],A25,LS[Date Value],"&gt;="&amp;$Z$2,LS[Date Value],"&lt;="&amp;$Z$3))+(SUMIFS(SIP[Realized Gain],SIP[Investor ID],A25,SIP[Date Value],"&gt;="&amp;$Z$2,SIP[Date Value],"&lt;="&amp;$Z$3))</f>
        <v>0</v>
      </c>
      <c r="P25" s="49">
        <v>0</v>
      </c>
      <c r="Q25" s="49">
        <v>0</v>
      </c>
      <c r="R25" s="49">
        <v>0</v>
      </c>
    </row>
    <row r="26" spans="1:18">
      <c r="A26" t="s">
        <v>99</v>
      </c>
      <c r="B26" s="47">
        <f>SUMIFS(LS[Unit],LS[Investor ID],'TAX CERTIFICATE'!A26,LS[Date Value],"&lt;"&amp;$Z$2)+SUMIFS(SIP[Unit],SIP[Investor ID],'TAX CERTIFICATE'!A26,SIP[Date Value],"&lt;"&amp;$Z$2)</f>
        <v>0</v>
      </c>
      <c r="C26" s="48">
        <f>(SUMIFS(LS[Amount],LS[B/S],"B",LS[Investor ID],A26,LS[Date Value],"&lt;"&amp;$Z$2)-SUMIFS(LS[Cost of Units Sold],LS[B/S],"S",LS[Investor ID],A26,LS[Date Value],"&lt;"&amp;$Z$2))+(SUMIFS(SIP[Amount],SIP[B/S],"B",SIP[Investor ID],#REF!,SIP[Date Value],"&lt;"&amp;$Z$2)-SUMIFS(SIP[Cost of Units Sold],SIP[B/S],"S",SIP[Investor ID],A26,SIP[Date Value],"&lt;"&amp;$Z$2))</f>
        <v>0</v>
      </c>
      <c r="D26" s="49">
        <f t="shared" si="0"/>
        <v>0</v>
      </c>
      <c r="E26" s="49">
        <f t="shared" si="1"/>
        <v>0</v>
      </c>
      <c r="F26" s="47">
        <f>SUMIFS(LS[Unit],LS[Investor ID],A26,LS[Date Value],"&lt;="&amp;$Z$3)+SUMIFS(SIP[Unit],SIP[Investor ID],A26,SIP[Date Value],"&lt;="&amp;$Z$3)</f>
        <v>0</v>
      </c>
      <c r="G26" s="49">
        <f>(SUMIFS(LS[Amount],LS[B/S],"B",LS[Investor ID],A26,LS[Date Value],"&lt;="&amp;$Z$3)-SUMIFS(LS[Cost of Units Sold],LS[B/S],"S",LS[Investor ID],A26,LS[Date Value],"&lt;="&amp;$Z$3))+(SUMIFS(SIP[Amount],SIP[B/S],"B",SIP[Investor ID],A26,SIP[Date Value],"&lt;="&amp;$Z$3)-SUMIFS(SIP[Cost of Units Sold],SIP[B/S],"S",SIP[Investor ID],A26,SIP[Date Value],"&lt;="&amp;$Z$3))</f>
        <v>0</v>
      </c>
      <c r="H26" s="49">
        <f t="shared" si="2"/>
        <v>0</v>
      </c>
      <c r="I26" s="49">
        <f t="shared" si="3"/>
        <v>0</v>
      </c>
      <c r="J26" s="47">
        <f>(SUMIFS(LS[Unit],LS[Investor ID],A26,LS[B/S],"B",LS[Date Value],"&gt;="&amp;$Z$2,LS[Date Value],"&lt;="&amp;$Z$3))+(SUMIFS(SIP[Unit],SIP[Investor ID],A26,SIP[B/S],"B",SIP[Date Value],"&gt;="&amp;$Z$2,SIP[Date Value],"&lt;="&amp;$Z$3))</f>
        <v>0</v>
      </c>
      <c r="K26" s="49">
        <f>(SUMIFS(LS[Amount],LS[Investor ID],A26,LS[B/S],"B",LS[Date Value],"&gt;="&amp;$Z$2,LS[Date Value],"&lt;="&amp;$Z$3))+(SUMIFS(SIP[Amount],SIP[Investor ID],A26,SIP[B/S],"B",SIP[Date Value],"&gt;="&amp;$Z$2,SIP[Date Value],"&lt;="&amp;$Z$3))</f>
        <v>0</v>
      </c>
      <c r="L26" s="47">
        <f>(-SUMIFS(LS[Unit],LS[Investor ID],A26,LS[B/S],"S",LS[Date Value],"&gt;="&amp;$Z$2,LS[Date Value],"&lt;="&amp;$Z$3))+(-SUMIFS(SIP[Unit],SIP[Investor ID],A26,SIP[B/S],"S",SIP[Date Value],"&gt;="&amp;$Z$2,SIP[Date Value],"&lt;="&amp;$Z$3))</f>
        <v>0</v>
      </c>
      <c r="M26" s="49">
        <f>(SUMIFS(LS[Cost of Units Sold],LS[Investor ID],A26,LS[B/S],"S",LS[Date Value],"&gt;="&amp;$Z$2,LS[Date Value],"&lt;="&amp;$Z$3))+(SUMIFS(SIP[Cost of Units Sold],SIP[Investor ID],A26,SIP[B/S],"S",SIP[Date Value],"&gt;="&amp;$Z$2,SIP[Date Value],"&lt;="&amp;$Z$3))</f>
        <v>0</v>
      </c>
      <c r="N26" s="49">
        <f t="shared" si="4"/>
        <v>0</v>
      </c>
      <c r="O26" s="49">
        <f>(SUMIFS(LS[Realized Gain],LS[Investor ID],A26,LS[Date Value],"&gt;="&amp;$Z$2,LS[Date Value],"&lt;="&amp;$Z$3))+(SUMIFS(SIP[Realized Gain],SIP[Investor ID],A26,SIP[Date Value],"&gt;="&amp;$Z$2,SIP[Date Value],"&lt;="&amp;$Z$3))</f>
        <v>0</v>
      </c>
      <c r="P26" s="49">
        <v>0</v>
      </c>
      <c r="Q26" s="49">
        <v>0</v>
      </c>
      <c r="R26" s="49">
        <v>0</v>
      </c>
    </row>
    <row r="27" spans="1:18">
      <c r="A27" t="s">
        <v>101</v>
      </c>
      <c r="B27" s="47">
        <f>SUMIFS(LS[Unit],LS[Investor ID],'TAX CERTIFICATE'!A27,LS[Date Value],"&lt;"&amp;$Z$2)+SUMIFS(SIP[Unit],SIP[Investor ID],'TAX CERTIFICATE'!A27,SIP[Date Value],"&lt;"&amp;$Z$2)</f>
        <v>0</v>
      </c>
      <c r="C27" s="48">
        <f>(SUMIFS(LS[Amount],LS[B/S],"B",LS[Investor ID],A27,LS[Date Value],"&lt;"&amp;$Z$2)-SUMIFS(LS[Cost of Units Sold],LS[B/S],"S",LS[Investor ID],A27,LS[Date Value],"&lt;"&amp;$Z$2))+(SUMIFS(SIP[Amount],SIP[B/S],"B",SIP[Investor ID],#REF!,SIP[Date Value],"&lt;"&amp;$Z$2)-SUMIFS(SIP[Cost of Units Sold],SIP[B/S],"S",SIP[Investor ID],A27,SIP[Date Value],"&lt;"&amp;$Z$2))</f>
        <v>0</v>
      </c>
      <c r="D27" s="49">
        <f t="shared" si="0"/>
        <v>0</v>
      </c>
      <c r="E27" s="49">
        <f t="shared" si="1"/>
        <v>0</v>
      </c>
      <c r="F27" s="47">
        <f>SUMIFS(LS[Unit],LS[Investor ID],A27,LS[Date Value],"&lt;="&amp;$Z$3)+SUMIFS(SIP[Unit],SIP[Investor ID],A27,SIP[Date Value],"&lt;="&amp;$Z$3)</f>
        <v>0</v>
      </c>
      <c r="G27" s="49">
        <f>(SUMIFS(LS[Amount],LS[B/S],"B",LS[Investor ID],A27,LS[Date Value],"&lt;="&amp;$Z$3)-SUMIFS(LS[Cost of Units Sold],LS[B/S],"S",LS[Investor ID],A27,LS[Date Value],"&lt;="&amp;$Z$3))+(SUMIFS(SIP[Amount],SIP[B/S],"B",SIP[Investor ID],A27,SIP[Date Value],"&lt;="&amp;$Z$3)-SUMIFS(SIP[Cost of Units Sold],SIP[B/S],"S",SIP[Investor ID],A27,SIP[Date Value],"&lt;="&amp;$Z$3))</f>
        <v>0</v>
      </c>
      <c r="H27" s="49">
        <f t="shared" si="2"/>
        <v>0</v>
      </c>
      <c r="I27" s="49">
        <f t="shared" si="3"/>
        <v>0</v>
      </c>
      <c r="J27" s="47">
        <f>(SUMIFS(LS[Unit],LS[Investor ID],A27,LS[B/S],"B",LS[Date Value],"&gt;="&amp;$Z$2,LS[Date Value],"&lt;="&amp;$Z$3))+(SUMIFS(SIP[Unit],SIP[Investor ID],A27,SIP[B/S],"B",SIP[Date Value],"&gt;="&amp;$Z$2,SIP[Date Value],"&lt;="&amp;$Z$3))</f>
        <v>0</v>
      </c>
      <c r="K27" s="49">
        <f>(SUMIFS(LS[Amount],LS[Investor ID],A27,LS[B/S],"B",LS[Date Value],"&gt;="&amp;$Z$2,LS[Date Value],"&lt;="&amp;$Z$3))+(SUMIFS(SIP[Amount],SIP[Investor ID],A27,SIP[B/S],"B",SIP[Date Value],"&gt;="&amp;$Z$2,SIP[Date Value],"&lt;="&amp;$Z$3))</f>
        <v>0</v>
      </c>
      <c r="L27" s="47">
        <f>(-SUMIFS(LS[Unit],LS[Investor ID],A27,LS[B/S],"S",LS[Date Value],"&gt;="&amp;$Z$2,LS[Date Value],"&lt;="&amp;$Z$3))+(-SUMIFS(SIP[Unit],SIP[Investor ID],A27,SIP[B/S],"S",SIP[Date Value],"&gt;="&amp;$Z$2,SIP[Date Value],"&lt;="&amp;$Z$3))</f>
        <v>0</v>
      </c>
      <c r="M27" s="49">
        <f>(SUMIFS(LS[Cost of Units Sold],LS[Investor ID],A27,LS[B/S],"S",LS[Date Value],"&gt;="&amp;$Z$2,LS[Date Value],"&lt;="&amp;$Z$3))+(SUMIFS(SIP[Cost of Units Sold],SIP[Investor ID],A27,SIP[B/S],"S",SIP[Date Value],"&gt;="&amp;$Z$2,SIP[Date Value],"&lt;="&amp;$Z$3))</f>
        <v>0</v>
      </c>
      <c r="N27" s="49">
        <f t="shared" si="4"/>
        <v>0</v>
      </c>
      <c r="O27" s="49">
        <f>(SUMIFS(LS[Realized Gain],LS[Investor ID],A27,LS[Date Value],"&gt;="&amp;$Z$2,LS[Date Value],"&lt;="&amp;$Z$3))+(SUMIFS(SIP[Realized Gain],SIP[Investor ID],A27,SIP[Date Value],"&gt;="&amp;$Z$2,SIP[Date Value],"&lt;="&amp;$Z$3))</f>
        <v>0</v>
      </c>
      <c r="P27" s="49">
        <v>0</v>
      </c>
      <c r="Q27" s="49">
        <v>0</v>
      </c>
      <c r="R27" s="49">
        <v>0</v>
      </c>
    </row>
    <row r="28" spans="1:18">
      <c r="A28" t="s">
        <v>103</v>
      </c>
      <c r="B28" s="47">
        <f>SUMIFS(LS[Unit],LS[Investor ID],'TAX CERTIFICATE'!A28,LS[Date Value],"&lt;"&amp;$Z$2)+SUMIFS(SIP[Unit],SIP[Investor ID],'TAX CERTIFICATE'!A28,SIP[Date Value],"&lt;"&amp;$Z$2)</f>
        <v>0</v>
      </c>
      <c r="C28" s="48">
        <f>(SUMIFS(LS[Amount],LS[B/S],"B",LS[Investor ID],A28,LS[Date Value],"&lt;"&amp;$Z$2)-SUMIFS(LS[Cost of Units Sold],LS[B/S],"S",LS[Investor ID],A28,LS[Date Value],"&lt;"&amp;$Z$2))+(SUMIFS(SIP[Amount],SIP[B/S],"B",SIP[Investor ID],#REF!,SIP[Date Value],"&lt;"&amp;$Z$2)-SUMIFS(SIP[Cost of Units Sold],SIP[B/S],"S",SIP[Investor ID],A28,SIP[Date Value],"&lt;"&amp;$Z$2))</f>
        <v>0</v>
      </c>
      <c r="D28" s="49">
        <f t="shared" si="0"/>
        <v>0</v>
      </c>
      <c r="E28" s="49">
        <f t="shared" si="1"/>
        <v>0</v>
      </c>
      <c r="F28" s="47">
        <f>SUMIFS(LS[Unit],LS[Investor ID],A28,LS[Date Value],"&lt;="&amp;$Z$3)+SUMIFS(SIP[Unit],SIP[Investor ID],A28,SIP[Date Value],"&lt;="&amp;$Z$3)</f>
        <v>0</v>
      </c>
      <c r="G28" s="49">
        <f>(SUMIFS(LS[Amount],LS[B/S],"B",LS[Investor ID],A28,LS[Date Value],"&lt;="&amp;$Z$3)-SUMIFS(LS[Cost of Units Sold],LS[B/S],"S",LS[Investor ID],A28,LS[Date Value],"&lt;="&amp;$Z$3))+(SUMIFS(SIP[Amount],SIP[B/S],"B",SIP[Investor ID],A28,SIP[Date Value],"&lt;="&amp;$Z$3)-SUMIFS(SIP[Cost of Units Sold],SIP[B/S],"S",SIP[Investor ID],A28,SIP[Date Value],"&lt;="&amp;$Z$3))</f>
        <v>0</v>
      </c>
      <c r="H28" s="49">
        <f t="shared" si="2"/>
        <v>0</v>
      </c>
      <c r="I28" s="49">
        <f t="shared" si="3"/>
        <v>0</v>
      </c>
      <c r="J28" s="47">
        <f>(SUMIFS(LS[Unit],LS[Investor ID],A28,LS[B/S],"B",LS[Date Value],"&gt;="&amp;$Z$2,LS[Date Value],"&lt;="&amp;$Z$3))+(SUMIFS(SIP[Unit],SIP[Investor ID],A28,SIP[B/S],"B",SIP[Date Value],"&gt;="&amp;$Z$2,SIP[Date Value],"&lt;="&amp;$Z$3))</f>
        <v>0</v>
      </c>
      <c r="K28" s="49">
        <f>(SUMIFS(LS[Amount],LS[Investor ID],A28,LS[B/S],"B",LS[Date Value],"&gt;="&amp;$Z$2,LS[Date Value],"&lt;="&amp;$Z$3))+(SUMIFS(SIP[Amount],SIP[Investor ID],A28,SIP[B/S],"B",SIP[Date Value],"&gt;="&amp;$Z$2,SIP[Date Value],"&lt;="&amp;$Z$3))</f>
        <v>0</v>
      </c>
      <c r="L28" s="47">
        <f>(-SUMIFS(LS[Unit],LS[Investor ID],A28,LS[B/S],"S",LS[Date Value],"&gt;="&amp;$Z$2,LS[Date Value],"&lt;="&amp;$Z$3))+(-SUMIFS(SIP[Unit],SIP[Investor ID],A28,SIP[B/S],"S",SIP[Date Value],"&gt;="&amp;$Z$2,SIP[Date Value],"&lt;="&amp;$Z$3))</f>
        <v>0</v>
      </c>
      <c r="M28" s="49">
        <f>(SUMIFS(LS[Cost of Units Sold],LS[Investor ID],A28,LS[B/S],"S",LS[Date Value],"&gt;="&amp;$Z$2,LS[Date Value],"&lt;="&amp;$Z$3))+(SUMIFS(SIP[Cost of Units Sold],SIP[Investor ID],A28,SIP[B/S],"S",SIP[Date Value],"&gt;="&amp;$Z$2,SIP[Date Value],"&lt;="&amp;$Z$3))</f>
        <v>0</v>
      </c>
      <c r="N28" s="49">
        <f t="shared" si="4"/>
        <v>0</v>
      </c>
      <c r="O28" s="49">
        <f>(SUMIFS(LS[Realized Gain],LS[Investor ID],A28,LS[Date Value],"&gt;="&amp;$Z$2,LS[Date Value],"&lt;="&amp;$Z$3))+(SUMIFS(SIP[Realized Gain],SIP[Investor ID],A28,SIP[Date Value],"&gt;="&amp;$Z$2,SIP[Date Value],"&lt;="&amp;$Z$3))</f>
        <v>0</v>
      </c>
      <c r="P28" s="49">
        <v>0</v>
      </c>
      <c r="Q28" s="49">
        <v>0</v>
      </c>
      <c r="R28" s="49">
        <v>0</v>
      </c>
    </row>
    <row r="29" spans="1:18">
      <c r="A29" t="s">
        <v>105</v>
      </c>
      <c r="B29" s="47">
        <f>SUMIFS(LS[Unit],LS[Investor ID],'TAX CERTIFICATE'!A29,LS[Date Value],"&lt;"&amp;$Z$2)+SUMIFS(SIP[Unit],SIP[Investor ID],'TAX CERTIFICATE'!A29,SIP[Date Value],"&lt;"&amp;$Z$2)</f>
        <v>0</v>
      </c>
      <c r="C29" s="48">
        <f>(SUMIFS(LS[Amount],LS[B/S],"B",LS[Investor ID],A29,LS[Date Value],"&lt;"&amp;$Z$2)-SUMIFS(LS[Cost of Units Sold],LS[B/S],"S",LS[Investor ID],A29,LS[Date Value],"&lt;"&amp;$Z$2))+(SUMIFS(SIP[Amount],SIP[B/S],"B",SIP[Investor ID],#REF!,SIP[Date Value],"&lt;"&amp;$Z$2)-SUMIFS(SIP[Cost of Units Sold],SIP[B/S],"S",SIP[Investor ID],A29,SIP[Date Value],"&lt;"&amp;$Z$2))</f>
        <v>0</v>
      </c>
      <c r="D29" s="49">
        <f t="shared" si="0"/>
        <v>0</v>
      </c>
      <c r="E29" s="49">
        <f t="shared" si="1"/>
        <v>0</v>
      </c>
      <c r="F29" s="47">
        <f>SUMIFS(LS[Unit],LS[Investor ID],A29,LS[Date Value],"&lt;="&amp;$Z$3)+SUMIFS(SIP[Unit],SIP[Investor ID],A29,SIP[Date Value],"&lt;="&amp;$Z$3)</f>
        <v>0</v>
      </c>
      <c r="G29" s="49">
        <f>(SUMIFS(LS[Amount],LS[B/S],"B",LS[Investor ID],A29,LS[Date Value],"&lt;="&amp;$Z$3)-SUMIFS(LS[Cost of Units Sold],LS[B/S],"S",LS[Investor ID],A29,LS[Date Value],"&lt;="&amp;$Z$3))+(SUMIFS(SIP[Amount],SIP[B/S],"B",SIP[Investor ID],A29,SIP[Date Value],"&lt;="&amp;$Z$3)-SUMIFS(SIP[Cost of Units Sold],SIP[B/S],"S",SIP[Investor ID],A29,SIP[Date Value],"&lt;="&amp;$Z$3))</f>
        <v>0</v>
      </c>
      <c r="H29" s="49">
        <f t="shared" si="2"/>
        <v>0</v>
      </c>
      <c r="I29" s="49">
        <f t="shared" si="3"/>
        <v>0</v>
      </c>
      <c r="J29" s="47">
        <f>(SUMIFS(LS[Unit],LS[Investor ID],A29,LS[B/S],"B",LS[Date Value],"&gt;="&amp;$Z$2,LS[Date Value],"&lt;="&amp;$Z$3))+(SUMIFS(SIP[Unit],SIP[Investor ID],A29,SIP[B/S],"B",SIP[Date Value],"&gt;="&amp;$Z$2,SIP[Date Value],"&lt;="&amp;$Z$3))</f>
        <v>0</v>
      </c>
      <c r="K29" s="49">
        <f>(SUMIFS(LS[Amount],LS[Investor ID],A29,LS[B/S],"B",LS[Date Value],"&gt;="&amp;$Z$2,LS[Date Value],"&lt;="&amp;$Z$3))+(SUMIFS(SIP[Amount],SIP[Investor ID],A29,SIP[B/S],"B",SIP[Date Value],"&gt;="&amp;$Z$2,SIP[Date Value],"&lt;="&amp;$Z$3))</f>
        <v>0</v>
      </c>
      <c r="L29" s="47">
        <f>(-SUMIFS(LS[Unit],LS[Investor ID],A29,LS[B/S],"S",LS[Date Value],"&gt;="&amp;$Z$2,LS[Date Value],"&lt;="&amp;$Z$3))+(-SUMIFS(SIP[Unit],SIP[Investor ID],A29,SIP[B/S],"S",SIP[Date Value],"&gt;="&amp;$Z$2,SIP[Date Value],"&lt;="&amp;$Z$3))</f>
        <v>0</v>
      </c>
      <c r="M29" s="49">
        <f>(SUMIFS(LS[Cost of Units Sold],LS[Investor ID],A29,LS[B/S],"S",LS[Date Value],"&gt;="&amp;$Z$2,LS[Date Value],"&lt;="&amp;$Z$3))+(SUMIFS(SIP[Cost of Units Sold],SIP[Investor ID],A29,SIP[B/S],"S",SIP[Date Value],"&gt;="&amp;$Z$2,SIP[Date Value],"&lt;="&amp;$Z$3))</f>
        <v>0</v>
      </c>
      <c r="N29" s="49">
        <f t="shared" si="4"/>
        <v>0</v>
      </c>
      <c r="O29" s="49">
        <f>(SUMIFS(LS[Realized Gain],LS[Investor ID],A29,LS[Date Value],"&gt;="&amp;$Z$2,LS[Date Value],"&lt;="&amp;$Z$3))+(SUMIFS(SIP[Realized Gain],SIP[Investor ID],A29,SIP[Date Value],"&gt;="&amp;$Z$2,SIP[Date Value],"&lt;="&amp;$Z$3))</f>
        <v>0</v>
      </c>
      <c r="P29" s="49">
        <v>0</v>
      </c>
      <c r="Q29" s="49">
        <v>0</v>
      </c>
      <c r="R29" s="49">
        <v>0</v>
      </c>
    </row>
    <row r="30" spans="1:18">
      <c r="A30" t="s">
        <v>107</v>
      </c>
      <c r="B30" s="47">
        <f>SUMIFS(LS[Unit],LS[Investor ID],'TAX CERTIFICATE'!A30,LS[Date Value],"&lt;"&amp;$Z$2)+SUMIFS(SIP[Unit],SIP[Investor ID],'TAX CERTIFICATE'!A30,SIP[Date Value],"&lt;"&amp;$Z$2)</f>
        <v>0</v>
      </c>
      <c r="C30" s="48">
        <f>(SUMIFS(LS[Amount],LS[B/S],"B",LS[Investor ID],A30,LS[Date Value],"&lt;"&amp;$Z$2)-SUMIFS(LS[Cost of Units Sold],LS[B/S],"S",LS[Investor ID],A30,LS[Date Value],"&lt;"&amp;$Z$2))+(SUMIFS(SIP[Amount],SIP[B/S],"B",SIP[Investor ID],#REF!,SIP[Date Value],"&lt;"&amp;$Z$2)-SUMIFS(SIP[Cost of Units Sold],SIP[B/S],"S",SIP[Investor ID],A30,SIP[Date Value],"&lt;"&amp;$Z$2))</f>
        <v>0</v>
      </c>
      <c r="D30" s="49">
        <f t="shared" si="0"/>
        <v>0</v>
      </c>
      <c r="E30" s="49">
        <f t="shared" si="1"/>
        <v>0</v>
      </c>
      <c r="F30" s="47">
        <f>SUMIFS(LS[Unit],LS[Investor ID],A30,LS[Date Value],"&lt;="&amp;$Z$3)+SUMIFS(SIP[Unit],SIP[Investor ID],A30,SIP[Date Value],"&lt;="&amp;$Z$3)</f>
        <v>0</v>
      </c>
      <c r="G30" s="49">
        <f>(SUMIFS(LS[Amount],LS[B/S],"B",LS[Investor ID],A30,LS[Date Value],"&lt;="&amp;$Z$3)-SUMIFS(LS[Cost of Units Sold],LS[B/S],"S",LS[Investor ID],A30,LS[Date Value],"&lt;="&amp;$Z$3))+(SUMIFS(SIP[Amount],SIP[B/S],"B",SIP[Investor ID],A30,SIP[Date Value],"&lt;="&amp;$Z$3)-SUMIFS(SIP[Cost of Units Sold],SIP[B/S],"S",SIP[Investor ID],A30,SIP[Date Value],"&lt;="&amp;$Z$3))</f>
        <v>0</v>
      </c>
      <c r="H30" s="49">
        <f t="shared" si="2"/>
        <v>0</v>
      </c>
      <c r="I30" s="49">
        <f t="shared" si="3"/>
        <v>0</v>
      </c>
      <c r="J30" s="47">
        <f>(SUMIFS(LS[Unit],LS[Investor ID],A30,LS[B/S],"B",LS[Date Value],"&gt;="&amp;$Z$2,LS[Date Value],"&lt;="&amp;$Z$3))+(SUMIFS(SIP[Unit],SIP[Investor ID],A30,SIP[B/S],"B",SIP[Date Value],"&gt;="&amp;$Z$2,SIP[Date Value],"&lt;="&amp;$Z$3))</f>
        <v>0</v>
      </c>
      <c r="K30" s="49">
        <f>(SUMIFS(LS[Amount],LS[Investor ID],A30,LS[B/S],"B",LS[Date Value],"&gt;="&amp;$Z$2,LS[Date Value],"&lt;="&amp;$Z$3))+(SUMIFS(SIP[Amount],SIP[Investor ID],A30,SIP[B/S],"B",SIP[Date Value],"&gt;="&amp;$Z$2,SIP[Date Value],"&lt;="&amp;$Z$3))</f>
        <v>0</v>
      </c>
      <c r="L30" s="47">
        <f>(-SUMIFS(LS[Unit],LS[Investor ID],A30,LS[B/S],"S",LS[Date Value],"&gt;="&amp;$Z$2,LS[Date Value],"&lt;="&amp;$Z$3))+(-SUMIFS(SIP[Unit],SIP[Investor ID],A30,SIP[B/S],"S",SIP[Date Value],"&gt;="&amp;$Z$2,SIP[Date Value],"&lt;="&amp;$Z$3))</f>
        <v>0</v>
      </c>
      <c r="M30" s="49">
        <f>(SUMIFS(LS[Cost of Units Sold],LS[Investor ID],A30,LS[B/S],"S",LS[Date Value],"&gt;="&amp;$Z$2,LS[Date Value],"&lt;="&amp;$Z$3))+(SUMIFS(SIP[Cost of Units Sold],SIP[Investor ID],A30,SIP[B/S],"S",SIP[Date Value],"&gt;="&amp;$Z$2,SIP[Date Value],"&lt;="&amp;$Z$3))</f>
        <v>0</v>
      </c>
      <c r="N30" s="49">
        <f t="shared" si="4"/>
        <v>0</v>
      </c>
      <c r="O30" s="49">
        <f>(SUMIFS(LS[Realized Gain],LS[Investor ID],A30,LS[Date Value],"&gt;="&amp;$Z$2,LS[Date Value],"&lt;="&amp;$Z$3))+(SUMIFS(SIP[Realized Gain],SIP[Investor ID],A30,SIP[Date Value],"&gt;="&amp;$Z$2,SIP[Date Value],"&lt;="&amp;$Z$3))</f>
        <v>0</v>
      </c>
      <c r="P30" s="49">
        <v>0</v>
      </c>
      <c r="Q30" s="49">
        <v>0</v>
      </c>
      <c r="R30" s="49">
        <v>0</v>
      </c>
    </row>
    <row r="31" spans="1:18">
      <c r="A31" t="s">
        <v>109</v>
      </c>
      <c r="B31" s="47">
        <f>SUMIFS(LS[Unit],LS[Investor ID],'TAX CERTIFICATE'!A31,LS[Date Value],"&lt;"&amp;$Z$2)+SUMIFS(SIP[Unit],SIP[Investor ID],'TAX CERTIFICATE'!A31,SIP[Date Value],"&lt;"&amp;$Z$2)</f>
        <v>500000</v>
      </c>
      <c r="C31" s="48">
        <f>(SUMIFS(LS[Amount],LS[B/S],"B",LS[Investor ID],A31,LS[Date Value],"&lt;"&amp;$Z$2)-SUMIFS(LS[Cost of Units Sold],LS[B/S],"S",LS[Investor ID],A31,LS[Date Value],"&lt;"&amp;$Z$2))+(SUMIFS(SIP[Amount],SIP[B/S],"B",SIP[Investor ID],#REF!,SIP[Date Value],"&lt;"&amp;$Z$2)-SUMIFS(SIP[Cost of Units Sold],SIP[B/S],"S",SIP[Investor ID],A31,SIP[Date Value],"&lt;"&amp;$Z$2))</f>
        <v>5000000</v>
      </c>
      <c r="D31" s="49">
        <f t="shared" si="0"/>
        <v>5135500</v>
      </c>
      <c r="E31" s="49">
        <f t="shared" si="1"/>
        <v>135500</v>
      </c>
      <c r="F31" s="47">
        <f>SUMIFS(LS[Unit],LS[Investor ID],A31,LS[Date Value],"&lt;="&amp;$Z$3)+SUMIFS(SIP[Unit],SIP[Investor ID],A31,SIP[Date Value],"&lt;="&amp;$Z$3)</f>
        <v>500000</v>
      </c>
      <c r="G31" s="49">
        <f>(SUMIFS(LS[Amount],LS[B/S],"B",LS[Investor ID],A31,LS[Date Value],"&lt;="&amp;$Z$3)-SUMIFS(LS[Cost of Units Sold],LS[B/S],"S",LS[Investor ID],A31,LS[Date Value],"&lt;="&amp;$Z$3))+(SUMIFS(SIP[Amount],SIP[B/S],"B",SIP[Investor ID],A31,SIP[Date Value],"&lt;="&amp;$Z$3)-SUMIFS(SIP[Cost of Units Sold],SIP[B/S],"S",SIP[Investor ID],A31,SIP[Date Value],"&lt;="&amp;$Z$3))</f>
        <v>5000000</v>
      </c>
      <c r="H31" s="49">
        <f t="shared" si="2"/>
        <v>5582000</v>
      </c>
      <c r="I31" s="49">
        <f t="shared" si="3"/>
        <v>582000</v>
      </c>
      <c r="J31" s="47">
        <f>(SUMIFS(LS[Unit],LS[Investor ID],A31,LS[B/S],"B",LS[Date Value],"&gt;="&amp;$Z$2,LS[Date Value],"&lt;="&amp;$Z$3))+(SUMIFS(SIP[Unit],SIP[Investor ID],A31,SIP[B/S],"B",SIP[Date Value],"&gt;="&amp;$Z$2,SIP[Date Value],"&lt;="&amp;$Z$3))</f>
        <v>0</v>
      </c>
      <c r="K31" s="49">
        <f>(SUMIFS(LS[Amount],LS[Investor ID],A31,LS[B/S],"B",LS[Date Value],"&gt;="&amp;$Z$2,LS[Date Value],"&lt;="&amp;$Z$3))+(SUMIFS(SIP[Amount],SIP[Investor ID],A31,SIP[B/S],"B",SIP[Date Value],"&gt;="&amp;$Z$2,SIP[Date Value],"&lt;="&amp;$Z$3))</f>
        <v>0</v>
      </c>
      <c r="L31" s="47">
        <f>(-SUMIFS(LS[Unit],LS[Investor ID],A31,LS[B/S],"S",LS[Date Value],"&gt;="&amp;$Z$2,LS[Date Value],"&lt;="&amp;$Z$3))+(-SUMIFS(SIP[Unit],SIP[Investor ID],A31,SIP[B/S],"S",SIP[Date Value],"&gt;="&amp;$Z$2,SIP[Date Value],"&lt;="&amp;$Z$3))</f>
        <v>0</v>
      </c>
      <c r="M31" s="49">
        <f>(SUMIFS(LS[Cost of Units Sold],LS[Investor ID],A31,LS[B/S],"S",LS[Date Value],"&gt;="&amp;$Z$2,LS[Date Value],"&lt;="&amp;$Z$3))+(SUMIFS(SIP[Cost of Units Sold],SIP[Investor ID],A31,SIP[B/S],"S",SIP[Date Value],"&gt;="&amp;$Z$2,SIP[Date Value],"&lt;="&amp;$Z$3))</f>
        <v>0</v>
      </c>
      <c r="N31" s="49">
        <f t="shared" si="4"/>
        <v>0</v>
      </c>
      <c r="O31" s="49">
        <f>(SUMIFS(LS[Realized Gain],LS[Investor ID],A31,LS[Date Value],"&gt;="&amp;$Z$2,LS[Date Value],"&lt;="&amp;$Z$3))+(SUMIFS(SIP[Realized Gain],SIP[Investor ID],A31,SIP[Date Value],"&gt;="&amp;$Z$2,SIP[Date Value],"&lt;="&amp;$Z$3))</f>
        <v>0</v>
      </c>
      <c r="P31" s="49">
        <v>0</v>
      </c>
      <c r="Q31" s="49">
        <v>0</v>
      </c>
      <c r="R31" s="49">
        <v>0</v>
      </c>
    </row>
    <row r="32" spans="1:18">
      <c r="A32" t="s">
        <v>111</v>
      </c>
      <c r="B32" s="47">
        <f>SUMIFS(LS[Unit],LS[Investor ID],'TAX CERTIFICATE'!A32,LS[Date Value],"&lt;"&amp;$Z$2)+SUMIFS(SIP[Unit],SIP[Investor ID],'TAX CERTIFICATE'!A32,SIP[Date Value],"&lt;"&amp;$Z$2)</f>
        <v>0</v>
      </c>
      <c r="C32" s="48">
        <f>(SUMIFS(LS[Amount],LS[B/S],"B",LS[Investor ID],A32,LS[Date Value],"&lt;"&amp;$Z$2)-SUMIFS(LS[Cost of Units Sold],LS[B/S],"S",LS[Investor ID],A32,LS[Date Value],"&lt;"&amp;$Z$2))+(SUMIFS(SIP[Amount],SIP[B/S],"B",SIP[Investor ID],#REF!,SIP[Date Value],"&lt;"&amp;$Z$2)-SUMIFS(SIP[Cost of Units Sold],SIP[B/S],"S",SIP[Investor ID],A32,SIP[Date Value],"&lt;"&amp;$Z$2))</f>
        <v>0</v>
      </c>
      <c r="D32" s="49">
        <f t="shared" si="0"/>
        <v>0</v>
      </c>
      <c r="E32" s="49">
        <f t="shared" si="1"/>
        <v>0</v>
      </c>
      <c r="F32" s="47">
        <f>SUMIFS(LS[Unit],LS[Investor ID],A32,LS[Date Value],"&lt;="&amp;$Z$3)+SUMIFS(SIP[Unit],SIP[Investor ID],A32,SIP[Date Value],"&lt;="&amp;$Z$3)</f>
        <v>23471</v>
      </c>
      <c r="G32" s="49">
        <f>(SUMIFS(LS[Amount],LS[B/S],"B",LS[Investor ID],A32,LS[Date Value],"&lt;="&amp;$Z$3)-SUMIFS(LS[Cost of Units Sold],LS[B/S],"S",LS[Investor ID],A32,LS[Date Value],"&lt;="&amp;$Z$3))+(SUMIFS(SIP[Amount],SIP[B/S],"B",SIP[Investor ID],A32,SIP[Date Value],"&lt;="&amp;$Z$3)-SUMIFS(SIP[Cost of Units Sold],SIP[B/S],"S",SIP[Investor ID],A32,SIP[Date Value],"&lt;="&amp;$Z$3))</f>
        <v>250000</v>
      </c>
      <c r="H32" s="49">
        <f t="shared" si="2"/>
        <v>262030.24400000001</v>
      </c>
      <c r="I32" s="49">
        <f t="shared" si="3"/>
        <v>12030.244000000006</v>
      </c>
      <c r="J32" s="47">
        <f>(SUMIFS(LS[Unit],LS[Investor ID],A32,LS[B/S],"B",LS[Date Value],"&gt;="&amp;$Z$2,LS[Date Value],"&lt;="&amp;$Z$3))+(SUMIFS(SIP[Unit],SIP[Investor ID],A32,SIP[B/S],"B",SIP[Date Value],"&gt;="&amp;$Z$2,SIP[Date Value],"&lt;="&amp;$Z$3))</f>
        <v>23471</v>
      </c>
      <c r="K32" s="49">
        <f>(SUMIFS(LS[Amount],LS[Investor ID],A32,LS[B/S],"B",LS[Date Value],"&gt;="&amp;$Z$2,LS[Date Value],"&lt;="&amp;$Z$3))+(SUMIFS(SIP[Amount],SIP[Investor ID],A32,SIP[B/S],"B",SIP[Date Value],"&gt;="&amp;$Z$2,SIP[Date Value],"&lt;="&amp;$Z$3))</f>
        <v>250000</v>
      </c>
      <c r="L32" s="47">
        <f>(-SUMIFS(LS[Unit],LS[Investor ID],A32,LS[B/S],"S",LS[Date Value],"&gt;="&amp;$Z$2,LS[Date Value],"&lt;="&amp;$Z$3))+(-SUMIFS(SIP[Unit],SIP[Investor ID],A32,SIP[B/S],"S",SIP[Date Value],"&gt;="&amp;$Z$2,SIP[Date Value],"&lt;="&amp;$Z$3))</f>
        <v>0</v>
      </c>
      <c r="M32" s="49">
        <f>(SUMIFS(LS[Cost of Units Sold],LS[Investor ID],A32,LS[B/S],"S",LS[Date Value],"&gt;="&amp;$Z$2,LS[Date Value],"&lt;="&amp;$Z$3))+(SUMIFS(SIP[Cost of Units Sold],SIP[Investor ID],A32,SIP[B/S],"S",SIP[Date Value],"&gt;="&amp;$Z$2,SIP[Date Value],"&lt;="&amp;$Z$3))</f>
        <v>0</v>
      </c>
      <c r="N32" s="49">
        <f t="shared" si="4"/>
        <v>250000</v>
      </c>
      <c r="O32" s="49">
        <f>(SUMIFS(LS[Realized Gain],LS[Investor ID],A32,LS[Date Value],"&gt;="&amp;$Z$2,LS[Date Value],"&lt;="&amp;$Z$3))+(SUMIFS(SIP[Realized Gain],SIP[Investor ID],A32,SIP[Date Value],"&gt;="&amp;$Z$2,SIP[Date Value],"&lt;="&amp;$Z$3))</f>
        <v>0</v>
      </c>
      <c r="P32" s="49">
        <v>0</v>
      </c>
      <c r="Q32" s="49">
        <v>0</v>
      </c>
      <c r="R32" s="49">
        <v>0</v>
      </c>
    </row>
    <row r="33" spans="1:18">
      <c r="A33" t="s">
        <v>113</v>
      </c>
      <c r="B33" s="47">
        <f>SUMIFS(LS[Unit],LS[Investor ID],'TAX CERTIFICATE'!A33,LS[Date Value],"&lt;"&amp;$Z$2)+SUMIFS(SIP[Unit],SIP[Investor ID],'TAX CERTIFICATE'!A33,SIP[Date Value],"&lt;"&amp;$Z$2)</f>
        <v>487</v>
      </c>
      <c r="C33" s="48">
        <f>(SUMIFS(LS[Amount],LS[B/S],"B",LS[Investor ID],A33,LS[Date Value],"&lt;"&amp;$Z$2)-SUMIFS(LS[Cost of Units Sold],LS[B/S],"S",LS[Investor ID],A33,LS[Date Value],"&lt;"&amp;$Z$2))+(SUMIFS(SIP[Amount],SIP[B/S],"B",SIP[Investor ID],#REF!,SIP[Date Value],"&lt;"&amp;$Z$2)-SUMIFS(SIP[Cost of Units Sold],SIP[B/S],"S",SIP[Investor ID],A33,SIP[Date Value],"&lt;"&amp;$Z$2))</f>
        <v>0</v>
      </c>
      <c r="D33" s="49">
        <f t="shared" si="0"/>
        <v>5001.9770000000008</v>
      </c>
      <c r="E33" s="49">
        <f t="shared" si="1"/>
        <v>5001.9770000000008</v>
      </c>
      <c r="F33" s="47">
        <f>SUMIFS(LS[Unit],LS[Investor ID],A33,LS[Date Value],"&lt;="&amp;$Z$3)+SUMIFS(SIP[Unit],SIP[Investor ID],A33,SIP[Date Value],"&lt;="&amp;$Z$3)</f>
        <v>0</v>
      </c>
      <c r="G33" s="49">
        <f>(SUMIFS(LS[Amount],LS[B/S],"B",LS[Investor ID],A33,LS[Date Value],"&lt;="&amp;$Z$3)-SUMIFS(LS[Cost of Units Sold],LS[B/S],"S",LS[Investor ID],A33,LS[Date Value],"&lt;="&amp;$Z$3))+(SUMIFS(SIP[Amount],SIP[B/S],"B",SIP[Investor ID],A33,SIP[Date Value],"&lt;="&amp;$Z$3)-SUMIFS(SIP[Cost of Units Sold],SIP[B/S],"S",SIP[Investor ID],A33,SIP[Date Value],"&lt;="&amp;$Z$3))</f>
        <v>0</v>
      </c>
      <c r="H33" s="49">
        <f t="shared" si="2"/>
        <v>0</v>
      </c>
      <c r="I33" s="49">
        <f t="shared" si="3"/>
        <v>0</v>
      </c>
      <c r="J33" s="47">
        <f>(SUMIFS(LS[Unit],LS[Investor ID],A33,LS[B/S],"B",LS[Date Value],"&gt;="&amp;$Z$2,LS[Date Value],"&lt;="&amp;$Z$3))+(SUMIFS(SIP[Unit],SIP[Investor ID],A33,SIP[B/S],"B",SIP[Date Value],"&gt;="&amp;$Z$2,SIP[Date Value],"&lt;="&amp;$Z$3))</f>
        <v>483</v>
      </c>
      <c r="K33" s="49">
        <f>(SUMIFS(LS[Amount],LS[Investor ID],A33,LS[B/S],"B",LS[Date Value],"&gt;="&amp;$Z$2,LS[Date Value],"&lt;="&amp;$Z$3))+(SUMIFS(SIP[Amount],SIP[Investor ID],A33,SIP[B/S],"B",SIP[Date Value],"&gt;="&amp;$Z$2,SIP[Date Value],"&lt;="&amp;$Z$3))</f>
        <v>5000</v>
      </c>
      <c r="L33" s="47">
        <f>(-SUMIFS(LS[Unit],LS[Investor ID],A33,LS[B/S],"S",LS[Date Value],"&gt;="&amp;$Z$2,LS[Date Value],"&lt;="&amp;$Z$3))+(-SUMIFS(SIP[Unit],SIP[Investor ID],A33,SIP[B/S],"S",SIP[Date Value],"&gt;="&amp;$Z$2,SIP[Date Value],"&lt;="&amp;$Z$3))</f>
        <v>970</v>
      </c>
      <c r="M33" s="49">
        <f>(SUMIFS(LS[Cost of Units Sold],LS[Investor ID],A33,LS[B/S],"S",LS[Date Value],"&gt;="&amp;$Z$2,LS[Date Value],"&lt;="&amp;$Z$3))+(SUMIFS(SIP[Cost of Units Sold],SIP[Investor ID],A33,SIP[B/S],"S",SIP[Date Value],"&gt;="&amp;$Z$2,SIP[Date Value],"&lt;="&amp;$Z$3))</f>
        <v>10000</v>
      </c>
      <c r="N33" s="49">
        <f t="shared" si="4"/>
        <v>-5000</v>
      </c>
      <c r="O33" s="49">
        <f>(SUMIFS(LS[Realized Gain],LS[Investor ID],A33,LS[Date Value],"&gt;="&amp;$Z$2,LS[Date Value],"&lt;="&amp;$Z$3))+(SUMIFS(SIP[Realized Gain],SIP[Investor ID],A33,SIP[Date Value],"&gt;="&amp;$Z$2,SIP[Date Value],"&lt;="&amp;$Z$3))</f>
        <v>20.969999999999885</v>
      </c>
      <c r="P33" s="49">
        <v>0</v>
      </c>
      <c r="Q33" s="49">
        <v>0</v>
      </c>
      <c r="R33" s="49">
        <v>0</v>
      </c>
    </row>
    <row r="34" spans="1:18">
      <c r="A34" t="s">
        <v>115</v>
      </c>
      <c r="B34" s="47">
        <f>SUMIFS(LS[Unit],LS[Investor ID],'TAX CERTIFICATE'!A34,LS[Date Value],"&lt;"&amp;$Z$2)+SUMIFS(SIP[Unit],SIP[Investor ID],'TAX CERTIFICATE'!A34,SIP[Date Value],"&lt;"&amp;$Z$2)</f>
        <v>0</v>
      </c>
      <c r="C34" s="48">
        <f>(SUMIFS(LS[Amount],LS[B/S],"B",LS[Investor ID],A34,LS[Date Value],"&lt;"&amp;$Z$2)-SUMIFS(LS[Cost of Units Sold],LS[B/S],"S",LS[Investor ID],A34,LS[Date Value],"&lt;"&amp;$Z$2))+(SUMIFS(SIP[Amount],SIP[B/S],"B",SIP[Investor ID],#REF!,SIP[Date Value],"&lt;"&amp;$Z$2)-SUMIFS(SIP[Cost of Units Sold],SIP[B/S],"S",SIP[Investor ID],A34,SIP[Date Value],"&lt;"&amp;$Z$2))</f>
        <v>0</v>
      </c>
      <c r="D34" s="49">
        <f t="shared" si="0"/>
        <v>0</v>
      </c>
      <c r="E34" s="49">
        <f t="shared" si="1"/>
        <v>0</v>
      </c>
      <c r="F34" s="47">
        <f>SUMIFS(LS[Unit],LS[Investor ID],A34,LS[Date Value],"&lt;="&amp;$Z$3)+SUMIFS(SIP[Unit],SIP[Investor ID],A34,SIP[Date Value],"&lt;="&amp;$Z$3)</f>
        <v>32777</v>
      </c>
      <c r="G34" s="49">
        <f>(SUMIFS(LS[Amount],LS[B/S],"B",LS[Investor ID],A34,LS[Date Value],"&lt;="&amp;$Z$3)-SUMIFS(LS[Cost of Units Sold],LS[B/S],"S",LS[Investor ID],A34,LS[Date Value],"&lt;="&amp;$Z$3))+(SUMIFS(SIP[Amount],SIP[B/S],"B",SIP[Investor ID],A34,SIP[Date Value],"&lt;="&amp;$Z$3)-SUMIFS(SIP[Cost of Units Sold],SIP[B/S],"S",SIP[Investor ID],A34,SIP[Date Value],"&lt;="&amp;$Z$3))</f>
        <v>365000</v>
      </c>
      <c r="H34" s="49">
        <f t="shared" si="2"/>
        <v>365922.42800000001</v>
      </c>
      <c r="I34" s="49">
        <f t="shared" si="3"/>
        <v>922.42800000001444</v>
      </c>
      <c r="J34" s="47">
        <f>(SUMIFS(LS[Unit],LS[Investor ID],A34,LS[B/S],"B",LS[Date Value],"&gt;="&amp;$Z$2,LS[Date Value],"&lt;="&amp;$Z$3))+(SUMIFS(SIP[Unit],SIP[Investor ID],A34,SIP[B/S],"B",SIP[Date Value],"&gt;="&amp;$Z$2,SIP[Date Value],"&lt;="&amp;$Z$3))</f>
        <v>32777</v>
      </c>
      <c r="K34" s="49">
        <f>(SUMIFS(LS[Amount],LS[Investor ID],A34,LS[B/S],"B",LS[Date Value],"&gt;="&amp;$Z$2,LS[Date Value],"&lt;="&amp;$Z$3))+(SUMIFS(SIP[Amount],SIP[Investor ID],A34,SIP[B/S],"B",SIP[Date Value],"&gt;="&amp;$Z$2,SIP[Date Value],"&lt;="&amp;$Z$3))</f>
        <v>365000</v>
      </c>
      <c r="L34" s="47">
        <f>(-SUMIFS(LS[Unit],LS[Investor ID],A34,LS[B/S],"S",LS[Date Value],"&gt;="&amp;$Z$2,LS[Date Value],"&lt;="&amp;$Z$3))+(-SUMIFS(SIP[Unit],SIP[Investor ID],A34,SIP[B/S],"S",SIP[Date Value],"&gt;="&amp;$Z$2,SIP[Date Value],"&lt;="&amp;$Z$3))</f>
        <v>0</v>
      </c>
      <c r="M34" s="49">
        <f>(SUMIFS(LS[Cost of Units Sold],LS[Investor ID],A34,LS[B/S],"S",LS[Date Value],"&gt;="&amp;$Z$2,LS[Date Value],"&lt;="&amp;$Z$3))+(SUMIFS(SIP[Cost of Units Sold],SIP[Investor ID],A34,SIP[B/S],"S",SIP[Date Value],"&gt;="&amp;$Z$2,SIP[Date Value],"&lt;="&amp;$Z$3))</f>
        <v>0</v>
      </c>
      <c r="N34" s="49">
        <f t="shared" si="4"/>
        <v>365000</v>
      </c>
      <c r="O34" s="49">
        <f>(SUMIFS(LS[Realized Gain],LS[Investor ID],A34,LS[Date Value],"&gt;="&amp;$Z$2,LS[Date Value],"&lt;="&amp;$Z$3))+(SUMIFS(SIP[Realized Gain],SIP[Investor ID],A34,SIP[Date Value],"&gt;="&amp;$Z$2,SIP[Date Value],"&lt;="&amp;$Z$3))</f>
        <v>0</v>
      </c>
      <c r="P34" s="49">
        <v>0</v>
      </c>
      <c r="Q34" s="49">
        <v>0</v>
      </c>
      <c r="R34" s="49">
        <v>0</v>
      </c>
    </row>
    <row r="35" spans="1:18">
      <c r="A35" t="s">
        <v>117</v>
      </c>
      <c r="B35" s="47">
        <f>SUMIFS(LS[Unit],LS[Investor ID],'TAX CERTIFICATE'!A35,LS[Date Value],"&lt;"&amp;$Z$2)+SUMIFS(SIP[Unit],SIP[Investor ID],'TAX CERTIFICATE'!A35,SIP[Date Value],"&lt;"&amp;$Z$2)</f>
        <v>0</v>
      </c>
      <c r="C35" s="48">
        <f>(SUMIFS(LS[Amount],LS[B/S],"B",LS[Investor ID],A35,LS[Date Value],"&lt;"&amp;$Z$2)-SUMIFS(LS[Cost of Units Sold],LS[B/S],"S",LS[Investor ID],A35,LS[Date Value],"&lt;"&amp;$Z$2))+(SUMIFS(SIP[Amount],SIP[B/S],"B",SIP[Investor ID],#REF!,SIP[Date Value],"&lt;"&amp;$Z$2)-SUMIFS(SIP[Cost of Units Sold],SIP[B/S],"S",SIP[Investor ID],A35,SIP[Date Value],"&lt;"&amp;$Z$2))</f>
        <v>0</v>
      </c>
      <c r="D35" s="49">
        <f t="shared" si="0"/>
        <v>0</v>
      </c>
      <c r="E35" s="49">
        <f t="shared" si="1"/>
        <v>0</v>
      </c>
      <c r="F35" s="47">
        <f>SUMIFS(LS[Unit],LS[Investor ID],A35,LS[Date Value],"&lt;="&amp;$Z$3)+SUMIFS(SIP[Unit],SIP[Investor ID],A35,SIP[Date Value],"&lt;="&amp;$Z$3)</f>
        <v>0</v>
      </c>
      <c r="G35" s="49">
        <f>(SUMIFS(LS[Amount],LS[B/S],"B",LS[Investor ID],A35,LS[Date Value],"&lt;="&amp;$Z$3)-SUMIFS(LS[Cost of Units Sold],LS[B/S],"S",LS[Investor ID],A35,LS[Date Value],"&lt;="&amp;$Z$3))+(SUMIFS(SIP[Amount],SIP[B/S],"B",SIP[Investor ID],A35,SIP[Date Value],"&lt;="&amp;$Z$3)-SUMIFS(SIP[Cost of Units Sold],SIP[B/S],"S",SIP[Investor ID],A35,SIP[Date Value],"&lt;="&amp;$Z$3))</f>
        <v>0</v>
      </c>
      <c r="H35" s="49">
        <f t="shared" si="2"/>
        <v>0</v>
      </c>
      <c r="I35" s="49">
        <f t="shared" si="3"/>
        <v>0</v>
      </c>
      <c r="J35" s="47">
        <f>(SUMIFS(LS[Unit],LS[Investor ID],A35,LS[B/S],"B",LS[Date Value],"&gt;="&amp;$Z$2,LS[Date Value],"&lt;="&amp;$Z$3))+(SUMIFS(SIP[Unit],SIP[Investor ID],A35,SIP[B/S],"B",SIP[Date Value],"&gt;="&amp;$Z$2,SIP[Date Value],"&lt;="&amp;$Z$3))</f>
        <v>0</v>
      </c>
      <c r="K35" s="49">
        <f>(SUMIFS(LS[Amount],LS[Investor ID],A35,LS[B/S],"B",LS[Date Value],"&gt;="&amp;$Z$2,LS[Date Value],"&lt;="&amp;$Z$3))+(SUMIFS(SIP[Amount],SIP[Investor ID],A35,SIP[B/S],"B",SIP[Date Value],"&gt;="&amp;$Z$2,SIP[Date Value],"&lt;="&amp;$Z$3))</f>
        <v>0</v>
      </c>
      <c r="L35" s="47">
        <f>(-SUMIFS(LS[Unit],LS[Investor ID],A35,LS[B/S],"S",LS[Date Value],"&gt;="&amp;$Z$2,LS[Date Value],"&lt;="&amp;$Z$3))+(-SUMIFS(SIP[Unit],SIP[Investor ID],A35,SIP[B/S],"S",SIP[Date Value],"&gt;="&amp;$Z$2,SIP[Date Value],"&lt;="&amp;$Z$3))</f>
        <v>0</v>
      </c>
      <c r="M35" s="49">
        <f>(SUMIFS(LS[Cost of Units Sold],LS[Investor ID],A35,LS[B/S],"S",LS[Date Value],"&gt;="&amp;$Z$2,LS[Date Value],"&lt;="&amp;$Z$3))+(SUMIFS(SIP[Cost of Units Sold],SIP[Investor ID],A35,SIP[B/S],"S",SIP[Date Value],"&gt;="&amp;$Z$2,SIP[Date Value],"&lt;="&amp;$Z$3))</f>
        <v>0</v>
      </c>
      <c r="N35" s="49">
        <f t="shared" si="4"/>
        <v>0</v>
      </c>
      <c r="O35" s="49">
        <f>(SUMIFS(LS[Realized Gain],LS[Investor ID],A35,LS[Date Value],"&gt;="&amp;$Z$2,LS[Date Value],"&lt;="&amp;$Z$3))+(SUMIFS(SIP[Realized Gain],SIP[Investor ID],A35,SIP[Date Value],"&gt;="&amp;$Z$2,SIP[Date Value],"&lt;="&amp;$Z$3))</f>
        <v>0</v>
      </c>
      <c r="P35" s="49">
        <v>0</v>
      </c>
      <c r="Q35" s="49">
        <v>0</v>
      </c>
      <c r="R35" s="49">
        <v>0</v>
      </c>
    </row>
    <row r="36" spans="1:18">
      <c r="A36" t="s">
        <v>119</v>
      </c>
      <c r="B36" s="47">
        <f>SUMIFS(LS[Unit],LS[Investor ID],'TAX CERTIFICATE'!A36,LS[Date Value],"&lt;"&amp;$Z$2)+SUMIFS(SIP[Unit],SIP[Investor ID],'TAX CERTIFICATE'!A36,SIP[Date Value],"&lt;"&amp;$Z$2)</f>
        <v>0</v>
      </c>
      <c r="C36" s="48">
        <f>(SUMIFS(LS[Amount],LS[B/S],"B",LS[Investor ID],A36,LS[Date Value],"&lt;"&amp;$Z$2)-SUMIFS(LS[Cost of Units Sold],LS[B/S],"S",LS[Investor ID],A36,LS[Date Value],"&lt;"&amp;$Z$2))+(SUMIFS(SIP[Amount],SIP[B/S],"B",SIP[Investor ID],#REF!,SIP[Date Value],"&lt;"&amp;$Z$2)-SUMIFS(SIP[Cost of Units Sold],SIP[B/S],"S",SIP[Investor ID],A36,SIP[Date Value],"&lt;"&amp;$Z$2))</f>
        <v>0</v>
      </c>
      <c r="D36" s="49">
        <f t="shared" si="0"/>
        <v>0</v>
      </c>
      <c r="E36" s="49">
        <f t="shared" si="1"/>
        <v>0</v>
      </c>
      <c r="F36" s="47">
        <f>SUMIFS(LS[Unit],LS[Investor ID],A36,LS[Date Value],"&lt;="&amp;$Z$3)+SUMIFS(SIP[Unit],SIP[Investor ID],A36,SIP[Date Value],"&lt;="&amp;$Z$3)</f>
        <v>0</v>
      </c>
      <c r="G36" s="49">
        <f>(SUMIFS(LS[Amount],LS[B/S],"B",LS[Investor ID],A36,LS[Date Value],"&lt;="&amp;$Z$3)-SUMIFS(LS[Cost of Units Sold],LS[B/S],"S",LS[Investor ID],A36,LS[Date Value],"&lt;="&amp;$Z$3))+(SUMIFS(SIP[Amount],SIP[B/S],"B",SIP[Investor ID],A36,SIP[Date Value],"&lt;="&amp;$Z$3)-SUMIFS(SIP[Cost of Units Sold],SIP[B/S],"S",SIP[Investor ID],A36,SIP[Date Value],"&lt;="&amp;$Z$3))</f>
        <v>0</v>
      </c>
      <c r="H36" s="49">
        <f t="shared" si="2"/>
        <v>0</v>
      </c>
      <c r="I36" s="49">
        <f t="shared" si="3"/>
        <v>0</v>
      </c>
      <c r="J36" s="47">
        <f>(SUMIFS(LS[Unit],LS[Investor ID],A36,LS[B/S],"B",LS[Date Value],"&gt;="&amp;$Z$2,LS[Date Value],"&lt;="&amp;$Z$3))+(SUMIFS(SIP[Unit],SIP[Investor ID],A36,SIP[B/S],"B",SIP[Date Value],"&gt;="&amp;$Z$2,SIP[Date Value],"&lt;="&amp;$Z$3))</f>
        <v>0</v>
      </c>
      <c r="K36" s="49">
        <f>(SUMIFS(LS[Amount],LS[Investor ID],A36,LS[B/S],"B",LS[Date Value],"&gt;="&amp;$Z$2,LS[Date Value],"&lt;="&amp;$Z$3))+(SUMIFS(SIP[Amount],SIP[Investor ID],A36,SIP[B/S],"B",SIP[Date Value],"&gt;="&amp;$Z$2,SIP[Date Value],"&lt;="&amp;$Z$3))</f>
        <v>0</v>
      </c>
      <c r="L36" s="47">
        <f>(-SUMIFS(LS[Unit],LS[Investor ID],A36,LS[B/S],"S",LS[Date Value],"&gt;="&amp;$Z$2,LS[Date Value],"&lt;="&amp;$Z$3))+(-SUMIFS(SIP[Unit],SIP[Investor ID],A36,SIP[B/S],"S",SIP[Date Value],"&gt;="&amp;$Z$2,SIP[Date Value],"&lt;="&amp;$Z$3))</f>
        <v>0</v>
      </c>
      <c r="M36" s="49">
        <f>(SUMIFS(LS[Cost of Units Sold],LS[Investor ID],A36,LS[B/S],"S",LS[Date Value],"&gt;="&amp;$Z$2,LS[Date Value],"&lt;="&amp;$Z$3))+(SUMIFS(SIP[Cost of Units Sold],SIP[Investor ID],A36,SIP[B/S],"S",SIP[Date Value],"&gt;="&amp;$Z$2,SIP[Date Value],"&lt;="&amp;$Z$3))</f>
        <v>0</v>
      </c>
      <c r="N36" s="49">
        <f t="shared" si="4"/>
        <v>0</v>
      </c>
      <c r="O36" s="49">
        <f>(SUMIFS(LS[Realized Gain],LS[Investor ID],A36,LS[Date Value],"&gt;="&amp;$Z$2,LS[Date Value],"&lt;="&amp;$Z$3))+(SUMIFS(SIP[Realized Gain],SIP[Investor ID],A36,SIP[Date Value],"&gt;="&amp;$Z$2,SIP[Date Value],"&lt;="&amp;$Z$3))</f>
        <v>0</v>
      </c>
      <c r="P36" s="49">
        <v>0</v>
      </c>
      <c r="Q36" s="49">
        <v>0</v>
      </c>
      <c r="R36" s="49">
        <v>0</v>
      </c>
    </row>
    <row r="37" spans="1:18">
      <c r="A37" t="s">
        <v>121</v>
      </c>
      <c r="B37" s="47">
        <f>SUMIFS(LS[Unit],LS[Investor ID],'TAX CERTIFICATE'!A37,LS[Date Value],"&lt;"&amp;$Z$2)+SUMIFS(SIP[Unit],SIP[Investor ID],'TAX CERTIFICATE'!A37,SIP[Date Value],"&lt;"&amp;$Z$2)</f>
        <v>0</v>
      </c>
      <c r="C37" s="48">
        <f>(SUMIFS(LS[Amount],LS[B/S],"B",LS[Investor ID],A37,LS[Date Value],"&lt;"&amp;$Z$2)-SUMIFS(LS[Cost of Units Sold],LS[B/S],"S",LS[Investor ID],A37,LS[Date Value],"&lt;"&amp;$Z$2))+(SUMIFS(SIP[Amount],SIP[B/S],"B",SIP[Investor ID],#REF!,SIP[Date Value],"&lt;"&amp;$Z$2)-SUMIFS(SIP[Cost of Units Sold],SIP[B/S],"S",SIP[Investor ID],A37,SIP[Date Value],"&lt;"&amp;$Z$2))</f>
        <v>0</v>
      </c>
      <c r="D37" s="49">
        <f t="shared" si="0"/>
        <v>0</v>
      </c>
      <c r="E37" s="49">
        <f t="shared" si="1"/>
        <v>0</v>
      </c>
      <c r="F37" s="47">
        <f>SUMIFS(LS[Unit],LS[Investor ID],A37,LS[Date Value],"&lt;="&amp;$Z$3)+SUMIFS(SIP[Unit],SIP[Investor ID],A37,SIP[Date Value],"&lt;="&amp;$Z$3)</f>
        <v>0</v>
      </c>
      <c r="G37" s="49">
        <f>(SUMIFS(LS[Amount],LS[B/S],"B",LS[Investor ID],A37,LS[Date Value],"&lt;="&amp;$Z$3)-SUMIFS(LS[Cost of Units Sold],LS[B/S],"S",LS[Investor ID],A37,LS[Date Value],"&lt;="&amp;$Z$3))+(SUMIFS(SIP[Amount],SIP[B/S],"B",SIP[Investor ID],A37,SIP[Date Value],"&lt;="&amp;$Z$3)-SUMIFS(SIP[Cost of Units Sold],SIP[B/S],"S",SIP[Investor ID],A37,SIP[Date Value],"&lt;="&amp;$Z$3))</f>
        <v>0</v>
      </c>
      <c r="H37" s="49">
        <f t="shared" si="2"/>
        <v>0</v>
      </c>
      <c r="I37" s="49">
        <f t="shared" si="3"/>
        <v>0</v>
      </c>
      <c r="J37" s="47">
        <f>(SUMIFS(LS[Unit],LS[Investor ID],A37,LS[B/S],"B",LS[Date Value],"&gt;="&amp;$Z$2,LS[Date Value],"&lt;="&amp;$Z$3))+(SUMIFS(SIP[Unit],SIP[Investor ID],A37,SIP[B/S],"B",SIP[Date Value],"&gt;="&amp;$Z$2,SIP[Date Value],"&lt;="&amp;$Z$3))</f>
        <v>0</v>
      </c>
      <c r="K37" s="49">
        <f>(SUMIFS(LS[Amount],LS[Investor ID],A37,LS[B/S],"B",LS[Date Value],"&gt;="&amp;$Z$2,LS[Date Value],"&lt;="&amp;$Z$3))+(SUMIFS(SIP[Amount],SIP[Investor ID],A37,SIP[B/S],"B",SIP[Date Value],"&gt;="&amp;$Z$2,SIP[Date Value],"&lt;="&amp;$Z$3))</f>
        <v>0</v>
      </c>
      <c r="L37" s="47">
        <f>(-SUMIFS(LS[Unit],LS[Investor ID],A37,LS[B/S],"S",LS[Date Value],"&gt;="&amp;$Z$2,LS[Date Value],"&lt;="&amp;$Z$3))+(-SUMIFS(SIP[Unit],SIP[Investor ID],A37,SIP[B/S],"S",SIP[Date Value],"&gt;="&amp;$Z$2,SIP[Date Value],"&lt;="&amp;$Z$3))</f>
        <v>0</v>
      </c>
      <c r="M37" s="49">
        <f>(SUMIFS(LS[Cost of Units Sold],LS[Investor ID],A37,LS[B/S],"S",LS[Date Value],"&gt;="&amp;$Z$2,LS[Date Value],"&lt;="&amp;$Z$3))+(SUMIFS(SIP[Cost of Units Sold],SIP[Investor ID],A37,SIP[B/S],"S",SIP[Date Value],"&gt;="&amp;$Z$2,SIP[Date Value],"&lt;="&amp;$Z$3))</f>
        <v>0</v>
      </c>
      <c r="N37" s="49">
        <f t="shared" si="4"/>
        <v>0</v>
      </c>
      <c r="O37" s="49">
        <f>(SUMIFS(LS[Realized Gain],LS[Investor ID],A37,LS[Date Value],"&gt;="&amp;$Z$2,LS[Date Value],"&lt;="&amp;$Z$3))+(SUMIFS(SIP[Realized Gain],SIP[Investor ID],A37,SIP[Date Value],"&gt;="&amp;$Z$2,SIP[Date Value],"&lt;="&amp;$Z$3))</f>
        <v>0</v>
      </c>
      <c r="P37" s="49">
        <v>0</v>
      </c>
      <c r="Q37" s="49">
        <v>0</v>
      </c>
      <c r="R37" s="49">
        <v>0</v>
      </c>
    </row>
    <row r="38" spans="1:18">
      <c r="A38" t="s">
        <v>123</v>
      </c>
      <c r="B38" s="47">
        <f>SUMIFS(LS[Unit],LS[Investor ID],'TAX CERTIFICATE'!A38,LS[Date Value],"&lt;"&amp;$Z$2)+SUMIFS(SIP[Unit],SIP[Investor ID],'TAX CERTIFICATE'!A38,SIP[Date Value],"&lt;"&amp;$Z$2)</f>
        <v>0</v>
      </c>
      <c r="C38" s="48">
        <f>(SUMIFS(LS[Amount],LS[B/S],"B",LS[Investor ID],A38,LS[Date Value],"&lt;"&amp;$Z$2)-SUMIFS(LS[Cost of Units Sold],LS[B/S],"S",LS[Investor ID],A38,LS[Date Value],"&lt;"&amp;$Z$2))+(SUMIFS(SIP[Amount],SIP[B/S],"B",SIP[Investor ID],#REF!,SIP[Date Value],"&lt;"&amp;$Z$2)-SUMIFS(SIP[Cost of Units Sold],SIP[B/S],"S",SIP[Investor ID],A38,SIP[Date Value],"&lt;"&amp;$Z$2))</f>
        <v>0</v>
      </c>
      <c r="D38" s="49">
        <f t="shared" si="0"/>
        <v>0</v>
      </c>
      <c r="E38" s="49">
        <f t="shared" si="1"/>
        <v>0</v>
      </c>
      <c r="F38" s="47">
        <f>SUMIFS(LS[Unit],LS[Investor ID],A38,LS[Date Value],"&lt;="&amp;$Z$3)+SUMIFS(SIP[Unit],SIP[Investor ID],A38,SIP[Date Value],"&lt;="&amp;$Z$3)</f>
        <v>0</v>
      </c>
      <c r="G38" s="49">
        <f>(SUMIFS(LS[Amount],LS[B/S],"B",LS[Investor ID],A38,LS[Date Value],"&lt;="&amp;$Z$3)-SUMIFS(LS[Cost of Units Sold],LS[B/S],"S",LS[Investor ID],A38,LS[Date Value],"&lt;="&amp;$Z$3))+(SUMIFS(SIP[Amount],SIP[B/S],"B",SIP[Investor ID],A38,SIP[Date Value],"&lt;="&amp;$Z$3)-SUMIFS(SIP[Cost of Units Sold],SIP[B/S],"S",SIP[Investor ID],A38,SIP[Date Value],"&lt;="&amp;$Z$3))</f>
        <v>0</v>
      </c>
      <c r="H38" s="49">
        <f t="shared" si="2"/>
        <v>0</v>
      </c>
      <c r="I38" s="49">
        <f t="shared" si="3"/>
        <v>0</v>
      </c>
      <c r="J38" s="47">
        <f>(SUMIFS(LS[Unit],LS[Investor ID],A38,LS[B/S],"B",LS[Date Value],"&gt;="&amp;$Z$2,LS[Date Value],"&lt;="&amp;$Z$3))+(SUMIFS(SIP[Unit],SIP[Investor ID],A38,SIP[B/S],"B",SIP[Date Value],"&gt;="&amp;$Z$2,SIP[Date Value],"&lt;="&amp;$Z$3))</f>
        <v>0</v>
      </c>
      <c r="K38" s="49">
        <f>(SUMIFS(LS[Amount],LS[Investor ID],A38,LS[B/S],"B",LS[Date Value],"&gt;="&amp;$Z$2,LS[Date Value],"&lt;="&amp;$Z$3))+(SUMIFS(SIP[Amount],SIP[Investor ID],A38,SIP[B/S],"B",SIP[Date Value],"&gt;="&amp;$Z$2,SIP[Date Value],"&lt;="&amp;$Z$3))</f>
        <v>0</v>
      </c>
      <c r="L38" s="47">
        <f>(-SUMIFS(LS[Unit],LS[Investor ID],A38,LS[B/S],"S",LS[Date Value],"&gt;="&amp;$Z$2,LS[Date Value],"&lt;="&amp;$Z$3))+(-SUMIFS(SIP[Unit],SIP[Investor ID],A38,SIP[B/S],"S",SIP[Date Value],"&gt;="&amp;$Z$2,SIP[Date Value],"&lt;="&amp;$Z$3))</f>
        <v>0</v>
      </c>
      <c r="M38" s="49">
        <f>(SUMIFS(LS[Cost of Units Sold],LS[Investor ID],A38,LS[B/S],"S",LS[Date Value],"&gt;="&amp;$Z$2,LS[Date Value],"&lt;="&amp;$Z$3))+(SUMIFS(SIP[Cost of Units Sold],SIP[Investor ID],A38,SIP[B/S],"S",SIP[Date Value],"&gt;="&amp;$Z$2,SIP[Date Value],"&lt;="&amp;$Z$3))</f>
        <v>0</v>
      </c>
      <c r="N38" s="49">
        <f t="shared" si="4"/>
        <v>0</v>
      </c>
      <c r="O38" s="49">
        <f>(SUMIFS(LS[Realized Gain],LS[Investor ID],A38,LS[Date Value],"&gt;="&amp;$Z$2,LS[Date Value],"&lt;="&amp;$Z$3))+(SUMIFS(SIP[Realized Gain],SIP[Investor ID],A38,SIP[Date Value],"&gt;="&amp;$Z$2,SIP[Date Value],"&lt;="&amp;$Z$3))</f>
        <v>0</v>
      </c>
      <c r="P38" s="49">
        <v>0</v>
      </c>
      <c r="Q38" s="49">
        <v>0</v>
      </c>
      <c r="R38" s="49">
        <v>0</v>
      </c>
    </row>
    <row r="39" spans="1:18">
      <c r="A39" t="s">
        <v>125</v>
      </c>
      <c r="B39" s="47">
        <f>SUMIFS(LS[Unit],LS[Investor ID],'TAX CERTIFICATE'!A39,LS[Date Value],"&lt;"&amp;$Z$2)+SUMIFS(SIP[Unit],SIP[Investor ID],'TAX CERTIFICATE'!A39,SIP[Date Value],"&lt;"&amp;$Z$2)</f>
        <v>15119</v>
      </c>
      <c r="C39" s="48">
        <f>(SUMIFS(LS[Amount],LS[B/S],"B",LS[Investor ID],A39,LS[Date Value],"&lt;"&amp;$Z$2)-SUMIFS(LS[Cost of Units Sold],LS[B/S],"S",LS[Investor ID],A39,LS[Date Value],"&lt;"&amp;$Z$2))+(SUMIFS(SIP[Amount],SIP[B/S],"B",SIP[Investor ID],#REF!,SIP[Date Value],"&lt;"&amp;$Z$2)-SUMIFS(SIP[Cost of Units Sold],SIP[B/S],"S",SIP[Investor ID],A39,SIP[Date Value],"&lt;"&amp;$Z$2))</f>
        <v>150000</v>
      </c>
      <c r="D39" s="49">
        <f t="shared" si="0"/>
        <v>155287.24900000001</v>
      </c>
      <c r="E39" s="49">
        <f t="shared" si="1"/>
        <v>5287.2490000000107</v>
      </c>
      <c r="F39" s="47">
        <f>SUMIFS(LS[Unit],LS[Investor ID],A39,LS[Date Value],"&lt;="&amp;$Z$3)+SUMIFS(SIP[Unit],SIP[Investor ID],A39,SIP[Date Value],"&lt;="&amp;$Z$3)</f>
        <v>9999</v>
      </c>
      <c r="G39" s="49">
        <f>(SUMIFS(LS[Amount],LS[B/S],"B",LS[Investor ID],A39,LS[Date Value],"&lt;="&amp;$Z$3)-SUMIFS(LS[Cost of Units Sold],LS[B/S],"S",LS[Investor ID],A39,LS[Date Value],"&lt;="&amp;$Z$3))+(SUMIFS(SIP[Amount],SIP[B/S],"B",SIP[Investor ID],A39,SIP[Date Value],"&lt;="&amp;$Z$3)-SUMIFS(SIP[Cost of Units Sold],SIP[B/S],"S",SIP[Investor ID],A39,SIP[Date Value],"&lt;="&amp;$Z$3))</f>
        <v>110000</v>
      </c>
      <c r="H39" s="49">
        <f t="shared" si="2"/>
        <v>111628.836</v>
      </c>
      <c r="I39" s="49">
        <f t="shared" si="3"/>
        <v>1628.8359999999957</v>
      </c>
      <c r="J39" s="47">
        <f>(SUMIFS(LS[Unit],LS[Investor ID],A39,LS[B/S],"B",LS[Date Value],"&gt;="&amp;$Z$2,LS[Date Value],"&lt;="&amp;$Z$3))+(SUMIFS(SIP[Unit],SIP[Investor ID],A39,SIP[B/S],"B",SIP[Date Value],"&gt;="&amp;$Z$2,SIP[Date Value],"&lt;="&amp;$Z$3))</f>
        <v>11447</v>
      </c>
      <c r="K39" s="49">
        <f>(SUMIFS(LS[Amount],LS[Investor ID],A39,LS[B/S],"B",LS[Date Value],"&gt;="&amp;$Z$2,LS[Date Value],"&lt;="&amp;$Z$3))+(SUMIFS(SIP[Amount],SIP[Investor ID],A39,SIP[B/S],"B",SIP[Date Value],"&gt;="&amp;$Z$2,SIP[Date Value],"&lt;="&amp;$Z$3))</f>
        <v>125000</v>
      </c>
      <c r="L39" s="47">
        <f>(-SUMIFS(LS[Unit],LS[Investor ID],A39,LS[B/S],"S",LS[Date Value],"&gt;="&amp;$Z$2,LS[Date Value],"&lt;="&amp;$Z$3))+(-SUMIFS(SIP[Unit],SIP[Investor ID],A39,SIP[B/S],"S",SIP[Date Value],"&gt;="&amp;$Z$2,SIP[Date Value],"&lt;="&amp;$Z$3))</f>
        <v>16567</v>
      </c>
      <c r="M39" s="49">
        <f>(SUMIFS(LS[Cost of Units Sold],LS[Investor ID],A39,LS[B/S],"S",LS[Date Value],"&gt;="&amp;$Z$2,LS[Date Value],"&lt;="&amp;$Z$3))+(SUMIFS(SIP[Cost of Units Sold],SIP[Investor ID],A39,SIP[B/S],"S",SIP[Date Value],"&gt;="&amp;$Z$2,SIP[Date Value],"&lt;="&amp;$Z$3))</f>
        <v>170000</v>
      </c>
      <c r="N39" s="49">
        <f t="shared" si="4"/>
        <v>-45000</v>
      </c>
      <c r="O39" s="49">
        <f>(SUMIFS(LS[Realized Gain],LS[Investor ID],A39,LS[Date Value],"&gt;="&amp;$Z$2,LS[Date Value],"&lt;="&amp;$Z$3))+(SUMIFS(SIP[Realized Gain],SIP[Investor ID],A39,SIP[Date Value],"&gt;="&amp;$Z$2,SIP[Date Value],"&lt;="&amp;$Z$3))</f>
        <v>3406.7890000000189</v>
      </c>
      <c r="P39" s="49">
        <v>0</v>
      </c>
      <c r="Q39" s="49">
        <v>0</v>
      </c>
      <c r="R39" s="49">
        <v>0</v>
      </c>
    </row>
    <row r="40" spans="1:18">
      <c r="A40" t="s">
        <v>127</v>
      </c>
      <c r="B40" s="47">
        <f>SUMIFS(LS[Unit],LS[Investor ID],'TAX CERTIFICATE'!A40,LS[Date Value],"&lt;"&amp;$Z$2)+SUMIFS(SIP[Unit],SIP[Investor ID],'TAX CERTIFICATE'!A40,SIP[Date Value],"&lt;"&amp;$Z$2)</f>
        <v>0</v>
      </c>
      <c r="C40" s="48">
        <f>(SUMIFS(LS[Amount],LS[B/S],"B",LS[Investor ID],A40,LS[Date Value],"&lt;"&amp;$Z$2)-SUMIFS(LS[Cost of Units Sold],LS[B/S],"S",LS[Investor ID],A40,LS[Date Value],"&lt;"&amp;$Z$2))+(SUMIFS(SIP[Amount],SIP[B/S],"B",SIP[Investor ID],#REF!,SIP[Date Value],"&lt;"&amp;$Z$2)-SUMIFS(SIP[Cost of Units Sold],SIP[B/S],"S",SIP[Investor ID],A40,SIP[Date Value],"&lt;"&amp;$Z$2))</f>
        <v>0</v>
      </c>
      <c r="D40" s="49">
        <f t="shared" si="0"/>
        <v>0</v>
      </c>
      <c r="E40" s="49">
        <f t="shared" si="1"/>
        <v>0</v>
      </c>
      <c r="F40" s="47">
        <f>SUMIFS(LS[Unit],LS[Investor ID],A40,LS[Date Value],"&lt;="&amp;$Z$3)+SUMIFS(SIP[Unit],SIP[Investor ID],A40,SIP[Date Value],"&lt;="&amp;$Z$3)</f>
        <v>0</v>
      </c>
      <c r="G40" s="49">
        <f>(SUMIFS(LS[Amount],LS[B/S],"B",LS[Investor ID],A40,LS[Date Value],"&lt;="&amp;$Z$3)-SUMIFS(LS[Cost of Units Sold],LS[B/S],"S",LS[Investor ID],A40,LS[Date Value],"&lt;="&amp;$Z$3))+(SUMIFS(SIP[Amount],SIP[B/S],"B",SIP[Investor ID],A40,SIP[Date Value],"&lt;="&amp;$Z$3)-SUMIFS(SIP[Cost of Units Sold],SIP[B/S],"S",SIP[Investor ID],A40,SIP[Date Value],"&lt;="&amp;$Z$3))</f>
        <v>0</v>
      </c>
      <c r="H40" s="49">
        <f t="shared" si="2"/>
        <v>0</v>
      </c>
      <c r="I40" s="49">
        <f t="shared" si="3"/>
        <v>0</v>
      </c>
      <c r="J40" s="47">
        <f>(SUMIFS(LS[Unit],LS[Investor ID],A40,LS[B/S],"B",LS[Date Value],"&gt;="&amp;$Z$2,LS[Date Value],"&lt;="&amp;$Z$3))+(SUMIFS(SIP[Unit],SIP[Investor ID],A40,SIP[B/S],"B",SIP[Date Value],"&gt;="&amp;$Z$2,SIP[Date Value],"&lt;="&amp;$Z$3))</f>
        <v>0</v>
      </c>
      <c r="K40" s="49">
        <f>(SUMIFS(LS[Amount],LS[Investor ID],A40,LS[B/S],"B",LS[Date Value],"&gt;="&amp;$Z$2,LS[Date Value],"&lt;="&amp;$Z$3))+(SUMIFS(SIP[Amount],SIP[Investor ID],A40,SIP[B/S],"B",SIP[Date Value],"&gt;="&amp;$Z$2,SIP[Date Value],"&lt;="&amp;$Z$3))</f>
        <v>0</v>
      </c>
      <c r="L40" s="47">
        <f>(-SUMIFS(LS[Unit],LS[Investor ID],A40,LS[B/S],"S",LS[Date Value],"&gt;="&amp;$Z$2,LS[Date Value],"&lt;="&amp;$Z$3))+(-SUMIFS(SIP[Unit],SIP[Investor ID],A40,SIP[B/S],"S",SIP[Date Value],"&gt;="&amp;$Z$2,SIP[Date Value],"&lt;="&amp;$Z$3))</f>
        <v>0</v>
      </c>
      <c r="M40" s="49">
        <f>(SUMIFS(LS[Cost of Units Sold],LS[Investor ID],A40,LS[B/S],"S",LS[Date Value],"&gt;="&amp;$Z$2,LS[Date Value],"&lt;="&amp;$Z$3))+(SUMIFS(SIP[Cost of Units Sold],SIP[Investor ID],A40,SIP[B/S],"S",SIP[Date Value],"&gt;="&amp;$Z$2,SIP[Date Value],"&lt;="&amp;$Z$3))</f>
        <v>0</v>
      </c>
      <c r="N40" s="49">
        <f t="shared" si="4"/>
        <v>0</v>
      </c>
      <c r="O40" s="49">
        <f>(SUMIFS(LS[Realized Gain],LS[Investor ID],A40,LS[Date Value],"&gt;="&amp;$Z$2,LS[Date Value],"&lt;="&amp;$Z$3))+(SUMIFS(SIP[Realized Gain],SIP[Investor ID],A40,SIP[Date Value],"&gt;="&amp;$Z$2,SIP[Date Value],"&lt;="&amp;$Z$3))</f>
        <v>0</v>
      </c>
      <c r="P40" s="49">
        <v>0</v>
      </c>
      <c r="Q40" s="49">
        <v>0</v>
      </c>
      <c r="R40" s="49">
        <v>0</v>
      </c>
    </row>
    <row r="41" spans="1:18">
      <c r="A41" t="s">
        <v>129</v>
      </c>
      <c r="B41" s="47">
        <f>SUMIFS(LS[Unit],LS[Investor ID],'TAX CERTIFICATE'!A41,LS[Date Value],"&lt;"&amp;$Z$2)+SUMIFS(SIP[Unit],SIP[Investor ID],'TAX CERTIFICATE'!A41,SIP[Date Value],"&lt;"&amp;$Z$2)</f>
        <v>0</v>
      </c>
      <c r="C41" s="48">
        <f>(SUMIFS(LS[Amount],LS[B/S],"B",LS[Investor ID],A41,LS[Date Value],"&lt;"&amp;$Z$2)-SUMIFS(LS[Cost of Units Sold],LS[B/S],"S",LS[Investor ID],A41,LS[Date Value],"&lt;"&amp;$Z$2))+(SUMIFS(SIP[Amount],SIP[B/S],"B",SIP[Investor ID],#REF!,SIP[Date Value],"&lt;"&amp;$Z$2)-SUMIFS(SIP[Cost of Units Sold],SIP[B/S],"S",SIP[Investor ID],A41,SIP[Date Value],"&lt;"&amp;$Z$2))</f>
        <v>0</v>
      </c>
      <c r="D41" s="49">
        <f t="shared" si="0"/>
        <v>0</v>
      </c>
      <c r="E41" s="49">
        <f t="shared" si="1"/>
        <v>0</v>
      </c>
      <c r="F41" s="47">
        <f>SUMIFS(LS[Unit],LS[Investor ID],A41,LS[Date Value],"&lt;="&amp;$Z$3)+SUMIFS(SIP[Unit],SIP[Investor ID],A41,SIP[Date Value],"&lt;="&amp;$Z$3)</f>
        <v>0</v>
      </c>
      <c r="G41" s="49">
        <f>(SUMIFS(LS[Amount],LS[B/S],"B",LS[Investor ID],A41,LS[Date Value],"&lt;="&amp;$Z$3)-SUMIFS(LS[Cost of Units Sold],LS[B/S],"S",LS[Investor ID],A41,LS[Date Value],"&lt;="&amp;$Z$3))+(SUMIFS(SIP[Amount],SIP[B/S],"B",SIP[Investor ID],A41,SIP[Date Value],"&lt;="&amp;$Z$3)-SUMIFS(SIP[Cost of Units Sold],SIP[B/S],"S",SIP[Investor ID],A41,SIP[Date Value],"&lt;="&amp;$Z$3))</f>
        <v>0</v>
      </c>
      <c r="H41" s="49">
        <f t="shared" si="2"/>
        <v>0</v>
      </c>
      <c r="I41" s="49">
        <f t="shared" si="3"/>
        <v>0</v>
      </c>
      <c r="J41" s="47">
        <f>(SUMIFS(LS[Unit],LS[Investor ID],A41,LS[B/S],"B",LS[Date Value],"&gt;="&amp;$Z$2,LS[Date Value],"&lt;="&amp;$Z$3))+(SUMIFS(SIP[Unit],SIP[Investor ID],A41,SIP[B/S],"B",SIP[Date Value],"&gt;="&amp;$Z$2,SIP[Date Value],"&lt;="&amp;$Z$3))</f>
        <v>0</v>
      </c>
      <c r="K41" s="49">
        <f>(SUMIFS(LS[Amount],LS[Investor ID],A41,LS[B/S],"B",LS[Date Value],"&gt;="&amp;$Z$2,LS[Date Value],"&lt;="&amp;$Z$3))+(SUMIFS(SIP[Amount],SIP[Investor ID],A41,SIP[B/S],"B",SIP[Date Value],"&gt;="&amp;$Z$2,SIP[Date Value],"&lt;="&amp;$Z$3))</f>
        <v>0</v>
      </c>
      <c r="L41" s="47">
        <f>(-SUMIFS(LS[Unit],LS[Investor ID],A41,LS[B/S],"S",LS[Date Value],"&gt;="&amp;$Z$2,LS[Date Value],"&lt;="&amp;$Z$3))+(-SUMIFS(SIP[Unit],SIP[Investor ID],A41,SIP[B/S],"S",SIP[Date Value],"&gt;="&amp;$Z$2,SIP[Date Value],"&lt;="&amp;$Z$3))</f>
        <v>0</v>
      </c>
      <c r="M41" s="49">
        <f>(SUMIFS(LS[Cost of Units Sold],LS[Investor ID],A41,LS[B/S],"S",LS[Date Value],"&gt;="&amp;$Z$2,LS[Date Value],"&lt;="&amp;$Z$3))+(SUMIFS(SIP[Cost of Units Sold],SIP[Investor ID],A41,SIP[B/S],"S",SIP[Date Value],"&gt;="&amp;$Z$2,SIP[Date Value],"&lt;="&amp;$Z$3))</f>
        <v>0</v>
      </c>
      <c r="N41" s="49">
        <f t="shared" si="4"/>
        <v>0</v>
      </c>
      <c r="O41" s="49">
        <f>(SUMIFS(LS[Realized Gain],LS[Investor ID],A41,LS[Date Value],"&gt;="&amp;$Z$2,LS[Date Value],"&lt;="&amp;$Z$3))+(SUMIFS(SIP[Realized Gain],SIP[Investor ID],A41,SIP[Date Value],"&gt;="&amp;$Z$2,SIP[Date Value],"&lt;="&amp;$Z$3))</f>
        <v>0</v>
      </c>
      <c r="P41" s="49">
        <v>0</v>
      </c>
      <c r="Q41" s="49">
        <v>0</v>
      </c>
      <c r="R41" s="49">
        <v>0</v>
      </c>
    </row>
    <row r="42" spans="1:18">
      <c r="A42" t="s">
        <v>131</v>
      </c>
      <c r="B42" s="47">
        <f>SUMIFS(LS[Unit],LS[Investor ID],'TAX CERTIFICATE'!A42,LS[Date Value],"&lt;"&amp;$Z$2)+SUMIFS(SIP[Unit],SIP[Investor ID],'TAX CERTIFICATE'!A42,SIP[Date Value],"&lt;"&amp;$Z$2)</f>
        <v>0</v>
      </c>
      <c r="C42" s="48">
        <f>(SUMIFS(LS[Amount],LS[B/S],"B",LS[Investor ID],A42,LS[Date Value],"&lt;"&amp;$Z$2)-SUMIFS(LS[Cost of Units Sold],LS[B/S],"S",LS[Investor ID],A42,LS[Date Value],"&lt;"&amp;$Z$2))+(SUMIFS(SIP[Amount],SIP[B/S],"B",SIP[Investor ID],#REF!,SIP[Date Value],"&lt;"&amp;$Z$2)-SUMIFS(SIP[Cost of Units Sold],SIP[B/S],"S",SIP[Investor ID],A42,SIP[Date Value],"&lt;"&amp;$Z$2))</f>
        <v>0</v>
      </c>
      <c r="D42" s="49">
        <f t="shared" si="0"/>
        <v>0</v>
      </c>
      <c r="E42" s="49">
        <f t="shared" si="1"/>
        <v>0</v>
      </c>
      <c r="F42" s="47">
        <f>SUMIFS(LS[Unit],LS[Investor ID],A42,LS[Date Value],"&lt;="&amp;$Z$3)+SUMIFS(SIP[Unit],SIP[Investor ID],A42,SIP[Date Value],"&lt;="&amp;$Z$3)</f>
        <v>0</v>
      </c>
      <c r="G42" s="49">
        <f>(SUMIFS(LS[Amount],LS[B/S],"B",LS[Investor ID],A42,LS[Date Value],"&lt;="&amp;$Z$3)-SUMIFS(LS[Cost of Units Sold],LS[B/S],"S",LS[Investor ID],A42,LS[Date Value],"&lt;="&amp;$Z$3))+(SUMIFS(SIP[Amount],SIP[B/S],"B",SIP[Investor ID],A42,SIP[Date Value],"&lt;="&amp;$Z$3)-SUMIFS(SIP[Cost of Units Sold],SIP[B/S],"S",SIP[Investor ID],A42,SIP[Date Value],"&lt;="&amp;$Z$3))</f>
        <v>0</v>
      </c>
      <c r="H42" s="49">
        <f t="shared" si="2"/>
        <v>0</v>
      </c>
      <c r="I42" s="49">
        <f t="shared" si="3"/>
        <v>0</v>
      </c>
      <c r="J42" s="47">
        <f>(SUMIFS(LS[Unit],LS[Investor ID],A42,LS[B/S],"B",LS[Date Value],"&gt;="&amp;$Z$2,LS[Date Value],"&lt;="&amp;$Z$3))+(SUMIFS(SIP[Unit],SIP[Investor ID],A42,SIP[B/S],"B",SIP[Date Value],"&gt;="&amp;$Z$2,SIP[Date Value],"&lt;="&amp;$Z$3))</f>
        <v>0</v>
      </c>
      <c r="K42" s="49">
        <f>(SUMIFS(LS[Amount],LS[Investor ID],A42,LS[B/S],"B",LS[Date Value],"&gt;="&amp;$Z$2,LS[Date Value],"&lt;="&amp;$Z$3))+(SUMIFS(SIP[Amount],SIP[Investor ID],A42,SIP[B/S],"B",SIP[Date Value],"&gt;="&amp;$Z$2,SIP[Date Value],"&lt;="&amp;$Z$3))</f>
        <v>0</v>
      </c>
      <c r="L42" s="47">
        <f>(-SUMIFS(LS[Unit],LS[Investor ID],A42,LS[B/S],"S",LS[Date Value],"&gt;="&amp;$Z$2,LS[Date Value],"&lt;="&amp;$Z$3))+(-SUMIFS(SIP[Unit],SIP[Investor ID],A42,SIP[B/S],"S",SIP[Date Value],"&gt;="&amp;$Z$2,SIP[Date Value],"&lt;="&amp;$Z$3))</f>
        <v>0</v>
      </c>
      <c r="M42" s="49">
        <f>(SUMIFS(LS[Cost of Units Sold],LS[Investor ID],A42,LS[B/S],"S",LS[Date Value],"&gt;="&amp;$Z$2,LS[Date Value],"&lt;="&amp;$Z$3))+(SUMIFS(SIP[Cost of Units Sold],SIP[Investor ID],A42,SIP[B/S],"S",SIP[Date Value],"&gt;="&amp;$Z$2,SIP[Date Value],"&lt;="&amp;$Z$3))</f>
        <v>0</v>
      </c>
      <c r="N42" s="49">
        <f t="shared" si="4"/>
        <v>0</v>
      </c>
      <c r="O42" s="49">
        <f>(SUMIFS(LS[Realized Gain],LS[Investor ID],A42,LS[Date Value],"&gt;="&amp;$Z$2,LS[Date Value],"&lt;="&amp;$Z$3))+(SUMIFS(SIP[Realized Gain],SIP[Investor ID],A42,SIP[Date Value],"&gt;="&amp;$Z$2,SIP[Date Value],"&lt;="&amp;$Z$3))</f>
        <v>0</v>
      </c>
      <c r="P42" s="49">
        <v>0</v>
      </c>
      <c r="Q42" s="49">
        <v>0</v>
      </c>
      <c r="R42" s="49">
        <v>0</v>
      </c>
    </row>
    <row r="43" spans="1:18">
      <c r="A43" t="s">
        <v>134</v>
      </c>
      <c r="B43" s="47">
        <f>SUMIFS(LS[Unit],LS[Investor ID],'TAX CERTIFICATE'!A43,LS[Date Value],"&lt;"&amp;$Z$2)+SUMIFS(SIP[Unit],SIP[Investor ID],'TAX CERTIFICATE'!A43,SIP[Date Value],"&lt;"&amp;$Z$2)</f>
        <v>0</v>
      </c>
      <c r="C43" s="48">
        <f>(SUMIFS(LS[Amount],LS[B/S],"B",LS[Investor ID],A43,LS[Date Value],"&lt;"&amp;$Z$2)-SUMIFS(LS[Cost of Units Sold],LS[B/S],"S",LS[Investor ID],A43,LS[Date Value],"&lt;"&amp;$Z$2))+(SUMIFS(SIP[Amount],SIP[B/S],"B",SIP[Investor ID],#REF!,SIP[Date Value],"&lt;"&amp;$Z$2)-SUMIFS(SIP[Cost of Units Sold],SIP[B/S],"S",SIP[Investor ID],A43,SIP[Date Value],"&lt;"&amp;$Z$2))</f>
        <v>0</v>
      </c>
      <c r="D43" s="49">
        <f t="shared" si="0"/>
        <v>0</v>
      </c>
      <c r="E43" s="49">
        <f t="shared" si="1"/>
        <v>0</v>
      </c>
      <c r="F43" s="47">
        <f>SUMIFS(LS[Unit],LS[Investor ID],A43,LS[Date Value],"&lt;="&amp;$Z$3)+SUMIFS(SIP[Unit],SIP[Investor ID],A43,SIP[Date Value],"&lt;="&amp;$Z$3)</f>
        <v>0</v>
      </c>
      <c r="G43" s="49">
        <f>(SUMIFS(LS[Amount],LS[B/S],"B",LS[Investor ID],A43,LS[Date Value],"&lt;="&amp;$Z$3)-SUMIFS(LS[Cost of Units Sold],LS[B/S],"S",LS[Investor ID],A43,LS[Date Value],"&lt;="&amp;$Z$3))+(SUMIFS(SIP[Amount],SIP[B/S],"B",SIP[Investor ID],A43,SIP[Date Value],"&lt;="&amp;$Z$3)-SUMIFS(SIP[Cost of Units Sold],SIP[B/S],"S",SIP[Investor ID],A43,SIP[Date Value],"&lt;="&amp;$Z$3))</f>
        <v>0</v>
      </c>
      <c r="H43" s="49">
        <f t="shared" si="2"/>
        <v>0</v>
      </c>
      <c r="I43" s="49">
        <f t="shared" si="3"/>
        <v>0</v>
      </c>
      <c r="J43" s="47">
        <f>(SUMIFS(LS[Unit],LS[Investor ID],A43,LS[B/S],"B",LS[Date Value],"&gt;="&amp;$Z$2,LS[Date Value],"&lt;="&amp;$Z$3))+(SUMIFS(SIP[Unit],SIP[Investor ID],A43,SIP[B/S],"B",SIP[Date Value],"&gt;="&amp;$Z$2,SIP[Date Value],"&lt;="&amp;$Z$3))</f>
        <v>0</v>
      </c>
      <c r="K43" s="49">
        <f>(SUMIFS(LS[Amount],LS[Investor ID],A43,LS[B/S],"B",LS[Date Value],"&gt;="&amp;$Z$2,LS[Date Value],"&lt;="&amp;$Z$3))+(SUMIFS(SIP[Amount],SIP[Investor ID],A43,SIP[B/S],"B",SIP[Date Value],"&gt;="&amp;$Z$2,SIP[Date Value],"&lt;="&amp;$Z$3))</f>
        <v>0</v>
      </c>
      <c r="L43" s="47">
        <f>(-SUMIFS(LS[Unit],LS[Investor ID],A43,LS[B/S],"S",LS[Date Value],"&gt;="&amp;$Z$2,LS[Date Value],"&lt;="&amp;$Z$3))+(-SUMIFS(SIP[Unit],SIP[Investor ID],A43,SIP[B/S],"S",SIP[Date Value],"&gt;="&amp;$Z$2,SIP[Date Value],"&lt;="&amp;$Z$3))</f>
        <v>0</v>
      </c>
      <c r="M43" s="49">
        <f>(SUMIFS(LS[Cost of Units Sold],LS[Investor ID],A43,LS[B/S],"S",LS[Date Value],"&gt;="&amp;$Z$2,LS[Date Value],"&lt;="&amp;$Z$3))+(SUMIFS(SIP[Cost of Units Sold],SIP[Investor ID],A43,SIP[B/S],"S",SIP[Date Value],"&gt;="&amp;$Z$2,SIP[Date Value],"&lt;="&amp;$Z$3))</f>
        <v>0</v>
      </c>
      <c r="N43" s="49">
        <f t="shared" si="4"/>
        <v>0</v>
      </c>
      <c r="O43" s="49">
        <f>(SUMIFS(LS[Realized Gain],LS[Investor ID],A43,LS[Date Value],"&gt;="&amp;$Z$2,LS[Date Value],"&lt;="&amp;$Z$3))+(SUMIFS(SIP[Realized Gain],SIP[Investor ID],A43,SIP[Date Value],"&gt;="&amp;$Z$2,SIP[Date Value],"&lt;="&amp;$Z$3))</f>
        <v>0</v>
      </c>
      <c r="P43" s="49">
        <v>0</v>
      </c>
      <c r="Q43" s="49">
        <v>0</v>
      </c>
      <c r="R43" s="49">
        <v>0</v>
      </c>
    </row>
    <row r="44" spans="1:18">
      <c r="A44" t="s">
        <v>136</v>
      </c>
      <c r="B44" s="47">
        <f>SUMIFS(LS[Unit],LS[Investor ID],'TAX CERTIFICATE'!A44,LS[Date Value],"&lt;"&amp;$Z$2)+SUMIFS(SIP[Unit],SIP[Investor ID],'TAX CERTIFICATE'!A44,SIP[Date Value],"&lt;"&amp;$Z$2)</f>
        <v>0</v>
      </c>
      <c r="C44" s="48">
        <f>(SUMIFS(LS[Amount],LS[B/S],"B",LS[Investor ID],A44,LS[Date Value],"&lt;"&amp;$Z$2)-SUMIFS(LS[Cost of Units Sold],LS[B/S],"S",LS[Investor ID],A44,LS[Date Value],"&lt;"&amp;$Z$2))+(SUMIFS(SIP[Amount],SIP[B/S],"B",SIP[Investor ID],#REF!,SIP[Date Value],"&lt;"&amp;$Z$2)-SUMIFS(SIP[Cost of Units Sold],SIP[B/S],"S",SIP[Investor ID],A44,SIP[Date Value],"&lt;"&amp;$Z$2))</f>
        <v>0</v>
      </c>
      <c r="D44" s="49">
        <f t="shared" si="0"/>
        <v>0</v>
      </c>
      <c r="E44" s="49">
        <f t="shared" si="1"/>
        <v>0</v>
      </c>
      <c r="F44" s="47">
        <f>SUMIFS(LS[Unit],LS[Investor ID],A44,LS[Date Value],"&lt;="&amp;$Z$3)+SUMIFS(SIP[Unit],SIP[Investor ID],A44,SIP[Date Value],"&lt;="&amp;$Z$3)</f>
        <v>0</v>
      </c>
      <c r="G44" s="49">
        <f>(SUMIFS(LS[Amount],LS[B/S],"B",LS[Investor ID],A44,LS[Date Value],"&lt;="&amp;$Z$3)-SUMIFS(LS[Cost of Units Sold],LS[B/S],"S",LS[Investor ID],A44,LS[Date Value],"&lt;="&amp;$Z$3))+(SUMIFS(SIP[Amount],SIP[B/S],"B",SIP[Investor ID],A44,SIP[Date Value],"&lt;="&amp;$Z$3)-SUMIFS(SIP[Cost of Units Sold],SIP[B/S],"S",SIP[Investor ID],A44,SIP[Date Value],"&lt;="&amp;$Z$3))</f>
        <v>0</v>
      </c>
      <c r="H44" s="49">
        <f t="shared" si="2"/>
        <v>0</v>
      </c>
      <c r="I44" s="49">
        <f t="shared" si="3"/>
        <v>0</v>
      </c>
      <c r="J44" s="47">
        <f>(SUMIFS(LS[Unit],LS[Investor ID],A44,LS[B/S],"B",LS[Date Value],"&gt;="&amp;$Z$2,LS[Date Value],"&lt;="&amp;$Z$3))+(SUMIFS(SIP[Unit],SIP[Investor ID],A44,SIP[B/S],"B",SIP[Date Value],"&gt;="&amp;$Z$2,SIP[Date Value],"&lt;="&amp;$Z$3))</f>
        <v>0</v>
      </c>
      <c r="K44" s="49">
        <f>(SUMIFS(LS[Amount],LS[Investor ID],A44,LS[B/S],"B",LS[Date Value],"&gt;="&amp;$Z$2,LS[Date Value],"&lt;="&amp;$Z$3))+(SUMIFS(SIP[Amount],SIP[Investor ID],A44,SIP[B/S],"B",SIP[Date Value],"&gt;="&amp;$Z$2,SIP[Date Value],"&lt;="&amp;$Z$3))</f>
        <v>0</v>
      </c>
      <c r="L44" s="47">
        <f>(-SUMIFS(LS[Unit],LS[Investor ID],A44,LS[B/S],"S",LS[Date Value],"&gt;="&amp;$Z$2,LS[Date Value],"&lt;="&amp;$Z$3))+(-SUMIFS(SIP[Unit],SIP[Investor ID],A44,SIP[B/S],"S",SIP[Date Value],"&gt;="&amp;$Z$2,SIP[Date Value],"&lt;="&amp;$Z$3))</f>
        <v>0</v>
      </c>
      <c r="M44" s="49">
        <f>(SUMIFS(LS[Cost of Units Sold],LS[Investor ID],A44,LS[B/S],"S",LS[Date Value],"&gt;="&amp;$Z$2,LS[Date Value],"&lt;="&amp;$Z$3))+(SUMIFS(SIP[Cost of Units Sold],SIP[Investor ID],A44,SIP[B/S],"S",SIP[Date Value],"&gt;="&amp;$Z$2,SIP[Date Value],"&lt;="&amp;$Z$3))</f>
        <v>0</v>
      </c>
      <c r="N44" s="49">
        <f t="shared" si="4"/>
        <v>0</v>
      </c>
      <c r="O44" s="49">
        <f>(SUMIFS(LS[Realized Gain],LS[Investor ID],A44,LS[Date Value],"&gt;="&amp;$Z$2,LS[Date Value],"&lt;="&amp;$Z$3))+(SUMIFS(SIP[Realized Gain],SIP[Investor ID],A44,SIP[Date Value],"&gt;="&amp;$Z$2,SIP[Date Value],"&lt;="&amp;$Z$3))</f>
        <v>0</v>
      </c>
      <c r="P44" s="49">
        <v>0</v>
      </c>
      <c r="Q44" s="49">
        <v>0</v>
      </c>
      <c r="R44" s="49">
        <v>0</v>
      </c>
    </row>
    <row r="45" spans="1:18">
      <c r="A45" t="s">
        <v>138</v>
      </c>
      <c r="B45" s="47">
        <f>SUMIFS(LS[Unit],LS[Investor ID],'TAX CERTIFICATE'!A45,LS[Date Value],"&lt;"&amp;$Z$2)+SUMIFS(SIP[Unit],SIP[Investor ID],'TAX CERTIFICATE'!A45,SIP[Date Value],"&lt;"&amp;$Z$2)</f>
        <v>0</v>
      </c>
      <c r="C45" s="48">
        <f>(SUMIFS(LS[Amount],LS[B/S],"B",LS[Investor ID],A45,LS[Date Value],"&lt;"&amp;$Z$2)-SUMIFS(LS[Cost of Units Sold],LS[B/S],"S",LS[Investor ID],A45,LS[Date Value],"&lt;"&amp;$Z$2))+(SUMIFS(SIP[Amount],SIP[B/S],"B",SIP[Investor ID],#REF!,SIP[Date Value],"&lt;"&amp;$Z$2)-SUMIFS(SIP[Cost of Units Sold],SIP[B/S],"S",SIP[Investor ID],A45,SIP[Date Value],"&lt;"&amp;$Z$2))</f>
        <v>0</v>
      </c>
      <c r="D45" s="49">
        <f t="shared" si="0"/>
        <v>0</v>
      </c>
      <c r="E45" s="49">
        <f t="shared" si="1"/>
        <v>0</v>
      </c>
      <c r="F45" s="47">
        <f>SUMIFS(LS[Unit],LS[Investor ID],A45,LS[Date Value],"&lt;="&amp;$Z$3)+SUMIFS(SIP[Unit],SIP[Investor ID],A45,SIP[Date Value],"&lt;="&amp;$Z$3)</f>
        <v>0</v>
      </c>
      <c r="G45" s="49">
        <f>(SUMIFS(LS[Amount],LS[B/S],"B",LS[Investor ID],A45,LS[Date Value],"&lt;="&amp;$Z$3)-SUMIFS(LS[Cost of Units Sold],LS[B/S],"S",LS[Investor ID],A45,LS[Date Value],"&lt;="&amp;$Z$3))+(SUMIFS(SIP[Amount],SIP[B/S],"B",SIP[Investor ID],A45,SIP[Date Value],"&lt;="&amp;$Z$3)-SUMIFS(SIP[Cost of Units Sold],SIP[B/S],"S",SIP[Investor ID],A45,SIP[Date Value],"&lt;="&amp;$Z$3))</f>
        <v>0</v>
      </c>
      <c r="H45" s="49">
        <f t="shared" si="2"/>
        <v>0</v>
      </c>
      <c r="I45" s="49">
        <f t="shared" si="3"/>
        <v>0</v>
      </c>
      <c r="J45" s="47">
        <f>(SUMIFS(LS[Unit],LS[Investor ID],A45,LS[B/S],"B",LS[Date Value],"&gt;="&amp;$Z$2,LS[Date Value],"&lt;="&amp;$Z$3))+(SUMIFS(SIP[Unit],SIP[Investor ID],A45,SIP[B/S],"B",SIP[Date Value],"&gt;="&amp;$Z$2,SIP[Date Value],"&lt;="&amp;$Z$3))</f>
        <v>0</v>
      </c>
      <c r="K45" s="49">
        <f>(SUMIFS(LS[Amount],LS[Investor ID],A45,LS[B/S],"B",LS[Date Value],"&gt;="&amp;$Z$2,LS[Date Value],"&lt;="&amp;$Z$3))+(SUMIFS(SIP[Amount],SIP[Investor ID],A45,SIP[B/S],"B",SIP[Date Value],"&gt;="&amp;$Z$2,SIP[Date Value],"&lt;="&amp;$Z$3))</f>
        <v>0</v>
      </c>
      <c r="L45" s="47">
        <f>(-SUMIFS(LS[Unit],LS[Investor ID],A45,LS[B/S],"S",LS[Date Value],"&gt;="&amp;$Z$2,LS[Date Value],"&lt;="&amp;$Z$3))+(-SUMIFS(SIP[Unit],SIP[Investor ID],A45,SIP[B/S],"S",SIP[Date Value],"&gt;="&amp;$Z$2,SIP[Date Value],"&lt;="&amp;$Z$3))</f>
        <v>0</v>
      </c>
      <c r="M45" s="49">
        <f>(SUMIFS(LS[Cost of Units Sold],LS[Investor ID],A45,LS[B/S],"S",LS[Date Value],"&gt;="&amp;$Z$2,LS[Date Value],"&lt;="&amp;$Z$3))+(SUMIFS(SIP[Cost of Units Sold],SIP[Investor ID],A45,SIP[B/S],"S",SIP[Date Value],"&gt;="&amp;$Z$2,SIP[Date Value],"&lt;="&amp;$Z$3))</f>
        <v>0</v>
      </c>
      <c r="N45" s="49">
        <f t="shared" si="4"/>
        <v>0</v>
      </c>
      <c r="O45" s="49">
        <f>(SUMIFS(LS[Realized Gain],LS[Investor ID],A45,LS[Date Value],"&gt;="&amp;$Z$2,LS[Date Value],"&lt;="&amp;$Z$3))+(SUMIFS(SIP[Realized Gain],SIP[Investor ID],A45,SIP[Date Value],"&gt;="&amp;$Z$2,SIP[Date Value],"&lt;="&amp;$Z$3))</f>
        <v>0</v>
      </c>
      <c r="P45" s="49">
        <v>0</v>
      </c>
      <c r="Q45" s="49">
        <v>0</v>
      </c>
      <c r="R45" s="49">
        <v>0</v>
      </c>
    </row>
    <row r="46" spans="1:18">
      <c r="A46" t="s">
        <v>140</v>
      </c>
      <c r="B46" s="47">
        <f>SUMIFS(LS[Unit],LS[Investor ID],'TAX CERTIFICATE'!A46,LS[Date Value],"&lt;"&amp;$Z$2)+SUMIFS(SIP[Unit],SIP[Investor ID],'TAX CERTIFICATE'!A46,SIP[Date Value],"&lt;"&amp;$Z$2)</f>
        <v>0</v>
      </c>
      <c r="C46" s="48">
        <f>(SUMIFS(LS[Amount],LS[B/S],"B",LS[Investor ID],A46,LS[Date Value],"&lt;"&amp;$Z$2)-SUMIFS(LS[Cost of Units Sold],LS[B/S],"S",LS[Investor ID],A46,LS[Date Value],"&lt;"&amp;$Z$2))+(SUMIFS(SIP[Amount],SIP[B/S],"B",SIP[Investor ID],#REF!,SIP[Date Value],"&lt;"&amp;$Z$2)-SUMIFS(SIP[Cost of Units Sold],SIP[B/S],"S",SIP[Investor ID],A46,SIP[Date Value],"&lt;"&amp;$Z$2))</f>
        <v>0</v>
      </c>
      <c r="D46" s="49">
        <f t="shared" si="0"/>
        <v>0</v>
      </c>
      <c r="E46" s="49">
        <f t="shared" si="1"/>
        <v>0</v>
      </c>
      <c r="F46" s="47">
        <f>SUMIFS(LS[Unit],LS[Investor ID],A46,LS[Date Value],"&lt;="&amp;$Z$3)+SUMIFS(SIP[Unit],SIP[Investor ID],A46,SIP[Date Value],"&lt;="&amp;$Z$3)</f>
        <v>0</v>
      </c>
      <c r="G46" s="49">
        <f>(SUMIFS(LS[Amount],LS[B/S],"B",LS[Investor ID],A46,LS[Date Value],"&lt;="&amp;$Z$3)-SUMIFS(LS[Cost of Units Sold],LS[B/S],"S",LS[Investor ID],A46,LS[Date Value],"&lt;="&amp;$Z$3))+(SUMIFS(SIP[Amount],SIP[B/S],"B",SIP[Investor ID],A46,SIP[Date Value],"&lt;="&amp;$Z$3)-SUMIFS(SIP[Cost of Units Sold],SIP[B/S],"S",SIP[Investor ID],A46,SIP[Date Value],"&lt;="&amp;$Z$3))</f>
        <v>0</v>
      </c>
      <c r="H46" s="49">
        <f t="shared" si="2"/>
        <v>0</v>
      </c>
      <c r="I46" s="49">
        <f t="shared" si="3"/>
        <v>0</v>
      </c>
      <c r="J46" s="47">
        <f>(SUMIFS(LS[Unit],LS[Investor ID],A46,LS[B/S],"B",LS[Date Value],"&gt;="&amp;$Z$2,LS[Date Value],"&lt;="&amp;$Z$3))+(SUMIFS(SIP[Unit],SIP[Investor ID],A46,SIP[B/S],"B",SIP[Date Value],"&gt;="&amp;$Z$2,SIP[Date Value],"&lt;="&amp;$Z$3))</f>
        <v>0</v>
      </c>
      <c r="K46" s="49">
        <f>(SUMIFS(LS[Amount],LS[Investor ID],A46,LS[B/S],"B",LS[Date Value],"&gt;="&amp;$Z$2,LS[Date Value],"&lt;="&amp;$Z$3))+(SUMIFS(SIP[Amount],SIP[Investor ID],A46,SIP[B/S],"B",SIP[Date Value],"&gt;="&amp;$Z$2,SIP[Date Value],"&lt;="&amp;$Z$3))</f>
        <v>0</v>
      </c>
      <c r="L46" s="47">
        <f>(-SUMIFS(LS[Unit],LS[Investor ID],A46,LS[B/S],"S",LS[Date Value],"&gt;="&amp;$Z$2,LS[Date Value],"&lt;="&amp;$Z$3))+(-SUMIFS(SIP[Unit],SIP[Investor ID],A46,SIP[B/S],"S",SIP[Date Value],"&gt;="&amp;$Z$2,SIP[Date Value],"&lt;="&amp;$Z$3))</f>
        <v>0</v>
      </c>
      <c r="M46" s="49">
        <f>(SUMIFS(LS[Cost of Units Sold],LS[Investor ID],A46,LS[B/S],"S",LS[Date Value],"&gt;="&amp;$Z$2,LS[Date Value],"&lt;="&amp;$Z$3))+(SUMIFS(SIP[Cost of Units Sold],SIP[Investor ID],A46,SIP[B/S],"S",SIP[Date Value],"&gt;="&amp;$Z$2,SIP[Date Value],"&lt;="&amp;$Z$3))</f>
        <v>0</v>
      </c>
      <c r="N46" s="49">
        <f t="shared" si="4"/>
        <v>0</v>
      </c>
      <c r="O46" s="49">
        <f>(SUMIFS(LS[Realized Gain],LS[Investor ID],A46,LS[Date Value],"&gt;="&amp;$Z$2,LS[Date Value],"&lt;="&amp;$Z$3))+(SUMIFS(SIP[Realized Gain],SIP[Investor ID],A46,SIP[Date Value],"&gt;="&amp;$Z$2,SIP[Date Value],"&lt;="&amp;$Z$3))</f>
        <v>0</v>
      </c>
      <c r="P46" s="49">
        <v>0</v>
      </c>
      <c r="Q46" s="49">
        <v>0</v>
      </c>
      <c r="R46" s="49">
        <v>0</v>
      </c>
    </row>
    <row r="47" spans="1:18">
      <c r="A47" t="s">
        <v>142</v>
      </c>
      <c r="B47" s="47">
        <f>SUMIFS(LS[Unit],LS[Investor ID],'TAX CERTIFICATE'!A47,LS[Date Value],"&lt;"&amp;$Z$2)+SUMIFS(SIP[Unit],SIP[Investor ID],'TAX CERTIFICATE'!A47,SIP[Date Value],"&lt;"&amp;$Z$2)</f>
        <v>0</v>
      </c>
      <c r="C47" s="48">
        <f>(SUMIFS(LS[Amount],LS[B/S],"B",LS[Investor ID],A47,LS[Date Value],"&lt;"&amp;$Z$2)-SUMIFS(LS[Cost of Units Sold],LS[B/S],"S",LS[Investor ID],A47,LS[Date Value],"&lt;"&amp;$Z$2))+(SUMIFS(SIP[Amount],SIP[B/S],"B",SIP[Investor ID],#REF!,SIP[Date Value],"&lt;"&amp;$Z$2)-SUMIFS(SIP[Cost of Units Sold],SIP[B/S],"S",SIP[Investor ID],A47,SIP[Date Value],"&lt;"&amp;$Z$2))</f>
        <v>0</v>
      </c>
      <c r="D47" s="49">
        <f t="shared" si="0"/>
        <v>0</v>
      </c>
      <c r="E47" s="49">
        <f t="shared" si="1"/>
        <v>0</v>
      </c>
      <c r="F47" s="47">
        <f>SUMIFS(LS[Unit],LS[Investor ID],A47,LS[Date Value],"&lt;="&amp;$Z$3)+SUMIFS(SIP[Unit],SIP[Investor ID],A47,SIP[Date Value],"&lt;="&amp;$Z$3)</f>
        <v>0</v>
      </c>
      <c r="G47" s="49">
        <f>(SUMIFS(LS[Amount],LS[B/S],"B",LS[Investor ID],A47,LS[Date Value],"&lt;="&amp;$Z$3)-SUMIFS(LS[Cost of Units Sold],LS[B/S],"S",LS[Investor ID],A47,LS[Date Value],"&lt;="&amp;$Z$3))+(SUMIFS(SIP[Amount],SIP[B/S],"B",SIP[Investor ID],A47,SIP[Date Value],"&lt;="&amp;$Z$3)-SUMIFS(SIP[Cost of Units Sold],SIP[B/S],"S",SIP[Investor ID],A47,SIP[Date Value],"&lt;="&amp;$Z$3))</f>
        <v>0</v>
      </c>
      <c r="H47" s="49">
        <f t="shared" si="2"/>
        <v>0</v>
      </c>
      <c r="I47" s="49">
        <f t="shared" si="3"/>
        <v>0</v>
      </c>
      <c r="J47" s="47">
        <f>(SUMIFS(LS[Unit],LS[Investor ID],A47,LS[B/S],"B",LS[Date Value],"&gt;="&amp;$Z$2,LS[Date Value],"&lt;="&amp;$Z$3))+(SUMIFS(SIP[Unit],SIP[Investor ID],A47,SIP[B/S],"B",SIP[Date Value],"&gt;="&amp;$Z$2,SIP[Date Value],"&lt;="&amp;$Z$3))</f>
        <v>0</v>
      </c>
      <c r="K47" s="49">
        <f>(SUMIFS(LS[Amount],LS[Investor ID],A47,LS[B/S],"B",LS[Date Value],"&gt;="&amp;$Z$2,LS[Date Value],"&lt;="&amp;$Z$3))+(SUMIFS(SIP[Amount],SIP[Investor ID],A47,SIP[B/S],"B",SIP[Date Value],"&gt;="&amp;$Z$2,SIP[Date Value],"&lt;="&amp;$Z$3))</f>
        <v>0</v>
      </c>
      <c r="L47" s="47">
        <f>(-SUMIFS(LS[Unit],LS[Investor ID],A47,LS[B/S],"S",LS[Date Value],"&gt;="&amp;$Z$2,LS[Date Value],"&lt;="&amp;$Z$3))+(-SUMIFS(SIP[Unit],SIP[Investor ID],A47,SIP[B/S],"S",SIP[Date Value],"&gt;="&amp;$Z$2,SIP[Date Value],"&lt;="&amp;$Z$3))</f>
        <v>0</v>
      </c>
      <c r="M47" s="49">
        <f>(SUMIFS(LS[Cost of Units Sold],LS[Investor ID],A47,LS[B/S],"S",LS[Date Value],"&gt;="&amp;$Z$2,LS[Date Value],"&lt;="&amp;$Z$3))+(SUMIFS(SIP[Cost of Units Sold],SIP[Investor ID],A47,SIP[B/S],"S",SIP[Date Value],"&gt;="&amp;$Z$2,SIP[Date Value],"&lt;="&amp;$Z$3))</f>
        <v>0</v>
      </c>
      <c r="N47" s="49">
        <f t="shared" si="4"/>
        <v>0</v>
      </c>
      <c r="O47" s="49">
        <f>(SUMIFS(LS[Realized Gain],LS[Investor ID],A47,LS[Date Value],"&gt;="&amp;$Z$2,LS[Date Value],"&lt;="&amp;$Z$3))+(SUMIFS(SIP[Realized Gain],SIP[Investor ID],A47,SIP[Date Value],"&gt;="&amp;$Z$2,SIP[Date Value],"&lt;="&amp;$Z$3))</f>
        <v>0</v>
      </c>
      <c r="P47" s="49">
        <v>0</v>
      </c>
      <c r="Q47" s="49">
        <v>0</v>
      </c>
      <c r="R47" s="49">
        <v>0</v>
      </c>
    </row>
    <row r="48" spans="1:18">
      <c r="A48" t="s">
        <v>144</v>
      </c>
      <c r="B48" s="47">
        <f>SUMIFS(LS[Unit],LS[Investor ID],'TAX CERTIFICATE'!A48,LS[Date Value],"&lt;"&amp;$Z$2)+SUMIFS(SIP[Unit],SIP[Investor ID],'TAX CERTIFICATE'!A48,SIP[Date Value],"&lt;"&amp;$Z$2)</f>
        <v>0</v>
      </c>
      <c r="C48" s="48">
        <f>(SUMIFS(LS[Amount],LS[B/S],"B",LS[Investor ID],A48,LS[Date Value],"&lt;"&amp;$Z$2)-SUMIFS(LS[Cost of Units Sold],LS[B/S],"S",LS[Investor ID],A48,LS[Date Value],"&lt;"&amp;$Z$2))+(SUMIFS(SIP[Amount],SIP[B/S],"B",SIP[Investor ID],#REF!,SIP[Date Value],"&lt;"&amp;$Z$2)-SUMIFS(SIP[Cost of Units Sold],SIP[B/S],"S",SIP[Investor ID],A48,SIP[Date Value],"&lt;"&amp;$Z$2))</f>
        <v>0</v>
      </c>
      <c r="D48" s="49">
        <f t="shared" si="0"/>
        <v>0</v>
      </c>
      <c r="E48" s="49">
        <f t="shared" si="1"/>
        <v>0</v>
      </c>
      <c r="F48" s="47">
        <f>SUMIFS(LS[Unit],LS[Investor ID],A48,LS[Date Value],"&lt;="&amp;$Z$3)+SUMIFS(SIP[Unit],SIP[Investor ID],A48,SIP[Date Value],"&lt;="&amp;$Z$3)</f>
        <v>0</v>
      </c>
      <c r="G48" s="49">
        <f>(SUMIFS(LS[Amount],LS[B/S],"B",LS[Investor ID],A48,LS[Date Value],"&lt;="&amp;$Z$3)-SUMIFS(LS[Cost of Units Sold],LS[B/S],"S",LS[Investor ID],A48,LS[Date Value],"&lt;="&amp;$Z$3))+(SUMIFS(SIP[Amount],SIP[B/S],"B",SIP[Investor ID],A48,SIP[Date Value],"&lt;="&amp;$Z$3)-SUMIFS(SIP[Cost of Units Sold],SIP[B/S],"S",SIP[Investor ID],A48,SIP[Date Value],"&lt;="&amp;$Z$3))</f>
        <v>0</v>
      </c>
      <c r="H48" s="49">
        <f t="shared" si="2"/>
        <v>0</v>
      </c>
      <c r="I48" s="49">
        <f t="shared" si="3"/>
        <v>0</v>
      </c>
      <c r="J48" s="47">
        <f>(SUMIFS(LS[Unit],LS[Investor ID],A48,LS[B/S],"B",LS[Date Value],"&gt;="&amp;$Z$2,LS[Date Value],"&lt;="&amp;$Z$3))+(SUMIFS(SIP[Unit],SIP[Investor ID],A48,SIP[B/S],"B",SIP[Date Value],"&gt;="&amp;$Z$2,SIP[Date Value],"&lt;="&amp;$Z$3))</f>
        <v>0</v>
      </c>
      <c r="K48" s="49">
        <f>(SUMIFS(LS[Amount],LS[Investor ID],A48,LS[B/S],"B",LS[Date Value],"&gt;="&amp;$Z$2,LS[Date Value],"&lt;="&amp;$Z$3))+(SUMIFS(SIP[Amount],SIP[Investor ID],A48,SIP[B/S],"B",SIP[Date Value],"&gt;="&amp;$Z$2,SIP[Date Value],"&lt;="&amp;$Z$3))</f>
        <v>0</v>
      </c>
      <c r="L48" s="47">
        <f>(-SUMIFS(LS[Unit],LS[Investor ID],A48,LS[B/S],"S",LS[Date Value],"&gt;="&amp;$Z$2,LS[Date Value],"&lt;="&amp;$Z$3))+(-SUMIFS(SIP[Unit],SIP[Investor ID],A48,SIP[B/S],"S",SIP[Date Value],"&gt;="&amp;$Z$2,SIP[Date Value],"&lt;="&amp;$Z$3))</f>
        <v>0</v>
      </c>
      <c r="M48" s="49">
        <f>(SUMIFS(LS[Cost of Units Sold],LS[Investor ID],A48,LS[B/S],"S",LS[Date Value],"&gt;="&amp;$Z$2,LS[Date Value],"&lt;="&amp;$Z$3))+(SUMIFS(SIP[Cost of Units Sold],SIP[Investor ID],A48,SIP[B/S],"S",SIP[Date Value],"&gt;="&amp;$Z$2,SIP[Date Value],"&lt;="&amp;$Z$3))</f>
        <v>0</v>
      </c>
      <c r="N48" s="49">
        <f t="shared" si="4"/>
        <v>0</v>
      </c>
      <c r="O48" s="49">
        <f>(SUMIFS(LS[Realized Gain],LS[Investor ID],A48,LS[Date Value],"&gt;="&amp;$Z$2,LS[Date Value],"&lt;="&amp;$Z$3))+(SUMIFS(SIP[Realized Gain],SIP[Investor ID],A48,SIP[Date Value],"&gt;="&amp;$Z$2,SIP[Date Value],"&lt;="&amp;$Z$3))</f>
        <v>0</v>
      </c>
      <c r="P48" s="49">
        <v>0</v>
      </c>
      <c r="Q48" s="49">
        <v>0</v>
      </c>
      <c r="R48" s="49">
        <v>0</v>
      </c>
    </row>
    <row r="49" spans="1:18">
      <c r="A49" t="s">
        <v>146</v>
      </c>
      <c r="B49" s="47">
        <f>SUMIFS(LS[Unit],LS[Investor ID],'TAX CERTIFICATE'!A49,LS[Date Value],"&lt;"&amp;$Z$2)+SUMIFS(SIP[Unit],SIP[Investor ID],'TAX CERTIFICATE'!A49,SIP[Date Value],"&lt;"&amp;$Z$2)</f>
        <v>0</v>
      </c>
      <c r="C49" s="48">
        <f>(SUMIFS(LS[Amount],LS[B/S],"B",LS[Investor ID],A49,LS[Date Value],"&lt;"&amp;$Z$2)-SUMIFS(LS[Cost of Units Sold],LS[B/S],"S",LS[Investor ID],A49,LS[Date Value],"&lt;"&amp;$Z$2))+(SUMIFS(SIP[Amount],SIP[B/S],"B",SIP[Investor ID],#REF!,SIP[Date Value],"&lt;"&amp;$Z$2)-SUMIFS(SIP[Cost of Units Sold],SIP[B/S],"S",SIP[Investor ID],A49,SIP[Date Value],"&lt;"&amp;$Z$2))</f>
        <v>0</v>
      </c>
      <c r="D49" s="49">
        <f t="shared" si="0"/>
        <v>0</v>
      </c>
      <c r="E49" s="49">
        <f t="shared" si="1"/>
        <v>0</v>
      </c>
      <c r="F49" s="47">
        <f>SUMIFS(LS[Unit],LS[Investor ID],A49,LS[Date Value],"&lt;="&amp;$Z$3)+SUMIFS(SIP[Unit],SIP[Investor ID],A49,SIP[Date Value],"&lt;="&amp;$Z$3)</f>
        <v>0</v>
      </c>
      <c r="G49" s="49">
        <f>(SUMIFS(LS[Amount],LS[B/S],"B",LS[Investor ID],A49,LS[Date Value],"&lt;="&amp;$Z$3)-SUMIFS(LS[Cost of Units Sold],LS[B/S],"S",LS[Investor ID],A49,LS[Date Value],"&lt;="&amp;$Z$3))+(SUMIFS(SIP[Amount],SIP[B/S],"B",SIP[Investor ID],A49,SIP[Date Value],"&lt;="&amp;$Z$3)-SUMIFS(SIP[Cost of Units Sold],SIP[B/S],"S",SIP[Investor ID],A49,SIP[Date Value],"&lt;="&amp;$Z$3))</f>
        <v>0</v>
      </c>
      <c r="H49" s="49">
        <f t="shared" si="2"/>
        <v>0</v>
      </c>
      <c r="I49" s="49">
        <f t="shared" si="3"/>
        <v>0</v>
      </c>
      <c r="J49" s="47">
        <f>(SUMIFS(LS[Unit],LS[Investor ID],A49,LS[B/S],"B",LS[Date Value],"&gt;="&amp;$Z$2,LS[Date Value],"&lt;="&amp;$Z$3))+(SUMIFS(SIP[Unit],SIP[Investor ID],A49,SIP[B/S],"B",SIP[Date Value],"&gt;="&amp;$Z$2,SIP[Date Value],"&lt;="&amp;$Z$3))</f>
        <v>0</v>
      </c>
      <c r="K49" s="49">
        <f>(SUMIFS(LS[Amount],LS[Investor ID],A49,LS[B/S],"B",LS[Date Value],"&gt;="&amp;$Z$2,LS[Date Value],"&lt;="&amp;$Z$3))+(SUMIFS(SIP[Amount],SIP[Investor ID],A49,SIP[B/S],"B",SIP[Date Value],"&gt;="&amp;$Z$2,SIP[Date Value],"&lt;="&amp;$Z$3))</f>
        <v>0</v>
      </c>
      <c r="L49" s="47">
        <f>(-SUMIFS(LS[Unit],LS[Investor ID],A49,LS[B/S],"S",LS[Date Value],"&gt;="&amp;$Z$2,LS[Date Value],"&lt;="&amp;$Z$3))+(-SUMIFS(SIP[Unit],SIP[Investor ID],A49,SIP[B/S],"S",SIP[Date Value],"&gt;="&amp;$Z$2,SIP[Date Value],"&lt;="&amp;$Z$3))</f>
        <v>0</v>
      </c>
      <c r="M49" s="49">
        <f>(SUMIFS(LS[Cost of Units Sold],LS[Investor ID],A49,LS[B/S],"S",LS[Date Value],"&gt;="&amp;$Z$2,LS[Date Value],"&lt;="&amp;$Z$3))+(SUMIFS(SIP[Cost of Units Sold],SIP[Investor ID],A49,SIP[B/S],"S",SIP[Date Value],"&gt;="&amp;$Z$2,SIP[Date Value],"&lt;="&amp;$Z$3))</f>
        <v>0</v>
      </c>
      <c r="N49" s="49">
        <f t="shared" si="4"/>
        <v>0</v>
      </c>
      <c r="O49" s="49">
        <f>(SUMIFS(LS[Realized Gain],LS[Investor ID],A49,LS[Date Value],"&gt;="&amp;$Z$2,LS[Date Value],"&lt;="&amp;$Z$3))+(SUMIFS(SIP[Realized Gain],SIP[Investor ID],A49,SIP[Date Value],"&gt;="&amp;$Z$2,SIP[Date Value],"&lt;="&amp;$Z$3))</f>
        <v>0</v>
      </c>
      <c r="P49" s="49">
        <v>0</v>
      </c>
      <c r="Q49" s="49">
        <v>0</v>
      </c>
      <c r="R49" s="49">
        <v>0</v>
      </c>
    </row>
    <row r="50" spans="1:18">
      <c r="A50" t="s">
        <v>148</v>
      </c>
      <c r="B50" s="47">
        <f>SUMIFS(LS[Unit],LS[Investor ID],'TAX CERTIFICATE'!A50,LS[Date Value],"&lt;"&amp;$Z$2)+SUMIFS(SIP[Unit],SIP[Investor ID],'TAX CERTIFICATE'!A50,SIP[Date Value],"&lt;"&amp;$Z$2)</f>
        <v>0</v>
      </c>
      <c r="C50" s="48">
        <f>(SUMIFS(LS[Amount],LS[B/S],"B",LS[Investor ID],A50,LS[Date Value],"&lt;"&amp;$Z$2)-SUMIFS(LS[Cost of Units Sold],LS[B/S],"S",LS[Investor ID],A50,LS[Date Value],"&lt;"&amp;$Z$2))+(SUMIFS(SIP[Amount],SIP[B/S],"B",SIP[Investor ID],#REF!,SIP[Date Value],"&lt;"&amp;$Z$2)-SUMIFS(SIP[Cost of Units Sold],SIP[B/S],"S",SIP[Investor ID],A50,SIP[Date Value],"&lt;"&amp;$Z$2))</f>
        <v>0</v>
      </c>
      <c r="D50" s="49">
        <f t="shared" si="0"/>
        <v>0</v>
      </c>
      <c r="E50" s="49">
        <f t="shared" si="1"/>
        <v>0</v>
      </c>
      <c r="F50" s="47">
        <f>SUMIFS(LS[Unit],LS[Investor ID],A50,LS[Date Value],"&lt;="&amp;$Z$3)+SUMIFS(SIP[Unit],SIP[Investor ID],A50,SIP[Date Value],"&lt;="&amp;$Z$3)</f>
        <v>0</v>
      </c>
      <c r="G50" s="49">
        <f>(SUMIFS(LS[Amount],LS[B/S],"B",LS[Investor ID],A50,LS[Date Value],"&lt;="&amp;$Z$3)-SUMIFS(LS[Cost of Units Sold],LS[B/S],"S",LS[Investor ID],A50,LS[Date Value],"&lt;="&amp;$Z$3))+(SUMIFS(SIP[Amount],SIP[B/S],"B",SIP[Investor ID],A50,SIP[Date Value],"&lt;="&amp;$Z$3)-SUMIFS(SIP[Cost of Units Sold],SIP[B/S],"S",SIP[Investor ID],A50,SIP[Date Value],"&lt;="&amp;$Z$3))</f>
        <v>0</v>
      </c>
      <c r="H50" s="49">
        <f t="shared" si="2"/>
        <v>0</v>
      </c>
      <c r="I50" s="49">
        <f t="shared" si="3"/>
        <v>0</v>
      </c>
      <c r="J50" s="47">
        <f>(SUMIFS(LS[Unit],LS[Investor ID],A50,LS[B/S],"B",LS[Date Value],"&gt;="&amp;$Z$2,LS[Date Value],"&lt;="&amp;$Z$3))+(SUMIFS(SIP[Unit],SIP[Investor ID],A50,SIP[B/S],"B",SIP[Date Value],"&gt;="&amp;$Z$2,SIP[Date Value],"&lt;="&amp;$Z$3))</f>
        <v>0</v>
      </c>
      <c r="K50" s="49">
        <f>(SUMIFS(LS[Amount],LS[Investor ID],A50,LS[B/S],"B",LS[Date Value],"&gt;="&amp;$Z$2,LS[Date Value],"&lt;="&amp;$Z$3))+(SUMIFS(SIP[Amount],SIP[Investor ID],A50,SIP[B/S],"B",SIP[Date Value],"&gt;="&amp;$Z$2,SIP[Date Value],"&lt;="&amp;$Z$3))</f>
        <v>0</v>
      </c>
      <c r="L50" s="47">
        <f>(-SUMIFS(LS[Unit],LS[Investor ID],A50,LS[B/S],"S",LS[Date Value],"&gt;="&amp;$Z$2,LS[Date Value],"&lt;="&amp;$Z$3))+(-SUMIFS(SIP[Unit],SIP[Investor ID],A50,SIP[B/S],"S",SIP[Date Value],"&gt;="&amp;$Z$2,SIP[Date Value],"&lt;="&amp;$Z$3))</f>
        <v>0</v>
      </c>
      <c r="M50" s="49">
        <f>(SUMIFS(LS[Cost of Units Sold],LS[Investor ID],A50,LS[B/S],"S",LS[Date Value],"&gt;="&amp;$Z$2,LS[Date Value],"&lt;="&amp;$Z$3))+(SUMIFS(SIP[Cost of Units Sold],SIP[Investor ID],A50,SIP[B/S],"S",SIP[Date Value],"&gt;="&amp;$Z$2,SIP[Date Value],"&lt;="&amp;$Z$3))</f>
        <v>0</v>
      </c>
      <c r="N50" s="49">
        <f t="shared" si="4"/>
        <v>0</v>
      </c>
      <c r="O50" s="49">
        <f>(SUMIFS(LS[Realized Gain],LS[Investor ID],A50,LS[Date Value],"&gt;="&amp;$Z$2,LS[Date Value],"&lt;="&amp;$Z$3))+(SUMIFS(SIP[Realized Gain],SIP[Investor ID],A50,SIP[Date Value],"&gt;="&amp;$Z$2,SIP[Date Value],"&lt;="&amp;$Z$3))</f>
        <v>0</v>
      </c>
      <c r="P50" s="49">
        <v>0</v>
      </c>
      <c r="Q50" s="49">
        <v>0</v>
      </c>
      <c r="R50" s="49">
        <v>0</v>
      </c>
    </row>
    <row r="51" spans="1:18">
      <c r="A51" t="s">
        <v>150</v>
      </c>
      <c r="B51" s="47">
        <f>SUMIFS(LS[Unit],LS[Investor ID],'TAX CERTIFICATE'!A51,LS[Date Value],"&lt;"&amp;$Z$2)+SUMIFS(SIP[Unit],SIP[Investor ID],'TAX CERTIFICATE'!A51,SIP[Date Value],"&lt;"&amp;$Z$2)</f>
        <v>100000</v>
      </c>
      <c r="C51" s="48">
        <f>(SUMIFS(LS[Amount],LS[B/S],"B",LS[Investor ID],A51,LS[Date Value],"&lt;"&amp;$Z$2)-SUMIFS(LS[Cost of Units Sold],LS[B/S],"S",LS[Investor ID],A51,LS[Date Value],"&lt;"&amp;$Z$2))+(SUMIFS(SIP[Amount],SIP[B/S],"B",SIP[Investor ID],#REF!,SIP[Date Value],"&lt;"&amp;$Z$2)-SUMIFS(SIP[Cost of Units Sold],SIP[B/S],"S",SIP[Investor ID],A51,SIP[Date Value],"&lt;"&amp;$Z$2))</f>
        <v>1000000</v>
      </c>
      <c r="D51" s="49">
        <f t="shared" si="0"/>
        <v>1027100.0000000001</v>
      </c>
      <c r="E51" s="49">
        <f t="shared" si="1"/>
        <v>27100.000000000116</v>
      </c>
      <c r="F51" s="47">
        <f>SUMIFS(LS[Unit],LS[Investor ID],A51,LS[Date Value],"&lt;="&amp;$Z$3)+SUMIFS(SIP[Unit],SIP[Investor ID],A51,SIP[Date Value],"&lt;="&amp;$Z$3)</f>
        <v>100000</v>
      </c>
      <c r="G51" s="49">
        <f>(SUMIFS(LS[Amount],LS[B/S],"B",LS[Investor ID],A51,LS[Date Value],"&lt;="&amp;$Z$3)-SUMIFS(LS[Cost of Units Sold],LS[B/S],"S",LS[Investor ID],A51,LS[Date Value],"&lt;="&amp;$Z$3))+(SUMIFS(SIP[Amount],SIP[B/S],"B",SIP[Investor ID],A51,SIP[Date Value],"&lt;="&amp;$Z$3)-SUMIFS(SIP[Cost of Units Sold],SIP[B/S],"S",SIP[Investor ID],A51,SIP[Date Value],"&lt;="&amp;$Z$3))</f>
        <v>1000000</v>
      </c>
      <c r="H51" s="49">
        <f t="shared" si="2"/>
        <v>1116400</v>
      </c>
      <c r="I51" s="49">
        <f t="shared" si="3"/>
        <v>116400</v>
      </c>
      <c r="J51" s="47">
        <f>(SUMIFS(LS[Unit],LS[Investor ID],A51,LS[B/S],"B",LS[Date Value],"&gt;="&amp;$Z$2,LS[Date Value],"&lt;="&amp;$Z$3))+(SUMIFS(SIP[Unit],SIP[Investor ID],A51,SIP[B/S],"B",SIP[Date Value],"&gt;="&amp;$Z$2,SIP[Date Value],"&lt;="&amp;$Z$3))</f>
        <v>0</v>
      </c>
      <c r="K51" s="49">
        <f>(SUMIFS(LS[Amount],LS[Investor ID],A51,LS[B/S],"B",LS[Date Value],"&gt;="&amp;$Z$2,LS[Date Value],"&lt;="&amp;$Z$3))+(SUMIFS(SIP[Amount],SIP[Investor ID],A51,SIP[B/S],"B",SIP[Date Value],"&gt;="&amp;$Z$2,SIP[Date Value],"&lt;="&amp;$Z$3))</f>
        <v>0</v>
      </c>
      <c r="L51" s="47">
        <f>(-SUMIFS(LS[Unit],LS[Investor ID],A51,LS[B/S],"S",LS[Date Value],"&gt;="&amp;$Z$2,LS[Date Value],"&lt;="&amp;$Z$3))+(-SUMIFS(SIP[Unit],SIP[Investor ID],A51,SIP[B/S],"S",SIP[Date Value],"&gt;="&amp;$Z$2,SIP[Date Value],"&lt;="&amp;$Z$3))</f>
        <v>0</v>
      </c>
      <c r="M51" s="49">
        <f>(SUMIFS(LS[Cost of Units Sold],LS[Investor ID],A51,LS[B/S],"S",LS[Date Value],"&gt;="&amp;$Z$2,LS[Date Value],"&lt;="&amp;$Z$3))+(SUMIFS(SIP[Cost of Units Sold],SIP[Investor ID],A51,SIP[B/S],"S",SIP[Date Value],"&gt;="&amp;$Z$2,SIP[Date Value],"&lt;="&amp;$Z$3))</f>
        <v>0</v>
      </c>
      <c r="N51" s="49">
        <f t="shared" si="4"/>
        <v>0</v>
      </c>
      <c r="O51" s="49">
        <f>(SUMIFS(LS[Realized Gain],LS[Investor ID],A51,LS[Date Value],"&gt;="&amp;$Z$2,LS[Date Value],"&lt;="&amp;$Z$3))+(SUMIFS(SIP[Realized Gain],SIP[Investor ID],A51,SIP[Date Value],"&gt;="&amp;$Z$2,SIP[Date Value],"&lt;="&amp;$Z$3))</f>
        <v>0</v>
      </c>
      <c r="P51" s="49">
        <v>0</v>
      </c>
      <c r="Q51" s="49">
        <v>0</v>
      </c>
      <c r="R51" s="49">
        <v>0</v>
      </c>
    </row>
    <row r="52" spans="1:18">
      <c r="A52" t="s">
        <v>152</v>
      </c>
      <c r="B52" s="47">
        <f>SUMIFS(LS[Unit],LS[Investor ID],'TAX CERTIFICATE'!A52,LS[Date Value],"&lt;"&amp;$Z$2)+SUMIFS(SIP[Unit],SIP[Investor ID],'TAX CERTIFICATE'!A52,SIP[Date Value],"&lt;"&amp;$Z$2)</f>
        <v>0</v>
      </c>
      <c r="C52" s="48">
        <f>(SUMIFS(LS[Amount],LS[B/S],"B",LS[Investor ID],A52,LS[Date Value],"&lt;"&amp;$Z$2)-SUMIFS(LS[Cost of Units Sold],LS[B/S],"S",LS[Investor ID],A52,LS[Date Value],"&lt;"&amp;$Z$2))+(SUMIFS(SIP[Amount],SIP[B/S],"B",SIP[Investor ID],#REF!,SIP[Date Value],"&lt;"&amp;$Z$2)-SUMIFS(SIP[Cost of Units Sold],SIP[B/S],"S",SIP[Investor ID],A52,SIP[Date Value],"&lt;"&amp;$Z$2))</f>
        <v>0</v>
      </c>
      <c r="D52" s="49">
        <f t="shared" si="0"/>
        <v>0</v>
      </c>
      <c r="E52" s="49">
        <f t="shared" si="1"/>
        <v>0</v>
      </c>
      <c r="F52" s="47">
        <f>SUMIFS(LS[Unit],LS[Investor ID],A52,LS[Date Value],"&lt;="&amp;$Z$3)+SUMIFS(SIP[Unit],SIP[Investor ID],A52,SIP[Date Value],"&lt;="&amp;$Z$3)</f>
        <v>0</v>
      </c>
      <c r="G52" s="49">
        <f>(SUMIFS(LS[Amount],LS[B/S],"B",LS[Investor ID],A52,LS[Date Value],"&lt;="&amp;$Z$3)-SUMIFS(LS[Cost of Units Sold],LS[B/S],"S",LS[Investor ID],A52,LS[Date Value],"&lt;="&amp;$Z$3))+(SUMIFS(SIP[Amount],SIP[B/S],"B",SIP[Investor ID],A52,SIP[Date Value],"&lt;="&amp;$Z$3)-SUMIFS(SIP[Cost of Units Sold],SIP[B/S],"S",SIP[Investor ID],A52,SIP[Date Value],"&lt;="&amp;$Z$3))</f>
        <v>0</v>
      </c>
      <c r="H52" s="49">
        <f t="shared" si="2"/>
        <v>0</v>
      </c>
      <c r="I52" s="49">
        <f t="shared" si="3"/>
        <v>0</v>
      </c>
      <c r="J52" s="47">
        <f>(SUMIFS(LS[Unit],LS[Investor ID],A52,LS[B/S],"B",LS[Date Value],"&gt;="&amp;$Z$2,LS[Date Value],"&lt;="&amp;$Z$3))+(SUMIFS(SIP[Unit],SIP[Investor ID],A52,SIP[B/S],"B",SIP[Date Value],"&gt;="&amp;$Z$2,SIP[Date Value],"&lt;="&amp;$Z$3))</f>
        <v>0</v>
      </c>
      <c r="K52" s="49">
        <f>(SUMIFS(LS[Amount],LS[Investor ID],A52,LS[B/S],"B",LS[Date Value],"&gt;="&amp;$Z$2,LS[Date Value],"&lt;="&amp;$Z$3))+(SUMIFS(SIP[Amount],SIP[Investor ID],A52,SIP[B/S],"B",SIP[Date Value],"&gt;="&amp;$Z$2,SIP[Date Value],"&lt;="&amp;$Z$3))</f>
        <v>0</v>
      </c>
      <c r="L52" s="47">
        <f>(-SUMIFS(LS[Unit],LS[Investor ID],A52,LS[B/S],"S",LS[Date Value],"&gt;="&amp;$Z$2,LS[Date Value],"&lt;="&amp;$Z$3))+(-SUMIFS(SIP[Unit],SIP[Investor ID],A52,SIP[B/S],"S",SIP[Date Value],"&gt;="&amp;$Z$2,SIP[Date Value],"&lt;="&amp;$Z$3))</f>
        <v>0</v>
      </c>
      <c r="M52" s="49">
        <f>(SUMIFS(LS[Cost of Units Sold],LS[Investor ID],A52,LS[B/S],"S",LS[Date Value],"&gt;="&amp;$Z$2,LS[Date Value],"&lt;="&amp;$Z$3))+(SUMIFS(SIP[Cost of Units Sold],SIP[Investor ID],A52,SIP[B/S],"S",SIP[Date Value],"&gt;="&amp;$Z$2,SIP[Date Value],"&lt;="&amp;$Z$3))</f>
        <v>0</v>
      </c>
      <c r="N52" s="49">
        <f t="shared" si="4"/>
        <v>0</v>
      </c>
      <c r="O52" s="49">
        <f>(SUMIFS(LS[Realized Gain],LS[Investor ID],A52,LS[Date Value],"&gt;="&amp;$Z$2,LS[Date Value],"&lt;="&amp;$Z$3))+(SUMIFS(SIP[Realized Gain],SIP[Investor ID],A52,SIP[Date Value],"&gt;="&amp;$Z$2,SIP[Date Value],"&lt;="&amp;$Z$3))</f>
        <v>0</v>
      </c>
      <c r="P52" s="49">
        <v>0</v>
      </c>
      <c r="Q52" s="49">
        <v>0</v>
      </c>
      <c r="R52" s="49">
        <v>0</v>
      </c>
    </row>
    <row r="53" spans="1:18">
      <c r="A53" t="s">
        <v>154</v>
      </c>
      <c r="B53" s="47">
        <f>SUMIFS(LS[Unit],LS[Investor ID],'TAX CERTIFICATE'!A53,LS[Date Value],"&lt;"&amp;$Z$2)+SUMIFS(SIP[Unit],SIP[Investor ID],'TAX CERTIFICATE'!A53,SIP[Date Value],"&lt;"&amp;$Z$2)</f>
        <v>39518</v>
      </c>
      <c r="C53" s="48">
        <f>(SUMIFS(LS[Amount],LS[B/S],"B",LS[Investor ID],A53,LS[Date Value],"&lt;"&amp;$Z$2)-SUMIFS(LS[Cost of Units Sold],LS[B/S],"S",LS[Investor ID],A53,LS[Date Value],"&lt;"&amp;$Z$2))+(SUMIFS(SIP[Amount],SIP[B/S],"B",SIP[Investor ID],#REF!,SIP[Date Value],"&lt;"&amp;$Z$2)-SUMIFS(SIP[Cost of Units Sold],SIP[B/S],"S",SIP[Investor ID],A53,SIP[Date Value],"&lt;"&amp;$Z$2))</f>
        <v>210000</v>
      </c>
      <c r="D53" s="49">
        <f t="shared" si="0"/>
        <v>405889.37800000003</v>
      </c>
      <c r="E53" s="49">
        <f t="shared" si="1"/>
        <v>195889.37800000003</v>
      </c>
      <c r="F53" s="47">
        <f>SUMIFS(LS[Unit],LS[Investor ID],A53,LS[Date Value],"&lt;="&amp;$Z$3)+SUMIFS(SIP[Unit],SIP[Investor ID],A53,SIP[Date Value],"&lt;="&amp;$Z$3)</f>
        <v>135437</v>
      </c>
      <c r="G53" s="49">
        <f>(SUMIFS(LS[Amount],LS[B/S],"B",LS[Investor ID],A53,LS[Date Value],"&lt;="&amp;$Z$3)-SUMIFS(LS[Cost of Units Sold],LS[B/S],"S",LS[Investor ID],A53,LS[Date Value],"&lt;="&amp;$Z$3))+(SUMIFS(SIP[Amount],SIP[B/S],"B",SIP[Investor ID],A53,SIP[Date Value],"&lt;="&amp;$Z$3)-SUMIFS(SIP[Cost of Units Sold],SIP[B/S],"S",SIP[Investor ID],A53,SIP[Date Value],"&lt;="&amp;$Z$3))</f>
        <v>1431401.4405109738</v>
      </c>
      <c r="H53" s="49">
        <f t="shared" si="2"/>
        <v>1512018.6680000001</v>
      </c>
      <c r="I53" s="49">
        <f t="shared" si="3"/>
        <v>80617.227489026263</v>
      </c>
      <c r="J53" s="47">
        <f>(SUMIFS(LS[Unit],LS[Investor ID],A53,LS[B/S],"B",LS[Date Value],"&gt;="&amp;$Z$2,LS[Date Value],"&lt;="&amp;$Z$3))+(SUMIFS(SIP[Unit],SIP[Investor ID],A53,SIP[B/S],"B",SIP[Date Value],"&gt;="&amp;$Z$2,SIP[Date Value],"&lt;="&amp;$Z$3))</f>
        <v>100609</v>
      </c>
      <c r="K53" s="49">
        <f>(SUMIFS(LS[Amount],LS[Investor ID],A53,LS[B/S],"B",LS[Date Value],"&gt;="&amp;$Z$2,LS[Date Value],"&lt;="&amp;$Z$3))+(SUMIFS(SIP[Amount],SIP[Investor ID],A53,SIP[B/S],"B",SIP[Date Value],"&gt;="&amp;$Z$2,SIP[Date Value],"&lt;="&amp;$Z$3))</f>
        <v>1080000</v>
      </c>
      <c r="L53" s="47">
        <f>(-SUMIFS(LS[Unit],LS[Investor ID],A53,LS[B/S],"S",LS[Date Value],"&gt;="&amp;$Z$2,LS[Date Value],"&lt;="&amp;$Z$3))+(-SUMIFS(SIP[Unit],SIP[Investor ID],A53,SIP[B/S],"S",SIP[Date Value],"&gt;="&amp;$Z$2,SIP[Date Value],"&lt;="&amp;$Z$3))</f>
        <v>4690</v>
      </c>
      <c r="M53" s="49">
        <f>(SUMIFS(LS[Cost of Units Sold],LS[Investor ID],A53,LS[B/S],"S",LS[Date Value],"&gt;="&amp;$Z$2,LS[Date Value],"&lt;="&amp;$Z$3))+(SUMIFS(SIP[Cost of Units Sold],SIP[Investor ID],A53,SIP[B/S],"S",SIP[Date Value],"&gt;="&amp;$Z$2,SIP[Date Value],"&lt;="&amp;$Z$3))</f>
        <v>48598.559489026302</v>
      </c>
      <c r="N53" s="49">
        <f t="shared" si="4"/>
        <v>1031401.4405109737</v>
      </c>
      <c r="O53" s="49">
        <f>(SUMIFS(LS[Realized Gain],LS[Investor ID],A53,LS[Date Value],"&gt;="&amp;$Z$2,LS[Date Value],"&lt;="&amp;$Z$3))+(SUMIFS(SIP[Realized Gain],SIP[Investor ID],A53,SIP[Date Value],"&gt;="&amp;$Z$2,SIP[Date Value],"&lt;="&amp;$Z$3))</f>
        <v>1401.4405109736988</v>
      </c>
      <c r="P53" s="49">
        <v>0</v>
      </c>
      <c r="Q53" s="49">
        <v>0</v>
      </c>
      <c r="R53" s="49">
        <v>0</v>
      </c>
    </row>
    <row r="54" spans="1:18">
      <c r="A54" t="s">
        <v>156</v>
      </c>
      <c r="B54" s="47">
        <f>SUMIFS(LS[Unit],LS[Investor ID],'TAX CERTIFICATE'!A54,LS[Date Value],"&lt;"&amp;$Z$2)+SUMIFS(SIP[Unit],SIP[Investor ID],'TAX CERTIFICATE'!A54,SIP[Date Value],"&lt;"&amp;$Z$2)</f>
        <v>0</v>
      </c>
      <c r="C54" s="48">
        <f>(SUMIFS(LS[Amount],LS[B/S],"B",LS[Investor ID],A54,LS[Date Value],"&lt;"&amp;$Z$2)-SUMIFS(LS[Cost of Units Sold],LS[B/S],"S",LS[Investor ID],A54,LS[Date Value],"&lt;"&amp;$Z$2))+(SUMIFS(SIP[Amount],SIP[B/S],"B",SIP[Investor ID],#REF!,SIP[Date Value],"&lt;"&amp;$Z$2)-SUMIFS(SIP[Cost of Units Sold],SIP[B/S],"S",SIP[Investor ID],A54,SIP[Date Value],"&lt;"&amp;$Z$2))</f>
        <v>0</v>
      </c>
      <c r="D54" s="49">
        <f t="shared" si="0"/>
        <v>0</v>
      </c>
      <c r="E54" s="49">
        <f t="shared" si="1"/>
        <v>0</v>
      </c>
      <c r="F54" s="47">
        <f>SUMIFS(LS[Unit],LS[Investor ID],A54,LS[Date Value],"&lt;="&amp;$Z$3)+SUMIFS(SIP[Unit],SIP[Investor ID],A54,SIP[Date Value],"&lt;="&amp;$Z$3)</f>
        <v>0</v>
      </c>
      <c r="G54" s="49">
        <f>(SUMIFS(LS[Amount],LS[B/S],"B",LS[Investor ID],A54,LS[Date Value],"&lt;="&amp;$Z$3)-SUMIFS(LS[Cost of Units Sold],LS[B/S],"S",LS[Investor ID],A54,LS[Date Value],"&lt;="&amp;$Z$3))+(SUMIFS(SIP[Amount],SIP[B/S],"B",SIP[Investor ID],A54,SIP[Date Value],"&lt;="&amp;$Z$3)-SUMIFS(SIP[Cost of Units Sold],SIP[B/S],"S",SIP[Investor ID],A54,SIP[Date Value],"&lt;="&amp;$Z$3))</f>
        <v>0</v>
      </c>
      <c r="H54" s="49">
        <f t="shared" si="2"/>
        <v>0</v>
      </c>
      <c r="I54" s="49">
        <f t="shared" si="3"/>
        <v>0</v>
      </c>
      <c r="J54" s="47">
        <f>(SUMIFS(LS[Unit],LS[Investor ID],A54,LS[B/S],"B",LS[Date Value],"&gt;="&amp;$Z$2,LS[Date Value],"&lt;="&amp;$Z$3))+(SUMIFS(SIP[Unit],SIP[Investor ID],A54,SIP[B/S],"B",SIP[Date Value],"&gt;="&amp;$Z$2,SIP[Date Value],"&lt;="&amp;$Z$3))</f>
        <v>0</v>
      </c>
      <c r="K54" s="49">
        <f>(SUMIFS(LS[Amount],LS[Investor ID],A54,LS[B/S],"B",LS[Date Value],"&gt;="&amp;$Z$2,LS[Date Value],"&lt;="&amp;$Z$3))+(SUMIFS(SIP[Amount],SIP[Investor ID],A54,SIP[B/S],"B",SIP[Date Value],"&gt;="&amp;$Z$2,SIP[Date Value],"&lt;="&amp;$Z$3))</f>
        <v>0</v>
      </c>
      <c r="L54" s="47">
        <f>(-SUMIFS(LS[Unit],LS[Investor ID],A54,LS[B/S],"S",LS[Date Value],"&gt;="&amp;$Z$2,LS[Date Value],"&lt;="&amp;$Z$3))+(-SUMIFS(SIP[Unit],SIP[Investor ID],A54,SIP[B/S],"S",SIP[Date Value],"&gt;="&amp;$Z$2,SIP[Date Value],"&lt;="&amp;$Z$3))</f>
        <v>0</v>
      </c>
      <c r="M54" s="49">
        <f>(SUMIFS(LS[Cost of Units Sold],LS[Investor ID],A54,LS[B/S],"S",LS[Date Value],"&gt;="&amp;$Z$2,LS[Date Value],"&lt;="&amp;$Z$3))+(SUMIFS(SIP[Cost of Units Sold],SIP[Investor ID],A54,SIP[B/S],"S",SIP[Date Value],"&gt;="&amp;$Z$2,SIP[Date Value],"&lt;="&amp;$Z$3))</f>
        <v>0</v>
      </c>
      <c r="N54" s="49">
        <f t="shared" si="4"/>
        <v>0</v>
      </c>
      <c r="O54" s="49">
        <f>(SUMIFS(LS[Realized Gain],LS[Investor ID],A54,LS[Date Value],"&gt;="&amp;$Z$2,LS[Date Value],"&lt;="&amp;$Z$3))+(SUMIFS(SIP[Realized Gain],SIP[Investor ID],A54,SIP[Date Value],"&gt;="&amp;$Z$2,SIP[Date Value],"&lt;="&amp;$Z$3))</f>
        <v>0</v>
      </c>
      <c r="P54" s="49">
        <v>0</v>
      </c>
      <c r="Q54" s="49">
        <v>0</v>
      </c>
      <c r="R54" s="49">
        <v>0</v>
      </c>
    </row>
    <row r="55" spans="1:18">
      <c r="A55" t="s">
        <v>158</v>
      </c>
      <c r="B55" s="47">
        <f>SUMIFS(LS[Unit],LS[Investor ID],'TAX CERTIFICATE'!A55,LS[Date Value],"&lt;"&amp;$Z$2)+SUMIFS(SIP[Unit],SIP[Investor ID],'TAX CERTIFICATE'!A55,SIP[Date Value],"&lt;"&amp;$Z$2)</f>
        <v>9843</v>
      </c>
      <c r="C55" s="48">
        <f>(SUMIFS(LS[Amount],LS[B/S],"B",LS[Investor ID],A55,LS[Date Value],"&lt;"&amp;$Z$2)-SUMIFS(LS[Cost of Units Sold],LS[B/S],"S",LS[Investor ID],A55,LS[Date Value],"&lt;"&amp;$Z$2))+(SUMIFS(SIP[Amount],SIP[B/S],"B",SIP[Investor ID],#REF!,SIP[Date Value],"&lt;"&amp;$Z$2)-SUMIFS(SIP[Cost of Units Sold],SIP[B/S],"S",SIP[Investor ID],A55,SIP[Date Value],"&lt;"&amp;$Z$2))</f>
        <v>0</v>
      </c>
      <c r="D55" s="49">
        <f t="shared" si="0"/>
        <v>101097.45300000001</v>
      </c>
      <c r="E55" s="49">
        <f t="shared" si="1"/>
        <v>101097.45300000001</v>
      </c>
      <c r="F55" s="47">
        <f>SUMIFS(LS[Unit],LS[Investor ID],A55,LS[Date Value],"&lt;="&amp;$Z$3)+SUMIFS(SIP[Unit],SIP[Investor ID],A55,SIP[Date Value],"&lt;="&amp;$Z$3)</f>
        <v>158639</v>
      </c>
      <c r="G55" s="49">
        <f>(SUMIFS(LS[Amount],LS[B/S],"B",LS[Investor ID],A55,LS[Date Value],"&lt;="&amp;$Z$3)-SUMIFS(LS[Cost of Units Sold],LS[B/S],"S",LS[Investor ID],A55,LS[Date Value],"&lt;="&amp;$Z$3))+(SUMIFS(SIP[Amount],SIP[B/S],"B",SIP[Investor ID],A55,SIP[Date Value],"&lt;="&amp;$Z$3)-SUMIFS(SIP[Cost of Units Sold],SIP[B/S],"S",SIP[Investor ID],A55,SIP[Date Value],"&lt;="&amp;$Z$3))</f>
        <v>1700000</v>
      </c>
      <c r="H55" s="49">
        <f t="shared" si="2"/>
        <v>1771045.7959999999</v>
      </c>
      <c r="I55" s="49">
        <f t="shared" si="3"/>
        <v>71045.795999999857</v>
      </c>
      <c r="J55" s="47">
        <f>(SUMIFS(LS[Unit],LS[Investor ID],A55,LS[B/S],"B",LS[Date Value],"&gt;="&amp;$Z$2,LS[Date Value],"&lt;="&amp;$Z$3))+(SUMIFS(SIP[Unit],SIP[Investor ID],A55,SIP[B/S],"B",SIP[Date Value],"&gt;="&amp;$Z$2,SIP[Date Value],"&lt;="&amp;$Z$3))</f>
        <v>148796</v>
      </c>
      <c r="K55" s="49">
        <f>(SUMIFS(LS[Amount],LS[Investor ID],A55,LS[B/S],"B",LS[Date Value],"&gt;="&amp;$Z$2,LS[Date Value],"&lt;="&amp;$Z$3))+(SUMIFS(SIP[Amount],SIP[Investor ID],A55,SIP[B/S],"B",SIP[Date Value],"&gt;="&amp;$Z$2,SIP[Date Value],"&lt;="&amp;$Z$3))</f>
        <v>1600000</v>
      </c>
      <c r="L55" s="47">
        <f>(-SUMIFS(LS[Unit],LS[Investor ID],A55,LS[B/S],"S",LS[Date Value],"&gt;="&amp;$Z$2,LS[Date Value],"&lt;="&amp;$Z$3))+(-SUMIFS(SIP[Unit],SIP[Investor ID],A55,SIP[B/S],"S",SIP[Date Value],"&gt;="&amp;$Z$2,SIP[Date Value],"&lt;="&amp;$Z$3))</f>
        <v>0</v>
      </c>
      <c r="M55" s="49">
        <f>(SUMIFS(LS[Cost of Units Sold],LS[Investor ID],A55,LS[B/S],"S",LS[Date Value],"&gt;="&amp;$Z$2,LS[Date Value],"&lt;="&amp;$Z$3))+(SUMIFS(SIP[Cost of Units Sold],SIP[Investor ID],A55,SIP[B/S],"S",SIP[Date Value],"&gt;="&amp;$Z$2,SIP[Date Value],"&lt;="&amp;$Z$3))</f>
        <v>0</v>
      </c>
      <c r="N55" s="49">
        <f t="shared" si="4"/>
        <v>1600000</v>
      </c>
      <c r="O55" s="49">
        <f>(SUMIFS(LS[Realized Gain],LS[Investor ID],A55,LS[Date Value],"&gt;="&amp;$Z$2,LS[Date Value],"&lt;="&amp;$Z$3))+(SUMIFS(SIP[Realized Gain],SIP[Investor ID],A55,SIP[Date Value],"&gt;="&amp;$Z$2,SIP[Date Value],"&lt;="&amp;$Z$3))</f>
        <v>0</v>
      </c>
      <c r="P55" s="49">
        <v>0</v>
      </c>
      <c r="Q55" s="49">
        <v>0</v>
      </c>
      <c r="R55" s="49">
        <v>0</v>
      </c>
    </row>
    <row r="56" spans="1:18">
      <c r="A56" t="s">
        <v>160</v>
      </c>
      <c r="B56" s="47">
        <f>SUMIFS(LS[Unit],LS[Investor ID],'TAX CERTIFICATE'!A56,LS[Date Value],"&lt;"&amp;$Z$2)+SUMIFS(SIP[Unit],SIP[Investor ID],'TAX CERTIFICATE'!A56,SIP[Date Value],"&lt;"&amp;$Z$2)</f>
        <v>0</v>
      </c>
      <c r="C56" s="48">
        <f>(SUMIFS(LS[Amount],LS[B/S],"B",LS[Investor ID],A56,LS[Date Value],"&lt;"&amp;$Z$2)-SUMIFS(LS[Cost of Units Sold],LS[B/S],"S",LS[Investor ID],A56,LS[Date Value],"&lt;"&amp;$Z$2))+(SUMIFS(SIP[Amount],SIP[B/S],"B",SIP[Investor ID],#REF!,SIP[Date Value],"&lt;"&amp;$Z$2)-SUMIFS(SIP[Cost of Units Sold],SIP[B/S],"S",SIP[Investor ID],A56,SIP[Date Value],"&lt;"&amp;$Z$2))</f>
        <v>0</v>
      </c>
      <c r="D56" s="49">
        <f t="shared" si="0"/>
        <v>0</v>
      </c>
      <c r="E56" s="49">
        <f t="shared" si="1"/>
        <v>0</v>
      </c>
      <c r="F56" s="47">
        <f>SUMIFS(LS[Unit],LS[Investor ID],A56,LS[Date Value],"&lt;="&amp;$Z$3)+SUMIFS(SIP[Unit],SIP[Investor ID],A56,SIP[Date Value],"&lt;="&amp;$Z$3)</f>
        <v>0</v>
      </c>
      <c r="G56" s="49">
        <f>(SUMIFS(LS[Amount],LS[B/S],"B",LS[Investor ID],A56,LS[Date Value],"&lt;="&amp;$Z$3)-SUMIFS(LS[Cost of Units Sold],LS[B/S],"S",LS[Investor ID],A56,LS[Date Value],"&lt;="&amp;$Z$3))+(SUMIFS(SIP[Amount],SIP[B/S],"B",SIP[Investor ID],A56,SIP[Date Value],"&lt;="&amp;$Z$3)-SUMIFS(SIP[Cost of Units Sold],SIP[B/S],"S",SIP[Investor ID],A56,SIP[Date Value],"&lt;="&amp;$Z$3))</f>
        <v>0</v>
      </c>
      <c r="H56" s="49">
        <f t="shared" si="2"/>
        <v>0</v>
      </c>
      <c r="I56" s="49">
        <f t="shared" si="3"/>
        <v>0</v>
      </c>
      <c r="J56" s="47">
        <f>(SUMIFS(LS[Unit],LS[Investor ID],A56,LS[B/S],"B",LS[Date Value],"&gt;="&amp;$Z$2,LS[Date Value],"&lt;="&amp;$Z$3))+(SUMIFS(SIP[Unit],SIP[Investor ID],A56,SIP[B/S],"B",SIP[Date Value],"&gt;="&amp;$Z$2,SIP[Date Value],"&lt;="&amp;$Z$3))</f>
        <v>0</v>
      </c>
      <c r="K56" s="49">
        <f>(SUMIFS(LS[Amount],LS[Investor ID],A56,LS[B/S],"B",LS[Date Value],"&gt;="&amp;$Z$2,LS[Date Value],"&lt;="&amp;$Z$3))+(SUMIFS(SIP[Amount],SIP[Investor ID],A56,SIP[B/S],"B",SIP[Date Value],"&gt;="&amp;$Z$2,SIP[Date Value],"&lt;="&amp;$Z$3))</f>
        <v>0</v>
      </c>
      <c r="L56" s="47">
        <f>(-SUMIFS(LS[Unit],LS[Investor ID],A56,LS[B/S],"S",LS[Date Value],"&gt;="&amp;$Z$2,LS[Date Value],"&lt;="&amp;$Z$3))+(-SUMIFS(SIP[Unit],SIP[Investor ID],A56,SIP[B/S],"S",SIP[Date Value],"&gt;="&amp;$Z$2,SIP[Date Value],"&lt;="&amp;$Z$3))</f>
        <v>0</v>
      </c>
      <c r="M56" s="49">
        <f>(SUMIFS(LS[Cost of Units Sold],LS[Investor ID],A56,LS[B/S],"S",LS[Date Value],"&gt;="&amp;$Z$2,LS[Date Value],"&lt;="&amp;$Z$3))+(SUMIFS(SIP[Cost of Units Sold],SIP[Investor ID],A56,SIP[B/S],"S",SIP[Date Value],"&gt;="&amp;$Z$2,SIP[Date Value],"&lt;="&amp;$Z$3))</f>
        <v>0</v>
      </c>
      <c r="N56" s="49">
        <f t="shared" si="4"/>
        <v>0</v>
      </c>
      <c r="O56" s="49">
        <f>(SUMIFS(LS[Realized Gain],LS[Investor ID],A56,LS[Date Value],"&gt;="&amp;$Z$2,LS[Date Value],"&lt;="&amp;$Z$3))+(SUMIFS(SIP[Realized Gain],SIP[Investor ID],A56,SIP[Date Value],"&gt;="&amp;$Z$2,SIP[Date Value],"&lt;="&amp;$Z$3))</f>
        <v>0</v>
      </c>
      <c r="P56" s="49">
        <v>0</v>
      </c>
      <c r="Q56" s="49">
        <v>0</v>
      </c>
      <c r="R56" s="49">
        <v>0</v>
      </c>
    </row>
    <row r="57" spans="1:18">
      <c r="A57" t="s">
        <v>162</v>
      </c>
      <c r="B57" s="47">
        <f>SUMIFS(LS[Unit],LS[Investor ID],'TAX CERTIFICATE'!A57,LS[Date Value],"&lt;"&amp;$Z$2)+SUMIFS(SIP[Unit],SIP[Investor ID],'TAX CERTIFICATE'!A57,SIP[Date Value],"&lt;"&amp;$Z$2)</f>
        <v>0</v>
      </c>
      <c r="C57" s="48">
        <f>(SUMIFS(LS[Amount],LS[B/S],"B",LS[Investor ID],A57,LS[Date Value],"&lt;"&amp;$Z$2)-SUMIFS(LS[Cost of Units Sold],LS[B/S],"S",LS[Investor ID],A57,LS[Date Value],"&lt;"&amp;$Z$2))+(SUMIFS(SIP[Amount],SIP[B/S],"B",SIP[Investor ID],#REF!,SIP[Date Value],"&lt;"&amp;$Z$2)-SUMIFS(SIP[Cost of Units Sold],SIP[B/S],"S",SIP[Investor ID],A57,SIP[Date Value],"&lt;"&amp;$Z$2))</f>
        <v>0</v>
      </c>
      <c r="D57" s="49">
        <f t="shared" si="0"/>
        <v>0</v>
      </c>
      <c r="E57" s="49">
        <f t="shared" si="1"/>
        <v>0</v>
      </c>
      <c r="F57" s="47">
        <f>SUMIFS(LS[Unit],LS[Investor ID],A57,LS[Date Value],"&lt;="&amp;$Z$3)+SUMIFS(SIP[Unit],SIP[Investor ID],A57,SIP[Date Value],"&lt;="&amp;$Z$3)</f>
        <v>0</v>
      </c>
      <c r="G57" s="49">
        <f>(SUMIFS(LS[Amount],LS[B/S],"B",LS[Investor ID],A57,LS[Date Value],"&lt;="&amp;$Z$3)-SUMIFS(LS[Cost of Units Sold],LS[B/S],"S",LS[Investor ID],A57,LS[Date Value],"&lt;="&amp;$Z$3))+(SUMIFS(SIP[Amount],SIP[B/S],"B",SIP[Investor ID],A57,SIP[Date Value],"&lt;="&amp;$Z$3)-SUMIFS(SIP[Cost of Units Sold],SIP[B/S],"S",SIP[Investor ID],A57,SIP[Date Value],"&lt;="&amp;$Z$3))</f>
        <v>0</v>
      </c>
      <c r="H57" s="49">
        <f t="shared" si="2"/>
        <v>0</v>
      </c>
      <c r="I57" s="49">
        <f t="shared" si="3"/>
        <v>0</v>
      </c>
      <c r="J57" s="47">
        <f>(SUMIFS(LS[Unit],LS[Investor ID],A57,LS[B/S],"B",LS[Date Value],"&gt;="&amp;$Z$2,LS[Date Value],"&lt;="&amp;$Z$3))+(SUMIFS(SIP[Unit],SIP[Investor ID],A57,SIP[B/S],"B",SIP[Date Value],"&gt;="&amp;$Z$2,SIP[Date Value],"&lt;="&amp;$Z$3))</f>
        <v>0</v>
      </c>
      <c r="K57" s="49">
        <f>(SUMIFS(LS[Amount],LS[Investor ID],A57,LS[B/S],"B",LS[Date Value],"&gt;="&amp;$Z$2,LS[Date Value],"&lt;="&amp;$Z$3))+(SUMIFS(SIP[Amount],SIP[Investor ID],A57,SIP[B/S],"B",SIP[Date Value],"&gt;="&amp;$Z$2,SIP[Date Value],"&lt;="&amp;$Z$3))</f>
        <v>0</v>
      </c>
      <c r="L57" s="47">
        <f>(-SUMIFS(LS[Unit],LS[Investor ID],A57,LS[B/S],"S",LS[Date Value],"&gt;="&amp;$Z$2,LS[Date Value],"&lt;="&amp;$Z$3))+(-SUMIFS(SIP[Unit],SIP[Investor ID],A57,SIP[B/S],"S",SIP[Date Value],"&gt;="&amp;$Z$2,SIP[Date Value],"&lt;="&amp;$Z$3))</f>
        <v>0</v>
      </c>
      <c r="M57" s="49">
        <f>(SUMIFS(LS[Cost of Units Sold],LS[Investor ID],A57,LS[B/S],"S",LS[Date Value],"&gt;="&amp;$Z$2,LS[Date Value],"&lt;="&amp;$Z$3))+(SUMIFS(SIP[Cost of Units Sold],SIP[Investor ID],A57,SIP[B/S],"S",SIP[Date Value],"&gt;="&amp;$Z$2,SIP[Date Value],"&lt;="&amp;$Z$3))</f>
        <v>0</v>
      </c>
      <c r="N57" s="49">
        <f t="shared" si="4"/>
        <v>0</v>
      </c>
      <c r="O57" s="49">
        <f>(SUMIFS(LS[Realized Gain],LS[Investor ID],A57,LS[Date Value],"&gt;="&amp;$Z$2,LS[Date Value],"&lt;="&amp;$Z$3))+(SUMIFS(SIP[Realized Gain],SIP[Investor ID],A57,SIP[Date Value],"&gt;="&amp;$Z$2,SIP[Date Value],"&lt;="&amp;$Z$3))</f>
        <v>0</v>
      </c>
      <c r="P57" s="49">
        <v>0</v>
      </c>
      <c r="Q57" s="49">
        <v>0</v>
      </c>
      <c r="R57" s="49">
        <v>0</v>
      </c>
    </row>
    <row r="58" spans="1:18">
      <c r="A58" t="s">
        <v>164</v>
      </c>
      <c r="B58" s="47">
        <f>SUMIFS(LS[Unit],LS[Investor ID],'TAX CERTIFICATE'!A58,LS[Date Value],"&lt;"&amp;$Z$2)+SUMIFS(SIP[Unit],SIP[Investor ID],'TAX CERTIFICATE'!A58,SIP[Date Value],"&lt;"&amp;$Z$2)</f>
        <v>0</v>
      </c>
      <c r="C58" s="48">
        <f>(SUMIFS(LS[Amount],LS[B/S],"B",LS[Investor ID],A58,LS[Date Value],"&lt;"&amp;$Z$2)-SUMIFS(LS[Cost of Units Sold],LS[B/S],"S",LS[Investor ID],A58,LS[Date Value],"&lt;"&amp;$Z$2))+(SUMIFS(SIP[Amount],SIP[B/S],"B",SIP[Investor ID],#REF!,SIP[Date Value],"&lt;"&amp;$Z$2)-SUMIFS(SIP[Cost of Units Sold],SIP[B/S],"S",SIP[Investor ID],A58,SIP[Date Value],"&lt;"&amp;$Z$2))</f>
        <v>0</v>
      </c>
      <c r="D58" s="49">
        <f t="shared" si="0"/>
        <v>0</v>
      </c>
      <c r="E58" s="49">
        <f t="shared" si="1"/>
        <v>0</v>
      </c>
      <c r="F58" s="47">
        <f>SUMIFS(LS[Unit],LS[Investor ID],A58,LS[Date Value],"&lt;="&amp;$Z$3)+SUMIFS(SIP[Unit],SIP[Investor ID],A58,SIP[Date Value],"&lt;="&amp;$Z$3)</f>
        <v>0</v>
      </c>
      <c r="G58" s="49">
        <f>(SUMIFS(LS[Amount],LS[B/S],"B",LS[Investor ID],A58,LS[Date Value],"&lt;="&amp;$Z$3)-SUMIFS(LS[Cost of Units Sold],LS[B/S],"S",LS[Investor ID],A58,LS[Date Value],"&lt;="&amp;$Z$3))+(SUMIFS(SIP[Amount],SIP[B/S],"B",SIP[Investor ID],A58,SIP[Date Value],"&lt;="&amp;$Z$3)-SUMIFS(SIP[Cost of Units Sold],SIP[B/S],"S",SIP[Investor ID],A58,SIP[Date Value],"&lt;="&amp;$Z$3))</f>
        <v>0</v>
      </c>
      <c r="H58" s="49">
        <f t="shared" si="2"/>
        <v>0</v>
      </c>
      <c r="I58" s="49">
        <f t="shared" si="3"/>
        <v>0</v>
      </c>
      <c r="J58" s="47">
        <f>(SUMIFS(LS[Unit],LS[Investor ID],A58,LS[B/S],"B",LS[Date Value],"&gt;="&amp;$Z$2,LS[Date Value],"&lt;="&amp;$Z$3))+(SUMIFS(SIP[Unit],SIP[Investor ID],A58,SIP[B/S],"B",SIP[Date Value],"&gt;="&amp;$Z$2,SIP[Date Value],"&lt;="&amp;$Z$3))</f>
        <v>0</v>
      </c>
      <c r="K58" s="49">
        <f>(SUMIFS(LS[Amount],LS[Investor ID],A58,LS[B/S],"B",LS[Date Value],"&gt;="&amp;$Z$2,LS[Date Value],"&lt;="&amp;$Z$3))+(SUMIFS(SIP[Amount],SIP[Investor ID],A58,SIP[B/S],"B",SIP[Date Value],"&gt;="&amp;$Z$2,SIP[Date Value],"&lt;="&amp;$Z$3))</f>
        <v>0</v>
      </c>
      <c r="L58" s="47">
        <f>(-SUMIFS(LS[Unit],LS[Investor ID],A58,LS[B/S],"S",LS[Date Value],"&gt;="&amp;$Z$2,LS[Date Value],"&lt;="&amp;$Z$3))+(-SUMIFS(SIP[Unit],SIP[Investor ID],A58,SIP[B/S],"S",SIP[Date Value],"&gt;="&amp;$Z$2,SIP[Date Value],"&lt;="&amp;$Z$3))</f>
        <v>0</v>
      </c>
      <c r="M58" s="49">
        <f>(SUMIFS(LS[Cost of Units Sold],LS[Investor ID],A58,LS[B/S],"S",LS[Date Value],"&gt;="&amp;$Z$2,LS[Date Value],"&lt;="&amp;$Z$3))+(SUMIFS(SIP[Cost of Units Sold],SIP[Investor ID],A58,SIP[B/S],"S",SIP[Date Value],"&gt;="&amp;$Z$2,SIP[Date Value],"&lt;="&amp;$Z$3))</f>
        <v>0</v>
      </c>
      <c r="N58" s="49">
        <f t="shared" si="4"/>
        <v>0</v>
      </c>
      <c r="O58" s="49">
        <f>(SUMIFS(LS[Realized Gain],LS[Investor ID],A58,LS[Date Value],"&gt;="&amp;$Z$2,LS[Date Value],"&lt;="&amp;$Z$3))+(SUMIFS(SIP[Realized Gain],SIP[Investor ID],A58,SIP[Date Value],"&gt;="&amp;$Z$2,SIP[Date Value],"&lt;="&amp;$Z$3))</f>
        <v>0</v>
      </c>
      <c r="P58" s="49">
        <v>0</v>
      </c>
      <c r="Q58" s="49">
        <v>0</v>
      </c>
      <c r="R58" s="49">
        <v>0</v>
      </c>
    </row>
    <row r="59" spans="1:18">
      <c r="A59" t="s">
        <v>166</v>
      </c>
      <c r="B59" s="47">
        <f>SUMIFS(LS[Unit],LS[Investor ID],'TAX CERTIFICATE'!A59,LS[Date Value],"&lt;"&amp;$Z$2)+SUMIFS(SIP[Unit],SIP[Investor ID],'TAX CERTIFICATE'!A59,SIP[Date Value],"&lt;"&amp;$Z$2)</f>
        <v>977</v>
      </c>
      <c r="C59" s="48">
        <f>(SUMIFS(LS[Amount],LS[B/S],"B",LS[Investor ID],A59,LS[Date Value],"&lt;"&amp;$Z$2)-SUMIFS(LS[Cost of Units Sold],LS[B/S],"S",LS[Investor ID],A59,LS[Date Value],"&lt;"&amp;$Z$2))+(SUMIFS(SIP[Amount],SIP[B/S],"B",SIP[Investor ID],#REF!,SIP[Date Value],"&lt;"&amp;$Z$2)-SUMIFS(SIP[Cost of Units Sold],SIP[B/S],"S",SIP[Investor ID],A59,SIP[Date Value],"&lt;"&amp;$Z$2))</f>
        <v>0</v>
      </c>
      <c r="D59" s="49">
        <f t="shared" si="0"/>
        <v>10034.767000000002</v>
      </c>
      <c r="E59" s="49">
        <f t="shared" si="1"/>
        <v>10034.767000000002</v>
      </c>
      <c r="F59" s="47">
        <f>SUMIFS(LS[Unit],LS[Investor ID],A59,LS[Date Value],"&lt;="&amp;$Z$3)+SUMIFS(SIP[Unit],SIP[Investor ID],A59,SIP[Date Value],"&lt;="&amp;$Z$3)</f>
        <v>500013</v>
      </c>
      <c r="G59" s="49">
        <f>(SUMIFS(LS[Amount],LS[B/S],"B",LS[Investor ID],A59,LS[Date Value],"&lt;="&amp;$Z$3)-SUMIFS(LS[Cost of Units Sold],LS[B/S],"S",LS[Investor ID],A59,LS[Date Value],"&lt;="&amp;$Z$3))+(SUMIFS(SIP[Amount],SIP[B/S],"B",SIP[Investor ID],A59,SIP[Date Value],"&lt;="&amp;$Z$3)-SUMIFS(SIP[Cost of Units Sold],SIP[B/S],"S",SIP[Investor ID],A59,SIP[Date Value],"&lt;="&amp;$Z$3))</f>
        <v>5391845.9214501511</v>
      </c>
      <c r="H59" s="49">
        <f t="shared" si="2"/>
        <v>5582145.1320000002</v>
      </c>
      <c r="I59" s="49">
        <f t="shared" si="3"/>
        <v>190299.21054984909</v>
      </c>
      <c r="J59" s="47">
        <f>(SUMIFS(LS[Unit],LS[Investor ID],A59,LS[B/S],"B",LS[Date Value],"&gt;="&amp;$Z$2,LS[Date Value],"&lt;="&amp;$Z$3))+(SUMIFS(SIP[Unit],SIP[Investor ID],A59,SIP[B/S],"B",SIP[Date Value],"&gt;="&amp;$Z$2,SIP[Date Value],"&lt;="&amp;$Z$3))</f>
        <v>499949</v>
      </c>
      <c r="K59" s="49">
        <f>(SUMIFS(LS[Amount],LS[Investor ID],A59,LS[B/S],"B",LS[Date Value],"&gt;="&amp;$Z$2,LS[Date Value],"&lt;="&amp;$Z$3))+(SUMIFS(SIP[Amount],SIP[Investor ID],A59,SIP[B/S],"B",SIP[Date Value],"&gt;="&amp;$Z$2,SIP[Date Value],"&lt;="&amp;$Z$3))</f>
        <v>5391500</v>
      </c>
      <c r="L59" s="47">
        <f>(-SUMIFS(LS[Unit],LS[Investor ID],A59,LS[B/S],"S",LS[Date Value],"&gt;="&amp;$Z$2,LS[Date Value],"&lt;="&amp;$Z$3))+(-SUMIFS(SIP[Unit],SIP[Investor ID],A59,SIP[B/S],"S",SIP[Date Value],"&gt;="&amp;$Z$2,SIP[Date Value],"&lt;="&amp;$Z$3))</f>
        <v>913</v>
      </c>
      <c r="M59" s="49">
        <f>(SUMIFS(LS[Cost of Units Sold],LS[Investor ID],A59,LS[B/S],"S",LS[Date Value],"&gt;="&amp;$Z$2,LS[Date Value],"&lt;="&amp;$Z$3))+(SUMIFS(SIP[Cost of Units Sold],SIP[Investor ID],A59,SIP[B/S],"S",SIP[Date Value],"&gt;="&amp;$Z$2,SIP[Date Value],"&lt;="&amp;$Z$3))</f>
        <v>9654.0785498489422</v>
      </c>
      <c r="N59" s="49">
        <f t="shared" si="4"/>
        <v>5381845.9214501511</v>
      </c>
      <c r="O59" s="49">
        <f>(SUMIFS(LS[Realized Gain],LS[Investor ID],A59,LS[Date Value],"&gt;="&amp;$Z$2,LS[Date Value],"&lt;="&amp;$Z$3))+(SUMIFS(SIP[Realized Gain],SIP[Investor ID],A59,SIP[Date Value],"&gt;="&amp;$Z$2,SIP[Date Value],"&lt;="&amp;$Z$3))</f>
        <v>345.92145015105763</v>
      </c>
      <c r="P59" s="49">
        <v>0</v>
      </c>
      <c r="Q59" s="49">
        <v>0</v>
      </c>
      <c r="R59" s="49">
        <v>0</v>
      </c>
    </row>
    <row r="60" spans="1:18">
      <c r="A60" t="s">
        <v>168</v>
      </c>
      <c r="B60" s="47">
        <f>SUMIFS(LS[Unit],LS[Investor ID],'TAX CERTIFICATE'!A60,LS[Date Value],"&lt;"&amp;$Z$2)+SUMIFS(SIP[Unit],SIP[Investor ID],'TAX CERTIFICATE'!A60,SIP[Date Value],"&lt;"&amp;$Z$2)</f>
        <v>49850</v>
      </c>
      <c r="C60" s="48">
        <f>(SUMIFS(LS[Amount],LS[B/S],"B",LS[Investor ID],A60,LS[Date Value],"&lt;"&amp;$Z$2)-SUMIFS(LS[Cost of Units Sold],LS[B/S],"S",LS[Investor ID],A60,LS[Date Value],"&lt;"&amp;$Z$2))+(SUMIFS(SIP[Amount],SIP[B/S],"B",SIP[Investor ID],#REF!,SIP[Date Value],"&lt;"&amp;$Z$2)-SUMIFS(SIP[Cost of Units Sold],SIP[B/S],"S",SIP[Investor ID],A60,SIP[Date Value],"&lt;"&amp;$Z$2))</f>
        <v>500000</v>
      </c>
      <c r="D60" s="49">
        <f t="shared" si="0"/>
        <v>512009.35000000003</v>
      </c>
      <c r="E60" s="49">
        <f t="shared" si="1"/>
        <v>12009.350000000035</v>
      </c>
      <c r="F60" s="47">
        <f>SUMIFS(LS[Unit],LS[Investor ID],A60,LS[Date Value],"&lt;="&amp;$Z$3)+SUMIFS(SIP[Unit],SIP[Investor ID],A60,SIP[Date Value],"&lt;="&amp;$Z$3)</f>
        <v>49850</v>
      </c>
      <c r="G60" s="49">
        <f>(SUMIFS(LS[Amount],LS[B/S],"B",LS[Investor ID],A60,LS[Date Value],"&lt;="&amp;$Z$3)-SUMIFS(LS[Cost of Units Sold],LS[B/S],"S",LS[Investor ID],A60,LS[Date Value],"&lt;="&amp;$Z$3))+(SUMIFS(SIP[Amount],SIP[B/S],"B",SIP[Investor ID],A60,SIP[Date Value],"&lt;="&amp;$Z$3)-SUMIFS(SIP[Cost of Units Sold],SIP[B/S],"S",SIP[Investor ID],A60,SIP[Date Value],"&lt;="&amp;$Z$3))</f>
        <v>500000</v>
      </c>
      <c r="H60" s="49">
        <f t="shared" si="2"/>
        <v>556525.4</v>
      </c>
      <c r="I60" s="49">
        <f t="shared" si="3"/>
        <v>56525.400000000023</v>
      </c>
      <c r="J60" s="47">
        <f>(SUMIFS(LS[Unit],LS[Investor ID],A60,LS[B/S],"B",LS[Date Value],"&gt;="&amp;$Z$2,LS[Date Value],"&lt;="&amp;$Z$3))+(SUMIFS(SIP[Unit],SIP[Investor ID],A60,SIP[B/S],"B",SIP[Date Value],"&gt;="&amp;$Z$2,SIP[Date Value],"&lt;="&amp;$Z$3))</f>
        <v>0</v>
      </c>
      <c r="K60" s="49">
        <f>(SUMIFS(LS[Amount],LS[Investor ID],A60,LS[B/S],"B",LS[Date Value],"&gt;="&amp;$Z$2,LS[Date Value],"&lt;="&amp;$Z$3))+(SUMIFS(SIP[Amount],SIP[Investor ID],A60,SIP[B/S],"B",SIP[Date Value],"&gt;="&amp;$Z$2,SIP[Date Value],"&lt;="&amp;$Z$3))</f>
        <v>0</v>
      </c>
      <c r="L60" s="47">
        <f>(-SUMIFS(LS[Unit],LS[Investor ID],A60,LS[B/S],"S",LS[Date Value],"&gt;="&amp;$Z$2,LS[Date Value],"&lt;="&amp;$Z$3))+(-SUMIFS(SIP[Unit],SIP[Investor ID],A60,SIP[B/S],"S",SIP[Date Value],"&gt;="&amp;$Z$2,SIP[Date Value],"&lt;="&amp;$Z$3))</f>
        <v>0</v>
      </c>
      <c r="M60" s="49">
        <f>(SUMIFS(LS[Cost of Units Sold],LS[Investor ID],A60,LS[B/S],"S",LS[Date Value],"&gt;="&amp;$Z$2,LS[Date Value],"&lt;="&amp;$Z$3))+(SUMIFS(SIP[Cost of Units Sold],SIP[Investor ID],A60,SIP[B/S],"S",SIP[Date Value],"&gt;="&amp;$Z$2,SIP[Date Value],"&lt;="&amp;$Z$3))</f>
        <v>0</v>
      </c>
      <c r="N60" s="49">
        <f t="shared" si="4"/>
        <v>0</v>
      </c>
      <c r="O60" s="49">
        <f>(SUMIFS(LS[Realized Gain],LS[Investor ID],A60,LS[Date Value],"&gt;="&amp;$Z$2,LS[Date Value],"&lt;="&amp;$Z$3))+(SUMIFS(SIP[Realized Gain],SIP[Investor ID],A60,SIP[Date Value],"&gt;="&amp;$Z$2,SIP[Date Value],"&lt;="&amp;$Z$3))</f>
        <v>0</v>
      </c>
      <c r="P60" s="49">
        <v>0</v>
      </c>
      <c r="Q60" s="49">
        <v>0</v>
      </c>
      <c r="R60" s="49">
        <v>0</v>
      </c>
    </row>
    <row r="61" spans="1:18">
      <c r="A61" t="s">
        <v>170</v>
      </c>
      <c r="B61" s="47">
        <f>SUMIFS(LS[Unit],LS[Investor ID],'TAX CERTIFICATE'!A61,LS[Date Value],"&lt;"&amp;$Z$2)+SUMIFS(SIP[Unit],SIP[Investor ID],'TAX CERTIFICATE'!A61,SIP[Date Value],"&lt;"&amp;$Z$2)</f>
        <v>0</v>
      </c>
      <c r="C61" s="48">
        <f>(SUMIFS(LS[Amount],LS[B/S],"B",LS[Investor ID],A61,LS[Date Value],"&lt;"&amp;$Z$2)-SUMIFS(LS[Cost of Units Sold],LS[B/S],"S",LS[Investor ID],A61,LS[Date Value],"&lt;"&amp;$Z$2))+(SUMIFS(SIP[Amount],SIP[B/S],"B",SIP[Investor ID],#REF!,SIP[Date Value],"&lt;"&amp;$Z$2)-SUMIFS(SIP[Cost of Units Sold],SIP[B/S],"S",SIP[Investor ID],A61,SIP[Date Value],"&lt;"&amp;$Z$2))</f>
        <v>0</v>
      </c>
      <c r="D61" s="49">
        <f t="shared" si="0"/>
        <v>0</v>
      </c>
      <c r="E61" s="49">
        <f t="shared" si="1"/>
        <v>0</v>
      </c>
      <c r="F61" s="47">
        <f>SUMIFS(LS[Unit],LS[Investor ID],A61,LS[Date Value],"&lt;="&amp;$Z$3)+SUMIFS(SIP[Unit],SIP[Investor ID],A61,SIP[Date Value],"&lt;="&amp;$Z$3)</f>
        <v>0</v>
      </c>
      <c r="G61" s="49">
        <f>(SUMIFS(LS[Amount],LS[B/S],"B",LS[Investor ID],A61,LS[Date Value],"&lt;="&amp;$Z$3)-SUMIFS(LS[Cost of Units Sold],LS[B/S],"S",LS[Investor ID],A61,LS[Date Value],"&lt;="&amp;$Z$3))+(SUMIFS(SIP[Amount],SIP[B/S],"B",SIP[Investor ID],A61,SIP[Date Value],"&lt;="&amp;$Z$3)-SUMIFS(SIP[Cost of Units Sold],SIP[B/S],"S",SIP[Investor ID],A61,SIP[Date Value],"&lt;="&amp;$Z$3))</f>
        <v>0</v>
      </c>
      <c r="H61" s="49">
        <f t="shared" si="2"/>
        <v>0</v>
      </c>
      <c r="I61" s="49">
        <f t="shared" si="3"/>
        <v>0</v>
      </c>
      <c r="J61" s="47">
        <f>(SUMIFS(LS[Unit],LS[Investor ID],A61,LS[B/S],"B",LS[Date Value],"&gt;="&amp;$Z$2,LS[Date Value],"&lt;="&amp;$Z$3))+(SUMIFS(SIP[Unit],SIP[Investor ID],A61,SIP[B/S],"B",SIP[Date Value],"&gt;="&amp;$Z$2,SIP[Date Value],"&lt;="&amp;$Z$3))</f>
        <v>0</v>
      </c>
      <c r="K61" s="49">
        <f>(SUMIFS(LS[Amount],LS[Investor ID],A61,LS[B/S],"B",LS[Date Value],"&gt;="&amp;$Z$2,LS[Date Value],"&lt;="&amp;$Z$3))+(SUMIFS(SIP[Amount],SIP[Investor ID],A61,SIP[B/S],"B",SIP[Date Value],"&gt;="&amp;$Z$2,SIP[Date Value],"&lt;="&amp;$Z$3))</f>
        <v>0</v>
      </c>
      <c r="L61" s="47">
        <f>(-SUMIFS(LS[Unit],LS[Investor ID],A61,LS[B/S],"S",LS[Date Value],"&gt;="&amp;$Z$2,LS[Date Value],"&lt;="&amp;$Z$3))+(-SUMIFS(SIP[Unit],SIP[Investor ID],A61,SIP[B/S],"S",SIP[Date Value],"&gt;="&amp;$Z$2,SIP[Date Value],"&lt;="&amp;$Z$3))</f>
        <v>0</v>
      </c>
      <c r="M61" s="49">
        <f>(SUMIFS(LS[Cost of Units Sold],LS[Investor ID],A61,LS[B/S],"S",LS[Date Value],"&gt;="&amp;$Z$2,LS[Date Value],"&lt;="&amp;$Z$3))+(SUMIFS(SIP[Cost of Units Sold],SIP[Investor ID],A61,SIP[B/S],"S",SIP[Date Value],"&gt;="&amp;$Z$2,SIP[Date Value],"&lt;="&amp;$Z$3))</f>
        <v>0</v>
      </c>
      <c r="N61" s="49">
        <f t="shared" si="4"/>
        <v>0</v>
      </c>
      <c r="O61" s="49">
        <f>(SUMIFS(LS[Realized Gain],LS[Investor ID],A61,LS[Date Value],"&gt;="&amp;$Z$2,LS[Date Value],"&lt;="&amp;$Z$3))+(SUMIFS(SIP[Realized Gain],SIP[Investor ID],A61,SIP[Date Value],"&gt;="&amp;$Z$2,SIP[Date Value],"&lt;="&amp;$Z$3))</f>
        <v>0</v>
      </c>
      <c r="P61" s="49">
        <v>0</v>
      </c>
      <c r="Q61" s="49">
        <v>0</v>
      </c>
      <c r="R61" s="49">
        <v>0</v>
      </c>
    </row>
    <row r="62" spans="1:18">
      <c r="A62" t="s">
        <v>172</v>
      </c>
      <c r="B62" s="47">
        <f>SUMIFS(LS[Unit],LS[Investor ID],'TAX CERTIFICATE'!A62,LS[Date Value],"&lt;"&amp;$Z$2)+SUMIFS(SIP[Unit],SIP[Investor ID],'TAX CERTIFICATE'!A62,SIP[Date Value],"&lt;"&amp;$Z$2)</f>
        <v>0</v>
      </c>
      <c r="C62" s="48">
        <f>(SUMIFS(LS[Amount],LS[B/S],"B",LS[Investor ID],A62,LS[Date Value],"&lt;"&amp;$Z$2)-SUMIFS(LS[Cost of Units Sold],LS[B/S],"S",LS[Investor ID],A62,LS[Date Value],"&lt;"&amp;$Z$2))+(SUMIFS(SIP[Amount],SIP[B/S],"B",SIP[Investor ID],#REF!,SIP[Date Value],"&lt;"&amp;$Z$2)-SUMIFS(SIP[Cost of Units Sold],SIP[B/S],"S",SIP[Investor ID],A62,SIP[Date Value],"&lt;"&amp;$Z$2))</f>
        <v>0</v>
      </c>
      <c r="D62" s="49">
        <f t="shared" si="0"/>
        <v>0</v>
      </c>
      <c r="E62" s="49">
        <f t="shared" si="1"/>
        <v>0</v>
      </c>
      <c r="F62" s="47">
        <f>SUMIFS(LS[Unit],LS[Investor ID],A62,LS[Date Value],"&lt;="&amp;$Z$3)+SUMIFS(SIP[Unit],SIP[Investor ID],A62,SIP[Date Value],"&lt;="&amp;$Z$3)</f>
        <v>0</v>
      </c>
      <c r="G62" s="49">
        <f>(SUMIFS(LS[Amount],LS[B/S],"B",LS[Investor ID],A62,LS[Date Value],"&lt;="&amp;$Z$3)-SUMIFS(LS[Cost of Units Sold],LS[B/S],"S",LS[Investor ID],A62,LS[Date Value],"&lt;="&amp;$Z$3))+(SUMIFS(SIP[Amount],SIP[B/S],"B",SIP[Investor ID],A62,SIP[Date Value],"&lt;="&amp;$Z$3)-SUMIFS(SIP[Cost of Units Sold],SIP[B/S],"S",SIP[Investor ID],A62,SIP[Date Value],"&lt;="&amp;$Z$3))</f>
        <v>0</v>
      </c>
      <c r="H62" s="49">
        <f t="shared" si="2"/>
        <v>0</v>
      </c>
      <c r="I62" s="49">
        <f t="shared" si="3"/>
        <v>0</v>
      </c>
      <c r="J62" s="47">
        <f>(SUMIFS(LS[Unit],LS[Investor ID],A62,LS[B/S],"B",LS[Date Value],"&gt;="&amp;$Z$2,LS[Date Value],"&lt;="&amp;$Z$3))+(SUMIFS(SIP[Unit],SIP[Investor ID],A62,SIP[B/S],"B",SIP[Date Value],"&gt;="&amp;$Z$2,SIP[Date Value],"&lt;="&amp;$Z$3))</f>
        <v>0</v>
      </c>
      <c r="K62" s="49">
        <f>(SUMIFS(LS[Amount],LS[Investor ID],A62,LS[B/S],"B",LS[Date Value],"&gt;="&amp;$Z$2,LS[Date Value],"&lt;="&amp;$Z$3))+(SUMIFS(SIP[Amount],SIP[Investor ID],A62,SIP[B/S],"B",SIP[Date Value],"&gt;="&amp;$Z$2,SIP[Date Value],"&lt;="&amp;$Z$3))</f>
        <v>0</v>
      </c>
      <c r="L62" s="47">
        <f>(-SUMIFS(LS[Unit],LS[Investor ID],A62,LS[B/S],"S",LS[Date Value],"&gt;="&amp;$Z$2,LS[Date Value],"&lt;="&amp;$Z$3))+(-SUMIFS(SIP[Unit],SIP[Investor ID],A62,SIP[B/S],"S",SIP[Date Value],"&gt;="&amp;$Z$2,SIP[Date Value],"&lt;="&amp;$Z$3))</f>
        <v>0</v>
      </c>
      <c r="M62" s="49">
        <f>(SUMIFS(LS[Cost of Units Sold],LS[Investor ID],A62,LS[B/S],"S",LS[Date Value],"&gt;="&amp;$Z$2,LS[Date Value],"&lt;="&amp;$Z$3))+(SUMIFS(SIP[Cost of Units Sold],SIP[Investor ID],A62,SIP[B/S],"S",SIP[Date Value],"&gt;="&amp;$Z$2,SIP[Date Value],"&lt;="&amp;$Z$3))</f>
        <v>0</v>
      </c>
      <c r="N62" s="49">
        <f t="shared" si="4"/>
        <v>0</v>
      </c>
      <c r="O62" s="49">
        <f>(SUMIFS(LS[Realized Gain],LS[Investor ID],A62,LS[Date Value],"&gt;="&amp;$Z$2,LS[Date Value],"&lt;="&amp;$Z$3))+(SUMIFS(SIP[Realized Gain],SIP[Investor ID],A62,SIP[Date Value],"&gt;="&amp;$Z$2,SIP[Date Value],"&lt;="&amp;$Z$3))</f>
        <v>0</v>
      </c>
      <c r="P62" s="49">
        <v>0</v>
      </c>
      <c r="Q62" s="49">
        <v>0</v>
      </c>
      <c r="R62" s="49">
        <v>0</v>
      </c>
    </row>
    <row r="63" spans="1:18">
      <c r="A63" t="s">
        <v>174</v>
      </c>
      <c r="B63" s="47">
        <f>SUMIFS(LS[Unit],LS[Investor ID],'TAX CERTIFICATE'!A63,LS[Date Value],"&lt;"&amp;$Z$2)+SUMIFS(SIP[Unit],SIP[Investor ID],'TAX CERTIFICATE'!A63,SIP[Date Value],"&lt;"&amp;$Z$2)</f>
        <v>0</v>
      </c>
      <c r="C63" s="48">
        <f>(SUMIFS(LS[Amount],LS[B/S],"B",LS[Investor ID],A63,LS[Date Value],"&lt;"&amp;$Z$2)-SUMIFS(LS[Cost of Units Sold],LS[B/S],"S",LS[Investor ID],A63,LS[Date Value],"&lt;"&amp;$Z$2))+(SUMIFS(SIP[Amount],SIP[B/S],"B",SIP[Investor ID],#REF!,SIP[Date Value],"&lt;"&amp;$Z$2)-SUMIFS(SIP[Cost of Units Sold],SIP[B/S],"S",SIP[Investor ID],A63,SIP[Date Value],"&lt;"&amp;$Z$2))</f>
        <v>0</v>
      </c>
      <c r="D63" s="49">
        <f t="shared" si="0"/>
        <v>0</v>
      </c>
      <c r="E63" s="49">
        <f t="shared" si="1"/>
        <v>0</v>
      </c>
      <c r="F63" s="47">
        <f>SUMIFS(LS[Unit],LS[Investor ID],A63,LS[Date Value],"&lt;="&amp;$Z$3)+SUMIFS(SIP[Unit],SIP[Investor ID],A63,SIP[Date Value],"&lt;="&amp;$Z$3)</f>
        <v>0</v>
      </c>
      <c r="G63" s="49">
        <f>(SUMIFS(LS[Amount],LS[B/S],"B",LS[Investor ID],A63,LS[Date Value],"&lt;="&amp;$Z$3)-SUMIFS(LS[Cost of Units Sold],LS[B/S],"S",LS[Investor ID],A63,LS[Date Value],"&lt;="&amp;$Z$3))+(SUMIFS(SIP[Amount],SIP[B/S],"B",SIP[Investor ID],A63,SIP[Date Value],"&lt;="&amp;$Z$3)-SUMIFS(SIP[Cost of Units Sold],SIP[B/S],"S",SIP[Investor ID],A63,SIP[Date Value],"&lt;="&amp;$Z$3))</f>
        <v>0</v>
      </c>
      <c r="H63" s="49">
        <f t="shared" si="2"/>
        <v>0</v>
      </c>
      <c r="I63" s="49">
        <f t="shared" si="3"/>
        <v>0</v>
      </c>
      <c r="J63" s="47">
        <f>(SUMIFS(LS[Unit],LS[Investor ID],A63,LS[B/S],"B",LS[Date Value],"&gt;="&amp;$Z$2,LS[Date Value],"&lt;="&amp;$Z$3))+(SUMIFS(SIP[Unit],SIP[Investor ID],A63,SIP[B/S],"B",SIP[Date Value],"&gt;="&amp;$Z$2,SIP[Date Value],"&lt;="&amp;$Z$3))</f>
        <v>0</v>
      </c>
      <c r="K63" s="49">
        <f>(SUMIFS(LS[Amount],LS[Investor ID],A63,LS[B/S],"B",LS[Date Value],"&gt;="&amp;$Z$2,LS[Date Value],"&lt;="&amp;$Z$3))+(SUMIFS(SIP[Amount],SIP[Investor ID],A63,SIP[B/S],"B",SIP[Date Value],"&gt;="&amp;$Z$2,SIP[Date Value],"&lt;="&amp;$Z$3))</f>
        <v>0</v>
      </c>
      <c r="L63" s="47">
        <f>(-SUMIFS(LS[Unit],LS[Investor ID],A63,LS[B/S],"S",LS[Date Value],"&gt;="&amp;$Z$2,LS[Date Value],"&lt;="&amp;$Z$3))+(-SUMIFS(SIP[Unit],SIP[Investor ID],A63,SIP[B/S],"S",SIP[Date Value],"&gt;="&amp;$Z$2,SIP[Date Value],"&lt;="&amp;$Z$3))</f>
        <v>0</v>
      </c>
      <c r="M63" s="49">
        <f>(SUMIFS(LS[Cost of Units Sold],LS[Investor ID],A63,LS[B/S],"S",LS[Date Value],"&gt;="&amp;$Z$2,LS[Date Value],"&lt;="&amp;$Z$3))+(SUMIFS(SIP[Cost of Units Sold],SIP[Investor ID],A63,SIP[B/S],"S",SIP[Date Value],"&gt;="&amp;$Z$2,SIP[Date Value],"&lt;="&amp;$Z$3))</f>
        <v>0</v>
      </c>
      <c r="N63" s="49">
        <f t="shared" si="4"/>
        <v>0</v>
      </c>
      <c r="O63" s="49">
        <f>(SUMIFS(LS[Realized Gain],LS[Investor ID],A63,LS[Date Value],"&gt;="&amp;$Z$2,LS[Date Value],"&lt;="&amp;$Z$3))+(SUMIFS(SIP[Realized Gain],SIP[Investor ID],A63,SIP[Date Value],"&gt;="&amp;$Z$2,SIP[Date Value],"&lt;="&amp;$Z$3))</f>
        <v>0</v>
      </c>
      <c r="P63" s="49">
        <v>0</v>
      </c>
      <c r="Q63" s="49">
        <v>0</v>
      </c>
      <c r="R63" s="49">
        <v>0</v>
      </c>
    </row>
    <row r="64" spans="1:18">
      <c r="A64" t="s">
        <v>176</v>
      </c>
      <c r="B64" s="47">
        <f>SUMIFS(LS[Unit],LS[Investor ID],'TAX CERTIFICATE'!A64,LS[Date Value],"&lt;"&amp;$Z$2)+SUMIFS(SIP[Unit],SIP[Investor ID],'TAX CERTIFICATE'!A64,SIP[Date Value],"&lt;"&amp;$Z$2)</f>
        <v>0</v>
      </c>
      <c r="C64" s="48">
        <f>(SUMIFS(LS[Amount],LS[B/S],"B",LS[Investor ID],A64,LS[Date Value],"&lt;"&amp;$Z$2)-SUMIFS(LS[Cost of Units Sold],LS[B/S],"S",LS[Investor ID],A64,LS[Date Value],"&lt;"&amp;$Z$2))+(SUMIFS(SIP[Amount],SIP[B/S],"B",SIP[Investor ID],#REF!,SIP[Date Value],"&lt;"&amp;$Z$2)-SUMIFS(SIP[Cost of Units Sold],SIP[B/S],"S",SIP[Investor ID],A64,SIP[Date Value],"&lt;"&amp;$Z$2))</f>
        <v>0</v>
      </c>
      <c r="D64" s="49">
        <f t="shared" si="0"/>
        <v>0</v>
      </c>
      <c r="E64" s="49">
        <f t="shared" si="1"/>
        <v>0</v>
      </c>
      <c r="F64" s="47">
        <f>SUMIFS(LS[Unit],LS[Investor ID],A64,LS[Date Value],"&lt;="&amp;$Z$3)+SUMIFS(SIP[Unit],SIP[Investor ID],A64,SIP[Date Value],"&lt;="&amp;$Z$3)</f>
        <v>0</v>
      </c>
      <c r="G64" s="49">
        <f>(SUMIFS(LS[Amount],LS[B/S],"B",LS[Investor ID],A64,LS[Date Value],"&lt;="&amp;$Z$3)-SUMIFS(LS[Cost of Units Sold],LS[B/S],"S",LS[Investor ID],A64,LS[Date Value],"&lt;="&amp;$Z$3))+(SUMIFS(SIP[Amount],SIP[B/S],"B",SIP[Investor ID],A64,SIP[Date Value],"&lt;="&amp;$Z$3)-SUMIFS(SIP[Cost of Units Sold],SIP[B/S],"S",SIP[Investor ID],A64,SIP[Date Value],"&lt;="&amp;$Z$3))</f>
        <v>0</v>
      </c>
      <c r="H64" s="49">
        <f t="shared" si="2"/>
        <v>0</v>
      </c>
      <c r="I64" s="49">
        <f t="shared" si="3"/>
        <v>0</v>
      </c>
      <c r="J64" s="47">
        <f>(SUMIFS(LS[Unit],LS[Investor ID],A64,LS[B/S],"B",LS[Date Value],"&gt;="&amp;$Z$2,LS[Date Value],"&lt;="&amp;$Z$3))+(SUMIFS(SIP[Unit],SIP[Investor ID],A64,SIP[B/S],"B",SIP[Date Value],"&gt;="&amp;$Z$2,SIP[Date Value],"&lt;="&amp;$Z$3))</f>
        <v>0</v>
      </c>
      <c r="K64" s="49">
        <f>(SUMIFS(LS[Amount],LS[Investor ID],A64,LS[B/S],"B",LS[Date Value],"&gt;="&amp;$Z$2,LS[Date Value],"&lt;="&amp;$Z$3))+(SUMIFS(SIP[Amount],SIP[Investor ID],A64,SIP[B/S],"B",SIP[Date Value],"&gt;="&amp;$Z$2,SIP[Date Value],"&lt;="&amp;$Z$3))</f>
        <v>0</v>
      </c>
      <c r="L64" s="47">
        <f>(-SUMIFS(LS[Unit],LS[Investor ID],A64,LS[B/S],"S",LS[Date Value],"&gt;="&amp;$Z$2,LS[Date Value],"&lt;="&amp;$Z$3))+(-SUMIFS(SIP[Unit],SIP[Investor ID],A64,SIP[B/S],"S",SIP[Date Value],"&gt;="&amp;$Z$2,SIP[Date Value],"&lt;="&amp;$Z$3))</f>
        <v>0</v>
      </c>
      <c r="M64" s="49">
        <f>(SUMIFS(LS[Cost of Units Sold],LS[Investor ID],A64,LS[B/S],"S",LS[Date Value],"&gt;="&amp;$Z$2,LS[Date Value],"&lt;="&amp;$Z$3))+(SUMIFS(SIP[Cost of Units Sold],SIP[Investor ID],A64,SIP[B/S],"S",SIP[Date Value],"&gt;="&amp;$Z$2,SIP[Date Value],"&lt;="&amp;$Z$3))</f>
        <v>0</v>
      </c>
      <c r="N64" s="49">
        <f t="shared" si="4"/>
        <v>0</v>
      </c>
      <c r="O64" s="49">
        <f>(SUMIFS(LS[Realized Gain],LS[Investor ID],A64,LS[Date Value],"&gt;="&amp;$Z$2,LS[Date Value],"&lt;="&amp;$Z$3))+(SUMIFS(SIP[Realized Gain],SIP[Investor ID],A64,SIP[Date Value],"&gt;="&amp;$Z$2,SIP[Date Value],"&lt;="&amp;$Z$3))</f>
        <v>0</v>
      </c>
      <c r="P64" s="49">
        <v>0</v>
      </c>
      <c r="Q64" s="49">
        <v>0</v>
      </c>
      <c r="R64" s="49">
        <v>0</v>
      </c>
    </row>
    <row r="65" spans="1:18">
      <c r="A65" t="s">
        <v>178</v>
      </c>
      <c r="B65" s="47">
        <f>SUMIFS(LS[Unit],LS[Investor ID],'TAX CERTIFICATE'!A65,LS[Date Value],"&lt;"&amp;$Z$2)+SUMIFS(SIP[Unit],SIP[Investor ID],'TAX CERTIFICATE'!A65,SIP[Date Value],"&lt;"&amp;$Z$2)</f>
        <v>0</v>
      </c>
      <c r="C65" s="48">
        <f>(SUMIFS(LS[Amount],LS[B/S],"B",LS[Investor ID],A65,LS[Date Value],"&lt;"&amp;$Z$2)-SUMIFS(LS[Cost of Units Sold],LS[B/S],"S",LS[Investor ID],A65,LS[Date Value],"&lt;"&amp;$Z$2))+(SUMIFS(SIP[Amount],SIP[B/S],"B",SIP[Investor ID],#REF!,SIP[Date Value],"&lt;"&amp;$Z$2)-SUMIFS(SIP[Cost of Units Sold],SIP[B/S],"S",SIP[Investor ID],A65,SIP[Date Value],"&lt;"&amp;$Z$2))</f>
        <v>0</v>
      </c>
      <c r="D65" s="49">
        <f t="shared" si="0"/>
        <v>0</v>
      </c>
      <c r="E65" s="49">
        <f t="shared" si="1"/>
        <v>0</v>
      </c>
      <c r="F65" s="47">
        <f>SUMIFS(LS[Unit],LS[Investor ID],A65,LS[Date Value],"&lt;="&amp;$Z$3)+SUMIFS(SIP[Unit],SIP[Investor ID],A65,SIP[Date Value],"&lt;="&amp;$Z$3)</f>
        <v>1000</v>
      </c>
      <c r="G65" s="49">
        <f>(SUMIFS(LS[Amount],LS[B/S],"B",LS[Investor ID],A65,LS[Date Value],"&lt;="&amp;$Z$3)-SUMIFS(LS[Cost of Units Sold],LS[B/S],"S",LS[Investor ID],A65,LS[Date Value],"&lt;="&amp;$Z$3))+(SUMIFS(SIP[Amount],SIP[B/S],"B",SIP[Investor ID],A65,SIP[Date Value],"&lt;="&amp;$Z$3)-SUMIFS(SIP[Cost of Units Sold],SIP[B/S],"S",SIP[Investor ID],A65,SIP[Date Value],"&lt;="&amp;$Z$3))</f>
        <v>10310</v>
      </c>
      <c r="H65" s="49">
        <f t="shared" si="2"/>
        <v>11164</v>
      </c>
      <c r="I65" s="49">
        <f t="shared" si="3"/>
        <v>854</v>
      </c>
      <c r="J65" s="47">
        <f>(SUMIFS(LS[Unit],LS[Investor ID],A65,LS[B/S],"B",LS[Date Value],"&gt;="&amp;$Z$2,LS[Date Value],"&lt;="&amp;$Z$3))+(SUMIFS(SIP[Unit],SIP[Investor ID],A65,SIP[B/S],"B",SIP[Date Value],"&gt;="&amp;$Z$2,SIP[Date Value],"&lt;="&amp;$Z$3))</f>
        <v>1000</v>
      </c>
      <c r="K65" s="49">
        <f>(SUMIFS(LS[Amount],LS[Investor ID],A65,LS[B/S],"B",LS[Date Value],"&gt;="&amp;$Z$2,LS[Date Value],"&lt;="&amp;$Z$3))+(SUMIFS(SIP[Amount],SIP[Investor ID],A65,SIP[B/S],"B",SIP[Date Value],"&gt;="&amp;$Z$2,SIP[Date Value],"&lt;="&amp;$Z$3))</f>
        <v>10310</v>
      </c>
      <c r="L65" s="47">
        <f>(-SUMIFS(LS[Unit],LS[Investor ID],A65,LS[B/S],"S",LS[Date Value],"&gt;="&amp;$Z$2,LS[Date Value],"&lt;="&amp;$Z$3))+(-SUMIFS(SIP[Unit],SIP[Investor ID],A65,SIP[B/S],"S",SIP[Date Value],"&gt;="&amp;$Z$2,SIP[Date Value],"&lt;="&amp;$Z$3))</f>
        <v>0</v>
      </c>
      <c r="M65" s="49">
        <f>(SUMIFS(LS[Cost of Units Sold],LS[Investor ID],A65,LS[B/S],"S",LS[Date Value],"&gt;="&amp;$Z$2,LS[Date Value],"&lt;="&amp;$Z$3))+(SUMIFS(SIP[Cost of Units Sold],SIP[Investor ID],A65,SIP[B/S],"S",SIP[Date Value],"&gt;="&amp;$Z$2,SIP[Date Value],"&lt;="&amp;$Z$3))</f>
        <v>0</v>
      </c>
      <c r="N65" s="49">
        <f t="shared" si="4"/>
        <v>10310</v>
      </c>
      <c r="O65" s="49">
        <f>(SUMIFS(LS[Realized Gain],LS[Investor ID],A65,LS[Date Value],"&gt;="&amp;$Z$2,LS[Date Value],"&lt;="&amp;$Z$3))+(SUMIFS(SIP[Realized Gain],SIP[Investor ID],A65,SIP[Date Value],"&gt;="&amp;$Z$2,SIP[Date Value],"&lt;="&amp;$Z$3))</f>
        <v>0</v>
      </c>
      <c r="P65" s="49">
        <v>0</v>
      </c>
      <c r="Q65" s="49">
        <v>0</v>
      </c>
      <c r="R65" s="49">
        <v>0</v>
      </c>
    </row>
    <row r="66" spans="1:18">
      <c r="A66" t="s">
        <v>180</v>
      </c>
      <c r="B66" s="47">
        <f>SUMIFS(LS[Unit],LS[Investor ID],'TAX CERTIFICATE'!A66,LS[Date Value],"&lt;"&amp;$Z$2)+SUMIFS(SIP[Unit],SIP[Investor ID],'TAX CERTIFICATE'!A66,SIP[Date Value],"&lt;"&amp;$Z$2)</f>
        <v>0</v>
      </c>
      <c r="C66" s="48">
        <f>(SUMIFS(LS[Amount],LS[B/S],"B",LS[Investor ID],A66,LS[Date Value],"&lt;"&amp;$Z$2)-SUMIFS(LS[Cost of Units Sold],LS[B/S],"S",LS[Investor ID],A66,LS[Date Value],"&lt;"&amp;$Z$2))+(SUMIFS(SIP[Amount],SIP[B/S],"B",SIP[Investor ID],#REF!,SIP[Date Value],"&lt;"&amp;$Z$2)-SUMIFS(SIP[Cost of Units Sold],SIP[B/S],"S",SIP[Investor ID],A66,SIP[Date Value],"&lt;"&amp;$Z$2))</f>
        <v>0</v>
      </c>
      <c r="D66" s="49">
        <f t="shared" si="0"/>
        <v>0</v>
      </c>
      <c r="E66" s="49">
        <f t="shared" si="1"/>
        <v>0</v>
      </c>
      <c r="F66" s="47">
        <f>SUMIFS(LS[Unit],LS[Investor ID],A66,LS[Date Value],"&lt;="&amp;$Z$3)+SUMIFS(SIP[Unit],SIP[Investor ID],A66,SIP[Date Value],"&lt;="&amp;$Z$3)</f>
        <v>46028</v>
      </c>
      <c r="G66" s="49">
        <f>(SUMIFS(LS[Amount],LS[B/S],"B",LS[Investor ID],A66,LS[Date Value],"&lt;="&amp;$Z$3)-SUMIFS(LS[Cost of Units Sold],LS[B/S],"S",LS[Investor ID],A66,LS[Date Value],"&lt;="&amp;$Z$3))+(SUMIFS(SIP[Amount],SIP[B/S],"B",SIP[Investor ID],A66,SIP[Date Value],"&lt;="&amp;$Z$3)-SUMIFS(SIP[Cost of Units Sold],SIP[B/S],"S",SIP[Investor ID],A66,SIP[Date Value],"&lt;="&amp;$Z$3))</f>
        <v>500000</v>
      </c>
      <c r="H66" s="49">
        <f t="shared" si="2"/>
        <v>513856.592</v>
      </c>
      <c r="I66" s="49">
        <f t="shared" si="3"/>
        <v>13856.592000000004</v>
      </c>
      <c r="J66" s="47">
        <f>(SUMIFS(LS[Unit],LS[Investor ID],A66,LS[B/S],"B",LS[Date Value],"&gt;="&amp;$Z$2,LS[Date Value],"&lt;="&amp;$Z$3))+(SUMIFS(SIP[Unit],SIP[Investor ID],A66,SIP[B/S],"B",SIP[Date Value],"&gt;="&amp;$Z$2,SIP[Date Value],"&lt;="&amp;$Z$3))</f>
        <v>46028</v>
      </c>
      <c r="K66" s="49">
        <f>(SUMIFS(LS[Amount],LS[Investor ID],A66,LS[B/S],"B",LS[Date Value],"&gt;="&amp;$Z$2,LS[Date Value],"&lt;="&amp;$Z$3))+(SUMIFS(SIP[Amount],SIP[Investor ID],A66,SIP[B/S],"B",SIP[Date Value],"&gt;="&amp;$Z$2,SIP[Date Value],"&lt;="&amp;$Z$3))</f>
        <v>500000</v>
      </c>
      <c r="L66" s="47">
        <f>(-SUMIFS(LS[Unit],LS[Investor ID],A66,LS[B/S],"S",LS[Date Value],"&gt;="&amp;$Z$2,LS[Date Value],"&lt;="&amp;$Z$3))+(-SUMIFS(SIP[Unit],SIP[Investor ID],A66,SIP[B/S],"S",SIP[Date Value],"&gt;="&amp;$Z$2,SIP[Date Value],"&lt;="&amp;$Z$3))</f>
        <v>0</v>
      </c>
      <c r="M66" s="49">
        <f>(SUMIFS(LS[Cost of Units Sold],LS[Investor ID],A66,LS[B/S],"S",LS[Date Value],"&gt;="&amp;$Z$2,LS[Date Value],"&lt;="&amp;$Z$3))+(SUMIFS(SIP[Cost of Units Sold],SIP[Investor ID],A66,SIP[B/S],"S",SIP[Date Value],"&gt;="&amp;$Z$2,SIP[Date Value],"&lt;="&amp;$Z$3))</f>
        <v>0</v>
      </c>
      <c r="N66" s="49">
        <f t="shared" si="4"/>
        <v>500000</v>
      </c>
      <c r="O66" s="49">
        <f>(SUMIFS(LS[Realized Gain],LS[Investor ID],A66,LS[Date Value],"&gt;="&amp;$Z$2,LS[Date Value],"&lt;="&amp;$Z$3))+(SUMIFS(SIP[Realized Gain],SIP[Investor ID],A66,SIP[Date Value],"&gt;="&amp;$Z$2,SIP[Date Value],"&lt;="&amp;$Z$3))</f>
        <v>0</v>
      </c>
      <c r="P66" s="49">
        <v>0</v>
      </c>
      <c r="Q66" s="49">
        <v>0</v>
      </c>
      <c r="R66" s="49">
        <v>0</v>
      </c>
    </row>
    <row r="67" spans="1:18">
      <c r="A67" t="s">
        <v>182</v>
      </c>
      <c r="B67" s="47">
        <f>SUMIFS(LS[Unit],LS[Investor ID],'TAX CERTIFICATE'!A67,LS[Date Value],"&lt;"&amp;$Z$2)+SUMIFS(SIP[Unit],SIP[Investor ID],'TAX CERTIFICATE'!A67,SIP[Date Value],"&lt;"&amp;$Z$2)</f>
        <v>0</v>
      </c>
      <c r="C67" s="48">
        <f>(SUMIFS(LS[Amount],LS[B/S],"B",LS[Investor ID],A67,LS[Date Value],"&lt;"&amp;$Z$2)-SUMIFS(LS[Cost of Units Sold],LS[B/S],"S",LS[Investor ID],A67,LS[Date Value],"&lt;"&amp;$Z$2))+(SUMIFS(SIP[Amount],SIP[B/S],"B",SIP[Investor ID],#REF!,SIP[Date Value],"&lt;"&amp;$Z$2)-SUMIFS(SIP[Cost of Units Sold],SIP[B/S],"S",SIP[Investor ID],A67,SIP[Date Value],"&lt;"&amp;$Z$2))</f>
        <v>0</v>
      </c>
      <c r="D67" s="49">
        <f t="shared" ref="D67:D130" si="5">B67*$AA$2</f>
        <v>0</v>
      </c>
      <c r="E67" s="49">
        <f t="shared" ref="E67:E130" si="6">D67-C67</f>
        <v>0</v>
      </c>
      <c r="F67" s="47">
        <f>SUMIFS(LS[Unit],LS[Investor ID],A67,LS[Date Value],"&lt;="&amp;$Z$3)+SUMIFS(SIP[Unit],SIP[Investor ID],A67,SIP[Date Value],"&lt;="&amp;$Z$3)</f>
        <v>0</v>
      </c>
      <c r="G67" s="49">
        <f>(SUMIFS(LS[Amount],LS[B/S],"B",LS[Investor ID],A67,LS[Date Value],"&lt;="&amp;$Z$3)-SUMIFS(LS[Cost of Units Sold],LS[B/S],"S",LS[Investor ID],A67,LS[Date Value],"&lt;="&amp;$Z$3))+(SUMIFS(SIP[Amount],SIP[B/S],"B",SIP[Investor ID],A67,SIP[Date Value],"&lt;="&amp;$Z$3)-SUMIFS(SIP[Cost of Units Sold],SIP[B/S],"S",SIP[Investor ID],A67,SIP[Date Value],"&lt;="&amp;$Z$3))</f>
        <v>0</v>
      </c>
      <c r="H67" s="49">
        <f t="shared" ref="H67:H130" si="7">F67*$AA$3</f>
        <v>0</v>
      </c>
      <c r="I67" s="49">
        <f t="shared" ref="I67:I130" si="8">H67-G67</f>
        <v>0</v>
      </c>
      <c r="J67" s="47">
        <f>(SUMIFS(LS[Unit],LS[Investor ID],A67,LS[B/S],"B",LS[Date Value],"&gt;="&amp;$Z$2,LS[Date Value],"&lt;="&amp;$Z$3))+(SUMIFS(SIP[Unit],SIP[Investor ID],A67,SIP[B/S],"B",SIP[Date Value],"&gt;="&amp;$Z$2,SIP[Date Value],"&lt;="&amp;$Z$3))</f>
        <v>0</v>
      </c>
      <c r="K67" s="49">
        <f>(SUMIFS(LS[Amount],LS[Investor ID],A67,LS[B/S],"B",LS[Date Value],"&gt;="&amp;$Z$2,LS[Date Value],"&lt;="&amp;$Z$3))+(SUMIFS(SIP[Amount],SIP[Investor ID],A67,SIP[B/S],"B",SIP[Date Value],"&gt;="&amp;$Z$2,SIP[Date Value],"&lt;="&amp;$Z$3))</f>
        <v>0</v>
      </c>
      <c r="L67" s="47">
        <f>(-SUMIFS(LS[Unit],LS[Investor ID],A67,LS[B/S],"S",LS[Date Value],"&gt;="&amp;$Z$2,LS[Date Value],"&lt;="&amp;$Z$3))+(-SUMIFS(SIP[Unit],SIP[Investor ID],A67,SIP[B/S],"S",SIP[Date Value],"&gt;="&amp;$Z$2,SIP[Date Value],"&lt;="&amp;$Z$3))</f>
        <v>0</v>
      </c>
      <c r="M67" s="49">
        <f>(SUMIFS(LS[Cost of Units Sold],LS[Investor ID],A67,LS[B/S],"S",LS[Date Value],"&gt;="&amp;$Z$2,LS[Date Value],"&lt;="&amp;$Z$3))+(SUMIFS(SIP[Cost of Units Sold],SIP[Investor ID],A67,SIP[B/S],"S",SIP[Date Value],"&gt;="&amp;$Z$2,SIP[Date Value],"&lt;="&amp;$Z$3))</f>
        <v>0</v>
      </c>
      <c r="N67" s="49">
        <f t="shared" ref="N67:N130" si="9">K67-M67</f>
        <v>0</v>
      </c>
      <c r="O67" s="49">
        <f>(SUMIFS(LS[Realized Gain],LS[Investor ID],A67,LS[Date Value],"&gt;="&amp;$Z$2,LS[Date Value],"&lt;="&amp;$Z$3))+(SUMIFS(SIP[Realized Gain],SIP[Investor ID],A67,SIP[Date Value],"&gt;="&amp;$Z$2,SIP[Date Value],"&lt;="&amp;$Z$3))</f>
        <v>0</v>
      </c>
      <c r="P67" s="49">
        <v>0</v>
      </c>
      <c r="Q67" s="49">
        <v>0</v>
      </c>
      <c r="R67" s="49">
        <v>0</v>
      </c>
    </row>
    <row r="68" spans="1:18">
      <c r="A68" t="s">
        <v>184</v>
      </c>
      <c r="B68" s="47">
        <f>SUMIFS(LS[Unit],LS[Investor ID],'TAX CERTIFICATE'!A68,LS[Date Value],"&lt;"&amp;$Z$2)+SUMIFS(SIP[Unit],SIP[Investor ID],'TAX CERTIFICATE'!A68,SIP[Date Value],"&lt;"&amp;$Z$2)</f>
        <v>0</v>
      </c>
      <c r="C68" s="48">
        <f>(SUMIFS(LS[Amount],LS[B/S],"B",LS[Investor ID],A68,LS[Date Value],"&lt;"&amp;$Z$2)-SUMIFS(LS[Cost of Units Sold],LS[B/S],"S",LS[Investor ID],A68,LS[Date Value],"&lt;"&amp;$Z$2))+(SUMIFS(SIP[Amount],SIP[B/S],"B",SIP[Investor ID],#REF!,SIP[Date Value],"&lt;"&amp;$Z$2)-SUMIFS(SIP[Cost of Units Sold],SIP[B/S],"S",SIP[Investor ID],A68,SIP[Date Value],"&lt;"&amp;$Z$2))</f>
        <v>0</v>
      </c>
      <c r="D68" s="49">
        <f t="shared" si="5"/>
        <v>0</v>
      </c>
      <c r="E68" s="49">
        <f t="shared" si="6"/>
        <v>0</v>
      </c>
      <c r="F68" s="47">
        <f>SUMIFS(LS[Unit],LS[Investor ID],A68,LS[Date Value],"&lt;="&amp;$Z$3)+SUMIFS(SIP[Unit],SIP[Investor ID],A68,SIP[Date Value],"&lt;="&amp;$Z$3)</f>
        <v>0</v>
      </c>
      <c r="G68" s="49">
        <f>(SUMIFS(LS[Amount],LS[B/S],"B",LS[Investor ID],A68,LS[Date Value],"&lt;="&amp;$Z$3)-SUMIFS(LS[Cost of Units Sold],LS[B/S],"S",LS[Investor ID],A68,LS[Date Value],"&lt;="&amp;$Z$3))+(SUMIFS(SIP[Amount],SIP[B/S],"B",SIP[Investor ID],A68,SIP[Date Value],"&lt;="&amp;$Z$3)-SUMIFS(SIP[Cost of Units Sold],SIP[B/S],"S",SIP[Investor ID],A68,SIP[Date Value],"&lt;="&amp;$Z$3))</f>
        <v>0</v>
      </c>
      <c r="H68" s="49">
        <f t="shared" si="7"/>
        <v>0</v>
      </c>
      <c r="I68" s="49">
        <f t="shared" si="8"/>
        <v>0</v>
      </c>
      <c r="J68" s="47">
        <f>(SUMIFS(LS[Unit],LS[Investor ID],A68,LS[B/S],"B",LS[Date Value],"&gt;="&amp;$Z$2,LS[Date Value],"&lt;="&amp;$Z$3))+(SUMIFS(SIP[Unit],SIP[Investor ID],A68,SIP[B/S],"B",SIP[Date Value],"&gt;="&amp;$Z$2,SIP[Date Value],"&lt;="&amp;$Z$3))</f>
        <v>0</v>
      </c>
      <c r="K68" s="49">
        <f>(SUMIFS(LS[Amount],LS[Investor ID],A68,LS[B/S],"B",LS[Date Value],"&gt;="&amp;$Z$2,LS[Date Value],"&lt;="&amp;$Z$3))+(SUMIFS(SIP[Amount],SIP[Investor ID],A68,SIP[B/S],"B",SIP[Date Value],"&gt;="&amp;$Z$2,SIP[Date Value],"&lt;="&amp;$Z$3))</f>
        <v>0</v>
      </c>
      <c r="L68" s="47">
        <f>(-SUMIFS(LS[Unit],LS[Investor ID],A68,LS[B/S],"S",LS[Date Value],"&gt;="&amp;$Z$2,LS[Date Value],"&lt;="&amp;$Z$3))+(-SUMIFS(SIP[Unit],SIP[Investor ID],A68,SIP[B/S],"S",SIP[Date Value],"&gt;="&amp;$Z$2,SIP[Date Value],"&lt;="&amp;$Z$3))</f>
        <v>0</v>
      </c>
      <c r="M68" s="49">
        <f>(SUMIFS(LS[Cost of Units Sold],LS[Investor ID],A68,LS[B/S],"S",LS[Date Value],"&gt;="&amp;$Z$2,LS[Date Value],"&lt;="&amp;$Z$3))+(SUMIFS(SIP[Cost of Units Sold],SIP[Investor ID],A68,SIP[B/S],"S",SIP[Date Value],"&gt;="&amp;$Z$2,SIP[Date Value],"&lt;="&amp;$Z$3))</f>
        <v>0</v>
      </c>
      <c r="N68" s="49">
        <f t="shared" si="9"/>
        <v>0</v>
      </c>
      <c r="O68" s="49">
        <f>(SUMIFS(LS[Realized Gain],LS[Investor ID],A68,LS[Date Value],"&gt;="&amp;$Z$2,LS[Date Value],"&lt;="&amp;$Z$3))+(SUMIFS(SIP[Realized Gain],SIP[Investor ID],A68,SIP[Date Value],"&gt;="&amp;$Z$2,SIP[Date Value],"&lt;="&amp;$Z$3))</f>
        <v>0</v>
      </c>
      <c r="P68" s="49">
        <v>0</v>
      </c>
      <c r="Q68" s="49">
        <v>0</v>
      </c>
      <c r="R68" s="49">
        <v>0</v>
      </c>
    </row>
    <row r="69" spans="1:18">
      <c r="A69" t="s">
        <v>186</v>
      </c>
      <c r="B69" s="47">
        <f>SUMIFS(LS[Unit],LS[Investor ID],'TAX CERTIFICATE'!A69,LS[Date Value],"&lt;"&amp;$Z$2)+SUMIFS(SIP[Unit],SIP[Investor ID],'TAX CERTIFICATE'!A69,SIP[Date Value],"&lt;"&amp;$Z$2)</f>
        <v>0</v>
      </c>
      <c r="C69" s="48">
        <f>(SUMIFS(LS[Amount],LS[B/S],"B",LS[Investor ID],A69,LS[Date Value],"&lt;"&amp;$Z$2)-SUMIFS(LS[Cost of Units Sold],LS[B/S],"S",LS[Investor ID],A69,LS[Date Value],"&lt;"&amp;$Z$2))+(SUMIFS(SIP[Amount],SIP[B/S],"B",SIP[Investor ID],#REF!,SIP[Date Value],"&lt;"&amp;$Z$2)-SUMIFS(SIP[Cost of Units Sold],SIP[B/S],"S",SIP[Investor ID],A69,SIP[Date Value],"&lt;"&amp;$Z$2))</f>
        <v>0</v>
      </c>
      <c r="D69" s="49">
        <f t="shared" si="5"/>
        <v>0</v>
      </c>
      <c r="E69" s="49">
        <f t="shared" si="6"/>
        <v>0</v>
      </c>
      <c r="F69" s="47">
        <f>SUMIFS(LS[Unit],LS[Investor ID],A69,LS[Date Value],"&lt;="&amp;$Z$3)+SUMIFS(SIP[Unit],SIP[Investor ID],A69,SIP[Date Value],"&lt;="&amp;$Z$3)</f>
        <v>0</v>
      </c>
      <c r="G69" s="49">
        <f>(SUMIFS(LS[Amount],LS[B/S],"B",LS[Investor ID],A69,LS[Date Value],"&lt;="&amp;$Z$3)-SUMIFS(LS[Cost of Units Sold],LS[B/S],"S",LS[Investor ID],A69,LS[Date Value],"&lt;="&amp;$Z$3))+(SUMIFS(SIP[Amount],SIP[B/S],"B",SIP[Investor ID],A69,SIP[Date Value],"&lt;="&amp;$Z$3)-SUMIFS(SIP[Cost of Units Sold],SIP[B/S],"S",SIP[Investor ID],A69,SIP[Date Value],"&lt;="&amp;$Z$3))</f>
        <v>0</v>
      </c>
      <c r="H69" s="49">
        <f t="shared" si="7"/>
        <v>0</v>
      </c>
      <c r="I69" s="49">
        <f t="shared" si="8"/>
        <v>0</v>
      </c>
      <c r="J69" s="47">
        <f>(SUMIFS(LS[Unit],LS[Investor ID],A69,LS[B/S],"B",LS[Date Value],"&gt;="&amp;$Z$2,LS[Date Value],"&lt;="&amp;$Z$3))+(SUMIFS(SIP[Unit],SIP[Investor ID],A69,SIP[B/S],"B",SIP[Date Value],"&gt;="&amp;$Z$2,SIP[Date Value],"&lt;="&amp;$Z$3))</f>
        <v>0</v>
      </c>
      <c r="K69" s="49">
        <f>(SUMIFS(LS[Amount],LS[Investor ID],A69,LS[B/S],"B",LS[Date Value],"&gt;="&amp;$Z$2,LS[Date Value],"&lt;="&amp;$Z$3))+(SUMIFS(SIP[Amount],SIP[Investor ID],A69,SIP[B/S],"B",SIP[Date Value],"&gt;="&amp;$Z$2,SIP[Date Value],"&lt;="&amp;$Z$3))</f>
        <v>0</v>
      </c>
      <c r="L69" s="47">
        <f>(-SUMIFS(LS[Unit],LS[Investor ID],A69,LS[B/S],"S",LS[Date Value],"&gt;="&amp;$Z$2,LS[Date Value],"&lt;="&amp;$Z$3))+(-SUMIFS(SIP[Unit],SIP[Investor ID],A69,SIP[B/S],"S",SIP[Date Value],"&gt;="&amp;$Z$2,SIP[Date Value],"&lt;="&amp;$Z$3))</f>
        <v>0</v>
      </c>
      <c r="M69" s="49">
        <f>(SUMIFS(LS[Cost of Units Sold],LS[Investor ID],A69,LS[B/S],"S",LS[Date Value],"&gt;="&amp;$Z$2,LS[Date Value],"&lt;="&amp;$Z$3))+(SUMIFS(SIP[Cost of Units Sold],SIP[Investor ID],A69,SIP[B/S],"S",SIP[Date Value],"&gt;="&amp;$Z$2,SIP[Date Value],"&lt;="&amp;$Z$3))</f>
        <v>0</v>
      </c>
      <c r="N69" s="49">
        <f t="shared" si="9"/>
        <v>0</v>
      </c>
      <c r="O69" s="49">
        <f>(SUMIFS(LS[Realized Gain],LS[Investor ID],A69,LS[Date Value],"&gt;="&amp;$Z$2,LS[Date Value],"&lt;="&amp;$Z$3))+(SUMIFS(SIP[Realized Gain],SIP[Investor ID],A69,SIP[Date Value],"&gt;="&amp;$Z$2,SIP[Date Value],"&lt;="&amp;$Z$3))</f>
        <v>0</v>
      </c>
      <c r="P69" s="49">
        <v>0</v>
      </c>
      <c r="Q69" s="49">
        <v>0</v>
      </c>
      <c r="R69" s="49">
        <v>0</v>
      </c>
    </row>
    <row r="70" spans="1:18">
      <c r="A70" t="s">
        <v>188</v>
      </c>
      <c r="B70" s="47">
        <f>SUMIFS(LS[Unit],LS[Investor ID],'TAX CERTIFICATE'!A70,LS[Date Value],"&lt;"&amp;$Z$2)+SUMIFS(SIP[Unit],SIP[Investor ID],'TAX CERTIFICATE'!A70,SIP[Date Value],"&lt;"&amp;$Z$2)</f>
        <v>0</v>
      </c>
      <c r="C70" s="48">
        <f>(SUMIFS(LS[Amount],LS[B/S],"B",LS[Investor ID],A70,LS[Date Value],"&lt;"&amp;$Z$2)-SUMIFS(LS[Cost of Units Sold],LS[B/S],"S",LS[Investor ID],A70,LS[Date Value],"&lt;"&amp;$Z$2))+(SUMIFS(SIP[Amount],SIP[B/S],"B",SIP[Investor ID],#REF!,SIP[Date Value],"&lt;"&amp;$Z$2)-SUMIFS(SIP[Cost of Units Sold],SIP[B/S],"S",SIP[Investor ID],A70,SIP[Date Value],"&lt;"&amp;$Z$2))</f>
        <v>0</v>
      </c>
      <c r="D70" s="49">
        <f t="shared" si="5"/>
        <v>0</v>
      </c>
      <c r="E70" s="49">
        <f t="shared" si="6"/>
        <v>0</v>
      </c>
      <c r="F70" s="47">
        <f>SUMIFS(LS[Unit],LS[Investor ID],A70,LS[Date Value],"&lt;="&amp;$Z$3)+SUMIFS(SIP[Unit],SIP[Investor ID],A70,SIP[Date Value],"&lt;="&amp;$Z$3)</f>
        <v>49846</v>
      </c>
      <c r="G70" s="49">
        <f>(SUMIFS(LS[Amount],LS[B/S],"B",LS[Investor ID],A70,LS[Date Value],"&lt;="&amp;$Z$3)-SUMIFS(LS[Cost of Units Sold],LS[B/S],"S",LS[Investor ID],A70,LS[Date Value],"&lt;="&amp;$Z$3))+(SUMIFS(SIP[Amount],SIP[B/S],"B",SIP[Investor ID],A70,SIP[Date Value],"&lt;="&amp;$Z$3)-SUMIFS(SIP[Cost of Units Sold],SIP[B/S],"S",SIP[Investor ID],A70,SIP[Date Value],"&lt;="&amp;$Z$3))</f>
        <v>550000</v>
      </c>
      <c r="H70" s="49">
        <f t="shared" si="7"/>
        <v>556480.74399999995</v>
      </c>
      <c r="I70" s="49">
        <f t="shared" si="8"/>
        <v>6480.7439999999478</v>
      </c>
      <c r="J70" s="47">
        <f>(SUMIFS(LS[Unit],LS[Investor ID],A70,LS[B/S],"B",LS[Date Value],"&gt;="&amp;$Z$2,LS[Date Value],"&lt;="&amp;$Z$3))+(SUMIFS(SIP[Unit],SIP[Investor ID],A70,SIP[B/S],"B",SIP[Date Value],"&gt;="&amp;$Z$2,SIP[Date Value],"&lt;="&amp;$Z$3))</f>
        <v>55509</v>
      </c>
      <c r="K70" s="49">
        <f>(SUMIFS(LS[Amount],LS[Investor ID],A70,LS[B/S],"B",LS[Date Value],"&gt;="&amp;$Z$2,LS[Date Value],"&lt;="&amp;$Z$3))+(SUMIFS(SIP[Amount],SIP[Investor ID],A70,SIP[B/S],"B",SIP[Date Value],"&gt;="&amp;$Z$2,SIP[Date Value],"&lt;="&amp;$Z$3))</f>
        <v>610000</v>
      </c>
      <c r="L70" s="47">
        <f>(-SUMIFS(LS[Unit],LS[Investor ID],A70,LS[B/S],"S",LS[Date Value],"&gt;="&amp;$Z$2,LS[Date Value],"&lt;="&amp;$Z$3))+(-SUMIFS(SIP[Unit],SIP[Investor ID],A70,SIP[B/S],"S",SIP[Date Value],"&gt;="&amp;$Z$2,SIP[Date Value],"&lt;="&amp;$Z$3))</f>
        <v>5663</v>
      </c>
      <c r="M70" s="49">
        <f>(SUMIFS(LS[Cost of Units Sold],LS[Investor ID],A70,LS[B/S],"S",LS[Date Value],"&gt;="&amp;$Z$2,LS[Date Value],"&lt;="&amp;$Z$3))+(SUMIFS(SIP[Cost of Units Sold],SIP[Investor ID],A70,SIP[B/S],"S",SIP[Date Value],"&gt;="&amp;$Z$2,SIP[Date Value],"&lt;="&amp;$Z$3))</f>
        <v>60000</v>
      </c>
      <c r="N70" s="49">
        <f t="shared" si="9"/>
        <v>550000</v>
      </c>
      <c r="O70" s="49">
        <f>(SUMIFS(LS[Realized Gain],LS[Investor ID],A70,LS[Date Value],"&gt;="&amp;$Z$2,LS[Date Value],"&lt;="&amp;$Z$3))+(SUMIFS(SIP[Realized Gain],SIP[Investor ID],A70,SIP[Date Value],"&gt;="&amp;$Z$2,SIP[Date Value],"&lt;="&amp;$Z$3))</f>
        <v>2145.7600000000011</v>
      </c>
      <c r="P70" s="49">
        <v>0</v>
      </c>
      <c r="Q70" s="49">
        <v>0</v>
      </c>
      <c r="R70" s="49">
        <v>0</v>
      </c>
    </row>
    <row r="71" spans="1:18">
      <c r="A71" t="s">
        <v>190</v>
      </c>
      <c r="B71" s="47">
        <f>SUMIFS(LS[Unit],LS[Investor ID],'TAX CERTIFICATE'!A71,LS[Date Value],"&lt;"&amp;$Z$2)+SUMIFS(SIP[Unit],SIP[Investor ID],'TAX CERTIFICATE'!A71,SIP[Date Value],"&lt;"&amp;$Z$2)</f>
        <v>0</v>
      </c>
      <c r="C71" s="48">
        <f>(SUMIFS(LS[Amount],LS[B/S],"B",LS[Investor ID],A71,LS[Date Value],"&lt;"&amp;$Z$2)-SUMIFS(LS[Cost of Units Sold],LS[B/S],"S",LS[Investor ID],A71,LS[Date Value],"&lt;"&amp;$Z$2))+(SUMIFS(SIP[Amount],SIP[B/S],"B",SIP[Investor ID],#REF!,SIP[Date Value],"&lt;"&amp;$Z$2)-SUMIFS(SIP[Cost of Units Sold],SIP[B/S],"S",SIP[Investor ID],A71,SIP[Date Value],"&lt;"&amp;$Z$2))</f>
        <v>0</v>
      </c>
      <c r="D71" s="49">
        <f t="shared" si="5"/>
        <v>0</v>
      </c>
      <c r="E71" s="49">
        <f t="shared" si="6"/>
        <v>0</v>
      </c>
      <c r="F71" s="47">
        <f>SUMIFS(LS[Unit],LS[Investor ID],A71,LS[Date Value],"&lt;="&amp;$Z$3)+SUMIFS(SIP[Unit],SIP[Investor ID],A71,SIP[Date Value],"&lt;="&amp;$Z$3)</f>
        <v>0</v>
      </c>
      <c r="G71" s="49">
        <f>(SUMIFS(LS[Amount],LS[B/S],"B",LS[Investor ID],A71,LS[Date Value],"&lt;="&amp;$Z$3)-SUMIFS(LS[Cost of Units Sold],LS[B/S],"S",LS[Investor ID],A71,LS[Date Value],"&lt;="&amp;$Z$3))+(SUMIFS(SIP[Amount],SIP[B/S],"B",SIP[Investor ID],A71,SIP[Date Value],"&lt;="&amp;$Z$3)-SUMIFS(SIP[Cost of Units Sold],SIP[B/S],"S",SIP[Investor ID],A71,SIP[Date Value],"&lt;="&amp;$Z$3))</f>
        <v>0</v>
      </c>
      <c r="H71" s="49">
        <f t="shared" si="7"/>
        <v>0</v>
      </c>
      <c r="I71" s="49">
        <f t="shared" si="8"/>
        <v>0</v>
      </c>
      <c r="J71" s="47">
        <f>(SUMIFS(LS[Unit],LS[Investor ID],A71,LS[B/S],"B",LS[Date Value],"&gt;="&amp;$Z$2,LS[Date Value],"&lt;="&amp;$Z$3))+(SUMIFS(SIP[Unit],SIP[Investor ID],A71,SIP[B/S],"B",SIP[Date Value],"&gt;="&amp;$Z$2,SIP[Date Value],"&lt;="&amp;$Z$3))</f>
        <v>0</v>
      </c>
      <c r="K71" s="49">
        <f>(SUMIFS(LS[Amount],LS[Investor ID],A71,LS[B/S],"B",LS[Date Value],"&gt;="&amp;$Z$2,LS[Date Value],"&lt;="&amp;$Z$3))+(SUMIFS(SIP[Amount],SIP[Investor ID],A71,SIP[B/S],"B",SIP[Date Value],"&gt;="&amp;$Z$2,SIP[Date Value],"&lt;="&amp;$Z$3))</f>
        <v>0</v>
      </c>
      <c r="L71" s="47">
        <f>(-SUMIFS(LS[Unit],LS[Investor ID],A71,LS[B/S],"S",LS[Date Value],"&gt;="&amp;$Z$2,LS[Date Value],"&lt;="&amp;$Z$3))+(-SUMIFS(SIP[Unit],SIP[Investor ID],A71,SIP[B/S],"S",SIP[Date Value],"&gt;="&amp;$Z$2,SIP[Date Value],"&lt;="&amp;$Z$3))</f>
        <v>0</v>
      </c>
      <c r="M71" s="49">
        <f>(SUMIFS(LS[Cost of Units Sold],LS[Investor ID],A71,LS[B/S],"S",LS[Date Value],"&gt;="&amp;$Z$2,LS[Date Value],"&lt;="&amp;$Z$3))+(SUMIFS(SIP[Cost of Units Sold],SIP[Investor ID],A71,SIP[B/S],"S",SIP[Date Value],"&gt;="&amp;$Z$2,SIP[Date Value],"&lt;="&amp;$Z$3))</f>
        <v>0</v>
      </c>
      <c r="N71" s="49">
        <f t="shared" si="9"/>
        <v>0</v>
      </c>
      <c r="O71" s="49">
        <f>(SUMIFS(LS[Realized Gain],LS[Investor ID],A71,LS[Date Value],"&gt;="&amp;$Z$2,LS[Date Value],"&lt;="&amp;$Z$3))+(SUMIFS(SIP[Realized Gain],SIP[Investor ID],A71,SIP[Date Value],"&gt;="&amp;$Z$2,SIP[Date Value],"&lt;="&amp;$Z$3))</f>
        <v>0</v>
      </c>
      <c r="P71" s="49">
        <v>0</v>
      </c>
      <c r="Q71" s="49">
        <v>0</v>
      </c>
      <c r="R71" s="49">
        <v>0</v>
      </c>
    </row>
    <row r="72" spans="1:18">
      <c r="A72" t="s">
        <v>192</v>
      </c>
      <c r="B72" s="47">
        <f>SUMIFS(LS[Unit],LS[Investor ID],'TAX CERTIFICATE'!A72,LS[Date Value],"&lt;"&amp;$Z$2)+SUMIFS(SIP[Unit],SIP[Investor ID],'TAX CERTIFICATE'!A72,SIP[Date Value],"&lt;"&amp;$Z$2)</f>
        <v>0</v>
      </c>
      <c r="C72" s="48">
        <f>(SUMIFS(LS[Amount],LS[B/S],"B",LS[Investor ID],A72,LS[Date Value],"&lt;"&amp;$Z$2)-SUMIFS(LS[Cost of Units Sold],LS[B/S],"S",LS[Investor ID],A72,LS[Date Value],"&lt;"&amp;$Z$2))+(SUMIFS(SIP[Amount],SIP[B/S],"B",SIP[Investor ID],#REF!,SIP[Date Value],"&lt;"&amp;$Z$2)-SUMIFS(SIP[Cost of Units Sold],SIP[B/S],"S",SIP[Investor ID],A72,SIP[Date Value],"&lt;"&amp;$Z$2))</f>
        <v>0</v>
      </c>
      <c r="D72" s="49">
        <f t="shared" si="5"/>
        <v>0</v>
      </c>
      <c r="E72" s="49">
        <f t="shared" si="6"/>
        <v>0</v>
      </c>
      <c r="F72" s="47">
        <f>SUMIFS(LS[Unit],LS[Investor ID],A72,LS[Date Value],"&lt;="&amp;$Z$3)+SUMIFS(SIP[Unit],SIP[Investor ID],A72,SIP[Date Value],"&lt;="&amp;$Z$3)</f>
        <v>0</v>
      </c>
      <c r="G72" s="49">
        <f>(SUMIFS(LS[Amount],LS[B/S],"B",LS[Investor ID],A72,LS[Date Value],"&lt;="&amp;$Z$3)-SUMIFS(LS[Cost of Units Sold],LS[B/S],"S",LS[Investor ID],A72,LS[Date Value],"&lt;="&amp;$Z$3))+(SUMIFS(SIP[Amount],SIP[B/S],"B",SIP[Investor ID],A72,SIP[Date Value],"&lt;="&amp;$Z$3)-SUMIFS(SIP[Cost of Units Sold],SIP[B/S],"S",SIP[Investor ID],A72,SIP[Date Value],"&lt;="&amp;$Z$3))</f>
        <v>0</v>
      </c>
      <c r="H72" s="49">
        <f t="shared" si="7"/>
        <v>0</v>
      </c>
      <c r="I72" s="49">
        <f t="shared" si="8"/>
        <v>0</v>
      </c>
      <c r="J72" s="47">
        <f>(SUMIFS(LS[Unit],LS[Investor ID],A72,LS[B/S],"B",LS[Date Value],"&gt;="&amp;$Z$2,LS[Date Value],"&lt;="&amp;$Z$3))+(SUMIFS(SIP[Unit],SIP[Investor ID],A72,SIP[B/S],"B",SIP[Date Value],"&gt;="&amp;$Z$2,SIP[Date Value],"&lt;="&amp;$Z$3))</f>
        <v>0</v>
      </c>
      <c r="K72" s="49">
        <f>(SUMIFS(LS[Amount],LS[Investor ID],A72,LS[B/S],"B",LS[Date Value],"&gt;="&amp;$Z$2,LS[Date Value],"&lt;="&amp;$Z$3))+(SUMIFS(SIP[Amount],SIP[Investor ID],A72,SIP[B/S],"B",SIP[Date Value],"&gt;="&amp;$Z$2,SIP[Date Value],"&lt;="&amp;$Z$3))</f>
        <v>0</v>
      </c>
      <c r="L72" s="47">
        <f>(-SUMIFS(LS[Unit],LS[Investor ID],A72,LS[B/S],"S",LS[Date Value],"&gt;="&amp;$Z$2,LS[Date Value],"&lt;="&amp;$Z$3))+(-SUMIFS(SIP[Unit],SIP[Investor ID],A72,SIP[B/S],"S",SIP[Date Value],"&gt;="&amp;$Z$2,SIP[Date Value],"&lt;="&amp;$Z$3))</f>
        <v>0</v>
      </c>
      <c r="M72" s="49">
        <f>(SUMIFS(LS[Cost of Units Sold],LS[Investor ID],A72,LS[B/S],"S",LS[Date Value],"&gt;="&amp;$Z$2,LS[Date Value],"&lt;="&amp;$Z$3))+(SUMIFS(SIP[Cost of Units Sold],SIP[Investor ID],A72,SIP[B/S],"S",SIP[Date Value],"&gt;="&amp;$Z$2,SIP[Date Value],"&lt;="&amp;$Z$3))</f>
        <v>0</v>
      </c>
      <c r="N72" s="49">
        <f t="shared" si="9"/>
        <v>0</v>
      </c>
      <c r="O72" s="49">
        <f>(SUMIFS(LS[Realized Gain],LS[Investor ID],A72,LS[Date Value],"&gt;="&amp;$Z$2,LS[Date Value],"&lt;="&amp;$Z$3))+(SUMIFS(SIP[Realized Gain],SIP[Investor ID],A72,SIP[Date Value],"&gt;="&amp;$Z$2,SIP[Date Value],"&lt;="&amp;$Z$3))</f>
        <v>0</v>
      </c>
      <c r="P72" s="49">
        <v>0</v>
      </c>
      <c r="Q72" s="49">
        <v>0</v>
      </c>
      <c r="R72" s="49">
        <v>0</v>
      </c>
    </row>
    <row r="73" spans="1:18">
      <c r="A73" t="s">
        <v>194</v>
      </c>
      <c r="B73" s="47">
        <f>SUMIFS(LS[Unit],LS[Investor ID],'TAX CERTIFICATE'!A73,LS[Date Value],"&lt;"&amp;$Z$2)+SUMIFS(SIP[Unit],SIP[Investor ID],'TAX CERTIFICATE'!A73,SIP[Date Value],"&lt;"&amp;$Z$2)</f>
        <v>86299</v>
      </c>
      <c r="C73" s="48">
        <f>(SUMIFS(LS[Amount],LS[B/S],"B",LS[Investor ID],A73,LS[Date Value],"&lt;"&amp;$Z$2)-SUMIFS(LS[Cost of Units Sold],LS[B/S],"S",LS[Investor ID],A73,LS[Date Value],"&lt;"&amp;$Z$2))+(SUMIFS(SIP[Amount],SIP[B/S],"B",SIP[Investor ID],#REF!,SIP[Date Value],"&lt;"&amp;$Z$2)-SUMIFS(SIP[Cost of Units Sold],SIP[B/S],"S",SIP[Investor ID],A73,SIP[Date Value],"&lt;"&amp;$Z$2))</f>
        <v>862990</v>
      </c>
      <c r="D73" s="49">
        <f t="shared" si="5"/>
        <v>886377.0290000001</v>
      </c>
      <c r="E73" s="49">
        <f t="shared" si="6"/>
        <v>23387.029000000097</v>
      </c>
      <c r="F73" s="47">
        <f>SUMIFS(LS[Unit],LS[Investor ID],A73,LS[Date Value],"&lt;="&amp;$Z$3)+SUMIFS(SIP[Unit],SIP[Investor ID],A73,SIP[Date Value],"&lt;="&amp;$Z$3)</f>
        <v>0</v>
      </c>
      <c r="G73" s="49">
        <f>(SUMIFS(LS[Amount],LS[B/S],"B",LS[Investor ID],A73,LS[Date Value],"&lt;="&amp;$Z$3)-SUMIFS(LS[Cost of Units Sold],LS[B/S],"S",LS[Investor ID],A73,LS[Date Value],"&lt;="&amp;$Z$3))+(SUMIFS(SIP[Amount],SIP[B/S],"B",SIP[Investor ID],A73,SIP[Date Value],"&lt;="&amp;$Z$3)-SUMIFS(SIP[Cost of Units Sold],SIP[B/S],"S",SIP[Investor ID],A73,SIP[Date Value],"&lt;="&amp;$Z$3))</f>
        <v>0</v>
      </c>
      <c r="H73" s="49">
        <f t="shared" si="7"/>
        <v>0</v>
      </c>
      <c r="I73" s="49">
        <f t="shared" si="8"/>
        <v>0</v>
      </c>
      <c r="J73" s="47">
        <f>(SUMIFS(LS[Unit],LS[Investor ID],A73,LS[B/S],"B",LS[Date Value],"&gt;="&amp;$Z$2,LS[Date Value],"&lt;="&amp;$Z$3))+(SUMIFS(SIP[Unit],SIP[Investor ID],A73,SIP[B/S],"B",SIP[Date Value],"&gt;="&amp;$Z$2,SIP[Date Value],"&lt;="&amp;$Z$3))</f>
        <v>0</v>
      </c>
      <c r="K73" s="49">
        <f>(SUMIFS(LS[Amount],LS[Investor ID],A73,LS[B/S],"B",LS[Date Value],"&gt;="&amp;$Z$2,LS[Date Value],"&lt;="&amp;$Z$3))+(SUMIFS(SIP[Amount],SIP[Investor ID],A73,SIP[B/S],"B",SIP[Date Value],"&gt;="&amp;$Z$2,SIP[Date Value],"&lt;="&amp;$Z$3))</f>
        <v>0</v>
      </c>
      <c r="L73" s="47">
        <f>(-SUMIFS(LS[Unit],LS[Investor ID],A73,LS[B/S],"S",LS[Date Value],"&gt;="&amp;$Z$2,LS[Date Value],"&lt;="&amp;$Z$3))+(-SUMIFS(SIP[Unit],SIP[Investor ID],A73,SIP[B/S],"S",SIP[Date Value],"&gt;="&amp;$Z$2,SIP[Date Value],"&lt;="&amp;$Z$3))</f>
        <v>86299</v>
      </c>
      <c r="M73" s="49">
        <f>(SUMIFS(LS[Cost of Units Sold],LS[Investor ID],A73,LS[B/S],"S",LS[Date Value],"&gt;="&amp;$Z$2,LS[Date Value],"&lt;="&amp;$Z$3))+(SUMIFS(SIP[Cost of Units Sold],SIP[Investor ID],A73,SIP[B/S],"S",SIP[Date Value],"&gt;="&amp;$Z$2,SIP[Date Value],"&lt;="&amp;$Z$3))</f>
        <v>862990</v>
      </c>
      <c r="N73" s="49">
        <f t="shared" si="9"/>
        <v>-862990</v>
      </c>
      <c r="O73" s="49">
        <f>(SUMIFS(LS[Realized Gain],LS[Investor ID],A73,LS[Date Value],"&gt;="&amp;$Z$2,LS[Date Value],"&lt;="&amp;$Z$3))+(SUMIFS(SIP[Realized Gain],SIP[Investor ID],A73,SIP[Date Value],"&gt;="&amp;$Z$2,SIP[Date Value],"&lt;="&amp;$Z$3))</f>
        <v>24510.869999999959</v>
      </c>
      <c r="P73" s="49">
        <v>0</v>
      </c>
      <c r="Q73" s="49">
        <v>0</v>
      </c>
      <c r="R73" s="49">
        <v>0</v>
      </c>
    </row>
    <row r="74" spans="1:18">
      <c r="A74" t="s">
        <v>196</v>
      </c>
      <c r="B74" s="47">
        <f>SUMIFS(LS[Unit],LS[Investor ID],'TAX CERTIFICATE'!A74,LS[Date Value],"&lt;"&amp;$Z$2)+SUMIFS(SIP[Unit],SIP[Investor ID],'TAX CERTIFICATE'!A74,SIP[Date Value],"&lt;"&amp;$Z$2)</f>
        <v>0</v>
      </c>
      <c r="C74" s="48">
        <f>(SUMIFS(LS[Amount],LS[B/S],"B",LS[Investor ID],A74,LS[Date Value],"&lt;"&amp;$Z$2)-SUMIFS(LS[Cost of Units Sold],LS[B/S],"S",LS[Investor ID],A74,LS[Date Value],"&lt;"&amp;$Z$2))+(SUMIFS(SIP[Amount],SIP[B/S],"B",SIP[Investor ID],#REF!,SIP[Date Value],"&lt;"&amp;$Z$2)-SUMIFS(SIP[Cost of Units Sold],SIP[B/S],"S",SIP[Investor ID],A74,SIP[Date Value],"&lt;"&amp;$Z$2))</f>
        <v>0</v>
      </c>
      <c r="D74" s="49">
        <f t="shared" si="5"/>
        <v>0</v>
      </c>
      <c r="E74" s="49">
        <f t="shared" si="6"/>
        <v>0</v>
      </c>
      <c r="F74" s="47">
        <f>SUMIFS(LS[Unit],LS[Investor ID],A74,LS[Date Value],"&lt;="&amp;$Z$3)+SUMIFS(SIP[Unit],SIP[Investor ID],A74,SIP[Date Value],"&lt;="&amp;$Z$3)</f>
        <v>0</v>
      </c>
      <c r="G74" s="49">
        <f>(SUMIFS(LS[Amount],LS[B/S],"B",LS[Investor ID],A74,LS[Date Value],"&lt;="&amp;$Z$3)-SUMIFS(LS[Cost of Units Sold],LS[B/S],"S",LS[Investor ID],A74,LS[Date Value],"&lt;="&amp;$Z$3))+(SUMIFS(SIP[Amount],SIP[B/S],"B",SIP[Investor ID],A74,SIP[Date Value],"&lt;="&amp;$Z$3)-SUMIFS(SIP[Cost of Units Sold],SIP[B/S],"S",SIP[Investor ID],A74,SIP[Date Value],"&lt;="&amp;$Z$3))</f>
        <v>0</v>
      </c>
      <c r="H74" s="49">
        <f t="shared" si="7"/>
        <v>0</v>
      </c>
      <c r="I74" s="49">
        <f t="shared" si="8"/>
        <v>0</v>
      </c>
      <c r="J74" s="47">
        <f>(SUMIFS(LS[Unit],LS[Investor ID],A74,LS[B/S],"B",LS[Date Value],"&gt;="&amp;$Z$2,LS[Date Value],"&lt;="&amp;$Z$3))+(SUMIFS(SIP[Unit],SIP[Investor ID],A74,SIP[B/S],"B",SIP[Date Value],"&gt;="&amp;$Z$2,SIP[Date Value],"&lt;="&amp;$Z$3))</f>
        <v>0</v>
      </c>
      <c r="K74" s="49">
        <f>(SUMIFS(LS[Amount],LS[Investor ID],A74,LS[B/S],"B",LS[Date Value],"&gt;="&amp;$Z$2,LS[Date Value],"&lt;="&amp;$Z$3))+(SUMIFS(SIP[Amount],SIP[Investor ID],A74,SIP[B/S],"B",SIP[Date Value],"&gt;="&amp;$Z$2,SIP[Date Value],"&lt;="&amp;$Z$3))</f>
        <v>0</v>
      </c>
      <c r="L74" s="47">
        <f>(-SUMIFS(LS[Unit],LS[Investor ID],A74,LS[B/S],"S",LS[Date Value],"&gt;="&amp;$Z$2,LS[Date Value],"&lt;="&amp;$Z$3))+(-SUMIFS(SIP[Unit],SIP[Investor ID],A74,SIP[B/S],"S",SIP[Date Value],"&gt;="&amp;$Z$2,SIP[Date Value],"&lt;="&amp;$Z$3))</f>
        <v>0</v>
      </c>
      <c r="M74" s="49">
        <f>(SUMIFS(LS[Cost of Units Sold],LS[Investor ID],A74,LS[B/S],"S",LS[Date Value],"&gt;="&amp;$Z$2,LS[Date Value],"&lt;="&amp;$Z$3))+(SUMIFS(SIP[Cost of Units Sold],SIP[Investor ID],A74,SIP[B/S],"S",SIP[Date Value],"&gt;="&amp;$Z$2,SIP[Date Value],"&lt;="&amp;$Z$3))</f>
        <v>0</v>
      </c>
      <c r="N74" s="49">
        <f t="shared" si="9"/>
        <v>0</v>
      </c>
      <c r="O74" s="49">
        <f>(SUMIFS(LS[Realized Gain],LS[Investor ID],A74,LS[Date Value],"&gt;="&amp;$Z$2,LS[Date Value],"&lt;="&amp;$Z$3))+(SUMIFS(SIP[Realized Gain],SIP[Investor ID],A74,SIP[Date Value],"&gt;="&amp;$Z$2,SIP[Date Value],"&lt;="&amp;$Z$3))</f>
        <v>0</v>
      </c>
      <c r="P74" s="49">
        <v>0</v>
      </c>
      <c r="Q74" s="49">
        <v>0</v>
      </c>
      <c r="R74" s="49">
        <v>0</v>
      </c>
    </row>
    <row r="75" spans="1:18">
      <c r="A75" t="s">
        <v>198</v>
      </c>
      <c r="B75" s="47">
        <f>SUMIFS(LS[Unit],LS[Investor ID],'TAX CERTIFICATE'!A75,LS[Date Value],"&lt;"&amp;$Z$2)+SUMIFS(SIP[Unit],SIP[Investor ID],'TAX CERTIFICATE'!A75,SIP[Date Value],"&lt;"&amp;$Z$2)</f>
        <v>0</v>
      </c>
      <c r="C75" s="48">
        <f>(SUMIFS(LS[Amount],LS[B/S],"B",LS[Investor ID],A75,LS[Date Value],"&lt;"&amp;$Z$2)-SUMIFS(LS[Cost of Units Sold],LS[B/S],"S",LS[Investor ID],A75,LS[Date Value],"&lt;"&amp;$Z$2))+(SUMIFS(SIP[Amount],SIP[B/S],"B",SIP[Investor ID],#REF!,SIP[Date Value],"&lt;"&amp;$Z$2)-SUMIFS(SIP[Cost of Units Sold],SIP[B/S],"S",SIP[Investor ID],A75,SIP[Date Value],"&lt;"&amp;$Z$2))</f>
        <v>0</v>
      </c>
      <c r="D75" s="49">
        <f t="shared" si="5"/>
        <v>0</v>
      </c>
      <c r="E75" s="49">
        <f t="shared" si="6"/>
        <v>0</v>
      </c>
      <c r="F75" s="47">
        <f>SUMIFS(LS[Unit],LS[Investor ID],A75,LS[Date Value],"&lt;="&amp;$Z$3)+SUMIFS(SIP[Unit],SIP[Investor ID],A75,SIP[Date Value],"&lt;="&amp;$Z$3)</f>
        <v>0</v>
      </c>
      <c r="G75" s="49">
        <f>(SUMIFS(LS[Amount],LS[B/S],"B",LS[Investor ID],A75,LS[Date Value],"&lt;="&amp;$Z$3)-SUMIFS(LS[Cost of Units Sold],LS[B/S],"S",LS[Investor ID],A75,LS[Date Value],"&lt;="&amp;$Z$3))+(SUMIFS(SIP[Amount],SIP[B/S],"B",SIP[Investor ID],A75,SIP[Date Value],"&lt;="&amp;$Z$3)-SUMIFS(SIP[Cost of Units Sold],SIP[B/S],"S",SIP[Investor ID],A75,SIP[Date Value],"&lt;="&amp;$Z$3))</f>
        <v>0</v>
      </c>
      <c r="H75" s="49">
        <f t="shared" si="7"/>
        <v>0</v>
      </c>
      <c r="I75" s="49">
        <f t="shared" si="8"/>
        <v>0</v>
      </c>
      <c r="J75" s="47">
        <f>(SUMIFS(LS[Unit],LS[Investor ID],A75,LS[B/S],"B",LS[Date Value],"&gt;="&amp;$Z$2,LS[Date Value],"&lt;="&amp;$Z$3))+(SUMIFS(SIP[Unit],SIP[Investor ID],A75,SIP[B/S],"B",SIP[Date Value],"&gt;="&amp;$Z$2,SIP[Date Value],"&lt;="&amp;$Z$3))</f>
        <v>0</v>
      </c>
      <c r="K75" s="49">
        <f>(SUMIFS(LS[Amount],LS[Investor ID],A75,LS[B/S],"B",LS[Date Value],"&gt;="&amp;$Z$2,LS[Date Value],"&lt;="&amp;$Z$3))+(SUMIFS(SIP[Amount],SIP[Investor ID],A75,SIP[B/S],"B",SIP[Date Value],"&gt;="&amp;$Z$2,SIP[Date Value],"&lt;="&amp;$Z$3))</f>
        <v>0</v>
      </c>
      <c r="L75" s="47">
        <f>(-SUMIFS(LS[Unit],LS[Investor ID],A75,LS[B/S],"S",LS[Date Value],"&gt;="&amp;$Z$2,LS[Date Value],"&lt;="&amp;$Z$3))+(-SUMIFS(SIP[Unit],SIP[Investor ID],A75,SIP[B/S],"S",SIP[Date Value],"&gt;="&amp;$Z$2,SIP[Date Value],"&lt;="&amp;$Z$3))</f>
        <v>0</v>
      </c>
      <c r="M75" s="49">
        <f>(SUMIFS(LS[Cost of Units Sold],LS[Investor ID],A75,LS[B/S],"S",LS[Date Value],"&gt;="&amp;$Z$2,LS[Date Value],"&lt;="&amp;$Z$3))+(SUMIFS(SIP[Cost of Units Sold],SIP[Investor ID],A75,SIP[B/S],"S",SIP[Date Value],"&gt;="&amp;$Z$2,SIP[Date Value],"&lt;="&amp;$Z$3))</f>
        <v>0</v>
      </c>
      <c r="N75" s="49">
        <f t="shared" si="9"/>
        <v>0</v>
      </c>
      <c r="O75" s="49">
        <f>(SUMIFS(LS[Realized Gain],LS[Investor ID],A75,LS[Date Value],"&gt;="&amp;$Z$2,LS[Date Value],"&lt;="&amp;$Z$3))+(SUMIFS(SIP[Realized Gain],SIP[Investor ID],A75,SIP[Date Value],"&gt;="&amp;$Z$2,SIP[Date Value],"&lt;="&amp;$Z$3))</f>
        <v>0</v>
      </c>
      <c r="P75" s="49">
        <v>0</v>
      </c>
      <c r="Q75" s="49">
        <v>0</v>
      </c>
      <c r="R75" s="49">
        <v>0</v>
      </c>
    </row>
    <row r="76" spans="1:18">
      <c r="A76" t="s">
        <v>200</v>
      </c>
      <c r="B76" s="47">
        <f>SUMIFS(LS[Unit],LS[Investor ID],'TAX CERTIFICATE'!A76,LS[Date Value],"&lt;"&amp;$Z$2)+SUMIFS(SIP[Unit],SIP[Investor ID],'TAX CERTIFICATE'!A76,SIP[Date Value],"&lt;"&amp;$Z$2)</f>
        <v>0</v>
      </c>
      <c r="C76" s="48">
        <f>(SUMIFS(LS[Amount],LS[B/S],"B",LS[Investor ID],A76,LS[Date Value],"&lt;"&amp;$Z$2)-SUMIFS(LS[Cost of Units Sold],LS[B/S],"S",LS[Investor ID],A76,LS[Date Value],"&lt;"&amp;$Z$2))+(SUMIFS(SIP[Amount],SIP[B/S],"B",SIP[Investor ID],#REF!,SIP[Date Value],"&lt;"&amp;$Z$2)-SUMIFS(SIP[Cost of Units Sold],SIP[B/S],"S",SIP[Investor ID],A76,SIP[Date Value],"&lt;"&amp;$Z$2))</f>
        <v>0</v>
      </c>
      <c r="D76" s="49">
        <f t="shared" si="5"/>
        <v>0</v>
      </c>
      <c r="E76" s="49">
        <f t="shared" si="6"/>
        <v>0</v>
      </c>
      <c r="F76" s="47">
        <f>SUMIFS(LS[Unit],LS[Investor ID],A76,LS[Date Value],"&lt;="&amp;$Z$3)+SUMIFS(SIP[Unit],SIP[Investor ID],A76,SIP[Date Value],"&lt;="&amp;$Z$3)</f>
        <v>0</v>
      </c>
      <c r="G76" s="49">
        <f>(SUMIFS(LS[Amount],LS[B/S],"B",LS[Investor ID],A76,LS[Date Value],"&lt;="&amp;$Z$3)-SUMIFS(LS[Cost of Units Sold],LS[B/S],"S",LS[Investor ID],A76,LS[Date Value],"&lt;="&amp;$Z$3))+(SUMIFS(SIP[Amount],SIP[B/S],"B",SIP[Investor ID],A76,SIP[Date Value],"&lt;="&amp;$Z$3)-SUMIFS(SIP[Cost of Units Sold],SIP[B/S],"S",SIP[Investor ID],A76,SIP[Date Value],"&lt;="&amp;$Z$3))</f>
        <v>0</v>
      </c>
      <c r="H76" s="49">
        <f t="shared" si="7"/>
        <v>0</v>
      </c>
      <c r="I76" s="49">
        <f t="shared" si="8"/>
        <v>0</v>
      </c>
      <c r="J76" s="47">
        <f>(SUMIFS(LS[Unit],LS[Investor ID],A76,LS[B/S],"B",LS[Date Value],"&gt;="&amp;$Z$2,LS[Date Value],"&lt;="&amp;$Z$3))+(SUMIFS(SIP[Unit],SIP[Investor ID],A76,SIP[B/S],"B",SIP[Date Value],"&gt;="&amp;$Z$2,SIP[Date Value],"&lt;="&amp;$Z$3))</f>
        <v>0</v>
      </c>
      <c r="K76" s="49">
        <f>(SUMIFS(LS[Amount],LS[Investor ID],A76,LS[B/S],"B",LS[Date Value],"&gt;="&amp;$Z$2,LS[Date Value],"&lt;="&amp;$Z$3))+(SUMIFS(SIP[Amount],SIP[Investor ID],A76,SIP[B/S],"B",SIP[Date Value],"&gt;="&amp;$Z$2,SIP[Date Value],"&lt;="&amp;$Z$3))</f>
        <v>0</v>
      </c>
      <c r="L76" s="47">
        <f>(-SUMIFS(LS[Unit],LS[Investor ID],A76,LS[B/S],"S",LS[Date Value],"&gt;="&amp;$Z$2,LS[Date Value],"&lt;="&amp;$Z$3))+(-SUMIFS(SIP[Unit],SIP[Investor ID],A76,SIP[B/S],"S",SIP[Date Value],"&gt;="&amp;$Z$2,SIP[Date Value],"&lt;="&amp;$Z$3))</f>
        <v>0</v>
      </c>
      <c r="M76" s="49">
        <f>(SUMIFS(LS[Cost of Units Sold],LS[Investor ID],A76,LS[B/S],"S",LS[Date Value],"&gt;="&amp;$Z$2,LS[Date Value],"&lt;="&amp;$Z$3))+(SUMIFS(SIP[Cost of Units Sold],SIP[Investor ID],A76,SIP[B/S],"S",SIP[Date Value],"&gt;="&amp;$Z$2,SIP[Date Value],"&lt;="&amp;$Z$3))</f>
        <v>0</v>
      </c>
      <c r="N76" s="49">
        <f t="shared" si="9"/>
        <v>0</v>
      </c>
      <c r="O76" s="49">
        <f>(SUMIFS(LS[Realized Gain],LS[Investor ID],A76,LS[Date Value],"&gt;="&amp;$Z$2,LS[Date Value],"&lt;="&amp;$Z$3))+(SUMIFS(SIP[Realized Gain],SIP[Investor ID],A76,SIP[Date Value],"&gt;="&amp;$Z$2,SIP[Date Value],"&lt;="&amp;$Z$3))</f>
        <v>0</v>
      </c>
      <c r="P76" s="49">
        <v>0</v>
      </c>
      <c r="Q76" s="49">
        <v>0</v>
      </c>
      <c r="R76" s="49">
        <v>0</v>
      </c>
    </row>
    <row r="77" spans="1:18">
      <c r="A77" t="s">
        <v>202</v>
      </c>
      <c r="B77" s="47">
        <f>SUMIFS(LS[Unit],LS[Investor ID],'TAX CERTIFICATE'!A77,LS[Date Value],"&lt;"&amp;$Z$2)+SUMIFS(SIP[Unit],SIP[Investor ID],'TAX CERTIFICATE'!A77,SIP[Date Value],"&lt;"&amp;$Z$2)</f>
        <v>0</v>
      </c>
      <c r="C77" s="48">
        <f>(SUMIFS(LS[Amount],LS[B/S],"B",LS[Investor ID],A77,LS[Date Value],"&lt;"&amp;$Z$2)-SUMIFS(LS[Cost of Units Sold],LS[B/S],"S",LS[Investor ID],A77,LS[Date Value],"&lt;"&amp;$Z$2))+(SUMIFS(SIP[Amount],SIP[B/S],"B",SIP[Investor ID],#REF!,SIP[Date Value],"&lt;"&amp;$Z$2)-SUMIFS(SIP[Cost of Units Sold],SIP[B/S],"S",SIP[Investor ID],A77,SIP[Date Value],"&lt;"&amp;$Z$2))</f>
        <v>0</v>
      </c>
      <c r="D77" s="49">
        <f t="shared" si="5"/>
        <v>0</v>
      </c>
      <c r="E77" s="49">
        <f t="shared" si="6"/>
        <v>0</v>
      </c>
      <c r="F77" s="47">
        <f>SUMIFS(LS[Unit],LS[Investor ID],A77,LS[Date Value],"&lt;="&amp;$Z$3)+SUMIFS(SIP[Unit],SIP[Investor ID],A77,SIP[Date Value],"&lt;="&amp;$Z$3)</f>
        <v>0</v>
      </c>
      <c r="G77" s="49">
        <f>(SUMIFS(LS[Amount],LS[B/S],"B",LS[Investor ID],A77,LS[Date Value],"&lt;="&amp;$Z$3)-SUMIFS(LS[Cost of Units Sold],LS[B/S],"S",LS[Investor ID],A77,LS[Date Value],"&lt;="&amp;$Z$3))+(SUMIFS(SIP[Amount],SIP[B/S],"B",SIP[Investor ID],A77,SIP[Date Value],"&lt;="&amp;$Z$3)-SUMIFS(SIP[Cost of Units Sold],SIP[B/S],"S",SIP[Investor ID],A77,SIP[Date Value],"&lt;="&amp;$Z$3))</f>
        <v>0</v>
      </c>
      <c r="H77" s="49">
        <f t="shared" si="7"/>
        <v>0</v>
      </c>
      <c r="I77" s="49">
        <f t="shared" si="8"/>
        <v>0</v>
      </c>
      <c r="J77" s="47">
        <f>(SUMIFS(LS[Unit],LS[Investor ID],A77,LS[B/S],"B",LS[Date Value],"&gt;="&amp;$Z$2,LS[Date Value],"&lt;="&amp;$Z$3))+(SUMIFS(SIP[Unit],SIP[Investor ID],A77,SIP[B/S],"B",SIP[Date Value],"&gt;="&amp;$Z$2,SIP[Date Value],"&lt;="&amp;$Z$3))</f>
        <v>0</v>
      </c>
      <c r="K77" s="49">
        <f>(SUMIFS(LS[Amount],LS[Investor ID],A77,LS[B/S],"B",LS[Date Value],"&gt;="&amp;$Z$2,LS[Date Value],"&lt;="&amp;$Z$3))+(SUMIFS(SIP[Amount],SIP[Investor ID],A77,SIP[B/S],"B",SIP[Date Value],"&gt;="&amp;$Z$2,SIP[Date Value],"&lt;="&amp;$Z$3))</f>
        <v>0</v>
      </c>
      <c r="L77" s="47">
        <f>(-SUMIFS(LS[Unit],LS[Investor ID],A77,LS[B/S],"S",LS[Date Value],"&gt;="&amp;$Z$2,LS[Date Value],"&lt;="&amp;$Z$3))+(-SUMIFS(SIP[Unit],SIP[Investor ID],A77,SIP[B/S],"S",SIP[Date Value],"&gt;="&amp;$Z$2,SIP[Date Value],"&lt;="&amp;$Z$3))</f>
        <v>0</v>
      </c>
      <c r="M77" s="49">
        <f>(SUMIFS(LS[Cost of Units Sold],LS[Investor ID],A77,LS[B/S],"S",LS[Date Value],"&gt;="&amp;$Z$2,LS[Date Value],"&lt;="&amp;$Z$3))+(SUMIFS(SIP[Cost of Units Sold],SIP[Investor ID],A77,SIP[B/S],"S",SIP[Date Value],"&gt;="&amp;$Z$2,SIP[Date Value],"&lt;="&amp;$Z$3))</f>
        <v>0</v>
      </c>
      <c r="N77" s="49">
        <f t="shared" si="9"/>
        <v>0</v>
      </c>
      <c r="O77" s="49">
        <f>(SUMIFS(LS[Realized Gain],LS[Investor ID],A77,LS[Date Value],"&gt;="&amp;$Z$2,LS[Date Value],"&lt;="&amp;$Z$3))+(SUMIFS(SIP[Realized Gain],SIP[Investor ID],A77,SIP[Date Value],"&gt;="&amp;$Z$2,SIP[Date Value],"&lt;="&amp;$Z$3))</f>
        <v>0</v>
      </c>
      <c r="P77" s="49">
        <v>0</v>
      </c>
      <c r="Q77" s="49">
        <v>0</v>
      </c>
      <c r="R77" s="49">
        <v>0</v>
      </c>
    </row>
    <row r="78" spans="1:18">
      <c r="A78" t="s">
        <v>204</v>
      </c>
      <c r="B78" s="47">
        <f>SUMIFS(LS[Unit],LS[Investor ID],'TAX CERTIFICATE'!A78,LS[Date Value],"&lt;"&amp;$Z$2)+SUMIFS(SIP[Unit],SIP[Investor ID],'TAX CERTIFICATE'!A78,SIP[Date Value],"&lt;"&amp;$Z$2)</f>
        <v>0</v>
      </c>
      <c r="C78" s="48">
        <f>(SUMIFS(LS[Amount],LS[B/S],"B",LS[Investor ID],A78,LS[Date Value],"&lt;"&amp;$Z$2)-SUMIFS(LS[Cost of Units Sold],LS[B/S],"S",LS[Investor ID],A78,LS[Date Value],"&lt;"&amp;$Z$2))+(SUMIFS(SIP[Amount],SIP[B/S],"B",SIP[Investor ID],#REF!,SIP[Date Value],"&lt;"&amp;$Z$2)-SUMIFS(SIP[Cost of Units Sold],SIP[B/S],"S",SIP[Investor ID],A78,SIP[Date Value],"&lt;"&amp;$Z$2))</f>
        <v>0</v>
      </c>
      <c r="D78" s="49">
        <f t="shared" si="5"/>
        <v>0</v>
      </c>
      <c r="E78" s="49">
        <f t="shared" si="6"/>
        <v>0</v>
      </c>
      <c r="F78" s="47">
        <f>SUMIFS(LS[Unit],LS[Investor ID],A78,LS[Date Value],"&lt;="&amp;$Z$3)+SUMIFS(SIP[Unit],SIP[Investor ID],A78,SIP[Date Value],"&lt;="&amp;$Z$3)</f>
        <v>0</v>
      </c>
      <c r="G78" s="49">
        <f>(SUMIFS(LS[Amount],LS[B/S],"B",LS[Investor ID],A78,LS[Date Value],"&lt;="&amp;$Z$3)-SUMIFS(LS[Cost of Units Sold],LS[B/S],"S",LS[Investor ID],A78,LS[Date Value],"&lt;="&amp;$Z$3))+(SUMIFS(SIP[Amount],SIP[B/S],"B",SIP[Investor ID],A78,SIP[Date Value],"&lt;="&amp;$Z$3)-SUMIFS(SIP[Cost of Units Sold],SIP[B/S],"S",SIP[Investor ID],A78,SIP[Date Value],"&lt;="&amp;$Z$3))</f>
        <v>0</v>
      </c>
      <c r="H78" s="49">
        <f t="shared" si="7"/>
        <v>0</v>
      </c>
      <c r="I78" s="49">
        <f t="shared" si="8"/>
        <v>0</v>
      </c>
      <c r="J78" s="47">
        <f>(SUMIFS(LS[Unit],LS[Investor ID],A78,LS[B/S],"B",LS[Date Value],"&gt;="&amp;$Z$2,LS[Date Value],"&lt;="&amp;$Z$3))+(SUMIFS(SIP[Unit],SIP[Investor ID],A78,SIP[B/S],"B",SIP[Date Value],"&gt;="&amp;$Z$2,SIP[Date Value],"&lt;="&amp;$Z$3))</f>
        <v>0</v>
      </c>
      <c r="K78" s="49">
        <f>(SUMIFS(LS[Amount],LS[Investor ID],A78,LS[B/S],"B",LS[Date Value],"&gt;="&amp;$Z$2,LS[Date Value],"&lt;="&amp;$Z$3))+(SUMIFS(SIP[Amount],SIP[Investor ID],A78,SIP[B/S],"B",SIP[Date Value],"&gt;="&amp;$Z$2,SIP[Date Value],"&lt;="&amp;$Z$3))</f>
        <v>0</v>
      </c>
      <c r="L78" s="47">
        <f>(-SUMIFS(LS[Unit],LS[Investor ID],A78,LS[B/S],"S",LS[Date Value],"&gt;="&amp;$Z$2,LS[Date Value],"&lt;="&amp;$Z$3))+(-SUMIFS(SIP[Unit],SIP[Investor ID],A78,SIP[B/S],"S",SIP[Date Value],"&gt;="&amp;$Z$2,SIP[Date Value],"&lt;="&amp;$Z$3))</f>
        <v>0</v>
      </c>
      <c r="M78" s="49">
        <f>(SUMIFS(LS[Cost of Units Sold],LS[Investor ID],A78,LS[B/S],"S",LS[Date Value],"&gt;="&amp;$Z$2,LS[Date Value],"&lt;="&amp;$Z$3))+(SUMIFS(SIP[Cost of Units Sold],SIP[Investor ID],A78,SIP[B/S],"S",SIP[Date Value],"&gt;="&amp;$Z$2,SIP[Date Value],"&lt;="&amp;$Z$3))</f>
        <v>0</v>
      </c>
      <c r="N78" s="49">
        <f t="shared" si="9"/>
        <v>0</v>
      </c>
      <c r="O78" s="49">
        <f>(SUMIFS(LS[Realized Gain],LS[Investor ID],A78,LS[Date Value],"&gt;="&amp;$Z$2,LS[Date Value],"&lt;="&amp;$Z$3))+(SUMIFS(SIP[Realized Gain],SIP[Investor ID],A78,SIP[Date Value],"&gt;="&amp;$Z$2,SIP[Date Value],"&lt;="&amp;$Z$3))</f>
        <v>0</v>
      </c>
      <c r="P78" s="49">
        <v>0</v>
      </c>
      <c r="Q78" s="49">
        <v>0</v>
      </c>
      <c r="R78" s="49">
        <v>0</v>
      </c>
    </row>
    <row r="79" spans="1:18">
      <c r="A79" t="s">
        <v>206</v>
      </c>
      <c r="B79" s="47">
        <f>SUMIFS(LS[Unit],LS[Investor ID],'TAX CERTIFICATE'!A79,LS[Date Value],"&lt;"&amp;$Z$2)+SUMIFS(SIP[Unit],SIP[Investor ID],'TAX CERTIFICATE'!A79,SIP[Date Value],"&lt;"&amp;$Z$2)</f>
        <v>0</v>
      </c>
      <c r="C79" s="48">
        <f>(SUMIFS(LS[Amount],LS[B/S],"B",LS[Investor ID],A79,LS[Date Value],"&lt;"&amp;$Z$2)-SUMIFS(LS[Cost of Units Sold],LS[B/S],"S",LS[Investor ID],A79,LS[Date Value],"&lt;"&amp;$Z$2))+(SUMIFS(SIP[Amount],SIP[B/S],"B",SIP[Investor ID],#REF!,SIP[Date Value],"&lt;"&amp;$Z$2)-SUMIFS(SIP[Cost of Units Sold],SIP[B/S],"S",SIP[Investor ID],A79,SIP[Date Value],"&lt;"&amp;$Z$2))</f>
        <v>0</v>
      </c>
      <c r="D79" s="49">
        <f t="shared" si="5"/>
        <v>0</v>
      </c>
      <c r="E79" s="49">
        <f t="shared" si="6"/>
        <v>0</v>
      </c>
      <c r="F79" s="47">
        <f>SUMIFS(LS[Unit],LS[Investor ID],A79,LS[Date Value],"&lt;="&amp;$Z$3)+SUMIFS(SIP[Unit],SIP[Investor ID],A79,SIP[Date Value],"&lt;="&amp;$Z$3)</f>
        <v>0</v>
      </c>
      <c r="G79" s="49">
        <f>(SUMIFS(LS[Amount],LS[B/S],"B",LS[Investor ID],A79,LS[Date Value],"&lt;="&amp;$Z$3)-SUMIFS(LS[Cost of Units Sold],LS[B/S],"S",LS[Investor ID],A79,LS[Date Value],"&lt;="&amp;$Z$3))+(SUMIFS(SIP[Amount],SIP[B/S],"B",SIP[Investor ID],A79,SIP[Date Value],"&lt;="&amp;$Z$3)-SUMIFS(SIP[Cost of Units Sold],SIP[B/S],"S",SIP[Investor ID],A79,SIP[Date Value],"&lt;="&amp;$Z$3))</f>
        <v>0</v>
      </c>
      <c r="H79" s="49">
        <f t="shared" si="7"/>
        <v>0</v>
      </c>
      <c r="I79" s="49">
        <f t="shared" si="8"/>
        <v>0</v>
      </c>
      <c r="J79" s="47">
        <f>(SUMIFS(LS[Unit],LS[Investor ID],A79,LS[B/S],"B",LS[Date Value],"&gt;="&amp;$Z$2,LS[Date Value],"&lt;="&amp;$Z$3))+(SUMIFS(SIP[Unit],SIP[Investor ID],A79,SIP[B/S],"B",SIP[Date Value],"&gt;="&amp;$Z$2,SIP[Date Value],"&lt;="&amp;$Z$3))</f>
        <v>0</v>
      </c>
      <c r="K79" s="49">
        <f>(SUMIFS(LS[Amount],LS[Investor ID],A79,LS[B/S],"B",LS[Date Value],"&gt;="&amp;$Z$2,LS[Date Value],"&lt;="&amp;$Z$3))+(SUMIFS(SIP[Amount],SIP[Investor ID],A79,SIP[B/S],"B",SIP[Date Value],"&gt;="&amp;$Z$2,SIP[Date Value],"&lt;="&amp;$Z$3))</f>
        <v>0</v>
      </c>
      <c r="L79" s="47">
        <f>(-SUMIFS(LS[Unit],LS[Investor ID],A79,LS[B/S],"S",LS[Date Value],"&gt;="&amp;$Z$2,LS[Date Value],"&lt;="&amp;$Z$3))+(-SUMIFS(SIP[Unit],SIP[Investor ID],A79,SIP[B/S],"S",SIP[Date Value],"&gt;="&amp;$Z$2,SIP[Date Value],"&lt;="&amp;$Z$3))</f>
        <v>0</v>
      </c>
      <c r="M79" s="49">
        <f>(SUMIFS(LS[Cost of Units Sold],LS[Investor ID],A79,LS[B/S],"S",LS[Date Value],"&gt;="&amp;$Z$2,LS[Date Value],"&lt;="&amp;$Z$3))+(SUMIFS(SIP[Cost of Units Sold],SIP[Investor ID],A79,SIP[B/S],"S",SIP[Date Value],"&gt;="&amp;$Z$2,SIP[Date Value],"&lt;="&amp;$Z$3))</f>
        <v>0</v>
      </c>
      <c r="N79" s="49">
        <f t="shared" si="9"/>
        <v>0</v>
      </c>
      <c r="O79" s="49">
        <f>(SUMIFS(LS[Realized Gain],LS[Investor ID],A79,LS[Date Value],"&gt;="&amp;$Z$2,LS[Date Value],"&lt;="&amp;$Z$3))+(SUMIFS(SIP[Realized Gain],SIP[Investor ID],A79,SIP[Date Value],"&gt;="&amp;$Z$2,SIP[Date Value],"&lt;="&amp;$Z$3))</f>
        <v>0</v>
      </c>
      <c r="P79" s="49">
        <v>0</v>
      </c>
      <c r="Q79" s="49">
        <v>0</v>
      </c>
      <c r="R79" s="49">
        <v>0</v>
      </c>
    </row>
    <row r="80" spans="1:18">
      <c r="A80" t="s">
        <v>208</v>
      </c>
      <c r="B80" s="47">
        <f>SUMIFS(LS[Unit],LS[Investor ID],'TAX CERTIFICATE'!A80,LS[Date Value],"&lt;"&amp;$Z$2)+SUMIFS(SIP[Unit],SIP[Investor ID],'TAX CERTIFICATE'!A80,SIP[Date Value],"&lt;"&amp;$Z$2)</f>
        <v>0</v>
      </c>
      <c r="C80" s="48">
        <f>(SUMIFS(LS[Amount],LS[B/S],"B",LS[Investor ID],A80,LS[Date Value],"&lt;"&amp;$Z$2)-SUMIFS(LS[Cost of Units Sold],LS[B/S],"S",LS[Investor ID],A80,LS[Date Value],"&lt;"&amp;$Z$2))+(SUMIFS(SIP[Amount],SIP[B/S],"B",SIP[Investor ID],#REF!,SIP[Date Value],"&lt;"&amp;$Z$2)-SUMIFS(SIP[Cost of Units Sold],SIP[B/S],"S",SIP[Investor ID],A80,SIP[Date Value],"&lt;"&amp;$Z$2))</f>
        <v>0</v>
      </c>
      <c r="D80" s="49">
        <f t="shared" si="5"/>
        <v>0</v>
      </c>
      <c r="E80" s="49">
        <f t="shared" si="6"/>
        <v>0</v>
      </c>
      <c r="F80" s="47">
        <f>SUMIFS(LS[Unit],LS[Investor ID],A80,LS[Date Value],"&lt;="&amp;$Z$3)+SUMIFS(SIP[Unit],SIP[Investor ID],A80,SIP[Date Value],"&lt;="&amp;$Z$3)</f>
        <v>0</v>
      </c>
      <c r="G80" s="49">
        <f>(SUMIFS(LS[Amount],LS[B/S],"B",LS[Investor ID],A80,LS[Date Value],"&lt;="&amp;$Z$3)-SUMIFS(LS[Cost of Units Sold],LS[B/S],"S",LS[Investor ID],A80,LS[Date Value],"&lt;="&amp;$Z$3))+(SUMIFS(SIP[Amount],SIP[B/S],"B",SIP[Investor ID],A80,SIP[Date Value],"&lt;="&amp;$Z$3)-SUMIFS(SIP[Cost of Units Sold],SIP[B/S],"S",SIP[Investor ID],A80,SIP[Date Value],"&lt;="&amp;$Z$3))</f>
        <v>0</v>
      </c>
      <c r="H80" s="49">
        <f t="shared" si="7"/>
        <v>0</v>
      </c>
      <c r="I80" s="49">
        <f t="shared" si="8"/>
        <v>0</v>
      </c>
      <c r="J80" s="47">
        <f>(SUMIFS(LS[Unit],LS[Investor ID],A80,LS[B/S],"B",LS[Date Value],"&gt;="&amp;$Z$2,LS[Date Value],"&lt;="&amp;$Z$3))+(SUMIFS(SIP[Unit],SIP[Investor ID],A80,SIP[B/S],"B",SIP[Date Value],"&gt;="&amp;$Z$2,SIP[Date Value],"&lt;="&amp;$Z$3))</f>
        <v>0</v>
      </c>
      <c r="K80" s="49">
        <f>(SUMIFS(LS[Amount],LS[Investor ID],A80,LS[B/S],"B",LS[Date Value],"&gt;="&amp;$Z$2,LS[Date Value],"&lt;="&amp;$Z$3))+(SUMIFS(SIP[Amount],SIP[Investor ID],A80,SIP[B/S],"B",SIP[Date Value],"&gt;="&amp;$Z$2,SIP[Date Value],"&lt;="&amp;$Z$3))</f>
        <v>0</v>
      </c>
      <c r="L80" s="47">
        <f>(-SUMIFS(LS[Unit],LS[Investor ID],A80,LS[B/S],"S",LS[Date Value],"&gt;="&amp;$Z$2,LS[Date Value],"&lt;="&amp;$Z$3))+(-SUMIFS(SIP[Unit],SIP[Investor ID],A80,SIP[B/S],"S",SIP[Date Value],"&gt;="&amp;$Z$2,SIP[Date Value],"&lt;="&amp;$Z$3))</f>
        <v>0</v>
      </c>
      <c r="M80" s="49">
        <f>(SUMIFS(LS[Cost of Units Sold],LS[Investor ID],A80,LS[B/S],"S",LS[Date Value],"&gt;="&amp;$Z$2,LS[Date Value],"&lt;="&amp;$Z$3))+(SUMIFS(SIP[Cost of Units Sold],SIP[Investor ID],A80,SIP[B/S],"S",SIP[Date Value],"&gt;="&amp;$Z$2,SIP[Date Value],"&lt;="&amp;$Z$3))</f>
        <v>0</v>
      </c>
      <c r="N80" s="49">
        <f t="shared" si="9"/>
        <v>0</v>
      </c>
      <c r="O80" s="49">
        <f>(SUMIFS(LS[Realized Gain],LS[Investor ID],A80,LS[Date Value],"&gt;="&amp;$Z$2,LS[Date Value],"&lt;="&amp;$Z$3))+(SUMIFS(SIP[Realized Gain],SIP[Investor ID],A80,SIP[Date Value],"&gt;="&amp;$Z$2,SIP[Date Value],"&lt;="&amp;$Z$3))</f>
        <v>0</v>
      </c>
      <c r="P80" s="49">
        <v>0</v>
      </c>
      <c r="Q80" s="49">
        <v>0</v>
      </c>
      <c r="R80" s="49">
        <v>0</v>
      </c>
    </row>
    <row r="81" spans="1:18">
      <c r="A81" t="s">
        <v>210</v>
      </c>
      <c r="B81" s="47">
        <f>SUMIFS(LS[Unit],LS[Investor ID],'TAX CERTIFICATE'!A81,LS[Date Value],"&lt;"&amp;$Z$2)+SUMIFS(SIP[Unit],SIP[Investor ID],'TAX CERTIFICATE'!A81,SIP[Date Value],"&lt;"&amp;$Z$2)</f>
        <v>0</v>
      </c>
      <c r="C81" s="48">
        <f>(SUMIFS(LS[Amount],LS[B/S],"B",LS[Investor ID],A81,LS[Date Value],"&lt;"&amp;$Z$2)-SUMIFS(LS[Cost of Units Sold],LS[B/S],"S",LS[Investor ID],A81,LS[Date Value],"&lt;"&amp;$Z$2))+(SUMIFS(SIP[Amount],SIP[B/S],"B",SIP[Investor ID],#REF!,SIP[Date Value],"&lt;"&amp;$Z$2)-SUMIFS(SIP[Cost of Units Sold],SIP[B/S],"S",SIP[Investor ID],A81,SIP[Date Value],"&lt;"&amp;$Z$2))</f>
        <v>0</v>
      </c>
      <c r="D81" s="49">
        <f t="shared" si="5"/>
        <v>0</v>
      </c>
      <c r="E81" s="49">
        <f t="shared" si="6"/>
        <v>0</v>
      </c>
      <c r="F81" s="47">
        <f>SUMIFS(LS[Unit],LS[Investor ID],A81,LS[Date Value],"&lt;="&amp;$Z$3)+SUMIFS(SIP[Unit],SIP[Investor ID],A81,SIP[Date Value],"&lt;="&amp;$Z$3)</f>
        <v>0</v>
      </c>
      <c r="G81" s="49">
        <f>(SUMIFS(LS[Amount],LS[B/S],"B",LS[Investor ID],A81,LS[Date Value],"&lt;="&amp;$Z$3)-SUMIFS(LS[Cost of Units Sold],LS[B/S],"S",LS[Investor ID],A81,LS[Date Value],"&lt;="&amp;$Z$3))+(SUMIFS(SIP[Amount],SIP[B/S],"B",SIP[Investor ID],A81,SIP[Date Value],"&lt;="&amp;$Z$3)-SUMIFS(SIP[Cost of Units Sold],SIP[B/S],"S",SIP[Investor ID],A81,SIP[Date Value],"&lt;="&amp;$Z$3))</f>
        <v>0</v>
      </c>
      <c r="H81" s="49">
        <f t="shared" si="7"/>
        <v>0</v>
      </c>
      <c r="I81" s="49">
        <f t="shared" si="8"/>
        <v>0</v>
      </c>
      <c r="J81" s="47">
        <f>(SUMIFS(LS[Unit],LS[Investor ID],A81,LS[B/S],"B",LS[Date Value],"&gt;="&amp;$Z$2,LS[Date Value],"&lt;="&amp;$Z$3))+(SUMIFS(SIP[Unit],SIP[Investor ID],A81,SIP[B/S],"B",SIP[Date Value],"&gt;="&amp;$Z$2,SIP[Date Value],"&lt;="&amp;$Z$3))</f>
        <v>0</v>
      </c>
      <c r="K81" s="49">
        <f>(SUMIFS(LS[Amount],LS[Investor ID],A81,LS[B/S],"B",LS[Date Value],"&gt;="&amp;$Z$2,LS[Date Value],"&lt;="&amp;$Z$3))+(SUMIFS(SIP[Amount],SIP[Investor ID],A81,SIP[B/S],"B",SIP[Date Value],"&gt;="&amp;$Z$2,SIP[Date Value],"&lt;="&amp;$Z$3))</f>
        <v>0</v>
      </c>
      <c r="L81" s="47">
        <f>(-SUMIFS(LS[Unit],LS[Investor ID],A81,LS[B/S],"S",LS[Date Value],"&gt;="&amp;$Z$2,LS[Date Value],"&lt;="&amp;$Z$3))+(-SUMIFS(SIP[Unit],SIP[Investor ID],A81,SIP[B/S],"S",SIP[Date Value],"&gt;="&amp;$Z$2,SIP[Date Value],"&lt;="&amp;$Z$3))</f>
        <v>0</v>
      </c>
      <c r="M81" s="49">
        <f>(SUMIFS(LS[Cost of Units Sold],LS[Investor ID],A81,LS[B/S],"S",LS[Date Value],"&gt;="&amp;$Z$2,LS[Date Value],"&lt;="&amp;$Z$3))+(SUMIFS(SIP[Cost of Units Sold],SIP[Investor ID],A81,SIP[B/S],"S",SIP[Date Value],"&gt;="&amp;$Z$2,SIP[Date Value],"&lt;="&amp;$Z$3))</f>
        <v>0</v>
      </c>
      <c r="N81" s="49">
        <f t="shared" si="9"/>
        <v>0</v>
      </c>
      <c r="O81" s="49">
        <f>(SUMIFS(LS[Realized Gain],LS[Investor ID],A81,LS[Date Value],"&gt;="&amp;$Z$2,LS[Date Value],"&lt;="&amp;$Z$3))+(SUMIFS(SIP[Realized Gain],SIP[Investor ID],A81,SIP[Date Value],"&gt;="&amp;$Z$2,SIP[Date Value],"&lt;="&amp;$Z$3))</f>
        <v>0</v>
      </c>
      <c r="P81" s="49">
        <v>0</v>
      </c>
      <c r="Q81" s="49">
        <v>0</v>
      </c>
      <c r="R81" s="49">
        <v>0</v>
      </c>
    </row>
    <row r="82" spans="1:18">
      <c r="A82" t="s">
        <v>212</v>
      </c>
      <c r="B82" s="47">
        <f>SUMIFS(LS[Unit],LS[Investor ID],'TAX CERTIFICATE'!A82,LS[Date Value],"&lt;"&amp;$Z$2)+SUMIFS(SIP[Unit],SIP[Investor ID],'TAX CERTIFICATE'!A82,SIP[Date Value],"&lt;"&amp;$Z$2)</f>
        <v>0</v>
      </c>
      <c r="C82" s="48">
        <f>(SUMIFS(LS[Amount],LS[B/S],"B",LS[Investor ID],A82,LS[Date Value],"&lt;"&amp;$Z$2)-SUMIFS(LS[Cost of Units Sold],LS[B/S],"S",LS[Investor ID],A82,LS[Date Value],"&lt;"&amp;$Z$2))+(SUMIFS(SIP[Amount],SIP[B/S],"B",SIP[Investor ID],#REF!,SIP[Date Value],"&lt;"&amp;$Z$2)-SUMIFS(SIP[Cost of Units Sold],SIP[B/S],"S",SIP[Investor ID],A82,SIP[Date Value],"&lt;"&amp;$Z$2))</f>
        <v>0</v>
      </c>
      <c r="D82" s="49">
        <f t="shared" si="5"/>
        <v>0</v>
      </c>
      <c r="E82" s="49">
        <f t="shared" si="6"/>
        <v>0</v>
      </c>
      <c r="F82" s="47">
        <f>SUMIFS(LS[Unit],LS[Investor ID],A82,LS[Date Value],"&lt;="&amp;$Z$3)+SUMIFS(SIP[Unit],SIP[Investor ID],A82,SIP[Date Value],"&lt;="&amp;$Z$3)</f>
        <v>0</v>
      </c>
      <c r="G82" s="49">
        <f>(SUMIFS(LS[Amount],LS[B/S],"B",LS[Investor ID],A82,LS[Date Value],"&lt;="&amp;$Z$3)-SUMIFS(LS[Cost of Units Sold],LS[B/S],"S",LS[Investor ID],A82,LS[Date Value],"&lt;="&amp;$Z$3))+(SUMIFS(SIP[Amount],SIP[B/S],"B",SIP[Investor ID],A82,SIP[Date Value],"&lt;="&amp;$Z$3)-SUMIFS(SIP[Cost of Units Sold],SIP[B/S],"S",SIP[Investor ID],A82,SIP[Date Value],"&lt;="&amp;$Z$3))</f>
        <v>0</v>
      </c>
      <c r="H82" s="49">
        <f t="shared" si="7"/>
        <v>0</v>
      </c>
      <c r="I82" s="49">
        <f t="shared" si="8"/>
        <v>0</v>
      </c>
      <c r="J82" s="47">
        <f>(SUMIFS(LS[Unit],LS[Investor ID],A82,LS[B/S],"B",LS[Date Value],"&gt;="&amp;$Z$2,LS[Date Value],"&lt;="&amp;$Z$3))+(SUMIFS(SIP[Unit],SIP[Investor ID],A82,SIP[B/S],"B",SIP[Date Value],"&gt;="&amp;$Z$2,SIP[Date Value],"&lt;="&amp;$Z$3))</f>
        <v>0</v>
      </c>
      <c r="K82" s="49">
        <f>(SUMIFS(LS[Amount],LS[Investor ID],A82,LS[B/S],"B",LS[Date Value],"&gt;="&amp;$Z$2,LS[Date Value],"&lt;="&amp;$Z$3))+(SUMIFS(SIP[Amount],SIP[Investor ID],A82,SIP[B/S],"B",SIP[Date Value],"&gt;="&amp;$Z$2,SIP[Date Value],"&lt;="&amp;$Z$3))</f>
        <v>0</v>
      </c>
      <c r="L82" s="47">
        <f>(-SUMIFS(LS[Unit],LS[Investor ID],A82,LS[B/S],"S",LS[Date Value],"&gt;="&amp;$Z$2,LS[Date Value],"&lt;="&amp;$Z$3))+(-SUMIFS(SIP[Unit],SIP[Investor ID],A82,SIP[B/S],"S",SIP[Date Value],"&gt;="&amp;$Z$2,SIP[Date Value],"&lt;="&amp;$Z$3))</f>
        <v>0</v>
      </c>
      <c r="M82" s="49">
        <f>(SUMIFS(LS[Cost of Units Sold],LS[Investor ID],A82,LS[B/S],"S",LS[Date Value],"&gt;="&amp;$Z$2,LS[Date Value],"&lt;="&amp;$Z$3))+(SUMIFS(SIP[Cost of Units Sold],SIP[Investor ID],A82,SIP[B/S],"S",SIP[Date Value],"&gt;="&amp;$Z$2,SIP[Date Value],"&lt;="&amp;$Z$3))</f>
        <v>0</v>
      </c>
      <c r="N82" s="49">
        <f t="shared" si="9"/>
        <v>0</v>
      </c>
      <c r="O82" s="49">
        <f>(SUMIFS(LS[Realized Gain],LS[Investor ID],A82,LS[Date Value],"&gt;="&amp;$Z$2,LS[Date Value],"&lt;="&amp;$Z$3))+(SUMIFS(SIP[Realized Gain],SIP[Investor ID],A82,SIP[Date Value],"&gt;="&amp;$Z$2,SIP[Date Value],"&lt;="&amp;$Z$3))</f>
        <v>0</v>
      </c>
      <c r="P82" s="49">
        <v>0</v>
      </c>
      <c r="Q82" s="49">
        <v>0</v>
      </c>
      <c r="R82" s="49">
        <v>0</v>
      </c>
    </row>
    <row r="83" spans="1:18">
      <c r="A83" t="s">
        <v>214</v>
      </c>
      <c r="B83" s="47">
        <f>SUMIFS(LS[Unit],LS[Investor ID],'TAX CERTIFICATE'!A83,LS[Date Value],"&lt;"&amp;$Z$2)+SUMIFS(SIP[Unit],SIP[Investor ID],'TAX CERTIFICATE'!A83,SIP[Date Value],"&lt;"&amp;$Z$2)</f>
        <v>0</v>
      </c>
      <c r="C83" s="48">
        <f>(SUMIFS(LS[Amount],LS[B/S],"B",LS[Investor ID],A83,LS[Date Value],"&lt;"&amp;$Z$2)-SUMIFS(LS[Cost of Units Sold],LS[B/S],"S",LS[Investor ID],A83,LS[Date Value],"&lt;"&amp;$Z$2))+(SUMIFS(SIP[Amount],SIP[B/S],"B",SIP[Investor ID],#REF!,SIP[Date Value],"&lt;"&amp;$Z$2)-SUMIFS(SIP[Cost of Units Sold],SIP[B/S],"S",SIP[Investor ID],A83,SIP[Date Value],"&lt;"&amp;$Z$2))</f>
        <v>0</v>
      </c>
      <c r="D83" s="49">
        <f t="shared" si="5"/>
        <v>0</v>
      </c>
      <c r="E83" s="49">
        <f t="shared" si="6"/>
        <v>0</v>
      </c>
      <c r="F83" s="47">
        <f>SUMIFS(LS[Unit],LS[Investor ID],A83,LS[Date Value],"&lt;="&amp;$Z$3)+SUMIFS(SIP[Unit],SIP[Investor ID],A83,SIP[Date Value],"&lt;="&amp;$Z$3)</f>
        <v>113704</v>
      </c>
      <c r="G83" s="49">
        <f>(SUMIFS(LS[Amount],LS[B/S],"B",LS[Investor ID],A83,LS[Date Value],"&lt;="&amp;$Z$3)-SUMIFS(LS[Cost of Units Sold],LS[B/S],"S",LS[Investor ID],A83,LS[Date Value],"&lt;="&amp;$Z$3))+(SUMIFS(SIP[Amount],SIP[B/S],"B",SIP[Investor ID],A83,SIP[Date Value],"&lt;="&amp;$Z$3)-SUMIFS(SIP[Cost of Units Sold],SIP[B/S],"S",SIP[Investor ID],A83,SIP[Date Value],"&lt;="&amp;$Z$3))</f>
        <v>1189465.1735118688</v>
      </c>
      <c r="H83" s="49">
        <f t="shared" si="7"/>
        <v>1269391.456</v>
      </c>
      <c r="I83" s="49">
        <f t="shared" si="8"/>
        <v>79926.282488131197</v>
      </c>
      <c r="J83" s="47">
        <f>(SUMIFS(LS[Unit],LS[Investor ID],A83,LS[B/S],"B",LS[Date Value],"&gt;="&amp;$Z$2,LS[Date Value],"&lt;="&amp;$Z$3))+(SUMIFS(SIP[Unit],SIP[Investor ID],A83,SIP[B/S],"B",SIP[Date Value],"&gt;="&amp;$Z$2,SIP[Date Value],"&lt;="&amp;$Z$3))</f>
        <v>140999</v>
      </c>
      <c r="K83" s="49">
        <f>(SUMIFS(LS[Amount],LS[Investor ID],A83,LS[B/S],"B",LS[Date Value],"&gt;="&amp;$Z$2,LS[Date Value],"&lt;="&amp;$Z$3))+(SUMIFS(SIP[Amount],SIP[Investor ID],A83,SIP[B/S],"B",SIP[Date Value],"&gt;="&amp;$Z$2,SIP[Date Value],"&lt;="&amp;$Z$3))</f>
        <v>1475000</v>
      </c>
      <c r="L83" s="47">
        <f>(-SUMIFS(LS[Unit],LS[Investor ID],A83,LS[B/S],"S",LS[Date Value],"&gt;="&amp;$Z$2,LS[Date Value],"&lt;="&amp;$Z$3))+(-SUMIFS(SIP[Unit],SIP[Investor ID],A83,SIP[B/S],"S",SIP[Date Value],"&gt;="&amp;$Z$2,SIP[Date Value],"&lt;="&amp;$Z$3))</f>
        <v>27295</v>
      </c>
      <c r="M83" s="49">
        <f>(SUMIFS(LS[Cost of Units Sold],LS[Investor ID],A83,LS[B/S],"S",LS[Date Value],"&gt;="&amp;$Z$2,LS[Date Value],"&lt;="&amp;$Z$3))+(SUMIFS(SIP[Cost of Units Sold],SIP[Investor ID],A83,SIP[B/S],"S",SIP[Date Value],"&gt;="&amp;$Z$2,SIP[Date Value],"&lt;="&amp;$Z$3))</f>
        <v>285534.82648813113</v>
      </c>
      <c r="N83" s="49">
        <f t="shared" si="9"/>
        <v>1189465.1735118688</v>
      </c>
      <c r="O83" s="49">
        <f>(SUMIFS(LS[Realized Gain],LS[Investor ID],A83,LS[Date Value],"&gt;="&amp;$Z$2,LS[Date Value],"&lt;="&amp;$Z$3))+(SUMIFS(SIP[Realized Gain],SIP[Investor ID],A83,SIP[Date Value],"&gt;="&amp;$Z$2,SIP[Date Value],"&lt;="&amp;$Z$3))</f>
        <v>14465.173511868858</v>
      </c>
      <c r="P83" s="49">
        <v>0</v>
      </c>
      <c r="Q83" s="49">
        <v>0</v>
      </c>
      <c r="R83" s="49">
        <v>0</v>
      </c>
    </row>
    <row r="84" spans="1:18">
      <c r="A84" t="s">
        <v>216</v>
      </c>
      <c r="B84" s="47">
        <f>SUMIFS(LS[Unit],LS[Investor ID],'TAX CERTIFICATE'!A84,LS[Date Value],"&lt;"&amp;$Z$2)+SUMIFS(SIP[Unit],SIP[Investor ID],'TAX CERTIFICATE'!A84,SIP[Date Value],"&lt;"&amp;$Z$2)</f>
        <v>0</v>
      </c>
      <c r="C84" s="48">
        <f>(SUMIFS(LS[Amount],LS[B/S],"B",LS[Investor ID],A84,LS[Date Value],"&lt;"&amp;$Z$2)-SUMIFS(LS[Cost of Units Sold],LS[B/S],"S",LS[Investor ID],A84,LS[Date Value],"&lt;"&amp;$Z$2))+(SUMIFS(SIP[Amount],SIP[B/S],"B",SIP[Investor ID],#REF!,SIP[Date Value],"&lt;"&amp;$Z$2)-SUMIFS(SIP[Cost of Units Sold],SIP[B/S],"S",SIP[Investor ID],A84,SIP[Date Value],"&lt;"&amp;$Z$2))</f>
        <v>0</v>
      </c>
      <c r="D84" s="49">
        <f t="shared" si="5"/>
        <v>0</v>
      </c>
      <c r="E84" s="49">
        <f t="shared" si="6"/>
        <v>0</v>
      </c>
      <c r="F84" s="47">
        <f>SUMIFS(LS[Unit],LS[Investor ID],A84,LS[Date Value],"&lt;="&amp;$Z$3)+SUMIFS(SIP[Unit],SIP[Investor ID],A84,SIP[Date Value],"&lt;="&amp;$Z$3)</f>
        <v>93888</v>
      </c>
      <c r="G84" s="49">
        <f>(SUMIFS(LS[Amount],LS[B/S],"B",LS[Investor ID],A84,LS[Date Value],"&lt;="&amp;$Z$3)-SUMIFS(LS[Cost of Units Sold],LS[B/S],"S",LS[Investor ID],A84,LS[Date Value],"&lt;="&amp;$Z$3))+(SUMIFS(SIP[Amount],SIP[B/S],"B",SIP[Investor ID],A84,SIP[Date Value],"&lt;="&amp;$Z$3)-SUMIFS(SIP[Cost of Units Sold],SIP[B/S],"S",SIP[Investor ID],A84,SIP[Date Value],"&lt;="&amp;$Z$3))</f>
        <v>1000000</v>
      </c>
      <c r="H84" s="49">
        <f t="shared" si="7"/>
        <v>1048165.632</v>
      </c>
      <c r="I84" s="49">
        <f t="shared" si="8"/>
        <v>48165.631999999983</v>
      </c>
      <c r="J84" s="47">
        <f>(SUMIFS(LS[Unit],LS[Investor ID],A84,LS[B/S],"B",LS[Date Value],"&gt;="&amp;$Z$2,LS[Date Value],"&lt;="&amp;$Z$3))+(SUMIFS(SIP[Unit],SIP[Investor ID],A84,SIP[B/S],"B",SIP[Date Value],"&gt;="&amp;$Z$2,SIP[Date Value],"&lt;="&amp;$Z$3))</f>
        <v>93888</v>
      </c>
      <c r="K84" s="49">
        <f>(SUMIFS(LS[Amount],LS[Investor ID],A84,LS[B/S],"B",LS[Date Value],"&gt;="&amp;$Z$2,LS[Date Value],"&lt;="&amp;$Z$3))+(SUMIFS(SIP[Amount],SIP[Investor ID],A84,SIP[B/S],"B",SIP[Date Value],"&gt;="&amp;$Z$2,SIP[Date Value],"&lt;="&amp;$Z$3))</f>
        <v>1000000</v>
      </c>
      <c r="L84" s="47">
        <f>(-SUMIFS(LS[Unit],LS[Investor ID],A84,LS[B/S],"S",LS[Date Value],"&gt;="&amp;$Z$2,LS[Date Value],"&lt;="&amp;$Z$3))+(-SUMIFS(SIP[Unit],SIP[Investor ID],A84,SIP[B/S],"S",SIP[Date Value],"&gt;="&amp;$Z$2,SIP[Date Value],"&lt;="&amp;$Z$3))</f>
        <v>0</v>
      </c>
      <c r="M84" s="49">
        <f>(SUMIFS(LS[Cost of Units Sold],LS[Investor ID],A84,LS[B/S],"S",LS[Date Value],"&gt;="&amp;$Z$2,LS[Date Value],"&lt;="&amp;$Z$3))+(SUMIFS(SIP[Cost of Units Sold],SIP[Investor ID],A84,SIP[B/S],"S",SIP[Date Value],"&gt;="&amp;$Z$2,SIP[Date Value],"&lt;="&amp;$Z$3))</f>
        <v>0</v>
      </c>
      <c r="N84" s="49">
        <f t="shared" si="9"/>
        <v>1000000</v>
      </c>
      <c r="O84" s="49">
        <f>(SUMIFS(LS[Realized Gain],LS[Investor ID],A84,LS[Date Value],"&gt;="&amp;$Z$2,LS[Date Value],"&lt;="&amp;$Z$3))+(SUMIFS(SIP[Realized Gain],SIP[Investor ID],A84,SIP[Date Value],"&gt;="&amp;$Z$2,SIP[Date Value],"&lt;="&amp;$Z$3))</f>
        <v>0</v>
      </c>
      <c r="P84" s="49">
        <v>0</v>
      </c>
      <c r="Q84" s="49">
        <v>0</v>
      </c>
      <c r="R84" s="49">
        <v>0</v>
      </c>
    </row>
    <row r="85" spans="1:18">
      <c r="A85" t="s">
        <v>218</v>
      </c>
      <c r="B85" s="47">
        <f>SUMIFS(LS[Unit],LS[Investor ID],'TAX CERTIFICATE'!A85,LS[Date Value],"&lt;"&amp;$Z$2)+SUMIFS(SIP[Unit],SIP[Investor ID],'TAX CERTIFICATE'!A85,SIP[Date Value],"&lt;"&amp;$Z$2)</f>
        <v>0</v>
      </c>
      <c r="C85" s="48">
        <f>(SUMIFS(LS[Amount],LS[B/S],"B",LS[Investor ID],A85,LS[Date Value],"&lt;"&amp;$Z$2)-SUMIFS(LS[Cost of Units Sold],LS[B/S],"S",LS[Investor ID],A85,LS[Date Value],"&lt;"&amp;$Z$2))+(SUMIFS(SIP[Amount],SIP[B/S],"B",SIP[Investor ID],#REF!,SIP[Date Value],"&lt;"&amp;$Z$2)-SUMIFS(SIP[Cost of Units Sold],SIP[B/S],"S",SIP[Investor ID],A85,SIP[Date Value],"&lt;"&amp;$Z$2))</f>
        <v>0</v>
      </c>
      <c r="D85" s="49">
        <f t="shared" si="5"/>
        <v>0</v>
      </c>
      <c r="E85" s="49">
        <f t="shared" si="6"/>
        <v>0</v>
      </c>
      <c r="F85" s="47">
        <f>SUMIFS(LS[Unit],LS[Investor ID],A85,LS[Date Value],"&lt;="&amp;$Z$3)+SUMIFS(SIP[Unit],SIP[Investor ID],A85,SIP[Date Value],"&lt;="&amp;$Z$3)</f>
        <v>0</v>
      </c>
      <c r="G85" s="49">
        <f>(SUMIFS(LS[Amount],LS[B/S],"B",LS[Investor ID],A85,LS[Date Value],"&lt;="&amp;$Z$3)-SUMIFS(LS[Cost of Units Sold],LS[B/S],"S",LS[Investor ID],A85,LS[Date Value],"&lt;="&amp;$Z$3))+(SUMIFS(SIP[Amount],SIP[B/S],"B",SIP[Investor ID],A85,SIP[Date Value],"&lt;="&amp;$Z$3)-SUMIFS(SIP[Cost of Units Sold],SIP[B/S],"S",SIP[Investor ID],A85,SIP[Date Value],"&lt;="&amp;$Z$3))</f>
        <v>0</v>
      </c>
      <c r="H85" s="49">
        <f t="shared" si="7"/>
        <v>0</v>
      </c>
      <c r="I85" s="49">
        <f t="shared" si="8"/>
        <v>0</v>
      </c>
      <c r="J85" s="47">
        <f>(SUMIFS(LS[Unit],LS[Investor ID],A85,LS[B/S],"B",LS[Date Value],"&gt;="&amp;$Z$2,LS[Date Value],"&lt;="&amp;$Z$3))+(SUMIFS(SIP[Unit],SIP[Investor ID],A85,SIP[B/S],"B",SIP[Date Value],"&gt;="&amp;$Z$2,SIP[Date Value],"&lt;="&amp;$Z$3))</f>
        <v>0</v>
      </c>
      <c r="K85" s="49">
        <f>(SUMIFS(LS[Amount],LS[Investor ID],A85,LS[B/S],"B",LS[Date Value],"&gt;="&amp;$Z$2,LS[Date Value],"&lt;="&amp;$Z$3))+(SUMIFS(SIP[Amount],SIP[Investor ID],A85,SIP[B/S],"B",SIP[Date Value],"&gt;="&amp;$Z$2,SIP[Date Value],"&lt;="&amp;$Z$3))</f>
        <v>0</v>
      </c>
      <c r="L85" s="47">
        <f>(-SUMIFS(LS[Unit],LS[Investor ID],A85,LS[B/S],"S",LS[Date Value],"&gt;="&amp;$Z$2,LS[Date Value],"&lt;="&amp;$Z$3))+(-SUMIFS(SIP[Unit],SIP[Investor ID],A85,SIP[B/S],"S",SIP[Date Value],"&gt;="&amp;$Z$2,SIP[Date Value],"&lt;="&amp;$Z$3))</f>
        <v>0</v>
      </c>
      <c r="M85" s="49">
        <f>(SUMIFS(LS[Cost of Units Sold],LS[Investor ID],A85,LS[B/S],"S",LS[Date Value],"&gt;="&amp;$Z$2,LS[Date Value],"&lt;="&amp;$Z$3))+(SUMIFS(SIP[Cost of Units Sold],SIP[Investor ID],A85,SIP[B/S],"S",SIP[Date Value],"&gt;="&amp;$Z$2,SIP[Date Value],"&lt;="&amp;$Z$3))</f>
        <v>0</v>
      </c>
      <c r="N85" s="49">
        <f t="shared" si="9"/>
        <v>0</v>
      </c>
      <c r="O85" s="49">
        <f>(SUMIFS(LS[Realized Gain],LS[Investor ID],A85,LS[Date Value],"&gt;="&amp;$Z$2,LS[Date Value],"&lt;="&amp;$Z$3))+(SUMIFS(SIP[Realized Gain],SIP[Investor ID],A85,SIP[Date Value],"&gt;="&amp;$Z$2,SIP[Date Value],"&lt;="&amp;$Z$3))</f>
        <v>0</v>
      </c>
      <c r="P85" s="49">
        <v>0</v>
      </c>
      <c r="Q85" s="49">
        <v>0</v>
      </c>
      <c r="R85" s="49">
        <v>0</v>
      </c>
    </row>
    <row r="86" spans="1:18">
      <c r="A86" t="s">
        <v>220</v>
      </c>
      <c r="B86" s="47">
        <f>SUMIFS(LS[Unit],LS[Investor ID],'TAX CERTIFICATE'!A86,LS[Date Value],"&lt;"&amp;$Z$2)+SUMIFS(SIP[Unit],SIP[Investor ID],'TAX CERTIFICATE'!A86,SIP[Date Value],"&lt;"&amp;$Z$2)</f>
        <v>0</v>
      </c>
      <c r="C86" s="48">
        <f>(SUMIFS(LS[Amount],LS[B/S],"B",LS[Investor ID],A86,LS[Date Value],"&lt;"&amp;$Z$2)-SUMIFS(LS[Cost of Units Sold],LS[B/S],"S",LS[Investor ID],A86,LS[Date Value],"&lt;"&amp;$Z$2))+(SUMIFS(SIP[Amount],SIP[B/S],"B",SIP[Investor ID],#REF!,SIP[Date Value],"&lt;"&amp;$Z$2)-SUMIFS(SIP[Cost of Units Sold],SIP[B/S],"S",SIP[Investor ID],A86,SIP[Date Value],"&lt;"&amp;$Z$2))</f>
        <v>0</v>
      </c>
      <c r="D86" s="49">
        <f t="shared" si="5"/>
        <v>0</v>
      </c>
      <c r="E86" s="49">
        <f t="shared" si="6"/>
        <v>0</v>
      </c>
      <c r="F86" s="47">
        <f>SUMIFS(LS[Unit],LS[Investor ID],A86,LS[Date Value],"&lt;="&amp;$Z$3)+SUMIFS(SIP[Unit],SIP[Investor ID],A86,SIP[Date Value],"&lt;="&amp;$Z$3)</f>
        <v>0</v>
      </c>
      <c r="G86" s="49">
        <f>(SUMIFS(LS[Amount],LS[B/S],"B",LS[Investor ID],A86,LS[Date Value],"&lt;="&amp;$Z$3)-SUMIFS(LS[Cost of Units Sold],LS[B/S],"S",LS[Investor ID],A86,LS[Date Value],"&lt;="&amp;$Z$3))+(SUMIFS(SIP[Amount],SIP[B/S],"B",SIP[Investor ID],A86,SIP[Date Value],"&lt;="&amp;$Z$3)-SUMIFS(SIP[Cost of Units Sold],SIP[B/S],"S",SIP[Investor ID],A86,SIP[Date Value],"&lt;="&amp;$Z$3))</f>
        <v>0</v>
      </c>
      <c r="H86" s="49">
        <f t="shared" si="7"/>
        <v>0</v>
      </c>
      <c r="I86" s="49">
        <f t="shared" si="8"/>
        <v>0</v>
      </c>
      <c r="J86" s="47">
        <f>(SUMIFS(LS[Unit],LS[Investor ID],A86,LS[B/S],"B",LS[Date Value],"&gt;="&amp;$Z$2,LS[Date Value],"&lt;="&amp;$Z$3))+(SUMIFS(SIP[Unit],SIP[Investor ID],A86,SIP[B/S],"B",SIP[Date Value],"&gt;="&amp;$Z$2,SIP[Date Value],"&lt;="&amp;$Z$3))</f>
        <v>0</v>
      </c>
      <c r="K86" s="49">
        <f>(SUMIFS(LS[Amount],LS[Investor ID],A86,LS[B/S],"B",LS[Date Value],"&gt;="&amp;$Z$2,LS[Date Value],"&lt;="&amp;$Z$3))+(SUMIFS(SIP[Amount],SIP[Investor ID],A86,SIP[B/S],"B",SIP[Date Value],"&gt;="&amp;$Z$2,SIP[Date Value],"&lt;="&amp;$Z$3))</f>
        <v>0</v>
      </c>
      <c r="L86" s="47">
        <f>(-SUMIFS(LS[Unit],LS[Investor ID],A86,LS[B/S],"S",LS[Date Value],"&gt;="&amp;$Z$2,LS[Date Value],"&lt;="&amp;$Z$3))+(-SUMIFS(SIP[Unit],SIP[Investor ID],A86,SIP[B/S],"S",SIP[Date Value],"&gt;="&amp;$Z$2,SIP[Date Value],"&lt;="&amp;$Z$3))</f>
        <v>0</v>
      </c>
      <c r="M86" s="49">
        <f>(SUMIFS(LS[Cost of Units Sold],LS[Investor ID],A86,LS[B/S],"S",LS[Date Value],"&gt;="&amp;$Z$2,LS[Date Value],"&lt;="&amp;$Z$3))+(SUMIFS(SIP[Cost of Units Sold],SIP[Investor ID],A86,SIP[B/S],"S",SIP[Date Value],"&gt;="&amp;$Z$2,SIP[Date Value],"&lt;="&amp;$Z$3))</f>
        <v>0</v>
      </c>
      <c r="N86" s="49">
        <f t="shared" si="9"/>
        <v>0</v>
      </c>
      <c r="O86" s="49">
        <f>(SUMIFS(LS[Realized Gain],LS[Investor ID],A86,LS[Date Value],"&gt;="&amp;$Z$2,LS[Date Value],"&lt;="&amp;$Z$3))+(SUMIFS(SIP[Realized Gain],SIP[Investor ID],A86,SIP[Date Value],"&gt;="&amp;$Z$2,SIP[Date Value],"&lt;="&amp;$Z$3))</f>
        <v>0</v>
      </c>
      <c r="P86" s="49">
        <v>0</v>
      </c>
      <c r="Q86" s="49">
        <v>0</v>
      </c>
      <c r="R86" s="49">
        <v>0</v>
      </c>
    </row>
    <row r="87" spans="1:18">
      <c r="A87" t="s">
        <v>222</v>
      </c>
      <c r="B87" s="47">
        <f>SUMIFS(LS[Unit],LS[Investor ID],'TAX CERTIFICATE'!A87,LS[Date Value],"&lt;"&amp;$Z$2)+SUMIFS(SIP[Unit],SIP[Investor ID],'TAX CERTIFICATE'!A87,SIP[Date Value],"&lt;"&amp;$Z$2)</f>
        <v>1955</v>
      </c>
      <c r="C87" s="48">
        <f>(SUMIFS(LS[Amount],LS[B/S],"B",LS[Investor ID],A87,LS[Date Value],"&lt;"&amp;$Z$2)-SUMIFS(LS[Cost of Units Sold],LS[B/S],"S",LS[Investor ID],A87,LS[Date Value],"&lt;"&amp;$Z$2))+(SUMIFS(SIP[Amount],SIP[B/S],"B",SIP[Investor ID],#REF!,SIP[Date Value],"&lt;"&amp;$Z$2)-SUMIFS(SIP[Cost of Units Sold],SIP[B/S],"S",SIP[Investor ID],A87,SIP[Date Value],"&lt;"&amp;$Z$2))</f>
        <v>0</v>
      </c>
      <c r="D87" s="49">
        <f t="shared" si="5"/>
        <v>20079.805</v>
      </c>
      <c r="E87" s="49">
        <f t="shared" si="6"/>
        <v>20079.805</v>
      </c>
      <c r="F87" s="47">
        <f>SUMIFS(LS[Unit],LS[Investor ID],A87,LS[Date Value],"&lt;="&amp;$Z$3)+SUMIFS(SIP[Unit],SIP[Investor ID],A87,SIP[Date Value],"&lt;="&amp;$Z$3)</f>
        <v>13151</v>
      </c>
      <c r="G87" s="49">
        <f>(SUMIFS(LS[Amount],LS[B/S],"B",LS[Investor ID],A87,LS[Date Value],"&lt;="&amp;$Z$3)-SUMIFS(LS[Cost of Units Sold],LS[B/S],"S",LS[Investor ID],A87,LS[Date Value],"&lt;="&amp;$Z$3))+(SUMIFS(SIP[Amount],SIP[B/S],"B",SIP[Investor ID],A87,SIP[Date Value],"&lt;="&amp;$Z$3)-SUMIFS(SIP[Cost of Units Sold],SIP[B/S],"S",SIP[Investor ID],A87,SIP[Date Value],"&lt;="&amp;$Z$3))</f>
        <v>140000</v>
      </c>
      <c r="H87" s="49">
        <f t="shared" si="7"/>
        <v>146817.764</v>
      </c>
      <c r="I87" s="49">
        <f t="shared" si="8"/>
        <v>6817.7639999999956</v>
      </c>
      <c r="J87" s="47">
        <f>(SUMIFS(LS[Unit],LS[Investor ID],A87,LS[B/S],"B",LS[Date Value],"&gt;="&amp;$Z$2,LS[Date Value],"&lt;="&amp;$Z$3))+(SUMIFS(SIP[Unit],SIP[Investor ID],A87,SIP[B/S],"B",SIP[Date Value],"&gt;="&amp;$Z$2,SIP[Date Value],"&lt;="&amp;$Z$3))</f>
        <v>11196</v>
      </c>
      <c r="K87" s="49">
        <f>(SUMIFS(LS[Amount],LS[Investor ID],A87,LS[B/S],"B",LS[Date Value],"&gt;="&amp;$Z$2,LS[Date Value],"&lt;="&amp;$Z$3))+(SUMIFS(SIP[Amount],SIP[Investor ID],A87,SIP[B/S],"B",SIP[Date Value],"&gt;="&amp;$Z$2,SIP[Date Value],"&lt;="&amp;$Z$3))</f>
        <v>120000</v>
      </c>
      <c r="L87" s="47">
        <f>(-SUMIFS(LS[Unit],LS[Investor ID],A87,LS[B/S],"S",LS[Date Value],"&gt;="&amp;$Z$2,LS[Date Value],"&lt;="&amp;$Z$3))+(-SUMIFS(SIP[Unit],SIP[Investor ID],A87,SIP[B/S],"S",SIP[Date Value],"&gt;="&amp;$Z$2,SIP[Date Value],"&lt;="&amp;$Z$3))</f>
        <v>0</v>
      </c>
      <c r="M87" s="49">
        <f>(SUMIFS(LS[Cost of Units Sold],LS[Investor ID],A87,LS[B/S],"S",LS[Date Value],"&gt;="&amp;$Z$2,LS[Date Value],"&lt;="&amp;$Z$3))+(SUMIFS(SIP[Cost of Units Sold],SIP[Investor ID],A87,SIP[B/S],"S",SIP[Date Value],"&gt;="&amp;$Z$2,SIP[Date Value],"&lt;="&amp;$Z$3))</f>
        <v>0</v>
      </c>
      <c r="N87" s="49">
        <f t="shared" si="9"/>
        <v>120000</v>
      </c>
      <c r="O87" s="49">
        <f>(SUMIFS(LS[Realized Gain],LS[Investor ID],A87,LS[Date Value],"&gt;="&amp;$Z$2,LS[Date Value],"&lt;="&amp;$Z$3))+(SUMIFS(SIP[Realized Gain],SIP[Investor ID],A87,SIP[Date Value],"&gt;="&amp;$Z$2,SIP[Date Value],"&lt;="&amp;$Z$3))</f>
        <v>0</v>
      </c>
      <c r="P87" s="49">
        <v>0</v>
      </c>
      <c r="Q87" s="49">
        <v>0</v>
      </c>
      <c r="R87" s="49">
        <v>0</v>
      </c>
    </row>
    <row r="88" spans="1:18">
      <c r="A88" t="s">
        <v>224</v>
      </c>
      <c r="B88" s="47">
        <f>SUMIFS(LS[Unit],LS[Investor ID],'TAX CERTIFICATE'!A88,LS[Date Value],"&lt;"&amp;$Z$2)+SUMIFS(SIP[Unit],SIP[Investor ID],'TAX CERTIFICATE'!A88,SIP[Date Value],"&lt;"&amp;$Z$2)</f>
        <v>333294</v>
      </c>
      <c r="C88" s="48">
        <f>(SUMIFS(LS[Amount],LS[B/S],"B",LS[Investor ID],A88,LS[Date Value],"&lt;"&amp;$Z$2)-SUMIFS(LS[Cost of Units Sold],LS[B/S],"S",LS[Investor ID],A88,LS[Date Value],"&lt;"&amp;$Z$2))+(SUMIFS(SIP[Amount],SIP[B/S],"B",SIP[Investor ID],#REF!,SIP[Date Value],"&lt;"&amp;$Z$2)-SUMIFS(SIP[Cost of Units Sold],SIP[B/S],"S",SIP[Investor ID],A88,SIP[Date Value],"&lt;"&amp;$Z$2))</f>
        <v>3400000</v>
      </c>
      <c r="D88" s="49">
        <f t="shared" si="5"/>
        <v>3423262.6740000001</v>
      </c>
      <c r="E88" s="49">
        <f t="shared" si="6"/>
        <v>23262.674000000115</v>
      </c>
      <c r="F88" s="47">
        <f>SUMIFS(LS[Unit],LS[Investor ID],A88,LS[Date Value],"&lt;="&amp;$Z$3)+SUMIFS(SIP[Unit],SIP[Investor ID],A88,SIP[Date Value],"&lt;="&amp;$Z$3)</f>
        <v>586309</v>
      </c>
      <c r="G88" s="49">
        <f>(SUMIFS(LS[Amount],LS[B/S],"B",LS[Investor ID],A88,LS[Date Value],"&lt;="&amp;$Z$3)-SUMIFS(LS[Cost of Units Sold],LS[B/S],"S",LS[Investor ID],A88,LS[Date Value],"&lt;="&amp;$Z$3))+(SUMIFS(SIP[Amount],SIP[B/S],"B",SIP[Investor ID],A88,SIP[Date Value],"&lt;="&amp;$Z$3)-SUMIFS(SIP[Cost of Units Sold],SIP[B/S],"S",SIP[Investor ID],A88,SIP[Date Value],"&lt;="&amp;$Z$3))</f>
        <v>6070000</v>
      </c>
      <c r="H88" s="49">
        <f t="shared" si="7"/>
        <v>6545553.676</v>
      </c>
      <c r="I88" s="49">
        <f t="shared" si="8"/>
        <v>475553.67599999998</v>
      </c>
      <c r="J88" s="47">
        <f>(SUMIFS(LS[Unit],LS[Investor ID],A88,LS[B/S],"B",LS[Date Value],"&gt;="&amp;$Z$2,LS[Date Value],"&lt;="&amp;$Z$3))+(SUMIFS(SIP[Unit],SIP[Investor ID],A88,SIP[B/S],"B",SIP[Date Value],"&gt;="&amp;$Z$2,SIP[Date Value],"&lt;="&amp;$Z$3))</f>
        <v>253015</v>
      </c>
      <c r="K88" s="49">
        <f>(SUMIFS(LS[Amount],LS[Investor ID],A88,LS[B/S],"B",LS[Date Value],"&gt;="&amp;$Z$2,LS[Date Value],"&lt;="&amp;$Z$3))+(SUMIFS(SIP[Amount],SIP[Investor ID],A88,SIP[B/S],"B",SIP[Date Value],"&gt;="&amp;$Z$2,SIP[Date Value],"&lt;="&amp;$Z$3))</f>
        <v>2670000</v>
      </c>
      <c r="L88" s="47">
        <f>(-SUMIFS(LS[Unit],LS[Investor ID],A88,LS[B/S],"S",LS[Date Value],"&gt;="&amp;$Z$2,LS[Date Value],"&lt;="&amp;$Z$3))+(-SUMIFS(SIP[Unit],SIP[Investor ID],A88,SIP[B/S],"S",SIP[Date Value],"&gt;="&amp;$Z$2,SIP[Date Value],"&lt;="&amp;$Z$3))</f>
        <v>0</v>
      </c>
      <c r="M88" s="49">
        <f>(SUMIFS(LS[Cost of Units Sold],LS[Investor ID],A88,LS[B/S],"S",LS[Date Value],"&gt;="&amp;$Z$2,LS[Date Value],"&lt;="&amp;$Z$3))+(SUMIFS(SIP[Cost of Units Sold],SIP[Investor ID],A88,SIP[B/S],"S",SIP[Date Value],"&gt;="&amp;$Z$2,SIP[Date Value],"&lt;="&amp;$Z$3))</f>
        <v>0</v>
      </c>
      <c r="N88" s="49">
        <f t="shared" si="9"/>
        <v>2670000</v>
      </c>
      <c r="O88" s="49">
        <f>(SUMIFS(LS[Realized Gain],LS[Investor ID],A88,LS[Date Value],"&gt;="&amp;$Z$2,LS[Date Value],"&lt;="&amp;$Z$3))+(SUMIFS(SIP[Realized Gain],SIP[Investor ID],A88,SIP[Date Value],"&gt;="&amp;$Z$2,SIP[Date Value],"&lt;="&amp;$Z$3))</f>
        <v>0</v>
      </c>
      <c r="P88" s="49">
        <v>0</v>
      </c>
      <c r="Q88" s="49">
        <v>0</v>
      </c>
      <c r="R88" s="49">
        <v>0</v>
      </c>
    </row>
    <row r="89" spans="1:18">
      <c r="A89" t="s">
        <v>226</v>
      </c>
      <c r="B89" s="47">
        <f>SUMIFS(LS[Unit],LS[Investor ID],'TAX CERTIFICATE'!A89,LS[Date Value],"&lt;"&amp;$Z$2)+SUMIFS(SIP[Unit],SIP[Investor ID],'TAX CERTIFICATE'!A89,SIP[Date Value],"&lt;"&amp;$Z$2)</f>
        <v>0</v>
      </c>
      <c r="C89" s="48">
        <f>(SUMIFS(LS[Amount],LS[B/S],"B",LS[Investor ID],A89,LS[Date Value],"&lt;"&amp;$Z$2)-SUMIFS(LS[Cost of Units Sold],LS[B/S],"S",LS[Investor ID],A89,LS[Date Value],"&lt;"&amp;$Z$2))+(SUMIFS(SIP[Amount],SIP[B/S],"B",SIP[Investor ID],#REF!,SIP[Date Value],"&lt;"&amp;$Z$2)-SUMIFS(SIP[Cost of Units Sold],SIP[B/S],"S",SIP[Investor ID],A89,SIP[Date Value],"&lt;"&amp;$Z$2))</f>
        <v>0</v>
      </c>
      <c r="D89" s="49">
        <f t="shared" si="5"/>
        <v>0</v>
      </c>
      <c r="E89" s="49">
        <f t="shared" si="6"/>
        <v>0</v>
      </c>
      <c r="F89" s="47">
        <f>SUMIFS(LS[Unit],LS[Investor ID],A89,LS[Date Value],"&lt;="&amp;$Z$3)+SUMIFS(SIP[Unit],SIP[Investor ID],A89,SIP[Date Value],"&lt;="&amp;$Z$3)</f>
        <v>0</v>
      </c>
      <c r="G89" s="49">
        <f>(SUMIFS(LS[Amount],LS[B/S],"B",LS[Investor ID],A89,LS[Date Value],"&lt;="&amp;$Z$3)-SUMIFS(LS[Cost of Units Sold],LS[B/S],"S",LS[Investor ID],A89,LS[Date Value],"&lt;="&amp;$Z$3))+(SUMIFS(SIP[Amount],SIP[B/S],"B",SIP[Investor ID],A89,SIP[Date Value],"&lt;="&amp;$Z$3)-SUMIFS(SIP[Cost of Units Sold],SIP[B/S],"S",SIP[Investor ID],A89,SIP[Date Value],"&lt;="&amp;$Z$3))</f>
        <v>0</v>
      </c>
      <c r="H89" s="49">
        <f t="shared" si="7"/>
        <v>0</v>
      </c>
      <c r="I89" s="49">
        <f t="shared" si="8"/>
        <v>0</v>
      </c>
      <c r="J89" s="47">
        <f>(SUMIFS(LS[Unit],LS[Investor ID],A89,LS[B/S],"B",LS[Date Value],"&gt;="&amp;$Z$2,LS[Date Value],"&lt;="&amp;$Z$3))+(SUMIFS(SIP[Unit],SIP[Investor ID],A89,SIP[B/S],"B",SIP[Date Value],"&gt;="&amp;$Z$2,SIP[Date Value],"&lt;="&amp;$Z$3))</f>
        <v>0</v>
      </c>
      <c r="K89" s="49">
        <f>(SUMIFS(LS[Amount],LS[Investor ID],A89,LS[B/S],"B",LS[Date Value],"&gt;="&amp;$Z$2,LS[Date Value],"&lt;="&amp;$Z$3))+(SUMIFS(SIP[Amount],SIP[Investor ID],A89,SIP[B/S],"B",SIP[Date Value],"&gt;="&amp;$Z$2,SIP[Date Value],"&lt;="&amp;$Z$3))</f>
        <v>0</v>
      </c>
      <c r="L89" s="47">
        <f>(-SUMIFS(LS[Unit],LS[Investor ID],A89,LS[B/S],"S",LS[Date Value],"&gt;="&amp;$Z$2,LS[Date Value],"&lt;="&amp;$Z$3))+(-SUMIFS(SIP[Unit],SIP[Investor ID],A89,SIP[B/S],"S",SIP[Date Value],"&gt;="&amp;$Z$2,SIP[Date Value],"&lt;="&amp;$Z$3))</f>
        <v>0</v>
      </c>
      <c r="M89" s="49">
        <f>(SUMIFS(LS[Cost of Units Sold],LS[Investor ID],A89,LS[B/S],"S",LS[Date Value],"&gt;="&amp;$Z$2,LS[Date Value],"&lt;="&amp;$Z$3))+(SUMIFS(SIP[Cost of Units Sold],SIP[Investor ID],A89,SIP[B/S],"S",SIP[Date Value],"&gt;="&amp;$Z$2,SIP[Date Value],"&lt;="&amp;$Z$3))</f>
        <v>0</v>
      </c>
      <c r="N89" s="49">
        <f t="shared" si="9"/>
        <v>0</v>
      </c>
      <c r="O89" s="49">
        <f>(SUMIFS(LS[Realized Gain],LS[Investor ID],A89,LS[Date Value],"&gt;="&amp;$Z$2,LS[Date Value],"&lt;="&amp;$Z$3))+(SUMIFS(SIP[Realized Gain],SIP[Investor ID],A89,SIP[Date Value],"&gt;="&amp;$Z$2,SIP[Date Value],"&lt;="&amp;$Z$3))</f>
        <v>0</v>
      </c>
      <c r="P89" s="49">
        <v>0</v>
      </c>
      <c r="Q89" s="49">
        <v>0</v>
      </c>
      <c r="R89" s="49">
        <v>0</v>
      </c>
    </row>
    <row r="90" spans="1:18">
      <c r="A90" t="s">
        <v>228</v>
      </c>
      <c r="B90" s="47">
        <f>SUMIFS(LS[Unit],LS[Investor ID],'TAX CERTIFICATE'!A90,LS[Date Value],"&lt;"&amp;$Z$2)+SUMIFS(SIP[Unit],SIP[Investor ID],'TAX CERTIFICATE'!A90,SIP[Date Value],"&lt;"&amp;$Z$2)</f>
        <v>50000</v>
      </c>
      <c r="C90" s="48">
        <f>(SUMIFS(LS[Amount],LS[B/S],"B",LS[Investor ID],A90,LS[Date Value],"&lt;"&amp;$Z$2)-SUMIFS(LS[Cost of Units Sold],LS[B/S],"S",LS[Investor ID],A90,LS[Date Value],"&lt;"&amp;$Z$2))+(SUMIFS(SIP[Amount],SIP[B/S],"B",SIP[Investor ID],#REF!,SIP[Date Value],"&lt;"&amp;$Z$2)-SUMIFS(SIP[Cost of Units Sold],SIP[B/S],"S",SIP[Investor ID],A90,SIP[Date Value],"&lt;"&amp;$Z$2))</f>
        <v>500000</v>
      </c>
      <c r="D90" s="49">
        <f t="shared" si="5"/>
        <v>513550.00000000006</v>
      </c>
      <c r="E90" s="49">
        <f t="shared" si="6"/>
        <v>13550.000000000058</v>
      </c>
      <c r="F90" s="47">
        <f>SUMIFS(LS[Unit],LS[Investor ID],A90,LS[Date Value],"&lt;="&amp;$Z$3)+SUMIFS(SIP[Unit],SIP[Investor ID],A90,SIP[Date Value],"&lt;="&amp;$Z$3)</f>
        <v>3730</v>
      </c>
      <c r="G90" s="49">
        <f>(SUMIFS(LS[Amount],LS[B/S],"B",LS[Investor ID],A90,LS[Date Value],"&lt;="&amp;$Z$3)-SUMIFS(LS[Cost of Units Sold],LS[B/S],"S",LS[Investor ID],A90,LS[Date Value],"&lt;="&amp;$Z$3))+(SUMIFS(SIP[Amount],SIP[B/S],"B",SIP[Investor ID],A90,SIP[Date Value],"&lt;="&amp;$Z$3)-SUMIFS(SIP[Cost of Units Sold],SIP[B/S],"S",SIP[Investor ID],A90,SIP[Date Value],"&lt;="&amp;$Z$3))</f>
        <v>40876.981132075482</v>
      </c>
      <c r="H90" s="49">
        <f t="shared" si="7"/>
        <v>41641.72</v>
      </c>
      <c r="I90" s="49">
        <f t="shared" si="8"/>
        <v>764.73886792451958</v>
      </c>
      <c r="J90" s="47">
        <f>(SUMIFS(LS[Unit],LS[Investor ID],A90,LS[B/S],"B",LS[Date Value],"&gt;="&amp;$Z$2,LS[Date Value],"&lt;="&amp;$Z$3))+(SUMIFS(SIP[Unit],SIP[Investor ID],A90,SIP[B/S],"B",SIP[Date Value],"&gt;="&amp;$Z$2,SIP[Date Value],"&lt;="&amp;$Z$3))</f>
        <v>30462</v>
      </c>
      <c r="K90" s="49">
        <f>(SUMIFS(LS[Amount],LS[Investor ID],A90,LS[B/S],"B",LS[Date Value],"&gt;="&amp;$Z$2,LS[Date Value],"&lt;="&amp;$Z$3))+(SUMIFS(SIP[Amount],SIP[Investor ID],A90,SIP[B/S],"B",SIP[Date Value],"&gt;="&amp;$Z$2,SIP[Date Value],"&lt;="&amp;$Z$3))</f>
        <v>320000</v>
      </c>
      <c r="L90" s="47">
        <f>(-SUMIFS(LS[Unit],LS[Investor ID],A90,LS[B/S],"S",LS[Date Value],"&gt;="&amp;$Z$2,LS[Date Value],"&lt;="&amp;$Z$3))+(-SUMIFS(SIP[Unit],SIP[Investor ID],A90,SIP[B/S],"S",SIP[Date Value],"&gt;="&amp;$Z$2,SIP[Date Value],"&lt;="&amp;$Z$3))</f>
        <v>76732</v>
      </c>
      <c r="M90" s="49">
        <f>(SUMIFS(LS[Cost of Units Sold],LS[Investor ID],A90,LS[B/S],"S",LS[Date Value],"&gt;="&amp;$Z$2,LS[Date Value],"&lt;="&amp;$Z$3))+(SUMIFS(SIP[Cost of Units Sold],SIP[Investor ID],A90,SIP[B/S],"S",SIP[Date Value],"&gt;="&amp;$Z$2,SIP[Date Value],"&lt;="&amp;$Z$3))</f>
        <v>779123.01886792458</v>
      </c>
      <c r="N90" s="49">
        <f t="shared" si="9"/>
        <v>-459123.01886792458</v>
      </c>
      <c r="O90" s="49">
        <f>(SUMIFS(LS[Realized Gain],LS[Investor ID],A90,LS[Date Value],"&gt;="&amp;$Z$2,LS[Date Value],"&lt;="&amp;$Z$3))+(SUMIFS(SIP[Realized Gain],SIP[Investor ID],A90,SIP[Date Value],"&gt;="&amp;$Z$2,SIP[Date Value],"&lt;="&amp;$Z$3))</f>
        <v>23597.751132075522</v>
      </c>
      <c r="P90" s="49">
        <v>0</v>
      </c>
      <c r="Q90" s="49">
        <v>0</v>
      </c>
      <c r="R90" s="49">
        <v>0</v>
      </c>
    </row>
    <row r="91" spans="1:18">
      <c r="A91" t="s">
        <v>230</v>
      </c>
      <c r="B91" s="47">
        <f>SUMIFS(LS[Unit],LS[Investor ID],'TAX CERTIFICATE'!A91,LS[Date Value],"&lt;"&amp;$Z$2)+SUMIFS(SIP[Unit],SIP[Investor ID],'TAX CERTIFICATE'!A91,SIP[Date Value],"&lt;"&amp;$Z$2)</f>
        <v>18271</v>
      </c>
      <c r="C91" s="48">
        <f>(SUMIFS(LS[Amount],LS[B/S],"B",LS[Investor ID],A91,LS[Date Value],"&lt;"&amp;$Z$2)-SUMIFS(LS[Cost of Units Sold],LS[B/S],"S",LS[Investor ID],A91,LS[Date Value],"&lt;"&amp;$Z$2))+(SUMIFS(SIP[Amount],SIP[B/S],"B",SIP[Investor ID],#REF!,SIP[Date Value],"&lt;"&amp;$Z$2)-SUMIFS(SIP[Cost of Units Sold],SIP[B/S],"S",SIP[Investor ID],A91,SIP[Date Value],"&lt;"&amp;$Z$2))</f>
        <v>182710</v>
      </c>
      <c r="D91" s="49">
        <f t="shared" si="5"/>
        <v>187661.44100000002</v>
      </c>
      <c r="E91" s="49">
        <f t="shared" si="6"/>
        <v>4951.4410000000207</v>
      </c>
      <c r="F91" s="47">
        <f>SUMIFS(LS[Unit],LS[Investor ID],A91,LS[Date Value],"&lt;="&amp;$Z$3)+SUMIFS(SIP[Unit],SIP[Investor ID],A91,SIP[Date Value],"&lt;="&amp;$Z$3)</f>
        <v>5822</v>
      </c>
      <c r="G91" s="49">
        <f>(SUMIFS(LS[Amount],LS[B/S],"B",LS[Investor ID],A91,LS[Date Value],"&lt;="&amp;$Z$3)-SUMIFS(LS[Cost of Units Sold],LS[B/S],"S",LS[Investor ID],A91,LS[Date Value],"&lt;="&amp;$Z$3))+(SUMIFS(SIP[Amount],SIP[B/S],"B",SIP[Investor ID],A91,SIP[Date Value],"&lt;="&amp;$Z$3)-SUMIFS(SIP[Cost of Units Sold],SIP[B/S],"S",SIP[Investor ID],A91,SIP[Date Value],"&lt;="&amp;$Z$3))</f>
        <v>58616.48338278936</v>
      </c>
      <c r="H91" s="49">
        <f t="shared" si="7"/>
        <v>64996.807999999997</v>
      </c>
      <c r="I91" s="49">
        <f t="shared" si="8"/>
        <v>6380.3246172106374</v>
      </c>
      <c r="J91" s="47">
        <f>(SUMIFS(LS[Unit],LS[Investor ID],A91,LS[B/S],"B",LS[Date Value],"&gt;="&amp;$Z$2,LS[Date Value],"&lt;="&amp;$Z$3))+(SUMIFS(SIP[Unit],SIP[Investor ID],A91,SIP[B/S],"B",SIP[Date Value],"&gt;="&amp;$Z$2,SIP[Date Value],"&lt;="&amp;$Z$3))</f>
        <v>930</v>
      </c>
      <c r="K91" s="49">
        <f>(SUMIFS(LS[Amount],LS[Investor ID],A91,LS[B/S],"B",LS[Date Value],"&gt;="&amp;$Z$2,LS[Date Value],"&lt;="&amp;$Z$3))+(SUMIFS(SIP[Amount],SIP[Investor ID],A91,SIP[B/S],"B",SIP[Date Value],"&gt;="&amp;$Z$2,SIP[Date Value],"&lt;="&amp;$Z$3))</f>
        <v>10011.450000000001</v>
      </c>
      <c r="L91" s="47">
        <f>(-SUMIFS(LS[Unit],LS[Investor ID],A91,LS[B/S],"S",LS[Date Value],"&gt;="&amp;$Z$2,LS[Date Value],"&lt;="&amp;$Z$3))+(-SUMIFS(SIP[Unit],SIP[Investor ID],A91,SIP[B/S],"S",SIP[Date Value],"&gt;="&amp;$Z$2,SIP[Date Value],"&lt;="&amp;$Z$3))</f>
        <v>13379</v>
      </c>
      <c r="M91" s="49">
        <f>(SUMIFS(LS[Cost of Units Sold],LS[Investor ID],A91,LS[B/S],"S",LS[Date Value],"&gt;="&amp;$Z$2,LS[Date Value],"&lt;="&amp;$Z$3))+(SUMIFS(SIP[Cost of Units Sold],SIP[Investor ID],A91,SIP[B/S],"S",SIP[Date Value],"&gt;="&amp;$Z$2,SIP[Date Value],"&lt;="&amp;$Z$3))</f>
        <v>134104.96661721068</v>
      </c>
      <c r="N91" s="49">
        <f t="shared" si="9"/>
        <v>-124093.51661721068</v>
      </c>
      <c r="O91" s="49">
        <f>(SUMIFS(LS[Realized Gain],LS[Investor ID],A91,LS[Date Value],"&gt;="&amp;$Z$2,LS[Date Value],"&lt;="&amp;$Z$3))+(SUMIFS(SIP[Realized Gain],SIP[Investor ID],A91,SIP[Date Value],"&gt;="&amp;$Z$2,SIP[Date Value],"&lt;="&amp;$Z$3))</f>
        <v>7882.7033827893101</v>
      </c>
      <c r="P91" s="49">
        <v>0</v>
      </c>
      <c r="Q91" s="49">
        <v>0</v>
      </c>
      <c r="R91" s="49">
        <v>0</v>
      </c>
    </row>
    <row r="92" spans="1:18">
      <c r="A92" t="s">
        <v>232</v>
      </c>
      <c r="B92" s="47">
        <f>SUMIFS(LS[Unit],LS[Investor ID],'TAX CERTIFICATE'!A92,LS[Date Value],"&lt;"&amp;$Z$2)+SUMIFS(SIP[Unit],SIP[Investor ID],'TAX CERTIFICATE'!A92,SIP[Date Value],"&lt;"&amp;$Z$2)</f>
        <v>0</v>
      </c>
      <c r="C92" s="48">
        <f>(SUMIFS(LS[Amount],LS[B/S],"B",LS[Investor ID],A92,LS[Date Value],"&lt;"&amp;$Z$2)-SUMIFS(LS[Cost of Units Sold],LS[B/S],"S",LS[Investor ID],A92,LS[Date Value],"&lt;"&amp;$Z$2))+(SUMIFS(SIP[Amount],SIP[B/S],"B",SIP[Investor ID],#REF!,SIP[Date Value],"&lt;"&amp;$Z$2)-SUMIFS(SIP[Cost of Units Sold],SIP[B/S],"S",SIP[Investor ID],A92,SIP[Date Value],"&lt;"&amp;$Z$2))</f>
        <v>0</v>
      </c>
      <c r="D92" s="49">
        <f t="shared" si="5"/>
        <v>0</v>
      </c>
      <c r="E92" s="49">
        <f t="shared" si="6"/>
        <v>0</v>
      </c>
      <c r="F92" s="47">
        <f>SUMIFS(LS[Unit],LS[Investor ID],A92,LS[Date Value],"&lt;="&amp;$Z$3)+SUMIFS(SIP[Unit],SIP[Investor ID],A92,SIP[Date Value],"&lt;="&amp;$Z$3)</f>
        <v>1299</v>
      </c>
      <c r="G92" s="49">
        <f>(SUMIFS(LS[Amount],LS[B/S],"B",LS[Investor ID],A92,LS[Date Value],"&lt;="&amp;$Z$3)-SUMIFS(LS[Cost of Units Sold],LS[B/S],"S",LS[Investor ID],A92,LS[Date Value],"&lt;="&amp;$Z$3))+(SUMIFS(SIP[Amount],SIP[B/S],"B",SIP[Investor ID],A92,SIP[Date Value],"&lt;="&amp;$Z$3)-SUMIFS(SIP[Cost of Units Sold],SIP[B/S],"S",SIP[Investor ID],A92,SIP[Date Value],"&lt;="&amp;$Z$3))</f>
        <v>14000</v>
      </c>
      <c r="H92" s="49">
        <f t="shared" si="7"/>
        <v>14502.036</v>
      </c>
      <c r="I92" s="49">
        <f t="shared" si="8"/>
        <v>502.03600000000006</v>
      </c>
      <c r="J92" s="47">
        <f>(SUMIFS(LS[Unit],LS[Investor ID],A92,LS[B/S],"B",LS[Date Value],"&gt;="&amp;$Z$2,LS[Date Value],"&lt;="&amp;$Z$3))+(SUMIFS(SIP[Unit],SIP[Investor ID],A92,SIP[B/S],"B",SIP[Date Value],"&gt;="&amp;$Z$2,SIP[Date Value],"&lt;="&amp;$Z$3))</f>
        <v>1299</v>
      </c>
      <c r="K92" s="49">
        <f>(SUMIFS(LS[Amount],LS[Investor ID],A92,LS[B/S],"B",LS[Date Value],"&gt;="&amp;$Z$2,LS[Date Value],"&lt;="&amp;$Z$3))+(SUMIFS(SIP[Amount],SIP[Investor ID],A92,SIP[B/S],"B",SIP[Date Value],"&gt;="&amp;$Z$2,SIP[Date Value],"&lt;="&amp;$Z$3))</f>
        <v>14000</v>
      </c>
      <c r="L92" s="47">
        <f>(-SUMIFS(LS[Unit],LS[Investor ID],A92,LS[B/S],"S",LS[Date Value],"&gt;="&amp;$Z$2,LS[Date Value],"&lt;="&amp;$Z$3))+(-SUMIFS(SIP[Unit],SIP[Investor ID],A92,SIP[B/S],"S",SIP[Date Value],"&gt;="&amp;$Z$2,SIP[Date Value],"&lt;="&amp;$Z$3))</f>
        <v>0</v>
      </c>
      <c r="M92" s="49">
        <f>(SUMIFS(LS[Cost of Units Sold],LS[Investor ID],A92,LS[B/S],"S",LS[Date Value],"&gt;="&amp;$Z$2,LS[Date Value],"&lt;="&amp;$Z$3))+(SUMIFS(SIP[Cost of Units Sold],SIP[Investor ID],A92,SIP[B/S],"S",SIP[Date Value],"&gt;="&amp;$Z$2,SIP[Date Value],"&lt;="&amp;$Z$3))</f>
        <v>0</v>
      </c>
      <c r="N92" s="49">
        <f t="shared" si="9"/>
        <v>14000</v>
      </c>
      <c r="O92" s="49">
        <f>(SUMIFS(LS[Realized Gain],LS[Investor ID],A92,LS[Date Value],"&gt;="&amp;$Z$2,LS[Date Value],"&lt;="&amp;$Z$3))+(SUMIFS(SIP[Realized Gain],SIP[Investor ID],A92,SIP[Date Value],"&gt;="&amp;$Z$2,SIP[Date Value],"&lt;="&amp;$Z$3))</f>
        <v>0</v>
      </c>
      <c r="P92" s="49">
        <v>0</v>
      </c>
      <c r="Q92" s="49">
        <v>0</v>
      </c>
      <c r="R92" s="49">
        <v>0</v>
      </c>
    </row>
    <row r="93" spans="1:18">
      <c r="A93" t="s">
        <v>234</v>
      </c>
      <c r="B93" s="47">
        <f>SUMIFS(LS[Unit],LS[Investor ID],'TAX CERTIFICATE'!A93,LS[Date Value],"&lt;"&amp;$Z$2)+SUMIFS(SIP[Unit],SIP[Investor ID],'TAX CERTIFICATE'!A93,SIP[Date Value],"&lt;"&amp;$Z$2)</f>
        <v>117410</v>
      </c>
      <c r="C93" s="48">
        <f>(SUMIFS(LS[Amount],LS[B/S],"B",LS[Investor ID],A93,LS[Date Value],"&lt;"&amp;$Z$2)-SUMIFS(LS[Cost of Units Sold],LS[B/S],"S",LS[Investor ID],A93,LS[Date Value],"&lt;"&amp;$Z$2))+(SUMIFS(SIP[Amount],SIP[B/S],"B",SIP[Investor ID],#REF!,SIP[Date Value],"&lt;"&amp;$Z$2)-SUMIFS(SIP[Cost of Units Sold],SIP[B/S],"S",SIP[Investor ID],A93,SIP[Date Value],"&lt;"&amp;$Z$2))</f>
        <v>1200000</v>
      </c>
      <c r="D93" s="49">
        <f t="shared" si="5"/>
        <v>1205918.1100000001</v>
      </c>
      <c r="E93" s="49">
        <f t="shared" si="6"/>
        <v>5918.1100000001024</v>
      </c>
      <c r="F93" s="47">
        <f>SUMIFS(LS[Unit],LS[Investor ID],A93,LS[Date Value],"&lt;="&amp;$Z$3)+SUMIFS(SIP[Unit],SIP[Investor ID],A93,SIP[Date Value],"&lt;="&amp;$Z$3)</f>
        <v>521078</v>
      </c>
      <c r="G93" s="49">
        <f>(SUMIFS(LS[Amount],LS[B/S],"B",LS[Investor ID],A93,LS[Date Value],"&lt;="&amp;$Z$3)-SUMIFS(LS[Cost of Units Sold],LS[B/S],"S",LS[Investor ID],A93,LS[Date Value],"&lt;="&amp;$Z$3))+(SUMIFS(SIP[Amount],SIP[B/S],"B",SIP[Investor ID],A93,SIP[Date Value],"&lt;="&amp;$Z$3)-SUMIFS(SIP[Cost of Units Sold],SIP[B/S],"S",SIP[Investor ID],A93,SIP[Date Value],"&lt;="&amp;$Z$3))</f>
        <v>5499817.7327314541</v>
      </c>
      <c r="H93" s="49">
        <f t="shared" si="7"/>
        <v>5817314.7919999994</v>
      </c>
      <c r="I93" s="49">
        <f t="shared" si="8"/>
        <v>317497.05926854536</v>
      </c>
      <c r="J93" s="47">
        <f>(SUMIFS(LS[Unit],LS[Investor ID],A93,LS[B/S],"B",LS[Date Value],"&gt;="&amp;$Z$2,LS[Date Value],"&lt;="&amp;$Z$3))+(SUMIFS(SIP[Unit],SIP[Investor ID],A93,SIP[B/S],"B",SIP[Date Value],"&gt;="&amp;$Z$2,SIP[Date Value],"&lt;="&amp;$Z$3))</f>
        <v>472175</v>
      </c>
      <c r="K93" s="49">
        <f>(SUMIFS(LS[Amount],LS[Investor ID],A93,LS[B/S],"B",LS[Date Value],"&gt;="&amp;$Z$2,LS[Date Value],"&lt;="&amp;$Z$3))+(SUMIFS(SIP[Amount],SIP[Investor ID],A93,SIP[B/S],"B",SIP[Date Value],"&gt;="&amp;$Z$2,SIP[Date Value],"&lt;="&amp;$Z$3))</f>
        <v>5000000</v>
      </c>
      <c r="L93" s="47">
        <f>(-SUMIFS(LS[Unit],LS[Investor ID],A93,LS[B/S],"S",LS[Date Value],"&gt;="&amp;$Z$2,LS[Date Value],"&lt;="&amp;$Z$3))+(-SUMIFS(SIP[Unit],SIP[Investor ID],A93,SIP[B/S],"S",SIP[Date Value],"&gt;="&amp;$Z$2,SIP[Date Value],"&lt;="&amp;$Z$3))</f>
        <v>68507</v>
      </c>
      <c r="M93" s="49">
        <f>(SUMIFS(LS[Cost of Units Sold],LS[Investor ID],A93,LS[B/S],"S",LS[Date Value],"&gt;="&amp;$Z$2,LS[Date Value],"&lt;="&amp;$Z$3))+(SUMIFS(SIP[Cost of Units Sold],SIP[Investor ID],A93,SIP[B/S],"S",SIP[Date Value],"&gt;="&amp;$Z$2,SIP[Date Value],"&lt;="&amp;$Z$3))</f>
        <v>700182.26726854604</v>
      </c>
      <c r="N93" s="49">
        <f t="shared" si="9"/>
        <v>4299817.7327314541</v>
      </c>
      <c r="O93" s="49">
        <f>(SUMIFS(LS[Realized Gain],LS[Investor ID],A93,LS[Date Value],"&gt;="&amp;$Z$2,LS[Date Value],"&lt;="&amp;$Z$3))+(SUMIFS(SIP[Realized Gain],SIP[Investor ID],A93,SIP[Date Value],"&gt;="&amp;$Z$2,SIP[Date Value],"&lt;="&amp;$Z$3))</f>
        <v>-182.26726854606</v>
      </c>
      <c r="P93" s="49">
        <v>0</v>
      </c>
      <c r="Q93" s="49">
        <v>0</v>
      </c>
      <c r="R93" s="49">
        <v>0</v>
      </c>
    </row>
    <row r="94" spans="1:18">
      <c r="A94" t="s">
        <v>236</v>
      </c>
      <c r="B94" s="47">
        <f>SUMIFS(LS[Unit],LS[Investor ID],'TAX CERTIFICATE'!A94,LS[Date Value],"&lt;"&amp;$Z$2)+SUMIFS(SIP[Unit],SIP[Investor ID],'TAX CERTIFICATE'!A94,SIP[Date Value],"&lt;"&amp;$Z$2)</f>
        <v>0</v>
      </c>
      <c r="C94" s="48">
        <f>(SUMIFS(LS[Amount],LS[B/S],"B",LS[Investor ID],A94,LS[Date Value],"&lt;"&amp;$Z$2)-SUMIFS(LS[Cost of Units Sold],LS[B/S],"S",LS[Investor ID],A94,LS[Date Value],"&lt;"&amp;$Z$2))+(SUMIFS(SIP[Amount],SIP[B/S],"B",SIP[Investor ID],#REF!,SIP[Date Value],"&lt;"&amp;$Z$2)-SUMIFS(SIP[Cost of Units Sold],SIP[B/S],"S",SIP[Investor ID],A94,SIP[Date Value],"&lt;"&amp;$Z$2))</f>
        <v>0</v>
      </c>
      <c r="D94" s="49">
        <f t="shared" si="5"/>
        <v>0</v>
      </c>
      <c r="E94" s="49">
        <f t="shared" si="6"/>
        <v>0</v>
      </c>
      <c r="F94" s="47">
        <f>SUMIFS(LS[Unit],LS[Investor ID],A94,LS[Date Value],"&lt;="&amp;$Z$3)+SUMIFS(SIP[Unit],SIP[Investor ID],A94,SIP[Date Value],"&lt;="&amp;$Z$3)</f>
        <v>135696</v>
      </c>
      <c r="G94" s="49">
        <f>(SUMIFS(LS[Amount],LS[B/S],"B",LS[Investor ID],A94,LS[Date Value],"&lt;="&amp;$Z$3)-SUMIFS(LS[Cost of Units Sold],LS[B/S],"S",LS[Investor ID],A94,LS[Date Value],"&lt;="&amp;$Z$3))+(SUMIFS(SIP[Amount],SIP[B/S],"B",SIP[Investor ID],A94,SIP[Date Value],"&lt;="&amp;$Z$3)-SUMIFS(SIP[Cost of Units Sold],SIP[B/S],"S",SIP[Investor ID],A94,SIP[Date Value],"&lt;="&amp;$Z$3))</f>
        <v>1500000</v>
      </c>
      <c r="H94" s="49">
        <f t="shared" si="7"/>
        <v>1514910.1439999999</v>
      </c>
      <c r="I94" s="49">
        <f t="shared" si="8"/>
        <v>14910.143999999855</v>
      </c>
      <c r="J94" s="47">
        <f>(SUMIFS(LS[Unit],LS[Investor ID],A94,LS[B/S],"B",LS[Date Value],"&gt;="&amp;$Z$2,LS[Date Value],"&lt;="&amp;$Z$3))+(SUMIFS(SIP[Unit],SIP[Investor ID],A94,SIP[B/S],"B",SIP[Date Value],"&gt;="&amp;$Z$2,SIP[Date Value],"&lt;="&amp;$Z$3))</f>
        <v>135696</v>
      </c>
      <c r="K94" s="49">
        <f>(SUMIFS(LS[Amount],LS[Investor ID],A94,LS[B/S],"B",LS[Date Value],"&gt;="&amp;$Z$2,LS[Date Value],"&lt;="&amp;$Z$3))+(SUMIFS(SIP[Amount],SIP[Investor ID],A94,SIP[B/S],"B",SIP[Date Value],"&gt;="&amp;$Z$2,SIP[Date Value],"&lt;="&amp;$Z$3))</f>
        <v>1500000</v>
      </c>
      <c r="L94" s="47">
        <f>(-SUMIFS(LS[Unit],LS[Investor ID],A94,LS[B/S],"S",LS[Date Value],"&gt;="&amp;$Z$2,LS[Date Value],"&lt;="&amp;$Z$3))+(-SUMIFS(SIP[Unit],SIP[Investor ID],A94,SIP[B/S],"S",SIP[Date Value],"&gt;="&amp;$Z$2,SIP[Date Value],"&lt;="&amp;$Z$3))</f>
        <v>0</v>
      </c>
      <c r="M94" s="49">
        <f>(SUMIFS(LS[Cost of Units Sold],LS[Investor ID],A94,LS[B/S],"S",LS[Date Value],"&gt;="&amp;$Z$2,LS[Date Value],"&lt;="&amp;$Z$3))+(SUMIFS(SIP[Cost of Units Sold],SIP[Investor ID],A94,SIP[B/S],"S",SIP[Date Value],"&gt;="&amp;$Z$2,SIP[Date Value],"&lt;="&amp;$Z$3))</f>
        <v>0</v>
      </c>
      <c r="N94" s="49">
        <f t="shared" si="9"/>
        <v>1500000</v>
      </c>
      <c r="O94" s="49">
        <f>(SUMIFS(LS[Realized Gain],LS[Investor ID],A94,LS[Date Value],"&gt;="&amp;$Z$2,LS[Date Value],"&lt;="&amp;$Z$3))+(SUMIFS(SIP[Realized Gain],SIP[Investor ID],A94,SIP[Date Value],"&gt;="&amp;$Z$2,SIP[Date Value],"&lt;="&amp;$Z$3))</f>
        <v>0</v>
      </c>
      <c r="P94" s="49">
        <v>0</v>
      </c>
      <c r="Q94" s="49">
        <v>0</v>
      </c>
      <c r="R94" s="49">
        <v>0</v>
      </c>
    </row>
    <row r="95" spans="1:18">
      <c r="A95" t="s">
        <v>238</v>
      </c>
      <c r="B95" s="47">
        <f>SUMIFS(LS[Unit],LS[Investor ID],'TAX CERTIFICATE'!A95,LS[Date Value],"&lt;"&amp;$Z$2)+SUMIFS(SIP[Unit],SIP[Investor ID],'TAX CERTIFICATE'!A95,SIP[Date Value],"&lt;"&amp;$Z$2)</f>
        <v>9861</v>
      </c>
      <c r="C95" s="48">
        <f>(SUMIFS(LS[Amount],LS[B/S],"B",LS[Investor ID],A95,LS[Date Value],"&lt;"&amp;$Z$2)-SUMIFS(LS[Cost of Units Sold],LS[B/S],"S",LS[Investor ID],A95,LS[Date Value],"&lt;"&amp;$Z$2))+(SUMIFS(SIP[Amount],SIP[B/S],"B",SIP[Investor ID],#REF!,SIP[Date Value],"&lt;"&amp;$Z$2)-SUMIFS(SIP[Cost of Units Sold],SIP[B/S],"S",SIP[Investor ID],A95,SIP[Date Value],"&lt;"&amp;$Z$2))</f>
        <v>100000</v>
      </c>
      <c r="D95" s="49">
        <f t="shared" si="5"/>
        <v>101282.33100000001</v>
      </c>
      <c r="E95" s="49">
        <f t="shared" si="6"/>
        <v>1282.3310000000056</v>
      </c>
      <c r="F95" s="47">
        <f>SUMIFS(LS[Unit],LS[Investor ID],A95,LS[Date Value],"&lt;="&amp;$Z$3)+SUMIFS(SIP[Unit],SIP[Investor ID],A95,SIP[Date Value],"&lt;="&amp;$Z$3)</f>
        <v>16855</v>
      </c>
      <c r="G95" s="49">
        <f>(SUMIFS(LS[Amount],LS[B/S],"B",LS[Investor ID],A95,LS[Date Value],"&lt;="&amp;$Z$3)-SUMIFS(LS[Cost of Units Sold],LS[B/S],"S",LS[Investor ID],A95,LS[Date Value],"&lt;="&amp;$Z$3))+(SUMIFS(SIP[Amount],SIP[B/S],"B",SIP[Investor ID],A95,SIP[Date Value],"&lt;="&amp;$Z$3)-SUMIFS(SIP[Cost of Units Sold],SIP[B/S],"S",SIP[Investor ID],A95,SIP[Date Value],"&lt;="&amp;$Z$3))</f>
        <v>174000</v>
      </c>
      <c r="H95" s="49">
        <f t="shared" si="7"/>
        <v>188169.22</v>
      </c>
      <c r="I95" s="49">
        <f t="shared" si="8"/>
        <v>14169.220000000001</v>
      </c>
      <c r="J95" s="47">
        <f>(SUMIFS(LS[Unit],LS[Investor ID],A95,LS[B/S],"B",LS[Date Value],"&gt;="&amp;$Z$2,LS[Date Value],"&lt;="&amp;$Z$3))+(SUMIFS(SIP[Unit],SIP[Investor ID],A95,SIP[B/S],"B",SIP[Date Value],"&gt;="&amp;$Z$2,SIP[Date Value],"&lt;="&amp;$Z$3))</f>
        <v>6994</v>
      </c>
      <c r="K95" s="49">
        <f>(SUMIFS(LS[Amount],LS[Investor ID],A95,LS[B/S],"B",LS[Date Value],"&gt;="&amp;$Z$2,LS[Date Value],"&lt;="&amp;$Z$3))+(SUMIFS(SIP[Amount],SIP[Investor ID],A95,SIP[B/S],"B",SIP[Date Value],"&gt;="&amp;$Z$2,SIP[Date Value],"&lt;="&amp;$Z$3))</f>
        <v>74000</v>
      </c>
      <c r="L95" s="47">
        <f>(-SUMIFS(LS[Unit],LS[Investor ID],A95,LS[B/S],"S",LS[Date Value],"&gt;="&amp;$Z$2,LS[Date Value],"&lt;="&amp;$Z$3))+(-SUMIFS(SIP[Unit],SIP[Investor ID],A95,SIP[B/S],"S",SIP[Date Value],"&gt;="&amp;$Z$2,SIP[Date Value],"&lt;="&amp;$Z$3))</f>
        <v>0</v>
      </c>
      <c r="M95" s="49">
        <f>(SUMIFS(LS[Cost of Units Sold],LS[Investor ID],A95,LS[B/S],"S",LS[Date Value],"&gt;="&amp;$Z$2,LS[Date Value],"&lt;="&amp;$Z$3))+(SUMIFS(SIP[Cost of Units Sold],SIP[Investor ID],A95,SIP[B/S],"S",SIP[Date Value],"&gt;="&amp;$Z$2,SIP[Date Value],"&lt;="&amp;$Z$3))</f>
        <v>0</v>
      </c>
      <c r="N95" s="49">
        <f t="shared" si="9"/>
        <v>74000</v>
      </c>
      <c r="O95" s="49">
        <f>(SUMIFS(LS[Realized Gain],LS[Investor ID],A95,LS[Date Value],"&gt;="&amp;$Z$2,LS[Date Value],"&lt;="&amp;$Z$3))+(SUMIFS(SIP[Realized Gain],SIP[Investor ID],A95,SIP[Date Value],"&gt;="&amp;$Z$2,SIP[Date Value],"&lt;="&amp;$Z$3))</f>
        <v>0</v>
      </c>
      <c r="P95" s="49">
        <v>0</v>
      </c>
      <c r="Q95" s="49">
        <v>0</v>
      </c>
      <c r="R95" s="49">
        <v>0</v>
      </c>
    </row>
    <row r="96" spans="1:18">
      <c r="A96" t="s">
        <v>240</v>
      </c>
      <c r="B96" s="47">
        <f>SUMIFS(LS[Unit],LS[Investor ID],'TAX CERTIFICATE'!A96,LS[Date Value],"&lt;"&amp;$Z$2)+SUMIFS(SIP[Unit],SIP[Investor ID],'TAX CERTIFICATE'!A96,SIP[Date Value],"&lt;"&amp;$Z$2)</f>
        <v>0</v>
      </c>
      <c r="C96" s="48">
        <f>(SUMIFS(LS[Amount],LS[B/S],"B",LS[Investor ID],A96,LS[Date Value],"&lt;"&amp;$Z$2)-SUMIFS(LS[Cost of Units Sold],LS[B/S],"S",LS[Investor ID],A96,LS[Date Value],"&lt;"&amp;$Z$2))+(SUMIFS(SIP[Amount],SIP[B/S],"B",SIP[Investor ID],#REF!,SIP[Date Value],"&lt;"&amp;$Z$2)-SUMIFS(SIP[Cost of Units Sold],SIP[B/S],"S",SIP[Investor ID],A96,SIP[Date Value],"&lt;"&amp;$Z$2))</f>
        <v>0</v>
      </c>
      <c r="D96" s="49">
        <f t="shared" si="5"/>
        <v>0</v>
      </c>
      <c r="E96" s="49">
        <f t="shared" si="6"/>
        <v>0</v>
      </c>
      <c r="F96" s="47">
        <f>SUMIFS(LS[Unit],LS[Investor ID],A96,LS[Date Value],"&lt;="&amp;$Z$3)+SUMIFS(SIP[Unit],SIP[Investor ID],A96,SIP[Date Value],"&lt;="&amp;$Z$3)</f>
        <v>180</v>
      </c>
      <c r="G96" s="49">
        <f>(SUMIFS(LS[Amount],LS[B/S],"B",LS[Investor ID],A96,LS[Date Value],"&lt;="&amp;$Z$3)-SUMIFS(LS[Cost of Units Sold],LS[B/S],"S",LS[Investor ID],A96,LS[Date Value],"&lt;="&amp;$Z$3))+(SUMIFS(SIP[Amount],SIP[B/S],"B",SIP[Investor ID],A96,SIP[Date Value],"&lt;="&amp;$Z$3)-SUMIFS(SIP[Cost of Units Sold],SIP[B/S],"S",SIP[Investor ID],A96,SIP[Date Value],"&lt;="&amp;$Z$3))</f>
        <v>2000.0000000000036</v>
      </c>
      <c r="H96" s="49">
        <f t="shared" si="7"/>
        <v>2009.52</v>
      </c>
      <c r="I96" s="49">
        <f t="shared" si="8"/>
        <v>9.5199999999963438</v>
      </c>
      <c r="J96" s="47">
        <f>(SUMIFS(LS[Unit],LS[Investor ID],A96,LS[B/S],"B",LS[Date Value],"&gt;="&amp;$Z$2,LS[Date Value],"&lt;="&amp;$Z$3))+(SUMIFS(SIP[Unit],SIP[Investor ID],A96,SIP[B/S],"B",SIP[Date Value],"&gt;="&amp;$Z$2,SIP[Date Value],"&lt;="&amp;$Z$3))</f>
        <v>27493</v>
      </c>
      <c r="K96" s="49">
        <f>(SUMIFS(LS[Amount],LS[Investor ID],A96,LS[B/S],"B",LS[Date Value],"&gt;="&amp;$Z$2,LS[Date Value],"&lt;="&amp;$Z$3))+(SUMIFS(SIP[Amount],SIP[Investor ID],A96,SIP[B/S],"B",SIP[Date Value],"&gt;="&amp;$Z$2,SIP[Date Value],"&lt;="&amp;$Z$3))</f>
        <v>286000</v>
      </c>
      <c r="L96" s="47">
        <f>(-SUMIFS(LS[Unit],LS[Investor ID],A96,LS[B/S],"S",LS[Date Value],"&gt;="&amp;$Z$2,LS[Date Value],"&lt;="&amp;$Z$3))+(-SUMIFS(SIP[Unit],SIP[Investor ID],A96,SIP[B/S],"S",SIP[Date Value],"&gt;="&amp;$Z$2,SIP[Date Value],"&lt;="&amp;$Z$3))</f>
        <v>27313</v>
      </c>
      <c r="M96" s="49">
        <f>(SUMIFS(LS[Cost of Units Sold],LS[Investor ID],A96,LS[B/S],"S",LS[Date Value],"&gt;="&amp;$Z$2,LS[Date Value],"&lt;="&amp;$Z$3))+(SUMIFS(SIP[Cost of Units Sold],SIP[Investor ID],A96,SIP[B/S],"S",SIP[Date Value],"&gt;="&amp;$Z$2,SIP[Date Value],"&lt;="&amp;$Z$3))</f>
        <v>284000</v>
      </c>
      <c r="N96" s="49">
        <f t="shared" si="9"/>
        <v>2000</v>
      </c>
      <c r="O96" s="49">
        <f>(SUMIFS(LS[Realized Gain],LS[Investor ID],A96,LS[Date Value],"&gt;="&amp;$Z$2,LS[Date Value],"&lt;="&amp;$Z$3))+(SUMIFS(SIP[Realized Gain],SIP[Investor ID],A96,SIP[Date Value],"&gt;="&amp;$Z$2,SIP[Date Value],"&lt;="&amp;$Z$3))</f>
        <v>18682.666000000027</v>
      </c>
      <c r="P96" s="49">
        <v>0</v>
      </c>
      <c r="Q96" s="49">
        <v>0</v>
      </c>
      <c r="R96" s="49">
        <v>0</v>
      </c>
    </row>
    <row r="97" spans="1:18">
      <c r="A97" t="s">
        <v>242</v>
      </c>
      <c r="B97" s="47">
        <f>SUMIFS(LS[Unit],LS[Investor ID],'TAX CERTIFICATE'!A97,LS[Date Value],"&lt;"&amp;$Z$2)+SUMIFS(SIP[Unit],SIP[Investor ID],'TAX CERTIFICATE'!A97,SIP[Date Value],"&lt;"&amp;$Z$2)</f>
        <v>45467</v>
      </c>
      <c r="C97" s="48">
        <f>(SUMIFS(LS[Amount],LS[B/S],"B",LS[Investor ID],A97,LS[Date Value],"&lt;"&amp;$Z$2)-SUMIFS(LS[Cost of Units Sold],LS[B/S],"S",LS[Investor ID],A97,LS[Date Value],"&lt;"&amp;$Z$2))+(SUMIFS(SIP[Amount],SIP[B/S],"B",SIP[Investor ID],#REF!,SIP[Date Value],"&lt;"&amp;$Z$2)-SUMIFS(SIP[Cost of Units Sold],SIP[B/S],"S",SIP[Investor ID],A97,SIP[Date Value],"&lt;"&amp;$Z$2))</f>
        <v>400000</v>
      </c>
      <c r="D97" s="49">
        <f t="shared" si="5"/>
        <v>466991.55700000003</v>
      </c>
      <c r="E97" s="49">
        <f t="shared" si="6"/>
        <v>66991.55700000003</v>
      </c>
      <c r="F97" s="47">
        <f>SUMIFS(LS[Unit],LS[Investor ID],A97,LS[Date Value],"&lt;="&amp;$Z$3)+SUMIFS(SIP[Unit],SIP[Investor ID],A97,SIP[Date Value],"&lt;="&amp;$Z$3)</f>
        <v>191002</v>
      </c>
      <c r="G97" s="49">
        <f>(SUMIFS(LS[Amount],LS[B/S],"B",LS[Investor ID],A97,LS[Date Value],"&lt;="&amp;$Z$3)-SUMIFS(LS[Cost of Units Sold],LS[B/S],"S",LS[Investor ID],A97,LS[Date Value],"&lt;="&amp;$Z$3))+(SUMIFS(SIP[Amount],SIP[B/S],"B",SIP[Investor ID],A97,SIP[Date Value],"&lt;="&amp;$Z$3)-SUMIFS(SIP[Cost of Units Sold],SIP[B/S],"S",SIP[Investor ID],A97,SIP[Date Value],"&lt;="&amp;$Z$3))</f>
        <v>2045000</v>
      </c>
      <c r="H97" s="49">
        <f t="shared" si="7"/>
        <v>2132346.3279999997</v>
      </c>
      <c r="I97" s="49">
        <f t="shared" si="8"/>
        <v>87346.327999999747</v>
      </c>
      <c r="J97" s="47">
        <f>(SUMIFS(LS[Unit],LS[Investor ID],A97,LS[B/S],"B",LS[Date Value],"&gt;="&amp;$Z$2,LS[Date Value],"&lt;="&amp;$Z$3))+(SUMIFS(SIP[Unit],SIP[Investor ID],A97,SIP[B/S],"B",SIP[Date Value],"&gt;="&amp;$Z$2,SIP[Date Value],"&lt;="&amp;$Z$3))</f>
        <v>145535</v>
      </c>
      <c r="K97" s="49">
        <f>(SUMIFS(LS[Amount],LS[Investor ID],A97,LS[B/S],"B",LS[Date Value],"&gt;="&amp;$Z$2,LS[Date Value],"&lt;="&amp;$Z$3))+(SUMIFS(SIP[Amount],SIP[Investor ID],A97,SIP[B/S],"B",SIP[Date Value],"&gt;="&amp;$Z$2,SIP[Date Value],"&lt;="&amp;$Z$3))</f>
        <v>1585000</v>
      </c>
      <c r="L97" s="47">
        <f>(-SUMIFS(LS[Unit],LS[Investor ID],A97,LS[B/S],"S",LS[Date Value],"&gt;="&amp;$Z$2,LS[Date Value],"&lt;="&amp;$Z$3))+(-SUMIFS(SIP[Unit],SIP[Investor ID],A97,SIP[B/S],"S",SIP[Date Value],"&gt;="&amp;$Z$2,SIP[Date Value],"&lt;="&amp;$Z$3))</f>
        <v>0</v>
      </c>
      <c r="M97" s="49">
        <f>(SUMIFS(LS[Cost of Units Sold],LS[Investor ID],A97,LS[B/S],"S",LS[Date Value],"&gt;="&amp;$Z$2,LS[Date Value],"&lt;="&amp;$Z$3))+(SUMIFS(SIP[Cost of Units Sold],SIP[Investor ID],A97,SIP[B/S],"S",SIP[Date Value],"&gt;="&amp;$Z$2,SIP[Date Value],"&lt;="&amp;$Z$3))</f>
        <v>0</v>
      </c>
      <c r="N97" s="49">
        <f t="shared" si="9"/>
        <v>1585000</v>
      </c>
      <c r="O97" s="49">
        <f>(SUMIFS(LS[Realized Gain],LS[Investor ID],A97,LS[Date Value],"&gt;="&amp;$Z$2,LS[Date Value],"&lt;="&amp;$Z$3))+(SUMIFS(SIP[Realized Gain],SIP[Investor ID],A97,SIP[Date Value],"&gt;="&amp;$Z$2,SIP[Date Value],"&lt;="&amp;$Z$3))</f>
        <v>0</v>
      </c>
      <c r="P97" s="49">
        <v>0</v>
      </c>
      <c r="Q97" s="49">
        <v>0</v>
      </c>
      <c r="R97" s="49">
        <v>0</v>
      </c>
    </row>
    <row r="98" spans="1:18">
      <c r="A98" t="s">
        <v>244</v>
      </c>
      <c r="B98" s="47">
        <f>SUMIFS(LS[Unit],LS[Investor ID],'TAX CERTIFICATE'!A98,LS[Date Value],"&lt;"&amp;$Z$2)+SUMIFS(SIP[Unit],SIP[Investor ID],'TAX CERTIFICATE'!A98,SIP[Date Value],"&lt;"&amp;$Z$2)</f>
        <v>0</v>
      </c>
      <c r="C98" s="48">
        <f>(SUMIFS(LS[Amount],LS[B/S],"B",LS[Investor ID],A98,LS[Date Value],"&lt;"&amp;$Z$2)-SUMIFS(LS[Cost of Units Sold],LS[B/S],"S",LS[Investor ID],A98,LS[Date Value],"&lt;"&amp;$Z$2))+(SUMIFS(SIP[Amount],SIP[B/S],"B",SIP[Investor ID],#REF!,SIP[Date Value],"&lt;"&amp;$Z$2)-SUMIFS(SIP[Cost of Units Sold],SIP[B/S],"S",SIP[Investor ID],A98,SIP[Date Value],"&lt;"&amp;$Z$2))</f>
        <v>0</v>
      </c>
      <c r="D98" s="49">
        <f t="shared" si="5"/>
        <v>0</v>
      </c>
      <c r="E98" s="49">
        <f t="shared" si="6"/>
        <v>0</v>
      </c>
      <c r="F98" s="47">
        <f>SUMIFS(LS[Unit],LS[Investor ID],A98,LS[Date Value],"&lt;="&amp;$Z$3)+SUMIFS(SIP[Unit],SIP[Investor ID],A98,SIP[Date Value],"&lt;="&amp;$Z$3)</f>
        <v>0</v>
      </c>
      <c r="G98" s="49">
        <f>(SUMIFS(LS[Amount],LS[B/S],"B",LS[Investor ID],A98,LS[Date Value],"&lt;="&amp;$Z$3)-SUMIFS(LS[Cost of Units Sold],LS[B/S],"S",LS[Investor ID],A98,LS[Date Value],"&lt;="&amp;$Z$3))+(SUMIFS(SIP[Amount],SIP[B/S],"B",SIP[Investor ID],A98,SIP[Date Value],"&lt;="&amp;$Z$3)-SUMIFS(SIP[Cost of Units Sold],SIP[B/S],"S",SIP[Investor ID],A98,SIP[Date Value],"&lt;="&amp;$Z$3))</f>
        <v>0</v>
      </c>
      <c r="H98" s="49">
        <f t="shared" si="7"/>
        <v>0</v>
      </c>
      <c r="I98" s="49">
        <f t="shared" si="8"/>
        <v>0</v>
      </c>
      <c r="J98" s="47">
        <f>(SUMIFS(LS[Unit],LS[Investor ID],A98,LS[B/S],"B",LS[Date Value],"&gt;="&amp;$Z$2,LS[Date Value],"&lt;="&amp;$Z$3))+(SUMIFS(SIP[Unit],SIP[Investor ID],A98,SIP[B/S],"B",SIP[Date Value],"&gt;="&amp;$Z$2,SIP[Date Value],"&lt;="&amp;$Z$3))</f>
        <v>0</v>
      </c>
      <c r="K98" s="49">
        <f>(SUMIFS(LS[Amount],LS[Investor ID],A98,LS[B/S],"B",LS[Date Value],"&gt;="&amp;$Z$2,LS[Date Value],"&lt;="&amp;$Z$3))+(SUMIFS(SIP[Amount],SIP[Investor ID],A98,SIP[B/S],"B",SIP[Date Value],"&gt;="&amp;$Z$2,SIP[Date Value],"&lt;="&amp;$Z$3))</f>
        <v>0</v>
      </c>
      <c r="L98" s="47">
        <f>(-SUMIFS(LS[Unit],LS[Investor ID],A98,LS[B/S],"S",LS[Date Value],"&gt;="&amp;$Z$2,LS[Date Value],"&lt;="&amp;$Z$3))+(-SUMIFS(SIP[Unit],SIP[Investor ID],A98,SIP[B/S],"S",SIP[Date Value],"&gt;="&amp;$Z$2,SIP[Date Value],"&lt;="&amp;$Z$3))</f>
        <v>0</v>
      </c>
      <c r="M98" s="49">
        <f>(SUMIFS(LS[Cost of Units Sold],LS[Investor ID],A98,LS[B/S],"S",LS[Date Value],"&gt;="&amp;$Z$2,LS[Date Value],"&lt;="&amp;$Z$3))+(SUMIFS(SIP[Cost of Units Sold],SIP[Investor ID],A98,SIP[B/S],"S",SIP[Date Value],"&gt;="&amp;$Z$2,SIP[Date Value],"&lt;="&amp;$Z$3))</f>
        <v>0</v>
      </c>
      <c r="N98" s="49">
        <f t="shared" si="9"/>
        <v>0</v>
      </c>
      <c r="O98" s="49">
        <f>(SUMIFS(LS[Realized Gain],LS[Investor ID],A98,LS[Date Value],"&gt;="&amp;$Z$2,LS[Date Value],"&lt;="&amp;$Z$3))+(SUMIFS(SIP[Realized Gain],SIP[Investor ID],A98,SIP[Date Value],"&gt;="&amp;$Z$2,SIP[Date Value],"&lt;="&amp;$Z$3))</f>
        <v>0</v>
      </c>
      <c r="P98" s="49">
        <v>0</v>
      </c>
      <c r="Q98" s="49">
        <v>0</v>
      </c>
      <c r="R98" s="49">
        <v>0</v>
      </c>
    </row>
    <row r="99" spans="1:18">
      <c r="A99" t="s">
        <v>246</v>
      </c>
      <c r="B99" s="47">
        <f>SUMIFS(LS[Unit],LS[Investor ID],'TAX CERTIFICATE'!A99,LS[Date Value],"&lt;"&amp;$Z$2)+SUMIFS(SIP[Unit],SIP[Investor ID],'TAX CERTIFICATE'!A99,SIP[Date Value],"&lt;"&amp;$Z$2)</f>
        <v>0</v>
      </c>
      <c r="C99" s="48">
        <f>(SUMIFS(LS[Amount],LS[B/S],"B",LS[Investor ID],A99,LS[Date Value],"&lt;"&amp;$Z$2)-SUMIFS(LS[Cost of Units Sold],LS[B/S],"S",LS[Investor ID],A99,LS[Date Value],"&lt;"&amp;$Z$2))+(SUMIFS(SIP[Amount],SIP[B/S],"B",SIP[Investor ID],#REF!,SIP[Date Value],"&lt;"&amp;$Z$2)-SUMIFS(SIP[Cost of Units Sold],SIP[B/S],"S",SIP[Investor ID],A99,SIP[Date Value],"&lt;"&amp;$Z$2))</f>
        <v>0</v>
      </c>
      <c r="D99" s="49">
        <f t="shared" si="5"/>
        <v>0</v>
      </c>
      <c r="E99" s="49">
        <f t="shared" si="6"/>
        <v>0</v>
      </c>
      <c r="F99" s="47">
        <f>SUMIFS(LS[Unit],LS[Investor ID],A99,LS[Date Value],"&lt;="&amp;$Z$3)+SUMIFS(SIP[Unit],SIP[Investor ID],A99,SIP[Date Value],"&lt;="&amp;$Z$3)</f>
        <v>0</v>
      </c>
      <c r="G99" s="49">
        <f>(SUMIFS(LS[Amount],LS[B/S],"B",LS[Investor ID],A99,LS[Date Value],"&lt;="&amp;$Z$3)-SUMIFS(LS[Cost of Units Sold],LS[B/S],"S",LS[Investor ID],A99,LS[Date Value],"&lt;="&amp;$Z$3))+(SUMIFS(SIP[Amount],SIP[B/S],"B",SIP[Investor ID],A99,SIP[Date Value],"&lt;="&amp;$Z$3)-SUMIFS(SIP[Cost of Units Sold],SIP[B/S],"S",SIP[Investor ID],A99,SIP[Date Value],"&lt;="&amp;$Z$3))</f>
        <v>0</v>
      </c>
      <c r="H99" s="49">
        <f t="shared" si="7"/>
        <v>0</v>
      </c>
      <c r="I99" s="49">
        <f t="shared" si="8"/>
        <v>0</v>
      </c>
      <c r="J99" s="47">
        <f>(SUMIFS(LS[Unit],LS[Investor ID],A99,LS[B/S],"B",LS[Date Value],"&gt;="&amp;$Z$2,LS[Date Value],"&lt;="&amp;$Z$3))+(SUMIFS(SIP[Unit],SIP[Investor ID],A99,SIP[B/S],"B",SIP[Date Value],"&gt;="&amp;$Z$2,SIP[Date Value],"&lt;="&amp;$Z$3))</f>
        <v>0</v>
      </c>
      <c r="K99" s="49">
        <f>(SUMIFS(LS[Amount],LS[Investor ID],A99,LS[B/S],"B",LS[Date Value],"&gt;="&amp;$Z$2,LS[Date Value],"&lt;="&amp;$Z$3))+(SUMIFS(SIP[Amount],SIP[Investor ID],A99,SIP[B/S],"B",SIP[Date Value],"&gt;="&amp;$Z$2,SIP[Date Value],"&lt;="&amp;$Z$3))</f>
        <v>0</v>
      </c>
      <c r="L99" s="47">
        <f>(-SUMIFS(LS[Unit],LS[Investor ID],A99,LS[B/S],"S",LS[Date Value],"&gt;="&amp;$Z$2,LS[Date Value],"&lt;="&amp;$Z$3))+(-SUMIFS(SIP[Unit],SIP[Investor ID],A99,SIP[B/S],"S",SIP[Date Value],"&gt;="&amp;$Z$2,SIP[Date Value],"&lt;="&amp;$Z$3))</f>
        <v>0</v>
      </c>
      <c r="M99" s="49">
        <f>(SUMIFS(LS[Cost of Units Sold],LS[Investor ID],A99,LS[B/S],"S",LS[Date Value],"&gt;="&amp;$Z$2,LS[Date Value],"&lt;="&amp;$Z$3))+(SUMIFS(SIP[Cost of Units Sold],SIP[Investor ID],A99,SIP[B/S],"S",SIP[Date Value],"&gt;="&amp;$Z$2,SIP[Date Value],"&lt;="&amp;$Z$3))</f>
        <v>0</v>
      </c>
      <c r="N99" s="49">
        <f t="shared" si="9"/>
        <v>0</v>
      </c>
      <c r="O99" s="49">
        <f>(SUMIFS(LS[Realized Gain],LS[Investor ID],A99,LS[Date Value],"&gt;="&amp;$Z$2,LS[Date Value],"&lt;="&amp;$Z$3))+(SUMIFS(SIP[Realized Gain],SIP[Investor ID],A99,SIP[Date Value],"&gt;="&amp;$Z$2,SIP[Date Value],"&lt;="&amp;$Z$3))</f>
        <v>0</v>
      </c>
      <c r="P99" s="49">
        <v>0</v>
      </c>
      <c r="Q99" s="49">
        <v>0</v>
      </c>
      <c r="R99" s="49">
        <v>0</v>
      </c>
    </row>
    <row r="100" spans="1:18">
      <c r="A100" t="s">
        <v>248</v>
      </c>
      <c r="B100" s="47">
        <f>SUMIFS(LS[Unit],LS[Investor ID],'TAX CERTIFICATE'!A100,LS[Date Value],"&lt;"&amp;$Z$2)+SUMIFS(SIP[Unit],SIP[Investor ID],'TAX CERTIFICATE'!A100,SIP[Date Value],"&lt;"&amp;$Z$2)</f>
        <v>0</v>
      </c>
      <c r="C100" s="48">
        <f>(SUMIFS(LS[Amount],LS[B/S],"B",LS[Investor ID],A100,LS[Date Value],"&lt;"&amp;$Z$2)-SUMIFS(LS[Cost of Units Sold],LS[B/S],"S",LS[Investor ID],A100,LS[Date Value],"&lt;"&amp;$Z$2))+(SUMIFS(SIP[Amount],SIP[B/S],"B",SIP[Investor ID],#REF!,SIP[Date Value],"&lt;"&amp;$Z$2)-SUMIFS(SIP[Cost of Units Sold],SIP[B/S],"S",SIP[Investor ID],A100,SIP[Date Value],"&lt;"&amp;$Z$2))</f>
        <v>0</v>
      </c>
      <c r="D100" s="49">
        <f t="shared" si="5"/>
        <v>0</v>
      </c>
      <c r="E100" s="49">
        <f t="shared" si="6"/>
        <v>0</v>
      </c>
      <c r="F100" s="47">
        <f>SUMIFS(LS[Unit],LS[Investor ID],A100,LS[Date Value],"&lt;="&amp;$Z$3)+SUMIFS(SIP[Unit],SIP[Investor ID],A100,SIP[Date Value],"&lt;="&amp;$Z$3)</f>
        <v>0</v>
      </c>
      <c r="G100" s="49">
        <f>(SUMIFS(LS[Amount],LS[B/S],"B",LS[Investor ID],A100,LS[Date Value],"&lt;="&amp;$Z$3)-SUMIFS(LS[Cost of Units Sold],LS[B/S],"S",LS[Investor ID],A100,LS[Date Value],"&lt;="&amp;$Z$3))+(SUMIFS(SIP[Amount],SIP[B/S],"B",SIP[Investor ID],A100,SIP[Date Value],"&lt;="&amp;$Z$3)-SUMIFS(SIP[Cost of Units Sold],SIP[B/S],"S",SIP[Investor ID],A100,SIP[Date Value],"&lt;="&amp;$Z$3))</f>
        <v>0</v>
      </c>
      <c r="H100" s="49">
        <f t="shared" si="7"/>
        <v>0</v>
      </c>
      <c r="I100" s="49">
        <f t="shared" si="8"/>
        <v>0</v>
      </c>
      <c r="J100" s="47">
        <f>(SUMIFS(LS[Unit],LS[Investor ID],A100,LS[B/S],"B",LS[Date Value],"&gt;="&amp;$Z$2,LS[Date Value],"&lt;="&amp;$Z$3))+(SUMIFS(SIP[Unit],SIP[Investor ID],A100,SIP[B/S],"B",SIP[Date Value],"&gt;="&amp;$Z$2,SIP[Date Value],"&lt;="&amp;$Z$3))</f>
        <v>0</v>
      </c>
      <c r="K100" s="49">
        <f>(SUMIFS(LS[Amount],LS[Investor ID],A100,LS[B/S],"B",LS[Date Value],"&gt;="&amp;$Z$2,LS[Date Value],"&lt;="&amp;$Z$3))+(SUMIFS(SIP[Amount],SIP[Investor ID],A100,SIP[B/S],"B",SIP[Date Value],"&gt;="&amp;$Z$2,SIP[Date Value],"&lt;="&amp;$Z$3))</f>
        <v>0</v>
      </c>
      <c r="L100" s="47">
        <f>(-SUMIFS(LS[Unit],LS[Investor ID],A100,LS[B/S],"S",LS[Date Value],"&gt;="&amp;$Z$2,LS[Date Value],"&lt;="&amp;$Z$3))+(-SUMIFS(SIP[Unit],SIP[Investor ID],A100,SIP[B/S],"S",SIP[Date Value],"&gt;="&amp;$Z$2,SIP[Date Value],"&lt;="&amp;$Z$3))</f>
        <v>0</v>
      </c>
      <c r="M100" s="49">
        <f>(SUMIFS(LS[Cost of Units Sold],LS[Investor ID],A100,LS[B/S],"S",LS[Date Value],"&gt;="&amp;$Z$2,LS[Date Value],"&lt;="&amp;$Z$3))+(SUMIFS(SIP[Cost of Units Sold],SIP[Investor ID],A100,SIP[B/S],"S",SIP[Date Value],"&gt;="&amp;$Z$2,SIP[Date Value],"&lt;="&amp;$Z$3))</f>
        <v>0</v>
      </c>
      <c r="N100" s="49">
        <f t="shared" si="9"/>
        <v>0</v>
      </c>
      <c r="O100" s="49">
        <f>(SUMIFS(LS[Realized Gain],LS[Investor ID],A100,LS[Date Value],"&gt;="&amp;$Z$2,LS[Date Value],"&lt;="&amp;$Z$3))+(SUMIFS(SIP[Realized Gain],SIP[Investor ID],A100,SIP[Date Value],"&gt;="&amp;$Z$2,SIP[Date Value],"&lt;="&amp;$Z$3))</f>
        <v>0</v>
      </c>
      <c r="P100" s="49">
        <v>0</v>
      </c>
      <c r="Q100" s="49">
        <v>0</v>
      </c>
      <c r="R100" s="49">
        <v>0</v>
      </c>
    </row>
    <row r="101" spans="1:18">
      <c r="A101" t="s">
        <v>250</v>
      </c>
      <c r="B101" s="47">
        <f>SUMIFS(LS[Unit],LS[Investor ID],'TAX CERTIFICATE'!A101,LS[Date Value],"&lt;"&amp;$Z$2)+SUMIFS(SIP[Unit],SIP[Investor ID],'TAX CERTIFICATE'!A101,SIP[Date Value],"&lt;"&amp;$Z$2)</f>
        <v>0</v>
      </c>
      <c r="C101" s="48">
        <f>(SUMIFS(LS[Amount],LS[B/S],"B",LS[Investor ID],A101,LS[Date Value],"&lt;"&amp;$Z$2)-SUMIFS(LS[Cost of Units Sold],LS[B/S],"S",LS[Investor ID],A101,LS[Date Value],"&lt;"&amp;$Z$2))+(SUMIFS(SIP[Amount],SIP[B/S],"B",SIP[Investor ID],#REF!,SIP[Date Value],"&lt;"&amp;$Z$2)-SUMIFS(SIP[Cost of Units Sold],SIP[B/S],"S",SIP[Investor ID],A101,SIP[Date Value],"&lt;"&amp;$Z$2))</f>
        <v>0</v>
      </c>
      <c r="D101" s="49">
        <f t="shared" si="5"/>
        <v>0</v>
      </c>
      <c r="E101" s="49">
        <f t="shared" si="6"/>
        <v>0</v>
      </c>
      <c r="F101" s="47">
        <f>SUMIFS(LS[Unit],LS[Investor ID],A101,LS[Date Value],"&lt;="&amp;$Z$3)+SUMIFS(SIP[Unit],SIP[Investor ID],A101,SIP[Date Value],"&lt;="&amp;$Z$3)</f>
        <v>0</v>
      </c>
      <c r="G101" s="49">
        <f>(SUMIFS(LS[Amount],LS[B/S],"B",LS[Investor ID],A101,LS[Date Value],"&lt;="&amp;$Z$3)-SUMIFS(LS[Cost of Units Sold],LS[B/S],"S",LS[Investor ID],A101,LS[Date Value],"&lt;="&amp;$Z$3))+(SUMIFS(SIP[Amount],SIP[B/S],"B",SIP[Investor ID],A101,SIP[Date Value],"&lt;="&amp;$Z$3)-SUMIFS(SIP[Cost of Units Sold],SIP[B/S],"S",SIP[Investor ID],A101,SIP[Date Value],"&lt;="&amp;$Z$3))</f>
        <v>0</v>
      </c>
      <c r="H101" s="49">
        <f t="shared" si="7"/>
        <v>0</v>
      </c>
      <c r="I101" s="49">
        <f t="shared" si="8"/>
        <v>0</v>
      </c>
      <c r="J101" s="47">
        <f>(SUMIFS(LS[Unit],LS[Investor ID],A101,LS[B/S],"B",LS[Date Value],"&gt;="&amp;$Z$2,LS[Date Value],"&lt;="&amp;$Z$3))+(SUMIFS(SIP[Unit],SIP[Investor ID],A101,SIP[B/S],"B",SIP[Date Value],"&gt;="&amp;$Z$2,SIP[Date Value],"&lt;="&amp;$Z$3))</f>
        <v>0</v>
      </c>
      <c r="K101" s="49">
        <f>(SUMIFS(LS[Amount],LS[Investor ID],A101,LS[B/S],"B",LS[Date Value],"&gt;="&amp;$Z$2,LS[Date Value],"&lt;="&amp;$Z$3))+(SUMIFS(SIP[Amount],SIP[Investor ID],A101,SIP[B/S],"B",SIP[Date Value],"&gt;="&amp;$Z$2,SIP[Date Value],"&lt;="&amp;$Z$3))</f>
        <v>0</v>
      </c>
      <c r="L101" s="47">
        <f>(-SUMIFS(LS[Unit],LS[Investor ID],A101,LS[B/S],"S",LS[Date Value],"&gt;="&amp;$Z$2,LS[Date Value],"&lt;="&amp;$Z$3))+(-SUMIFS(SIP[Unit],SIP[Investor ID],A101,SIP[B/S],"S",SIP[Date Value],"&gt;="&amp;$Z$2,SIP[Date Value],"&lt;="&amp;$Z$3))</f>
        <v>0</v>
      </c>
      <c r="M101" s="49">
        <f>(SUMIFS(LS[Cost of Units Sold],LS[Investor ID],A101,LS[B/S],"S",LS[Date Value],"&gt;="&amp;$Z$2,LS[Date Value],"&lt;="&amp;$Z$3))+(SUMIFS(SIP[Cost of Units Sold],SIP[Investor ID],A101,SIP[B/S],"S",SIP[Date Value],"&gt;="&amp;$Z$2,SIP[Date Value],"&lt;="&amp;$Z$3))</f>
        <v>0</v>
      </c>
      <c r="N101" s="49">
        <f t="shared" si="9"/>
        <v>0</v>
      </c>
      <c r="O101" s="49">
        <f>(SUMIFS(LS[Realized Gain],LS[Investor ID],A101,LS[Date Value],"&gt;="&amp;$Z$2,LS[Date Value],"&lt;="&amp;$Z$3))+(SUMIFS(SIP[Realized Gain],SIP[Investor ID],A101,SIP[Date Value],"&gt;="&amp;$Z$2,SIP[Date Value],"&lt;="&amp;$Z$3))</f>
        <v>0</v>
      </c>
      <c r="P101" s="49">
        <v>0</v>
      </c>
      <c r="Q101" s="49">
        <v>0</v>
      </c>
      <c r="R101" s="49">
        <v>0</v>
      </c>
    </row>
    <row r="102" spans="1:18">
      <c r="A102" t="s">
        <v>252</v>
      </c>
      <c r="B102" s="47">
        <f>SUMIFS(LS[Unit],LS[Investor ID],'TAX CERTIFICATE'!A102,LS[Date Value],"&lt;"&amp;$Z$2)+SUMIFS(SIP[Unit],SIP[Investor ID],'TAX CERTIFICATE'!A102,SIP[Date Value],"&lt;"&amp;$Z$2)</f>
        <v>14628</v>
      </c>
      <c r="C102" s="48">
        <f>(SUMIFS(LS[Amount],LS[B/S],"B",LS[Investor ID],A102,LS[Date Value],"&lt;"&amp;$Z$2)-SUMIFS(LS[Cost of Units Sold],LS[B/S],"S",LS[Investor ID],A102,LS[Date Value],"&lt;"&amp;$Z$2))+(SUMIFS(SIP[Amount],SIP[B/S],"B",SIP[Investor ID],#REF!,SIP[Date Value],"&lt;"&amp;$Z$2)-SUMIFS(SIP[Cost of Units Sold],SIP[B/S],"S",SIP[Investor ID],A102,SIP[Date Value],"&lt;"&amp;$Z$2))</f>
        <v>150000</v>
      </c>
      <c r="D102" s="49">
        <f t="shared" si="5"/>
        <v>150244.18800000002</v>
      </c>
      <c r="E102" s="49">
        <f t="shared" si="6"/>
        <v>244.18800000002375</v>
      </c>
      <c r="F102" s="47">
        <f>SUMIFS(LS[Unit],LS[Investor ID],A102,LS[Date Value],"&lt;="&amp;$Z$3)+SUMIFS(SIP[Unit],SIP[Investor ID],A102,SIP[Date Value],"&lt;="&amp;$Z$3)</f>
        <v>15514</v>
      </c>
      <c r="G102" s="49">
        <f>(SUMIFS(LS[Amount],LS[B/S],"B",LS[Investor ID],A102,LS[Date Value],"&lt;="&amp;$Z$3)-SUMIFS(LS[Cost of Units Sold],LS[B/S],"S",LS[Investor ID],A102,LS[Date Value],"&lt;="&amp;$Z$3))+(SUMIFS(SIP[Amount],SIP[B/S],"B",SIP[Investor ID],A102,SIP[Date Value],"&lt;="&amp;$Z$3)-SUMIFS(SIP[Cost of Units Sold],SIP[B/S],"S",SIP[Investor ID],A102,SIP[Date Value],"&lt;="&amp;$Z$3))</f>
        <v>166456.17215942114</v>
      </c>
      <c r="H102" s="49">
        <f t="shared" si="7"/>
        <v>173198.296</v>
      </c>
      <c r="I102" s="49">
        <f t="shared" si="8"/>
        <v>6742.1238405788608</v>
      </c>
      <c r="J102" s="47">
        <f>(SUMIFS(LS[Unit],LS[Investor ID],A102,LS[B/S],"B",LS[Date Value],"&gt;="&amp;$Z$2,LS[Date Value],"&lt;="&amp;$Z$3))+(SUMIFS(SIP[Unit],SIP[Investor ID],A102,SIP[B/S],"B",SIP[Date Value],"&gt;="&amp;$Z$2,SIP[Date Value],"&lt;="&amp;$Z$3))</f>
        <v>46835</v>
      </c>
      <c r="K102" s="49">
        <f>(SUMIFS(LS[Amount],LS[Investor ID],A102,LS[B/S],"B",LS[Date Value],"&gt;="&amp;$Z$2,LS[Date Value],"&lt;="&amp;$Z$3))+(SUMIFS(SIP[Amount],SIP[Investor ID],A102,SIP[B/S],"B",SIP[Date Value],"&gt;="&amp;$Z$2,SIP[Date Value],"&lt;="&amp;$Z$3))</f>
        <v>500000</v>
      </c>
      <c r="L102" s="47">
        <f>(-SUMIFS(LS[Unit],LS[Investor ID],A102,LS[B/S],"S",LS[Date Value],"&gt;="&amp;$Z$2,LS[Date Value],"&lt;="&amp;$Z$3))+(-SUMIFS(SIP[Unit],SIP[Investor ID],A102,SIP[B/S],"S",SIP[Date Value],"&gt;="&amp;$Z$2,SIP[Date Value],"&lt;="&amp;$Z$3))</f>
        <v>45949</v>
      </c>
      <c r="M102" s="49">
        <f>(SUMIFS(LS[Cost of Units Sold],LS[Investor ID],A102,LS[B/S],"S",LS[Date Value],"&gt;="&amp;$Z$2,LS[Date Value],"&lt;="&amp;$Z$3))+(SUMIFS(SIP[Cost of Units Sold],SIP[Investor ID],A102,SIP[B/S],"S",SIP[Date Value],"&gt;="&amp;$Z$2,SIP[Date Value],"&lt;="&amp;$Z$3))</f>
        <v>483543.82784057886</v>
      </c>
      <c r="N102" s="49">
        <f t="shared" si="9"/>
        <v>16456.172159421141</v>
      </c>
      <c r="O102" s="49">
        <f>(SUMIFS(LS[Realized Gain],LS[Investor ID],A102,LS[Date Value],"&gt;="&amp;$Z$2,LS[Date Value],"&lt;="&amp;$Z$3))+(SUMIFS(SIP[Realized Gain],SIP[Investor ID],A102,SIP[Date Value],"&gt;="&amp;$Z$2,SIP[Date Value],"&lt;="&amp;$Z$3))</f>
        <v>16456.172159421119</v>
      </c>
      <c r="P102" s="49">
        <v>0</v>
      </c>
      <c r="Q102" s="49">
        <v>0</v>
      </c>
      <c r="R102" s="49">
        <v>0</v>
      </c>
    </row>
    <row r="103" spans="1:18">
      <c r="A103" t="s">
        <v>254</v>
      </c>
      <c r="B103" s="47">
        <f>SUMIFS(LS[Unit],LS[Investor ID],'TAX CERTIFICATE'!A103,LS[Date Value],"&lt;"&amp;$Z$2)+SUMIFS(SIP[Unit],SIP[Investor ID],'TAX CERTIFICATE'!A103,SIP[Date Value],"&lt;"&amp;$Z$2)</f>
        <v>0</v>
      </c>
      <c r="C103" s="48">
        <f>(SUMIFS(LS[Amount],LS[B/S],"B",LS[Investor ID],A103,LS[Date Value],"&lt;"&amp;$Z$2)-SUMIFS(LS[Cost of Units Sold],LS[B/S],"S",LS[Investor ID],A103,LS[Date Value],"&lt;"&amp;$Z$2))+(SUMIFS(SIP[Amount],SIP[B/S],"B",SIP[Investor ID],#REF!,SIP[Date Value],"&lt;"&amp;$Z$2)-SUMIFS(SIP[Cost of Units Sold],SIP[B/S],"S",SIP[Investor ID],A103,SIP[Date Value],"&lt;"&amp;$Z$2))</f>
        <v>0</v>
      </c>
      <c r="D103" s="49">
        <f t="shared" si="5"/>
        <v>0</v>
      </c>
      <c r="E103" s="49">
        <f t="shared" si="6"/>
        <v>0</v>
      </c>
      <c r="F103" s="47">
        <f>SUMIFS(LS[Unit],LS[Investor ID],A103,LS[Date Value],"&lt;="&amp;$Z$3)+SUMIFS(SIP[Unit],SIP[Investor ID],A103,SIP[Date Value],"&lt;="&amp;$Z$3)</f>
        <v>0</v>
      </c>
      <c r="G103" s="49">
        <f>(SUMIFS(LS[Amount],LS[B/S],"B",LS[Investor ID],A103,LS[Date Value],"&lt;="&amp;$Z$3)-SUMIFS(LS[Cost of Units Sold],LS[B/S],"S",LS[Investor ID],A103,LS[Date Value],"&lt;="&amp;$Z$3))+(SUMIFS(SIP[Amount],SIP[B/S],"B",SIP[Investor ID],A103,SIP[Date Value],"&lt;="&amp;$Z$3)-SUMIFS(SIP[Cost of Units Sold],SIP[B/S],"S",SIP[Investor ID],A103,SIP[Date Value],"&lt;="&amp;$Z$3))</f>
        <v>0</v>
      </c>
      <c r="H103" s="49">
        <f t="shared" si="7"/>
        <v>0</v>
      </c>
      <c r="I103" s="49">
        <f t="shared" si="8"/>
        <v>0</v>
      </c>
      <c r="J103" s="47">
        <f>(SUMIFS(LS[Unit],LS[Investor ID],A103,LS[B/S],"B",LS[Date Value],"&gt;="&amp;$Z$2,LS[Date Value],"&lt;="&amp;$Z$3))+(SUMIFS(SIP[Unit],SIP[Investor ID],A103,SIP[B/S],"B",SIP[Date Value],"&gt;="&amp;$Z$2,SIP[Date Value],"&lt;="&amp;$Z$3))</f>
        <v>0</v>
      </c>
      <c r="K103" s="49">
        <f>(SUMIFS(LS[Amount],LS[Investor ID],A103,LS[B/S],"B",LS[Date Value],"&gt;="&amp;$Z$2,LS[Date Value],"&lt;="&amp;$Z$3))+(SUMIFS(SIP[Amount],SIP[Investor ID],A103,SIP[B/S],"B",SIP[Date Value],"&gt;="&amp;$Z$2,SIP[Date Value],"&lt;="&amp;$Z$3))</f>
        <v>0</v>
      </c>
      <c r="L103" s="47">
        <f>(-SUMIFS(LS[Unit],LS[Investor ID],A103,LS[B/S],"S",LS[Date Value],"&gt;="&amp;$Z$2,LS[Date Value],"&lt;="&amp;$Z$3))+(-SUMIFS(SIP[Unit],SIP[Investor ID],A103,SIP[B/S],"S",SIP[Date Value],"&gt;="&amp;$Z$2,SIP[Date Value],"&lt;="&amp;$Z$3))</f>
        <v>0</v>
      </c>
      <c r="M103" s="49">
        <f>(SUMIFS(LS[Cost of Units Sold],LS[Investor ID],A103,LS[B/S],"S",LS[Date Value],"&gt;="&amp;$Z$2,LS[Date Value],"&lt;="&amp;$Z$3))+(SUMIFS(SIP[Cost of Units Sold],SIP[Investor ID],A103,SIP[B/S],"S",SIP[Date Value],"&gt;="&amp;$Z$2,SIP[Date Value],"&lt;="&amp;$Z$3))</f>
        <v>0</v>
      </c>
      <c r="N103" s="49">
        <f t="shared" si="9"/>
        <v>0</v>
      </c>
      <c r="O103" s="49">
        <f>(SUMIFS(LS[Realized Gain],LS[Investor ID],A103,LS[Date Value],"&gt;="&amp;$Z$2,LS[Date Value],"&lt;="&amp;$Z$3))+(SUMIFS(SIP[Realized Gain],SIP[Investor ID],A103,SIP[Date Value],"&gt;="&amp;$Z$2,SIP[Date Value],"&lt;="&amp;$Z$3))</f>
        <v>0</v>
      </c>
      <c r="P103" s="49">
        <v>0</v>
      </c>
      <c r="Q103" s="49">
        <v>0</v>
      </c>
      <c r="R103" s="49">
        <v>0</v>
      </c>
    </row>
    <row r="104" spans="1:18">
      <c r="A104" t="s">
        <v>256</v>
      </c>
      <c r="B104" s="47">
        <f>SUMIFS(LS[Unit],LS[Investor ID],'TAX CERTIFICATE'!A104,LS[Date Value],"&lt;"&amp;$Z$2)+SUMIFS(SIP[Unit],SIP[Investor ID],'TAX CERTIFICATE'!A104,SIP[Date Value],"&lt;"&amp;$Z$2)</f>
        <v>0</v>
      </c>
      <c r="C104" s="48">
        <f>(SUMIFS(LS[Amount],LS[B/S],"B",LS[Investor ID],A104,LS[Date Value],"&lt;"&amp;$Z$2)-SUMIFS(LS[Cost of Units Sold],LS[B/S],"S",LS[Investor ID],A104,LS[Date Value],"&lt;"&amp;$Z$2))+(SUMIFS(SIP[Amount],SIP[B/S],"B",SIP[Investor ID],#REF!,SIP[Date Value],"&lt;"&amp;$Z$2)-SUMIFS(SIP[Cost of Units Sold],SIP[B/S],"S",SIP[Investor ID],A104,SIP[Date Value],"&lt;"&amp;$Z$2))</f>
        <v>0</v>
      </c>
      <c r="D104" s="49">
        <f t="shared" si="5"/>
        <v>0</v>
      </c>
      <c r="E104" s="49">
        <f t="shared" si="6"/>
        <v>0</v>
      </c>
      <c r="F104" s="47">
        <f>SUMIFS(LS[Unit],LS[Investor ID],A104,LS[Date Value],"&lt;="&amp;$Z$3)+SUMIFS(SIP[Unit],SIP[Investor ID],A104,SIP[Date Value],"&lt;="&amp;$Z$3)</f>
        <v>0</v>
      </c>
      <c r="G104" s="49">
        <f>(SUMIFS(LS[Amount],LS[B/S],"B",LS[Investor ID],A104,LS[Date Value],"&lt;="&amp;$Z$3)-SUMIFS(LS[Cost of Units Sold],LS[B/S],"S",LS[Investor ID],A104,LS[Date Value],"&lt;="&amp;$Z$3))+(SUMIFS(SIP[Amount],SIP[B/S],"B",SIP[Investor ID],A104,SIP[Date Value],"&lt;="&amp;$Z$3)-SUMIFS(SIP[Cost of Units Sold],SIP[B/S],"S",SIP[Investor ID],A104,SIP[Date Value],"&lt;="&amp;$Z$3))</f>
        <v>0</v>
      </c>
      <c r="H104" s="49">
        <f t="shared" si="7"/>
        <v>0</v>
      </c>
      <c r="I104" s="49">
        <f t="shared" si="8"/>
        <v>0</v>
      </c>
      <c r="J104" s="47">
        <f>(SUMIFS(LS[Unit],LS[Investor ID],A104,LS[B/S],"B",LS[Date Value],"&gt;="&amp;$Z$2,LS[Date Value],"&lt;="&amp;$Z$3))+(SUMIFS(SIP[Unit],SIP[Investor ID],A104,SIP[B/S],"B",SIP[Date Value],"&gt;="&amp;$Z$2,SIP[Date Value],"&lt;="&amp;$Z$3))</f>
        <v>0</v>
      </c>
      <c r="K104" s="49">
        <f>(SUMIFS(LS[Amount],LS[Investor ID],A104,LS[B/S],"B",LS[Date Value],"&gt;="&amp;$Z$2,LS[Date Value],"&lt;="&amp;$Z$3))+(SUMIFS(SIP[Amount],SIP[Investor ID],A104,SIP[B/S],"B",SIP[Date Value],"&gt;="&amp;$Z$2,SIP[Date Value],"&lt;="&amp;$Z$3))</f>
        <v>0</v>
      </c>
      <c r="L104" s="47">
        <f>(-SUMIFS(LS[Unit],LS[Investor ID],A104,LS[B/S],"S",LS[Date Value],"&gt;="&amp;$Z$2,LS[Date Value],"&lt;="&amp;$Z$3))+(-SUMIFS(SIP[Unit],SIP[Investor ID],A104,SIP[B/S],"S",SIP[Date Value],"&gt;="&amp;$Z$2,SIP[Date Value],"&lt;="&amp;$Z$3))</f>
        <v>0</v>
      </c>
      <c r="M104" s="49">
        <f>(SUMIFS(LS[Cost of Units Sold],LS[Investor ID],A104,LS[B/S],"S",LS[Date Value],"&gt;="&amp;$Z$2,LS[Date Value],"&lt;="&amp;$Z$3))+(SUMIFS(SIP[Cost of Units Sold],SIP[Investor ID],A104,SIP[B/S],"S",SIP[Date Value],"&gt;="&amp;$Z$2,SIP[Date Value],"&lt;="&amp;$Z$3))</f>
        <v>0</v>
      </c>
      <c r="N104" s="49">
        <f t="shared" si="9"/>
        <v>0</v>
      </c>
      <c r="O104" s="49">
        <f>(SUMIFS(LS[Realized Gain],LS[Investor ID],A104,LS[Date Value],"&gt;="&amp;$Z$2,LS[Date Value],"&lt;="&amp;$Z$3))+(SUMIFS(SIP[Realized Gain],SIP[Investor ID],A104,SIP[Date Value],"&gt;="&amp;$Z$2,SIP[Date Value],"&lt;="&amp;$Z$3))</f>
        <v>0</v>
      </c>
      <c r="P104" s="49">
        <v>0</v>
      </c>
      <c r="Q104" s="49">
        <v>0</v>
      </c>
      <c r="R104" s="49">
        <v>0</v>
      </c>
    </row>
    <row r="105" spans="1:18">
      <c r="A105" t="s">
        <v>258</v>
      </c>
      <c r="B105" s="47">
        <f>SUMIFS(LS[Unit],LS[Investor ID],'TAX CERTIFICATE'!A105,LS[Date Value],"&lt;"&amp;$Z$2)+SUMIFS(SIP[Unit],SIP[Investor ID],'TAX CERTIFICATE'!A105,SIP[Date Value],"&lt;"&amp;$Z$2)</f>
        <v>10000</v>
      </c>
      <c r="C105" s="48">
        <f>(SUMIFS(LS[Amount],LS[B/S],"B",LS[Investor ID],A105,LS[Date Value],"&lt;"&amp;$Z$2)-SUMIFS(LS[Cost of Units Sold],LS[B/S],"S",LS[Investor ID],A105,LS[Date Value],"&lt;"&amp;$Z$2))+(SUMIFS(SIP[Amount],SIP[B/S],"B",SIP[Investor ID],#REF!,SIP[Date Value],"&lt;"&amp;$Z$2)-SUMIFS(SIP[Cost of Units Sold],SIP[B/S],"S",SIP[Investor ID],A105,SIP[Date Value],"&lt;"&amp;$Z$2))</f>
        <v>100000</v>
      </c>
      <c r="D105" s="49">
        <f t="shared" si="5"/>
        <v>102710.00000000001</v>
      </c>
      <c r="E105" s="49">
        <f t="shared" si="6"/>
        <v>2710.0000000000146</v>
      </c>
      <c r="F105" s="47">
        <f>SUMIFS(LS[Unit],LS[Investor ID],A105,LS[Date Value],"&lt;="&amp;$Z$3)+SUMIFS(SIP[Unit],SIP[Investor ID],A105,SIP[Date Value],"&lt;="&amp;$Z$3)</f>
        <v>0</v>
      </c>
      <c r="G105" s="49">
        <f>(SUMIFS(LS[Amount],LS[B/S],"B",LS[Investor ID],A105,LS[Date Value],"&lt;="&amp;$Z$3)-SUMIFS(LS[Cost of Units Sold],LS[B/S],"S",LS[Investor ID],A105,LS[Date Value],"&lt;="&amp;$Z$3))+(SUMIFS(SIP[Amount],SIP[B/S],"B",SIP[Investor ID],A105,SIP[Date Value],"&lt;="&amp;$Z$3)-SUMIFS(SIP[Cost of Units Sold],SIP[B/S],"S",SIP[Investor ID],A105,SIP[Date Value],"&lt;="&amp;$Z$3))</f>
        <v>0</v>
      </c>
      <c r="H105" s="49">
        <f t="shared" si="7"/>
        <v>0</v>
      </c>
      <c r="I105" s="49">
        <f t="shared" si="8"/>
        <v>0</v>
      </c>
      <c r="J105" s="47">
        <f>(SUMIFS(LS[Unit],LS[Investor ID],A105,LS[B/S],"B",LS[Date Value],"&gt;="&amp;$Z$2,LS[Date Value],"&lt;="&amp;$Z$3))+(SUMIFS(SIP[Unit],SIP[Investor ID],A105,SIP[B/S],"B",SIP[Date Value],"&gt;="&amp;$Z$2,SIP[Date Value],"&lt;="&amp;$Z$3))</f>
        <v>0</v>
      </c>
      <c r="K105" s="49">
        <f>(SUMIFS(LS[Amount],LS[Investor ID],A105,LS[B/S],"B",LS[Date Value],"&gt;="&amp;$Z$2,LS[Date Value],"&lt;="&amp;$Z$3))+(SUMIFS(SIP[Amount],SIP[Investor ID],A105,SIP[B/S],"B",SIP[Date Value],"&gt;="&amp;$Z$2,SIP[Date Value],"&lt;="&amp;$Z$3))</f>
        <v>0</v>
      </c>
      <c r="L105" s="47">
        <f>(-SUMIFS(LS[Unit],LS[Investor ID],A105,LS[B/S],"S",LS[Date Value],"&gt;="&amp;$Z$2,LS[Date Value],"&lt;="&amp;$Z$3))+(-SUMIFS(SIP[Unit],SIP[Investor ID],A105,SIP[B/S],"S",SIP[Date Value],"&gt;="&amp;$Z$2,SIP[Date Value],"&lt;="&amp;$Z$3))</f>
        <v>10000</v>
      </c>
      <c r="M105" s="49">
        <f>(SUMIFS(LS[Cost of Units Sold],LS[Investor ID],A105,LS[B/S],"S",LS[Date Value],"&gt;="&amp;$Z$2,LS[Date Value],"&lt;="&amp;$Z$3))+(SUMIFS(SIP[Cost of Units Sold],SIP[Investor ID],A105,SIP[B/S],"S",SIP[Date Value],"&gt;="&amp;$Z$2,SIP[Date Value],"&lt;="&amp;$Z$3))</f>
        <v>100000</v>
      </c>
      <c r="N105" s="49">
        <f t="shared" si="9"/>
        <v>-100000</v>
      </c>
      <c r="O105" s="49">
        <f>(SUMIFS(LS[Realized Gain],LS[Investor ID],A105,LS[Date Value],"&gt;="&amp;$Z$2,LS[Date Value],"&lt;="&amp;$Z$3))+(SUMIFS(SIP[Realized Gain],SIP[Investor ID],A105,SIP[Date Value],"&gt;="&amp;$Z$2,SIP[Date Value],"&lt;="&amp;$Z$3))</f>
        <v>5549.9999999999973</v>
      </c>
      <c r="P105" s="49">
        <v>0</v>
      </c>
      <c r="Q105" s="49">
        <v>0</v>
      </c>
      <c r="R105" s="49">
        <v>0</v>
      </c>
    </row>
    <row r="106" spans="1:18">
      <c r="A106" t="s">
        <v>260</v>
      </c>
      <c r="B106" s="47">
        <f>SUMIFS(LS[Unit],LS[Investor ID],'TAX CERTIFICATE'!A106,LS[Date Value],"&lt;"&amp;$Z$2)+SUMIFS(SIP[Unit],SIP[Investor ID],'TAX CERTIFICATE'!A106,SIP[Date Value],"&lt;"&amp;$Z$2)</f>
        <v>0</v>
      </c>
      <c r="C106" s="48">
        <f>(SUMIFS(LS[Amount],LS[B/S],"B",LS[Investor ID],A106,LS[Date Value],"&lt;"&amp;$Z$2)-SUMIFS(LS[Cost of Units Sold],LS[B/S],"S",LS[Investor ID],A106,LS[Date Value],"&lt;"&amp;$Z$2))+(SUMIFS(SIP[Amount],SIP[B/S],"B",SIP[Investor ID],#REF!,SIP[Date Value],"&lt;"&amp;$Z$2)-SUMIFS(SIP[Cost of Units Sold],SIP[B/S],"S",SIP[Investor ID],A106,SIP[Date Value],"&lt;"&amp;$Z$2))</f>
        <v>0</v>
      </c>
      <c r="D106" s="49">
        <f t="shared" si="5"/>
        <v>0</v>
      </c>
      <c r="E106" s="49">
        <f t="shared" si="6"/>
        <v>0</v>
      </c>
      <c r="F106" s="47">
        <f>SUMIFS(LS[Unit],LS[Investor ID],A106,LS[Date Value],"&lt;="&amp;$Z$3)+SUMIFS(SIP[Unit],SIP[Investor ID],A106,SIP[Date Value],"&lt;="&amp;$Z$3)</f>
        <v>0</v>
      </c>
      <c r="G106" s="49">
        <f>(SUMIFS(LS[Amount],LS[B/S],"B",LS[Investor ID],A106,LS[Date Value],"&lt;="&amp;$Z$3)-SUMIFS(LS[Cost of Units Sold],LS[B/S],"S",LS[Investor ID],A106,LS[Date Value],"&lt;="&amp;$Z$3))+(SUMIFS(SIP[Amount],SIP[B/S],"B",SIP[Investor ID],A106,SIP[Date Value],"&lt;="&amp;$Z$3)-SUMIFS(SIP[Cost of Units Sold],SIP[B/S],"S",SIP[Investor ID],A106,SIP[Date Value],"&lt;="&amp;$Z$3))</f>
        <v>0</v>
      </c>
      <c r="H106" s="49">
        <f t="shared" si="7"/>
        <v>0</v>
      </c>
      <c r="I106" s="49">
        <f t="shared" si="8"/>
        <v>0</v>
      </c>
      <c r="J106" s="47">
        <f>(SUMIFS(LS[Unit],LS[Investor ID],A106,LS[B/S],"B",LS[Date Value],"&gt;="&amp;$Z$2,LS[Date Value],"&lt;="&amp;$Z$3))+(SUMIFS(SIP[Unit],SIP[Investor ID],A106,SIP[B/S],"B",SIP[Date Value],"&gt;="&amp;$Z$2,SIP[Date Value],"&lt;="&amp;$Z$3))</f>
        <v>0</v>
      </c>
      <c r="K106" s="49">
        <f>(SUMIFS(LS[Amount],LS[Investor ID],A106,LS[B/S],"B",LS[Date Value],"&gt;="&amp;$Z$2,LS[Date Value],"&lt;="&amp;$Z$3))+(SUMIFS(SIP[Amount],SIP[Investor ID],A106,SIP[B/S],"B",SIP[Date Value],"&gt;="&amp;$Z$2,SIP[Date Value],"&lt;="&amp;$Z$3))</f>
        <v>0</v>
      </c>
      <c r="L106" s="47">
        <f>(-SUMIFS(LS[Unit],LS[Investor ID],A106,LS[B/S],"S",LS[Date Value],"&gt;="&amp;$Z$2,LS[Date Value],"&lt;="&amp;$Z$3))+(-SUMIFS(SIP[Unit],SIP[Investor ID],A106,SIP[B/S],"S",SIP[Date Value],"&gt;="&amp;$Z$2,SIP[Date Value],"&lt;="&amp;$Z$3))</f>
        <v>0</v>
      </c>
      <c r="M106" s="49">
        <f>(SUMIFS(LS[Cost of Units Sold],LS[Investor ID],A106,LS[B/S],"S",LS[Date Value],"&gt;="&amp;$Z$2,LS[Date Value],"&lt;="&amp;$Z$3))+(SUMIFS(SIP[Cost of Units Sold],SIP[Investor ID],A106,SIP[B/S],"S",SIP[Date Value],"&gt;="&amp;$Z$2,SIP[Date Value],"&lt;="&amp;$Z$3))</f>
        <v>0</v>
      </c>
      <c r="N106" s="49">
        <f t="shared" si="9"/>
        <v>0</v>
      </c>
      <c r="O106" s="49">
        <f>(SUMIFS(LS[Realized Gain],LS[Investor ID],A106,LS[Date Value],"&gt;="&amp;$Z$2,LS[Date Value],"&lt;="&amp;$Z$3))+(SUMIFS(SIP[Realized Gain],SIP[Investor ID],A106,SIP[Date Value],"&gt;="&amp;$Z$2,SIP[Date Value],"&lt;="&amp;$Z$3))</f>
        <v>0</v>
      </c>
      <c r="P106" s="49">
        <v>0</v>
      </c>
      <c r="Q106" s="49">
        <v>0</v>
      </c>
      <c r="R106" s="49">
        <v>0</v>
      </c>
    </row>
    <row r="107" spans="1:18">
      <c r="A107" t="s">
        <v>262</v>
      </c>
      <c r="B107" s="47">
        <f>SUMIFS(LS[Unit],LS[Investor ID],'TAX CERTIFICATE'!A107,LS[Date Value],"&lt;"&amp;$Z$2)+SUMIFS(SIP[Unit],SIP[Investor ID],'TAX CERTIFICATE'!A107,SIP[Date Value],"&lt;"&amp;$Z$2)</f>
        <v>0</v>
      </c>
      <c r="C107" s="48">
        <f>(SUMIFS(LS[Amount],LS[B/S],"B",LS[Investor ID],A107,LS[Date Value],"&lt;"&amp;$Z$2)-SUMIFS(LS[Cost of Units Sold],LS[B/S],"S",LS[Investor ID],A107,LS[Date Value],"&lt;"&amp;$Z$2))+(SUMIFS(SIP[Amount],SIP[B/S],"B",SIP[Investor ID],#REF!,SIP[Date Value],"&lt;"&amp;$Z$2)-SUMIFS(SIP[Cost of Units Sold],SIP[B/S],"S",SIP[Investor ID],A107,SIP[Date Value],"&lt;"&amp;$Z$2))</f>
        <v>0</v>
      </c>
      <c r="D107" s="49">
        <f t="shared" si="5"/>
        <v>0</v>
      </c>
      <c r="E107" s="49">
        <f t="shared" si="6"/>
        <v>0</v>
      </c>
      <c r="F107" s="47">
        <f>SUMIFS(LS[Unit],LS[Investor ID],A107,LS[Date Value],"&lt;="&amp;$Z$3)+SUMIFS(SIP[Unit],SIP[Investor ID],A107,SIP[Date Value],"&lt;="&amp;$Z$3)</f>
        <v>174370</v>
      </c>
      <c r="G107" s="49">
        <f>(SUMIFS(LS[Amount],LS[B/S],"B",LS[Investor ID],A107,LS[Date Value],"&lt;="&amp;$Z$3)-SUMIFS(LS[Cost of Units Sold],LS[B/S],"S",LS[Investor ID],A107,LS[Date Value],"&lt;="&amp;$Z$3))+(SUMIFS(SIP[Amount],SIP[B/S],"B",SIP[Investor ID],A107,SIP[Date Value],"&lt;="&amp;$Z$3)-SUMIFS(SIP[Cost of Units Sold],SIP[B/S],"S",SIP[Investor ID],A107,SIP[Date Value],"&lt;="&amp;$Z$3))</f>
        <v>1900000</v>
      </c>
      <c r="H107" s="49">
        <f t="shared" si="7"/>
        <v>1946666.68</v>
      </c>
      <c r="I107" s="49">
        <f t="shared" si="8"/>
        <v>46666.679999999935</v>
      </c>
      <c r="J107" s="47">
        <f>(SUMIFS(LS[Unit],LS[Investor ID],A107,LS[B/S],"B",LS[Date Value],"&gt;="&amp;$Z$2,LS[Date Value],"&lt;="&amp;$Z$3))+(SUMIFS(SIP[Unit],SIP[Investor ID],A107,SIP[B/S],"B",SIP[Date Value],"&gt;="&amp;$Z$2,SIP[Date Value],"&lt;="&amp;$Z$3))</f>
        <v>174370</v>
      </c>
      <c r="K107" s="49">
        <f>(SUMIFS(LS[Amount],LS[Investor ID],A107,LS[B/S],"B",LS[Date Value],"&gt;="&amp;$Z$2,LS[Date Value],"&lt;="&amp;$Z$3))+(SUMIFS(SIP[Amount],SIP[Investor ID],A107,SIP[B/S],"B",SIP[Date Value],"&gt;="&amp;$Z$2,SIP[Date Value],"&lt;="&amp;$Z$3))</f>
        <v>1900000</v>
      </c>
      <c r="L107" s="47">
        <f>(-SUMIFS(LS[Unit],LS[Investor ID],A107,LS[B/S],"S",LS[Date Value],"&gt;="&amp;$Z$2,LS[Date Value],"&lt;="&amp;$Z$3))+(-SUMIFS(SIP[Unit],SIP[Investor ID],A107,SIP[B/S],"S",SIP[Date Value],"&gt;="&amp;$Z$2,SIP[Date Value],"&lt;="&amp;$Z$3))</f>
        <v>0</v>
      </c>
      <c r="M107" s="49">
        <f>(SUMIFS(LS[Cost of Units Sold],LS[Investor ID],A107,LS[B/S],"S",LS[Date Value],"&gt;="&amp;$Z$2,LS[Date Value],"&lt;="&amp;$Z$3))+(SUMIFS(SIP[Cost of Units Sold],SIP[Investor ID],A107,SIP[B/S],"S",SIP[Date Value],"&gt;="&amp;$Z$2,SIP[Date Value],"&lt;="&amp;$Z$3))</f>
        <v>0</v>
      </c>
      <c r="N107" s="49">
        <f t="shared" si="9"/>
        <v>1900000</v>
      </c>
      <c r="O107" s="49">
        <f>(SUMIFS(LS[Realized Gain],LS[Investor ID],A107,LS[Date Value],"&gt;="&amp;$Z$2,LS[Date Value],"&lt;="&amp;$Z$3))+(SUMIFS(SIP[Realized Gain],SIP[Investor ID],A107,SIP[Date Value],"&gt;="&amp;$Z$2,SIP[Date Value],"&lt;="&amp;$Z$3))</f>
        <v>0</v>
      </c>
      <c r="P107" s="49">
        <v>0</v>
      </c>
      <c r="Q107" s="49">
        <v>0</v>
      </c>
      <c r="R107" s="49">
        <v>0</v>
      </c>
    </row>
    <row r="108" spans="1:18">
      <c r="A108" t="s">
        <v>264</v>
      </c>
      <c r="B108" s="47">
        <f>SUMIFS(LS[Unit],LS[Investor ID],'TAX CERTIFICATE'!A108,LS[Date Value],"&lt;"&amp;$Z$2)+SUMIFS(SIP[Unit],SIP[Investor ID],'TAX CERTIFICATE'!A108,SIP[Date Value],"&lt;"&amp;$Z$2)</f>
        <v>0</v>
      </c>
      <c r="C108" s="48">
        <f>(SUMIFS(LS[Amount],LS[B/S],"B",LS[Investor ID],A108,LS[Date Value],"&lt;"&amp;$Z$2)-SUMIFS(LS[Cost of Units Sold],LS[B/S],"S",LS[Investor ID],A108,LS[Date Value],"&lt;"&amp;$Z$2))+(SUMIFS(SIP[Amount],SIP[B/S],"B",SIP[Investor ID],#REF!,SIP[Date Value],"&lt;"&amp;$Z$2)-SUMIFS(SIP[Cost of Units Sold],SIP[B/S],"S",SIP[Investor ID],A108,SIP[Date Value],"&lt;"&amp;$Z$2))</f>
        <v>0</v>
      </c>
      <c r="D108" s="49">
        <f t="shared" si="5"/>
        <v>0</v>
      </c>
      <c r="E108" s="49">
        <f t="shared" si="6"/>
        <v>0</v>
      </c>
      <c r="F108" s="47">
        <f>SUMIFS(LS[Unit],LS[Investor ID],A108,LS[Date Value],"&lt;="&amp;$Z$3)+SUMIFS(SIP[Unit],SIP[Investor ID],A108,SIP[Date Value],"&lt;="&amp;$Z$3)</f>
        <v>0</v>
      </c>
      <c r="G108" s="49">
        <f>(SUMIFS(LS[Amount],LS[B/S],"B",LS[Investor ID],A108,LS[Date Value],"&lt;="&amp;$Z$3)-SUMIFS(LS[Cost of Units Sold],LS[B/S],"S",LS[Investor ID],A108,LS[Date Value],"&lt;="&amp;$Z$3))+(SUMIFS(SIP[Amount],SIP[B/S],"B",SIP[Investor ID],A108,SIP[Date Value],"&lt;="&amp;$Z$3)-SUMIFS(SIP[Cost of Units Sold],SIP[B/S],"S",SIP[Investor ID],A108,SIP[Date Value],"&lt;="&amp;$Z$3))</f>
        <v>0</v>
      </c>
      <c r="H108" s="49">
        <f t="shared" si="7"/>
        <v>0</v>
      </c>
      <c r="I108" s="49">
        <f t="shared" si="8"/>
        <v>0</v>
      </c>
      <c r="J108" s="47">
        <f>(SUMIFS(LS[Unit],LS[Investor ID],A108,LS[B/S],"B",LS[Date Value],"&gt;="&amp;$Z$2,LS[Date Value],"&lt;="&amp;$Z$3))+(SUMIFS(SIP[Unit],SIP[Investor ID],A108,SIP[B/S],"B",SIP[Date Value],"&gt;="&amp;$Z$2,SIP[Date Value],"&lt;="&amp;$Z$3))</f>
        <v>0</v>
      </c>
      <c r="K108" s="49">
        <f>(SUMIFS(LS[Amount],LS[Investor ID],A108,LS[B/S],"B",LS[Date Value],"&gt;="&amp;$Z$2,LS[Date Value],"&lt;="&amp;$Z$3))+(SUMIFS(SIP[Amount],SIP[Investor ID],A108,SIP[B/S],"B",SIP[Date Value],"&gt;="&amp;$Z$2,SIP[Date Value],"&lt;="&amp;$Z$3))</f>
        <v>0</v>
      </c>
      <c r="L108" s="47">
        <f>(-SUMIFS(LS[Unit],LS[Investor ID],A108,LS[B/S],"S",LS[Date Value],"&gt;="&amp;$Z$2,LS[Date Value],"&lt;="&amp;$Z$3))+(-SUMIFS(SIP[Unit],SIP[Investor ID],A108,SIP[B/S],"S",SIP[Date Value],"&gt;="&amp;$Z$2,SIP[Date Value],"&lt;="&amp;$Z$3))</f>
        <v>0</v>
      </c>
      <c r="M108" s="49">
        <f>(SUMIFS(LS[Cost of Units Sold],LS[Investor ID],A108,LS[B/S],"S",LS[Date Value],"&gt;="&amp;$Z$2,LS[Date Value],"&lt;="&amp;$Z$3))+(SUMIFS(SIP[Cost of Units Sold],SIP[Investor ID],A108,SIP[B/S],"S",SIP[Date Value],"&gt;="&amp;$Z$2,SIP[Date Value],"&lt;="&amp;$Z$3))</f>
        <v>0</v>
      </c>
      <c r="N108" s="49">
        <f t="shared" si="9"/>
        <v>0</v>
      </c>
      <c r="O108" s="49">
        <f>(SUMIFS(LS[Realized Gain],LS[Investor ID],A108,LS[Date Value],"&gt;="&amp;$Z$2,LS[Date Value],"&lt;="&amp;$Z$3))+(SUMIFS(SIP[Realized Gain],SIP[Investor ID],A108,SIP[Date Value],"&gt;="&amp;$Z$2,SIP[Date Value],"&lt;="&amp;$Z$3))</f>
        <v>0</v>
      </c>
      <c r="P108" s="49">
        <v>0</v>
      </c>
      <c r="Q108" s="49">
        <v>0</v>
      </c>
      <c r="R108" s="49">
        <v>0</v>
      </c>
    </row>
    <row r="109" spans="1:18">
      <c r="A109" t="s">
        <v>266</v>
      </c>
      <c r="B109" s="47">
        <f>SUMIFS(LS[Unit],LS[Investor ID],'TAX CERTIFICATE'!A109,LS[Date Value],"&lt;"&amp;$Z$2)+SUMIFS(SIP[Unit],SIP[Investor ID],'TAX CERTIFICATE'!A109,SIP[Date Value],"&lt;"&amp;$Z$2)</f>
        <v>240000</v>
      </c>
      <c r="C109" s="48">
        <f>(SUMIFS(LS[Amount],LS[B/S],"B",LS[Investor ID],A109,LS[Date Value],"&lt;"&amp;$Z$2)-SUMIFS(LS[Cost of Units Sold],LS[B/S],"S",LS[Investor ID],A109,LS[Date Value],"&lt;"&amp;$Z$2))+(SUMIFS(SIP[Amount],SIP[B/S],"B",SIP[Investor ID],#REF!,SIP[Date Value],"&lt;"&amp;$Z$2)-SUMIFS(SIP[Cost of Units Sold],SIP[B/S],"S",SIP[Investor ID],A109,SIP[Date Value],"&lt;"&amp;$Z$2))</f>
        <v>2400000</v>
      </c>
      <c r="D109" s="49">
        <f t="shared" si="5"/>
        <v>2465040</v>
      </c>
      <c r="E109" s="49">
        <f t="shared" si="6"/>
        <v>65040</v>
      </c>
      <c r="F109" s="47">
        <f>SUMIFS(LS[Unit],LS[Investor ID],A109,LS[Date Value],"&lt;="&amp;$Z$3)+SUMIFS(SIP[Unit],SIP[Investor ID],A109,SIP[Date Value],"&lt;="&amp;$Z$3)</f>
        <v>240000</v>
      </c>
      <c r="G109" s="49">
        <f>(SUMIFS(LS[Amount],LS[B/S],"B",LS[Investor ID],A109,LS[Date Value],"&lt;="&amp;$Z$3)-SUMIFS(LS[Cost of Units Sold],LS[B/S],"S",LS[Investor ID],A109,LS[Date Value],"&lt;="&amp;$Z$3))+(SUMIFS(SIP[Amount],SIP[B/S],"B",SIP[Investor ID],A109,SIP[Date Value],"&lt;="&amp;$Z$3)-SUMIFS(SIP[Cost of Units Sold],SIP[B/S],"S",SIP[Investor ID],A109,SIP[Date Value],"&lt;="&amp;$Z$3))</f>
        <v>2400000</v>
      </c>
      <c r="H109" s="49">
        <f t="shared" si="7"/>
        <v>2679360</v>
      </c>
      <c r="I109" s="49">
        <f t="shared" si="8"/>
        <v>279360</v>
      </c>
      <c r="J109" s="47">
        <f>(SUMIFS(LS[Unit],LS[Investor ID],A109,LS[B/S],"B",LS[Date Value],"&gt;="&amp;$Z$2,LS[Date Value],"&lt;="&amp;$Z$3))+(SUMIFS(SIP[Unit],SIP[Investor ID],A109,SIP[B/S],"B",SIP[Date Value],"&gt;="&amp;$Z$2,SIP[Date Value],"&lt;="&amp;$Z$3))</f>
        <v>0</v>
      </c>
      <c r="K109" s="49">
        <f>(SUMIFS(LS[Amount],LS[Investor ID],A109,LS[B/S],"B",LS[Date Value],"&gt;="&amp;$Z$2,LS[Date Value],"&lt;="&amp;$Z$3))+(SUMIFS(SIP[Amount],SIP[Investor ID],A109,SIP[B/S],"B",SIP[Date Value],"&gt;="&amp;$Z$2,SIP[Date Value],"&lt;="&amp;$Z$3))</f>
        <v>0</v>
      </c>
      <c r="L109" s="47">
        <f>(-SUMIFS(LS[Unit],LS[Investor ID],A109,LS[B/S],"S",LS[Date Value],"&gt;="&amp;$Z$2,LS[Date Value],"&lt;="&amp;$Z$3))+(-SUMIFS(SIP[Unit],SIP[Investor ID],A109,SIP[B/S],"S",SIP[Date Value],"&gt;="&amp;$Z$2,SIP[Date Value],"&lt;="&amp;$Z$3))</f>
        <v>0</v>
      </c>
      <c r="M109" s="49">
        <f>(SUMIFS(LS[Cost of Units Sold],LS[Investor ID],A109,LS[B/S],"S",LS[Date Value],"&gt;="&amp;$Z$2,LS[Date Value],"&lt;="&amp;$Z$3))+(SUMIFS(SIP[Cost of Units Sold],SIP[Investor ID],A109,SIP[B/S],"S",SIP[Date Value],"&gt;="&amp;$Z$2,SIP[Date Value],"&lt;="&amp;$Z$3))</f>
        <v>0</v>
      </c>
      <c r="N109" s="49">
        <f t="shared" si="9"/>
        <v>0</v>
      </c>
      <c r="O109" s="49">
        <f>(SUMIFS(LS[Realized Gain],LS[Investor ID],A109,LS[Date Value],"&gt;="&amp;$Z$2,LS[Date Value],"&lt;="&amp;$Z$3))+(SUMIFS(SIP[Realized Gain],SIP[Investor ID],A109,SIP[Date Value],"&gt;="&amp;$Z$2,SIP[Date Value],"&lt;="&amp;$Z$3))</f>
        <v>0</v>
      </c>
      <c r="P109" s="49">
        <v>0</v>
      </c>
      <c r="Q109" s="49">
        <v>0</v>
      </c>
      <c r="R109" s="49">
        <v>0</v>
      </c>
    </row>
    <row r="110" spans="1:18">
      <c r="A110" t="s">
        <v>268</v>
      </c>
      <c r="B110" s="47">
        <f>SUMIFS(LS[Unit],LS[Investor ID],'TAX CERTIFICATE'!A110,LS[Date Value],"&lt;"&amp;$Z$2)+SUMIFS(SIP[Unit],SIP[Investor ID],'TAX CERTIFICATE'!A110,SIP[Date Value],"&lt;"&amp;$Z$2)</f>
        <v>0</v>
      </c>
      <c r="C110" s="48">
        <f>(SUMIFS(LS[Amount],LS[B/S],"B",LS[Investor ID],A110,LS[Date Value],"&lt;"&amp;$Z$2)-SUMIFS(LS[Cost of Units Sold],LS[B/S],"S",LS[Investor ID],A110,LS[Date Value],"&lt;"&amp;$Z$2))+(SUMIFS(SIP[Amount],SIP[B/S],"B",SIP[Investor ID],#REF!,SIP[Date Value],"&lt;"&amp;$Z$2)-SUMIFS(SIP[Cost of Units Sold],SIP[B/S],"S",SIP[Investor ID],A110,SIP[Date Value],"&lt;"&amp;$Z$2))</f>
        <v>0</v>
      </c>
      <c r="D110" s="49">
        <f t="shared" si="5"/>
        <v>0</v>
      </c>
      <c r="E110" s="49">
        <f t="shared" si="6"/>
        <v>0</v>
      </c>
      <c r="F110" s="47">
        <f>SUMIFS(LS[Unit],LS[Investor ID],A110,LS[Date Value],"&lt;="&amp;$Z$3)+SUMIFS(SIP[Unit],SIP[Investor ID],A110,SIP[Date Value],"&lt;="&amp;$Z$3)</f>
        <v>0</v>
      </c>
      <c r="G110" s="49">
        <f>(SUMIFS(LS[Amount],LS[B/S],"B",LS[Investor ID],A110,LS[Date Value],"&lt;="&amp;$Z$3)-SUMIFS(LS[Cost of Units Sold],LS[B/S],"S",LS[Investor ID],A110,LS[Date Value],"&lt;="&amp;$Z$3))+(SUMIFS(SIP[Amount],SIP[B/S],"B",SIP[Investor ID],A110,SIP[Date Value],"&lt;="&amp;$Z$3)-SUMIFS(SIP[Cost of Units Sold],SIP[B/S],"S",SIP[Investor ID],A110,SIP[Date Value],"&lt;="&amp;$Z$3))</f>
        <v>0</v>
      </c>
      <c r="H110" s="49">
        <f t="shared" si="7"/>
        <v>0</v>
      </c>
      <c r="I110" s="49">
        <f t="shared" si="8"/>
        <v>0</v>
      </c>
      <c r="J110" s="47">
        <f>(SUMIFS(LS[Unit],LS[Investor ID],A110,LS[B/S],"B",LS[Date Value],"&gt;="&amp;$Z$2,LS[Date Value],"&lt;="&amp;$Z$3))+(SUMIFS(SIP[Unit],SIP[Investor ID],A110,SIP[B/S],"B",SIP[Date Value],"&gt;="&amp;$Z$2,SIP[Date Value],"&lt;="&amp;$Z$3))</f>
        <v>0</v>
      </c>
      <c r="K110" s="49">
        <f>(SUMIFS(LS[Amount],LS[Investor ID],A110,LS[B/S],"B",LS[Date Value],"&gt;="&amp;$Z$2,LS[Date Value],"&lt;="&amp;$Z$3))+(SUMIFS(SIP[Amount],SIP[Investor ID],A110,SIP[B/S],"B",SIP[Date Value],"&gt;="&amp;$Z$2,SIP[Date Value],"&lt;="&amp;$Z$3))</f>
        <v>0</v>
      </c>
      <c r="L110" s="47">
        <f>(-SUMIFS(LS[Unit],LS[Investor ID],A110,LS[B/S],"S",LS[Date Value],"&gt;="&amp;$Z$2,LS[Date Value],"&lt;="&amp;$Z$3))+(-SUMIFS(SIP[Unit],SIP[Investor ID],A110,SIP[B/S],"S",SIP[Date Value],"&gt;="&amp;$Z$2,SIP[Date Value],"&lt;="&amp;$Z$3))</f>
        <v>0</v>
      </c>
      <c r="M110" s="49">
        <f>(SUMIFS(LS[Cost of Units Sold],LS[Investor ID],A110,LS[B/S],"S",LS[Date Value],"&gt;="&amp;$Z$2,LS[Date Value],"&lt;="&amp;$Z$3))+(SUMIFS(SIP[Cost of Units Sold],SIP[Investor ID],A110,SIP[B/S],"S",SIP[Date Value],"&gt;="&amp;$Z$2,SIP[Date Value],"&lt;="&amp;$Z$3))</f>
        <v>0</v>
      </c>
      <c r="N110" s="49">
        <f t="shared" si="9"/>
        <v>0</v>
      </c>
      <c r="O110" s="49">
        <f>(SUMIFS(LS[Realized Gain],LS[Investor ID],A110,LS[Date Value],"&gt;="&amp;$Z$2,LS[Date Value],"&lt;="&amp;$Z$3))+(SUMIFS(SIP[Realized Gain],SIP[Investor ID],A110,SIP[Date Value],"&gt;="&amp;$Z$2,SIP[Date Value],"&lt;="&amp;$Z$3))</f>
        <v>0</v>
      </c>
      <c r="P110" s="49">
        <v>0</v>
      </c>
      <c r="Q110" s="49">
        <v>0</v>
      </c>
      <c r="R110" s="49">
        <v>0</v>
      </c>
    </row>
    <row r="111" spans="1:18">
      <c r="A111" t="s">
        <v>270</v>
      </c>
      <c r="B111" s="47">
        <f>SUMIFS(LS[Unit],LS[Investor ID],'TAX CERTIFICATE'!A111,LS[Date Value],"&lt;"&amp;$Z$2)+SUMIFS(SIP[Unit],SIP[Investor ID],'TAX CERTIFICATE'!A111,SIP[Date Value],"&lt;"&amp;$Z$2)</f>
        <v>0</v>
      </c>
      <c r="C111" s="48">
        <f>(SUMIFS(LS[Amount],LS[B/S],"B",LS[Investor ID],A111,LS[Date Value],"&lt;"&amp;$Z$2)-SUMIFS(LS[Cost of Units Sold],LS[B/S],"S",LS[Investor ID],A111,LS[Date Value],"&lt;"&amp;$Z$2))+(SUMIFS(SIP[Amount],SIP[B/S],"B",SIP[Investor ID],#REF!,SIP[Date Value],"&lt;"&amp;$Z$2)-SUMIFS(SIP[Cost of Units Sold],SIP[B/S],"S",SIP[Investor ID],A111,SIP[Date Value],"&lt;"&amp;$Z$2))</f>
        <v>0</v>
      </c>
      <c r="D111" s="49">
        <f t="shared" si="5"/>
        <v>0</v>
      </c>
      <c r="E111" s="49">
        <f t="shared" si="6"/>
        <v>0</v>
      </c>
      <c r="F111" s="47">
        <f>SUMIFS(LS[Unit],LS[Investor ID],A111,LS[Date Value],"&lt;="&amp;$Z$3)+SUMIFS(SIP[Unit],SIP[Investor ID],A111,SIP[Date Value],"&lt;="&amp;$Z$3)</f>
        <v>0</v>
      </c>
      <c r="G111" s="49">
        <f>(SUMIFS(LS[Amount],LS[B/S],"B",LS[Investor ID],A111,LS[Date Value],"&lt;="&amp;$Z$3)-SUMIFS(LS[Cost of Units Sold],LS[B/S],"S",LS[Investor ID],A111,LS[Date Value],"&lt;="&amp;$Z$3))+(SUMIFS(SIP[Amount],SIP[B/S],"B",SIP[Investor ID],A111,SIP[Date Value],"&lt;="&amp;$Z$3)-SUMIFS(SIP[Cost of Units Sold],SIP[B/S],"S",SIP[Investor ID],A111,SIP[Date Value],"&lt;="&amp;$Z$3))</f>
        <v>0</v>
      </c>
      <c r="H111" s="49">
        <f t="shared" si="7"/>
        <v>0</v>
      </c>
      <c r="I111" s="49">
        <f t="shared" si="8"/>
        <v>0</v>
      </c>
      <c r="J111" s="47">
        <f>(SUMIFS(LS[Unit],LS[Investor ID],A111,LS[B/S],"B",LS[Date Value],"&gt;="&amp;$Z$2,LS[Date Value],"&lt;="&amp;$Z$3))+(SUMIFS(SIP[Unit],SIP[Investor ID],A111,SIP[B/S],"B",SIP[Date Value],"&gt;="&amp;$Z$2,SIP[Date Value],"&lt;="&amp;$Z$3))</f>
        <v>0</v>
      </c>
      <c r="K111" s="49">
        <f>(SUMIFS(LS[Amount],LS[Investor ID],A111,LS[B/S],"B",LS[Date Value],"&gt;="&amp;$Z$2,LS[Date Value],"&lt;="&amp;$Z$3))+(SUMIFS(SIP[Amount],SIP[Investor ID],A111,SIP[B/S],"B",SIP[Date Value],"&gt;="&amp;$Z$2,SIP[Date Value],"&lt;="&amp;$Z$3))</f>
        <v>0</v>
      </c>
      <c r="L111" s="47">
        <f>(-SUMIFS(LS[Unit],LS[Investor ID],A111,LS[B/S],"S",LS[Date Value],"&gt;="&amp;$Z$2,LS[Date Value],"&lt;="&amp;$Z$3))+(-SUMIFS(SIP[Unit],SIP[Investor ID],A111,SIP[B/S],"S",SIP[Date Value],"&gt;="&amp;$Z$2,SIP[Date Value],"&lt;="&amp;$Z$3))</f>
        <v>0</v>
      </c>
      <c r="M111" s="49">
        <f>(SUMIFS(LS[Cost of Units Sold],LS[Investor ID],A111,LS[B/S],"S",LS[Date Value],"&gt;="&amp;$Z$2,LS[Date Value],"&lt;="&amp;$Z$3))+(SUMIFS(SIP[Cost of Units Sold],SIP[Investor ID],A111,SIP[B/S],"S",SIP[Date Value],"&gt;="&amp;$Z$2,SIP[Date Value],"&lt;="&amp;$Z$3))</f>
        <v>0</v>
      </c>
      <c r="N111" s="49">
        <f t="shared" si="9"/>
        <v>0</v>
      </c>
      <c r="O111" s="49">
        <f>(SUMIFS(LS[Realized Gain],LS[Investor ID],A111,LS[Date Value],"&gt;="&amp;$Z$2,LS[Date Value],"&lt;="&amp;$Z$3))+(SUMIFS(SIP[Realized Gain],SIP[Investor ID],A111,SIP[Date Value],"&gt;="&amp;$Z$2,SIP[Date Value],"&lt;="&amp;$Z$3))</f>
        <v>0</v>
      </c>
      <c r="P111" s="49">
        <v>0</v>
      </c>
      <c r="Q111" s="49">
        <v>0</v>
      </c>
      <c r="R111" s="49">
        <v>0</v>
      </c>
    </row>
    <row r="112" spans="1:18">
      <c r="A112" t="s">
        <v>272</v>
      </c>
      <c r="B112" s="47">
        <f>SUMIFS(LS[Unit],LS[Investor ID],'TAX CERTIFICATE'!A112,LS[Date Value],"&lt;"&amp;$Z$2)+SUMIFS(SIP[Unit],SIP[Investor ID],'TAX CERTIFICATE'!A112,SIP[Date Value],"&lt;"&amp;$Z$2)</f>
        <v>0</v>
      </c>
      <c r="C112" s="48">
        <f>(SUMIFS(LS[Amount],LS[B/S],"B",LS[Investor ID],A112,LS[Date Value],"&lt;"&amp;$Z$2)-SUMIFS(LS[Cost of Units Sold],LS[B/S],"S",LS[Investor ID],A112,LS[Date Value],"&lt;"&amp;$Z$2))+(SUMIFS(SIP[Amount],SIP[B/S],"B",SIP[Investor ID],#REF!,SIP[Date Value],"&lt;"&amp;$Z$2)-SUMIFS(SIP[Cost of Units Sold],SIP[B/S],"S",SIP[Investor ID],A112,SIP[Date Value],"&lt;"&amp;$Z$2))</f>
        <v>0</v>
      </c>
      <c r="D112" s="49">
        <f t="shared" si="5"/>
        <v>0</v>
      </c>
      <c r="E112" s="49">
        <f t="shared" si="6"/>
        <v>0</v>
      </c>
      <c r="F112" s="47">
        <f>SUMIFS(LS[Unit],LS[Investor ID],A112,LS[Date Value],"&lt;="&amp;$Z$3)+SUMIFS(SIP[Unit],SIP[Investor ID],A112,SIP[Date Value],"&lt;="&amp;$Z$3)</f>
        <v>0</v>
      </c>
      <c r="G112" s="49">
        <f>(SUMIFS(LS[Amount],LS[B/S],"B",LS[Investor ID],A112,LS[Date Value],"&lt;="&amp;$Z$3)-SUMIFS(LS[Cost of Units Sold],LS[B/S],"S",LS[Investor ID],A112,LS[Date Value],"&lt;="&amp;$Z$3))+(SUMIFS(SIP[Amount],SIP[B/S],"B",SIP[Investor ID],A112,SIP[Date Value],"&lt;="&amp;$Z$3)-SUMIFS(SIP[Cost of Units Sold],SIP[B/S],"S",SIP[Investor ID],A112,SIP[Date Value],"&lt;="&amp;$Z$3))</f>
        <v>0</v>
      </c>
      <c r="H112" s="49">
        <f t="shared" si="7"/>
        <v>0</v>
      </c>
      <c r="I112" s="49">
        <f t="shared" si="8"/>
        <v>0</v>
      </c>
      <c r="J112" s="47">
        <f>(SUMIFS(LS[Unit],LS[Investor ID],A112,LS[B/S],"B",LS[Date Value],"&gt;="&amp;$Z$2,LS[Date Value],"&lt;="&amp;$Z$3))+(SUMIFS(SIP[Unit],SIP[Investor ID],A112,SIP[B/S],"B",SIP[Date Value],"&gt;="&amp;$Z$2,SIP[Date Value],"&lt;="&amp;$Z$3))</f>
        <v>0</v>
      </c>
      <c r="K112" s="49">
        <f>(SUMIFS(LS[Amount],LS[Investor ID],A112,LS[B/S],"B",LS[Date Value],"&gt;="&amp;$Z$2,LS[Date Value],"&lt;="&amp;$Z$3))+(SUMIFS(SIP[Amount],SIP[Investor ID],A112,SIP[B/S],"B",SIP[Date Value],"&gt;="&amp;$Z$2,SIP[Date Value],"&lt;="&amp;$Z$3))</f>
        <v>0</v>
      </c>
      <c r="L112" s="47">
        <f>(-SUMIFS(LS[Unit],LS[Investor ID],A112,LS[B/S],"S",LS[Date Value],"&gt;="&amp;$Z$2,LS[Date Value],"&lt;="&amp;$Z$3))+(-SUMIFS(SIP[Unit],SIP[Investor ID],A112,SIP[B/S],"S",SIP[Date Value],"&gt;="&amp;$Z$2,SIP[Date Value],"&lt;="&amp;$Z$3))</f>
        <v>0</v>
      </c>
      <c r="M112" s="49">
        <f>(SUMIFS(LS[Cost of Units Sold],LS[Investor ID],A112,LS[B/S],"S",LS[Date Value],"&gt;="&amp;$Z$2,LS[Date Value],"&lt;="&amp;$Z$3))+(SUMIFS(SIP[Cost of Units Sold],SIP[Investor ID],A112,SIP[B/S],"S",SIP[Date Value],"&gt;="&amp;$Z$2,SIP[Date Value],"&lt;="&amp;$Z$3))</f>
        <v>0</v>
      </c>
      <c r="N112" s="49">
        <f t="shared" si="9"/>
        <v>0</v>
      </c>
      <c r="O112" s="49">
        <f>(SUMIFS(LS[Realized Gain],LS[Investor ID],A112,LS[Date Value],"&gt;="&amp;$Z$2,LS[Date Value],"&lt;="&amp;$Z$3))+(SUMIFS(SIP[Realized Gain],SIP[Investor ID],A112,SIP[Date Value],"&gt;="&amp;$Z$2,SIP[Date Value],"&lt;="&amp;$Z$3))</f>
        <v>0</v>
      </c>
      <c r="P112" s="49">
        <v>0</v>
      </c>
      <c r="Q112" s="49">
        <v>0</v>
      </c>
      <c r="R112" s="49">
        <v>0</v>
      </c>
    </row>
    <row r="113" spans="1:18">
      <c r="A113" t="s">
        <v>274</v>
      </c>
      <c r="B113" s="47">
        <f>SUMIFS(LS[Unit],LS[Investor ID],'TAX CERTIFICATE'!A113,LS[Date Value],"&lt;"&amp;$Z$2)+SUMIFS(SIP[Unit],SIP[Investor ID],'TAX CERTIFICATE'!A113,SIP[Date Value],"&lt;"&amp;$Z$2)</f>
        <v>0</v>
      </c>
      <c r="C113" s="48">
        <f>(SUMIFS(LS[Amount],LS[B/S],"B",LS[Investor ID],A113,LS[Date Value],"&lt;"&amp;$Z$2)-SUMIFS(LS[Cost of Units Sold],LS[B/S],"S",LS[Investor ID],A113,LS[Date Value],"&lt;"&amp;$Z$2))+(SUMIFS(SIP[Amount],SIP[B/S],"B",SIP[Investor ID],#REF!,SIP[Date Value],"&lt;"&amp;$Z$2)-SUMIFS(SIP[Cost of Units Sold],SIP[B/S],"S",SIP[Investor ID],A113,SIP[Date Value],"&lt;"&amp;$Z$2))</f>
        <v>0</v>
      </c>
      <c r="D113" s="49">
        <f t="shared" si="5"/>
        <v>0</v>
      </c>
      <c r="E113" s="49">
        <f t="shared" si="6"/>
        <v>0</v>
      </c>
      <c r="F113" s="47">
        <f>SUMIFS(LS[Unit],LS[Investor ID],A113,LS[Date Value],"&lt;="&amp;$Z$3)+SUMIFS(SIP[Unit],SIP[Investor ID],A113,SIP[Date Value],"&lt;="&amp;$Z$3)</f>
        <v>0</v>
      </c>
      <c r="G113" s="49">
        <f>(SUMIFS(LS[Amount],LS[B/S],"B",LS[Investor ID],A113,LS[Date Value],"&lt;="&amp;$Z$3)-SUMIFS(LS[Cost of Units Sold],LS[B/S],"S",LS[Investor ID],A113,LS[Date Value],"&lt;="&amp;$Z$3))+(SUMIFS(SIP[Amount],SIP[B/S],"B",SIP[Investor ID],A113,SIP[Date Value],"&lt;="&amp;$Z$3)-SUMIFS(SIP[Cost of Units Sold],SIP[B/S],"S",SIP[Investor ID],A113,SIP[Date Value],"&lt;="&amp;$Z$3))</f>
        <v>0</v>
      </c>
      <c r="H113" s="49">
        <f t="shared" si="7"/>
        <v>0</v>
      </c>
      <c r="I113" s="49">
        <f t="shared" si="8"/>
        <v>0</v>
      </c>
      <c r="J113" s="47">
        <f>(SUMIFS(LS[Unit],LS[Investor ID],A113,LS[B/S],"B",LS[Date Value],"&gt;="&amp;$Z$2,LS[Date Value],"&lt;="&amp;$Z$3))+(SUMIFS(SIP[Unit],SIP[Investor ID],A113,SIP[B/S],"B",SIP[Date Value],"&gt;="&amp;$Z$2,SIP[Date Value],"&lt;="&amp;$Z$3))</f>
        <v>0</v>
      </c>
      <c r="K113" s="49">
        <f>(SUMIFS(LS[Amount],LS[Investor ID],A113,LS[B/S],"B",LS[Date Value],"&gt;="&amp;$Z$2,LS[Date Value],"&lt;="&amp;$Z$3))+(SUMIFS(SIP[Amount],SIP[Investor ID],A113,SIP[B/S],"B",SIP[Date Value],"&gt;="&amp;$Z$2,SIP[Date Value],"&lt;="&amp;$Z$3))</f>
        <v>0</v>
      </c>
      <c r="L113" s="47">
        <f>(-SUMIFS(LS[Unit],LS[Investor ID],A113,LS[B/S],"S",LS[Date Value],"&gt;="&amp;$Z$2,LS[Date Value],"&lt;="&amp;$Z$3))+(-SUMIFS(SIP[Unit],SIP[Investor ID],A113,SIP[B/S],"S",SIP[Date Value],"&gt;="&amp;$Z$2,SIP[Date Value],"&lt;="&amp;$Z$3))</f>
        <v>0</v>
      </c>
      <c r="M113" s="49">
        <f>(SUMIFS(LS[Cost of Units Sold],LS[Investor ID],A113,LS[B/S],"S",LS[Date Value],"&gt;="&amp;$Z$2,LS[Date Value],"&lt;="&amp;$Z$3))+(SUMIFS(SIP[Cost of Units Sold],SIP[Investor ID],A113,SIP[B/S],"S",SIP[Date Value],"&gt;="&amp;$Z$2,SIP[Date Value],"&lt;="&amp;$Z$3))</f>
        <v>0</v>
      </c>
      <c r="N113" s="49">
        <f t="shared" si="9"/>
        <v>0</v>
      </c>
      <c r="O113" s="49">
        <f>(SUMIFS(LS[Realized Gain],LS[Investor ID],A113,LS[Date Value],"&gt;="&amp;$Z$2,LS[Date Value],"&lt;="&amp;$Z$3))+(SUMIFS(SIP[Realized Gain],SIP[Investor ID],A113,SIP[Date Value],"&gt;="&amp;$Z$2,SIP[Date Value],"&lt;="&amp;$Z$3))</f>
        <v>0</v>
      </c>
      <c r="P113" s="49">
        <v>0</v>
      </c>
      <c r="Q113" s="49">
        <v>0</v>
      </c>
      <c r="R113" s="49">
        <v>0</v>
      </c>
    </row>
    <row r="114" spans="1:18">
      <c r="A114" t="s">
        <v>276</v>
      </c>
      <c r="B114" s="47">
        <f>SUMIFS(LS[Unit],LS[Investor ID],'TAX CERTIFICATE'!A114,LS[Date Value],"&lt;"&amp;$Z$2)+SUMIFS(SIP[Unit],SIP[Investor ID],'TAX CERTIFICATE'!A114,SIP[Date Value],"&lt;"&amp;$Z$2)</f>
        <v>0</v>
      </c>
      <c r="C114" s="48">
        <f>(SUMIFS(LS[Amount],LS[B/S],"B",LS[Investor ID],A114,LS[Date Value],"&lt;"&amp;$Z$2)-SUMIFS(LS[Cost of Units Sold],LS[B/S],"S",LS[Investor ID],A114,LS[Date Value],"&lt;"&amp;$Z$2))+(SUMIFS(SIP[Amount],SIP[B/S],"B",SIP[Investor ID],#REF!,SIP[Date Value],"&lt;"&amp;$Z$2)-SUMIFS(SIP[Cost of Units Sold],SIP[B/S],"S",SIP[Investor ID],A114,SIP[Date Value],"&lt;"&amp;$Z$2))</f>
        <v>0</v>
      </c>
      <c r="D114" s="49">
        <f t="shared" si="5"/>
        <v>0</v>
      </c>
      <c r="E114" s="49">
        <f t="shared" si="6"/>
        <v>0</v>
      </c>
      <c r="F114" s="47">
        <f>SUMIFS(LS[Unit],LS[Investor ID],A114,LS[Date Value],"&lt;="&amp;$Z$3)+SUMIFS(SIP[Unit],SIP[Investor ID],A114,SIP[Date Value],"&lt;="&amp;$Z$3)</f>
        <v>0</v>
      </c>
      <c r="G114" s="49">
        <f>(SUMIFS(LS[Amount],LS[B/S],"B",LS[Investor ID],A114,LS[Date Value],"&lt;="&amp;$Z$3)-SUMIFS(LS[Cost of Units Sold],LS[B/S],"S",LS[Investor ID],A114,LS[Date Value],"&lt;="&amp;$Z$3))+(SUMIFS(SIP[Amount],SIP[B/S],"B",SIP[Investor ID],A114,SIP[Date Value],"&lt;="&amp;$Z$3)-SUMIFS(SIP[Cost of Units Sold],SIP[B/S],"S",SIP[Investor ID],A114,SIP[Date Value],"&lt;="&amp;$Z$3))</f>
        <v>0</v>
      </c>
      <c r="H114" s="49">
        <f t="shared" si="7"/>
        <v>0</v>
      </c>
      <c r="I114" s="49">
        <f t="shared" si="8"/>
        <v>0</v>
      </c>
      <c r="J114" s="47">
        <f>(SUMIFS(LS[Unit],LS[Investor ID],A114,LS[B/S],"B",LS[Date Value],"&gt;="&amp;$Z$2,LS[Date Value],"&lt;="&amp;$Z$3))+(SUMIFS(SIP[Unit],SIP[Investor ID],A114,SIP[B/S],"B",SIP[Date Value],"&gt;="&amp;$Z$2,SIP[Date Value],"&lt;="&amp;$Z$3))</f>
        <v>0</v>
      </c>
      <c r="K114" s="49">
        <f>(SUMIFS(LS[Amount],LS[Investor ID],A114,LS[B/S],"B",LS[Date Value],"&gt;="&amp;$Z$2,LS[Date Value],"&lt;="&amp;$Z$3))+(SUMIFS(SIP[Amount],SIP[Investor ID],A114,SIP[B/S],"B",SIP[Date Value],"&gt;="&amp;$Z$2,SIP[Date Value],"&lt;="&amp;$Z$3))</f>
        <v>0</v>
      </c>
      <c r="L114" s="47">
        <f>(-SUMIFS(LS[Unit],LS[Investor ID],A114,LS[B/S],"S",LS[Date Value],"&gt;="&amp;$Z$2,LS[Date Value],"&lt;="&amp;$Z$3))+(-SUMIFS(SIP[Unit],SIP[Investor ID],A114,SIP[B/S],"S",SIP[Date Value],"&gt;="&amp;$Z$2,SIP[Date Value],"&lt;="&amp;$Z$3))</f>
        <v>0</v>
      </c>
      <c r="M114" s="49">
        <f>(SUMIFS(LS[Cost of Units Sold],LS[Investor ID],A114,LS[B/S],"S",LS[Date Value],"&gt;="&amp;$Z$2,LS[Date Value],"&lt;="&amp;$Z$3))+(SUMIFS(SIP[Cost of Units Sold],SIP[Investor ID],A114,SIP[B/S],"S",SIP[Date Value],"&gt;="&amp;$Z$2,SIP[Date Value],"&lt;="&amp;$Z$3))</f>
        <v>0</v>
      </c>
      <c r="N114" s="49">
        <f t="shared" si="9"/>
        <v>0</v>
      </c>
      <c r="O114" s="49">
        <f>(SUMIFS(LS[Realized Gain],LS[Investor ID],A114,LS[Date Value],"&gt;="&amp;$Z$2,LS[Date Value],"&lt;="&amp;$Z$3))+(SUMIFS(SIP[Realized Gain],SIP[Investor ID],A114,SIP[Date Value],"&gt;="&amp;$Z$2,SIP[Date Value],"&lt;="&amp;$Z$3))</f>
        <v>0</v>
      </c>
      <c r="P114" s="49">
        <v>0</v>
      </c>
      <c r="Q114" s="49">
        <v>0</v>
      </c>
      <c r="R114" s="49">
        <v>0</v>
      </c>
    </row>
    <row r="115" spans="1:18">
      <c r="A115" t="s">
        <v>278</v>
      </c>
      <c r="B115" s="47">
        <f>SUMIFS(LS[Unit],LS[Investor ID],'TAX CERTIFICATE'!A115,LS[Date Value],"&lt;"&amp;$Z$2)+SUMIFS(SIP[Unit],SIP[Investor ID],'TAX CERTIFICATE'!A115,SIP[Date Value],"&lt;"&amp;$Z$2)</f>
        <v>9890</v>
      </c>
      <c r="C115" s="48">
        <f>(SUMIFS(LS[Amount],LS[B/S],"B",LS[Investor ID],A115,LS[Date Value],"&lt;"&amp;$Z$2)-SUMIFS(LS[Cost of Units Sold],LS[B/S],"S",LS[Investor ID],A115,LS[Date Value],"&lt;"&amp;$Z$2))+(SUMIFS(SIP[Amount],SIP[B/S],"B",SIP[Investor ID],#REF!,SIP[Date Value],"&lt;"&amp;$Z$2)-SUMIFS(SIP[Cost of Units Sold],SIP[B/S],"S",SIP[Investor ID],A115,SIP[Date Value],"&lt;"&amp;$Z$2))</f>
        <v>100000</v>
      </c>
      <c r="D115" s="49">
        <f t="shared" si="5"/>
        <v>101580.19</v>
      </c>
      <c r="E115" s="49">
        <f t="shared" si="6"/>
        <v>1580.1900000000023</v>
      </c>
      <c r="F115" s="47">
        <f>SUMIFS(LS[Unit],LS[Investor ID],A115,LS[Date Value],"&lt;="&amp;$Z$3)+SUMIFS(SIP[Unit],SIP[Investor ID],A115,SIP[Date Value],"&lt;="&amp;$Z$3)</f>
        <v>20994</v>
      </c>
      <c r="G115" s="49">
        <f>(SUMIFS(LS[Amount],LS[B/S],"B",LS[Investor ID],A115,LS[Date Value],"&lt;="&amp;$Z$3)-SUMIFS(LS[Cost of Units Sold],LS[B/S],"S",LS[Investor ID],A115,LS[Date Value],"&lt;="&amp;$Z$3))+(SUMIFS(SIP[Amount],SIP[B/S],"B",SIP[Investor ID],A115,SIP[Date Value],"&lt;="&amp;$Z$3)-SUMIFS(SIP[Cost of Units Sold],SIP[B/S],"S",SIP[Investor ID],A115,SIP[Date Value],"&lt;="&amp;$Z$3))</f>
        <v>221000</v>
      </c>
      <c r="H115" s="49">
        <f t="shared" si="7"/>
        <v>234377.016</v>
      </c>
      <c r="I115" s="49">
        <f t="shared" si="8"/>
        <v>13377.016000000003</v>
      </c>
      <c r="J115" s="47">
        <f>(SUMIFS(LS[Unit],LS[Investor ID],A115,LS[B/S],"B",LS[Date Value],"&gt;="&amp;$Z$2,LS[Date Value],"&lt;="&amp;$Z$3))+(SUMIFS(SIP[Unit],SIP[Investor ID],A115,SIP[B/S],"B",SIP[Date Value],"&gt;="&amp;$Z$2,SIP[Date Value],"&lt;="&amp;$Z$3))</f>
        <v>11104</v>
      </c>
      <c r="K115" s="49">
        <f>(SUMIFS(LS[Amount],LS[Investor ID],A115,LS[B/S],"B",LS[Date Value],"&gt;="&amp;$Z$2,LS[Date Value],"&lt;="&amp;$Z$3))+(SUMIFS(SIP[Amount],SIP[Investor ID],A115,SIP[B/S],"B",SIP[Date Value],"&gt;="&amp;$Z$2,SIP[Date Value],"&lt;="&amp;$Z$3))</f>
        <v>121000</v>
      </c>
      <c r="L115" s="47">
        <f>(-SUMIFS(LS[Unit],LS[Investor ID],A115,LS[B/S],"S",LS[Date Value],"&gt;="&amp;$Z$2,LS[Date Value],"&lt;="&amp;$Z$3))+(-SUMIFS(SIP[Unit],SIP[Investor ID],A115,SIP[B/S],"S",SIP[Date Value],"&gt;="&amp;$Z$2,SIP[Date Value],"&lt;="&amp;$Z$3))</f>
        <v>0</v>
      </c>
      <c r="M115" s="49">
        <f>(SUMIFS(LS[Cost of Units Sold],LS[Investor ID],A115,LS[B/S],"S",LS[Date Value],"&gt;="&amp;$Z$2,LS[Date Value],"&lt;="&amp;$Z$3))+(SUMIFS(SIP[Cost of Units Sold],SIP[Investor ID],A115,SIP[B/S],"S",SIP[Date Value],"&gt;="&amp;$Z$2,SIP[Date Value],"&lt;="&amp;$Z$3))</f>
        <v>0</v>
      </c>
      <c r="N115" s="49">
        <f t="shared" si="9"/>
        <v>121000</v>
      </c>
      <c r="O115" s="49">
        <f>(SUMIFS(LS[Realized Gain],LS[Investor ID],A115,LS[Date Value],"&gt;="&amp;$Z$2,LS[Date Value],"&lt;="&amp;$Z$3))+(SUMIFS(SIP[Realized Gain],SIP[Investor ID],A115,SIP[Date Value],"&gt;="&amp;$Z$2,SIP[Date Value],"&lt;="&amp;$Z$3))</f>
        <v>0</v>
      </c>
      <c r="P115" s="49">
        <v>0</v>
      </c>
      <c r="Q115" s="49">
        <v>0</v>
      </c>
      <c r="R115" s="49">
        <v>0</v>
      </c>
    </row>
    <row r="116" spans="1:18">
      <c r="A116" t="s">
        <v>280</v>
      </c>
      <c r="B116" s="47">
        <f>SUMIFS(LS[Unit],LS[Investor ID],'TAX CERTIFICATE'!A116,LS[Date Value],"&lt;"&amp;$Z$2)+SUMIFS(SIP[Unit],SIP[Investor ID],'TAX CERTIFICATE'!A116,SIP[Date Value],"&lt;"&amp;$Z$2)</f>
        <v>0</v>
      </c>
      <c r="C116" s="48">
        <f>(SUMIFS(LS[Amount],LS[B/S],"B",LS[Investor ID],A116,LS[Date Value],"&lt;"&amp;$Z$2)-SUMIFS(LS[Cost of Units Sold],LS[B/S],"S",LS[Investor ID],A116,LS[Date Value],"&lt;"&amp;$Z$2))+(SUMIFS(SIP[Amount],SIP[B/S],"B",SIP[Investor ID],#REF!,SIP[Date Value],"&lt;"&amp;$Z$2)-SUMIFS(SIP[Cost of Units Sold],SIP[B/S],"S",SIP[Investor ID],A116,SIP[Date Value],"&lt;"&amp;$Z$2))</f>
        <v>0</v>
      </c>
      <c r="D116" s="49">
        <f t="shared" si="5"/>
        <v>0</v>
      </c>
      <c r="E116" s="49">
        <f t="shared" si="6"/>
        <v>0</v>
      </c>
      <c r="F116" s="47">
        <f>SUMIFS(LS[Unit],LS[Investor ID],A116,LS[Date Value],"&lt;="&amp;$Z$3)+SUMIFS(SIP[Unit],SIP[Investor ID],A116,SIP[Date Value],"&lt;="&amp;$Z$3)</f>
        <v>1406265</v>
      </c>
      <c r="G116" s="49">
        <f>(SUMIFS(LS[Amount],LS[B/S],"B",LS[Investor ID],A116,LS[Date Value],"&lt;="&amp;$Z$3)-SUMIFS(LS[Cost of Units Sold],LS[B/S],"S",LS[Investor ID],A116,LS[Date Value],"&lt;="&amp;$Z$3))+(SUMIFS(SIP[Amount],SIP[B/S],"B",SIP[Investor ID],A116,SIP[Date Value],"&lt;="&amp;$Z$3)-SUMIFS(SIP[Cost of Units Sold],SIP[B/S],"S",SIP[Investor ID],A116,SIP[Date Value],"&lt;="&amp;$Z$3))</f>
        <v>15000000</v>
      </c>
      <c r="H116" s="49">
        <f t="shared" si="7"/>
        <v>15699542.459999999</v>
      </c>
      <c r="I116" s="49">
        <f t="shared" si="8"/>
        <v>699542.45999999903</v>
      </c>
      <c r="J116" s="47">
        <f>(SUMIFS(LS[Unit],LS[Investor ID],A116,LS[B/S],"B",LS[Date Value],"&gt;="&amp;$Z$2,LS[Date Value],"&lt;="&amp;$Z$3))+(SUMIFS(SIP[Unit],SIP[Investor ID],A116,SIP[B/S],"B",SIP[Date Value],"&gt;="&amp;$Z$2,SIP[Date Value],"&lt;="&amp;$Z$3))</f>
        <v>1406265</v>
      </c>
      <c r="K116" s="49">
        <f>(SUMIFS(LS[Amount],LS[Investor ID],A116,LS[B/S],"B",LS[Date Value],"&gt;="&amp;$Z$2,LS[Date Value],"&lt;="&amp;$Z$3))+(SUMIFS(SIP[Amount],SIP[Investor ID],A116,SIP[B/S],"B",SIP[Date Value],"&gt;="&amp;$Z$2,SIP[Date Value],"&lt;="&amp;$Z$3))</f>
        <v>15000000</v>
      </c>
      <c r="L116" s="47">
        <f>(-SUMIFS(LS[Unit],LS[Investor ID],A116,LS[B/S],"S",LS[Date Value],"&gt;="&amp;$Z$2,LS[Date Value],"&lt;="&amp;$Z$3))+(-SUMIFS(SIP[Unit],SIP[Investor ID],A116,SIP[B/S],"S",SIP[Date Value],"&gt;="&amp;$Z$2,SIP[Date Value],"&lt;="&amp;$Z$3))</f>
        <v>0</v>
      </c>
      <c r="M116" s="49">
        <f>(SUMIFS(LS[Cost of Units Sold],LS[Investor ID],A116,LS[B/S],"S",LS[Date Value],"&gt;="&amp;$Z$2,LS[Date Value],"&lt;="&amp;$Z$3))+(SUMIFS(SIP[Cost of Units Sold],SIP[Investor ID],A116,SIP[B/S],"S",SIP[Date Value],"&gt;="&amp;$Z$2,SIP[Date Value],"&lt;="&amp;$Z$3))</f>
        <v>0</v>
      </c>
      <c r="N116" s="49">
        <f t="shared" si="9"/>
        <v>15000000</v>
      </c>
      <c r="O116" s="49">
        <f>(SUMIFS(LS[Realized Gain],LS[Investor ID],A116,LS[Date Value],"&gt;="&amp;$Z$2,LS[Date Value],"&lt;="&amp;$Z$3))+(SUMIFS(SIP[Realized Gain],SIP[Investor ID],A116,SIP[Date Value],"&gt;="&amp;$Z$2,SIP[Date Value],"&lt;="&amp;$Z$3))</f>
        <v>0</v>
      </c>
      <c r="P116" s="49">
        <v>0</v>
      </c>
      <c r="Q116" s="49">
        <v>0</v>
      </c>
      <c r="R116" s="49">
        <v>0</v>
      </c>
    </row>
    <row r="117" spans="1:18">
      <c r="A117" t="s">
        <v>282</v>
      </c>
      <c r="B117" s="47">
        <f>SUMIFS(LS[Unit],LS[Investor ID],'TAX CERTIFICATE'!A117,LS[Date Value],"&lt;"&amp;$Z$2)+SUMIFS(SIP[Unit],SIP[Investor ID],'TAX CERTIFICATE'!A117,SIP[Date Value],"&lt;"&amp;$Z$2)</f>
        <v>0</v>
      </c>
      <c r="C117" s="48">
        <f>(SUMIFS(LS[Amount],LS[B/S],"B",LS[Investor ID],A117,LS[Date Value],"&lt;"&amp;$Z$2)-SUMIFS(LS[Cost of Units Sold],LS[B/S],"S",LS[Investor ID],A117,LS[Date Value],"&lt;"&amp;$Z$2))+(SUMIFS(SIP[Amount],SIP[B/S],"B",SIP[Investor ID],#REF!,SIP[Date Value],"&lt;"&amp;$Z$2)-SUMIFS(SIP[Cost of Units Sold],SIP[B/S],"S",SIP[Investor ID],A117,SIP[Date Value],"&lt;"&amp;$Z$2))</f>
        <v>0</v>
      </c>
      <c r="D117" s="49">
        <f t="shared" si="5"/>
        <v>0</v>
      </c>
      <c r="E117" s="49">
        <f t="shared" si="6"/>
        <v>0</v>
      </c>
      <c r="F117" s="47">
        <f>SUMIFS(LS[Unit],LS[Investor ID],A117,LS[Date Value],"&lt;="&amp;$Z$3)+SUMIFS(SIP[Unit],SIP[Investor ID],A117,SIP[Date Value],"&lt;="&amp;$Z$3)</f>
        <v>0</v>
      </c>
      <c r="G117" s="49">
        <f>(SUMIFS(LS[Amount],LS[B/S],"B",LS[Investor ID],A117,LS[Date Value],"&lt;="&amp;$Z$3)-SUMIFS(LS[Cost of Units Sold],LS[B/S],"S",LS[Investor ID],A117,LS[Date Value],"&lt;="&amp;$Z$3))+(SUMIFS(SIP[Amount],SIP[B/S],"B",SIP[Investor ID],A117,SIP[Date Value],"&lt;="&amp;$Z$3)-SUMIFS(SIP[Cost of Units Sold],SIP[B/S],"S",SIP[Investor ID],A117,SIP[Date Value],"&lt;="&amp;$Z$3))</f>
        <v>0</v>
      </c>
      <c r="H117" s="49">
        <f t="shared" si="7"/>
        <v>0</v>
      </c>
      <c r="I117" s="49">
        <f t="shared" si="8"/>
        <v>0</v>
      </c>
      <c r="J117" s="47">
        <f>(SUMIFS(LS[Unit],LS[Investor ID],A117,LS[B/S],"B",LS[Date Value],"&gt;="&amp;$Z$2,LS[Date Value],"&lt;="&amp;$Z$3))+(SUMIFS(SIP[Unit],SIP[Investor ID],A117,SIP[B/S],"B",SIP[Date Value],"&gt;="&amp;$Z$2,SIP[Date Value],"&lt;="&amp;$Z$3))</f>
        <v>0</v>
      </c>
      <c r="K117" s="49">
        <f>(SUMIFS(LS[Amount],LS[Investor ID],A117,LS[B/S],"B",LS[Date Value],"&gt;="&amp;$Z$2,LS[Date Value],"&lt;="&amp;$Z$3))+(SUMIFS(SIP[Amount],SIP[Investor ID],A117,SIP[B/S],"B",SIP[Date Value],"&gt;="&amp;$Z$2,SIP[Date Value],"&lt;="&amp;$Z$3))</f>
        <v>0</v>
      </c>
      <c r="L117" s="47">
        <f>(-SUMIFS(LS[Unit],LS[Investor ID],A117,LS[B/S],"S",LS[Date Value],"&gt;="&amp;$Z$2,LS[Date Value],"&lt;="&amp;$Z$3))+(-SUMIFS(SIP[Unit],SIP[Investor ID],A117,SIP[B/S],"S",SIP[Date Value],"&gt;="&amp;$Z$2,SIP[Date Value],"&lt;="&amp;$Z$3))</f>
        <v>0</v>
      </c>
      <c r="M117" s="49">
        <f>(SUMIFS(LS[Cost of Units Sold],LS[Investor ID],A117,LS[B/S],"S",LS[Date Value],"&gt;="&amp;$Z$2,LS[Date Value],"&lt;="&amp;$Z$3))+(SUMIFS(SIP[Cost of Units Sold],SIP[Investor ID],A117,SIP[B/S],"S",SIP[Date Value],"&gt;="&amp;$Z$2,SIP[Date Value],"&lt;="&amp;$Z$3))</f>
        <v>0</v>
      </c>
      <c r="N117" s="49">
        <f t="shared" si="9"/>
        <v>0</v>
      </c>
      <c r="O117" s="49">
        <f>(SUMIFS(LS[Realized Gain],LS[Investor ID],A117,LS[Date Value],"&gt;="&amp;$Z$2,LS[Date Value],"&lt;="&amp;$Z$3))+(SUMIFS(SIP[Realized Gain],SIP[Investor ID],A117,SIP[Date Value],"&gt;="&amp;$Z$2,SIP[Date Value],"&lt;="&amp;$Z$3))</f>
        <v>0</v>
      </c>
      <c r="P117" s="49">
        <v>0</v>
      </c>
      <c r="Q117" s="49">
        <v>0</v>
      </c>
      <c r="R117" s="49">
        <v>0</v>
      </c>
    </row>
    <row r="118" spans="1:18">
      <c r="A118" t="s">
        <v>284</v>
      </c>
      <c r="B118" s="47">
        <f>SUMIFS(LS[Unit],LS[Investor ID],'TAX CERTIFICATE'!A118,LS[Date Value],"&lt;"&amp;$Z$2)+SUMIFS(SIP[Unit],SIP[Investor ID],'TAX CERTIFICATE'!A118,SIP[Date Value],"&lt;"&amp;$Z$2)</f>
        <v>0</v>
      </c>
      <c r="C118" s="48">
        <f>(SUMIFS(LS[Amount],LS[B/S],"B",LS[Investor ID],A118,LS[Date Value],"&lt;"&amp;$Z$2)-SUMIFS(LS[Cost of Units Sold],LS[B/S],"S",LS[Investor ID],A118,LS[Date Value],"&lt;"&amp;$Z$2))+(SUMIFS(SIP[Amount],SIP[B/S],"B",SIP[Investor ID],#REF!,SIP[Date Value],"&lt;"&amp;$Z$2)-SUMIFS(SIP[Cost of Units Sold],SIP[B/S],"S",SIP[Investor ID],A118,SIP[Date Value],"&lt;"&amp;$Z$2))</f>
        <v>0</v>
      </c>
      <c r="D118" s="49">
        <f t="shared" si="5"/>
        <v>0</v>
      </c>
      <c r="E118" s="49">
        <f t="shared" si="6"/>
        <v>0</v>
      </c>
      <c r="F118" s="47">
        <f>SUMIFS(LS[Unit],LS[Investor ID],A118,LS[Date Value],"&lt;="&amp;$Z$3)+SUMIFS(SIP[Unit],SIP[Investor ID],A118,SIP[Date Value],"&lt;="&amp;$Z$3)</f>
        <v>0</v>
      </c>
      <c r="G118" s="49">
        <f>(SUMIFS(LS[Amount],LS[B/S],"B",LS[Investor ID],A118,LS[Date Value],"&lt;="&amp;$Z$3)-SUMIFS(LS[Cost of Units Sold],LS[B/S],"S",LS[Investor ID],A118,LS[Date Value],"&lt;="&amp;$Z$3))+(SUMIFS(SIP[Amount],SIP[B/S],"B",SIP[Investor ID],A118,SIP[Date Value],"&lt;="&amp;$Z$3)-SUMIFS(SIP[Cost of Units Sold],SIP[B/S],"S",SIP[Investor ID],A118,SIP[Date Value],"&lt;="&amp;$Z$3))</f>
        <v>0</v>
      </c>
      <c r="H118" s="49">
        <f t="shared" si="7"/>
        <v>0</v>
      </c>
      <c r="I118" s="49">
        <f t="shared" si="8"/>
        <v>0</v>
      </c>
      <c r="J118" s="47">
        <f>(SUMIFS(LS[Unit],LS[Investor ID],A118,LS[B/S],"B",LS[Date Value],"&gt;="&amp;$Z$2,LS[Date Value],"&lt;="&amp;$Z$3))+(SUMIFS(SIP[Unit],SIP[Investor ID],A118,SIP[B/S],"B",SIP[Date Value],"&gt;="&amp;$Z$2,SIP[Date Value],"&lt;="&amp;$Z$3))</f>
        <v>0</v>
      </c>
      <c r="K118" s="49">
        <f>(SUMIFS(LS[Amount],LS[Investor ID],A118,LS[B/S],"B",LS[Date Value],"&gt;="&amp;$Z$2,LS[Date Value],"&lt;="&amp;$Z$3))+(SUMIFS(SIP[Amount],SIP[Investor ID],A118,SIP[B/S],"B",SIP[Date Value],"&gt;="&amp;$Z$2,SIP[Date Value],"&lt;="&amp;$Z$3))</f>
        <v>0</v>
      </c>
      <c r="L118" s="47">
        <f>(-SUMIFS(LS[Unit],LS[Investor ID],A118,LS[B/S],"S",LS[Date Value],"&gt;="&amp;$Z$2,LS[Date Value],"&lt;="&amp;$Z$3))+(-SUMIFS(SIP[Unit],SIP[Investor ID],A118,SIP[B/S],"S",SIP[Date Value],"&gt;="&amp;$Z$2,SIP[Date Value],"&lt;="&amp;$Z$3))</f>
        <v>0</v>
      </c>
      <c r="M118" s="49">
        <f>(SUMIFS(LS[Cost of Units Sold],LS[Investor ID],A118,LS[B/S],"S",LS[Date Value],"&gt;="&amp;$Z$2,LS[Date Value],"&lt;="&amp;$Z$3))+(SUMIFS(SIP[Cost of Units Sold],SIP[Investor ID],A118,SIP[B/S],"S",SIP[Date Value],"&gt;="&amp;$Z$2,SIP[Date Value],"&lt;="&amp;$Z$3))</f>
        <v>0</v>
      </c>
      <c r="N118" s="49">
        <f t="shared" si="9"/>
        <v>0</v>
      </c>
      <c r="O118" s="49">
        <f>(SUMIFS(LS[Realized Gain],LS[Investor ID],A118,LS[Date Value],"&gt;="&amp;$Z$2,LS[Date Value],"&lt;="&amp;$Z$3))+(SUMIFS(SIP[Realized Gain],SIP[Investor ID],A118,SIP[Date Value],"&gt;="&amp;$Z$2,SIP[Date Value],"&lt;="&amp;$Z$3))</f>
        <v>0</v>
      </c>
      <c r="P118" s="49">
        <v>0</v>
      </c>
      <c r="Q118" s="49">
        <v>0</v>
      </c>
      <c r="R118" s="49">
        <v>0</v>
      </c>
    </row>
    <row r="119" spans="1:18">
      <c r="A119" t="s">
        <v>286</v>
      </c>
      <c r="B119" s="47">
        <f>SUMIFS(LS[Unit],LS[Investor ID],'TAX CERTIFICATE'!A119,LS[Date Value],"&lt;"&amp;$Z$2)+SUMIFS(SIP[Unit],SIP[Investor ID],'TAX CERTIFICATE'!A119,SIP[Date Value],"&lt;"&amp;$Z$2)</f>
        <v>487</v>
      </c>
      <c r="C119" s="48">
        <f>(SUMIFS(LS[Amount],LS[B/S],"B",LS[Investor ID],A119,LS[Date Value],"&lt;"&amp;$Z$2)-SUMIFS(LS[Cost of Units Sold],LS[B/S],"S",LS[Investor ID],A119,LS[Date Value],"&lt;"&amp;$Z$2))+(SUMIFS(SIP[Amount],SIP[B/S],"B",SIP[Investor ID],#REF!,SIP[Date Value],"&lt;"&amp;$Z$2)-SUMIFS(SIP[Cost of Units Sold],SIP[B/S],"S",SIP[Investor ID],A119,SIP[Date Value],"&lt;"&amp;$Z$2))</f>
        <v>0</v>
      </c>
      <c r="D119" s="49">
        <f t="shared" si="5"/>
        <v>5001.9770000000008</v>
      </c>
      <c r="E119" s="49">
        <f t="shared" si="6"/>
        <v>5001.9770000000008</v>
      </c>
      <c r="F119" s="47">
        <f>SUMIFS(LS[Unit],LS[Investor ID],A119,LS[Date Value],"&lt;="&amp;$Z$3)+SUMIFS(SIP[Unit],SIP[Investor ID],A119,SIP[Date Value],"&lt;="&amp;$Z$3)</f>
        <v>6083</v>
      </c>
      <c r="G119" s="49">
        <f>(SUMIFS(LS[Amount],LS[B/S],"B",LS[Investor ID],A119,LS[Date Value],"&lt;="&amp;$Z$3)-SUMIFS(LS[Cost of Units Sold],LS[B/S],"S",LS[Investor ID],A119,LS[Date Value],"&lt;="&amp;$Z$3))+(SUMIFS(SIP[Amount],SIP[B/S],"B",SIP[Investor ID],A119,SIP[Date Value],"&lt;="&amp;$Z$3)-SUMIFS(SIP[Cost of Units Sold],SIP[B/S],"S",SIP[Investor ID],A119,SIP[Date Value],"&lt;="&amp;$Z$3))</f>
        <v>65000</v>
      </c>
      <c r="H119" s="49">
        <f t="shared" si="7"/>
        <v>67910.611999999994</v>
      </c>
      <c r="I119" s="49">
        <f t="shared" si="8"/>
        <v>2910.6119999999937</v>
      </c>
      <c r="J119" s="47">
        <f>(SUMIFS(LS[Unit],LS[Investor ID],A119,LS[B/S],"B",LS[Date Value],"&gt;="&amp;$Z$2,LS[Date Value],"&lt;="&amp;$Z$3))+(SUMIFS(SIP[Unit],SIP[Investor ID],A119,SIP[B/S],"B",SIP[Date Value],"&gt;="&amp;$Z$2,SIP[Date Value],"&lt;="&amp;$Z$3))</f>
        <v>5596</v>
      </c>
      <c r="K119" s="49">
        <f>(SUMIFS(LS[Amount],LS[Investor ID],A119,LS[B/S],"B",LS[Date Value],"&gt;="&amp;$Z$2,LS[Date Value],"&lt;="&amp;$Z$3))+(SUMIFS(SIP[Amount],SIP[Investor ID],A119,SIP[B/S],"B",SIP[Date Value],"&gt;="&amp;$Z$2,SIP[Date Value],"&lt;="&amp;$Z$3))</f>
        <v>60000</v>
      </c>
      <c r="L119" s="47">
        <f>(-SUMIFS(LS[Unit],LS[Investor ID],A119,LS[B/S],"S",LS[Date Value],"&gt;="&amp;$Z$2,LS[Date Value],"&lt;="&amp;$Z$3))+(-SUMIFS(SIP[Unit],SIP[Investor ID],A119,SIP[B/S],"S",SIP[Date Value],"&gt;="&amp;$Z$2,SIP[Date Value],"&lt;="&amp;$Z$3))</f>
        <v>0</v>
      </c>
      <c r="M119" s="49">
        <f>(SUMIFS(LS[Cost of Units Sold],LS[Investor ID],A119,LS[B/S],"S",LS[Date Value],"&gt;="&amp;$Z$2,LS[Date Value],"&lt;="&amp;$Z$3))+(SUMIFS(SIP[Cost of Units Sold],SIP[Investor ID],A119,SIP[B/S],"S",SIP[Date Value],"&gt;="&amp;$Z$2,SIP[Date Value],"&lt;="&amp;$Z$3))</f>
        <v>0</v>
      </c>
      <c r="N119" s="49">
        <f t="shared" si="9"/>
        <v>60000</v>
      </c>
      <c r="O119" s="49">
        <f>(SUMIFS(LS[Realized Gain],LS[Investor ID],A119,LS[Date Value],"&gt;="&amp;$Z$2,LS[Date Value],"&lt;="&amp;$Z$3))+(SUMIFS(SIP[Realized Gain],SIP[Investor ID],A119,SIP[Date Value],"&gt;="&amp;$Z$2,SIP[Date Value],"&lt;="&amp;$Z$3))</f>
        <v>0</v>
      </c>
      <c r="P119" s="49">
        <v>0</v>
      </c>
      <c r="Q119" s="49">
        <v>0</v>
      </c>
      <c r="R119" s="49">
        <v>0</v>
      </c>
    </row>
    <row r="120" spans="1:18">
      <c r="A120" t="s">
        <v>288</v>
      </c>
      <c r="B120" s="47">
        <f>SUMIFS(LS[Unit],LS[Investor ID],'TAX CERTIFICATE'!A120,LS[Date Value],"&lt;"&amp;$Z$2)+SUMIFS(SIP[Unit],SIP[Investor ID],'TAX CERTIFICATE'!A120,SIP[Date Value],"&lt;"&amp;$Z$2)</f>
        <v>0</v>
      </c>
      <c r="C120" s="48">
        <f>(SUMIFS(LS[Amount],LS[B/S],"B",LS[Investor ID],A120,LS[Date Value],"&lt;"&amp;$Z$2)-SUMIFS(LS[Cost of Units Sold],LS[B/S],"S",LS[Investor ID],A120,LS[Date Value],"&lt;"&amp;$Z$2))+(SUMIFS(SIP[Amount],SIP[B/S],"B",SIP[Investor ID],#REF!,SIP[Date Value],"&lt;"&amp;$Z$2)-SUMIFS(SIP[Cost of Units Sold],SIP[B/S],"S",SIP[Investor ID],A120,SIP[Date Value],"&lt;"&amp;$Z$2))</f>
        <v>0</v>
      </c>
      <c r="D120" s="49">
        <f t="shared" si="5"/>
        <v>0</v>
      </c>
      <c r="E120" s="49">
        <f t="shared" si="6"/>
        <v>0</v>
      </c>
      <c r="F120" s="47">
        <f>SUMIFS(LS[Unit],LS[Investor ID],A120,LS[Date Value],"&lt;="&amp;$Z$3)+SUMIFS(SIP[Unit],SIP[Investor ID],A120,SIP[Date Value],"&lt;="&amp;$Z$3)</f>
        <v>250000</v>
      </c>
      <c r="G120" s="49">
        <f>(SUMIFS(LS[Amount],LS[B/S],"B",LS[Investor ID],A120,LS[Date Value],"&lt;="&amp;$Z$3)-SUMIFS(LS[Cost of Units Sold],LS[B/S],"S",LS[Investor ID],A120,LS[Date Value],"&lt;="&amp;$Z$3))+(SUMIFS(SIP[Amount],SIP[B/S],"B",SIP[Investor ID],A120,SIP[Date Value],"&lt;="&amp;$Z$3)-SUMIFS(SIP[Cost of Units Sold],SIP[B/S],"S",SIP[Investor ID],A120,SIP[Date Value],"&lt;="&amp;$Z$3))</f>
        <v>2715750</v>
      </c>
      <c r="H120" s="49">
        <f t="shared" si="7"/>
        <v>2791000</v>
      </c>
      <c r="I120" s="49">
        <f t="shared" si="8"/>
        <v>75250</v>
      </c>
      <c r="J120" s="47">
        <f>(SUMIFS(LS[Unit],LS[Investor ID],A120,LS[B/S],"B",LS[Date Value],"&gt;="&amp;$Z$2,LS[Date Value],"&lt;="&amp;$Z$3))+(SUMIFS(SIP[Unit],SIP[Investor ID],A120,SIP[B/S],"B",SIP[Date Value],"&gt;="&amp;$Z$2,SIP[Date Value],"&lt;="&amp;$Z$3))</f>
        <v>250000</v>
      </c>
      <c r="K120" s="49">
        <f>(SUMIFS(LS[Amount],LS[Investor ID],A120,LS[B/S],"B",LS[Date Value],"&gt;="&amp;$Z$2,LS[Date Value],"&lt;="&amp;$Z$3))+(SUMIFS(SIP[Amount],SIP[Investor ID],A120,SIP[B/S],"B",SIP[Date Value],"&gt;="&amp;$Z$2,SIP[Date Value],"&lt;="&amp;$Z$3))</f>
        <v>2715750</v>
      </c>
      <c r="L120" s="47">
        <f>(-SUMIFS(LS[Unit],LS[Investor ID],A120,LS[B/S],"S",LS[Date Value],"&gt;="&amp;$Z$2,LS[Date Value],"&lt;="&amp;$Z$3))+(-SUMIFS(SIP[Unit],SIP[Investor ID],A120,SIP[B/S],"S",SIP[Date Value],"&gt;="&amp;$Z$2,SIP[Date Value],"&lt;="&amp;$Z$3))</f>
        <v>0</v>
      </c>
      <c r="M120" s="49">
        <f>(SUMIFS(LS[Cost of Units Sold],LS[Investor ID],A120,LS[B/S],"S",LS[Date Value],"&gt;="&amp;$Z$2,LS[Date Value],"&lt;="&amp;$Z$3))+(SUMIFS(SIP[Cost of Units Sold],SIP[Investor ID],A120,SIP[B/S],"S",SIP[Date Value],"&gt;="&amp;$Z$2,SIP[Date Value],"&lt;="&amp;$Z$3))</f>
        <v>0</v>
      </c>
      <c r="N120" s="49">
        <f t="shared" si="9"/>
        <v>2715750</v>
      </c>
      <c r="O120" s="49">
        <f>(SUMIFS(LS[Realized Gain],LS[Investor ID],A120,LS[Date Value],"&gt;="&amp;$Z$2,LS[Date Value],"&lt;="&amp;$Z$3))+(SUMIFS(SIP[Realized Gain],SIP[Investor ID],A120,SIP[Date Value],"&gt;="&amp;$Z$2,SIP[Date Value],"&lt;="&amp;$Z$3))</f>
        <v>0</v>
      </c>
      <c r="P120" s="49">
        <v>0</v>
      </c>
      <c r="Q120" s="49">
        <v>0</v>
      </c>
      <c r="R120" s="49">
        <v>0</v>
      </c>
    </row>
    <row r="121" spans="1:18">
      <c r="A121" t="s">
        <v>290</v>
      </c>
      <c r="B121" s="47">
        <f>SUMIFS(LS[Unit],LS[Investor ID],'TAX CERTIFICATE'!A121,LS[Date Value],"&lt;"&amp;$Z$2)+SUMIFS(SIP[Unit],SIP[Investor ID],'TAX CERTIFICATE'!A121,SIP[Date Value],"&lt;"&amp;$Z$2)</f>
        <v>0</v>
      </c>
      <c r="C121" s="48">
        <f>(SUMIFS(LS[Amount],LS[B/S],"B",LS[Investor ID],A121,LS[Date Value],"&lt;"&amp;$Z$2)-SUMIFS(LS[Cost of Units Sold],LS[B/S],"S",LS[Investor ID],A121,LS[Date Value],"&lt;"&amp;$Z$2))+(SUMIFS(SIP[Amount],SIP[B/S],"B",SIP[Investor ID],#REF!,SIP[Date Value],"&lt;"&amp;$Z$2)-SUMIFS(SIP[Cost of Units Sold],SIP[B/S],"S",SIP[Investor ID],A121,SIP[Date Value],"&lt;"&amp;$Z$2))</f>
        <v>0</v>
      </c>
      <c r="D121" s="49">
        <f t="shared" si="5"/>
        <v>0</v>
      </c>
      <c r="E121" s="49">
        <f t="shared" si="6"/>
        <v>0</v>
      </c>
      <c r="F121" s="47">
        <f>SUMIFS(LS[Unit],LS[Investor ID],A121,LS[Date Value],"&lt;="&amp;$Z$3)+SUMIFS(SIP[Unit],SIP[Investor ID],A121,SIP[Date Value],"&lt;="&amp;$Z$3)</f>
        <v>0</v>
      </c>
      <c r="G121" s="49">
        <f>(SUMIFS(LS[Amount],LS[B/S],"B",LS[Investor ID],A121,LS[Date Value],"&lt;="&amp;$Z$3)-SUMIFS(LS[Cost of Units Sold],LS[B/S],"S",LS[Investor ID],A121,LS[Date Value],"&lt;="&amp;$Z$3))+(SUMIFS(SIP[Amount],SIP[B/S],"B",SIP[Investor ID],A121,SIP[Date Value],"&lt;="&amp;$Z$3)-SUMIFS(SIP[Cost of Units Sold],SIP[B/S],"S",SIP[Investor ID],A121,SIP[Date Value],"&lt;="&amp;$Z$3))</f>
        <v>0</v>
      </c>
      <c r="H121" s="49">
        <f t="shared" si="7"/>
        <v>0</v>
      </c>
      <c r="I121" s="49">
        <f t="shared" si="8"/>
        <v>0</v>
      </c>
      <c r="J121" s="47">
        <f>(SUMIFS(LS[Unit],LS[Investor ID],A121,LS[B/S],"B",LS[Date Value],"&gt;="&amp;$Z$2,LS[Date Value],"&lt;="&amp;$Z$3))+(SUMIFS(SIP[Unit],SIP[Investor ID],A121,SIP[B/S],"B",SIP[Date Value],"&gt;="&amp;$Z$2,SIP[Date Value],"&lt;="&amp;$Z$3))</f>
        <v>0</v>
      </c>
      <c r="K121" s="49">
        <f>(SUMIFS(LS[Amount],LS[Investor ID],A121,LS[B/S],"B",LS[Date Value],"&gt;="&amp;$Z$2,LS[Date Value],"&lt;="&amp;$Z$3))+(SUMIFS(SIP[Amount],SIP[Investor ID],A121,SIP[B/S],"B",SIP[Date Value],"&gt;="&amp;$Z$2,SIP[Date Value],"&lt;="&amp;$Z$3))</f>
        <v>0</v>
      </c>
      <c r="L121" s="47">
        <f>(-SUMIFS(LS[Unit],LS[Investor ID],A121,LS[B/S],"S",LS[Date Value],"&gt;="&amp;$Z$2,LS[Date Value],"&lt;="&amp;$Z$3))+(-SUMIFS(SIP[Unit],SIP[Investor ID],A121,SIP[B/S],"S",SIP[Date Value],"&gt;="&amp;$Z$2,SIP[Date Value],"&lt;="&amp;$Z$3))</f>
        <v>0</v>
      </c>
      <c r="M121" s="49">
        <f>(SUMIFS(LS[Cost of Units Sold],LS[Investor ID],A121,LS[B/S],"S",LS[Date Value],"&gt;="&amp;$Z$2,LS[Date Value],"&lt;="&amp;$Z$3))+(SUMIFS(SIP[Cost of Units Sold],SIP[Investor ID],A121,SIP[B/S],"S",SIP[Date Value],"&gt;="&amp;$Z$2,SIP[Date Value],"&lt;="&amp;$Z$3))</f>
        <v>0</v>
      </c>
      <c r="N121" s="49">
        <f t="shared" si="9"/>
        <v>0</v>
      </c>
      <c r="O121" s="49">
        <f>(SUMIFS(LS[Realized Gain],LS[Investor ID],A121,LS[Date Value],"&gt;="&amp;$Z$2,LS[Date Value],"&lt;="&amp;$Z$3))+(SUMIFS(SIP[Realized Gain],SIP[Investor ID],A121,SIP[Date Value],"&gt;="&amp;$Z$2,SIP[Date Value],"&lt;="&amp;$Z$3))</f>
        <v>0</v>
      </c>
      <c r="P121" s="49">
        <v>0</v>
      </c>
      <c r="Q121" s="49">
        <v>0</v>
      </c>
      <c r="R121" s="49">
        <v>0</v>
      </c>
    </row>
    <row r="122" spans="1:18">
      <c r="A122" t="s">
        <v>292</v>
      </c>
      <c r="B122" s="47">
        <f>SUMIFS(LS[Unit],LS[Investor ID],'TAX CERTIFICATE'!A122,LS[Date Value],"&lt;"&amp;$Z$2)+SUMIFS(SIP[Unit],SIP[Investor ID],'TAX CERTIFICATE'!A122,SIP[Date Value],"&lt;"&amp;$Z$2)</f>
        <v>0</v>
      </c>
      <c r="C122" s="48">
        <f>(SUMIFS(LS[Amount],LS[B/S],"B",LS[Investor ID],A122,LS[Date Value],"&lt;"&amp;$Z$2)-SUMIFS(LS[Cost of Units Sold],LS[B/S],"S",LS[Investor ID],A122,LS[Date Value],"&lt;"&amp;$Z$2))+(SUMIFS(SIP[Amount],SIP[B/S],"B",SIP[Investor ID],#REF!,SIP[Date Value],"&lt;"&amp;$Z$2)-SUMIFS(SIP[Cost of Units Sold],SIP[B/S],"S",SIP[Investor ID],A122,SIP[Date Value],"&lt;"&amp;$Z$2))</f>
        <v>0</v>
      </c>
      <c r="D122" s="49">
        <f t="shared" si="5"/>
        <v>0</v>
      </c>
      <c r="E122" s="49">
        <f t="shared" si="6"/>
        <v>0</v>
      </c>
      <c r="F122" s="47">
        <f>SUMIFS(LS[Unit],LS[Investor ID],A122,LS[Date Value],"&lt;="&amp;$Z$3)+SUMIFS(SIP[Unit],SIP[Investor ID],A122,SIP[Date Value],"&lt;="&amp;$Z$3)</f>
        <v>0</v>
      </c>
      <c r="G122" s="49">
        <f>(SUMIFS(LS[Amount],LS[B/S],"B",LS[Investor ID],A122,LS[Date Value],"&lt;="&amp;$Z$3)-SUMIFS(LS[Cost of Units Sold],LS[B/S],"S",LS[Investor ID],A122,LS[Date Value],"&lt;="&amp;$Z$3))+(SUMIFS(SIP[Amount],SIP[B/S],"B",SIP[Investor ID],A122,SIP[Date Value],"&lt;="&amp;$Z$3)-SUMIFS(SIP[Cost of Units Sold],SIP[B/S],"S",SIP[Investor ID],A122,SIP[Date Value],"&lt;="&amp;$Z$3))</f>
        <v>0</v>
      </c>
      <c r="H122" s="49">
        <f t="shared" si="7"/>
        <v>0</v>
      </c>
      <c r="I122" s="49">
        <f t="shared" si="8"/>
        <v>0</v>
      </c>
      <c r="J122" s="47">
        <f>(SUMIFS(LS[Unit],LS[Investor ID],A122,LS[B/S],"B",LS[Date Value],"&gt;="&amp;$Z$2,LS[Date Value],"&lt;="&amp;$Z$3))+(SUMIFS(SIP[Unit],SIP[Investor ID],A122,SIP[B/S],"B",SIP[Date Value],"&gt;="&amp;$Z$2,SIP[Date Value],"&lt;="&amp;$Z$3))</f>
        <v>0</v>
      </c>
      <c r="K122" s="49">
        <f>(SUMIFS(LS[Amount],LS[Investor ID],A122,LS[B/S],"B",LS[Date Value],"&gt;="&amp;$Z$2,LS[Date Value],"&lt;="&amp;$Z$3))+(SUMIFS(SIP[Amount],SIP[Investor ID],A122,SIP[B/S],"B",SIP[Date Value],"&gt;="&amp;$Z$2,SIP[Date Value],"&lt;="&amp;$Z$3))</f>
        <v>0</v>
      </c>
      <c r="L122" s="47">
        <f>(-SUMIFS(LS[Unit],LS[Investor ID],A122,LS[B/S],"S",LS[Date Value],"&gt;="&amp;$Z$2,LS[Date Value],"&lt;="&amp;$Z$3))+(-SUMIFS(SIP[Unit],SIP[Investor ID],A122,SIP[B/S],"S",SIP[Date Value],"&gt;="&amp;$Z$2,SIP[Date Value],"&lt;="&amp;$Z$3))</f>
        <v>0</v>
      </c>
      <c r="M122" s="49">
        <f>(SUMIFS(LS[Cost of Units Sold],LS[Investor ID],A122,LS[B/S],"S",LS[Date Value],"&gt;="&amp;$Z$2,LS[Date Value],"&lt;="&amp;$Z$3))+(SUMIFS(SIP[Cost of Units Sold],SIP[Investor ID],A122,SIP[B/S],"S",SIP[Date Value],"&gt;="&amp;$Z$2,SIP[Date Value],"&lt;="&amp;$Z$3))</f>
        <v>0</v>
      </c>
      <c r="N122" s="49">
        <f t="shared" si="9"/>
        <v>0</v>
      </c>
      <c r="O122" s="49">
        <f>(SUMIFS(LS[Realized Gain],LS[Investor ID],A122,LS[Date Value],"&gt;="&amp;$Z$2,LS[Date Value],"&lt;="&amp;$Z$3))+(SUMIFS(SIP[Realized Gain],SIP[Investor ID],A122,SIP[Date Value],"&gt;="&amp;$Z$2,SIP[Date Value],"&lt;="&amp;$Z$3))</f>
        <v>0</v>
      </c>
      <c r="P122" s="49">
        <v>0</v>
      </c>
      <c r="Q122" s="49">
        <v>0</v>
      </c>
      <c r="R122" s="49">
        <v>0</v>
      </c>
    </row>
    <row r="123" spans="1:18">
      <c r="A123" t="s">
        <v>294</v>
      </c>
      <c r="B123" s="47">
        <f>SUMIFS(LS[Unit],LS[Investor ID],'TAX CERTIFICATE'!A123,LS[Date Value],"&lt;"&amp;$Z$2)+SUMIFS(SIP[Unit],SIP[Investor ID],'TAX CERTIFICATE'!A123,SIP[Date Value],"&lt;"&amp;$Z$2)</f>
        <v>0</v>
      </c>
      <c r="C123" s="48">
        <f>(SUMIFS(LS[Amount],LS[B/S],"B",LS[Investor ID],A123,LS[Date Value],"&lt;"&amp;$Z$2)-SUMIFS(LS[Cost of Units Sold],LS[B/S],"S",LS[Investor ID],A123,LS[Date Value],"&lt;"&amp;$Z$2))+(SUMIFS(SIP[Amount],SIP[B/S],"B",SIP[Investor ID],#REF!,SIP[Date Value],"&lt;"&amp;$Z$2)-SUMIFS(SIP[Cost of Units Sold],SIP[B/S],"S",SIP[Investor ID],A123,SIP[Date Value],"&lt;"&amp;$Z$2))</f>
        <v>0</v>
      </c>
      <c r="D123" s="49">
        <f t="shared" si="5"/>
        <v>0</v>
      </c>
      <c r="E123" s="49">
        <f t="shared" si="6"/>
        <v>0</v>
      </c>
      <c r="F123" s="47">
        <f>SUMIFS(LS[Unit],LS[Investor ID],A123,LS[Date Value],"&lt;="&amp;$Z$3)+SUMIFS(SIP[Unit],SIP[Investor ID],A123,SIP[Date Value],"&lt;="&amp;$Z$3)</f>
        <v>0</v>
      </c>
      <c r="G123" s="49">
        <f>(SUMIFS(LS[Amount],LS[B/S],"B",LS[Investor ID],A123,LS[Date Value],"&lt;="&amp;$Z$3)-SUMIFS(LS[Cost of Units Sold],LS[B/S],"S",LS[Investor ID],A123,LS[Date Value],"&lt;="&amp;$Z$3))+(SUMIFS(SIP[Amount],SIP[B/S],"B",SIP[Investor ID],A123,SIP[Date Value],"&lt;="&amp;$Z$3)-SUMIFS(SIP[Cost of Units Sold],SIP[B/S],"S",SIP[Investor ID],A123,SIP[Date Value],"&lt;="&amp;$Z$3))</f>
        <v>0</v>
      </c>
      <c r="H123" s="49">
        <f t="shared" si="7"/>
        <v>0</v>
      </c>
      <c r="I123" s="49">
        <f t="shared" si="8"/>
        <v>0</v>
      </c>
      <c r="J123" s="47">
        <f>(SUMIFS(LS[Unit],LS[Investor ID],A123,LS[B/S],"B",LS[Date Value],"&gt;="&amp;$Z$2,LS[Date Value],"&lt;="&amp;$Z$3))+(SUMIFS(SIP[Unit],SIP[Investor ID],A123,SIP[B/S],"B",SIP[Date Value],"&gt;="&amp;$Z$2,SIP[Date Value],"&lt;="&amp;$Z$3))</f>
        <v>0</v>
      </c>
      <c r="K123" s="49">
        <f>(SUMIFS(LS[Amount],LS[Investor ID],A123,LS[B/S],"B",LS[Date Value],"&gt;="&amp;$Z$2,LS[Date Value],"&lt;="&amp;$Z$3))+(SUMIFS(SIP[Amount],SIP[Investor ID],A123,SIP[B/S],"B",SIP[Date Value],"&gt;="&amp;$Z$2,SIP[Date Value],"&lt;="&amp;$Z$3))</f>
        <v>0</v>
      </c>
      <c r="L123" s="47">
        <f>(-SUMIFS(LS[Unit],LS[Investor ID],A123,LS[B/S],"S",LS[Date Value],"&gt;="&amp;$Z$2,LS[Date Value],"&lt;="&amp;$Z$3))+(-SUMIFS(SIP[Unit],SIP[Investor ID],A123,SIP[B/S],"S",SIP[Date Value],"&gt;="&amp;$Z$2,SIP[Date Value],"&lt;="&amp;$Z$3))</f>
        <v>0</v>
      </c>
      <c r="M123" s="49">
        <f>(SUMIFS(LS[Cost of Units Sold],LS[Investor ID],A123,LS[B/S],"S",LS[Date Value],"&gt;="&amp;$Z$2,LS[Date Value],"&lt;="&amp;$Z$3))+(SUMIFS(SIP[Cost of Units Sold],SIP[Investor ID],A123,SIP[B/S],"S",SIP[Date Value],"&gt;="&amp;$Z$2,SIP[Date Value],"&lt;="&amp;$Z$3))</f>
        <v>0</v>
      </c>
      <c r="N123" s="49">
        <f t="shared" si="9"/>
        <v>0</v>
      </c>
      <c r="O123" s="49">
        <f>(SUMIFS(LS[Realized Gain],LS[Investor ID],A123,LS[Date Value],"&gt;="&amp;$Z$2,LS[Date Value],"&lt;="&amp;$Z$3))+(SUMIFS(SIP[Realized Gain],SIP[Investor ID],A123,SIP[Date Value],"&gt;="&amp;$Z$2,SIP[Date Value],"&lt;="&amp;$Z$3))</f>
        <v>0</v>
      </c>
      <c r="P123" s="49">
        <v>0</v>
      </c>
      <c r="Q123" s="49">
        <v>0</v>
      </c>
      <c r="R123" s="49">
        <v>0</v>
      </c>
    </row>
    <row r="124" spans="1:18">
      <c r="A124" t="s">
        <v>296</v>
      </c>
      <c r="B124" s="47">
        <f>SUMIFS(LS[Unit],LS[Investor ID],'TAX CERTIFICATE'!A124,LS[Date Value],"&lt;"&amp;$Z$2)+SUMIFS(SIP[Unit],SIP[Investor ID],'TAX CERTIFICATE'!A124,SIP[Date Value],"&lt;"&amp;$Z$2)</f>
        <v>0</v>
      </c>
      <c r="C124" s="48">
        <f>(SUMIFS(LS[Amount],LS[B/S],"B",LS[Investor ID],A124,LS[Date Value],"&lt;"&amp;$Z$2)-SUMIFS(LS[Cost of Units Sold],LS[B/S],"S",LS[Investor ID],A124,LS[Date Value],"&lt;"&amp;$Z$2))+(SUMIFS(SIP[Amount],SIP[B/S],"B",SIP[Investor ID],#REF!,SIP[Date Value],"&lt;"&amp;$Z$2)-SUMIFS(SIP[Cost of Units Sold],SIP[B/S],"S",SIP[Investor ID],A124,SIP[Date Value],"&lt;"&amp;$Z$2))</f>
        <v>0</v>
      </c>
      <c r="D124" s="49">
        <f t="shared" si="5"/>
        <v>0</v>
      </c>
      <c r="E124" s="49">
        <f t="shared" si="6"/>
        <v>0</v>
      </c>
      <c r="F124" s="47">
        <f>SUMIFS(LS[Unit],LS[Investor ID],A124,LS[Date Value],"&lt;="&amp;$Z$3)+SUMIFS(SIP[Unit],SIP[Investor ID],A124,SIP[Date Value],"&lt;="&amp;$Z$3)</f>
        <v>0</v>
      </c>
      <c r="G124" s="49">
        <f>(SUMIFS(LS[Amount],LS[B/S],"B",LS[Investor ID],A124,LS[Date Value],"&lt;="&amp;$Z$3)-SUMIFS(LS[Cost of Units Sold],LS[B/S],"S",LS[Investor ID],A124,LS[Date Value],"&lt;="&amp;$Z$3))+(SUMIFS(SIP[Amount],SIP[B/S],"B",SIP[Investor ID],A124,SIP[Date Value],"&lt;="&amp;$Z$3)-SUMIFS(SIP[Cost of Units Sold],SIP[B/S],"S",SIP[Investor ID],A124,SIP[Date Value],"&lt;="&amp;$Z$3))</f>
        <v>0</v>
      </c>
      <c r="H124" s="49">
        <f t="shared" si="7"/>
        <v>0</v>
      </c>
      <c r="I124" s="49">
        <f t="shared" si="8"/>
        <v>0</v>
      </c>
      <c r="J124" s="47">
        <f>(SUMIFS(LS[Unit],LS[Investor ID],A124,LS[B/S],"B",LS[Date Value],"&gt;="&amp;$Z$2,LS[Date Value],"&lt;="&amp;$Z$3))+(SUMIFS(SIP[Unit],SIP[Investor ID],A124,SIP[B/S],"B",SIP[Date Value],"&gt;="&amp;$Z$2,SIP[Date Value],"&lt;="&amp;$Z$3))</f>
        <v>0</v>
      </c>
      <c r="K124" s="49">
        <f>(SUMIFS(LS[Amount],LS[Investor ID],A124,LS[B/S],"B",LS[Date Value],"&gt;="&amp;$Z$2,LS[Date Value],"&lt;="&amp;$Z$3))+(SUMIFS(SIP[Amount],SIP[Investor ID],A124,SIP[B/S],"B",SIP[Date Value],"&gt;="&amp;$Z$2,SIP[Date Value],"&lt;="&amp;$Z$3))</f>
        <v>0</v>
      </c>
      <c r="L124" s="47">
        <f>(-SUMIFS(LS[Unit],LS[Investor ID],A124,LS[B/S],"S",LS[Date Value],"&gt;="&amp;$Z$2,LS[Date Value],"&lt;="&amp;$Z$3))+(-SUMIFS(SIP[Unit],SIP[Investor ID],A124,SIP[B/S],"S",SIP[Date Value],"&gt;="&amp;$Z$2,SIP[Date Value],"&lt;="&amp;$Z$3))</f>
        <v>0</v>
      </c>
      <c r="M124" s="49">
        <f>(SUMIFS(LS[Cost of Units Sold],LS[Investor ID],A124,LS[B/S],"S",LS[Date Value],"&gt;="&amp;$Z$2,LS[Date Value],"&lt;="&amp;$Z$3))+(SUMIFS(SIP[Cost of Units Sold],SIP[Investor ID],A124,SIP[B/S],"S",SIP[Date Value],"&gt;="&amp;$Z$2,SIP[Date Value],"&lt;="&amp;$Z$3))</f>
        <v>0</v>
      </c>
      <c r="N124" s="49">
        <f t="shared" si="9"/>
        <v>0</v>
      </c>
      <c r="O124" s="49">
        <f>(SUMIFS(LS[Realized Gain],LS[Investor ID],A124,LS[Date Value],"&gt;="&amp;$Z$2,LS[Date Value],"&lt;="&amp;$Z$3))+(SUMIFS(SIP[Realized Gain],SIP[Investor ID],A124,SIP[Date Value],"&gt;="&amp;$Z$2,SIP[Date Value],"&lt;="&amp;$Z$3))</f>
        <v>0</v>
      </c>
      <c r="P124" s="49">
        <v>0</v>
      </c>
      <c r="Q124" s="49">
        <v>0</v>
      </c>
      <c r="R124" s="49">
        <v>0</v>
      </c>
    </row>
    <row r="125" spans="1:18">
      <c r="A125" t="s">
        <v>298</v>
      </c>
      <c r="B125" s="47">
        <f>SUMIFS(LS[Unit],LS[Investor ID],'TAX CERTIFICATE'!A125,LS[Date Value],"&lt;"&amp;$Z$2)+SUMIFS(SIP[Unit],SIP[Investor ID],'TAX CERTIFICATE'!A125,SIP[Date Value],"&lt;"&amp;$Z$2)</f>
        <v>40000</v>
      </c>
      <c r="C125" s="48">
        <f>(SUMIFS(LS[Amount],LS[B/S],"B",LS[Investor ID],A125,LS[Date Value],"&lt;"&amp;$Z$2)-SUMIFS(LS[Cost of Units Sold],LS[B/S],"S",LS[Investor ID],A125,LS[Date Value],"&lt;"&amp;$Z$2))+(SUMIFS(SIP[Amount],SIP[B/S],"B",SIP[Investor ID],#REF!,SIP[Date Value],"&lt;"&amp;$Z$2)-SUMIFS(SIP[Cost of Units Sold],SIP[B/S],"S",SIP[Investor ID],A125,SIP[Date Value],"&lt;"&amp;$Z$2))</f>
        <v>400000</v>
      </c>
      <c r="D125" s="49">
        <f t="shared" si="5"/>
        <v>410840.00000000006</v>
      </c>
      <c r="E125" s="49">
        <f t="shared" si="6"/>
        <v>10840.000000000058</v>
      </c>
      <c r="F125" s="47">
        <f>SUMIFS(LS[Unit],LS[Investor ID],A125,LS[Date Value],"&lt;="&amp;$Z$3)+SUMIFS(SIP[Unit],SIP[Investor ID],A125,SIP[Date Value],"&lt;="&amp;$Z$3)</f>
        <v>40000</v>
      </c>
      <c r="G125" s="49">
        <f>(SUMIFS(LS[Amount],LS[B/S],"B",LS[Investor ID],A125,LS[Date Value],"&lt;="&amp;$Z$3)-SUMIFS(LS[Cost of Units Sold],LS[B/S],"S",LS[Investor ID],A125,LS[Date Value],"&lt;="&amp;$Z$3))+(SUMIFS(SIP[Amount],SIP[B/S],"B",SIP[Investor ID],A125,SIP[Date Value],"&lt;="&amp;$Z$3)-SUMIFS(SIP[Cost of Units Sold],SIP[B/S],"S",SIP[Investor ID],A125,SIP[Date Value],"&lt;="&amp;$Z$3))</f>
        <v>400000</v>
      </c>
      <c r="H125" s="49">
        <f t="shared" si="7"/>
        <v>446560</v>
      </c>
      <c r="I125" s="49">
        <f t="shared" si="8"/>
        <v>46560</v>
      </c>
      <c r="J125" s="47">
        <f>(SUMIFS(LS[Unit],LS[Investor ID],A125,LS[B/S],"B",LS[Date Value],"&gt;="&amp;$Z$2,LS[Date Value],"&lt;="&amp;$Z$3))+(SUMIFS(SIP[Unit],SIP[Investor ID],A125,SIP[B/S],"B",SIP[Date Value],"&gt;="&amp;$Z$2,SIP[Date Value],"&lt;="&amp;$Z$3))</f>
        <v>0</v>
      </c>
      <c r="K125" s="49">
        <f>(SUMIFS(LS[Amount],LS[Investor ID],A125,LS[B/S],"B",LS[Date Value],"&gt;="&amp;$Z$2,LS[Date Value],"&lt;="&amp;$Z$3))+(SUMIFS(SIP[Amount],SIP[Investor ID],A125,SIP[B/S],"B",SIP[Date Value],"&gt;="&amp;$Z$2,SIP[Date Value],"&lt;="&amp;$Z$3))</f>
        <v>0</v>
      </c>
      <c r="L125" s="47">
        <f>(-SUMIFS(LS[Unit],LS[Investor ID],A125,LS[B/S],"S",LS[Date Value],"&gt;="&amp;$Z$2,LS[Date Value],"&lt;="&amp;$Z$3))+(-SUMIFS(SIP[Unit],SIP[Investor ID],A125,SIP[B/S],"S",SIP[Date Value],"&gt;="&amp;$Z$2,SIP[Date Value],"&lt;="&amp;$Z$3))</f>
        <v>0</v>
      </c>
      <c r="M125" s="49">
        <f>(SUMIFS(LS[Cost of Units Sold],LS[Investor ID],A125,LS[B/S],"S",LS[Date Value],"&gt;="&amp;$Z$2,LS[Date Value],"&lt;="&amp;$Z$3))+(SUMIFS(SIP[Cost of Units Sold],SIP[Investor ID],A125,SIP[B/S],"S",SIP[Date Value],"&gt;="&amp;$Z$2,SIP[Date Value],"&lt;="&amp;$Z$3))</f>
        <v>0</v>
      </c>
      <c r="N125" s="49">
        <f t="shared" si="9"/>
        <v>0</v>
      </c>
      <c r="O125" s="49">
        <f>(SUMIFS(LS[Realized Gain],LS[Investor ID],A125,LS[Date Value],"&gt;="&amp;$Z$2,LS[Date Value],"&lt;="&amp;$Z$3))+(SUMIFS(SIP[Realized Gain],SIP[Investor ID],A125,SIP[Date Value],"&gt;="&amp;$Z$2,SIP[Date Value],"&lt;="&amp;$Z$3))</f>
        <v>0</v>
      </c>
      <c r="P125" s="49">
        <v>0</v>
      </c>
      <c r="Q125" s="49">
        <v>0</v>
      </c>
      <c r="R125" s="49">
        <v>0</v>
      </c>
    </row>
    <row r="126" spans="1:18">
      <c r="A126" t="s">
        <v>300</v>
      </c>
      <c r="B126" s="47">
        <f>SUMIFS(LS[Unit],LS[Investor ID],'TAX CERTIFICATE'!A126,LS[Date Value],"&lt;"&amp;$Z$2)+SUMIFS(SIP[Unit],SIP[Investor ID],'TAX CERTIFICATE'!A126,SIP[Date Value],"&lt;"&amp;$Z$2)</f>
        <v>0</v>
      </c>
      <c r="C126" s="48">
        <f>(SUMIFS(LS[Amount],LS[B/S],"B",LS[Investor ID],A126,LS[Date Value],"&lt;"&amp;$Z$2)-SUMIFS(LS[Cost of Units Sold],LS[B/S],"S",LS[Investor ID],A126,LS[Date Value],"&lt;"&amp;$Z$2))+(SUMIFS(SIP[Amount],SIP[B/S],"B",SIP[Investor ID],#REF!,SIP[Date Value],"&lt;"&amp;$Z$2)-SUMIFS(SIP[Cost of Units Sold],SIP[B/S],"S",SIP[Investor ID],A126,SIP[Date Value],"&lt;"&amp;$Z$2))</f>
        <v>0</v>
      </c>
      <c r="D126" s="49">
        <f t="shared" si="5"/>
        <v>0</v>
      </c>
      <c r="E126" s="49">
        <f t="shared" si="6"/>
        <v>0</v>
      </c>
      <c r="F126" s="47">
        <f>SUMIFS(LS[Unit],LS[Investor ID],A126,LS[Date Value],"&lt;="&amp;$Z$3)+SUMIFS(SIP[Unit],SIP[Investor ID],A126,SIP[Date Value],"&lt;="&amp;$Z$3)</f>
        <v>0</v>
      </c>
      <c r="G126" s="49">
        <f>(SUMIFS(LS[Amount],LS[B/S],"B",LS[Investor ID],A126,LS[Date Value],"&lt;="&amp;$Z$3)-SUMIFS(LS[Cost of Units Sold],LS[B/S],"S",LS[Investor ID],A126,LS[Date Value],"&lt;="&amp;$Z$3))+(SUMIFS(SIP[Amount],SIP[B/S],"B",SIP[Investor ID],A126,SIP[Date Value],"&lt;="&amp;$Z$3)-SUMIFS(SIP[Cost of Units Sold],SIP[B/S],"S",SIP[Investor ID],A126,SIP[Date Value],"&lt;="&amp;$Z$3))</f>
        <v>0</v>
      </c>
      <c r="H126" s="49">
        <f t="shared" si="7"/>
        <v>0</v>
      </c>
      <c r="I126" s="49">
        <f t="shared" si="8"/>
        <v>0</v>
      </c>
      <c r="J126" s="47">
        <f>(SUMIFS(LS[Unit],LS[Investor ID],A126,LS[B/S],"B",LS[Date Value],"&gt;="&amp;$Z$2,LS[Date Value],"&lt;="&amp;$Z$3))+(SUMIFS(SIP[Unit],SIP[Investor ID],A126,SIP[B/S],"B",SIP[Date Value],"&gt;="&amp;$Z$2,SIP[Date Value],"&lt;="&amp;$Z$3))</f>
        <v>0</v>
      </c>
      <c r="K126" s="49">
        <f>(SUMIFS(LS[Amount],LS[Investor ID],A126,LS[B/S],"B",LS[Date Value],"&gt;="&amp;$Z$2,LS[Date Value],"&lt;="&amp;$Z$3))+(SUMIFS(SIP[Amount],SIP[Investor ID],A126,SIP[B/S],"B",SIP[Date Value],"&gt;="&amp;$Z$2,SIP[Date Value],"&lt;="&amp;$Z$3))</f>
        <v>0</v>
      </c>
      <c r="L126" s="47">
        <f>(-SUMIFS(LS[Unit],LS[Investor ID],A126,LS[B/S],"S",LS[Date Value],"&gt;="&amp;$Z$2,LS[Date Value],"&lt;="&amp;$Z$3))+(-SUMIFS(SIP[Unit],SIP[Investor ID],A126,SIP[B/S],"S",SIP[Date Value],"&gt;="&amp;$Z$2,SIP[Date Value],"&lt;="&amp;$Z$3))</f>
        <v>0</v>
      </c>
      <c r="M126" s="49">
        <f>(SUMIFS(LS[Cost of Units Sold],LS[Investor ID],A126,LS[B/S],"S",LS[Date Value],"&gt;="&amp;$Z$2,LS[Date Value],"&lt;="&amp;$Z$3))+(SUMIFS(SIP[Cost of Units Sold],SIP[Investor ID],A126,SIP[B/S],"S",SIP[Date Value],"&gt;="&amp;$Z$2,SIP[Date Value],"&lt;="&amp;$Z$3))</f>
        <v>0</v>
      </c>
      <c r="N126" s="49">
        <f t="shared" si="9"/>
        <v>0</v>
      </c>
      <c r="O126" s="49">
        <f>(SUMIFS(LS[Realized Gain],LS[Investor ID],A126,LS[Date Value],"&gt;="&amp;$Z$2,LS[Date Value],"&lt;="&amp;$Z$3))+(SUMIFS(SIP[Realized Gain],SIP[Investor ID],A126,SIP[Date Value],"&gt;="&amp;$Z$2,SIP[Date Value],"&lt;="&amp;$Z$3))</f>
        <v>0</v>
      </c>
      <c r="P126" s="49">
        <v>0</v>
      </c>
      <c r="Q126" s="49">
        <v>0</v>
      </c>
      <c r="R126" s="49">
        <v>0</v>
      </c>
    </row>
    <row r="127" spans="1:18">
      <c r="A127" t="s">
        <v>302</v>
      </c>
      <c r="B127" s="47">
        <f>SUMIFS(LS[Unit],LS[Investor ID],'TAX CERTIFICATE'!A127,LS[Date Value],"&lt;"&amp;$Z$2)+SUMIFS(SIP[Unit],SIP[Investor ID],'TAX CERTIFICATE'!A127,SIP[Date Value],"&lt;"&amp;$Z$2)</f>
        <v>0</v>
      </c>
      <c r="C127" s="48">
        <f>(SUMIFS(LS[Amount],LS[B/S],"B",LS[Investor ID],A127,LS[Date Value],"&lt;"&amp;$Z$2)-SUMIFS(LS[Cost of Units Sold],LS[B/S],"S",LS[Investor ID],A127,LS[Date Value],"&lt;"&amp;$Z$2))+(SUMIFS(SIP[Amount],SIP[B/S],"B",SIP[Investor ID],#REF!,SIP[Date Value],"&lt;"&amp;$Z$2)-SUMIFS(SIP[Cost of Units Sold],SIP[B/S],"S",SIP[Investor ID],A127,SIP[Date Value],"&lt;"&amp;$Z$2))</f>
        <v>0</v>
      </c>
      <c r="D127" s="49">
        <f t="shared" si="5"/>
        <v>0</v>
      </c>
      <c r="E127" s="49">
        <f t="shared" si="6"/>
        <v>0</v>
      </c>
      <c r="F127" s="47">
        <f>SUMIFS(LS[Unit],LS[Investor ID],A127,LS[Date Value],"&lt;="&amp;$Z$3)+SUMIFS(SIP[Unit],SIP[Investor ID],A127,SIP[Date Value],"&lt;="&amp;$Z$3)</f>
        <v>270149</v>
      </c>
      <c r="G127" s="49">
        <f>(SUMIFS(LS[Amount],LS[B/S],"B",LS[Investor ID],A127,LS[Date Value],"&lt;="&amp;$Z$3)-SUMIFS(LS[Cost of Units Sold],LS[B/S],"S",LS[Investor ID],A127,LS[Date Value],"&lt;="&amp;$Z$3))+(SUMIFS(SIP[Amount],SIP[B/S],"B",SIP[Investor ID],A127,SIP[Date Value],"&lt;="&amp;$Z$3)-SUMIFS(SIP[Cost of Units Sold],SIP[B/S],"S",SIP[Investor ID],A127,SIP[Date Value],"&lt;="&amp;$Z$3))</f>
        <v>3000000</v>
      </c>
      <c r="H127" s="49">
        <f t="shared" si="7"/>
        <v>3015943.4359999998</v>
      </c>
      <c r="I127" s="49">
        <f t="shared" si="8"/>
        <v>15943.435999999754</v>
      </c>
      <c r="J127" s="47">
        <f>(SUMIFS(LS[Unit],LS[Investor ID],A127,LS[B/S],"B",LS[Date Value],"&gt;="&amp;$Z$2,LS[Date Value],"&lt;="&amp;$Z$3))+(SUMIFS(SIP[Unit],SIP[Investor ID],A127,SIP[B/S],"B",SIP[Date Value],"&gt;="&amp;$Z$2,SIP[Date Value],"&lt;="&amp;$Z$3))</f>
        <v>270149</v>
      </c>
      <c r="K127" s="49">
        <f>(SUMIFS(LS[Amount],LS[Investor ID],A127,LS[B/S],"B",LS[Date Value],"&gt;="&amp;$Z$2,LS[Date Value],"&lt;="&amp;$Z$3))+(SUMIFS(SIP[Amount],SIP[Investor ID],A127,SIP[B/S],"B",SIP[Date Value],"&gt;="&amp;$Z$2,SIP[Date Value],"&lt;="&amp;$Z$3))</f>
        <v>3000000</v>
      </c>
      <c r="L127" s="47">
        <f>(-SUMIFS(LS[Unit],LS[Investor ID],A127,LS[B/S],"S",LS[Date Value],"&gt;="&amp;$Z$2,LS[Date Value],"&lt;="&amp;$Z$3))+(-SUMIFS(SIP[Unit],SIP[Investor ID],A127,SIP[B/S],"S",SIP[Date Value],"&gt;="&amp;$Z$2,SIP[Date Value],"&lt;="&amp;$Z$3))</f>
        <v>0</v>
      </c>
      <c r="M127" s="49">
        <f>(SUMIFS(LS[Cost of Units Sold],LS[Investor ID],A127,LS[B/S],"S",LS[Date Value],"&gt;="&amp;$Z$2,LS[Date Value],"&lt;="&amp;$Z$3))+(SUMIFS(SIP[Cost of Units Sold],SIP[Investor ID],A127,SIP[B/S],"S",SIP[Date Value],"&gt;="&amp;$Z$2,SIP[Date Value],"&lt;="&amp;$Z$3))</f>
        <v>0</v>
      </c>
      <c r="N127" s="49">
        <f t="shared" si="9"/>
        <v>3000000</v>
      </c>
      <c r="O127" s="49">
        <f>(SUMIFS(LS[Realized Gain],LS[Investor ID],A127,LS[Date Value],"&gt;="&amp;$Z$2,LS[Date Value],"&lt;="&amp;$Z$3))+(SUMIFS(SIP[Realized Gain],SIP[Investor ID],A127,SIP[Date Value],"&gt;="&amp;$Z$2,SIP[Date Value],"&lt;="&amp;$Z$3))</f>
        <v>0</v>
      </c>
      <c r="P127" s="49">
        <v>0</v>
      </c>
      <c r="Q127" s="49">
        <v>0</v>
      </c>
      <c r="R127" s="49">
        <v>0</v>
      </c>
    </row>
    <row r="128" spans="1:18">
      <c r="A128" t="s">
        <v>304</v>
      </c>
      <c r="B128" s="47">
        <f>SUMIFS(LS[Unit],LS[Investor ID],'TAX CERTIFICATE'!A128,LS[Date Value],"&lt;"&amp;$Z$2)+SUMIFS(SIP[Unit],SIP[Investor ID],'TAX CERTIFICATE'!A128,SIP[Date Value],"&lt;"&amp;$Z$2)</f>
        <v>0</v>
      </c>
      <c r="C128" s="48">
        <f>(SUMIFS(LS[Amount],LS[B/S],"B",LS[Investor ID],A128,LS[Date Value],"&lt;"&amp;$Z$2)-SUMIFS(LS[Cost of Units Sold],LS[B/S],"S",LS[Investor ID],A128,LS[Date Value],"&lt;"&amp;$Z$2))+(SUMIFS(SIP[Amount],SIP[B/S],"B",SIP[Investor ID],#REF!,SIP[Date Value],"&lt;"&amp;$Z$2)-SUMIFS(SIP[Cost of Units Sold],SIP[B/S],"S",SIP[Investor ID],A128,SIP[Date Value],"&lt;"&amp;$Z$2))</f>
        <v>0</v>
      </c>
      <c r="D128" s="49">
        <f t="shared" si="5"/>
        <v>0</v>
      </c>
      <c r="E128" s="49">
        <f t="shared" si="6"/>
        <v>0</v>
      </c>
      <c r="F128" s="47">
        <f>SUMIFS(LS[Unit],LS[Investor ID],A128,LS[Date Value],"&lt;="&amp;$Z$3)+SUMIFS(SIP[Unit],SIP[Investor ID],A128,SIP[Date Value],"&lt;="&amp;$Z$3)</f>
        <v>0</v>
      </c>
      <c r="G128" s="49">
        <f>(SUMIFS(LS[Amount],LS[B/S],"B",LS[Investor ID],A128,LS[Date Value],"&lt;="&amp;$Z$3)-SUMIFS(LS[Cost of Units Sold],LS[B/S],"S",LS[Investor ID],A128,LS[Date Value],"&lt;="&amp;$Z$3))+(SUMIFS(SIP[Amount],SIP[B/S],"B",SIP[Investor ID],A128,SIP[Date Value],"&lt;="&amp;$Z$3)-SUMIFS(SIP[Cost of Units Sold],SIP[B/S],"S",SIP[Investor ID],A128,SIP[Date Value],"&lt;="&amp;$Z$3))</f>
        <v>0</v>
      </c>
      <c r="H128" s="49">
        <f t="shared" si="7"/>
        <v>0</v>
      </c>
      <c r="I128" s="49">
        <f t="shared" si="8"/>
        <v>0</v>
      </c>
      <c r="J128" s="47">
        <f>(SUMIFS(LS[Unit],LS[Investor ID],A128,LS[B/S],"B",LS[Date Value],"&gt;="&amp;$Z$2,LS[Date Value],"&lt;="&amp;$Z$3))+(SUMIFS(SIP[Unit],SIP[Investor ID],A128,SIP[B/S],"B",SIP[Date Value],"&gt;="&amp;$Z$2,SIP[Date Value],"&lt;="&amp;$Z$3))</f>
        <v>0</v>
      </c>
      <c r="K128" s="49">
        <f>(SUMIFS(LS[Amount],LS[Investor ID],A128,LS[B/S],"B",LS[Date Value],"&gt;="&amp;$Z$2,LS[Date Value],"&lt;="&amp;$Z$3))+(SUMIFS(SIP[Amount],SIP[Investor ID],A128,SIP[B/S],"B",SIP[Date Value],"&gt;="&amp;$Z$2,SIP[Date Value],"&lt;="&amp;$Z$3))</f>
        <v>0</v>
      </c>
      <c r="L128" s="47">
        <f>(-SUMIFS(LS[Unit],LS[Investor ID],A128,LS[B/S],"S",LS[Date Value],"&gt;="&amp;$Z$2,LS[Date Value],"&lt;="&amp;$Z$3))+(-SUMIFS(SIP[Unit],SIP[Investor ID],A128,SIP[B/S],"S",SIP[Date Value],"&gt;="&amp;$Z$2,SIP[Date Value],"&lt;="&amp;$Z$3))</f>
        <v>0</v>
      </c>
      <c r="M128" s="49">
        <f>(SUMIFS(LS[Cost of Units Sold],LS[Investor ID],A128,LS[B/S],"S",LS[Date Value],"&gt;="&amp;$Z$2,LS[Date Value],"&lt;="&amp;$Z$3))+(SUMIFS(SIP[Cost of Units Sold],SIP[Investor ID],A128,SIP[B/S],"S",SIP[Date Value],"&gt;="&amp;$Z$2,SIP[Date Value],"&lt;="&amp;$Z$3))</f>
        <v>0</v>
      </c>
      <c r="N128" s="49">
        <f t="shared" si="9"/>
        <v>0</v>
      </c>
      <c r="O128" s="49">
        <f>(SUMIFS(LS[Realized Gain],LS[Investor ID],A128,LS[Date Value],"&gt;="&amp;$Z$2,LS[Date Value],"&lt;="&amp;$Z$3))+(SUMIFS(SIP[Realized Gain],SIP[Investor ID],A128,SIP[Date Value],"&gt;="&amp;$Z$2,SIP[Date Value],"&lt;="&amp;$Z$3))</f>
        <v>0</v>
      </c>
      <c r="P128" s="49">
        <v>0</v>
      </c>
      <c r="Q128" s="49">
        <v>0</v>
      </c>
      <c r="R128" s="49">
        <v>0</v>
      </c>
    </row>
    <row r="129" spans="1:18">
      <c r="A129" t="s">
        <v>306</v>
      </c>
      <c r="B129" s="47">
        <f>SUMIFS(LS[Unit],LS[Investor ID],'TAX CERTIFICATE'!A129,LS[Date Value],"&lt;"&amp;$Z$2)+SUMIFS(SIP[Unit],SIP[Investor ID],'TAX CERTIFICATE'!A129,SIP[Date Value],"&lt;"&amp;$Z$2)</f>
        <v>0</v>
      </c>
      <c r="C129" s="48">
        <f>(SUMIFS(LS[Amount],LS[B/S],"B",LS[Investor ID],A129,LS[Date Value],"&lt;"&amp;$Z$2)-SUMIFS(LS[Cost of Units Sold],LS[B/S],"S",LS[Investor ID],A129,LS[Date Value],"&lt;"&amp;$Z$2))+(SUMIFS(SIP[Amount],SIP[B/S],"B",SIP[Investor ID],#REF!,SIP[Date Value],"&lt;"&amp;$Z$2)-SUMIFS(SIP[Cost of Units Sold],SIP[B/S],"S",SIP[Investor ID],A129,SIP[Date Value],"&lt;"&amp;$Z$2))</f>
        <v>0</v>
      </c>
      <c r="D129" s="49">
        <f t="shared" si="5"/>
        <v>0</v>
      </c>
      <c r="E129" s="49">
        <f t="shared" si="6"/>
        <v>0</v>
      </c>
      <c r="F129" s="47">
        <f>SUMIFS(LS[Unit],LS[Investor ID],A129,LS[Date Value],"&lt;="&amp;$Z$3)+SUMIFS(SIP[Unit],SIP[Investor ID],A129,SIP[Date Value],"&lt;="&amp;$Z$3)</f>
        <v>0</v>
      </c>
      <c r="G129" s="49">
        <f>(SUMIFS(LS[Amount],LS[B/S],"B",LS[Investor ID],A129,LS[Date Value],"&lt;="&amp;$Z$3)-SUMIFS(LS[Cost of Units Sold],LS[B/S],"S",LS[Investor ID],A129,LS[Date Value],"&lt;="&amp;$Z$3))+(SUMIFS(SIP[Amount],SIP[B/S],"B",SIP[Investor ID],A129,SIP[Date Value],"&lt;="&amp;$Z$3)-SUMIFS(SIP[Cost of Units Sold],SIP[B/S],"S",SIP[Investor ID],A129,SIP[Date Value],"&lt;="&amp;$Z$3))</f>
        <v>0</v>
      </c>
      <c r="H129" s="49">
        <f t="shared" si="7"/>
        <v>0</v>
      </c>
      <c r="I129" s="49">
        <f t="shared" si="8"/>
        <v>0</v>
      </c>
      <c r="J129" s="47">
        <f>(SUMIFS(LS[Unit],LS[Investor ID],A129,LS[B/S],"B",LS[Date Value],"&gt;="&amp;$Z$2,LS[Date Value],"&lt;="&amp;$Z$3))+(SUMIFS(SIP[Unit],SIP[Investor ID],A129,SIP[B/S],"B",SIP[Date Value],"&gt;="&amp;$Z$2,SIP[Date Value],"&lt;="&amp;$Z$3))</f>
        <v>0</v>
      </c>
      <c r="K129" s="49">
        <f>(SUMIFS(LS[Amount],LS[Investor ID],A129,LS[B/S],"B",LS[Date Value],"&gt;="&amp;$Z$2,LS[Date Value],"&lt;="&amp;$Z$3))+(SUMIFS(SIP[Amount],SIP[Investor ID],A129,SIP[B/S],"B",SIP[Date Value],"&gt;="&amp;$Z$2,SIP[Date Value],"&lt;="&amp;$Z$3))</f>
        <v>0</v>
      </c>
      <c r="L129" s="47">
        <f>(-SUMIFS(LS[Unit],LS[Investor ID],A129,LS[B/S],"S",LS[Date Value],"&gt;="&amp;$Z$2,LS[Date Value],"&lt;="&amp;$Z$3))+(-SUMIFS(SIP[Unit],SIP[Investor ID],A129,SIP[B/S],"S",SIP[Date Value],"&gt;="&amp;$Z$2,SIP[Date Value],"&lt;="&amp;$Z$3))</f>
        <v>0</v>
      </c>
      <c r="M129" s="49">
        <f>(SUMIFS(LS[Cost of Units Sold],LS[Investor ID],A129,LS[B/S],"S",LS[Date Value],"&gt;="&amp;$Z$2,LS[Date Value],"&lt;="&amp;$Z$3))+(SUMIFS(SIP[Cost of Units Sold],SIP[Investor ID],A129,SIP[B/S],"S",SIP[Date Value],"&gt;="&amp;$Z$2,SIP[Date Value],"&lt;="&amp;$Z$3))</f>
        <v>0</v>
      </c>
      <c r="N129" s="49">
        <f t="shared" si="9"/>
        <v>0</v>
      </c>
      <c r="O129" s="49">
        <f>(SUMIFS(LS[Realized Gain],LS[Investor ID],A129,LS[Date Value],"&gt;="&amp;$Z$2,LS[Date Value],"&lt;="&amp;$Z$3))+(SUMIFS(SIP[Realized Gain],SIP[Investor ID],A129,SIP[Date Value],"&gt;="&amp;$Z$2,SIP[Date Value],"&lt;="&amp;$Z$3))</f>
        <v>0</v>
      </c>
      <c r="P129" s="49">
        <v>0</v>
      </c>
      <c r="Q129" s="49">
        <v>0</v>
      </c>
      <c r="R129" s="49">
        <v>0</v>
      </c>
    </row>
    <row r="130" spans="1:18">
      <c r="A130" t="s">
        <v>308</v>
      </c>
      <c r="B130" s="47">
        <f>SUMIFS(LS[Unit],LS[Investor ID],'TAX CERTIFICATE'!A130,LS[Date Value],"&lt;"&amp;$Z$2)+SUMIFS(SIP[Unit],SIP[Investor ID],'TAX CERTIFICATE'!A130,SIP[Date Value],"&lt;"&amp;$Z$2)</f>
        <v>0</v>
      </c>
      <c r="C130" s="48">
        <f>(SUMIFS(LS[Amount],LS[B/S],"B",LS[Investor ID],A130,LS[Date Value],"&lt;"&amp;$Z$2)-SUMIFS(LS[Cost of Units Sold],LS[B/S],"S",LS[Investor ID],A130,LS[Date Value],"&lt;"&amp;$Z$2))+(SUMIFS(SIP[Amount],SIP[B/S],"B",SIP[Investor ID],#REF!,SIP[Date Value],"&lt;"&amp;$Z$2)-SUMIFS(SIP[Cost of Units Sold],SIP[B/S],"S",SIP[Investor ID],A130,SIP[Date Value],"&lt;"&amp;$Z$2))</f>
        <v>0</v>
      </c>
      <c r="D130" s="49">
        <f t="shared" si="5"/>
        <v>0</v>
      </c>
      <c r="E130" s="49">
        <f t="shared" si="6"/>
        <v>0</v>
      </c>
      <c r="F130" s="47">
        <f>SUMIFS(LS[Unit],LS[Investor ID],A130,LS[Date Value],"&lt;="&amp;$Z$3)+SUMIFS(SIP[Unit],SIP[Investor ID],A130,SIP[Date Value],"&lt;="&amp;$Z$3)</f>
        <v>0</v>
      </c>
      <c r="G130" s="49">
        <f>(SUMIFS(LS[Amount],LS[B/S],"B",LS[Investor ID],A130,LS[Date Value],"&lt;="&amp;$Z$3)-SUMIFS(LS[Cost of Units Sold],LS[B/S],"S",LS[Investor ID],A130,LS[Date Value],"&lt;="&amp;$Z$3))+(SUMIFS(SIP[Amount],SIP[B/S],"B",SIP[Investor ID],A130,SIP[Date Value],"&lt;="&amp;$Z$3)-SUMIFS(SIP[Cost of Units Sold],SIP[B/S],"S",SIP[Investor ID],A130,SIP[Date Value],"&lt;="&amp;$Z$3))</f>
        <v>0</v>
      </c>
      <c r="H130" s="49">
        <f t="shared" si="7"/>
        <v>0</v>
      </c>
      <c r="I130" s="49">
        <f t="shared" si="8"/>
        <v>0</v>
      </c>
      <c r="J130" s="47">
        <f>(SUMIFS(LS[Unit],LS[Investor ID],A130,LS[B/S],"B",LS[Date Value],"&gt;="&amp;$Z$2,LS[Date Value],"&lt;="&amp;$Z$3))+(SUMIFS(SIP[Unit],SIP[Investor ID],A130,SIP[B/S],"B",SIP[Date Value],"&gt;="&amp;$Z$2,SIP[Date Value],"&lt;="&amp;$Z$3))</f>
        <v>0</v>
      </c>
      <c r="K130" s="49">
        <f>(SUMIFS(LS[Amount],LS[Investor ID],A130,LS[B/S],"B",LS[Date Value],"&gt;="&amp;$Z$2,LS[Date Value],"&lt;="&amp;$Z$3))+(SUMIFS(SIP[Amount],SIP[Investor ID],A130,SIP[B/S],"B",SIP[Date Value],"&gt;="&amp;$Z$2,SIP[Date Value],"&lt;="&amp;$Z$3))</f>
        <v>0</v>
      </c>
      <c r="L130" s="47">
        <f>(-SUMIFS(LS[Unit],LS[Investor ID],A130,LS[B/S],"S",LS[Date Value],"&gt;="&amp;$Z$2,LS[Date Value],"&lt;="&amp;$Z$3))+(-SUMIFS(SIP[Unit],SIP[Investor ID],A130,SIP[B/S],"S",SIP[Date Value],"&gt;="&amp;$Z$2,SIP[Date Value],"&lt;="&amp;$Z$3))</f>
        <v>0</v>
      </c>
      <c r="M130" s="49">
        <f>(SUMIFS(LS[Cost of Units Sold],LS[Investor ID],A130,LS[B/S],"S",LS[Date Value],"&gt;="&amp;$Z$2,LS[Date Value],"&lt;="&amp;$Z$3))+(SUMIFS(SIP[Cost of Units Sold],SIP[Investor ID],A130,SIP[B/S],"S",SIP[Date Value],"&gt;="&amp;$Z$2,SIP[Date Value],"&lt;="&amp;$Z$3))</f>
        <v>0</v>
      </c>
      <c r="N130" s="49">
        <f t="shared" si="9"/>
        <v>0</v>
      </c>
      <c r="O130" s="49">
        <f>(SUMIFS(LS[Realized Gain],LS[Investor ID],A130,LS[Date Value],"&gt;="&amp;$Z$2,LS[Date Value],"&lt;="&amp;$Z$3))+(SUMIFS(SIP[Realized Gain],SIP[Investor ID],A130,SIP[Date Value],"&gt;="&amp;$Z$2,SIP[Date Value],"&lt;="&amp;$Z$3))</f>
        <v>0</v>
      </c>
      <c r="P130" s="49">
        <v>0</v>
      </c>
      <c r="Q130" s="49">
        <v>0</v>
      </c>
      <c r="R130" s="49">
        <v>0</v>
      </c>
    </row>
    <row r="131" spans="1:18">
      <c r="A131" t="s">
        <v>310</v>
      </c>
      <c r="B131" s="47">
        <f>SUMIFS(LS[Unit],LS[Investor ID],'TAX CERTIFICATE'!A131,LS[Date Value],"&lt;"&amp;$Z$2)+SUMIFS(SIP[Unit],SIP[Investor ID],'TAX CERTIFICATE'!A131,SIP[Date Value],"&lt;"&amp;$Z$2)</f>
        <v>0</v>
      </c>
      <c r="C131" s="48">
        <f>(SUMIFS(LS[Amount],LS[B/S],"B",LS[Investor ID],A131,LS[Date Value],"&lt;"&amp;$Z$2)-SUMIFS(LS[Cost of Units Sold],LS[B/S],"S",LS[Investor ID],A131,LS[Date Value],"&lt;"&amp;$Z$2))+(SUMIFS(SIP[Amount],SIP[B/S],"B",SIP[Investor ID],#REF!,SIP[Date Value],"&lt;"&amp;$Z$2)-SUMIFS(SIP[Cost of Units Sold],SIP[B/S],"S",SIP[Investor ID],A131,SIP[Date Value],"&lt;"&amp;$Z$2))</f>
        <v>0</v>
      </c>
      <c r="D131" s="49">
        <f t="shared" ref="D131:D194" si="10">B131*$AA$2</f>
        <v>0</v>
      </c>
      <c r="E131" s="49">
        <f t="shared" ref="E131:E194" si="11">D131-C131</f>
        <v>0</v>
      </c>
      <c r="F131" s="47">
        <f>SUMIFS(LS[Unit],LS[Investor ID],A131,LS[Date Value],"&lt;="&amp;$Z$3)+SUMIFS(SIP[Unit],SIP[Investor ID],A131,SIP[Date Value],"&lt;="&amp;$Z$3)</f>
        <v>19146</v>
      </c>
      <c r="G131" s="49">
        <f>(SUMIFS(LS[Amount],LS[B/S],"B",LS[Investor ID],A131,LS[Date Value],"&lt;="&amp;$Z$3)-SUMIFS(LS[Cost of Units Sold],LS[B/S],"S",LS[Investor ID],A131,LS[Date Value],"&lt;="&amp;$Z$3))+(SUMIFS(SIP[Amount],SIP[B/S],"B",SIP[Investor ID],A131,SIP[Date Value],"&lt;="&amp;$Z$3)-SUMIFS(SIP[Cost of Units Sold],SIP[B/S],"S",SIP[Investor ID],A131,SIP[Date Value],"&lt;="&amp;$Z$3))</f>
        <v>201261.43172500789</v>
      </c>
      <c r="H131" s="49">
        <f t="shared" ref="H131:H194" si="12">F131*$AA$3</f>
        <v>213745.94399999999</v>
      </c>
      <c r="I131" s="49">
        <f t="shared" ref="I131:I194" si="13">H131-G131</f>
        <v>12484.512274992099</v>
      </c>
      <c r="J131" s="47">
        <f>(SUMIFS(LS[Unit],LS[Investor ID],A131,LS[B/S],"B",LS[Date Value],"&gt;="&amp;$Z$2,LS[Date Value],"&lt;="&amp;$Z$3))+(SUMIFS(SIP[Unit],SIP[Investor ID],A131,SIP[B/S],"B",SIP[Date Value],"&gt;="&amp;$Z$2,SIP[Date Value],"&lt;="&amp;$Z$3))</f>
        <v>28539</v>
      </c>
      <c r="K131" s="49">
        <f>(SUMIFS(LS[Amount],LS[Investor ID],A131,LS[B/S],"B",LS[Date Value],"&gt;="&amp;$Z$2,LS[Date Value],"&lt;="&amp;$Z$3))+(SUMIFS(SIP[Amount],SIP[Investor ID],A131,SIP[B/S],"B",SIP[Date Value],"&gt;="&amp;$Z$2,SIP[Date Value],"&lt;="&amp;$Z$3))</f>
        <v>300000</v>
      </c>
      <c r="L131" s="47">
        <f>(-SUMIFS(LS[Unit],LS[Investor ID],A131,LS[B/S],"S",LS[Date Value],"&gt;="&amp;$Z$2,LS[Date Value],"&lt;="&amp;$Z$3))+(-SUMIFS(SIP[Unit],SIP[Investor ID],A131,SIP[B/S],"S",SIP[Date Value],"&gt;="&amp;$Z$2,SIP[Date Value],"&lt;="&amp;$Z$3))</f>
        <v>9393</v>
      </c>
      <c r="M131" s="49">
        <f>(SUMIFS(LS[Cost of Units Sold],LS[Investor ID],A131,LS[B/S],"S",LS[Date Value],"&gt;="&amp;$Z$2,LS[Date Value],"&lt;="&amp;$Z$3))+(SUMIFS(SIP[Cost of Units Sold],SIP[Investor ID],A131,SIP[B/S],"S",SIP[Date Value],"&gt;="&amp;$Z$2,SIP[Date Value],"&lt;="&amp;$Z$3))</f>
        <v>98738.568274992111</v>
      </c>
      <c r="N131" s="49">
        <f t="shared" ref="N131:N194" si="14">K131-M131</f>
        <v>201261.43172500789</v>
      </c>
      <c r="O131" s="49">
        <f>(SUMIFS(LS[Realized Gain],LS[Investor ID],A131,LS[Date Value],"&gt;="&amp;$Z$2,LS[Date Value],"&lt;="&amp;$Z$3))+(SUMIFS(SIP[Realized Gain],SIP[Investor ID],A131,SIP[Date Value],"&gt;="&amp;$Z$2,SIP[Date Value],"&lt;="&amp;$Z$3))</f>
        <v>1261.4317250078825</v>
      </c>
      <c r="P131" s="49">
        <v>0</v>
      </c>
      <c r="Q131" s="49">
        <v>0</v>
      </c>
      <c r="R131" s="49">
        <v>0</v>
      </c>
    </row>
    <row r="132" spans="1:18">
      <c r="A132" t="s">
        <v>312</v>
      </c>
      <c r="B132" s="47">
        <f>SUMIFS(LS[Unit],LS[Investor ID],'TAX CERTIFICATE'!A132,LS[Date Value],"&lt;"&amp;$Z$2)+SUMIFS(SIP[Unit],SIP[Investor ID],'TAX CERTIFICATE'!A132,SIP[Date Value],"&lt;"&amp;$Z$2)</f>
        <v>0</v>
      </c>
      <c r="C132" s="48">
        <f>(SUMIFS(LS[Amount],LS[B/S],"B",LS[Investor ID],A132,LS[Date Value],"&lt;"&amp;$Z$2)-SUMIFS(LS[Cost of Units Sold],LS[B/S],"S",LS[Investor ID],A132,LS[Date Value],"&lt;"&amp;$Z$2))+(SUMIFS(SIP[Amount],SIP[B/S],"B",SIP[Investor ID],#REF!,SIP[Date Value],"&lt;"&amp;$Z$2)-SUMIFS(SIP[Cost of Units Sold],SIP[B/S],"S",SIP[Investor ID],A132,SIP[Date Value],"&lt;"&amp;$Z$2))</f>
        <v>0</v>
      </c>
      <c r="D132" s="49">
        <f t="shared" si="10"/>
        <v>0</v>
      </c>
      <c r="E132" s="49">
        <f t="shared" si="11"/>
        <v>0</v>
      </c>
      <c r="F132" s="47">
        <f>SUMIFS(LS[Unit],LS[Investor ID],A132,LS[Date Value],"&lt;="&amp;$Z$3)+SUMIFS(SIP[Unit],SIP[Investor ID],A132,SIP[Date Value],"&lt;="&amp;$Z$3)</f>
        <v>0</v>
      </c>
      <c r="G132" s="49">
        <f>(SUMIFS(LS[Amount],LS[B/S],"B",LS[Investor ID],A132,LS[Date Value],"&lt;="&amp;$Z$3)-SUMIFS(LS[Cost of Units Sold],LS[B/S],"S",LS[Investor ID],A132,LS[Date Value],"&lt;="&amp;$Z$3))+(SUMIFS(SIP[Amount],SIP[B/S],"B",SIP[Investor ID],A132,SIP[Date Value],"&lt;="&amp;$Z$3)-SUMIFS(SIP[Cost of Units Sold],SIP[B/S],"S",SIP[Investor ID],A132,SIP[Date Value],"&lt;="&amp;$Z$3))</f>
        <v>0</v>
      </c>
      <c r="H132" s="49">
        <f t="shared" si="12"/>
        <v>0</v>
      </c>
      <c r="I132" s="49">
        <f t="shared" si="13"/>
        <v>0</v>
      </c>
      <c r="J132" s="47">
        <f>(SUMIFS(LS[Unit],LS[Investor ID],A132,LS[B/S],"B",LS[Date Value],"&gt;="&amp;$Z$2,LS[Date Value],"&lt;="&amp;$Z$3))+(SUMIFS(SIP[Unit],SIP[Investor ID],A132,SIP[B/S],"B",SIP[Date Value],"&gt;="&amp;$Z$2,SIP[Date Value],"&lt;="&amp;$Z$3))</f>
        <v>5614</v>
      </c>
      <c r="K132" s="49">
        <f>(SUMIFS(LS[Amount],LS[Investor ID],A132,LS[B/S],"B",LS[Date Value],"&gt;="&amp;$Z$2,LS[Date Value],"&lt;="&amp;$Z$3))+(SUMIFS(SIP[Amount],SIP[Investor ID],A132,SIP[B/S],"B",SIP[Date Value],"&gt;="&amp;$Z$2,SIP[Date Value],"&lt;="&amp;$Z$3))</f>
        <v>60000</v>
      </c>
      <c r="L132" s="47">
        <f>(-SUMIFS(LS[Unit],LS[Investor ID],A132,LS[B/S],"S",LS[Date Value],"&gt;="&amp;$Z$2,LS[Date Value],"&lt;="&amp;$Z$3))+(-SUMIFS(SIP[Unit],SIP[Investor ID],A132,SIP[B/S],"S",SIP[Date Value],"&gt;="&amp;$Z$2,SIP[Date Value],"&lt;="&amp;$Z$3))</f>
        <v>5614</v>
      </c>
      <c r="M132" s="49">
        <f>(SUMIFS(LS[Cost of Units Sold],LS[Investor ID],A132,LS[B/S],"S",LS[Date Value],"&gt;="&amp;$Z$2,LS[Date Value],"&lt;="&amp;$Z$3))+(SUMIFS(SIP[Cost of Units Sold],SIP[Investor ID],A132,SIP[B/S],"S",SIP[Date Value],"&gt;="&amp;$Z$2,SIP[Date Value],"&lt;="&amp;$Z$3))</f>
        <v>60000</v>
      </c>
      <c r="N132" s="49">
        <f t="shared" si="14"/>
        <v>0</v>
      </c>
      <c r="O132" s="49">
        <f>(SUMIFS(LS[Realized Gain],LS[Investor ID],A132,LS[Date Value],"&gt;="&amp;$Z$2,LS[Date Value],"&lt;="&amp;$Z$3))+(SUMIFS(SIP[Realized Gain],SIP[Investor ID],A132,SIP[Date Value],"&gt;="&amp;$Z$2,SIP[Date Value],"&lt;="&amp;$Z$3))</f>
        <v>656.49999999999704</v>
      </c>
      <c r="P132" s="49">
        <v>0</v>
      </c>
      <c r="Q132" s="49">
        <v>0</v>
      </c>
      <c r="R132" s="49">
        <v>0</v>
      </c>
    </row>
    <row r="133" spans="1:18">
      <c r="A133" t="s">
        <v>314</v>
      </c>
      <c r="B133" s="47">
        <f>SUMIFS(LS[Unit],LS[Investor ID],'TAX CERTIFICATE'!A133,LS[Date Value],"&lt;"&amp;$Z$2)+SUMIFS(SIP[Unit],SIP[Investor ID],'TAX CERTIFICATE'!A133,SIP[Date Value],"&lt;"&amp;$Z$2)</f>
        <v>0</v>
      </c>
      <c r="C133" s="48">
        <f>(SUMIFS(LS[Amount],LS[B/S],"B",LS[Investor ID],A133,LS[Date Value],"&lt;"&amp;$Z$2)-SUMIFS(LS[Cost of Units Sold],LS[B/S],"S",LS[Investor ID],A133,LS[Date Value],"&lt;"&amp;$Z$2))+(SUMIFS(SIP[Amount],SIP[B/S],"B",SIP[Investor ID],#REF!,SIP[Date Value],"&lt;"&amp;$Z$2)-SUMIFS(SIP[Cost of Units Sold],SIP[B/S],"S",SIP[Investor ID],A133,SIP[Date Value],"&lt;"&amp;$Z$2))</f>
        <v>0</v>
      </c>
      <c r="D133" s="49">
        <f t="shared" si="10"/>
        <v>0</v>
      </c>
      <c r="E133" s="49">
        <f t="shared" si="11"/>
        <v>0</v>
      </c>
      <c r="F133" s="47">
        <f>SUMIFS(LS[Unit],LS[Investor ID],A133,LS[Date Value],"&lt;="&amp;$Z$3)+SUMIFS(SIP[Unit],SIP[Investor ID],A133,SIP[Date Value],"&lt;="&amp;$Z$3)</f>
        <v>0</v>
      </c>
      <c r="G133" s="49">
        <f>(SUMIFS(LS[Amount],LS[B/S],"B",LS[Investor ID],A133,LS[Date Value],"&lt;="&amp;$Z$3)-SUMIFS(LS[Cost of Units Sold],LS[B/S],"S",LS[Investor ID],A133,LS[Date Value],"&lt;="&amp;$Z$3))+(SUMIFS(SIP[Amount],SIP[B/S],"B",SIP[Investor ID],A133,SIP[Date Value],"&lt;="&amp;$Z$3)-SUMIFS(SIP[Cost of Units Sold],SIP[B/S],"S",SIP[Investor ID],A133,SIP[Date Value],"&lt;="&amp;$Z$3))</f>
        <v>0</v>
      </c>
      <c r="H133" s="49">
        <f t="shared" si="12"/>
        <v>0</v>
      </c>
      <c r="I133" s="49">
        <f t="shared" si="13"/>
        <v>0</v>
      </c>
      <c r="J133" s="47">
        <f>(SUMIFS(LS[Unit],LS[Investor ID],A133,LS[B/S],"B",LS[Date Value],"&gt;="&amp;$Z$2,LS[Date Value],"&lt;="&amp;$Z$3))+(SUMIFS(SIP[Unit],SIP[Investor ID],A133,SIP[B/S],"B",SIP[Date Value],"&gt;="&amp;$Z$2,SIP[Date Value],"&lt;="&amp;$Z$3))</f>
        <v>0</v>
      </c>
      <c r="K133" s="49">
        <f>(SUMIFS(LS[Amount],LS[Investor ID],A133,LS[B/S],"B",LS[Date Value],"&gt;="&amp;$Z$2,LS[Date Value],"&lt;="&amp;$Z$3))+(SUMIFS(SIP[Amount],SIP[Investor ID],A133,SIP[B/S],"B",SIP[Date Value],"&gt;="&amp;$Z$2,SIP[Date Value],"&lt;="&amp;$Z$3))</f>
        <v>0</v>
      </c>
      <c r="L133" s="47">
        <f>(-SUMIFS(LS[Unit],LS[Investor ID],A133,LS[B/S],"S",LS[Date Value],"&gt;="&amp;$Z$2,LS[Date Value],"&lt;="&amp;$Z$3))+(-SUMIFS(SIP[Unit],SIP[Investor ID],A133,SIP[B/S],"S",SIP[Date Value],"&gt;="&amp;$Z$2,SIP[Date Value],"&lt;="&amp;$Z$3))</f>
        <v>0</v>
      </c>
      <c r="M133" s="49">
        <f>(SUMIFS(LS[Cost of Units Sold],LS[Investor ID],A133,LS[B/S],"S",LS[Date Value],"&gt;="&amp;$Z$2,LS[Date Value],"&lt;="&amp;$Z$3))+(SUMIFS(SIP[Cost of Units Sold],SIP[Investor ID],A133,SIP[B/S],"S",SIP[Date Value],"&gt;="&amp;$Z$2,SIP[Date Value],"&lt;="&amp;$Z$3))</f>
        <v>0</v>
      </c>
      <c r="N133" s="49">
        <f t="shared" si="14"/>
        <v>0</v>
      </c>
      <c r="O133" s="49">
        <f>(SUMIFS(LS[Realized Gain],LS[Investor ID],A133,LS[Date Value],"&gt;="&amp;$Z$2,LS[Date Value],"&lt;="&amp;$Z$3))+(SUMIFS(SIP[Realized Gain],SIP[Investor ID],A133,SIP[Date Value],"&gt;="&amp;$Z$2,SIP[Date Value],"&lt;="&amp;$Z$3))</f>
        <v>0</v>
      </c>
      <c r="P133" s="49">
        <v>0</v>
      </c>
      <c r="Q133" s="49">
        <v>0</v>
      </c>
      <c r="R133" s="49">
        <v>0</v>
      </c>
    </row>
    <row r="134" spans="1:18">
      <c r="A134" t="s">
        <v>316</v>
      </c>
      <c r="B134" s="47">
        <f>SUMIFS(LS[Unit],LS[Investor ID],'TAX CERTIFICATE'!A134,LS[Date Value],"&lt;"&amp;$Z$2)+SUMIFS(SIP[Unit],SIP[Investor ID],'TAX CERTIFICATE'!A134,SIP[Date Value],"&lt;"&amp;$Z$2)</f>
        <v>0</v>
      </c>
      <c r="C134" s="48">
        <f>(SUMIFS(LS[Amount],LS[B/S],"B",LS[Investor ID],A134,LS[Date Value],"&lt;"&amp;$Z$2)-SUMIFS(LS[Cost of Units Sold],LS[B/S],"S",LS[Investor ID],A134,LS[Date Value],"&lt;"&amp;$Z$2))+(SUMIFS(SIP[Amount],SIP[B/S],"B",SIP[Investor ID],#REF!,SIP[Date Value],"&lt;"&amp;$Z$2)-SUMIFS(SIP[Cost of Units Sold],SIP[B/S],"S",SIP[Investor ID],A134,SIP[Date Value],"&lt;"&amp;$Z$2))</f>
        <v>0</v>
      </c>
      <c r="D134" s="49">
        <f t="shared" si="10"/>
        <v>0</v>
      </c>
      <c r="E134" s="49">
        <f t="shared" si="11"/>
        <v>0</v>
      </c>
      <c r="F134" s="47">
        <f>SUMIFS(LS[Unit],LS[Investor ID],A134,LS[Date Value],"&lt;="&amp;$Z$3)+SUMIFS(SIP[Unit],SIP[Investor ID],A134,SIP[Date Value],"&lt;="&amp;$Z$3)</f>
        <v>0</v>
      </c>
      <c r="G134" s="49">
        <f>(SUMIFS(LS[Amount],LS[B/S],"B",LS[Investor ID],A134,LS[Date Value],"&lt;="&amp;$Z$3)-SUMIFS(LS[Cost of Units Sold],LS[B/S],"S",LS[Investor ID],A134,LS[Date Value],"&lt;="&amp;$Z$3))+(SUMIFS(SIP[Amount],SIP[B/S],"B",SIP[Investor ID],A134,SIP[Date Value],"&lt;="&amp;$Z$3)-SUMIFS(SIP[Cost of Units Sold],SIP[B/S],"S",SIP[Investor ID],A134,SIP[Date Value],"&lt;="&amp;$Z$3))</f>
        <v>0</v>
      </c>
      <c r="H134" s="49">
        <f t="shared" si="12"/>
        <v>0</v>
      </c>
      <c r="I134" s="49">
        <f t="shared" si="13"/>
        <v>0</v>
      </c>
      <c r="J134" s="47">
        <f>(SUMIFS(LS[Unit],LS[Investor ID],A134,LS[B/S],"B",LS[Date Value],"&gt;="&amp;$Z$2,LS[Date Value],"&lt;="&amp;$Z$3))+(SUMIFS(SIP[Unit],SIP[Investor ID],A134,SIP[B/S],"B",SIP[Date Value],"&gt;="&amp;$Z$2,SIP[Date Value],"&lt;="&amp;$Z$3))</f>
        <v>10000</v>
      </c>
      <c r="K134" s="49">
        <f>(SUMIFS(LS[Amount],LS[Investor ID],A134,LS[B/S],"B",LS[Date Value],"&gt;="&amp;$Z$2,LS[Date Value],"&lt;="&amp;$Z$3))+(SUMIFS(SIP[Amount],SIP[Investor ID],A134,SIP[B/S],"B",SIP[Date Value],"&gt;="&amp;$Z$2,SIP[Date Value],"&lt;="&amp;$Z$3))</f>
        <v>103820</v>
      </c>
      <c r="L134" s="47">
        <f>(-SUMIFS(LS[Unit],LS[Investor ID],A134,LS[B/S],"S",LS[Date Value],"&gt;="&amp;$Z$2,LS[Date Value],"&lt;="&amp;$Z$3))+(-SUMIFS(SIP[Unit],SIP[Investor ID],A134,SIP[B/S],"S",SIP[Date Value],"&gt;="&amp;$Z$2,SIP[Date Value],"&lt;="&amp;$Z$3))</f>
        <v>10000</v>
      </c>
      <c r="M134" s="49">
        <f>(SUMIFS(LS[Cost of Units Sold],LS[Investor ID],A134,LS[B/S],"S",LS[Date Value],"&gt;="&amp;$Z$2,LS[Date Value],"&lt;="&amp;$Z$3))+(SUMIFS(SIP[Cost of Units Sold],SIP[Investor ID],A134,SIP[B/S],"S",SIP[Date Value],"&gt;="&amp;$Z$2,SIP[Date Value],"&lt;="&amp;$Z$3))</f>
        <v>103820</v>
      </c>
      <c r="N134" s="49">
        <f t="shared" si="14"/>
        <v>0</v>
      </c>
      <c r="O134" s="49">
        <f>(SUMIFS(LS[Realized Gain],LS[Investor ID],A134,LS[Date Value],"&gt;="&amp;$Z$2,LS[Date Value],"&lt;="&amp;$Z$3))+(SUMIFS(SIP[Realized Gain],SIP[Investor ID],A134,SIP[Date Value],"&gt;="&amp;$Z$2,SIP[Date Value],"&lt;="&amp;$Z$3))</f>
        <v>1159.9999999999966</v>
      </c>
      <c r="P134" s="49">
        <v>0</v>
      </c>
      <c r="Q134" s="49">
        <v>0</v>
      </c>
      <c r="R134" s="49">
        <v>0</v>
      </c>
    </row>
    <row r="135" spans="1:18">
      <c r="A135" t="s">
        <v>318</v>
      </c>
      <c r="B135" s="47">
        <f>SUMIFS(LS[Unit],LS[Investor ID],'TAX CERTIFICATE'!A135,LS[Date Value],"&lt;"&amp;$Z$2)+SUMIFS(SIP[Unit],SIP[Investor ID],'TAX CERTIFICATE'!A135,SIP[Date Value],"&lt;"&amp;$Z$2)</f>
        <v>0</v>
      </c>
      <c r="C135" s="48">
        <f>(SUMIFS(LS[Amount],LS[B/S],"B",LS[Investor ID],A135,LS[Date Value],"&lt;"&amp;$Z$2)-SUMIFS(LS[Cost of Units Sold],LS[B/S],"S",LS[Investor ID],A135,LS[Date Value],"&lt;"&amp;$Z$2))+(SUMIFS(SIP[Amount],SIP[B/S],"B",SIP[Investor ID],#REF!,SIP[Date Value],"&lt;"&amp;$Z$2)-SUMIFS(SIP[Cost of Units Sold],SIP[B/S],"S",SIP[Investor ID],A135,SIP[Date Value],"&lt;"&amp;$Z$2))</f>
        <v>0</v>
      </c>
      <c r="D135" s="49">
        <f t="shared" si="10"/>
        <v>0</v>
      </c>
      <c r="E135" s="49">
        <f t="shared" si="11"/>
        <v>0</v>
      </c>
      <c r="F135" s="47">
        <f>SUMIFS(LS[Unit],LS[Investor ID],A135,LS[Date Value],"&lt;="&amp;$Z$3)+SUMIFS(SIP[Unit],SIP[Investor ID],A135,SIP[Date Value],"&lt;="&amp;$Z$3)</f>
        <v>0</v>
      </c>
      <c r="G135" s="49">
        <f>(SUMIFS(LS[Amount],LS[B/S],"B",LS[Investor ID],A135,LS[Date Value],"&lt;="&amp;$Z$3)-SUMIFS(LS[Cost of Units Sold],LS[B/S],"S",LS[Investor ID],A135,LS[Date Value],"&lt;="&amp;$Z$3))+(SUMIFS(SIP[Amount],SIP[B/S],"B",SIP[Investor ID],A135,SIP[Date Value],"&lt;="&amp;$Z$3)-SUMIFS(SIP[Cost of Units Sold],SIP[B/S],"S",SIP[Investor ID],A135,SIP[Date Value],"&lt;="&amp;$Z$3))</f>
        <v>0</v>
      </c>
      <c r="H135" s="49">
        <f t="shared" si="12"/>
        <v>0</v>
      </c>
      <c r="I135" s="49">
        <f t="shared" si="13"/>
        <v>0</v>
      </c>
      <c r="J135" s="47">
        <f>(SUMIFS(LS[Unit],LS[Investor ID],A135,LS[B/S],"B",LS[Date Value],"&gt;="&amp;$Z$2,LS[Date Value],"&lt;="&amp;$Z$3))+(SUMIFS(SIP[Unit],SIP[Investor ID],A135,SIP[B/S],"B",SIP[Date Value],"&gt;="&amp;$Z$2,SIP[Date Value],"&lt;="&amp;$Z$3))</f>
        <v>0</v>
      </c>
      <c r="K135" s="49">
        <f>(SUMIFS(LS[Amount],LS[Investor ID],A135,LS[B/S],"B",LS[Date Value],"&gt;="&amp;$Z$2,LS[Date Value],"&lt;="&amp;$Z$3))+(SUMIFS(SIP[Amount],SIP[Investor ID],A135,SIP[B/S],"B",SIP[Date Value],"&gt;="&amp;$Z$2,SIP[Date Value],"&lt;="&amp;$Z$3))</f>
        <v>0</v>
      </c>
      <c r="L135" s="47">
        <f>(-SUMIFS(LS[Unit],LS[Investor ID],A135,LS[B/S],"S",LS[Date Value],"&gt;="&amp;$Z$2,LS[Date Value],"&lt;="&amp;$Z$3))+(-SUMIFS(SIP[Unit],SIP[Investor ID],A135,SIP[B/S],"S",SIP[Date Value],"&gt;="&amp;$Z$2,SIP[Date Value],"&lt;="&amp;$Z$3))</f>
        <v>0</v>
      </c>
      <c r="M135" s="49">
        <f>(SUMIFS(LS[Cost of Units Sold],LS[Investor ID],A135,LS[B/S],"S",LS[Date Value],"&gt;="&amp;$Z$2,LS[Date Value],"&lt;="&amp;$Z$3))+(SUMIFS(SIP[Cost of Units Sold],SIP[Investor ID],A135,SIP[B/S],"S",SIP[Date Value],"&gt;="&amp;$Z$2,SIP[Date Value],"&lt;="&amp;$Z$3))</f>
        <v>0</v>
      </c>
      <c r="N135" s="49">
        <f t="shared" si="14"/>
        <v>0</v>
      </c>
      <c r="O135" s="49">
        <f>(SUMIFS(LS[Realized Gain],LS[Investor ID],A135,LS[Date Value],"&gt;="&amp;$Z$2,LS[Date Value],"&lt;="&amp;$Z$3))+(SUMIFS(SIP[Realized Gain],SIP[Investor ID],A135,SIP[Date Value],"&gt;="&amp;$Z$2,SIP[Date Value],"&lt;="&amp;$Z$3))</f>
        <v>0</v>
      </c>
      <c r="P135" s="49">
        <v>0</v>
      </c>
      <c r="Q135" s="49">
        <v>0</v>
      </c>
      <c r="R135" s="49">
        <v>0</v>
      </c>
    </row>
    <row r="136" spans="1:18">
      <c r="A136" t="s">
        <v>320</v>
      </c>
      <c r="B136" s="47">
        <f>SUMIFS(LS[Unit],LS[Investor ID],'TAX CERTIFICATE'!A136,LS[Date Value],"&lt;"&amp;$Z$2)+SUMIFS(SIP[Unit],SIP[Investor ID],'TAX CERTIFICATE'!A136,SIP[Date Value],"&lt;"&amp;$Z$2)</f>
        <v>0</v>
      </c>
      <c r="C136" s="48">
        <f>(SUMIFS(LS[Amount],LS[B/S],"B",LS[Investor ID],A136,LS[Date Value],"&lt;"&amp;$Z$2)-SUMIFS(LS[Cost of Units Sold],LS[B/S],"S",LS[Investor ID],A136,LS[Date Value],"&lt;"&amp;$Z$2))+(SUMIFS(SIP[Amount],SIP[B/S],"B",SIP[Investor ID],#REF!,SIP[Date Value],"&lt;"&amp;$Z$2)-SUMIFS(SIP[Cost of Units Sold],SIP[B/S],"S",SIP[Investor ID],A136,SIP[Date Value],"&lt;"&amp;$Z$2))</f>
        <v>0</v>
      </c>
      <c r="D136" s="49">
        <f t="shared" si="10"/>
        <v>0</v>
      </c>
      <c r="E136" s="49">
        <f t="shared" si="11"/>
        <v>0</v>
      </c>
      <c r="F136" s="47">
        <f>SUMIFS(LS[Unit],LS[Investor ID],A136,LS[Date Value],"&lt;="&amp;$Z$3)+SUMIFS(SIP[Unit],SIP[Investor ID],A136,SIP[Date Value],"&lt;="&amp;$Z$3)</f>
        <v>0</v>
      </c>
      <c r="G136" s="49">
        <f>(SUMIFS(LS[Amount],LS[B/S],"B",LS[Investor ID],A136,LS[Date Value],"&lt;="&amp;$Z$3)-SUMIFS(LS[Cost of Units Sold],LS[B/S],"S",LS[Investor ID],A136,LS[Date Value],"&lt;="&amp;$Z$3))+(SUMIFS(SIP[Amount],SIP[B/S],"B",SIP[Investor ID],A136,SIP[Date Value],"&lt;="&amp;$Z$3)-SUMIFS(SIP[Cost of Units Sold],SIP[B/S],"S",SIP[Investor ID],A136,SIP[Date Value],"&lt;="&amp;$Z$3))</f>
        <v>0</v>
      </c>
      <c r="H136" s="49">
        <f t="shared" si="12"/>
        <v>0</v>
      </c>
      <c r="I136" s="49">
        <f t="shared" si="13"/>
        <v>0</v>
      </c>
      <c r="J136" s="47">
        <f>(SUMIFS(LS[Unit],LS[Investor ID],A136,LS[B/S],"B",LS[Date Value],"&gt;="&amp;$Z$2,LS[Date Value],"&lt;="&amp;$Z$3))+(SUMIFS(SIP[Unit],SIP[Investor ID],A136,SIP[B/S],"B",SIP[Date Value],"&gt;="&amp;$Z$2,SIP[Date Value],"&lt;="&amp;$Z$3))</f>
        <v>0</v>
      </c>
      <c r="K136" s="49">
        <f>(SUMIFS(LS[Amount],LS[Investor ID],A136,LS[B/S],"B",LS[Date Value],"&gt;="&amp;$Z$2,LS[Date Value],"&lt;="&amp;$Z$3))+(SUMIFS(SIP[Amount],SIP[Investor ID],A136,SIP[B/S],"B",SIP[Date Value],"&gt;="&amp;$Z$2,SIP[Date Value],"&lt;="&amp;$Z$3))</f>
        <v>0</v>
      </c>
      <c r="L136" s="47">
        <f>(-SUMIFS(LS[Unit],LS[Investor ID],A136,LS[B/S],"S",LS[Date Value],"&gt;="&amp;$Z$2,LS[Date Value],"&lt;="&amp;$Z$3))+(-SUMIFS(SIP[Unit],SIP[Investor ID],A136,SIP[B/S],"S",SIP[Date Value],"&gt;="&amp;$Z$2,SIP[Date Value],"&lt;="&amp;$Z$3))</f>
        <v>0</v>
      </c>
      <c r="M136" s="49">
        <f>(SUMIFS(LS[Cost of Units Sold],LS[Investor ID],A136,LS[B/S],"S",LS[Date Value],"&gt;="&amp;$Z$2,LS[Date Value],"&lt;="&amp;$Z$3))+(SUMIFS(SIP[Cost of Units Sold],SIP[Investor ID],A136,SIP[B/S],"S",SIP[Date Value],"&gt;="&amp;$Z$2,SIP[Date Value],"&lt;="&amp;$Z$3))</f>
        <v>0</v>
      </c>
      <c r="N136" s="49">
        <f t="shared" si="14"/>
        <v>0</v>
      </c>
      <c r="O136" s="49">
        <f>(SUMIFS(LS[Realized Gain],LS[Investor ID],A136,LS[Date Value],"&gt;="&amp;$Z$2,LS[Date Value],"&lt;="&amp;$Z$3))+(SUMIFS(SIP[Realized Gain],SIP[Investor ID],A136,SIP[Date Value],"&gt;="&amp;$Z$2,SIP[Date Value],"&lt;="&amp;$Z$3))</f>
        <v>0</v>
      </c>
      <c r="P136" s="49">
        <v>0</v>
      </c>
      <c r="Q136" s="49">
        <v>0</v>
      </c>
      <c r="R136" s="49">
        <v>0</v>
      </c>
    </row>
    <row r="137" spans="1:18">
      <c r="A137" t="s">
        <v>322</v>
      </c>
      <c r="B137" s="47">
        <f>SUMIFS(LS[Unit],LS[Investor ID],'TAX CERTIFICATE'!A137,LS[Date Value],"&lt;"&amp;$Z$2)+SUMIFS(SIP[Unit],SIP[Investor ID],'TAX CERTIFICATE'!A137,SIP[Date Value],"&lt;"&amp;$Z$2)</f>
        <v>30000</v>
      </c>
      <c r="C137" s="48">
        <f>(SUMIFS(LS[Amount],LS[B/S],"B",LS[Investor ID],A137,LS[Date Value],"&lt;"&amp;$Z$2)-SUMIFS(LS[Cost of Units Sold],LS[B/S],"S",LS[Investor ID],A137,LS[Date Value],"&lt;"&amp;$Z$2))+(SUMIFS(SIP[Amount],SIP[B/S],"B",SIP[Investor ID],#REF!,SIP[Date Value],"&lt;"&amp;$Z$2)-SUMIFS(SIP[Cost of Units Sold],SIP[B/S],"S",SIP[Investor ID],A137,SIP[Date Value],"&lt;"&amp;$Z$2))</f>
        <v>300000</v>
      </c>
      <c r="D137" s="49">
        <f t="shared" si="10"/>
        <v>308130</v>
      </c>
      <c r="E137" s="49">
        <f t="shared" si="11"/>
        <v>8130</v>
      </c>
      <c r="F137" s="47">
        <f>SUMIFS(LS[Unit],LS[Investor ID],A137,LS[Date Value],"&lt;="&amp;$Z$3)+SUMIFS(SIP[Unit],SIP[Investor ID],A137,SIP[Date Value],"&lt;="&amp;$Z$3)</f>
        <v>0</v>
      </c>
      <c r="G137" s="49">
        <f>(SUMIFS(LS[Amount],LS[B/S],"B",LS[Investor ID],A137,LS[Date Value],"&lt;="&amp;$Z$3)-SUMIFS(LS[Cost of Units Sold],LS[B/S],"S",LS[Investor ID],A137,LS[Date Value],"&lt;="&amp;$Z$3))+(SUMIFS(SIP[Amount],SIP[B/S],"B",SIP[Investor ID],A137,SIP[Date Value],"&lt;="&amp;$Z$3)-SUMIFS(SIP[Cost of Units Sold],SIP[B/S],"S",SIP[Investor ID],A137,SIP[Date Value],"&lt;="&amp;$Z$3))</f>
        <v>0</v>
      </c>
      <c r="H137" s="49">
        <f t="shared" si="12"/>
        <v>0</v>
      </c>
      <c r="I137" s="49">
        <f t="shared" si="13"/>
        <v>0</v>
      </c>
      <c r="J137" s="47">
        <f>(SUMIFS(LS[Unit],LS[Investor ID],A137,LS[B/S],"B",LS[Date Value],"&gt;="&amp;$Z$2,LS[Date Value],"&lt;="&amp;$Z$3))+(SUMIFS(SIP[Unit],SIP[Investor ID],A137,SIP[B/S],"B",SIP[Date Value],"&gt;="&amp;$Z$2,SIP[Date Value],"&lt;="&amp;$Z$3))</f>
        <v>0</v>
      </c>
      <c r="K137" s="49">
        <f>(SUMIFS(LS[Amount],LS[Investor ID],A137,LS[B/S],"B",LS[Date Value],"&gt;="&amp;$Z$2,LS[Date Value],"&lt;="&amp;$Z$3))+(SUMIFS(SIP[Amount],SIP[Investor ID],A137,SIP[B/S],"B",SIP[Date Value],"&gt;="&amp;$Z$2,SIP[Date Value],"&lt;="&amp;$Z$3))</f>
        <v>0</v>
      </c>
      <c r="L137" s="47">
        <f>(-SUMIFS(LS[Unit],LS[Investor ID],A137,LS[B/S],"S",LS[Date Value],"&gt;="&amp;$Z$2,LS[Date Value],"&lt;="&amp;$Z$3))+(-SUMIFS(SIP[Unit],SIP[Investor ID],A137,SIP[B/S],"S",SIP[Date Value],"&gt;="&amp;$Z$2,SIP[Date Value],"&lt;="&amp;$Z$3))</f>
        <v>30000</v>
      </c>
      <c r="M137" s="49">
        <f>(SUMIFS(LS[Cost of Units Sold],LS[Investor ID],A137,LS[B/S],"S",LS[Date Value],"&gt;="&amp;$Z$2,LS[Date Value],"&lt;="&amp;$Z$3))+(SUMIFS(SIP[Cost of Units Sold],SIP[Investor ID],A137,SIP[B/S],"S",SIP[Date Value],"&gt;="&amp;$Z$2,SIP[Date Value],"&lt;="&amp;$Z$3))</f>
        <v>300000</v>
      </c>
      <c r="N137" s="49">
        <f t="shared" si="14"/>
        <v>-300000</v>
      </c>
      <c r="O137" s="49">
        <f>(SUMIFS(LS[Realized Gain],LS[Investor ID],A137,LS[Date Value],"&gt;="&amp;$Z$2,LS[Date Value],"&lt;="&amp;$Z$3))+(SUMIFS(SIP[Realized Gain],SIP[Investor ID],A137,SIP[Date Value],"&gt;="&amp;$Z$2,SIP[Date Value],"&lt;="&amp;$Z$3))</f>
        <v>17850.000000000018</v>
      </c>
      <c r="P137" s="49">
        <v>0</v>
      </c>
      <c r="Q137" s="49">
        <v>0</v>
      </c>
      <c r="R137" s="49">
        <v>0</v>
      </c>
    </row>
    <row r="138" spans="1:18">
      <c r="A138" t="s">
        <v>324</v>
      </c>
      <c r="B138" s="47">
        <f>SUMIFS(LS[Unit],LS[Investor ID],'TAX CERTIFICATE'!A138,LS[Date Value],"&lt;"&amp;$Z$2)+SUMIFS(SIP[Unit],SIP[Investor ID],'TAX CERTIFICATE'!A138,SIP[Date Value],"&lt;"&amp;$Z$2)</f>
        <v>149551</v>
      </c>
      <c r="C138" s="48">
        <f>(SUMIFS(LS[Amount],LS[B/S],"B",LS[Investor ID],A138,LS[Date Value],"&lt;"&amp;$Z$2)-SUMIFS(LS[Cost of Units Sold],LS[B/S],"S",LS[Investor ID],A138,LS[Date Value],"&lt;"&amp;$Z$2))+(SUMIFS(SIP[Amount],SIP[B/S],"B",SIP[Investor ID],#REF!,SIP[Date Value],"&lt;"&amp;$Z$2)-SUMIFS(SIP[Cost of Units Sold],SIP[B/S],"S",SIP[Investor ID],A138,SIP[Date Value],"&lt;"&amp;$Z$2))</f>
        <v>1500000</v>
      </c>
      <c r="D138" s="49">
        <f t="shared" si="10"/>
        <v>1536038.3210000002</v>
      </c>
      <c r="E138" s="49">
        <f t="shared" si="11"/>
        <v>36038.321000000229</v>
      </c>
      <c r="F138" s="47">
        <f>SUMIFS(LS[Unit],LS[Investor ID],A138,LS[Date Value],"&lt;="&amp;$Z$3)+SUMIFS(SIP[Unit],SIP[Investor ID],A138,SIP[Date Value],"&lt;="&amp;$Z$3)</f>
        <v>186708</v>
      </c>
      <c r="G138" s="49">
        <f>(SUMIFS(LS[Amount],LS[B/S],"B",LS[Investor ID],A138,LS[Date Value],"&lt;="&amp;$Z$3)-SUMIFS(LS[Cost of Units Sold],LS[B/S],"S",LS[Investor ID],A138,LS[Date Value],"&lt;="&amp;$Z$3))+(SUMIFS(SIP[Amount],SIP[B/S],"B",SIP[Investor ID],A138,SIP[Date Value],"&lt;="&amp;$Z$3)-SUMIFS(SIP[Cost of Units Sold],SIP[B/S],"S",SIP[Investor ID],A138,SIP[Date Value],"&lt;="&amp;$Z$3))</f>
        <v>1900000</v>
      </c>
      <c r="H138" s="49">
        <f t="shared" si="12"/>
        <v>2084408.112</v>
      </c>
      <c r="I138" s="49">
        <f t="shared" si="13"/>
        <v>184408.11199999996</v>
      </c>
      <c r="J138" s="47">
        <f>(SUMIFS(LS[Unit],LS[Investor ID],A138,LS[B/S],"B",LS[Date Value],"&gt;="&amp;$Z$2,LS[Date Value],"&lt;="&amp;$Z$3))+(SUMIFS(SIP[Unit],SIP[Investor ID],A138,SIP[B/S],"B",SIP[Date Value],"&gt;="&amp;$Z$2,SIP[Date Value],"&lt;="&amp;$Z$3))</f>
        <v>37157</v>
      </c>
      <c r="K138" s="49">
        <f>(SUMIFS(LS[Amount],LS[Investor ID],A138,LS[B/S],"B",LS[Date Value],"&gt;="&amp;$Z$2,LS[Date Value],"&lt;="&amp;$Z$3))+(SUMIFS(SIP[Amount],SIP[Investor ID],A138,SIP[B/S],"B",SIP[Date Value],"&gt;="&amp;$Z$2,SIP[Date Value],"&lt;="&amp;$Z$3))</f>
        <v>400000</v>
      </c>
      <c r="L138" s="47">
        <f>(-SUMIFS(LS[Unit],LS[Investor ID],A138,LS[B/S],"S",LS[Date Value],"&gt;="&amp;$Z$2,LS[Date Value],"&lt;="&amp;$Z$3))+(-SUMIFS(SIP[Unit],SIP[Investor ID],A138,SIP[B/S],"S",SIP[Date Value],"&gt;="&amp;$Z$2,SIP[Date Value],"&lt;="&amp;$Z$3))</f>
        <v>0</v>
      </c>
      <c r="M138" s="49">
        <f>(SUMIFS(LS[Cost of Units Sold],LS[Investor ID],A138,LS[B/S],"S",LS[Date Value],"&gt;="&amp;$Z$2,LS[Date Value],"&lt;="&amp;$Z$3))+(SUMIFS(SIP[Cost of Units Sold],SIP[Investor ID],A138,SIP[B/S],"S",SIP[Date Value],"&gt;="&amp;$Z$2,SIP[Date Value],"&lt;="&amp;$Z$3))</f>
        <v>0</v>
      </c>
      <c r="N138" s="49">
        <f t="shared" si="14"/>
        <v>400000</v>
      </c>
      <c r="O138" s="49">
        <f>(SUMIFS(LS[Realized Gain],LS[Investor ID],A138,LS[Date Value],"&gt;="&amp;$Z$2,LS[Date Value],"&lt;="&amp;$Z$3))+(SUMIFS(SIP[Realized Gain],SIP[Investor ID],A138,SIP[Date Value],"&gt;="&amp;$Z$2,SIP[Date Value],"&lt;="&amp;$Z$3))</f>
        <v>0</v>
      </c>
      <c r="P138" s="49">
        <v>0</v>
      </c>
      <c r="Q138" s="49">
        <v>0</v>
      </c>
      <c r="R138" s="49">
        <v>0</v>
      </c>
    </row>
    <row r="139" spans="1:18">
      <c r="A139" t="s">
        <v>326</v>
      </c>
      <c r="B139" s="47">
        <f>SUMIFS(LS[Unit],LS[Investor ID],'TAX CERTIFICATE'!A139,LS[Date Value],"&lt;"&amp;$Z$2)+SUMIFS(SIP[Unit],SIP[Investor ID],'TAX CERTIFICATE'!A139,SIP[Date Value],"&lt;"&amp;$Z$2)</f>
        <v>0</v>
      </c>
      <c r="C139" s="48">
        <f>(SUMIFS(LS[Amount],LS[B/S],"B",LS[Investor ID],A139,LS[Date Value],"&lt;"&amp;$Z$2)-SUMIFS(LS[Cost of Units Sold],LS[B/S],"S",LS[Investor ID],A139,LS[Date Value],"&lt;"&amp;$Z$2))+(SUMIFS(SIP[Amount],SIP[B/S],"B",SIP[Investor ID],#REF!,SIP[Date Value],"&lt;"&amp;$Z$2)-SUMIFS(SIP[Cost of Units Sold],SIP[B/S],"S",SIP[Investor ID],A139,SIP[Date Value],"&lt;"&amp;$Z$2))</f>
        <v>0</v>
      </c>
      <c r="D139" s="49">
        <f t="shared" si="10"/>
        <v>0</v>
      </c>
      <c r="E139" s="49">
        <f t="shared" si="11"/>
        <v>0</v>
      </c>
      <c r="F139" s="47">
        <f>SUMIFS(LS[Unit],LS[Investor ID],A139,LS[Date Value],"&lt;="&amp;$Z$3)+SUMIFS(SIP[Unit],SIP[Investor ID],A139,SIP[Date Value],"&lt;="&amp;$Z$3)</f>
        <v>0</v>
      </c>
      <c r="G139" s="49">
        <f>(SUMIFS(LS[Amount],LS[B/S],"B",LS[Investor ID],A139,LS[Date Value],"&lt;="&amp;$Z$3)-SUMIFS(LS[Cost of Units Sold],LS[B/S],"S",LS[Investor ID],A139,LS[Date Value],"&lt;="&amp;$Z$3))+(SUMIFS(SIP[Amount],SIP[B/S],"B",SIP[Investor ID],A139,SIP[Date Value],"&lt;="&amp;$Z$3)-SUMIFS(SIP[Cost of Units Sold],SIP[B/S],"S",SIP[Investor ID],A139,SIP[Date Value],"&lt;="&amp;$Z$3))</f>
        <v>0</v>
      </c>
      <c r="H139" s="49">
        <f t="shared" si="12"/>
        <v>0</v>
      </c>
      <c r="I139" s="49">
        <f t="shared" si="13"/>
        <v>0</v>
      </c>
      <c r="J139" s="47">
        <f>(SUMIFS(LS[Unit],LS[Investor ID],A139,LS[B/S],"B",LS[Date Value],"&gt;="&amp;$Z$2,LS[Date Value],"&lt;="&amp;$Z$3))+(SUMIFS(SIP[Unit],SIP[Investor ID],A139,SIP[B/S],"B",SIP[Date Value],"&gt;="&amp;$Z$2,SIP[Date Value],"&lt;="&amp;$Z$3))</f>
        <v>0</v>
      </c>
      <c r="K139" s="49">
        <f>(SUMIFS(LS[Amount],LS[Investor ID],A139,LS[B/S],"B",LS[Date Value],"&gt;="&amp;$Z$2,LS[Date Value],"&lt;="&amp;$Z$3))+(SUMIFS(SIP[Amount],SIP[Investor ID],A139,SIP[B/S],"B",SIP[Date Value],"&gt;="&amp;$Z$2,SIP[Date Value],"&lt;="&amp;$Z$3))</f>
        <v>0</v>
      </c>
      <c r="L139" s="47">
        <f>(-SUMIFS(LS[Unit],LS[Investor ID],A139,LS[B/S],"S",LS[Date Value],"&gt;="&amp;$Z$2,LS[Date Value],"&lt;="&amp;$Z$3))+(-SUMIFS(SIP[Unit],SIP[Investor ID],A139,SIP[B/S],"S",SIP[Date Value],"&gt;="&amp;$Z$2,SIP[Date Value],"&lt;="&amp;$Z$3))</f>
        <v>0</v>
      </c>
      <c r="M139" s="49">
        <f>(SUMIFS(LS[Cost of Units Sold],LS[Investor ID],A139,LS[B/S],"S",LS[Date Value],"&gt;="&amp;$Z$2,LS[Date Value],"&lt;="&amp;$Z$3))+(SUMIFS(SIP[Cost of Units Sold],SIP[Investor ID],A139,SIP[B/S],"S",SIP[Date Value],"&gt;="&amp;$Z$2,SIP[Date Value],"&lt;="&amp;$Z$3))</f>
        <v>0</v>
      </c>
      <c r="N139" s="49">
        <f t="shared" si="14"/>
        <v>0</v>
      </c>
      <c r="O139" s="49">
        <f>(SUMIFS(LS[Realized Gain],LS[Investor ID],A139,LS[Date Value],"&gt;="&amp;$Z$2,LS[Date Value],"&lt;="&amp;$Z$3))+(SUMIFS(SIP[Realized Gain],SIP[Investor ID],A139,SIP[Date Value],"&gt;="&amp;$Z$2,SIP[Date Value],"&lt;="&amp;$Z$3))</f>
        <v>0</v>
      </c>
      <c r="P139" s="49">
        <v>0</v>
      </c>
      <c r="Q139" s="49">
        <v>0</v>
      </c>
      <c r="R139" s="49">
        <v>0</v>
      </c>
    </row>
    <row r="140" spans="1:18">
      <c r="A140" t="s">
        <v>328</v>
      </c>
      <c r="B140" s="47">
        <f>SUMIFS(LS[Unit],LS[Investor ID],'TAX CERTIFICATE'!A140,LS[Date Value],"&lt;"&amp;$Z$2)+SUMIFS(SIP[Unit],SIP[Investor ID],'TAX CERTIFICATE'!A140,SIP[Date Value],"&lt;"&amp;$Z$2)</f>
        <v>0</v>
      </c>
      <c r="C140" s="48">
        <f>(SUMIFS(LS[Amount],LS[B/S],"B",LS[Investor ID],A140,LS[Date Value],"&lt;"&amp;$Z$2)-SUMIFS(LS[Cost of Units Sold],LS[B/S],"S",LS[Investor ID],A140,LS[Date Value],"&lt;"&amp;$Z$2))+(SUMIFS(SIP[Amount],SIP[B/S],"B",SIP[Investor ID],#REF!,SIP[Date Value],"&lt;"&amp;$Z$2)-SUMIFS(SIP[Cost of Units Sold],SIP[B/S],"S",SIP[Investor ID],A140,SIP[Date Value],"&lt;"&amp;$Z$2))</f>
        <v>0</v>
      </c>
      <c r="D140" s="49">
        <f t="shared" si="10"/>
        <v>0</v>
      </c>
      <c r="E140" s="49">
        <f t="shared" si="11"/>
        <v>0</v>
      </c>
      <c r="F140" s="47">
        <f>SUMIFS(LS[Unit],LS[Investor ID],A140,LS[Date Value],"&lt;="&amp;$Z$3)+SUMIFS(SIP[Unit],SIP[Investor ID],A140,SIP[Date Value],"&lt;="&amp;$Z$3)</f>
        <v>0</v>
      </c>
      <c r="G140" s="49">
        <f>(SUMIFS(LS[Amount],LS[B/S],"B",LS[Investor ID],A140,LS[Date Value],"&lt;="&amp;$Z$3)-SUMIFS(LS[Cost of Units Sold],LS[B/S],"S",LS[Investor ID],A140,LS[Date Value],"&lt;="&amp;$Z$3))+(SUMIFS(SIP[Amount],SIP[B/S],"B",SIP[Investor ID],A140,SIP[Date Value],"&lt;="&amp;$Z$3)-SUMIFS(SIP[Cost of Units Sold],SIP[B/S],"S",SIP[Investor ID],A140,SIP[Date Value],"&lt;="&amp;$Z$3))</f>
        <v>0</v>
      </c>
      <c r="H140" s="49">
        <f t="shared" si="12"/>
        <v>0</v>
      </c>
      <c r="I140" s="49">
        <f t="shared" si="13"/>
        <v>0</v>
      </c>
      <c r="J140" s="47">
        <f>(SUMIFS(LS[Unit],LS[Investor ID],A140,LS[B/S],"B",LS[Date Value],"&gt;="&amp;$Z$2,LS[Date Value],"&lt;="&amp;$Z$3))+(SUMIFS(SIP[Unit],SIP[Investor ID],A140,SIP[B/S],"B",SIP[Date Value],"&gt;="&amp;$Z$2,SIP[Date Value],"&lt;="&amp;$Z$3))</f>
        <v>0</v>
      </c>
      <c r="K140" s="49">
        <f>(SUMIFS(LS[Amount],LS[Investor ID],A140,LS[B/S],"B",LS[Date Value],"&gt;="&amp;$Z$2,LS[Date Value],"&lt;="&amp;$Z$3))+(SUMIFS(SIP[Amount],SIP[Investor ID],A140,SIP[B/S],"B",SIP[Date Value],"&gt;="&amp;$Z$2,SIP[Date Value],"&lt;="&amp;$Z$3))</f>
        <v>0</v>
      </c>
      <c r="L140" s="47">
        <f>(-SUMIFS(LS[Unit],LS[Investor ID],A140,LS[B/S],"S",LS[Date Value],"&gt;="&amp;$Z$2,LS[Date Value],"&lt;="&amp;$Z$3))+(-SUMIFS(SIP[Unit],SIP[Investor ID],A140,SIP[B/S],"S",SIP[Date Value],"&gt;="&amp;$Z$2,SIP[Date Value],"&lt;="&amp;$Z$3))</f>
        <v>0</v>
      </c>
      <c r="M140" s="49">
        <f>(SUMIFS(LS[Cost of Units Sold],LS[Investor ID],A140,LS[B/S],"S",LS[Date Value],"&gt;="&amp;$Z$2,LS[Date Value],"&lt;="&amp;$Z$3))+(SUMIFS(SIP[Cost of Units Sold],SIP[Investor ID],A140,SIP[B/S],"S",SIP[Date Value],"&gt;="&amp;$Z$2,SIP[Date Value],"&lt;="&amp;$Z$3))</f>
        <v>0</v>
      </c>
      <c r="N140" s="49">
        <f t="shared" si="14"/>
        <v>0</v>
      </c>
      <c r="O140" s="49">
        <f>(SUMIFS(LS[Realized Gain],LS[Investor ID],A140,LS[Date Value],"&gt;="&amp;$Z$2,LS[Date Value],"&lt;="&amp;$Z$3))+(SUMIFS(SIP[Realized Gain],SIP[Investor ID],A140,SIP[Date Value],"&gt;="&amp;$Z$2,SIP[Date Value],"&lt;="&amp;$Z$3))</f>
        <v>0</v>
      </c>
      <c r="P140" s="49">
        <v>0</v>
      </c>
      <c r="Q140" s="49">
        <v>0</v>
      </c>
      <c r="R140" s="49">
        <v>0</v>
      </c>
    </row>
    <row r="141" spans="1:18">
      <c r="A141" t="s">
        <v>330</v>
      </c>
      <c r="B141" s="47">
        <f>SUMIFS(LS[Unit],LS[Investor ID],'TAX CERTIFICATE'!A141,LS[Date Value],"&lt;"&amp;$Z$2)+SUMIFS(SIP[Unit],SIP[Investor ID],'TAX CERTIFICATE'!A141,SIP[Date Value],"&lt;"&amp;$Z$2)</f>
        <v>0</v>
      </c>
      <c r="C141" s="48">
        <f>(SUMIFS(LS[Amount],LS[B/S],"B",LS[Investor ID],A141,LS[Date Value],"&lt;"&amp;$Z$2)-SUMIFS(LS[Cost of Units Sold],LS[B/S],"S",LS[Investor ID],A141,LS[Date Value],"&lt;"&amp;$Z$2))+(SUMIFS(SIP[Amount],SIP[B/S],"B",SIP[Investor ID],#REF!,SIP[Date Value],"&lt;"&amp;$Z$2)-SUMIFS(SIP[Cost of Units Sold],SIP[B/S],"S",SIP[Investor ID],A141,SIP[Date Value],"&lt;"&amp;$Z$2))</f>
        <v>0</v>
      </c>
      <c r="D141" s="49">
        <f t="shared" si="10"/>
        <v>0</v>
      </c>
      <c r="E141" s="49">
        <f t="shared" si="11"/>
        <v>0</v>
      </c>
      <c r="F141" s="47">
        <f>SUMIFS(LS[Unit],LS[Investor ID],A141,LS[Date Value],"&lt;="&amp;$Z$3)+SUMIFS(SIP[Unit],SIP[Investor ID],A141,SIP[Date Value],"&lt;="&amp;$Z$3)</f>
        <v>0</v>
      </c>
      <c r="G141" s="49">
        <f>(SUMIFS(LS[Amount],LS[B/S],"B",LS[Investor ID],A141,LS[Date Value],"&lt;="&amp;$Z$3)-SUMIFS(LS[Cost of Units Sold],LS[B/S],"S",LS[Investor ID],A141,LS[Date Value],"&lt;="&amp;$Z$3))+(SUMIFS(SIP[Amount],SIP[B/S],"B",SIP[Investor ID],A141,SIP[Date Value],"&lt;="&amp;$Z$3)-SUMIFS(SIP[Cost of Units Sold],SIP[B/S],"S",SIP[Investor ID],A141,SIP[Date Value],"&lt;="&amp;$Z$3))</f>
        <v>0</v>
      </c>
      <c r="H141" s="49">
        <f t="shared" si="12"/>
        <v>0</v>
      </c>
      <c r="I141" s="49">
        <f t="shared" si="13"/>
        <v>0</v>
      </c>
      <c r="J141" s="47">
        <f>(SUMIFS(LS[Unit],LS[Investor ID],A141,LS[B/S],"B",LS[Date Value],"&gt;="&amp;$Z$2,LS[Date Value],"&lt;="&amp;$Z$3))+(SUMIFS(SIP[Unit],SIP[Investor ID],A141,SIP[B/S],"B",SIP[Date Value],"&gt;="&amp;$Z$2,SIP[Date Value],"&lt;="&amp;$Z$3))</f>
        <v>0</v>
      </c>
      <c r="K141" s="49">
        <f>(SUMIFS(LS[Amount],LS[Investor ID],A141,LS[B/S],"B",LS[Date Value],"&gt;="&amp;$Z$2,LS[Date Value],"&lt;="&amp;$Z$3))+(SUMIFS(SIP[Amount],SIP[Investor ID],A141,SIP[B/S],"B",SIP[Date Value],"&gt;="&amp;$Z$2,SIP[Date Value],"&lt;="&amp;$Z$3))</f>
        <v>0</v>
      </c>
      <c r="L141" s="47">
        <f>(-SUMIFS(LS[Unit],LS[Investor ID],A141,LS[B/S],"S",LS[Date Value],"&gt;="&amp;$Z$2,LS[Date Value],"&lt;="&amp;$Z$3))+(-SUMIFS(SIP[Unit],SIP[Investor ID],A141,SIP[B/S],"S",SIP[Date Value],"&gt;="&amp;$Z$2,SIP[Date Value],"&lt;="&amp;$Z$3))</f>
        <v>0</v>
      </c>
      <c r="M141" s="49">
        <f>(SUMIFS(LS[Cost of Units Sold],LS[Investor ID],A141,LS[B/S],"S",LS[Date Value],"&gt;="&amp;$Z$2,LS[Date Value],"&lt;="&amp;$Z$3))+(SUMIFS(SIP[Cost of Units Sold],SIP[Investor ID],A141,SIP[B/S],"S",SIP[Date Value],"&gt;="&amp;$Z$2,SIP[Date Value],"&lt;="&amp;$Z$3))</f>
        <v>0</v>
      </c>
      <c r="N141" s="49">
        <f t="shared" si="14"/>
        <v>0</v>
      </c>
      <c r="O141" s="49">
        <f>(SUMIFS(LS[Realized Gain],LS[Investor ID],A141,LS[Date Value],"&gt;="&amp;$Z$2,LS[Date Value],"&lt;="&amp;$Z$3))+(SUMIFS(SIP[Realized Gain],SIP[Investor ID],A141,SIP[Date Value],"&gt;="&amp;$Z$2,SIP[Date Value],"&lt;="&amp;$Z$3))</f>
        <v>0</v>
      </c>
      <c r="P141" s="49">
        <v>0</v>
      </c>
      <c r="Q141" s="49">
        <v>0</v>
      </c>
      <c r="R141" s="49">
        <v>0</v>
      </c>
    </row>
    <row r="142" spans="1:18">
      <c r="A142" t="s">
        <v>332</v>
      </c>
      <c r="B142" s="47">
        <f>SUMIFS(LS[Unit],LS[Investor ID],'TAX CERTIFICATE'!A142,LS[Date Value],"&lt;"&amp;$Z$2)+SUMIFS(SIP[Unit],SIP[Investor ID],'TAX CERTIFICATE'!A142,SIP[Date Value],"&lt;"&amp;$Z$2)</f>
        <v>0</v>
      </c>
      <c r="C142" s="48">
        <f>(SUMIFS(LS[Amount],LS[B/S],"B",LS[Investor ID],A142,LS[Date Value],"&lt;"&amp;$Z$2)-SUMIFS(LS[Cost of Units Sold],LS[B/S],"S",LS[Investor ID],A142,LS[Date Value],"&lt;"&amp;$Z$2))+(SUMIFS(SIP[Amount],SIP[B/S],"B",SIP[Investor ID],#REF!,SIP[Date Value],"&lt;"&amp;$Z$2)-SUMIFS(SIP[Cost of Units Sold],SIP[B/S],"S",SIP[Investor ID],A142,SIP[Date Value],"&lt;"&amp;$Z$2))</f>
        <v>0</v>
      </c>
      <c r="D142" s="49">
        <f t="shared" si="10"/>
        <v>0</v>
      </c>
      <c r="E142" s="49">
        <f t="shared" si="11"/>
        <v>0</v>
      </c>
      <c r="F142" s="47">
        <f>SUMIFS(LS[Unit],LS[Investor ID],A142,LS[Date Value],"&lt;="&amp;$Z$3)+SUMIFS(SIP[Unit],SIP[Investor ID],A142,SIP[Date Value],"&lt;="&amp;$Z$3)</f>
        <v>0</v>
      </c>
      <c r="G142" s="49">
        <f>(SUMIFS(LS[Amount],LS[B/S],"B",LS[Investor ID],A142,LS[Date Value],"&lt;="&amp;$Z$3)-SUMIFS(LS[Cost of Units Sold],LS[B/S],"S",LS[Investor ID],A142,LS[Date Value],"&lt;="&amp;$Z$3))+(SUMIFS(SIP[Amount],SIP[B/S],"B",SIP[Investor ID],A142,SIP[Date Value],"&lt;="&amp;$Z$3)-SUMIFS(SIP[Cost of Units Sold],SIP[B/S],"S",SIP[Investor ID],A142,SIP[Date Value],"&lt;="&amp;$Z$3))</f>
        <v>0</v>
      </c>
      <c r="H142" s="49">
        <f t="shared" si="12"/>
        <v>0</v>
      </c>
      <c r="I142" s="49">
        <f t="shared" si="13"/>
        <v>0</v>
      </c>
      <c r="J142" s="47">
        <f>(SUMIFS(LS[Unit],LS[Investor ID],A142,LS[B/S],"B",LS[Date Value],"&gt;="&amp;$Z$2,LS[Date Value],"&lt;="&amp;$Z$3))+(SUMIFS(SIP[Unit],SIP[Investor ID],A142,SIP[B/S],"B",SIP[Date Value],"&gt;="&amp;$Z$2,SIP[Date Value],"&lt;="&amp;$Z$3))</f>
        <v>0</v>
      </c>
      <c r="K142" s="49">
        <f>(SUMIFS(LS[Amount],LS[Investor ID],A142,LS[B/S],"B",LS[Date Value],"&gt;="&amp;$Z$2,LS[Date Value],"&lt;="&amp;$Z$3))+(SUMIFS(SIP[Amount],SIP[Investor ID],A142,SIP[B/S],"B",SIP[Date Value],"&gt;="&amp;$Z$2,SIP[Date Value],"&lt;="&amp;$Z$3))</f>
        <v>0</v>
      </c>
      <c r="L142" s="47">
        <f>(-SUMIFS(LS[Unit],LS[Investor ID],A142,LS[B/S],"S",LS[Date Value],"&gt;="&amp;$Z$2,LS[Date Value],"&lt;="&amp;$Z$3))+(-SUMIFS(SIP[Unit],SIP[Investor ID],A142,SIP[B/S],"S",SIP[Date Value],"&gt;="&amp;$Z$2,SIP[Date Value],"&lt;="&amp;$Z$3))</f>
        <v>0</v>
      </c>
      <c r="M142" s="49">
        <f>(SUMIFS(LS[Cost of Units Sold],LS[Investor ID],A142,LS[B/S],"S",LS[Date Value],"&gt;="&amp;$Z$2,LS[Date Value],"&lt;="&amp;$Z$3))+(SUMIFS(SIP[Cost of Units Sold],SIP[Investor ID],A142,SIP[B/S],"S",SIP[Date Value],"&gt;="&amp;$Z$2,SIP[Date Value],"&lt;="&amp;$Z$3))</f>
        <v>0</v>
      </c>
      <c r="N142" s="49">
        <f t="shared" si="14"/>
        <v>0</v>
      </c>
      <c r="O142" s="49">
        <f>(SUMIFS(LS[Realized Gain],LS[Investor ID],A142,LS[Date Value],"&gt;="&amp;$Z$2,LS[Date Value],"&lt;="&amp;$Z$3))+(SUMIFS(SIP[Realized Gain],SIP[Investor ID],A142,SIP[Date Value],"&gt;="&amp;$Z$2,SIP[Date Value],"&lt;="&amp;$Z$3))</f>
        <v>0</v>
      </c>
      <c r="P142" s="49">
        <v>0</v>
      </c>
      <c r="Q142" s="49">
        <v>0</v>
      </c>
      <c r="R142" s="49">
        <v>0</v>
      </c>
    </row>
    <row r="143" spans="1:18">
      <c r="A143" t="s">
        <v>334</v>
      </c>
      <c r="B143" s="47">
        <f>SUMIFS(LS[Unit],LS[Investor ID],'TAX CERTIFICATE'!A143,LS[Date Value],"&lt;"&amp;$Z$2)+SUMIFS(SIP[Unit],SIP[Investor ID],'TAX CERTIFICATE'!A143,SIP[Date Value],"&lt;"&amp;$Z$2)</f>
        <v>0</v>
      </c>
      <c r="C143" s="48">
        <f>(SUMIFS(LS[Amount],LS[B/S],"B",LS[Investor ID],A143,LS[Date Value],"&lt;"&amp;$Z$2)-SUMIFS(LS[Cost of Units Sold],LS[B/S],"S",LS[Investor ID],A143,LS[Date Value],"&lt;"&amp;$Z$2))+(SUMIFS(SIP[Amount],SIP[B/S],"B",SIP[Investor ID],#REF!,SIP[Date Value],"&lt;"&amp;$Z$2)-SUMIFS(SIP[Cost of Units Sold],SIP[B/S],"S",SIP[Investor ID],A143,SIP[Date Value],"&lt;"&amp;$Z$2))</f>
        <v>0</v>
      </c>
      <c r="D143" s="49">
        <f t="shared" si="10"/>
        <v>0</v>
      </c>
      <c r="E143" s="49">
        <f t="shared" si="11"/>
        <v>0</v>
      </c>
      <c r="F143" s="47">
        <f>SUMIFS(LS[Unit],LS[Investor ID],A143,LS[Date Value],"&lt;="&amp;$Z$3)+SUMIFS(SIP[Unit],SIP[Investor ID],A143,SIP[Date Value],"&lt;="&amp;$Z$3)</f>
        <v>0</v>
      </c>
      <c r="G143" s="49">
        <f>(SUMIFS(LS[Amount],LS[B/S],"B",LS[Investor ID],A143,LS[Date Value],"&lt;="&amp;$Z$3)-SUMIFS(LS[Cost of Units Sold],LS[B/S],"S",LS[Investor ID],A143,LS[Date Value],"&lt;="&amp;$Z$3))+(SUMIFS(SIP[Amount],SIP[B/S],"B",SIP[Investor ID],A143,SIP[Date Value],"&lt;="&amp;$Z$3)-SUMIFS(SIP[Cost of Units Sold],SIP[B/S],"S",SIP[Investor ID],A143,SIP[Date Value],"&lt;="&amp;$Z$3))</f>
        <v>0</v>
      </c>
      <c r="H143" s="49">
        <f t="shared" si="12"/>
        <v>0</v>
      </c>
      <c r="I143" s="49">
        <f t="shared" si="13"/>
        <v>0</v>
      </c>
      <c r="J143" s="47">
        <f>(SUMIFS(LS[Unit],LS[Investor ID],A143,LS[B/S],"B",LS[Date Value],"&gt;="&amp;$Z$2,LS[Date Value],"&lt;="&amp;$Z$3))+(SUMIFS(SIP[Unit],SIP[Investor ID],A143,SIP[B/S],"B",SIP[Date Value],"&gt;="&amp;$Z$2,SIP[Date Value],"&lt;="&amp;$Z$3))</f>
        <v>0</v>
      </c>
      <c r="K143" s="49">
        <f>(SUMIFS(LS[Amount],LS[Investor ID],A143,LS[B/S],"B",LS[Date Value],"&gt;="&amp;$Z$2,LS[Date Value],"&lt;="&amp;$Z$3))+(SUMIFS(SIP[Amount],SIP[Investor ID],A143,SIP[B/S],"B",SIP[Date Value],"&gt;="&amp;$Z$2,SIP[Date Value],"&lt;="&amp;$Z$3))</f>
        <v>0</v>
      </c>
      <c r="L143" s="47">
        <f>(-SUMIFS(LS[Unit],LS[Investor ID],A143,LS[B/S],"S",LS[Date Value],"&gt;="&amp;$Z$2,LS[Date Value],"&lt;="&amp;$Z$3))+(-SUMIFS(SIP[Unit],SIP[Investor ID],A143,SIP[B/S],"S",SIP[Date Value],"&gt;="&amp;$Z$2,SIP[Date Value],"&lt;="&amp;$Z$3))</f>
        <v>0</v>
      </c>
      <c r="M143" s="49">
        <f>(SUMIFS(LS[Cost of Units Sold],LS[Investor ID],A143,LS[B/S],"S",LS[Date Value],"&gt;="&amp;$Z$2,LS[Date Value],"&lt;="&amp;$Z$3))+(SUMIFS(SIP[Cost of Units Sold],SIP[Investor ID],A143,SIP[B/S],"S",SIP[Date Value],"&gt;="&amp;$Z$2,SIP[Date Value],"&lt;="&amp;$Z$3))</f>
        <v>0</v>
      </c>
      <c r="N143" s="49">
        <f t="shared" si="14"/>
        <v>0</v>
      </c>
      <c r="O143" s="49">
        <f>(SUMIFS(LS[Realized Gain],LS[Investor ID],A143,LS[Date Value],"&gt;="&amp;$Z$2,LS[Date Value],"&lt;="&amp;$Z$3))+(SUMIFS(SIP[Realized Gain],SIP[Investor ID],A143,SIP[Date Value],"&gt;="&amp;$Z$2,SIP[Date Value],"&lt;="&amp;$Z$3))</f>
        <v>0</v>
      </c>
      <c r="P143" s="49">
        <v>0</v>
      </c>
      <c r="Q143" s="49">
        <v>0</v>
      </c>
      <c r="R143" s="49">
        <v>0</v>
      </c>
    </row>
    <row r="144" spans="1:18">
      <c r="A144" t="s">
        <v>336</v>
      </c>
      <c r="B144" s="47">
        <f>SUMIFS(LS[Unit],LS[Investor ID],'TAX CERTIFICATE'!A144,LS[Date Value],"&lt;"&amp;$Z$2)+SUMIFS(SIP[Unit],SIP[Investor ID],'TAX CERTIFICATE'!A144,SIP[Date Value],"&lt;"&amp;$Z$2)</f>
        <v>0</v>
      </c>
      <c r="C144" s="48">
        <f>(SUMIFS(LS[Amount],LS[B/S],"B",LS[Investor ID],A144,LS[Date Value],"&lt;"&amp;$Z$2)-SUMIFS(LS[Cost of Units Sold],LS[B/S],"S",LS[Investor ID],A144,LS[Date Value],"&lt;"&amp;$Z$2))+(SUMIFS(SIP[Amount],SIP[B/S],"B",SIP[Investor ID],#REF!,SIP[Date Value],"&lt;"&amp;$Z$2)-SUMIFS(SIP[Cost of Units Sold],SIP[B/S],"S",SIP[Investor ID],A144,SIP[Date Value],"&lt;"&amp;$Z$2))</f>
        <v>0</v>
      </c>
      <c r="D144" s="49">
        <f t="shared" si="10"/>
        <v>0</v>
      </c>
      <c r="E144" s="49">
        <f t="shared" si="11"/>
        <v>0</v>
      </c>
      <c r="F144" s="47">
        <f>SUMIFS(LS[Unit],LS[Investor ID],A144,LS[Date Value],"&lt;="&amp;$Z$3)+SUMIFS(SIP[Unit],SIP[Investor ID],A144,SIP[Date Value],"&lt;="&amp;$Z$3)</f>
        <v>8967</v>
      </c>
      <c r="G144" s="49">
        <f>(SUMIFS(LS[Amount],LS[B/S],"B",LS[Investor ID],A144,LS[Date Value],"&lt;="&amp;$Z$3)-SUMIFS(LS[Cost of Units Sold],LS[B/S],"S",LS[Investor ID],A144,LS[Date Value],"&lt;="&amp;$Z$3))+(SUMIFS(SIP[Amount],SIP[B/S],"B",SIP[Investor ID],A144,SIP[Date Value],"&lt;="&amp;$Z$3)-SUMIFS(SIP[Cost of Units Sold],SIP[B/S],"S",SIP[Investor ID],A144,SIP[Date Value],"&lt;="&amp;$Z$3))</f>
        <v>100000</v>
      </c>
      <c r="H144" s="49">
        <f t="shared" si="12"/>
        <v>100107.588</v>
      </c>
      <c r="I144" s="49">
        <f t="shared" si="13"/>
        <v>107.58800000000338</v>
      </c>
      <c r="J144" s="47">
        <f>(SUMIFS(LS[Unit],LS[Investor ID],A144,LS[B/S],"B",LS[Date Value],"&gt;="&amp;$Z$2,LS[Date Value],"&lt;="&amp;$Z$3))+(SUMIFS(SIP[Unit],SIP[Investor ID],A144,SIP[B/S],"B",SIP[Date Value],"&gt;="&amp;$Z$2,SIP[Date Value],"&lt;="&amp;$Z$3))</f>
        <v>8967</v>
      </c>
      <c r="K144" s="49">
        <f>(SUMIFS(LS[Amount],LS[Investor ID],A144,LS[B/S],"B",LS[Date Value],"&gt;="&amp;$Z$2,LS[Date Value],"&lt;="&amp;$Z$3))+(SUMIFS(SIP[Amount],SIP[Investor ID],A144,SIP[B/S],"B",SIP[Date Value],"&gt;="&amp;$Z$2,SIP[Date Value],"&lt;="&amp;$Z$3))</f>
        <v>100000</v>
      </c>
      <c r="L144" s="47">
        <f>(-SUMIFS(LS[Unit],LS[Investor ID],A144,LS[B/S],"S",LS[Date Value],"&gt;="&amp;$Z$2,LS[Date Value],"&lt;="&amp;$Z$3))+(-SUMIFS(SIP[Unit],SIP[Investor ID],A144,SIP[B/S],"S",SIP[Date Value],"&gt;="&amp;$Z$2,SIP[Date Value],"&lt;="&amp;$Z$3))</f>
        <v>0</v>
      </c>
      <c r="M144" s="49">
        <f>(SUMIFS(LS[Cost of Units Sold],LS[Investor ID],A144,LS[B/S],"S",LS[Date Value],"&gt;="&amp;$Z$2,LS[Date Value],"&lt;="&amp;$Z$3))+(SUMIFS(SIP[Cost of Units Sold],SIP[Investor ID],A144,SIP[B/S],"S",SIP[Date Value],"&gt;="&amp;$Z$2,SIP[Date Value],"&lt;="&amp;$Z$3))</f>
        <v>0</v>
      </c>
      <c r="N144" s="49">
        <f t="shared" si="14"/>
        <v>100000</v>
      </c>
      <c r="O144" s="49">
        <f>(SUMIFS(LS[Realized Gain],LS[Investor ID],A144,LS[Date Value],"&gt;="&amp;$Z$2,LS[Date Value],"&lt;="&amp;$Z$3))+(SUMIFS(SIP[Realized Gain],SIP[Investor ID],A144,SIP[Date Value],"&gt;="&amp;$Z$2,SIP[Date Value],"&lt;="&amp;$Z$3))</f>
        <v>0</v>
      </c>
      <c r="P144" s="49">
        <v>0</v>
      </c>
      <c r="Q144" s="49">
        <v>0</v>
      </c>
      <c r="R144" s="49">
        <v>0</v>
      </c>
    </row>
    <row r="145" spans="1:18">
      <c r="A145" t="s">
        <v>338</v>
      </c>
      <c r="B145" s="47">
        <f>SUMIFS(LS[Unit],LS[Investor ID],'TAX CERTIFICATE'!A145,LS[Date Value],"&lt;"&amp;$Z$2)+SUMIFS(SIP[Unit],SIP[Investor ID],'TAX CERTIFICATE'!A145,SIP[Date Value],"&lt;"&amp;$Z$2)</f>
        <v>0</v>
      </c>
      <c r="C145" s="48">
        <f>(SUMIFS(LS[Amount],LS[B/S],"B",LS[Investor ID],A145,LS[Date Value],"&lt;"&amp;$Z$2)-SUMIFS(LS[Cost of Units Sold],LS[B/S],"S",LS[Investor ID],A145,LS[Date Value],"&lt;"&amp;$Z$2))+(SUMIFS(SIP[Amount],SIP[B/S],"B",SIP[Investor ID],#REF!,SIP[Date Value],"&lt;"&amp;$Z$2)-SUMIFS(SIP[Cost of Units Sold],SIP[B/S],"S",SIP[Investor ID],A145,SIP[Date Value],"&lt;"&amp;$Z$2))</f>
        <v>0</v>
      </c>
      <c r="D145" s="49">
        <f t="shared" si="10"/>
        <v>0</v>
      </c>
      <c r="E145" s="49">
        <f t="shared" si="11"/>
        <v>0</v>
      </c>
      <c r="F145" s="47">
        <f>SUMIFS(LS[Unit],LS[Investor ID],A145,LS[Date Value],"&lt;="&amp;$Z$3)+SUMIFS(SIP[Unit],SIP[Investor ID],A145,SIP[Date Value],"&lt;="&amp;$Z$3)</f>
        <v>0</v>
      </c>
      <c r="G145" s="49">
        <f>(SUMIFS(LS[Amount],LS[B/S],"B",LS[Investor ID],A145,LS[Date Value],"&lt;="&amp;$Z$3)-SUMIFS(LS[Cost of Units Sold],LS[B/S],"S",LS[Investor ID],A145,LS[Date Value],"&lt;="&amp;$Z$3))+(SUMIFS(SIP[Amount],SIP[B/S],"B",SIP[Investor ID],A145,SIP[Date Value],"&lt;="&amp;$Z$3)-SUMIFS(SIP[Cost of Units Sold],SIP[B/S],"S",SIP[Investor ID],A145,SIP[Date Value],"&lt;="&amp;$Z$3))</f>
        <v>0</v>
      </c>
      <c r="H145" s="49">
        <f t="shared" si="12"/>
        <v>0</v>
      </c>
      <c r="I145" s="49">
        <f t="shared" si="13"/>
        <v>0</v>
      </c>
      <c r="J145" s="47">
        <f>(SUMIFS(LS[Unit],LS[Investor ID],A145,LS[B/S],"B",LS[Date Value],"&gt;="&amp;$Z$2,LS[Date Value],"&lt;="&amp;$Z$3))+(SUMIFS(SIP[Unit],SIP[Investor ID],A145,SIP[B/S],"B",SIP[Date Value],"&gt;="&amp;$Z$2,SIP[Date Value],"&lt;="&amp;$Z$3))</f>
        <v>0</v>
      </c>
      <c r="K145" s="49">
        <f>(SUMIFS(LS[Amount],LS[Investor ID],A145,LS[B/S],"B",LS[Date Value],"&gt;="&amp;$Z$2,LS[Date Value],"&lt;="&amp;$Z$3))+(SUMIFS(SIP[Amount],SIP[Investor ID],A145,SIP[B/S],"B",SIP[Date Value],"&gt;="&amp;$Z$2,SIP[Date Value],"&lt;="&amp;$Z$3))</f>
        <v>0</v>
      </c>
      <c r="L145" s="47">
        <f>(-SUMIFS(LS[Unit],LS[Investor ID],A145,LS[B/S],"S",LS[Date Value],"&gt;="&amp;$Z$2,LS[Date Value],"&lt;="&amp;$Z$3))+(-SUMIFS(SIP[Unit],SIP[Investor ID],A145,SIP[B/S],"S",SIP[Date Value],"&gt;="&amp;$Z$2,SIP[Date Value],"&lt;="&amp;$Z$3))</f>
        <v>0</v>
      </c>
      <c r="M145" s="49">
        <f>(SUMIFS(LS[Cost of Units Sold],LS[Investor ID],A145,LS[B/S],"S",LS[Date Value],"&gt;="&amp;$Z$2,LS[Date Value],"&lt;="&amp;$Z$3))+(SUMIFS(SIP[Cost of Units Sold],SIP[Investor ID],A145,SIP[B/S],"S",SIP[Date Value],"&gt;="&amp;$Z$2,SIP[Date Value],"&lt;="&amp;$Z$3))</f>
        <v>0</v>
      </c>
      <c r="N145" s="49">
        <f t="shared" si="14"/>
        <v>0</v>
      </c>
      <c r="O145" s="49">
        <f>(SUMIFS(LS[Realized Gain],LS[Investor ID],A145,LS[Date Value],"&gt;="&amp;$Z$2,LS[Date Value],"&lt;="&amp;$Z$3))+(SUMIFS(SIP[Realized Gain],SIP[Investor ID],A145,SIP[Date Value],"&gt;="&amp;$Z$2,SIP[Date Value],"&lt;="&amp;$Z$3))</f>
        <v>0</v>
      </c>
      <c r="P145" s="49">
        <v>0</v>
      </c>
      <c r="Q145" s="49">
        <v>0</v>
      </c>
      <c r="R145" s="49">
        <v>0</v>
      </c>
    </row>
    <row r="146" spans="1:18">
      <c r="A146" t="s">
        <v>340</v>
      </c>
      <c r="B146" s="47">
        <f>SUMIFS(LS[Unit],LS[Investor ID],'TAX CERTIFICATE'!A146,LS[Date Value],"&lt;"&amp;$Z$2)+SUMIFS(SIP[Unit],SIP[Investor ID],'TAX CERTIFICATE'!A146,SIP[Date Value],"&lt;"&amp;$Z$2)</f>
        <v>0</v>
      </c>
      <c r="C146" s="48">
        <f>(SUMIFS(LS[Amount],LS[B/S],"B",LS[Investor ID],A146,LS[Date Value],"&lt;"&amp;$Z$2)-SUMIFS(LS[Cost of Units Sold],LS[B/S],"S",LS[Investor ID],A146,LS[Date Value],"&lt;"&amp;$Z$2))+(SUMIFS(SIP[Amount],SIP[B/S],"B",SIP[Investor ID],#REF!,SIP[Date Value],"&lt;"&amp;$Z$2)-SUMIFS(SIP[Cost of Units Sold],SIP[B/S],"S",SIP[Investor ID],A146,SIP[Date Value],"&lt;"&amp;$Z$2))</f>
        <v>0</v>
      </c>
      <c r="D146" s="49">
        <f t="shared" si="10"/>
        <v>0</v>
      </c>
      <c r="E146" s="49">
        <f t="shared" si="11"/>
        <v>0</v>
      </c>
      <c r="F146" s="47">
        <f>SUMIFS(LS[Unit],LS[Investor ID],A146,LS[Date Value],"&lt;="&amp;$Z$3)+SUMIFS(SIP[Unit],SIP[Investor ID],A146,SIP[Date Value],"&lt;="&amp;$Z$3)</f>
        <v>0</v>
      </c>
      <c r="G146" s="49">
        <f>(SUMIFS(LS[Amount],LS[B/S],"B",LS[Investor ID],A146,LS[Date Value],"&lt;="&amp;$Z$3)-SUMIFS(LS[Cost of Units Sold],LS[B/S],"S",LS[Investor ID],A146,LS[Date Value],"&lt;="&amp;$Z$3))+(SUMIFS(SIP[Amount],SIP[B/S],"B",SIP[Investor ID],A146,SIP[Date Value],"&lt;="&amp;$Z$3)-SUMIFS(SIP[Cost of Units Sold],SIP[B/S],"S",SIP[Investor ID],A146,SIP[Date Value],"&lt;="&amp;$Z$3))</f>
        <v>0</v>
      </c>
      <c r="H146" s="49">
        <f t="shared" si="12"/>
        <v>0</v>
      </c>
      <c r="I146" s="49">
        <f t="shared" si="13"/>
        <v>0</v>
      </c>
      <c r="J146" s="47">
        <f>(SUMIFS(LS[Unit],LS[Investor ID],A146,LS[B/S],"B",LS[Date Value],"&gt;="&amp;$Z$2,LS[Date Value],"&lt;="&amp;$Z$3))+(SUMIFS(SIP[Unit],SIP[Investor ID],A146,SIP[B/S],"B",SIP[Date Value],"&gt;="&amp;$Z$2,SIP[Date Value],"&lt;="&amp;$Z$3))</f>
        <v>0</v>
      </c>
      <c r="K146" s="49">
        <f>(SUMIFS(LS[Amount],LS[Investor ID],A146,LS[B/S],"B",LS[Date Value],"&gt;="&amp;$Z$2,LS[Date Value],"&lt;="&amp;$Z$3))+(SUMIFS(SIP[Amount],SIP[Investor ID],A146,SIP[B/S],"B",SIP[Date Value],"&gt;="&amp;$Z$2,SIP[Date Value],"&lt;="&amp;$Z$3))</f>
        <v>0</v>
      </c>
      <c r="L146" s="47">
        <f>(-SUMIFS(LS[Unit],LS[Investor ID],A146,LS[B/S],"S",LS[Date Value],"&gt;="&amp;$Z$2,LS[Date Value],"&lt;="&amp;$Z$3))+(-SUMIFS(SIP[Unit],SIP[Investor ID],A146,SIP[B/S],"S",SIP[Date Value],"&gt;="&amp;$Z$2,SIP[Date Value],"&lt;="&amp;$Z$3))</f>
        <v>0</v>
      </c>
      <c r="M146" s="49">
        <f>(SUMIFS(LS[Cost of Units Sold],LS[Investor ID],A146,LS[B/S],"S",LS[Date Value],"&gt;="&amp;$Z$2,LS[Date Value],"&lt;="&amp;$Z$3))+(SUMIFS(SIP[Cost of Units Sold],SIP[Investor ID],A146,SIP[B/S],"S",SIP[Date Value],"&gt;="&amp;$Z$2,SIP[Date Value],"&lt;="&amp;$Z$3))</f>
        <v>0</v>
      </c>
      <c r="N146" s="49">
        <f t="shared" si="14"/>
        <v>0</v>
      </c>
      <c r="O146" s="49">
        <f>(SUMIFS(LS[Realized Gain],LS[Investor ID],A146,LS[Date Value],"&gt;="&amp;$Z$2,LS[Date Value],"&lt;="&amp;$Z$3))+(SUMIFS(SIP[Realized Gain],SIP[Investor ID],A146,SIP[Date Value],"&gt;="&amp;$Z$2,SIP[Date Value],"&lt;="&amp;$Z$3))</f>
        <v>0</v>
      </c>
      <c r="P146" s="49">
        <v>0</v>
      </c>
      <c r="Q146" s="49">
        <v>0</v>
      </c>
      <c r="R146" s="49">
        <v>0</v>
      </c>
    </row>
    <row r="147" spans="1:18">
      <c r="A147" t="s">
        <v>342</v>
      </c>
      <c r="B147" s="47">
        <f>SUMIFS(LS[Unit],LS[Investor ID],'TAX CERTIFICATE'!A147,LS[Date Value],"&lt;"&amp;$Z$2)+SUMIFS(SIP[Unit],SIP[Investor ID],'TAX CERTIFICATE'!A147,SIP[Date Value],"&lt;"&amp;$Z$2)</f>
        <v>0</v>
      </c>
      <c r="C147" s="48">
        <f>(SUMIFS(LS[Amount],LS[B/S],"B",LS[Investor ID],A147,LS[Date Value],"&lt;"&amp;$Z$2)-SUMIFS(LS[Cost of Units Sold],LS[B/S],"S",LS[Investor ID],A147,LS[Date Value],"&lt;"&amp;$Z$2))+(SUMIFS(SIP[Amount],SIP[B/S],"B",SIP[Investor ID],#REF!,SIP[Date Value],"&lt;"&amp;$Z$2)-SUMIFS(SIP[Cost of Units Sold],SIP[B/S],"S",SIP[Investor ID],A147,SIP[Date Value],"&lt;"&amp;$Z$2))</f>
        <v>0</v>
      </c>
      <c r="D147" s="49">
        <f t="shared" si="10"/>
        <v>0</v>
      </c>
      <c r="E147" s="49">
        <f t="shared" si="11"/>
        <v>0</v>
      </c>
      <c r="F147" s="47">
        <f>SUMIFS(LS[Unit],LS[Investor ID],A147,LS[Date Value],"&lt;="&amp;$Z$3)+SUMIFS(SIP[Unit],SIP[Investor ID],A147,SIP[Date Value],"&lt;="&amp;$Z$3)</f>
        <v>0</v>
      </c>
      <c r="G147" s="49">
        <f>(SUMIFS(LS[Amount],LS[B/S],"B",LS[Investor ID],A147,LS[Date Value],"&lt;="&amp;$Z$3)-SUMIFS(LS[Cost of Units Sold],LS[B/S],"S",LS[Investor ID],A147,LS[Date Value],"&lt;="&amp;$Z$3))+(SUMIFS(SIP[Amount],SIP[B/S],"B",SIP[Investor ID],A147,SIP[Date Value],"&lt;="&amp;$Z$3)-SUMIFS(SIP[Cost of Units Sold],SIP[B/S],"S",SIP[Investor ID],A147,SIP[Date Value],"&lt;="&amp;$Z$3))</f>
        <v>0</v>
      </c>
      <c r="H147" s="49">
        <f t="shared" si="12"/>
        <v>0</v>
      </c>
      <c r="I147" s="49">
        <f t="shared" si="13"/>
        <v>0</v>
      </c>
      <c r="J147" s="47">
        <f>(SUMIFS(LS[Unit],LS[Investor ID],A147,LS[B/S],"B",LS[Date Value],"&gt;="&amp;$Z$2,LS[Date Value],"&lt;="&amp;$Z$3))+(SUMIFS(SIP[Unit],SIP[Investor ID],A147,SIP[B/S],"B",SIP[Date Value],"&gt;="&amp;$Z$2,SIP[Date Value],"&lt;="&amp;$Z$3))</f>
        <v>0</v>
      </c>
      <c r="K147" s="49">
        <f>(SUMIFS(LS[Amount],LS[Investor ID],A147,LS[B/S],"B",LS[Date Value],"&gt;="&amp;$Z$2,LS[Date Value],"&lt;="&amp;$Z$3))+(SUMIFS(SIP[Amount],SIP[Investor ID],A147,SIP[B/S],"B",SIP[Date Value],"&gt;="&amp;$Z$2,SIP[Date Value],"&lt;="&amp;$Z$3))</f>
        <v>0</v>
      </c>
      <c r="L147" s="47">
        <f>(-SUMIFS(LS[Unit],LS[Investor ID],A147,LS[B/S],"S",LS[Date Value],"&gt;="&amp;$Z$2,LS[Date Value],"&lt;="&amp;$Z$3))+(-SUMIFS(SIP[Unit],SIP[Investor ID],A147,SIP[B/S],"S",SIP[Date Value],"&gt;="&amp;$Z$2,SIP[Date Value],"&lt;="&amp;$Z$3))</f>
        <v>0</v>
      </c>
      <c r="M147" s="49">
        <f>(SUMIFS(LS[Cost of Units Sold],LS[Investor ID],A147,LS[B/S],"S",LS[Date Value],"&gt;="&amp;$Z$2,LS[Date Value],"&lt;="&amp;$Z$3))+(SUMIFS(SIP[Cost of Units Sold],SIP[Investor ID],A147,SIP[B/S],"S",SIP[Date Value],"&gt;="&amp;$Z$2,SIP[Date Value],"&lt;="&amp;$Z$3))</f>
        <v>0</v>
      </c>
      <c r="N147" s="49">
        <f t="shared" si="14"/>
        <v>0</v>
      </c>
      <c r="O147" s="49">
        <f>(SUMIFS(LS[Realized Gain],LS[Investor ID],A147,LS[Date Value],"&gt;="&amp;$Z$2,LS[Date Value],"&lt;="&amp;$Z$3))+(SUMIFS(SIP[Realized Gain],SIP[Investor ID],A147,SIP[Date Value],"&gt;="&amp;$Z$2,SIP[Date Value],"&lt;="&amp;$Z$3))</f>
        <v>0</v>
      </c>
      <c r="P147" s="49">
        <v>0</v>
      </c>
      <c r="Q147" s="49">
        <v>0</v>
      </c>
      <c r="R147" s="49">
        <v>0</v>
      </c>
    </row>
    <row r="148" spans="1:18">
      <c r="A148" t="s">
        <v>344</v>
      </c>
      <c r="B148" s="47">
        <f>SUMIFS(LS[Unit],LS[Investor ID],'TAX CERTIFICATE'!A148,LS[Date Value],"&lt;"&amp;$Z$2)+SUMIFS(SIP[Unit],SIP[Investor ID],'TAX CERTIFICATE'!A148,SIP[Date Value],"&lt;"&amp;$Z$2)</f>
        <v>0</v>
      </c>
      <c r="C148" s="48">
        <f>(SUMIFS(LS[Amount],LS[B/S],"B",LS[Investor ID],A148,LS[Date Value],"&lt;"&amp;$Z$2)-SUMIFS(LS[Cost of Units Sold],LS[B/S],"S",LS[Investor ID],A148,LS[Date Value],"&lt;"&amp;$Z$2))+(SUMIFS(SIP[Amount],SIP[B/S],"B",SIP[Investor ID],#REF!,SIP[Date Value],"&lt;"&amp;$Z$2)-SUMIFS(SIP[Cost of Units Sold],SIP[B/S],"S",SIP[Investor ID],A148,SIP[Date Value],"&lt;"&amp;$Z$2))</f>
        <v>0</v>
      </c>
      <c r="D148" s="49">
        <f t="shared" si="10"/>
        <v>0</v>
      </c>
      <c r="E148" s="49">
        <f t="shared" si="11"/>
        <v>0</v>
      </c>
      <c r="F148" s="47">
        <f>SUMIFS(LS[Unit],LS[Investor ID],A148,LS[Date Value],"&lt;="&amp;$Z$3)+SUMIFS(SIP[Unit],SIP[Investor ID],A148,SIP[Date Value],"&lt;="&amp;$Z$3)</f>
        <v>0</v>
      </c>
      <c r="G148" s="49">
        <f>(SUMIFS(LS[Amount],LS[B/S],"B",LS[Investor ID],A148,LS[Date Value],"&lt;="&amp;$Z$3)-SUMIFS(LS[Cost of Units Sold],LS[B/S],"S",LS[Investor ID],A148,LS[Date Value],"&lt;="&amp;$Z$3))+(SUMIFS(SIP[Amount],SIP[B/S],"B",SIP[Investor ID],A148,SIP[Date Value],"&lt;="&amp;$Z$3)-SUMIFS(SIP[Cost of Units Sold],SIP[B/S],"S",SIP[Investor ID],A148,SIP[Date Value],"&lt;="&amp;$Z$3))</f>
        <v>0</v>
      </c>
      <c r="H148" s="49">
        <f t="shared" si="12"/>
        <v>0</v>
      </c>
      <c r="I148" s="49">
        <f t="shared" si="13"/>
        <v>0</v>
      </c>
      <c r="J148" s="47">
        <f>(SUMIFS(LS[Unit],LS[Investor ID],A148,LS[B/S],"B",LS[Date Value],"&gt;="&amp;$Z$2,LS[Date Value],"&lt;="&amp;$Z$3))+(SUMIFS(SIP[Unit],SIP[Investor ID],A148,SIP[B/S],"B",SIP[Date Value],"&gt;="&amp;$Z$2,SIP[Date Value],"&lt;="&amp;$Z$3))</f>
        <v>0</v>
      </c>
      <c r="K148" s="49">
        <f>(SUMIFS(LS[Amount],LS[Investor ID],A148,LS[B/S],"B",LS[Date Value],"&gt;="&amp;$Z$2,LS[Date Value],"&lt;="&amp;$Z$3))+(SUMIFS(SIP[Amount],SIP[Investor ID],A148,SIP[B/S],"B",SIP[Date Value],"&gt;="&amp;$Z$2,SIP[Date Value],"&lt;="&amp;$Z$3))</f>
        <v>0</v>
      </c>
      <c r="L148" s="47">
        <f>(-SUMIFS(LS[Unit],LS[Investor ID],A148,LS[B/S],"S",LS[Date Value],"&gt;="&amp;$Z$2,LS[Date Value],"&lt;="&amp;$Z$3))+(-SUMIFS(SIP[Unit],SIP[Investor ID],A148,SIP[B/S],"S",SIP[Date Value],"&gt;="&amp;$Z$2,SIP[Date Value],"&lt;="&amp;$Z$3))</f>
        <v>0</v>
      </c>
      <c r="M148" s="49">
        <f>(SUMIFS(LS[Cost of Units Sold],LS[Investor ID],A148,LS[B/S],"S",LS[Date Value],"&gt;="&amp;$Z$2,LS[Date Value],"&lt;="&amp;$Z$3))+(SUMIFS(SIP[Cost of Units Sold],SIP[Investor ID],A148,SIP[B/S],"S",SIP[Date Value],"&gt;="&amp;$Z$2,SIP[Date Value],"&lt;="&amp;$Z$3))</f>
        <v>0</v>
      </c>
      <c r="N148" s="49">
        <f t="shared" si="14"/>
        <v>0</v>
      </c>
      <c r="O148" s="49">
        <f>(SUMIFS(LS[Realized Gain],LS[Investor ID],A148,LS[Date Value],"&gt;="&amp;$Z$2,LS[Date Value],"&lt;="&amp;$Z$3))+(SUMIFS(SIP[Realized Gain],SIP[Investor ID],A148,SIP[Date Value],"&gt;="&amp;$Z$2,SIP[Date Value],"&lt;="&amp;$Z$3))</f>
        <v>0</v>
      </c>
      <c r="P148" s="49">
        <v>0</v>
      </c>
      <c r="Q148" s="49">
        <v>0</v>
      </c>
      <c r="R148" s="49">
        <v>0</v>
      </c>
    </row>
    <row r="149" spans="1:18">
      <c r="A149" t="s">
        <v>346</v>
      </c>
      <c r="B149" s="47">
        <f>SUMIFS(LS[Unit],LS[Investor ID],'TAX CERTIFICATE'!A149,LS[Date Value],"&lt;"&amp;$Z$2)+SUMIFS(SIP[Unit],SIP[Investor ID],'TAX CERTIFICATE'!A149,SIP[Date Value],"&lt;"&amp;$Z$2)</f>
        <v>0</v>
      </c>
      <c r="C149" s="48">
        <f>(SUMIFS(LS[Amount],LS[B/S],"B",LS[Investor ID],A149,LS[Date Value],"&lt;"&amp;$Z$2)-SUMIFS(LS[Cost of Units Sold],LS[B/S],"S",LS[Investor ID],A149,LS[Date Value],"&lt;"&amp;$Z$2))+(SUMIFS(SIP[Amount],SIP[B/S],"B",SIP[Investor ID],#REF!,SIP[Date Value],"&lt;"&amp;$Z$2)-SUMIFS(SIP[Cost of Units Sold],SIP[B/S],"S",SIP[Investor ID],A149,SIP[Date Value],"&lt;"&amp;$Z$2))</f>
        <v>0</v>
      </c>
      <c r="D149" s="49">
        <f t="shared" si="10"/>
        <v>0</v>
      </c>
      <c r="E149" s="49">
        <f t="shared" si="11"/>
        <v>0</v>
      </c>
      <c r="F149" s="47">
        <f>SUMIFS(LS[Unit],LS[Investor ID],A149,LS[Date Value],"&lt;="&amp;$Z$3)+SUMIFS(SIP[Unit],SIP[Investor ID],A149,SIP[Date Value],"&lt;="&amp;$Z$3)</f>
        <v>0</v>
      </c>
      <c r="G149" s="49">
        <f>(SUMIFS(LS[Amount],LS[B/S],"B",LS[Investor ID],A149,LS[Date Value],"&lt;="&amp;$Z$3)-SUMIFS(LS[Cost of Units Sold],LS[B/S],"S",LS[Investor ID],A149,LS[Date Value],"&lt;="&amp;$Z$3))+(SUMIFS(SIP[Amount],SIP[B/S],"B",SIP[Investor ID],A149,SIP[Date Value],"&lt;="&amp;$Z$3)-SUMIFS(SIP[Cost of Units Sold],SIP[B/S],"S",SIP[Investor ID],A149,SIP[Date Value],"&lt;="&amp;$Z$3))</f>
        <v>0</v>
      </c>
      <c r="H149" s="49">
        <f t="shared" si="12"/>
        <v>0</v>
      </c>
      <c r="I149" s="49">
        <f t="shared" si="13"/>
        <v>0</v>
      </c>
      <c r="J149" s="47">
        <f>(SUMIFS(LS[Unit],LS[Investor ID],A149,LS[B/S],"B",LS[Date Value],"&gt;="&amp;$Z$2,LS[Date Value],"&lt;="&amp;$Z$3))+(SUMIFS(SIP[Unit],SIP[Investor ID],A149,SIP[B/S],"B",SIP[Date Value],"&gt;="&amp;$Z$2,SIP[Date Value],"&lt;="&amp;$Z$3))</f>
        <v>0</v>
      </c>
      <c r="K149" s="49">
        <f>(SUMIFS(LS[Amount],LS[Investor ID],A149,LS[B/S],"B",LS[Date Value],"&gt;="&amp;$Z$2,LS[Date Value],"&lt;="&amp;$Z$3))+(SUMIFS(SIP[Amount],SIP[Investor ID],A149,SIP[B/S],"B",SIP[Date Value],"&gt;="&amp;$Z$2,SIP[Date Value],"&lt;="&amp;$Z$3))</f>
        <v>0</v>
      </c>
      <c r="L149" s="47">
        <f>(-SUMIFS(LS[Unit],LS[Investor ID],A149,LS[B/S],"S",LS[Date Value],"&gt;="&amp;$Z$2,LS[Date Value],"&lt;="&amp;$Z$3))+(-SUMIFS(SIP[Unit],SIP[Investor ID],A149,SIP[B/S],"S",SIP[Date Value],"&gt;="&amp;$Z$2,SIP[Date Value],"&lt;="&amp;$Z$3))</f>
        <v>0</v>
      </c>
      <c r="M149" s="49">
        <f>(SUMIFS(LS[Cost of Units Sold],LS[Investor ID],A149,LS[B/S],"S",LS[Date Value],"&gt;="&amp;$Z$2,LS[Date Value],"&lt;="&amp;$Z$3))+(SUMIFS(SIP[Cost of Units Sold],SIP[Investor ID],A149,SIP[B/S],"S",SIP[Date Value],"&gt;="&amp;$Z$2,SIP[Date Value],"&lt;="&amp;$Z$3))</f>
        <v>0</v>
      </c>
      <c r="N149" s="49">
        <f t="shared" si="14"/>
        <v>0</v>
      </c>
      <c r="O149" s="49">
        <f>(SUMIFS(LS[Realized Gain],LS[Investor ID],A149,LS[Date Value],"&gt;="&amp;$Z$2,LS[Date Value],"&lt;="&amp;$Z$3))+(SUMIFS(SIP[Realized Gain],SIP[Investor ID],A149,SIP[Date Value],"&gt;="&amp;$Z$2,SIP[Date Value],"&lt;="&amp;$Z$3))</f>
        <v>0</v>
      </c>
      <c r="P149" s="49">
        <v>0</v>
      </c>
      <c r="Q149" s="49">
        <v>0</v>
      </c>
      <c r="R149" s="49">
        <v>0</v>
      </c>
    </row>
    <row r="150" spans="1:18">
      <c r="A150" t="s">
        <v>348</v>
      </c>
      <c r="B150" s="47">
        <f>SUMIFS(LS[Unit],LS[Investor ID],'TAX CERTIFICATE'!A150,LS[Date Value],"&lt;"&amp;$Z$2)+SUMIFS(SIP[Unit],SIP[Investor ID],'TAX CERTIFICATE'!A150,SIP[Date Value],"&lt;"&amp;$Z$2)</f>
        <v>10000</v>
      </c>
      <c r="C150" s="48">
        <f>(SUMIFS(LS[Amount],LS[B/S],"B",LS[Investor ID],A150,LS[Date Value],"&lt;"&amp;$Z$2)-SUMIFS(LS[Cost of Units Sold],LS[B/S],"S",LS[Investor ID],A150,LS[Date Value],"&lt;"&amp;$Z$2))+(SUMIFS(SIP[Amount],SIP[B/S],"B",SIP[Investor ID],#REF!,SIP[Date Value],"&lt;"&amp;$Z$2)-SUMIFS(SIP[Cost of Units Sold],SIP[B/S],"S",SIP[Investor ID],A150,SIP[Date Value],"&lt;"&amp;$Z$2))</f>
        <v>100000</v>
      </c>
      <c r="D150" s="49">
        <f t="shared" si="10"/>
        <v>102710.00000000001</v>
      </c>
      <c r="E150" s="49">
        <f t="shared" si="11"/>
        <v>2710.0000000000146</v>
      </c>
      <c r="F150" s="47">
        <f>SUMIFS(LS[Unit],LS[Investor ID],A150,LS[Date Value],"&lt;="&amp;$Z$3)+SUMIFS(SIP[Unit],SIP[Investor ID],A150,SIP[Date Value],"&lt;="&amp;$Z$3)</f>
        <v>0</v>
      </c>
      <c r="G150" s="49">
        <f>(SUMIFS(LS[Amount],LS[B/S],"B",LS[Investor ID],A150,LS[Date Value],"&lt;="&amp;$Z$3)-SUMIFS(LS[Cost of Units Sold],LS[B/S],"S",LS[Investor ID],A150,LS[Date Value],"&lt;="&amp;$Z$3))+(SUMIFS(SIP[Amount],SIP[B/S],"B",SIP[Investor ID],A150,SIP[Date Value],"&lt;="&amp;$Z$3)-SUMIFS(SIP[Cost of Units Sold],SIP[B/S],"S",SIP[Investor ID],A150,SIP[Date Value],"&lt;="&amp;$Z$3))</f>
        <v>0</v>
      </c>
      <c r="H150" s="49">
        <f t="shared" si="12"/>
        <v>0</v>
      </c>
      <c r="I150" s="49">
        <f t="shared" si="13"/>
        <v>0</v>
      </c>
      <c r="J150" s="47">
        <f>(SUMIFS(LS[Unit],LS[Investor ID],A150,LS[B/S],"B",LS[Date Value],"&gt;="&amp;$Z$2,LS[Date Value],"&lt;="&amp;$Z$3))+(SUMIFS(SIP[Unit],SIP[Investor ID],A150,SIP[B/S],"B",SIP[Date Value],"&gt;="&amp;$Z$2,SIP[Date Value],"&lt;="&amp;$Z$3))</f>
        <v>18948</v>
      </c>
      <c r="K150" s="49">
        <f>(SUMIFS(LS[Amount],LS[Investor ID],A150,LS[B/S],"B",LS[Date Value],"&gt;="&amp;$Z$2,LS[Date Value],"&lt;="&amp;$Z$3))+(SUMIFS(SIP[Amount],SIP[Investor ID],A150,SIP[B/S],"B",SIP[Date Value],"&gt;="&amp;$Z$2,SIP[Date Value],"&lt;="&amp;$Z$3))</f>
        <v>200000</v>
      </c>
      <c r="L150" s="47">
        <f>(-SUMIFS(LS[Unit],LS[Investor ID],A150,LS[B/S],"S",LS[Date Value],"&gt;="&amp;$Z$2,LS[Date Value],"&lt;="&amp;$Z$3))+(-SUMIFS(SIP[Unit],SIP[Investor ID],A150,SIP[B/S],"S",SIP[Date Value],"&gt;="&amp;$Z$2,SIP[Date Value],"&lt;="&amp;$Z$3))</f>
        <v>28948</v>
      </c>
      <c r="M150" s="49">
        <f>(SUMIFS(LS[Cost of Units Sold],LS[Investor ID],A150,LS[B/S],"S",LS[Date Value],"&gt;="&amp;$Z$2,LS[Date Value],"&lt;="&amp;$Z$3))+(SUMIFS(SIP[Cost of Units Sold],SIP[Investor ID],A150,SIP[B/S],"S",SIP[Date Value],"&gt;="&amp;$Z$2,SIP[Date Value],"&lt;="&amp;$Z$3))</f>
        <v>300000</v>
      </c>
      <c r="N150" s="49">
        <f t="shared" si="14"/>
        <v>-100000</v>
      </c>
      <c r="O150" s="49">
        <f>(SUMIFS(LS[Realized Gain],LS[Investor ID],A150,LS[Date Value],"&gt;="&amp;$Z$2,LS[Date Value],"&lt;="&amp;$Z$3))+(SUMIFS(SIP[Realized Gain],SIP[Investor ID],A150,SIP[Date Value],"&gt;="&amp;$Z$2,SIP[Date Value],"&lt;="&amp;$Z$3))</f>
        <v>19991.189999999988</v>
      </c>
      <c r="P150" s="49">
        <v>0</v>
      </c>
      <c r="Q150" s="49">
        <v>0</v>
      </c>
      <c r="R150" s="49">
        <v>0</v>
      </c>
    </row>
    <row r="151" spans="1:18">
      <c r="A151" t="s">
        <v>350</v>
      </c>
      <c r="B151" s="47">
        <f>SUMIFS(LS[Unit],LS[Investor ID],'TAX CERTIFICATE'!A151,LS[Date Value],"&lt;"&amp;$Z$2)+SUMIFS(SIP[Unit],SIP[Investor ID],'TAX CERTIFICATE'!A151,SIP[Date Value],"&lt;"&amp;$Z$2)</f>
        <v>0</v>
      </c>
      <c r="C151" s="48">
        <f>(SUMIFS(LS[Amount],LS[B/S],"B",LS[Investor ID],A151,LS[Date Value],"&lt;"&amp;$Z$2)-SUMIFS(LS[Cost of Units Sold],LS[B/S],"S",LS[Investor ID],A151,LS[Date Value],"&lt;"&amp;$Z$2))+(SUMIFS(SIP[Amount],SIP[B/S],"B",SIP[Investor ID],#REF!,SIP[Date Value],"&lt;"&amp;$Z$2)-SUMIFS(SIP[Cost of Units Sold],SIP[B/S],"S",SIP[Investor ID],A151,SIP[Date Value],"&lt;"&amp;$Z$2))</f>
        <v>0</v>
      </c>
      <c r="D151" s="49">
        <f t="shared" si="10"/>
        <v>0</v>
      </c>
      <c r="E151" s="49">
        <f t="shared" si="11"/>
        <v>0</v>
      </c>
      <c r="F151" s="47">
        <f>SUMIFS(LS[Unit],LS[Investor ID],A151,LS[Date Value],"&lt;="&amp;$Z$3)+SUMIFS(SIP[Unit],SIP[Investor ID],A151,SIP[Date Value],"&lt;="&amp;$Z$3)</f>
        <v>0</v>
      </c>
      <c r="G151" s="49">
        <f>(SUMIFS(LS[Amount],LS[B/S],"B",LS[Investor ID],A151,LS[Date Value],"&lt;="&amp;$Z$3)-SUMIFS(LS[Cost of Units Sold],LS[B/S],"S",LS[Investor ID],A151,LS[Date Value],"&lt;="&amp;$Z$3))+(SUMIFS(SIP[Amount],SIP[B/S],"B",SIP[Investor ID],A151,SIP[Date Value],"&lt;="&amp;$Z$3)-SUMIFS(SIP[Cost of Units Sold],SIP[B/S],"S",SIP[Investor ID],A151,SIP[Date Value],"&lt;="&amp;$Z$3))</f>
        <v>0</v>
      </c>
      <c r="H151" s="49">
        <f t="shared" si="12"/>
        <v>0</v>
      </c>
      <c r="I151" s="49">
        <f t="shared" si="13"/>
        <v>0</v>
      </c>
      <c r="J151" s="47">
        <f>(SUMIFS(LS[Unit],LS[Investor ID],A151,LS[B/S],"B",LS[Date Value],"&gt;="&amp;$Z$2,LS[Date Value],"&lt;="&amp;$Z$3))+(SUMIFS(SIP[Unit],SIP[Investor ID],A151,SIP[B/S],"B",SIP[Date Value],"&gt;="&amp;$Z$2,SIP[Date Value],"&lt;="&amp;$Z$3))</f>
        <v>0</v>
      </c>
      <c r="K151" s="49">
        <f>(SUMIFS(LS[Amount],LS[Investor ID],A151,LS[B/S],"B",LS[Date Value],"&gt;="&amp;$Z$2,LS[Date Value],"&lt;="&amp;$Z$3))+(SUMIFS(SIP[Amount],SIP[Investor ID],A151,SIP[B/S],"B",SIP[Date Value],"&gt;="&amp;$Z$2,SIP[Date Value],"&lt;="&amp;$Z$3))</f>
        <v>0</v>
      </c>
      <c r="L151" s="47">
        <f>(-SUMIFS(LS[Unit],LS[Investor ID],A151,LS[B/S],"S",LS[Date Value],"&gt;="&amp;$Z$2,LS[Date Value],"&lt;="&amp;$Z$3))+(-SUMIFS(SIP[Unit],SIP[Investor ID],A151,SIP[B/S],"S",SIP[Date Value],"&gt;="&amp;$Z$2,SIP[Date Value],"&lt;="&amp;$Z$3))</f>
        <v>0</v>
      </c>
      <c r="M151" s="49">
        <f>(SUMIFS(LS[Cost of Units Sold],LS[Investor ID],A151,LS[B/S],"S",LS[Date Value],"&gt;="&amp;$Z$2,LS[Date Value],"&lt;="&amp;$Z$3))+(SUMIFS(SIP[Cost of Units Sold],SIP[Investor ID],A151,SIP[B/S],"S",SIP[Date Value],"&gt;="&amp;$Z$2,SIP[Date Value],"&lt;="&amp;$Z$3))</f>
        <v>0</v>
      </c>
      <c r="N151" s="49">
        <f t="shared" si="14"/>
        <v>0</v>
      </c>
      <c r="O151" s="49">
        <f>(SUMIFS(LS[Realized Gain],LS[Investor ID],A151,LS[Date Value],"&gt;="&amp;$Z$2,LS[Date Value],"&lt;="&amp;$Z$3))+(SUMIFS(SIP[Realized Gain],SIP[Investor ID],A151,SIP[Date Value],"&gt;="&amp;$Z$2,SIP[Date Value],"&lt;="&amp;$Z$3))</f>
        <v>0</v>
      </c>
      <c r="P151" s="49">
        <v>0</v>
      </c>
      <c r="Q151" s="49">
        <v>0</v>
      </c>
      <c r="R151" s="49">
        <v>0</v>
      </c>
    </row>
    <row r="152" spans="1:18">
      <c r="A152" t="s">
        <v>352</v>
      </c>
      <c r="B152" s="47">
        <f>SUMIFS(LS[Unit],LS[Investor ID],'TAX CERTIFICATE'!A152,LS[Date Value],"&lt;"&amp;$Z$2)+SUMIFS(SIP[Unit],SIP[Investor ID],'TAX CERTIFICATE'!A152,SIP[Date Value],"&lt;"&amp;$Z$2)</f>
        <v>0</v>
      </c>
      <c r="C152" s="48">
        <f>(SUMIFS(LS[Amount],LS[B/S],"B",LS[Investor ID],A152,LS[Date Value],"&lt;"&amp;$Z$2)-SUMIFS(LS[Cost of Units Sold],LS[B/S],"S",LS[Investor ID],A152,LS[Date Value],"&lt;"&amp;$Z$2))+(SUMIFS(SIP[Amount],SIP[B/S],"B",SIP[Investor ID],#REF!,SIP[Date Value],"&lt;"&amp;$Z$2)-SUMIFS(SIP[Cost of Units Sold],SIP[B/S],"S",SIP[Investor ID],A152,SIP[Date Value],"&lt;"&amp;$Z$2))</f>
        <v>0</v>
      </c>
      <c r="D152" s="49">
        <f t="shared" si="10"/>
        <v>0</v>
      </c>
      <c r="E152" s="49">
        <f t="shared" si="11"/>
        <v>0</v>
      </c>
      <c r="F152" s="47">
        <f>SUMIFS(LS[Unit],LS[Investor ID],A152,LS[Date Value],"&lt;="&amp;$Z$3)+SUMIFS(SIP[Unit],SIP[Investor ID],A152,SIP[Date Value],"&lt;="&amp;$Z$3)</f>
        <v>0</v>
      </c>
      <c r="G152" s="49">
        <f>(SUMIFS(LS[Amount],LS[B/S],"B",LS[Investor ID],A152,LS[Date Value],"&lt;="&amp;$Z$3)-SUMIFS(LS[Cost of Units Sold],LS[B/S],"S",LS[Investor ID],A152,LS[Date Value],"&lt;="&amp;$Z$3))+(SUMIFS(SIP[Amount],SIP[B/S],"B",SIP[Investor ID],A152,SIP[Date Value],"&lt;="&amp;$Z$3)-SUMIFS(SIP[Cost of Units Sold],SIP[B/S],"S",SIP[Investor ID],A152,SIP[Date Value],"&lt;="&amp;$Z$3))</f>
        <v>0</v>
      </c>
      <c r="H152" s="49">
        <f t="shared" si="12"/>
        <v>0</v>
      </c>
      <c r="I152" s="49">
        <f t="shared" si="13"/>
        <v>0</v>
      </c>
      <c r="J152" s="47">
        <f>(SUMIFS(LS[Unit],LS[Investor ID],A152,LS[B/S],"B",LS[Date Value],"&gt;="&amp;$Z$2,LS[Date Value],"&lt;="&amp;$Z$3))+(SUMIFS(SIP[Unit],SIP[Investor ID],A152,SIP[B/S],"B",SIP[Date Value],"&gt;="&amp;$Z$2,SIP[Date Value],"&lt;="&amp;$Z$3))</f>
        <v>0</v>
      </c>
      <c r="K152" s="49">
        <f>(SUMIFS(LS[Amount],LS[Investor ID],A152,LS[B/S],"B",LS[Date Value],"&gt;="&amp;$Z$2,LS[Date Value],"&lt;="&amp;$Z$3))+(SUMIFS(SIP[Amount],SIP[Investor ID],A152,SIP[B/S],"B",SIP[Date Value],"&gt;="&amp;$Z$2,SIP[Date Value],"&lt;="&amp;$Z$3))</f>
        <v>0</v>
      </c>
      <c r="L152" s="47">
        <f>(-SUMIFS(LS[Unit],LS[Investor ID],A152,LS[B/S],"S",LS[Date Value],"&gt;="&amp;$Z$2,LS[Date Value],"&lt;="&amp;$Z$3))+(-SUMIFS(SIP[Unit],SIP[Investor ID],A152,SIP[B/S],"S",SIP[Date Value],"&gt;="&amp;$Z$2,SIP[Date Value],"&lt;="&amp;$Z$3))</f>
        <v>0</v>
      </c>
      <c r="M152" s="49">
        <f>(SUMIFS(LS[Cost of Units Sold],LS[Investor ID],A152,LS[B/S],"S",LS[Date Value],"&gt;="&amp;$Z$2,LS[Date Value],"&lt;="&amp;$Z$3))+(SUMIFS(SIP[Cost of Units Sold],SIP[Investor ID],A152,SIP[B/S],"S",SIP[Date Value],"&gt;="&amp;$Z$2,SIP[Date Value],"&lt;="&amp;$Z$3))</f>
        <v>0</v>
      </c>
      <c r="N152" s="49">
        <f t="shared" si="14"/>
        <v>0</v>
      </c>
      <c r="O152" s="49">
        <f>(SUMIFS(LS[Realized Gain],LS[Investor ID],A152,LS[Date Value],"&gt;="&amp;$Z$2,LS[Date Value],"&lt;="&amp;$Z$3))+(SUMIFS(SIP[Realized Gain],SIP[Investor ID],A152,SIP[Date Value],"&gt;="&amp;$Z$2,SIP[Date Value],"&lt;="&amp;$Z$3))</f>
        <v>0</v>
      </c>
      <c r="P152" s="49">
        <v>0</v>
      </c>
      <c r="Q152" s="49">
        <v>0</v>
      </c>
      <c r="R152" s="49">
        <v>0</v>
      </c>
    </row>
    <row r="153" spans="1:18">
      <c r="A153" t="s">
        <v>354</v>
      </c>
      <c r="B153" s="47">
        <f>SUMIFS(LS[Unit],LS[Investor ID],'TAX CERTIFICATE'!A153,LS[Date Value],"&lt;"&amp;$Z$2)+SUMIFS(SIP[Unit],SIP[Investor ID],'TAX CERTIFICATE'!A153,SIP[Date Value],"&lt;"&amp;$Z$2)</f>
        <v>0</v>
      </c>
      <c r="C153" s="48">
        <f>(SUMIFS(LS[Amount],LS[B/S],"B",LS[Investor ID],A153,LS[Date Value],"&lt;"&amp;$Z$2)-SUMIFS(LS[Cost of Units Sold],LS[B/S],"S",LS[Investor ID],A153,LS[Date Value],"&lt;"&amp;$Z$2))+(SUMIFS(SIP[Amount],SIP[B/S],"B",SIP[Investor ID],#REF!,SIP[Date Value],"&lt;"&amp;$Z$2)-SUMIFS(SIP[Cost of Units Sold],SIP[B/S],"S",SIP[Investor ID],A153,SIP[Date Value],"&lt;"&amp;$Z$2))</f>
        <v>0</v>
      </c>
      <c r="D153" s="49">
        <f t="shared" si="10"/>
        <v>0</v>
      </c>
      <c r="E153" s="49">
        <f t="shared" si="11"/>
        <v>0</v>
      </c>
      <c r="F153" s="47">
        <f>SUMIFS(LS[Unit],LS[Investor ID],A153,LS[Date Value],"&lt;="&amp;$Z$3)+SUMIFS(SIP[Unit],SIP[Investor ID],A153,SIP[Date Value],"&lt;="&amp;$Z$3)</f>
        <v>0</v>
      </c>
      <c r="G153" s="49">
        <f>(SUMIFS(LS[Amount],LS[B/S],"B",LS[Investor ID],A153,LS[Date Value],"&lt;="&amp;$Z$3)-SUMIFS(LS[Cost of Units Sold],LS[B/S],"S",LS[Investor ID],A153,LS[Date Value],"&lt;="&amp;$Z$3))+(SUMIFS(SIP[Amount],SIP[B/S],"B",SIP[Investor ID],A153,SIP[Date Value],"&lt;="&amp;$Z$3)-SUMIFS(SIP[Cost of Units Sold],SIP[B/S],"S",SIP[Investor ID],A153,SIP[Date Value],"&lt;="&amp;$Z$3))</f>
        <v>0</v>
      </c>
      <c r="H153" s="49">
        <f t="shared" si="12"/>
        <v>0</v>
      </c>
      <c r="I153" s="49">
        <f t="shared" si="13"/>
        <v>0</v>
      </c>
      <c r="J153" s="47">
        <f>(SUMIFS(LS[Unit],LS[Investor ID],A153,LS[B/S],"B",LS[Date Value],"&gt;="&amp;$Z$2,LS[Date Value],"&lt;="&amp;$Z$3))+(SUMIFS(SIP[Unit],SIP[Investor ID],A153,SIP[B/S],"B",SIP[Date Value],"&gt;="&amp;$Z$2,SIP[Date Value],"&lt;="&amp;$Z$3))</f>
        <v>0</v>
      </c>
      <c r="K153" s="49">
        <f>(SUMIFS(LS[Amount],LS[Investor ID],A153,LS[B/S],"B",LS[Date Value],"&gt;="&amp;$Z$2,LS[Date Value],"&lt;="&amp;$Z$3))+(SUMIFS(SIP[Amount],SIP[Investor ID],A153,SIP[B/S],"B",SIP[Date Value],"&gt;="&amp;$Z$2,SIP[Date Value],"&lt;="&amp;$Z$3))</f>
        <v>0</v>
      </c>
      <c r="L153" s="47">
        <f>(-SUMIFS(LS[Unit],LS[Investor ID],A153,LS[B/S],"S",LS[Date Value],"&gt;="&amp;$Z$2,LS[Date Value],"&lt;="&amp;$Z$3))+(-SUMIFS(SIP[Unit],SIP[Investor ID],A153,SIP[B/S],"S",SIP[Date Value],"&gt;="&amp;$Z$2,SIP[Date Value],"&lt;="&amp;$Z$3))</f>
        <v>0</v>
      </c>
      <c r="M153" s="49">
        <f>(SUMIFS(LS[Cost of Units Sold],LS[Investor ID],A153,LS[B/S],"S",LS[Date Value],"&gt;="&amp;$Z$2,LS[Date Value],"&lt;="&amp;$Z$3))+(SUMIFS(SIP[Cost of Units Sold],SIP[Investor ID],A153,SIP[B/S],"S",SIP[Date Value],"&gt;="&amp;$Z$2,SIP[Date Value],"&lt;="&amp;$Z$3))</f>
        <v>0</v>
      </c>
      <c r="N153" s="49">
        <f t="shared" si="14"/>
        <v>0</v>
      </c>
      <c r="O153" s="49">
        <f>(SUMIFS(LS[Realized Gain],LS[Investor ID],A153,LS[Date Value],"&gt;="&amp;$Z$2,LS[Date Value],"&lt;="&amp;$Z$3))+(SUMIFS(SIP[Realized Gain],SIP[Investor ID],A153,SIP[Date Value],"&gt;="&amp;$Z$2,SIP[Date Value],"&lt;="&amp;$Z$3))</f>
        <v>0</v>
      </c>
      <c r="P153" s="49">
        <v>0</v>
      </c>
      <c r="Q153" s="49">
        <v>0</v>
      </c>
      <c r="R153" s="49">
        <v>0</v>
      </c>
    </row>
    <row r="154" spans="1:18">
      <c r="A154" t="s">
        <v>356</v>
      </c>
      <c r="B154" s="47">
        <f>SUMIFS(LS[Unit],LS[Investor ID],'TAX CERTIFICATE'!A154,LS[Date Value],"&lt;"&amp;$Z$2)+SUMIFS(SIP[Unit],SIP[Investor ID],'TAX CERTIFICATE'!A154,SIP[Date Value],"&lt;"&amp;$Z$2)</f>
        <v>0</v>
      </c>
      <c r="C154" s="48">
        <f>(SUMIFS(LS[Amount],LS[B/S],"B",LS[Investor ID],A154,LS[Date Value],"&lt;"&amp;$Z$2)-SUMIFS(LS[Cost of Units Sold],LS[B/S],"S",LS[Investor ID],A154,LS[Date Value],"&lt;"&amp;$Z$2))+(SUMIFS(SIP[Amount],SIP[B/S],"B",SIP[Investor ID],#REF!,SIP[Date Value],"&lt;"&amp;$Z$2)-SUMIFS(SIP[Cost of Units Sold],SIP[B/S],"S",SIP[Investor ID],A154,SIP[Date Value],"&lt;"&amp;$Z$2))</f>
        <v>0</v>
      </c>
      <c r="D154" s="49">
        <f t="shared" si="10"/>
        <v>0</v>
      </c>
      <c r="E154" s="49">
        <f t="shared" si="11"/>
        <v>0</v>
      </c>
      <c r="F154" s="47">
        <f>SUMIFS(LS[Unit],LS[Investor ID],A154,LS[Date Value],"&lt;="&amp;$Z$3)+SUMIFS(SIP[Unit],SIP[Investor ID],A154,SIP[Date Value],"&lt;="&amp;$Z$3)</f>
        <v>0</v>
      </c>
      <c r="G154" s="49">
        <f>(SUMIFS(LS[Amount],LS[B/S],"B",LS[Investor ID],A154,LS[Date Value],"&lt;="&amp;$Z$3)-SUMIFS(LS[Cost of Units Sold],LS[B/S],"S",LS[Investor ID],A154,LS[Date Value],"&lt;="&amp;$Z$3))+(SUMIFS(SIP[Amount],SIP[B/S],"B",SIP[Investor ID],A154,SIP[Date Value],"&lt;="&amp;$Z$3)-SUMIFS(SIP[Cost of Units Sold],SIP[B/S],"S",SIP[Investor ID],A154,SIP[Date Value],"&lt;="&amp;$Z$3))</f>
        <v>0</v>
      </c>
      <c r="H154" s="49">
        <f t="shared" si="12"/>
        <v>0</v>
      </c>
      <c r="I154" s="49">
        <f t="shared" si="13"/>
        <v>0</v>
      </c>
      <c r="J154" s="47">
        <f>(SUMIFS(LS[Unit],LS[Investor ID],A154,LS[B/S],"B",LS[Date Value],"&gt;="&amp;$Z$2,LS[Date Value],"&lt;="&amp;$Z$3))+(SUMIFS(SIP[Unit],SIP[Investor ID],A154,SIP[B/S],"B",SIP[Date Value],"&gt;="&amp;$Z$2,SIP[Date Value],"&lt;="&amp;$Z$3))</f>
        <v>0</v>
      </c>
      <c r="K154" s="49">
        <f>(SUMIFS(LS[Amount],LS[Investor ID],A154,LS[B/S],"B",LS[Date Value],"&gt;="&amp;$Z$2,LS[Date Value],"&lt;="&amp;$Z$3))+(SUMIFS(SIP[Amount],SIP[Investor ID],A154,SIP[B/S],"B",SIP[Date Value],"&gt;="&amp;$Z$2,SIP[Date Value],"&lt;="&amp;$Z$3))</f>
        <v>0</v>
      </c>
      <c r="L154" s="47">
        <f>(-SUMIFS(LS[Unit],LS[Investor ID],A154,LS[B/S],"S",LS[Date Value],"&gt;="&amp;$Z$2,LS[Date Value],"&lt;="&amp;$Z$3))+(-SUMIFS(SIP[Unit],SIP[Investor ID],A154,SIP[B/S],"S",SIP[Date Value],"&gt;="&amp;$Z$2,SIP[Date Value],"&lt;="&amp;$Z$3))</f>
        <v>0</v>
      </c>
      <c r="M154" s="49">
        <f>(SUMIFS(LS[Cost of Units Sold],LS[Investor ID],A154,LS[B/S],"S",LS[Date Value],"&gt;="&amp;$Z$2,LS[Date Value],"&lt;="&amp;$Z$3))+(SUMIFS(SIP[Cost of Units Sold],SIP[Investor ID],A154,SIP[B/S],"S",SIP[Date Value],"&gt;="&amp;$Z$2,SIP[Date Value],"&lt;="&amp;$Z$3))</f>
        <v>0</v>
      </c>
      <c r="N154" s="49">
        <f t="shared" si="14"/>
        <v>0</v>
      </c>
      <c r="O154" s="49">
        <f>(SUMIFS(LS[Realized Gain],LS[Investor ID],A154,LS[Date Value],"&gt;="&amp;$Z$2,LS[Date Value],"&lt;="&amp;$Z$3))+(SUMIFS(SIP[Realized Gain],SIP[Investor ID],A154,SIP[Date Value],"&gt;="&amp;$Z$2,SIP[Date Value],"&lt;="&amp;$Z$3))</f>
        <v>0</v>
      </c>
      <c r="P154" s="49">
        <v>0</v>
      </c>
      <c r="Q154" s="49">
        <v>0</v>
      </c>
      <c r="R154" s="49">
        <v>0</v>
      </c>
    </row>
    <row r="155" spans="1:18">
      <c r="A155" t="s">
        <v>358</v>
      </c>
      <c r="B155" s="47">
        <f>SUMIFS(LS[Unit],LS[Investor ID],'TAX CERTIFICATE'!A155,LS[Date Value],"&lt;"&amp;$Z$2)+SUMIFS(SIP[Unit],SIP[Investor ID],'TAX CERTIFICATE'!A155,SIP[Date Value],"&lt;"&amp;$Z$2)</f>
        <v>0</v>
      </c>
      <c r="C155" s="48">
        <f>(SUMIFS(LS[Amount],LS[B/S],"B",LS[Investor ID],A155,LS[Date Value],"&lt;"&amp;$Z$2)-SUMIFS(LS[Cost of Units Sold],LS[B/S],"S",LS[Investor ID],A155,LS[Date Value],"&lt;"&amp;$Z$2))+(SUMIFS(SIP[Amount],SIP[B/S],"B",SIP[Investor ID],#REF!,SIP[Date Value],"&lt;"&amp;$Z$2)-SUMIFS(SIP[Cost of Units Sold],SIP[B/S],"S",SIP[Investor ID],A155,SIP[Date Value],"&lt;"&amp;$Z$2))</f>
        <v>0</v>
      </c>
      <c r="D155" s="49">
        <f t="shared" si="10"/>
        <v>0</v>
      </c>
      <c r="E155" s="49">
        <f t="shared" si="11"/>
        <v>0</v>
      </c>
      <c r="F155" s="47">
        <f>SUMIFS(LS[Unit],LS[Investor ID],A155,LS[Date Value],"&lt;="&amp;$Z$3)+SUMIFS(SIP[Unit],SIP[Investor ID],A155,SIP[Date Value],"&lt;="&amp;$Z$3)</f>
        <v>0</v>
      </c>
      <c r="G155" s="49">
        <f>(SUMIFS(LS[Amount],LS[B/S],"B",LS[Investor ID],A155,LS[Date Value],"&lt;="&amp;$Z$3)-SUMIFS(LS[Cost of Units Sold],LS[B/S],"S",LS[Investor ID],A155,LS[Date Value],"&lt;="&amp;$Z$3))+(SUMIFS(SIP[Amount],SIP[B/S],"B",SIP[Investor ID],A155,SIP[Date Value],"&lt;="&amp;$Z$3)-SUMIFS(SIP[Cost of Units Sold],SIP[B/S],"S",SIP[Investor ID],A155,SIP[Date Value],"&lt;="&amp;$Z$3))</f>
        <v>0</v>
      </c>
      <c r="H155" s="49">
        <f t="shared" si="12"/>
        <v>0</v>
      </c>
      <c r="I155" s="49">
        <f t="shared" si="13"/>
        <v>0</v>
      </c>
      <c r="J155" s="47">
        <f>(SUMIFS(LS[Unit],LS[Investor ID],A155,LS[B/S],"B",LS[Date Value],"&gt;="&amp;$Z$2,LS[Date Value],"&lt;="&amp;$Z$3))+(SUMIFS(SIP[Unit],SIP[Investor ID],A155,SIP[B/S],"B",SIP[Date Value],"&gt;="&amp;$Z$2,SIP[Date Value],"&lt;="&amp;$Z$3))</f>
        <v>0</v>
      </c>
      <c r="K155" s="49">
        <f>(SUMIFS(LS[Amount],LS[Investor ID],A155,LS[B/S],"B",LS[Date Value],"&gt;="&amp;$Z$2,LS[Date Value],"&lt;="&amp;$Z$3))+(SUMIFS(SIP[Amount],SIP[Investor ID],A155,SIP[B/S],"B",SIP[Date Value],"&gt;="&amp;$Z$2,SIP[Date Value],"&lt;="&amp;$Z$3))</f>
        <v>0</v>
      </c>
      <c r="L155" s="47">
        <f>(-SUMIFS(LS[Unit],LS[Investor ID],A155,LS[B/S],"S",LS[Date Value],"&gt;="&amp;$Z$2,LS[Date Value],"&lt;="&amp;$Z$3))+(-SUMIFS(SIP[Unit],SIP[Investor ID],A155,SIP[B/S],"S",SIP[Date Value],"&gt;="&amp;$Z$2,SIP[Date Value],"&lt;="&amp;$Z$3))</f>
        <v>0</v>
      </c>
      <c r="M155" s="49">
        <f>(SUMIFS(LS[Cost of Units Sold],LS[Investor ID],A155,LS[B/S],"S",LS[Date Value],"&gt;="&amp;$Z$2,LS[Date Value],"&lt;="&amp;$Z$3))+(SUMIFS(SIP[Cost of Units Sold],SIP[Investor ID],A155,SIP[B/S],"S",SIP[Date Value],"&gt;="&amp;$Z$2,SIP[Date Value],"&lt;="&amp;$Z$3))</f>
        <v>0</v>
      </c>
      <c r="N155" s="49">
        <f t="shared" si="14"/>
        <v>0</v>
      </c>
      <c r="O155" s="49">
        <f>(SUMIFS(LS[Realized Gain],LS[Investor ID],A155,LS[Date Value],"&gt;="&amp;$Z$2,LS[Date Value],"&lt;="&amp;$Z$3))+(SUMIFS(SIP[Realized Gain],SIP[Investor ID],A155,SIP[Date Value],"&gt;="&amp;$Z$2,SIP[Date Value],"&lt;="&amp;$Z$3))</f>
        <v>0</v>
      </c>
      <c r="P155" s="49">
        <v>0</v>
      </c>
      <c r="Q155" s="49">
        <v>0</v>
      </c>
      <c r="R155" s="49">
        <v>0</v>
      </c>
    </row>
    <row r="156" spans="1:18">
      <c r="A156" t="s">
        <v>360</v>
      </c>
      <c r="B156" s="47">
        <f>SUMIFS(LS[Unit],LS[Investor ID],'TAX CERTIFICATE'!A156,LS[Date Value],"&lt;"&amp;$Z$2)+SUMIFS(SIP[Unit],SIP[Investor ID],'TAX CERTIFICATE'!A156,SIP[Date Value],"&lt;"&amp;$Z$2)</f>
        <v>0</v>
      </c>
      <c r="C156" s="48">
        <f>(SUMIFS(LS[Amount],LS[B/S],"B",LS[Investor ID],A156,LS[Date Value],"&lt;"&amp;$Z$2)-SUMIFS(LS[Cost of Units Sold],LS[B/S],"S",LS[Investor ID],A156,LS[Date Value],"&lt;"&amp;$Z$2))+(SUMIFS(SIP[Amount],SIP[B/S],"B",SIP[Investor ID],#REF!,SIP[Date Value],"&lt;"&amp;$Z$2)-SUMIFS(SIP[Cost of Units Sold],SIP[B/S],"S",SIP[Investor ID],A156,SIP[Date Value],"&lt;"&amp;$Z$2))</f>
        <v>0</v>
      </c>
      <c r="D156" s="49">
        <f t="shared" si="10"/>
        <v>0</v>
      </c>
      <c r="E156" s="49">
        <f t="shared" si="11"/>
        <v>0</v>
      </c>
      <c r="F156" s="47">
        <f>SUMIFS(LS[Unit],LS[Investor ID],A156,LS[Date Value],"&lt;="&amp;$Z$3)+SUMIFS(SIP[Unit],SIP[Investor ID],A156,SIP[Date Value],"&lt;="&amp;$Z$3)</f>
        <v>0</v>
      </c>
      <c r="G156" s="49">
        <f>(SUMIFS(LS[Amount],LS[B/S],"B",LS[Investor ID],A156,LS[Date Value],"&lt;="&amp;$Z$3)-SUMIFS(LS[Cost of Units Sold],LS[B/S],"S",LS[Investor ID],A156,LS[Date Value],"&lt;="&amp;$Z$3))+(SUMIFS(SIP[Amount],SIP[B/S],"B",SIP[Investor ID],A156,SIP[Date Value],"&lt;="&amp;$Z$3)-SUMIFS(SIP[Cost of Units Sold],SIP[B/S],"S",SIP[Investor ID],A156,SIP[Date Value],"&lt;="&amp;$Z$3))</f>
        <v>0</v>
      </c>
      <c r="H156" s="49">
        <f t="shared" si="12"/>
        <v>0</v>
      </c>
      <c r="I156" s="49">
        <f t="shared" si="13"/>
        <v>0</v>
      </c>
      <c r="J156" s="47">
        <f>(SUMIFS(LS[Unit],LS[Investor ID],A156,LS[B/S],"B",LS[Date Value],"&gt;="&amp;$Z$2,LS[Date Value],"&lt;="&amp;$Z$3))+(SUMIFS(SIP[Unit],SIP[Investor ID],A156,SIP[B/S],"B",SIP[Date Value],"&gt;="&amp;$Z$2,SIP[Date Value],"&lt;="&amp;$Z$3))</f>
        <v>0</v>
      </c>
      <c r="K156" s="49">
        <f>(SUMIFS(LS[Amount],LS[Investor ID],A156,LS[B/S],"B",LS[Date Value],"&gt;="&amp;$Z$2,LS[Date Value],"&lt;="&amp;$Z$3))+(SUMIFS(SIP[Amount],SIP[Investor ID],A156,SIP[B/S],"B",SIP[Date Value],"&gt;="&amp;$Z$2,SIP[Date Value],"&lt;="&amp;$Z$3))</f>
        <v>0</v>
      </c>
      <c r="L156" s="47">
        <f>(-SUMIFS(LS[Unit],LS[Investor ID],A156,LS[B/S],"S",LS[Date Value],"&gt;="&amp;$Z$2,LS[Date Value],"&lt;="&amp;$Z$3))+(-SUMIFS(SIP[Unit],SIP[Investor ID],A156,SIP[B/S],"S",SIP[Date Value],"&gt;="&amp;$Z$2,SIP[Date Value],"&lt;="&amp;$Z$3))</f>
        <v>0</v>
      </c>
      <c r="M156" s="49">
        <f>(SUMIFS(LS[Cost of Units Sold],LS[Investor ID],A156,LS[B/S],"S",LS[Date Value],"&gt;="&amp;$Z$2,LS[Date Value],"&lt;="&amp;$Z$3))+(SUMIFS(SIP[Cost of Units Sold],SIP[Investor ID],A156,SIP[B/S],"S",SIP[Date Value],"&gt;="&amp;$Z$2,SIP[Date Value],"&lt;="&amp;$Z$3))</f>
        <v>0</v>
      </c>
      <c r="N156" s="49">
        <f t="shared" si="14"/>
        <v>0</v>
      </c>
      <c r="O156" s="49">
        <f>(SUMIFS(LS[Realized Gain],LS[Investor ID],A156,LS[Date Value],"&gt;="&amp;$Z$2,LS[Date Value],"&lt;="&amp;$Z$3))+(SUMIFS(SIP[Realized Gain],SIP[Investor ID],A156,SIP[Date Value],"&gt;="&amp;$Z$2,SIP[Date Value],"&lt;="&amp;$Z$3))</f>
        <v>0</v>
      </c>
      <c r="P156" s="49">
        <v>0</v>
      </c>
      <c r="Q156" s="49">
        <v>0</v>
      </c>
      <c r="R156" s="49">
        <v>0</v>
      </c>
    </row>
    <row r="157" spans="1:18">
      <c r="A157" t="s">
        <v>362</v>
      </c>
      <c r="B157" s="47">
        <f>SUMIFS(LS[Unit],LS[Investor ID],'TAX CERTIFICATE'!A157,LS[Date Value],"&lt;"&amp;$Z$2)+SUMIFS(SIP[Unit],SIP[Investor ID],'TAX CERTIFICATE'!A157,SIP[Date Value],"&lt;"&amp;$Z$2)</f>
        <v>0</v>
      </c>
      <c r="C157" s="48">
        <f>(SUMIFS(LS[Amount],LS[B/S],"B",LS[Investor ID],A157,LS[Date Value],"&lt;"&amp;$Z$2)-SUMIFS(LS[Cost of Units Sold],LS[B/S],"S",LS[Investor ID],A157,LS[Date Value],"&lt;"&amp;$Z$2))+(SUMIFS(SIP[Amount],SIP[B/S],"B",SIP[Investor ID],#REF!,SIP[Date Value],"&lt;"&amp;$Z$2)-SUMIFS(SIP[Cost of Units Sold],SIP[B/S],"S",SIP[Investor ID],A157,SIP[Date Value],"&lt;"&amp;$Z$2))</f>
        <v>0</v>
      </c>
      <c r="D157" s="49">
        <f t="shared" si="10"/>
        <v>0</v>
      </c>
      <c r="E157" s="49">
        <f t="shared" si="11"/>
        <v>0</v>
      </c>
      <c r="F157" s="47">
        <f>SUMIFS(LS[Unit],LS[Investor ID],A157,LS[Date Value],"&lt;="&amp;$Z$3)+SUMIFS(SIP[Unit],SIP[Investor ID],A157,SIP[Date Value],"&lt;="&amp;$Z$3)</f>
        <v>0</v>
      </c>
      <c r="G157" s="49">
        <f>(SUMIFS(LS[Amount],LS[B/S],"B",LS[Investor ID],A157,LS[Date Value],"&lt;="&amp;$Z$3)-SUMIFS(LS[Cost of Units Sold],LS[B/S],"S",LS[Investor ID],A157,LS[Date Value],"&lt;="&amp;$Z$3))+(SUMIFS(SIP[Amount],SIP[B/S],"B",SIP[Investor ID],A157,SIP[Date Value],"&lt;="&amp;$Z$3)-SUMIFS(SIP[Cost of Units Sold],SIP[B/S],"S",SIP[Investor ID],A157,SIP[Date Value],"&lt;="&amp;$Z$3))</f>
        <v>0</v>
      </c>
      <c r="H157" s="49">
        <f t="shared" si="12"/>
        <v>0</v>
      </c>
      <c r="I157" s="49">
        <f t="shared" si="13"/>
        <v>0</v>
      </c>
      <c r="J157" s="47">
        <f>(SUMIFS(LS[Unit],LS[Investor ID],A157,LS[B/S],"B",LS[Date Value],"&gt;="&amp;$Z$2,LS[Date Value],"&lt;="&amp;$Z$3))+(SUMIFS(SIP[Unit],SIP[Investor ID],A157,SIP[B/S],"B",SIP[Date Value],"&gt;="&amp;$Z$2,SIP[Date Value],"&lt;="&amp;$Z$3))</f>
        <v>0</v>
      </c>
      <c r="K157" s="49">
        <f>(SUMIFS(LS[Amount],LS[Investor ID],A157,LS[B/S],"B",LS[Date Value],"&gt;="&amp;$Z$2,LS[Date Value],"&lt;="&amp;$Z$3))+(SUMIFS(SIP[Amount],SIP[Investor ID],A157,SIP[B/S],"B",SIP[Date Value],"&gt;="&amp;$Z$2,SIP[Date Value],"&lt;="&amp;$Z$3))</f>
        <v>0</v>
      </c>
      <c r="L157" s="47">
        <f>(-SUMIFS(LS[Unit],LS[Investor ID],A157,LS[B/S],"S",LS[Date Value],"&gt;="&amp;$Z$2,LS[Date Value],"&lt;="&amp;$Z$3))+(-SUMIFS(SIP[Unit],SIP[Investor ID],A157,SIP[B/S],"S",SIP[Date Value],"&gt;="&amp;$Z$2,SIP[Date Value],"&lt;="&amp;$Z$3))</f>
        <v>0</v>
      </c>
      <c r="M157" s="49">
        <f>(SUMIFS(LS[Cost of Units Sold],LS[Investor ID],A157,LS[B/S],"S",LS[Date Value],"&gt;="&amp;$Z$2,LS[Date Value],"&lt;="&amp;$Z$3))+(SUMIFS(SIP[Cost of Units Sold],SIP[Investor ID],A157,SIP[B/S],"S",SIP[Date Value],"&gt;="&amp;$Z$2,SIP[Date Value],"&lt;="&amp;$Z$3))</f>
        <v>0</v>
      </c>
      <c r="N157" s="49">
        <f t="shared" si="14"/>
        <v>0</v>
      </c>
      <c r="O157" s="49">
        <f>(SUMIFS(LS[Realized Gain],LS[Investor ID],A157,LS[Date Value],"&gt;="&amp;$Z$2,LS[Date Value],"&lt;="&amp;$Z$3))+(SUMIFS(SIP[Realized Gain],SIP[Investor ID],A157,SIP[Date Value],"&gt;="&amp;$Z$2,SIP[Date Value],"&lt;="&amp;$Z$3))</f>
        <v>0</v>
      </c>
      <c r="P157" s="49">
        <v>0</v>
      </c>
      <c r="Q157" s="49">
        <v>0</v>
      </c>
      <c r="R157" s="49">
        <v>0</v>
      </c>
    </row>
    <row r="158" spans="1:18">
      <c r="A158" t="s">
        <v>364</v>
      </c>
      <c r="B158" s="47">
        <f>SUMIFS(LS[Unit],LS[Investor ID],'TAX CERTIFICATE'!A158,LS[Date Value],"&lt;"&amp;$Z$2)+SUMIFS(SIP[Unit],SIP[Investor ID],'TAX CERTIFICATE'!A158,SIP[Date Value],"&lt;"&amp;$Z$2)</f>
        <v>59811</v>
      </c>
      <c r="C158" s="48">
        <f>(SUMIFS(LS[Amount],LS[B/S],"B",LS[Investor ID],A158,LS[Date Value],"&lt;"&amp;$Z$2)-SUMIFS(LS[Cost of Units Sold],LS[B/S],"S",LS[Investor ID],A158,LS[Date Value],"&lt;"&amp;$Z$2))+(SUMIFS(SIP[Amount],SIP[B/S],"B",SIP[Investor ID],#REF!,SIP[Date Value],"&lt;"&amp;$Z$2)-SUMIFS(SIP[Cost of Units Sold],SIP[B/S],"S",SIP[Investor ID],A158,SIP[Date Value],"&lt;"&amp;$Z$2))</f>
        <v>600000</v>
      </c>
      <c r="D158" s="49">
        <f t="shared" si="10"/>
        <v>614318.78100000008</v>
      </c>
      <c r="E158" s="49">
        <f t="shared" si="11"/>
        <v>14318.781000000075</v>
      </c>
      <c r="F158" s="47">
        <f>SUMIFS(LS[Unit],LS[Investor ID],A158,LS[Date Value],"&lt;="&amp;$Z$3)+SUMIFS(SIP[Unit],SIP[Investor ID],A158,SIP[Date Value],"&lt;="&amp;$Z$3)</f>
        <v>158852</v>
      </c>
      <c r="G158" s="49">
        <f>(SUMIFS(LS[Amount],LS[B/S],"B",LS[Investor ID],A158,LS[Date Value],"&lt;="&amp;$Z$3)-SUMIFS(LS[Cost of Units Sold],LS[B/S],"S",LS[Investor ID],A158,LS[Date Value],"&lt;="&amp;$Z$3))+(SUMIFS(SIP[Amount],SIP[B/S],"B",SIP[Investor ID],A158,SIP[Date Value],"&lt;="&amp;$Z$3)-SUMIFS(SIP[Cost of Units Sold],SIP[B/S],"S",SIP[Investor ID],A158,SIP[Date Value],"&lt;="&amp;$Z$3))</f>
        <v>1700000</v>
      </c>
      <c r="H158" s="49">
        <f t="shared" si="12"/>
        <v>1773423.7279999999</v>
      </c>
      <c r="I158" s="49">
        <f t="shared" si="13"/>
        <v>73423.727999999886</v>
      </c>
      <c r="J158" s="47">
        <f>(SUMIFS(LS[Unit],LS[Investor ID],A158,LS[B/S],"B",LS[Date Value],"&gt;="&amp;$Z$2,LS[Date Value],"&lt;="&amp;$Z$3))+(SUMIFS(SIP[Unit],SIP[Investor ID],A158,SIP[B/S],"B",SIP[Date Value],"&gt;="&amp;$Z$2,SIP[Date Value],"&lt;="&amp;$Z$3))</f>
        <v>158852</v>
      </c>
      <c r="K158" s="49">
        <f>(SUMIFS(LS[Amount],LS[Investor ID],A158,LS[B/S],"B",LS[Date Value],"&gt;="&amp;$Z$2,LS[Date Value],"&lt;="&amp;$Z$3))+(SUMIFS(SIP[Amount],SIP[Investor ID],A158,SIP[B/S],"B",SIP[Date Value],"&gt;="&amp;$Z$2,SIP[Date Value],"&lt;="&amp;$Z$3))</f>
        <v>1700000</v>
      </c>
      <c r="L158" s="47">
        <f>(-SUMIFS(LS[Unit],LS[Investor ID],A158,LS[B/S],"S",LS[Date Value],"&gt;="&amp;$Z$2,LS[Date Value],"&lt;="&amp;$Z$3))+(-SUMIFS(SIP[Unit],SIP[Investor ID],A158,SIP[B/S],"S",SIP[Date Value],"&gt;="&amp;$Z$2,SIP[Date Value],"&lt;="&amp;$Z$3))</f>
        <v>59811</v>
      </c>
      <c r="M158" s="49">
        <f>(SUMIFS(LS[Cost of Units Sold],LS[Investor ID],A158,LS[B/S],"S",LS[Date Value],"&gt;="&amp;$Z$2,LS[Date Value],"&lt;="&amp;$Z$3))+(SUMIFS(SIP[Cost of Units Sold],SIP[Investor ID],A158,SIP[B/S],"S",SIP[Date Value],"&gt;="&amp;$Z$2,SIP[Date Value],"&lt;="&amp;$Z$3))</f>
        <v>599999.99999999988</v>
      </c>
      <c r="N158" s="49">
        <f t="shared" si="14"/>
        <v>1100000</v>
      </c>
      <c r="O158" s="49">
        <f>(SUMIFS(LS[Realized Gain],LS[Investor ID],A158,LS[Date Value],"&gt;="&amp;$Z$2,LS[Date Value],"&lt;="&amp;$Z$3))+(SUMIFS(SIP[Realized Gain],SIP[Investor ID],A158,SIP[Date Value],"&gt;="&amp;$Z$2,SIP[Date Value],"&lt;="&amp;$Z$3))</f>
        <v>29331.340000000095</v>
      </c>
      <c r="P158" s="49">
        <v>0</v>
      </c>
      <c r="Q158" s="49">
        <v>0</v>
      </c>
      <c r="R158" s="49">
        <v>0</v>
      </c>
    </row>
    <row r="159" spans="1:18">
      <c r="A159" t="s">
        <v>366</v>
      </c>
      <c r="B159" s="47">
        <f>SUMIFS(LS[Unit],LS[Investor ID],'TAX CERTIFICATE'!A159,LS[Date Value],"&lt;"&amp;$Z$2)+SUMIFS(SIP[Unit],SIP[Investor ID],'TAX CERTIFICATE'!A159,SIP[Date Value],"&lt;"&amp;$Z$2)</f>
        <v>0</v>
      </c>
      <c r="C159" s="48">
        <f>(SUMIFS(LS[Amount],LS[B/S],"B",LS[Investor ID],A159,LS[Date Value],"&lt;"&amp;$Z$2)-SUMIFS(LS[Cost of Units Sold],LS[B/S],"S",LS[Investor ID],A159,LS[Date Value],"&lt;"&amp;$Z$2))+(SUMIFS(SIP[Amount],SIP[B/S],"B",SIP[Investor ID],#REF!,SIP[Date Value],"&lt;"&amp;$Z$2)-SUMIFS(SIP[Cost of Units Sold],SIP[B/S],"S",SIP[Investor ID],A159,SIP[Date Value],"&lt;"&amp;$Z$2))</f>
        <v>0</v>
      </c>
      <c r="D159" s="49">
        <f t="shared" si="10"/>
        <v>0</v>
      </c>
      <c r="E159" s="49">
        <f t="shared" si="11"/>
        <v>0</v>
      </c>
      <c r="F159" s="47">
        <f>SUMIFS(LS[Unit],LS[Investor ID],A159,LS[Date Value],"&lt;="&amp;$Z$3)+SUMIFS(SIP[Unit],SIP[Investor ID],A159,SIP[Date Value],"&lt;="&amp;$Z$3)</f>
        <v>0</v>
      </c>
      <c r="G159" s="49">
        <f>(SUMIFS(LS[Amount],LS[B/S],"B",LS[Investor ID],A159,LS[Date Value],"&lt;="&amp;$Z$3)-SUMIFS(LS[Cost of Units Sold],LS[B/S],"S",LS[Investor ID],A159,LS[Date Value],"&lt;="&amp;$Z$3))+(SUMIFS(SIP[Amount],SIP[B/S],"B",SIP[Investor ID],A159,SIP[Date Value],"&lt;="&amp;$Z$3)-SUMIFS(SIP[Cost of Units Sold],SIP[B/S],"S",SIP[Investor ID],A159,SIP[Date Value],"&lt;="&amp;$Z$3))</f>
        <v>0</v>
      </c>
      <c r="H159" s="49">
        <f t="shared" si="12"/>
        <v>0</v>
      </c>
      <c r="I159" s="49">
        <f t="shared" si="13"/>
        <v>0</v>
      </c>
      <c r="J159" s="47">
        <f>(SUMIFS(LS[Unit],LS[Investor ID],A159,LS[B/S],"B",LS[Date Value],"&gt;="&amp;$Z$2,LS[Date Value],"&lt;="&amp;$Z$3))+(SUMIFS(SIP[Unit],SIP[Investor ID],A159,SIP[B/S],"B",SIP[Date Value],"&gt;="&amp;$Z$2,SIP[Date Value],"&lt;="&amp;$Z$3))</f>
        <v>0</v>
      </c>
      <c r="K159" s="49">
        <f>(SUMIFS(LS[Amount],LS[Investor ID],A159,LS[B/S],"B",LS[Date Value],"&gt;="&amp;$Z$2,LS[Date Value],"&lt;="&amp;$Z$3))+(SUMIFS(SIP[Amount],SIP[Investor ID],A159,SIP[B/S],"B",SIP[Date Value],"&gt;="&amp;$Z$2,SIP[Date Value],"&lt;="&amp;$Z$3))</f>
        <v>0</v>
      </c>
      <c r="L159" s="47">
        <f>(-SUMIFS(LS[Unit],LS[Investor ID],A159,LS[B/S],"S",LS[Date Value],"&gt;="&amp;$Z$2,LS[Date Value],"&lt;="&amp;$Z$3))+(-SUMIFS(SIP[Unit],SIP[Investor ID],A159,SIP[B/S],"S",SIP[Date Value],"&gt;="&amp;$Z$2,SIP[Date Value],"&lt;="&amp;$Z$3))</f>
        <v>0</v>
      </c>
      <c r="M159" s="49">
        <f>(SUMIFS(LS[Cost of Units Sold],LS[Investor ID],A159,LS[B/S],"S",LS[Date Value],"&gt;="&amp;$Z$2,LS[Date Value],"&lt;="&amp;$Z$3))+(SUMIFS(SIP[Cost of Units Sold],SIP[Investor ID],A159,SIP[B/S],"S",SIP[Date Value],"&gt;="&amp;$Z$2,SIP[Date Value],"&lt;="&amp;$Z$3))</f>
        <v>0</v>
      </c>
      <c r="N159" s="49">
        <f t="shared" si="14"/>
        <v>0</v>
      </c>
      <c r="O159" s="49">
        <f>(SUMIFS(LS[Realized Gain],LS[Investor ID],A159,LS[Date Value],"&gt;="&amp;$Z$2,LS[Date Value],"&lt;="&amp;$Z$3))+(SUMIFS(SIP[Realized Gain],SIP[Investor ID],A159,SIP[Date Value],"&gt;="&amp;$Z$2,SIP[Date Value],"&lt;="&amp;$Z$3))</f>
        <v>0</v>
      </c>
      <c r="P159" s="49">
        <v>0</v>
      </c>
      <c r="Q159" s="49">
        <v>0</v>
      </c>
      <c r="R159" s="49">
        <v>0</v>
      </c>
    </row>
    <row r="160" spans="1:18">
      <c r="A160" t="s">
        <v>368</v>
      </c>
      <c r="B160" s="47">
        <f>SUMIFS(LS[Unit],LS[Investor ID],'TAX CERTIFICATE'!A160,LS[Date Value],"&lt;"&amp;$Z$2)+SUMIFS(SIP[Unit],SIP[Investor ID],'TAX CERTIFICATE'!A160,SIP[Date Value],"&lt;"&amp;$Z$2)</f>
        <v>11243</v>
      </c>
      <c r="C160" s="48">
        <f>(SUMIFS(LS[Amount],LS[B/S],"B",LS[Investor ID],A160,LS[Date Value],"&lt;"&amp;$Z$2)-SUMIFS(LS[Cost of Units Sold],LS[B/S],"S",LS[Investor ID],A160,LS[Date Value],"&lt;"&amp;$Z$2))+(SUMIFS(SIP[Amount],SIP[B/S],"B",SIP[Investor ID],#REF!,SIP[Date Value],"&lt;"&amp;$Z$2)-SUMIFS(SIP[Cost of Units Sold],SIP[B/S],"S",SIP[Investor ID],A160,SIP[Date Value],"&lt;"&amp;$Z$2))</f>
        <v>100000</v>
      </c>
      <c r="D160" s="49">
        <f t="shared" si="10"/>
        <v>115476.853</v>
      </c>
      <c r="E160" s="49">
        <f t="shared" si="11"/>
        <v>15476.853000000003</v>
      </c>
      <c r="F160" s="47">
        <f>SUMIFS(LS[Unit],LS[Investor ID],A160,LS[Date Value],"&lt;="&amp;$Z$3)+SUMIFS(SIP[Unit],SIP[Investor ID],A160,SIP[Date Value],"&lt;="&amp;$Z$3)</f>
        <v>58401</v>
      </c>
      <c r="G160" s="49">
        <f>(SUMIFS(LS[Amount],LS[B/S],"B",LS[Investor ID],A160,LS[Date Value],"&lt;="&amp;$Z$3)-SUMIFS(LS[Cost of Units Sold],LS[B/S],"S",LS[Investor ID],A160,LS[Date Value],"&lt;="&amp;$Z$3))+(SUMIFS(SIP[Amount],SIP[B/S],"B",SIP[Investor ID],A160,SIP[Date Value],"&lt;="&amp;$Z$3)-SUMIFS(SIP[Cost of Units Sold],SIP[B/S],"S",SIP[Investor ID],A160,SIP[Date Value],"&lt;="&amp;$Z$3))</f>
        <v>615000</v>
      </c>
      <c r="H160" s="49">
        <f t="shared" si="12"/>
        <v>651988.76399999997</v>
      </c>
      <c r="I160" s="49">
        <f t="shared" si="13"/>
        <v>36988.763999999966</v>
      </c>
      <c r="J160" s="47">
        <f>(SUMIFS(LS[Unit],LS[Investor ID],A160,LS[B/S],"B",LS[Date Value],"&gt;="&amp;$Z$2,LS[Date Value],"&lt;="&amp;$Z$3))+(SUMIFS(SIP[Unit],SIP[Investor ID],A160,SIP[B/S],"B",SIP[Date Value],"&gt;="&amp;$Z$2,SIP[Date Value],"&lt;="&amp;$Z$3))</f>
        <v>47158</v>
      </c>
      <c r="K160" s="49">
        <f>(SUMIFS(LS[Amount],LS[Investor ID],A160,LS[B/S],"B",LS[Date Value],"&gt;="&amp;$Z$2,LS[Date Value],"&lt;="&amp;$Z$3))+(SUMIFS(SIP[Amount],SIP[Investor ID],A160,SIP[B/S],"B",SIP[Date Value],"&gt;="&amp;$Z$2,SIP[Date Value],"&lt;="&amp;$Z$3))</f>
        <v>500000</v>
      </c>
      <c r="L160" s="47">
        <f>(-SUMIFS(LS[Unit],LS[Investor ID],A160,LS[B/S],"S",LS[Date Value],"&gt;="&amp;$Z$2,LS[Date Value],"&lt;="&amp;$Z$3))+(-SUMIFS(SIP[Unit],SIP[Investor ID],A160,SIP[B/S],"S",SIP[Date Value],"&gt;="&amp;$Z$2,SIP[Date Value],"&lt;="&amp;$Z$3))</f>
        <v>0</v>
      </c>
      <c r="M160" s="49">
        <f>(SUMIFS(LS[Cost of Units Sold],LS[Investor ID],A160,LS[B/S],"S",LS[Date Value],"&gt;="&amp;$Z$2,LS[Date Value],"&lt;="&amp;$Z$3))+(SUMIFS(SIP[Cost of Units Sold],SIP[Investor ID],A160,SIP[B/S],"S",SIP[Date Value],"&gt;="&amp;$Z$2,SIP[Date Value],"&lt;="&amp;$Z$3))</f>
        <v>0</v>
      </c>
      <c r="N160" s="49">
        <f t="shared" si="14"/>
        <v>500000</v>
      </c>
      <c r="O160" s="49">
        <f>(SUMIFS(LS[Realized Gain],LS[Investor ID],A160,LS[Date Value],"&gt;="&amp;$Z$2,LS[Date Value],"&lt;="&amp;$Z$3))+(SUMIFS(SIP[Realized Gain],SIP[Investor ID],A160,SIP[Date Value],"&gt;="&amp;$Z$2,SIP[Date Value],"&lt;="&amp;$Z$3))</f>
        <v>0</v>
      </c>
      <c r="P160" s="49">
        <v>0</v>
      </c>
      <c r="Q160" s="49">
        <v>0</v>
      </c>
      <c r="R160" s="49">
        <v>0</v>
      </c>
    </row>
    <row r="161" spans="1:18">
      <c r="A161" t="s">
        <v>370</v>
      </c>
      <c r="B161" s="47">
        <f>SUMIFS(LS[Unit],LS[Investor ID],'TAX CERTIFICATE'!A161,LS[Date Value],"&lt;"&amp;$Z$2)+SUMIFS(SIP[Unit],SIP[Investor ID],'TAX CERTIFICATE'!A161,SIP[Date Value],"&lt;"&amp;$Z$2)</f>
        <v>13680</v>
      </c>
      <c r="C161" s="48">
        <f>(SUMIFS(LS[Amount],LS[B/S],"B",LS[Investor ID],A161,LS[Date Value],"&lt;"&amp;$Z$2)-SUMIFS(LS[Cost of Units Sold],LS[B/S],"S",LS[Investor ID],A161,LS[Date Value],"&lt;"&amp;$Z$2))+(SUMIFS(SIP[Amount],SIP[B/S],"B",SIP[Investor ID],#REF!,SIP[Date Value],"&lt;"&amp;$Z$2)-SUMIFS(SIP[Cost of Units Sold],SIP[B/S],"S",SIP[Investor ID],A161,SIP[Date Value],"&lt;"&amp;$Z$2))</f>
        <v>140000</v>
      </c>
      <c r="D161" s="49">
        <f t="shared" si="10"/>
        <v>140507.28</v>
      </c>
      <c r="E161" s="49">
        <f t="shared" si="11"/>
        <v>507.27999999999884</v>
      </c>
      <c r="F161" s="47">
        <f>SUMIFS(LS[Unit],LS[Investor ID],A161,LS[Date Value],"&lt;="&amp;$Z$3)+SUMIFS(SIP[Unit],SIP[Investor ID],A161,SIP[Date Value],"&lt;="&amp;$Z$3)</f>
        <v>0</v>
      </c>
      <c r="G161" s="49">
        <f>(SUMIFS(LS[Amount],LS[B/S],"B",LS[Investor ID],A161,LS[Date Value],"&lt;="&amp;$Z$3)-SUMIFS(LS[Cost of Units Sold],LS[B/S],"S",LS[Investor ID],A161,LS[Date Value],"&lt;="&amp;$Z$3))+(SUMIFS(SIP[Amount],SIP[B/S],"B",SIP[Investor ID],A161,SIP[Date Value],"&lt;="&amp;$Z$3)-SUMIFS(SIP[Cost of Units Sold],SIP[B/S],"S",SIP[Investor ID],A161,SIP[Date Value],"&lt;="&amp;$Z$3))</f>
        <v>0</v>
      </c>
      <c r="H161" s="49">
        <f t="shared" si="12"/>
        <v>0</v>
      </c>
      <c r="I161" s="49">
        <f t="shared" si="13"/>
        <v>0</v>
      </c>
      <c r="J161" s="47">
        <f>(SUMIFS(LS[Unit],LS[Investor ID],A161,LS[B/S],"B",LS[Date Value],"&gt;="&amp;$Z$2,LS[Date Value],"&lt;="&amp;$Z$3))+(SUMIFS(SIP[Unit],SIP[Investor ID],A161,SIP[B/S],"B",SIP[Date Value],"&gt;="&amp;$Z$2,SIP[Date Value],"&lt;="&amp;$Z$3))</f>
        <v>0</v>
      </c>
      <c r="K161" s="49">
        <f>(SUMIFS(LS[Amount],LS[Investor ID],A161,LS[B/S],"B",LS[Date Value],"&gt;="&amp;$Z$2,LS[Date Value],"&lt;="&amp;$Z$3))+(SUMIFS(SIP[Amount],SIP[Investor ID],A161,SIP[B/S],"B",SIP[Date Value],"&gt;="&amp;$Z$2,SIP[Date Value],"&lt;="&amp;$Z$3))</f>
        <v>0</v>
      </c>
      <c r="L161" s="47">
        <f>(-SUMIFS(LS[Unit],LS[Investor ID],A161,LS[B/S],"S",LS[Date Value],"&gt;="&amp;$Z$2,LS[Date Value],"&lt;="&amp;$Z$3))+(-SUMIFS(SIP[Unit],SIP[Investor ID],A161,SIP[B/S],"S",SIP[Date Value],"&gt;="&amp;$Z$2,SIP[Date Value],"&lt;="&amp;$Z$3))</f>
        <v>13680</v>
      </c>
      <c r="M161" s="49">
        <f>(SUMIFS(LS[Cost of Units Sold],LS[Investor ID],A161,LS[B/S],"S",LS[Date Value],"&gt;="&amp;$Z$2,LS[Date Value],"&lt;="&amp;$Z$3))+(SUMIFS(SIP[Cost of Units Sold],SIP[Investor ID],A161,SIP[B/S],"S",SIP[Date Value],"&gt;="&amp;$Z$2,SIP[Date Value],"&lt;="&amp;$Z$3))</f>
        <v>140000</v>
      </c>
      <c r="N161" s="49">
        <f t="shared" si="14"/>
        <v>-140000</v>
      </c>
      <c r="O161" s="49">
        <f>(SUMIFS(LS[Realized Gain],LS[Investor ID],A161,LS[Date Value],"&gt;="&amp;$Z$2,LS[Date Value],"&lt;="&amp;$Z$3))+(SUMIFS(SIP[Realized Gain],SIP[Investor ID],A161,SIP[Date Value],"&gt;="&amp;$Z$2,SIP[Date Value],"&lt;="&amp;$Z$3))</f>
        <v>10356.880000000001</v>
      </c>
      <c r="P161" s="49">
        <v>0</v>
      </c>
      <c r="Q161" s="49">
        <v>0</v>
      </c>
      <c r="R161" s="49">
        <v>0</v>
      </c>
    </row>
    <row r="162" spans="1:18">
      <c r="A162" t="s">
        <v>372</v>
      </c>
      <c r="B162" s="47">
        <f>SUMIFS(LS[Unit],LS[Investor ID],'TAX CERTIFICATE'!A162,LS[Date Value],"&lt;"&amp;$Z$2)+SUMIFS(SIP[Unit],SIP[Investor ID],'TAX CERTIFICATE'!A162,SIP[Date Value],"&lt;"&amp;$Z$2)</f>
        <v>0</v>
      </c>
      <c r="C162" s="48">
        <f>(SUMIFS(LS[Amount],LS[B/S],"B",LS[Investor ID],A162,LS[Date Value],"&lt;"&amp;$Z$2)-SUMIFS(LS[Cost of Units Sold],LS[B/S],"S",LS[Investor ID],A162,LS[Date Value],"&lt;"&amp;$Z$2))+(SUMIFS(SIP[Amount],SIP[B/S],"B",SIP[Investor ID],#REF!,SIP[Date Value],"&lt;"&amp;$Z$2)-SUMIFS(SIP[Cost of Units Sold],SIP[B/S],"S",SIP[Investor ID],A162,SIP[Date Value],"&lt;"&amp;$Z$2))</f>
        <v>0</v>
      </c>
      <c r="D162" s="49">
        <f t="shared" si="10"/>
        <v>0</v>
      </c>
      <c r="E162" s="49">
        <f t="shared" si="11"/>
        <v>0</v>
      </c>
      <c r="F162" s="47">
        <f>SUMIFS(LS[Unit],LS[Investor ID],A162,LS[Date Value],"&lt;="&amp;$Z$3)+SUMIFS(SIP[Unit],SIP[Investor ID],A162,SIP[Date Value],"&lt;="&amp;$Z$3)</f>
        <v>0</v>
      </c>
      <c r="G162" s="49">
        <f>(SUMIFS(LS[Amount],LS[B/S],"B",LS[Investor ID],A162,LS[Date Value],"&lt;="&amp;$Z$3)-SUMIFS(LS[Cost of Units Sold],LS[B/S],"S",LS[Investor ID],A162,LS[Date Value],"&lt;="&amp;$Z$3))+(SUMIFS(SIP[Amount],SIP[B/S],"B",SIP[Investor ID],A162,SIP[Date Value],"&lt;="&amp;$Z$3)-SUMIFS(SIP[Cost of Units Sold],SIP[B/S],"S",SIP[Investor ID],A162,SIP[Date Value],"&lt;="&amp;$Z$3))</f>
        <v>0</v>
      </c>
      <c r="H162" s="49">
        <f t="shared" si="12"/>
        <v>0</v>
      </c>
      <c r="I162" s="49">
        <f t="shared" si="13"/>
        <v>0</v>
      </c>
      <c r="J162" s="47">
        <f>(SUMIFS(LS[Unit],LS[Investor ID],A162,LS[B/S],"B",LS[Date Value],"&gt;="&amp;$Z$2,LS[Date Value],"&lt;="&amp;$Z$3))+(SUMIFS(SIP[Unit],SIP[Investor ID],A162,SIP[B/S],"B",SIP[Date Value],"&gt;="&amp;$Z$2,SIP[Date Value],"&lt;="&amp;$Z$3))</f>
        <v>0</v>
      </c>
      <c r="K162" s="49">
        <f>(SUMIFS(LS[Amount],LS[Investor ID],A162,LS[B/S],"B",LS[Date Value],"&gt;="&amp;$Z$2,LS[Date Value],"&lt;="&amp;$Z$3))+(SUMIFS(SIP[Amount],SIP[Investor ID],A162,SIP[B/S],"B",SIP[Date Value],"&gt;="&amp;$Z$2,SIP[Date Value],"&lt;="&amp;$Z$3))</f>
        <v>0</v>
      </c>
      <c r="L162" s="47">
        <f>(-SUMIFS(LS[Unit],LS[Investor ID],A162,LS[B/S],"S",LS[Date Value],"&gt;="&amp;$Z$2,LS[Date Value],"&lt;="&amp;$Z$3))+(-SUMIFS(SIP[Unit],SIP[Investor ID],A162,SIP[B/S],"S",SIP[Date Value],"&gt;="&amp;$Z$2,SIP[Date Value],"&lt;="&amp;$Z$3))</f>
        <v>0</v>
      </c>
      <c r="M162" s="49">
        <f>(SUMIFS(LS[Cost of Units Sold],LS[Investor ID],A162,LS[B/S],"S",LS[Date Value],"&gt;="&amp;$Z$2,LS[Date Value],"&lt;="&amp;$Z$3))+(SUMIFS(SIP[Cost of Units Sold],SIP[Investor ID],A162,SIP[B/S],"S",SIP[Date Value],"&gt;="&amp;$Z$2,SIP[Date Value],"&lt;="&amp;$Z$3))</f>
        <v>0</v>
      </c>
      <c r="N162" s="49">
        <f t="shared" si="14"/>
        <v>0</v>
      </c>
      <c r="O162" s="49">
        <f>(SUMIFS(LS[Realized Gain],LS[Investor ID],A162,LS[Date Value],"&gt;="&amp;$Z$2,LS[Date Value],"&lt;="&amp;$Z$3))+(SUMIFS(SIP[Realized Gain],SIP[Investor ID],A162,SIP[Date Value],"&gt;="&amp;$Z$2,SIP[Date Value],"&lt;="&amp;$Z$3))</f>
        <v>0</v>
      </c>
      <c r="P162" s="49">
        <v>0</v>
      </c>
      <c r="Q162" s="49">
        <v>0</v>
      </c>
      <c r="R162" s="49">
        <v>0</v>
      </c>
    </row>
    <row r="163" spans="1:18">
      <c r="A163" t="s">
        <v>374</v>
      </c>
      <c r="B163" s="47">
        <f>SUMIFS(LS[Unit],LS[Investor ID],'TAX CERTIFICATE'!A163,LS[Date Value],"&lt;"&amp;$Z$2)+SUMIFS(SIP[Unit],SIP[Investor ID],'TAX CERTIFICATE'!A163,SIP[Date Value],"&lt;"&amp;$Z$2)</f>
        <v>0</v>
      </c>
      <c r="C163" s="48">
        <f>(SUMIFS(LS[Amount],LS[B/S],"B",LS[Investor ID],A163,LS[Date Value],"&lt;"&amp;$Z$2)-SUMIFS(LS[Cost of Units Sold],LS[B/S],"S",LS[Investor ID],A163,LS[Date Value],"&lt;"&amp;$Z$2))+(SUMIFS(SIP[Amount],SIP[B/S],"B",SIP[Investor ID],#REF!,SIP[Date Value],"&lt;"&amp;$Z$2)-SUMIFS(SIP[Cost of Units Sold],SIP[B/S],"S",SIP[Investor ID],A163,SIP[Date Value],"&lt;"&amp;$Z$2))</f>
        <v>0</v>
      </c>
      <c r="D163" s="49">
        <f t="shared" si="10"/>
        <v>0</v>
      </c>
      <c r="E163" s="49">
        <f t="shared" si="11"/>
        <v>0</v>
      </c>
      <c r="F163" s="47">
        <f>SUMIFS(LS[Unit],LS[Investor ID],A163,LS[Date Value],"&lt;="&amp;$Z$3)+SUMIFS(SIP[Unit],SIP[Investor ID],A163,SIP[Date Value],"&lt;="&amp;$Z$3)</f>
        <v>0</v>
      </c>
      <c r="G163" s="49">
        <f>(SUMIFS(LS[Amount],LS[B/S],"B",LS[Investor ID],A163,LS[Date Value],"&lt;="&amp;$Z$3)-SUMIFS(LS[Cost of Units Sold],LS[B/S],"S",LS[Investor ID],A163,LS[Date Value],"&lt;="&amp;$Z$3))+(SUMIFS(SIP[Amount],SIP[B/S],"B",SIP[Investor ID],A163,SIP[Date Value],"&lt;="&amp;$Z$3)-SUMIFS(SIP[Cost of Units Sold],SIP[B/S],"S",SIP[Investor ID],A163,SIP[Date Value],"&lt;="&amp;$Z$3))</f>
        <v>0</v>
      </c>
      <c r="H163" s="49">
        <f t="shared" si="12"/>
        <v>0</v>
      </c>
      <c r="I163" s="49">
        <f t="shared" si="13"/>
        <v>0</v>
      </c>
      <c r="J163" s="47">
        <f>(SUMIFS(LS[Unit],LS[Investor ID],A163,LS[B/S],"B",LS[Date Value],"&gt;="&amp;$Z$2,LS[Date Value],"&lt;="&amp;$Z$3))+(SUMIFS(SIP[Unit],SIP[Investor ID],A163,SIP[B/S],"B",SIP[Date Value],"&gt;="&amp;$Z$2,SIP[Date Value],"&lt;="&amp;$Z$3))</f>
        <v>0</v>
      </c>
      <c r="K163" s="49">
        <f>(SUMIFS(LS[Amount],LS[Investor ID],A163,LS[B/S],"B",LS[Date Value],"&gt;="&amp;$Z$2,LS[Date Value],"&lt;="&amp;$Z$3))+(SUMIFS(SIP[Amount],SIP[Investor ID],A163,SIP[B/S],"B",SIP[Date Value],"&gt;="&amp;$Z$2,SIP[Date Value],"&lt;="&amp;$Z$3))</f>
        <v>0</v>
      </c>
      <c r="L163" s="47">
        <f>(-SUMIFS(LS[Unit],LS[Investor ID],A163,LS[B/S],"S",LS[Date Value],"&gt;="&amp;$Z$2,LS[Date Value],"&lt;="&amp;$Z$3))+(-SUMIFS(SIP[Unit],SIP[Investor ID],A163,SIP[B/S],"S",SIP[Date Value],"&gt;="&amp;$Z$2,SIP[Date Value],"&lt;="&amp;$Z$3))</f>
        <v>0</v>
      </c>
      <c r="M163" s="49">
        <f>(SUMIFS(LS[Cost of Units Sold],LS[Investor ID],A163,LS[B/S],"S",LS[Date Value],"&gt;="&amp;$Z$2,LS[Date Value],"&lt;="&amp;$Z$3))+(SUMIFS(SIP[Cost of Units Sold],SIP[Investor ID],A163,SIP[B/S],"S",SIP[Date Value],"&gt;="&amp;$Z$2,SIP[Date Value],"&lt;="&amp;$Z$3))</f>
        <v>0</v>
      </c>
      <c r="N163" s="49">
        <f t="shared" si="14"/>
        <v>0</v>
      </c>
      <c r="O163" s="49">
        <f>(SUMIFS(LS[Realized Gain],LS[Investor ID],A163,LS[Date Value],"&gt;="&amp;$Z$2,LS[Date Value],"&lt;="&amp;$Z$3))+(SUMIFS(SIP[Realized Gain],SIP[Investor ID],A163,SIP[Date Value],"&gt;="&amp;$Z$2,SIP[Date Value],"&lt;="&amp;$Z$3))</f>
        <v>0</v>
      </c>
      <c r="P163" s="49">
        <v>0</v>
      </c>
      <c r="Q163" s="49">
        <v>0</v>
      </c>
      <c r="R163" s="49">
        <v>0</v>
      </c>
    </row>
    <row r="164" spans="1:18">
      <c r="A164" t="s">
        <v>376</v>
      </c>
      <c r="B164" s="47">
        <f>SUMIFS(LS[Unit],LS[Investor ID],'TAX CERTIFICATE'!A164,LS[Date Value],"&lt;"&amp;$Z$2)+SUMIFS(SIP[Unit],SIP[Investor ID],'TAX CERTIFICATE'!A164,SIP[Date Value],"&lt;"&amp;$Z$2)</f>
        <v>0</v>
      </c>
      <c r="C164" s="48">
        <f>(SUMIFS(LS[Amount],LS[B/S],"B",LS[Investor ID],A164,LS[Date Value],"&lt;"&amp;$Z$2)-SUMIFS(LS[Cost of Units Sold],LS[B/S],"S",LS[Investor ID],A164,LS[Date Value],"&lt;"&amp;$Z$2))+(SUMIFS(SIP[Amount],SIP[B/S],"B",SIP[Investor ID],#REF!,SIP[Date Value],"&lt;"&amp;$Z$2)-SUMIFS(SIP[Cost of Units Sold],SIP[B/S],"S",SIP[Investor ID],A164,SIP[Date Value],"&lt;"&amp;$Z$2))</f>
        <v>0</v>
      </c>
      <c r="D164" s="49">
        <f t="shared" si="10"/>
        <v>0</v>
      </c>
      <c r="E164" s="49">
        <f t="shared" si="11"/>
        <v>0</v>
      </c>
      <c r="F164" s="47">
        <f>SUMIFS(LS[Unit],LS[Investor ID],A164,LS[Date Value],"&lt;="&amp;$Z$3)+SUMIFS(SIP[Unit],SIP[Investor ID],A164,SIP[Date Value],"&lt;="&amp;$Z$3)</f>
        <v>0</v>
      </c>
      <c r="G164" s="49">
        <f>(SUMIFS(LS[Amount],LS[B/S],"B",LS[Investor ID],A164,LS[Date Value],"&lt;="&amp;$Z$3)-SUMIFS(LS[Cost of Units Sold],LS[B/S],"S",LS[Investor ID],A164,LS[Date Value],"&lt;="&amp;$Z$3))+(SUMIFS(SIP[Amount],SIP[B/S],"B",SIP[Investor ID],A164,SIP[Date Value],"&lt;="&amp;$Z$3)-SUMIFS(SIP[Cost of Units Sold],SIP[B/S],"S",SIP[Investor ID],A164,SIP[Date Value],"&lt;="&amp;$Z$3))</f>
        <v>0</v>
      </c>
      <c r="H164" s="49">
        <f t="shared" si="12"/>
        <v>0</v>
      </c>
      <c r="I164" s="49">
        <f t="shared" si="13"/>
        <v>0</v>
      </c>
      <c r="J164" s="47">
        <f>(SUMIFS(LS[Unit],LS[Investor ID],A164,LS[B/S],"B",LS[Date Value],"&gt;="&amp;$Z$2,LS[Date Value],"&lt;="&amp;$Z$3))+(SUMIFS(SIP[Unit],SIP[Investor ID],A164,SIP[B/S],"B",SIP[Date Value],"&gt;="&amp;$Z$2,SIP[Date Value],"&lt;="&amp;$Z$3))</f>
        <v>0</v>
      </c>
      <c r="K164" s="49">
        <f>(SUMIFS(LS[Amount],LS[Investor ID],A164,LS[B/S],"B",LS[Date Value],"&gt;="&amp;$Z$2,LS[Date Value],"&lt;="&amp;$Z$3))+(SUMIFS(SIP[Amount],SIP[Investor ID],A164,SIP[B/S],"B",SIP[Date Value],"&gt;="&amp;$Z$2,SIP[Date Value],"&lt;="&amp;$Z$3))</f>
        <v>0</v>
      </c>
      <c r="L164" s="47">
        <f>(-SUMIFS(LS[Unit],LS[Investor ID],A164,LS[B/S],"S",LS[Date Value],"&gt;="&amp;$Z$2,LS[Date Value],"&lt;="&amp;$Z$3))+(-SUMIFS(SIP[Unit],SIP[Investor ID],A164,SIP[B/S],"S",SIP[Date Value],"&gt;="&amp;$Z$2,SIP[Date Value],"&lt;="&amp;$Z$3))</f>
        <v>0</v>
      </c>
      <c r="M164" s="49">
        <f>(SUMIFS(LS[Cost of Units Sold],LS[Investor ID],A164,LS[B/S],"S",LS[Date Value],"&gt;="&amp;$Z$2,LS[Date Value],"&lt;="&amp;$Z$3))+(SUMIFS(SIP[Cost of Units Sold],SIP[Investor ID],A164,SIP[B/S],"S",SIP[Date Value],"&gt;="&amp;$Z$2,SIP[Date Value],"&lt;="&amp;$Z$3))</f>
        <v>0</v>
      </c>
      <c r="N164" s="49">
        <f t="shared" si="14"/>
        <v>0</v>
      </c>
      <c r="O164" s="49">
        <f>(SUMIFS(LS[Realized Gain],LS[Investor ID],A164,LS[Date Value],"&gt;="&amp;$Z$2,LS[Date Value],"&lt;="&amp;$Z$3))+(SUMIFS(SIP[Realized Gain],SIP[Investor ID],A164,SIP[Date Value],"&gt;="&amp;$Z$2,SIP[Date Value],"&lt;="&amp;$Z$3))</f>
        <v>0</v>
      </c>
      <c r="P164" s="49">
        <v>0</v>
      </c>
      <c r="Q164" s="49">
        <v>0</v>
      </c>
      <c r="R164" s="49">
        <v>0</v>
      </c>
    </row>
    <row r="165" spans="1:18">
      <c r="A165" t="s">
        <v>378</v>
      </c>
      <c r="B165" s="47">
        <f>SUMIFS(LS[Unit],LS[Investor ID],'TAX CERTIFICATE'!A165,LS[Date Value],"&lt;"&amp;$Z$2)+SUMIFS(SIP[Unit],SIP[Investor ID],'TAX CERTIFICATE'!A165,SIP[Date Value],"&lt;"&amp;$Z$2)</f>
        <v>0</v>
      </c>
      <c r="C165" s="48">
        <f>(SUMIFS(LS[Amount],LS[B/S],"B",LS[Investor ID],A165,LS[Date Value],"&lt;"&amp;$Z$2)-SUMIFS(LS[Cost of Units Sold],LS[B/S],"S",LS[Investor ID],A165,LS[Date Value],"&lt;"&amp;$Z$2))+(SUMIFS(SIP[Amount],SIP[B/S],"B",SIP[Investor ID],#REF!,SIP[Date Value],"&lt;"&amp;$Z$2)-SUMIFS(SIP[Cost of Units Sold],SIP[B/S],"S",SIP[Investor ID],A165,SIP[Date Value],"&lt;"&amp;$Z$2))</f>
        <v>0</v>
      </c>
      <c r="D165" s="49">
        <f t="shared" si="10"/>
        <v>0</v>
      </c>
      <c r="E165" s="49">
        <f t="shared" si="11"/>
        <v>0</v>
      </c>
      <c r="F165" s="47">
        <f>SUMIFS(LS[Unit],LS[Investor ID],A165,LS[Date Value],"&lt;="&amp;$Z$3)+SUMIFS(SIP[Unit],SIP[Investor ID],A165,SIP[Date Value],"&lt;="&amp;$Z$3)</f>
        <v>0</v>
      </c>
      <c r="G165" s="49">
        <f>(SUMIFS(LS[Amount],LS[B/S],"B",LS[Investor ID],A165,LS[Date Value],"&lt;="&amp;$Z$3)-SUMIFS(LS[Cost of Units Sold],LS[B/S],"S",LS[Investor ID],A165,LS[Date Value],"&lt;="&amp;$Z$3))+(SUMIFS(SIP[Amount],SIP[B/S],"B",SIP[Investor ID],A165,SIP[Date Value],"&lt;="&amp;$Z$3)-SUMIFS(SIP[Cost of Units Sold],SIP[B/S],"S",SIP[Investor ID],A165,SIP[Date Value],"&lt;="&amp;$Z$3))</f>
        <v>0</v>
      </c>
      <c r="H165" s="49">
        <f t="shared" si="12"/>
        <v>0</v>
      </c>
      <c r="I165" s="49">
        <f t="shared" si="13"/>
        <v>0</v>
      </c>
      <c r="J165" s="47">
        <f>(SUMIFS(LS[Unit],LS[Investor ID],A165,LS[B/S],"B",LS[Date Value],"&gt;="&amp;$Z$2,LS[Date Value],"&lt;="&amp;$Z$3))+(SUMIFS(SIP[Unit],SIP[Investor ID],A165,SIP[B/S],"B",SIP[Date Value],"&gt;="&amp;$Z$2,SIP[Date Value],"&lt;="&amp;$Z$3))</f>
        <v>0</v>
      </c>
      <c r="K165" s="49">
        <f>(SUMIFS(LS[Amount],LS[Investor ID],A165,LS[B/S],"B",LS[Date Value],"&gt;="&amp;$Z$2,LS[Date Value],"&lt;="&amp;$Z$3))+(SUMIFS(SIP[Amount],SIP[Investor ID],A165,SIP[B/S],"B",SIP[Date Value],"&gt;="&amp;$Z$2,SIP[Date Value],"&lt;="&amp;$Z$3))</f>
        <v>0</v>
      </c>
      <c r="L165" s="47">
        <f>(-SUMIFS(LS[Unit],LS[Investor ID],A165,LS[B/S],"S",LS[Date Value],"&gt;="&amp;$Z$2,LS[Date Value],"&lt;="&amp;$Z$3))+(-SUMIFS(SIP[Unit],SIP[Investor ID],A165,SIP[B/S],"S",SIP[Date Value],"&gt;="&amp;$Z$2,SIP[Date Value],"&lt;="&amp;$Z$3))</f>
        <v>0</v>
      </c>
      <c r="M165" s="49">
        <f>(SUMIFS(LS[Cost of Units Sold],LS[Investor ID],A165,LS[B/S],"S",LS[Date Value],"&gt;="&amp;$Z$2,LS[Date Value],"&lt;="&amp;$Z$3))+(SUMIFS(SIP[Cost of Units Sold],SIP[Investor ID],A165,SIP[B/S],"S",SIP[Date Value],"&gt;="&amp;$Z$2,SIP[Date Value],"&lt;="&amp;$Z$3))</f>
        <v>0</v>
      </c>
      <c r="N165" s="49">
        <f t="shared" si="14"/>
        <v>0</v>
      </c>
      <c r="O165" s="49">
        <f>(SUMIFS(LS[Realized Gain],LS[Investor ID],A165,LS[Date Value],"&gt;="&amp;$Z$2,LS[Date Value],"&lt;="&amp;$Z$3))+(SUMIFS(SIP[Realized Gain],SIP[Investor ID],A165,SIP[Date Value],"&gt;="&amp;$Z$2,SIP[Date Value],"&lt;="&amp;$Z$3))</f>
        <v>0</v>
      </c>
      <c r="P165" s="49">
        <v>0</v>
      </c>
      <c r="Q165" s="49">
        <v>0</v>
      </c>
      <c r="R165" s="49">
        <v>0</v>
      </c>
    </row>
    <row r="166" spans="1:18">
      <c r="A166" t="s">
        <v>380</v>
      </c>
      <c r="B166" s="47">
        <f>SUMIFS(LS[Unit],LS[Investor ID],'TAX CERTIFICATE'!A166,LS[Date Value],"&lt;"&amp;$Z$2)+SUMIFS(SIP[Unit],SIP[Investor ID],'TAX CERTIFICATE'!A166,SIP[Date Value],"&lt;"&amp;$Z$2)</f>
        <v>0</v>
      </c>
      <c r="C166" s="48">
        <f>(SUMIFS(LS[Amount],LS[B/S],"B",LS[Investor ID],A166,LS[Date Value],"&lt;"&amp;$Z$2)-SUMIFS(LS[Cost of Units Sold],LS[B/S],"S",LS[Investor ID],A166,LS[Date Value],"&lt;"&amp;$Z$2))+(SUMIFS(SIP[Amount],SIP[B/S],"B",SIP[Investor ID],#REF!,SIP[Date Value],"&lt;"&amp;$Z$2)-SUMIFS(SIP[Cost of Units Sold],SIP[B/S],"S",SIP[Investor ID],A166,SIP[Date Value],"&lt;"&amp;$Z$2))</f>
        <v>0</v>
      </c>
      <c r="D166" s="49">
        <f t="shared" si="10"/>
        <v>0</v>
      </c>
      <c r="E166" s="49">
        <f t="shared" si="11"/>
        <v>0</v>
      </c>
      <c r="F166" s="47">
        <f>SUMIFS(LS[Unit],LS[Investor ID],A166,LS[Date Value],"&lt;="&amp;$Z$3)+SUMIFS(SIP[Unit],SIP[Investor ID],A166,SIP[Date Value],"&lt;="&amp;$Z$3)</f>
        <v>0</v>
      </c>
      <c r="G166" s="49">
        <f>(SUMIFS(LS[Amount],LS[B/S],"B",LS[Investor ID],A166,LS[Date Value],"&lt;="&amp;$Z$3)-SUMIFS(LS[Cost of Units Sold],LS[B/S],"S",LS[Investor ID],A166,LS[Date Value],"&lt;="&amp;$Z$3))+(SUMIFS(SIP[Amount],SIP[B/S],"B",SIP[Investor ID],A166,SIP[Date Value],"&lt;="&amp;$Z$3)-SUMIFS(SIP[Cost of Units Sold],SIP[B/S],"S",SIP[Investor ID],A166,SIP[Date Value],"&lt;="&amp;$Z$3))</f>
        <v>0</v>
      </c>
      <c r="H166" s="49">
        <f t="shared" si="12"/>
        <v>0</v>
      </c>
      <c r="I166" s="49">
        <f t="shared" si="13"/>
        <v>0</v>
      </c>
      <c r="J166" s="47">
        <f>(SUMIFS(LS[Unit],LS[Investor ID],A166,LS[B/S],"B",LS[Date Value],"&gt;="&amp;$Z$2,LS[Date Value],"&lt;="&amp;$Z$3))+(SUMIFS(SIP[Unit],SIP[Investor ID],A166,SIP[B/S],"B",SIP[Date Value],"&gt;="&amp;$Z$2,SIP[Date Value],"&lt;="&amp;$Z$3))</f>
        <v>0</v>
      </c>
      <c r="K166" s="49">
        <f>(SUMIFS(LS[Amount],LS[Investor ID],A166,LS[B/S],"B",LS[Date Value],"&gt;="&amp;$Z$2,LS[Date Value],"&lt;="&amp;$Z$3))+(SUMIFS(SIP[Amount],SIP[Investor ID],A166,SIP[B/S],"B",SIP[Date Value],"&gt;="&amp;$Z$2,SIP[Date Value],"&lt;="&amp;$Z$3))</f>
        <v>0</v>
      </c>
      <c r="L166" s="47">
        <f>(-SUMIFS(LS[Unit],LS[Investor ID],A166,LS[B/S],"S",LS[Date Value],"&gt;="&amp;$Z$2,LS[Date Value],"&lt;="&amp;$Z$3))+(-SUMIFS(SIP[Unit],SIP[Investor ID],A166,SIP[B/S],"S",SIP[Date Value],"&gt;="&amp;$Z$2,SIP[Date Value],"&lt;="&amp;$Z$3))</f>
        <v>0</v>
      </c>
      <c r="M166" s="49">
        <f>(SUMIFS(LS[Cost of Units Sold],LS[Investor ID],A166,LS[B/S],"S",LS[Date Value],"&gt;="&amp;$Z$2,LS[Date Value],"&lt;="&amp;$Z$3))+(SUMIFS(SIP[Cost of Units Sold],SIP[Investor ID],A166,SIP[B/S],"S",SIP[Date Value],"&gt;="&amp;$Z$2,SIP[Date Value],"&lt;="&amp;$Z$3))</f>
        <v>0</v>
      </c>
      <c r="N166" s="49">
        <f t="shared" si="14"/>
        <v>0</v>
      </c>
      <c r="O166" s="49">
        <f>(SUMIFS(LS[Realized Gain],LS[Investor ID],A166,LS[Date Value],"&gt;="&amp;$Z$2,LS[Date Value],"&lt;="&amp;$Z$3))+(SUMIFS(SIP[Realized Gain],SIP[Investor ID],A166,SIP[Date Value],"&gt;="&amp;$Z$2,SIP[Date Value],"&lt;="&amp;$Z$3))</f>
        <v>0</v>
      </c>
      <c r="P166" s="49">
        <v>0</v>
      </c>
      <c r="Q166" s="49">
        <v>0</v>
      </c>
      <c r="R166" s="49">
        <v>0</v>
      </c>
    </row>
    <row r="167" spans="1:18">
      <c r="A167" t="s">
        <v>382</v>
      </c>
      <c r="B167" s="47">
        <f>SUMIFS(LS[Unit],LS[Investor ID],'TAX CERTIFICATE'!A167,LS[Date Value],"&lt;"&amp;$Z$2)+SUMIFS(SIP[Unit],SIP[Investor ID],'TAX CERTIFICATE'!A167,SIP[Date Value],"&lt;"&amp;$Z$2)</f>
        <v>0</v>
      </c>
      <c r="C167" s="48">
        <f>(SUMIFS(LS[Amount],LS[B/S],"B",LS[Investor ID],A167,LS[Date Value],"&lt;"&amp;$Z$2)-SUMIFS(LS[Cost of Units Sold],LS[B/S],"S",LS[Investor ID],A167,LS[Date Value],"&lt;"&amp;$Z$2))+(SUMIFS(SIP[Amount],SIP[B/S],"B",SIP[Investor ID],#REF!,SIP[Date Value],"&lt;"&amp;$Z$2)-SUMIFS(SIP[Cost of Units Sold],SIP[B/S],"S",SIP[Investor ID],A167,SIP[Date Value],"&lt;"&amp;$Z$2))</f>
        <v>0</v>
      </c>
      <c r="D167" s="49">
        <f t="shared" si="10"/>
        <v>0</v>
      </c>
      <c r="E167" s="49">
        <f t="shared" si="11"/>
        <v>0</v>
      </c>
      <c r="F167" s="47">
        <f>SUMIFS(LS[Unit],LS[Investor ID],A167,LS[Date Value],"&lt;="&amp;$Z$3)+SUMIFS(SIP[Unit],SIP[Investor ID],A167,SIP[Date Value],"&lt;="&amp;$Z$3)</f>
        <v>0</v>
      </c>
      <c r="G167" s="49">
        <f>(SUMIFS(LS[Amount],LS[B/S],"B",LS[Investor ID],A167,LS[Date Value],"&lt;="&amp;$Z$3)-SUMIFS(LS[Cost of Units Sold],LS[B/S],"S",LS[Investor ID],A167,LS[Date Value],"&lt;="&amp;$Z$3))+(SUMIFS(SIP[Amount],SIP[B/S],"B",SIP[Investor ID],A167,SIP[Date Value],"&lt;="&amp;$Z$3)-SUMIFS(SIP[Cost of Units Sold],SIP[B/S],"S",SIP[Investor ID],A167,SIP[Date Value],"&lt;="&amp;$Z$3))</f>
        <v>0</v>
      </c>
      <c r="H167" s="49">
        <f t="shared" si="12"/>
        <v>0</v>
      </c>
      <c r="I167" s="49">
        <f t="shared" si="13"/>
        <v>0</v>
      </c>
      <c r="J167" s="47">
        <f>(SUMIFS(LS[Unit],LS[Investor ID],A167,LS[B/S],"B",LS[Date Value],"&gt;="&amp;$Z$2,LS[Date Value],"&lt;="&amp;$Z$3))+(SUMIFS(SIP[Unit],SIP[Investor ID],A167,SIP[B/S],"B",SIP[Date Value],"&gt;="&amp;$Z$2,SIP[Date Value],"&lt;="&amp;$Z$3))</f>
        <v>0</v>
      </c>
      <c r="K167" s="49">
        <f>(SUMIFS(LS[Amount],LS[Investor ID],A167,LS[B/S],"B",LS[Date Value],"&gt;="&amp;$Z$2,LS[Date Value],"&lt;="&amp;$Z$3))+(SUMIFS(SIP[Amount],SIP[Investor ID],A167,SIP[B/S],"B",SIP[Date Value],"&gt;="&amp;$Z$2,SIP[Date Value],"&lt;="&amp;$Z$3))</f>
        <v>0</v>
      </c>
      <c r="L167" s="47">
        <f>(-SUMIFS(LS[Unit],LS[Investor ID],A167,LS[B/S],"S",LS[Date Value],"&gt;="&amp;$Z$2,LS[Date Value],"&lt;="&amp;$Z$3))+(-SUMIFS(SIP[Unit],SIP[Investor ID],A167,SIP[B/S],"S",SIP[Date Value],"&gt;="&amp;$Z$2,SIP[Date Value],"&lt;="&amp;$Z$3))</f>
        <v>0</v>
      </c>
      <c r="M167" s="49">
        <f>(SUMIFS(LS[Cost of Units Sold],LS[Investor ID],A167,LS[B/S],"S",LS[Date Value],"&gt;="&amp;$Z$2,LS[Date Value],"&lt;="&amp;$Z$3))+(SUMIFS(SIP[Cost of Units Sold],SIP[Investor ID],A167,SIP[B/S],"S",SIP[Date Value],"&gt;="&amp;$Z$2,SIP[Date Value],"&lt;="&amp;$Z$3))</f>
        <v>0</v>
      </c>
      <c r="N167" s="49">
        <f t="shared" si="14"/>
        <v>0</v>
      </c>
      <c r="O167" s="49">
        <f>(SUMIFS(LS[Realized Gain],LS[Investor ID],A167,LS[Date Value],"&gt;="&amp;$Z$2,LS[Date Value],"&lt;="&amp;$Z$3))+(SUMIFS(SIP[Realized Gain],SIP[Investor ID],A167,SIP[Date Value],"&gt;="&amp;$Z$2,SIP[Date Value],"&lt;="&amp;$Z$3))</f>
        <v>0</v>
      </c>
      <c r="P167" s="49">
        <v>0</v>
      </c>
      <c r="Q167" s="49">
        <v>0</v>
      </c>
      <c r="R167" s="49">
        <v>0</v>
      </c>
    </row>
    <row r="168" spans="1:18">
      <c r="A168" t="s">
        <v>384</v>
      </c>
      <c r="B168" s="47">
        <f>SUMIFS(LS[Unit],LS[Investor ID],'TAX CERTIFICATE'!A168,LS[Date Value],"&lt;"&amp;$Z$2)+SUMIFS(SIP[Unit],SIP[Investor ID],'TAX CERTIFICATE'!A168,SIP[Date Value],"&lt;"&amp;$Z$2)</f>
        <v>0</v>
      </c>
      <c r="C168" s="48">
        <f>(SUMIFS(LS[Amount],LS[B/S],"B",LS[Investor ID],A168,LS[Date Value],"&lt;"&amp;$Z$2)-SUMIFS(LS[Cost of Units Sold],LS[B/S],"S",LS[Investor ID],A168,LS[Date Value],"&lt;"&amp;$Z$2))+(SUMIFS(SIP[Amount],SIP[B/S],"B",SIP[Investor ID],#REF!,SIP[Date Value],"&lt;"&amp;$Z$2)-SUMIFS(SIP[Cost of Units Sold],SIP[B/S],"S",SIP[Investor ID],A168,SIP[Date Value],"&lt;"&amp;$Z$2))</f>
        <v>0</v>
      </c>
      <c r="D168" s="49">
        <f t="shared" si="10"/>
        <v>0</v>
      </c>
      <c r="E168" s="49">
        <f t="shared" si="11"/>
        <v>0</v>
      </c>
      <c r="F168" s="47">
        <f>SUMIFS(LS[Unit],LS[Investor ID],A168,LS[Date Value],"&lt;="&amp;$Z$3)+SUMIFS(SIP[Unit],SIP[Investor ID],A168,SIP[Date Value],"&lt;="&amp;$Z$3)</f>
        <v>451182</v>
      </c>
      <c r="G168" s="49">
        <f>(SUMIFS(LS[Amount],LS[B/S],"B",LS[Investor ID],A168,LS[Date Value],"&lt;="&amp;$Z$3)-SUMIFS(LS[Cost of Units Sold],LS[B/S],"S",LS[Investor ID],A168,LS[Date Value],"&lt;="&amp;$Z$3))+(SUMIFS(SIP[Amount],SIP[B/S],"B",SIP[Investor ID],A168,SIP[Date Value],"&lt;="&amp;$Z$3)-SUMIFS(SIP[Cost of Units Sold],SIP[B/S],"S",SIP[Investor ID],A168,SIP[Date Value],"&lt;="&amp;$Z$3))</f>
        <v>5000000</v>
      </c>
      <c r="H168" s="49">
        <f t="shared" si="12"/>
        <v>5036995.8480000002</v>
      </c>
      <c r="I168" s="49">
        <f t="shared" si="13"/>
        <v>36995.848000000231</v>
      </c>
      <c r="J168" s="47">
        <f>(SUMIFS(LS[Unit],LS[Investor ID],A168,LS[B/S],"B",LS[Date Value],"&gt;="&amp;$Z$2,LS[Date Value],"&lt;="&amp;$Z$3))+(SUMIFS(SIP[Unit],SIP[Investor ID],A168,SIP[B/S],"B",SIP[Date Value],"&gt;="&amp;$Z$2,SIP[Date Value],"&lt;="&amp;$Z$3))</f>
        <v>451182</v>
      </c>
      <c r="K168" s="49">
        <f>(SUMIFS(LS[Amount],LS[Investor ID],A168,LS[B/S],"B",LS[Date Value],"&gt;="&amp;$Z$2,LS[Date Value],"&lt;="&amp;$Z$3))+(SUMIFS(SIP[Amount],SIP[Investor ID],A168,SIP[B/S],"B",SIP[Date Value],"&gt;="&amp;$Z$2,SIP[Date Value],"&lt;="&amp;$Z$3))</f>
        <v>5000000</v>
      </c>
      <c r="L168" s="47">
        <f>(-SUMIFS(LS[Unit],LS[Investor ID],A168,LS[B/S],"S",LS[Date Value],"&gt;="&amp;$Z$2,LS[Date Value],"&lt;="&amp;$Z$3))+(-SUMIFS(SIP[Unit],SIP[Investor ID],A168,SIP[B/S],"S",SIP[Date Value],"&gt;="&amp;$Z$2,SIP[Date Value],"&lt;="&amp;$Z$3))</f>
        <v>0</v>
      </c>
      <c r="M168" s="49">
        <f>(SUMIFS(LS[Cost of Units Sold],LS[Investor ID],A168,LS[B/S],"S",LS[Date Value],"&gt;="&amp;$Z$2,LS[Date Value],"&lt;="&amp;$Z$3))+(SUMIFS(SIP[Cost of Units Sold],SIP[Investor ID],A168,SIP[B/S],"S",SIP[Date Value],"&gt;="&amp;$Z$2,SIP[Date Value],"&lt;="&amp;$Z$3))</f>
        <v>0</v>
      </c>
      <c r="N168" s="49">
        <f t="shared" si="14"/>
        <v>5000000</v>
      </c>
      <c r="O168" s="49">
        <f>(SUMIFS(LS[Realized Gain],LS[Investor ID],A168,LS[Date Value],"&gt;="&amp;$Z$2,LS[Date Value],"&lt;="&amp;$Z$3))+(SUMIFS(SIP[Realized Gain],SIP[Investor ID],A168,SIP[Date Value],"&gt;="&amp;$Z$2,SIP[Date Value],"&lt;="&amp;$Z$3))</f>
        <v>0</v>
      </c>
      <c r="P168" s="49">
        <v>0</v>
      </c>
      <c r="Q168" s="49">
        <v>0</v>
      </c>
      <c r="R168" s="49">
        <v>0</v>
      </c>
    </row>
    <row r="169" spans="1:18">
      <c r="A169" t="s">
        <v>387</v>
      </c>
      <c r="B169" s="47">
        <f>SUMIFS(LS[Unit],LS[Investor ID],'TAX CERTIFICATE'!A169,LS[Date Value],"&lt;"&amp;$Z$2)+SUMIFS(SIP[Unit],SIP[Investor ID],'TAX CERTIFICATE'!A169,SIP[Date Value],"&lt;"&amp;$Z$2)</f>
        <v>0</v>
      </c>
      <c r="C169" s="48">
        <f>(SUMIFS(LS[Amount],LS[B/S],"B",LS[Investor ID],A169,LS[Date Value],"&lt;"&amp;$Z$2)-SUMIFS(LS[Cost of Units Sold],LS[B/S],"S",LS[Investor ID],A169,LS[Date Value],"&lt;"&amp;$Z$2))+(SUMIFS(SIP[Amount],SIP[B/S],"B",SIP[Investor ID],#REF!,SIP[Date Value],"&lt;"&amp;$Z$2)-SUMIFS(SIP[Cost of Units Sold],SIP[B/S],"S",SIP[Investor ID],A169,SIP[Date Value],"&lt;"&amp;$Z$2))</f>
        <v>0</v>
      </c>
      <c r="D169" s="49">
        <f t="shared" si="10"/>
        <v>0</v>
      </c>
      <c r="E169" s="49">
        <f t="shared" si="11"/>
        <v>0</v>
      </c>
      <c r="F169" s="47">
        <f>SUMIFS(LS[Unit],LS[Investor ID],A169,LS[Date Value],"&lt;="&amp;$Z$3)+SUMIFS(SIP[Unit],SIP[Investor ID],A169,SIP[Date Value],"&lt;="&amp;$Z$3)</f>
        <v>0</v>
      </c>
      <c r="G169" s="49">
        <f>(SUMIFS(LS[Amount],LS[B/S],"B",LS[Investor ID],A169,LS[Date Value],"&lt;="&amp;$Z$3)-SUMIFS(LS[Cost of Units Sold],LS[B/S],"S",LS[Investor ID],A169,LS[Date Value],"&lt;="&amp;$Z$3))+(SUMIFS(SIP[Amount],SIP[B/S],"B",SIP[Investor ID],A169,SIP[Date Value],"&lt;="&amp;$Z$3)-SUMIFS(SIP[Cost of Units Sold],SIP[B/S],"S",SIP[Investor ID],A169,SIP[Date Value],"&lt;="&amp;$Z$3))</f>
        <v>0</v>
      </c>
      <c r="H169" s="49">
        <f t="shared" si="12"/>
        <v>0</v>
      </c>
      <c r="I169" s="49">
        <f t="shared" si="13"/>
        <v>0</v>
      </c>
      <c r="J169" s="47">
        <f>(SUMIFS(LS[Unit],LS[Investor ID],A169,LS[B/S],"B",LS[Date Value],"&gt;="&amp;$Z$2,LS[Date Value],"&lt;="&amp;$Z$3))+(SUMIFS(SIP[Unit],SIP[Investor ID],A169,SIP[B/S],"B",SIP[Date Value],"&gt;="&amp;$Z$2,SIP[Date Value],"&lt;="&amp;$Z$3))</f>
        <v>0</v>
      </c>
      <c r="K169" s="49">
        <f>(SUMIFS(LS[Amount],LS[Investor ID],A169,LS[B/S],"B",LS[Date Value],"&gt;="&amp;$Z$2,LS[Date Value],"&lt;="&amp;$Z$3))+(SUMIFS(SIP[Amount],SIP[Investor ID],A169,SIP[B/S],"B",SIP[Date Value],"&gt;="&amp;$Z$2,SIP[Date Value],"&lt;="&amp;$Z$3))</f>
        <v>0</v>
      </c>
      <c r="L169" s="47">
        <f>(-SUMIFS(LS[Unit],LS[Investor ID],A169,LS[B/S],"S",LS[Date Value],"&gt;="&amp;$Z$2,LS[Date Value],"&lt;="&amp;$Z$3))+(-SUMIFS(SIP[Unit],SIP[Investor ID],A169,SIP[B/S],"S",SIP[Date Value],"&gt;="&amp;$Z$2,SIP[Date Value],"&lt;="&amp;$Z$3))</f>
        <v>0</v>
      </c>
      <c r="M169" s="49">
        <f>(SUMIFS(LS[Cost of Units Sold],LS[Investor ID],A169,LS[B/S],"S",LS[Date Value],"&gt;="&amp;$Z$2,LS[Date Value],"&lt;="&amp;$Z$3))+(SUMIFS(SIP[Cost of Units Sold],SIP[Investor ID],A169,SIP[B/S],"S",SIP[Date Value],"&gt;="&amp;$Z$2,SIP[Date Value],"&lt;="&amp;$Z$3))</f>
        <v>0</v>
      </c>
      <c r="N169" s="49">
        <f t="shared" si="14"/>
        <v>0</v>
      </c>
      <c r="O169" s="49">
        <f>(SUMIFS(LS[Realized Gain],LS[Investor ID],A169,LS[Date Value],"&gt;="&amp;$Z$2,LS[Date Value],"&lt;="&amp;$Z$3))+(SUMIFS(SIP[Realized Gain],SIP[Investor ID],A169,SIP[Date Value],"&gt;="&amp;$Z$2,SIP[Date Value],"&lt;="&amp;$Z$3))</f>
        <v>0</v>
      </c>
      <c r="P169" s="49">
        <v>0</v>
      </c>
      <c r="Q169" s="49">
        <v>0</v>
      </c>
      <c r="R169" s="49">
        <v>0</v>
      </c>
    </row>
    <row r="170" spans="1:18">
      <c r="A170" t="s">
        <v>389</v>
      </c>
      <c r="B170" s="47">
        <f>SUMIFS(LS[Unit],LS[Investor ID],'TAX CERTIFICATE'!A170,LS[Date Value],"&lt;"&amp;$Z$2)+SUMIFS(SIP[Unit],SIP[Investor ID],'TAX CERTIFICATE'!A170,SIP[Date Value],"&lt;"&amp;$Z$2)</f>
        <v>80000</v>
      </c>
      <c r="C170" s="48">
        <f>(SUMIFS(LS[Amount],LS[B/S],"B",LS[Investor ID],A170,LS[Date Value],"&lt;"&amp;$Z$2)-SUMIFS(LS[Cost of Units Sold],LS[B/S],"S",LS[Investor ID],A170,LS[Date Value],"&lt;"&amp;$Z$2))+(SUMIFS(SIP[Amount],SIP[B/S],"B",SIP[Investor ID],#REF!,SIP[Date Value],"&lt;"&amp;$Z$2)-SUMIFS(SIP[Cost of Units Sold],SIP[B/S],"S",SIP[Investor ID],A170,SIP[Date Value],"&lt;"&amp;$Z$2))</f>
        <v>800000</v>
      </c>
      <c r="D170" s="49">
        <f t="shared" si="10"/>
        <v>821680.00000000012</v>
      </c>
      <c r="E170" s="49">
        <f t="shared" si="11"/>
        <v>21680.000000000116</v>
      </c>
      <c r="F170" s="47">
        <f>SUMIFS(LS[Unit],LS[Investor ID],A170,LS[Date Value],"&lt;="&amp;$Z$3)+SUMIFS(SIP[Unit],SIP[Investor ID],A170,SIP[Date Value],"&lt;="&amp;$Z$3)</f>
        <v>0</v>
      </c>
      <c r="G170" s="49">
        <f>(SUMIFS(LS[Amount],LS[B/S],"B",LS[Investor ID],A170,LS[Date Value],"&lt;="&amp;$Z$3)-SUMIFS(LS[Cost of Units Sold],LS[B/S],"S",LS[Investor ID],A170,LS[Date Value],"&lt;="&amp;$Z$3))+(SUMIFS(SIP[Amount],SIP[B/S],"B",SIP[Investor ID],A170,SIP[Date Value],"&lt;="&amp;$Z$3)-SUMIFS(SIP[Cost of Units Sold],SIP[B/S],"S",SIP[Investor ID],A170,SIP[Date Value],"&lt;="&amp;$Z$3))</f>
        <v>0</v>
      </c>
      <c r="H170" s="49">
        <f t="shared" si="12"/>
        <v>0</v>
      </c>
      <c r="I170" s="49">
        <f t="shared" si="13"/>
        <v>0</v>
      </c>
      <c r="J170" s="47">
        <f>(SUMIFS(LS[Unit],LS[Investor ID],A170,LS[B/S],"B",LS[Date Value],"&gt;="&amp;$Z$2,LS[Date Value],"&lt;="&amp;$Z$3))+(SUMIFS(SIP[Unit],SIP[Investor ID],A170,SIP[B/S],"B",SIP[Date Value],"&gt;="&amp;$Z$2,SIP[Date Value],"&lt;="&amp;$Z$3))</f>
        <v>0</v>
      </c>
      <c r="K170" s="49">
        <f>(SUMIFS(LS[Amount],LS[Investor ID],A170,LS[B/S],"B",LS[Date Value],"&gt;="&amp;$Z$2,LS[Date Value],"&lt;="&amp;$Z$3))+(SUMIFS(SIP[Amount],SIP[Investor ID],A170,SIP[B/S],"B",SIP[Date Value],"&gt;="&amp;$Z$2,SIP[Date Value],"&lt;="&amp;$Z$3))</f>
        <v>0</v>
      </c>
      <c r="L170" s="47">
        <f>(-SUMIFS(LS[Unit],LS[Investor ID],A170,LS[B/S],"S",LS[Date Value],"&gt;="&amp;$Z$2,LS[Date Value],"&lt;="&amp;$Z$3))+(-SUMIFS(SIP[Unit],SIP[Investor ID],A170,SIP[B/S],"S",SIP[Date Value],"&gt;="&amp;$Z$2,SIP[Date Value],"&lt;="&amp;$Z$3))</f>
        <v>80000</v>
      </c>
      <c r="M170" s="49">
        <f>(SUMIFS(LS[Cost of Units Sold],LS[Investor ID],A170,LS[B/S],"S",LS[Date Value],"&gt;="&amp;$Z$2,LS[Date Value],"&lt;="&amp;$Z$3))+(SUMIFS(SIP[Cost of Units Sold],SIP[Investor ID],A170,SIP[B/S],"S",SIP[Date Value],"&gt;="&amp;$Z$2,SIP[Date Value],"&lt;="&amp;$Z$3))</f>
        <v>800000</v>
      </c>
      <c r="N170" s="49">
        <f t="shared" si="14"/>
        <v>-800000</v>
      </c>
      <c r="O170" s="49">
        <f>(SUMIFS(LS[Realized Gain],LS[Investor ID],A170,LS[Date Value],"&gt;="&amp;$Z$2,LS[Date Value],"&lt;="&amp;$Z$3))+(SUMIFS(SIP[Realized Gain],SIP[Investor ID],A170,SIP[Date Value],"&gt;="&amp;$Z$2,SIP[Date Value],"&lt;="&amp;$Z$3))</f>
        <v>47600.000000000051</v>
      </c>
      <c r="P170" s="49">
        <v>0</v>
      </c>
      <c r="Q170" s="49">
        <v>0</v>
      </c>
      <c r="R170" s="49">
        <v>0</v>
      </c>
    </row>
    <row r="171" spans="1:18">
      <c r="A171" t="s">
        <v>391</v>
      </c>
      <c r="B171" s="47">
        <f>SUMIFS(LS[Unit],LS[Investor ID],'TAX CERTIFICATE'!A171,LS[Date Value],"&lt;"&amp;$Z$2)+SUMIFS(SIP[Unit],SIP[Investor ID],'TAX CERTIFICATE'!A171,SIP[Date Value],"&lt;"&amp;$Z$2)</f>
        <v>0</v>
      </c>
      <c r="C171" s="48">
        <f>(SUMIFS(LS[Amount],LS[B/S],"B",LS[Investor ID],A171,LS[Date Value],"&lt;"&amp;$Z$2)-SUMIFS(LS[Cost of Units Sold],LS[B/S],"S",LS[Investor ID],A171,LS[Date Value],"&lt;"&amp;$Z$2))+(SUMIFS(SIP[Amount],SIP[B/S],"B",SIP[Investor ID],#REF!,SIP[Date Value],"&lt;"&amp;$Z$2)-SUMIFS(SIP[Cost of Units Sold],SIP[B/S],"S",SIP[Investor ID],A171,SIP[Date Value],"&lt;"&amp;$Z$2))</f>
        <v>0</v>
      </c>
      <c r="D171" s="49">
        <f t="shared" si="10"/>
        <v>0</v>
      </c>
      <c r="E171" s="49">
        <f t="shared" si="11"/>
        <v>0</v>
      </c>
      <c r="F171" s="47">
        <f>SUMIFS(LS[Unit],LS[Investor ID],A171,LS[Date Value],"&lt;="&amp;$Z$3)+SUMIFS(SIP[Unit],SIP[Investor ID],A171,SIP[Date Value],"&lt;="&amp;$Z$3)</f>
        <v>0</v>
      </c>
      <c r="G171" s="49">
        <f>(SUMIFS(LS[Amount],LS[B/S],"B",LS[Investor ID],A171,LS[Date Value],"&lt;="&amp;$Z$3)-SUMIFS(LS[Cost of Units Sold],LS[B/S],"S",LS[Investor ID],A171,LS[Date Value],"&lt;="&amp;$Z$3))+(SUMIFS(SIP[Amount],SIP[B/S],"B",SIP[Investor ID],A171,SIP[Date Value],"&lt;="&amp;$Z$3)-SUMIFS(SIP[Cost of Units Sold],SIP[B/S],"S",SIP[Investor ID],A171,SIP[Date Value],"&lt;="&amp;$Z$3))</f>
        <v>0</v>
      </c>
      <c r="H171" s="49">
        <f t="shared" si="12"/>
        <v>0</v>
      </c>
      <c r="I171" s="49">
        <f t="shared" si="13"/>
        <v>0</v>
      </c>
      <c r="J171" s="47">
        <f>(SUMIFS(LS[Unit],LS[Investor ID],A171,LS[B/S],"B",LS[Date Value],"&gt;="&amp;$Z$2,LS[Date Value],"&lt;="&amp;$Z$3))+(SUMIFS(SIP[Unit],SIP[Investor ID],A171,SIP[B/S],"B",SIP[Date Value],"&gt;="&amp;$Z$2,SIP[Date Value],"&lt;="&amp;$Z$3))</f>
        <v>0</v>
      </c>
      <c r="K171" s="49">
        <f>(SUMIFS(LS[Amount],LS[Investor ID],A171,LS[B/S],"B",LS[Date Value],"&gt;="&amp;$Z$2,LS[Date Value],"&lt;="&amp;$Z$3))+(SUMIFS(SIP[Amount],SIP[Investor ID],A171,SIP[B/S],"B",SIP[Date Value],"&gt;="&amp;$Z$2,SIP[Date Value],"&lt;="&amp;$Z$3))</f>
        <v>0</v>
      </c>
      <c r="L171" s="47">
        <f>(-SUMIFS(LS[Unit],LS[Investor ID],A171,LS[B/S],"S",LS[Date Value],"&gt;="&amp;$Z$2,LS[Date Value],"&lt;="&amp;$Z$3))+(-SUMIFS(SIP[Unit],SIP[Investor ID],A171,SIP[B/S],"S",SIP[Date Value],"&gt;="&amp;$Z$2,SIP[Date Value],"&lt;="&amp;$Z$3))</f>
        <v>0</v>
      </c>
      <c r="M171" s="49">
        <f>(SUMIFS(LS[Cost of Units Sold],LS[Investor ID],A171,LS[B/S],"S",LS[Date Value],"&gt;="&amp;$Z$2,LS[Date Value],"&lt;="&amp;$Z$3))+(SUMIFS(SIP[Cost of Units Sold],SIP[Investor ID],A171,SIP[B/S],"S",SIP[Date Value],"&gt;="&amp;$Z$2,SIP[Date Value],"&lt;="&amp;$Z$3))</f>
        <v>0</v>
      </c>
      <c r="N171" s="49">
        <f t="shared" si="14"/>
        <v>0</v>
      </c>
      <c r="O171" s="49">
        <f>(SUMIFS(LS[Realized Gain],LS[Investor ID],A171,LS[Date Value],"&gt;="&amp;$Z$2,LS[Date Value],"&lt;="&amp;$Z$3))+(SUMIFS(SIP[Realized Gain],SIP[Investor ID],A171,SIP[Date Value],"&gt;="&amp;$Z$2,SIP[Date Value],"&lt;="&amp;$Z$3))</f>
        <v>0</v>
      </c>
      <c r="P171" s="49">
        <v>0</v>
      </c>
      <c r="Q171" s="49">
        <v>0</v>
      </c>
      <c r="R171" s="49">
        <v>0</v>
      </c>
    </row>
    <row r="172" spans="1:18">
      <c r="A172" t="s">
        <v>393</v>
      </c>
      <c r="B172" s="47">
        <f>SUMIFS(LS[Unit],LS[Investor ID],'TAX CERTIFICATE'!A172,LS[Date Value],"&lt;"&amp;$Z$2)+SUMIFS(SIP[Unit],SIP[Investor ID],'TAX CERTIFICATE'!A172,SIP[Date Value],"&lt;"&amp;$Z$2)</f>
        <v>0</v>
      </c>
      <c r="C172" s="48">
        <f>(SUMIFS(LS[Amount],LS[B/S],"B",LS[Investor ID],A172,LS[Date Value],"&lt;"&amp;$Z$2)-SUMIFS(LS[Cost of Units Sold],LS[B/S],"S",LS[Investor ID],A172,LS[Date Value],"&lt;"&amp;$Z$2))+(SUMIFS(SIP[Amount],SIP[B/S],"B",SIP[Investor ID],#REF!,SIP[Date Value],"&lt;"&amp;$Z$2)-SUMIFS(SIP[Cost of Units Sold],SIP[B/S],"S",SIP[Investor ID],A172,SIP[Date Value],"&lt;"&amp;$Z$2))</f>
        <v>0</v>
      </c>
      <c r="D172" s="49">
        <f t="shared" si="10"/>
        <v>0</v>
      </c>
      <c r="E172" s="49">
        <f t="shared" si="11"/>
        <v>0</v>
      </c>
      <c r="F172" s="47">
        <f>SUMIFS(LS[Unit],LS[Investor ID],A172,LS[Date Value],"&lt;="&amp;$Z$3)+SUMIFS(SIP[Unit],SIP[Investor ID],A172,SIP[Date Value],"&lt;="&amp;$Z$3)</f>
        <v>0</v>
      </c>
      <c r="G172" s="49">
        <f>(SUMIFS(LS[Amount],LS[B/S],"B",LS[Investor ID],A172,LS[Date Value],"&lt;="&amp;$Z$3)-SUMIFS(LS[Cost of Units Sold],LS[B/S],"S",LS[Investor ID],A172,LS[Date Value],"&lt;="&amp;$Z$3))+(SUMIFS(SIP[Amount],SIP[B/S],"B",SIP[Investor ID],A172,SIP[Date Value],"&lt;="&amp;$Z$3)-SUMIFS(SIP[Cost of Units Sold],SIP[B/S],"S",SIP[Investor ID],A172,SIP[Date Value],"&lt;="&amp;$Z$3))</f>
        <v>0</v>
      </c>
      <c r="H172" s="49">
        <f t="shared" si="12"/>
        <v>0</v>
      </c>
      <c r="I172" s="49">
        <f t="shared" si="13"/>
        <v>0</v>
      </c>
      <c r="J172" s="47">
        <f>(SUMIFS(LS[Unit],LS[Investor ID],A172,LS[B/S],"B",LS[Date Value],"&gt;="&amp;$Z$2,LS[Date Value],"&lt;="&amp;$Z$3))+(SUMIFS(SIP[Unit],SIP[Investor ID],A172,SIP[B/S],"B",SIP[Date Value],"&gt;="&amp;$Z$2,SIP[Date Value],"&lt;="&amp;$Z$3))</f>
        <v>0</v>
      </c>
      <c r="K172" s="49">
        <f>(SUMIFS(LS[Amount],LS[Investor ID],A172,LS[B/S],"B",LS[Date Value],"&gt;="&amp;$Z$2,LS[Date Value],"&lt;="&amp;$Z$3))+(SUMIFS(SIP[Amount],SIP[Investor ID],A172,SIP[B/S],"B",SIP[Date Value],"&gt;="&amp;$Z$2,SIP[Date Value],"&lt;="&amp;$Z$3))</f>
        <v>0</v>
      </c>
      <c r="L172" s="47">
        <f>(-SUMIFS(LS[Unit],LS[Investor ID],A172,LS[B/S],"S",LS[Date Value],"&gt;="&amp;$Z$2,LS[Date Value],"&lt;="&amp;$Z$3))+(-SUMIFS(SIP[Unit],SIP[Investor ID],A172,SIP[B/S],"S",SIP[Date Value],"&gt;="&amp;$Z$2,SIP[Date Value],"&lt;="&amp;$Z$3))</f>
        <v>0</v>
      </c>
      <c r="M172" s="49">
        <f>(SUMIFS(LS[Cost of Units Sold],LS[Investor ID],A172,LS[B/S],"S",LS[Date Value],"&gt;="&amp;$Z$2,LS[Date Value],"&lt;="&amp;$Z$3))+(SUMIFS(SIP[Cost of Units Sold],SIP[Investor ID],A172,SIP[B/S],"S",SIP[Date Value],"&gt;="&amp;$Z$2,SIP[Date Value],"&lt;="&amp;$Z$3))</f>
        <v>0</v>
      </c>
      <c r="N172" s="49">
        <f t="shared" si="14"/>
        <v>0</v>
      </c>
      <c r="O172" s="49">
        <f>(SUMIFS(LS[Realized Gain],LS[Investor ID],A172,LS[Date Value],"&gt;="&amp;$Z$2,LS[Date Value],"&lt;="&amp;$Z$3))+(SUMIFS(SIP[Realized Gain],SIP[Investor ID],A172,SIP[Date Value],"&gt;="&amp;$Z$2,SIP[Date Value],"&lt;="&amp;$Z$3))</f>
        <v>0</v>
      </c>
      <c r="P172" s="49">
        <v>0</v>
      </c>
      <c r="Q172" s="49">
        <v>0</v>
      </c>
      <c r="R172" s="49">
        <v>0</v>
      </c>
    </row>
    <row r="173" spans="1:18">
      <c r="A173" t="s">
        <v>395</v>
      </c>
      <c r="B173" s="47">
        <f>SUMIFS(LS[Unit],LS[Investor ID],'TAX CERTIFICATE'!A173,LS[Date Value],"&lt;"&amp;$Z$2)+SUMIFS(SIP[Unit],SIP[Investor ID],'TAX CERTIFICATE'!A173,SIP[Date Value],"&lt;"&amp;$Z$2)</f>
        <v>0</v>
      </c>
      <c r="C173" s="48">
        <f>(SUMIFS(LS[Amount],LS[B/S],"B",LS[Investor ID],A173,LS[Date Value],"&lt;"&amp;$Z$2)-SUMIFS(LS[Cost of Units Sold],LS[B/S],"S",LS[Investor ID],A173,LS[Date Value],"&lt;"&amp;$Z$2))+(SUMIFS(SIP[Amount],SIP[B/S],"B",SIP[Investor ID],#REF!,SIP[Date Value],"&lt;"&amp;$Z$2)-SUMIFS(SIP[Cost of Units Sold],SIP[B/S],"S",SIP[Investor ID],A173,SIP[Date Value],"&lt;"&amp;$Z$2))</f>
        <v>0</v>
      </c>
      <c r="D173" s="49">
        <f t="shared" si="10"/>
        <v>0</v>
      </c>
      <c r="E173" s="49">
        <f t="shared" si="11"/>
        <v>0</v>
      </c>
      <c r="F173" s="47">
        <f>SUMIFS(LS[Unit],LS[Investor ID],A173,LS[Date Value],"&lt;="&amp;$Z$3)+SUMIFS(SIP[Unit],SIP[Investor ID],A173,SIP[Date Value],"&lt;="&amp;$Z$3)</f>
        <v>0</v>
      </c>
      <c r="G173" s="49">
        <f>(SUMIFS(LS[Amount],LS[B/S],"B",LS[Investor ID],A173,LS[Date Value],"&lt;="&amp;$Z$3)-SUMIFS(LS[Cost of Units Sold],LS[B/S],"S",LS[Investor ID],A173,LS[Date Value],"&lt;="&amp;$Z$3))+(SUMIFS(SIP[Amount],SIP[B/S],"B",SIP[Investor ID],A173,SIP[Date Value],"&lt;="&amp;$Z$3)-SUMIFS(SIP[Cost of Units Sold],SIP[B/S],"S",SIP[Investor ID],A173,SIP[Date Value],"&lt;="&amp;$Z$3))</f>
        <v>0</v>
      </c>
      <c r="H173" s="49">
        <f t="shared" si="12"/>
        <v>0</v>
      </c>
      <c r="I173" s="49">
        <f t="shared" si="13"/>
        <v>0</v>
      </c>
      <c r="J173" s="47">
        <f>(SUMIFS(LS[Unit],LS[Investor ID],A173,LS[B/S],"B",LS[Date Value],"&gt;="&amp;$Z$2,LS[Date Value],"&lt;="&amp;$Z$3))+(SUMIFS(SIP[Unit],SIP[Investor ID],A173,SIP[B/S],"B",SIP[Date Value],"&gt;="&amp;$Z$2,SIP[Date Value],"&lt;="&amp;$Z$3))</f>
        <v>0</v>
      </c>
      <c r="K173" s="49">
        <f>(SUMIFS(LS[Amount],LS[Investor ID],A173,LS[B/S],"B",LS[Date Value],"&gt;="&amp;$Z$2,LS[Date Value],"&lt;="&amp;$Z$3))+(SUMIFS(SIP[Amount],SIP[Investor ID],A173,SIP[B/S],"B",SIP[Date Value],"&gt;="&amp;$Z$2,SIP[Date Value],"&lt;="&amp;$Z$3))</f>
        <v>0</v>
      </c>
      <c r="L173" s="47">
        <f>(-SUMIFS(LS[Unit],LS[Investor ID],A173,LS[B/S],"S",LS[Date Value],"&gt;="&amp;$Z$2,LS[Date Value],"&lt;="&amp;$Z$3))+(-SUMIFS(SIP[Unit],SIP[Investor ID],A173,SIP[B/S],"S",SIP[Date Value],"&gt;="&amp;$Z$2,SIP[Date Value],"&lt;="&amp;$Z$3))</f>
        <v>0</v>
      </c>
      <c r="M173" s="49">
        <f>(SUMIFS(LS[Cost of Units Sold],LS[Investor ID],A173,LS[B/S],"S",LS[Date Value],"&gt;="&amp;$Z$2,LS[Date Value],"&lt;="&amp;$Z$3))+(SUMIFS(SIP[Cost of Units Sold],SIP[Investor ID],A173,SIP[B/S],"S",SIP[Date Value],"&gt;="&amp;$Z$2,SIP[Date Value],"&lt;="&amp;$Z$3))</f>
        <v>0</v>
      </c>
      <c r="N173" s="49">
        <f t="shared" si="14"/>
        <v>0</v>
      </c>
      <c r="O173" s="49">
        <f>(SUMIFS(LS[Realized Gain],LS[Investor ID],A173,LS[Date Value],"&gt;="&amp;$Z$2,LS[Date Value],"&lt;="&amp;$Z$3))+(SUMIFS(SIP[Realized Gain],SIP[Investor ID],A173,SIP[Date Value],"&gt;="&amp;$Z$2,SIP[Date Value],"&lt;="&amp;$Z$3))</f>
        <v>0</v>
      </c>
      <c r="P173" s="49">
        <v>0</v>
      </c>
      <c r="Q173" s="49">
        <v>0</v>
      </c>
      <c r="R173" s="49">
        <v>0</v>
      </c>
    </row>
    <row r="174" spans="1:18">
      <c r="A174" t="s">
        <v>397</v>
      </c>
      <c r="B174" s="47">
        <f>SUMIFS(LS[Unit],LS[Investor ID],'TAX CERTIFICATE'!A174,LS[Date Value],"&lt;"&amp;$Z$2)+SUMIFS(SIP[Unit],SIP[Investor ID],'TAX CERTIFICATE'!A174,SIP[Date Value],"&lt;"&amp;$Z$2)</f>
        <v>0</v>
      </c>
      <c r="C174" s="48">
        <f>(SUMIFS(LS[Amount],LS[B/S],"B",LS[Investor ID],A174,LS[Date Value],"&lt;"&amp;$Z$2)-SUMIFS(LS[Cost of Units Sold],LS[B/S],"S",LS[Investor ID],A174,LS[Date Value],"&lt;"&amp;$Z$2))+(SUMIFS(SIP[Amount],SIP[B/S],"B",SIP[Investor ID],#REF!,SIP[Date Value],"&lt;"&amp;$Z$2)-SUMIFS(SIP[Cost of Units Sold],SIP[B/S],"S",SIP[Investor ID],A174,SIP[Date Value],"&lt;"&amp;$Z$2))</f>
        <v>0</v>
      </c>
      <c r="D174" s="49">
        <f t="shared" si="10"/>
        <v>0</v>
      </c>
      <c r="E174" s="49">
        <f t="shared" si="11"/>
        <v>0</v>
      </c>
      <c r="F174" s="47">
        <f>SUMIFS(LS[Unit],LS[Investor ID],A174,LS[Date Value],"&lt;="&amp;$Z$3)+SUMIFS(SIP[Unit],SIP[Investor ID],A174,SIP[Date Value],"&lt;="&amp;$Z$3)</f>
        <v>0</v>
      </c>
      <c r="G174" s="49">
        <f>(SUMIFS(LS[Amount],LS[B/S],"B",LS[Investor ID],A174,LS[Date Value],"&lt;="&amp;$Z$3)-SUMIFS(LS[Cost of Units Sold],LS[B/S],"S",LS[Investor ID],A174,LS[Date Value],"&lt;="&amp;$Z$3))+(SUMIFS(SIP[Amount],SIP[B/S],"B",SIP[Investor ID],A174,SIP[Date Value],"&lt;="&amp;$Z$3)-SUMIFS(SIP[Cost of Units Sold],SIP[B/S],"S",SIP[Investor ID],A174,SIP[Date Value],"&lt;="&amp;$Z$3))</f>
        <v>0</v>
      </c>
      <c r="H174" s="49">
        <f t="shared" si="12"/>
        <v>0</v>
      </c>
      <c r="I174" s="49">
        <f t="shared" si="13"/>
        <v>0</v>
      </c>
      <c r="J174" s="47">
        <f>(SUMIFS(LS[Unit],LS[Investor ID],A174,LS[B/S],"B",LS[Date Value],"&gt;="&amp;$Z$2,LS[Date Value],"&lt;="&amp;$Z$3))+(SUMIFS(SIP[Unit],SIP[Investor ID],A174,SIP[B/S],"B",SIP[Date Value],"&gt;="&amp;$Z$2,SIP[Date Value],"&lt;="&amp;$Z$3))</f>
        <v>0</v>
      </c>
      <c r="K174" s="49">
        <f>(SUMIFS(LS[Amount],LS[Investor ID],A174,LS[B/S],"B",LS[Date Value],"&gt;="&amp;$Z$2,LS[Date Value],"&lt;="&amp;$Z$3))+(SUMIFS(SIP[Amount],SIP[Investor ID],A174,SIP[B/S],"B",SIP[Date Value],"&gt;="&amp;$Z$2,SIP[Date Value],"&lt;="&amp;$Z$3))</f>
        <v>0</v>
      </c>
      <c r="L174" s="47">
        <f>(-SUMIFS(LS[Unit],LS[Investor ID],A174,LS[B/S],"S",LS[Date Value],"&gt;="&amp;$Z$2,LS[Date Value],"&lt;="&amp;$Z$3))+(-SUMIFS(SIP[Unit],SIP[Investor ID],A174,SIP[B/S],"S",SIP[Date Value],"&gt;="&amp;$Z$2,SIP[Date Value],"&lt;="&amp;$Z$3))</f>
        <v>0</v>
      </c>
      <c r="M174" s="49">
        <f>(SUMIFS(LS[Cost of Units Sold],LS[Investor ID],A174,LS[B/S],"S",LS[Date Value],"&gt;="&amp;$Z$2,LS[Date Value],"&lt;="&amp;$Z$3))+(SUMIFS(SIP[Cost of Units Sold],SIP[Investor ID],A174,SIP[B/S],"S",SIP[Date Value],"&gt;="&amp;$Z$2,SIP[Date Value],"&lt;="&amp;$Z$3))</f>
        <v>0</v>
      </c>
      <c r="N174" s="49">
        <f t="shared" si="14"/>
        <v>0</v>
      </c>
      <c r="O174" s="49">
        <f>(SUMIFS(LS[Realized Gain],LS[Investor ID],A174,LS[Date Value],"&gt;="&amp;$Z$2,LS[Date Value],"&lt;="&amp;$Z$3))+(SUMIFS(SIP[Realized Gain],SIP[Investor ID],A174,SIP[Date Value],"&gt;="&amp;$Z$2,SIP[Date Value],"&lt;="&amp;$Z$3))</f>
        <v>0</v>
      </c>
      <c r="P174" s="49">
        <v>0</v>
      </c>
      <c r="Q174" s="49">
        <v>0</v>
      </c>
      <c r="R174" s="49">
        <v>0</v>
      </c>
    </row>
    <row r="175" spans="1:18">
      <c r="A175" t="s">
        <v>399</v>
      </c>
      <c r="B175" s="47">
        <f>SUMIFS(LS[Unit],LS[Investor ID],'TAX CERTIFICATE'!A175,LS[Date Value],"&lt;"&amp;$Z$2)+SUMIFS(SIP[Unit],SIP[Investor ID],'TAX CERTIFICATE'!A175,SIP[Date Value],"&lt;"&amp;$Z$2)</f>
        <v>0</v>
      </c>
      <c r="C175" s="48">
        <f>(SUMIFS(LS[Amount],LS[B/S],"B",LS[Investor ID],A175,LS[Date Value],"&lt;"&amp;$Z$2)-SUMIFS(LS[Cost of Units Sold],LS[B/S],"S",LS[Investor ID],A175,LS[Date Value],"&lt;"&amp;$Z$2))+(SUMIFS(SIP[Amount],SIP[B/S],"B",SIP[Investor ID],#REF!,SIP[Date Value],"&lt;"&amp;$Z$2)-SUMIFS(SIP[Cost of Units Sold],SIP[B/S],"S",SIP[Investor ID],A175,SIP[Date Value],"&lt;"&amp;$Z$2))</f>
        <v>0</v>
      </c>
      <c r="D175" s="49">
        <f t="shared" si="10"/>
        <v>0</v>
      </c>
      <c r="E175" s="49">
        <f t="shared" si="11"/>
        <v>0</v>
      </c>
      <c r="F175" s="47">
        <f>SUMIFS(LS[Unit],LS[Investor ID],A175,LS[Date Value],"&lt;="&amp;$Z$3)+SUMIFS(SIP[Unit],SIP[Investor ID],A175,SIP[Date Value],"&lt;="&amp;$Z$3)</f>
        <v>0</v>
      </c>
      <c r="G175" s="49">
        <f>(SUMIFS(LS[Amount],LS[B/S],"B",LS[Investor ID],A175,LS[Date Value],"&lt;="&amp;$Z$3)-SUMIFS(LS[Cost of Units Sold],LS[B/S],"S",LS[Investor ID],A175,LS[Date Value],"&lt;="&amp;$Z$3))+(SUMIFS(SIP[Amount],SIP[B/S],"B",SIP[Investor ID],A175,SIP[Date Value],"&lt;="&amp;$Z$3)-SUMIFS(SIP[Cost of Units Sold],SIP[B/S],"S",SIP[Investor ID],A175,SIP[Date Value],"&lt;="&amp;$Z$3))</f>
        <v>0</v>
      </c>
      <c r="H175" s="49">
        <f t="shared" si="12"/>
        <v>0</v>
      </c>
      <c r="I175" s="49">
        <f t="shared" si="13"/>
        <v>0</v>
      </c>
      <c r="J175" s="47">
        <f>(SUMIFS(LS[Unit],LS[Investor ID],A175,LS[B/S],"B",LS[Date Value],"&gt;="&amp;$Z$2,LS[Date Value],"&lt;="&amp;$Z$3))+(SUMIFS(SIP[Unit],SIP[Investor ID],A175,SIP[B/S],"B",SIP[Date Value],"&gt;="&amp;$Z$2,SIP[Date Value],"&lt;="&amp;$Z$3))</f>
        <v>0</v>
      </c>
      <c r="K175" s="49">
        <f>(SUMIFS(LS[Amount],LS[Investor ID],A175,LS[B/S],"B",LS[Date Value],"&gt;="&amp;$Z$2,LS[Date Value],"&lt;="&amp;$Z$3))+(SUMIFS(SIP[Amount],SIP[Investor ID],A175,SIP[B/S],"B",SIP[Date Value],"&gt;="&amp;$Z$2,SIP[Date Value],"&lt;="&amp;$Z$3))</f>
        <v>0</v>
      </c>
      <c r="L175" s="47">
        <f>(-SUMIFS(LS[Unit],LS[Investor ID],A175,LS[B/S],"S",LS[Date Value],"&gt;="&amp;$Z$2,LS[Date Value],"&lt;="&amp;$Z$3))+(-SUMIFS(SIP[Unit],SIP[Investor ID],A175,SIP[B/S],"S",SIP[Date Value],"&gt;="&amp;$Z$2,SIP[Date Value],"&lt;="&amp;$Z$3))</f>
        <v>0</v>
      </c>
      <c r="M175" s="49">
        <f>(SUMIFS(LS[Cost of Units Sold],LS[Investor ID],A175,LS[B/S],"S",LS[Date Value],"&gt;="&amp;$Z$2,LS[Date Value],"&lt;="&amp;$Z$3))+(SUMIFS(SIP[Cost of Units Sold],SIP[Investor ID],A175,SIP[B/S],"S",SIP[Date Value],"&gt;="&amp;$Z$2,SIP[Date Value],"&lt;="&amp;$Z$3))</f>
        <v>0</v>
      </c>
      <c r="N175" s="49">
        <f t="shared" si="14"/>
        <v>0</v>
      </c>
      <c r="O175" s="49">
        <f>(SUMIFS(LS[Realized Gain],LS[Investor ID],A175,LS[Date Value],"&gt;="&amp;$Z$2,LS[Date Value],"&lt;="&amp;$Z$3))+(SUMIFS(SIP[Realized Gain],SIP[Investor ID],A175,SIP[Date Value],"&gt;="&amp;$Z$2,SIP[Date Value],"&lt;="&amp;$Z$3))</f>
        <v>0</v>
      </c>
      <c r="P175" s="49">
        <v>0</v>
      </c>
      <c r="Q175" s="49">
        <v>0</v>
      </c>
      <c r="R175" s="49">
        <v>0</v>
      </c>
    </row>
    <row r="176" spans="1:18">
      <c r="A176" t="s">
        <v>401</v>
      </c>
      <c r="B176" s="47">
        <f>SUMIFS(LS[Unit],LS[Investor ID],'TAX CERTIFICATE'!A176,LS[Date Value],"&lt;"&amp;$Z$2)+SUMIFS(SIP[Unit],SIP[Investor ID],'TAX CERTIFICATE'!A176,SIP[Date Value],"&lt;"&amp;$Z$2)</f>
        <v>0</v>
      </c>
      <c r="C176" s="48">
        <f>(SUMIFS(LS[Amount],LS[B/S],"B",LS[Investor ID],A176,LS[Date Value],"&lt;"&amp;$Z$2)-SUMIFS(LS[Cost of Units Sold],LS[B/S],"S",LS[Investor ID],A176,LS[Date Value],"&lt;"&amp;$Z$2))+(SUMIFS(SIP[Amount],SIP[B/S],"B",SIP[Investor ID],#REF!,SIP[Date Value],"&lt;"&amp;$Z$2)-SUMIFS(SIP[Cost of Units Sold],SIP[B/S],"S",SIP[Investor ID],A176,SIP[Date Value],"&lt;"&amp;$Z$2))</f>
        <v>0</v>
      </c>
      <c r="D176" s="49">
        <f t="shared" si="10"/>
        <v>0</v>
      </c>
      <c r="E176" s="49">
        <f t="shared" si="11"/>
        <v>0</v>
      </c>
      <c r="F176" s="47">
        <f>SUMIFS(LS[Unit],LS[Investor ID],A176,LS[Date Value],"&lt;="&amp;$Z$3)+SUMIFS(SIP[Unit],SIP[Investor ID],A176,SIP[Date Value],"&lt;="&amp;$Z$3)</f>
        <v>0</v>
      </c>
      <c r="G176" s="49">
        <f>(SUMIFS(LS[Amount],LS[B/S],"B",LS[Investor ID],A176,LS[Date Value],"&lt;="&amp;$Z$3)-SUMIFS(LS[Cost of Units Sold],LS[B/S],"S",LS[Investor ID],A176,LS[Date Value],"&lt;="&amp;$Z$3))+(SUMIFS(SIP[Amount],SIP[B/S],"B",SIP[Investor ID],A176,SIP[Date Value],"&lt;="&amp;$Z$3)-SUMIFS(SIP[Cost of Units Sold],SIP[B/S],"S",SIP[Investor ID],A176,SIP[Date Value],"&lt;="&amp;$Z$3))</f>
        <v>0</v>
      </c>
      <c r="H176" s="49">
        <f t="shared" si="12"/>
        <v>0</v>
      </c>
      <c r="I176" s="49">
        <f t="shared" si="13"/>
        <v>0</v>
      </c>
      <c r="J176" s="47">
        <f>(SUMIFS(LS[Unit],LS[Investor ID],A176,LS[B/S],"B",LS[Date Value],"&gt;="&amp;$Z$2,LS[Date Value],"&lt;="&amp;$Z$3))+(SUMIFS(SIP[Unit],SIP[Investor ID],A176,SIP[B/S],"B",SIP[Date Value],"&gt;="&amp;$Z$2,SIP[Date Value],"&lt;="&amp;$Z$3))</f>
        <v>0</v>
      </c>
      <c r="K176" s="49">
        <f>(SUMIFS(LS[Amount],LS[Investor ID],A176,LS[B/S],"B",LS[Date Value],"&gt;="&amp;$Z$2,LS[Date Value],"&lt;="&amp;$Z$3))+(SUMIFS(SIP[Amount],SIP[Investor ID],A176,SIP[B/S],"B",SIP[Date Value],"&gt;="&amp;$Z$2,SIP[Date Value],"&lt;="&amp;$Z$3))</f>
        <v>0</v>
      </c>
      <c r="L176" s="47">
        <f>(-SUMIFS(LS[Unit],LS[Investor ID],A176,LS[B/S],"S",LS[Date Value],"&gt;="&amp;$Z$2,LS[Date Value],"&lt;="&amp;$Z$3))+(-SUMIFS(SIP[Unit],SIP[Investor ID],A176,SIP[B/S],"S",SIP[Date Value],"&gt;="&amp;$Z$2,SIP[Date Value],"&lt;="&amp;$Z$3))</f>
        <v>0</v>
      </c>
      <c r="M176" s="49">
        <f>(SUMIFS(LS[Cost of Units Sold],LS[Investor ID],A176,LS[B/S],"S",LS[Date Value],"&gt;="&amp;$Z$2,LS[Date Value],"&lt;="&amp;$Z$3))+(SUMIFS(SIP[Cost of Units Sold],SIP[Investor ID],A176,SIP[B/S],"S",SIP[Date Value],"&gt;="&amp;$Z$2,SIP[Date Value],"&lt;="&amp;$Z$3))</f>
        <v>0</v>
      </c>
      <c r="N176" s="49">
        <f t="shared" si="14"/>
        <v>0</v>
      </c>
      <c r="O176" s="49">
        <f>(SUMIFS(LS[Realized Gain],LS[Investor ID],A176,LS[Date Value],"&gt;="&amp;$Z$2,LS[Date Value],"&lt;="&amp;$Z$3))+(SUMIFS(SIP[Realized Gain],SIP[Investor ID],A176,SIP[Date Value],"&gt;="&amp;$Z$2,SIP[Date Value],"&lt;="&amp;$Z$3))</f>
        <v>0</v>
      </c>
      <c r="P176" s="49">
        <v>0</v>
      </c>
      <c r="Q176" s="49">
        <v>0</v>
      </c>
      <c r="R176" s="49">
        <v>0</v>
      </c>
    </row>
    <row r="177" spans="1:18">
      <c r="A177" t="s">
        <v>403</v>
      </c>
      <c r="B177" s="47">
        <f>SUMIFS(LS[Unit],LS[Investor ID],'TAX CERTIFICATE'!A177,LS[Date Value],"&lt;"&amp;$Z$2)+SUMIFS(SIP[Unit],SIP[Investor ID],'TAX CERTIFICATE'!A177,SIP[Date Value],"&lt;"&amp;$Z$2)</f>
        <v>0</v>
      </c>
      <c r="C177" s="48">
        <f>(SUMIFS(LS[Amount],LS[B/S],"B",LS[Investor ID],A177,LS[Date Value],"&lt;"&amp;$Z$2)-SUMIFS(LS[Cost of Units Sold],LS[B/S],"S",LS[Investor ID],A177,LS[Date Value],"&lt;"&amp;$Z$2))+(SUMIFS(SIP[Amount],SIP[B/S],"B",SIP[Investor ID],#REF!,SIP[Date Value],"&lt;"&amp;$Z$2)-SUMIFS(SIP[Cost of Units Sold],SIP[B/S],"S",SIP[Investor ID],A177,SIP[Date Value],"&lt;"&amp;$Z$2))</f>
        <v>0</v>
      </c>
      <c r="D177" s="49">
        <f t="shared" si="10"/>
        <v>0</v>
      </c>
      <c r="E177" s="49">
        <f t="shared" si="11"/>
        <v>0</v>
      </c>
      <c r="F177" s="47">
        <f>SUMIFS(LS[Unit],LS[Investor ID],A177,LS[Date Value],"&lt;="&amp;$Z$3)+SUMIFS(SIP[Unit],SIP[Investor ID],A177,SIP[Date Value],"&lt;="&amp;$Z$3)</f>
        <v>0</v>
      </c>
      <c r="G177" s="49">
        <f>(SUMIFS(LS[Amount],LS[B/S],"B",LS[Investor ID],A177,LS[Date Value],"&lt;="&amp;$Z$3)-SUMIFS(LS[Cost of Units Sold],LS[B/S],"S",LS[Investor ID],A177,LS[Date Value],"&lt;="&amp;$Z$3))+(SUMIFS(SIP[Amount],SIP[B/S],"B",SIP[Investor ID],A177,SIP[Date Value],"&lt;="&amp;$Z$3)-SUMIFS(SIP[Cost of Units Sold],SIP[B/S],"S",SIP[Investor ID],A177,SIP[Date Value],"&lt;="&amp;$Z$3))</f>
        <v>0</v>
      </c>
      <c r="H177" s="49">
        <f t="shared" si="12"/>
        <v>0</v>
      </c>
      <c r="I177" s="49">
        <f t="shared" si="13"/>
        <v>0</v>
      </c>
      <c r="J177" s="47">
        <f>(SUMIFS(LS[Unit],LS[Investor ID],A177,LS[B/S],"B",LS[Date Value],"&gt;="&amp;$Z$2,LS[Date Value],"&lt;="&amp;$Z$3))+(SUMIFS(SIP[Unit],SIP[Investor ID],A177,SIP[B/S],"B",SIP[Date Value],"&gt;="&amp;$Z$2,SIP[Date Value],"&lt;="&amp;$Z$3))</f>
        <v>0</v>
      </c>
      <c r="K177" s="49">
        <f>(SUMIFS(LS[Amount],LS[Investor ID],A177,LS[B/S],"B",LS[Date Value],"&gt;="&amp;$Z$2,LS[Date Value],"&lt;="&amp;$Z$3))+(SUMIFS(SIP[Amount],SIP[Investor ID],A177,SIP[B/S],"B",SIP[Date Value],"&gt;="&amp;$Z$2,SIP[Date Value],"&lt;="&amp;$Z$3))</f>
        <v>0</v>
      </c>
      <c r="L177" s="47">
        <f>(-SUMIFS(LS[Unit],LS[Investor ID],A177,LS[B/S],"S",LS[Date Value],"&gt;="&amp;$Z$2,LS[Date Value],"&lt;="&amp;$Z$3))+(-SUMIFS(SIP[Unit],SIP[Investor ID],A177,SIP[B/S],"S",SIP[Date Value],"&gt;="&amp;$Z$2,SIP[Date Value],"&lt;="&amp;$Z$3))</f>
        <v>0</v>
      </c>
      <c r="M177" s="49">
        <f>(SUMIFS(LS[Cost of Units Sold],LS[Investor ID],A177,LS[B/S],"S",LS[Date Value],"&gt;="&amp;$Z$2,LS[Date Value],"&lt;="&amp;$Z$3))+(SUMIFS(SIP[Cost of Units Sold],SIP[Investor ID],A177,SIP[B/S],"S",SIP[Date Value],"&gt;="&amp;$Z$2,SIP[Date Value],"&lt;="&amp;$Z$3))</f>
        <v>0</v>
      </c>
      <c r="N177" s="49">
        <f t="shared" si="14"/>
        <v>0</v>
      </c>
      <c r="O177" s="49">
        <f>(SUMIFS(LS[Realized Gain],LS[Investor ID],A177,LS[Date Value],"&gt;="&amp;$Z$2,LS[Date Value],"&lt;="&amp;$Z$3))+(SUMIFS(SIP[Realized Gain],SIP[Investor ID],A177,SIP[Date Value],"&gt;="&amp;$Z$2,SIP[Date Value],"&lt;="&amp;$Z$3))</f>
        <v>0</v>
      </c>
      <c r="P177" s="49">
        <v>0</v>
      </c>
      <c r="Q177" s="49">
        <v>0</v>
      </c>
      <c r="R177" s="49">
        <v>0</v>
      </c>
    </row>
    <row r="178" spans="1:18">
      <c r="A178" t="s">
        <v>405</v>
      </c>
      <c r="B178" s="47">
        <f>SUMIFS(LS[Unit],LS[Investor ID],'TAX CERTIFICATE'!A178,LS[Date Value],"&lt;"&amp;$Z$2)+SUMIFS(SIP[Unit],SIP[Investor ID],'TAX CERTIFICATE'!A178,SIP[Date Value],"&lt;"&amp;$Z$2)</f>
        <v>0</v>
      </c>
      <c r="C178" s="48">
        <f>(SUMIFS(LS[Amount],LS[B/S],"B",LS[Investor ID],A178,LS[Date Value],"&lt;"&amp;$Z$2)-SUMIFS(LS[Cost of Units Sold],LS[B/S],"S",LS[Investor ID],A178,LS[Date Value],"&lt;"&amp;$Z$2))+(SUMIFS(SIP[Amount],SIP[B/S],"B",SIP[Investor ID],#REF!,SIP[Date Value],"&lt;"&amp;$Z$2)-SUMIFS(SIP[Cost of Units Sold],SIP[B/S],"S",SIP[Investor ID],A178,SIP[Date Value],"&lt;"&amp;$Z$2))</f>
        <v>0</v>
      </c>
      <c r="D178" s="49">
        <f t="shared" si="10"/>
        <v>0</v>
      </c>
      <c r="E178" s="49">
        <f t="shared" si="11"/>
        <v>0</v>
      </c>
      <c r="F178" s="47">
        <f>SUMIFS(LS[Unit],LS[Investor ID],A178,LS[Date Value],"&lt;="&amp;$Z$3)+SUMIFS(SIP[Unit],SIP[Investor ID],A178,SIP[Date Value],"&lt;="&amp;$Z$3)</f>
        <v>0</v>
      </c>
      <c r="G178" s="49">
        <f>(SUMIFS(LS[Amount],LS[B/S],"B",LS[Investor ID],A178,LS[Date Value],"&lt;="&amp;$Z$3)-SUMIFS(LS[Cost of Units Sold],LS[B/S],"S",LS[Investor ID],A178,LS[Date Value],"&lt;="&amp;$Z$3))+(SUMIFS(SIP[Amount],SIP[B/S],"B",SIP[Investor ID],A178,SIP[Date Value],"&lt;="&amp;$Z$3)-SUMIFS(SIP[Cost of Units Sold],SIP[B/S],"S",SIP[Investor ID],A178,SIP[Date Value],"&lt;="&amp;$Z$3))</f>
        <v>0</v>
      </c>
      <c r="H178" s="49">
        <f t="shared" si="12"/>
        <v>0</v>
      </c>
      <c r="I178" s="49">
        <f t="shared" si="13"/>
        <v>0</v>
      </c>
      <c r="J178" s="47">
        <f>(SUMIFS(LS[Unit],LS[Investor ID],A178,LS[B/S],"B",LS[Date Value],"&gt;="&amp;$Z$2,LS[Date Value],"&lt;="&amp;$Z$3))+(SUMIFS(SIP[Unit],SIP[Investor ID],A178,SIP[B/S],"B",SIP[Date Value],"&gt;="&amp;$Z$2,SIP[Date Value],"&lt;="&amp;$Z$3))</f>
        <v>0</v>
      </c>
      <c r="K178" s="49">
        <f>(SUMIFS(LS[Amount],LS[Investor ID],A178,LS[B/S],"B",LS[Date Value],"&gt;="&amp;$Z$2,LS[Date Value],"&lt;="&amp;$Z$3))+(SUMIFS(SIP[Amount],SIP[Investor ID],A178,SIP[B/S],"B",SIP[Date Value],"&gt;="&amp;$Z$2,SIP[Date Value],"&lt;="&amp;$Z$3))</f>
        <v>0</v>
      </c>
      <c r="L178" s="47">
        <f>(-SUMIFS(LS[Unit],LS[Investor ID],A178,LS[B/S],"S",LS[Date Value],"&gt;="&amp;$Z$2,LS[Date Value],"&lt;="&amp;$Z$3))+(-SUMIFS(SIP[Unit],SIP[Investor ID],A178,SIP[B/S],"S",SIP[Date Value],"&gt;="&amp;$Z$2,SIP[Date Value],"&lt;="&amp;$Z$3))</f>
        <v>0</v>
      </c>
      <c r="M178" s="49">
        <f>(SUMIFS(LS[Cost of Units Sold],LS[Investor ID],A178,LS[B/S],"S",LS[Date Value],"&gt;="&amp;$Z$2,LS[Date Value],"&lt;="&amp;$Z$3))+(SUMIFS(SIP[Cost of Units Sold],SIP[Investor ID],A178,SIP[B/S],"S",SIP[Date Value],"&gt;="&amp;$Z$2,SIP[Date Value],"&lt;="&amp;$Z$3))</f>
        <v>0</v>
      </c>
      <c r="N178" s="49">
        <f t="shared" si="14"/>
        <v>0</v>
      </c>
      <c r="O178" s="49">
        <f>(SUMIFS(LS[Realized Gain],LS[Investor ID],A178,LS[Date Value],"&gt;="&amp;$Z$2,LS[Date Value],"&lt;="&amp;$Z$3))+(SUMIFS(SIP[Realized Gain],SIP[Investor ID],A178,SIP[Date Value],"&gt;="&amp;$Z$2,SIP[Date Value],"&lt;="&amp;$Z$3))</f>
        <v>0</v>
      </c>
      <c r="P178" s="49">
        <v>0</v>
      </c>
      <c r="Q178" s="49">
        <v>0</v>
      </c>
      <c r="R178" s="49">
        <v>0</v>
      </c>
    </row>
    <row r="179" spans="1:18">
      <c r="A179" t="s">
        <v>407</v>
      </c>
      <c r="B179" s="47">
        <f>SUMIFS(LS[Unit],LS[Investor ID],'TAX CERTIFICATE'!A179,LS[Date Value],"&lt;"&amp;$Z$2)+SUMIFS(SIP[Unit],SIP[Investor ID],'TAX CERTIFICATE'!A179,SIP[Date Value],"&lt;"&amp;$Z$2)</f>
        <v>0</v>
      </c>
      <c r="C179" s="48">
        <f>(SUMIFS(LS[Amount],LS[B/S],"B",LS[Investor ID],A179,LS[Date Value],"&lt;"&amp;$Z$2)-SUMIFS(LS[Cost of Units Sold],LS[B/S],"S",LS[Investor ID],A179,LS[Date Value],"&lt;"&amp;$Z$2))+(SUMIFS(SIP[Amount],SIP[B/S],"B",SIP[Investor ID],#REF!,SIP[Date Value],"&lt;"&amp;$Z$2)-SUMIFS(SIP[Cost of Units Sold],SIP[B/S],"S",SIP[Investor ID],A179,SIP[Date Value],"&lt;"&amp;$Z$2))</f>
        <v>0</v>
      </c>
      <c r="D179" s="49">
        <f t="shared" si="10"/>
        <v>0</v>
      </c>
      <c r="E179" s="49">
        <f t="shared" si="11"/>
        <v>0</v>
      </c>
      <c r="F179" s="47">
        <f>SUMIFS(LS[Unit],LS[Investor ID],A179,LS[Date Value],"&lt;="&amp;$Z$3)+SUMIFS(SIP[Unit],SIP[Investor ID],A179,SIP[Date Value],"&lt;="&amp;$Z$3)</f>
        <v>0</v>
      </c>
      <c r="G179" s="49">
        <f>(SUMIFS(LS[Amount],LS[B/S],"B",LS[Investor ID],A179,LS[Date Value],"&lt;="&amp;$Z$3)-SUMIFS(LS[Cost of Units Sold],LS[B/S],"S",LS[Investor ID],A179,LS[Date Value],"&lt;="&amp;$Z$3))+(SUMIFS(SIP[Amount],SIP[B/S],"B",SIP[Investor ID],A179,SIP[Date Value],"&lt;="&amp;$Z$3)-SUMIFS(SIP[Cost of Units Sold],SIP[B/S],"S",SIP[Investor ID],A179,SIP[Date Value],"&lt;="&amp;$Z$3))</f>
        <v>0</v>
      </c>
      <c r="H179" s="49">
        <f t="shared" si="12"/>
        <v>0</v>
      </c>
      <c r="I179" s="49">
        <f t="shared" si="13"/>
        <v>0</v>
      </c>
      <c r="J179" s="47">
        <f>(SUMIFS(LS[Unit],LS[Investor ID],A179,LS[B/S],"B",LS[Date Value],"&gt;="&amp;$Z$2,LS[Date Value],"&lt;="&amp;$Z$3))+(SUMIFS(SIP[Unit],SIP[Investor ID],A179,SIP[B/S],"B",SIP[Date Value],"&gt;="&amp;$Z$2,SIP[Date Value],"&lt;="&amp;$Z$3))</f>
        <v>0</v>
      </c>
      <c r="K179" s="49">
        <f>(SUMIFS(LS[Amount],LS[Investor ID],A179,LS[B/S],"B",LS[Date Value],"&gt;="&amp;$Z$2,LS[Date Value],"&lt;="&amp;$Z$3))+(SUMIFS(SIP[Amount],SIP[Investor ID],A179,SIP[B/S],"B",SIP[Date Value],"&gt;="&amp;$Z$2,SIP[Date Value],"&lt;="&amp;$Z$3))</f>
        <v>0</v>
      </c>
      <c r="L179" s="47">
        <f>(-SUMIFS(LS[Unit],LS[Investor ID],A179,LS[B/S],"S",LS[Date Value],"&gt;="&amp;$Z$2,LS[Date Value],"&lt;="&amp;$Z$3))+(-SUMIFS(SIP[Unit],SIP[Investor ID],A179,SIP[B/S],"S",SIP[Date Value],"&gt;="&amp;$Z$2,SIP[Date Value],"&lt;="&amp;$Z$3))</f>
        <v>0</v>
      </c>
      <c r="M179" s="49">
        <f>(SUMIFS(LS[Cost of Units Sold],LS[Investor ID],A179,LS[B/S],"S",LS[Date Value],"&gt;="&amp;$Z$2,LS[Date Value],"&lt;="&amp;$Z$3))+(SUMIFS(SIP[Cost of Units Sold],SIP[Investor ID],A179,SIP[B/S],"S",SIP[Date Value],"&gt;="&amp;$Z$2,SIP[Date Value],"&lt;="&amp;$Z$3))</f>
        <v>0</v>
      </c>
      <c r="N179" s="49">
        <f t="shared" si="14"/>
        <v>0</v>
      </c>
      <c r="O179" s="49">
        <f>(SUMIFS(LS[Realized Gain],LS[Investor ID],A179,LS[Date Value],"&gt;="&amp;$Z$2,LS[Date Value],"&lt;="&amp;$Z$3))+(SUMIFS(SIP[Realized Gain],SIP[Investor ID],A179,SIP[Date Value],"&gt;="&amp;$Z$2,SIP[Date Value],"&lt;="&amp;$Z$3))</f>
        <v>0</v>
      </c>
      <c r="P179" s="49">
        <v>0</v>
      </c>
      <c r="Q179" s="49">
        <v>0</v>
      </c>
      <c r="R179" s="49">
        <v>0</v>
      </c>
    </row>
    <row r="180" spans="1:18">
      <c r="A180" t="s">
        <v>409</v>
      </c>
      <c r="B180" s="47">
        <f>SUMIFS(LS[Unit],LS[Investor ID],'TAX CERTIFICATE'!A180,LS[Date Value],"&lt;"&amp;$Z$2)+SUMIFS(SIP[Unit],SIP[Investor ID],'TAX CERTIFICATE'!A180,SIP[Date Value],"&lt;"&amp;$Z$2)</f>
        <v>0</v>
      </c>
      <c r="C180" s="48">
        <f>(SUMIFS(LS[Amount],LS[B/S],"B",LS[Investor ID],A180,LS[Date Value],"&lt;"&amp;$Z$2)-SUMIFS(LS[Cost of Units Sold],LS[B/S],"S",LS[Investor ID],A180,LS[Date Value],"&lt;"&amp;$Z$2))+(SUMIFS(SIP[Amount],SIP[B/S],"B",SIP[Investor ID],#REF!,SIP[Date Value],"&lt;"&amp;$Z$2)-SUMIFS(SIP[Cost of Units Sold],SIP[B/S],"S",SIP[Investor ID],A180,SIP[Date Value],"&lt;"&amp;$Z$2))</f>
        <v>0</v>
      </c>
      <c r="D180" s="49">
        <f t="shared" si="10"/>
        <v>0</v>
      </c>
      <c r="E180" s="49">
        <f t="shared" si="11"/>
        <v>0</v>
      </c>
      <c r="F180" s="47">
        <f>SUMIFS(LS[Unit],LS[Investor ID],A180,LS[Date Value],"&lt;="&amp;$Z$3)+SUMIFS(SIP[Unit],SIP[Investor ID],A180,SIP[Date Value],"&lt;="&amp;$Z$3)</f>
        <v>28604</v>
      </c>
      <c r="G180" s="49">
        <f>(SUMIFS(LS[Amount],LS[B/S],"B",LS[Investor ID],A180,LS[Date Value],"&lt;="&amp;$Z$3)-SUMIFS(LS[Cost of Units Sold],LS[B/S],"S",LS[Investor ID],A180,LS[Date Value],"&lt;="&amp;$Z$3))+(SUMIFS(SIP[Amount],SIP[B/S],"B",SIP[Investor ID],A180,SIP[Date Value],"&lt;="&amp;$Z$3)-SUMIFS(SIP[Cost of Units Sold],SIP[B/S],"S",SIP[Investor ID],A180,SIP[Date Value],"&lt;="&amp;$Z$3))</f>
        <v>300000</v>
      </c>
      <c r="H180" s="49">
        <f t="shared" si="12"/>
        <v>319335.05599999998</v>
      </c>
      <c r="I180" s="49">
        <f t="shared" si="13"/>
        <v>19335.055999999982</v>
      </c>
      <c r="J180" s="47">
        <f>(SUMIFS(LS[Unit],LS[Investor ID],A180,LS[B/S],"B",LS[Date Value],"&gt;="&amp;$Z$2,LS[Date Value],"&lt;="&amp;$Z$3))+(SUMIFS(SIP[Unit],SIP[Investor ID],A180,SIP[B/S],"B",SIP[Date Value],"&gt;="&amp;$Z$2,SIP[Date Value],"&lt;="&amp;$Z$3))</f>
        <v>28604</v>
      </c>
      <c r="K180" s="49">
        <f>(SUMIFS(LS[Amount],LS[Investor ID],A180,LS[B/S],"B",LS[Date Value],"&gt;="&amp;$Z$2,LS[Date Value],"&lt;="&amp;$Z$3))+(SUMIFS(SIP[Amount],SIP[Investor ID],A180,SIP[B/S],"B",SIP[Date Value],"&gt;="&amp;$Z$2,SIP[Date Value],"&lt;="&amp;$Z$3))</f>
        <v>300000</v>
      </c>
      <c r="L180" s="47">
        <f>(-SUMIFS(LS[Unit],LS[Investor ID],A180,LS[B/S],"S",LS[Date Value],"&gt;="&amp;$Z$2,LS[Date Value],"&lt;="&amp;$Z$3))+(-SUMIFS(SIP[Unit],SIP[Investor ID],A180,SIP[B/S],"S",SIP[Date Value],"&gt;="&amp;$Z$2,SIP[Date Value],"&lt;="&amp;$Z$3))</f>
        <v>0</v>
      </c>
      <c r="M180" s="49">
        <f>(SUMIFS(LS[Cost of Units Sold],LS[Investor ID],A180,LS[B/S],"S",LS[Date Value],"&gt;="&amp;$Z$2,LS[Date Value],"&lt;="&amp;$Z$3))+(SUMIFS(SIP[Cost of Units Sold],SIP[Investor ID],A180,SIP[B/S],"S",SIP[Date Value],"&gt;="&amp;$Z$2,SIP[Date Value],"&lt;="&amp;$Z$3))</f>
        <v>0</v>
      </c>
      <c r="N180" s="49">
        <f t="shared" si="14"/>
        <v>300000</v>
      </c>
      <c r="O180" s="49">
        <f>(SUMIFS(LS[Realized Gain],LS[Investor ID],A180,LS[Date Value],"&gt;="&amp;$Z$2,LS[Date Value],"&lt;="&amp;$Z$3))+(SUMIFS(SIP[Realized Gain],SIP[Investor ID],A180,SIP[Date Value],"&gt;="&amp;$Z$2,SIP[Date Value],"&lt;="&amp;$Z$3))</f>
        <v>0</v>
      </c>
      <c r="P180" s="49">
        <v>0</v>
      </c>
      <c r="Q180" s="49">
        <v>0</v>
      </c>
      <c r="R180" s="49">
        <v>0</v>
      </c>
    </row>
    <row r="181" spans="1:18">
      <c r="A181" t="s">
        <v>411</v>
      </c>
      <c r="B181" s="47">
        <f>SUMIFS(LS[Unit],LS[Investor ID],'TAX CERTIFICATE'!A181,LS[Date Value],"&lt;"&amp;$Z$2)+SUMIFS(SIP[Unit],SIP[Investor ID],'TAX CERTIFICATE'!A181,SIP[Date Value],"&lt;"&amp;$Z$2)</f>
        <v>0</v>
      </c>
      <c r="C181" s="48">
        <f>(SUMIFS(LS[Amount],LS[B/S],"B",LS[Investor ID],A181,LS[Date Value],"&lt;"&amp;$Z$2)-SUMIFS(LS[Cost of Units Sold],LS[B/S],"S",LS[Investor ID],A181,LS[Date Value],"&lt;"&amp;$Z$2))+(SUMIFS(SIP[Amount],SIP[B/S],"B",SIP[Investor ID],#REF!,SIP[Date Value],"&lt;"&amp;$Z$2)-SUMIFS(SIP[Cost of Units Sold],SIP[B/S],"S",SIP[Investor ID],A181,SIP[Date Value],"&lt;"&amp;$Z$2))</f>
        <v>0</v>
      </c>
      <c r="D181" s="49">
        <f t="shared" si="10"/>
        <v>0</v>
      </c>
      <c r="E181" s="49">
        <f t="shared" si="11"/>
        <v>0</v>
      </c>
      <c r="F181" s="47">
        <f>SUMIFS(LS[Unit],LS[Investor ID],A181,LS[Date Value],"&lt;="&amp;$Z$3)+SUMIFS(SIP[Unit],SIP[Investor ID],A181,SIP[Date Value],"&lt;="&amp;$Z$3)</f>
        <v>0</v>
      </c>
      <c r="G181" s="49">
        <f>(SUMIFS(LS[Amount],LS[B/S],"B",LS[Investor ID],A181,LS[Date Value],"&lt;="&amp;$Z$3)-SUMIFS(LS[Cost of Units Sold],LS[B/S],"S",LS[Investor ID],A181,LS[Date Value],"&lt;="&amp;$Z$3))+(SUMIFS(SIP[Amount],SIP[B/S],"B",SIP[Investor ID],A181,SIP[Date Value],"&lt;="&amp;$Z$3)-SUMIFS(SIP[Cost of Units Sold],SIP[B/S],"S",SIP[Investor ID],A181,SIP[Date Value],"&lt;="&amp;$Z$3))</f>
        <v>0</v>
      </c>
      <c r="H181" s="49">
        <f t="shared" si="12"/>
        <v>0</v>
      </c>
      <c r="I181" s="49">
        <f t="shared" si="13"/>
        <v>0</v>
      </c>
      <c r="J181" s="47">
        <f>(SUMIFS(LS[Unit],LS[Investor ID],A181,LS[B/S],"B",LS[Date Value],"&gt;="&amp;$Z$2,LS[Date Value],"&lt;="&amp;$Z$3))+(SUMIFS(SIP[Unit],SIP[Investor ID],A181,SIP[B/S],"B",SIP[Date Value],"&gt;="&amp;$Z$2,SIP[Date Value],"&lt;="&amp;$Z$3))</f>
        <v>0</v>
      </c>
      <c r="K181" s="49">
        <f>(SUMIFS(LS[Amount],LS[Investor ID],A181,LS[B/S],"B",LS[Date Value],"&gt;="&amp;$Z$2,LS[Date Value],"&lt;="&amp;$Z$3))+(SUMIFS(SIP[Amount],SIP[Investor ID],A181,SIP[B/S],"B",SIP[Date Value],"&gt;="&amp;$Z$2,SIP[Date Value],"&lt;="&amp;$Z$3))</f>
        <v>0</v>
      </c>
      <c r="L181" s="47">
        <f>(-SUMIFS(LS[Unit],LS[Investor ID],A181,LS[B/S],"S",LS[Date Value],"&gt;="&amp;$Z$2,LS[Date Value],"&lt;="&amp;$Z$3))+(-SUMIFS(SIP[Unit],SIP[Investor ID],A181,SIP[B/S],"S",SIP[Date Value],"&gt;="&amp;$Z$2,SIP[Date Value],"&lt;="&amp;$Z$3))</f>
        <v>0</v>
      </c>
      <c r="M181" s="49">
        <f>(SUMIFS(LS[Cost of Units Sold],LS[Investor ID],A181,LS[B/S],"S",LS[Date Value],"&gt;="&amp;$Z$2,LS[Date Value],"&lt;="&amp;$Z$3))+(SUMIFS(SIP[Cost of Units Sold],SIP[Investor ID],A181,SIP[B/S],"S",SIP[Date Value],"&gt;="&amp;$Z$2,SIP[Date Value],"&lt;="&amp;$Z$3))</f>
        <v>0</v>
      </c>
      <c r="N181" s="49">
        <f t="shared" si="14"/>
        <v>0</v>
      </c>
      <c r="O181" s="49">
        <f>(SUMIFS(LS[Realized Gain],LS[Investor ID],A181,LS[Date Value],"&gt;="&amp;$Z$2,LS[Date Value],"&lt;="&amp;$Z$3))+(SUMIFS(SIP[Realized Gain],SIP[Investor ID],A181,SIP[Date Value],"&gt;="&amp;$Z$2,SIP[Date Value],"&lt;="&amp;$Z$3))</f>
        <v>0</v>
      </c>
      <c r="P181" s="49">
        <v>0</v>
      </c>
      <c r="Q181" s="49">
        <v>0</v>
      </c>
      <c r="R181" s="49">
        <v>0</v>
      </c>
    </row>
    <row r="182" spans="1:18">
      <c r="A182" t="s">
        <v>413</v>
      </c>
      <c r="B182" s="47">
        <f>SUMIFS(LS[Unit],LS[Investor ID],'TAX CERTIFICATE'!A182,LS[Date Value],"&lt;"&amp;$Z$2)+SUMIFS(SIP[Unit],SIP[Investor ID],'TAX CERTIFICATE'!A182,SIP[Date Value],"&lt;"&amp;$Z$2)</f>
        <v>0</v>
      </c>
      <c r="C182" s="48">
        <f>(SUMIFS(LS[Amount],LS[B/S],"B",LS[Investor ID],A182,LS[Date Value],"&lt;"&amp;$Z$2)-SUMIFS(LS[Cost of Units Sold],LS[B/S],"S",LS[Investor ID],A182,LS[Date Value],"&lt;"&amp;$Z$2))+(SUMIFS(SIP[Amount],SIP[B/S],"B",SIP[Investor ID],#REF!,SIP[Date Value],"&lt;"&amp;$Z$2)-SUMIFS(SIP[Cost of Units Sold],SIP[B/S],"S",SIP[Investor ID],A182,SIP[Date Value],"&lt;"&amp;$Z$2))</f>
        <v>0</v>
      </c>
      <c r="D182" s="49">
        <f t="shared" si="10"/>
        <v>0</v>
      </c>
      <c r="E182" s="49">
        <f t="shared" si="11"/>
        <v>0</v>
      </c>
      <c r="F182" s="47">
        <f>SUMIFS(LS[Unit],LS[Investor ID],A182,LS[Date Value],"&lt;="&amp;$Z$3)+SUMIFS(SIP[Unit],SIP[Investor ID],A182,SIP[Date Value],"&lt;="&amp;$Z$3)</f>
        <v>0</v>
      </c>
      <c r="G182" s="49">
        <f>(SUMIFS(LS[Amount],LS[B/S],"B",LS[Investor ID],A182,LS[Date Value],"&lt;="&amp;$Z$3)-SUMIFS(LS[Cost of Units Sold],LS[B/S],"S",LS[Investor ID],A182,LS[Date Value],"&lt;="&amp;$Z$3))+(SUMIFS(SIP[Amount],SIP[B/S],"B",SIP[Investor ID],A182,SIP[Date Value],"&lt;="&amp;$Z$3)-SUMIFS(SIP[Cost of Units Sold],SIP[B/S],"S",SIP[Investor ID],A182,SIP[Date Value],"&lt;="&amp;$Z$3))</f>
        <v>0</v>
      </c>
      <c r="H182" s="49">
        <f t="shared" si="12"/>
        <v>0</v>
      </c>
      <c r="I182" s="49">
        <f t="shared" si="13"/>
        <v>0</v>
      </c>
      <c r="J182" s="47">
        <f>(SUMIFS(LS[Unit],LS[Investor ID],A182,LS[B/S],"B",LS[Date Value],"&gt;="&amp;$Z$2,LS[Date Value],"&lt;="&amp;$Z$3))+(SUMIFS(SIP[Unit],SIP[Investor ID],A182,SIP[B/S],"B",SIP[Date Value],"&gt;="&amp;$Z$2,SIP[Date Value],"&lt;="&amp;$Z$3))</f>
        <v>0</v>
      </c>
      <c r="K182" s="49">
        <f>(SUMIFS(LS[Amount],LS[Investor ID],A182,LS[B/S],"B",LS[Date Value],"&gt;="&amp;$Z$2,LS[Date Value],"&lt;="&amp;$Z$3))+(SUMIFS(SIP[Amount],SIP[Investor ID],A182,SIP[B/S],"B",SIP[Date Value],"&gt;="&amp;$Z$2,SIP[Date Value],"&lt;="&amp;$Z$3))</f>
        <v>0</v>
      </c>
      <c r="L182" s="47">
        <f>(-SUMIFS(LS[Unit],LS[Investor ID],A182,LS[B/S],"S",LS[Date Value],"&gt;="&amp;$Z$2,LS[Date Value],"&lt;="&amp;$Z$3))+(-SUMIFS(SIP[Unit],SIP[Investor ID],A182,SIP[B/S],"S",SIP[Date Value],"&gt;="&amp;$Z$2,SIP[Date Value],"&lt;="&amp;$Z$3))</f>
        <v>0</v>
      </c>
      <c r="M182" s="49">
        <f>(SUMIFS(LS[Cost of Units Sold],LS[Investor ID],A182,LS[B/S],"S",LS[Date Value],"&gt;="&amp;$Z$2,LS[Date Value],"&lt;="&amp;$Z$3))+(SUMIFS(SIP[Cost of Units Sold],SIP[Investor ID],A182,SIP[B/S],"S",SIP[Date Value],"&gt;="&amp;$Z$2,SIP[Date Value],"&lt;="&amp;$Z$3))</f>
        <v>0</v>
      </c>
      <c r="N182" s="49">
        <f t="shared" si="14"/>
        <v>0</v>
      </c>
      <c r="O182" s="49">
        <f>(SUMIFS(LS[Realized Gain],LS[Investor ID],A182,LS[Date Value],"&gt;="&amp;$Z$2,LS[Date Value],"&lt;="&amp;$Z$3))+(SUMIFS(SIP[Realized Gain],SIP[Investor ID],A182,SIP[Date Value],"&gt;="&amp;$Z$2,SIP[Date Value],"&lt;="&amp;$Z$3))</f>
        <v>0</v>
      </c>
      <c r="P182" s="49">
        <v>0</v>
      </c>
      <c r="Q182" s="49">
        <v>0</v>
      </c>
      <c r="R182" s="49">
        <v>0</v>
      </c>
    </row>
    <row r="183" spans="1:18">
      <c r="A183" t="s">
        <v>415</v>
      </c>
      <c r="B183" s="47">
        <f>SUMIFS(LS[Unit],LS[Investor ID],'TAX CERTIFICATE'!A183,LS[Date Value],"&lt;"&amp;$Z$2)+SUMIFS(SIP[Unit],SIP[Investor ID],'TAX CERTIFICATE'!A183,SIP[Date Value],"&lt;"&amp;$Z$2)</f>
        <v>0</v>
      </c>
      <c r="C183" s="48">
        <f>(SUMIFS(LS[Amount],LS[B/S],"B",LS[Investor ID],A183,LS[Date Value],"&lt;"&amp;$Z$2)-SUMIFS(LS[Cost of Units Sold],LS[B/S],"S",LS[Investor ID],A183,LS[Date Value],"&lt;"&amp;$Z$2))+(SUMIFS(SIP[Amount],SIP[B/S],"B",SIP[Investor ID],#REF!,SIP[Date Value],"&lt;"&amp;$Z$2)-SUMIFS(SIP[Cost of Units Sold],SIP[B/S],"S",SIP[Investor ID],A183,SIP[Date Value],"&lt;"&amp;$Z$2))</f>
        <v>0</v>
      </c>
      <c r="D183" s="49">
        <f t="shared" si="10"/>
        <v>0</v>
      </c>
      <c r="E183" s="49">
        <f t="shared" si="11"/>
        <v>0</v>
      </c>
      <c r="F183" s="47">
        <f>SUMIFS(LS[Unit],LS[Investor ID],A183,LS[Date Value],"&lt;="&amp;$Z$3)+SUMIFS(SIP[Unit],SIP[Investor ID],A183,SIP[Date Value],"&lt;="&amp;$Z$3)</f>
        <v>0</v>
      </c>
      <c r="G183" s="49">
        <f>(SUMIFS(LS[Amount],LS[B/S],"B",LS[Investor ID],A183,LS[Date Value],"&lt;="&amp;$Z$3)-SUMIFS(LS[Cost of Units Sold],LS[B/S],"S",LS[Investor ID],A183,LS[Date Value],"&lt;="&amp;$Z$3))+(SUMIFS(SIP[Amount],SIP[B/S],"B",SIP[Investor ID],A183,SIP[Date Value],"&lt;="&amp;$Z$3)-SUMIFS(SIP[Cost of Units Sold],SIP[B/S],"S",SIP[Investor ID],A183,SIP[Date Value],"&lt;="&amp;$Z$3))</f>
        <v>0</v>
      </c>
      <c r="H183" s="49">
        <f t="shared" si="12"/>
        <v>0</v>
      </c>
      <c r="I183" s="49">
        <f t="shared" si="13"/>
        <v>0</v>
      </c>
      <c r="J183" s="47">
        <f>(SUMIFS(LS[Unit],LS[Investor ID],A183,LS[B/S],"B",LS[Date Value],"&gt;="&amp;$Z$2,LS[Date Value],"&lt;="&amp;$Z$3))+(SUMIFS(SIP[Unit],SIP[Investor ID],A183,SIP[B/S],"B",SIP[Date Value],"&gt;="&amp;$Z$2,SIP[Date Value],"&lt;="&amp;$Z$3))</f>
        <v>0</v>
      </c>
      <c r="K183" s="49">
        <f>(SUMIFS(LS[Amount],LS[Investor ID],A183,LS[B/S],"B",LS[Date Value],"&gt;="&amp;$Z$2,LS[Date Value],"&lt;="&amp;$Z$3))+(SUMIFS(SIP[Amount],SIP[Investor ID],A183,SIP[B/S],"B",SIP[Date Value],"&gt;="&amp;$Z$2,SIP[Date Value],"&lt;="&amp;$Z$3))</f>
        <v>0</v>
      </c>
      <c r="L183" s="47">
        <f>(-SUMIFS(LS[Unit],LS[Investor ID],A183,LS[B/S],"S",LS[Date Value],"&gt;="&amp;$Z$2,LS[Date Value],"&lt;="&amp;$Z$3))+(-SUMIFS(SIP[Unit],SIP[Investor ID],A183,SIP[B/S],"S",SIP[Date Value],"&gt;="&amp;$Z$2,SIP[Date Value],"&lt;="&amp;$Z$3))</f>
        <v>0</v>
      </c>
      <c r="M183" s="49">
        <f>(SUMIFS(LS[Cost of Units Sold],LS[Investor ID],A183,LS[B/S],"S",LS[Date Value],"&gt;="&amp;$Z$2,LS[Date Value],"&lt;="&amp;$Z$3))+(SUMIFS(SIP[Cost of Units Sold],SIP[Investor ID],A183,SIP[B/S],"S",SIP[Date Value],"&gt;="&amp;$Z$2,SIP[Date Value],"&lt;="&amp;$Z$3))</f>
        <v>0</v>
      </c>
      <c r="N183" s="49">
        <f t="shared" si="14"/>
        <v>0</v>
      </c>
      <c r="O183" s="49">
        <f>(SUMIFS(LS[Realized Gain],LS[Investor ID],A183,LS[Date Value],"&gt;="&amp;$Z$2,LS[Date Value],"&lt;="&amp;$Z$3))+(SUMIFS(SIP[Realized Gain],SIP[Investor ID],A183,SIP[Date Value],"&gt;="&amp;$Z$2,SIP[Date Value],"&lt;="&amp;$Z$3))</f>
        <v>0</v>
      </c>
      <c r="P183" s="49">
        <v>0</v>
      </c>
      <c r="Q183" s="49">
        <v>0</v>
      </c>
      <c r="R183" s="49">
        <v>0</v>
      </c>
    </row>
    <row r="184" spans="1:18">
      <c r="A184" t="s">
        <v>417</v>
      </c>
      <c r="B184" s="47">
        <f>SUMIFS(LS[Unit],LS[Investor ID],'TAX CERTIFICATE'!A184,LS[Date Value],"&lt;"&amp;$Z$2)+SUMIFS(SIP[Unit],SIP[Investor ID],'TAX CERTIFICATE'!A184,SIP[Date Value],"&lt;"&amp;$Z$2)</f>
        <v>0</v>
      </c>
      <c r="C184" s="48">
        <f>(SUMIFS(LS[Amount],LS[B/S],"B",LS[Investor ID],A184,LS[Date Value],"&lt;"&amp;$Z$2)-SUMIFS(LS[Cost of Units Sold],LS[B/S],"S",LS[Investor ID],A184,LS[Date Value],"&lt;"&amp;$Z$2))+(SUMIFS(SIP[Amount],SIP[B/S],"B",SIP[Investor ID],#REF!,SIP[Date Value],"&lt;"&amp;$Z$2)-SUMIFS(SIP[Cost of Units Sold],SIP[B/S],"S",SIP[Investor ID],A184,SIP[Date Value],"&lt;"&amp;$Z$2))</f>
        <v>0</v>
      </c>
      <c r="D184" s="49">
        <f t="shared" si="10"/>
        <v>0</v>
      </c>
      <c r="E184" s="49">
        <f t="shared" si="11"/>
        <v>0</v>
      </c>
      <c r="F184" s="47">
        <f>SUMIFS(LS[Unit],LS[Investor ID],A184,LS[Date Value],"&lt;="&amp;$Z$3)+SUMIFS(SIP[Unit],SIP[Investor ID],A184,SIP[Date Value],"&lt;="&amp;$Z$3)</f>
        <v>0</v>
      </c>
      <c r="G184" s="49">
        <f>(SUMIFS(LS[Amount],LS[B/S],"B",LS[Investor ID],A184,LS[Date Value],"&lt;="&amp;$Z$3)-SUMIFS(LS[Cost of Units Sold],LS[B/S],"S",LS[Investor ID],A184,LS[Date Value],"&lt;="&amp;$Z$3))+(SUMIFS(SIP[Amount],SIP[B/S],"B",SIP[Investor ID],A184,SIP[Date Value],"&lt;="&amp;$Z$3)-SUMIFS(SIP[Cost of Units Sold],SIP[B/S],"S",SIP[Investor ID],A184,SIP[Date Value],"&lt;="&amp;$Z$3))</f>
        <v>0</v>
      </c>
      <c r="H184" s="49">
        <f t="shared" si="12"/>
        <v>0</v>
      </c>
      <c r="I184" s="49">
        <f t="shared" si="13"/>
        <v>0</v>
      </c>
      <c r="J184" s="47">
        <f>(SUMIFS(LS[Unit],LS[Investor ID],A184,LS[B/S],"B",LS[Date Value],"&gt;="&amp;$Z$2,LS[Date Value],"&lt;="&amp;$Z$3))+(SUMIFS(SIP[Unit],SIP[Investor ID],A184,SIP[B/S],"B",SIP[Date Value],"&gt;="&amp;$Z$2,SIP[Date Value],"&lt;="&amp;$Z$3))</f>
        <v>0</v>
      </c>
      <c r="K184" s="49">
        <f>(SUMIFS(LS[Amount],LS[Investor ID],A184,LS[B/S],"B",LS[Date Value],"&gt;="&amp;$Z$2,LS[Date Value],"&lt;="&amp;$Z$3))+(SUMIFS(SIP[Amount],SIP[Investor ID],A184,SIP[B/S],"B",SIP[Date Value],"&gt;="&amp;$Z$2,SIP[Date Value],"&lt;="&amp;$Z$3))</f>
        <v>0</v>
      </c>
      <c r="L184" s="47">
        <f>(-SUMIFS(LS[Unit],LS[Investor ID],A184,LS[B/S],"S",LS[Date Value],"&gt;="&amp;$Z$2,LS[Date Value],"&lt;="&amp;$Z$3))+(-SUMIFS(SIP[Unit],SIP[Investor ID],A184,SIP[B/S],"S",SIP[Date Value],"&gt;="&amp;$Z$2,SIP[Date Value],"&lt;="&amp;$Z$3))</f>
        <v>0</v>
      </c>
      <c r="M184" s="49">
        <f>(SUMIFS(LS[Cost of Units Sold],LS[Investor ID],A184,LS[B/S],"S",LS[Date Value],"&gt;="&amp;$Z$2,LS[Date Value],"&lt;="&amp;$Z$3))+(SUMIFS(SIP[Cost of Units Sold],SIP[Investor ID],A184,SIP[B/S],"S",SIP[Date Value],"&gt;="&amp;$Z$2,SIP[Date Value],"&lt;="&amp;$Z$3))</f>
        <v>0</v>
      </c>
      <c r="N184" s="49">
        <f t="shared" si="14"/>
        <v>0</v>
      </c>
      <c r="O184" s="49">
        <f>(SUMIFS(LS[Realized Gain],LS[Investor ID],A184,LS[Date Value],"&gt;="&amp;$Z$2,LS[Date Value],"&lt;="&amp;$Z$3))+(SUMIFS(SIP[Realized Gain],SIP[Investor ID],A184,SIP[Date Value],"&gt;="&amp;$Z$2,SIP[Date Value],"&lt;="&amp;$Z$3))</f>
        <v>0</v>
      </c>
      <c r="P184" s="49">
        <v>0</v>
      </c>
      <c r="Q184" s="49">
        <v>0</v>
      </c>
      <c r="R184" s="49">
        <v>0</v>
      </c>
    </row>
    <row r="185" spans="1:18">
      <c r="A185" t="s">
        <v>419</v>
      </c>
      <c r="B185" s="47">
        <f>SUMIFS(LS[Unit],LS[Investor ID],'TAX CERTIFICATE'!A185,LS[Date Value],"&lt;"&amp;$Z$2)+SUMIFS(SIP[Unit],SIP[Investor ID],'TAX CERTIFICATE'!A185,SIP[Date Value],"&lt;"&amp;$Z$2)</f>
        <v>0</v>
      </c>
      <c r="C185" s="48">
        <f>(SUMIFS(LS[Amount],LS[B/S],"B",LS[Investor ID],A185,LS[Date Value],"&lt;"&amp;$Z$2)-SUMIFS(LS[Cost of Units Sold],LS[B/S],"S",LS[Investor ID],A185,LS[Date Value],"&lt;"&amp;$Z$2))+(SUMIFS(SIP[Amount],SIP[B/S],"B",SIP[Investor ID],#REF!,SIP[Date Value],"&lt;"&amp;$Z$2)-SUMIFS(SIP[Cost of Units Sold],SIP[B/S],"S",SIP[Investor ID],A185,SIP[Date Value],"&lt;"&amp;$Z$2))</f>
        <v>0</v>
      </c>
      <c r="D185" s="49">
        <f t="shared" si="10"/>
        <v>0</v>
      </c>
      <c r="E185" s="49">
        <f t="shared" si="11"/>
        <v>0</v>
      </c>
      <c r="F185" s="47">
        <f>SUMIFS(LS[Unit],LS[Investor ID],A185,LS[Date Value],"&lt;="&amp;$Z$3)+SUMIFS(SIP[Unit],SIP[Investor ID],A185,SIP[Date Value],"&lt;="&amp;$Z$3)</f>
        <v>0</v>
      </c>
      <c r="G185" s="49">
        <f>(SUMIFS(LS[Amount],LS[B/S],"B",LS[Investor ID],A185,LS[Date Value],"&lt;="&amp;$Z$3)-SUMIFS(LS[Cost of Units Sold],LS[B/S],"S",LS[Investor ID],A185,LS[Date Value],"&lt;="&amp;$Z$3))+(SUMIFS(SIP[Amount],SIP[B/S],"B",SIP[Investor ID],A185,SIP[Date Value],"&lt;="&amp;$Z$3)-SUMIFS(SIP[Cost of Units Sold],SIP[B/S],"S",SIP[Investor ID],A185,SIP[Date Value],"&lt;="&amp;$Z$3))</f>
        <v>0</v>
      </c>
      <c r="H185" s="49">
        <f t="shared" si="12"/>
        <v>0</v>
      </c>
      <c r="I185" s="49">
        <f t="shared" si="13"/>
        <v>0</v>
      </c>
      <c r="J185" s="47">
        <f>(SUMIFS(LS[Unit],LS[Investor ID],A185,LS[B/S],"B",LS[Date Value],"&gt;="&amp;$Z$2,LS[Date Value],"&lt;="&amp;$Z$3))+(SUMIFS(SIP[Unit],SIP[Investor ID],A185,SIP[B/S],"B",SIP[Date Value],"&gt;="&amp;$Z$2,SIP[Date Value],"&lt;="&amp;$Z$3))</f>
        <v>0</v>
      </c>
      <c r="K185" s="49">
        <f>(SUMIFS(LS[Amount],LS[Investor ID],A185,LS[B/S],"B",LS[Date Value],"&gt;="&amp;$Z$2,LS[Date Value],"&lt;="&amp;$Z$3))+(SUMIFS(SIP[Amount],SIP[Investor ID],A185,SIP[B/S],"B",SIP[Date Value],"&gt;="&amp;$Z$2,SIP[Date Value],"&lt;="&amp;$Z$3))</f>
        <v>0</v>
      </c>
      <c r="L185" s="47">
        <f>(-SUMIFS(LS[Unit],LS[Investor ID],A185,LS[B/S],"S",LS[Date Value],"&gt;="&amp;$Z$2,LS[Date Value],"&lt;="&amp;$Z$3))+(-SUMIFS(SIP[Unit],SIP[Investor ID],A185,SIP[B/S],"S",SIP[Date Value],"&gt;="&amp;$Z$2,SIP[Date Value],"&lt;="&amp;$Z$3))</f>
        <v>0</v>
      </c>
      <c r="M185" s="49">
        <f>(SUMIFS(LS[Cost of Units Sold],LS[Investor ID],A185,LS[B/S],"S",LS[Date Value],"&gt;="&amp;$Z$2,LS[Date Value],"&lt;="&amp;$Z$3))+(SUMIFS(SIP[Cost of Units Sold],SIP[Investor ID],A185,SIP[B/S],"S",SIP[Date Value],"&gt;="&amp;$Z$2,SIP[Date Value],"&lt;="&amp;$Z$3))</f>
        <v>0</v>
      </c>
      <c r="N185" s="49">
        <f t="shared" si="14"/>
        <v>0</v>
      </c>
      <c r="O185" s="49">
        <f>(SUMIFS(LS[Realized Gain],LS[Investor ID],A185,LS[Date Value],"&gt;="&amp;$Z$2,LS[Date Value],"&lt;="&amp;$Z$3))+(SUMIFS(SIP[Realized Gain],SIP[Investor ID],A185,SIP[Date Value],"&gt;="&amp;$Z$2,SIP[Date Value],"&lt;="&amp;$Z$3))</f>
        <v>0</v>
      </c>
      <c r="P185" s="49">
        <v>0</v>
      </c>
      <c r="Q185" s="49">
        <v>0</v>
      </c>
      <c r="R185" s="49">
        <v>0</v>
      </c>
    </row>
    <row r="186" spans="1:18">
      <c r="A186" t="s">
        <v>421</v>
      </c>
      <c r="B186" s="47">
        <f>SUMIFS(LS[Unit],LS[Investor ID],'TAX CERTIFICATE'!A186,LS[Date Value],"&lt;"&amp;$Z$2)+SUMIFS(SIP[Unit],SIP[Investor ID],'TAX CERTIFICATE'!A186,SIP[Date Value],"&lt;"&amp;$Z$2)</f>
        <v>0</v>
      </c>
      <c r="C186" s="48">
        <f>(SUMIFS(LS[Amount],LS[B/S],"B",LS[Investor ID],A186,LS[Date Value],"&lt;"&amp;$Z$2)-SUMIFS(LS[Cost of Units Sold],LS[B/S],"S",LS[Investor ID],A186,LS[Date Value],"&lt;"&amp;$Z$2))+(SUMIFS(SIP[Amount],SIP[B/S],"B",SIP[Investor ID],#REF!,SIP[Date Value],"&lt;"&amp;$Z$2)-SUMIFS(SIP[Cost of Units Sold],SIP[B/S],"S",SIP[Investor ID],A186,SIP[Date Value],"&lt;"&amp;$Z$2))</f>
        <v>0</v>
      </c>
      <c r="D186" s="49">
        <f t="shared" si="10"/>
        <v>0</v>
      </c>
      <c r="E186" s="49">
        <f t="shared" si="11"/>
        <v>0</v>
      </c>
      <c r="F186" s="47">
        <f>SUMIFS(LS[Unit],LS[Investor ID],A186,LS[Date Value],"&lt;="&amp;$Z$3)+SUMIFS(SIP[Unit],SIP[Investor ID],A186,SIP[Date Value],"&lt;="&amp;$Z$3)</f>
        <v>0</v>
      </c>
      <c r="G186" s="49">
        <f>(SUMIFS(LS[Amount],LS[B/S],"B",LS[Investor ID],A186,LS[Date Value],"&lt;="&amp;$Z$3)-SUMIFS(LS[Cost of Units Sold],LS[B/S],"S",LS[Investor ID],A186,LS[Date Value],"&lt;="&amp;$Z$3))+(SUMIFS(SIP[Amount],SIP[B/S],"B",SIP[Investor ID],A186,SIP[Date Value],"&lt;="&amp;$Z$3)-SUMIFS(SIP[Cost of Units Sold],SIP[B/S],"S",SIP[Investor ID],A186,SIP[Date Value],"&lt;="&amp;$Z$3))</f>
        <v>0</v>
      </c>
      <c r="H186" s="49">
        <f t="shared" si="12"/>
        <v>0</v>
      </c>
      <c r="I186" s="49">
        <f t="shared" si="13"/>
        <v>0</v>
      </c>
      <c r="J186" s="47">
        <f>(SUMIFS(LS[Unit],LS[Investor ID],A186,LS[B/S],"B",LS[Date Value],"&gt;="&amp;$Z$2,LS[Date Value],"&lt;="&amp;$Z$3))+(SUMIFS(SIP[Unit],SIP[Investor ID],A186,SIP[B/S],"B",SIP[Date Value],"&gt;="&amp;$Z$2,SIP[Date Value],"&lt;="&amp;$Z$3))</f>
        <v>0</v>
      </c>
      <c r="K186" s="49">
        <f>(SUMIFS(LS[Amount],LS[Investor ID],A186,LS[B/S],"B",LS[Date Value],"&gt;="&amp;$Z$2,LS[Date Value],"&lt;="&amp;$Z$3))+(SUMIFS(SIP[Amount],SIP[Investor ID],A186,SIP[B/S],"B",SIP[Date Value],"&gt;="&amp;$Z$2,SIP[Date Value],"&lt;="&amp;$Z$3))</f>
        <v>0</v>
      </c>
      <c r="L186" s="47">
        <f>(-SUMIFS(LS[Unit],LS[Investor ID],A186,LS[B/S],"S",LS[Date Value],"&gt;="&amp;$Z$2,LS[Date Value],"&lt;="&amp;$Z$3))+(-SUMIFS(SIP[Unit],SIP[Investor ID],A186,SIP[B/S],"S",SIP[Date Value],"&gt;="&amp;$Z$2,SIP[Date Value],"&lt;="&amp;$Z$3))</f>
        <v>0</v>
      </c>
      <c r="M186" s="49">
        <f>(SUMIFS(LS[Cost of Units Sold],LS[Investor ID],A186,LS[B/S],"S",LS[Date Value],"&gt;="&amp;$Z$2,LS[Date Value],"&lt;="&amp;$Z$3))+(SUMIFS(SIP[Cost of Units Sold],SIP[Investor ID],A186,SIP[B/S],"S",SIP[Date Value],"&gt;="&amp;$Z$2,SIP[Date Value],"&lt;="&amp;$Z$3))</f>
        <v>0</v>
      </c>
      <c r="N186" s="49">
        <f t="shared" si="14"/>
        <v>0</v>
      </c>
      <c r="O186" s="49">
        <f>(SUMIFS(LS[Realized Gain],LS[Investor ID],A186,LS[Date Value],"&gt;="&amp;$Z$2,LS[Date Value],"&lt;="&amp;$Z$3))+(SUMIFS(SIP[Realized Gain],SIP[Investor ID],A186,SIP[Date Value],"&gt;="&amp;$Z$2,SIP[Date Value],"&lt;="&amp;$Z$3))</f>
        <v>0</v>
      </c>
      <c r="P186" s="49">
        <v>0</v>
      </c>
      <c r="Q186" s="49">
        <v>0</v>
      </c>
      <c r="R186" s="49">
        <v>0</v>
      </c>
    </row>
    <row r="187" spans="1:18">
      <c r="A187" t="s">
        <v>423</v>
      </c>
      <c r="B187" s="47">
        <f>SUMIFS(LS[Unit],LS[Investor ID],'TAX CERTIFICATE'!A187,LS[Date Value],"&lt;"&amp;$Z$2)+SUMIFS(SIP[Unit],SIP[Investor ID],'TAX CERTIFICATE'!A187,SIP[Date Value],"&lt;"&amp;$Z$2)</f>
        <v>0</v>
      </c>
      <c r="C187" s="48">
        <f>(SUMIFS(LS[Amount],LS[B/S],"B",LS[Investor ID],A187,LS[Date Value],"&lt;"&amp;$Z$2)-SUMIFS(LS[Cost of Units Sold],LS[B/S],"S",LS[Investor ID],A187,LS[Date Value],"&lt;"&amp;$Z$2))+(SUMIFS(SIP[Amount],SIP[B/S],"B",SIP[Investor ID],#REF!,SIP[Date Value],"&lt;"&amp;$Z$2)-SUMIFS(SIP[Cost of Units Sold],SIP[B/S],"S",SIP[Investor ID],A187,SIP[Date Value],"&lt;"&amp;$Z$2))</f>
        <v>0</v>
      </c>
      <c r="D187" s="49">
        <f t="shared" si="10"/>
        <v>0</v>
      </c>
      <c r="E187" s="49">
        <f t="shared" si="11"/>
        <v>0</v>
      </c>
      <c r="F187" s="47">
        <f>SUMIFS(LS[Unit],LS[Investor ID],A187,LS[Date Value],"&lt;="&amp;$Z$3)+SUMIFS(SIP[Unit],SIP[Investor ID],A187,SIP[Date Value],"&lt;="&amp;$Z$3)</f>
        <v>0</v>
      </c>
      <c r="G187" s="49">
        <f>(SUMIFS(LS[Amount],LS[B/S],"B",LS[Investor ID],A187,LS[Date Value],"&lt;="&amp;$Z$3)-SUMIFS(LS[Cost of Units Sold],LS[B/S],"S",LS[Investor ID],A187,LS[Date Value],"&lt;="&amp;$Z$3))+(SUMIFS(SIP[Amount],SIP[B/S],"B",SIP[Investor ID],A187,SIP[Date Value],"&lt;="&amp;$Z$3)-SUMIFS(SIP[Cost of Units Sold],SIP[B/S],"S",SIP[Investor ID],A187,SIP[Date Value],"&lt;="&amp;$Z$3))</f>
        <v>0</v>
      </c>
      <c r="H187" s="49">
        <f t="shared" si="12"/>
        <v>0</v>
      </c>
      <c r="I187" s="49">
        <f t="shared" si="13"/>
        <v>0</v>
      </c>
      <c r="J187" s="47">
        <f>(SUMIFS(LS[Unit],LS[Investor ID],A187,LS[B/S],"B",LS[Date Value],"&gt;="&amp;$Z$2,LS[Date Value],"&lt;="&amp;$Z$3))+(SUMIFS(SIP[Unit],SIP[Investor ID],A187,SIP[B/S],"B",SIP[Date Value],"&gt;="&amp;$Z$2,SIP[Date Value],"&lt;="&amp;$Z$3))</f>
        <v>0</v>
      </c>
      <c r="K187" s="49">
        <f>(SUMIFS(LS[Amount],LS[Investor ID],A187,LS[B/S],"B",LS[Date Value],"&gt;="&amp;$Z$2,LS[Date Value],"&lt;="&amp;$Z$3))+(SUMIFS(SIP[Amount],SIP[Investor ID],A187,SIP[B/S],"B",SIP[Date Value],"&gt;="&amp;$Z$2,SIP[Date Value],"&lt;="&amp;$Z$3))</f>
        <v>0</v>
      </c>
      <c r="L187" s="47">
        <f>(-SUMIFS(LS[Unit],LS[Investor ID],A187,LS[B/S],"S",LS[Date Value],"&gt;="&amp;$Z$2,LS[Date Value],"&lt;="&amp;$Z$3))+(-SUMIFS(SIP[Unit],SIP[Investor ID],A187,SIP[B/S],"S",SIP[Date Value],"&gt;="&amp;$Z$2,SIP[Date Value],"&lt;="&amp;$Z$3))</f>
        <v>0</v>
      </c>
      <c r="M187" s="49">
        <f>(SUMIFS(LS[Cost of Units Sold],LS[Investor ID],A187,LS[B/S],"S",LS[Date Value],"&gt;="&amp;$Z$2,LS[Date Value],"&lt;="&amp;$Z$3))+(SUMIFS(SIP[Cost of Units Sold],SIP[Investor ID],A187,SIP[B/S],"S",SIP[Date Value],"&gt;="&amp;$Z$2,SIP[Date Value],"&lt;="&amp;$Z$3))</f>
        <v>0</v>
      </c>
      <c r="N187" s="49">
        <f t="shared" si="14"/>
        <v>0</v>
      </c>
      <c r="O187" s="49">
        <f>(SUMIFS(LS[Realized Gain],LS[Investor ID],A187,LS[Date Value],"&gt;="&amp;$Z$2,LS[Date Value],"&lt;="&amp;$Z$3))+(SUMIFS(SIP[Realized Gain],SIP[Investor ID],A187,SIP[Date Value],"&gt;="&amp;$Z$2,SIP[Date Value],"&lt;="&amp;$Z$3))</f>
        <v>0</v>
      </c>
      <c r="P187" s="49">
        <v>0</v>
      </c>
      <c r="Q187" s="49">
        <v>0</v>
      </c>
      <c r="R187" s="49">
        <v>0</v>
      </c>
    </row>
    <row r="188" spans="1:18">
      <c r="A188" t="s">
        <v>425</v>
      </c>
      <c r="B188" s="47">
        <f>SUMIFS(LS[Unit],LS[Investor ID],'TAX CERTIFICATE'!A188,LS[Date Value],"&lt;"&amp;$Z$2)+SUMIFS(SIP[Unit],SIP[Investor ID],'TAX CERTIFICATE'!A188,SIP[Date Value],"&lt;"&amp;$Z$2)</f>
        <v>0</v>
      </c>
      <c r="C188" s="48">
        <f>(SUMIFS(LS[Amount],LS[B/S],"B",LS[Investor ID],A188,LS[Date Value],"&lt;"&amp;$Z$2)-SUMIFS(LS[Cost of Units Sold],LS[B/S],"S",LS[Investor ID],A188,LS[Date Value],"&lt;"&amp;$Z$2))+(SUMIFS(SIP[Amount],SIP[B/S],"B",SIP[Investor ID],#REF!,SIP[Date Value],"&lt;"&amp;$Z$2)-SUMIFS(SIP[Cost of Units Sold],SIP[B/S],"S",SIP[Investor ID],A188,SIP[Date Value],"&lt;"&amp;$Z$2))</f>
        <v>0</v>
      </c>
      <c r="D188" s="49">
        <f t="shared" si="10"/>
        <v>0</v>
      </c>
      <c r="E188" s="49">
        <f t="shared" si="11"/>
        <v>0</v>
      </c>
      <c r="F188" s="47">
        <f>SUMIFS(LS[Unit],LS[Investor ID],A188,LS[Date Value],"&lt;="&amp;$Z$3)+SUMIFS(SIP[Unit],SIP[Investor ID],A188,SIP[Date Value],"&lt;="&amp;$Z$3)</f>
        <v>0</v>
      </c>
      <c r="G188" s="49">
        <f>(SUMIFS(LS[Amount],LS[B/S],"B",LS[Investor ID],A188,LS[Date Value],"&lt;="&amp;$Z$3)-SUMIFS(LS[Cost of Units Sold],LS[B/S],"S",LS[Investor ID],A188,LS[Date Value],"&lt;="&amp;$Z$3))+(SUMIFS(SIP[Amount],SIP[B/S],"B",SIP[Investor ID],A188,SIP[Date Value],"&lt;="&amp;$Z$3)-SUMIFS(SIP[Cost of Units Sold],SIP[B/S],"S",SIP[Investor ID],A188,SIP[Date Value],"&lt;="&amp;$Z$3))</f>
        <v>0</v>
      </c>
      <c r="H188" s="49">
        <f t="shared" si="12"/>
        <v>0</v>
      </c>
      <c r="I188" s="49">
        <f t="shared" si="13"/>
        <v>0</v>
      </c>
      <c r="J188" s="47">
        <f>(SUMIFS(LS[Unit],LS[Investor ID],A188,LS[B/S],"B",LS[Date Value],"&gt;="&amp;$Z$2,LS[Date Value],"&lt;="&amp;$Z$3))+(SUMIFS(SIP[Unit],SIP[Investor ID],A188,SIP[B/S],"B",SIP[Date Value],"&gt;="&amp;$Z$2,SIP[Date Value],"&lt;="&amp;$Z$3))</f>
        <v>0</v>
      </c>
      <c r="K188" s="49">
        <f>(SUMIFS(LS[Amount],LS[Investor ID],A188,LS[B/S],"B",LS[Date Value],"&gt;="&amp;$Z$2,LS[Date Value],"&lt;="&amp;$Z$3))+(SUMIFS(SIP[Amount],SIP[Investor ID],A188,SIP[B/S],"B",SIP[Date Value],"&gt;="&amp;$Z$2,SIP[Date Value],"&lt;="&amp;$Z$3))</f>
        <v>0</v>
      </c>
      <c r="L188" s="47">
        <f>(-SUMIFS(LS[Unit],LS[Investor ID],A188,LS[B/S],"S",LS[Date Value],"&gt;="&amp;$Z$2,LS[Date Value],"&lt;="&amp;$Z$3))+(-SUMIFS(SIP[Unit],SIP[Investor ID],A188,SIP[B/S],"S",SIP[Date Value],"&gt;="&amp;$Z$2,SIP[Date Value],"&lt;="&amp;$Z$3))</f>
        <v>0</v>
      </c>
      <c r="M188" s="49">
        <f>(SUMIFS(LS[Cost of Units Sold],LS[Investor ID],A188,LS[B/S],"S",LS[Date Value],"&gt;="&amp;$Z$2,LS[Date Value],"&lt;="&amp;$Z$3))+(SUMIFS(SIP[Cost of Units Sold],SIP[Investor ID],A188,SIP[B/S],"S",SIP[Date Value],"&gt;="&amp;$Z$2,SIP[Date Value],"&lt;="&amp;$Z$3))</f>
        <v>0</v>
      </c>
      <c r="N188" s="49">
        <f t="shared" si="14"/>
        <v>0</v>
      </c>
      <c r="O188" s="49">
        <f>(SUMIFS(LS[Realized Gain],LS[Investor ID],A188,LS[Date Value],"&gt;="&amp;$Z$2,LS[Date Value],"&lt;="&amp;$Z$3))+(SUMIFS(SIP[Realized Gain],SIP[Investor ID],A188,SIP[Date Value],"&gt;="&amp;$Z$2,SIP[Date Value],"&lt;="&amp;$Z$3))</f>
        <v>0</v>
      </c>
      <c r="P188" s="49">
        <v>0</v>
      </c>
      <c r="Q188" s="49">
        <v>0</v>
      </c>
      <c r="R188" s="49">
        <v>0</v>
      </c>
    </row>
    <row r="189" spans="1:18">
      <c r="A189" t="s">
        <v>427</v>
      </c>
      <c r="B189" s="47">
        <f>SUMIFS(LS[Unit],LS[Investor ID],'TAX CERTIFICATE'!A189,LS[Date Value],"&lt;"&amp;$Z$2)+SUMIFS(SIP[Unit],SIP[Investor ID],'TAX CERTIFICATE'!A189,SIP[Date Value],"&lt;"&amp;$Z$2)</f>
        <v>0</v>
      </c>
      <c r="C189" s="48">
        <f>(SUMIFS(LS[Amount],LS[B/S],"B",LS[Investor ID],A189,LS[Date Value],"&lt;"&amp;$Z$2)-SUMIFS(LS[Cost of Units Sold],LS[B/S],"S",LS[Investor ID],A189,LS[Date Value],"&lt;"&amp;$Z$2))+(SUMIFS(SIP[Amount],SIP[B/S],"B",SIP[Investor ID],#REF!,SIP[Date Value],"&lt;"&amp;$Z$2)-SUMIFS(SIP[Cost of Units Sold],SIP[B/S],"S",SIP[Investor ID],A189,SIP[Date Value],"&lt;"&amp;$Z$2))</f>
        <v>0</v>
      </c>
      <c r="D189" s="49">
        <f t="shared" si="10"/>
        <v>0</v>
      </c>
      <c r="E189" s="49">
        <f t="shared" si="11"/>
        <v>0</v>
      </c>
      <c r="F189" s="47">
        <f>SUMIFS(LS[Unit],LS[Investor ID],A189,LS[Date Value],"&lt;="&amp;$Z$3)+SUMIFS(SIP[Unit],SIP[Investor ID],A189,SIP[Date Value],"&lt;="&amp;$Z$3)</f>
        <v>0</v>
      </c>
      <c r="G189" s="49">
        <f>(SUMIFS(LS[Amount],LS[B/S],"B",LS[Investor ID],A189,LS[Date Value],"&lt;="&amp;$Z$3)-SUMIFS(LS[Cost of Units Sold],LS[B/S],"S",LS[Investor ID],A189,LS[Date Value],"&lt;="&amp;$Z$3))+(SUMIFS(SIP[Amount],SIP[B/S],"B",SIP[Investor ID],A189,SIP[Date Value],"&lt;="&amp;$Z$3)-SUMIFS(SIP[Cost of Units Sold],SIP[B/S],"S",SIP[Investor ID],A189,SIP[Date Value],"&lt;="&amp;$Z$3))</f>
        <v>0</v>
      </c>
      <c r="H189" s="49">
        <f t="shared" si="12"/>
        <v>0</v>
      </c>
      <c r="I189" s="49">
        <f t="shared" si="13"/>
        <v>0</v>
      </c>
      <c r="J189" s="47">
        <f>(SUMIFS(LS[Unit],LS[Investor ID],A189,LS[B/S],"B",LS[Date Value],"&gt;="&amp;$Z$2,LS[Date Value],"&lt;="&amp;$Z$3))+(SUMIFS(SIP[Unit],SIP[Investor ID],A189,SIP[B/S],"B",SIP[Date Value],"&gt;="&amp;$Z$2,SIP[Date Value],"&lt;="&amp;$Z$3))</f>
        <v>0</v>
      </c>
      <c r="K189" s="49">
        <f>(SUMIFS(LS[Amount],LS[Investor ID],A189,LS[B/S],"B",LS[Date Value],"&gt;="&amp;$Z$2,LS[Date Value],"&lt;="&amp;$Z$3))+(SUMIFS(SIP[Amount],SIP[Investor ID],A189,SIP[B/S],"B",SIP[Date Value],"&gt;="&amp;$Z$2,SIP[Date Value],"&lt;="&amp;$Z$3))</f>
        <v>0</v>
      </c>
      <c r="L189" s="47">
        <f>(-SUMIFS(LS[Unit],LS[Investor ID],A189,LS[B/S],"S",LS[Date Value],"&gt;="&amp;$Z$2,LS[Date Value],"&lt;="&amp;$Z$3))+(-SUMIFS(SIP[Unit],SIP[Investor ID],A189,SIP[B/S],"S",SIP[Date Value],"&gt;="&amp;$Z$2,SIP[Date Value],"&lt;="&amp;$Z$3))</f>
        <v>0</v>
      </c>
      <c r="M189" s="49">
        <f>(SUMIFS(LS[Cost of Units Sold],LS[Investor ID],A189,LS[B/S],"S",LS[Date Value],"&gt;="&amp;$Z$2,LS[Date Value],"&lt;="&amp;$Z$3))+(SUMIFS(SIP[Cost of Units Sold],SIP[Investor ID],A189,SIP[B/S],"S",SIP[Date Value],"&gt;="&amp;$Z$2,SIP[Date Value],"&lt;="&amp;$Z$3))</f>
        <v>0</v>
      </c>
      <c r="N189" s="49">
        <f t="shared" si="14"/>
        <v>0</v>
      </c>
      <c r="O189" s="49">
        <f>(SUMIFS(LS[Realized Gain],LS[Investor ID],A189,LS[Date Value],"&gt;="&amp;$Z$2,LS[Date Value],"&lt;="&amp;$Z$3))+(SUMIFS(SIP[Realized Gain],SIP[Investor ID],A189,SIP[Date Value],"&gt;="&amp;$Z$2,SIP[Date Value],"&lt;="&amp;$Z$3))</f>
        <v>0</v>
      </c>
      <c r="P189" s="49">
        <v>0</v>
      </c>
      <c r="Q189" s="49">
        <v>0</v>
      </c>
      <c r="R189" s="49">
        <v>0</v>
      </c>
    </row>
    <row r="190" spans="1:18">
      <c r="A190" t="s">
        <v>429</v>
      </c>
      <c r="B190" s="47">
        <f>SUMIFS(LS[Unit],LS[Investor ID],'TAX CERTIFICATE'!A190,LS[Date Value],"&lt;"&amp;$Z$2)+SUMIFS(SIP[Unit],SIP[Investor ID],'TAX CERTIFICATE'!A190,SIP[Date Value],"&lt;"&amp;$Z$2)</f>
        <v>0</v>
      </c>
      <c r="C190" s="48">
        <f>(SUMIFS(LS[Amount],LS[B/S],"B",LS[Investor ID],A190,LS[Date Value],"&lt;"&amp;$Z$2)-SUMIFS(LS[Cost of Units Sold],LS[B/S],"S",LS[Investor ID],A190,LS[Date Value],"&lt;"&amp;$Z$2))+(SUMIFS(SIP[Amount],SIP[B/S],"B",SIP[Investor ID],#REF!,SIP[Date Value],"&lt;"&amp;$Z$2)-SUMIFS(SIP[Cost of Units Sold],SIP[B/S],"S",SIP[Investor ID],A190,SIP[Date Value],"&lt;"&amp;$Z$2))</f>
        <v>0</v>
      </c>
      <c r="D190" s="49">
        <f t="shared" si="10"/>
        <v>0</v>
      </c>
      <c r="E190" s="49">
        <f t="shared" si="11"/>
        <v>0</v>
      </c>
      <c r="F190" s="47">
        <f>SUMIFS(LS[Unit],LS[Investor ID],A190,LS[Date Value],"&lt;="&amp;$Z$3)+SUMIFS(SIP[Unit],SIP[Investor ID],A190,SIP[Date Value],"&lt;="&amp;$Z$3)</f>
        <v>0</v>
      </c>
      <c r="G190" s="49">
        <f>(SUMIFS(LS[Amount],LS[B/S],"B",LS[Investor ID],A190,LS[Date Value],"&lt;="&amp;$Z$3)-SUMIFS(LS[Cost of Units Sold],LS[B/S],"S",LS[Investor ID],A190,LS[Date Value],"&lt;="&amp;$Z$3))+(SUMIFS(SIP[Amount],SIP[B/S],"B",SIP[Investor ID],A190,SIP[Date Value],"&lt;="&amp;$Z$3)-SUMIFS(SIP[Cost of Units Sold],SIP[B/S],"S",SIP[Investor ID],A190,SIP[Date Value],"&lt;="&amp;$Z$3))</f>
        <v>0</v>
      </c>
      <c r="H190" s="49">
        <f t="shared" si="12"/>
        <v>0</v>
      </c>
      <c r="I190" s="49">
        <f t="shared" si="13"/>
        <v>0</v>
      </c>
      <c r="J190" s="47">
        <f>(SUMIFS(LS[Unit],LS[Investor ID],A190,LS[B/S],"B",LS[Date Value],"&gt;="&amp;$Z$2,LS[Date Value],"&lt;="&amp;$Z$3))+(SUMIFS(SIP[Unit],SIP[Investor ID],A190,SIP[B/S],"B",SIP[Date Value],"&gt;="&amp;$Z$2,SIP[Date Value],"&lt;="&amp;$Z$3))</f>
        <v>0</v>
      </c>
      <c r="K190" s="49">
        <f>(SUMIFS(LS[Amount],LS[Investor ID],A190,LS[B/S],"B",LS[Date Value],"&gt;="&amp;$Z$2,LS[Date Value],"&lt;="&amp;$Z$3))+(SUMIFS(SIP[Amount],SIP[Investor ID],A190,SIP[B/S],"B",SIP[Date Value],"&gt;="&amp;$Z$2,SIP[Date Value],"&lt;="&amp;$Z$3))</f>
        <v>0</v>
      </c>
      <c r="L190" s="47">
        <f>(-SUMIFS(LS[Unit],LS[Investor ID],A190,LS[B/S],"S",LS[Date Value],"&gt;="&amp;$Z$2,LS[Date Value],"&lt;="&amp;$Z$3))+(-SUMIFS(SIP[Unit],SIP[Investor ID],A190,SIP[B/S],"S",SIP[Date Value],"&gt;="&amp;$Z$2,SIP[Date Value],"&lt;="&amp;$Z$3))</f>
        <v>0</v>
      </c>
      <c r="M190" s="49">
        <f>(SUMIFS(LS[Cost of Units Sold],LS[Investor ID],A190,LS[B/S],"S",LS[Date Value],"&gt;="&amp;$Z$2,LS[Date Value],"&lt;="&amp;$Z$3))+(SUMIFS(SIP[Cost of Units Sold],SIP[Investor ID],A190,SIP[B/S],"S",SIP[Date Value],"&gt;="&amp;$Z$2,SIP[Date Value],"&lt;="&amp;$Z$3))</f>
        <v>0</v>
      </c>
      <c r="N190" s="49">
        <f t="shared" si="14"/>
        <v>0</v>
      </c>
      <c r="O190" s="49">
        <f>(SUMIFS(LS[Realized Gain],LS[Investor ID],A190,LS[Date Value],"&gt;="&amp;$Z$2,LS[Date Value],"&lt;="&amp;$Z$3))+(SUMIFS(SIP[Realized Gain],SIP[Investor ID],A190,SIP[Date Value],"&gt;="&amp;$Z$2,SIP[Date Value],"&lt;="&amp;$Z$3))</f>
        <v>0</v>
      </c>
      <c r="P190" s="49">
        <v>0</v>
      </c>
      <c r="Q190" s="49">
        <v>0</v>
      </c>
      <c r="R190" s="49">
        <v>0</v>
      </c>
    </row>
    <row r="191" spans="1:18">
      <c r="A191" t="s">
        <v>431</v>
      </c>
      <c r="B191" s="47">
        <f>SUMIFS(LS[Unit],LS[Investor ID],'TAX CERTIFICATE'!A191,LS[Date Value],"&lt;"&amp;$Z$2)+SUMIFS(SIP[Unit],SIP[Investor ID],'TAX CERTIFICATE'!A191,SIP[Date Value],"&lt;"&amp;$Z$2)</f>
        <v>0</v>
      </c>
      <c r="C191" s="48">
        <f>(SUMIFS(LS[Amount],LS[B/S],"B",LS[Investor ID],A191,LS[Date Value],"&lt;"&amp;$Z$2)-SUMIFS(LS[Cost of Units Sold],LS[B/S],"S",LS[Investor ID],A191,LS[Date Value],"&lt;"&amp;$Z$2))+(SUMIFS(SIP[Amount],SIP[B/S],"B",SIP[Investor ID],#REF!,SIP[Date Value],"&lt;"&amp;$Z$2)-SUMIFS(SIP[Cost of Units Sold],SIP[B/S],"S",SIP[Investor ID],A191,SIP[Date Value],"&lt;"&amp;$Z$2))</f>
        <v>0</v>
      </c>
      <c r="D191" s="49">
        <f t="shared" si="10"/>
        <v>0</v>
      </c>
      <c r="E191" s="49">
        <f t="shared" si="11"/>
        <v>0</v>
      </c>
      <c r="F191" s="47">
        <f>SUMIFS(LS[Unit],LS[Investor ID],A191,LS[Date Value],"&lt;="&amp;$Z$3)+SUMIFS(SIP[Unit],SIP[Investor ID],A191,SIP[Date Value],"&lt;="&amp;$Z$3)</f>
        <v>0</v>
      </c>
      <c r="G191" s="49">
        <f>(SUMIFS(LS[Amount],LS[B/S],"B",LS[Investor ID],A191,LS[Date Value],"&lt;="&amp;$Z$3)-SUMIFS(LS[Cost of Units Sold],LS[B/S],"S",LS[Investor ID],A191,LS[Date Value],"&lt;="&amp;$Z$3))+(SUMIFS(SIP[Amount],SIP[B/S],"B",SIP[Investor ID],A191,SIP[Date Value],"&lt;="&amp;$Z$3)-SUMIFS(SIP[Cost of Units Sold],SIP[B/S],"S",SIP[Investor ID],A191,SIP[Date Value],"&lt;="&amp;$Z$3))</f>
        <v>0</v>
      </c>
      <c r="H191" s="49">
        <f t="shared" si="12"/>
        <v>0</v>
      </c>
      <c r="I191" s="49">
        <f t="shared" si="13"/>
        <v>0</v>
      </c>
      <c r="J191" s="47">
        <f>(SUMIFS(LS[Unit],LS[Investor ID],A191,LS[B/S],"B",LS[Date Value],"&gt;="&amp;$Z$2,LS[Date Value],"&lt;="&amp;$Z$3))+(SUMIFS(SIP[Unit],SIP[Investor ID],A191,SIP[B/S],"B",SIP[Date Value],"&gt;="&amp;$Z$2,SIP[Date Value],"&lt;="&amp;$Z$3))</f>
        <v>0</v>
      </c>
      <c r="K191" s="49">
        <f>(SUMIFS(LS[Amount],LS[Investor ID],A191,LS[B/S],"B",LS[Date Value],"&gt;="&amp;$Z$2,LS[Date Value],"&lt;="&amp;$Z$3))+(SUMIFS(SIP[Amount],SIP[Investor ID],A191,SIP[B/S],"B",SIP[Date Value],"&gt;="&amp;$Z$2,SIP[Date Value],"&lt;="&amp;$Z$3))</f>
        <v>0</v>
      </c>
      <c r="L191" s="47">
        <f>(-SUMIFS(LS[Unit],LS[Investor ID],A191,LS[B/S],"S",LS[Date Value],"&gt;="&amp;$Z$2,LS[Date Value],"&lt;="&amp;$Z$3))+(-SUMIFS(SIP[Unit],SIP[Investor ID],A191,SIP[B/S],"S",SIP[Date Value],"&gt;="&amp;$Z$2,SIP[Date Value],"&lt;="&amp;$Z$3))</f>
        <v>0</v>
      </c>
      <c r="M191" s="49">
        <f>(SUMIFS(LS[Cost of Units Sold],LS[Investor ID],A191,LS[B/S],"S",LS[Date Value],"&gt;="&amp;$Z$2,LS[Date Value],"&lt;="&amp;$Z$3))+(SUMIFS(SIP[Cost of Units Sold],SIP[Investor ID],A191,SIP[B/S],"S",SIP[Date Value],"&gt;="&amp;$Z$2,SIP[Date Value],"&lt;="&amp;$Z$3))</f>
        <v>0</v>
      </c>
      <c r="N191" s="49">
        <f t="shared" si="14"/>
        <v>0</v>
      </c>
      <c r="O191" s="49">
        <f>(SUMIFS(LS[Realized Gain],LS[Investor ID],A191,LS[Date Value],"&gt;="&amp;$Z$2,LS[Date Value],"&lt;="&amp;$Z$3))+(SUMIFS(SIP[Realized Gain],SIP[Investor ID],A191,SIP[Date Value],"&gt;="&amp;$Z$2,SIP[Date Value],"&lt;="&amp;$Z$3))</f>
        <v>0</v>
      </c>
      <c r="P191" s="49">
        <v>0</v>
      </c>
      <c r="Q191" s="49">
        <v>0</v>
      </c>
      <c r="R191" s="49">
        <v>0</v>
      </c>
    </row>
    <row r="192" spans="1:18">
      <c r="A192" t="s">
        <v>433</v>
      </c>
      <c r="B192" s="47">
        <f>SUMIFS(LS[Unit],LS[Investor ID],'TAX CERTIFICATE'!A192,LS[Date Value],"&lt;"&amp;$Z$2)+SUMIFS(SIP[Unit],SIP[Investor ID],'TAX CERTIFICATE'!A192,SIP[Date Value],"&lt;"&amp;$Z$2)</f>
        <v>0</v>
      </c>
      <c r="C192" s="48">
        <f>(SUMIFS(LS[Amount],LS[B/S],"B",LS[Investor ID],A192,LS[Date Value],"&lt;"&amp;$Z$2)-SUMIFS(LS[Cost of Units Sold],LS[B/S],"S",LS[Investor ID],A192,LS[Date Value],"&lt;"&amp;$Z$2))+(SUMIFS(SIP[Amount],SIP[B/S],"B",SIP[Investor ID],#REF!,SIP[Date Value],"&lt;"&amp;$Z$2)-SUMIFS(SIP[Cost of Units Sold],SIP[B/S],"S",SIP[Investor ID],A192,SIP[Date Value],"&lt;"&amp;$Z$2))</f>
        <v>0</v>
      </c>
      <c r="D192" s="49">
        <f t="shared" si="10"/>
        <v>0</v>
      </c>
      <c r="E192" s="49">
        <f t="shared" si="11"/>
        <v>0</v>
      </c>
      <c r="F192" s="47">
        <f>SUMIFS(LS[Unit],LS[Investor ID],A192,LS[Date Value],"&lt;="&amp;$Z$3)+SUMIFS(SIP[Unit],SIP[Investor ID],A192,SIP[Date Value],"&lt;="&amp;$Z$3)</f>
        <v>0</v>
      </c>
      <c r="G192" s="49">
        <f>(SUMIFS(LS[Amount],LS[B/S],"B",LS[Investor ID],A192,LS[Date Value],"&lt;="&amp;$Z$3)-SUMIFS(LS[Cost of Units Sold],LS[B/S],"S",LS[Investor ID],A192,LS[Date Value],"&lt;="&amp;$Z$3))+(SUMIFS(SIP[Amount],SIP[B/S],"B",SIP[Investor ID],A192,SIP[Date Value],"&lt;="&amp;$Z$3)-SUMIFS(SIP[Cost of Units Sold],SIP[B/S],"S",SIP[Investor ID],A192,SIP[Date Value],"&lt;="&amp;$Z$3))</f>
        <v>0</v>
      </c>
      <c r="H192" s="49">
        <f t="shared" si="12"/>
        <v>0</v>
      </c>
      <c r="I192" s="49">
        <f t="shared" si="13"/>
        <v>0</v>
      </c>
      <c r="J192" s="47">
        <f>(SUMIFS(LS[Unit],LS[Investor ID],A192,LS[B/S],"B",LS[Date Value],"&gt;="&amp;$Z$2,LS[Date Value],"&lt;="&amp;$Z$3))+(SUMIFS(SIP[Unit],SIP[Investor ID],A192,SIP[B/S],"B",SIP[Date Value],"&gt;="&amp;$Z$2,SIP[Date Value],"&lt;="&amp;$Z$3))</f>
        <v>0</v>
      </c>
      <c r="K192" s="49">
        <f>(SUMIFS(LS[Amount],LS[Investor ID],A192,LS[B/S],"B",LS[Date Value],"&gt;="&amp;$Z$2,LS[Date Value],"&lt;="&amp;$Z$3))+(SUMIFS(SIP[Amount],SIP[Investor ID],A192,SIP[B/S],"B",SIP[Date Value],"&gt;="&amp;$Z$2,SIP[Date Value],"&lt;="&amp;$Z$3))</f>
        <v>0</v>
      </c>
      <c r="L192" s="47">
        <f>(-SUMIFS(LS[Unit],LS[Investor ID],A192,LS[B/S],"S",LS[Date Value],"&gt;="&amp;$Z$2,LS[Date Value],"&lt;="&amp;$Z$3))+(-SUMIFS(SIP[Unit],SIP[Investor ID],A192,SIP[B/S],"S",SIP[Date Value],"&gt;="&amp;$Z$2,SIP[Date Value],"&lt;="&amp;$Z$3))</f>
        <v>0</v>
      </c>
      <c r="M192" s="49">
        <f>(SUMIFS(LS[Cost of Units Sold],LS[Investor ID],A192,LS[B/S],"S",LS[Date Value],"&gt;="&amp;$Z$2,LS[Date Value],"&lt;="&amp;$Z$3))+(SUMIFS(SIP[Cost of Units Sold],SIP[Investor ID],A192,SIP[B/S],"S",SIP[Date Value],"&gt;="&amp;$Z$2,SIP[Date Value],"&lt;="&amp;$Z$3))</f>
        <v>0</v>
      </c>
      <c r="N192" s="49">
        <f t="shared" si="14"/>
        <v>0</v>
      </c>
      <c r="O192" s="49">
        <f>(SUMIFS(LS[Realized Gain],LS[Investor ID],A192,LS[Date Value],"&gt;="&amp;$Z$2,LS[Date Value],"&lt;="&amp;$Z$3))+(SUMIFS(SIP[Realized Gain],SIP[Investor ID],A192,SIP[Date Value],"&gt;="&amp;$Z$2,SIP[Date Value],"&lt;="&amp;$Z$3))</f>
        <v>0</v>
      </c>
      <c r="P192" s="49">
        <v>0</v>
      </c>
      <c r="Q192" s="49">
        <v>0</v>
      </c>
      <c r="R192" s="49">
        <v>0</v>
      </c>
    </row>
    <row r="193" spans="1:18">
      <c r="A193" t="s">
        <v>435</v>
      </c>
      <c r="B193" s="47">
        <f>SUMIFS(LS[Unit],LS[Investor ID],'TAX CERTIFICATE'!A193,LS[Date Value],"&lt;"&amp;$Z$2)+SUMIFS(SIP[Unit],SIP[Investor ID],'TAX CERTIFICATE'!A193,SIP[Date Value],"&lt;"&amp;$Z$2)</f>
        <v>0</v>
      </c>
      <c r="C193" s="48">
        <f>(SUMIFS(LS[Amount],LS[B/S],"B",LS[Investor ID],A193,LS[Date Value],"&lt;"&amp;$Z$2)-SUMIFS(LS[Cost of Units Sold],LS[B/S],"S",LS[Investor ID],A193,LS[Date Value],"&lt;"&amp;$Z$2))+(SUMIFS(SIP[Amount],SIP[B/S],"B",SIP[Investor ID],#REF!,SIP[Date Value],"&lt;"&amp;$Z$2)-SUMIFS(SIP[Cost of Units Sold],SIP[B/S],"S",SIP[Investor ID],A193,SIP[Date Value],"&lt;"&amp;$Z$2))</f>
        <v>0</v>
      </c>
      <c r="D193" s="49">
        <f t="shared" si="10"/>
        <v>0</v>
      </c>
      <c r="E193" s="49">
        <f t="shared" si="11"/>
        <v>0</v>
      </c>
      <c r="F193" s="47">
        <f>SUMIFS(LS[Unit],LS[Investor ID],A193,LS[Date Value],"&lt;="&amp;$Z$3)+SUMIFS(SIP[Unit],SIP[Investor ID],A193,SIP[Date Value],"&lt;="&amp;$Z$3)</f>
        <v>0</v>
      </c>
      <c r="G193" s="49">
        <f>(SUMIFS(LS[Amount],LS[B/S],"B",LS[Investor ID],A193,LS[Date Value],"&lt;="&amp;$Z$3)-SUMIFS(LS[Cost of Units Sold],LS[B/S],"S",LS[Investor ID],A193,LS[Date Value],"&lt;="&amp;$Z$3))+(SUMIFS(SIP[Amount],SIP[B/S],"B",SIP[Investor ID],A193,SIP[Date Value],"&lt;="&amp;$Z$3)-SUMIFS(SIP[Cost of Units Sold],SIP[B/S],"S",SIP[Investor ID],A193,SIP[Date Value],"&lt;="&amp;$Z$3))</f>
        <v>0</v>
      </c>
      <c r="H193" s="49">
        <f t="shared" si="12"/>
        <v>0</v>
      </c>
      <c r="I193" s="49">
        <f t="shared" si="13"/>
        <v>0</v>
      </c>
      <c r="J193" s="47">
        <f>(SUMIFS(LS[Unit],LS[Investor ID],A193,LS[B/S],"B",LS[Date Value],"&gt;="&amp;$Z$2,LS[Date Value],"&lt;="&amp;$Z$3))+(SUMIFS(SIP[Unit],SIP[Investor ID],A193,SIP[B/S],"B",SIP[Date Value],"&gt;="&amp;$Z$2,SIP[Date Value],"&lt;="&amp;$Z$3))</f>
        <v>0</v>
      </c>
      <c r="K193" s="49">
        <f>(SUMIFS(LS[Amount],LS[Investor ID],A193,LS[B/S],"B",LS[Date Value],"&gt;="&amp;$Z$2,LS[Date Value],"&lt;="&amp;$Z$3))+(SUMIFS(SIP[Amount],SIP[Investor ID],A193,SIP[B/S],"B",SIP[Date Value],"&gt;="&amp;$Z$2,SIP[Date Value],"&lt;="&amp;$Z$3))</f>
        <v>0</v>
      </c>
      <c r="L193" s="47">
        <f>(-SUMIFS(LS[Unit],LS[Investor ID],A193,LS[B/S],"S",LS[Date Value],"&gt;="&amp;$Z$2,LS[Date Value],"&lt;="&amp;$Z$3))+(-SUMIFS(SIP[Unit],SIP[Investor ID],A193,SIP[B/S],"S",SIP[Date Value],"&gt;="&amp;$Z$2,SIP[Date Value],"&lt;="&amp;$Z$3))</f>
        <v>0</v>
      </c>
      <c r="M193" s="49">
        <f>(SUMIFS(LS[Cost of Units Sold],LS[Investor ID],A193,LS[B/S],"S",LS[Date Value],"&gt;="&amp;$Z$2,LS[Date Value],"&lt;="&amp;$Z$3))+(SUMIFS(SIP[Cost of Units Sold],SIP[Investor ID],A193,SIP[B/S],"S",SIP[Date Value],"&gt;="&amp;$Z$2,SIP[Date Value],"&lt;="&amp;$Z$3))</f>
        <v>0</v>
      </c>
      <c r="N193" s="49">
        <f t="shared" si="14"/>
        <v>0</v>
      </c>
      <c r="O193" s="49">
        <f>(SUMIFS(LS[Realized Gain],LS[Investor ID],A193,LS[Date Value],"&gt;="&amp;$Z$2,LS[Date Value],"&lt;="&amp;$Z$3))+(SUMIFS(SIP[Realized Gain],SIP[Investor ID],A193,SIP[Date Value],"&gt;="&amp;$Z$2,SIP[Date Value],"&lt;="&amp;$Z$3))</f>
        <v>0</v>
      </c>
      <c r="P193" s="49">
        <v>0</v>
      </c>
      <c r="Q193" s="49">
        <v>0</v>
      </c>
      <c r="R193" s="49">
        <v>0</v>
      </c>
    </row>
    <row r="194" spans="1:18">
      <c r="A194" t="s">
        <v>437</v>
      </c>
      <c r="B194" s="47">
        <f>SUMIFS(LS[Unit],LS[Investor ID],'TAX CERTIFICATE'!A194,LS[Date Value],"&lt;"&amp;$Z$2)+SUMIFS(SIP[Unit],SIP[Investor ID],'TAX CERTIFICATE'!A194,SIP[Date Value],"&lt;"&amp;$Z$2)</f>
        <v>200000</v>
      </c>
      <c r="C194" s="48">
        <f>(SUMIFS(LS[Amount],LS[B/S],"B",LS[Investor ID],A194,LS[Date Value],"&lt;"&amp;$Z$2)-SUMIFS(LS[Cost of Units Sold],LS[B/S],"S",LS[Investor ID],A194,LS[Date Value],"&lt;"&amp;$Z$2))+(SUMIFS(SIP[Amount],SIP[B/S],"B",SIP[Investor ID],#REF!,SIP[Date Value],"&lt;"&amp;$Z$2)-SUMIFS(SIP[Cost of Units Sold],SIP[B/S],"S",SIP[Investor ID],A194,SIP[Date Value],"&lt;"&amp;$Z$2))</f>
        <v>2000000</v>
      </c>
      <c r="D194" s="49">
        <f t="shared" si="10"/>
        <v>2054200.0000000002</v>
      </c>
      <c r="E194" s="49">
        <f t="shared" si="11"/>
        <v>54200.000000000233</v>
      </c>
      <c r="F194" s="47">
        <f>SUMIFS(LS[Unit],LS[Investor ID],A194,LS[Date Value],"&lt;="&amp;$Z$3)+SUMIFS(SIP[Unit],SIP[Investor ID],A194,SIP[Date Value],"&lt;="&amp;$Z$3)</f>
        <v>244835</v>
      </c>
      <c r="G194" s="49">
        <f>(SUMIFS(LS[Amount],LS[B/S],"B",LS[Investor ID],A194,LS[Date Value],"&lt;="&amp;$Z$3)-SUMIFS(LS[Cost of Units Sold],LS[B/S],"S",LS[Investor ID],A194,LS[Date Value],"&lt;="&amp;$Z$3))+(SUMIFS(SIP[Amount],SIP[B/S],"B",SIP[Investor ID],A194,SIP[Date Value],"&lt;="&amp;$Z$3)-SUMIFS(SIP[Cost of Units Sold],SIP[B/S],"S",SIP[Investor ID],A194,SIP[Date Value],"&lt;="&amp;$Z$3))</f>
        <v>2500000</v>
      </c>
      <c r="H194" s="49">
        <f t="shared" si="12"/>
        <v>2733337.94</v>
      </c>
      <c r="I194" s="49">
        <f t="shared" si="13"/>
        <v>233337.93999999994</v>
      </c>
      <c r="J194" s="47">
        <f>(SUMIFS(LS[Unit],LS[Investor ID],A194,LS[B/S],"B",LS[Date Value],"&gt;="&amp;$Z$2,LS[Date Value],"&lt;="&amp;$Z$3))+(SUMIFS(SIP[Unit],SIP[Investor ID],A194,SIP[B/S],"B",SIP[Date Value],"&gt;="&amp;$Z$2,SIP[Date Value],"&lt;="&amp;$Z$3))</f>
        <v>44835</v>
      </c>
      <c r="K194" s="49">
        <f>(SUMIFS(LS[Amount],LS[Investor ID],A194,LS[B/S],"B",LS[Date Value],"&gt;="&amp;$Z$2,LS[Date Value],"&lt;="&amp;$Z$3))+(SUMIFS(SIP[Amount],SIP[Investor ID],A194,SIP[B/S],"B",SIP[Date Value],"&gt;="&amp;$Z$2,SIP[Date Value],"&lt;="&amp;$Z$3))</f>
        <v>500000</v>
      </c>
      <c r="L194" s="47">
        <f>(-SUMIFS(LS[Unit],LS[Investor ID],A194,LS[B/S],"S",LS[Date Value],"&gt;="&amp;$Z$2,LS[Date Value],"&lt;="&amp;$Z$3))+(-SUMIFS(SIP[Unit],SIP[Investor ID],A194,SIP[B/S],"S",SIP[Date Value],"&gt;="&amp;$Z$2,SIP[Date Value],"&lt;="&amp;$Z$3))</f>
        <v>0</v>
      </c>
      <c r="M194" s="49">
        <f>(SUMIFS(LS[Cost of Units Sold],LS[Investor ID],A194,LS[B/S],"S",LS[Date Value],"&gt;="&amp;$Z$2,LS[Date Value],"&lt;="&amp;$Z$3))+(SUMIFS(SIP[Cost of Units Sold],SIP[Investor ID],A194,SIP[B/S],"S",SIP[Date Value],"&gt;="&amp;$Z$2,SIP[Date Value],"&lt;="&amp;$Z$3))</f>
        <v>0</v>
      </c>
      <c r="N194" s="49">
        <f t="shared" si="14"/>
        <v>500000</v>
      </c>
      <c r="O194" s="49">
        <f>(SUMIFS(LS[Realized Gain],LS[Investor ID],A194,LS[Date Value],"&gt;="&amp;$Z$2,LS[Date Value],"&lt;="&amp;$Z$3))+(SUMIFS(SIP[Realized Gain],SIP[Investor ID],A194,SIP[Date Value],"&gt;="&amp;$Z$2,SIP[Date Value],"&lt;="&amp;$Z$3))</f>
        <v>0</v>
      </c>
      <c r="P194" s="49">
        <v>0</v>
      </c>
      <c r="Q194" s="49">
        <v>0</v>
      </c>
      <c r="R194" s="49">
        <v>0</v>
      </c>
    </row>
    <row r="195" spans="1:18">
      <c r="A195" t="s">
        <v>439</v>
      </c>
      <c r="B195" s="47">
        <f>SUMIFS(LS[Unit],LS[Investor ID],'TAX CERTIFICATE'!A195,LS[Date Value],"&lt;"&amp;$Z$2)+SUMIFS(SIP[Unit],SIP[Investor ID],'TAX CERTIFICATE'!A195,SIP[Date Value],"&lt;"&amp;$Z$2)</f>
        <v>0</v>
      </c>
      <c r="C195" s="48">
        <f>(SUMIFS(LS[Amount],LS[B/S],"B",LS[Investor ID],A195,LS[Date Value],"&lt;"&amp;$Z$2)-SUMIFS(LS[Cost of Units Sold],LS[B/S],"S",LS[Investor ID],A195,LS[Date Value],"&lt;"&amp;$Z$2))+(SUMIFS(SIP[Amount],SIP[B/S],"B",SIP[Investor ID],#REF!,SIP[Date Value],"&lt;"&amp;$Z$2)-SUMIFS(SIP[Cost of Units Sold],SIP[B/S],"S",SIP[Investor ID],A195,SIP[Date Value],"&lt;"&amp;$Z$2))</f>
        <v>0</v>
      </c>
      <c r="D195" s="49">
        <f t="shared" ref="D195:D258" si="15">B195*$AA$2</f>
        <v>0</v>
      </c>
      <c r="E195" s="49">
        <f t="shared" ref="E195:E258" si="16">D195-C195</f>
        <v>0</v>
      </c>
      <c r="F195" s="47">
        <f>SUMIFS(LS[Unit],LS[Investor ID],A195,LS[Date Value],"&lt;="&amp;$Z$3)+SUMIFS(SIP[Unit],SIP[Investor ID],A195,SIP[Date Value],"&lt;="&amp;$Z$3)</f>
        <v>0</v>
      </c>
      <c r="G195" s="49">
        <f>(SUMIFS(LS[Amount],LS[B/S],"B",LS[Investor ID],A195,LS[Date Value],"&lt;="&amp;$Z$3)-SUMIFS(LS[Cost of Units Sold],LS[B/S],"S",LS[Investor ID],A195,LS[Date Value],"&lt;="&amp;$Z$3))+(SUMIFS(SIP[Amount],SIP[B/S],"B",SIP[Investor ID],A195,SIP[Date Value],"&lt;="&amp;$Z$3)-SUMIFS(SIP[Cost of Units Sold],SIP[B/S],"S",SIP[Investor ID],A195,SIP[Date Value],"&lt;="&amp;$Z$3))</f>
        <v>0</v>
      </c>
      <c r="H195" s="49">
        <f t="shared" ref="H195:H258" si="17">F195*$AA$3</f>
        <v>0</v>
      </c>
      <c r="I195" s="49">
        <f t="shared" ref="I195:I258" si="18">H195-G195</f>
        <v>0</v>
      </c>
      <c r="J195" s="47">
        <f>(SUMIFS(LS[Unit],LS[Investor ID],A195,LS[B/S],"B",LS[Date Value],"&gt;="&amp;$Z$2,LS[Date Value],"&lt;="&amp;$Z$3))+(SUMIFS(SIP[Unit],SIP[Investor ID],A195,SIP[B/S],"B",SIP[Date Value],"&gt;="&amp;$Z$2,SIP[Date Value],"&lt;="&amp;$Z$3))</f>
        <v>0</v>
      </c>
      <c r="K195" s="49">
        <f>(SUMIFS(LS[Amount],LS[Investor ID],A195,LS[B/S],"B",LS[Date Value],"&gt;="&amp;$Z$2,LS[Date Value],"&lt;="&amp;$Z$3))+(SUMIFS(SIP[Amount],SIP[Investor ID],A195,SIP[B/S],"B",SIP[Date Value],"&gt;="&amp;$Z$2,SIP[Date Value],"&lt;="&amp;$Z$3))</f>
        <v>0</v>
      </c>
      <c r="L195" s="47">
        <f>(-SUMIFS(LS[Unit],LS[Investor ID],A195,LS[B/S],"S",LS[Date Value],"&gt;="&amp;$Z$2,LS[Date Value],"&lt;="&amp;$Z$3))+(-SUMIFS(SIP[Unit],SIP[Investor ID],A195,SIP[B/S],"S",SIP[Date Value],"&gt;="&amp;$Z$2,SIP[Date Value],"&lt;="&amp;$Z$3))</f>
        <v>0</v>
      </c>
      <c r="M195" s="49">
        <f>(SUMIFS(LS[Cost of Units Sold],LS[Investor ID],A195,LS[B/S],"S",LS[Date Value],"&gt;="&amp;$Z$2,LS[Date Value],"&lt;="&amp;$Z$3))+(SUMIFS(SIP[Cost of Units Sold],SIP[Investor ID],A195,SIP[B/S],"S",SIP[Date Value],"&gt;="&amp;$Z$2,SIP[Date Value],"&lt;="&amp;$Z$3))</f>
        <v>0</v>
      </c>
      <c r="N195" s="49">
        <f t="shared" ref="N195:N258" si="19">K195-M195</f>
        <v>0</v>
      </c>
      <c r="O195" s="49">
        <f>(SUMIFS(LS[Realized Gain],LS[Investor ID],A195,LS[Date Value],"&gt;="&amp;$Z$2,LS[Date Value],"&lt;="&amp;$Z$3))+(SUMIFS(SIP[Realized Gain],SIP[Investor ID],A195,SIP[Date Value],"&gt;="&amp;$Z$2,SIP[Date Value],"&lt;="&amp;$Z$3))</f>
        <v>0</v>
      </c>
      <c r="P195" s="49">
        <v>0</v>
      </c>
      <c r="Q195" s="49">
        <v>0</v>
      </c>
      <c r="R195" s="49">
        <v>0</v>
      </c>
    </row>
    <row r="196" spans="1:18">
      <c r="A196" t="s">
        <v>441</v>
      </c>
      <c r="B196" s="47">
        <f>SUMIFS(LS[Unit],LS[Investor ID],'TAX CERTIFICATE'!A196,LS[Date Value],"&lt;"&amp;$Z$2)+SUMIFS(SIP[Unit],SIP[Investor ID],'TAX CERTIFICATE'!A196,SIP[Date Value],"&lt;"&amp;$Z$2)</f>
        <v>0</v>
      </c>
      <c r="C196" s="48">
        <f>(SUMIFS(LS[Amount],LS[B/S],"B",LS[Investor ID],A196,LS[Date Value],"&lt;"&amp;$Z$2)-SUMIFS(LS[Cost of Units Sold],LS[B/S],"S",LS[Investor ID],A196,LS[Date Value],"&lt;"&amp;$Z$2))+(SUMIFS(SIP[Amount],SIP[B/S],"B",SIP[Investor ID],#REF!,SIP[Date Value],"&lt;"&amp;$Z$2)-SUMIFS(SIP[Cost of Units Sold],SIP[B/S],"S",SIP[Investor ID],A196,SIP[Date Value],"&lt;"&amp;$Z$2))</f>
        <v>0</v>
      </c>
      <c r="D196" s="49">
        <f t="shared" si="15"/>
        <v>0</v>
      </c>
      <c r="E196" s="49">
        <f t="shared" si="16"/>
        <v>0</v>
      </c>
      <c r="F196" s="47">
        <f>SUMIFS(LS[Unit],LS[Investor ID],A196,LS[Date Value],"&lt;="&amp;$Z$3)+SUMIFS(SIP[Unit],SIP[Investor ID],A196,SIP[Date Value],"&lt;="&amp;$Z$3)</f>
        <v>0</v>
      </c>
      <c r="G196" s="49">
        <f>(SUMIFS(LS[Amount],LS[B/S],"B",LS[Investor ID],A196,LS[Date Value],"&lt;="&amp;$Z$3)-SUMIFS(LS[Cost of Units Sold],LS[B/S],"S",LS[Investor ID],A196,LS[Date Value],"&lt;="&amp;$Z$3))+(SUMIFS(SIP[Amount],SIP[B/S],"B",SIP[Investor ID],A196,SIP[Date Value],"&lt;="&amp;$Z$3)-SUMIFS(SIP[Cost of Units Sold],SIP[B/S],"S",SIP[Investor ID],A196,SIP[Date Value],"&lt;="&amp;$Z$3))</f>
        <v>0</v>
      </c>
      <c r="H196" s="49">
        <f t="shared" si="17"/>
        <v>0</v>
      </c>
      <c r="I196" s="49">
        <f t="shared" si="18"/>
        <v>0</v>
      </c>
      <c r="J196" s="47">
        <f>(SUMIFS(LS[Unit],LS[Investor ID],A196,LS[B/S],"B",LS[Date Value],"&gt;="&amp;$Z$2,LS[Date Value],"&lt;="&amp;$Z$3))+(SUMIFS(SIP[Unit],SIP[Investor ID],A196,SIP[B/S],"B",SIP[Date Value],"&gt;="&amp;$Z$2,SIP[Date Value],"&lt;="&amp;$Z$3))</f>
        <v>0</v>
      </c>
      <c r="K196" s="49">
        <f>(SUMIFS(LS[Amount],LS[Investor ID],A196,LS[B/S],"B",LS[Date Value],"&gt;="&amp;$Z$2,LS[Date Value],"&lt;="&amp;$Z$3))+(SUMIFS(SIP[Amount],SIP[Investor ID],A196,SIP[B/S],"B",SIP[Date Value],"&gt;="&amp;$Z$2,SIP[Date Value],"&lt;="&amp;$Z$3))</f>
        <v>0</v>
      </c>
      <c r="L196" s="47">
        <f>(-SUMIFS(LS[Unit],LS[Investor ID],A196,LS[B/S],"S",LS[Date Value],"&gt;="&amp;$Z$2,LS[Date Value],"&lt;="&amp;$Z$3))+(-SUMIFS(SIP[Unit],SIP[Investor ID],A196,SIP[B/S],"S",SIP[Date Value],"&gt;="&amp;$Z$2,SIP[Date Value],"&lt;="&amp;$Z$3))</f>
        <v>0</v>
      </c>
      <c r="M196" s="49">
        <f>(SUMIFS(LS[Cost of Units Sold],LS[Investor ID],A196,LS[B/S],"S",LS[Date Value],"&gt;="&amp;$Z$2,LS[Date Value],"&lt;="&amp;$Z$3))+(SUMIFS(SIP[Cost of Units Sold],SIP[Investor ID],A196,SIP[B/S],"S",SIP[Date Value],"&gt;="&amp;$Z$2,SIP[Date Value],"&lt;="&amp;$Z$3))</f>
        <v>0</v>
      </c>
      <c r="N196" s="49">
        <f t="shared" si="19"/>
        <v>0</v>
      </c>
      <c r="O196" s="49">
        <f>(SUMIFS(LS[Realized Gain],LS[Investor ID],A196,LS[Date Value],"&gt;="&amp;$Z$2,LS[Date Value],"&lt;="&amp;$Z$3))+(SUMIFS(SIP[Realized Gain],SIP[Investor ID],A196,SIP[Date Value],"&gt;="&amp;$Z$2,SIP[Date Value],"&lt;="&amp;$Z$3))</f>
        <v>0</v>
      </c>
      <c r="P196" s="49">
        <v>0</v>
      </c>
      <c r="Q196" s="49">
        <v>0</v>
      </c>
      <c r="R196" s="49">
        <v>0</v>
      </c>
    </row>
    <row r="197" spans="1:18">
      <c r="A197" t="s">
        <v>443</v>
      </c>
      <c r="B197" s="47">
        <f>SUMIFS(LS[Unit],LS[Investor ID],'TAX CERTIFICATE'!A197,LS[Date Value],"&lt;"&amp;$Z$2)+SUMIFS(SIP[Unit],SIP[Investor ID],'TAX CERTIFICATE'!A197,SIP[Date Value],"&lt;"&amp;$Z$2)</f>
        <v>2935</v>
      </c>
      <c r="C197" s="48">
        <f>(SUMIFS(LS[Amount],LS[B/S],"B",LS[Investor ID],A197,LS[Date Value],"&lt;"&amp;$Z$2)-SUMIFS(LS[Cost of Units Sold],LS[B/S],"S",LS[Investor ID],A197,LS[Date Value],"&lt;"&amp;$Z$2))+(SUMIFS(SIP[Amount],SIP[B/S],"B",SIP[Investor ID],#REF!,SIP[Date Value],"&lt;"&amp;$Z$2)-SUMIFS(SIP[Cost of Units Sold],SIP[B/S],"S",SIP[Investor ID],A197,SIP[Date Value],"&lt;"&amp;$Z$2))</f>
        <v>0</v>
      </c>
      <c r="D197" s="49">
        <f t="shared" si="15"/>
        <v>30145.385000000002</v>
      </c>
      <c r="E197" s="49">
        <f t="shared" si="16"/>
        <v>30145.385000000002</v>
      </c>
      <c r="F197" s="47">
        <f>SUMIFS(LS[Unit],LS[Investor ID],A197,LS[Date Value],"&lt;="&amp;$Z$3)+SUMIFS(SIP[Unit],SIP[Investor ID],A197,SIP[Date Value],"&lt;="&amp;$Z$3)</f>
        <v>19727</v>
      </c>
      <c r="G197" s="49">
        <f>(SUMIFS(LS[Amount],LS[B/S],"B",LS[Investor ID],A197,LS[Date Value],"&lt;="&amp;$Z$3)-SUMIFS(LS[Cost of Units Sold],LS[B/S],"S",LS[Investor ID],A197,LS[Date Value],"&lt;="&amp;$Z$3))+(SUMIFS(SIP[Amount],SIP[B/S],"B",SIP[Investor ID],A197,SIP[Date Value],"&lt;="&amp;$Z$3)-SUMIFS(SIP[Cost of Units Sold],SIP[B/S],"S",SIP[Investor ID],A197,SIP[Date Value],"&lt;="&amp;$Z$3))</f>
        <v>210000</v>
      </c>
      <c r="H197" s="49">
        <f t="shared" si="17"/>
        <v>220232.228</v>
      </c>
      <c r="I197" s="49">
        <f t="shared" si="18"/>
        <v>10232.228000000003</v>
      </c>
      <c r="J197" s="47">
        <f>(SUMIFS(LS[Unit],LS[Investor ID],A197,LS[B/S],"B",LS[Date Value],"&gt;="&amp;$Z$2,LS[Date Value],"&lt;="&amp;$Z$3))+(SUMIFS(SIP[Unit],SIP[Investor ID],A197,SIP[B/S],"B",SIP[Date Value],"&gt;="&amp;$Z$2,SIP[Date Value],"&lt;="&amp;$Z$3))</f>
        <v>16792</v>
      </c>
      <c r="K197" s="49">
        <f>(SUMIFS(LS[Amount],LS[Investor ID],A197,LS[B/S],"B",LS[Date Value],"&gt;="&amp;$Z$2,LS[Date Value],"&lt;="&amp;$Z$3))+(SUMIFS(SIP[Amount],SIP[Investor ID],A197,SIP[B/S],"B",SIP[Date Value],"&gt;="&amp;$Z$2,SIP[Date Value],"&lt;="&amp;$Z$3))</f>
        <v>180000</v>
      </c>
      <c r="L197" s="47">
        <f>(-SUMIFS(LS[Unit],LS[Investor ID],A197,LS[B/S],"S",LS[Date Value],"&gt;="&amp;$Z$2,LS[Date Value],"&lt;="&amp;$Z$3))+(-SUMIFS(SIP[Unit],SIP[Investor ID],A197,SIP[B/S],"S",SIP[Date Value],"&gt;="&amp;$Z$2,SIP[Date Value],"&lt;="&amp;$Z$3))</f>
        <v>0</v>
      </c>
      <c r="M197" s="49">
        <f>(SUMIFS(LS[Cost of Units Sold],LS[Investor ID],A197,LS[B/S],"S",LS[Date Value],"&gt;="&amp;$Z$2,LS[Date Value],"&lt;="&amp;$Z$3))+(SUMIFS(SIP[Cost of Units Sold],SIP[Investor ID],A197,SIP[B/S],"S",SIP[Date Value],"&gt;="&amp;$Z$2,SIP[Date Value],"&lt;="&amp;$Z$3))</f>
        <v>0</v>
      </c>
      <c r="N197" s="49">
        <f t="shared" si="19"/>
        <v>180000</v>
      </c>
      <c r="O197" s="49">
        <f>(SUMIFS(LS[Realized Gain],LS[Investor ID],A197,LS[Date Value],"&gt;="&amp;$Z$2,LS[Date Value],"&lt;="&amp;$Z$3))+(SUMIFS(SIP[Realized Gain],SIP[Investor ID],A197,SIP[Date Value],"&gt;="&amp;$Z$2,SIP[Date Value],"&lt;="&amp;$Z$3))</f>
        <v>0</v>
      </c>
      <c r="P197" s="49">
        <v>0</v>
      </c>
      <c r="Q197" s="49">
        <v>0</v>
      </c>
      <c r="R197" s="49">
        <v>0</v>
      </c>
    </row>
    <row r="198" spans="1:18">
      <c r="A198" t="s">
        <v>445</v>
      </c>
      <c r="B198" s="47">
        <f>SUMIFS(LS[Unit],LS[Investor ID],'TAX CERTIFICATE'!A198,LS[Date Value],"&lt;"&amp;$Z$2)+SUMIFS(SIP[Unit],SIP[Investor ID],'TAX CERTIFICATE'!A198,SIP[Date Value],"&lt;"&amp;$Z$2)</f>
        <v>0</v>
      </c>
      <c r="C198" s="48">
        <f>(SUMIFS(LS[Amount],LS[B/S],"B",LS[Investor ID],A198,LS[Date Value],"&lt;"&amp;$Z$2)-SUMIFS(LS[Cost of Units Sold],LS[B/S],"S",LS[Investor ID],A198,LS[Date Value],"&lt;"&amp;$Z$2))+(SUMIFS(SIP[Amount],SIP[B/S],"B",SIP[Investor ID],#REF!,SIP[Date Value],"&lt;"&amp;$Z$2)-SUMIFS(SIP[Cost of Units Sold],SIP[B/S],"S",SIP[Investor ID],A198,SIP[Date Value],"&lt;"&amp;$Z$2))</f>
        <v>0</v>
      </c>
      <c r="D198" s="49">
        <f t="shared" si="15"/>
        <v>0</v>
      </c>
      <c r="E198" s="49">
        <f t="shared" si="16"/>
        <v>0</v>
      </c>
      <c r="F198" s="47">
        <f>SUMIFS(LS[Unit],LS[Investor ID],A198,LS[Date Value],"&lt;="&amp;$Z$3)+SUMIFS(SIP[Unit],SIP[Investor ID],A198,SIP[Date Value],"&lt;="&amp;$Z$3)</f>
        <v>26901</v>
      </c>
      <c r="G198" s="49">
        <f>(SUMIFS(LS[Amount],LS[B/S],"B",LS[Investor ID],A198,LS[Date Value],"&lt;="&amp;$Z$3)-SUMIFS(LS[Cost of Units Sold],LS[B/S],"S",LS[Investor ID],A198,LS[Date Value],"&lt;="&amp;$Z$3))+(SUMIFS(SIP[Amount],SIP[B/S],"B",SIP[Investor ID],A198,SIP[Date Value],"&lt;="&amp;$Z$3)-SUMIFS(SIP[Cost of Units Sold],SIP[B/S],"S",SIP[Investor ID],A198,SIP[Date Value],"&lt;="&amp;$Z$3))</f>
        <v>300000</v>
      </c>
      <c r="H198" s="49">
        <f t="shared" si="17"/>
        <v>300322.76399999997</v>
      </c>
      <c r="I198" s="49">
        <f t="shared" si="18"/>
        <v>322.76399999996647</v>
      </c>
      <c r="J198" s="47">
        <f>(SUMIFS(LS[Unit],LS[Investor ID],A198,LS[B/S],"B",LS[Date Value],"&gt;="&amp;$Z$2,LS[Date Value],"&lt;="&amp;$Z$3))+(SUMIFS(SIP[Unit],SIP[Investor ID],A198,SIP[B/S],"B",SIP[Date Value],"&gt;="&amp;$Z$2,SIP[Date Value],"&lt;="&amp;$Z$3))</f>
        <v>26901</v>
      </c>
      <c r="K198" s="49">
        <f>(SUMIFS(LS[Amount],LS[Investor ID],A198,LS[B/S],"B",LS[Date Value],"&gt;="&amp;$Z$2,LS[Date Value],"&lt;="&amp;$Z$3))+(SUMIFS(SIP[Amount],SIP[Investor ID],A198,SIP[B/S],"B",SIP[Date Value],"&gt;="&amp;$Z$2,SIP[Date Value],"&lt;="&amp;$Z$3))</f>
        <v>300000</v>
      </c>
      <c r="L198" s="47">
        <f>(-SUMIFS(LS[Unit],LS[Investor ID],A198,LS[B/S],"S",LS[Date Value],"&gt;="&amp;$Z$2,LS[Date Value],"&lt;="&amp;$Z$3))+(-SUMIFS(SIP[Unit],SIP[Investor ID],A198,SIP[B/S],"S",SIP[Date Value],"&gt;="&amp;$Z$2,SIP[Date Value],"&lt;="&amp;$Z$3))</f>
        <v>0</v>
      </c>
      <c r="M198" s="49">
        <f>(SUMIFS(LS[Cost of Units Sold],LS[Investor ID],A198,LS[B/S],"S",LS[Date Value],"&gt;="&amp;$Z$2,LS[Date Value],"&lt;="&amp;$Z$3))+(SUMIFS(SIP[Cost of Units Sold],SIP[Investor ID],A198,SIP[B/S],"S",SIP[Date Value],"&gt;="&amp;$Z$2,SIP[Date Value],"&lt;="&amp;$Z$3))</f>
        <v>0</v>
      </c>
      <c r="N198" s="49">
        <f t="shared" si="19"/>
        <v>300000</v>
      </c>
      <c r="O198" s="49">
        <f>(SUMIFS(LS[Realized Gain],LS[Investor ID],A198,LS[Date Value],"&gt;="&amp;$Z$2,LS[Date Value],"&lt;="&amp;$Z$3))+(SUMIFS(SIP[Realized Gain],SIP[Investor ID],A198,SIP[Date Value],"&gt;="&amp;$Z$2,SIP[Date Value],"&lt;="&amp;$Z$3))</f>
        <v>0</v>
      </c>
      <c r="P198" s="49">
        <v>0</v>
      </c>
      <c r="Q198" s="49">
        <v>0</v>
      </c>
      <c r="R198" s="49">
        <v>0</v>
      </c>
    </row>
    <row r="199" spans="1:18">
      <c r="A199" t="s">
        <v>447</v>
      </c>
      <c r="B199" s="47">
        <f>SUMIFS(LS[Unit],LS[Investor ID],'TAX CERTIFICATE'!A199,LS[Date Value],"&lt;"&amp;$Z$2)+SUMIFS(SIP[Unit],SIP[Investor ID],'TAX CERTIFICATE'!A199,SIP[Date Value],"&lt;"&amp;$Z$2)</f>
        <v>0</v>
      </c>
      <c r="C199" s="48">
        <f>(SUMIFS(LS[Amount],LS[B/S],"B",LS[Investor ID],A199,LS[Date Value],"&lt;"&amp;$Z$2)-SUMIFS(LS[Cost of Units Sold],LS[B/S],"S",LS[Investor ID],A199,LS[Date Value],"&lt;"&amp;$Z$2))+(SUMIFS(SIP[Amount],SIP[B/S],"B",SIP[Investor ID],#REF!,SIP[Date Value],"&lt;"&amp;$Z$2)-SUMIFS(SIP[Cost of Units Sold],SIP[B/S],"S",SIP[Investor ID],A199,SIP[Date Value],"&lt;"&amp;$Z$2))</f>
        <v>0</v>
      </c>
      <c r="D199" s="49">
        <f t="shared" si="15"/>
        <v>0</v>
      </c>
      <c r="E199" s="49">
        <f t="shared" si="16"/>
        <v>0</v>
      </c>
      <c r="F199" s="47">
        <f>SUMIFS(LS[Unit],LS[Investor ID],A199,LS[Date Value],"&lt;="&amp;$Z$3)+SUMIFS(SIP[Unit],SIP[Investor ID],A199,SIP[Date Value],"&lt;="&amp;$Z$3)</f>
        <v>0</v>
      </c>
      <c r="G199" s="49">
        <f>(SUMIFS(LS[Amount],LS[B/S],"B",LS[Investor ID],A199,LS[Date Value],"&lt;="&amp;$Z$3)-SUMIFS(LS[Cost of Units Sold],LS[B/S],"S",LS[Investor ID],A199,LS[Date Value],"&lt;="&amp;$Z$3))+(SUMIFS(SIP[Amount],SIP[B/S],"B",SIP[Investor ID],A199,SIP[Date Value],"&lt;="&amp;$Z$3)-SUMIFS(SIP[Cost of Units Sold],SIP[B/S],"S",SIP[Investor ID],A199,SIP[Date Value],"&lt;="&amp;$Z$3))</f>
        <v>0</v>
      </c>
      <c r="H199" s="49">
        <f t="shared" si="17"/>
        <v>0</v>
      </c>
      <c r="I199" s="49">
        <f t="shared" si="18"/>
        <v>0</v>
      </c>
      <c r="J199" s="47">
        <f>(SUMIFS(LS[Unit],LS[Investor ID],A199,LS[B/S],"B",LS[Date Value],"&gt;="&amp;$Z$2,LS[Date Value],"&lt;="&amp;$Z$3))+(SUMIFS(SIP[Unit],SIP[Investor ID],A199,SIP[B/S],"B",SIP[Date Value],"&gt;="&amp;$Z$2,SIP[Date Value],"&lt;="&amp;$Z$3))</f>
        <v>0</v>
      </c>
      <c r="K199" s="49">
        <f>(SUMIFS(LS[Amount],LS[Investor ID],A199,LS[B/S],"B",LS[Date Value],"&gt;="&amp;$Z$2,LS[Date Value],"&lt;="&amp;$Z$3))+(SUMIFS(SIP[Amount],SIP[Investor ID],A199,SIP[B/S],"B",SIP[Date Value],"&gt;="&amp;$Z$2,SIP[Date Value],"&lt;="&amp;$Z$3))</f>
        <v>0</v>
      </c>
      <c r="L199" s="47">
        <f>(-SUMIFS(LS[Unit],LS[Investor ID],A199,LS[B/S],"S",LS[Date Value],"&gt;="&amp;$Z$2,LS[Date Value],"&lt;="&amp;$Z$3))+(-SUMIFS(SIP[Unit],SIP[Investor ID],A199,SIP[B/S],"S",SIP[Date Value],"&gt;="&amp;$Z$2,SIP[Date Value],"&lt;="&amp;$Z$3))</f>
        <v>0</v>
      </c>
      <c r="M199" s="49">
        <f>(SUMIFS(LS[Cost of Units Sold],LS[Investor ID],A199,LS[B/S],"S",LS[Date Value],"&gt;="&amp;$Z$2,LS[Date Value],"&lt;="&amp;$Z$3))+(SUMIFS(SIP[Cost of Units Sold],SIP[Investor ID],A199,SIP[B/S],"S",SIP[Date Value],"&gt;="&amp;$Z$2,SIP[Date Value],"&lt;="&amp;$Z$3))</f>
        <v>0</v>
      </c>
      <c r="N199" s="49">
        <f t="shared" si="19"/>
        <v>0</v>
      </c>
      <c r="O199" s="49">
        <f>(SUMIFS(LS[Realized Gain],LS[Investor ID],A199,LS[Date Value],"&gt;="&amp;$Z$2,LS[Date Value],"&lt;="&amp;$Z$3))+(SUMIFS(SIP[Realized Gain],SIP[Investor ID],A199,SIP[Date Value],"&gt;="&amp;$Z$2,SIP[Date Value],"&lt;="&amp;$Z$3))</f>
        <v>0</v>
      </c>
      <c r="P199" s="49">
        <v>0</v>
      </c>
      <c r="Q199" s="49">
        <v>0</v>
      </c>
      <c r="R199" s="49">
        <v>0</v>
      </c>
    </row>
    <row r="200" spans="1:18">
      <c r="A200" t="s">
        <v>449</v>
      </c>
      <c r="B200" s="47">
        <f>SUMIFS(LS[Unit],LS[Investor ID],'TAX CERTIFICATE'!A200,LS[Date Value],"&lt;"&amp;$Z$2)+SUMIFS(SIP[Unit],SIP[Investor ID],'TAX CERTIFICATE'!A200,SIP[Date Value],"&lt;"&amp;$Z$2)</f>
        <v>0</v>
      </c>
      <c r="C200" s="48">
        <f>(SUMIFS(LS[Amount],LS[B/S],"B",LS[Investor ID],A200,LS[Date Value],"&lt;"&amp;$Z$2)-SUMIFS(LS[Cost of Units Sold],LS[B/S],"S",LS[Investor ID],A200,LS[Date Value],"&lt;"&amp;$Z$2))+(SUMIFS(SIP[Amount],SIP[B/S],"B",SIP[Investor ID],#REF!,SIP[Date Value],"&lt;"&amp;$Z$2)-SUMIFS(SIP[Cost of Units Sold],SIP[B/S],"S",SIP[Investor ID],A200,SIP[Date Value],"&lt;"&amp;$Z$2))</f>
        <v>0</v>
      </c>
      <c r="D200" s="49">
        <f t="shared" si="15"/>
        <v>0</v>
      </c>
      <c r="E200" s="49">
        <f t="shared" si="16"/>
        <v>0</v>
      </c>
      <c r="F200" s="47">
        <f>SUMIFS(LS[Unit],LS[Investor ID],A200,LS[Date Value],"&lt;="&amp;$Z$3)+SUMIFS(SIP[Unit],SIP[Investor ID],A200,SIP[Date Value],"&lt;="&amp;$Z$3)</f>
        <v>0</v>
      </c>
      <c r="G200" s="49">
        <f>(SUMIFS(LS[Amount],LS[B/S],"B",LS[Investor ID],A200,LS[Date Value],"&lt;="&amp;$Z$3)-SUMIFS(LS[Cost of Units Sold],LS[B/S],"S",LS[Investor ID],A200,LS[Date Value],"&lt;="&amp;$Z$3))+(SUMIFS(SIP[Amount],SIP[B/S],"B",SIP[Investor ID],A200,SIP[Date Value],"&lt;="&amp;$Z$3)-SUMIFS(SIP[Cost of Units Sold],SIP[B/S],"S",SIP[Investor ID],A200,SIP[Date Value],"&lt;="&amp;$Z$3))</f>
        <v>0</v>
      </c>
      <c r="H200" s="49">
        <f t="shared" si="17"/>
        <v>0</v>
      </c>
      <c r="I200" s="49">
        <f t="shared" si="18"/>
        <v>0</v>
      </c>
      <c r="J200" s="47">
        <f>(SUMIFS(LS[Unit],LS[Investor ID],A200,LS[B/S],"B",LS[Date Value],"&gt;="&amp;$Z$2,LS[Date Value],"&lt;="&amp;$Z$3))+(SUMIFS(SIP[Unit],SIP[Investor ID],A200,SIP[B/S],"B",SIP[Date Value],"&gt;="&amp;$Z$2,SIP[Date Value],"&lt;="&amp;$Z$3))</f>
        <v>0</v>
      </c>
      <c r="K200" s="49">
        <f>(SUMIFS(LS[Amount],LS[Investor ID],A200,LS[B/S],"B",LS[Date Value],"&gt;="&amp;$Z$2,LS[Date Value],"&lt;="&amp;$Z$3))+(SUMIFS(SIP[Amount],SIP[Investor ID],A200,SIP[B/S],"B",SIP[Date Value],"&gt;="&amp;$Z$2,SIP[Date Value],"&lt;="&amp;$Z$3))</f>
        <v>0</v>
      </c>
      <c r="L200" s="47">
        <f>(-SUMIFS(LS[Unit],LS[Investor ID],A200,LS[B/S],"S",LS[Date Value],"&gt;="&amp;$Z$2,LS[Date Value],"&lt;="&amp;$Z$3))+(-SUMIFS(SIP[Unit],SIP[Investor ID],A200,SIP[B/S],"S",SIP[Date Value],"&gt;="&amp;$Z$2,SIP[Date Value],"&lt;="&amp;$Z$3))</f>
        <v>0</v>
      </c>
      <c r="M200" s="49">
        <f>(SUMIFS(LS[Cost of Units Sold],LS[Investor ID],A200,LS[B/S],"S",LS[Date Value],"&gt;="&amp;$Z$2,LS[Date Value],"&lt;="&amp;$Z$3))+(SUMIFS(SIP[Cost of Units Sold],SIP[Investor ID],A200,SIP[B/S],"S",SIP[Date Value],"&gt;="&amp;$Z$2,SIP[Date Value],"&lt;="&amp;$Z$3))</f>
        <v>0</v>
      </c>
      <c r="N200" s="49">
        <f t="shared" si="19"/>
        <v>0</v>
      </c>
      <c r="O200" s="49">
        <f>(SUMIFS(LS[Realized Gain],LS[Investor ID],A200,LS[Date Value],"&gt;="&amp;$Z$2,LS[Date Value],"&lt;="&amp;$Z$3))+(SUMIFS(SIP[Realized Gain],SIP[Investor ID],A200,SIP[Date Value],"&gt;="&amp;$Z$2,SIP[Date Value],"&lt;="&amp;$Z$3))</f>
        <v>0</v>
      </c>
      <c r="P200" s="49">
        <v>0</v>
      </c>
      <c r="Q200" s="49">
        <v>0</v>
      </c>
      <c r="R200" s="49">
        <v>0</v>
      </c>
    </row>
    <row r="201" spans="1:18">
      <c r="A201" t="s">
        <v>451</v>
      </c>
      <c r="B201" s="47">
        <f>SUMIFS(LS[Unit],LS[Investor ID],'TAX CERTIFICATE'!A201,LS[Date Value],"&lt;"&amp;$Z$2)+SUMIFS(SIP[Unit],SIP[Investor ID],'TAX CERTIFICATE'!A201,SIP[Date Value],"&lt;"&amp;$Z$2)</f>
        <v>0</v>
      </c>
      <c r="C201" s="48">
        <f>(SUMIFS(LS[Amount],LS[B/S],"B",LS[Investor ID],A201,LS[Date Value],"&lt;"&amp;$Z$2)-SUMIFS(LS[Cost of Units Sold],LS[B/S],"S",LS[Investor ID],A201,LS[Date Value],"&lt;"&amp;$Z$2))+(SUMIFS(SIP[Amount],SIP[B/S],"B",SIP[Investor ID],#REF!,SIP[Date Value],"&lt;"&amp;$Z$2)-SUMIFS(SIP[Cost of Units Sold],SIP[B/S],"S",SIP[Investor ID],A201,SIP[Date Value],"&lt;"&amp;$Z$2))</f>
        <v>0</v>
      </c>
      <c r="D201" s="49">
        <f t="shared" si="15"/>
        <v>0</v>
      </c>
      <c r="E201" s="49">
        <f t="shared" si="16"/>
        <v>0</v>
      </c>
      <c r="F201" s="47">
        <f>SUMIFS(LS[Unit],LS[Investor ID],A201,LS[Date Value],"&lt;="&amp;$Z$3)+SUMIFS(SIP[Unit],SIP[Investor ID],A201,SIP[Date Value],"&lt;="&amp;$Z$3)</f>
        <v>82882</v>
      </c>
      <c r="G201" s="49">
        <f>(SUMIFS(LS[Amount],LS[B/S],"B",LS[Investor ID],A201,LS[Date Value],"&lt;="&amp;$Z$3)-SUMIFS(LS[Cost of Units Sold],LS[B/S],"S",LS[Investor ID],A201,LS[Date Value],"&lt;="&amp;$Z$3))+(SUMIFS(SIP[Amount],SIP[B/S],"B",SIP[Investor ID],A201,SIP[Date Value],"&lt;="&amp;$Z$3)-SUMIFS(SIP[Cost of Units Sold],SIP[B/S],"S",SIP[Investor ID],A201,SIP[Date Value],"&lt;="&amp;$Z$3))</f>
        <v>912327.39926127344</v>
      </c>
      <c r="H201" s="49">
        <f t="shared" si="17"/>
        <v>925294.64799999993</v>
      </c>
      <c r="I201" s="49">
        <f t="shared" si="18"/>
        <v>12967.248738726485</v>
      </c>
      <c r="J201" s="47">
        <f>(SUMIFS(LS[Unit],LS[Investor ID],A201,LS[B/S],"B",LS[Date Value],"&gt;="&amp;$Z$2,LS[Date Value],"&lt;="&amp;$Z$3))+(SUMIFS(SIP[Unit],SIP[Investor ID],A201,SIP[B/S],"B",SIP[Date Value],"&gt;="&amp;$Z$2,SIP[Date Value],"&lt;="&amp;$Z$3))</f>
        <v>718406</v>
      </c>
      <c r="K201" s="49">
        <f>(SUMIFS(LS[Amount],LS[Investor ID],A201,LS[B/S],"B",LS[Date Value],"&gt;="&amp;$Z$2,LS[Date Value],"&lt;="&amp;$Z$3))+(SUMIFS(SIP[Amount],SIP[Investor ID],A201,SIP[B/S],"B",SIP[Date Value],"&gt;="&amp;$Z$2,SIP[Date Value],"&lt;="&amp;$Z$3))</f>
        <v>7700000</v>
      </c>
      <c r="L201" s="47">
        <f>(-SUMIFS(LS[Unit],LS[Investor ID],A201,LS[B/S],"S",LS[Date Value],"&gt;="&amp;$Z$2,LS[Date Value],"&lt;="&amp;$Z$3))+(-SUMIFS(SIP[Unit],SIP[Investor ID],A201,SIP[B/S],"S",SIP[Date Value],"&gt;="&amp;$Z$2,SIP[Date Value],"&lt;="&amp;$Z$3))</f>
        <v>635524</v>
      </c>
      <c r="M201" s="49">
        <f>(SUMIFS(LS[Cost of Units Sold],LS[Investor ID],A201,LS[B/S],"S",LS[Date Value],"&gt;="&amp;$Z$2,LS[Date Value],"&lt;="&amp;$Z$3))+(SUMIFS(SIP[Cost of Units Sold],SIP[Investor ID],A201,SIP[B/S],"S",SIP[Date Value],"&gt;="&amp;$Z$2,SIP[Date Value],"&lt;="&amp;$Z$3))</f>
        <v>6787672.6007387266</v>
      </c>
      <c r="N201" s="49">
        <f t="shared" si="19"/>
        <v>912327.39926127344</v>
      </c>
      <c r="O201" s="49">
        <f>(SUMIFS(LS[Realized Gain],LS[Investor ID],A201,LS[Date Value],"&gt;="&amp;$Z$2,LS[Date Value],"&lt;="&amp;$Z$3))+(SUMIFS(SIP[Realized Gain],SIP[Investor ID],A201,SIP[Date Value],"&gt;="&amp;$Z$2,SIP[Date Value],"&lt;="&amp;$Z$3))</f>
        <v>112327.39926127373</v>
      </c>
      <c r="P201" s="49">
        <v>0</v>
      </c>
      <c r="Q201" s="49">
        <v>0</v>
      </c>
      <c r="R201" s="49">
        <v>0</v>
      </c>
    </row>
    <row r="202" spans="1:18">
      <c r="A202" t="s">
        <v>453</v>
      </c>
      <c r="B202" s="47">
        <f>SUMIFS(LS[Unit],LS[Investor ID],'TAX CERTIFICATE'!A202,LS[Date Value],"&lt;"&amp;$Z$2)+SUMIFS(SIP[Unit],SIP[Investor ID],'TAX CERTIFICATE'!A202,SIP[Date Value],"&lt;"&amp;$Z$2)</f>
        <v>0</v>
      </c>
      <c r="C202" s="48">
        <f>(SUMIFS(LS[Amount],LS[B/S],"B",LS[Investor ID],A202,LS[Date Value],"&lt;"&amp;$Z$2)-SUMIFS(LS[Cost of Units Sold],LS[B/S],"S",LS[Investor ID],A202,LS[Date Value],"&lt;"&amp;$Z$2))+(SUMIFS(SIP[Amount],SIP[B/S],"B",SIP[Investor ID],#REF!,SIP[Date Value],"&lt;"&amp;$Z$2)-SUMIFS(SIP[Cost of Units Sold],SIP[B/S],"S",SIP[Investor ID],A202,SIP[Date Value],"&lt;"&amp;$Z$2))</f>
        <v>0</v>
      </c>
      <c r="D202" s="49">
        <f t="shared" si="15"/>
        <v>0</v>
      </c>
      <c r="E202" s="49">
        <f t="shared" si="16"/>
        <v>0</v>
      </c>
      <c r="F202" s="47">
        <f>SUMIFS(LS[Unit],LS[Investor ID],A202,LS[Date Value],"&lt;="&amp;$Z$3)+SUMIFS(SIP[Unit],SIP[Investor ID],A202,SIP[Date Value],"&lt;="&amp;$Z$3)</f>
        <v>0</v>
      </c>
      <c r="G202" s="49">
        <f>(SUMIFS(LS[Amount],LS[B/S],"B",LS[Investor ID],A202,LS[Date Value],"&lt;="&amp;$Z$3)-SUMIFS(LS[Cost of Units Sold],LS[B/S],"S",LS[Investor ID],A202,LS[Date Value],"&lt;="&amp;$Z$3))+(SUMIFS(SIP[Amount],SIP[B/S],"B",SIP[Investor ID],A202,SIP[Date Value],"&lt;="&amp;$Z$3)-SUMIFS(SIP[Cost of Units Sold],SIP[B/S],"S",SIP[Investor ID],A202,SIP[Date Value],"&lt;="&amp;$Z$3))</f>
        <v>0</v>
      </c>
      <c r="H202" s="49">
        <f t="shared" si="17"/>
        <v>0</v>
      </c>
      <c r="I202" s="49">
        <f t="shared" si="18"/>
        <v>0</v>
      </c>
      <c r="J202" s="47">
        <f>(SUMIFS(LS[Unit],LS[Investor ID],A202,LS[B/S],"B",LS[Date Value],"&gt;="&amp;$Z$2,LS[Date Value],"&lt;="&amp;$Z$3))+(SUMIFS(SIP[Unit],SIP[Investor ID],A202,SIP[B/S],"B",SIP[Date Value],"&gt;="&amp;$Z$2,SIP[Date Value],"&lt;="&amp;$Z$3))</f>
        <v>0</v>
      </c>
      <c r="K202" s="49">
        <f>(SUMIFS(LS[Amount],LS[Investor ID],A202,LS[B/S],"B",LS[Date Value],"&gt;="&amp;$Z$2,LS[Date Value],"&lt;="&amp;$Z$3))+(SUMIFS(SIP[Amount],SIP[Investor ID],A202,SIP[B/S],"B",SIP[Date Value],"&gt;="&amp;$Z$2,SIP[Date Value],"&lt;="&amp;$Z$3))</f>
        <v>0</v>
      </c>
      <c r="L202" s="47">
        <f>(-SUMIFS(LS[Unit],LS[Investor ID],A202,LS[B/S],"S",LS[Date Value],"&gt;="&amp;$Z$2,LS[Date Value],"&lt;="&amp;$Z$3))+(-SUMIFS(SIP[Unit],SIP[Investor ID],A202,SIP[B/S],"S",SIP[Date Value],"&gt;="&amp;$Z$2,SIP[Date Value],"&lt;="&amp;$Z$3))</f>
        <v>0</v>
      </c>
      <c r="M202" s="49">
        <f>(SUMIFS(LS[Cost of Units Sold],LS[Investor ID],A202,LS[B/S],"S",LS[Date Value],"&gt;="&amp;$Z$2,LS[Date Value],"&lt;="&amp;$Z$3))+(SUMIFS(SIP[Cost of Units Sold],SIP[Investor ID],A202,SIP[B/S],"S",SIP[Date Value],"&gt;="&amp;$Z$2,SIP[Date Value],"&lt;="&amp;$Z$3))</f>
        <v>0</v>
      </c>
      <c r="N202" s="49">
        <f t="shared" si="19"/>
        <v>0</v>
      </c>
      <c r="O202" s="49">
        <f>(SUMIFS(LS[Realized Gain],LS[Investor ID],A202,LS[Date Value],"&gt;="&amp;$Z$2,LS[Date Value],"&lt;="&amp;$Z$3))+(SUMIFS(SIP[Realized Gain],SIP[Investor ID],A202,SIP[Date Value],"&gt;="&amp;$Z$2,SIP[Date Value],"&lt;="&amp;$Z$3))</f>
        <v>0</v>
      </c>
      <c r="P202" s="49">
        <v>0</v>
      </c>
      <c r="Q202" s="49">
        <v>0</v>
      </c>
      <c r="R202" s="49">
        <v>0</v>
      </c>
    </row>
    <row r="203" spans="1:18">
      <c r="A203" t="s">
        <v>455</v>
      </c>
      <c r="B203" s="47">
        <f>SUMIFS(LS[Unit],LS[Investor ID],'TAX CERTIFICATE'!A203,LS[Date Value],"&lt;"&amp;$Z$2)+SUMIFS(SIP[Unit],SIP[Investor ID],'TAX CERTIFICATE'!A203,SIP[Date Value],"&lt;"&amp;$Z$2)</f>
        <v>0</v>
      </c>
      <c r="C203" s="48">
        <f>(SUMIFS(LS[Amount],LS[B/S],"B",LS[Investor ID],A203,LS[Date Value],"&lt;"&amp;$Z$2)-SUMIFS(LS[Cost of Units Sold],LS[B/S],"S",LS[Investor ID],A203,LS[Date Value],"&lt;"&amp;$Z$2))+(SUMIFS(SIP[Amount],SIP[B/S],"B",SIP[Investor ID],#REF!,SIP[Date Value],"&lt;"&amp;$Z$2)-SUMIFS(SIP[Cost of Units Sold],SIP[B/S],"S",SIP[Investor ID],A203,SIP[Date Value],"&lt;"&amp;$Z$2))</f>
        <v>0</v>
      </c>
      <c r="D203" s="49">
        <f t="shared" si="15"/>
        <v>0</v>
      </c>
      <c r="E203" s="49">
        <f t="shared" si="16"/>
        <v>0</v>
      </c>
      <c r="F203" s="47">
        <f>SUMIFS(LS[Unit],LS[Investor ID],A203,LS[Date Value],"&lt;="&amp;$Z$3)+SUMIFS(SIP[Unit],SIP[Investor ID],A203,SIP[Date Value],"&lt;="&amp;$Z$3)</f>
        <v>0</v>
      </c>
      <c r="G203" s="49">
        <f>(SUMIFS(LS[Amount],LS[B/S],"B",LS[Investor ID],A203,LS[Date Value],"&lt;="&amp;$Z$3)-SUMIFS(LS[Cost of Units Sold],LS[B/S],"S",LS[Investor ID],A203,LS[Date Value],"&lt;="&amp;$Z$3))+(SUMIFS(SIP[Amount],SIP[B/S],"B",SIP[Investor ID],A203,SIP[Date Value],"&lt;="&amp;$Z$3)-SUMIFS(SIP[Cost of Units Sold],SIP[B/S],"S",SIP[Investor ID],A203,SIP[Date Value],"&lt;="&amp;$Z$3))</f>
        <v>0</v>
      </c>
      <c r="H203" s="49">
        <f t="shared" si="17"/>
        <v>0</v>
      </c>
      <c r="I203" s="49">
        <f t="shared" si="18"/>
        <v>0</v>
      </c>
      <c r="J203" s="47">
        <f>(SUMIFS(LS[Unit],LS[Investor ID],A203,LS[B/S],"B",LS[Date Value],"&gt;="&amp;$Z$2,LS[Date Value],"&lt;="&amp;$Z$3))+(SUMIFS(SIP[Unit],SIP[Investor ID],A203,SIP[B/S],"B",SIP[Date Value],"&gt;="&amp;$Z$2,SIP[Date Value],"&lt;="&amp;$Z$3))</f>
        <v>0</v>
      </c>
      <c r="K203" s="49">
        <f>(SUMIFS(LS[Amount],LS[Investor ID],A203,LS[B/S],"B",LS[Date Value],"&gt;="&amp;$Z$2,LS[Date Value],"&lt;="&amp;$Z$3))+(SUMIFS(SIP[Amount],SIP[Investor ID],A203,SIP[B/S],"B",SIP[Date Value],"&gt;="&amp;$Z$2,SIP[Date Value],"&lt;="&amp;$Z$3))</f>
        <v>0</v>
      </c>
      <c r="L203" s="47">
        <f>(-SUMIFS(LS[Unit],LS[Investor ID],A203,LS[B/S],"S",LS[Date Value],"&gt;="&amp;$Z$2,LS[Date Value],"&lt;="&amp;$Z$3))+(-SUMIFS(SIP[Unit],SIP[Investor ID],A203,SIP[B/S],"S",SIP[Date Value],"&gt;="&amp;$Z$2,SIP[Date Value],"&lt;="&amp;$Z$3))</f>
        <v>0</v>
      </c>
      <c r="M203" s="49">
        <f>(SUMIFS(LS[Cost of Units Sold],LS[Investor ID],A203,LS[B/S],"S",LS[Date Value],"&gt;="&amp;$Z$2,LS[Date Value],"&lt;="&amp;$Z$3))+(SUMIFS(SIP[Cost of Units Sold],SIP[Investor ID],A203,SIP[B/S],"S",SIP[Date Value],"&gt;="&amp;$Z$2,SIP[Date Value],"&lt;="&amp;$Z$3))</f>
        <v>0</v>
      </c>
      <c r="N203" s="49">
        <f t="shared" si="19"/>
        <v>0</v>
      </c>
      <c r="O203" s="49">
        <f>(SUMIFS(LS[Realized Gain],LS[Investor ID],A203,LS[Date Value],"&gt;="&amp;$Z$2,LS[Date Value],"&lt;="&amp;$Z$3))+(SUMIFS(SIP[Realized Gain],SIP[Investor ID],A203,SIP[Date Value],"&gt;="&amp;$Z$2,SIP[Date Value],"&lt;="&amp;$Z$3))</f>
        <v>0</v>
      </c>
      <c r="P203" s="49">
        <v>0</v>
      </c>
      <c r="Q203" s="49">
        <v>0</v>
      </c>
      <c r="R203" s="49">
        <v>0</v>
      </c>
    </row>
    <row r="204" spans="1:18">
      <c r="A204" t="s">
        <v>457</v>
      </c>
      <c r="B204" s="47">
        <f>SUMIFS(LS[Unit],LS[Investor ID],'TAX CERTIFICATE'!A204,LS[Date Value],"&lt;"&amp;$Z$2)+SUMIFS(SIP[Unit],SIP[Investor ID],'TAX CERTIFICATE'!A204,SIP[Date Value],"&lt;"&amp;$Z$2)</f>
        <v>0</v>
      </c>
      <c r="C204" s="48">
        <f>(SUMIFS(LS[Amount],LS[B/S],"B",LS[Investor ID],A204,LS[Date Value],"&lt;"&amp;$Z$2)-SUMIFS(LS[Cost of Units Sold],LS[B/S],"S",LS[Investor ID],A204,LS[Date Value],"&lt;"&amp;$Z$2))+(SUMIFS(SIP[Amount],SIP[B/S],"B",SIP[Investor ID],#REF!,SIP[Date Value],"&lt;"&amp;$Z$2)-SUMIFS(SIP[Cost of Units Sold],SIP[B/S],"S",SIP[Investor ID],A204,SIP[Date Value],"&lt;"&amp;$Z$2))</f>
        <v>0</v>
      </c>
      <c r="D204" s="49">
        <f t="shared" si="15"/>
        <v>0</v>
      </c>
      <c r="E204" s="49">
        <f t="shared" si="16"/>
        <v>0</v>
      </c>
      <c r="F204" s="47">
        <f>SUMIFS(LS[Unit],LS[Investor ID],A204,LS[Date Value],"&lt;="&amp;$Z$3)+SUMIFS(SIP[Unit],SIP[Investor ID],A204,SIP[Date Value],"&lt;="&amp;$Z$3)</f>
        <v>0</v>
      </c>
      <c r="G204" s="49">
        <f>(SUMIFS(LS[Amount],LS[B/S],"B",LS[Investor ID],A204,LS[Date Value],"&lt;="&amp;$Z$3)-SUMIFS(LS[Cost of Units Sold],LS[B/S],"S",LS[Investor ID],A204,LS[Date Value],"&lt;="&amp;$Z$3))+(SUMIFS(SIP[Amount],SIP[B/S],"B",SIP[Investor ID],A204,SIP[Date Value],"&lt;="&amp;$Z$3)-SUMIFS(SIP[Cost of Units Sold],SIP[B/S],"S",SIP[Investor ID],A204,SIP[Date Value],"&lt;="&amp;$Z$3))</f>
        <v>0</v>
      </c>
      <c r="H204" s="49">
        <f t="shared" si="17"/>
        <v>0</v>
      </c>
      <c r="I204" s="49">
        <f t="shared" si="18"/>
        <v>0</v>
      </c>
      <c r="J204" s="47">
        <f>(SUMIFS(LS[Unit],LS[Investor ID],A204,LS[B/S],"B",LS[Date Value],"&gt;="&amp;$Z$2,LS[Date Value],"&lt;="&amp;$Z$3))+(SUMIFS(SIP[Unit],SIP[Investor ID],A204,SIP[B/S],"B",SIP[Date Value],"&gt;="&amp;$Z$2,SIP[Date Value],"&lt;="&amp;$Z$3))</f>
        <v>0</v>
      </c>
      <c r="K204" s="49">
        <f>(SUMIFS(LS[Amount],LS[Investor ID],A204,LS[B/S],"B",LS[Date Value],"&gt;="&amp;$Z$2,LS[Date Value],"&lt;="&amp;$Z$3))+(SUMIFS(SIP[Amount],SIP[Investor ID],A204,SIP[B/S],"B",SIP[Date Value],"&gt;="&amp;$Z$2,SIP[Date Value],"&lt;="&amp;$Z$3))</f>
        <v>0</v>
      </c>
      <c r="L204" s="47">
        <f>(-SUMIFS(LS[Unit],LS[Investor ID],A204,LS[B/S],"S",LS[Date Value],"&gt;="&amp;$Z$2,LS[Date Value],"&lt;="&amp;$Z$3))+(-SUMIFS(SIP[Unit],SIP[Investor ID],A204,SIP[B/S],"S",SIP[Date Value],"&gt;="&amp;$Z$2,SIP[Date Value],"&lt;="&amp;$Z$3))</f>
        <v>0</v>
      </c>
      <c r="M204" s="49">
        <f>(SUMIFS(LS[Cost of Units Sold],LS[Investor ID],A204,LS[B/S],"S",LS[Date Value],"&gt;="&amp;$Z$2,LS[Date Value],"&lt;="&amp;$Z$3))+(SUMIFS(SIP[Cost of Units Sold],SIP[Investor ID],A204,SIP[B/S],"S",SIP[Date Value],"&gt;="&amp;$Z$2,SIP[Date Value],"&lt;="&amp;$Z$3))</f>
        <v>0</v>
      </c>
      <c r="N204" s="49">
        <f t="shared" si="19"/>
        <v>0</v>
      </c>
      <c r="O204" s="49">
        <f>(SUMIFS(LS[Realized Gain],LS[Investor ID],A204,LS[Date Value],"&gt;="&amp;$Z$2,LS[Date Value],"&lt;="&amp;$Z$3))+(SUMIFS(SIP[Realized Gain],SIP[Investor ID],A204,SIP[Date Value],"&gt;="&amp;$Z$2,SIP[Date Value],"&lt;="&amp;$Z$3))</f>
        <v>0</v>
      </c>
      <c r="P204" s="49">
        <v>0</v>
      </c>
      <c r="Q204" s="49">
        <v>0</v>
      </c>
      <c r="R204" s="49">
        <v>0</v>
      </c>
    </row>
    <row r="205" spans="1:18">
      <c r="A205" t="s">
        <v>459</v>
      </c>
      <c r="B205" s="47">
        <f>SUMIFS(LS[Unit],LS[Investor ID],'TAX CERTIFICATE'!A205,LS[Date Value],"&lt;"&amp;$Z$2)+SUMIFS(SIP[Unit],SIP[Investor ID],'TAX CERTIFICATE'!A205,SIP[Date Value],"&lt;"&amp;$Z$2)</f>
        <v>0</v>
      </c>
      <c r="C205" s="48">
        <f>(SUMIFS(LS[Amount],LS[B/S],"B",LS[Investor ID],A205,LS[Date Value],"&lt;"&amp;$Z$2)-SUMIFS(LS[Cost of Units Sold],LS[B/S],"S",LS[Investor ID],A205,LS[Date Value],"&lt;"&amp;$Z$2))+(SUMIFS(SIP[Amount],SIP[B/S],"B",SIP[Investor ID],#REF!,SIP[Date Value],"&lt;"&amp;$Z$2)-SUMIFS(SIP[Cost of Units Sold],SIP[B/S],"S",SIP[Investor ID],A205,SIP[Date Value],"&lt;"&amp;$Z$2))</f>
        <v>0</v>
      </c>
      <c r="D205" s="49">
        <f t="shared" si="15"/>
        <v>0</v>
      </c>
      <c r="E205" s="49">
        <f t="shared" si="16"/>
        <v>0</v>
      </c>
      <c r="F205" s="47">
        <f>SUMIFS(LS[Unit],LS[Investor ID],A205,LS[Date Value],"&lt;="&amp;$Z$3)+SUMIFS(SIP[Unit],SIP[Investor ID],A205,SIP[Date Value],"&lt;="&amp;$Z$3)</f>
        <v>0</v>
      </c>
      <c r="G205" s="49">
        <f>(SUMIFS(LS[Amount],LS[B/S],"B",LS[Investor ID],A205,LS[Date Value],"&lt;="&amp;$Z$3)-SUMIFS(LS[Cost of Units Sold],LS[B/S],"S",LS[Investor ID],A205,LS[Date Value],"&lt;="&amp;$Z$3))+(SUMIFS(SIP[Amount],SIP[B/S],"B",SIP[Investor ID],A205,SIP[Date Value],"&lt;="&amp;$Z$3)-SUMIFS(SIP[Cost of Units Sold],SIP[B/S],"S",SIP[Investor ID],A205,SIP[Date Value],"&lt;="&amp;$Z$3))</f>
        <v>0</v>
      </c>
      <c r="H205" s="49">
        <f t="shared" si="17"/>
        <v>0</v>
      </c>
      <c r="I205" s="49">
        <f t="shared" si="18"/>
        <v>0</v>
      </c>
      <c r="J205" s="47">
        <f>(SUMIFS(LS[Unit],LS[Investor ID],A205,LS[B/S],"B",LS[Date Value],"&gt;="&amp;$Z$2,LS[Date Value],"&lt;="&amp;$Z$3))+(SUMIFS(SIP[Unit],SIP[Investor ID],A205,SIP[B/S],"B",SIP[Date Value],"&gt;="&amp;$Z$2,SIP[Date Value],"&lt;="&amp;$Z$3))</f>
        <v>0</v>
      </c>
      <c r="K205" s="49">
        <f>(SUMIFS(LS[Amount],LS[Investor ID],A205,LS[B/S],"B",LS[Date Value],"&gt;="&amp;$Z$2,LS[Date Value],"&lt;="&amp;$Z$3))+(SUMIFS(SIP[Amount],SIP[Investor ID],A205,SIP[B/S],"B",SIP[Date Value],"&gt;="&amp;$Z$2,SIP[Date Value],"&lt;="&amp;$Z$3))</f>
        <v>0</v>
      </c>
      <c r="L205" s="47">
        <f>(-SUMIFS(LS[Unit],LS[Investor ID],A205,LS[B/S],"S",LS[Date Value],"&gt;="&amp;$Z$2,LS[Date Value],"&lt;="&amp;$Z$3))+(-SUMIFS(SIP[Unit],SIP[Investor ID],A205,SIP[B/S],"S",SIP[Date Value],"&gt;="&amp;$Z$2,SIP[Date Value],"&lt;="&amp;$Z$3))</f>
        <v>0</v>
      </c>
      <c r="M205" s="49">
        <f>(SUMIFS(LS[Cost of Units Sold],LS[Investor ID],A205,LS[B/S],"S",LS[Date Value],"&gt;="&amp;$Z$2,LS[Date Value],"&lt;="&amp;$Z$3))+(SUMIFS(SIP[Cost of Units Sold],SIP[Investor ID],A205,SIP[B/S],"S",SIP[Date Value],"&gt;="&amp;$Z$2,SIP[Date Value],"&lt;="&amp;$Z$3))</f>
        <v>0</v>
      </c>
      <c r="N205" s="49">
        <f t="shared" si="19"/>
        <v>0</v>
      </c>
      <c r="O205" s="49">
        <f>(SUMIFS(LS[Realized Gain],LS[Investor ID],A205,LS[Date Value],"&gt;="&amp;$Z$2,LS[Date Value],"&lt;="&amp;$Z$3))+(SUMIFS(SIP[Realized Gain],SIP[Investor ID],A205,SIP[Date Value],"&gt;="&amp;$Z$2,SIP[Date Value],"&lt;="&amp;$Z$3))</f>
        <v>0</v>
      </c>
      <c r="P205" s="49">
        <v>0</v>
      </c>
      <c r="Q205" s="49">
        <v>0</v>
      </c>
      <c r="R205" s="49">
        <v>0</v>
      </c>
    </row>
    <row r="206" spans="1:18">
      <c r="A206" t="s">
        <v>461</v>
      </c>
      <c r="B206" s="47">
        <f>SUMIFS(LS[Unit],LS[Investor ID],'TAX CERTIFICATE'!A206,LS[Date Value],"&lt;"&amp;$Z$2)+SUMIFS(SIP[Unit],SIP[Investor ID],'TAX CERTIFICATE'!A206,SIP[Date Value],"&lt;"&amp;$Z$2)</f>
        <v>1467</v>
      </c>
      <c r="C206" s="48">
        <f>(SUMIFS(LS[Amount],LS[B/S],"B",LS[Investor ID],A206,LS[Date Value],"&lt;"&amp;$Z$2)-SUMIFS(LS[Cost of Units Sold],LS[B/S],"S",LS[Investor ID],A206,LS[Date Value],"&lt;"&amp;$Z$2))+(SUMIFS(SIP[Amount],SIP[B/S],"B",SIP[Investor ID],#REF!,SIP[Date Value],"&lt;"&amp;$Z$2)-SUMIFS(SIP[Cost of Units Sold],SIP[B/S],"S",SIP[Investor ID],A206,SIP[Date Value],"&lt;"&amp;$Z$2))</f>
        <v>0</v>
      </c>
      <c r="D206" s="49">
        <f t="shared" si="15"/>
        <v>15067.557000000001</v>
      </c>
      <c r="E206" s="49">
        <f t="shared" si="16"/>
        <v>15067.557000000001</v>
      </c>
      <c r="F206" s="47">
        <f>SUMIFS(LS[Unit],LS[Investor ID],A206,LS[Date Value],"&lt;="&amp;$Z$3)+SUMIFS(SIP[Unit],SIP[Investor ID],A206,SIP[Date Value],"&lt;="&amp;$Z$3)</f>
        <v>9862</v>
      </c>
      <c r="G206" s="49">
        <f>(SUMIFS(LS[Amount],LS[B/S],"B",LS[Investor ID],A206,LS[Date Value],"&lt;="&amp;$Z$3)-SUMIFS(LS[Cost of Units Sold],LS[B/S],"S",LS[Investor ID],A206,LS[Date Value],"&lt;="&amp;$Z$3))+(SUMIFS(SIP[Amount],SIP[B/S],"B",SIP[Investor ID],A206,SIP[Date Value],"&lt;="&amp;$Z$3)-SUMIFS(SIP[Cost of Units Sold],SIP[B/S],"S",SIP[Investor ID],A206,SIP[Date Value],"&lt;="&amp;$Z$3))</f>
        <v>105000</v>
      </c>
      <c r="H206" s="49">
        <f t="shared" si="17"/>
        <v>110099.368</v>
      </c>
      <c r="I206" s="49">
        <f t="shared" si="18"/>
        <v>5099.3680000000022</v>
      </c>
      <c r="J206" s="47">
        <f>(SUMIFS(LS[Unit],LS[Investor ID],A206,LS[B/S],"B",LS[Date Value],"&gt;="&amp;$Z$2,LS[Date Value],"&lt;="&amp;$Z$3))+(SUMIFS(SIP[Unit],SIP[Investor ID],A206,SIP[B/S],"B",SIP[Date Value],"&gt;="&amp;$Z$2,SIP[Date Value],"&lt;="&amp;$Z$3))</f>
        <v>8395</v>
      </c>
      <c r="K206" s="49">
        <f>(SUMIFS(LS[Amount],LS[Investor ID],A206,LS[B/S],"B",LS[Date Value],"&gt;="&amp;$Z$2,LS[Date Value],"&lt;="&amp;$Z$3))+(SUMIFS(SIP[Amount],SIP[Investor ID],A206,SIP[B/S],"B",SIP[Date Value],"&gt;="&amp;$Z$2,SIP[Date Value],"&lt;="&amp;$Z$3))</f>
        <v>90000</v>
      </c>
      <c r="L206" s="47">
        <f>(-SUMIFS(LS[Unit],LS[Investor ID],A206,LS[B/S],"S",LS[Date Value],"&gt;="&amp;$Z$2,LS[Date Value],"&lt;="&amp;$Z$3))+(-SUMIFS(SIP[Unit],SIP[Investor ID],A206,SIP[B/S],"S",SIP[Date Value],"&gt;="&amp;$Z$2,SIP[Date Value],"&lt;="&amp;$Z$3))</f>
        <v>0</v>
      </c>
      <c r="M206" s="49">
        <f>(SUMIFS(LS[Cost of Units Sold],LS[Investor ID],A206,LS[B/S],"S",LS[Date Value],"&gt;="&amp;$Z$2,LS[Date Value],"&lt;="&amp;$Z$3))+(SUMIFS(SIP[Cost of Units Sold],SIP[Investor ID],A206,SIP[B/S],"S",SIP[Date Value],"&gt;="&amp;$Z$2,SIP[Date Value],"&lt;="&amp;$Z$3))</f>
        <v>0</v>
      </c>
      <c r="N206" s="49">
        <f t="shared" si="19"/>
        <v>90000</v>
      </c>
      <c r="O206" s="49">
        <f>(SUMIFS(LS[Realized Gain],LS[Investor ID],A206,LS[Date Value],"&gt;="&amp;$Z$2,LS[Date Value],"&lt;="&amp;$Z$3))+(SUMIFS(SIP[Realized Gain],SIP[Investor ID],A206,SIP[Date Value],"&gt;="&amp;$Z$2,SIP[Date Value],"&lt;="&amp;$Z$3))</f>
        <v>0</v>
      </c>
      <c r="P206" s="49">
        <v>0</v>
      </c>
      <c r="Q206" s="49">
        <v>0</v>
      </c>
      <c r="R206" s="49">
        <v>0</v>
      </c>
    </row>
    <row r="207" spans="1:18">
      <c r="A207" t="s">
        <v>463</v>
      </c>
      <c r="B207" s="47">
        <f>SUMIFS(LS[Unit],LS[Investor ID],'TAX CERTIFICATE'!A207,LS[Date Value],"&lt;"&amp;$Z$2)+SUMIFS(SIP[Unit],SIP[Investor ID],'TAX CERTIFICATE'!A207,SIP[Date Value],"&lt;"&amp;$Z$2)</f>
        <v>0</v>
      </c>
      <c r="C207" s="48">
        <f>(SUMIFS(LS[Amount],LS[B/S],"B",LS[Investor ID],A207,LS[Date Value],"&lt;"&amp;$Z$2)-SUMIFS(LS[Cost of Units Sold],LS[B/S],"S",LS[Investor ID],A207,LS[Date Value],"&lt;"&amp;$Z$2))+(SUMIFS(SIP[Amount],SIP[B/S],"B",SIP[Investor ID],#REF!,SIP[Date Value],"&lt;"&amp;$Z$2)-SUMIFS(SIP[Cost of Units Sold],SIP[B/S],"S",SIP[Investor ID],A207,SIP[Date Value],"&lt;"&amp;$Z$2))</f>
        <v>0</v>
      </c>
      <c r="D207" s="49">
        <f t="shared" si="15"/>
        <v>0</v>
      </c>
      <c r="E207" s="49">
        <f t="shared" si="16"/>
        <v>0</v>
      </c>
      <c r="F207" s="47">
        <f>SUMIFS(LS[Unit],LS[Investor ID],A207,LS[Date Value],"&lt;="&amp;$Z$3)+SUMIFS(SIP[Unit],SIP[Investor ID],A207,SIP[Date Value],"&lt;="&amp;$Z$3)</f>
        <v>0</v>
      </c>
      <c r="G207" s="49">
        <f>(SUMIFS(LS[Amount],LS[B/S],"B",LS[Investor ID],A207,LS[Date Value],"&lt;="&amp;$Z$3)-SUMIFS(LS[Cost of Units Sold],LS[B/S],"S",LS[Investor ID],A207,LS[Date Value],"&lt;="&amp;$Z$3))+(SUMIFS(SIP[Amount],SIP[B/S],"B",SIP[Investor ID],A207,SIP[Date Value],"&lt;="&amp;$Z$3)-SUMIFS(SIP[Cost of Units Sold],SIP[B/S],"S",SIP[Investor ID],A207,SIP[Date Value],"&lt;="&amp;$Z$3))</f>
        <v>0</v>
      </c>
      <c r="H207" s="49">
        <f t="shared" si="17"/>
        <v>0</v>
      </c>
      <c r="I207" s="49">
        <f t="shared" si="18"/>
        <v>0</v>
      </c>
      <c r="J207" s="47">
        <f>(SUMIFS(LS[Unit],LS[Investor ID],A207,LS[B/S],"B",LS[Date Value],"&gt;="&amp;$Z$2,LS[Date Value],"&lt;="&amp;$Z$3))+(SUMIFS(SIP[Unit],SIP[Investor ID],A207,SIP[B/S],"B",SIP[Date Value],"&gt;="&amp;$Z$2,SIP[Date Value],"&lt;="&amp;$Z$3))</f>
        <v>0</v>
      </c>
      <c r="K207" s="49">
        <f>(SUMIFS(LS[Amount],LS[Investor ID],A207,LS[B/S],"B",LS[Date Value],"&gt;="&amp;$Z$2,LS[Date Value],"&lt;="&amp;$Z$3))+(SUMIFS(SIP[Amount],SIP[Investor ID],A207,SIP[B/S],"B",SIP[Date Value],"&gt;="&amp;$Z$2,SIP[Date Value],"&lt;="&amp;$Z$3))</f>
        <v>0</v>
      </c>
      <c r="L207" s="47">
        <f>(-SUMIFS(LS[Unit],LS[Investor ID],A207,LS[B/S],"S",LS[Date Value],"&gt;="&amp;$Z$2,LS[Date Value],"&lt;="&amp;$Z$3))+(-SUMIFS(SIP[Unit],SIP[Investor ID],A207,SIP[B/S],"S",SIP[Date Value],"&gt;="&amp;$Z$2,SIP[Date Value],"&lt;="&amp;$Z$3))</f>
        <v>0</v>
      </c>
      <c r="M207" s="49">
        <f>(SUMIFS(LS[Cost of Units Sold],LS[Investor ID],A207,LS[B/S],"S",LS[Date Value],"&gt;="&amp;$Z$2,LS[Date Value],"&lt;="&amp;$Z$3))+(SUMIFS(SIP[Cost of Units Sold],SIP[Investor ID],A207,SIP[B/S],"S",SIP[Date Value],"&gt;="&amp;$Z$2,SIP[Date Value],"&lt;="&amp;$Z$3))</f>
        <v>0</v>
      </c>
      <c r="N207" s="49">
        <f t="shared" si="19"/>
        <v>0</v>
      </c>
      <c r="O207" s="49">
        <f>(SUMIFS(LS[Realized Gain],LS[Investor ID],A207,LS[Date Value],"&gt;="&amp;$Z$2,LS[Date Value],"&lt;="&amp;$Z$3))+(SUMIFS(SIP[Realized Gain],SIP[Investor ID],A207,SIP[Date Value],"&gt;="&amp;$Z$2,SIP[Date Value],"&lt;="&amp;$Z$3))</f>
        <v>0</v>
      </c>
      <c r="P207" s="49">
        <v>0</v>
      </c>
      <c r="Q207" s="49">
        <v>0</v>
      </c>
      <c r="R207" s="49">
        <v>0</v>
      </c>
    </row>
    <row r="208" spans="1:18">
      <c r="A208" t="s">
        <v>465</v>
      </c>
      <c r="B208" s="47">
        <f>SUMIFS(LS[Unit],LS[Investor ID],'TAX CERTIFICATE'!A208,LS[Date Value],"&lt;"&amp;$Z$2)+SUMIFS(SIP[Unit],SIP[Investor ID],'TAX CERTIFICATE'!A208,SIP[Date Value],"&lt;"&amp;$Z$2)</f>
        <v>0</v>
      </c>
      <c r="C208" s="48">
        <f>(SUMIFS(LS[Amount],LS[B/S],"B",LS[Investor ID],A208,LS[Date Value],"&lt;"&amp;$Z$2)-SUMIFS(LS[Cost of Units Sold],LS[B/S],"S",LS[Investor ID],A208,LS[Date Value],"&lt;"&amp;$Z$2))+(SUMIFS(SIP[Amount],SIP[B/S],"B",SIP[Investor ID],#REF!,SIP[Date Value],"&lt;"&amp;$Z$2)-SUMIFS(SIP[Cost of Units Sold],SIP[B/S],"S",SIP[Investor ID],A208,SIP[Date Value],"&lt;"&amp;$Z$2))</f>
        <v>0</v>
      </c>
      <c r="D208" s="49">
        <f t="shared" si="15"/>
        <v>0</v>
      </c>
      <c r="E208" s="49">
        <f t="shared" si="16"/>
        <v>0</v>
      </c>
      <c r="F208" s="47">
        <f>SUMIFS(LS[Unit],LS[Investor ID],A208,LS[Date Value],"&lt;="&amp;$Z$3)+SUMIFS(SIP[Unit],SIP[Investor ID],A208,SIP[Date Value],"&lt;="&amp;$Z$3)</f>
        <v>0</v>
      </c>
      <c r="G208" s="49">
        <f>(SUMIFS(LS[Amount],LS[B/S],"B",LS[Investor ID],A208,LS[Date Value],"&lt;="&amp;$Z$3)-SUMIFS(LS[Cost of Units Sold],LS[B/S],"S",LS[Investor ID],A208,LS[Date Value],"&lt;="&amp;$Z$3))+(SUMIFS(SIP[Amount],SIP[B/S],"B",SIP[Investor ID],A208,SIP[Date Value],"&lt;="&amp;$Z$3)-SUMIFS(SIP[Cost of Units Sold],SIP[B/S],"S",SIP[Investor ID],A208,SIP[Date Value],"&lt;="&amp;$Z$3))</f>
        <v>0</v>
      </c>
      <c r="H208" s="49">
        <f t="shared" si="17"/>
        <v>0</v>
      </c>
      <c r="I208" s="49">
        <f t="shared" si="18"/>
        <v>0</v>
      </c>
      <c r="J208" s="47">
        <f>(SUMIFS(LS[Unit],LS[Investor ID],A208,LS[B/S],"B",LS[Date Value],"&gt;="&amp;$Z$2,LS[Date Value],"&lt;="&amp;$Z$3))+(SUMIFS(SIP[Unit],SIP[Investor ID],A208,SIP[B/S],"B",SIP[Date Value],"&gt;="&amp;$Z$2,SIP[Date Value],"&lt;="&amp;$Z$3))</f>
        <v>0</v>
      </c>
      <c r="K208" s="49">
        <f>(SUMIFS(LS[Amount],LS[Investor ID],A208,LS[B/S],"B",LS[Date Value],"&gt;="&amp;$Z$2,LS[Date Value],"&lt;="&amp;$Z$3))+(SUMIFS(SIP[Amount],SIP[Investor ID],A208,SIP[B/S],"B",SIP[Date Value],"&gt;="&amp;$Z$2,SIP[Date Value],"&lt;="&amp;$Z$3))</f>
        <v>0</v>
      </c>
      <c r="L208" s="47">
        <f>(-SUMIFS(LS[Unit],LS[Investor ID],A208,LS[B/S],"S",LS[Date Value],"&gt;="&amp;$Z$2,LS[Date Value],"&lt;="&amp;$Z$3))+(-SUMIFS(SIP[Unit],SIP[Investor ID],A208,SIP[B/S],"S",SIP[Date Value],"&gt;="&amp;$Z$2,SIP[Date Value],"&lt;="&amp;$Z$3))</f>
        <v>0</v>
      </c>
      <c r="M208" s="49">
        <f>(SUMIFS(LS[Cost of Units Sold],LS[Investor ID],A208,LS[B/S],"S",LS[Date Value],"&gt;="&amp;$Z$2,LS[Date Value],"&lt;="&amp;$Z$3))+(SUMIFS(SIP[Cost of Units Sold],SIP[Investor ID],A208,SIP[B/S],"S",SIP[Date Value],"&gt;="&amp;$Z$2,SIP[Date Value],"&lt;="&amp;$Z$3))</f>
        <v>0</v>
      </c>
      <c r="N208" s="49">
        <f t="shared" si="19"/>
        <v>0</v>
      </c>
      <c r="O208" s="49">
        <f>(SUMIFS(LS[Realized Gain],LS[Investor ID],A208,LS[Date Value],"&gt;="&amp;$Z$2,LS[Date Value],"&lt;="&amp;$Z$3))+(SUMIFS(SIP[Realized Gain],SIP[Investor ID],A208,SIP[Date Value],"&gt;="&amp;$Z$2,SIP[Date Value],"&lt;="&amp;$Z$3))</f>
        <v>0</v>
      </c>
      <c r="P208" s="49">
        <v>0</v>
      </c>
      <c r="Q208" s="49">
        <v>0</v>
      </c>
      <c r="R208" s="49">
        <v>0</v>
      </c>
    </row>
    <row r="209" spans="1:18">
      <c r="A209" t="s">
        <v>467</v>
      </c>
      <c r="B209" s="47">
        <f>SUMIFS(LS[Unit],LS[Investor ID],'TAX CERTIFICATE'!A209,LS[Date Value],"&lt;"&amp;$Z$2)+SUMIFS(SIP[Unit],SIP[Investor ID],'TAX CERTIFICATE'!A209,SIP[Date Value],"&lt;"&amp;$Z$2)</f>
        <v>0</v>
      </c>
      <c r="C209" s="48">
        <f>(SUMIFS(LS[Amount],LS[B/S],"B",LS[Investor ID],A209,LS[Date Value],"&lt;"&amp;$Z$2)-SUMIFS(LS[Cost of Units Sold],LS[B/S],"S",LS[Investor ID],A209,LS[Date Value],"&lt;"&amp;$Z$2))+(SUMIFS(SIP[Amount],SIP[B/S],"B",SIP[Investor ID],#REF!,SIP[Date Value],"&lt;"&amp;$Z$2)-SUMIFS(SIP[Cost of Units Sold],SIP[B/S],"S",SIP[Investor ID],A209,SIP[Date Value],"&lt;"&amp;$Z$2))</f>
        <v>0</v>
      </c>
      <c r="D209" s="49">
        <f t="shared" si="15"/>
        <v>0</v>
      </c>
      <c r="E209" s="49">
        <f t="shared" si="16"/>
        <v>0</v>
      </c>
      <c r="F209" s="47">
        <f>SUMIFS(LS[Unit],LS[Investor ID],A209,LS[Date Value],"&lt;="&amp;$Z$3)+SUMIFS(SIP[Unit],SIP[Investor ID],A209,SIP[Date Value],"&lt;="&amp;$Z$3)</f>
        <v>0</v>
      </c>
      <c r="G209" s="49">
        <f>(SUMIFS(LS[Amount],LS[B/S],"B",LS[Investor ID],A209,LS[Date Value],"&lt;="&amp;$Z$3)-SUMIFS(LS[Cost of Units Sold],LS[B/S],"S",LS[Investor ID],A209,LS[Date Value],"&lt;="&amp;$Z$3))+(SUMIFS(SIP[Amount],SIP[B/S],"B",SIP[Investor ID],A209,SIP[Date Value],"&lt;="&amp;$Z$3)-SUMIFS(SIP[Cost of Units Sold],SIP[B/S],"S",SIP[Investor ID],A209,SIP[Date Value],"&lt;="&amp;$Z$3))</f>
        <v>0</v>
      </c>
      <c r="H209" s="49">
        <f t="shared" si="17"/>
        <v>0</v>
      </c>
      <c r="I209" s="49">
        <f t="shared" si="18"/>
        <v>0</v>
      </c>
      <c r="J209" s="47">
        <f>(SUMIFS(LS[Unit],LS[Investor ID],A209,LS[B/S],"B",LS[Date Value],"&gt;="&amp;$Z$2,LS[Date Value],"&lt;="&amp;$Z$3))+(SUMIFS(SIP[Unit],SIP[Investor ID],A209,SIP[B/S],"B",SIP[Date Value],"&gt;="&amp;$Z$2,SIP[Date Value],"&lt;="&amp;$Z$3))</f>
        <v>0</v>
      </c>
      <c r="K209" s="49">
        <f>(SUMIFS(LS[Amount],LS[Investor ID],A209,LS[B/S],"B",LS[Date Value],"&gt;="&amp;$Z$2,LS[Date Value],"&lt;="&amp;$Z$3))+(SUMIFS(SIP[Amount],SIP[Investor ID],A209,SIP[B/S],"B",SIP[Date Value],"&gt;="&amp;$Z$2,SIP[Date Value],"&lt;="&amp;$Z$3))</f>
        <v>0</v>
      </c>
      <c r="L209" s="47">
        <f>(-SUMIFS(LS[Unit],LS[Investor ID],A209,LS[B/S],"S",LS[Date Value],"&gt;="&amp;$Z$2,LS[Date Value],"&lt;="&amp;$Z$3))+(-SUMIFS(SIP[Unit],SIP[Investor ID],A209,SIP[B/S],"S",SIP[Date Value],"&gt;="&amp;$Z$2,SIP[Date Value],"&lt;="&amp;$Z$3))</f>
        <v>0</v>
      </c>
      <c r="M209" s="49">
        <f>(SUMIFS(LS[Cost of Units Sold],LS[Investor ID],A209,LS[B/S],"S",LS[Date Value],"&gt;="&amp;$Z$2,LS[Date Value],"&lt;="&amp;$Z$3))+(SUMIFS(SIP[Cost of Units Sold],SIP[Investor ID],A209,SIP[B/S],"S",SIP[Date Value],"&gt;="&amp;$Z$2,SIP[Date Value],"&lt;="&amp;$Z$3))</f>
        <v>0</v>
      </c>
      <c r="N209" s="49">
        <f t="shared" si="19"/>
        <v>0</v>
      </c>
      <c r="O209" s="49">
        <f>(SUMIFS(LS[Realized Gain],LS[Investor ID],A209,LS[Date Value],"&gt;="&amp;$Z$2,LS[Date Value],"&lt;="&amp;$Z$3))+(SUMIFS(SIP[Realized Gain],SIP[Investor ID],A209,SIP[Date Value],"&gt;="&amp;$Z$2,SIP[Date Value],"&lt;="&amp;$Z$3))</f>
        <v>0</v>
      </c>
      <c r="P209" s="49">
        <v>0</v>
      </c>
      <c r="Q209" s="49">
        <v>0</v>
      </c>
      <c r="R209" s="49">
        <v>0</v>
      </c>
    </row>
    <row r="210" spans="1:18">
      <c r="A210" t="s">
        <v>469</v>
      </c>
      <c r="B210" s="47">
        <f>SUMIFS(LS[Unit],LS[Investor ID],'TAX CERTIFICATE'!A210,LS[Date Value],"&lt;"&amp;$Z$2)+SUMIFS(SIP[Unit],SIP[Investor ID],'TAX CERTIFICATE'!A210,SIP[Date Value],"&lt;"&amp;$Z$2)</f>
        <v>0</v>
      </c>
      <c r="C210" s="48">
        <f>(SUMIFS(LS[Amount],LS[B/S],"B",LS[Investor ID],A210,LS[Date Value],"&lt;"&amp;$Z$2)-SUMIFS(LS[Cost of Units Sold],LS[B/S],"S",LS[Investor ID],A210,LS[Date Value],"&lt;"&amp;$Z$2))+(SUMIFS(SIP[Amount],SIP[B/S],"B",SIP[Investor ID],#REF!,SIP[Date Value],"&lt;"&amp;$Z$2)-SUMIFS(SIP[Cost of Units Sold],SIP[B/S],"S",SIP[Investor ID],A210,SIP[Date Value],"&lt;"&amp;$Z$2))</f>
        <v>0</v>
      </c>
      <c r="D210" s="49">
        <f t="shared" si="15"/>
        <v>0</v>
      </c>
      <c r="E210" s="49">
        <f t="shared" si="16"/>
        <v>0</v>
      </c>
      <c r="F210" s="47">
        <f>SUMIFS(LS[Unit],LS[Investor ID],A210,LS[Date Value],"&lt;="&amp;$Z$3)+SUMIFS(SIP[Unit],SIP[Investor ID],A210,SIP[Date Value],"&lt;="&amp;$Z$3)</f>
        <v>0</v>
      </c>
      <c r="G210" s="49">
        <f>(SUMIFS(LS[Amount],LS[B/S],"B",LS[Investor ID],A210,LS[Date Value],"&lt;="&amp;$Z$3)-SUMIFS(LS[Cost of Units Sold],LS[B/S],"S",LS[Investor ID],A210,LS[Date Value],"&lt;="&amp;$Z$3))+(SUMIFS(SIP[Amount],SIP[B/S],"B",SIP[Investor ID],A210,SIP[Date Value],"&lt;="&amp;$Z$3)-SUMIFS(SIP[Cost of Units Sold],SIP[B/S],"S",SIP[Investor ID],A210,SIP[Date Value],"&lt;="&amp;$Z$3))</f>
        <v>0</v>
      </c>
      <c r="H210" s="49">
        <f t="shared" si="17"/>
        <v>0</v>
      </c>
      <c r="I210" s="49">
        <f t="shared" si="18"/>
        <v>0</v>
      </c>
      <c r="J210" s="47">
        <f>(SUMIFS(LS[Unit],LS[Investor ID],A210,LS[B/S],"B",LS[Date Value],"&gt;="&amp;$Z$2,LS[Date Value],"&lt;="&amp;$Z$3))+(SUMIFS(SIP[Unit],SIP[Investor ID],A210,SIP[B/S],"B",SIP[Date Value],"&gt;="&amp;$Z$2,SIP[Date Value],"&lt;="&amp;$Z$3))</f>
        <v>0</v>
      </c>
      <c r="K210" s="49">
        <f>(SUMIFS(LS[Amount],LS[Investor ID],A210,LS[B/S],"B",LS[Date Value],"&gt;="&amp;$Z$2,LS[Date Value],"&lt;="&amp;$Z$3))+(SUMIFS(SIP[Amount],SIP[Investor ID],A210,SIP[B/S],"B",SIP[Date Value],"&gt;="&amp;$Z$2,SIP[Date Value],"&lt;="&amp;$Z$3))</f>
        <v>0</v>
      </c>
      <c r="L210" s="47">
        <f>(-SUMIFS(LS[Unit],LS[Investor ID],A210,LS[B/S],"S",LS[Date Value],"&gt;="&amp;$Z$2,LS[Date Value],"&lt;="&amp;$Z$3))+(-SUMIFS(SIP[Unit],SIP[Investor ID],A210,SIP[B/S],"S",SIP[Date Value],"&gt;="&amp;$Z$2,SIP[Date Value],"&lt;="&amp;$Z$3))</f>
        <v>0</v>
      </c>
      <c r="M210" s="49">
        <f>(SUMIFS(LS[Cost of Units Sold],LS[Investor ID],A210,LS[B/S],"S",LS[Date Value],"&gt;="&amp;$Z$2,LS[Date Value],"&lt;="&amp;$Z$3))+(SUMIFS(SIP[Cost of Units Sold],SIP[Investor ID],A210,SIP[B/S],"S",SIP[Date Value],"&gt;="&amp;$Z$2,SIP[Date Value],"&lt;="&amp;$Z$3))</f>
        <v>0</v>
      </c>
      <c r="N210" s="49">
        <f t="shared" si="19"/>
        <v>0</v>
      </c>
      <c r="O210" s="49">
        <f>(SUMIFS(LS[Realized Gain],LS[Investor ID],A210,LS[Date Value],"&gt;="&amp;$Z$2,LS[Date Value],"&lt;="&amp;$Z$3))+(SUMIFS(SIP[Realized Gain],SIP[Investor ID],A210,SIP[Date Value],"&gt;="&amp;$Z$2,SIP[Date Value],"&lt;="&amp;$Z$3))</f>
        <v>0</v>
      </c>
      <c r="P210" s="49">
        <v>0</v>
      </c>
      <c r="Q210" s="49">
        <v>0</v>
      </c>
      <c r="R210" s="49">
        <v>0</v>
      </c>
    </row>
    <row r="211" spans="1:18">
      <c r="A211" t="s">
        <v>471</v>
      </c>
      <c r="B211" s="47">
        <f>SUMIFS(LS[Unit],LS[Investor ID],'TAX CERTIFICATE'!A211,LS[Date Value],"&lt;"&amp;$Z$2)+SUMIFS(SIP[Unit],SIP[Investor ID],'TAX CERTIFICATE'!A211,SIP[Date Value],"&lt;"&amp;$Z$2)</f>
        <v>0</v>
      </c>
      <c r="C211" s="48">
        <f>(SUMIFS(LS[Amount],LS[B/S],"B",LS[Investor ID],A211,LS[Date Value],"&lt;"&amp;$Z$2)-SUMIFS(LS[Cost of Units Sold],LS[B/S],"S",LS[Investor ID],A211,LS[Date Value],"&lt;"&amp;$Z$2))+(SUMIFS(SIP[Amount],SIP[B/S],"B",SIP[Investor ID],#REF!,SIP[Date Value],"&lt;"&amp;$Z$2)-SUMIFS(SIP[Cost of Units Sold],SIP[B/S],"S",SIP[Investor ID],A211,SIP[Date Value],"&lt;"&amp;$Z$2))</f>
        <v>0</v>
      </c>
      <c r="D211" s="49">
        <f t="shared" si="15"/>
        <v>0</v>
      </c>
      <c r="E211" s="49">
        <f t="shared" si="16"/>
        <v>0</v>
      </c>
      <c r="F211" s="47">
        <f>SUMIFS(LS[Unit],LS[Investor ID],A211,LS[Date Value],"&lt;="&amp;$Z$3)+SUMIFS(SIP[Unit],SIP[Investor ID],A211,SIP[Date Value],"&lt;="&amp;$Z$3)</f>
        <v>0</v>
      </c>
      <c r="G211" s="49">
        <f>(SUMIFS(LS[Amount],LS[B/S],"B",LS[Investor ID],A211,LS[Date Value],"&lt;="&amp;$Z$3)-SUMIFS(LS[Cost of Units Sold],LS[B/S],"S",LS[Investor ID],A211,LS[Date Value],"&lt;="&amp;$Z$3))+(SUMIFS(SIP[Amount],SIP[B/S],"B",SIP[Investor ID],A211,SIP[Date Value],"&lt;="&amp;$Z$3)-SUMIFS(SIP[Cost of Units Sold],SIP[B/S],"S",SIP[Investor ID],A211,SIP[Date Value],"&lt;="&amp;$Z$3))</f>
        <v>0</v>
      </c>
      <c r="H211" s="49">
        <f t="shared" si="17"/>
        <v>0</v>
      </c>
      <c r="I211" s="49">
        <f t="shared" si="18"/>
        <v>0</v>
      </c>
      <c r="J211" s="47">
        <f>(SUMIFS(LS[Unit],LS[Investor ID],A211,LS[B/S],"B",LS[Date Value],"&gt;="&amp;$Z$2,LS[Date Value],"&lt;="&amp;$Z$3))+(SUMIFS(SIP[Unit],SIP[Investor ID],A211,SIP[B/S],"B",SIP[Date Value],"&gt;="&amp;$Z$2,SIP[Date Value],"&lt;="&amp;$Z$3))</f>
        <v>0</v>
      </c>
      <c r="K211" s="49">
        <f>(SUMIFS(LS[Amount],LS[Investor ID],A211,LS[B/S],"B",LS[Date Value],"&gt;="&amp;$Z$2,LS[Date Value],"&lt;="&amp;$Z$3))+(SUMIFS(SIP[Amount],SIP[Investor ID],A211,SIP[B/S],"B",SIP[Date Value],"&gt;="&amp;$Z$2,SIP[Date Value],"&lt;="&amp;$Z$3))</f>
        <v>0</v>
      </c>
      <c r="L211" s="47">
        <f>(-SUMIFS(LS[Unit],LS[Investor ID],A211,LS[B/S],"S",LS[Date Value],"&gt;="&amp;$Z$2,LS[Date Value],"&lt;="&amp;$Z$3))+(-SUMIFS(SIP[Unit],SIP[Investor ID],A211,SIP[B/S],"S",SIP[Date Value],"&gt;="&amp;$Z$2,SIP[Date Value],"&lt;="&amp;$Z$3))</f>
        <v>0</v>
      </c>
      <c r="M211" s="49">
        <f>(SUMIFS(LS[Cost of Units Sold],LS[Investor ID],A211,LS[B/S],"S",LS[Date Value],"&gt;="&amp;$Z$2,LS[Date Value],"&lt;="&amp;$Z$3))+(SUMIFS(SIP[Cost of Units Sold],SIP[Investor ID],A211,SIP[B/S],"S",SIP[Date Value],"&gt;="&amp;$Z$2,SIP[Date Value],"&lt;="&amp;$Z$3))</f>
        <v>0</v>
      </c>
      <c r="N211" s="49">
        <f t="shared" si="19"/>
        <v>0</v>
      </c>
      <c r="O211" s="49">
        <f>(SUMIFS(LS[Realized Gain],LS[Investor ID],A211,LS[Date Value],"&gt;="&amp;$Z$2,LS[Date Value],"&lt;="&amp;$Z$3))+(SUMIFS(SIP[Realized Gain],SIP[Investor ID],A211,SIP[Date Value],"&gt;="&amp;$Z$2,SIP[Date Value],"&lt;="&amp;$Z$3))</f>
        <v>0</v>
      </c>
      <c r="P211" s="49">
        <v>0</v>
      </c>
      <c r="Q211" s="49">
        <v>0</v>
      </c>
      <c r="R211" s="49">
        <v>0</v>
      </c>
    </row>
    <row r="212" spans="1:18">
      <c r="A212" t="s">
        <v>473</v>
      </c>
      <c r="B212" s="47">
        <f>SUMIFS(LS[Unit],LS[Investor ID],'TAX CERTIFICATE'!A212,LS[Date Value],"&lt;"&amp;$Z$2)+SUMIFS(SIP[Unit],SIP[Investor ID],'TAX CERTIFICATE'!A212,SIP[Date Value],"&lt;"&amp;$Z$2)</f>
        <v>20000</v>
      </c>
      <c r="C212" s="48">
        <f>(SUMIFS(LS[Amount],LS[B/S],"B",LS[Investor ID],A212,LS[Date Value],"&lt;"&amp;$Z$2)-SUMIFS(LS[Cost of Units Sold],LS[B/S],"S",LS[Investor ID],A212,LS[Date Value],"&lt;"&amp;$Z$2))+(SUMIFS(SIP[Amount],SIP[B/S],"B",SIP[Investor ID],#REF!,SIP[Date Value],"&lt;"&amp;$Z$2)-SUMIFS(SIP[Cost of Units Sold],SIP[B/S],"S",SIP[Investor ID],A212,SIP[Date Value],"&lt;"&amp;$Z$2))</f>
        <v>204680</v>
      </c>
      <c r="D212" s="49">
        <f t="shared" si="15"/>
        <v>205420.00000000003</v>
      </c>
      <c r="E212" s="49">
        <f t="shared" si="16"/>
        <v>740.0000000000291</v>
      </c>
      <c r="F212" s="47">
        <f>SUMIFS(LS[Unit],LS[Investor ID],A212,LS[Date Value],"&lt;="&amp;$Z$3)+SUMIFS(SIP[Unit],SIP[Investor ID],A212,SIP[Date Value],"&lt;="&amp;$Z$3)</f>
        <v>15455</v>
      </c>
      <c r="G212" s="49">
        <f>(SUMIFS(LS[Amount],LS[B/S],"B",LS[Investor ID],A212,LS[Date Value],"&lt;="&amp;$Z$3)-SUMIFS(LS[Cost of Units Sold],LS[B/S],"S",LS[Investor ID],A212,LS[Date Value],"&lt;="&amp;$Z$3))+(SUMIFS(SIP[Amount],SIP[B/S],"B",SIP[Investor ID],A212,SIP[Date Value],"&lt;="&amp;$Z$3)-SUMIFS(SIP[Cost of Units Sold],SIP[B/S],"S",SIP[Investor ID],A212,SIP[Date Value],"&lt;="&amp;$Z$3))</f>
        <v>171575</v>
      </c>
      <c r="H212" s="49">
        <f t="shared" si="17"/>
        <v>172539.62</v>
      </c>
      <c r="I212" s="49">
        <f t="shared" si="18"/>
        <v>964.61999999999534</v>
      </c>
      <c r="J212" s="47">
        <f>(SUMIFS(LS[Unit],LS[Investor ID],A212,LS[B/S],"B",LS[Date Value],"&gt;="&amp;$Z$2,LS[Date Value],"&lt;="&amp;$Z$3))+(SUMIFS(SIP[Unit],SIP[Investor ID],A212,SIP[B/S],"B",SIP[Date Value],"&gt;="&amp;$Z$2,SIP[Date Value],"&lt;="&amp;$Z$3))</f>
        <v>15455</v>
      </c>
      <c r="K212" s="49">
        <f>(SUMIFS(LS[Amount],LS[Investor ID],A212,LS[B/S],"B",LS[Date Value],"&gt;="&amp;$Z$2,LS[Date Value],"&lt;="&amp;$Z$3))+(SUMIFS(SIP[Amount],SIP[Investor ID],A212,SIP[B/S],"B",SIP[Date Value],"&gt;="&amp;$Z$2,SIP[Date Value],"&lt;="&amp;$Z$3))</f>
        <v>171575</v>
      </c>
      <c r="L212" s="47">
        <f>(-SUMIFS(LS[Unit],LS[Investor ID],A212,LS[B/S],"S",LS[Date Value],"&gt;="&amp;$Z$2,LS[Date Value],"&lt;="&amp;$Z$3))+(-SUMIFS(SIP[Unit],SIP[Investor ID],A212,SIP[B/S],"S",SIP[Date Value],"&gt;="&amp;$Z$2,SIP[Date Value],"&lt;="&amp;$Z$3))</f>
        <v>20000</v>
      </c>
      <c r="M212" s="49">
        <f>(SUMIFS(LS[Cost of Units Sold],LS[Investor ID],A212,LS[B/S],"S",LS[Date Value],"&gt;="&amp;$Z$2,LS[Date Value],"&lt;="&amp;$Z$3))+(SUMIFS(SIP[Cost of Units Sold],SIP[Investor ID],A212,SIP[B/S],"S",SIP[Date Value],"&gt;="&amp;$Z$2,SIP[Date Value],"&lt;="&amp;$Z$3))</f>
        <v>204680</v>
      </c>
      <c r="N212" s="49">
        <f t="shared" si="19"/>
        <v>-33105</v>
      </c>
      <c r="O212" s="49">
        <f>(SUMIFS(LS[Realized Gain],LS[Investor ID],A212,LS[Date Value],"&gt;="&amp;$Z$2,LS[Date Value],"&lt;="&amp;$Z$3))+(SUMIFS(SIP[Realized Gain],SIP[Investor ID],A212,SIP[Date Value],"&gt;="&amp;$Z$2,SIP[Date Value],"&lt;="&amp;$Z$3))</f>
        <v>3260.0000000000086</v>
      </c>
      <c r="P212" s="49">
        <v>0</v>
      </c>
      <c r="Q212" s="49">
        <v>0</v>
      </c>
      <c r="R212" s="49">
        <v>0</v>
      </c>
    </row>
    <row r="213" spans="1:18">
      <c r="A213" t="s">
        <v>475</v>
      </c>
      <c r="B213" s="47">
        <f>SUMIFS(LS[Unit],LS[Investor ID],'TAX CERTIFICATE'!A213,LS[Date Value],"&lt;"&amp;$Z$2)+SUMIFS(SIP[Unit],SIP[Investor ID],'TAX CERTIFICATE'!A213,SIP[Date Value],"&lt;"&amp;$Z$2)</f>
        <v>24417</v>
      </c>
      <c r="C213" s="48">
        <f>(SUMIFS(LS[Amount],LS[B/S],"B",LS[Investor ID],A213,LS[Date Value],"&lt;"&amp;$Z$2)-SUMIFS(LS[Cost of Units Sold],LS[B/S],"S",LS[Investor ID],A213,LS[Date Value],"&lt;"&amp;$Z$2))+(SUMIFS(SIP[Amount],SIP[B/S],"B",SIP[Investor ID],#REF!,SIP[Date Value],"&lt;"&amp;$Z$2)-SUMIFS(SIP[Cost of Units Sold],SIP[B/S],"S",SIP[Investor ID],A213,SIP[Date Value],"&lt;"&amp;$Z$2))</f>
        <v>250000</v>
      </c>
      <c r="D213" s="49">
        <f t="shared" si="15"/>
        <v>250787.00700000001</v>
      </c>
      <c r="E213" s="49">
        <f t="shared" si="16"/>
        <v>787.00700000001234</v>
      </c>
      <c r="F213" s="47">
        <f>SUMIFS(LS[Unit],LS[Investor ID],A213,LS[Date Value],"&lt;="&amp;$Z$3)+SUMIFS(SIP[Unit],SIP[Investor ID],A213,SIP[Date Value],"&lt;="&amp;$Z$3)</f>
        <v>2385</v>
      </c>
      <c r="G213" s="49">
        <f>(SUMIFS(LS[Amount],LS[B/S],"B",LS[Investor ID],A213,LS[Date Value],"&lt;="&amp;$Z$3)-SUMIFS(LS[Cost of Units Sold],LS[B/S],"S",LS[Investor ID],A213,LS[Date Value],"&lt;="&amp;$Z$3))+(SUMIFS(SIP[Amount],SIP[B/S],"B",SIP[Investor ID],A213,SIP[Date Value],"&lt;="&amp;$Z$3)-SUMIFS(SIP[Cost of Units Sold],SIP[B/S],"S",SIP[Investor ID],A213,SIP[Date Value],"&lt;="&amp;$Z$3))</f>
        <v>24419.46185035017</v>
      </c>
      <c r="H213" s="49">
        <f t="shared" si="17"/>
        <v>26626.14</v>
      </c>
      <c r="I213" s="49">
        <f t="shared" si="18"/>
        <v>2206.6781496498297</v>
      </c>
      <c r="J213" s="47">
        <f>(SUMIFS(LS[Unit],LS[Investor ID],A213,LS[B/S],"B",LS[Date Value],"&gt;="&amp;$Z$2,LS[Date Value],"&lt;="&amp;$Z$3))+(SUMIFS(SIP[Unit],SIP[Investor ID],A213,SIP[B/S],"B",SIP[Date Value],"&gt;="&amp;$Z$2,SIP[Date Value],"&lt;="&amp;$Z$3))</f>
        <v>0</v>
      </c>
      <c r="K213" s="49">
        <f>(SUMIFS(LS[Amount],LS[Investor ID],A213,LS[B/S],"B",LS[Date Value],"&gt;="&amp;$Z$2,LS[Date Value],"&lt;="&amp;$Z$3))+(SUMIFS(SIP[Amount],SIP[Investor ID],A213,SIP[B/S],"B",SIP[Date Value],"&gt;="&amp;$Z$2,SIP[Date Value],"&lt;="&amp;$Z$3))</f>
        <v>0</v>
      </c>
      <c r="L213" s="47">
        <f>(-SUMIFS(LS[Unit],LS[Investor ID],A213,LS[B/S],"S",LS[Date Value],"&gt;="&amp;$Z$2,LS[Date Value],"&lt;="&amp;$Z$3))+(-SUMIFS(SIP[Unit],SIP[Investor ID],A213,SIP[B/S],"S",SIP[Date Value],"&gt;="&amp;$Z$2,SIP[Date Value],"&lt;="&amp;$Z$3))</f>
        <v>22032</v>
      </c>
      <c r="M213" s="49">
        <f>(SUMIFS(LS[Cost of Units Sold],LS[Investor ID],A213,LS[B/S],"S",LS[Date Value],"&gt;="&amp;$Z$2,LS[Date Value],"&lt;="&amp;$Z$3))+(SUMIFS(SIP[Cost of Units Sold],SIP[Investor ID],A213,SIP[B/S],"S",SIP[Date Value],"&gt;="&amp;$Z$2,SIP[Date Value],"&lt;="&amp;$Z$3))</f>
        <v>225580.53814964983</v>
      </c>
      <c r="N213" s="49">
        <f t="shared" si="19"/>
        <v>-225580.53814964983</v>
      </c>
      <c r="O213" s="49">
        <f>(SUMIFS(LS[Realized Gain],LS[Investor ID],A213,LS[Date Value],"&gt;="&amp;$Z$2,LS[Date Value],"&lt;="&amp;$Z$3))+(SUMIFS(SIP[Realized Gain],SIP[Investor ID],A213,SIP[Date Value],"&gt;="&amp;$Z$2,SIP[Date Value],"&lt;="&amp;$Z$3))</f>
        <v>4408.5218503501492</v>
      </c>
      <c r="P213" s="49">
        <v>0</v>
      </c>
      <c r="Q213" s="49">
        <v>0</v>
      </c>
      <c r="R213" s="49">
        <v>0</v>
      </c>
    </row>
    <row r="214" spans="1:18">
      <c r="A214" t="s">
        <v>477</v>
      </c>
      <c r="B214" s="47">
        <f>SUMIFS(LS[Unit],LS[Investor ID],'TAX CERTIFICATE'!A214,LS[Date Value],"&lt;"&amp;$Z$2)+SUMIFS(SIP[Unit],SIP[Investor ID],'TAX CERTIFICATE'!A214,SIP[Date Value],"&lt;"&amp;$Z$2)</f>
        <v>0</v>
      </c>
      <c r="C214" s="48">
        <f>(SUMIFS(LS[Amount],LS[B/S],"B",LS[Investor ID],A214,LS[Date Value],"&lt;"&amp;$Z$2)-SUMIFS(LS[Cost of Units Sold],LS[B/S],"S",LS[Investor ID],A214,LS[Date Value],"&lt;"&amp;$Z$2))+(SUMIFS(SIP[Amount],SIP[B/S],"B",SIP[Investor ID],#REF!,SIP[Date Value],"&lt;"&amp;$Z$2)-SUMIFS(SIP[Cost of Units Sold],SIP[B/S],"S",SIP[Investor ID],A214,SIP[Date Value],"&lt;"&amp;$Z$2))</f>
        <v>0</v>
      </c>
      <c r="D214" s="49">
        <f t="shared" si="15"/>
        <v>0</v>
      </c>
      <c r="E214" s="49">
        <f t="shared" si="16"/>
        <v>0</v>
      </c>
      <c r="F214" s="47">
        <f>SUMIFS(LS[Unit],LS[Investor ID],A214,LS[Date Value],"&lt;="&amp;$Z$3)+SUMIFS(SIP[Unit],SIP[Investor ID],A214,SIP[Date Value],"&lt;="&amp;$Z$3)</f>
        <v>0</v>
      </c>
      <c r="G214" s="49">
        <f>(SUMIFS(LS[Amount],LS[B/S],"B",LS[Investor ID],A214,LS[Date Value],"&lt;="&amp;$Z$3)-SUMIFS(LS[Cost of Units Sold],LS[B/S],"S",LS[Investor ID],A214,LS[Date Value],"&lt;="&amp;$Z$3))+(SUMIFS(SIP[Amount],SIP[B/S],"B",SIP[Investor ID],A214,SIP[Date Value],"&lt;="&amp;$Z$3)-SUMIFS(SIP[Cost of Units Sold],SIP[B/S],"S",SIP[Investor ID],A214,SIP[Date Value],"&lt;="&amp;$Z$3))</f>
        <v>0</v>
      </c>
      <c r="H214" s="49">
        <f t="shared" si="17"/>
        <v>0</v>
      </c>
      <c r="I214" s="49">
        <f t="shared" si="18"/>
        <v>0</v>
      </c>
      <c r="J214" s="47">
        <f>(SUMIFS(LS[Unit],LS[Investor ID],A214,LS[B/S],"B",LS[Date Value],"&gt;="&amp;$Z$2,LS[Date Value],"&lt;="&amp;$Z$3))+(SUMIFS(SIP[Unit],SIP[Investor ID],A214,SIP[B/S],"B",SIP[Date Value],"&gt;="&amp;$Z$2,SIP[Date Value],"&lt;="&amp;$Z$3))</f>
        <v>0</v>
      </c>
      <c r="K214" s="49">
        <f>(SUMIFS(LS[Amount],LS[Investor ID],A214,LS[B/S],"B",LS[Date Value],"&gt;="&amp;$Z$2,LS[Date Value],"&lt;="&amp;$Z$3))+(SUMIFS(SIP[Amount],SIP[Investor ID],A214,SIP[B/S],"B",SIP[Date Value],"&gt;="&amp;$Z$2,SIP[Date Value],"&lt;="&amp;$Z$3))</f>
        <v>0</v>
      </c>
      <c r="L214" s="47">
        <f>(-SUMIFS(LS[Unit],LS[Investor ID],A214,LS[B/S],"S",LS[Date Value],"&gt;="&amp;$Z$2,LS[Date Value],"&lt;="&amp;$Z$3))+(-SUMIFS(SIP[Unit],SIP[Investor ID],A214,SIP[B/S],"S",SIP[Date Value],"&gt;="&amp;$Z$2,SIP[Date Value],"&lt;="&amp;$Z$3))</f>
        <v>0</v>
      </c>
      <c r="M214" s="49">
        <f>(SUMIFS(LS[Cost of Units Sold],LS[Investor ID],A214,LS[B/S],"S",LS[Date Value],"&gt;="&amp;$Z$2,LS[Date Value],"&lt;="&amp;$Z$3))+(SUMIFS(SIP[Cost of Units Sold],SIP[Investor ID],A214,SIP[B/S],"S",SIP[Date Value],"&gt;="&amp;$Z$2,SIP[Date Value],"&lt;="&amp;$Z$3))</f>
        <v>0</v>
      </c>
      <c r="N214" s="49">
        <f t="shared" si="19"/>
        <v>0</v>
      </c>
      <c r="O214" s="49">
        <f>(SUMIFS(LS[Realized Gain],LS[Investor ID],A214,LS[Date Value],"&gt;="&amp;$Z$2,LS[Date Value],"&lt;="&amp;$Z$3))+(SUMIFS(SIP[Realized Gain],SIP[Investor ID],A214,SIP[Date Value],"&gt;="&amp;$Z$2,SIP[Date Value],"&lt;="&amp;$Z$3))</f>
        <v>0</v>
      </c>
      <c r="P214" s="49">
        <v>0</v>
      </c>
      <c r="Q214" s="49">
        <v>0</v>
      </c>
      <c r="R214" s="49">
        <v>0</v>
      </c>
    </row>
    <row r="215" spans="1:18">
      <c r="A215" t="s">
        <v>479</v>
      </c>
      <c r="B215" s="47">
        <f>SUMIFS(LS[Unit],LS[Investor ID],'TAX CERTIFICATE'!A215,LS[Date Value],"&lt;"&amp;$Z$2)+SUMIFS(SIP[Unit],SIP[Investor ID],'TAX CERTIFICATE'!A215,SIP[Date Value],"&lt;"&amp;$Z$2)</f>
        <v>0</v>
      </c>
      <c r="C215" s="48">
        <f>(SUMIFS(LS[Amount],LS[B/S],"B",LS[Investor ID],A215,LS[Date Value],"&lt;"&amp;$Z$2)-SUMIFS(LS[Cost of Units Sold],LS[B/S],"S",LS[Investor ID],A215,LS[Date Value],"&lt;"&amp;$Z$2))+(SUMIFS(SIP[Amount],SIP[B/S],"B",SIP[Investor ID],#REF!,SIP[Date Value],"&lt;"&amp;$Z$2)-SUMIFS(SIP[Cost of Units Sold],SIP[B/S],"S",SIP[Investor ID],A215,SIP[Date Value],"&lt;"&amp;$Z$2))</f>
        <v>0</v>
      </c>
      <c r="D215" s="49">
        <f t="shared" si="15"/>
        <v>0</v>
      </c>
      <c r="E215" s="49">
        <f t="shared" si="16"/>
        <v>0</v>
      </c>
      <c r="F215" s="47">
        <f>SUMIFS(LS[Unit],LS[Investor ID],A215,LS[Date Value],"&lt;="&amp;$Z$3)+SUMIFS(SIP[Unit],SIP[Investor ID],A215,SIP[Date Value],"&lt;="&amp;$Z$3)</f>
        <v>0</v>
      </c>
      <c r="G215" s="49">
        <f>(SUMIFS(LS[Amount],LS[B/S],"B",LS[Investor ID],A215,LS[Date Value],"&lt;="&amp;$Z$3)-SUMIFS(LS[Cost of Units Sold],LS[B/S],"S",LS[Investor ID],A215,LS[Date Value],"&lt;="&amp;$Z$3))+(SUMIFS(SIP[Amount],SIP[B/S],"B",SIP[Investor ID],A215,SIP[Date Value],"&lt;="&amp;$Z$3)-SUMIFS(SIP[Cost of Units Sold],SIP[B/S],"S",SIP[Investor ID],A215,SIP[Date Value],"&lt;="&amp;$Z$3))</f>
        <v>0</v>
      </c>
      <c r="H215" s="49">
        <f t="shared" si="17"/>
        <v>0</v>
      </c>
      <c r="I215" s="49">
        <f t="shared" si="18"/>
        <v>0</v>
      </c>
      <c r="J215" s="47">
        <f>(SUMIFS(LS[Unit],LS[Investor ID],A215,LS[B/S],"B",LS[Date Value],"&gt;="&amp;$Z$2,LS[Date Value],"&lt;="&amp;$Z$3))+(SUMIFS(SIP[Unit],SIP[Investor ID],A215,SIP[B/S],"B",SIP[Date Value],"&gt;="&amp;$Z$2,SIP[Date Value],"&lt;="&amp;$Z$3))</f>
        <v>0</v>
      </c>
      <c r="K215" s="49">
        <f>(SUMIFS(LS[Amount],LS[Investor ID],A215,LS[B/S],"B",LS[Date Value],"&gt;="&amp;$Z$2,LS[Date Value],"&lt;="&amp;$Z$3))+(SUMIFS(SIP[Amount],SIP[Investor ID],A215,SIP[B/S],"B",SIP[Date Value],"&gt;="&amp;$Z$2,SIP[Date Value],"&lt;="&amp;$Z$3))</f>
        <v>0</v>
      </c>
      <c r="L215" s="47">
        <f>(-SUMIFS(LS[Unit],LS[Investor ID],A215,LS[B/S],"S",LS[Date Value],"&gt;="&amp;$Z$2,LS[Date Value],"&lt;="&amp;$Z$3))+(-SUMIFS(SIP[Unit],SIP[Investor ID],A215,SIP[B/S],"S",SIP[Date Value],"&gt;="&amp;$Z$2,SIP[Date Value],"&lt;="&amp;$Z$3))</f>
        <v>0</v>
      </c>
      <c r="M215" s="49">
        <f>(SUMIFS(LS[Cost of Units Sold],LS[Investor ID],A215,LS[B/S],"S",LS[Date Value],"&gt;="&amp;$Z$2,LS[Date Value],"&lt;="&amp;$Z$3))+(SUMIFS(SIP[Cost of Units Sold],SIP[Investor ID],A215,SIP[B/S],"S",SIP[Date Value],"&gt;="&amp;$Z$2,SIP[Date Value],"&lt;="&amp;$Z$3))</f>
        <v>0</v>
      </c>
      <c r="N215" s="49">
        <f t="shared" si="19"/>
        <v>0</v>
      </c>
      <c r="O215" s="49">
        <f>(SUMIFS(LS[Realized Gain],LS[Investor ID],A215,LS[Date Value],"&gt;="&amp;$Z$2,LS[Date Value],"&lt;="&amp;$Z$3))+(SUMIFS(SIP[Realized Gain],SIP[Investor ID],A215,SIP[Date Value],"&gt;="&amp;$Z$2,SIP[Date Value],"&lt;="&amp;$Z$3))</f>
        <v>0</v>
      </c>
      <c r="P215" s="49">
        <v>0</v>
      </c>
      <c r="Q215" s="49">
        <v>0</v>
      </c>
      <c r="R215" s="49">
        <v>0</v>
      </c>
    </row>
    <row r="216" spans="1:18">
      <c r="A216" t="s">
        <v>481</v>
      </c>
      <c r="B216" s="47">
        <f>SUMIFS(LS[Unit],LS[Investor ID],'TAX CERTIFICATE'!A216,LS[Date Value],"&lt;"&amp;$Z$2)+SUMIFS(SIP[Unit],SIP[Investor ID],'TAX CERTIFICATE'!A216,SIP[Date Value],"&lt;"&amp;$Z$2)</f>
        <v>0</v>
      </c>
      <c r="C216" s="48">
        <f>(SUMIFS(LS[Amount],LS[B/S],"B",LS[Investor ID],A216,LS[Date Value],"&lt;"&amp;$Z$2)-SUMIFS(LS[Cost of Units Sold],LS[B/S],"S",LS[Investor ID],A216,LS[Date Value],"&lt;"&amp;$Z$2))+(SUMIFS(SIP[Amount],SIP[B/S],"B",SIP[Investor ID],#REF!,SIP[Date Value],"&lt;"&amp;$Z$2)-SUMIFS(SIP[Cost of Units Sold],SIP[B/S],"S",SIP[Investor ID],A216,SIP[Date Value],"&lt;"&amp;$Z$2))</f>
        <v>0</v>
      </c>
      <c r="D216" s="49">
        <f t="shared" si="15"/>
        <v>0</v>
      </c>
      <c r="E216" s="49">
        <f t="shared" si="16"/>
        <v>0</v>
      </c>
      <c r="F216" s="47">
        <f>SUMIFS(LS[Unit],LS[Investor ID],A216,LS[Date Value],"&lt;="&amp;$Z$3)+SUMIFS(SIP[Unit],SIP[Investor ID],A216,SIP[Date Value],"&lt;="&amp;$Z$3)</f>
        <v>0</v>
      </c>
      <c r="G216" s="49">
        <f>(SUMIFS(LS[Amount],LS[B/S],"B",LS[Investor ID],A216,LS[Date Value],"&lt;="&amp;$Z$3)-SUMIFS(LS[Cost of Units Sold],LS[B/S],"S",LS[Investor ID],A216,LS[Date Value],"&lt;="&amp;$Z$3))+(SUMIFS(SIP[Amount],SIP[B/S],"B",SIP[Investor ID],A216,SIP[Date Value],"&lt;="&amp;$Z$3)-SUMIFS(SIP[Cost of Units Sold],SIP[B/S],"S",SIP[Investor ID],A216,SIP[Date Value],"&lt;="&amp;$Z$3))</f>
        <v>0</v>
      </c>
      <c r="H216" s="49">
        <f t="shared" si="17"/>
        <v>0</v>
      </c>
      <c r="I216" s="49">
        <f t="shared" si="18"/>
        <v>0</v>
      </c>
      <c r="J216" s="47">
        <f>(SUMIFS(LS[Unit],LS[Investor ID],A216,LS[B/S],"B",LS[Date Value],"&gt;="&amp;$Z$2,LS[Date Value],"&lt;="&amp;$Z$3))+(SUMIFS(SIP[Unit],SIP[Investor ID],A216,SIP[B/S],"B",SIP[Date Value],"&gt;="&amp;$Z$2,SIP[Date Value],"&lt;="&amp;$Z$3))</f>
        <v>29038</v>
      </c>
      <c r="K216" s="49">
        <f>(SUMIFS(LS[Amount],LS[Investor ID],A216,LS[B/S],"B",LS[Date Value],"&gt;="&amp;$Z$2,LS[Date Value],"&lt;="&amp;$Z$3))+(SUMIFS(SIP[Amount],SIP[Investor ID],A216,SIP[B/S],"B",SIP[Date Value],"&gt;="&amp;$Z$2,SIP[Date Value],"&lt;="&amp;$Z$3))</f>
        <v>300000</v>
      </c>
      <c r="L216" s="47">
        <f>(-SUMIFS(LS[Unit],LS[Investor ID],A216,LS[B/S],"S",LS[Date Value],"&gt;="&amp;$Z$2,LS[Date Value],"&lt;="&amp;$Z$3))+(-SUMIFS(SIP[Unit],SIP[Investor ID],A216,SIP[B/S],"S",SIP[Date Value],"&gt;="&amp;$Z$2,SIP[Date Value],"&lt;="&amp;$Z$3))</f>
        <v>29038</v>
      </c>
      <c r="M216" s="49">
        <f>(SUMIFS(LS[Cost of Units Sold],LS[Investor ID],A216,LS[B/S],"S",LS[Date Value],"&gt;="&amp;$Z$2,LS[Date Value],"&lt;="&amp;$Z$3))+(SUMIFS(SIP[Cost of Units Sold],SIP[Investor ID],A216,SIP[B/S],"S",SIP[Date Value],"&gt;="&amp;$Z$2,SIP[Date Value],"&lt;="&amp;$Z$3))</f>
        <v>300000</v>
      </c>
      <c r="N216" s="49">
        <f t="shared" si="19"/>
        <v>0</v>
      </c>
      <c r="O216" s="49">
        <f>(SUMIFS(LS[Realized Gain],LS[Investor ID],A216,LS[Date Value],"&gt;="&amp;$Z$2,LS[Date Value],"&lt;="&amp;$Z$3))+(SUMIFS(SIP[Realized Gain],SIP[Investor ID],A216,SIP[Date Value],"&gt;="&amp;$Z$2,SIP[Date Value],"&lt;="&amp;$Z$3))</f>
        <v>21799.120000000006</v>
      </c>
      <c r="P216" s="49">
        <v>0</v>
      </c>
      <c r="Q216" s="49">
        <v>0</v>
      </c>
      <c r="R216" s="49">
        <v>0</v>
      </c>
    </row>
    <row r="217" spans="1:18">
      <c r="A217" t="s">
        <v>483</v>
      </c>
      <c r="B217" s="47">
        <f>SUMIFS(LS[Unit],LS[Investor ID],'TAX CERTIFICATE'!A217,LS[Date Value],"&lt;"&amp;$Z$2)+SUMIFS(SIP[Unit],SIP[Investor ID],'TAX CERTIFICATE'!A217,SIP[Date Value],"&lt;"&amp;$Z$2)</f>
        <v>0</v>
      </c>
      <c r="C217" s="48">
        <f>(SUMIFS(LS[Amount],LS[B/S],"B",LS[Investor ID],A217,LS[Date Value],"&lt;"&amp;$Z$2)-SUMIFS(LS[Cost of Units Sold],LS[B/S],"S",LS[Investor ID],A217,LS[Date Value],"&lt;"&amp;$Z$2))+(SUMIFS(SIP[Amount],SIP[B/S],"B",SIP[Investor ID],#REF!,SIP[Date Value],"&lt;"&amp;$Z$2)-SUMIFS(SIP[Cost of Units Sold],SIP[B/S],"S",SIP[Investor ID],A217,SIP[Date Value],"&lt;"&amp;$Z$2))</f>
        <v>0</v>
      </c>
      <c r="D217" s="49">
        <f t="shared" si="15"/>
        <v>0</v>
      </c>
      <c r="E217" s="49">
        <f t="shared" si="16"/>
        <v>0</v>
      </c>
      <c r="F217" s="47">
        <f>SUMIFS(LS[Unit],LS[Investor ID],A217,LS[Date Value],"&lt;="&amp;$Z$3)+SUMIFS(SIP[Unit],SIP[Investor ID],A217,SIP[Date Value],"&lt;="&amp;$Z$3)</f>
        <v>5110</v>
      </c>
      <c r="G217" s="49">
        <f>(SUMIFS(LS[Amount],LS[B/S],"B",LS[Investor ID],A217,LS[Date Value],"&lt;="&amp;$Z$3)-SUMIFS(LS[Cost of Units Sold],LS[B/S],"S",LS[Investor ID],A217,LS[Date Value],"&lt;="&amp;$Z$3))+(SUMIFS(SIP[Amount],SIP[B/S],"B",SIP[Investor ID],A217,SIP[Date Value],"&lt;="&amp;$Z$3)-SUMIFS(SIP[Cost of Units Sold],SIP[B/S],"S",SIP[Investor ID],A217,SIP[Date Value],"&lt;="&amp;$Z$3))</f>
        <v>55000</v>
      </c>
      <c r="H217" s="49">
        <f t="shared" si="17"/>
        <v>57048.04</v>
      </c>
      <c r="I217" s="49">
        <f t="shared" si="18"/>
        <v>2048.0400000000009</v>
      </c>
      <c r="J217" s="47">
        <f>(SUMIFS(LS[Unit],LS[Investor ID],A217,LS[B/S],"B",LS[Date Value],"&gt;="&amp;$Z$2,LS[Date Value],"&lt;="&amp;$Z$3))+(SUMIFS(SIP[Unit],SIP[Investor ID],A217,SIP[B/S],"B",SIP[Date Value],"&gt;="&amp;$Z$2,SIP[Date Value],"&lt;="&amp;$Z$3))</f>
        <v>5110</v>
      </c>
      <c r="K217" s="49">
        <f>(SUMIFS(LS[Amount],LS[Investor ID],A217,LS[B/S],"B",LS[Date Value],"&gt;="&amp;$Z$2,LS[Date Value],"&lt;="&amp;$Z$3))+(SUMIFS(SIP[Amount],SIP[Investor ID],A217,SIP[B/S],"B",SIP[Date Value],"&gt;="&amp;$Z$2,SIP[Date Value],"&lt;="&amp;$Z$3))</f>
        <v>55000</v>
      </c>
      <c r="L217" s="47">
        <f>(-SUMIFS(LS[Unit],LS[Investor ID],A217,LS[B/S],"S",LS[Date Value],"&gt;="&amp;$Z$2,LS[Date Value],"&lt;="&amp;$Z$3))+(-SUMIFS(SIP[Unit],SIP[Investor ID],A217,SIP[B/S],"S",SIP[Date Value],"&gt;="&amp;$Z$2,SIP[Date Value],"&lt;="&amp;$Z$3))</f>
        <v>0</v>
      </c>
      <c r="M217" s="49">
        <f>(SUMIFS(LS[Cost of Units Sold],LS[Investor ID],A217,LS[B/S],"S",LS[Date Value],"&gt;="&amp;$Z$2,LS[Date Value],"&lt;="&amp;$Z$3))+(SUMIFS(SIP[Cost of Units Sold],SIP[Investor ID],A217,SIP[B/S],"S",SIP[Date Value],"&gt;="&amp;$Z$2,SIP[Date Value],"&lt;="&amp;$Z$3))</f>
        <v>0</v>
      </c>
      <c r="N217" s="49">
        <f t="shared" si="19"/>
        <v>55000</v>
      </c>
      <c r="O217" s="49">
        <f>(SUMIFS(LS[Realized Gain],LS[Investor ID],A217,LS[Date Value],"&gt;="&amp;$Z$2,LS[Date Value],"&lt;="&amp;$Z$3))+(SUMIFS(SIP[Realized Gain],SIP[Investor ID],A217,SIP[Date Value],"&gt;="&amp;$Z$2,SIP[Date Value],"&lt;="&amp;$Z$3))</f>
        <v>0</v>
      </c>
      <c r="P217" s="49">
        <v>0</v>
      </c>
      <c r="Q217" s="49">
        <v>0</v>
      </c>
      <c r="R217" s="49">
        <v>0</v>
      </c>
    </row>
    <row r="218" spans="1:18">
      <c r="A218" t="s">
        <v>485</v>
      </c>
      <c r="B218" s="47">
        <f>SUMIFS(LS[Unit],LS[Investor ID],'TAX CERTIFICATE'!A218,LS[Date Value],"&lt;"&amp;$Z$2)+SUMIFS(SIP[Unit],SIP[Investor ID],'TAX CERTIFICATE'!A218,SIP[Date Value],"&lt;"&amp;$Z$2)</f>
        <v>0</v>
      </c>
      <c r="C218" s="48">
        <f>(SUMIFS(LS[Amount],LS[B/S],"B",LS[Investor ID],A218,LS[Date Value],"&lt;"&amp;$Z$2)-SUMIFS(LS[Cost of Units Sold],LS[B/S],"S",LS[Investor ID],A218,LS[Date Value],"&lt;"&amp;$Z$2))+(SUMIFS(SIP[Amount],SIP[B/S],"B",SIP[Investor ID],#REF!,SIP[Date Value],"&lt;"&amp;$Z$2)-SUMIFS(SIP[Cost of Units Sold],SIP[B/S],"S",SIP[Investor ID],A218,SIP[Date Value],"&lt;"&amp;$Z$2))</f>
        <v>0</v>
      </c>
      <c r="D218" s="49">
        <f t="shared" si="15"/>
        <v>0</v>
      </c>
      <c r="E218" s="49">
        <f t="shared" si="16"/>
        <v>0</v>
      </c>
      <c r="F218" s="47">
        <f>SUMIFS(LS[Unit],LS[Investor ID],A218,LS[Date Value],"&lt;="&amp;$Z$3)+SUMIFS(SIP[Unit],SIP[Investor ID],A218,SIP[Date Value],"&lt;="&amp;$Z$3)</f>
        <v>0</v>
      </c>
      <c r="G218" s="49">
        <f>(SUMIFS(LS[Amount],LS[B/S],"B",LS[Investor ID],A218,LS[Date Value],"&lt;="&amp;$Z$3)-SUMIFS(LS[Cost of Units Sold],LS[B/S],"S",LS[Investor ID],A218,LS[Date Value],"&lt;="&amp;$Z$3))+(SUMIFS(SIP[Amount],SIP[B/S],"B",SIP[Investor ID],A218,SIP[Date Value],"&lt;="&amp;$Z$3)-SUMIFS(SIP[Cost of Units Sold],SIP[B/S],"S",SIP[Investor ID],A218,SIP[Date Value],"&lt;="&amp;$Z$3))</f>
        <v>0</v>
      </c>
      <c r="H218" s="49">
        <f t="shared" si="17"/>
        <v>0</v>
      </c>
      <c r="I218" s="49">
        <f t="shared" si="18"/>
        <v>0</v>
      </c>
      <c r="J218" s="47">
        <f>(SUMIFS(LS[Unit],LS[Investor ID],A218,LS[B/S],"B",LS[Date Value],"&gt;="&amp;$Z$2,LS[Date Value],"&lt;="&amp;$Z$3))+(SUMIFS(SIP[Unit],SIP[Investor ID],A218,SIP[B/S],"B",SIP[Date Value],"&gt;="&amp;$Z$2,SIP[Date Value],"&lt;="&amp;$Z$3))</f>
        <v>0</v>
      </c>
      <c r="K218" s="49">
        <f>(SUMIFS(LS[Amount],LS[Investor ID],A218,LS[B/S],"B",LS[Date Value],"&gt;="&amp;$Z$2,LS[Date Value],"&lt;="&amp;$Z$3))+(SUMIFS(SIP[Amount],SIP[Investor ID],A218,SIP[B/S],"B",SIP[Date Value],"&gt;="&amp;$Z$2,SIP[Date Value],"&lt;="&amp;$Z$3))</f>
        <v>0</v>
      </c>
      <c r="L218" s="47">
        <f>(-SUMIFS(LS[Unit],LS[Investor ID],A218,LS[B/S],"S",LS[Date Value],"&gt;="&amp;$Z$2,LS[Date Value],"&lt;="&amp;$Z$3))+(-SUMIFS(SIP[Unit],SIP[Investor ID],A218,SIP[B/S],"S",SIP[Date Value],"&gt;="&amp;$Z$2,SIP[Date Value],"&lt;="&amp;$Z$3))</f>
        <v>0</v>
      </c>
      <c r="M218" s="49">
        <f>(SUMIFS(LS[Cost of Units Sold],LS[Investor ID],A218,LS[B/S],"S",LS[Date Value],"&gt;="&amp;$Z$2,LS[Date Value],"&lt;="&amp;$Z$3))+(SUMIFS(SIP[Cost of Units Sold],SIP[Investor ID],A218,SIP[B/S],"S",SIP[Date Value],"&gt;="&amp;$Z$2,SIP[Date Value],"&lt;="&amp;$Z$3))</f>
        <v>0</v>
      </c>
      <c r="N218" s="49">
        <f t="shared" si="19"/>
        <v>0</v>
      </c>
      <c r="O218" s="49">
        <f>(SUMIFS(LS[Realized Gain],LS[Investor ID],A218,LS[Date Value],"&gt;="&amp;$Z$2,LS[Date Value],"&lt;="&amp;$Z$3))+(SUMIFS(SIP[Realized Gain],SIP[Investor ID],A218,SIP[Date Value],"&gt;="&amp;$Z$2,SIP[Date Value],"&lt;="&amp;$Z$3))</f>
        <v>0</v>
      </c>
      <c r="P218" s="49">
        <v>0</v>
      </c>
      <c r="Q218" s="49">
        <v>0</v>
      </c>
      <c r="R218" s="49">
        <v>0</v>
      </c>
    </row>
    <row r="219" spans="1:18">
      <c r="A219" t="s">
        <v>487</v>
      </c>
      <c r="B219" s="47">
        <f>SUMIFS(LS[Unit],LS[Investor ID],'TAX CERTIFICATE'!A219,LS[Date Value],"&lt;"&amp;$Z$2)+SUMIFS(SIP[Unit],SIP[Investor ID],'TAX CERTIFICATE'!A219,SIP[Date Value],"&lt;"&amp;$Z$2)</f>
        <v>0</v>
      </c>
      <c r="C219" s="48">
        <f>(SUMIFS(LS[Amount],LS[B/S],"B",LS[Investor ID],A219,LS[Date Value],"&lt;"&amp;$Z$2)-SUMIFS(LS[Cost of Units Sold],LS[B/S],"S",LS[Investor ID],A219,LS[Date Value],"&lt;"&amp;$Z$2))+(SUMIFS(SIP[Amount],SIP[B/S],"B",SIP[Investor ID],#REF!,SIP[Date Value],"&lt;"&amp;$Z$2)-SUMIFS(SIP[Cost of Units Sold],SIP[B/S],"S",SIP[Investor ID],A219,SIP[Date Value],"&lt;"&amp;$Z$2))</f>
        <v>0</v>
      </c>
      <c r="D219" s="49">
        <f t="shared" si="15"/>
        <v>0</v>
      </c>
      <c r="E219" s="49">
        <f t="shared" si="16"/>
        <v>0</v>
      </c>
      <c r="F219" s="47">
        <f>SUMIFS(LS[Unit],LS[Investor ID],A219,LS[Date Value],"&lt;="&amp;$Z$3)+SUMIFS(SIP[Unit],SIP[Investor ID],A219,SIP[Date Value],"&lt;="&amp;$Z$3)</f>
        <v>0</v>
      </c>
      <c r="G219" s="49">
        <f>(SUMIFS(LS[Amount],LS[B/S],"B",LS[Investor ID],A219,LS[Date Value],"&lt;="&amp;$Z$3)-SUMIFS(LS[Cost of Units Sold],LS[B/S],"S",LS[Investor ID],A219,LS[Date Value],"&lt;="&amp;$Z$3))+(SUMIFS(SIP[Amount],SIP[B/S],"B",SIP[Investor ID],A219,SIP[Date Value],"&lt;="&amp;$Z$3)-SUMIFS(SIP[Cost of Units Sold],SIP[B/S],"S",SIP[Investor ID],A219,SIP[Date Value],"&lt;="&amp;$Z$3))</f>
        <v>0</v>
      </c>
      <c r="H219" s="49">
        <f t="shared" si="17"/>
        <v>0</v>
      </c>
      <c r="I219" s="49">
        <f t="shared" si="18"/>
        <v>0</v>
      </c>
      <c r="J219" s="47">
        <f>(SUMIFS(LS[Unit],LS[Investor ID],A219,LS[B/S],"B",LS[Date Value],"&gt;="&amp;$Z$2,LS[Date Value],"&lt;="&amp;$Z$3))+(SUMIFS(SIP[Unit],SIP[Investor ID],A219,SIP[B/S],"B",SIP[Date Value],"&gt;="&amp;$Z$2,SIP[Date Value],"&lt;="&amp;$Z$3))</f>
        <v>0</v>
      </c>
      <c r="K219" s="49">
        <f>(SUMIFS(LS[Amount],LS[Investor ID],A219,LS[B/S],"B",LS[Date Value],"&gt;="&amp;$Z$2,LS[Date Value],"&lt;="&amp;$Z$3))+(SUMIFS(SIP[Amount],SIP[Investor ID],A219,SIP[B/S],"B",SIP[Date Value],"&gt;="&amp;$Z$2,SIP[Date Value],"&lt;="&amp;$Z$3))</f>
        <v>0</v>
      </c>
      <c r="L219" s="47">
        <f>(-SUMIFS(LS[Unit],LS[Investor ID],A219,LS[B/S],"S",LS[Date Value],"&gt;="&amp;$Z$2,LS[Date Value],"&lt;="&amp;$Z$3))+(-SUMIFS(SIP[Unit],SIP[Investor ID],A219,SIP[B/S],"S",SIP[Date Value],"&gt;="&amp;$Z$2,SIP[Date Value],"&lt;="&amp;$Z$3))</f>
        <v>0</v>
      </c>
      <c r="M219" s="49">
        <f>(SUMIFS(LS[Cost of Units Sold],LS[Investor ID],A219,LS[B/S],"S",LS[Date Value],"&gt;="&amp;$Z$2,LS[Date Value],"&lt;="&amp;$Z$3))+(SUMIFS(SIP[Cost of Units Sold],SIP[Investor ID],A219,SIP[B/S],"S",SIP[Date Value],"&gt;="&amp;$Z$2,SIP[Date Value],"&lt;="&amp;$Z$3))</f>
        <v>0</v>
      </c>
      <c r="N219" s="49">
        <f t="shared" si="19"/>
        <v>0</v>
      </c>
      <c r="O219" s="49">
        <f>(SUMIFS(LS[Realized Gain],LS[Investor ID],A219,LS[Date Value],"&gt;="&amp;$Z$2,LS[Date Value],"&lt;="&amp;$Z$3))+(SUMIFS(SIP[Realized Gain],SIP[Investor ID],A219,SIP[Date Value],"&gt;="&amp;$Z$2,SIP[Date Value],"&lt;="&amp;$Z$3))</f>
        <v>0</v>
      </c>
      <c r="P219" s="49">
        <v>0</v>
      </c>
      <c r="Q219" s="49">
        <v>0</v>
      </c>
      <c r="R219" s="49">
        <v>0</v>
      </c>
    </row>
    <row r="220" spans="1:18">
      <c r="A220" t="s">
        <v>489</v>
      </c>
      <c r="B220" s="47">
        <f>SUMIFS(LS[Unit],LS[Investor ID],'TAX CERTIFICATE'!A220,LS[Date Value],"&lt;"&amp;$Z$2)+SUMIFS(SIP[Unit],SIP[Investor ID],'TAX CERTIFICATE'!A220,SIP[Date Value],"&lt;"&amp;$Z$2)</f>
        <v>0</v>
      </c>
      <c r="C220" s="48">
        <f>(SUMIFS(LS[Amount],LS[B/S],"B",LS[Investor ID],A220,LS[Date Value],"&lt;"&amp;$Z$2)-SUMIFS(LS[Cost of Units Sold],LS[B/S],"S",LS[Investor ID],A220,LS[Date Value],"&lt;"&amp;$Z$2))+(SUMIFS(SIP[Amount],SIP[B/S],"B",SIP[Investor ID],#REF!,SIP[Date Value],"&lt;"&amp;$Z$2)-SUMIFS(SIP[Cost of Units Sold],SIP[B/S],"S",SIP[Investor ID],A220,SIP[Date Value],"&lt;"&amp;$Z$2))</f>
        <v>0</v>
      </c>
      <c r="D220" s="49">
        <f t="shared" si="15"/>
        <v>0</v>
      </c>
      <c r="E220" s="49">
        <f t="shared" si="16"/>
        <v>0</v>
      </c>
      <c r="F220" s="47">
        <f>SUMIFS(LS[Unit],LS[Investor ID],A220,LS[Date Value],"&lt;="&amp;$Z$3)+SUMIFS(SIP[Unit],SIP[Investor ID],A220,SIP[Date Value],"&lt;="&amp;$Z$3)</f>
        <v>0</v>
      </c>
      <c r="G220" s="49">
        <f>(SUMIFS(LS[Amount],LS[B/S],"B",LS[Investor ID],A220,LS[Date Value],"&lt;="&amp;$Z$3)-SUMIFS(LS[Cost of Units Sold],LS[B/S],"S",LS[Investor ID],A220,LS[Date Value],"&lt;="&amp;$Z$3))+(SUMIFS(SIP[Amount],SIP[B/S],"B",SIP[Investor ID],A220,SIP[Date Value],"&lt;="&amp;$Z$3)-SUMIFS(SIP[Cost of Units Sold],SIP[B/S],"S",SIP[Investor ID],A220,SIP[Date Value],"&lt;="&amp;$Z$3))</f>
        <v>0</v>
      </c>
      <c r="H220" s="49">
        <f t="shared" si="17"/>
        <v>0</v>
      </c>
      <c r="I220" s="49">
        <f t="shared" si="18"/>
        <v>0</v>
      </c>
      <c r="J220" s="47">
        <f>(SUMIFS(LS[Unit],LS[Investor ID],A220,LS[B/S],"B",LS[Date Value],"&gt;="&amp;$Z$2,LS[Date Value],"&lt;="&amp;$Z$3))+(SUMIFS(SIP[Unit],SIP[Investor ID],A220,SIP[B/S],"B",SIP[Date Value],"&gt;="&amp;$Z$2,SIP[Date Value],"&lt;="&amp;$Z$3))</f>
        <v>0</v>
      </c>
      <c r="K220" s="49">
        <f>(SUMIFS(LS[Amount],LS[Investor ID],A220,LS[B/S],"B",LS[Date Value],"&gt;="&amp;$Z$2,LS[Date Value],"&lt;="&amp;$Z$3))+(SUMIFS(SIP[Amount],SIP[Investor ID],A220,SIP[B/S],"B",SIP[Date Value],"&gt;="&amp;$Z$2,SIP[Date Value],"&lt;="&amp;$Z$3))</f>
        <v>0</v>
      </c>
      <c r="L220" s="47">
        <f>(-SUMIFS(LS[Unit],LS[Investor ID],A220,LS[B/S],"S",LS[Date Value],"&gt;="&amp;$Z$2,LS[Date Value],"&lt;="&amp;$Z$3))+(-SUMIFS(SIP[Unit],SIP[Investor ID],A220,SIP[B/S],"S",SIP[Date Value],"&gt;="&amp;$Z$2,SIP[Date Value],"&lt;="&amp;$Z$3))</f>
        <v>0</v>
      </c>
      <c r="M220" s="49">
        <f>(SUMIFS(LS[Cost of Units Sold],LS[Investor ID],A220,LS[B/S],"S",LS[Date Value],"&gt;="&amp;$Z$2,LS[Date Value],"&lt;="&amp;$Z$3))+(SUMIFS(SIP[Cost of Units Sold],SIP[Investor ID],A220,SIP[B/S],"S",SIP[Date Value],"&gt;="&amp;$Z$2,SIP[Date Value],"&lt;="&amp;$Z$3))</f>
        <v>0</v>
      </c>
      <c r="N220" s="49">
        <f t="shared" si="19"/>
        <v>0</v>
      </c>
      <c r="O220" s="49">
        <f>(SUMIFS(LS[Realized Gain],LS[Investor ID],A220,LS[Date Value],"&gt;="&amp;$Z$2,LS[Date Value],"&lt;="&amp;$Z$3))+(SUMIFS(SIP[Realized Gain],SIP[Investor ID],A220,SIP[Date Value],"&gt;="&amp;$Z$2,SIP[Date Value],"&lt;="&amp;$Z$3))</f>
        <v>0</v>
      </c>
      <c r="P220" s="49">
        <v>0</v>
      </c>
      <c r="Q220" s="49">
        <v>0</v>
      </c>
      <c r="R220" s="49">
        <v>0</v>
      </c>
    </row>
    <row r="221" spans="1:18">
      <c r="A221" t="s">
        <v>491</v>
      </c>
      <c r="B221" s="47">
        <f>SUMIFS(LS[Unit],LS[Investor ID],'TAX CERTIFICATE'!A221,LS[Date Value],"&lt;"&amp;$Z$2)+SUMIFS(SIP[Unit],SIP[Investor ID],'TAX CERTIFICATE'!A221,SIP[Date Value],"&lt;"&amp;$Z$2)</f>
        <v>0</v>
      </c>
      <c r="C221" s="48">
        <f>(SUMIFS(LS[Amount],LS[B/S],"B",LS[Investor ID],A221,LS[Date Value],"&lt;"&amp;$Z$2)-SUMIFS(LS[Cost of Units Sold],LS[B/S],"S",LS[Investor ID],A221,LS[Date Value],"&lt;"&amp;$Z$2))+(SUMIFS(SIP[Amount],SIP[B/S],"B",SIP[Investor ID],#REF!,SIP[Date Value],"&lt;"&amp;$Z$2)-SUMIFS(SIP[Cost of Units Sold],SIP[B/S],"S",SIP[Investor ID],A221,SIP[Date Value],"&lt;"&amp;$Z$2))</f>
        <v>0</v>
      </c>
      <c r="D221" s="49">
        <f t="shared" si="15"/>
        <v>0</v>
      </c>
      <c r="E221" s="49">
        <f t="shared" si="16"/>
        <v>0</v>
      </c>
      <c r="F221" s="47">
        <f>SUMIFS(LS[Unit],LS[Investor ID],A221,LS[Date Value],"&lt;="&amp;$Z$3)+SUMIFS(SIP[Unit],SIP[Investor ID],A221,SIP[Date Value],"&lt;="&amp;$Z$3)</f>
        <v>0</v>
      </c>
      <c r="G221" s="49">
        <f>(SUMIFS(LS[Amount],LS[B/S],"B",LS[Investor ID],A221,LS[Date Value],"&lt;="&amp;$Z$3)-SUMIFS(LS[Cost of Units Sold],LS[B/S],"S",LS[Investor ID],A221,LS[Date Value],"&lt;="&amp;$Z$3))+(SUMIFS(SIP[Amount],SIP[B/S],"B",SIP[Investor ID],A221,SIP[Date Value],"&lt;="&amp;$Z$3)-SUMIFS(SIP[Cost of Units Sold],SIP[B/S],"S",SIP[Investor ID],A221,SIP[Date Value],"&lt;="&amp;$Z$3))</f>
        <v>0</v>
      </c>
      <c r="H221" s="49">
        <f t="shared" si="17"/>
        <v>0</v>
      </c>
      <c r="I221" s="49">
        <f t="shared" si="18"/>
        <v>0</v>
      </c>
      <c r="J221" s="47">
        <f>(SUMIFS(LS[Unit],LS[Investor ID],A221,LS[B/S],"B",LS[Date Value],"&gt;="&amp;$Z$2,LS[Date Value],"&lt;="&amp;$Z$3))+(SUMIFS(SIP[Unit],SIP[Investor ID],A221,SIP[B/S],"B",SIP[Date Value],"&gt;="&amp;$Z$2,SIP[Date Value],"&lt;="&amp;$Z$3))</f>
        <v>0</v>
      </c>
      <c r="K221" s="49">
        <f>(SUMIFS(LS[Amount],LS[Investor ID],A221,LS[B/S],"B",LS[Date Value],"&gt;="&amp;$Z$2,LS[Date Value],"&lt;="&amp;$Z$3))+(SUMIFS(SIP[Amount],SIP[Investor ID],A221,SIP[B/S],"B",SIP[Date Value],"&gt;="&amp;$Z$2,SIP[Date Value],"&lt;="&amp;$Z$3))</f>
        <v>0</v>
      </c>
      <c r="L221" s="47">
        <f>(-SUMIFS(LS[Unit],LS[Investor ID],A221,LS[B/S],"S",LS[Date Value],"&gt;="&amp;$Z$2,LS[Date Value],"&lt;="&amp;$Z$3))+(-SUMIFS(SIP[Unit],SIP[Investor ID],A221,SIP[B/S],"S",SIP[Date Value],"&gt;="&amp;$Z$2,SIP[Date Value],"&lt;="&amp;$Z$3))</f>
        <v>0</v>
      </c>
      <c r="M221" s="49">
        <f>(SUMIFS(LS[Cost of Units Sold],LS[Investor ID],A221,LS[B/S],"S",LS[Date Value],"&gt;="&amp;$Z$2,LS[Date Value],"&lt;="&amp;$Z$3))+(SUMIFS(SIP[Cost of Units Sold],SIP[Investor ID],A221,SIP[B/S],"S",SIP[Date Value],"&gt;="&amp;$Z$2,SIP[Date Value],"&lt;="&amp;$Z$3))</f>
        <v>0</v>
      </c>
      <c r="N221" s="49">
        <f t="shared" si="19"/>
        <v>0</v>
      </c>
      <c r="O221" s="49">
        <f>(SUMIFS(LS[Realized Gain],LS[Investor ID],A221,LS[Date Value],"&gt;="&amp;$Z$2,LS[Date Value],"&lt;="&amp;$Z$3))+(SUMIFS(SIP[Realized Gain],SIP[Investor ID],A221,SIP[Date Value],"&gt;="&amp;$Z$2,SIP[Date Value],"&lt;="&amp;$Z$3))</f>
        <v>0</v>
      </c>
      <c r="P221" s="49">
        <v>0</v>
      </c>
      <c r="Q221" s="49">
        <v>0</v>
      </c>
      <c r="R221" s="49">
        <v>0</v>
      </c>
    </row>
    <row r="222" spans="1:18">
      <c r="A222" t="s">
        <v>493</v>
      </c>
      <c r="B222" s="47">
        <f>SUMIFS(LS[Unit],LS[Investor ID],'TAX CERTIFICATE'!A222,LS[Date Value],"&lt;"&amp;$Z$2)+SUMIFS(SIP[Unit],SIP[Investor ID],'TAX CERTIFICATE'!A222,SIP[Date Value],"&lt;"&amp;$Z$2)</f>
        <v>0</v>
      </c>
      <c r="C222" s="48">
        <f>(SUMIFS(LS[Amount],LS[B/S],"B",LS[Investor ID],A222,LS[Date Value],"&lt;"&amp;$Z$2)-SUMIFS(LS[Cost of Units Sold],LS[B/S],"S",LS[Investor ID],A222,LS[Date Value],"&lt;"&amp;$Z$2))+(SUMIFS(SIP[Amount],SIP[B/S],"B",SIP[Investor ID],#REF!,SIP[Date Value],"&lt;"&amp;$Z$2)-SUMIFS(SIP[Cost of Units Sold],SIP[B/S],"S",SIP[Investor ID],A222,SIP[Date Value],"&lt;"&amp;$Z$2))</f>
        <v>0</v>
      </c>
      <c r="D222" s="49">
        <f t="shared" si="15"/>
        <v>0</v>
      </c>
      <c r="E222" s="49">
        <f t="shared" si="16"/>
        <v>0</v>
      </c>
      <c r="F222" s="47">
        <f>SUMIFS(LS[Unit],LS[Investor ID],A222,LS[Date Value],"&lt;="&amp;$Z$3)+SUMIFS(SIP[Unit],SIP[Investor ID],A222,SIP[Date Value],"&lt;="&amp;$Z$3)</f>
        <v>429611</v>
      </c>
      <c r="G222" s="49">
        <f>(SUMIFS(LS[Amount],LS[B/S],"B",LS[Investor ID],A222,LS[Date Value],"&lt;="&amp;$Z$3)-SUMIFS(LS[Cost of Units Sold],LS[B/S],"S",LS[Investor ID],A222,LS[Date Value],"&lt;="&amp;$Z$3))+(SUMIFS(SIP[Amount],SIP[B/S],"B",SIP[Investor ID],A222,SIP[Date Value],"&lt;="&amp;$Z$3)-SUMIFS(SIP[Cost of Units Sold],SIP[B/S],"S",SIP[Investor ID],A222,SIP[Date Value],"&lt;="&amp;$Z$3))</f>
        <v>4565480</v>
      </c>
      <c r="H222" s="49">
        <f t="shared" si="17"/>
        <v>4796177.2039999999</v>
      </c>
      <c r="I222" s="49">
        <f t="shared" si="18"/>
        <v>230697.20399999991</v>
      </c>
      <c r="J222" s="47">
        <f>(SUMIFS(LS[Unit],LS[Investor ID],A222,LS[B/S],"B",LS[Date Value],"&gt;="&amp;$Z$2,LS[Date Value],"&lt;="&amp;$Z$3))+(SUMIFS(SIP[Unit],SIP[Investor ID],A222,SIP[B/S],"B",SIP[Date Value],"&gt;="&amp;$Z$2,SIP[Date Value],"&lt;="&amp;$Z$3))</f>
        <v>429611</v>
      </c>
      <c r="K222" s="49">
        <f>(SUMIFS(LS[Amount],LS[Investor ID],A222,LS[B/S],"B",LS[Date Value],"&gt;="&amp;$Z$2,LS[Date Value],"&lt;="&amp;$Z$3))+(SUMIFS(SIP[Amount],SIP[Investor ID],A222,SIP[B/S],"B",SIP[Date Value],"&gt;="&amp;$Z$2,SIP[Date Value],"&lt;="&amp;$Z$3))</f>
        <v>4565480</v>
      </c>
      <c r="L222" s="47">
        <f>(-SUMIFS(LS[Unit],LS[Investor ID],A222,LS[B/S],"S",LS[Date Value],"&gt;="&amp;$Z$2,LS[Date Value],"&lt;="&amp;$Z$3))+(-SUMIFS(SIP[Unit],SIP[Investor ID],A222,SIP[B/S],"S",SIP[Date Value],"&gt;="&amp;$Z$2,SIP[Date Value],"&lt;="&amp;$Z$3))</f>
        <v>0</v>
      </c>
      <c r="M222" s="49">
        <f>(SUMIFS(LS[Cost of Units Sold],LS[Investor ID],A222,LS[B/S],"S",LS[Date Value],"&gt;="&amp;$Z$2,LS[Date Value],"&lt;="&amp;$Z$3))+(SUMIFS(SIP[Cost of Units Sold],SIP[Investor ID],A222,SIP[B/S],"S",SIP[Date Value],"&gt;="&amp;$Z$2,SIP[Date Value],"&lt;="&amp;$Z$3))</f>
        <v>0</v>
      </c>
      <c r="N222" s="49">
        <f t="shared" si="19"/>
        <v>4565480</v>
      </c>
      <c r="O222" s="49">
        <f>(SUMIFS(LS[Realized Gain],LS[Investor ID],A222,LS[Date Value],"&gt;="&amp;$Z$2,LS[Date Value],"&lt;="&amp;$Z$3))+(SUMIFS(SIP[Realized Gain],SIP[Investor ID],A222,SIP[Date Value],"&gt;="&amp;$Z$2,SIP[Date Value],"&lt;="&amp;$Z$3))</f>
        <v>0</v>
      </c>
      <c r="P222" s="49">
        <v>0</v>
      </c>
      <c r="Q222" s="49">
        <v>0</v>
      </c>
      <c r="R222" s="49">
        <v>0</v>
      </c>
    </row>
    <row r="223" spans="1:18">
      <c r="A223" t="s">
        <v>495</v>
      </c>
      <c r="B223" s="47">
        <f>SUMIFS(LS[Unit],LS[Investor ID],'TAX CERTIFICATE'!A223,LS[Date Value],"&lt;"&amp;$Z$2)+SUMIFS(SIP[Unit],SIP[Investor ID],'TAX CERTIFICATE'!A223,SIP[Date Value],"&lt;"&amp;$Z$2)</f>
        <v>20000</v>
      </c>
      <c r="C223" s="48">
        <f>(SUMIFS(LS[Amount],LS[B/S],"B",LS[Investor ID],A223,LS[Date Value],"&lt;"&amp;$Z$2)-SUMIFS(LS[Cost of Units Sold],LS[B/S],"S",LS[Investor ID],A223,LS[Date Value],"&lt;"&amp;$Z$2))+(SUMIFS(SIP[Amount],SIP[B/S],"B",SIP[Investor ID],#REF!,SIP[Date Value],"&lt;"&amp;$Z$2)-SUMIFS(SIP[Cost of Units Sold],SIP[B/S],"S",SIP[Investor ID],A223,SIP[Date Value],"&lt;"&amp;$Z$2))</f>
        <v>200000</v>
      </c>
      <c r="D223" s="49">
        <f t="shared" si="15"/>
        <v>205420.00000000003</v>
      </c>
      <c r="E223" s="49">
        <f t="shared" si="16"/>
        <v>5420.0000000000291</v>
      </c>
      <c r="F223" s="47">
        <f>SUMIFS(LS[Unit],LS[Investor ID],A223,LS[Date Value],"&lt;="&amp;$Z$3)+SUMIFS(SIP[Unit],SIP[Investor ID],A223,SIP[Date Value],"&lt;="&amp;$Z$3)</f>
        <v>0</v>
      </c>
      <c r="G223" s="49">
        <f>(SUMIFS(LS[Amount],LS[B/S],"B",LS[Investor ID],A223,LS[Date Value],"&lt;="&amp;$Z$3)-SUMIFS(LS[Cost of Units Sold],LS[B/S],"S",LS[Investor ID],A223,LS[Date Value],"&lt;="&amp;$Z$3))+(SUMIFS(SIP[Amount],SIP[B/S],"B",SIP[Investor ID],A223,SIP[Date Value],"&lt;="&amp;$Z$3)-SUMIFS(SIP[Cost of Units Sold],SIP[B/S],"S",SIP[Investor ID],A223,SIP[Date Value],"&lt;="&amp;$Z$3))</f>
        <v>0</v>
      </c>
      <c r="H223" s="49">
        <f t="shared" si="17"/>
        <v>0</v>
      </c>
      <c r="I223" s="49">
        <f t="shared" si="18"/>
        <v>0</v>
      </c>
      <c r="J223" s="47">
        <f>(SUMIFS(LS[Unit],LS[Investor ID],A223,LS[B/S],"B",LS[Date Value],"&gt;="&amp;$Z$2,LS[Date Value],"&lt;="&amp;$Z$3))+(SUMIFS(SIP[Unit],SIP[Investor ID],A223,SIP[B/S],"B",SIP[Date Value],"&gt;="&amp;$Z$2,SIP[Date Value],"&lt;="&amp;$Z$3))</f>
        <v>0</v>
      </c>
      <c r="K223" s="49">
        <f>(SUMIFS(LS[Amount],LS[Investor ID],A223,LS[B/S],"B",LS[Date Value],"&gt;="&amp;$Z$2,LS[Date Value],"&lt;="&amp;$Z$3))+(SUMIFS(SIP[Amount],SIP[Investor ID],A223,SIP[B/S],"B",SIP[Date Value],"&gt;="&amp;$Z$2,SIP[Date Value],"&lt;="&amp;$Z$3))</f>
        <v>0</v>
      </c>
      <c r="L223" s="47">
        <f>(-SUMIFS(LS[Unit],LS[Investor ID],A223,LS[B/S],"S",LS[Date Value],"&gt;="&amp;$Z$2,LS[Date Value],"&lt;="&amp;$Z$3))+(-SUMIFS(SIP[Unit],SIP[Investor ID],A223,SIP[B/S],"S",SIP[Date Value],"&gt;="&amp;$Z$2,SIP[Date Value],"&lt;="&amp;$Z$3))</f>
        <v>20000</v>
      </c>
      <c r="M223" s="49">
        <f>(SUMIFS(LS[Cost of Units Sold],LS[Investor ID],A223,LS[B/S],"S",LS[Date Value],"&gt;="&amp;$Z$2,LS[Date Value],"&lt;="&amp;$Z$3))+(SUMIFS(SIP[Cost of Units Sold],SIP[Investor ID],A223,SIP[B/S],"S",SIP[Date Value],"&gt;="&amp;$Z$2,SIP[Date Value],"&lt;="&amp;$Z$3))</f>
        <v>200000</v>
      </c>
      <c r="N223" s="49">
        <f t="shared" si="19"/>
        <v>-200000</v>
      </c>
      <c r="O223" s="49">
        <f>(SUMIFS(LS[Realized Gain],LS[Investor ID],A223,LS[Date Value],"&gt;="&amp;$Z$2,LS[Date Value],"&lt;="&amp;$Z$3))+(SUMIFS(SIP[Realized Gain],SIP[Investor ID],A223,SIP[Date Value],"&gt;="&amp;$Z$2,SIP[Date Value],"&lt;="&amp;$Z$3))</f>
        <v>9340.0000000000109</v>
      </c>
      <c r="P223" s="49">
        <v>0</v>
      </c>
      <c r="Q223" s="49">
        <v>0</v>
      </c>
      <c r="R223" s="49">
        <v>0</v>
      </c>
    </row>
    <row r="224" spans="1:18">
      <c r="A224" t="s">
        <v>497</v>
      </c>
      <c r="B224" s="47">
        <f>SUMIFS(LS[Unit],LS[Investor ID],'TAX CERTIFICATE'!A224,LS[Date Value],"&lt;"&amp;$Z$2)+SUMIFS(SIP[Unit],SIP[Investor ID],'TAX CERTIFICATE'!A224,SIP[Date Value],"&lt;"&amp;$Z$2)</f>
        <v>0</v>
      </c>
      <c r="C224" s="48">
        <f>(SUMIFS(LS[Amount],LS[B/S],"B",LS[Investor ID],A224,LS[Date Value],"&lt;"&amp;$Z$2)-SUMIFS(LS[Cost of Units Sold],LS[B/S],"S",LS[Investor ID],A224,LS[Date Value],"&lt;"&amp;$Z$2))+(SUMIFS(SIP[Amount],SIP[B/S],"B",SIP[Investor ID],#REF!,SIP[Date Value],"&lt;"&amp;$Z$2)-SUMIFS(SIP[Cost of Units Sold],SIP[B/S],"S",SIP[Investor ID],A224,SIP[Date Value],"&lt;"&amp;$Z$2))</f>
        <v>0</v>
      </c>
      <c r="D224" s="49">
        <f t="shared" si="15"/>
        <v>0</v>
      </c>
      <c r="E224" s="49">
        <f t="shared" si="16"/>
        <v>0</v>
      </c>
      <c r="F224" s="47">
        <f>SUMIFS(LS[Unit],LS[Investor ID],A224,LS[Date Value],"&lt;="&amp;$Z$3)+SUMIFS(SIP[Unit],SIP[Investor ID],A224,SIP[Date Value],"&lt;="&amp;$Z$3)</f>
        <v>1363</v>
      </c>
      <c r="G224" s="49">
        <f>(SUMIFS(LS[Amount],LS[B/S],"B",LS[Investor ID],A224,LS[Date Value],"&lt;="&amp;$Z$3)-SUMIFS(LS[Cost of Units Sold],LS[B/S],"S",LS[Investor ID],A224,LS[Date Value],"&lt;="&amp;$Z$3))+(SUMIFS(SIP[Amount],SIP[B/S],"B",SIP[Investor ID],A224,SIP[Date Value],"&lt;="&amp;$Z$3)-SUMIFS(SIP[Cost of Units Sold],SIP[B/S],"S",SIP[Investor ID],A224,SIP[Date Value],"&lt;="&amp;$Z$3))</f>
        <v>15000</v>
      </c>
      <c r="H224" s="49">
        <f t="shared" si="17"/>
        <v>15216.531999999999</v>
      </c>
      <c r="I224" s="49">
        <f t="shared" si="18"/>
        <v>216.53199999999924</v>
      </c>
      <c r="J224" s="47">
        <f>(SUMIFS(LS[Unit],LS[Investor ID],A224,LS[B/S],"B",LS[Date Value],"&gt;="&amp;$Z$2,LS[Date Value],"&lt;="&amp;$Z$3))+(SUMIFS(SIP[Unit],SIP[Investor ID],A224,SIP[B/S],"B",SIP[Date Value],"&gt;="&amp;$Z$2,SIP[Date Value],"&lt;="&amp;$Z$3))</f>
        <v>1363</v>
      </c>
      <c r="K224" s="49">
        <f>(SUMIFS(LS[Amount],LS[Investor ID],A224,LS[B/S],"B",LS[Date Value],"&gt;="&amp;$Z$2,LS[Date Value],"&lt;="&amp;$Z$3))+(SUMIFS(SIP[Amount],SIP[Investor ID],A224,SIP[B/S],"B",SIP[Date Value],"&gt;="&amp;$Z$2,SIP[Date Value],"&lt;="&amp;$Z$3))</f>
        <v>15000</v>
      </c>
      <c r="L224" s="47">
        <f>(-SUMIFS(LS[Unit],LS[Investor ID],A224,LS[B/S],"S",LS[Date Value],"&gt;="&amp;$Z$2,LS[Date Value],"&lt;="&amp;$Z$3))+(-SUMIFS(SIP[Unit],SIP[Investor ID],A224,SIP[B/S],"S",SIP[Date Value],"&gt;="&amp;$Z$2,SIP[Date Value],"&lt;="&amp;$Z$3))</f>
        <v>0</v>
      </c>
      <c r="M224" s="49">
        <f>(SUMIFS(LS[Cost of Units Sold],LS[Investor ID],A224,LS[B/S],"S",LS[Date Value],"&gt;="&amp;$Z$2,LS[Date Value],"&lt;="&amp;$Z$3))+(SUMIFS(SIP[Cost of Units Sold],SIP[Investor ID],A224,SIP[B/S],"S",SIP[Date Value],"&gt;="&amp;$Z$2,SIP[Date Value],"&lt;="&amp;$Z$3))</f>
        <v>0</v>
      </c>
      <c r="N224" s="49">
        <f t="shared" si="19"/>
        <v>15000</v>
      </c>
      <c r="O224" s="49">
        <f>(SUMIFS(LS[Realized Gain],LS[Investor ID],A224,LS[Date Value],"&gt;="&amp;$Z$2,LS[Date Value],"&lt;="&amp;$Z$3))+(SUMIFS(SIP[Realized Gain],SIP[Investor ID],A224,SIP[Date Value],"&gt;="&amp;$Z$2,SIP[Date Value],"&lt;="&amp;$Z$3))</f>
        <v>0</v>
      </c>
      <c r="P224" s="49">
        <v>0</v>
      </c>
      <c r="Q224" s="49">
        <v>0</v>
      </c>
      <c r="R224" s="49">
        <v>0</v>
      </c>
    </row>
    <row r="225" spans="1:18">
      <c r="A225" t="s">
        <v>499</v>
      </c>
      <c r="B225" s="47">
        <f>SUMIFS(LS[Unit],LS[Investor ID],'TAX CERTIFICATE'!A225,LS[Date Value],"&lt;"&amp;$Z$2)+SUMIFS(SIP[Unit],SIP[Investor ID],'TAX CERTIFICATE'!A225,SIP[Date Value],"&lt;"&amp;$Z$2)</f>
        <v>0</v>
      </c>
      <c r="C225" s="48">
        <f>(SUMIFS(LS[Amount],LS[B/S],"B",LS[Investor ID],A225,LS[Date Value],"&lt;"&amp;$Z$2)-SUMIFS(LS[Cost of Units Sold],LS[B/S],"S",LS[Investor ID],A225,LS[Date Value],"&lt;"&amp;$Z$2))+(SUMIFS(SIP[Amount],SIP[B/S],"B",SIP[Investor ID],#REF!,SIP[Date Value],"&lt;"&amp;$Z$2)-SUMIFS(SIP[Cost of Units Sold],SIP[B/S],"S",SIP[Investor ID],A225,SIP[Date Value],"&lt;"&amp;$Z$2))</f>
        <v>0</v>
      </c>
      <c r="D225" s="49">
        <f t="shared" si="15"/>
        <v>0</v>
      </c>
      <c r="E225" s="49">
        <f t="shared" si="16"/>
        <v>0</v>
      </c>
      <c r="F225" s="47">
        <f>SUMIFS(LS[Unit],LS[Investor ID],A225,LS[Date Value],"&lt;="&amp;$Z$3)+SUMIFS(SIP[Unit],SIP[Investor ID],A225,SIP[Date Value],"&lt;="&amp;$Z$3)</f>
        <v>0</v>
      </c>
      <c r="G225" s="49">
        <f>(SUMIFS(LS[Amount],LS[B/S],"B",LS[Investor ID],A225,LS[Date Value],"&lt;="&amp;$Z$3)-SUMIFS(LS[Cost of Units Sold],LS[B/S],"S",LS[Investor ID],A225,LS[Date Value],"&lt;="&amp;$Z$3))+(SUMIFS(SIP[Amount],SIP[B/S],"B",SIP[Investor ID],A225,SIP[Date Value],"&lt;="&amp;$Z$3)-SUMIFS(SIP[Cost of Units Sold],SIP[B/S],"S",SIP[Investor ID],A225,SIP[Date Value],"&lt;="&amp;$Z$3))</f>
        <v>0</v>
      </c>
      <c r="H225" s="49">
        <f t="shared" si="17"/>
        <v>0</v>
      </c>
      <c r="I225" s="49">
        <f t="shared" si="18"/>
        <v>0</v>
      </c>
      <c r="J225" s="47">
        <f>(SUMIFS(LS[Unit],LS[Investor ID],A225,LS[B/S],"B",LS[Date Value],"&gt;="&amp;$Z$2,LS[Date Value],"&lt;="&amp;$Z$3))+(SUMIFS(SIP[Unit],SIP[Investor ID],A225,SIP[B/S],"B",SIP[Date Value],"&gt;="&amp;$Z$2,SIP[Date Value],"&lt;="&amp;$Z$3))</f>
        <v>0</v>
      </c>
      <c r="K225" s="49">
        <f>(SUMIFS(LS[Amount],LS[Investor ID],A225,LS[B/S],"B",LS[Date Value],"&gt;="&amp;$Z$2,LS[Date Value],"&lt;="&amp;$Z$3))+(SUMIFS(SIP[Amount],SIP[Investor ID],A225,SIP[B/S],"B",SIP[Date Value],"&gt;="&amp;$Z$2,SIP[Date Value],"&lt;="&amp;$Z$3))</f>
        <v>0</v>
      </c>
      <c r="L225" s="47">
        <f>(-SUMIFS(LS[Unit],LS[Investor ID],A225,LS[B/S],"S",LS[Date Value],"&gt;="&amp;$Z$2,LS[Date Value],"&lt;="&amp;$Z$3))+(-SUMIFS(SIP[Unit],SIP[Investor ID],A225,SIP[B/S],"S",SIP[Date Value],"&gt;="&amp;$Z$2,SIP[Date Value],"&lt;="&amp;$Z$3))</f>
        <v>0</v>
      </c>
      <c r="M225" s="49">
        <f>(SUMIFS(LS[Cost of Units Sold],LS[Investor ID],A225,LS[B/S],"S",LS[Date Value],"&gt;="&amp;$Z$2,LS[Date Value],"&lt;="&amp;$Z$3))+(SUMIFS(SIP[Cost of Units Sold],SIP[Investor ID],A225,SIP[B/S],"S",SIP[Date Value],"&gt;="&amp;$Z$2,SIP[Date Value],"&lt;="&amp;$Z$3))</f>
        <v>0</v>
      </c>
      <c r="N225" s="49">
        <f t="shared" si="19"/>
        <v>0</v>
      </c>
      <c r="O225" s="49">
        <f>(SUMIFS(LS[Realized Gain],LS[Investor ID],A225,LS[Date Value],"&gt;="&amp;$Z$2,LS[Date Value],"&lt;="&amp;$Z$3))+(SUMIFS(SIP[Realized Gain],SIP[Investor ID],A225,SIP[Date Value],"&gt;="&amp;$Z$2,SIP[Date Value],"&lt;="&amp;$Z$3))</f>
        <v>0</v>
      </c>
      <c r="P225" s="49">
        <v>0</v>
      </c>
      <c r="Q225" s="49">
        <v>0</v>
      </c>
      <c r="R225" s="49">
        <v>0</v>
      </c>
    </row>
    <row r="226" spans="1:18">
      <c r="A226" t="s">
        <v>501</v>
      </c>
      <c r="B226" s="47">
        <f>SUMIFS(LS[Unit],LS[Investor ID],'TAX CERTIFICATE'!A226,LS[Date Value],"&lt;"&amp;$Z$2)+SUMIFS(SIP[Unit],SIP[Investor ID],'TAX CERTIFICATE'!A226,SIP[Date Value],"&lt;"&amp;$Z$2)</f>
        <v>0</v>
      </c>
      <c r="C226" s="48">
        <f>(SUMIFS(LS[Amount],LS[B/S],"B",LS[Investor ID],A226,LS[Date Value],"&lt;"&amp;$Z$2)-SUMIFS(LS[Cost of Units Sold],LS[B/S],"S",LS[Investor ID],A226,LS[Date Value],"&lt;"&amp;$Z$2))+(SUMIFS(SIP[Amount],SIP[B/S],"B",SIP[Investor ID],#REF!,SIP[Date Value],"&lt;"&amp;$Z$2)-SUMIFS(SIP[Cost of Units Sold],SIP[B/S],"S",SIP[Investor ID],A226,SIP[Date Value],"&lt;"&amp;$Z$2))</f>
        <v>0</v>
      </c>
      <c r="D226" s="49">
        <f t="shared" si="15"/>
        <v>0</v>
      </c>
      <c r="E226" s="49">
        <f t="shared" si="16"/>
        <v>0</v>
      </c>
      <c r="F226" s="47">
        <f>SUMIFS(LS[Unit],LS[Investor ID],A226,LS[Date Value],"&lt;="&amp;$Z$3)+SUMIFS(SIP[Unit],SIP[Investor ID],A226,SIP[Date Value],"&lt;="&amp;$Z$3)</f>
        <v>0</v>
      </c>
      <c r="G226" s="49">
        <f>(SUMIFS(LS[Amount],LS[B/S],"B",LS[Investor ID],A226,LS[Date Value],"&lt;="&amp;$Z$3)-SUMIFS(LS[Cost of Units Sold],LS[B/S],"S",LS[Investor ID],A226,LS[Date Value],"&lt;="&amp;$Z$3))+(SUMIFS(SIP[Amount],SIP[B/S],"B",SIP[Investor ID],A226,SIP[Date Value],"&lt;="&amp;$Z$3)-SUMIFS(SIP[Cost of Units Sold],SIP[B/S],"S",SIP[Investor ID],A226,SIP[Date Value],"&lt;="&amp;$Z$3))</f>
        <v>0</v>
      </c>
      <c r="H226" s="49">
        <f t="shared" si="17"/>
        <v>0</v>
      </c>
      <c r="I226" s="49">
        <f t="shared" si="18"/>
        <v>0</v>
      </c>
      <c r="J226" s="47">
        <f>(SUMIFS(LS[Unit],LS[Investor ID],A226,LS[B/S],"B",LS[Date Value],"&gt;="&amp;$Z$2,LS[Date Value],"&lt;="&amp;$Z$3))+(SUMIFS(SIP[Unit],SIP[Investor ID],A226,SIP[B/S],"B",SIP[Date Value],"&gt;="&amp;$Z$2,SIP[Date Value],"&lt;="&amp;$Z$3))</f>
        <v>0</v>
      </c>
      <c r="K226" s="49">
        <f>(SUMIFS(LS[Amount],LS[Investor ID],A226,LS[B/S],"B",LS[Date Value],"&gt;="&amp;$Z$2,LS[Date Value],"&lt;="&amp;$Z$3))+(SUMIFS(SIP[Amount],SIP[Investor ID],A226,SIP[B/S],"B",SIP[Date Value],"&gt;="&amp;$Z$2,SIP[Date Value],"&lt;="&amp;$Z$3))</f>
        <v>0</v>
      </c>
      <c r="L226" s="47">
        <f>(-SUMIFS(LS[Unit],LS[Investor ID],A226,LS[B/S],"S",LS[Date Value],"&gt;="&amp;$Z$2,LS[Date Value],"&lt;="&amp;$Z$3))+(-SUMIFS(SIP[Unit],SIP[Investor ID],A226,SIP[B/S],"S",SIP[Date Value],"&gt;="&amp;$Z$2,SIP[Date Value],"&lt;="&amp;$Z$3))</f>
        <v>0</v>
      </c>
      <c r="M226" s="49">
        <f>(SUMIFS(LS[Cost of Units Sold],LS[Investor ID],A226,LS[B/S],"S",LS[Date Value],"&gt;="&amp;$Z$2,LS[Date Value],"&lt;="&amp;$Z$3))+(SUMIFS(SIP[Cost of Units Sold],SIP[Investor ID],A226,SIP[B/S],"S",SIP[Date Value],"&gt;="&amp;$Z$2,SIP[Date Value],"&lt;="&amp;$Z$3))</f>
        <v>0</v>
      </c>
      <c r="N226" s="49">
        <f t="shared" si="19"/>
        <v>0</v>
      </c>
      <c r="O226" s="49">
        <f>(SUMIFS(LS[Realized Gain],LS[Investor ID],A226,LS[Date Value],"&gt;="&amp;$Z$2,LS[Date Value],"&lt;="&amp;$Z$3))+(SUMIFS(SIP[Realized Gain],SIP[Investor ID],A226,SIP[Date Value],"&gt;="&amp;$Z$2,SIP[Date Value],"&lt;="&amp;$Z$3))</f>
        <v>0</v>
      </c>
      <c r="P226" s="49">
        <v>0</v>
      </c>
      <c r="Q226" s="49">
        <v>0</v>
      </c>
      <c r="R226" s="49">
        <v>0</v>
      </c>
    </row>
    <row r="227" spans="1:18">
      <c r="A227" t="s">
        <v>503</v>
      </c>
      <c r="B227" s="47">
        <f>SUMIFS(LS[Unit],LS[Investor ID],'TAX CERTIFICATE'!A227,LS[Date Value],"&lt;"&amp;$Z$2)+SUMIFS(SIP[Unit],SIP[Investor ID],'TAX CERTIFICATE'!A227,SIP[Date Value],"&lt;"&amp;$Z$2)</f>
        <v>0</v>
      </c>
      <c r="C227" s="48">
        <f>(SUMIFS(LS[Amount],LS[B/S],"B",LS[Investor ID],A227,LS[Date Value],"&lt;"&amp;$Z$2)-SUMIFS(LS[Cost of Units Sold],LS[B/S],"S",LS[Investor ID],A227,LS[Date Value],"&lt;"&amp;$Z$2))+(SUMIFS(SIP[Amount],SIP[B/S],"B",SIP[Investor ID],#REF!,SIP[Date Value],"&lt;"&amp;$Z$2)-SUMIFS(SIP[Cost of Units Sold],SIP[B/S],"S",SIP[Investor ID],A227,SIP[Date Value],"&lt;"&amp;$Z$2))</f>
        <v>0</v>
      </c>
      <c r="D227" s="49">
        <f t="shared" si="15"/>
        <v>0</v>
      </c>
      <c r="E227" s="49">
        <f t="shared" si="16"/>
        <v>0</v>
      </c>
      <c r="F227" s="47">
        <f>SUMIFS(LS[Unit],LS[Investor ID],A227,LS[Date Value],"&lt;="&amp;$Z$3)+SUMIFS(SIP[Unit],SIP[Investor ID],A227,SIP[Date Value],"&lt;="&amp;$Z$3)</f>
        <v>0</v>
      </c>
      <c r="G227" s="49">
        <f>(SUMIFS(LS[Amount],LS[B/S],"B",LS[Investor ID],A227,LS[Date Value],"&lt;="&amp;$Z$3)-SUMIFS(LS[Cost of Units Sold],LS[B/S],"S",LS[Investor ID],A227,LS[Date Value],"&lt;="&amp;$Z$3))+(SUMIFS(SIP[Amount],SIP[B/S],"B",SIP[Investor ID],A227,SIP[Date Value],"&lt;="&amp;$Z$3)-SUMIFS(SIP[Cost of Units Sold],SIP[B/S],"S",SIP[Investor ID],A227,SIP[Date Value],"&lt;="&amp;$Z$3))</f>
        <v>0</v>
      </c>
      <c r="H227" s="49">
        <f t="shared" si="17"/>
        <v>0</v>
      </c>
      <c r="I227" s="49">
        <f t="shared" si="18"/>
        <v>0</v>
      </c>
      <c r="J227" s="47">
        <f>(SUMIFS(LS[Unit],LS[Investor ID],A227,LS[B/S],"B",LS[Date Value],"&gt;="&amp;$Z$2,LS[Date Value],"&lt;="&amp;$Z$3))+(SUMIFS(SIP[Unit],SIP[Investor ID],A227,SIP[B/S],"B",SIP[Date Value],"&gt;="&amp;$Z$2,SIP[Date Value],"&lt;="&amp;$Z$3))</f>
        <v>0</v>
      </c>
      <c r="K227" s="49">
        <f>(SUMIFS(LS[Amount],LS[Investor ID],A227,LS[B/S],"B",LS[Date Value],"&gt;="&amp;$Z$2,LS[Date Value],"&lt;="&amp;$Z$3))+(SUMIFS(SIP[Amount],SIP[Investor ID],A227,SIP[B/S],"B",SIP[Date Value],"&gt;="&amp;$Z$2,SIP[Date Value],"&lt;="&amp;$Z$3))</f>
        <v>0</v>
      </c>
      <c r="L227" s="47">
        <f>(-SUMIFS(LS[Unit],LS[Investor ID],A227,LS[B/S],"S",LS[Date Value],"&gt;="&amp;$Z$2,LS[Date Value],"&lt;="&amp;$Z$3))+(-SUMIFS(SIP[Unit],SIP[Investor ID],A227,SIP[B/S],"S",SIP[Date Value],"&gt;="&amp;$Z$2,SIP[Date Value],"&lt;="&amp;$Z$3))</f>
        <v>0</v>
      </c>
      <c r="M227" s="49">
        <f>(SUMIFS(LS[Cost of Units Sold],LS[Investor ID],A227,LS[B/S],"S",LS[Date Value],"&gt;="&amp;$Z$2,LS[Date Value],"&lt;="&amp;$Z$3))+(SUMIFS(SIP[Cost of Units Sold],SIP[Investor ID],A227,SIP[B/S],"S",SIP[Date Value],"&gt;="&amp;$Z$2,SIP[Date Value],"&lt;="&amp;$Z$3))</f>
        <v>0</v>
      </c>
      <c r="N227" s="49">
        <f t="shared" si="19"/>
        <v>0</v>
      </c>
      <c r="O227" s="49">
        <f>(SUMIFS(LS[Realized Gain],LS[Investor ID],A227,LS[Date Value],"&gt;="&amp;$Z$2,LS[Date Value],"&lt;="&amp;$Z$3))+(SUMIFS(SIP[Realized Gain],SIP[Investor ID],A227,SIP[Date Value],"&gt;="&amp;$Z$2,SIP[Date Value],"&lt;="&amp;$Z$3))</f>
        <v>0</v>
      </c>
      <c r="P227" s="49">
        <v>0</v>
      </c>
      <c r="Q227" s="49">
        <v>0</v>
      </c>
      <c r="R227" s="49">
        <v>0</v>
      </c>
    </row>
    <row r="228" spans="1:18">
      <c r="A228" t="s">
        <v>505</v>
      </c>
      <c r="B228" s="47">
        <f>SUMIFS(LS[Unit],LS[Investor ID],'TAX CERTIFICATE'!A228,LS[Date Value],"&lt;"&amp;$Z$2)+SUMIFS(SIP[Unit],SIP[Investor ID],'TAX CERTIFICATE'!A228,SIP[Date Value],"&lt;"&amp;$Z$2)</f>
        <v>0</v>
      </c>
      <c r="C228" s="48">
        <f>(SUMIFS(LS[Amount],LS[B/S],"B",LS[Investor ID],A228,LS[Date Value],"&lt;"&amp;$Z$2)-SUMIFS(LS[Cost of Units Sold],LS[B/S],"S",LS[Investor ID],A228,LS[Date Value],"&lt;"&amp;$Z$2))+(SUMIFS(SIP[Amount],SIP[B/S],"B",SIP[Investor ID],#REF!,SIP[Date Value],"&lt;"&amp;$Z$2)-SUMIFS(SIP[Cost of Units Sold],SIP[B/S],"S",SIP[Investor ID],A228,SIP[Date Value],"&lt;"&amp;$Z$2))</f>
        <v>0</v>
      </c>
      <c r="D228" s="49">
        <f t="shared" si="15"/>
        <v>0</v>
      </c>
      <c r="E228" s="49">
        <f t="shared" si="16"/>
        <v>0</v>
      </c>
      <c r="F228" s="47">
        <f>SUMIFS(LS[Unit],LS[Investor ID],A228,LS[Date Value],"&lt;="&amp;$Z$3)+SUMIFS(SIP[Unit],SIP[Investor ID],A228,SIP[Date Value],"&lt;="&amp;$Z$3)</f>
        <v>0</v>
      </c>
      <c r="G228" s="49">
        <f>(SUMIFS(LS[Amount],LS[B/S],"B",LS[Investor ID],A228,LS[Date Value],"&lt;="&amp;$Z$3)-SUMIFS(LS[Cost of Units Sold],LS[B/S],"S",LS[Investor ID],A228,LS[Date Value],"&lt;="&amp;$Z$3))+(SUMIFS(SIP[Amount],SIP[B/S],"B",SIP[Investor ID],A228,SIP[Date Value],"&lt;="&amp;$Z$3)-SUMIFS(SIP[Cost of Units Sold],SIP[B/S],"S",SIP[Investor ID],A228,SIP[Date Value],"&lt;="&amp;$Z$3))</f>
        <v>0</v>
      </c>
      <c r="H228" s="49">
        <f t="shared" si="17"/>
        <v>0</v>
      </c>
      <c r="I228" s="49">
        <f t="shared" si="18"/>
        <v>0</v>
      </c>
      <c r="J228" s="47">
        <f>(SUMIFS(LS[Unit],LS[Investor ID],A228,LS[B/S],"B",LS[Date Value],"&gt;="&amp;$Z$2,LS[Date Value],"&lt;="&amp;$Z$3))+(SUMIFS(SIP[Unit],SIP[Investor ID],A228,SIP[B/S],"B",SIP[Date Value],"&gt;="&amp;$Z$2,SIP[Date Value],"&lt;="&amp;$Z$3))</f>
        <v>0</v>
      </c>
      <c r="K228" s="49">
        <f>(SUMIFS(LS[Amount],LS[Investor ID],A228,LS[B/S],"B",LS[Date Value],"&gt;="&amp;$Z$2,LS[Date Value],"&lt;="&amp;$Z$3))+(SUMIFS(SIP[Amount],SIP[Investor ID],A228,SIP[B/S],"B",SIP[Date Value],"&gt;="&amp;$Z$2,SIP[Date Value],"&lt;="&amp;$Z$3))</f>
        <v>0</v>
      </c>
      <c r="L228" s="47">
        <f>(-SUMIFS(LS[Unit],LS[Investor ID],A228,LS[B/S],"S",LS[Date Value],"&gt;="&amp;$Z$2,LS[Date Value],"&lt;="&amp;$Z$3))+(-SUMIFS(SIP[Unit],SIP[Investor ID],A228,SIP[B/S],"S",SIP[Date Value],"&gt;="&amp;$Z$2,SIP[Date Value],"&lt;="&amp;$Z$3))</f>
        <v>0</v>
      </c>
      <c r="M228" s="49">
        <f>(SUMIFS(LS[Cost of Units Sold],LS[Investor ID],A228,LS[B/S],"S",LS[Date Value],"&gt;="&amp;$Z$2,LS[Date Value],"&lt;="&amp;$Z$3))+(SUMIFS(SIP[Cost of Units Sold],SIP[Investor ID],A228,SIP[B/S],"S",SIP[Date Value],"&gt;="&amp;$Z$2,SIP[Date Value],"&lt;="&amp;$Z$3))</f>
        <v>0</v>
      </c>
      <c r="N228" s="49">
        <f t="shared" si="19"/>
        <v>0</v>
      </c>
      <c r="O228" s="49">
        <f>(SUMIFS(LS[Realized Gain],LS[Investor ID],A228,LS[Date Value],"&gt;="&amp;$Z$2,LS[Date Value],"&lt;="&amp;$Z$3))+(SUMIFS(SIP[Realized Gain],SIP[Investor ID],A228,SIP[Date Value],"&gt;="&amp;$Z$2,SIP[Date Value],"&lt;="&amp;$Z$3))</f>
        <v>0</v>
      </c>
      <c r="P228" s="49">
        <v>0</v>
      </c>
      <c r="Q228" s="49">
        <v>0</v>
      </c>
      <c r="R228" s="49">
        <v>0</v>
      </c>
    </row>
    <row r="229" spans="1:18">
      <c r="A229" t="s">
        <v>507</v>
      </c>
      <c r="B229" s="47">
        <f>SUMIFS(LS[Unit],LS[Investor ID],'TAX CERTIFICATE'!A229,LS[Date Value],"&lt;"&amp;$Z$2)+SUMIFS(SIP[Unit],SIP[Investor ID],'TAX CERTIFICATE'!A229,SIP[Date Value],"&lt;"&amp;$Z$2)</f>
        <v>0</v>
      </c>
      <c r="C229" s="48">
        <f>(SUMIFS(LS[Amount],LS[B/S],"B",LS[Investor ID],A229,LS[Date Value],"&lt;"&amp;$Z$2)-SUMIFS(LS[Cost of Units Sold],LS[B/S],"S",LS[Investor ID],A229,LS[Date Value],"&lt;"&amp;$Z$2))+(SUMIFS(SIP[Amount],SIP[B/S],"B",SIP[Investor ID],#REF!,SIP[Date Value],"&lt;"&amp;$Z$2)-SUMIFS(SIP[Cost of Units Sold],SIP[B/S],"S",SIP[Investor ID],A229,SIP[Date Value],"&lt;"&amp;$Z$2))</f>
        <v>0</v>
      </c>
      <c r="D229" s="49">
        <f t="shared" si="15"/>
        <v>0</v>
      </c>
      <c r="E229" s="49">
        <f t="shared" si="16"/>
        <v>0</v>
      </c>
      <c r="F229" s="47">
        <f>SUMIFS(LS[Unit],LS[Investor ID],A229,LS[Date Value],"&lt;="&amp;$Z$3)+SUMIFS(SIP[Unit],SIP[Investor ID],A229,SIP[Date Value],"&lt;="&amp;$Z$3)</f>
        <v>0</v>
      </c>
      <c r="G229" s="49">
        <f>(SUMIFS(LS[Amount],LS[B/S],"B",LS[Investor ID],A229,LS[Date Value],"&lt;="&amp;$Z$3)-SUMIFS(LS[Cost of Units Sold],LS[B/S],"S",LS[Investor ID],A229,LS[Date Value],"&lt;="&amp;$Z$3))+(SUMIFS(SIP[Amount],SIP[B/S],"B",SIP[Investor ID],A229,SIP[Date Value],"&lt;="&amp;$Z$3)-SUMIFS(SIP[Cost of Units Sold],SIP[B/S],"S",SIP[Investor ID],A229,SIP[Date Value],"&lt;="&amp;$Z$3))</f>
        <v>0</v>
      </c>
      <c r="H229" s="49">
        <f t="shared" si="17"/>
        <v>0</v>
      </c>
      <c r="I229" s="49">
        <f t="shared" si="18"/>
        <v>0</v>
      </c>
      <c r="J229" s="47">
        <f>(SUMIFS(LS[Unit],LS[Investor ID],A229,LS[B/S],"B",LS[Date Value],"&gt;="&amp;$Z$2,LS[Date Value],"&lt;="&amp;$Z$3))+(SUMIFS(SIP[Unit],SIP[Investor ID],A229,SIP[B/S],"B",SIP[Date Value],"&gt;="&amp;$Z$2,SIP[Date Value],"&lt;="&amp;$Z$3))</f>
        <v>0</v>
      </c>
      <c r="K229" s="49">
        <f>(SUMIFS(LS[Amount],LS[Investor ID],A229,LS[B/S],"B",LS[Date Value],"&gt;="&amp;$Z$2,LS[Date Value],"&lt;="&amp;$Z$3))+(SUMIFS(SIP[Amount],SIP[Investor ID],A229,SIP[B/S],"B",SIP[Date Value],"&gt;="&amp;$Z$2,SIP[Date Value],"&lt;="&amp;$Z$3))</f>
        <v>0</v>
      </c>
      <c r="L229" s="47">
        <f>(-SUMIFS(LS[Unit],LS[Investor ID],A229,LS[B/S],"S",LS[Date Value],"&gt;="&amp;$Z$2,LS[Date Value],"&lt;="&amp;$Z$3))+(-SUMIFS(SIP[Unit],SIP[Investor ID],A229,SIP[B/S],"S",SIP[Date Value],"&gt;="&amp;$Z$2,SIP[Date Value],"&lt;="&amp;$Z$3))</f>
        <v>0</v>
      </c>
      <c r="M229" s="49">
        <f>(SUMIFS(LS[Cost of Units Sold],LS[Investor ID],A229,LS[B/S],"S",LS[Date Value],"&gt;="&amp;$Z$2,LS[Date Value],"&lt;="&amp;$Z$3))+(SUMIFS(SIP[Cost of Units Sold],SIP[Investor ID],A229,SIP[B/S],"S",SIP[Date Value],"&gt;="&amp;$Z$2,SIP[Date Value],"&lt;="&amp;$Z$3))</f>
        <v>0</v>
      </c>
      <c r="N229" s="49">
        <f t="shared" si="19"/>
        <v>0</v>
      </c>
      <c r="O229" s="49">
        <f>(SUMIFS(LS[Realized Gain],LS[Investor ID],A229,LS[Date Value],"&gt;="&amp;$Z$2,LS[Date Value],"&lt;="&amp;$Z$3))+(SUMIFS(SIP[Realized Gain],SIP[Investor ID],A229,SIP[Date Value],"&gt;="&amp;$Z$2,SIP[Date Value],"&lt;="&amp;$Z$3))</f>
        <v>0</v>
      </c>
      <c r="P229" s="49">
        <v>0</v>
      </c>
      <c r="Q229" s="49">
        <v>0</v>
      </c>
      <c r="R229" s="49">
        <v>0</v>
      </c>
    </row>
    <row r="230" spans="1:18">
      <c r="A230" t="s">
        <v>509</v>
      </c>
      <c r="B230" s="47">
        <f>SUMIFS(LS[Unit],LS[Investor ID],'TAX CERTIFICATE'!A230,LS[Date Value],"&lt;"&amp;$Z$2)+SUMIFS(SIP[Unit],SIP[Investor ID],'TAX CERTIFICATE'!A230,SIP[Date Value],"&lt;"&amp;$Z$2)</f>
        <v>0</v>
      </c>
      <c r="C230" s="48">
        <f>(SUMIFS(LS[Amount],LS[B/S],"B",LS[Investor ID],A230,LS[Date Value],"&lt;"&amp;$Z$2)-SUMIFS(LS[Cost of Units Sold],LS[B/S],"S",LS[Investor ID],A230,LS[Date Value],"&lt;"&amp;$Z$2))+(SUMIFS(SIP[Amount],SIP[B/S],"B",SIP[Investor ID],#REF!,SIP[Date Value],"&lt;"&amp;$Z$2)-SUMIFS(SIP[Cost of Units Sold],SIP[B/S],"S",SIP[Investor ID],A230,SIP[Date Value],"&lt;"&amp;$Z$2))</f>
        <v>0</v>
      </c>
      <c r="D230" s="49">
        <f t="shared" si="15"/>
        <v>0</v>
      </c>
      <c r="E230" s="49">
        <f t="shared" si="16"/>
        <v>0</v>
      </c>
      <c r="F230" s="47">
        <f>SUMIFS(LS[Unit],LS[Investor ID],A230,LS[Date Value],"&lt;="&amp;$Z$3)+SUMIFS(SIP[Unit],SIP[Investor ID],A230,SIP[Date Value],"&lt;="&amp;$Z$3)</f>
        <v>0</v>
      </c>
      <c r="G230" s="49">
        <f>(SUMIFS(LS[Amount],LS[B/S],"B",LS[Investor ID],A230,LS[Date Value],"&lt;="&amp;$Z$3)-SUMIFS(LS[Cost of Units Sold],LS[B/S],"S",LS[Investor ID],A230,LS[Date Value],"&lt;="&amp;$Z$3))+(SUMIFS(SIP[Amount],SIP[B/S],"B",SIP[Investor ID],A230,SIP[Date Value],"&lt;="&amp;$Z$3)-SUMIFS(SIP[Cost of Units Sold],SIP[B/S],"S",SIP[Investor ID],A230,SIP[Date Value],"&lt;="&amp;$Z$3))</f>
        <v>0</v>
      </c>
      <c r="H230" s="49">
        <f t="shared" si="17"/>
        <v>0</v>
      </c>
      <c r="I230" s="49">
        <f t="shared" si="18"/>
        <v>0</v>
      </c>
      <c r="J230" s="47">
        <f>(SUMIFS(LS[Unit],LS[Investor ID],A230,LS[B/S],"B",LS[Date Value],"&gt;="&amp;$Z$2,LS[Date Value],"&lt;="&amp;$Z$3))+(SUMIFS(SIP[Unit],SIP[Investor ID],A230,SIP[B/S],"B",SIP[Date Value],"&gt;="&amp;$Z$2,SIP[Date Value],"&lt;="&amp;$Z$3))</f>
        <v>0</v>
      </c>
      <c r="K230" s="49">
        <f>(SUMIFS(LS[Amount],LS[Investor ID],A230,LS[B/S],"B",LS[Date Value],"&gt;="&amp;$Z$2,LS[Date Value],"&lt;="&amp;$Z$3))+(SUMIFS(SIP[Amount],SIP[Investor ID],A230,SIP[B/S],"B",SIP[Date Value],"&gt;="&amp;$Z$2,SIP[Date Value],"&lt;="&amp;$Z$3))</f>
        <v>0</v>
      </c>
      <c r="L230" s="47">
        <f>(-SUMIFS(LS[Unit],LS[Investor ID],A230,LS[B/S],"S",LS[Date Value],"&gt;="&amp;$Z$2,LS[Date Value],"&lt;="&amp;$Z$3))+(-SUMIFS(SIP[Unit],SIP[Investor ID],A230,SIP[B/S],"S",SIP[Date Value],"&gt;="&amp;$Z$2,SIP[Date Value],"&lt;="&amp;$Z$3))</f>
        <v>0</v>
      </c>
      <c r="M230" s="49">
        <f>(SUMIFS(LS[Cost of Units Sold],LS[Investor ID],A230,LS[B/S],"S",LS[Date Value],"&gt;="&amp;$Z$2,LS[Date Value],"&lt;="&amp;$Z$3))+(SUMIFS(SIP[Cost of Units Sold],SIP[Investor ID],A230,SIP[B/S],"S",SIP[Date Value],"&gt;="&amp;$Z$2,SIP[Date Value],"&lt;="&amp;$Z$3))</f>
        <v>0</v>
      </c>
      <c r="N230" s="49">
        <f t="shared" si="19"/>
        <v>0</v>
      </c>
      <c r="O230" s="49">
        <f>(SUMIFS(LS[Realized Gain],LS[Investor ID],A230,LS[Date Value],"&gt;="&amp;$Z$2,LS[Date Value],"&lt;="&amp;$Z$3))+(SUMIFS(SIP[Realized Gain],SIP[Investor ID],A230,SIP[Date Value],"&gt;="&amp;$Z$2,SIP[Date Value],"&lt;="&amp;$Z$3))</f>
        <v>0</v>
      </c>
      <c r="P230" s="49">
        <v>0</v>
      </c>
      <c r="Q230" s="49">
        <v>0</v>
      </c>
      <c r="R230" s="49">
        <v>0</v>
      </c>
    </row>
    <row r="231" spans="1:18">
      <c r="A231" t="s">
        <v>511</v>
      </c>
      <c r="B231" s="47">
        <f>SUMIFS(LS[Unit],LS[Investor ID],'TAX CERTIFICATE'!A231,LS[Date Value],"&lt;"&amp;$Z$2)+SUMIFS(SIP[Unit],SIP[Investor ID],'TAX CERTIFICATE'!A231,SIP[Date Value],"&lt;"&amp;$Z$2)</f>
        <v>100000</v>
      </c>
      <c r="C231" s="48">
        <f>(SUMIFS(LS[Amount],LS[B/S],"B",LS[Investor ID],A231,LS[Date Value],"&lt;"&amp;$Z$2)-SUMIFS(LS[Cost of Units Sold],LS[B/S],"S",LS[Investor ID],A231,LS[Date Value],"&lt;"&amp;$Z$2))+(SUMIFS(SIP[Amount],SIP[B/S],"B",SIP[Investor ID],#REF!,SIP[Date Value],"&lt;"&amp;$Z$2)-SUMIFS(SIP[Cost of Units Sold],SIP[B/S],"S",SIP[Investor ID],A231,SIP[Date Value],"&lt;"&amp;$Z$2))</f>
        <v>1000000</v>
      </c>
      <c r="D231" s="49">
        <f t="shared" si="15"/>
        <v>1027100.0000000001</v>
      </c>
      <c r="E231" s="49">
        <f t="shared" si="16"/>
        <v>27100.000000000116</v>
      </c>
      <c r="F231" s="47">
        <f>SUMIFS(LS[Unit],LS[Investor ID],A231,LS[Date Value],"&lt;="&amp;$Z$3)+SUMIFS(SIP[Unit],SIP[Investor ID],A231,SIP[Date Value],"&lt;="&amp;$Z$3)</f>
        <v>209854</v>
      </c>
      <c r="G231" s="49">
        <f>(SUMIFS(LS[Amount],LS[B/S],"B",LS[Investor ID],A231,LS[Date Value],"&lt;="&amp;$Z$3)-SUMIFS(LS[Cost of Units Sold],LS[B/S],"S",LS[Investor ID],A231,LS[Date Value],"&lt;="&amp;$Z$3))+(SUMIFS(SIP[Amount],SIP[B/S],"B",SIP[Investor ID],A231,SIP[Date Value],"&lt;="&amp;$Z$3)-SUMIFS(SIP[Cost of Units Sold],SIP[B/S],"S",SIP[Investor ID],A231,SIP[Date Value],"&lt;="&amp;$Z$3))</f>
        <v>2150000</v>
      </c>
      <c r="H231" s="49">
        <f t="shared" si="17"/>
        <v>2342810.0559999999</v>
      </c>
      <c r="I231" s="49">
        <f t="shared" si="18"/>
        <v>192810.05599999987</v>
      </c>
      <c r="J231" s="47">
        <f>(SUMIFS(LS[Unit],LS[Investor ID],A231,LS[B/S],"B",LS[Date Value],"&gt;="&amp;$Z$2,LS[Date Value],"&lt;="&amp;$Z$3))+(SUMIFS(SIP[Unit],SIP[Investor ID],A231,SIP[B/S],"B",SIP[Date Value],"&gt;="&amp;$Z$2,SIP[Date Value],"&lt;="&amp;$Z$3))</f>
        <v>109854</v>
      </c>
      <c r="K231" s="49">
        <f>(SUMIFS(LS[Amount],LS[Investor ID],A231,LS[B/S],"B",LS[Date Value],"&gt;="&amp;$Z$2,LS[Date Value],"&lt;="&amp;$Z$3))+(SUMIFS(SIP[Amount],SIP[Investor ID],A231,SIP[B/S],"B",SIP[Date Value],"&gt;="&amp;$Z$2,SIP[Date Value],"&lt;="&amp;$Z$3))</f>
        <v>1150000</v>
      </c>
      <c r="L231" s="47">
        <f>(-SUMIFS(LS[Unit],LS[Investor ID],A231,LS[B/S],"S",LS[Date Value],"&gt;="&amp;$Z$2,LS[Date Value],"&lt;="&amp;$Z$3))+(-SUMIFS(SIP[Unit],SIP[Investor ID],A231,SIP[B/S],"S",SIP[Date Value],"&gt;="&amp;$Z$2,SIP[Date Value],"&lt;="&amp;$Z$3))</f>
        <v>0</v>
      </c>
      <c r="M231" s="49">
        <f>(SUMIFS(LS[Cost of Units Sold],LS[Investor ID],A231,LS[B/S],"S",LS[Date Value],"&gt;="&amp;$Z$2,LS[Date Value],"&lt;="&amp;$Z$3))+(SUMIFS(SIP[Cost of Units Sold],SIP[Investor ID],A231,SIP[B/S],"S",SIP[Date Value],"&gt;="&amp;$Z$2,SIP[Date Value],"&lt;="&amp;$Z$3))</f>
        <v>0</v>
      </c>
      <c r="N231" s="49">
        <f t="shared" si="19"/>
        <v>1150000</v>
      </c>
      <c r="O231" s="49">
        <f>(SUMIFS(LS[Realized Gain],LS[Investor ID],A231,LS[Date Value],"&gt;="&amp;$Z$2,LS[Date Value],"&lt;="&amp;$Z$3))+(SUMIFS(SIP[Realized Gain],SIP[Investor ID],A231,SIP[Date Value],"&gt;="&amp;$Z$2,SIP[Date Value],"&lt;="&amp;$Z$3))</f>
        <v>0</v>
      </c>
      <c r="P231" s="49">
        <v>0</v>
      </c>
      <c r="Q231" s="49">
        <v>0</v>
      </c>
      <c r="R231" s="49">
        <v>0</v>
      </c>
    </row>
    <row r="232" spans="1:18">
      <c r="A232" t="s">
        <v>513</v>
      </c>
      <c r="B232" s="47">
        <f>SUMIFS(LS[Unit],LS[Investor ID],'TAX CERTIFICATE'!A232,LS[Date Value],"&lt;"&amp;$Z$2)+SUMIFS(SIP[Unit],SIP[Investor ID],'TAX CERTIFICATE'!A232,SIP[Date Value],"&lt;"&amp;$Z$2)</f>
        <v>0</v>
      </c>
      <c r="C232" s="48">
        <f>(SUMIFS(LS[Amount],LS[B/S],"B",LS[Investor ID],A232,LS[Date Value],"&lt;"&amp;$Z$2)-SUMIFS(LS[Cost of Units Sold],LS[B/S],"S",LS[Investor ID],A232,LS[Date Value],"&lt;"&amp;$Z$2))+(SUMIFS(SIP[Amount],SIP[B/S],"B",SIP[Investor ID],#REF!,SIP[Date Value],"&lt;"&amp;$Z$2)-SUMIFS(SIP[Cost of Units Sold],SIP[B/S],"S",SIP[Investor ID],A232,SIP[Date Value],"&lt;"&amp;$Z$2))</f>
        <v>0</v>
      </c>
      <c r="D232" s="49">
        <f t="shared" si="15"/>
        <v>0</v>
      </c>
      <c r="E232" s="49">
        <f t="shared" si="16"/>
        <v>0</v>
      </c>
      <c r="F232" s="47">
        <f>SUMIFS(LS[Unit],LS[Investor ID],A232,LS[Date Value],"&lt;="&amp;$Z$3)+SUMIFS(SIP[Unit],SIP[Investor ID],A232,SIP[Date Value],"&lt;="&amp;$Z$3)</f>
        <v>0</v>
      </c>
      <c r="G232" s="49">
        <f>(SUMIFS(LS[Amount],LS[B/S],"B",LS[Investor ID],A232,LS[Date Value],"&lt;="&amp;$Z$3)-SUMIFS(LS[Cost of Units Sold],LS[B/S],"S",LS[Investor ID],A232,LS[Date Value],"&lt;="&amp;$Z$3))+(SUMIFS(SIP[Amount],SIP[B/S],"B",SIP[Investor ID],A232,SIP[Date Value],"&lt;="&amp;$Z$3)-SUMIFS(SIP[Cost of Units Sold],SIP[B/S],"S",SIP[Investor ID],A232,SIP[Date Value],"&lt;="&amp;$Z$3))</f>
        <v>0</v>
      </c>
      <c r="H232" s="49">
        <f t="shared" si="17"/>
        <v>0</v>
      </c>
      <c r="I232" s="49">
        <f t="shared" si="18"/>
        <v>0</v>
      </c>
      <c r="J232" s="47">
        <f>(SUMIFS(LS[Unit],LS[Investor ID],A232,LS[B/S],"B",LS[Date Value],"&gt;="&amp;$Z$2,LS[Date Value],"&lt;="&amp;$Z$3))+(SUMIFS(SIP[Unit],SIP[Investor ID],A232,SIP[B/S],"B",SIP[Date Value],"&gt;="&amp;$Z$2,SIP[Date Value],"&lt;="&amp;$Z$3))</f>
        <v>0</v>
      </c>
      <c r="K232" s="49">
        <f>(SUMIFS(LS[Amount],LS[Investor ID],A232,LS[B/S],"B",LS[Date Value],"&gt;="&amp;$Z$2,LS[Date Value],"&lt;="&amp;$Z$3))+(SUMIFS(SIP[Amount],SIP[Investor ID],A232,SIP[B/S],"B",SIP[Date Value],"&gt;="&amp;$Z$2,SIP[Date Value],"&lt;="&amp;$Z$3))</f>
        <v>0</v>
      </c>
      <c r="L232" s="47">
        <f>(-SUMIFS(LS[Unit],LS[Investor ID],A232,LS[B/S],"S",LS[Date Value],"&gt;="&amp;$Z$2,LS[Date Value],"&lt;="&amp;$Z$3))+(-SUMIFS(SIP[Unit],SIP[Investor ID],A232,SIP[B/S],"S",SIP[Date Value],"&gt;="&amp;$Z$2,SIP[Date Value],"&lt;="&amp;$Z$3))</f>
        <v>0</v>
      </c>
      <c r="M232" s="49">
        <f>(SUMIFS(LS[Cost of Units Sold],LS[Investor ID],A232,LS[B/S],"S",LS[Date Value],"&gt;="&amp;$Z$2,LS[Date Value],"&lt;="&amp;$Z$3))+(SUMIFS(SIP[Cost of Units Sold],SIP[Investor ID],A232,SIP[B/S],"S",SIP[Date Value],"&gt;="&amp;$Z$2,SIP[Date Value],"&lt;="&amp;$Z$3))</f>
        <v>0</v>
      </c>
      <c r="N232" s="49">
        <f t="shared" si="19"/>
        <v>0</v>
      </c>
      <c r="O232" s="49">
        <f>(SUMIFS(LS[Realized Gain],LS[Investor ID],A232,LS[Date Value],"&gt;="&amp;$Z$2,LS[Date Value],"&lt;="&amp;$Z$3))+(SUMIFS(SIP[Realized Gain],SIP[Investor ID],A232,SIP[Date Value],"&gt;="&amp;$Z$2,SIP[Date Value],"&lt;="&amp;$Z$3))</f>
        <v>0</v>
      </c>
      <c r="P232" s="49">
        <v>0</v>
      </c>
      <c r="Q232" s="49">
        <v>0</v>
      </c>
      <c r="R232" s="49">
        <v>0</v>
      </c>
    </row>
    <row r="233" spans="1:18">
      <c r="A233" t="s">
        <v>515</v>
      </c>
      <c r="B233" s="47">
        <f>SUMIFS(LS[Unit],LS[Investor ID],'TAX CERTIFICATE'!A233,LS[Date Value],"&lt;"&amp;$Z$2)+SUMIFS(SIP[Unit],SIP[Investor ID],'TAX CERTIFICATE'!A233,SIP[Date Value],"&lt;"&amp;$Z$2)</f>
        <v>0</v>
      </c>
      <c r="C233" s="48">
        <f>(SUMIFS(LS[Amount],LS[B/S],"B",LS[Investor ID],A233,LS[Date Value],"&lt;"&amp;$Z$2)-SUMIFS(LS[Cost of Units Sold],LS[B/S],"S",LS[Investor ID],A233,LS[Date Value],"&lt;"&amp;$Z$2))+(SUMIFS(SIP[Amount],SIP[B/S],"B",SIP[Investor ID],#REF!,SIP[Date Value],"&lt;"&amp;$Z$2)-SUMIFS(SIP[Cost of Units Sold],SIP[B/S],"S",SIP[Investor ID],A233,SIP[Date Value],"&lt;"&amp;$Z$2))</f>
        <v>0</v>
      </c>
      <c r="D233" s="49">
        <f t="shared" si="15"/>
        <v>0</v>
      </c>
      <c r="E233" s="49">
        <f t="shared" si="16"/>
        <v>0</v>
      </c>
      <c r="F233" s="47">
        <f>SUMIFS(LS[Unit],LS[Investor ID],A233,LS[Date Value],"&lt;="&amp;$Z$3)+SUMIFS(SIP[Unit],SIP[Investor ID],A233,SIP[Date Value],"&lt;="&amp;$Z$3)</f>
        <v>0</v>
      </c>
      <c r="G233" s="49">
        <f>(SUMIFS(LS[Amount],LS[B/S],"B",LS[Investor ID],A233,LS[Date Value],"&lt;="&amp;$Z$3)-SUMIFS(LS[Cost of Units Sold],LS[B/S],"S",LS[Investor ID],A233,LS[Date Value],"&lt;="&amp;$Z$3))+(SUMIFS(SIP[Amount],SIP[B/S],"B",SIP[Investor ID],A233,SIP[Date Value],"&lt;="&amp;$Z$3)-SUMIFS(SIP[Cost of Units Sold],SIP[B/S],"S",SIP[Investor ID],A233,SIP[Date Value],"&lt;="&amp;$Z$3))</f>
        <v>0</v>
      </c>
      <c r="H233" s="49">
        <f t="shared" si="17"/>
        <v>0</v>
      </c>
      <c r="I233" s="49">
        <f t="shared" si="18"/>
        <v>0</v>
      </c>
      <c r="J233" s="47">
        <f>(SUMIFS(LS[Unit],LS[Investor ID],A233,LS[B/S],"B",LS[Date Value],"&gt;="&amp;$Z$2,LS[Date Value],"&lt;="&amp;$Z$3))+(SUMIFS(SIP[Unit],SIP[Investor ID],A233,SIP[B/S],"B",SIP[Date Value],"&gt;="&amp;$Z$2,SIP[Date Value],"&lt;="&amp;$Z$3))</f>
        <v>0</v>
      </c>
      <c r="K233" s="49">
        <f>(SUMIFS(LS[Amount],LS[Investor ID],A233,LS[B/S],"B",LS[Date Value],"&gt;="&amp;$Z$2,LS[Date Value],"&lt;="&amp;$Z$3))+(SUMIFS(SIP[Amount],SIP[Investor ID],A233,SIP[B/S],"B",SIP[Date Value],"&gt;="&amp;$Z$2,SIP[Date Value],"&lt;="&amp;$Z$3))</f>
        <v>0</v>
      </c>
      <c r="L233" s="47">
        <f>(-SUMIFS(LS[Unit],LS[Investor ID],A233,LS[B/S],"S",LS[Date Value],"&gt;="&amp;$Z$2,LS[Date Value],"&lt;="&amp;$Z$3))+(-SUMIFS(SIP[Unit],SIP[Investor ID],A233,SIP[B/S],"S",SIP[Date Value],"&gt;="&amp;$Z$2,SIP[Date Value],"&lt;="&amp;$Z$3))</f>
        <v>0</v>
      </c>
      <c r="M233" s="49">
        <f>(SUMIFS(LS[Cost of Units Sold],LS[Investor ID],A233,LS[B/S],"S",LS[Date Value],"&gt;="&amp;$Z$2,LS[Date Value],"&lt;="&amp;$Z$3))+(SUMIFS(SIP[Cost of Units Sold],SIP[Investor ID],A233,SIP[B/S],"S",SIP[Date Value],"&gt;="&amp;$Z$2,SIP[Date Value],"&lt;="&amp;$Z$3))</f>
        <v>0</v>
      </c>
      <c r="N233" s="49">
        <f t="shared" si="19"/>
        <v>0</v>
      </c>
      <c r="O233" s="49">
        <f>(SUMIFS(LS[Realized Gain],LS[Investor ID],A233,LS[Date Value],"&gt;="&amp;$Z$2,LS[Date Value],"&lt;="&amp;$Z$3))+(SUMIFS(SIP[Realized Gain],SIP[Investor ID],A233,SIP[Date Value],"&gt;="&amp;$Z$2,SIP[Date Value],"&lt;="&amp;$Z$3))</f>
        <v>0</v>
      </c>
      <c r="P233" s="49">
        <v>0</v>
      </c>
      <c r="Q233" s="49">
        <v>0</v>
      </c>
      <c r="R233" s="49">
        <v>0</v>
      </c>
    </row>
    <row r="234" spans="1:18">
      <c r="A234" t="s">
        <v>517</v>
      </c>
      <c r="B234" s="47">
        <f>SUMIFS(LS[Unit],LS[Investor ID],'TAX CERTIFICATE'!A234,LS[Date Value],"&lt;"&amp;$Z$2)+SUMIFS(SIP[Unit],SIP[Investor ID],'TAX CERTIFICATE'!A234,SIP[Date Value],"&lt;"&amp;$Z$2)</f>
        <v>0</v>
      </c>
      <c r="C234" s="48">
        <f>(SUMIFS(LS[Amount],LS[B/S],"B",LS[Investor ID],A234,LS[Date Value],"&lt;"&amp;$Z$2)-SUMIFS(LS[Cost of Units Sold],LS[B/S],"S",LS[Investor ID],A234,LS[Date Value],"&lt;"&amp;$Z$2))+(SUMIFS(SIP[Amount],SIP[B/S],"B",SIP[Investor ID],#REF!,SIP[Date Value],"&lt;"&amp;$Z$2)-SUMIFS(SIP[Cost of Units Sold],SIP[B/S],"S",SIP[Investor ID],A234,SIP[Date Value],"&lt;"&amp;$Z$2))</f>
        <v>0</v>
      </c>
      <c r="D234" s="49">
        <f t="shared" si="15"/>
        <v>0</v>
      </c>
      <c r="E234" s="49">
        <f t="shared" si="16"/>
        <v>0</v>
      </c>
      <c r="F234" s="47">
        <f>SUMIFS(LS[Unit],LS[Investor ID],A234,LS[Date Value],"&lt;="&amp;$Z$3)+SUMIFS(SIP[Unit],SIP[Investor ID],A234,SIP[Date Value],"&lt;="&amp;$Z$3)</f>
        <v>0</v>
      </c>
      <c r="G234" s="49">
        <f>(SUMIFS(LS[Amount],LS[B/S],"B",LS[Investor ID],A234,LS[Date Value],"&lt;="&amp;$Z$3)-SUMIFS(LS[Cost of Units Sold],LS[B/S],"S",LS[Investor ID],A234,LS[Date Value],"&lt;="&amp;$Z$3))+(SUMIFS(SIP[Amount],SIP[B/S],"B",SIP[Investor ID],A234,SIP[Date Value],"&lt;="&amp;$Z$3)-SUMIFS(SIP[Cost of Units Sold],SIP[B/S],"S",SIP[Investor ID],A234,SIP[Date Value],"&lt;="&amp;$Z$3))</f>
        <v>0</v>
      </c>
      <c r="H234" s="49">
        <f t="shared" si="17"/>
        <v>0</v>
      </c>
      <c r="I234" s="49">
        <f t="shared" si="18"/>
        <v>0</v>
      </c>
      <c r="J234" s="47">
        <f>(SUMIFS(LS[Unit],LS[Investor ID],A234,LS[B/S],"B",LS[Date Value],"&gt;="&amp;$Z$2,LS[Date Value],"&lt;="&amp;$Z$3))+(SUMIFS(SIP[Unit],SIP[Investor ID],A234,SIP[B/S],"B",SIP[Date Value],"&gt;="&amp;$Z$2,SIP[Date Value],"&lt;="&amp;$Z$3))</f>
        <v>0</v>
      </c>
      <c r="K234" s="49">
        <f>(SUMIFS(LS[Amount],LS[Investor ID],A234,LS[B/S],"B",LS[Date Value],"&gt;="&amp;$Z$2,LS[Date Value],"&lt;="&amp;$Z$3))+(SUMIFS(SIP[Amount],SIP[Investor ID],A234,SIP[B/S],"B",SIP[Date Value],"&gt;="&amp;$Z$2,SIP[Date Value],"&lt;="&amp;$Z$3))</f>
        <v>0</v>
      </c>
      <c r="L234" s="47">
        <f>(-SUMIFS(LS[Unit],LS[Investor ID],A234,LS[B/S],"S",LS[Date Value],"&gt;="&amp;$Z$2,LS[Date Value],"&lt;="&amp;$Z$3))+(-SUMIFS(SIP[Unit],SIP[Investor ID],A234,SIP[B/S],"S",SIP[Date Value],"&gt;="&amp;$Z$2,SIP[Date Value],"&lt;="&amp;$Z$3))</f>
        <v>0</v>
      </c>
      <c r="M234" s="49">
        <f>(SUMIFS(LS[Cost of Units Sold],LS[Investor ID],A234,LS[B/S],"S",LS[Date Value],"&gt;="&amp;$Z$2,LS[Date Value],"&lt;="&amp;$Z$3))+(SUMIFS(SIP[Cost of Units Sold],SIP[Investor ID],A234,SIP[B/S],"S",SIP[Date Value],"&gt;="&amp;$Z$2,SIP[Date Value],"&lt;="&amp;$Z$3))</f>
        <v>0</v>
      </c>
      <c r="N234" s="49">
        <f t="shared" si="19"/>
        <v>0</v>
      </c>
      <c r="O234" s="49">
        <f>(SUMIFS(LS[Realized Gain],LS[Investor ID],A234,LS[Date Value],"&gt;="&amp;$Z$2,LS[Date Value],"&lt;="&amp;$Z$3))+(SUMIFS(SIP[Realized Gain],SIP[Investor ID],A234,SIP[Date Value],"&gt;="&amp;$Z$2,SIP[Date Value],"&lt;="&amp;$Z$3))</f>
        <v>0</v>
      </c>
      <c r="P234" s="49">
        <v>0</v>
      </c>
      <c r="Q234" s="49">
        <v>0</v>
      </c>
      <c r="R234" s="49">
        <v>0</v>
      </c>
    </row>
    <row r="235" spans="1:18">
      <c r="A235" t="s">
        <v>519</v>
      </c>
      <c r="B235" s="47">
        <f>SUMIFS(LS[Unit],LS[Investor ID],'TAX CERTIFICATE'!A235,LS[Date Value],"&lt;"&amp;$Z$2)+SUMIFS(SIP[Unit],SIP[Investor ID],'TAX CERTIFICATE'!A235,SIP[Date Value],"&lt;"&amp;$Z$2)</f>
        <v>0</v>
      </c>
      <c r="C235" s="48">
        <f>(SUMIFS(LS[Amount],LS[B/S],"B",LS[Investor ID],A235,LS[Date Value],"&lt;"&amp;$Z$2)-SUMIFS(LS[Cost of Units Sold],LS[B/S],"S",LS[Investor ID],A235,LS[Date Value],"&lt;"&amp;$Z$2))+(SUMIFS(SIP[Amount],SIP[B/S],"B",SIP[Investor ID],#REF!,SIP[Date Value],"&lt;"&amp;$Z$2)-SUMIFS(SIP[Cost of Units Sold],SIP[B/S],"S",SIP[Investor ID],A235,SIP[Date Value],"&lt;"&amp;$Z$2))</f>
        <v>0</v>
      </c>
      <c r="D235" s="49">
        <f t="shared" si="15"/>
        <v>0</v>
      </c>
      <c r="E235" s="49">
        <f t="shared" si="16"/>
        <v>0</v>
      </c>
      <c r="F235" s="47">
        <f>SUMIFS(LS[Unit],LS[Investor ID],A235,LS[Date Value],"&lt;="&amp;$Z$3)+SUMIFS(SIP[Unit],SIP[Investor ID],A235,SIP[Date Value],"&lt;="&amp;$Z$3)</f>
        <v>0</v>
      </c>
      <c r="G235" s="49">
        <f>(SUMIFS(LS[Amount],LS[B/S],"B",LS[Investor ID],A235,LS[Date Value],"&lt;="&amp;$Z$3)-SUMIFS(LS[Cost of Units Sold],LS[B/S],"S",LS[Investor ID],A235,LS[Date Value],"&lt;="&amp;$Z$3))+(SUMIFS(SIP[Amount],SIP[B/S],"B",SIP[Investor ID],A235,SIP[Date Value],"&lt;="&amp;$Z$3)-SUMIFS(SIP[Cost of Units Sold],SIP[B/S],"S",SIP[Investor ID],A235,SIP[Date Value],"&lt;="&amp;$Z$3))</f>
        <v>0</v>
      </c>
      <c r="H235" s="49">
        <f t="shared" si="17"/>
        <v>0</v>
      </c>
      <c r="I235" s="49">
        <f t="shared" si="18"/>
        <v>0</v>
      </c>
      <c r="J235" s="47">
        <f>(SUMIFS(LS[Unit],LS[Investor ID],A235,LS[B/S],"B",LS[Date Value],"&gt;="&amp;$Z$2,LS[Date Value],"&lt;="&amp;$Z$3))+(SUMIFS(SIP[Unit],SIP[Investor ID],A235,SIP[B/S],"B",SIP[Date Value],"&gt;="&amp;$Z$2,SIP[Date Value],"&lt;="&amp;$Z$3))</f>
        <v>0</v>
      </c>
      <c r="K235" s="49">
        <f>(SUMIFS(LS[Amount],LS[Investor ID],A235,LS[B/S],"B",LS[Date Value],"&gt;="&amp;$Z$2,LS[Date Value],"&lt;="&amp;$Z$3))+(SUMIFS(SIP[Amount],SIP[Investor ID],A235,SIP[B/S],"B",SIP[Date Value],"&gt;="&amp;$Z$2,SIP[Date Value],"&lt;="&amp;$Z$3))</f>
        <v>0</v>
      </c>
      <c r="L235" s="47">
        <f>(-SUMIFS(LS[Unit],LS[Investor ID],A235,LS[B/S],"S",LS[Date Value],"&gt;="&amp;$Z$2,LS[Date Value],"&lt;="&amp;$Z$3))+(-SUMIFS(SIP[Unit],SIP[Investor ID],A235,SIP[B/S],"S",SIP[Date Value],"&gt;="&amp;$Z$2,SIP[Date Value],"&lt;="&amp;$Z$3))</f>
        <v>0</v>
      </c>
      <c r="M235" s="49">
        <f>(SUMIFS(LS[Cost of Units Sold],LS[Investor ID],A235,LS[B/S],"S",LS[Date Value],"&gt;="&amp;$Z$2,LS[Date Value],"&lt;="&amp;$Z$3))+(SUMIFS(SIP[Cost of Units Sold],SIP[Investor ID],A235,SIP[B/S],"S",SIP[Date Value],"&gt;="&amp;$Z$2,SIP[Date Value],"&lt;="&amp;$Z$3))</f>
        <v>0</v>
      </c>
      <c r="N235" s="49">
        <f t="shared" si="19"/>
        <v>0</v>
      </c>
      <c r="O235" s="49">
        <f>(SUMIFS(LS[Realized Gain],LS[Investor ID],A235,LS[Date Value],"&gt;="&amp;$Z$2,LS[Date Value],"&lt;="&amp;$Z$3))+(SUMIFS(SIP[Realized Gain],SIP[Investor ID],A235,SIP[Date Value],"&gt;="&amp;$Z$2,SIP[Date Value],"&lt;="&amp;$Z$3))</f>
        <v>0</v>
      </c>
      <c r="P235" s="49">
        <v>0</v>
      </c>
      <c r="Q235" s="49">
        <v>0</v>
      </c>
      <c r="R235" s="49">
        <v>0</v>
      </c>
    </row>
    <row r="236" spans="1:18">
      <c r="A236" t="s">
        <v>521</v>
      </c>
      <c r="B236" s="47">
        <f>SUMIFS(LS[Unit],LS[Investor ID],'TAX CERTIFICATE'!A236,LS[Date Value],"&lt;"&amp;$Z$2)+SUMIFS(SIP[Unit],SIP[Investor ID],'TAX CERTIFICATE'!A236,SIP[Date Value],"&lt;"&amp;$Z$2)</f>
        <v>0</v>
      </c>
      <c r="C236" s="48">
        <f>(SUMIFS(LS[Amount],LS[B/S],"B",LS[Investor ID],A236,LS[Date Value],"&lt;"&amp;$Z$2)-SUMIFS(LS[Cost of Units Sold],LS[B/S],"S",LS[Investor ID],A236,LS[Date Value],"&lt;"&amp;$Z$2))+(SUMIFS(SIP[Amount],SIP[B/S],"B",SIP[Investor ID],#REF!,SIP[Date Value],"&lt;"&amp;$Z$2)-SUMIFS(SIP[Cost of Units Sold],SIP[B/S],"S",SIP[Investor ID],A236,SIP[Date Value],"&lt;"&amp;$Z$2))</f>
        <v>0</v>
      </c>
      <c r="D236" s="49">
        <f t="shared" si="15"/>
        <v>0</v>
      </c>
      <c r="E236" s="49">
        <f t="shared" si="16"/>
        <v>0</v>
      </c>
      <c r="F236" s="47">
        <f>SUMIFS(LS[Unit],LS[Investor ID],A236,LS[Date Value],"&lt;="&amp;$Z$3)+SUMIFS(SIP[Unit],SIP[Investor ID],A236,SIP[Date Value],"&lt;="&amp;$Z$3)</f>
        <v>0</v>
      </c>
      <c r="G236" s="49">
        <f>(SUMIFS(LS[Amount],LS[B/S],"B",LS[Investor ID],A236,LS[Date Value],"&lt;="&amp;$Z$3)-SUMIFS(LS[Cost of Units Sold],LS[B/S],"S",LS[Investor ID],A236,LS[Date Value],"&lt;="&amp;$Z$3))+(SUMIFS(SIP[Amount],SIP[B/S],"B",SIP[Investor ID],A236,SIP[Date Value],"&lt;="&amp;$Z$3)-SUMIFS(SIP[Cost of Units Sold],SIP[B/S],"S",SIP[Investor ID],A236,SIP[Date Value],"&lt;="&amp;$Z$3))</f>
        <v>0</v>
      </c>
      <c r="H236" s="49">
        <f t="shared" si="17"/>
        <v>0</v>
      </c>
      <c r="I236" s="49">
        <f t="shared" si="18"/>
        <v>0</v>
      </c>
      <c r="J236" s="47">
        <f>(SUMIFS(LS[Unit],LS[Investor ID],A236,LS[B/S],"B",LS[Date Value],"&gt;="&amp;$Z$2,LS[Date Value],"&lt;="&amp;$Z$3))+(SUMIFS(SIP[Unit],SIP[Investor ID],A236,SIP[B/S],"B",SIP[Date Value],"&gt;="&amp;$Z$2,SIP[Date Value],"&lt;="&amp;$Z$3))</f>
        <v>0</v>
      </c>
      <c r="K236" s="49">
        <f>(SUMIFS(LS[Amount],LS[Investor ID],A236,LS[B/S],"B",LS[Date Value],"&gt;="&amp;$Z$2,LS[Date Value],"&lt;="&amp;$Z$3))+(SUMIFS(SIP[Amount],SIP[Investor ID],A236,SIP[B/S],"B",SIP[Date Value],"&gt;="&amp;$Z$2,SIP[Date Value],"&lt;="&amp;$Z$3))</f>
        <v>0</v>
      </c>
      <c r="L236" s="47">
        <f>(-SUMIFS(LS[Unit],LS[Investor ID],A236,LS[B/S],"S",LS[Date Value],"&gt;="&amp;$Z$2,LS[Date Value],"&lt;="&amp;$Z$3))+(-SUMIFS(SIP[Unit],SIP[Investor ID],A236,SIP[B/S],"S",SIP[Date Value],"&gt;="&amp;$Z$2,SIP[Date Value],"&lt;="&amp;$Z$3))</f>
        <v>0</v>
      </c>
      <c r="M236" s="49">
        <f>(SUMIFS(LS[Cost of Units Sold],LS[Investor ID],A236,LS[B/S],"S",LS[Date Value],"&gt;="&amp;$Z$2,LS[Date Value],"&lt;="&amp;$Z$3))+(SUMIFS(SIP[Cost of Units Sold],SIP[Investor ID],A236,SIP[B/S],"S",SIP[Date Value],"&gt;="&amp;$Z$2,SIP[Date Value],"&lt;="&amp;$Z$3))</f>
        <v>0</v>
      </c>
      <c r="N236" s="49">
        <f t="shared" si="19"/>
        <v>0</v>
      </c>
      <c r="O236" s="49">
        <f>(SUMIFS(LS[Realized Gain],LS[Investor ID],A236,LS[Date Value],"&gt;="&amp;$Z$2,LS[Date Value],"&lt;="&amp;$Z$3))+(SUMIFS(SIP[Realized Gain],SIP[Investor ID],A236,SIP[Date Value],"&gt;="&amp;$Z$2,SIP[Date Value],"&lt;="&amp;$Z$3))</f>
        <v>0</v>
      </c>
      <c r="P236" s="49">
        <v>0</v>
      </c>
      <c r="Q236" s="49">
        <v>0</v>
      </c>
      <c r="R236" s="49">
        <v>0</v>
      </c>
    </row>
    <row r="237" spans="1:18">
      <c r="A237" t="s">
        <v>523</v>
      </c>
      <c r="B237" s="47">
        <f>SUMIFS(LS[Unit],LS[Investor ID],'TAX CERTIFICATE'!A237,LS[Date Value],"&lt;"&amp;$Z$2)+SUMIFS(SIP[Unit],SIP[Investor ID],'TAX CERTIFICATE'!A237,SIP[Date Value],"&lt;"&amp;$Z$2)</f>
        <v>0</v>
      </c>
      <c r="C237" s="48">
        <f>(SUMIFS(LS[Amount],LS[B/S],"B",LS[Investor ID],A237,LS[Date Value],"&lt;"&amp;$Z$2)-SUMIFS(LS[Cost of Units Sold],LS[B/S],"S",LS[Investor ID],A237,LS[Date Value],"&lt;"&amp;$Z$2))+(SUMIFS(SIP[Amount],SIP[B/S],"B",SIP[Investor ID],#REF!,SIP[Date Value],"&lt;"&amp;$Z$2)-SUMIFS(SIP[Cost of Units Sold],SIP[B/S],"S",SIP[Investor ID],A237,SIP[Date Value],"&lt;"&amp;$Z$2))</f>
        <v>0</v>
      </c>
      <c r="D237" s="49">
        <f t="shared" si="15"/>
        <v>0</v>
      </c>
      <c r="E237" s="49">
        <f t="shared" si="16"/>
        <v>0</v>
      </c>
      <c r="F237" s="47">
        <f>SUMIFS(LS[Unit],LS[Investor ID],A237,LS[Date Value],"&lt;="&amp;$Z$3)+SUMIFS(SIP[Unit],SIP[Investor ID],A237,SIP[Date Value],"&lt;="&amp;$Z$3)</f>
        <v>0</v>
      </c>
      <c r="G237" s="49">
        <f>(SUMIFS(LS[Amount],LS[B/S],"B",LS[Investor ID],A237,LS[Date Value],"&lt;="&amp;$Z$3)-SUMIFS(LS[Cost of Units Sold],LS[B/S],"S",LS[Investor ID],A237,LS[Date Value],"&lt;="&amp;$Z$3))+(SUMIFS(SIP[Amount],SIP[B/S],"B",SIP[Investor ID],A237,SIP[Date Value],"&lt;="&amp;$Z$3)-SUMIFS(SIP[Cost of Units Sold],SIP[B/S],"S",SIP[Investor ID],A237,SIP[Date Value],"&lt;="&amp;$Z$3))</f>
        <v>0</v>
      </c>
      <c r="H237" s="49">
        <f t="shared" si="17"/>
        <v>0</v>
      </c>
      <c r="I237" s="49">
        <f t="shared" si="18"/>
        <v>0</v>
      </c>
      <c r="J237" s="47">
        <f>(SUMIFS(LS[Unit],LS[Investor ID],A237,LS[B/S],"B",LS[Date Value],"&gt;="&amp;$Z$2,LS[Date Value],"&lt;="&amp;$Z$3))+(SUMIFS(SIP[Unit],SIP[Investor ID],A237,SIP[B/S],"B",SIP[Date Value],"&gt;="&amp;$Z$2,SIP[Date Value],"&lt;="&amp;$Z$3))</f>
        <v>0</v>
      </c>
      <c r="K237" s="49">
        <f>(SUMIFS(LS[Amount],LS[Investor ID],A237,LS[B/S],"B",LS[Date Value],"&gt;="&amp;$Z$2,LS[Date Value],"&lt;="&amp;$Z$3))+(SUMIFS(SIP[Amount],SIP[Investor ID],A237,SIP[B/S],"B",SIP[Date Value],"&gt;="&amp;$Z$2,SIP[Date Value],"&lt;="&amp;$Z$3))</f>
        <v>0</v>
      </c>
      <c r="L237" s="47">
        <f>(-SUMIFS(LS[Unit],LS[Investor ID],A237,LS[B/S],"S",LS[Date Value],"&gt;="&amp;$Z$2,LS[Date Value],"&lt;="&amp;$Z$3))+(-SUMIFS(SIP[Unit],SIP[Investor ID],A237,SIP[B/S],"S",SIP[Date Value],"&gt;="&amp;$Z$2,SIP[Date Value],"&lt;="&amp;$Z$3))</f>
        <v>0</v>
      </c>
      <c r="M237" s="49">
        <f>(SUMIFS(LS[Cost of Units Sold],LS[Investor ID],A237,LS[B/S],"S",LS[Date Value],"&gt;="&amp;$Z$2,LS[Date Value],"&lt;="&amp;$Z$3))+(SUMIFS(SIP[Cost of Units Sold],SIP[Investor ID],A237,SIP[B/S],"S",SIP[Date Value],"&gt;="&amp;$Z$2,SIP[Date Value],"&lt;="&amp;$Z$3))</f>
        <v>0</v>
      </c>
      <c r="N237" s="49">
        <f t="shared" si="19"/>
        <v>0</v>
      </c>
      <c r="O237" s="49">
        <f>(SUMIFS(LS[Realized Gain],LS[Investor ID],A237,LS[Date Value],"&gt;="&amp;$Z$2,LS[Date Value],"&lt;="&amp;$Z$3))+(SUMIFS(SIP[Realized Gain],SIP[Investor ID],A237,SIP[Date Value],"&gt;="&amp;$Z$2,SIP[Date Value],"&lt;="&amp;$Z$3))</f>
        <v>0</v>
      </c>
      <c r="P237" s="49">
        <v>0</v>
      </c>
      <c r="Q237" s="49">
        <v>0</v>
      </c>
      <c r="R237" s="49">
        <v>0</v>
      </c>
    </row>
    <row r="238" spans="1:18">
      <c r="A238" t="s">
        <v>525</v>
      </c>
      <c r="B238" s="47">
        <f>SUMIFS(LS[Unit],LS[Investor ID],'TAX CERTIFICATE'!A238,LS[Date Value],"&lt;"&amp;$Z$2)+SUMIFS(SIP[Unit],SIP[Investor ID],'TAX CERTIFICATE'!A238,SIP[Date Value],"&lt;"&amp;$Z$2)</f>
        <v>0</v>
      </c>
      <c r="C238" s="48">
        <f>(SUMIFS(LS[Amount],LS[B/S],"B",LS[Investor ID],A238,LS[Date Value],"&lt;"&amp;$Z$2)-SUMIFS(LS[Cost of Units Sold],LS[B/S],"S",LS[Investor ID],A238,LS[Date Value],"&lt;"&amp;$Z$2))+(SUMIFS(SIP[Amount],SIP[B/S],"B",SIP[Investor ID],#REF!,SIP[Date Value],"&lt;"&amp;$Z$2)-SUMIFS(SIP[Cost of Units Sold],SIP[B/S],"S",SIP[Investor ID],A238,SIP[Date Value],"&lt;"&amp;$Z$2))</f>
        <v>0</v>
      </c>
      <c r="D238" s="49">
        <f t="shared" si="15"/>
        <v>0</v>
      </c>
      <c r="E238" s="49">
        <f t="shared" si="16"/>
        <v>0</v>
      </c>
      <c r="F238" s="47">
        <f>SUMIFS(LS[Unit],LS[Investor ID],A238,LS[Date Value],"&lt;="&amp;$Z$3)+SUMIFS(SIP[Unit],SIP[Investor ID],A238,SIP[Date Value],"&lt;="&amp;$Z$3)</f>
        <v>0</v>
      </c>
      <c r="G238" s="49">
        <f>(SUMIFS(LS[Amount],LS[B/S],"B",LS[Investor ID],A238,LS[Date Value],"&lt;="&amp;$Z$3)-SUMIFS(LS[Cost of Units Sold],LS[B/S],"S",LS[Investor ID],A238,LS[Date Value],"&lt;="&amp;$Z$3))+(SUMIFS(SIP[Amount],SIP[B/S],"B",SIP[Investor ID],A238,SIP[Date Value],"&lt;="&amp;$Z$3)-SUMIFS(SIP[Cost of Units Sold],SIP[B/S],"S",SIP[Investor ID],A238,SIP[Date Value],"&lt;="&amp;$Z$3))</f>
        <v>0</v>
      </c>
      <c r="H238" s="49">
        <f t="shared" si="17"/>
        <v>0</v>
      </c>
      <c r="I238" s="49">
        <f t="shared" si="18"/>
        <v>0</v>
      </c>
      <c r="J238" s="47">
        <f>(SUMIFS(LS[Unit],LS[Investor ID],A238,LS[B/S],"B",LS[Date Value],"&gt;="&amp;$Z$2,LS[Date Value],"&lt;="&amp;$Z$3))+(SUMIFS(SIP[Unit],SIP[Investor ID],A238,SIP[B/S],"B",SIP[Date Value],"&gt;="&amp;$Z$2,SIP[Date Value],"&lt;="&amp;$Z$3))</f>
        <v>0</v>
      </c>
      <c r="K238" s="49">
        <f>(SUMIFS(LS[Amount],LS[Investor ID],A238,LS[B/S],"B",LS[Date Value],"&gt;="&amp;$Z$2,LS[Date Value],"&lt;="&amp;$Z$3))+(SUMIFS(SIP[Amount],SIP[Investor ID],A238,SIP[B/S],"B",SIP[Date Value],"&gt;="&amp;$Z$2,SIP[Date Value],"&lt;="&amp;$Z$3))</f>
        <v>0</v>
      </c>
      <c r="L238" s="47">
        <f>(-SUMIFS(LS[Unit],LS[Investor ID],A238,LS[B/S],"S",LS[Date Value],"&gt;="&amp;$Z$2,LS[Date Value],"&lt;="&amp;$Z$3))+(-SUMIFS(SIP[Unit],SIP[Investor ID],A238,SIP[B/S],"S",SIP[Date Value],"&gt;="&amp;$Z$2,SIP[Date Value],"&lt;="&amp;$Z$3))</f>
        <v>0</v>
      </c>
      <c r="M238" s="49">
        <f>(SUMIFS(LS[Cost of Units Sold],LS[Investor ID],A238,LS[B/S],"S",LS[Date Value],"&gt;="&amp;$Z$2,LS[Date Value],"&lt;="&amp;$Z$3))+(SUMIFS(SIP[Cost of Units Sold],SIP[Investor ID],A238,SIP[B/S],"S",SIP[Date Value],"&gt;="&amp;$Z$2,SIP[Date Value],"&lt;="&amp;$Z$3))</f>
        <v>0</v>
      </c>
      <c r="N238" s="49">
        <f t="shared" si="19"/>
        <v>0</v>
      </c>
      <c r="O238" s="49">
        <f>(SUMIFS(LS[Realized Gain],LS[Investor ID],A238,LS[Date Value],"&gt;="&amp;$Z$2,LS[Date Value],"&lt;="&amp;$Z$3))+(SUMIFS(SIP[Realized Gain],SIP[Investor ID],A238,SIP[Date Value],"&gt;="&amp;$Z$2,SIP[Date Value],"&lt;="&amp;$Z$3))</f>
        <v>0</v>
      </c>
      <c r="P238" s="49">
        <v>0</v>
      </c>
      <c r="Q238" s="49">
        <v>0</v>
      </c>
      <c r="R238" s="49">
        <v>0</v>
      </c>
    </row>
    <row r="239" spans="1:18">
      <c r="A239" t="s">
        <v>527</v>
      </c>
      <c r="B239" s="47">
        <f>SUMIFS(LS[Unit],LS[Investor ID],'TAX CERTIFICATE'!A239,LS[Date Value],"&lt;"&amp;$Z$2)+SUMIFS(SIP[Unit],SIP[Investor ID],'TAX CERTIFICATE'!A239,SIP[Date Value],"&lt;"&amp;$Z$2)</f>
        <v>0</v>
      </c>
      <c r="C239" s="48">
        <f>(SUMIFS(LS[Amount],LS[B/S],"B",LS[Investor ID],A239,LS[Date Value],"&lt;"&amp;$Z$2)-SUMIFS(LS[Cost of Units Sold],LS[B/S],"S",LS[Investor ID],A239,LS[Date Value],"&lt;"&amp;$Z$2))+(SUMIFS(SIP[Amount],SIP[B/S],"B",SIP[Investor ID],#REF!,SIP[Date Value],"&lt;"&amp;$Z$2)-SUMIFS(SIP[Cost of Units Sold],SIP[B/S],"S",SIP[Investor ID],A239,SIP[Date Value],"&lt;"&amp;$Z$2))</f>
        <v>0</v>
      </c>
      <c r="D239" s="49">
        <f t="shared" si="15"/>
        <v>0</v>
      </c>
      <c r="E239" s="49">
        <f t="shared" si="16"/>
        <v>0</v>
      </c>
      <c r="F239" s="47">
        <f>SUMIFS(LS[Unit],LS[Investor ID],A239,LS[Date Value],"&lt;="&amp;$Z$3)+SUMIFS(SIP[Unit],SIP[Investor ID],A239,SIP[Date Value],"&lt;="&amp;$Z$3)</f>
        <v>0</v>
      </c>
      <c r="G239" s="49">
        <f>(SUMIFS(LS[Amount],LS[B/S],"B",LS[Investor ID],A239,LS[Date Value],"&lt;="&amp;$Z$3)-SUMIFS(LS[Cost of Units Sold],LS[B/S],"S",LS[Investor ID],A239,LS[Date Value],"&lt;="&amp;$Z$3))+(SUMIFS(SIP[Amount],SIP[B/S],"B",SIP[Investor ID],A239,SIP[Date Value],"&lt;="&amp;$Z$3)-SUMIFS(SIP[Cost of Units Sold],SIP[B/S],"S",SIP[Investor ID],A239,SIP[Date Value],"&lt;="&amp;$Z$3))</f>
        <v>0</v>
      </c>
      <c r="H239" s="49">
        <f t="shared" si="17"/>
        <v>0</v>
      </c>
      <c r="I239" s="49">
        <f t="shared" si="18"/>
        <v>0</v>
      </c>
      <c r="J239" s="47">
        <f>(SUMIFS(LS[Unit],LS[Investor ID],A239,LS[B/S],"B",LS[Date Value],"&gt;="&amp;$Z$2,LS[Date Value],"&lt;="&amp;$Z$3))+(SUMIFS(SIP[Unit],SIP[Investor ID],A239,SIP[B/S],"B",SIP[Date Value],"&gt;="&amp;$Z$2,SIP[Date Value],"&lt;="&amp;$Z$3))</f>
        <v>0</v>
      </c>
      <c r="K239" s="49">
        <f>(SUMIFS(LS[Amount],LS[Investor ID],A239,LS[B/S],"B",LS[Date Value],"&gt;="&amp;$Z$2,LS[Date Value],"&lt;="&amp;$Z$3))+(SUMIFS(SIP[Amount],SIP[Investor ID],A239,SIP[B/S],"B",SIP[Date Value],"&gt;="&amp;$Z$2,SIP[Date Value],"&lt;="&amp;$Z$3))</f>
        <v>0</v>
      </c>
      <c r="L239" s="47">
        <f>(-SUMIFS(LS[Unit],LS[Investor ID],A239,LS[B/S],"S",LS[Date Value],"&gt;="&amp;$Z$2,LS[Date Value],"&lt;="&amp;$Z$3))+(-SUMIFS(SIP[Unit],SIP[Investor ID],A239,SIP[B/S],"S",SIP[Date Value],"&gt;="&amp;$Z$2,SIP[Date Value],"&lt;="&amp;$Z$3))</f>
        <v>0</v>
      </c>
      <c r="M239" s="49">
        <f>(SUMIFS(LS[Cost of Units Sold],LS[Investor ID],A239,LS[B/S],"S",LS[Date Value],"&gt;="&amp;$Z$2,LS[Date Value],"&lt;="&amp;$Z$3))+(SUMIFS(SIP[Cost of Units Sold],SIP[Investor ID],A239,SIP[B/S],"S",SIP[Date Value],"&gt;="&amp;$Z$2,SIP[Date Value],"&lt;="&amp;$Z$3))</f>
        <v>0</v>
      </c>
      <c r="N239" s="49">
        <f t="shared" si="19"/>
        <v>0</v>
      </c>
      <c r="O239" s="49">
        <f>(SUMIFS(LS[Realized Gain],LS[Investor ID],A239,LS[Date Value],"&gt;="&amp;$Z$2,LS[Date Value],"&lt;="&amp;$Z$3))+(SUMIFS(SIP[Realized Gain],SIP[Investor ID],A239,SIP[Date Value],"&gt;="&amp;$Z$2,SIP[Date Value],"&lt;="&amp;$Z$3))</f>
        <v>0</v>
      </c>
      <c r="P239" s="49">
        <v>0</v>
      </c>
      <c r="Q239" s="49">
        <v>0</v>
      </c>
      <c r="R239" s="49">
        <v>0</v>
      </c>
    </row>
    <row r="240" spans="1:18">
      <c r="A240" t="s">
        <v>529</v>
      </c>
      <c r="B240" s="47">
        <f>SUMIFS(LS[Unit],LS[Investor ID],'TAX CERTIFICATE'!A240,LS[Date Value],"&lt;"&amp;$Z$2)+SUMIFS(SIP[Unit],SIP[Investor ID],'TAX CERTIFICATE'!A240,SIP[Date Value],"&lt;"&amp;$Z$2)</f>
        <v>0</v>
      </c>
      <c r="C240" s="48">
        <f>(SUMIFS(LS[Amount],LS[B/S],"B",LS[Investor ID],A240,LS[Date Value],"&lt;"&amp;$Z$2)-SUMIFS(LS[Cost of Units Sold],LS[B/S],"S",LS[Investor ID],A240,LS[Date Value],"&lt;"&amp;$Z$2))+(SUMIFS(SIP[Amount],SIP[B/S],"B",SIP[Investor ID],#REF!,SIP[Date Value],"&lt;"&amp;$Z$2)-SUMIFS(SIP[Cost of Units Sold],SIP[B/S],"S",SIP[Investor ID],A240,SIP[Date Value],"&lt;"&amp;$Z$2))</f>
        <v>0</v>
      </c>
      <c r="D240" s="49">
        <f t="shared" si="15"/>
        <v>0</v>
      </c>
      <c r="E240" s="49">
        <f t="shared" si="16"/>
        <v>0</v>
      </c>
      <c r="F240" s="47">
        <f>SUMIFS(LS[Unit],LS[Investor ID],A240,LS[Date Value],"&lt;="&amp;$Z$3)+SUMIFS(SIP[Unit],SIP[Investor ID],A240,SIP[Date Value],"&lt;="&amp;$Z$3)</f>
        <v>0</v>
      </c>
      <c r="G240" s="49">
        <f>(SUMIFS(LS[Amount],LS[B/S],"B",LS[Investor ID],A240,LS[Date Value],"&lt;="&amp;$Z$3)-SUMIFS(LS[Cost of Units Sold],LS[B/S],"S",LS[Investor ID],A240,LS[Date Value],"&lt;="&amp;$Z$3))+(SUMIFS(SIP[Amount],SIP[B/S],"B",SIP[Investor ID],A240,SIP[Date Value],"&lt;="&amp;$Z$3)-SUMIFS(SIP[Cost of Units Sold],SIP[B/S],"S",SIP[Investor ID],A240,SIP[Date Value],"&lt;="&amp;$Z$3))</f>
        <v>0</v>
      </c>
      <c r="H240" s="49">
        <f t="shared" si="17"/>
        <v>0</v>
      </c>
      <c r="I240" s="49">
        <f t="shared" si="18"/>
        <v>0</v>
      </c>
      <c r="J240" s="47">
        <f>(SUMIFS(LS[Unit],LS[Investor ID],A240,LS[B/S],"B",LS[Date Value],"&gt;="&amp;$Z$2,LS[Date Value],"&lt;="&amp;$Z$3))+(SUMIFS(SIP[Unit],SIP[Investor ID],A240,SIP[B/S],"B",SIP[Date Value],"&gt;="&amp;$Z$2,SIP[Date Value],"&lt;="&amp;$Z$3))</f>
        <v>0</v>
      </c>
      <c r="K240" s="49">
        <f>(SUMIFS(LS[Amount],LS[Investor ID],A240,LS[B/S],"B",LS[Date Value],"&gt;="&amp;$Z$2,LS[Date Value],"&lt;="&amp;$Z$3))+(SUMIFS(SIP[Amount],SIP[Investor ID],A240,SIP[B/S],"B",SIP[Date Value],"&gt;="&amp;$Z$2,SIP[Date Value],"&lt;="&amp;$Z$3))</f>
        <v>0</v>
      </c>
      <c r="L240" s="47">
        <f>(-SUMIFS(LS[Unit],LS[Investor ID],A240,LS[B/S],"S",LS[Date Value],"&gt;="&amp;$Z$2,LS[Date Value],"&lt;="&amp;$Z$3))+(-SUMIFS(SIP[Unit],SIP[Investor ID],A240,SIP[B/S],"S",SIP[Date Value],"&gt;="&amp;$Z$2,SIP[Date Value],"&lt;="&amp;$Z$3))</f>
        <v>0</v>
      </c>
      <c r="M240" s="49">
        <f>(SUMIFS(LS[Cost of Units Sold],LS[Investor ID],A240,LS[B/S],"S",LS[Date Value],"&gt;="&amp;$Z$2,LS[Date Value],"&lt;="&amp;$Z$3))+(SUMIFS(SIP[Cost of Units Sold],SIP[Investor ID],A240,SIP[B/S],"S",SIP[Date Value],"&gt;="&amp;$Z$2,SIP[Date Value],"&lt;="&amp;$Z$3))</f>
        <v>0</v>
      </c>
      <c r="N240" s="49">
        <f t="shared" si="19"/>
        <v>0</v>
      </c>
      <c r="O240" s="49">
        <f>(SUMIFS(LS[Realized Gain],LS[Investor ID],A240,LS[Date Value],"&gt;="&amp;$Z$2,LS[Date Value],"&lt;="&amp;$Z$3))+(SUMIFS(SIP[Realized Gain],SIP[Investor ID],A240,SIP[Date Value],"&gt;="&amp;$Z$2,SIP[Date Value],"&lt;="&amp;$Z$3))</f>
        <v>0</v>
      </c>
      <c r="P240" s="49">
        <v>0</v>
      </c>
      <c r="Q240" s="49">
        <v>0</v>
      </c>
      <c r="R240" s="49">
        <v>0</v>
      </c>
    </row>
    <row r="241" spans="1:18">
      <c r="A241" t="s">
        <v>531</v>
      </c>
      <c r="B241" s="47">
        <f>SUMIFS(LS[Unit],LS[Investor ID],'TAX CERTIFICATE'!A241,LS[Date Value],"&lt;"&amp;$Z$2)+SUMIFS(SIP[Unit],SIP[Investor ID],'TAX CERTIFICATE'!A241,SIP[Date Value],"&lt;"&amp;$Z$2)</f>
        <v>0</v>
      </c>
      <c r="C241" s="48">
        <f>(SUMIFS(LS[Amount],LS[B/S],"B",LS[Investor ID],A241,LS[Date Value],"&lt;"&amp;$Z$2)-SUMIFS(LS[Cost of Units Sold],LS[B/S],"S",LS[Investor ID],A241,LS[Date Value],"&lt;"&amp;$Z$2))+(SUMIFS(SIP[Amount],SIP[B/S],"B",SIP[Investor ID],#REF!,SIP[Date Value],"&lt;"&amp;$Z$2)-SUMIFS(SIP[Cost of Units Sold],SIP[B/S],"S",SIP[Investor ID],A241,SIP[Date Value],"&lt;"&amp;$Z$2))</f>
        <v>0</v>
      </c>
      <c r="D241" s="49">
        <f t="shared" si="15"/>
        <v>0</v>
      </c>
      <c r="E241" s="49">
        <f t="shared" si="16"/>
        <v>0</v>
      </c>
      <c r="F241" s="47">
        <f>SUMIFS(LS[Unit],LS[Investor ID],A241,LS[Date Value],"&lt;="&amp;$Z$3)+SUMIFS(SIP[Unit],SIP[Investor ID],A241,SIP[Date Value],"&lt;="&amp;$Z$3)</f>
        <v>0</v>
      </c>
      <c r="G241" s="49">
        <f>(SUMIFS(LS[Amount],LS[B/S],"B",LS[Investor ID],A241,LS[Date Value],"&lt;="&amp;$Z$3)-SUMIFS(LS[Cost of Units Sold],LS[B/S],"S",LS[Investor ID],A241,LS[Date Value],"&lt;="&amp;$Z$3))+(SUMIFS(SIP[Amount],SIP[B/S],"B",SIP[Investor ID],A241,SIP[Date Value],"&lt;="&amp;$Z$3)-SUMIFS(SIP[Cost of Units Sold],SIP[B/S],"S",SIP[Investor ID],A241,SIP[Date Value],"&lt;="&amp;$Z$3))</f>
        <v>0</v>
      </c>
      <c r="H241" s="49">
        <f t="shared" si="17"/>
        <v>0</v>
      </c>
      <c r="I241" s="49">
        <f t="shared" si="18"/>
        <v>0</v>
      </c>
      <c r="J241" s="47">
        <f>(SUMIFS(LS[Unit],LS[Investor ID],A241,LS[B/S],"B",LS[Date Value],"&gt;="&amp;$Z$2,LS[Date Value],"&lt;="&amp;$Z$3))+(SUMIFS(SIP[Unit],SIP[Investor ID],A241,SIP[B/S],"B",SIP[Date Value],"&gt;="&amp;$Z$2,SIP[Date Value],"&lt;="&amp;$Z$3))</f>
        <v>0</v>
      </c>
      <c r="K241" s="49">
        <f>(SUMIFS(LS[Amount],LS[Investor ID],A241,LS[B/S],"B",LS[Date Value],"&gt;="&amp;$Z$2,LS[Date Value],"&lt;="&amp;$Z$3))+(SUMIFS(SIP[Amount],SIP[Investor ID],A241,SIP[B/S],"B",SIP[Date Value],"&gt;="&amp;$Z$2,SIP[Date Value],"&lt;="&amp;$Z$3))</f>
        <v>0</v>
      </c>
      <c r="L241" s="47">
        <f>(-SUMIFS(LS[Unit],LS[Investor ID],A241,LS[B/S],"S",LS[Date Value],"&gt;="&amp;$Z$2,LS[Date Value],"&lt;="&amp;$Z$3))+(-SUMIFS(SIP[Unit],SIP[Investor ID],A241,SIP[B/S],"S",SIP[Date Value],"&gt;="&amp;$Z$2,SIP[Date Value],"&lt;="&amp;$Z$3))</f>
        <v>0</v>
      </c>
      <c r="M241" s="49">
        <f>(SUMIFS(LS[Cost of Units Sold],LS[Investor ID],A241,LS[B/S],"S",LS[Date Value],"&gt;="&amp;$Z$2,LS[Date Value],"&lt;="&amp;$Z$3))+(SUMIFS(SIP[Cost of Units Sold],SIP[Investor ID],A241,SIP[B/S],"S",SIP[Date Value],"&gt;="&amp;$Z$2,SIP[Date Value],"&lt;="&amp;$Z$3))</f>
        <v>0</v>
      </c>
      <c r="N241" s="49">
        <f t="shared" si="19"/>
        <v>0</v>
      </c>
      <c r="O241" s="49">
        <f>(SUMIFS(LS[Realized Gain],LS[Investor ID],A241,LS[Date Value],"&gt;="&amp;$Z$2,LS[Date Value],"&lt;="&amp;$Z$3))+(SUMIFS(SIP[Realized Gain],SIP[Investor ID],A241,SIP[Date Value],"&gt;="&amp;$Z$2,SIP[Date Value],"&lt;="&amp;$Z$3))</f>
        <v>0</v>
      </c>
      <c r="P241" s="49">
        <v>0</v>
      </c>
      <c r="Q241" s="49">
        <v>0</v>
      </c>
      <c r="R241" s="49">
        <v>0</v>
      </c>
    </row>
    <row r="242" spans="1:18">
      <c r="A242" t="s">
        <v>533</v>
      </c>
      <c r="B242" s="47">
        <f>SUMIFS(LS[Unit],LS[Investor ID],'TAX CERTIFICATE'!A242,LS[Date Value],"&lt;"&amp;$Z$2)+SUMIFS(SIP[Unit],SIP[Investor ID],'TAX CERTIFICATE'!A242,SIP[Date Value],"&lt;"&amp;$Z$2)</f>
        <v>0</v>
      </c>
      <c r="C242" s="48">
        <f>(SUMIFS(LS[Amount],LS[B/S],"B",LS[Investor ID],A242,LS[Date Value],"&lt;"&amp;$Z$2)-SUMIFS(LS[Cost of Units Sold],LS[B/S],"S",LS[Investor ID],A242,LS[Date Value],"&lt;"&amp;$Z$2))+(SUMIFS(SIP[Amount],SIP[B/S],"B",SIP[Investor ID],#REF!,SIP[Date Value],"&lt;"&amp;$Z$2)-SUMIFS(SIP[Cost of Units Sold],SIP[B/S],"S",SIP[Investor ID],A242,SIP[Date Value],"&lt;"&amp;$Z$2))</f>
        <v>0</v>
      </c>
      <c r="D242" s="49">
        <f t="shared" si="15"/>
        <v>0</v>
      </c>
      <c r="E242" s="49">
        <f t="shared" si="16"/>
        <v>0</v>
      </c>
      <c r="F242" s="47">
        <f>SUMIFS(LS[Unit],LS[Investor ID],A242,LS[Date Value],"&lt;="&amp;$Z$3)+SUMIFS(SIP[Unit],SIP[Investor ID],A242,SIP[Date Value],"&lt;="&amp;$Z$3)</f>
        <v>12473</v>
      </c>
      <c r="G242" s="49">
        <f>(SUMIFS(LS[Amount],LS[B/S],"B",LS[Investor ID],A242,LS[Date Value],"&lt;="&amp;$Z$3)-SUMIFS(LS[Cost of Units Sold],LS[B/S],"S",LS[Investor ID],A242,LS[Date Value],"&lt;="&amp;$Z$3))+(SUMIFS(SIP[Amount],SIP[B/S],"B",SIP[Investor ID],A242,SIP[Date Value],"&lt;="&amp;$Z$3)-SUMIFS(SIP[Cost of Units Sold],SIP[B/S],"S",SIP[Investor ID],A242,SIP[Date Value],"&lt;="&amp;$Z$3))</f>
        <v>135000</v>
      </c>
      <c r="H242" s="49">
        <f t="shared" si="17"/>
        <v>139248.57199999999</v>
      </c>
      <c r="I242" s="49">
        <f t="shared" si="18"/>
        <v>4248.5719999999856</v>
      </c>
      <c r="J242" s="47">
        <f>(SUMIFS(LS[Unit],LS[Investor ID],A242,LS[B/S],"B",LS[Date Value],"&gt;="&amp;$Z$2,LS[Date Value],"&lt;="&amp;$Z$3))+(SUMIFS(SIP[Unit],SIP[Investor ID],A242,SIP[B/S],"B",SIP[Date Value],"&gt;="&amp;$Z$2,SIP[Date Value],"&lt;="&amp;$Z$3))</f>
        <v>12473</v>
      </c>
      <c r="K242" s="49">
        <f>(SUMIFS(LS[Amount],LS[Investor ID],A242,LS[B/S],"B",LS[Date Value],"&gt;="&amp;$Z$2,LS[Date Value],"&lt;="&amp;$Z$3))+(SUMIFS(SIP[Amount],SIP[Investor ID],A242,SIP[B/S],"B",SIP[Date Value],"&gt;="&amp;$Z$2,SIP[Date Value],"&lt;="&amp;$Z$3))</f>
        <v>135000</v>
      </c>
      <c r="L242" s="47">
        <f>(-SUMIFS(LS[Unit],LS[Investor ID],A242,LS[B/S],"S",LS[Date Value],"&gt;="&amp;$Z$2,LS[Date Value],"&lt;="&amp;$Z$3))+(-SUMIFS(SIP[Unit],SIP[Investor ID],A242,SIP[B/S],"S",SIP[Date Value],"&gt;="&amp;$Z$2,SIP[Date Value],"&lt;="&amp;$Z$3))</f>
        <v>0</v>
      </c>
      <c r="M242" s="49">
        <f>(SUMIFS(LS[Cost of Units Sold],LS[Investor ID],A242,LS[B/S],"S",LS[Date Value],"&gt;="&amp;$Z$2,LS[Date Value],"&lt;="&amp;$Z$3))+(SUMIFS(SIP[Cost of Units Sold],SIP[Investor ID],A242,SIP[B/S],"S",SIP[Date Value],"&gt;="&amp;$Z$2,SIP[Date Value],"&lt;="&amp;$Z$3))</f>
        <v>0</v>
      </c>
      <c r="N242" s="49">
        <f t="shared" si="19"/>
        <v>135000</v>
      </c>
      <c r="O242" s="49">
        <f>(SUMIFS(LS[Realized Gain],LS[Investor ID],A242,LS[Date Value],"&gt;="&amp;$Z$2,LS[Date Value],"&lt;="&amp;$Z$3))+(SUMIFS(SIP[Realized Gain],SIP[Investor ID],A242,SIP[Date Value],"&gt;="&amp;$Z$2,SIP[Date Value],"&lt;="&amp;$Z$3))</f>
        <v>0</v>
      </c>
      <c r="P242" s="49">
        <v>0</v>
      </c>
      <c r="Q242" s="49">
        <v>0</v>
      </c>
      <c r="R242" s="49">
        <v>0</v>
      </c>
    </row>
    <row r="243" spans="1:18">
      <c r="A243" t="s">
        <v>535</v>
      </c>
      <c r="B243" s="47">
        <f>SUMIFS(LS[Unit],LS[Investor ID],'TAX CERTIFICATE'!A243,LS[Date Value],"&lt;"&amp;$Z$2)+SUMIFS(SIP[Unit],SIP[Investor ID],'TAX CERTIFICATE'!A243,SIP[Date Value],"&lt;"&amp;$Z$2)</f>
        <v>0</v>
      </c>
      <c r="C243" s="48">
        <f>(SUMIFS(LS[Amount],LS[B/S],"B",LS[Investor ID],A243,LS[Date Value],"&lt;"&amp;$Z$2)-SUMIFS(LS[Cost of Units Sold],LS[B/S],"S",LS[Investor ID],A243,LS[Date Value],"&lt;"&amp;$Z$2))+(SUMIFS(SIP[Amount],SIP[B/S],"B",SIP[Investor ID],#REF!,SIP[Date Value],"&lt;"&amp;$Z$2)-SUMIFS(SIP[Cost of Units Sold],SIP[B/S],"S",SIP[Investor ID],A243,SIP[Date Value],"&lt;"&amp;$Z$2))</f>
        <v>0</v>
      </c>
      <c r="D243" s="49">
        <f t="shared" si="15"/>
        <v>0</v>
      </c>
      <c r="E243" s="49">
        <f t="shared" si="16"/>
        <v>0</v>
      </c>
      <c r="F243" s="47">
        <f>SUMIFS(LS[Unit],LS[Investor ID],A243,LS[Date Value],"&lt;="&amp;$Z$3)+SUMIFS(SIP[Unit],SIP[Investor ID],A243,SIP[Date Value],"&lt;="&amp;$Z$3)</f>
        <v>0</v>
      </c>
      <c r="G243" s="49">
        <f>(SUMIFS(LS[Amount],LS[B/S],"B",LS[Investor ID],A243,LS[Date Value],"&lt;="&amp;$Z$3)-SUMIFS(LS[Cost of Units Sold],LS[B/S],"S",LS[Investor ID],A243,LS[Date Value],"&lt;="&amp;$Z$3))+(SUMIFS(SIP[Amount],SIP[B/S],"B",SIP[Investor ID],A243,SIP[Date Value],"&lt;="&amp;$Z$3)-SUMIFS(SIP[Cost of Units Sold],SIP[B/S],"S",SIP[Investor ID],A243,SIP[Date Value],"&lt;="&amp;$Z$3))</f>
        <v>0</v>
      </c>
      <c r="H243" s="49">
        <f t="shared" si="17"/>
        <v>0</v>
      </c>
      <c r="I243" s="49">
        <f t="shared" si="18"/>
        <v>0</v>
      </c>
      <c r="J243" s="47">
        <f>(SUMIFS(LS[Unit],LS[Investor ID],A243,LS[B/S],"B",LS[Date Value],"&gt;="&amp;$Z$2,LS[Date Value],"&lt;="&amp;$Z$3))+(SUMIFS(SIP[Unit],SIP[Investor ID],A243,SIP[B/S],"B",SIP[Date Value],"&gt;="&amp;$Z$2,SIP[Date Value],"&lt;="&amp;$Z$3))</f>
        <v>0</v>
      </c>
      <c r="K243" s="49">
        <f>(SUMIFS(LS[Amount],LS[Investor ID],A243,LS[B/S],"B",LS[Date Value],"&gt;="&amp;$Z$2,LS[Date Value],"&lt;="&amp;$Z$3))+(SUMIFS(SIP[Amount],SIP[Investor ID],A243,SIP[B/S],"B",SIP[Date Value],"&gt;="&amp;$Z$2,SIP[Date Value],"&lt;="&amp;$Z$3))</f>
        <v>0</v>
      </c>
      <c r="L243" s="47">
        <f>(-SUMIFS(LS[Unit],LS[Investor ID],A243,LS[B/S],"S",LS[Date Value],"&gt;="&amp;$Z$2,LS[Date Value],"&lt;="&amp;$Z$3))+(-SUMIFS(SIP[Unit],SIP[Investor ID],A243,SIP[B/S],"S",SIP[Date Value],"&gt;="&amp;$Z$2,SIP[Date Value],"&lt;="&amp;$Z$3))</f>
        <v>0</v>
      </c>
      <c r="M243" s="49">
        <f>(SUMIFS(LS[Cost of Units Sold],LS[Investor ID],A243,LS[B/S],"S",LS[Date Value],"&gt;="&amp;$Z$2,LS[Date Value],"&lt;="&amp;$Z$3))+(SUMIFS(SIP[Cost of Units Sold],SIP[Investor ID],A243,SIP[B/S],"S",SIP[Date Value],"&gt;="&amp;$Z$2,SIP[Date Value],"&lt;="&amp;$Z$3))</f>
        <v>0</v>
      </c>
      <c r="N243" s="49">
        <f t="shared" si="19"/>
        <v>0</v>
      </c>
      <c r="O243" s="49">
        <f>(SUMIFS(LS[Realized Gain],LS[Investor ID],A243,LS[Date Value],"&gt;="&amp;$Z$2,LS[Date Value],"&lt;="&amp;$Z$3))+(SUMIFS(SIP[Realized Gain],SIP[Investor ID],A243,SIP[Date Value],"&gt;="&amp;$Z$2,SIP[Date Value],"&lt;="&amp;$Z$3))</f>
        <v>0</v>
      </c>
      <c r="P243" s="49">
        <v>0</v>
      </c>
      <c r="Q243" s="49">
        <v>0</v>
      </c>
      <c r="R243" s="49">
        <v>0</v>
      </c>
    </row>
    <row r="244" spans="1:18">
      <c r="A244" t="s">
        <v>537</v>
      </c>
      <c r="B244" s="47">
        <f>SUMIFS(LS[Unit],LS[Investor ID],'TAX CERTIFICATE'!A244,LS[Date Value],"&lt;"&amp;$Z$2)+SUMIFS(SIP[Unit],SIP[Investor ID],'TAX CERTIFICATE'!A244,SIP[Date Value],"&lt;"&amp;$Z$2)</f>
        <v>0</v>
      </c>
      <c r="C244" s="48">
        <f>(SUMIFS(LS[Amount],LS[B/S],"B",LS[Investor ID],A244,LS[Date Value],"&lt;"&amp;$Z$2)-SUMIFS(LS[Cost of Units Sold],LS[B/S],"S",LS[Investor ID],A244,LS[Date Value],"&lt;"&amp;$Z$2))+(SUMIFS(SIP[Amount],SIP[B/S],"B",SIP[Investor ID],#REF!,SIP[Date Value],"&lt;"&amp;$Z$2)-SUMIFS(SIP[Cost of Units Sold],SIP[B/S],"S",SIP[Investor ID],A244,SIP[Date Value],"&lt;"&amp;$Z$2))</f>
        <v>0</v>
      </c>
      <c r="D244" s="49">
        <f t="shared" si="15"/>
        <v>0</v>
      </c>
      <c r="E244" s="49">
        <f t="shared" si="16"/>
        <v>0</v>
      </c>
      <c r="F244" s="47">
        <f>SUMIFS(LS[Unit],LS[Investor ID],A244,LS[Date Value],"&lt;="&amp;$Z$3)+SUMIFS(SIP[Unit],SIP[Investor ID],A244,SIP[Date Value],"&lt;="&amp;$Z$3)</f>
        <v>20458</v>
      </c>
      <c r="G244" s="49">
        <f>(SUMIFS(LS[Amount],LS[B/S],"B",LS[Investor ID],A244,LS[Date Value],"&lt;="&amp;$Z$3)-SUMIFS(LS[Cost of Units Sold],LS[B/S],"S",LS[Investor ID],A244,LS[Date Value],"&lt;="&amp;$Z$3))+(SUMIFS(SIP[Amount],SIP[B/S],"B",SIP[Investor ID],A244,SIP[Date Value],"&lt;="&amp;$Z$3)-SUMIFS(SIP[Cost of Units Sold],SIP[B/S],"S",SIP[Investor ID],A244,SIP[Date Value],"&lt;="&amp;$Z$3))</f>
        <v>220000</v>
      </c>
      <c r="H244" s="49">
        <f t="shared" si="17"/>
        <v>228393.11199999999</v>
      </c>
      <c r="I244" s="49">
        <f t="shared" si="18"/>
        <v>8393.1119999999937</v>
      </c>
      <c r="J244" s="47">
        <f>(SUMIFS(LS[Unit],LS[Investor ID],A244,LS[B/S],"B",LS[Date Value],"&gt;="&amp;$Z$2,LS[Date Value],"&lt;="&amp;$Z$3))+(SUMIFS(SIP[Unit],SIP[Investor ID],A244,SIP[B/S],"B",SIP[Date Value],"&gt;="&amp;$Z$2,SIP[Date Value],"&lt;="&amp;$Z$3))</f>
        <v>20458</v>
      </c>
      <c r="K244" s="49">
        <f>(SUMIFS(LS[Amount],LS[Investor ID],A244,LS[B/S],"B",LS[Date Value],"&gt;="&amp;$Z$2,LS[Date Value],"&lt;="&amp;$Z$3))+(SUMIFS(SIP[Amount],SIP[Investor ID],A244,SIP[B/S],"B",SIP[Date Value],"&gt;="&amp;$Z$2,SIP[Date Value],"&lt;="&amp;$Z$3))</f>
        <v>220000</v>
      </c>
      <c r="L244" s="47">
        <f>(-SUMIFS(LS[Unit],LS[Investor ID],A244,LS[B/S],"S",LS[Date Value],"&gt;="&amp;$Z$2,LS[Date Value],"&lt;="&amp;$Z$3))+(-SUMIFS(SIP[Unit],SIP[Investor ID],A244,SIP[B/S],"S",SIP[Date Value],"&gt;="&amp;$Z$2,SIP[Date Value],"&lt;="&amp;$Z$3))</f>
        <v>0</v>
      </c>
      <c r="M244" s="49">
        <f>(SUMIFS(LS[Cost of Units Sold],LS[Investor ID],A244,LS[B/S],"S",LS[Date Value],"&gt;="&amp;$Z$2,LS[Date Value],"&lt;="&amp;$Z$3))+(SUMIFS(SIP[Cost of Units Sold],SIP[Investor ID],A244,SIP[B/S],"S",SIP[Date Value],"&gt;="&amp;$Z$2,SIP[Date Value],"&lt;="&amp;$Z$3))</f>
        <v>0</v>
      </c>
      <c r="N244" s="49">
        <f t="shared" si="19"/>
        <v>220000</v>
      </c>
      <c r="O244" s="49">
        <f>(SUMIFS(LS[Realized Gain],LS[Investor ID],A244,LS[Date Value],"&gt;="&amp;$Z$2,LS[Date Value],"&lt;="&amp;$Z$3))+(SUMIFS(SIP[Realized Gain],SIP[Investor ID],A244,SIP[Date Value],"&gt;="&amp;$Z$2,SIP[Date Value],"&lt;="&amp;$Z$3))</f>
        <v>0</v>
      </c>
      <c r="P244" s="49">
        <v>0</v>
      </c>
      <c r="Q244" s="49">
        <v>0</v>
      </c>
      <c r="R244" s="49">
        <v>0</v>
      </c>
    </row>
    <row r="245" spans="1:18">
      <c r="A245" t="s">
        <v>540</v>
      </c>
      <c r="B245" s="47">
        <f>SUMIFS(LS[Unit],LS[Investor ID],'TAX CERTIFICATE'!A245,LS[Date Value],"&lt;"&amp;$Z$2)+SUMIFS(SIP[Unit],SIP[Investor ID],'TAX CERTIFICATE'!A245,SIP[Date Value],"&lt;"&amp;$Z$2)</f>
        <v>0</v>
      </c>
      <c r="C245" s="48">
        <f>(SUMIFS(LS[Amount],LS[B/S],"B",LS[Investor ID],A245,LS[Date Value],"&lt;"&amp;$Z$2)-SUMIFS(LS[Cost of Units Sold],LS[B/S],"S",LS[Investor ID],A245,LS[Date Value],"&lt;"&amp;$Z$2))+(SUMIFS(SIP[Amount],SIP[B/S],"B",SIP[Investor ID],#REF!,SIP[Date Value],"&lt;"&amp;$Z$2)-SUMIFS(SIP[Cost of Units Sold],SIP[B/S],"S",SIP[Investor ID],A245,SIP[Date Value],"&lt;"&amp;$Z$2))</f>
        <v>0</v>
      </c>
      <c r="D245" s="49">
        <f t="shared" si="15"/>
        <v>0</v>
      </c>
      <c r="E245" s="49">
        <f t="shared" si="16"/>
        <v>0</v>
      </c>
      <c r="F245" s="47">
        <f>SUMIFS(LS[Unit],LS[Investor ID],A245,LS[Date Value],"&lt;="&amp;$Z$3)+SUMIFS(SIP[Unit],SIP[Investor ID],A245,SIP[Date Value],"&lt;="&amp;$Z$3)</f>
        <v>0</v>
      </c>
      <c r="G245" s="49">
        <f>(SUMIFS(LS[Amount],LS[B/S],"B",LS[Investor ID],A245,LS[Date Value],"&lt;="&amp;$Z$3)-SUMIFS(LS[Cost of Units Sold],LS[B/S],"S",LS[Investor ID],A245,LS[Date Value],"&lt;="&amp;$Z$3))+(SUMIFS(SIP[Amount],SIP[B/S],"B",SIP[Investor ID],A245,SIP[Date Value],"&lt;="&amp;$Z$3)-SUMIFS(SIP[Cost of Units Sold],SIP[B/S],"S",SIP[Investor ID],A245,SIP[Date Value],"&lt;="&amp;$Z$3))</f>
        <v>0</v>
      </c>
      <c r="H245" s="49">
        <f t="shared" si="17"/>
        <v>0</v>
      </c>
      <c r="I245" s="49">
        <f t="shared" si="18"/>
        <v>0</v>
      </c>
      <c r="J245" s="47">
        <f>(SUMIFS(LS[Unit],LS[Investor ID],A245,LS[B/S],"B",LS[Date Value],"&gt;="&amp;$Z$2,LS[Date Value],"&lt;="&amp;$Z$3))+(SUMIFS(SIP[Unit],SIP[Investor ID],A245,SIP[B/S],"B",SIP[Date Value],"&gt;="&amp;$Z$2,SIP[Date Value],"&lt;="&amp;$Z$3))</f>
        <v>0</v>
      </c>
      <c r="K245" s="49">
        <f>(SUMIFS(LS[Amount],LS[Investor ID],A245,LS[B/S],"B",LS[Date Value],"&gt;="&amp;$Z$2,LS[Date Value],"&lt;="&amp;$Z$3))+(SUMIFS(SIP[Amount],SIP[Investor ID],A245,SIP[B/S],"B",SIP[Date Value],"&gt;="&amp;$Z$2,SIP[Date Value],"&lt;="&amp;$Z$3))</f>
        <v>0</v>
      </c>
      <c r="L245" s="47">
        <f>(-SUMIFS(LS[Unit],LS[Investor ID],A245,LS[B/S],"S",LS[Date Value],"&gt;="&amp;$Z$2,LS[Date Value],"&lt;="&amp;$Z$3))+(-SUMIFS(SIP[Unit],SIP[Investor ID],A245,SIP[B/S],"S",SIP[Date Value],"&gt;="&amp;$Z$2,SIP[Date Value],"&lt;="&amp;$Z$3))</f>
        <v>0</v>
      </c>
      <c r="M245" s="49">
        <f>(SUMIFS(LS[Cost of Units Sold],LS[Investor ID],A245,LS[B/S],"S",LS[Date Value],"&gt;="&amp;$Z$2,LS[Date Value],"&lt;="&amp;$Z$3))+(SUMIFS(SIP[Cost of Units Sold],SIP[Investor ID],A245,SIP[B/S],"S",SIP[Date Value],"&gt;="&amp;$Z$2,SIP[Date Value],"&lt;="&amp;$Z$3))</f>
        <v>0</v>
      </c>
      <c r="N245" s="49">
        <f t="shared" si="19"/>
        <v>0</v>
      </c>
      <c r="O245" s="49">
        <f>(SUMIFS(LS[Realized Gain],LS[Investor ID],A245,LS[Date Value],"&gt;="&amp;$Z$2,LS[Date Value],"&lt;="&amp;$Z$3))+(SUMIFS(SIP[Realized Gain],SIP[Investor ID],A245,SIP[Date Value],"&gt;="&amp;$Z$2,SIP[Date Value],"&lt;="&amp;$Z$3))</f>
        <v>0</v>
      </c>
      <c r="P245" s="49">
        <v>0</v>
      </c>
      <c r="Q245" s="49">
        <v>0</v>
      </c>
      <c r="R245" s="49">
        <v>0</v>
      </c>
    </row>
    <row r="246" spans="1:18">
      <c r="A246" t="s">
        <v>542</v>
      </c>
      <c r="B246" s="47">
        <f>SUMIFS(LS[Unit],LS[Investor ID],'TAX CERTIFICATE'!A246,LS[Date Value],"&lt;"&amp;$Z$2)+SUMIFS(SIP[Unit],SIP[Investor ID],'TAX CERTIFICATE'!A246,SIP[Date Value],"&lt;"&amp;$Z$2)</f>
        <v>0</v>
      </c>
      <c r="C246" s="48">
        <f>(SUMIFS(LS[Amount],LS[B/S],"B",LS[Investor ID],A246,LS[Date Value],"&lt;"&amp;$Z$2)-SUMIFS(LS[Cost of Units Sold],LS[B/S],"S",LS[Investor ID],A246,LS[Date Value],"&lt;"&amp;$Z$2))+(SUMIFS(SIP[Amount],SIP[B/S],"B",SIP[Investor ID],#REF!,SIP[Date Value],"&lt;"&amp;$Z$2)-SUMIFS(SIP[Cost of Units Sold],SIP[B/S],"S",SIP[Investor ID],A246,SIP[Date Value],"&lt;"&amp;$Z$2))</f>
        <v>0</v>
      </c>
      <c r="D246" s="49">
        <f t="shared" si="15"/>
        <v>0</v>
      </c>
      <c r="E246" s="49">
        <f t="shared" si="16"/>
        <v>0</v>
      </c>
      <c r="F246" s="47">
        <f>SUMIFS(LS[Unit],LS[Investor ID],A246,LS[Date Value],"&lt;="&amp;$Z$3)+SUMIFS(SIP[Unit],SIP[Investor ID],A246,SIP[Date Value],"&lt;="&amp;$Z$3)</f>
        <v>0</v>
      </c>
      <c r="G246" s="49">
        <f>(SUMIFS(LS[Amount],LS[B/S],"B",LS[Investor ID],A246,LS[Date Value],"&lt;="&amp;$Z$3)-SUMIFS(LS[Cost of Units Sold],LS[B/S],"S",LS[Investor ID],A246,LS[Date Value],"&lt;="&amp;$Z$3))+(SUMIFS(SIP[Amount],SIP[B/S],"B",SIP[Investor ID],A246,SIP[Date Value],"&lt;="&amp;$Z$3)-SUMIFS(SIP[Cost of Units Sold],SIP[B/S],"S",SIP[Investor ID],A246,SIP[Date Value],"&lt;="&amp;$Z$3))</f>
        <v>0</v>
      </c>
      <c r="H246" s="49">
        <f t="shared" si="17"/>
        <v>0</v>
      </c>
      <c r="I246" s="49">
        <f t="shared" si="18"/>
        <v>0</v>
      </c>
      <c r="J246" s="47">
        <f>(SUMIFS(LS[Unit],LS[Investor ID],A246,LS[B/S],"B",LS[Date Value],"&gt;="&amp;$Z$2,LS[Date Value],"&lt;="&amp;$Z$3))+(SUMIFS(SIP[Unit],SIP[Investor ID],A246,SIP[B/S],"B",SIP[Date Value],"&gt;="&amp;$Z$2,SIP[Date Value],"&lt;="&amp;$Z$3))</f>
        <v>0</v>
      </c>
      <c r="K246" s="49">
        <f>(SUMIFS(LS[Amount],LS[Investor ID],A246,LS[B/S],"B",LS[Date Value],"&gt;="&amp;$Z$2,LS[Date Value],"&lt;="&amp;$Z$3))+(SUMIFS(SIP[Amount],SIP[Investor ID],A246,SIP[B/S],"B",SIP[Date Value],"&gt;="&amp;$Z$2,SIP[Date Value],"&lt;="&amp;$Z$3))</f>
        <v>0</v>
      </c>
      <c r="L246" s="47">
        <f>(-SUMIFS(LS[Unit],LS[Investor ID],A246,LS[B/S],"S",LS[Date Value],"&gt;="&amp;$Z$2,LS[Date Value],"&lt;="&amp;$Z$3))+(-SUMIFS(SIP[Unit],SIP[Investor ID],A246,SIP[B/S],"S",SIP[Date Value],"&gt;="&amp;$Z$2,SIP[Date Value],"&lt;="&amp;$Z$3))</f>
        <v>0</v>
      </c>
      <c r="M246" s="49">
        <f>(SUMIFS(LS[Cost of Units Sold],LS[Investor ID],A246,LS[B/S],"S",LS[Date Value],"&gt;="&amp;$Z$2,LS[Date Value],"&lt;="&amp;$Z$3))+(SUMIFS(SIP[Cost of Units Sold],SIP[Investor ID],A246,SIP[B/S],"S",SIP[Date Value],"&gt;="&amp;$Z$2,SIP[Date Value],"&lt;="&amp;$Z$3))</f>
        <v>0</v>
      </c>
      <c r="N246" s="49">
        <f t="shared" si="19"/>
        <v>0</v>
      </c>
      <c r="O246" s="49">
        <f>(SUMIFS(LS[Realized Gain],LS[Investor ID],A246,LS[Date Value],"&gt;="&amp;$Z$2,LS[Date Value],"&lt;="&amp;$Z$3))+(SUMIFS(SIP[Realized Gain],SIP[Investor ID],A246,SIP[Date Value],"&gt;="&amp;$Z$2,SIP[Date Value],"&lt;="&amp;$Z$3))</f>
        <v>0</v>
      </c>
      <c r="P246" s="49">
        <v>0</v>
      </c>
      <c r="Q246" s="49">
        <v>0</v>
      </c>
      <c r="R246" s="49">
        <v>0</v>
      </c>
    </row>
    <row r="247" spans="1:18">
      <c r="A247" t="s">
        <v>544</v>
      </c>
      <c r="B247" s="47">
        <f>SUMIFS(LS[Unit],LS[Investor ID],'TAX CERTIFICATE'!A247,LS[Date Value],"&lt;"&amp;$Z$2)+SUMIFS(SIP[Unit],SIP[Investor ID],'TAX CERTIFICATE'!A247,SIP[Date Value],"&lt;"&amp;$Z$2)</f>
        <v>105919</v>
      </c>
      <c r="C247" s="48">
        <f>(SUMIFS(LS[Amount],LS[B/S],"B",LS[Investor ID],A247,LS[Date Value],"&lt;"&amp;$Z$2)-SUMIFS(LS[Cost of Units Sold],LS[B/S],"S",LS[Investor ID],A247,LS[Date Value],"&lt;"&amp;$Z$2))+(SUMIFS(SIP[Amount],SIP[B/S],"B",SIP[Investor ID],#REF!,SIP[Date Value],"&lt;"&amp;$Z$2)-SUMIFS(SIP[Cost of Units Sold],SIP[B/S],"S",SIP[Investor ID],A247,SIP[Date Value],"&lt;"&amp;$Z$2))</f>
        <v>1000000</v>
      </c>
      <c r="D247" s="49">
        <f t="shared" si="15"/>
        <v>1087894.0490000001</v>
      </c>
      <c r="E247" s="49">
        <f t="shared" si="16"/>
        <v>87894.049000000115</v>
      </c>
      <c r="F247" s="47">
        <f>SUMIFS(LS[Unit],LS[Investor ID],A247,LS[Date Value],"&lt;="&amp;$Z$3)+SUMIFS(SIP[Unit],SIP[Investor ID],A247,SIP[Date Value],"&lt;="&amp;$Z$3)</f>
        <v>128414</v>
      </c>
      <c r="G247" s="49">
        <f>(SUMIFS(LS[Amount],LS[B/S],"B",LS[Investor ID],A247,LS[Date Value],"&lt;="&amp;$Z$3)-SUMIFS(LS[Cost of Units Sold],LS[B/S],"S",LS[Investor ID],A247,LS[Date Value],"&lt;="&amp;$Z$3))+(SUMIFS(SIP[Amount],SIP[B/S],"B",SIP[Investor ID],A247,SIP[Date Value],"&lt;="&amp;$Z$3)-SUMIFS(SIP[Cost of Units Sold],SIP[B/S],"S",SIP[Investor ID],A247,SIP[Date Value],"&lt;="&amp;$Z$3))</f>
        <v>1300000</v>
      </c>
      <c r="H247" s="49">
        <f t="shared" si="17"/>
        <v>1433613.8959999999</v>
      </c>
      <c r="I247" s="49">
        <f t="shared" si="18"/>
        <v>133613.89599999995</v>
      </c>
      <c r="J247" s="47">
        <f>(SUMIFS(LS[Unit],LS[Investor ID],A247,LS[B/S],"B",LS[Date Value],"&gt;="&amp;$Z$2,LS[Date Value],"&lt;="&amp;$Z$3))+(SUMIFS(SIP[Unit],SIP[Investor ID],A247,SIP[B/S],"B",SIP[Date Value],"&gt;="&amp;$Z$2,SIP[Date Value],"&lt;="&amp;$Z$3))</f>
        <v>22495</v>
      </c>
      <c r="K247" s="49">
        <f>(SUMIFS(LS[Amount],LS[Investor ID],A247,LS[B/S],"B",LS[Date Value],"&gt;="&amp;$Z$2,LS[Date Value],"&lt;="&amp;$Z$3))+(SUMIFS(SIP[Amount],SIP[Investor ID],A247,SIP[B/S],"B",SIP[Date Value],"&gt;="&amp;$Z$2,SIP[Date Value],"&lt;="&amp;$Z$3))</f>
        <v>240000</v>
      </c>
      <c r="L247" s="47">
        <f>(-SUMIFS(LS[Unit],LS[Investor ID],A247,LS[B/S],"S",LS[Date Value],"&gt;="&amp;$Z$2,LS[Date Value],"&lt;="&amp;$Z$3))+(-SUMIFS(SIP[Unit],SIP[Investor ID],A247,SIP[B/S],"S",SIP[Date Value],"&gt;="&amp;$Z$2,SIP[Date Value],"&lt;="&amp;$Z$3))</f>
        <v>0</v>
      </c>
      <c r="M247" s="49">
        <f>(SUMIFS(LS[Cost of Units Sold],LS[Investor ID],A247,LS[B/S],"S",LS[Date Value],"&gt;="&amp;$Z$2,LS[Date Value],"&lt;="&amp;$Z$3))+(SUMIFS(SIP[Cost of Units Sold],SIP[Investor ID],A247,SIP[B/S],"S",SIP[Date Value],"&gt;="&amp;$Z$2,SIP[Date Value],"&lt;="&amp;$Z$3))</f>
        <v>0</v>
      </c>
      <c r="N247" s="49">
        <f t="shared" si="19"/>
        <v>240000</v>
      </c>
      <c r="O247" s="49">
        <f>(SUMIFS(LS[Realized Gain],LS[Investor ID],A247,LS[Date Value],"&gt;="&amp;$Z$2,LS[Date Value],"&lt;="&amp;$Z$3))+(SUMIFS(SIP[Realized Gain],SIP[Investor ID],A247,SIP[Date Value],"&gt;="&amp;$Z$2,SIP[Date Value],"&lt;="&amp;$Z$3))</f>
        <v>0</v>
      </c>
      <c r="P247" s="49">
        <v>0</v>
      </c>
      <c r="Q247" s="49">
        <v>0</v>
      </c>
      <c r="R247" s="49">
        <v>0</v>
      </c>
    </row>
    <row r="248" spans="1:18">
      <c r="A248" t="s">
        <v>546</v>
      </c>
      <c r="B248" s="47">
        <f>SUMIFS(LS[Unit],LS[Investor ID],'TAX CERTIFICATE'!A248,LS[Date Value],"&lt;"&amp;$Z$2)+SUMIFS(SIP[Unit],SIP[Investor ID],'TAX CERTIFICATE'!A248,SIP[Date Value],"&lt;"&amp;$Z$2)</f>
        <v>214798</v>
      </c>
      <c r="C248" s="48">
        <f>(SUMIFS(LS[Amount],LS[B/S],"B",LS[Investor ID],A248,LS[Date Value],"&lt;"&amp;$Z$2)-SUMIFS(LS[Cost of Units Sold],LS[B/S],"S",LS[Investor ID],A248,LS[Date Value],"&lt;"&amp;$Z$2))+(SUMIFS(SIP[Amount],SIP[B/S],"B",SIP[Investor ID],#REF!,SIP[Date Value],"&lt;"&amp;$Z$2)-SUMIFS(SIP[Cost of Units Sold],SIP[B/S],"S",SIP[Investor ID],A248,SIP[Date Value],"&lt;"&amp;$Z$2))</f>
        <v>2000000</v>
      </c>
      <c r="D248" s="49">
        <f t="shared" si="15"/>
        <v>2206190.2580000004</v>
      </c>
      <c r="E248" s="49">
        <f t="shared" si="16"/>
        <v>206190.25800000038</v>
      </c>
      <c r="F248" s="47">
        <f>SUMIFS(LS[Unit],LS[Investor ID],A248,LS[Date Value],"&lt;="&amp;$Z$3)+SUMIFS(SIP[Unit],SIP[Investor ID],A248,SIP[Date Value],"&lt;="&amp;$Z$3)</f>
        <v>248151</v>
      </c>
      <c r="G248" s="49">
        <f>(SUMIFS(LS[Amount],LS[B/S],"B",LS[Investor ID],A248,LS[Date Value],"&lt;="&amp;$Z$3)-SUMIFS(LS[Cost of Units Sold],LS[B/S],"S",LS[Investor ID],A248,LS[Date Value],"&lt;="&amp;$Z$3))+(SUMIFS(SIP[Amount],SIP[B/S],"B",SIP[Investor ID],A248,SIP[Date Value],"&lt;="&amp;$Z$3)-SUMIFS(SIP[Cost of Units Sold],SIP[B/S],"S",SIP[Investor ID],A248,SIP[Date Value],"&lt;="&amp;$Z$3))</f>
        <v>2500000</v>
      </c>
      <c r="H248" s="49">
        <f t="shared" si="17"/>
        <v>2770357.764</v>
      </c>
      <c r="I248" s="49">
        <f t="shared" si="18"/>
        <v>270357.76399999997</v>
      </c>
      <c r="J248" s="47">
        <f>(SUMIFS(LS[Unit],LS[Investor ID],A248,LS[B/S],"B",LS[Date Value],"&gt;="&amp;$Z$2,LS[Date Value],"&lt;="&amp;$Z$3))+(SUMIFS(SIP[Unit],SIP[Investor ID],A248,SIP[B/S],"B",SIP[Date Value],"&gt;="&amp;$Z$2,SIP[Date Value],"&lt;="&amp;$Z$3))</f>
        <v>33353</v>
      </c>
      <c r="K248" s="49">
        <f>(SUMIFS(LS[Amount],LS[Investor ID],A248,LS[B/S],"B",LS[Date Value],"&gt;="&amp;$Z$2,LS[Date Value],"&lt;="&amp;$Z$3))+(SUMIFS(SIP[Amount],SIP[Investor ID],A248,SIP[B/S],"B",SIP[Date Value],"&gt;="&amp;$Z$2,SIP[Date Value],"&lt;="&amp;$Z$3))</f>
        <v>350000</v>
      </c>
      <c r="L248" s="47">
        <f>(-SUMIFS(LS[Unit],LS[Investor ID],A248,LS[B/S],"S",LS[Date Value],"&gt;="&amp;$Z$2,LS[Date Value],"&lt;="&amp;$Z$3))+(-SUMIFS(SIP[Unit],SIP[Investor ID],A248,SIP[B/S],"S",SIP[Date Value],"&gt;="&amp;$Z$2,SIP[Date Value],"&lt;="&amp;$Z$3))</f>
        <v>0</v>
      </c>
      <c r="M248" s="49">
        <f>(SUMIFS(LS[Cost of Units Sold],LS[Investor ID],A248,LS[B/S],"S",LS[Date Value],"&gt;="&amp;$Z$2,LS[Date Value],"&lt;="&amp;$Z$3))+(SUMIFS(SIP[Cost of Units Sold],SIP[Investor ID],A248,SIP[B/S],"S",SIP[Date Value],"&gt;="&amp;$Z$2,SIP[Date Value],"&lt;="&amp;$Z$3))</f>
        <v>0</v>
      </c>
      <c r="N248" s="49">
        <f t="shared" si="19"/>
        <v>350000</v>
      </c>
      <c r="O248" s="49">
        <f>(SUMIFS(LS[Realized Gain],LS[Investor ID],A248,LS[Date Value],"&gt;="&amp;$Z$2,LS[Date Value],"&lt;="&amp;$Z$3))+(SUMIFS(SIP[Realized Gain],SIP[Investor ID],A248,SIP[Date Value],"&gt;="&amp;$Z$2,SIP[Date Value],"&lt;="&amp;$Z$3))</f>
        <v>0</v>
      </c>
      <c r="P248" s="49">
        <v>0</v>
      </c>
      <c r="Q248" s="49">
        <v>0</v>
      </c>
      <c r="R248" s="49">
        <v>0</v>
      </c>
    </row>
    <row r="249" spans="1:18">
      <c r="A249" t="s">
        <v>548</v>
      </c>
      <c r="B249" s="47">
        <f>SUMIFS(LS[Unit],LS[Investor ID],'TAX CERTIFICATE'!A249,LS[Date Value],"&lt;"&amp;$Z$2)+SUMIFS(SIP[Unit],SIP[Investor ID],'TAX CERTIFICATE'!A249,SIP[Date Value],"&lt;"&amp;$Z$2)</f>
        <v>0</v>
      </c>
      <c r="C249" s="48">
        <f>(SUMIFS(LS[Amount],LS[B/S],"B",LS[Investor ID],A249,LS[Date Value],"&lt;"&amp;$Z$2)-SUMIFS(LS[Cost of Units Sold],LS[B/S],"S",LS[Investor ID],A249,LS[Date Value],"&lt;"&amp;$Z$2))+(SUMIFS(SIP[Amount],SIP[B/S],"B",SIP[Investor ID],#REF!,SIP[Date Value],"&lt;"&amp;$Z$2)-SUMIFS(SIP[Cost of Units Sold],SIP[B/S],"S",SIP[Investor ID],A249,SIP[Date Value],"&lt;"&amp;$Z$2))</f>
        <v>0</v>
      </c>
      <c r="D249" s="49">
        <f t="shared" si="15"/>
        <v>0</v>
      </c>
      <c r="E249" s="49">
        <f t="shared" si="16"/>
        <v>0</v>
      </c>
      <c r="F249" s="47">
        <f>SUMIFS(LS[Unit],LS[Investor ID],A249,LS[Date Value],"&lt;="&amp;$Z$3)+SUMIFS(SIP[Unit],SIP[Investor ID],A249,SIP[Date Value],"&lt;="&amp;$Z$3)</f>
        <v>0</v>
      </c>
      <c r="G249" s="49">
        <f>(SUMIFS(LS[Amount],LS[B/S],"B",LS[Investor ID],A249,LS[Date Value],"&lt;="&amp;$Z$3)-SUMIFS(LS[Cost of Units Sold],LS[B/S],"S",LS[Investor ID],A249,LS[Date Value],"&lt;="&amp;$Z$3))+(SUMIFS(SIP[Amount],SIP[B/S],"B",SIP[Investor ID],A249,SIP[Date Value],"&lt;="&amp;$Z$3)-SUMIFS(SIP[Cost of Units Sold],SIP[B/S],"S",SIP[Investor ID],A249,SIP[Date Value],"&lt;="&amp;$Z$3))</f>
        <v>0</v>
      </c>
      <c r="H249" s="49">
        <f t="shared" si="17"/>
        <v>0</v>
      </c>
      <c r="I249" s="49">
        <f t="shared" si="18"/>
        <v>0</v>
      </c>
      <c r="J249" s="47">
        <f>(SUMIFS(LS[Unit],LS[Investor ID],A249,LS[B/S],"B",LS[Date Value],"&gt;="&amp;$Z$2,LS[Date Value],"&lt;="&amp;$Z$3))+(SUMIFS(SIP[Unit],SIP[Investor ID],A249,SIP[B/S],"B",SIP[Date Value],"&gt;="&amp;$Z$2,SIP[Date Value],"&lt;="&amp;$Z$3))</f>
        <v>0</v>
      </c>
      <c r="K249" s="49">
        <f>(SUMIFS(LS[Amount],LS[Investor ID],A249,LS[B/S],"B",LS[Date Value],"&gt;="&amp;$Z$2,LS[Date Value],"&lt;="&amp;$Z$3))+(SUMIFS(SIP[Amount],SIP[Investor ID],A249,SIP[B/S],"B",SIP[Date Value],"&gt;="&amp;$Z$2,SIP[Date Value],"&lt;="&amp;$Z$3))</f>
        <v>0</v>
      </c>
      <c r="L249" s="47">
        <f>(-SUMIFS(LS[Unit],LS[Investor ID],A249,LS[B/S],"S",LS[Date Value],"&gt;="&amp;$Z$2,LS[Date Value],"&lt;="&amp;$Z$3))+(-SUMIFS(SIP[Unit],SIP[Investor ID],A249,SIP[B/S],"S",SIP[Date Value],"&gt;="&amp;$Z$2,SIP[Date Value],"&lt;="&amp;$Z$3))</f>
        <v>0</v>
      </c>
      <c r="M249" s="49">
        <f>(SUMIFS(LS[Cost of Units Sold],LS[Investor ID],A249,LS[B/S],"S",LS[Date Value],"&gt;="&amp;$Z$2,LS[Date Value],"&lt;="&amp;$Z$3))+(SUMIFS(SIP[Cost of Units Sold],SIP[Investor ID],A249,SIP[B/S],"S",SIP[Date Value],"&gt;="&amp;$Z$2,SIP[Date Value],"&lt;="&amp;$Z$3))</f>
        <v>0</v>
      </c>
      <c r="N249" s="49">
        <f t="shared" si="19"/>
        <v>0</v>
      </c>
      <c r="O249" s="49">
        <f>(SUMIFS(LS[Realized Gain],LS[Investor ID],A249,LS[Date Value],"&gt;="&amp;$Z$2,LS[Date Value],"&lt;="&amp;$Z$3))+(SUMIFS(SIP[Realized Gain],SIP[Investor ID],A249,SIP[Date Value],"&gt;="&amp;$Z$2,SIP[Date Value],"&lt;="&amp;$Z$3))</f>
        <v>0</v>
      </c>
      <c r="P249" s="49">
        <v>0</v>
      </c>
      <c r="Q249" s="49">
        <v>0</v>
      </c>
      <c r="R249" s="49">
        <v>0</v>
      </c>
    </row>
    <row r="250" spans="1:18">
      <c r="A250" t="s">
        <v>550</v>
      </c>
      <c r="B250" s="47">
        <f>SUMIFS(LS[Unit],LS[Investor ID],'TAX CERTIFICATE'!A250,LS[Date Value],"&lt;"&amp;$Z$2)+SUMIFS(SIP[Unit],SIP[Investor ID],'TAX CERTIFICATE'!A250,SIP[Date Value],"&lt;"&amp;$Z$2)</f>
        <v>0</v>
      </c>
      <c r="C250" s="48">
        <f>(SUMIFS(LS[Amount],LS[B/S],"B",LS[Investor ID],A250,LS[Date Value],"&lt;"&amp;$Z$2)-SUMIFS(LS[Cost of Units Sold],LS[B/S],"S",LS[Investor ID],A250,LS[Date Value],"&lt;"&amp;$Z$2))+(SUMIFS(SIP[Amount],SIP[B/S],"B",SIP[Investor ID],#REF!,SIP[Date Value],"&lt;"&amp;$Z$2)-SUMIFS(SIP[Cost of Units Sold],SIP[B/S],"S",SIP[Investor ID],A250,SIP[Date Value],"&lt;"&amp;$Z$2))</f>
        <v>0</v>
      </c>
      <c r="D250" s="49">
        <f t="shared" si="15"/>
        <v>0</v>
      </c>
      <c r="E250" s="49">
        <f t="shared" si="16"/>
        <v>0</v>
      </c>
      <c r="F250" s="47">
        <f>SUMIFS(LS[Unit],LS[Investor ID],A250,LS[Date Value],"&lt;="&amp;$Z$3)+SUMIFS(SIP[Unit],SIP[Investor ID],A250,SIP[Date Value],"&lt;="&amp;$Z$3)</f>
        <v>0</v>
      </c>
      <c r="G250" s="49">
        <f>(SUMIFS(LS[Amount],LS[B/S],"B",LS[Investor ID],A250,LS[Date Value],"&lt;="&amp;$Z$3)-SUMIFS(LS[Cost of Units Sold],LS[B/S],"S",LS[Investor ID],A250,LS[Date Value],"&lt;="&amp;$Z$3))+(SUMIFS(SIP[Amount],SIP[B/S],"B",SIP[Investor ID],A250,SIP[Date Value],"&lt;="&amp;$Z$3)-SUMIFS(SIP[Cost of Units Sold],SIP[B/S],"S",SIP[Investor ID],A250,SIP[Date Value],"&lt;="&amp;$Z$3))</f>
        <v>0</v>
      </c>
      <c r="H250" s="49">
        <f t="shared" si="17"/>
        <v>0</v>
      </c>
      <c r="I250" s="49">
        <f t="shared" si="18"/>
        <v>0</v>
      </c>
      <c r="J250" s="47">
        <f>(SUMIFS(LS[Unit],LS[Investor ID],A250,LS[B/S],"B",LS[Date Value],"&gt;="&amp;$Z$2,LS[Date Value],"&lt;="&amp;$Z$3))+(SUMIFS(SIP[Unit],SIP[Investor ID],A250,SIP[B/S],"B",SIP[Date Value],"&gt;="&amp;$Z$2,SIP[Date Value],"&lt;="&amp;$Z$3))</f>
        <v>0</v>
      </c>
      <c r="K250" s="49">
        <f>(SUMIFS(LS[Amount],LS[Investor ID],A250,LS[B/S],"B",LS[Date Value],"&gt;="&amp;$Z$2,LS[Date Value],"&lt;="&amp;$Z$3))+(SUMIFS(SIP[Amount],SIP[Investor ID],A250,SIP[B/S],"B",SIP[Date Value],"&gt;="&amp;$Z$2,SIP[Date Value],"&lt;="&amp;$Z$3))</f>
        <v>0</v>
      </c>
      <c r="L250" s="47">
        <f>(-SUMIFS(LS[Unit],LS[Investor ID],A250,LS[B/S],"S",LS[Date Value],"&gt;="&amp;$Z$2,LS[Date Value],"&lt;="&amp;$Z$3))+(-SUMIFS(SIP[Unit],SIP[Investor ID],A250,SIP[B/S],"S",SIP[Date Value],"&gt;="&amp;$Z$2,SIP[Date Value],"&lt;="&amp;$Z$3))</f>
        <v>0</v>
      </c>
      <c r="M250" s="49">
        <f>(SUMIFS(LS[Cost of Units Sold],LS[Investor ID],A250,LS[B/S],"S",LS[Date Value],"&gt;="&amp;$Z$2,LS[Date Value],"&lt;="&amp;$Z$3))+(SUMIFS(SIP[Cost of Units Sold],SIP[Investor ID],A250,SIP[B/S],"S",SIP[Date Value],"&gt;="&amp;$Z$2,SIP[Date Value],"&lt;="&amp;$Z$3))</f>
        <v>0</v>
      </c>
      <c r="N250" s="49">
        <f t="shared" si="19"/>
        <v>0</v>
      </c>
      <c r="O250" s="49">
        <f>(SUMIFS(LS[Realized Gain],LS[Investor ID],A250,LS[Date Value],"&gt;="&amp;$Z$2,LS[Date Value],"&lt;="&amp;$Z$3))+(SUMIFS(SIP[Realized Gain],SIP[Investor ID],A250,SIP[Date Value],"&gt;="&amp;$Z$2,SIP[Date Value],"&lt;="&amp;$Z$3))</f>
        <v>0</v>
      </c>
      <c r="P250" s="49">
        <v>0</v>
      </c>
      <c r="Q250" s="49">
        <v>0</v>
      </c>
      <c r="R250" s="49">
        <v>0</v>
      </c>
    </row>
    <row r="251" spans="1:18">
      <c r="A251" t="s">
        <v>552</v>
      </c>
      <c r="B251" s="47">
        <f>SUMIFS(LS[Unit],LS[Investor ID],'TAX CERTIFICATE'!A251,LS[Date Value],"&lt;"&amp;$Z$2)+SUMIFS(SIP[Unit],SIP[Investor ID],'TAX CERTIFICATE'!A251,SIP[Date Value],"&lt;"&amp;$Z$2)</f>
        <v>0</v>
      </c>
      <c r="C251" s="48">
        <f>(SUMIFS(LS[Amount],LS[B/S],"B",LS[Investor ID],A251,LS[Date Value],"&lt;"&amp;$Z$2)-SUMIFS(LS[Cost of Units Sold],LS[B/S],"S",LS[Investor ID],A251,LS[Date Value],"&lt;"&amp;$Z$2))+(SUMIFS(SIP[Amount],SIP[B/S],"B",SIP[Investor ID],#REF!,SIP[Date Value],"&lt;"&amp;$Z$2)-SUMIFS(SIP[Cost of Units Sold],SIP[B/S],"S",SIP[Investor ID],A251,SIP[Date Value],"&lt;"&amp;$Z$2))</f>
        <v>0</v>
      </c>
      <c r="D251" s="49">
        <f t="shared" si="15"/>
        <v>0</v>
      </c>
      <c r="E251" s="49">
        <f t="shared" si="16"/>
        <v>0</v>
      </c>
      <c r="F251" s="47">
        <f>SUMIFS(LS[Unit],LS[Investor ID],A251,LS[Date Value],"&lt;="&amp;$Z$3)+SUMIFS(SIP[Unit],SIP[Investor ID],A251,SIP[Date Value],"&lt;="&amp;$Z$3)</f>
        <v>0</v>
      </c>
      <c r="G251" s="49">
        <f>(SUMIFS(LS[Amount],LS[B/S],"B",LS[Investor ID],A251,LS[Date Value],"&lt;="&amp;$Z$3)-SUMIFS(LS[Cost of Units Sold],LS[B/S],"S",LS[Investor ID],A251,LS[Date Value],"&lt;="&amp;$Z$3))+(SUMIFS(SIP[Amount],SIP[B/S],"B",SIP[Investor ID],A251,SIP[Date Value],"&lt;="&amp;$Z$3)-SUMIFS(SIP[Cost of Units Sold],SIP[B/S],"S",SIP[Investor ID],A251,SIP[Date Value],"&lt;="&amp;$Z$3))</f>
        <v>0</v>
      </c>
      <c r="H251" s="49">
        <f t="shared" si="17"/>
        <v>0</v>
      </c>
      <c r="I251" s="49">
        <f t="shared" si="18"/>
        <v>0</v>
      </c>
      <c r="J251" s="47">
        <f>(SUMIFS(LS[Unit],LS[Investor ID],A251,LS[B/S],"B",LS[Date Value],"&gt;="&amp;$Z$2,LS[Date Value],"&lt;="&amp;$Z$3))+(SUMIFS(SIP[Unit],SIP[Investor ID],A251,SIP[B/S],"B",SIP[Date Value],"&gt;="&amp;$Z$2,SIP[Date Value],"&lt;="&amp;$Z$3))</f>
        <v>0</v>
      </c>
      <c r="K251" s="49">
        <f>(SUMIFS(LS[Amount],LS[Investor ID],A251,LS[B/S],"B",LS[Date Value],"&gt;="&amp;$Z$2,LS[Date Value],"&lt;="&amp;$Z$3))+(SUMIFS(SIP[Amount],SIP[Investor ID],A251,SIP[B/S],"B",SIP[Date Value],"&gt;="&amp;$Z$2,SIP[Date Value],"&lt;="&amp;$Z$3))</f>
        <v>0</v>
      </c>
      <c r="L251" s="47">
        <f>(-SUMIFS(LS[Unit],LS[Investor ID],A251,LS[B/S],"S",LS[Date Value],"&gt;="&amp;$Z$2,LS[Date Value],"&lt;="&amp;$Z$3))+(-SUMIFS(SIP[Unit],SIP[Investor ID],A251,SIP[B/S],"S",SIP[Date Value],"&gt;="&amp;$Z$2,SIP[Date Value],"&lt;="&amp;$Z$3))</f>
        <v>0</v>
      </c>
      <c r="M251" s="49">
        <f>(SUMIFS(LS[Cost of Units Sold],LS[Investor ID],A251,LS[B/S],"S",LS[Date Value],"&gt;="&amp;$Z$2,LS[Date Value],"&lt;="&amp;$Z$3))+(SUMIFS(SIP[Cost of Units Sold],SIP[Investor ID],A251,SIP[B/S],"S",SIP[Date Value],"&gt;="&amp;$Z$2,SIP[Date Value],"&lt;="&amp;$Z$3))</f>
        <v>0</v>
      </c>
      <c r="N251" s="49">
        <f t="shared" si="19"/>
        <v>0</v>
      </c>
      <c r="O251" s="49">
        <f>(SUMIFS(LS[Realized Gain],LS[Investor ID],A251,LS[Date Value],"&gt;="&amp;$Z$2,LS[Date Value],"&lt;="&amp;$Z$3))+(SUMIFS(SIP[Realized Gain],SIP[Investor ID],A251,SIP[Date Value],"&gt;="&amp;$Z$2,SIP[Date Value],"&lt;="&amp;$Z$3))</f>
        <v>0</v>
      </c>
      <c r="P251" s="49">
        <v>0</v>
      </c>
      <c r="Q251" s="49">
        <v>0</v>
      </c>
      <c r="R251" s="49">
        <v>0</v>
      </c>
    </row>
    <row r="252" spans="1:18">
      <c r="A252" t="s">
        <v>554</v>
      </c>
      <c r="B252" s="47">
        <f>SUMIFS(LS[Unit],LS[Investor ID],'TAX CERTIFICATE'!A252,LS[Date Value],"&lt;"&amp;$Z$2)+SUMIFS(SIP[Unit],SIP[Investor ID],'TAX CERTIFICATE'!A252,SIP[Date Value],"&lt;"&amp;$Z$2)</f>
        <v>11372</v>
      </c>
      <c r="C252" s="48">
        <f>(SUMIFS(LS[Amount],LS[B/S],"B",LS[Investor ID],A252,LS[Date Value],"&lt;"&amp;$Z$2)-SUMIFS(LS[Cost of Units Sold],LS[B/S],"S",LS[Investor ID],A252,LS[Date Value],"&lt;"&amp;$Z$2))+(SUMIFS(SIP[Amount],SIP[B/S],"B",SIP[Investor ID],#REF!,SIP[Date Value],"&lt;"&amp;$Z$2)-SUMIFS(SIP[Cost of Units Sold],SIP[B/S],"S",SIP[Investor ID],A252,SIP[Date Value],"&lt;"&amp;$Z$2))</f>
        <v>113720</v>
      </c>
      <c r="D252" s="49">
        <f t="shared" si="15"/>
        <v>116801.81200000001</v>
      </c>
      <c r="E252" s="49">
        <f t="shared" si="16"/>
        <v>3081.8120000000054</v>
      </c>
      <c r="F252" s="47">
        <f>SUMIFS(LS[Unit],LS[Investor ID],A252,LS[Date Value],"&lt;="&amp;$Z$3)+SUMIFS(SIP[Unit],SIP[Investor ID],A252,SIP[Date Value],"&lt;="&amp;$Z$3)</f>
        <v>0</v>
      </c>
      <c r="G252" s="49">
        <f>(SUMIFS(LS[Amount],LS[B/S],"B",LS[Investor ID],A252,LS[Date Value],"&lt;="&amp;$Z$3)-SUMIFS(LS[Cost of Units Sold],LS[B/S],"S",LS[Investor ID],A252,LS[Date Value],"&lt;="&amp;$Z$3))+(SUMIFS(SIP[Amount],SIP[B/S],"B",SIP[Investor ID],A252,SIP[Date Value],"&lt;="&amp;$Z$3)-SUMIFS(SIP[Cost of Units Sold],SIP[B/S],"S",SIP[Investor ID],A252,SIP[Date Value],"&lt;="&amp;$Z$3))</f>
        <v>-3.637978807091713E-12</v>
      </c>
      <c r="H252" s="49">
        <f t="shared" si="17"/>
        <v>0</v>
      </c>
      <c r="I252" s="49">
        <f t="shared" si="18"/>
        <v>3.637978807091713E-12</v>
      </c>
      <c r="J252" s="47">
        <f>(SUMIFS(LS[Unit],LS[Investor ID],A252,LS[B/S],"B",LS[Date Value],"&gt;="&amp;$Z$2,LS[Date Value],"&lt;="&amp;$Z$3))+(SUMIFS(SIP[Unit],SIP[Investor ID],A252,SIP[B/S],"B",SIP[Date Value],"&gt;="&amp;$Z$2,SIP[Date Value],"&lt;="&amp;$Z$3))</f>
        <v>1872</v>
      </c>
      <c r="K252" s="49">
        <f>(SUMIFS(LS[Amount],LS[Investor ID],A252,LS[B/S],"B",LS[Date Value],"&gt;="&amp;$Z$2,LS[Date Value],"&lt;="&amp;$Z$3))+(SUMIFS(SIP[Amount],SIP[Investor ID],A252,SIP[B/S],"B",SIP[Date Value],"&gt;="&amp;$Z$2,SIP[Date Value],"&lt;="&amp;$Z$3))</f>
        <v>20000</v>
      </c>
      <c r="L252" s="47">
        <f>(-SUMIFS(LS[Unit],LS[Investor ID],A252,LS[B/S],"S",LS[Date Value],"&gt;="&amp;$Z$2,LS[Date Value],"&lt;="&amp;$Z$3))+(-SUMIFS(SIP[Unit],SIP[Investor ID],A252,SIP[B/S],"S",SIP[Date Value],"&gt;="&amp;$Z$2,SIP[Date Value],"&lt;="&amp;$Z$3))</f>
        <v>13244</v>
      </c>
      <c r="M252" s="49">
        <f>(SUMIFS(LS[Cost of Units Sold],LS[Investor ID],A252,LS[B/S],"S",LS[Date Value],"&gt;="&amp;$Z$2,LS[Date Value],"&lt;="&amp;$Z$3))+(SUMIFS(SIP[Cost of Units Sold],SIP[Investor ID],A252,SIP[B/S],"S",SIP[Date Value],"&gt;="&amp;$Z$2,SIP[Date Value],"&lt;="&amp;$Z$3))</f>
        <v>133720</v>
      </c>
      <c r="N252" s="49">
        <f t="shared" si="19"/>
        <v>-113720</v>
      </c>
      <c r="O252" s="49">
        <f>(SUMIFS(LS[Realized Gain],LS[Investor ID],A252,LS[Date Value],"&gt;="&amp;$Z$2,LS[Date Value],"&lt;="&amp;$Z$3))+(SUMIFS(SIP[Realized Gain],SIP[Investor ID],A252,SIP[Date Value],"&gt;="&amp;$Z$2,SIP[Date Value],"&lt;="&amp;$Z$3))</f>
        <v>4372.6000000000022</v>
      </c>
      <c r="P252" s="49">
        <v>0</v>
      </c>
      <c r="Q252" s="49">
        <v>0</v>
      </c>
      <c r="R252" s="49">
        <v>0</v>
      </c>
    </row>
    <row r="253" spans="1:18">
      <c r="A253" t="s">
        <v>556</v>
      </c>
      <c r="B253" s="47">
        <f>SUMIFS(LS[Unit],LS[Investor ID],'TAX CERTIFICATE'!A253,LS[Date Value],"&lt;"&amp;$Z$2)+SUMIFS(SIP[Unit],SIP[Investor ID],'TAX CERTIFICATE'!A253,SIP[Date Value],"&lt;"&amp;$Z$2)</f>
        <v>0</v>
      </c>
      <c r="C253" s="48">
        <f>(SUMIFS(LS[Amount],LS[B/S],"B",LS[Investor ID],A253,LS[Date Value],"&lt;"&amp;$Z$2)-SUMIFS(LS[Cost of Units Sold],LS[B/S],"S",LS[Investor ID],A253,LS[Date Value],"&lt;"&amp;$Z$2))+(SUMIFS(SIP[Amount],SIP[B/S],"B",SIP[Investor ID],#REF!,SIP[Date Value],"&lt;"&amp;$Z$2)-SUMIFS(SIP[Cost of Units Sold],SIP[B/S],"S",SIP[Investor ID],A253,SIP[Date Value],"&lt;"&amp;$Z$2))</f>
        <v>0</v>
      </c>
      <c r="D253" s="49">
        <f t="shared" si="15"/>
        <v>0</v>
      </c>
      <c r="E253" s="49">
        <f t="shared" si="16"/>
        <v>0</v>
      </c>
      <c r="F253" s="47">
        <f>SUMIFS(LS[Unit],LS[Investor ID],A253,LS[Date Value],"&lt;="&amp;$Z$3)+SUMIFS(SIP[Unit],SIP[Investor ID],A253,SIP[Date Value],"&lt;="&amp;$Z$3)</f>
        <v>0</v>
      </c>
      <c r="G253" s="49">
        <f>(SUMIFS(LS[Amount],LS[B/S],"B",LS[Investor ID],A253,LS[Date Value],"&lt;="&amp;$Z$3)-SUMIFS(LS[Cost of Units Sold],LS[B/S],"S",LS[Investor ID],A253,LS[Date Value],"&lt;="&amp;$Z$3))+(SUMIFS(SIP[Amount],SIP[B/S],"B",SIP[Investor ID],A253,SIP[Date Value],"&lt;="&amp;$Z$3)-SUMIFS(SIP[Cost of Units Sold],SIP[B/S],"S",SIP[Investor ID],A253,SIP[Date Value],"&lt;="&amp;$Z$3))</f>
        <v>0</v>
      </c>
      <c r="H253" s="49">
        <f t="shared" si="17"/>
        <v>0</v>
      </c>
      <c r="I253" s="49">
        <f t="shared" si="18"/>
        <v>0</v>
      </c>
      <c r="J253" s="47">
        <f>(SUMIFS(LS[Unit],LS[Investor ID],A253,LS[B/S],"B",LS[Date Value],"&gt;="&amp;$Z$2,LS[Date Value],"&lt;="&amp;$Z$3))+(SUMIFS(SIP[Unit],SIP[Investor ID],A253,SIP[B/S],"B",SIP[Date Value],"&gt;="&amp;$Z$2,SIP[Date Value],"&lt;="&amp;$Z$3))</f>
        <v>0</v>
      </c>
      <c r="K253" s="49">
        <f>(SUMIFS(LS[Amount],LS[Investor ID],A253,LS[B/S],"B",LS[Date Value],"&gt;="&amp;$Z$2,LS[Date Value],"&lt;="&amp;$Z$3))+(SUMIFS(SIP[Amount],SIP[Investor ID],A253,SIP[B/S],"B",SIP[Date Value],"&gt;="&amp;$Z$2,SIP[Date Value],"&lt;="&amp;$Z$3))</f>
        <v>0</v>
      </c>
      <c r="L253" s="47">
        <f>(-SUMIFS(LS[Unit],LS[Investor ID],A253,LS[B/S],"S",LS[Date Value],"&gt;="&amp;$Z$2,LS[Date Value],"&lt;="&amp;$Z$3))+(-SUMIFS(SIP[Unit],SIP[Investor ID],A253,SIP[B/S],"S",SIP[Date Value],"&gt;="&amp;$Z$2,SIP[Date Value],"&lt;="&amp;$Z$3))</f>
        <v>0</v>
      </c>
      <c r="M253" s="49">
        <f>(SUMIFS(LS[Cost of Units Sold],LS[Investor ID],A253,LS[B/S],"S",LS[Date Value],"&gt;="&amp;$Z$2,LS[Date Value],"&lt;="&amp;$Z$3))+(SUMIFS(SIP[Cost of Units Sold],SIP[Investor ID],A253,SIP[B/S],"S",SIP[Date Value],"&gt;="&amp;$Z$2,SIP[Date Value],"&lt;="&amp;$Z$3))</f>
        <v>0</v>
      </c>
      <c r="N253" s="49">
        <f t="shared" si="19"/>
        <v>0</v>
      </c>
      <c r="O253" s="49">
        <f>(SUMIFS(LS[Realized Gain],LS[Investor ID],A253,LS[Date Value],"&gt;="&amp;$Z$2,LS[Date Value],"&lt;="&amp;$Z$3))+(SUMIFS(SIP[Realized Gain],SIP[Investor ID],A253,SIP[Date Value],"&gt;="&amp;$Z$2,SIP[Date Value],"&lt;="&amp;$Z$3))</f>
        <v>0</v>
      </c>
      <c r="P253" s="49">
        <v>0</v>
      </c>
      <c r="Q253" s="49">
        <v>0</v>
      </c>
      <c r="R253" s="49">
        <v>0</v>
      </c>
    </row>
    <row r="254" spans="1:18">
      <c r="A254" t="s">
        <v>557</v>
      </c>
      <c r="B254" s="47">
        <f>SUMIFS(LS[Unit],LS[Investor ID],'TAX CERTIFICATE'!A254,LS[Date Value],"&lt;"&amp;$Z$2)+SUMIFS(SIP[Unit],SIP[Investor ID],'TAX CERTIFICATE'!A254,SIP[Date Value],"&lt;"&amp;$Z$2)</f>
        <v>0</v>
      </c>
      <c r="C254" s="48">
        <f>(SUMIFS(LS[Amount],LS[B/S],"B",LS[Investor ID],A254,LS[Date Value],"&lt;"&amp;$Z$2)-SUMIFS(LS[Cost of Units Sold],LS[B/S],"S",LS[Investor ID],A254,LS[Date Value],"&lt;"&amp;$Z$2))+(SUMIFS(SIP[Amount],SIP[B/S],"B",SIP[Investor ID],#REF!,SIP[Date Value],"&lt;"&amp;$Z$2)-SUMIFS(SIP[Cost of Units Sold],SIP[B/S],"S",SIP[Investor ID],A254,SIP[Date Value],"&lt;"&amp;$Z$2))</f>
        <v>0</v>
      </c>
      <c r="D254" s="49">
        <f t="shared" si="15"/>
        <v>0</v>
      </c>
      <c r="E254" s="49">
        <f t="shared" si="16"/>
        <v>0</v>
      </c>
      <c r="F254" s="47">
        <f>SUMIFS(LS[Unit],LS[Investor ID],A254,LS[Date Value],"&lt;="&amp;$Z$3)+SUMIFS(SIP[Unit],SIP[Investor ID],A254,SIP[Date Value],"&lt;="&amp;$Z$3)</f>
        <v>0</v>
      </c>
      <c r="G254" s="49">
        <f>(SUMIFS(LS[Amount],LS[B/S],"B",LS[Investor ID],A254,LS[Date Value],"&lt;="&amp;$Z$3)-SUMIFS(LS[Cost of Units Sold],LS[B/S],"S",LS[Investor ID],A254,LS[Date Value],"&lt;="&amp;$Z$3))+(SUMIFS(SIP[Amount],SIP[B/S],"B",SIP[Investor ID],A254,SIP[Date Value],"&lt;="&amp;$Z$3)-SUMIFS(SIP[Cost of Units Sold],SIP[B/S],"S",SIP[Investor ID],A254,SIP[Date Value],"&lt;="&amp;$Z$3))</f>
        <v>0</v>
      </c>
      <c r="H254" s="49">
        <f t="shared" si="17"/>
        <v>0</v>
      </c>
      <c r="I254" s="49">
        <f t="shared" si="18"/>
        <v>0</v>
      </c>
      <c r="J254" s="47">
        <f>(SUMIFS(LS[Unit],LS[Investor ID],A254,LS[B/S],"B",LS[Date Value],"&gt;="&amp;$Z$2,LS[Date Value],"&lt;="&amp;$Z$3))+(SUMIFS(SIP[Unit],SIP[Investor ID],A254,SIP[B/S],"B",SIP[Date Value],"&gt;="&amp;$Z$2,SIP[Date Value],"&lt;="&amp;$Z$3))</f>
        <v>0</v>
      </c>
      <c r="K254" s="49">
        <f>(SUMIFS(LS[Amount],LS[Investor ID],A254,LS[B/S],"B",LS[Date Value],"&gt;="&amp;$Z$2,LS[Date Value],"&lt;="&amp;$Z$3))+(SUMIFS(SIP[Amount],SIP[Investor ID],A254,SIP[B/S],"B",SIP[Date Value],"&gt;="&amp;$Z$2,SIP[Date Value],"&lt;="&amp;$Z$3))</f>
        <v>0</v>
      </c>
      <c r="L254" s="47">
        <f>(-SUMIFS(LS[Unit],LS[Investor ID],A254,LS[B/S],"S",LS[Date Value],"&gt;="&amp;$Z$2,LS[Date Value],"&lt;="&amp;$Z$3))+(-SUMIFS(SIP[Unit],SIP[Investor ID],A254,SIP[B/S],"S",SIP[Date Value],"&gt;="&amp;$Z$2,SIP[Date Value],"&lt;="&amp;$Z$3))</f>
        <v>0</v>
      </c>
      <c r="M254" s="49">
        <f>(SUMIFS(LS[Cost of Units Sold],LS[Investor ID],A254,LS[B/S],"S",LS[Date Value],"&gt;="&amp;$Z$2,LS[Date Value],"&lt;="&amp;$Z$3))+(SUMIFS(SIP[Cost of Units Sold],SIP[Investor ID],A254,SIP[B/S],"S",SIP[Date Value],"&gt;="&amp;$Z$2,SIP[Date Value],"&lt;="&amp;$Z$3))</f>
        <v>0</v>
      </c>
      <c r="N254" s="49">
        <f t="shared" si="19"/>
        <v>0</v>
      </c>
      <c r="O254" s="49">
        <f>(SUMIFS(LS[Realized Gain],LS[Investor ID],A254,LS[Date Value],"&gt;="&amp;$Z$2,LS[Date Value],"&lt;="&amp;$Z$3))+(SUMIFS(SIP[Realized Gain],SIP[Investor ID],A254,SIP[Date Value],"&gt;="&amp;$Z$2,SIP[Date Value],"&lt;="&amp;$Z$3))</f>
        <v>0</v>
      </c>
      <c r="P254" s="49">
        <v>0</v>
      </c>
      <c r="Q254" s="49">
        <v>0</v>
      </c>
      <c r="R254" s="49">
        <v>0</v>
      </c>
    </row>
    <row r="255" spans="1:18">
      <c r="A255" t="s">
        <v>559</v>
      </c>
      <c r="B255" s="47">
        <f>SUMIFS(LS[Unit],LS[Investor ID],'TAX CERTIFICATE'!A255,LS[Date Value],"&lt;"&amp;$Z$2)+SUMIFS(SIP[Unit],SIP[Investor ID],'TAX CERTIFICATE'!A255,SIP[Date Value],"&lt;"&amp;$Z$2)</f>
        <v>0</v>
      </c>
      <c r="C255" s="48">
        <f>(SUMIFS(LS[Amount],LS[B/S],"B",LS[Investor ID],A255,LS[Date Value],"&lt;"&amp;$Z$2)-SUMIFS(LS[Cost of Units Sold],LS[B/S],"S",LS[Investor ID],A255,LS[Date Value],"&lt;"&amp;$Z$2))+(SUMIFS(SIP[Amount],SIP[B/S],"B",SIP[Investor ID],#REF!,SIP[Date Value],"&lt;"&amp;$Z$2)-SUMIFS(SIP[Cost of Units Sold],SIP[B/S],"S",SIP[Investor ID],A255,SIP[Date Value],"&lt;"&amp;$Z$2))</f>
        <v>0</v>
      </c>
      <c r="D255" s="49">
        <f t="shared" si="15"/>
        <v>0</v>
      </c>
      <c r="E255" s="49">
        <f t="shared" si="16"/>
        <v>0</v>
      </c>
      <c r="F255" s="47">
        <f>SUMIFS(LS[Unit],LS[Investor ID],A255,LS[Date Value],"&lt;="&amp;$Z$3)+SUMIFS(SIP[Unit],SIP[Investor ID],A255,SIP[Date Value],"&lt;="&amp;$Z$3)</f>
        <v>0</v>
      </c>
      <c r="G255" s="49">
        <f>(SUMIFS(LS[Amount],LS[B/S],"B",LS[Investor ID],A255,LS[Date Value],"&lt;="&amp;$Z$3)-SUMIFS(LS[Cost of Units Sold],LS[B/S],"S",LS[Investor ID],A255,LS[Date Value],"&lt;="&amp;$Z$3))+(SUMIFS(SIP[Amount],SIP[B/S],"B",SIP[Investor ID],A255,SIP[Date Value],"&lt;="&amp;$Z$3)-SUMIFS(SIP[Cost of Units Sold],SIP[B/S],"S",SIP[Investor ID],A255,SIP[Date Value],"&lt;="&amp;$Z$3))</f>
        <v>0</v>
      </c>
      <c r="H255" s="49">
        <f t="shared" si="17"/>
        <v>0</v>
      </c>
      <c r="I255" s="49">
        <f t="shared" si="18"/>
        <v>0</v>
      </c>
      <c r="J255" s="47">
        <f>(SUMIFS(LS[Unit],LS[Investor ID],A255,LS[B/S],"B",LS[Date Value],"&gt;="&amp;$Z$2,LS[Date Value],"&lt;="&amp;$Z$3))+(SUMIFS(SIP[Unit],SIP[Investor ID],A255,SIP[B/S],"B",SIP[Date Value],"&gt;="&amp;$Z$2,SIP[Date Value],"&lt;="&amp;$Z$3))</f>
        <v>0</v>
      </c>
      <c r="K255" s="49">
        <f>(SUMIFS(LS[Amount],LS[Investor ID],A255,LS[B/S],"B",LS[Date Value],"&gt;="&amp;$Z$2,LS[Date Value],"&lt;="&amp;$Z$3))+(SUMIFS(SIP[Amount],SIP[Investor ID],A255,SIP[B/S],"B",SIP[Date Value],"&gt;="&amp;$Z$2,SIP[Date Value],"&lt;="&amp;$Z$3))</f>
        <v>0</v>
      </c>
      <c r="L255" s="47">
        <f>(-SUMIFS(LS[Unit],LS[Investor ID],A255,LS[B/S],"S",LS[Date Value],"&gt;="&amp;$Z$2,LS[Date Value],"&lt;="&amp;$Z$3))+(-SUMIFS(SIP[Unit],SIP[Investor ID],A255,SIP[B/S],"S",SIP[Date Value],"&gt;="&amp;$Z$2,SIP[Date Value],"&lt;="&amp;$Z$3))</f>
        <v>0</v>
      </c>
      <c r="M255" s="49">
        <f>(SUMIFS(LS[Cost of Units Sold],LS[Investor ID],A255,LS[B/S],"S",LS[Date Value],"&gt;="&amp;$Z$2,LS[Date Value],"&lt;="&amp;$Z$3))+(SUMIFS(SIP[Cost of Units Sold],SIP[Investor ID],A255,SIP[B/S],"S",SIP[Date Value],"&gt;="&amp;$Z$2,SIP[Date Value],"&lt;="&amp;$Z$3))</f>
        <v>0</v>
      </c>
      <c r="N255" s="49">
        <f t="shared" si="19"/>
        <v>0</v>
      </c>
      <c r="O255" s="49">
        <f>(SUMIFS(LS[Realized Gain],LS[Investor ID],A255,LS[Date Value],"&gt;="&amp;$Z$2,LS[Date Value],"&lt;="&amp;$Z$3))+(SUMIFS(SIP[Realized Gain],SIP[Investor ID],A255,SIP[Date Value],"&gt;="&amp;$Z$2,SIP[Date Value],"&lt;="&amp;$Z$3))</f>
        <v>0</v>
      </c>
      <c r="P255" s="49">
        <v>0</v>
      </c>
      <c r="Q255" s="49">
        <v>0</v>
      </c>
      <c r="R255" s="49">
        <v>0</v>
      </c>
    </row>
    <row r="256" spans="1:18">
      <c r="A256" t="s">
        <v>561</v>
      </c>
      <c r="B256" s="47">
        <f>SUMIFS(LS[Unit],LS[Investor ID],'TAX CERTIFICATE'!A256,LS[Date Value],"&lt;"&amp;$Z$2)+SUMIFS(SIP[Unit],SIP[Investor ID],'TAX CERTIFICATE'!A256,SIP[Date Value],"&lt;"&amp;$Z$2)</f>
        <v>0</v>
      </c>
      <c r="C256" s="48">
        <f>(SUMIFS(LS[Amount],LS[B/S],"B",LS[Investor ID],A256,LS[Date Value],"&lt;"&amp;$Z$2)-SUMIFS(LS[Cost of Units Sold],LS[B/S],"S",LS[Investor ID],A256,LS[Date Value],"&lt;"&amp;$Z$2))+(SUMIFS(SIP[Amount],SIP[B/S],"B",SIP[Investor ID],#REF!,SIP[Date Value],"&lt;"&amp;$Z$2)-SUMIFS(SIP[Cost of Units Sold],SIP[B/S],"S",SIP[Investor ID],A256,SIP[Date Value],"&lt;"&amp;$Z$2))</f>
        <v>0</v>
      </c>
      <c r="D256" s="49">
        <f t="shared" si="15"/>
        <v>0</v>
      </c>
      <c r="E256" s="49">
        <f t="shared" si="16"/>
        <v>0</v>
      </c>
      <c r="F256" s="47">
        <f>SUMIFS(LS[Unit],LS[Investor ID],A256,LS[Date Value],"&lt;="&amp;$Z$3)+SUMIFS(SIP[Unit],SIP[Investor ID],A256,SIP[Date Value],"&lt;="&amp;$Z$3)</f>
        <v>0</v>
      </c>
      <c r="G256" s="49">
        <f>(SUMIFS(LS[Amount],LS[B/S],"B",LS[Investor ID],A256,LS[Date Value],"&lt;="&amp;$Z$3)-SUMIFS(LS[Cost of Units Sold],LS[B/S],"S",LS[Investor ID],A256,LS[Date Value],"&lt;="&amp;$Z$3))+(SUMIFS(SIP[Amount],SIP[B/S],"B",SIP[Investor ID],A256,SIP[Date Value],"&lt;="&amp;$Z$3)-SUMIFS(SIP[Cost of Units Sold],SIP[B/S],"S",SIP[Investor ID],A256,SIP[Date Value],"&lt;="&amp;$Z$3))</f>
        <v>0</v>
      </c>
      <c r="H256" s="49">
        <f t="shared" si="17"/>
        <v>0</v>
      </c>
      <c r="I256" s="49">
        <f t="shared" si="18"/>
        <v>0</v>
      </c>
      <c r="J256" s="47">
        <f>(SUMIFS(LS[Unit],LS[Investor ID],A256,LS[B/S],"B",LS[Date Value],"&gt;="&amp;$Z$2,LS[Date Value],"&lt;="&amp;$Z$3))+(SUMIFS(SIP[Unit],SIP[Investor ID],A256,SIP[B/S],"B",SIP[Date Value],"&gt;="&amp;$Z$2,SIP[Date Value],"&lt;="&amp;$Z$3))</f>
        <v>0</v>
      </c>
      <c r="K256" s="49">
        <f>(SUMIFS(LS[Amount],LS[Investor ID],A256,LS[B/S],"B",LS[Date Value],"&gt;="&amp;$Z$2,LS[Date Value],"&lt;="&amp;$Z$3))+(SUMIFS(SIP[Amount],SIP[Investor ID],A256,SIP[B/S],"B",SIP[Date Value],"&gt;="&amp;$Z$2,SIP[Date Value],"&lt;="&amp;$Z$3))</f>
        <v>0</v>
      </c>
      <c r="L256" s="47">
        <f>(-SUMIFS(LS[Unit],LS[Investor ID],A256,LS[B/S],"S",LS[Date Value],"&gt;="&amp;$Z$2,LS[Date Value],"&lt;="&amp;$Z$3))+(-SUMIFS(SIP[Unit],SIP[Investor ID],A256,SIP[B/S],"S",SIP[Date Value],"&gt;="&amp;$Z$2,SIP[Date Value],"&lt;="&amp;$Z$3))</f>
        <v>0</v>
      </c>
      <c r="M256" s="49">
        <f>(SUMIFS(LS[Cost of Units Sold],LS[Investor ID],A256,LS[B/S],"S",LS[Date Value],"&gt;="&amp;$Z$2,LS[Date Value],"&lt;="&amp;$Z$3))+(SUMIFS(SIP[Cost of Units Sold],SIP[Investor ID],A256,SIP[B/S],"S",SIP[Date Value],"&gt;="&amp;$Z$2,SIP[Date Value],"&lt;="&amp;$Z$3))</f>
        <v>0</v>
      </c>
      <c r="N256" s="49">
        <f t="shared" si="19"/>
        <v>0</v>
      </c>
      <c r="O256" s="49">
        <f>(SUMIFS(LS[Realized Gain],LS[Investor ID],A256,LS[Date Value],"&gt;="&amp;$Z$2,LS[Date Value],"&lt;="&amp;$Z$3))+(SUMIFS(SIP[Realized Gain],SIP[Investor ID],A256,SIP[Date Value],"&gt;="&amp;$Z$2,SIP[Date Value],"&lt;="&amp;$Z$3))</f>
        <v>0</v>
      </c>
      <c r="P256" s="49">
        <v>0</v>
      </c>
      <c r="Q256" s="49">
        <v>0</v>
      </c>
      <c r="R256" s="49">
        <v>0</v>
      </c>
    </row>
    <row r="257" spans="1:18">
      <c r="A257" t="s">
        <v>563</v>
      </c>
      <c r="B257" s="47">
        <f>SUMIFS(LS[Unit],LS[Investor ID],'TAX CERTIFICATE'!A257,LS[Date Value],"&lt;"&amp;$Z$2)+SUMIFS(SIP[Unit],SIP[Investor ID],'TAX CERTIFICATE'!A257,SIP[Date Value],"&lt;"&amp;$Z$2)</f>
        <v>0</v>
      </c>
      <c r="C257" s="48">
        <f>(SUMIFS(LS[Amount],LS[B/S],"B",LS[Investor ID],A257,LS[Date Value],"&lt;"&amp;$Z$2)-SUMIFS(LS[Cost of Units Sold],LS[B/S],"S",LS[Investor ID],A257,LS[Date Value],"&lt;"&amp;$Z$2))+(SUMIFS(SIP[Amount],SIP[B/S],"B",SIP[Investor ID],#REF!,SIP[Date Value],"&lt;"&amp;$Z$2)-SUMIFS(SIP[Cost of Units Sold],SIP[B/S],"S",SIP[Investor ID],A257,SIP[Date Value],"&lt;"&amp;$Z$2))</f>
        <v>0</v>
      </c>
      <c r="D257" s="49">
        <f t="shared" si="15"/>
        <v>0</v>
      </c>
      <c r="E257" s="49">
        <f t="shared" si="16"/>
        <v>0</v>
      </c>
      <c r="F257" s="47">
        <f>SUMIFS(LS[Unit],LS[Investor ID],A257,LS[Date Value],"&lt;="&amp;$Z$3)+SUMIFS(SIP[Unit],SIP[Investor ID],A257,SIP[Date Value],"&lt;="&amp;$Z$3)</f>
        <v>0</v>
      </c>
      <c r="G257" s="49">
        <f>(SUMIFS(LS[Amount],LS[B/S],"B",LS[Investor ID],A257,LS[Date Value],"&lt;="&amp;$Z$3)-SUMIFS(LS[Cost of Units Sold],LS[B/S],"S",LS[Investor ID],A257,LS[Date Value],"&lt;="&amp;$Z$3))+(SUMIFS(SIP[Amount],SIP[B/S],"B",SIP[Investor ID],A257,SIP[Date Value],"&lt;="&amp;$Z$3)-SUMIFS(SIP[Cost of Units Sold],SIP[B/S],"S",SIP[Investor ID],A257,SIP[Date Value],"&lt;="&amp;$Z$3))</f>
        <v>0</v>
      </c>
      <c r="H257" s="49">
        <f t="shared" si="17"/>
        <v>0</v>
      </c>
      <c r="I257" s="49">
        <f t="shared" si="18"/>
        <v>0</v>
      </c>
      <c r="J257" s="47">
        <f>(SUMIFS(LS[Unit],LS[Investor ID],A257,LS[B/S],"B",LS[Date Value],"&gt;="&amp;$Z$2,LS[Date Value],"&lt;="&amp;$Z$3))+(SUMIFS(SIP[Unit],SIP[Investor ID],A257,SIP[B/S],"B",SIP[Date Value],"&gt;="&amp;$Z$2,SIP[Date Value],"&lt;="&amp;$Z$3))</f>
        <v>0</v>
      </c>
      <c r="K257" s="49">
        <f>(SUMIFS(LS[Amount],LS[Investor ID],A257,LS[B/S],"B",LS[Date Value],"&gt;="&amp;$Z$2,LS[Date Value],"&lt;="&amp;$Z$3))+(SUMIFS(SIP[Amount],SIP[Investor ID],A257,SIP[B/S],"B",SIP[Date Value],"&gt;="&amp;$Z$2,SIP[Date Value],"&lt;="&amp;$Z$3))</f>
        <v>0</v>
      </c>
      <c r="L257" s="47">
        <f>(-SUMIFS(LS[Unit],LS[Investor ID],A257,LS[B/S],"S",LS[Date Value],"&gt;="&amp;$Z$2,LS[Date Value],"&lt;="&amp;$Z$3))+(-SUMIFS(SIP[Unit],SIP[Investor ID],A257,SIP[B/S],"S",SIP[Date Value],"&gt;="&amp;$Z$2,SIP[Date Value],"&lt;="&amp;$Z$3))</f>
        <v>0</v>
      </c>
      <c r="M257" s="49">
        <f>(SUMIFS(LS[Cost of Units Sold],LS[Investor ID],A257,LS[B/S],"S",LS[Date Value],"&gt;="&amp;$Z$2,LS[Date Value],"&lt;="&amp;$Z$3))+(SUMIFS(SIP[Cost of Units Sold],SIP[Investor ID],A257,SIP[B/S],"S",SIP[Date Value],"&gt;="&amp;$Z$2,SIP[Date Value],"&lt;="&amp;$Z$3))</f>
        <v>0</v>
      </c>
      <c r="N257" s="49">
        <f t="shared" si="19"/>
        <v>0</v>
      </c>
      <c r="O257" s="49">
        <f>(SUMIFS(LS[Realized Gain],LS[Investor ID],A257,LS[Date Value],"&gt;="&amp;$Z$2,LS[Date Value],"&lt;="&amp;$Z$3))+(SUMIFS(SIP[Realized Gain],SIP[Investor ID],A257,SIP[Date Value],"&gt;="&amp;$Z$2,SIP[Date Value],"&lt;="&amp;$Z$3))</f>
        <v>0</v>
      </c>
      <c r="P257" s="49">
        <v>0</v>
      </c>
      <c r="Q257" s="49">
        <v>0</v>
      </c>
      <c r="R257" s="49">
        <v>0</v>
      </c>
    </row>
    <row r="258" spans="1:18">
      <c r="A258" t="s">
        <v>565</v>
      </c>
      <c r="B258" s="47">
        <f>SUMIFS(LS[Unit],LS[Investor ID],'TAX CERTIFICATE'!A258,LS[Date Value],"&lt;"&amp;$Z$2)+SUMIFS(SIP[Unit],SIP[Investor ID],'TAX CERTIFICATE'!A258,SIP[Date Value],"&lt;"&amp;$Z$2)</f>
        <v>0</v>
      </c>
      <c r="C258" s="48">
        <f>(SUMIFS(LS[Amount],LS[B/S],"B",LS[Investor ID],A258,LS[Date Value],"&lt;"&amp;$Z$2)-SUMIFS(LS[Cost of Units Sold],LS[B/S],"S",LS[Investor ID],A258,LS[Date Value],"&lt;"&amp;$Z$2))+(SUMIFS(SIP[Amount],SIP[B/S],"B",SIP[Investor ID],#REF!,SIP[Date Value],"&lt;"&amp;$Z$2)-SUMIFS(SIP[Cost of Units Sold],SIP[B/S],"S",SIP[Investor ID],A258,SIP[Date Value],"&lt;"&amp;$Z$2))</f>
        <v>0</v>
      </c>
      <c r="D258" s="49">
        <f t="shared" si="15"/>
        <v>0</v>
      </c>
      <c r="E258" s="49">
        <f t="shared" si="16"/>
        <v>0</v>
      </c>
      <c r="F258" s="47">
        <f>SUMIFS(LS[Unit],LS[Investor ID],A258,LS[Date Value],"&lt;="&amp;$Z$3)+SUMIFS(SIP[Unit],SIP[Investor ID],A258,SIP[Date Value],"&lt;="&amp;$Z$3)</f>
        <v>0</v>
      </c>
      <c r="G258" s="49">
        <f>(SUMIFS(LS[Amount],LS[B/S],"B",LS[Investor ID],A258,LS[Date Value],"&lt;="&amp;$Z$3)-SUMIFS(LS[Cost of Units Sold],LS[B/S],"S",LS[Investor ID],A258,LS[Date Value],"&lt;="&amp;$Z$3))+(SUMIFS(SIP[Amount],SIP[B/S],"B",SIP[Investor ID],A258,SIP[Date Value],"&lt;="&amp;$Z$3)-SUMIFS(SIP[Cost of Units Sold],SIP[B/S],"S",SIP[Investor ID],A258,SIP[Date Value],"&lt;="&amp;$Z$3))</f>
        <v>0</v>
      </c>
      <c r="H258" s="49">
        <f t="shared" si="17"/>
        <v>0</v>
      </c>
      <c r="I258" s="49">
        <f t="shared" si="18"/>
        <v>0</v>
      </c>
      <c r="J258" s="47">
        <f>(SUMIFS(LS[Unit],LS[Investor ID],A258,LS[B/S],"B",LS[Date Value],"&gt;="&amp;$Z$2,LS[Date Value],"&lt;="&amp;$Z$3))+(SUMIFS(SIP[Unit],SIP[Investor ID],A258,SIP[B/S],"B",SIP[Date Value],"&gt;="&amp;$Z$2,SIP[Date Value],"&lt;="&amp;$Z$3))</f>
        <v>0</v>
      </c>
      <c r="K258" s="49">
        <f>(SUMIFS(LS[Amount],LS[Investor ID],A258,LS[B/S],"B",LS[Date Value],"&gt;="&amp;$Z$2,LS[Date Value],"&lt;="&amp;$Z$3))+(SUMIFS(SIP[Amount],SIP[Investor ID],A258,SIP[B/S],"B",SIP[Date Value],"&gt;="&amp;$Z$2,SIP[Date Value],"&lt;="&amp;$Z$3))</f>
        <v>0</v>
      </c>
      <c r="L258" s="47">
        <f>(-SUMIFS(LS[Unit],LS[Investor ID],A258,LS[B/S],"S",LS[Date Value],"&gt;="&amp;$Z$2,LS[Date Value],"&lt;="&amp;$Z$3))+(-SUMIFS(SIP[Unit],SIP[Investor ID],A258,SIP[B/S],"S",SIP[Date Value],"&gt;="&amp;$Z$2,SIP[Date Value],"&lt;="&amp;$Z$3))</f>
        <v>0</v>
      </c>
      <c r="M258" s="49">
        <f>(SUMIFS(LS[Cost of Units Sold],LS[Investor ID],A258,LS[B/S],"S",LS[Date Value],"&gt;="&amp;$Z$2,LS[Date Value],"&lt;="&amp;$Z$3))+(SUMIFS(SIP[Cost of Units Sold],SIP[Investor ID],A258,SIP[B/S],"S",SIP[Date Value],"&gt;="&amp;$Z$2,SIP[Date Value],"&lt;="&amp;$Z$3))</f>
        <v>0</v>
      </c>
      <c r="N258" s="49">
        <f t="shared" si="19"/>
        <v>0</v>
      </c>
      <c r="O258" s="49">
        <f>(SUMIFS(LS[Realized Gain],LS[Investor ID],A258,LS[Date Value],"&gt;="&amp;$Z$2,LS[Date Value],"&lt;="&amp;$Z$3))+(SUMIFS(SIP[Realized Gain],SIP[Investor ID],A258,SIP[Date Value],"&gt;="&amp;$Z$2,SIP[Date Value],"&lt;="&amp;$Z$3))</f>
        <v>0</v>
      </c>
      <c r="P258" s="49">
        <v>0</v>
      </c>
      <c r="Q258" s="49">
        <v>0</v>
      </c>
      <c r="R258" s="49">
        <v>0</v>
      </c>
    </row>
    <row r="259" spans="1:18">
      <c r="A259" t="s">
        <v>567</v>
      </c>
      <c r="B259" s="47">
        <f>SUMIFS(LS[Unit],LS[Investor ID],'TAX CERTIFICATE'!A259,LS[Date Value],"&lt;"&amp;$Z$2)+SUMIFS(SIP[Unit],SIP[Investor ID],'TAX CERTIFICATE'!A259,SIP[Date Value],"&lt;"&amp;$Z$2)</f>
        <v>0</v>
      </c>
      <c r="C259" s="48">
        <f>(SUMIFS(LS[Amount],LS[B/S],"B",LS[Investor ID],A259,LS[Date Value],"&lt;"&amp;$Z$2)-SUMIFS(LS[Cost of Units Sold],LS[B/S],"S",LS[Investor ID],A259,LS[Date Value],"&lt;"&amp;$Z$2))+(SUMIFS(SIP[Amount],SIP[B/S],"B",SIP[Investor ID],#REF!,SIP[Date Value],"&lt;"&amp;$Z$2)-SUMIFS(SIP[Cost of Units Sold],SIP[B/S],"S",SIP[Investor ID],A259,SIP[Date Value],"&lt;"&amp;$Z$2))</f>
        <v>0</v>
      </c>
      <c r="D259" s="49">
        <f t="shared" ref="D259:D322" si="20">B259*$AA$2</f>
        <v>0</v>
      </c>
      <c r="E259" s="49">
        <f t="shared" ref="E259:E322" si="21">D259-C259</f>
        <v>0</v>
      </c>
      <c r="F259" s="47">
        <f>SUMIFS(LS[Unit],LS[Investor ID],A259,LS[Date Value],"&lt;="&amp;$Z$3)+SUMIFS(SIP[Unit],SIP[Investor ID],A259,SIP[Date Value],"&lt;="&amp;$Z$3)</f>
        <v>0</v>
      </c>
      <c r="G259" s="49">
        <f>(SUMIFS(LS[Amount],LS[B/S],"B",LS[Investor ID],A259,LS[Date Value],"&lt;="&amp;$Z$3)-SUMIFS(LS[Cost of Units Sold],LS[B/S],"S",LS[Investor ID],A259,LS[Date Value],"&lt;="&amp;$Z$3))+(SUMIFS(SIP[Amount],SIP[B/S],"B",SIP[Investor ID],A259,SIP[Date Value],"&lt;="&amp;$Z$3)-SUMIFS(SIP[Cost of Units Sold],SIP[B/S],"S",SIP[Investor ID],A259,SIP[Date Value],"&lt;="&amp;$Z$3))</f>
        <v>0</v>
      </c>
      <c r="H259" s="49">
        <f t="shared" ref="H259:H322" si="22">F259*$AA$3</f>
        <v>0</v>
      </c>
      <c r="I259" s="49">
        <f t="shared" ref="I259:I322" si="23">H259-G259</f>
        <v>0</v>
      </c>
      <c r="J259" s="47">
        <f>(SUMIFS(LS[Unit],LS[Investor ID],A259,LS[B/S],"B",LS[Date Value],"&gt;="&amp;$Z$2,LS[Date Value],"&lt;="&amp;$Z$3))+(SUMIFS(SIP[Unit],SIP[Investor ID],A259,SIP[B/S],"B",SIP[Date Value],"&gt;="&amp;$Z$2,SIP[Date Value],"&lt;="&amp;$Z$3))</f>
        <v>0</v>
      </c>
      <c r="K259" s="49">
        <f>(SUMIFS(LS[Amount],LS[Investor ID],A259,LS[B/S],"B",LS[Date Value],"&gt;="&amp;$Z$2,LS[Date Value],"&lt;="&amp;$Z$3))+(SUMIFS(SIP[Amount],SIP[Investor ID],A259,SIP[B/S],"B",SIP[Date Value],"&gt;="&amp;$Z$2,SIP[Date Value],"&lt;="&amp;$Z$3))</f>
        <v>0</v>
      </c>
      <c r="L259" s="47">
        <f>(-SUMIFS(LS[Unit],LS[Investor ID],A259,LS[B/S],"S",LS[Date Value],"&gt;="&amp;$Z$2,LS[Date Value],"&lt;="&amp;$Z$3))+(-SUMIFS(SIP[Unit],SIP[Investor ID],A259,SIP[B/S],"S",SIP[Date Value],"&gt;="&amp;$Z$2,SIP[Date Value],"&lt;="&amp;$Z$3))</f>
        <v>0</v>
      </c>
      <c r="M259" s="49">
        <f>(SUMIFS(LS[Cost of Units Sold],LS[Investor ID],A259,LS[B/S],"S",LS[Date Value],"&gt;="&amp;$Z$2,LS[Date Value],"&lt;="&amp;$Z$3))+(SUMIFS(SIP[Cost of Units Sold],SIP[Investor ID],A259,SIP[B/S],"S",SIP[Date Value],"&gt;="&amp;$Z$2,SIP[Date Value],"&lt;="&amp;$Z$3))</f>
        <v>0</v>
      </c>
      <c r="N259" s="49">
        <f t="shared" ref="N259:N322" si="24">K259-M259</f>
        <v>0</v>
      </c>
      <c r="O259" s="49">
        <f>(SUMIFS(LS[Realized Gain],LS[Investor ID],A259,LS[Date Value],"&gt;="&amp;$Z$2,LS[Date Value],"&lt;="&amp;$Z$3))+(SUMIFS(SIP[Realized Gain],SIP[Investor ID],A259,SIP[Date Value],"&gt;="&amp;$Z$2,SIP[Date Value],"&lt;="&amp;$Z$3))</f>
        <v>0</v>
      </c>
      <c r="P259" s="49">
        <v>0</v>
      </c>
      <c r="Q259" s="49">
        <v>0</v>
      </c>
      <c r="R259" s="49">
        <v>0</v>
      </c>
    </row>
    <row r="260" spans="1:18">
      <c r="A260" t="s">
        <v>569</v>
      </c>
      <c r="B260" s="47">
        <f>SUMIFS(LS[Unit],LS[Investor ID],'TAX CERTIFICATE'!A260,LS[Date Value],"&lt;"&amp;$Z$2)+SUMIFS(SIP[Unit],SIP[Investor ID],'TAX CERTIFICATE'!A260,SIP[Date Value],"&lt;"&amp;$Z$2)</f>
        <v>0</v>
      </c>
      <c r="C260" s="48">
        <f>(SUMIFS(LS[Amount],LS[B/S],"B",LS[Investor ID],A260,LS[Date Value],"&lt;"&amp;$Z$2)-SUMIFS(LS[Cost of Units Sold],LS[B/S],"S",LS[Investor ID],A260,LS[Date Value],"&lt;"&amp;$Z$2))+(SUMIFS(SIP[Amount],SIP[B/S],"B",SIP[Investor ID],#REF!,SIP[Date Value],"&lt;"&amp;$Z$2)-SUMIFS(SIP[Cost of Units Sold],SIP[B/S],"S",SIP[Investor ID],A260,SIP[Date Value],"&lt;"&amp;$Z$2))</f>
        <v>0</v>
      </c>
      <c r="D260" s="49">
        <f t="shared" si="20"/>
        <v>0</v>
      </c>
      <c r="E260" s="49">
        <f t="shared" si="21"/>
        <v>0</v>
      </c>
      <c r="F260" s="47">
        <f>SUMIFS(LS[Unit],LS[Investor ID],A260,LS[Date Value],"&lt;="&amp;$Z$3)+SUMIFS(SIP[Unit],SIP[Investor ID],A260,SIP[Date Value],"&lt;="&amp;$Z$3)</f>
        <v>4228</v>
      </c>
      <c r="G260" s="49">
        <f>(SUMIFS(LS[Amount],LS[B/S],"B",LS[Investor ID],A260,LS[Date Value],"&lt;="&amp;$Z$3)-SUMIFS(LS[Cost of Units Sold],LS[B/S],"S",LS[Investor ID],A260,LS[Date Value],"&lt;="&amp;$Z$3))+(SUMIFS(SIP[Amount],SIP[B/S],"B",SIP[Investor ID],A260,SIP[Date Value],"&lt;="&amp;$Z$3)-SUMIFS(SIP[Cost of Units Sold],SIP[B/S],"S",SIP[Investor ID],A260,SIP[Date Value],"&lt;="&amp;$Z$3))</f>
        <v>45000</v>
      </c>
      <c r="H260" s="49">
        <f t="shared" si="22"/>
        <v>47201.392</v>
      </c>
      <c r="I260" s="49">
        <f t="shared" si="23"/>
        <v>2201.3919999999998</v>
      </c>
      <c r="J260" s="47">
        <f>(SUMIFS(LS[Unit],LS[Investor ID],A260,LS[B/S],"B",LS[Date Value],"&gt;="&amp;$Z$2,LS[Date Value],"&lt;="&amp;$Z$3))+(SUMIFS(SIP[Unit],SIP[Investor ID],A260,SIP[B/S],"B",SIP[Date Value],"&gt;="&amp;$Z$2,SIP[Date Value],"&lt;="&amp;$Z$3))</f>
        <v>4228</v>
      </c>
      <c r="K260" s="49">
        <f>(SUMIFS(LS[Amount],LS[Investor ID],A260,LS[B/S],"B",LS[Date Value],"&gt;="&amp;$Z$2,LS[Date Value],"&lt;="&amp;$Z$3))+(SUMIFS(SIP[Amount],SIP[Investor ID],A260,SIP[B/S],"B",SIP[Date Value],"&gt;="&amp;$Z$2,SIP[Date Value],"&lt;="&amp;$Z$3))</f>
        <v>45000</v>
      </c>
      <c r="L260" s="47">
        <f>(-SUMIFS(LS[Unit],LS[Investor ID],A260,LS[B/S],"S",LS[Date Value],"&gt;="&amp;$Z$2,LS[Date Value],"&lt;="&amp;$Z$3))+(-SUMIFS(SIP[Unit],SIP[Investor ID],A260,SIP[B/S],"S",SIP[Date Value],"&gt;="&amp;$Z$2,SIP[Date Value],"&lt;="&amp;$Z$3))</f>
        <v>0</v>
      </c>
      <c r="M260" s="49">
        <f>(SUMIFS(LS[Cost of Units Sold],LS[Investor ID],A260,LS[B/S],"S",LS[Date Value],"&gt;="&amp;$Z$2,LS[Date Value],"&lt;="&amp;$Z$3))+(SUMIFS(SIP[Cost of Units Sold],SIP[Investor ID],A260,SIP[B/S],"S",SIP[Date Value],"&gt;="&amp;$Z$2,SIP[Date Value],"&lt;="&amp;$Z$3))</f>
        <v>0</v>
      </c>
      <c r="N260" s="49">
        <f t="shared" si="24"/>
        <v>45000</v>
      </c>
      <c r="O260" s="49">
        <f>(SUMIFS(LS[Realized Gain],LS[Investor ID],A260,LS[Date Value],"&gt;="&amp;$Z$2,LS[Date Value],"&lt;="&amp;$Z$3))+(SUMIFS(SIP[Realized Gain],SIP[Investor ID],A260,SIP[Date Value],"&gt;="&amp;$Z$2,SIP[Date Value],"&lt;="&amp;$Z$3))</f>
        <v>0</v>
      </c>
      <c r="P260" s="49">
        <v>0</v>
      </c>
      <c r="Q260" s="49">
        <v>0</v>
      </c>
      <c r="R260" s="49">
        <v>0</v>
      </c>
    </row>
    <row r="261" spans="1:18">
      <c r="A261" t="s">
        <v>571</v>
      </c>
      <c r="B261" s="47">
        <f>SUMIFS(LS[Unit],LS[Investor ID],'TAX CERTIFICATE'!A261,LS[Date Value],"&lt;"&amp;$Z$2)+SUMIFS(SIP[Unit],SIP[Investor ID],'TAX CERTIFICATE'!A261,SIP[Date Value],"&lt;"&amp;$Z$2)</f>
        <v>0</v>
      </c>
      <c r="C261" s="48">
        <f>(SUMIFS(LS[Amount],LS[B/S],"B",LS[Investor ID],A261,LS[Date Value],"&lt;"&amp;$Z$2)-SUMIFS(LS[Cost of Units Sold],LS[B/S],"S",LS[Investor ID],A261,LS[Date Value],"&lt;"&amp;$Z$2))+(SUMIFS(SIP[Amount],SIP[B/S],"B",SIP[Investor ID],#REF!,SIP[Date Value],"&lt;"&amp;$Z$2)-SUMIFS(SIP[Cost of Units Sold],SIP[B/S],"S",SIP[Investor ID],A261,SIP[Date Value],"&lt;"&amp;$Z$2))</f>
        <v>0</v>
      </c>
      <c r="D261" s="49">
        <f t="shared" si="20"/>
        <v>0</v>
      </c>
      <c r="E261" s="49">
        <f t="shared" si="21"/>
        <v>0</v>
      </c>
      <c r="F261" s="47">
        <f>SUMIFS(LS[Unit],LS[Investor ID],A261,LS[Date Value],"&lt;="&amp;$Z$3)+SUMIFS(SIP[Unit],SIP[Investor ID],A261,SIP[Date Value],"&lt;="&amp;$Z$3)</f>
        <v>0</v>
      </c>
      <c r="G261" s="49">
        <f>(SUMIFS(LS[Amount],LS[B/S],"B",LS[Investor ID],A261,LS[Date Value],"&lt;="&amp;$Z$3)-SUMIFS(LS[Cost of Units Sold],LS[B/S],"S",LS[Investor ID],A261,LS[Date Value],"&lt;="&amp;$Z$3))+(SUMIFS(SIP[Amount],SIP[B/S],"B",SIP[Investor ID],A261,SIP[Date Value],"&lt;="&amp;$Z$3)-SUMIFS(SIP[Cost of Units Sold],SIP[B/S],"S",SIP[Investor ID],A261,SIP[Date Value],"&lt;="&amp;$Z$3))</f>
        <v>0</v>
      </c>
      <c r="H261" s="49">
        <f t="shared" si="22"/>
        <v>0</v>
      </c>
      <c r="I261" s="49">
        <f t="shared" si="23"/>
        <v>0</v>
      </c>
      <c r="J261" s="47">
        <f>(SUMIFS(LS[Unit],LS[Investor ID],A261,LS[B/S],"B",LS[Date Value],"&gt;="&amp;$Z$2,LS[Date Value],"&lt;="&amp;$Z$3))+(SUMIFS(SIP[Unit],SIP[Investor ID],A261,SIP[B/S],"B",SIP[Date Value],"&gt;="&amp;$Z$2,SIP[Date Value],"&lt;="&amp;$Z$3))</f>
        <v>0</v>
      </c>
      <c r="K261" s="49">
        <f>(SUMIFS(LS[Amount],LS[Investor ID],A261,LS[B/S],"B",LS[Date Value],"&gt;="&amp;$Z$2,LS[Date Value],"&lt;="&amp;$Z$3))+(SUMIFS(SIP[Amount],SIP[Investor ID],A261,SIP[B/S],"B",SIP[Date Value],"&gt;="&amp;$Z$2,SIP[Date Value],"&lt;="&amp;$Z$3))</f>
        <v>0</v>
      </c>
      <c r="L261" s="47">
        <f>(-SUMIFS(LS[Unit],LS[Investor ID],A261,LS[B/S],"S",LS[Date Value],"&gt;="&amp;$Z$2,LS[Date Value],"&lt;="&amp;$Z$3))+(-SUMIFS(SIP[Unit],SIP[Investor ID],A261,SIP[B/S],"S",SIP[Date Value],"&gt;="&amp;$Z$2,SIP[Date Value],"&lt;="&amp;$Z$3))</f>
        <v>0</v>
      </c>
      <c r="M261" s="49">
        <f>(SUMIFS(LS[Cost of Units Sold],LS[Investor ID],A261,LS[B/S],"S",LS[Date Value],"&gt;="&amp;$Z$2,LS[Date Value],"&lt;="&amp;$Z$3))+(SUMIFS(SIP[Cost of Units Sold],SIP[Investor ID],A261,SIP[B/S],"S",SIP[Date Value],"&gt;="&amp;$Z$2,SIP[Date Value],"&lt;="&amp;$Z$3))</f>
        <v>0</v>
      </c>
      <c r="N261" s="49">
        <f t="shared" si="24"/>
        <v>0</v>
      </c>
      <c r="O261" s="49">
        <f>(SUMIFS(LS[Realized Gain],LS[Investor ID],A261,LS[Date Value],"&gt;="&amp;$Z$2,LS[Date Value],"&lt;="&amp;$Z$3))+(SUMIFS(SIP[Realized Gain],SIP[Investor ID],A261,SIP[Date Value],"&gt;="&amp;$Z$2,SIP[Date Value],"&lt;="&amp;$Z$3))</f>
        <v>0</v>
      </c>
      <c r="P261" s="49">
        <v>0</v>
      </c>
      <c r="Q261" s="49">
        <v>0</v>
      </c>
      <c r="R261" s="49">
        <v>0</v>
      </c>
    </row>
    <row r="262" spans="1:18">
      <c r="A262" t="s">
        <v>573</v>
      </c>
      <c r="B262" s="47">
        <f>SUMIFS(LS[Unit],LS[Investor ID],'TAX CERTIFICATE'!A262,LS[Date Value],"&lt;"&amp;$Z$2)+SUMIFS(SIP[Unit],SIP[Investor ID],'TAX CERTIFICATE'!A262,SIP[Date Value],"&lt;"&amp;$Z$2)</f>
        <v>0</v>
      </c>
      <c r="C262" s="48">
        <f>(SUMIFS(LS[Amount],LS[B/S],"B",LS[Investor ID],A262,LS[Date Value],"&lt;"&amp;$Z$2)-SUMIFS(LS[Cost of Units Sold],LS[B/S],"S",LS[Investor ID],A262,LS[Date Value],"&lt;"&amp;$Z$2))+(SUMIFS(SIP[Amount],SIP[B/S],"B",SIP[Investor ID],#REF!,SIP[Date Value],"&lt;"&amp;$Z$2)-SUMIFS(SIP[Cost of Units Sold],SIP[B/S],"S",SIP[Investor ID],A262,SIP[Date Value],"&lt;"&amp;$Z$2))</f>
        <v>0</v>
      </c>
      <c r="D262" s="49">
        <f t="shared" si="20"/>
        <v>0</v>
      </c>
      <c r="E262" s="49">
        <f t="shared" si="21"/>
        <v>0</v>
      </c>
      <c r="F262" s="47">
        <f>SUMIFS(LS[Unit],LS[Investor ID],A262,LS[Date Value],"&lt;="&amp;$Z$3)+SUMIFS(SIP[Unit],SIP[Investor ID],A262,SIP[Date Value],"&lt;="&amp;$Z$3)</f>
        <v>0</v>
      </c>
      <c r="G262" s="49">
        <f>(SUMIFS(LS[Amount],LS[B/S],"B",LS[Investor ID],A262,LS[Date Value],"&lt;="&amp;$Z$3)-SUMIFS(LS[Cost of Units Sold],LS[B/S],"S",LS[Investor ID],A262,LS[Date Value],"&lt;="&amp;$Z$3))+(SUMIFS(SIP[Amount],SIP[B/S],"B",SIP[Investor ID],A262,SIP[Date Value],"&lt;="&amp;$Z$3)-SUMIFS(SIP[Cost of Units Sold],SIP[B/S],"S",SIP[Investor ID],A262,SIP[Date Value],"&lt;="&amp;$Z$3))</f>
        <v>0</v>
      </c>
      <c r="H262" s="49">
        <f t="shared" si="22"/>
        <v>0</v>
      </c>
      <c r="I262" s="49">
        <f t="shared" si="23"/>
        <v>0</v>
      </c>
      <c r="J262" s="47">
        <f>(SUMIFS(LS[Unit],LS[Investor ID],A262,LS[B/S],"B",LS[Date Value],"&gt;="&amp;$Z$2,LS[Date Value],"&lt;="&amp;$Z$3))+(SUMIFS(SIP[Unit],SIP[Investor ID],A262,SIP[B/S],"B",SIP[Date Value],"&gt;="&amp;$Z$2,SIP[Date Value],"&lt;="&amp;$Z$3))</f>
        <v>0</v>
      </c>
      <c r="K262" s="49">
        <f>(SUMIFS(LS[Amount],LS[Investor ID],A262,LS[B/S],"B",LS[Date Value],"&gt;="&amp;$Z$2,LS[Date Value],"&lt;="&amp;$Z$3))+(SUMIFS(SIP[Amount],SIP[Investor ID],A262,SIP[B/S],"B",SIP[Date Value],"&gt;="&amp;$Z$2,SIP[Date Value],"&lt;="&amp;$Z$3))</f>
        <v>0</v>
      </c>
      <c r="L262" s="47">
        <f>(-SUMIFS(LS[Unit],LS[Investor ID],A262,LS[B/S],"S",LS[Date Value],"&gt;="&amp;$Z$2,LS[Date Value],"&lt;="&amp;$Z$3))+(-SUMIFS(SIP[Unit],SIP[Investor ID],A262,SIP[B/S],"S",SIP[Date Value],"&gt;="&amp;$Z$2,SIP[Date Value],"&lt;="&amp;$Z$3))</f>
        <v>0</v>
      </c>
      <c r="M262" s="49">
        <f>(SUMIFS(LS[Cost of Units Sold],LS[Investor ID],A262,LS[B/S],"S",LS[Date Value],"&gt;="&amp;$Z$2,LS[Date Value],"&lt;="&amp;$Z$3))+(SUMIFS(SIP[Cost of Units Sold],SIP[Investor ID],A262,SIP[B/S],"S",SIP[Date Value],"&gt;="&amp;$Z$2,SIP[Date Value],"&lt;="&amp;$Z$3))</f>
        <v>0</v>
      </c>
      <c r="N262" s="49">
        <f t="shared" si="24"/>
        <v>0</v>
      </c>
      <c r="O262" s="49">
        <f>(SUMIFS(LS[Realized Gain],LS[Investor ID],A262,LS[Date Value],"&gt;="&amp;$Z$2,LS[Date Value],"&lt;="&amp;$Z$3))+(SUMIFS(SIP[Realized Gain],SIP[Investor ID],A262,SIP[Date Value],"&gt;="&amp;$Z$2,SIP[Date Value],"&lt;="&amp;$Z$3))</f>
        <v>0</v>
      </c>
      <c r="P262" s="49">
        <v>0</v>
      </c>
      <c r="Q262" s="49">
        <v>0</v>
      </c>
      <c r="R262" s="49">
        <v>0</v>
      </c>
    </row>
    <row r="263" spans="1:18">
      <c r="A263" t="s">
        <v>575</v>
      </c>
      <c r="B263" s="47">
        <f>SUMIFS(LS[Unit],LS[Investor ID],'TAX CERTIFICATE'!A263,LS[Date Value],"&lt;"&amp;$Z$2)+SUMIFS(SIP[Unit],SIP[Investor ID],'TAX CERTIFICATE'!A263,SIP[Date Value],"&lt;"&amp;$Z$2)</f>
        <v>80000</v>
      </c>
      <c r="C263" s="48">
        <f>(SUMIFS(LS[Amount],LS[B/S],"B",LS[Investor ID],A263,LS[Date Value],"&lt;"&amp;$Z$2)-SUMIFS(LS[Cost of Units Sold],LS[B/S],"S",LS[Investor ID],A263,LS[Date Value],"&lt;"&amp;$Z$2))+(SUMIFS(SIP[Amount],SIP[B/S],"B",SIP[Investor ID],#REF!,SIP[Date Value],"&lt;"&amp;$Z$2)-SUMIFS(SIP[Cost of Units Sold],SIP[B/S],"S",SIP[Investor ID],A263,SIP[Date Value],"&lt;"&amp;$Z$2))</f>
        <v>800000</v>
      </c>
      <c r="D263" s="49">
        <f t="shared" si="20"/>
        <v>821680.00000000012</v>
      </c>
      <c r="E263" s="49">
        <f t="shared" si="21"/>
        <v>21680.000000000116</v>
      </c>
      <c r="F263" s="47">
        <f>SUMIFS(LS[Unit],LS[Investor ID],A263,LS[Date Value],"&lt;="&amp;$Z$3)+SUMIFS(SIP[Unit],SIP[Investor ID],A263,SIP[Date Value],"&lt;="&amp;$Z$3)</f>
        <v>454009</v>
      </c>
      <c r="G263" s="49">
        <f>(SUMIFS(LS[Amount],LS[B/S],"B",LS[Investor ID],A263,LS[Date Value],"&lt;="&amp;$Z$3)-SUMIFS(LS[Cost of Units Sold],LS[B/S],"S",LS[Investor ID],A263,LS[Date Value],"&lt;="&amp;$Z$3))+(SUMIFS(SIP[Amount],SIP[B/S],"B",SIP[Investor ID],A263,SIP[Date Value],"&lt;="&amp;$Z$3)-SUMIFS(SIP[Cost of Units Sold],SIP[B/S],"S",SIP[Investor ID],A263,SIP[Date Value],"&lt;="&amp;$Z$3))</f>
        <v>4991300</v>
      </c>
      <c r="H263" s="49">
        <f t="shared" si="22"/>
        <v>5068556.4759999998</v>
      </c>
      <c r="I263" s="49">
        <f t="shared" si="23"/>
        <v>77256.475999999791</v>
      </c>
      <c r="J263" s="47">
        <f>(SUMIFS(LS[Unit],LS[Investor ID],A263,LS[B/S],"B",LS[Date Value],"&gt;="&amp;$Z$2,LS[Date Value],"&lt;="&amp;$Z$3))+(SUMIFS(SIP[Unit],SIP[Investor ID],A263,SIP[B/S],"B",SIP[Date Value],"&gt;="&amp;$Z$2,SIP[Date Value],"&lt;="&amp;$Z$3))</f>
        <v>454009</v>
      </c>
      <c r="K263" s="49">
        <f>(SUMIFS(LS[Amount],LS[Investor ID],A263,LS[B/S],"B",LS[Date Value],"&gt;="&amp;$Z$2,LS[Date Value],"&lt;="&amp;$Z$3))+(SUMIFS(SIP[Amount],SIP[Investor ID],A263,SIP[B/S],"B",SIP[Date Value],"&gt;="&amp;$Z$2,SIP[Date Value],"&lt;="&amp;$Z$3))</f>
        <v>4991300</v>
      </c>
      <c r="L263" s="47">
        <f>(-SUMIFS(LS[Unit],LS[Investor ID],A263,LS[B/S],"S",LS[Date Value],"&gt;="&amp;$Z$2,LS[Date Value],"&lt;="&amp;$Z$3))+(-SUMIFS(SIP[Unit],SIP[Investor ID],A263,SIP[B/S],"S",SIP[Date Value],"&gt;="&amp;$Z$2,SIP[Date Value],"&lt;="&amp;$Z$3))</f>
        <v>80000</v>
      </c>
      <c r="M263" s="49">
        <f>(SUMIFS(LS[Cost of Units Sold],LS[Investor ID],A263,LS[B/S],"S",LS[Date Value],"&gt;="&amp;$Z$2,LS[Date Value],"&lt;="&amp;$Z$3))+(SUMIFS(SIP[Cost of Units Sold],SIP[Investor ID],A263,SIP[B/S],"S",SIP[Date Value],"&gt;="&amp;$Z$2,SIP[Date Value],"&lt;="&amp;$Z$3))</f>
        <v>800000</v>
      </c>
      <c r="N263" s="49">
        <f t="shared" si="24"/>
        <v>4191300</v>
      </c>
      <c r="O263" s="49">
        <f>(SUMIFS(LS[Realized Gain],LS[Investor ID],A263,LS[Date Value],"&gt;="&amp;$Z$2,LS[Date Value],"&lt;="&amp;$Z$3))+(SUMIFS(SIP[Realized Gain],SIP[Investor ID],A263,SIP[Date Value],"&gt;="&amp;$Z$2,SIP[Date Value],"&lt;="&amp;$Z$3))</f>
        <v>70639.999999999927</v>
      </c>
      <c r="P263" s="49">
        <v>0</v>
      </c>
      <c r="Q263" s="49">
        <v>0</v>
      </c>
      <c r="R263" s="49">
        <v>0</v>
      </c>
    </row>
    <row r="264" spans="1:18">
      <c r="A264" t="s">
        <v>577</v>
      </c>
      <c r="B264" s="47">
        <f>SUMIFS(LS[Unit],LS[Investor ID],'TAX CERTIFICATE'!A264,LS[Date Value],"&lt;"&amp;$Z$2)+SUMIFS(SIP[Unit],SIP[Investor ID],'TAX CERTIFICATE'!A264,SIP[Date Value],"&lt;"&amp;$Z$2)</f>
        <v>0</v>
      </c>
      <c r="C264" s="48">
        <f>(SUMIFS(LS[Amount],LS[B/S],"B",LS[Investor ID],A264,LS[Date Value],"&lt;"&amp;$Z$2)-SUMIFS(LS[Cost of Units Sold],LS[B/S],"S",LS[Investor ID],A264,LS[Date Value],"&lt;"&amp;$Z$2))+(SUMIFS(SIP[Amount],SIP[B/S],"B",SIP[Investor ID],#REF!,SIP[Date Value],"&lt;"&amp;$Z$2)-SUMIFS(SIP[Cost of Units Sold],SIP[B/S],"S",SIP[Investor ID],A264,SIP[Date Value],"&lt;"&amp;$Z$2))</f>
        <v>0</v>
      </c>
      <c r="D264" s="49">
        <f t="shared" si="20"/>
        <v>0</v>
      </c>
      <c r="E264" s="49">
        <f t="shared" si="21"/>
        <v>0</v>
      </c>
      <c r="F264" s="47">
        <f>SUMIFS(LS[Unit],LS[Investor ID],A264,LS[Date Value],"&lt;="&amp;$Z$3)+SUMIFS(SIP[Unit],SIP[Investor ID],A264,SIP[Date Value],"&lt;="&amp;$Z$3)</f>
        <v>0</v>
      </c>
      <c r="G264" s="49">
        <f>(SUMIFS(LS[Amount],LS[B/S],"B",LS[Investor ID],A264,LS[Date Value],"&lt;="&amp;$Z$3)-SUMIFS(LS[Cost of Units Sold],LS[B/S],"S",LS[Investor ID],A264,LS[Date Value],"&lt;="&amp;$Z$3))+(SUMIFS(SIP[Amount],SIP[B/S],"B",SIP[Investor ID],A264,SIP[Date Value],"&lt;="&amp;$Z$3)-SUMIFS(SIP[Cost of Units Sold],SIP[B/S],"S",SIP[Investor ID],A264,SIP[Date Value],"&lt;="&amp;$Z$3))</f>
        <v>0</v>
      </c>
      <c r="H264" s="49">
        <f t="shared" si="22"/>
        <v>0</v>
      </c>
      <c r="I264" s="49">
        <f t="shared" si="23"/>
        <v>0</v>
      </c>
      <c r="J264" s="47">
        <f>(SUMIFS(LS[Unit],LS[Investor ID],A264,LS[B/S],"B",LS[Date Value],"&gt;="&amp;$Z$2,LS[Date Value],"&lt;="&amp;$Z$3))+(SUMIFS(SIP[Unit],SIP[Investor ID],A264,SIP[B/S],"B",SIP[Date Value],"&gt;="&amp;$Z$2,SIP[Date Value],"&lt;="&amp;$Z$3))</f>
        <v>0</v>
      </c>
      <c r="K264" s="49">
        <f>(SUMIFS(LS[Amount],LS[Investor ID],A264,LS[B/S],"B",LS[Date Value],"&gt;="&amp;$Z$2,LS[Date Value],"&lt;="&amp;$Z$3))+(SUMIFS(SIP[Amount],SIP[Investor ID],A264,SIP[B/S],"B",SIP[Date Value],"&gt;="&amp;$Z$2,SIP[Date Value],"&lt;="&amp;$Z$3))</f>
        <v>0</v>
      </c>
      <c r="L264" s="47">
        <f>(-SUMIFS(LS[Unit],LS[Investor ID],A264,LS[B/S],"S",LS[Date Value],"&gt;="&amp;$Z$2,LS[Date Value],"&lt;="&amp;$Z$3))+(-SUMIFS(SIP[Unit],SIP[Investor ID],A264,SIP[B/S],"S",SIP[Date Value],"&gt;="&amp;$Z$2,SIP[Date Value],"&lt;="&amp;$Z$3))</f>
        <v>0</v>
      </c>
      <c r="M264" s="49">
        <f>(SUMIFS(LS[Cost of Units Sold],LS[Investor ID],A264,LS[B/S],"S",LS[Date Value],"&gt;="&amp;$Z$2,LS[Date Value],"&lt;="&amp;$Z$3))+(SUMIFS(SIP[Cost of Units Sold],SIP[Investor ID],A264,SIP[B/S],"S",SIP[Date Value],"&gt;="&amp;$Z$2,SIP[Date Value],"&lt;="&amp;$Z$3))</f>
        <v>0</v>
      </c>
      <c r="N264" s="49">
        <f t="shared" si="24"/>
        <v>0</v>
      </c>
      <c r="O264" s="49">
        <f>(SUMIFS(LS[Realized Gain],LS[Investor ID],A264,LS[Date Value],"&gt;="&amp;$Z$2,LS[Date Value],"&lt;="&amp;$Z$3))+(SUMIFS(SIP[Realized Gain],SIP[Investor ID],A264,SIP[Date Value],"&gt;="&amp;$Z$2,SIP[Date Value],"&lt;="&amp;$Z$3))</f>
        <v>0</v>
      </c>
      <c r="P264" s="49">
        <v>0</v>
      </c>
      <c r="Q264" s="49">
        <v>0</v>
      </c>
      <c r="R264" s="49">
        <v>0</v>
      </c>
    </row>
    <row r="265" spans="1:18">
      <c r="A265" t="s">
        <v>579</v>
      </c>
      <c r="B265" s="47">
        <f>SUMIFS(LS[Unit],LS[Investor ID],'TAX CERTIFICATE'!A265,LS[Date Value],"&lt;"&amp;$Z$2)+SUMIFS(SIP[Unit],SIP[Investor ID],'TAX CERTIFICATE'!A265,SIP[Date Value],"&lt;"&amp;$Z$2)</f>
        <v>0</v>
      </c>
      <c r="C265" s="48">
        <f>(SUMIFS(LS[Amount],LS[B/S],"B",LS[Investor ID],A265,LS[Date Value],"&lt;"&amp;$Z$2)-SUMIFS(LS[Cost of Units Sold],LS[B/S],"S",LS[Investor ID],A265,LS[Date Value],"&lt;"&amp;$Z$2))+(SUMIFS(SIP[Amount],SIP[B/S],"B",SIP[Investor ID],#REF!,SIP[Date Value],"&lt;"&amp;$Z$2)-SUMIFS(SIP[Cost of Units Sold],SIP[B/S],"S",SIP[Investor ID],A265,SIP[Date Value],"&lt;"&amp;$Z$2))</f>
        <v>0</v>
      </c>
      <c r="D265" s="49">
        <f t="shared" si="20"/>
        <v>0</v>
      </c>
      <c r="E265" s="49">
        <f t="shared" si="21"/>
        <v>0</v>
      </c>
      <c r="F265" s="47">
        <f>SUMIFS(LS[Unit],LS[Investor ID],A265,LS[Date Value],"&lt;="&amp;$Z$3)+SUMIFS(SIP[Unit],SIP[Investor ID],A265,SIP[Date Value],"&lt;="&amp;$Z$3)</f>
        <v>0</v>
      </c>
      <c r="G265" s="49">
        <f>(SUMIFS(LS[Amount],LS[B/S],"B",LS[Investor ID],A265,LS[Date Value],"&lt;="&amp;$Z$3)-SUMIFS(LS[Cost of Units Sold],LS[B/S],"S",LS[Investor ID],A265,LS[Date Value],"&lt;="&amp;$Z$3))+(SUMIFS(SIP[Amount],SIP[B/S],"B",SIP[Investor ID],A265,SIP[Date Value],"&lt;="&amp;$Z$3)-SUMIFS(SIP[Cost of Units Sold],SIP[B/S],"S",SIP[Investor ID],A265,SIP[Date Value],"&lt;="&amp;$Z$3))</f>
        <v>0</v>
      </c>
      <c r="H265" s="49">
        <f t="shared" si="22"/>
        <v>0</v>
      </c>
      <c r="I265" s="49">
        <f t="shared" si="23"/>
        <v>0</v>
      </c>
      <c r="J265" s="47">
        <f>(SUMIFS(LS[Unit],LS[Investor ID],A265,LS[B/S],"B",LS[Date Value],"&gt;="&amp;$Z$2,LS[Date Value],"&lt;="&amp;$Z$3))+(SUMIFS(SIP[Unit],SIP[Investor ID],A265,SIP[B/S],"B",SIP[Date Value],"&gt;="&amp;$Z$2,SIP[Date Value],"&lt;="&amp;$Z$3))</f>
        <v>0</v>
      </c>
      <c r="K265" s="49">
        <f>(SUMIFS(LS[Amount],LS[Investor ID],A265,LS[B/S],"B",LS[Date Value],"&gt;="&amp;$Z$2,LS[Date Value],"&lt;="&amp;$Z$3))+(SUMIFS(SIP[Amount],SIP[Investor ID],A265,SIP[B/S],"B",SIP[Date Value],"&gt;="&amp;$Z$2,SIP[Date Value],"&lt;="&amp;$Z$3))</f>
        <v>0</v>
      </c>
      <c r="L265" s="47">
        <f>(-SUMIFS(LS[Unit],LS[Investor ID],A265,LS[B/S],"S",LS[Date Value],"&gt;="&amp;$Z$2,LS[Date Value],"&lt;="&amp;$Z$3))+(-SUMIFS(SIP[Unit],SIP[Investor ID],A265,SIP[B/S],"S",SIP[Date Value],"&gt;="&amp;$Z$2,SIP[Date Value],"&lt;="&amp;$Z$3))</f>
        <v>0</v>
      </c>
      <c r="M265" s="49">
        <f>(SUMIFS(LS[Cost of Units Sold],LS[Investor ID],A265,LS[B/S],"S",LS[Date Value],"&gt;="&amp;$Z$2,LS[Date Value],"&lt;="&amp;$Z$3))+(SUMIFS(SIP[Cost of Units Sold],SIP[Investor ID],A265,SIP[B/S],"S",SIP[Date Value],"&gt;="&amp;$Z$2,SIP[Date Value],"&lt;="&amp;$Z$3))</f>
        <v>0</v>
      </c>
      <c r="N265" s="49">
        <f t="shared" si="24"/>
        <v>0</v>
      </c>
      <c r="O265" s="49">
        <f>(SUMIFS(LS[Realized Gain],LS[Investor ID],A265,LS[Date Value],"&gt;="&amp;$Z$2,LS[Date Value],"&lt;="&amp;$Z$3))+(SUMIFS(SIP[Realized Gain],SIP[Investor ID],A265,SIP[Date Value],"&gt;="&amp;$Z$2,SIP[Date Value],"&lt;="&amp;$Z$3))</f>
        <v>0</v>
      </c>
      <c r="P265" s="49">
        <v>0</v>
      </c>
      <c r="Q265" s="49">
        <v>0</v>
      </c>
      <c r="R265" s="49">
        <v>0</v>
      </c>
    </row>
    <row r="266" spans="1:18">
      <c r="A266" t="s">
        <v>581</v>
      </c>
      <c r="B266" s="47">
        <f>SUMIFS(LS[Unit],LS[Investor ID],'TAX CERTIFICATE'!A266,LS[Date Value],"&lt;"&amp;$Z$2)+SUMIFS(SIP[Unit],SIP[Investor ID],'TAX CERTIFICATE'!A266,SIP[Date Value],"&lt;"&amp;$Z$2)</f>
        <v>0</v>
      </c>
      <c r="C266" s="48">
        <f>(SUMIFS(LS[Amount],LS[B/S],"B",LS[Investor ID],A266,LS[Date Value],"&lt;"&amp;$Z$2)-SUMIFS(LS[Cost of Units Sold],LS[B/S],"S",LS[Investor ID],A266,LS[Date Value],"&lt;"&amp;$Z$2))+(SUMIFS(SIP[Amount],SIP[B/S],"B",SIP[Investor ID],#REF!,SIP[Date Value],"&lt;"&amp;$Z$2)-SUMIFS(SIP[Cost of Units Sold],SIP[B/S],"S",SIP[Investor ID],A266,SIP[Date Value],"&lt;"&amp;$Z$2))</f>
        <v>0</v>
      </c>
      <c r="D266" s="49">
        <f t="shared" si="20"/>
        <v>0</v>
      </c>
      <c r="E266" s="49">
        <f t="shared" si="21"/>
        <v>0</v>
      </c>
      <c r="F266" s="47">
        <f>SUMIFS(LS[Unit],LS[Investor ID],A266,LS[Date Value],"&lt;="&amp;$Z$3)+SUMIFS(SIP[Unit],SIP[Investor ID],A266,SIP[Date Value],"&lt;="&amp;$Z$3)</f>
        <v>0</v>
      </c>
      <c r="G266" s="49">
        <f>(SUMIFS(LS[Amount],LS[B/S],"B",LS[Investor ID],A266,LS[Date Value],"&lt;="&amp;$Z$3)-SUMIFS(LS[Cost of Units Sold],LS[B/S],"S",LS[Investor ID],A266,LS[Date Value],"&lt;="&amp;$Z$3))+(SUMIFS(SIP[Amount],SIP[B/S],"B",SIP[Investor ID],A266,SIP[Date Value],"&lt;="&amp;$Z$3)-SUMIFS(SIP[Cost of Units Sold],SIP[B/S],"S",SIP[Investor ID],A266,SIP[Date Value],"&lt;="&amp;$Z$3))</f>
        <v>0</v>
      </c>
      <c r="H266" s="49">
        <f t="shared" si="22"/>
        <v>0</v>
      </c>
      <c r="I266" s="49">
        <f t="shared" si="23"/>
        <v>0</v>
      </c>
      <c r="J266" s="47">
        <f>(SUMIFS(LS[Unit],LS[Investor ID],A266,LS[B/S],"B",LS[Date Value],"&gt;="&amp;$Z$2,LS[Date Value],"&lt;="&amp;$Z$3))+(SUMIFS(SIP[Unit],SIP[Investor ID],A266,SIP[B/S],"B",SIP[Date Value],"&gt;="&amp;$Z$2,SIP[Date Value],"&lt;="&amp;$Z$3))</f>
        <v>0</v>
      </c>
      <c r="K266" s="49">
        <f>(SUMIFS(LS[Amount],LS[Investor ID],A266,LS[B/S],"B",LS[Date Value],"&gt;="&amp;$Z$2,LS[Date Value],"&lt;="&amp;$Z$3))+(SUMIFS(SIP[Amount],SIP[Investor ID],A266,SIP[B/S],"B",SIP[Date Value],"&gt;="&amp;$Z$2,SIP[Date Value],"&lt;="&amp;$Z$3))</f>
        <v>0</v>
      </c>
      <c r="L266" s="47">
        <f>(-SUMIFS(LS[Unit],LS[Investor ID],A266,LS[B/S],"S",LS[Date Value],"&gt;="&amp;$Z$2,LS[Date Value],"&lt;="&amp;$Z$3))+(-SUMIFS(SIP[Unit],SIP[Investor ID],A266,SIP[B/S],"S",SIP[Date Value],"&gt;="&amp;$Z$2,SIP[Date Value],"&lt;="&amp;$Z$3))</f>
        <v>0</v>
      </c>
      <c r="M266" s="49">
        <f>(SUMIFS(LS[Cost of Units Sold],LS[Investor ID],A266,LS[B/S],"S",LS[Date Value],"&gt;="&amp;$Z$2,LS[Date Value],"&lt;="&amp;$Z$3))+(SUMIFS(SIP[Cost of Units Sold],SIP[Investor ID],A266,SIP[B/S],"S",SIP[Date Value],"&gt;="&amp;$Z$2,SIP[Date Value],"&lt;="&amp;$Z$3))</f>
        <v>0</v>
      </c>
      <c r="N266" s="49">
        <f t="shared" si="24"/>
        <v>0</v>
      </c>
      <c r="O266" s="49">
        <f>(SUMIFS(LS[Realized Gain],LS[Investor ID],A266,LS[Date Value],"&gt;="&amp;$Z$2,LS[Date Value],"&lt;="&amp;$Z$3))+(SUMIFS(SIP[Realized Gain],SIP[Investor ID],A266,SIP[Date Value],"&gt;="&amp;$Z$2,SIP[Date Value],"&lt;="&amp;$Z$3))</f>
        <v>0</v>
      </c>
      <c r="P266" s="49">
        <v>0</v>
      </c>
      <c r="Q266" s="49">
        <v>0</v>
      </c>
      <c r="R266" s="49">
        <v>0</v>
      </c>
    </row>
    <row r="267" spans="1:18">
      <c r="A267" t="s">
        <v>583</v>
      </c>
      <c r="B267" s="47">
        <f>SUMIFS(LS[Unit],LS[Investor ID],'TAX CERTIFICATE'!A267,LS[Date Value],"&lt;"&amp;$Z$2)+SUMIFS(SIP[Unit],SIP[Investor ID],'TAX CERTIFICATE'!A267,SIP[Date Value],"&lt;"&amp;$Z$2)</f>
        <v>24428</v>
      </c>
      <c r="C267" s="48">
        <f>(SUMIFS(LS[Amount],LS[B/S],"B",LS[Investor ID],A267,LS[Date Value],"&lt;"&amp;$Z$2)-SUMIFS(LS[Cost of Units Sold],LS[B/S],"S",LS[Investor ID],A267,LS[Date Value],"&lt;"&amp;$Z$2))+(SUMIFS(SIP[Amount],SIP[B/S],"B",SIP[Investor ID],#REF!,SIP[Date Value],"&lt;"&amp;$Z$2)-SUMIFS(SIP[Cost of Units Sold],SIP[B/S],"S",SIP[Investor ID],A267,SIP[Date Value],"&lt;"&amp;$Z$2))</f>
        <v>250000</v>
      </c>
      <c r="D267" s="49">
        <f t="shared" si="20"/>
        <v>250899.98800000001</v>
      </c>
      <c r="E267" s="49">
        <f t="shared" si="21"/>
        <v>899.98800000001211</v>
      </c>
      <c r="F267" s="47">
        <f>SUMIFS(LS[Unit],LS[Investor ID],A267,LS[Date Value],"&lt;="&amp;$Z$3)+SUMIFS(SIP[Unit],SIP[Investor ID],A267,SIP[Date Value],"&lt;="&amp;$Z$3)</f>
        <v>0</v>
      </c>
      <c r="G267" s="49">
        <f>(SUMIFS(LS[Amount],LS[B/S],"B",LS[Investor ID],A267,LS[Date Value],"&lt;="&amp;$Z$3)-SUMIFS(LS[Cost of Units Sold],LS[B/S],"S",LS[Investor ID],A267,LS[Date Value],"&lt;="&amp;$Z$3))+(SUMIFS(SIP[Amount],SIP[B/S],"B",SIP[Investor ID],A267,SIP[Date Value],"&lt;="&amp;$Z$3)-SUMIFS(SIP[Cost of Units Sold],SIP[B/S],"S",SIP[Investor ID],A267,SIP[Date Value],"&lt;="&amp;$Z$3))</f>
        <v>-2.9103830456733704E-11</v>
      </c>
      <c r="H267" s="49">
        <f t="shared" si="22"/>
        <v>0</v>
      </c>
      <c r="I267" s="49">
        <f t="shared" si="23"/>
        <v>2.9103830456733704E-11</v>
      </c>
      <c r="J267" s="47">
        <f>(SUMIFS(LS[Unit],LS[Investor ID],A267,LS[B/S],"B",LS[Date Value],"&gt;="&amp;$Z$2,LS[Date Value],"&lt;="&amp;$Z$3))+(SUMIFS(SIP[Unit],SIP[Investor ID],A267,SIP[B/S],"B",SIP[Date Value],"&gt;="&amp;$Z$2,SIP[Date Value],"&lt;="&amp;$Z$3))</f>
        <v>0</v>
      </c>
      <c r="K267" s="49">
        <f>(SUMIFS(LS[Amount],LS[Investor ID],A267,LS[B/S],"B",LS[Date Value],"&gt;="&amp;$Z$2,LS[Date Value],"&lt;="&amp;$Z$3))+(SUMIFS(SIP[Amount],SIP[Investor ID],A267,SIP[B/S],"B",SIP[Date Value],"&gt;="&amp;$Z$2,SIP[Date Value],"&lt;="&amp;$Z$3))</f>
        <v>0</v>
      </c>
      <c r="L267" s="47">
        <f>(-SUMIFS(LS[Unit],LS[Investor ID],A267,LS[B/S],"S",LS[Date Value],"&gt;="&amp;$Z$2,LS[Date Value],"&lt;="&amp;$Z$3))+(-SUMIFS(SIP[Unit],SIP[Investor ID],A267,SIP[B/S],"S",SIP[Date Value],"&gt;="&amp;$Z$2,SIP[Date Value],"&lt;="&amp;$Z$3))</f>
        <v>24428</v>
      </c>
      <c r="M267" s="49">
        <f>(SUMIFS(LS[Cost of Units Sold],LS[Investor ID],A267,LS[B/S],"S",LS[Date Value],"&gt;="&amp;$Z$2,LS[Date Value],"&lt;="&amp;$Z$3))+(SUMIFS(SIP[Cost of Units Sold],SIP[Investor ID],A267,SIP[B/S],"S",SIP[Date Value],"&gt;="&amp;$Z$2,SIP[Date Value],"&lt;="&amp;$Z$3))</f>
        <v>250000.00000000003</v>
      </c>
      <c r="N267" s="49">
        <f t="shared" si="24"/>
        <v>-250000.00000000003</v>
      </c>
      <c r="O267" s="49">
        <f>(SUMIFS(LS[Realized Gain],LS[Investor ID],A267,LS[Date Value],"&gt;="&amp;$Z$2,LS[Date Value],"&lt;="&amp;$Z$3))+(SUMIFS(SIP[Realized Gain],SIP[Investor ID],A267,SIP[Date Value],"&gt;="&amp;$Z$2,SIP[Date Value],"&lt;="&amp;$Z$3))</f>
        <v>2836.9399999999864</v>
      </c>
      <c r="P267" s="49">
        <v>0</v>
      </c>
      <c r="Q267" s="49">
        <v>0</v>
      </c>
      <c r="R267" s="49">
        <v>0</v>
      </c>
    </row>
    <row r="268" spans="1:18">
      <c r="A268" t="s">
        <v>585</v>
      </c>
      <c r="B268" s="47">
        <f>SUMIFS(LS[Unit],LS[Investor ID],'TAX CERTIFICATE'!A268,LS[Date Value],"&lt;"&amp;$Z$2)+SUMIFS(SIP[Unit],SIP[Investor ID],'TAX CERTIFICATE'!A268,SIP[Date Value],"&lt;"&amp;$Z$2)</f>
        <v>0</v>
      </c>
      <c r="C268" s="48">
        <f>(SUMIFS(LS[Amount],LS[B/S],"B",LS[Investor ID],A268,LS[Date Value],"&lt;"&amp;$Z$2)-SUMIFS(LS[Cost of Units Sold],LS[B/S],"S",LS[Investor ID],A268,LS[Date Value],"&lt;"&amp;$Z$2))+(SUMIFS(SIP[Amount],SIP[B/S],"B",SIP[Investor ID],#REF!,SIP[Date Value],"&lt;"&amp;$Z$2)-SUMIFS(SIP[Cost of Units Sold],SIP[B/S],"S",SIP[Investor ID],A268,SIP[Date Value],"&lt;"&amp;$Z$2))</f>
        <v>0</v>
      </c>
      <c r="D268" s="49">
        <f t="shared" si="20"/>
        <v>0</v>
      </c>
      <c r="E268" s="49">
        <f t="shared" si="21"/>
        <v>0</v>
      </c>
      <c r="F268" s="47">
        <f>SUMIFS(LS[Unit],LS[Investor ID],A268,LS[Date Value],"&lt;="&amp;$Z$3)+SUMIFS(SIP[Unit],SIP[Investor ID],A268,SIP[Date Value],"&lt;="&amp;$Z$3)</f>
        <v>4700</v>
      </c>
      <c r="G268" s="49">
        <f>(SUMIFS(LS[Amount],LS[B/S],"B",LS[Investor ID],A268,LS[Date Value],"&lt;="&amp;$Z$3)-SUMIFS(LS[Cost of Units Sold],LS[B/S],"S",LS[Investor ID],A268,LS[Date Value],"&lt;="&amp;$Z$3))+(SUMIFS(SIP[Amount],SIP[B/S],"B",SIP[Investor ID],A268,SIP[Date Value],"&lt;="&amp;$Z$3)-SUMIFS(SIP[Cost of Units Sold],SIP[B/S],"S",SIP[Investor ID],A268,SIP[Date Value],"&lt;="&amp;$Z$3))</f>
        <v>48457</v>
      </c>
      <c r="H268" s="49">
        <f t="shared" si="22"/>
        <v>52470.799999999996</v>
      </c>
      <c r="I268" s="49">
        <f t="shared" si="23"/>
        <v>4013.7999999999956</v>
      </c>
      <c r="J268" s="47">
        <f>(SUMIFS(LS[Unit],LS[Investor ID],A268,LS[B/S],"B",LS[Date Value],"&gt;="&amp;$Z$2,LS[Date Value],"&lt;="&amp;$Z$3))+(SUMIFS(SIP[Unit],SIP[Investor ID],A268,SIP[B/S],"B",SIP[Date Value],"&gt;="&amp;$Z$2,SIP[Date Value],"&lt;="&amp;$Z$3))</f>
        <v>42200</v>
      </c>
      <c r="K268" s="49">
        <f>(SUMIFS(LS[Amount],LS[Investor ID],A268,LS[B/S],"B",LS[Date Value],"&gt;="&amp;$Z$2,LS[Date Value],"&lt;="&amp;$Z$3))+(SUMIFS(SIP[Amount],SIP[Investor ID],A268,SIP[B/S],"B",SIP[Date Value],"&gt;="&amp;$Z$2,SIP[Date Value],"&lt;="&amp;$Z$3))</f>
        <v>435082</v>
      </c>
      <c r="L268" s="47">
        <f>(-SUMIFS(LS[Unit],LS[Investor ID],A268,LS[B/S],"S",LS[Date Value],"&gt;="&amp;$Z$2,LS[Date Value],"&lt;="&amp;$Z$3))+(-SUMIFS(SIP[Unit],SIP[Investor ID],A268,SIP[B/S],"S",SIP[Date Value],"&gt;="&amp;$Z$2,SIP[Date Value],"&lt;="&amp;$Z$3))</f>
        <v>37500</v>
      </c>
      <c r="M268" s="49">
        <f>(SUMIFS(LS[Cost of Units Sold],LS[Investor ID],A268,LS[B/S],"S",LS[Date Value],"&gt;="&amp;$Z$2,LS[Date Value],"&lt;="&amp;$Z$3))+(SUMIFS(SIP[Cost of Units Sold],SIP[Investor ID],A268,SIP[B/S],"S",SIP[Date Value],"&gt;="&amp;$Z$2,SIP[Date Value],"&lt;="&amp;$Z$3))</f>
        <v>386625</v>
      </c>
      <c r="N268" s="49">
        <f t="shared" si="24"/>
        <v>48457</v>
      </c>
      <c r="O268" s="49">
        <f>(SUMIFS(LS[Realized Gain],LS[Investor ID],A268,LS[Date Value],"&gt;="&amp;$Z$2,LS[Date Value],"&lt;="&amp;$Z$3))+(SUMIFS(SIP[Realized Gain],SIP[Investor ID],A268,SIP[Date Value],"&gt;="&amp;$Z$2,SIP[Date Value],"&lt;="&amp;$Z$3))</f>
        <v>13874.999999999971</v>
      </c>
      <c r="P268" s="49">
        <v>0</v>
      </c>
      <c r="Q268" s="49">
        <v>0</v>
      </c>
      <c r="R268" s="49">
        <v>0</v>
      </c>
    </row>
    <row r="269" spans="1:18">
      <c r="A269" t="s">
        <v>587</v>
      </c>
      <c r="B269" s="47">
        <f>SUMIFS(LS[Unit],LS[Investor ID],'TAX CERTIFICATE'!A269,LS[Date Value],"&lt;"&amp;$Z$2)+SUMIFS(SIP[Unit],SIP[Investor ID],'TAX CERTIFICATE'!A269,SIP[Date Value],"&lt;"&amp;$Z$2)</f>
        <v>29314</v>
      </c>
      <c r="C269" s="48">
        <f>(SUMIFS(LS[Amount],LS[B/S],"B",LS[Investor ID],A269,LS[Date Value],"&lt;"&amp;$Z$2)-SUMIFS(LS[Cost of Units Sold],LS[B/S],"S",LS[Investor ID],A269,LS[Date Value],"&lt;"&amp;$Z$2))+(SUMIFS(SIP[Amount],SIP[B/S],"B",SIP[Investor ID],#REF!,SIP[Date Value],"&lt;"&amp;$Z$2)-SUMIFS(SIP[Cost of Units Sold],SIP[B/S],"S",SIP[Investor ID],A269,SIP[Date Value],"&lt;"&amp;$Z$2))</f>
        <v>300000</v>
      </c>
      <c r="D269" s="49">
        <f t="shared" si="20"/>
        <v>301084.09400000004</v>
      </c>
      <c r="E269" s="49">
        <f t="shared" si="21"/>
        <v>1084.094000000041</v>
      </c>
      <c r="F269" s="47">
        <f>SUMIFS(LS[Unit],LS[Investor ID],A269,LS[Date Value],"&lt;="&amp;$Z$3)+SUMIFS(SIP[Unit],SIP[Investor ID],A269,SIP[Date Value],"&lt;="&amp;$Z$3)</f>
        <v>0</v>
      </c>
      <c r="G269" s="49">
        <f>(SUMIFS(LS[Amount],LS[B/S],"B",LS[Investor ID],A269,LS[Date Value],"&lt;="&amp;$Z$3)-SUMIFS(LS[Cost of Units Sold],LS[B/S],"S",LS[Investor ID],A269,LS[Date Value],"&lt;="&amp;$Z$3))+(SUMIFS(SIP[Amount],SIP[B/S],"B",SIP[Investor ID],A269,SIP[Date Value],"&lt;="&amp;$Z$3)-SUMIFS(SIP[Cost of Units Sold],SIP[B/S],"S",SIP[Investor ID],A269,SIP[Date Value],"&lt;="&amp;$Z$3))</f>
        <v>0</v>
      </c>
      <c r="H269" s="49">
        <f t="shared" si="22"/>
        <v>0</v>
      </c>
      <c r="I269" s="49">
        <f t="shared" si="23"/>
        <v>0</v>
      </c>
      <c r="J269" s="47">
        <f>(SUMIFS(LS[Unit],LS[Investor ID],A269,LS[B/S],"B",LS[Date Value],"&gt;="&amp;$Z$2,LS[Date Value],"&lt;="&amp;$Z$3))+(SUMIFS(SIP[Unit],SIP[Investor ID],A269,SIP[B/S],"B",SIP[Date Value],"&gt;="&amp;$Z$2,SIP[Date Value],"&lt;="&amp;$Z$3))</f>
        <v>0</v>
      </c>
      <c r="K269" s="49">
        <f>(SUMIFS(LS[Amount],LS[Investor ID],A269,LS[B/S],"B",LS[Date Value],"&gt;="&amp;$Z$2,LS[Date Value],"&lt;="&amp;$Z$3))+(SUMIFS(SIP[Amount],SIP[Investor ID],A269,SIP[B/S],"B",SIP[Date Value],"&gt;="&amp;$Z$2,SIP[Date Value],"&lt;="&amp;$Z$3))</f>
        <v>0</v>
      </c>
      <c r="L269" s="47">
        <f>(-SUMIFS(LS[Unit],LS[Investor ID],A269,LS[B/S],"S",LS[Date Value],"&gt;="&amp;$Z$2,LS[Date Value],"&lt;="&amp;$Z$3))+(-SUMIFS(SIP[Unit],SIP[Investor ID],A269,SIP[B/S],"S",SIP[Date Value],"&gt;="&amp;$Z$2,SIP[Date Value],"&lt;="&amp;$Z$3))</f>
        <v>29314</v>
      </c>
      <c r="M269" s="49">
        <f>(SUMIFS(LS[Cost of Units Sold],LS[Investor ID],A269,LS[B/S],"S",LS[Date Value],"&gt;="&amp;$Z$2,LS[Date Value],"&lt;="&amp;$Z$3))+(SUMIFS(SIP[Cost of Units Sold],SIP[Investor ID],A269,SIP[B/S],"S",SIP[Date Value],"&gt;="&amp;$Z$2,SIP[Date Value],"&lt;="&amp;$Z$3))</f>
        <v>300000</v>
      </c>
      <c r="N269" s="49">
        <f t="shared" si="24"/>
        <v>-300000</v>
      </c>
      <c r="O269" s="49">
        <f>(SUMIFS(LS[Realized Gain],LS[Investor ID],A269,LS[Date Value],"&gt;="&amp;$Z$2,LS[Date Value],"&lt;="&amp;$Z$3))+(SUMIFS(SIP[Realized Gain],SIP[Investor ID],A269,SIP[Date Value],"&gt;="&amp;$Z$2,SIP[Date Value],"&lt;="&amp;$Z$3))</f>
        <v>9409.2700000000459</v>
      </c>
      <c r="P269" s="49">
        <v>0</v>
      </c>
      <c r="Q269" s="49">
        <v>0</v>
      </c>
      <c r="R269" s="49">
        <v>0</v>
      </c>
    </row>
    <row r="270" spans="1:18">
      <c r="A270" t="s">
        <v>589</v>
      </c>
      <c r="B270" s="47">
        <f>SUMIFS(LS[Unit],LS[Investor ID],'TAX CERTIFICATE'!A270,LS[Date Value],"&lt;"&amp;$Z$2)+SUMIFS(SIP[Unit],SIP[Investor ID],'TAX CERTIFICATE'!A270,SIP[Date Value],"&lt;"&amp;$Z$2)</f>
        <v>48857</v>
      </c>
      <c r="C270" s="48">
        <f>(SUMIFS(LS[Amount],LS[B/S],"B",LS[Investor ID],A270,LS[Date Value],"&lt;"&amp;$Z$2)-SUMIFS(LS[Cost of Units Sold],LS[B/S],"S",LS[Investor ID],A270,LS[Date Value],"&lt;"&amp;$Z$2))+(SUMIFS(SIP[Amount],SIP[B/S],"B",SIP[Investor ID],#REF!,SIP[Date Value],"&lt;"&amp;$Z$2)-SUMIFS(SIP[Cost of Units Sold],SIP[B/S],"S",SIP[Investor ID],A270,SIP[Date Value],"&lt;"&amp;$Z$2))</f>
        <v>500000</v>
      </c>
      <c r="D270" s="49">
        <f t="shared" si="20"/>
        <v>501810.24700000003</v>
      </c>
      <c r="E270" s="49">
        <f t="shared" si="21"/>
        <v>1810.2470000000321</v>
      </c>
      <c r="F270" s="47">
        <f>SUMIFS(LS[Unit],LS[Investor ID],A270,LS[Date Value],"&lt;="&amp;$Z$3)+SUMIFS(SIP[Unit],SIP[Investor ID],A270,SIP[Date Value],"&lt;="&amp;$Z$3)</f>
        <v>0</v>
      </c>
      <c r="G270" s="49">
        <f>(SUMIFS(LS[Amount],LS[B/S],"B",LS[Investor ID],A270,LS[Date Value],"&lt;="&amp;$Z$3)-SUMIFS(LS[Cost of Units Sold],LS[B/S],"S",LS[Investor ID],A270,LS[Date Value],"&lt;="&amp;$Z$3))+(SUMIFS(SIP[Amount],SIP[B/S],"B",SIP[Investor ID],A270,SIP[Date Value],"&lt;="&amp;$Z$3)-SUMIFS(SIP[Cost of Units Sold],SIP[B/S],"S",SIP[Investor ID],A270,SIP[Date Value],"&lt;="&amp;$Z$3))</f>
        <v>0</v>
      </c>
      <c r="H270" s="49">
        <f t="shared" si="22"/>
        <v>0</v>
      </c>
      <c r="I270" s="49">
        <f t="shared" si="23"/>
        <v>0</v>
      </c>
      <c r="J270" s="47">
        <f>(SUMIFS(LS[Unit],LS[Investor ID],A270,LS[B/S],"B",LS[Date Value],"&gt;="&amp;$Z$2,LS[Date Value],"&lt;="&amp;$Z$3))+(SUMIFS(SIP[Unit],SIP[Investor ID],A270,SIP[B/S],"B",SIP[Date Value],"&gt;="&amp;$Z$2,SIP[Date Value],"&lt;="&amp;$Z$3))</f>
        <v>0</v>
      </c>
      <c r="K270" s="49">
        <f>(SUMIFS(LS[Amount],LS[Investor ID],A270,LS[B/S],"B",LS[Date Value],"&gt;="&amp;$Z$2,LS[Date Value],"&lt;="&amp;$Z$3))+(SUMIFS(SIP[Amount],SIP[Investor ID],A270,SIP[B/S],"B",SIP[Date Value],"&gt;="&amp;$Z$2,SIP[Date Value],"&lt;="&amp;$Z$3))</f>
        <v>0</v>
      </c>
      <c r="L270" s="47">
        <f>(-SUMIFS(LS[Unit],LS[Investor ID],A270,LS[B/S],"S",LS[Date Value],"&gt;="&amp;$Z$2,LS[Date Value],"&lt;="&amp;$Z$3))+(-SUMIFS(SIP[Unit],SIP[Investor ID],A270,SIP[B/S],"S",SIP[Date Value],"&gt;="&amp;$Z$2,SIP[Date Value],"&lt;="&amp;$Z$3))</f>
        <v>48857</v>
      </c>
      <c r="M270" s="49">
        <f>(SUMIFS(LS[Cost of Units Sold],LS[Investor ID],A270,LS[B/S],"S",LS[Date Value],"&gt;="&amp;$Z$2,LS[Date Value],"&lt;="&amp;$Z$3))+(SUMIFS(SIP[Cost of Units Sold],SIP[Investor ID],A270,SIP[B/S],"S",SIP[Date Value],"&gt;="&amp;$Z$2,SIP[Date Value],"&lt;="&amp;$Z$3))</f>
        <v>500000</v>
      </c>
      <c r="N270" s="49">
        <f t="shared" si="24"/>
        <v>-500000</v>
      </c>
      <c r="O270" s="49">
        <f>(SUMIFS(LS[Realized Gain],LS[Investor ID],A270,LS[Date Value],"&gt;="&amp;$Z$2,LS[Date Value],"&lt;="&amp;$Z$3))+(SUMIFS(SIP[Realized Gain],SIP[Investor ID],A270,SIP[Date Value],"&gt;="&amp;$Z$2,SIP[Date Value],"&lt;="&amp;$Z$3))</f>
        <v>0</v>
      </c>
      <c r="P270" s="49">
        <v>0</v>
      </c>
      <c r="Q270" s="49">
        <v>0</v>
      </c>
      <c r="R270" s="49">
        <v>0</v>
      </c>
    </row>
    <row r="271" spans="1:18">
      <c r="A271" t="s">
        <v>591</v>
      </c>
      <c r="B271" s="47">
        <f>SUMIFS(LS[Unit],LS[Investor ID],'TAX CERTIFICATE'!A271,LS[Date Value],"&lt;"&amp;$Z$2)+SUMIFS(SIP[Unit],SIP[Investor ID],'TAX CERTIFICATE'!A271,SIP[Date Value],"&lt;"&amp;$Z$2)</f>
        <v>0</v>
      </c>
      <c r="C271" s="48">
        <f>(SUMIFS(LS[Amount],LS[B/S],"B",LS[Investor ID],A271,LS[Date Value],"&lt;"&amp;$Z$2)-SUMIFS(LS[Cost of Units Sold],LS[B/S],"S",LS[Investor ID],A271,LS[Date Value],"&lt;"&amp;$Z$2))+(SUMIFS(SIP[Amount],SIP[B/S],"B",SIP[Investor ID],#REF!,SIP[Date Value],"&lt;"&amp;$Z$2)-SUMIFS(SIP[Cost of Units Sold],SIP[B/S],"S",SIP[Investor ID],A271,SIP[Date Value],"&lt;"&amp;$Z$2))</f>
        <v>0</v>
      </c>
      <c r="D271" s="49">
        <f t="shared" si="20"/>
        <v>0</v>
      </c>
      <c r="E271" s="49">
        <f t="shared" si="21"/>
        <v>0</v>
      </c>
      <c r="F271" s="47">
        <f>SUMIFS(LS[Unit],LS[Investor ID],A271,LS[Date Value],"&lt;="&amp;$Z$3)+SUMIFS(SIP[Unit],SIP[Investor ID],A271,SIP[Date Value],"&lt;="&amp;$Z$3)</f>
        <v>0</v>
      </c>
      <c r="G271" s="49">
        <f>(SUMIFS(LS[Amount],LS[B/S],"B",LS[Investor ID],A271,LS[Date Value],"&lt;="&amp;$Z$3)-SUMIFS(LS[Cost of Units Sold],LS[B/S],"S",LS[Investor ID],A271,LS[Date Value],"&lt;="&amp;$Z$3))+(SUMIFS(SIP[Amount],SIP[B/S],"B",SIP[Investor ID],A271,SIP[Date Value],"&lt;="&amp;$Z$3)-SUMIFS(SIP[Cost of Units Sold],SIP[B/S],"S",SIP[Investor ID],A271,SIP[Date Value],"&lt;="&amp;$Z$3))</f>
        <v>0</v>
      </c>
      <c r="H271" s="49">
        <f t="shared" si="22"/>
        <v>0</v>
      </c>
      <c r="I271" s="49">
        <f t="shared" si="23"/>
        <v>0</v>
      </c>
      <c r="J271" s="47">
        <f>(SUMIFS(LS[Unit],LS[Investor ID],A271,LS[B/S],"B",LS[Date Value],"&gt;="&amp;$Z$2,LS[Date Value],"&lt;="&amp;$Z$3))+(SUMIFS(SIP[Unit],SIP[Investor ID],A271,SIP[B/S],"B",SIP[Date Value],"&gt;="&amp;$Z$2,SIP[Date Value],"&lt;="&amp;$Z$3))</f>
        <v>0</v>
      </c>
      <c r="K271" s="49">
        <f>(SUMIFS(LS[Amount],LS[Investor ID],A271,LS[B/S],"B",LS[Date Value],"&gt;="&amp;$Z$2,LS[Date Value],"&lt;="&amp;$Z$3))+(SUMIFS(SIP[Amount],SIP[Investor ID],A271,SIP[B/S],"B",SIP[Date Value],"&gt;="&amp;$Z$2,SIP[Date Value],"&lt;="&amp;$Z$3))</f>
        <v>0</v>
      </c>
      <c r="L271" s="47">
        <f>(-SUMIFS(LS[Unit],LS[Investor ID],A271,LS[B/S],"S",LS[Date Value],"&gt;="&amp;$Z$2,LS[Date Value],"&lt;="&amp;$Z$3))+(-SUMIFS(SIP[Unit],SIP[Investor ID],A271,SIP[B/S],"S",SIP[Date Value],"&gt;="&amp;$Z$2,SIP[Date Value],"&lt;="&amp;$Z$3))</f>
        <v>0</v>
      </c>
      <c r="M271" s="49">
        <f>(SUMIFS(LS[Cost of Units Sold],LS[Investor ID],A271,LS[B/S],"S",LS[Date Value],"&gt;="&amp;$Z$2,LS[Date Value],"&lt;="&amp;$Z$3))+(SUMIFS(SIP[Cost of Units Sold],SIP[Investor ID],A271,SIP[B/S],"S",SIP[Date Value],"&gt;="&amp;$Z$2,SIP[Date Value],"&lt;="&amp;$Z$3))</f>
        <v>0</v>
      </c>
      <c r="N271" s="49">
        <f t="shared" si="24"/>
        <v>0</v>
      </c>
      <c r="O271" s="49">
        <f>(SUMIFS(LS[Realized Gain],LS[Investor ID],A271,LS[Date Value],"&gt;="&amp;$Z$2,LS[Date Value],"&lt;="&amp;$Z$3))+(SUMIFS(SIP[Realized Gain],SIP[Investor ID],A271,SIP[Date Value],"&gt;="&amp;$Z$2,SIP[Date Value],"&lt;="&amp;$Z$3))</f>
        <v>0</v>
      </c>
      <c r="P271" s="49">
        <v>0</v>
      </c>
      <c r="Q271" s="49">
        <v>0</v>
      </c>
      <c r="R271" s="49">
        <v>0</v>
      </c>
    </row>
    <row r="272" spans="1:18">
      <c r="A272" t="s">
        <v>593</v>
      </c>
      <c r="B272" s="47">
        <f>SUMIFS(LS[Unit],LS[Investor ID],'TAX CERTIFICATE'!A272,LS[Date Value],"&lt;"&amp;$Z$2)+SUMIFS(SIP[Unit],SIP[Investor ID],'TAX CERTIFICATE'!A272,SIP[Date Value],"&lt;"&amp;$Z$2)</f>
        <v>0</v>
      </c>
      <c r="C272" s="48">
        <f>(SUMIFS(LS[Amount],LS[B/S],"B",LS[Investor ID],A272,LS[Date Value],"&lt;"&amp;$Z$2)-SUMIFS(LS[Cost of Units Sold],LS[B/S],"S",LS[Investor ID],A272,LS[Date Value],"&lt;"&amp;$Z$2))+(SUMIFS(SIP[Amount],SIP[B/S],"B",SIP[Investor ID],#REF!,SIP[Date Value],"&lt;"&amp;$Z$2)-SUMIFS(SIP[Cost of Units Sold],SIP[B/S],"S",SIP[Investor ID],A272,SIP[Date Value],"&lt;"&amp;$Z$2))</f>
        <v>0</v>
      </c>
      <c r="D272" s="49">
        <f t="shared" si="20"/>
        <v>0</v>
      </c>
      <c r="E272" s="49">
        <f t="shared" si="21"/>
        <v>0</v>
      </c>
      <c r="F272" s="47">
        <f>SUMIFS(LS[Unit],LS[Investor ID],A272,LS[Date Value],"&lt;="&amp;$Z$3)+SUMIFS(SIP[Unit],SIP[Investor ID],A272,SIP[Date Value],"&lt;="&amp;$Z$3)</f>
        <v>0</v>
      </c>
      <c r="G272" s="49">
        <f>(SUMIFS(LS[Amount],LS[B/S],"B",LS[Investor ID],A272,LS[Date Value],"&lt;="&amp;$Z$3)-SUMIFS(LS[Cost of Units Sold],LS[B/S],"S",LS[Investor ID],A272,LS[Date Value],"&lt;="&amp;$Z$3))+(SUMIFS(SIP[Amount],SIP[B/S],"B",SIP[Investor ID],A272,SIP[Date Value],"&lt;="&amp;$Z$3)-SUMIFS(SIP[Cost of Units Sold],SIP[B/S],"S",SIP[Investor ID],A272,SIP[Date Value],"&lt;="&amp;$Z$3))</f>
        <v>0</v>
      </c>
      <c r="H272" s="49">
        <f t="shared" si="22"/>
        <v>0</v>
      </c>
      <c r="I272" s="49">
        <f t="shared" si="23"/>
        <v>0</v>
      </c>
      <c r="J272" s="47">
        <f>(SUMIFS(LS[Unit],LS[Investor ID],A272,LS[B/S],"B",LS[Date Value],"&gt;="&amp;$Z$2,LS[Date Value],"&lt;="&amp;$Z$3))+(SUMIFS(SIP[Unit],SIP[Investor ID],A272,SIP[B/S],"B",SIP[Date Value],"&gt;="&amp;$Z$2,SIP[Date Value],"&lt;="&amp;$Z$3))</f>
        <v>0</v>
      </c>
      <c r="K272" s="49">
        <f>(SUMIFS(LS[Amount],LS[Investor ID],A272,LS[B/S],"B",LS[Date Value],"&gt;="&amp;$Z$2,LS[Date Value],"&lt;="&amp;$Z$3))+(SUMIFS(SIP[Amount],SIP[Investor ID],A272,SIP[B/S],"B",SIP[Date Value],"&gt;="&amp;$Z$2,SIP[Date Value],"&lt;="&amp;$Z$3))</f>
        <v>0</v>
      </c>
      <c r="L272" s="47">
        <f>(-SUMIFS(LS[Unit],LS[Investor ID],A272,LS[B/S],"S",LS[Date Value],"&gt;="&amp;$Z$2,LS[Date Value],"&lt;="&amp;$Z$3))+(-SUMIFS(SIP[Unit],SIP[Investor ID],A272,SIP[B/S],"S",SIP[Date Value],"&gt;="&amp;$Z$2,SIP[Date Value],"&lt;="&amp;$Z$3))</f>
        <v>0</v>
      </c>
      <c r="M272" s="49">
        <f>(SUMIFS(LS[Cost of Units Sold],LS[Investor ID],A272,LS[B/S],"S",LS[Date Value],"&gt;="&amp;$Z$2,LS[Date Value],"&lt;="&amp;$Z$3))+(SUMIFS(SIP[Cost of Units Sold],SIP[Investor ID],A272,SIP[B/S],"S",SIP[Date Value],"&gt;="&amp;$Z$2,SIP[Date Value],"&lt;="&amp;$Z$3))</f>
        <v>0</v>
      </c>
      <c r="N272" s="49">
        <f t="shared" si="24"/>
        <v>0</v>
      </c>
      <c r="O272" s="49">
        <f>(SUMIFS(LS[Realized Gain],LS[Investor ID],A272,LS[Date Value],"&gt;="&amp;$Z$2,LS[Date Value],"&lt;="&amp;$Z$3))+(SUMIFS(SIP[Realized Gain],SIP[Investor ID],A272,SIP[Date Value],"&gt;="&amp;$Z$2,SIP[Date Value],"&lt;="&amp;$Z$3))</f>
        <v>0</v>
      </c>
      <c r="P272" s="49">
        <v>0</v>
      </c>
      <c r="Q272" s="49">
        <v>0</v>
      </c>
      <c r="R272" s="49">
        <v>0</v>
      </c>
    </row>
    <row r="273" spans="1:18">
      <c r="A273" t="s">
        <v>595</v>
      </c>
      <c r="B273" s="47">
        <f>SUMIFS(LS[Unit],LS[Investor ID],'TAX CERTIFICATE'!A273,LS[Date Value],"&lt;"&amp;$Z$2)+SUMIFS(SIP[Unit],SIP[Investor ID],'TAX CERTIFICATE'!A273,SIP[Date Value],"&lt;"&amp;$Z$2)</f>
        <v>0</v>
      </c>
      <c r="C273" s="48">
        <f>(SUMIFS(LS[Amount],LS[B/S],"B",LS[Investor ID],A273,LS[Date Value],"&lt;"&amp;$Z$2)-SUMIFS(LS[Cost of Units Sold],LS[B/S],"S",LS[Investor ID],A273,LS[Date Value],"&lt;"&amp;$Z$2))+(SUMIFS(SIP[Amount],SIP[B/S],"B",SIP[Investor ID],#REF!,SIP[Date Value],"&lt;"&amp;$Z$2)-SUMIFS(SIP[Cost of Units Sold],SIP[B/S],"S",SIP[Investor ID],A273,SIP[Date Value],"&lt;"&amp;$Z$2))</f>
        <v>0</v>
      </c>
      <c r="D273" s="49">
        <f t="shared" si="20"/>
        <v>0</v>
      </c>
      <c r="E273" s="49">
        <f t="shared" si="21"/>
        <v>0</v>
      </c>
      <c r="F273" s="47">
        <f>SUMIFS(LS[Unit],LS[Investor ID],A273,LS[Date Value],"&lt;="&amp;$Z$3)+SUMIFS(SIP[Unit],SIP[Investor ID],A273,SIP[Date Value],"&lt;="&amp;$Z$3)</f>
        <v>0</v>
      </c>
      <c r="G273" s="49">
        <f>(SUMIFS(LS[Amount],LS[B/S],"B",LS[Investor ID],A273,LS[Date Value],"&lt;="&amp;$Z$3)-SUMIFS(LS[Cost of Units Sold],LS[B/S],"S",LS[Investor ID],A273,LS[Date Value],"&lt;="&amp;$Z$3))+(SUMIFS(SIP[Amount],SIP[B/S],"B",SIP[Investor ID],A273,SIP[Date Value],"&lt;="&amp;$Z$3)-SUMIFS(SIP[Cost of Units Sold],SIP[B/S],"S",SIP[Investor ID],A273,SIP[Date Value],"&lt;="&amp;$Z$3))</f>
        <v>0</v>
      </c>
      <c r="H273" s="49">
        <f t="shared" si="22"/>
        <v>0</v>
      </c>
      <c r="I273" s="49">
        <f t="shared" si="23"/>
        <v>0</v>
      </c>
      <c r="J273" s="47">
        <f>(SUMIFS(LS[Unit],LS[Investor ID],A273,LS[B/S],"B",LS[Date Value],"&gt;="&amp;$Z$2,LS[Date Value],"&lt;="&amp;$Z$3))+(SUMIFS(SIP[Unit],SIP[Investor ID],A273,SIP[B/S],"B",SIP[Date Value],"&gt;="&amp;$Z$2,SIP[Date Value],"&lt;="&amp;$Z$3))</f>
        <v>0</v>
      </c>
      <c r="K273" s="49">
        <f>(SUMIFS(LS[Amount],LS[Investor ID],A273,LS[B/S],"B",LS[Date Value],"&gt;="&amp;$Z$2,LS[Date Value],"&lt;="&amp;$Z$3))+(SUMIFS(SIP[Amount],SIP[Investor ID],A273,SIP[B/S],"B",SIP[Date Value],"&gt;="&amp;$Z$2,SIP[Date Value],"&lt;="&amp;$Z$3))</f>
        <v>0</v>
      </c>
      <c r="L273" s="47">
        <f>(-SUMIFS(LS[Unit],LS[Investor ID],A273,LS[B/S],"S",LS[Date Value],"&gt;="&amp;$Z$2,LS[Date Value],"&lt;="&amp;$Z$3))+(-SUMIFS(SIP[Unit],SIP[Investor ID],A273,SIP[B/S],"S",SIP[Date Value],"&gt;="&amp;$Z$2,SIP[Date Value],"&lt;="&amp;$Z$3))</f>
        <v>0</v>
      </c>
      <c r="M273" s="49">
        <f>(SUMIFS(LS[Cost of Units Sold],LS[Investor ID],A273,LS[B/S],"S",LS[Date Value],"&gt;="&amp;$Z$2,LS[Date Value],"&lt;="&amp;$Z$3))+(SUMIFS(SIP[Cost of Units Sold],SIP[Investor ID],A273,SIP[B/S],"S",SIP[Date Value],"&gt;="&amp;$Z$2,SIP[Date Value],"&lt;="&amp;$Z$3))</f>
        <v>0</v>
      </c>
      <c r="N273" s="49">
        <f t="shared" si="24"/>
        <v>0</v>
      </c>
      <c r="O273" s="49">
        <f>(SUMIFS(LS[Realized Gain],LS[Investor ID],A273,LS[Date Value],"&gt;="&amp;$Z$2,LS[Date Value],"&lt;="&amp;$Z$3))+(SUMIFS(SIP[Realized Gain],SIP[Investor ID],A273,SIP[Date Value],"&gt;="&amp;$Z$2,SIP[Date Value],"&lt;="&amp;$Z$3))</f>
        <v>0</v>
      </c>
      <c r="P273" s="49">
        <v>0</v>
      </c>
      <c r="Q273" s="49">
        <v>0</v>
      </c>
      <c r="R273" s="49">
        <v>0</v>
      </c>
    </row>
    <row r="274" spans="1:18">
      <c r="A274" t="s">
        <v>597</v>
      </c>
      <c r="B274" s="47">
        <f>SUMIFS(LS[Unit],LS[Investor ID],'TAX CERTIFICATE'!A274,LS[Date Value],"&lt;"&amp;$Z$2)+SUMIFS(SIP[Unit],SIP[Investor ID],'TAX CERTIFICATE'!A274,SIP[Date Value],"&lt;"&amp;$Z$2)</f>
        <v>0</v>
      </c>
      <c r="C274" s="48">
        <f>(SUMIFS(LS[Amount],LS[B/S],"B",LS[Investor ID],A274,LS[Date Value],"&lt;"&amp;$Z$2)-SUMIFS(LS[Cost of Units Sold],LS[B/S],"S",LS[Investor ID],A274,LS[Date Value],"&lt;"&amp;$Z$2))+(SUMIFS(SIP[Amount],SIP[B/S],"B",SIP[Investor ID],#REF!,SIP[Date Value],"&lt;"&amp;$Z$2)-SUMIFS(SIP[Cost of Units Sold],SIP[B/S],"S",SIP[Investor ID],A274,SIP[Date Value],"&lt;"&amp;$Z$2))</f>
        <v>0</v>
      </c>
      <c r="D274" s="49">
        <f t="shared" si="20"/>
        <v>0</v>
      </c>
      <c r="E274" s="49">
        <f t="shared" si="21"/>
        <v>0</v>
      </c>
      <c r="F274" s="47">
        <f>SUMIFS(LS[Unit],LS[Investor ID],A274,LS[Date Value],"&lt;="&amp;$Z$3)+SUMIFS(SIP[Unit],SIP[Investor ID],A274,SIP[Date Value],"&lt;="&amp;$Z$3)</f>
        <v>0</v>
      </c>
      <c r="G274" s="49">
        <f>(SUMIFS(LS[Amount],LS[B/S],"B",LS[Investor ID],A274,LS[Date Value],"&lt;="&amp;$Z$3)-SUMIFS(LS[Cost of Units Sold],LS[B/S],"S",LS[Investor ID],A274,LS[Date Value],"&lt;="&amp;$Z$3))+(SUMIFS(SIP[Amount],SIP[B/S],"B",SIP[Investor ID],A274,SIP[Date Value],"&lt;="&amp;$Z$3)-SUMIFS(SIP[Cost of Units Sold],SIP[B/S],"S",SIP[Investor ID],A274,SIP[Date Value],"&lt;="&amp;$Z$3))</f>
        <v>0</v>
      </c>
      <c r="H274" s="49">
        <f t="shared" si="22"/>
        <v>0</v>
      </c>
      <c r="I274" s="49">
        <f t="shared" si="23"/>
        <v>0</v>
      </c>
      <c r="J274" s="47">
        <f>(SUMIFS(LS[Unit],LS[Investor ID],A274,LS[B/S],"B",LS[Date Value],"&gt;="&amp;$Z$2,LS[Date Value],"&lt;="&amp;$Z$3))+(SUMIFS(SIP[Unit],SIP[Investor ID],A274,SIP[B/S],"B",SIP[Date Value],"&gt;="&amp;$Z$2,SIP[Date Value],"&lt;="&amp;$Z$3))</f>
        <v>0</v>
      </c>
      <c r="K274" s="49">
        <f>(SUMIFS(LS[Amount],LS[Investor ID],A274,LS[B/S],"B",LS[Date Value],"&gt;="&amp;$Z$2,LS[Date Value],"&lt;="&amp;$Z$3))+(SUMIFS(SIP[Amount],SIP[Investor ID],A274,SIP[B/S],"B",SIP[Date Value],"&gt;="&amp;$Z$2,SIP[Date Value],"&lt;="&amp;$Z$3))</f>
        <v>0</v>
      </c>
      <c r="L274" s="47">
        <f>(-SUMIFS(LS[Unit],LS[Investor ID],A274,LS[B/S],"S",LS[Date Value],"&gt;="&amp;$Z$2,LS[Date Value],"&lt;="&amp;$Z$3))+(-SUMIFS(SIP[Unit],SIP[Investor ID],A274,SIP[B/S],"S",SIP[Date Value],"&gt;="&amp;$Z$2,SIP[Date Value],"&lt;="&amp;$Z$3))</f>
        <v>0</v>
      </c>
      <c r="M274" s="49">
        <f>(SUMIFS(LS[Cost of Units Sold],LS[Investor ID],A274,LS[B/S],"S",LS[Date Value],"&gt;="&amp;$Z$2,LS[Date Value],"&lt;="&amp;$Z$3))+(SUMIFS(SIP[Cost of Units Sold],SIP[Investor ID],A274,SIP[B/S],"S",SIP[Date Value],"&gt;="&amp;$Z$2,SIP[Date Value],"&lt;="&amp;$Z$3))</f>
        <v>0</v>
      </c>
      <c r="N274" s="49">
        <f t="shared" si="24"/>
        <v>0</v>
      </c>
      <c r="O274" s="49">
        <f>(SUMIFS(LS[Realized Gain],LS[Investor ID],A274,LS[Date Value],"&gt;="&amp;$Z$2,LS[Date Value],"&lt;="&amp;$Z$3))+(SUMIFS(SIP[Realized Gain],SIP[Investor ID],A274,SIP[Date Value],"&gt;="&amp;$Z$2,SIP[Date Value],"&lt;="&amp;$Z$3))</f>
        <v>0</v>
      </c>
      <c r="P274" s="49">
        <v>0</v>
      </c>
      <c r="Q274" s="49">
        <v>0</v>
      </c>
      <c r="R274" s="49">
        <v>0</v>
      </c>
    </row>
    <row r="275" spans="1:18">
      <c r="A275" t="s">
        <v>599</v>
      </c>
      <c r="B275" s="47">
        <f>SUMIFS(LS[Unit],LS[Investor ID],'TAX CERTIFICATE'!A275,LS[Date Value],"&lt;"&amp;$Z$2)+SUMIFS(SIP[Unit],SIP[Investor ID],'TAX CERTIFICATE'!A275,SIP[Date Value],"&lt;"&amp;$Z$2)</f>
        <v>0</v>
      </c>
      <c r="C275" s="48">
        <f>(SUMIFS(LS[Amount],LS[B/S],"B",LS[Investor ID],A275,LS[Date Value],"&lt;"&amp;$Z$2)-SUMIFS(LS[Cost of Units Sold],LS[B/S],"S",LS[Investor ID],A275,LS[Date Value],"&lt;"&amp;$Z$2))+(SUMIFS(SIP[Amount],SIP[B/S],"B",SIP[Investor ID],#REF!,SIP[Date Value],"&lt;"&amp;$Z$2)-SUMIFS(SIP[Cost of Units Sold],SIP[B/S],"S",SIP[Investor ID],A275,SIP[Date Value],"&lt;"&amp;$Z$2))</f>
        <v>0</v>
      </c>
      <c r="D275" s="49">
        <f t="shared" si="20"/>
        <v>0</v>
      </c>
      <c r="E275" s="49">
        <f t="shared" si="21"/>
        <v>0</v>
      </c>
      <c r="F275" s="47">
        <f>SUMIFS(LS[Unit],LS[Investor ID],A275,LS[Date Value],"&lt;="&amp;$Z$3)+SUMIFS(SIP[Unit],SIP[Investor ID],A275,SIP[Date Value],"&lt;="&amp;$Z$3)</f>
        <v>0</v>
      </c>
      <c r="G275" s="49">
        <f>(SUMIFS(LS[Amount],LS[B/S],"B",LS[Investor ID],A275,LS[Date Value],"&lt;="&amp;$Z$3)-SUMIFS(LS[Cost of Units Sold],LS[B/S],"S",LS[Investor ID],A275,LS[Date Value],"&lt;="&amp;$Z$3))+(SUMIFS(SIP[Amount],SIP[B/S],"B",SIP[Investor ID],A275,SIP[Date Value],"&lt;="&amp;$Z$3)-SUMIFS(SIP[Cost of Units Sold],SIP[B/S],"S",SIP[Investor ID],A275,SIP[Date Value],"&lt;="&amp;$Z$3))</f>
        <v>0</v>
      </c>
      <c r="H275" s="49">
        <f t="shared" si="22"/>
        <v>0</v>
      </c>
      <c r="I275" s="49">
        <f t="shared" si="23"/>
        <v>0</v>
      </c>
      <c r="J275" s="47">
        <f>(SUMIFS(LS[Unit],LS[Investor ID],A275,LS[B/S],"B",LS[Date Value],"&gt;="&amp;$Z$2,LS[Date Value],"&lt;="&amp;$Z$3))+(SUMIFS(SIP[Unit],SIP[Investor ID],A275,SIP[B/S],"B",SIP[Date Value],"&gt;="&amp;$Z$2,SIP[Date Value],"&lt;="&amp;$Z$3))</f>
        <v>0</v>
      </c>
      <c r="K275" s="49">
        <f>(SUMIFS(LS[Amount],LS[Investor ID],A275,LS[B/S],"B",LS[Date Value],"&gt;="&amp;$Z$2,LS[Date Value],"&lt;="&amp;$Z$3))+(SUMIFS(SIP[Amount],SIP[Investor ID],A275,SIP[B/S],"B",SIP[Date Value],"&gt;="&amp;$Z$2,SIP[Date Value],"&lt;="&amp;$Z$3))</f>
        <v>0</v>
      </c>
      <c r="L275" s="47">
        <f>(-SUMIFS(LS[Unit],LS[Investor ID],A275,LS[B/S],"S",LS[Date Value],"&gt;="&amp;$Z$2,LS[Date Value],"&lt;="&amp;$Z$3))+(-SUMIFS(SIP[Unit],SIP[Investor ID],A275,SIP[B/S],"S",SIP[Date Value],"&gt;="&amp;$Z$2,SIP[Date Value],"&lt;="&amp;$Z$3))</f>
        <v>0</v>
      </c>
      <c r="M275" s="49">
        <f>(SUMIFS(LS[Cost of Units Sold],LS[Investor ID],A275,LS[B/S],"S",LS[Date Value],"&gt;="&amp;$Z$2,LS[Date Value],"&lt;="&amp;$Z$3))+(SUMIFS(SIP[Cost of Units Sold],SIP[Investor ID],A275,SIP[B/S],"S",SIP[Date Value],"&gt;="&amp;$Z$2,SIP[Date Value],"&lt;="&amp;$Z$3))</f>
        <v>0</v>
      </c>
      <c r="N275" s="49">
        <f t="shared" si="24"/>
        <v>0</v>
      </c>
      <c r="O275" s="49">
        <f>(SUMIFS(LS[Realized Gain],LS[Investor ID],A275,LS[Date Value],"&gt;="&amp;$Z$2,LS[Date Value],"&lt;="&amp;$Z$3))+(SUMIFS(SIP[Realized Gain],SIP[Investor ID],A275,SIP[Date Value],"&gt;="&amp;$Z$2,SIP[Date Value],"&lt;="&amp;$Z$3))</f>
        <v>0</v>
      </c>
      <c r="P275" s="49">
        <v>0</v>
      </c>
      <c r="Q275" s="49">
        <v>0</v>
      </c>
      <c r="R275" s="49">
        <v>0</v>
      </c>
    </row>
    <row r="276" spans="1:18">
      <c r="A276" t="s">
        <v>600</v>
      </c>
      <c r="B276" s="47">
        <f>SUMIFS(LS[Unit],LS[Investor ID],'TAX CERTIFICATE'!A276,LS[Date Value],"&lt;"&amp;$Z$2)+SUMIFS(SIP[Unit],SIP[Investor ID],'TAX CERTIFICATE'!A276,SIP[Date Value],"&lt;"&amp;$Z$2)</f>
        <v>0</v>
      </c>
      <c r="C276" s="48">
        <f>(SUMIFS(LS[Amount],LS[B/S],"B",LS[Investor ID],A276,LS[Date Value],"&lt;"&amp;$Z$2)-SUMIFS(LS[Cost of Units Sold],LS[B/S],"S",LS[Investor ID],A276,LS[Date Value],"&lt;"&amp;$Z$2))+(SUMIFS(SIP[Amount],SIP[B/S],"B",SIP[Investor ID],#REF!,SIP[Date Value],"&lt;"&amp;$Z$2)-SUMIFS(SIP[Cost of Units Sold],SIP[B/S],"S",SIP[Investor ID],A276,SIP[Date Value],"&lt;"&amp;$Z$2))</f>
        <v>0</v>
      </c>
      <c r="D276" s="49">
        <f t="shared" si="20"/>
        <v>0</v>
      </c>
      <c r="E276" s="49">
        <f t="shared" si="21"/>
        <v>0</v>
      </c>
      <c r="F276" s="47">
        <f>SUMIFS(LS[Unit],LS[Investor ID],A276,LS[Date Value],"&lt;="&amp;$Z$3)+SUMIFS(SIP[Unit],SIP[Investor ID],A276,SIP[Date Value],"&lt;="&amp;$Z$3)</f>
        <v>0</v>
      </c>
      <c r="G276" s="49">
        <f>(SUMIFS(LS[Amount],LS[B/S],"B",LS[Investor ID],A276,LS[Date Value],"&lt;="&amp;$Z$3)-SUMIFS(LS[Cost of Units Sold],LS[B/S],"S",LS[Investor ID],A276,LS[Date Value],"&lt;="&amp;$Z$3))+(SUMIFS(SIP[Amount],SIP[B/S],"B",SIP[Investor ID],A276,SIP[Date Value],"&lt;="&amp;$Z$3)-SUMIFS(SIP[Cost of Units Sold],SIP[B/S],"S",SIP[Investor ID],A276,SIP[Date Value],"&lt;="&amp;$Z$3))</f>
        <v>0</v>
      </c>
      <c r="H276" s="49">
        <f t="shared" si="22"/>
        <v>0</v>
      </c>
      <c r="I276" s="49">
        <f t="shared" si="23"/>
        <v>0</v>
      </c>
      <c r="J276" s="47">
        <f>(SUMIFS(LS[Unit],LS[Investor ID],A276,LS[B/S],"B",LS[Date Value],"&gt;="&amp;$Z$2,LS[Date Value],"&lt;="&amp;$Z$3))+(SUMIFS(SIP[Unit],SIP[Investor ID],A276,SIP[B/S],"B",SIP[Date Value],"&gt;="&amp;$Z$2,SIP[Date Value],"&lt;="&amp;$Z$3))</f>
        <v>0</v>
      </c>
      <c r="K276" s="49">
        <f>(SUMIFS(LS[Amount],LS[Investor ID],A276,LS[B/S],"B",LS[Date Value],"&gt;="&amp;$Z$2,LS[Date Value],"&lt;="&amp;$Z$3))+(SUMIFS(SIP[Amount],SIP[Investor ID],A276,SIP[B/S],"B",SIP[Date Value],"&gt;="&amp;$Z$2,SIP[Date Value],"&lt;="&amp;$Z$3))</f>
        <v>0</v>
      </c>
      <c r="L276" s="47">
        <f>(-SUMIFS(LS[Unit],LS[Investor ID],A276,LS[B/S],"S",LS[Date Value],"&gt;="&amp;$Z$2,LS[Date Value],"&lt;="&amp;$Z$3))+(-SUMIFS(SIP[Unit],SIP[Investor ID],A276,SIP[B/S],"S",SIP[Date Value],"&gt;="&amp;$Z$2,SIP[Date Value],"&lt;="&amp;$Z$3))</f>
        <v>0</v>
      </c>
      <c r="M276" s="49">
        <f>(SUMIFS(LS[Cost of Units Sold],LS[Investor ID],A276,LS[B/S],"S",LS[Date Value],"&gt;="&amp;$Z$2,LS[Date Value],"&lt;="&amp;$Z$3))+(SUMIFS(SIP[Cost of Units Sold],SIP[Investor ID],A276,SIP[B/S],"S",SIP[Date Value],"&gt;="&amp;$Z$2,SIP[Date Value],"&lt;="&amp;$Z$3))</f>
        <v>0</v>
      </c>
      <c r="N276" s="49">
        <f t="shared" si="24"/>
        <v>0</v>
      </c>
      <c r="O276" s="49">
        <f>(SUMIFS(LS[Realized Gain],LS[Investor ID],A276,LS[Date Value],"&gt;="&amp;$Z$2,LS[Date Value],"&lt;="&amp;$Z$3))+(SUMIFS(SIP[Realized Gain],SIP[Investor ID],A276,SIP[Date Value],"&gt;="&amp;$Z$2,SIP[Date Value],"&lt;="&amp;$Z$3))</f>
        <v>0</v>
      </c>
      <c r="P276" s="49">
        <v>0</v>
      </c>
      <c r="Q276" s="49">
        <v>0</v>
      </c>
      <c r="R276" s="49">
        <v>0</v>
      </c>
    </row>
    <row r="277" spans="1:18">
      <c r="A277" t="s">
        <v>602</v>
      </c>
      <c r="B277" s="47">
        <f>SUMIFS(LS[Unit],LS[Investor ID],'TAX CERTIFICATE'!A277,LS[Date Value],"&lt;"&amp;$Z$2)+SUMIFS(SIP[Unit],SIP[Investor ID],'TAX CERTIFICATE'!A277,SIP[Date Value],"&lt;"&amp;$Z$2)</f>
        <v>0</v>
      </c>
      <c r="C277" s="48">
        <f>(SUMIFS(LS[Amount],LS[B/S],"B",LS[Investor ID],A277,LS[Date Value],"&lt;"&amp;$Z$2)-SUMIFS(LS[Cost of Units Sold],LS[B/S],"S",LS[Investor ID],A277,LS[Date Value],"&lt;"&amp;$Z$2))+(SUMIFS(SIP[Amount],SIP[B/S],"B",SIP[Investor ID],#REF!,SIP[Date Value],"&lt;"&amp;$Z$2)-SUMIFS(SIP[Cost of Units Sold],SIP[B/S],"S",SIP[Investor ID],A277,SIP[Date Value],"&lt;"&amp;$Z$2))</f>
        <v>0</v>
      </c>
      <c r="D277" s="49">
        <f t="shared" si="20"/>
        <v>0</v>
      </c>
      <c r="E277" s="49">
        <f t="shared" si="21"/>
        <v>0</v>
      </c>
      <c r="F277" s="47">
        <f>SUMIFS(LS[Unit],LS[Investor ID],A277,LS[Date Value],"&lt;="&amp;$Z$3)+SUMIFS(SIP[Unit],SIP[Investor ID],A277,SIP[Date Value],"&lt;="&amp;$Z$3)</f>
        <v>0</v>
      </c>
      <c r="G277" s="49">
        <f>(SUMIFS(LS[Amount],LS[B/S],"B",LS[Investor ID],A277,LS[Date Value],"&lt;="&amp;$Z$3)-SUMIFS(LS[Cost of Units Sold],LS[B/S],"S",LS[Investor ID],A277,LS[Date Value],"&lt;="&amp;$Z$3))+(SUMIFS(SIP[Amount],SIP[B/S],"B",SIP[Investor ID],A277,SIP[Date Value],"&lt;="&amp;$Z$3)-SUMIFS(SIP[Cost of Units Sold],SIP[B/S],"S",SIP[Investor ID],A277,SIP[Date Value],"&lt;="&amp;$Z$3))</f>
        <v>0</v>
      </c>
      <c r="H277" s="49">
        <f t="shared" si="22"/>
        <v>0</v>
      </c>
      <c r="I277" s="49">
        <f t="shared" si="23"/>
        <v>0</v>
      </c>
      <c r="J277" s="47">
        <f>(SUMIFS(LS[Unit],LS[Investor ID],A277,LS[B/S],"B",LS[Date Value],"&gt;="&amp;$Z$2,LS[Date Value],"&lt;="&amp;$Z$3))+(SUMIFS(SIP[Unit],SIP[Investor ID],A277,SIP[B/S],"B",SIP[Date Value],"&gt;="&amp;$Z$2,SIP[Date Value],"&lt;="&amp;$Z$3))</f>
        <v>0</v>
      </c>
      <c r="K277" s="49">
        <f>(SUMIFS(LS[Amount],LS[Investor ID],A277,LS[B/S],"B",LS[Date Value],"&gt;="&amp;$Z$2,LS[Date Value],"&lt;="&amp;$Z$3))+(SUMIFS(SIP[Amount],SIP[Investor ID],A277,SIP[B/S],"B",SIP[Date Value],"&gt;="&amp;$Z$2,SIP[Date Value],"&lt;="&amp;$Z$3))</f>
        <v>0</v>
      </c>
      <c r="L277" s="47">
        <f>(-SUMIFS(LS[Unit],LS[Investor ID],A277,LS[B/S],"S",LS[Date Value],"&gt;="&amp;$Z$2,LS[Date Value],"&lt;="&amp;$Z$3))+(-SUMIFS(SIP[Unit],SIP[Investor ID],A277,SIP[B/S],"S",SIP[Date Value],"&gt;="&amp;$Z$2,SIP[Date Value],"&lt;="&amp;$Z$3))</f>
        <v>0</v>
      </c>
      <c r="M277" s="49">
        <f>(SUMIFS(LS[Cost of Units Sold],LS[Investor ID],A277,LS[B/S],"S",LS[Date Value],"&gt;="&amp;$Z$2,LS[Date Value],"&lt;="&amp;$Z$3))+(SUMIFS(SIP[Cost of Units Sold],SIP[Investor ID],A277,SIP[B/S],"S",SIP[Date Value],"&gt;="&amp;$Z$2,SIP[Date Value],"&lt;="&amp;$Z$3))</f>
        <v>0</v>
      </c>
      <c r="N277" s="49">
        <f t="shared" si="24"/>
        <v>0</v>
      </c>
      <c r="O277" s="49">
        <f>(SUMIFS(LS[Realized Gain],LS[Investor ID],A277,LS[Date Value],"&gt;="&amp;$Z$2,LS[Date Value],"&lt;="&amp;$Z$3))+(SUMIFS(SIP[Realized Gain],SIP[Investor ID],A277,SIP[Date Value],"&gt;="&amp;$Z$2,SIP[Date Value],"&lt;="&amp;$Z$3))</f>
        <v>0</v>
      </c>
      <c r="P277" s="49">
        <v>0</v>
      </c>
      <c r="Q277" s="49">
        <v>0</v>
      </c>
      <c r="R277" s="49">
        <v>0</v>
      </c>
    </row>
    <row r="278" spans="1:18">
      <c r="A278" t="s">
        <v>604</v>
      </c>
      <c r="B278" s="47">
        <f>SUMIFS(LS[Unit],LS[Investor ID],'TAX CERTIFICATE'!A278,LS[Date Value],"&lt;"&amp;$Z$2)+SUMIFS(SIP[Unit],SIP[Investor ID],'TAX CERTIFICATE'!A278,SIP[Date Value],"&lt;"&amp;$Z$2)</f>
        <v>0</v>
      </c>
      <c r="C278" s="48">
        <f>(SUMIFS(LS[Amount],LS[B/S],"B",LS[Investor ID],A278,LS[Date Value],"&lt;"&amp;$Z$2)-SUMIFS(LS[Cost of Units Sold],LS[B/S],"S",LS[Investor ID],A278,LS[Date Value],"&lt;"&amp;$Z$2))+(SUMIFS(SIP[Amount],SIP[B/S],"B",SIP[Investor ID],#REF!,SIP[Date Value],"&lt;"&amp;$Z$2)-SUMIFS(SIP[Cost of Units Sold],SIP[B/S],"S",SIP[Investor ID],A278,SIP[Date Value],"&lt;"&amp;$Z$2))</f>
        <v>0</v>
      </c>
      <c r="D278" s="49">
        <f t="shared" si="20"/>
        <v>0</v>
      </c>
      <c r="E278" s="49">
        <f t="shared" si="21"/>
        <v>0</v>
      </c>
      <c r="F278" s="47">
        <f>SUMIFS(LS[Unit],LS[Investor ID],A278,LS[Date Value],"&lt;="&amp;$Z$3)+SUMIFS(SIP[Unit],SIP[Investor ID],A278,SIP[Date Value],"&lt;="&amp;$Z$3)</f>
        <v>0</v>
      </c>
      <c r="G278" s="49">
        <f>(SUMIFS(LS[Amount],LS[B/S],"B",LS[Investor ID],A278,LS[Date Value],"&lt;="&amp;$Z$3)-SUMIFS(LS[Cost of Units Sold],LS[B/S],"S",LS[Investor ID],A278,LS[Date Value],"&lt;="&amp;$Z$3))+(SUMIFS(SIP[Amount],SIP[B/S],"B",SIP[Investor ID],A278,SIP[Date Value],"&lt;="&amp;$Z$3)-SUMIFS(SIP[Cost of Units Sold],SIP[B/S],"S",SIP[Investor ID],A278,SIP[Date Value],"&lt;="&amp;$Z$3))</f>
        <v>0</v>
      </c>
      <c r="H278" s="49">
        <f t="shared" si="22"/>
        <v>0</v>
      </c>
      <c r="I278" s="49">
        <f t="shared" si="23"/>
        <v>0</v>
      </c>
      <c r="J278" s="47">
        <f>(SUMIFS(LS[Unit],LS[Investor ID],A278,LS[B/S],"B",LS[Date Value],"&gt;="&amp;$Z$2,LS[Date Value],"&lt;="&amp;$Z$3))+(SUMIFS(SIP[Unit],SIP[Investor ID],A278,SIP[B/S],"B",SIP[Date Value],"&gt;="&amp;$Z$2,SIP[Date Value],"&lt;="&amp;$Z$3))</f>
        <v>0</v>
      </c>
      <c r="K278" s="49">
        <f>(SUMIFS(LS[Amount],LS[Investor ID],A278,LS[B/S],"B",LS[Date Value],"&gt;="&amp;$Z$2,LS[Date Value],"&lt;="&amp;$Z$3))+(SUMIFS(SIP[Amount],SIP[Investor ID],A278,SIP[B/S],"B",SIP[Date Value],"&gt;="&amp;$Z$2,SIP[Date Value],"&lt;="&amp;$Z$3))</f>
        <v>0</v>
      </c>
      <c r="L278" s="47">
        <f>(-SUMIFS(LS[Unit],LS[Investor ID],A278,LS[B/S],"S",LS[Date Value],"&gt;="&amp;$Z$2,LS[Date Value],"&lt;="&amp;$Z$3))+(-SUMIFS(SIP[Unit],SIP[Investor ID],A278,SIP[B/S],"S",SIP[Date Value],"&gt;="&amp;$Z$2,SIP[Date Value],"&lt;="&amp;$Z$3))</f>
        <v>0</v>
      </c>
      <c r="M278" s="49">
        <f>(SUMIFS(LS[Cost of Units Sold],LS[Investor ID],A278,LS[B/S],"S",LS[Date Value],"&gt;="&amp;$Z$2,LS[Date Value],"&lt;="&amp;$Z$3))+(SUMIFS(SIP[Cost of Units Sold],SIP[Investor ID],A278,SIP[B/S],"S",SIP[Date Value],"&gt;="&amp;$Z$2,SIP[Date Value],"&lt;="&amp;$Z$3))</f>
        <v>0</v>
      </c>
      <c r="N278" s="49">
        <f t="shared" si="24"/>
        <v>0</v>
      </c>
      <c r="O278" s="49">
        <f>(SUMIFS(LS[Realized Gain],LS[Investor ID],A278,LS[Date Value],"&gt;="&amp;$Z$2,LS[Date Value],"&lt;="&amp;$Z$3))+(SUMIFS(SIP[Realized Gain],SIP[Investor ID],A278,SIP[Date Value],"&gt;="&amp;$Z$2,SIP[Date Value],"&lt;="&amp;$Z$3))</f>
        <v>0</v>
      </c>
      <c r="P278" s="49">
        <v>0</v>
      </c>
      <c r="Q278" s="49">
        <v>0</v>
      </c>
      <c r="R278" s="49">
        <v>0</v>
      </c>
    </row>
    <row r="279" spans="1:18">
      <c r="A279" t="s">
        <v>606</v>
      </c>
      <c r="B279" s="47">
        <f>SUMIFS(LS[Unit],LS[Investor ID],'TAX CERTIFICATE'!A279,LS[Date Value],"&lt;"&amp;$Z$2)+SUMIFS(SIP[Unit],SIP[Investor ID],'TAX CERTIFICATE'!A279,SIP[Date Value],"&lt;"&amp;$Z$2)</f>
        <v>0</v>
      </c>
      <c r="C279" s="48">
        <f>(SUMIFS(LS[Amount],LS[B/S],"B",LS[Investor ID],A279,LS[Date Value],"&lt;"&amp;$Z$2)-SUMIFS(LS[Cost of Units Sold],LS[B/S],"S",LS[Investor ID],A279,LS[Date Value],"&lt;"&amp;$Z$2))+(SUMIFS(SIP[Amount],SIP[B/S],"B",SIP[Investor ID],#REF!,SIP[Date Value],"&lt;"&amp;$Z$2)-SUMIFS(SIP[Cost of Units Sold],SIP[B/S],"S",SIP[Investor ID],A279,SIP[Date Value],"&lt;"&amp;$Z$2))</f>
        <v>0</v>
      </c>
      <c r="D279" s="49">
        <f t="shared" si="20"/>
        <v>0</v>
      </c>
      <c r="E279" s="49">
        <f t="shared" si="21"/>
        <v>0</v>
      </c>
      <c r="F279" s="47">
        <f>SUMIFS(LS[Unit],LS[Investor ID],A279,LS[Date Value],"&lt;="&amp;$Z$3)+SUMIFS(SIP[Unit],SIP[Investor ID],A279,SIP[Date Value],"&lt;="&amp;$Z$3)</f>
        <v>0</v>
      </c>
      <c r="G279" s="49">
        <f>(SUMIFS(LS[Amount],LS[B/S],"B",LS[Investor ID],A279,LS[Date Value],"&lt;="&amp;$Z$3)-SUMIFS(LS[Cost of Units Sold],LS[B/S],"S",LS[Investor ID],A279,LS[Date Value],"&lt;="&amp;$Z$3))+(SUMIFS(SIP[Amount],SIP[B/S],"B",SIP[Investor ID],A279,SIP[Date Value],"&lt;="&amp;$Z$3)-SUMIFS(SIP[Cost of Units Sold],SIP[B/S],"S",SIP[Investor ID],A279,SIP[Date Value],"&lt;="&amp;$Z$3))</f>
        <v>0</v>
      </c>
      <c r="H279" s="49">
        <f t="shared" si="22"/>
        <v>0</v>
      </c>
      <c r="I279" s="49">
        <f t="shared" si="23"/>
        <v>0</v>
      </c>
      <c r="J279" s="47">
        <f>(SUMIFS(LS[Unit],LS[Investor ID],A279,LS[B/S],"B",LS[Date Value],"&gt;="&amp;$Z$2,LS[Date Value],"&lt;="&amp;$Z$3))+(SUMIFS(SIP[Unit],SIP[Investor ID],A279,SIP[B/S],"B",SIP[Date Value],"&gt;="&amp;$Z$2,SIP[Date Value],"&lt;="&amp;$Z$3))</f>
        <v>124010</v>
      </c>
      <c r="K279" s="49">
        <f>(SUMIFS(LS[Amount],LS[Investor ID],A279,LS[B/S],"B",LS[Date Value],"&gt;="&amp;$Z$2,LS[Date Value],"&lt;="&amp;$Z$3))+(SUMIFS(SIP[Amount],SIP[Investor ID],A279,SIP[B/S],"B",SIP[Date Value],"&gt;="&amp;$Z$2,SIP[Date Value],"&lt;="&amp;$Z$3))</f>
        <v>1300000</v>
      </c>
      <c r="L279" s="47">
        <f>(-SUMIFS(LS[Unit],LS[Investor ID],A279,LS[B/S],"S",LS[Date Value],"&gt;="&amp;$Z$2,LS[Date Value],"&lt;="&amp;$Z$3))+(-SUMIFS(SIP[Unit],SIP[Investor ID],A279,SIP[B/S],"S",SIP[Date Value],"&gt;="&amp;$Z$2,SIP[Date Value],"&lt;="&amp;$Z$3))</f>
        <v>124010</v>
      </c>
      <c r="M279" s="49">
        <f>(SUMIFS(LS[Cost of Units Sold],LS[Investor ID],A279,LS[B/S],"S",LS[Date Value],"&gt;="&amp;$Z$2,LS[Date Value],"&lt;="&amp;$Z$3))+(SUMIFS(SIP[Cost of Units Sold],SIP[Investor ID],A279,SIP[B/S],"S",SIP[Date Value],"&gt;="&amp;$Z$2,SIP[Date Value],"&lt;="&amp;$Z$3))</f>
        <v>1300000</v>
      </c>
      <c r="N279" s="49">
        <f t="shared" si="24"/>
        <v>0</v>
      </c>
      <c r="O279" s="49">
        <f>(SUMIFS(LS[Realized Gain],LS[Investor ID],A279,LS[Date Value],"&gt;="&amp;$Z$2,LS[Date Value],"&lt;="&amp;$Z$3))+(SUMIFS(SIP[Realized Gain],SIP[Investor ID],A279,SIP[Date Value],"&gt;="&amp;$Z$2,SIP[Date Value],"&lt;="&amp;$Z$3))</f>
        <v>41165.540000000037</v>
      </c>
      <c r="P279" s="49">
        <v>0</v>
      </c>
      <c r="Q279" s="49">
        <v>0</v>
      </c>
      <c r="R279" s="49">
        <v>0</v>
      </c>
    </row>
    <row r="280" spans="1:18">
      <c r="A280" t="s">
        <v>608</v>
      </c>
      <c r="B280" s="47">
        <f>SUMIFS(LS[Unit],LS[Investor ID],'TAX CERTIFICATE'!A280,LS[Date Value],"&lt;"&amp;$Z$2)+SUMIFS(SIP[Unit],SIP[Investor ID],'TAX CERTIFICATE'!A280,SIP[Date Value],"&lt;"&amp;$Z$2)</f>
        <v>0</v>
      </c>
      <c r="C280" s="48">
        <f>(SUMIFS(LS[Amount],LS[B/S],"B",LS[Investor ID],A280,LS[Date Value],"&lt;"&amp;$Z$2)-SUMIFS(LS[Cost of Units Sold],LS[B/S],"S",LS[Investor ID],A280,LS[Date Value],"&lt;"&amp;$Z$2))+(SUMIFS(SIP[Amount],SIP[B/S],"B",SIP[Investor ID],#REF!,SIP[Date Value],"&lt;"&amp;$Z$2)-SUMIFS(SIP[Cost of Units Sold],SIP[B/S],"S",SIP[Investor ID],A280,SIP[Date Value],"&lt;"&amp;$Z$2))</f>
        <v>0</v>
      </c>
      <c r="D280" s="49">
        <f t="shared" si="20"/>
        <v>0</v>
      </c>
      <c r="E280" s="49">
        <f t="shared" si="21"/>
        <v>0</v>
      </c>
      <c r="F280" s="47">
        <f>SUMIFS(LS[Unit],LS[Investor ID],A280,LS[Date Value],"&lt;="&amp;$Z$3)+SUMIFS(SIP[Unit],SIP[Investor ID],A280,SIP[Date Value],"&lt;="&amp;$Z$3)</f>
        <v>0</v>
      </c>
      <c r="G280" s="49">
        <f>(SUMIFS(LS[Amount],LS[B/S],"B",LS[Investor ID],A280,LS[Date Value],"&lt;="&amp;$Z$3)-SUMIFS(LS[Cost of Units Sold],LS[B/S],"S",LS[Investor ID],A280,LS[Date Value],"&lt;="&amp;$Z$3))+(SUMIFS(SIP[Amount],SIP[B/S],"B",SIP[Investor ID],A280,SIP[Date Value],"&lt;="&amp;$Z$3)-SUMIFS(SIP[Cost of Units Sold],SIP[B/S],"S",SIP[Investor ID],A280,SIP[Date Value],"&lt;="&amp;$Z$3))</f>
        <v>0</v>
      </c>
      <c r="H280" s="49">
        <f t="shared" si="22"/>
        <v>0</v>
      </c>
      <c r="I280" s="49">
        <f t="shared" si="23"/>
        <v>0</v>
      </c>
      <c r="J280" s="47">
        <f>(SUMIFS(LS[Unit],LS[Investor ID],A280,LS[B/S],"B",LS[Date Value],"&gt;="&amp;$Z$2,LS[Date Value],"&lt;="&amp;$Z$3))+(SUMIFS(SIP[Unit],SIP[Investor ID],A280,SIP[B/S],"B",SIP[Date Value],"&gt;="&amp;$Z$2,SIP[Date Value],"&lt;="&amp;$Z$3))</f>
        <v>0</v>
      </c>
      <c r="K280" s="49">
        <f>(SUMIFS(LS[Amount],LS[Investor ID],A280,LS[B/S],"B",LS[Date Value],"&gt;="&amp;$Z$2,LS[Date Value],"&lt;="&amp;$Z$3))+(SUMIFS(SIP[Amount],SIP[Investor ID],A280,SIP[B/S],"B",SIP[Date Value],"&gt;="&amp;$Z$2,SIP[Date Value],"&lt;="&amp;$Z$3))</f>
        <v>0</v>
      </c>
      <c r="L280" s="47">
        <f>(-SUMIFS(LS[Unit],LS[Investor ID],A280,LS[B/S],"S",LS[Date Value],"&gt;="&amp;$Z$2,LS[Date Value],"&lt;="&amp;$Z$3))+(-SUMIFS(SIP[Unit],SIP[Investor ID],A280,SIP[B/S],"S",SIP[Date Value],"&gt;="&amp;$Z$2,SIP[Date Value],"&lt;="&amp;$Z$3))</f>
        <v>0</v>
      </c>
      <c r="M280" s="49">
        <f>(SUMIFS(LS[Cost of Units Sold],LS[Investor ID],A280,LS[B/S],"S",LS[Date Value],"&gt;="&amp;$Z$2,LS[Date Value],"&lt;="&amp;$Z$3))+(SUMIFS(SIP[Cost of Units Sold],SIP[Investor ID],A280,SIP[B/S],"S",SIP[Date Value],"&gt;="&amp;$Z$2,SIP[Date Value],"&lt;="&amp;$Z$3))</f>
        <v>0</v>
      </c>
      <c r="N280" s="49">
        <f t="shared" si="24"/>
        <v>0</v>
      </c>
      <c r="O280" s="49">
        <f>(SUMIFS(LS[Realized Gain],LS[Investor ID],A280,LS[Date Value],"&gt;="&amp;$Z$2,LS[Date Value],"&lt;="&amp;$Z$3))+(SUMIFS(SIP[Realized Gain],SIP[Investor ID],A280,SIP[Date Value],"&gt;="&amp;$Z$2,SIP[Date Value],"&lt;="&amp;$Z$3))</f>
        <v>0</v>
      </c>
      <c r="P280" s="49">
        <v>0</v>
      </c>
      <c r="Q280" s="49">
        <v>0</v>
      </c>
      <c r="R280" s="49">
        <v>0</v>
      </c>
    </row>
    <row r="281" spans="1:18">
      <c r="A281" t="s">
        <v>610</v>
      </c>
      <c r="B281" s="47">
        <f>SUMIFS(LS[Unit],LS[Investor ID],'TAX CERTIFICATE'!A281,LS[Date Value],"&lt;"&amp;$Z$2)+SUMIFS(SIP[Unit],SIP[Investor ID],'TAX CERTIFICATE'!A281,SIP[Date Value],"&lt;"&amp;$Z$2)</f>
        <v>0</v>
      </c>
      <c r="C281" s="48">
        <f>(SUMIFS(LS[Amount],LS[B/S],"B",LS[Investor ID],A281,LS[Date Value],"&lt;"&amp;$Z$2)-SUMIFS(LS[Cost of Units Sold],LS[B/S],"S",LS[Investor ID],A281,LS[Date Value],"&lt;"&amp;$Z$2))+(SUMIFS(SIP[Amount],SIP[B/S],"B",SIP[Investor ID],#REF!,SIP[Date Value],"&lt;"&amp;$Z$2)-SUMIFS(SIP[Cost of Units Sold],SIP[B/S],"S",SIP[Investor ID],A281,SIP[Date Value],"&lt;"&amp;$Z$2))</f>
        <v>0</v>
      </c>
      <c r="D281" s="49">
        <f t="shared" si="20"/>
        <v>0</v>
      </c>
      <c r="E281" s="49">
        <f t="shared" si="21"/>
        <v>0</v>
      </c>
      <c r="F281" s="47">
        <f>SUMIFS(LS[Unit],LS[Investor ID],A281,LS[Date Value],"&lt;="&amp;$Z$3)+SUMIFS(SIP[Unit],SIP[Investor ID],A281,SIP[Date Value],"&lt;="&amp;$Z$3)</f>
        <v>0</v>
      </c>
      <c r="G281" s="49">
        <f>(SUMIFS(LS[Amount],LS[B/S],"B",LS[Investor ID],A281,LS[Date Value],"&lt;="&amp;$Z$3)-SUMIFS(LS[Cost of Units Sold],LS[B/S],"S",LS[Investor ID],A281,LS[Date Value],"&lt;="&amp;$Z$3))+(SUMIFS(SIP[Amount],SIP[B/S],"B",SIP[Investor ID],A281,SIP[Date Value],"&lt;="&amp;$Z$3)-SUMIFS(SIP[Cost of Units Sold],SIP[B/S],"S",SIP[Investor ID],A281,SIP[Date Value],"&lt;="&amp;$Z$3))</f>
        <v>0</v>
      </c>
      <c r="H281" s="49">
        <f t="shared" si="22"/>
        <v>0</v>
      </c>
      <c r="I281" s="49">
        <f t="shared" si="23"/>
        <v>0</v>
      </c>
      <c r="J281" s="47">
        <f>(SUMIFS(LS[Unit],LS[Investor ID],A281,LS[B/S],"B",LS[Date Value],"&gt;="&amp;$Z$2,LS[Date Value],"&lt;="&amp;$Z$3))+(SUMIFS(SIP[Unit],SIP[Investor ID],A281,SIP[B/S],"B",SIP[Date Value],"&gt;="&amp;$Z$2,SIP[Date Value],"&lt;="&amp;$Z$3))</f>
        <v>0</v>
      </c>
      <c r="K281" s="49">
        <f>(SUMIFS(LS[Amount],LS[Investor ID],A281,LS[B/S],"B",LS[Date Value],"&gt;="&amp;$Z$2,LS[Date Value],"&lt;="&amp;$Z$3))+(SUMIFS(SIP[Amount],SIP[Investor ID],A281,SIP[B/S],"B",SIP[Date Value],"&gt;="&amp;$Z$2,SIP[Date Value],"&lt;="&amp;$Z$3))</f>
        <v>0</v>
      </c>
      <c r="L281" s="47">
        <f>(-SUMIFS(LS[Unit],LS[Investor ID],A281,LS[B/S],"S",LS[Date Value],"&gt;="&amp;$Z$2,LS[Date Value],"&lt;="&amp;$Z$3))+(-SUMIFS(SIP[Unit],SIP[Investor ID],A281,SIP[B/S],"S",SIP[Date Value],"&gt;="&amp;$Z$2,SIP[Date Value],"&lt;="&amp;$Z$3))</f>
        <v>0</v>
      </c>
      <c r="M281" s="49">
        <f>(SUMIFS(LS[Cost of Units Sold],LS[Investor ID],A281,LS[B/S],"S",LS[Date Value],"&gt;="&amp;$Z$2,LS[Date Value],"&lt;="&amp;$Z$3))+(SUMIFS(SIP[Cost of Units Sold],SIP[Investor ID],A281,SIP[B/S],"S",SIP[Date Value],"&gt;="&amp;$Z$2,SIP[Date Value],"&lt;="&amp;$Z$3))</f>
        <v>0</v>
      </c>
      <c r="N281" s="49">
        <f t="shared" si="24"/>
        <v>0</v>
      </c>
      <c r="O281" s="49">
        <f>(SUMIFS(LS[Realized Gain],LS[Investor ID],A281,LS[Date Value],"&gt;="&amp;$Z$2,LS[Date Value],"&lt;="&amp;$Z$3))+(SUMIFS(SIP[Realized Gain],SIP[Investor ID],A281,SIP[Date Value],"&gt;="&amp;$Z$2,SIP[Date Value],"&lt;="&amp;$Z$3))</f>
        <v>0</v>
      </c>
      <c r="P281" s="49">
        <v>0</v>
      </c>
      <c r="Q281" s="49">
        <v>0</v>
      </c>
      <c r="R281" s="49">
        <v>0</v>
      </c>
    </row>
    <row r="282" spans="1:18">
      <c r="A282" t="s">
        <v>612</v>
      </c>
      <c r="B282" s="47">
        <f>SUMIFS(LS[Unit],LS[Investor ID],'TAX CERTIFICATE'!A282,LS[Date Value],"&lt;"&amp;$Z$2)+SUMIFS(SIP[Unit],SIP[Investor ID],'TAX CERTIFICATE'!A282,SIP[Date Value],"&lt;"&amp;$Z$2)</f>
        <v>0</v>
      </c>
      <c r="C282" s="48">
        <f>(SUMIFS(LS[Amount],LS[B/S],"B",LS[Investor ID],A282,LS[Date Value],"&lt;"&amp;$Z$2)-SUMIFS(LS[Cost of Units Sold],LS[B/S],"S",LS[Investor ID],A282,LS[Date Value],"&lt;"&amp;$Z$2))+(SUMIFS(SIP[Amount],SIP[B/S],"B",SIP[Investor ID],#REF!,SIP[Date Value],"&lt;"&amp;$Z$2)-SUMIFS(SIP[Cost of Units Sold],SIP[B/S],"S",SIP[Investor ID],A282,SIP[Date Value],"&lt;"&amp;$Z$2))</f>
        <v>0</v>
      </c>
      <c r="D282" s="49">
        <f t="shared" si="20"/>
        <v>0</v>
      </c>
      <c r="E282" s="49">
        <f t="shared" si="21"/>
        <v>0</v>
      </c>
      <c r="F282" s="47">
        <f>SUMIFS(LS[Unit],LS[Investor ID],A282,LS[Date Value],"&lt;="&amp;$Z$3)+SUMIFS(SIP[Unit],SIP[Investor ID],A282,SIP[Date Value],"&lt;="&amp;$Z$3)</f>
        <v>0</v>
      </c>
      <c r="G282" s="49">
        <f>(SUMIFS(LS[Amount],LS[B/S],"B",LS[Investor ID],A282,LS[Date Value],"&lt;="&amp;$Z$3)-SUMIFS(LS[Cost of Units Sold],LS[B/S],"S",LS[Investor ID],A282,LS[Date Value],"&lt;="&amp;$Z$3))+(SUMIFS(SIP[Amount],SIP[B/S],"B",SIP[Investor ID],A282,SIP[Date Value],"&lt;="&amp;$Z$3)-SUMIFS(SIP[Cost of Units Sold],SIP[B/S],"S",SIP[Investor ID],A282,SIP[Date Value],"&lt;="&amp;$Z$3))</f>
        <v>0</v>
      </c>
      <c r="H282" s="49">
        <f t="shared" si="22"/>
        <v>0</v>
      </c>
      <c r="I282" s="49">
        <f t="shared" si="23"/>
        <v>0</v>
      </c>
      <c r="J282" s="47">
        <f>(SUMIFS(LS[Unit],LS[Investor ID],A282,LS[B/S],"B",LS[Date Value],"&gt;="&amp;$Z$2,LS[Date Value],"&lt;="&amp;$Z$3))+(SUMIFS(SIP[Unit],SIP[Investor ID],A282,SIP[B/S],"B",SIP[Date Value],"&gt;="&amp;$Z$2,SIP[Date Value],"&lt;="&amp;$Z$3))</f>
        <v>0</v>
      </c>
      <c r="K282" s="49">
        <f>(SUMIFS(LS[Amount],LS[Investor ID],A282,LS[B/S],"B",LS[Date Value],"&gt;="&amp;$Z$2,LS[Date Value],"&lt;="&amp;$Z$3))+(SUMIFS(SIP[Amount],SIP[Investor ID],A282,SIP[B/S],"B",SIP[Date Value],"&gt;="&amp;$Z$2,SIP[Date Value],"&lt;="&amp;$Z$3))</f>
        <v>0</v>
      </c>
      <c r="L282" s="47">
        <f>(-SUMIFS(LS[Unit],LS[Investor ID],A282,LS[B/S],"S",LS[Date Value],"&gt;="&amp;$Z$2,LS[Date Value],"&lt;="&amp;$Z$3))+(-SUMIFS(SIP[Unit],SIP[Investor ID],A282,SIP[B/S],"S",SIP[Date Value],"&gt;="&amp;$Z$2,SIP[Date Value],"&lt;="&amp;$Z$3))</f>
        <v>0</v>
      </c>
      <c r="M282" s="49">
        <f>(SUMIFS(LS[Cost of Units Sold],LS[Investor ID],A282,LS[B/S],"S",LS[Date Value],"&gt;="&amp;$Z$2,LS[Date Value],"&lt;="&amp;$Z$3))+(SUMIFS(SIP[Cost of Units Sold],SIP[Investor ID],A282,SIP[B/S],"S",SIP[Date Value],"&gt;="&amp;$Z$2,SIP[Date Value],"&lt;="&amp;$Z$3))</f>
        <v>0</v>
      </c>
      <c r="N282" s="49">
        <f t="shared" si="24"/>
        <v>0</v>
      </c>
      <c r="O282" s="49">
        <f>(SUMIFS(LS[Realized Gain],LS[Investor ID],A282,LS[Date Value],"&gt;="&amp;$Z$2,LS[Date Value],"&lt;="&amp;$Z$3))+(SUMIFS(SIP[Realized Gain],SIP[Investor ID],A282,SIP[Date Value],"&gt;="&amp;$Z$2,SIP[Date Value],"&lt;="&amp;$Z$3))</f>
        <v>0</v>
      </c>
      <c r="P282" s="49">
        <v>0</v>
      </c>
      <c r="Q282" s="49">
        <v>0</v>
      </c>
      <c r="R282" s="49">
        <v>0</v>
      </c>
    </row>
    <row r="283" spans="1:18">
      <c r="A283" t="s">
        <v>614</v>
      </c>
      <c r="B283" s="47">
        <f>SUMIFS(LS[Unit],LS[Investor ID],'TAX CERTIFICATE'!A283,LS[Date Value],"&lt;"&amp;$Z$2)+SUMIFS(SIP[Unit],SIP[Investor ID],'TAX CERTIFICATE'!A283,SIP[Date Value],"&lt;"&amp;$Z$2)</f>
        <v>0</v>
      </c>
      <c r="C283" s="48">
        <f>(SUMIFS(LS[Amount],LS[B/S],"B",LS[Investor ID],A283,LS[Date Value],"&lt;"&amp;$Z$2)-SUMIFS(LS[Cost of Units Sold],LS[B/S],"S",LS[Investor ID],A283,LS[Date Value],"&lt;"&amp;$Z$2))+(SUMIFS(SIP[Amount],SIP[B/S],"B",SIP[Investor ID],#REF!,SIP[Date Value],"&lt;"&amp;$Z$2)-SUMIFS(SIP[Cost of Units Sold],SIP[B/S],"S",SIP[Investor ID],A283,SIP[Date Value],"&lt;"&amp;$Z$2))</f>
        <v>0</v>
      </c>
      <c r="D283" s="49">
        <f t="shared" si="20"/>
        <v>0</v>
      </c>
      <c r="E283" s="49">
        <f t="shared" si="21"/>
        <v>0</v>
      </c>
      <c r="F283" s="47">
        <f>SUMIFS(LS[Unit],LS[Investor ID],A283,LS[Date Value],"&lt;="&amp;$Z$3)+SUMIFS(SIP[Unit],SIP[Investor ID],A283,SIP[Date Value],"&lt;="&amp;$Z$3)</f>
        <v>0</v>
      </c>
      <c r="G283" s="49">
        <f>(SUMIFS(LS[Amount],LS[B/S],"B",LS[Investor ID],A283,LS[Date Value],"&lt;="&amp;$Z$3)-SUMIFS(LS[Cost of Units Sold],LS[B/S],"S",LS[Investor ID],A283,LS[Date Value],"&lt;="&amp;$Z$3))+(SUMIFS(SIP[Amount],SIP[B/S],"B",SIP[Investor ID],A283,SIP[Date Value],"&lt;="&amp;$Z$3)-SUMIFS(SIP[Cost of Units Sold],SIP[B/S],"S",SIP[Investor ID],A283,SIP[Date Value],"&lt;="&amp;$Z$3))</f>
        <v>0</v>
      </c>
      <c r="H283" s="49">
        <f t="shared" si="22"/>
        <v>0</v>
      </c>
      <c r="I283" s="49">
        <f t="shared" si="23"/>
        <v>0</v>
      </c>
      <c r="J283" s="47">
        <f>(SUMIFS(LS[Unit],LS[Investor ID],A283,LS[B/S],"B",LS[Date Value],"&gt;="&amp;$Z$2,LS[Date Value],"&lt;="&amp;$Z$3))+(SUMIFS(SIP[Unit],SIP[Investor ID],A283,SIP[B/S],"B",SIP[Date Value],"&gt;="&amp;$Z$2,SIP[Date Value],"&lt;="&amp;$Z$3))</f>
        <v>0</v>
      </c>
      <c r="K283" s="49">
        <f>(SUMIFS(LS[Amount],LS[Investor ID],A283,LS[B/S],"B",LS[Date Value],"&gt;="&amp;$Z$2,LS[Date Value],"&lt;="&amp;$Z$3))+(SUMIFS(SIP[Amount],SIP[Investor ID],A283,SIP[B/S],"B",SIP[Date Value],"&gt;="&amp;$Z$2,SIP[Date Value],"&lt;="&amp;$Z$3))</f>
        <v>0</v>
      </c>
      <c r="L283" s="47">
        <f>(-SUMIFS(LS[Unit],LS[Investor ID],A283,LS[B/S],"S",LS[Date Value],"&gt;="&amp;$Z$2,LS[Date Value],"&lt;="&amp;$Z$3))+(-SUMIFS(SIP[Unit],SIP[Investor ID],A283,SIP[B/S],"S",SIP[Date Value],"&gt;="&amp;$Z$2,SIP[Date Value],"&lt;="&amp;$Z$3))</f>
        <v>0</v>
      </c>
      <c r="M283" s="49">
        <f>(SUMIFS(LS[Cost of Units Sold],LS[Investor ID],A283,LS[B/S],"S",LS[Date Value],"&gt;="&amp;$Z$2,LS[Date Value],"&lt;="&amp;$Z$3))+(SUMIFS(SIP[Cost of Units Sold],SIP[Investor ID],A283,SIP[B/S],"S",SIP[Date Value],"&gt;="&amp;$Z$2,SIP[Date Value],"&lt;="&amp;$Z$3))</f>
        <v>0</v>
      </c>
      <c r="N283" s="49">
        <f t="shared" si="24"/>
        <v>0</v>
      </c>
      <c r="O283" s="49">
        <f>(SUMIFS(LS[Realized Gain],LS[Investor ID],A283,LS[Date Value],"&gt;="&amp;$Z$2,LS[Date Value],"&lt;="&amp;$Z$3))+(SUMIFS(SIP[Realized Gain],SIP[Investor ID],A283,SIP[Date Value],"&gt;="&amp;$Z$2,SIP[Date Value],"&lt;="&amp;$Z$3))</f>
        <v>0</v>
      </c>
      <c r="P283" s="49">
        <v>0</v>
      </c>
      <c r="Q283" s="49">
        <v>0</v>
      </c>
      <c r="R283" s="49">
        <v>0</v>
      </c>
    </row>
    <row r="284" spans="1:18">
      <c r="A284" t="s">
        <v>616</v>
      </c>
      <c r="B284" s="47">
        <f>SUMIFS(LS[Unit],LS[Investor ID],'TAX CERTIFICATE'!A284,LS[Date Value],"&lt;"&amp;$Z$2)+SUMIFS(SIP[Unit],SIP[Investor ID],'TAX CERTIFICATE'!A284,SIP[Date Value],"&lt;"&amp;$Z$2)</f>
        <v>0</v>
      </c>
      <c r="C284" s="48">
        <f>(SUMIFS(LS[Amount],LS[B/S],"B",LS[Investor ID],A284,LS[Date Value],"&lt;"&amp;$Z$2)-SUMIFS(LS[Cost of Units Sold],LS[B/S],"S",LS[Investor ID],A284,LS[Date Value],"&lt;"&amp;$Z$2))+(SUMIFS(SIP[Amount],SIP[B/S],"B",SIP[Investor ID],#REF!,SIP[Date Value],"&lt;"&amp;$Z$2)-SUMIFS(SIP[Cost of Units Sold],SIP[B/S],"S",SIP[Investor ID],A284,SIP[Date Value],"&lt;"&amp;$Z$2))</f>
        <v>0</v>
      </c>
      <c r="D284" s="49">
        <f t="shared" si="20"/>
        <v>0</v>
      </c>
      <c r="E284" s="49">
        <f t="shared" si="21"/>
        <v>0</v>
      </c>
      <c r="F284" s="47">
        <f>SUMIFS(LS[Unit],LS[Investor ID],A284,LS[Date Value],"&lt;="&amp;$Z$3)+SUMIFS(SIP[Unit],SIP[Investor ID],A284,SIP[Date Value],"&lt;="&amp;$Z$3)</f>
        <v>0</v>
      </c>
      <c r="G284" s="49">
        <f>(SUMIFS(LS[Amount],LS[B/S],"B",LS[Investor ID],A284,LS[Date Value],"&lt;="&amp;$Z$3)-SUMIFS(LS[Cost of Units Sold],LS[B/S],"S",LS[Investor ID],A284,LS[Date Value],"&lt;="&amp;$Z$3))+(SUMIFS(SIP[Amount],SIP[B/S],"B",SIP[Investor ID],A284,SIP[Date Value],"&lt;="&amp;$Z$3)-SUMIFS(SIP[Cost of Units Sold],SIP[B/S],"S",SIP[Investor ID],A284,SIP[Date Value],"&lt;="&amp;$Z$3))</f>
        <v>0</v>
      </c>
      <c r="H284" s="49">
        <f t="shared" si="22"/>
        <v>0</v>
      </c>
      <c r="I284" s="49">
        <f t="shared" si="23"/>
        <v>0</v>
      </c>
      <c r="J284" s="47">
        <f>(SUMIFS(LS[Unit],LS[Investor ID],A284,LS[B/S],"B",LS[Date Value],"&gt;="&amp;$Z$2,LS[Date Value],"&lt;="&amp;$Z$3))+(SUMIFS(SIP[Unit],SIP[Investor ID],A284,SIP[B/S],"B",SIP[Date Value],"&gt;="&amp;$Z$2,SIP[Date Value],"&lt;="&amp;$Z$3))</f>
        <v>0</v>
      </c>
      <c r="K284" s="49">
        <f>(SUMIFS(LS[Amount],LS[Investor ID],A284,LS[B/S],"B",LS[Date Value],"&gt;="&amp;$Z$2,LS[Date Value],"&lt;="&amp;$Z$3))+(SUMIFS(SIP[Amount],SIP[Investor ID],A284,SIP[B/S],"B",SIP[Date Value],"&gt;="&amp;$Z$2,SIP[Date Value],"&lt;="&amp;$Z$3))</f>
        <v>0</v>
      </c>
      <c r="L284" s="47">
        <f>(-SUMIFS(LS[Unit],LS[Investor ID],A284,LS[B/S],"S",LS[Date Value],"&gt;="&amp;$Z$2,LS[Date Value],"&lt;="&amp;$Z$3))+(-SUMIFS(SIP[Unit],SIP[Investor ID],A284,SIP[B/S],"S",SIP[Date Value],"&gt;="&amp;$Z$2,SIP[Date Value],"&lt;="&amp;$Z$3))</f>
        <v>0</v>
      </c>
      <c r="M284" s="49">
        <f>(SUMIFS(LS[Cost of Units Sold],LS[Investor ID],A284,LS[B/S],"S",LS[Date Value],"&gt;="&amp;$Z$2,LS[Date Value],"&lt;="&amp;$Z$3))+(SUMIFS(SIP[Cost of Units Sold],SIP[Investor ID],A284,SIP[B/S],"S",SIP[Date Value],"&gt;="&amp;$Z$2,SIP[Date Value],"&lt;="&amp;$Z$3))</f>
        <v>0</v>
      </c>
      <c r="N284" s="49">
        <f t="shared" si="24"/>
        <v>0</v>
      </c>
      <c r="O284" s="49">
        <f>(SUMIFS(LS[Realized Gain],LS[Investor ID],A284,LS[Date Value],"&gt;="&amp;$Z$2,LS[Date Value],"&lt;="&amp;$Z$3))+(SUMIFS(SIP[Realized Gain],SIP[Investor ID],A284,SIP[Date Value],"&gt;="&amp;$Z$2,SIP[Date Value],"&lt;="&amp;$Z$3))</f>
        <v>0</v>
      </c>
      <c r="P284" s="49">
        <v>0</v>
      </c>
      <c r="Q284" s="49">
        <v>0</v>
      </c>
      <c r="R284" s="49">
        <v>0</v>
      </c>
    </row>
    <row r="285" spans="1:18">
      <c r="A285" t="s">
        <v>618</v>
      </c>
      <c r="B285" s="47">
        <f>SUMIFS(LS[Unit],LS[Investor ID],'TAX CERTIFICATE'!A285,LS[Date Value],"&lt;"&amp;$Z$2)+SUMIFS(SIP[Unit],SIP[Investor ID],'TAX CERTIFICATE'!A285,SIP[Date Value],"&lt;"&amp;$Z$2)</f>
        <v>0</v>
      </c>
      <c r="C285" s="48">
        <f>(SUMIFS(LS[Amount],LS[B/S],"B",LS[Investor ID],A285,LS[Date Value],"&lt;"&amp;$Z$2)-SUMIFS(LS[Cost of Units Sold],LS[B/S],"S",LS[Investor ID],A285,LS[Date Value],"&lt;"&amp;$Z$2))+(SUMIFS(SIP[Amount],SIP[B/S],"B",SIP[Investor ID],#REF!,SIP[Date Value],"&lt;"&amp;$Z$2)-SUMIFS(SIP[Cost of Units Sold],SIP[B/S],"S",SIP[Investor ID],A285,SIP[Date Value],"&lt;"&amp;$Z$2))</f>
        <v>0</v>
      </c>
      <c r="D285" s="49">
        <f t="shared" si="20"/>
        <v>0</v>
      </c>
      <c r="E285" s="49">
        <f t="shared" si="21"/>
        <v>0</v>
      </c>
      <c r="F285" s="47">
        <f>SUMIFS(LS[Unit],LS[Investor ID],A285,LS[Date Value],"&lt;="&amp;$Z$3)+SUMIFS(SIP[Unit],SIP[Investor ID],A285,SIP[Date Value],"&lt;="&amp;$Z$3)</f>
        <v>0</v>
      </c>
      <c r="G285" s="49">
        <f>(SUMIFS(LS[Amount],LS[B/S],"B",LS[Investor ID],A285,LS[Date Value],"&lt;="&amp;$Z$3)-SUMIFS(LS[Cost of Units Sold],LS[B/S],"S",LS[Investor ID],A285,LS[Date Value],"&lt;="&amp;$Z$3))+(SUMIFS(SIP[Amount],SIP[B/S],"B",SIP[Investor ID],A285,SIP[Date Value],"&lt;="&amp;$Z$3)-SUMIFS(SIP[Cost of Units Sold],SIP[B/S],"S",SIP[Investor ID],A285,SIP[Date Value],"&lt;="&amp;$Z$3))</f>
        <v>0</v>
      </c>
      <c r="H285" s="49">
        <f t="shared" si="22"/>
        <v>0</v>
      </c>
      <c r="I285" s="49">
        <f t="shared" si="23"/>
        <v>0</v>
      </c>
      <c r="J285" s="47">
        <f>(SUMIFS(LS[Unit],LS[Investor ID],A285,LS[B/S],"B",LS[Date Value],"&gt;="&amp;$Z$2,LS[Date Value],"&lt;="&amp;$Z$3))+(SUMIFS(SIP[Unit],SIP[Investor ID],A285,SIP[B/S],"B",SIP[Date Value],"&gt;="&amp;$Z$2,SIP[Date Value],"&lt;="&amp;$Z$3))</f>
        <v>0</v>
      </c>
      <c r="K285" s="49">
        <f>(SUMIFS(LS[Amount],LS[Investor ID],A285,LS[B/S],"B",LS[Date Value],"&gt;="&amp;$Z$2,LS[Date Value],"&lt;="&amp;$Z$3))+(SUMIFS(SIP[Amount],SIP[Investor ID],A285,SIP[B/S],"B",SIP[Date Value],"&gt;="&amp;$Z$2,SIP[Date Value],"&lt;="&amp;$Z$3))</f>
        <v>0</v>
      </c>
      <c r="L285" s="47">
        <f>(-SUMIFS(LS[Unit],LS[Investor ID],A285,LS[B/S],"S",LS[Date Value],"&gt;="&amp;$Z$2,LS[Date Value],"&lt;="&amp;$Z$3))+(-SUMIFS(SIP[Unit],SIP[Investor ID],A285,SIP[B/S],"S",SIP[Date Value],"&gt;="&amp;$Z$2,SIP[Date Value],"&lt;="&amp;$Z$3))</f>
        <v>0</v>
      </c>
      <c r="M285" s="49">
        <f>(SUMIFS(LS[Cost of Units Sold],LS[Investor ID],A285,LS[B/S],"S",LS[Date Value],"&gt;="&amp;$Z$2,LS[Date Value],"&lt;="&amp;$Z$3))+(SUMIFS(SIP[Cost of Units Sold],SIP[Investor ID],A285,SIP[B/S],"S",SIP[Date Value],"&gt;="&amp;$Z$2,SIP[Date Value],"&lt;="&amp;$Z$3))</f>
        <v>0</v>
      </c>
      <c r="N285" s="49">
        <f t="shared" si="24"/>
        <v>0</v>
      </c>
      <c r="O285" s="49">
        <f>(SUMIFS(LS[Realized Gain],LS[Investor ID],A285,LS[Date Value],"&gt;="&amp;$Z$2,LS[Date Value],"&lt;="&amp;$Z$3))+(SUMIFS(SIP[Realized Gain],SIP[Investor ID],A285,SIP[Date Value],"&gt;="&amp;$Z$2,SIP[Date Value],"&lt;="&amp;$Z$3))</f>
        <v>0</v>
      </c>
      <c r="P285" s="49">
        <v>0</v>
      </c>
      <c r="Q285" s="49">
        <v>0</v>
      </c>
      <c r="R285" s="49">
        <v>0</v>
      </c>
    </row>
    <row r="286" spans="1:18">
      <c r="A286" t="s">
        <v>620</v>
      </c>
      <c r="B286" s="47">
        <f>SUMIFS(LS[Unit],LS[Investor ID],'TAX CERTIFICATE'!A286,LS[Date Value],"&lt;"&amp;$Z$2)+SUMIFS(SIP[Unit],SIP[Investor ID],'TAX CERTIFICATE'!A286,SIP[Date Value],"&lt;"&amp;$Z$2)</f>
        <v>0</v>
      </c>
      <c r="C286" s="48">
        <f>(SUMIFS(LS[Amount],LS[B/S],"B",LS[Investor ID],A286,LS[Date Value],"&lt;"&amp;$Z$2)-SUMIFS(LS[Cost of Units Sold],LS[B/S],"S",LS[Investor ID],A286,LS[Date Value],"&lt;"&amp;$Z$2))+(SUMIFS(SIP[Amount],SIP[B/S],"B",SIP[Investor ID],#REF!,SIP[Date Value],"&lt;"&amp;$Z$2)-SUMIFS(SIP[Cost of Units Sold],SIP[B/S],"S",SIP[Investor ID],A286,SIP[Date Value],"&lt;"&amp;$Z$2))</f>
        <v>0</v>
      </c>
      <c r="D286" s="49">
        <f t="shared" si="20"/>
        <v>0</v>
      </c>
      <c r="E286" s="49">
        <f t="shared" si="21"/>
        <v>0</v>
      </c>
      <c r="F286" s="47">
        <f>SUMIFS(LS[Unit],LS[Investor ID],A286,LS[Date Value],"&lt;="&amp;$Z$3)+SUMIFS(SIP[Unit],SIP[Investor ID],A286,SIP[Date Value],"&lt;="&amp;$Z$3)</f>
        <v>0</v>
      </c>
      <c r="G286" s="49">
        <f>(SUMIFS(LS[Amount],LS[B/S],"B",LS[Investor ID],A286,LS[Date Value],"&lt;="&amp;$Z$3)-SUMIFS(LS[Cost of Units Sold],LS[B/S],"S",LS[Investor ID],A286,LS[Date Value],"&lt;="&amp;$Z$3))+(SUMIFS(SIP[Amount],SIP[B/S],"B",SIP[Investor ID],A286,SIP[Date Value],"&lt;="&amp;$Z$3)-SUMIFS(SIP[Cost of Units Sold],SIP[B/S],"S",SIP[Investor ID],A286,SIP[Date Value],"&lt;="&amp;$Z$3))</f>
        <v>0</v>
      </c>
      <c r="H286" s="49">
        <f t="shared" si="22"/>
        <v>0</v>
      </c>
      <c r="I286" s="49">
        <f t="shared" si="23"/>
        <v>0</v>
      </c>
      <c r="J286" s="47">
        <f>(SUMIFS(LS[Unit],LS[Investor ID],A286,LS[B/S],"B",LS[Date Value],"&gt;="&amp;$Z$2,LS[Date Value],"&lt;="&amp;$Z$3))+(SUMIFS(SIP[Unit],SIP[Investor ID],A286,SIP[B/S],"B",SIP[Date Value],"&gt;="&amp;$Z$2,SIP[Date Value],"&lt;="&amp;$Z$3))</f>
        <v>0</v>
      </c>
      <c r="K286" s="49">
        <f>(SUMIFS(LS[Amount],LS[Investor ID],A286,LS[B/S],"B",LS[Date Value],"&gt;="&amp;$Z$2,LS[Date Value],"&lt;="&amp;$Z$3))+(SUMIFS(SIP[Amount],SIP[Investor ID],A286,SIP[B/S],"B",SIP[Date Value],"&gt;="&amp;$Z$2,SIP[Date Value],"&lt;="&amp;$Z$3))</f>
        <v>0</v>
      </c>
      <c r="L286" s="47">
        <f>(-SUMIFS(LS[Unit],LS[Investor ID],A286,LS[B/S],"S",LS[Date Value],"&gt;="&amp;$Z$2,LS[Date Value],"&lt;="&amp;$Z$3))+(-SUMIFS(SIP[Unit],SIP[Investor ID],A286,SIP[B/S],"S",SIP[Date Value],"&gt;="&amp;$Z$2,SIP[Date Value],"&lt;="&amp;$Z$3))</f>
        <v>0</v>
      </c>
      <c r="M286" s="49">
        <f>(SUMIFS(LS[Cost of Units Sold],LS[Investor ID],A286,LS[B/S],"S",LS[Date Value],"&gt;="&amp;$Z$2,LS[Date Value],"&lt;="&amp;$Z$3))+(SUMIFS(SIP[Cost of Units Sold],SIP[Investor ID],A286,SIP[B/S],"S",SIP[Date Value],"&gt;="&amp;$Z$2,SIP[Date Value],"&lt;="&amp;$Z$3))</f>
        <v>0</v>
      </c>
      <c r="N286" s="49">
        <f t="shared" si="24"/>
        <v>0</v>
      </c>
      <c r="O286" s="49">
        <f>(SUMIFS(LS[Realized Gain],LS[Investor ID],A286,LS[Date Value],"&gt;="&amp;$Z$2,LS[Date Value],"&lt;="&amp;$Z$3))+(SUMIFS(SIP[Realized Gain],SIP[Investor ID],A286,SIP[Date Value],"&gt;="&amp;$Z$2,SIP[Date Value],"&lt;="&amp;$Z$3))</f>
        <v>0</v>
      </c>
      <c r="P286" s="49">
        <v>0</v>
      </c>
      <c r="Q286" s="49">
        <v>0</v>
      </c>
      <c r="R286" s="49">
        <v>0</v>
      </c>
    </row>
    <row r="287" spans="1:18">
      <c r="A287" t="s">
        <v>622</v>
      </c>
      <c r="B287" s="47">
        <f>SUMIFS(LS[Unit],LS[Investor ID],'TAX CERTIFICATE'!A287,LS[Date Value],"&lt;"&amp;$Z$2)+SUMIFS(SIP[Unit],SIP[Investor ID],'TAX CERTIFICATE'!A287,SIP[Date Value],"&lt;"&amp;$Z$2)</f>
        <v>0</v>
      </c>
      <c r="C287" s="48">
        <f>(SUMIFS(LS[Amount],LS[B/S],"B",LS[Investor ID],A287,LS[Date Value],"&lt;"&amp;$Z$2)-SUMIFS(LS[Cost of Units Sold],LS[B/S],"S",LS[Investor ID],A287,LS[Date Value],"&lt;"&amp;$Z$2))+(SUMIFS(SIP[Amount],SIP[B/S],"B",SIP[Investor ID],#REF!,SIP[Date Value],"&lt;"&amp;$Z$2)-SUMIFS(SIP[Cost of Units Sold],SIP[B/S],"S",SIP[Investor ID],A287,SIP[Date Value],"&lt;"&amp;$Z$2))</f>
        <v>0</v>
      </c>
      <c r="D287" s="49">
        <f t="shared" si="20"/>
        <v>0</v>
      </c>
      <c r="E287" s="49">
        <f t="shared" si="21"/>
        <v>0</v>
      </c>
      <c r="F287" s="47">
        <f>SUMIFS(LS[Unit],LS[Investor ID],A287,LS[Date Value],"&lt;="&amp;$Z$3)+SUMIFS(SIP[Unit],SIP[Investor ID],A287,SIP[Date Value],"&lt;="&amp;$Z$3)</f>
        <v>40719</v>
      </c>
      <c r="G287" s="49">
        <f>(SUMIFS(LS[Amount],LS[B/S],"B",LS[Investor ID],A287,LS[Date Value],"&lt;="&amp;$Z$3)-SUMIFS(LS[Cost of Units Sold],LS[B/S],"S",LS[Investor ID],A287,LS[Date Value],"&lt;="&amp;$Z$3))+(SUMIFS(SIP[Amount],SIP[B/S],"B",SIP[Investor ID],A287,SIP[Date Value],"&lt;="&amp;$Z$3)-SUMIFS(SIP[Cost of Units Sold],SIP[B/S],"S",SIP[Investor ID],A287,SIP[Date Value],"&lt;="&amp;$Z$3))</f>
        <v>444799.32</v>
      </c>
      <c r="H287" s="49">
        <f t="shared" si="22"/>
        <v>454586.91599999997</v>
      </c>
      <c r="I287" s="49">
        <f t="shared" si="23"/>
        <v>9787.5959999999614</v>
      </c>
      <c r="J287" s="47">
        <f>(SUMIFS(LS[Unit],LS[Investor ID],A287,LS[B/S],"B",LS[Date Value],"&gt;="&amp;$Z$2,LS[Date Value],"&lt;="&amp;$Z$3))+(SUMIFS(SIP[Unit],SIP[Investor ID],A287,SIP[B/S],"B",SIP[Date Value],"&gt;="&amp;$Z$2,SIP[Date Value],"&lt;="&amp;$Z$3))</f>
        <v>40719</v>
      </c>
      <c r="K287" s="49">
        <f>(SUMIFS(LS[Amount],LS[Investor ID],A287,LS[B/S],"B",LS[Date Value],"&gt;="&amp;$Z$2,LS[Date Value],"&lt;="&amp;$Z$3))+(SUMIFS(SIP[Amount],SIP[Investor ID],A287,SIP[B/S],"B",SIP[Date Value],"&gt;="&amp;$Z$2,SIP[Date Value],"&lt;="&amp;$Z$3))</f>
        <v>444799.32</v>
      </c>
      <c r="L287" s="47">
        <f>(-SUMIFS(LS[Unit],LS[Investor ID],A287,LS[B/S],"S",LS[Date Value],"&gt;="&amp;$Z$2,LS[Date Value],"&lt;="&amp;$Z$3))+(-SUMIFS(SIP[Unit],SIP[Investor ID],A287,SIP[B/S],"S",SIP[Date Value],"&gt;="&amp;$Z$2,SIP[Date Value],"&lt;="&amp;$Z$3))</f>
        <v>0</v>
      </c>
      <c r="M287" s="49">
        <f>(SUMIFS(LS[Cost of Units Sold],LS[Investor ID],A287,LS[B/S],"S",LS[Date Value],"&gt;="&amp;$Z$2,LS[Date Value],"&lt;="&amp;$Z$3))+(SUMIFS(SIP[Cost of Units Sold],SIP[Investor ID],A287,SIP[B/S],"S",SIP[Date Value],"&gt;="&amp;$Z$2,SIP[Date Value],"&lt;="&amp;$Z$3))</f>
        <v>0</v>
      </c>
      <c r="N287" s="49">
        <f t="shared" si="24"/>
        <v>444799.32</v>
      </c>
      <c r="O287" s="49">
        <f>(SUMIFS(LS[Realized Gain],LS[Investor ID],A287,LS[Date Value],"&gt;="&amp;$Z$2,LS[Date Value],"&lt;="&amp;$Z$3))+(SUMIFS(SIP[Realized Gain],SIP[Investor ID],A287,SIP[Date Value],"&gt;="&amp;$Z$2,SIP[Date Value],"&lt;="&amp;$Z$3))</f>
        <v>0</v>
      </c>
      <c r="P287" s="49">
        <v>0</v>
      </c>
      <c r="Q287" s="49">
        <v>0</v>
      </c>
      <c r="R287" s="49">
        <v>0</v>
      </c>
    </row>
    <row r="288" spans="1:18">
      <c r="A288" t="s">
        <v>624</v>
      </c>
      <c r="B288" s="47">
        <f>SUMIFS(LS[Unit],LS[Investor ID],'TAX CERTIFICATE'!A288,LS[Date Value],"&lt;"&amp;$Z$2)+SUMIFS(SIP[Unit],SIP[Investor ID],'TAX CERTIFICATE'!A288,SIP[Date Value],"&lt;"&amp;$Z$2)</f>
        <v>0</v>
      </c>
      <c r="C288" s="48">
        <f>(SUMIFS(LS[Amount],LS[B/S],"B",LS[Investor ID],A288,LS[Date Value],"&lt;"&amp;$Z$2)-SUMIFS(LS[Cost of Units Sold],LS[B/S],"S",LS[Investor ID],A288,LS[Date Value],"&lt;"&amp;$Z$2))+(SUMIFS(SIP[Amount],SIP[B/S],"B",SIP[Investor ID],#REF!,SIP[Date Value],"&lt;"&amp;$Z$2)-SUMIFS(SIP[Cost of Units Sold],SIP[B/S],"S",SIP[Investor ID],A288,SIP[Date Value],"&lt;"&amp;$Z$2))</f>
        <v>0</v>
      </c>
      <c r="D288" s="49">
        <f t="shared" si="20"/>
        <v>0</v>
      </c>
      <c r="E288" s="49">
        <f t="shared" si="21"/>
        <v>0</v>
      </c>
      <c r="F288" s="47">
        <f>SUMIFS(LS[Unit],LS[Investor ID],A288,LS[Date Value],"&lt;="&amp;$Z$3)+SUMIFS(SIP[Unit],SIP[Investor ID],A288,SIP[Date Value],"&lt;="&amp;$Z$3)</f>
        <v>0</v>
      </c>
      <c r="G288" s="49">
        <f>(SUMIFS(LS[Amount],LS[B/S],"B",LS[Investor ID],A288,LS[Date Value],"&lt;="&amp;$Z$3)-SUMIFS(LS[Cost of Units Sold],LS[B/S],"S",LS[Investor ID],A288,LS[Date Value],"&lt;="&amp;$Z$3))+(SUMIFS(SIP[Amount],SIP[B/S],"B",SIP[Investor ID],A288,SIP[Date Value],"&lt;="&amp;$Z$3)-SUMIFS(SIP[Cost of Units Sold],SIP[B/S],"S",SIP[Investor ID],A288,SIP[Date Value],"&lt;="&amp;$Z$3))</f>
        <v>0</v>
      </c>
      <c r="H288" s="49">
        <f t="shared" si="22"/>
        <v>0</v>
      </c>
      <c r="I288" s="49">
        <f t="shared" si="23"/>
        <v>0</v>
      </c>
      <c r="J288" s="47">
        <f>(SUMIFS(LS[Unit],LS[Investor ID],A288,LS[B/S],"B",LS[Date Value],"&gt;="&amp;$Z$2,LS[Date Value],"&lt;="&amp;$Z$3))+(SUMIFS(SIP[Unit],SIP[Investor ID],A288,SIP[B/S],"B",SIP[Date Value],"&gt;="&amp;$Z$2,SIP[Date Value],"&lt;="&amp;$Z$3))</f>
        <v>0</v>
      </c>
      <c r="K288" s="49">
        <f>(SUMIFS(LS[Amount],LS[Investor ID],A288,LS[B/S],"B",LS[Date Value],"&gt;="&amp;$Z$2,LS[Date Value],"&lt;="&amp;$Z$3))+(SUMIFS(SIP[Amount],SIP[Investor ID],A288,SIP[B/S],"B",SIP[Date Value],"&gt;="&amp;$Z$2,SIP[Date Value],"&lt;="&amp;$Z$3))</f>
        <v>0</v>
      </c>
      <c r="L288" s="47">
        <f>(-SUMIFS(LS[Unit],LS[Investor ID],A288,LS[B/S],"S",LS[Date Value],"&gt;="&amp;$Z$2,LS[Date Value],"&lt;="&amp;$Z$3))+(-SUMIFS(SIP[Unit],SIP[Investor ID],A288,SIP[B/S],"S",SIP[Date Value],"&gt;="&amp;$Z$2,SIP[Date Value],"&lt;="&amp;$Z$3))</f>
        <v>0</v>
      </c>
      <c r="M288" s="49">
        <f>(SUMIFS(LS[Cost of Units Sold],LS[Investor ID],A288,LS[B/S],"S",LS[Date Value],"&gt;="&amp;$Z$2,LS[Date Value],"&lt;="&amp;$Z$3))+(SUMIFS(SIP[Cost of Units Sold],SIP[Investor ID],A288,SIP[B/S],"S",SIP[Date Value],"&gt;="&amp;$Z$2,SIP[Date Value],"&lt;="&amp;$Z$3))</f>
        <v>0</v>
      </c>
      <c r="N288" s="49">
        <f t="shared" si="24"/>
        <v>0</v>
      </c>
      <c r="O288" s="49">
        <f>(SUMIFS(LS[Realized Gain],LS[Investor ID],A288,LS[Date Value],"&gt;="&amp;$Z$2,LS[Date Value],"&lt;="&amp;$Z$3))+(SUMIFS(SIP[Realized Gain],SIP[Investor ID],A288,SIP[Date Value],"&gt;="&amp;$Z$2,SIP[Date Value],"&lt;="&amp;$Z$3))</f>
        <v>0</v>
      </c>
      <c r="P288" s="49">
        <v>0</v>
      </c>
      <c r="Q288" s="49">
        <v>0</v>
      </c>
      <c r="R288" s="49">
        <v>0</v>
      </c>
    </row>
    <row r="289" spans="1:18">
      <c r="A289" t="s">
        <v>626</v>
      </c>
      <c r="B289" s="47">
        <f>SUMIFS(LS[Unit],LS[Investor ID],'TAX CERTIFICATE'!A289,LS[Date Value],"&lt;"&amp;$Z$2)+SUMIFS(SIP[Unit],SIP[Investor ID],'TAX CERTIFICATE'!A289,SIP[Date Value],"&lt;"&amp;$Z$2)</f>
        <v>0</v>
      </c>
      <c r="C289" s="48">
        <f>(SUMIFS(LS[Amount],LS[B/S],"B",LS[Investor ID],A289,LS[Date Value],"&lt;"&amp;$Z$2)-SUMIFS(LS[Cost of Units Sold],LS[B/S],"S",LS[Investor ID],A289,LS[Date Value],"&lt;"&amp;$Z$2))+(SUMIFS(SIP[Amount],SIP[B/S],"B",SIP[Investor ID],#REF!,SIP[Date Value],"&lt;"&amp;$Z$2)-SUMIFS(SIP[Cost of Units Sold],SIP[B/S],"S",SIP[Investor ID],A289,SIP[Date Value],"&lt;"&amp;$Z$2))</f>
        <v>0</v>
      </c>
      <c r="D289" s="49">
        <f t="shared" si="20"/>
        <v>0</v>
      </c>
      <c r="E289" s="49">
        <f t="shared" si="21"/>
        <v>0</v>
      </c>
      <c r="F289" s="47">
        <f>SUMIFS(LS[Unit],LS[Investor ID],A289,LS[Date Value],"&lt;="&amp;$Z$3)+SUMIFS(SIP[Unit],SIP[Investor ID],A289,SIP[Date Value],"&lt;="&amp;$Z$3)</f>
        <v>0</v>
      </c>
      <c r="G289" s="49">
        <f>(SUMIFS(LS[Amount],LS[B/S],"B",LS[Investor ID],A289,LS[Date Value],"&lt;="&amp;$Z$3)-SUMIFS(LS[Cost of Units Sold],LS[B/S],"S",LS[Investor ID],A289,LS[Date Value],"&lt;="&amp;$Z$3))+(SUMIFS(SIP[Amount],SIP[B/S],"B",SIP[Investor ID],A289,SIP[Date Value],"&lt;="&amp;$Z$3)-SUMIFS(SIP[Cost of Units Sold],SIP[B/S],"S",SIP[Investor ID],A289,SIP[Date Value],"&lt;="&amp;$Z$3))</f>
        <v>0</v>
      </c>
      <c r="H289" s="49">
        <f t="shared" si="22"/>
        <v>0</v>
      </c>
      <c r="I289" s="49">
        <f t="shared" si="23"/>
        <v>0</v>
      </c>
      <c r="J289" s="47">
        <f>(SUMIFS(LS[Unit],LS[Investor ID],A289,LS[B/S],"B",LS[Date Value],"&gt;="&amp;$Z$2,LS[Date Value],"&lt;="&amp;$Z$3))+(SUMIFS(SIP[Unit],SIP[Investor ID],A289,SIP[B/S],"B",SIP[Date Value],"&gt;="&amp;$Z$2,SIP[Date Value],"&lt;="&amp;$Z$3))</f>
        <v>0</v>
      </c>
      <c r="K289" s="49">
        <f>(SUMIFS(LS[Amount],LS[Investor ID],A289,LS[B/S],"B",LS[Date Value],"&gt;="&amp;$Z$2,LS[Date Value],"&lt;="&amp;$Z$3))+(SUMIFS(SIP[Amount],SIP[Investor ID],A289,SIP[B/S],"B",SIP[Date Value],"&gt;="&amp;$Z$2,SIP[Date Value],"&lt;="&amp;$Z$3))</f>
        <v>0</v>
      </c>
      <c r="L289" s="47">
        <f>(-SUMIFS(LS[Unit],LS[Investor ID],A289,LS[B/S],"S",LS[Date Value],"&gt;="&amp;$Z$2,LS[Date Value],"&lt;="&amp;$Z$3))+(-SUMIFS(SIP[Unit],SIP[Investor ID],A289,SIP[B/S],"S",SIP[Date Value],"&gt;="&amp;$Z$2,SIP[Date Value],"&lt;="&amp;$Z$3))</f>
        <v>0</v>
      </c>
      <c r="M289" s="49">
        <f>(SUMIFS(LS[Cost of Units Sold],LS[Investor ID],A289,LS[B/S],"S",LS[Date Value],"&gt;="&amp;$Z$2,LS[Date Value],"&lt;="&amp;$Z$3))+(SUMIFS(SIP[Cost of Units Sold],SIP[Investor ID],A289,SIP[B/S],"S",SIP[Date Value],"&gt;="&amp;$Z$2,SIP[Date Value],"&lt;="&amp;$Z$3))</f>
        <v>0</v>
      </c>
      <c r="N289" s="49">
        <f t="shared" si="24"/>
        <v>0</v>
      </c>
      <c r="O289" s="49">
        <f>(SUMIFS(LS[Realized Gain],LS[Investor ID],A289,LS[Date Value],"&gt;="&amp;$Z$2,LS[Date Value],"&lt;="&amp;$Z$3))+(SUMIFS(SIP[Realized Gain],SIP[Investor ID],A289,SIP[Date Value],"&gt;="&amp;$Z$2,SIP[Date Value],"&lt;="&amp;$Z$3))</f>
        <v>0</v>
      </c>
      <c r="P289" s="49">
        <v>0</v>
      </c>
      <c r="Q289" s="49">
        <v>0</v>
      </c>
      <c r="R289" s="49">
        <v>0</v>
      </c>
    </row>
    <row r="290" spans="1:18">
      <c r="A290" t="s">
        <v>628</v>
      </c>
      <c r="B290" s="47">
        <f>SUMIFS(LS[Unit],LS[Investor ID],'TAX CERTIFICATE'!A290,LS[Date Value],"&lt;"&amp;$Z$2)+SUMIFS(SIP[Unit],SIP[Investor ID],'TAX CERTIFICATE'!A290,SIP[Date Value],"&lt;"&amp;$Z$2)</f>
        <v>19505</v>
      </c>
      <c r="C290" s="48">
        <f>(SUMIFS(LS[Amount],LS[B/S],"B",LS[Investor ID],A290,LS[Date Value],"&lt;"&amp;$Z$2)-SUMIFS(LS[Cost of Units Sold],LS[B/S],"S",LS[Investor ID],A290,LS[Date Value],"&lt;"&amp;$Z$2))+(SUMIFS(SIP[Amount],SIP[B/S],"B",SIP[Investor ID],#REF!,SIP[Date Value],"&lt;"&amp;$Z$2)-SUMIFS(SIP[Cost of Units Sold],SIP[B/S],"S",SIP[Investor ID],A290,SIP[Date Value],"&lt;"&amp;$Z$2))</f>
        <v>200000</v>
      </c>
      <c r="D290" s="49">
        <f t="shared" si="20"/>
        <v>200335.85500000001</v>
      </c>
      <c r="E290" s="49">
        <f t="shared" si="21"/>
        <v>335.85500000001048</v>
      </c>
      <c r="F290" s="47">
        <f>SUMIFS(LS[Unit],LS[Investor ID],A290,LS[Date Value],"&lt;="&amp;$Z$3)+SUMIFS(SIP[Unit],SIP[Investor ID],A290,SIP[Date Value],"&lt;="&amp;$Z$3)</f>
        <v>19505</v>
      </c>
      <c r="G290" s="49">
        <f>(SUMIFS(LS[Amount],LS[B/S],"B",LS[Investor ID],A290,LS[Date Value],"&lt;="&amp;$Z$3)-SUMIFS(LS[Cost of Units Sold],LS[B/S],"S",LS[Investor ID],A290,LS[Date Value],"&lt;="&amp;$Z$3))+(SUMIFS(SIP[Amount],SIP[B/S],"B",SIP[Investor ID],A290,SIP[Date Value],"&lt;="&amp;$Z$3)-SUMIFS(SIP[Cost of Units Sold],SIP[B/S],"S",SIP[Investor ID],A290,SIP[Date Value],"&lt;="&amp;$Z$3))</f>
        <v>200000</v>
      </c>
      <c r="H290" s="49">
        <f t="shared" si="22"/>
        <v>217753.82</v>
      </c>
      <c r="I290" s="49">
        <f t="shared" si="23"/>
        <v>17753.820000000007</v>
      </c>
      <c r="J290" s="47">
        <f>(SUMIFS(LS[Unit],LS[Investor ID],A290,LS[B/S],"B",LS[Date Value],"&gt;="&amp;$Z$2,LS[Date Value],"&lt;="&amp;$Z$3))+(SUMIFS(SIP[Unit],SIP[Investor ID],A290,SIP[B/S],"B",SIP[Date Value],"&gt;="&amp;$Z$2,SIP[Date Value],"&lt;="&amp;$Z$3))</f>
        <v>0</v>
      </c>
      <c r="K290" s="49">
        <f>(SUMIFS(LS[Amount],LS[Investor ID],A290,LS[B/S],"B",LS[Date Value],"&gt;="&amp;$Z$2,LS[Date Value],"&lt;="&amp;$Z$3))+(SUMIFS(SIP[Amount],SIP[Investor ID],A290,SIP[B/S],"B",SIP[Date Value],"&gt;="&amp;$Z$2,SIP[Date Value],"&lt;="&amp;$Z$3))</f>
        <v>0</v>
      </c>
      <c r="L290" s="47">
        <f>(-SUMIFS(LS[Unit],LS[Investor ID],A290,LS[B/S],"S",LS[Date Value],"&gt;="&amp;$Z$2,LS[Date Value],"&lt;="&amp;$Z$3))+(-SUMIFS(SIP[Unit],SIP[Investor ID],A290,SIP[B/S],"S",SIP[Date Value],"&gt;="&amp;$Z$2,SIP[Date Value],"&lt;="&amp;$Z$3))</f>
        <v>0</v>
      </c>
      <c r="M290" s="49">
        <f>(SUMIFS(LS[Cost of Units Sold],LS[Investor ID],A290,LS[B/S],"S",LS[Date Value],"&gt;="&amp;$Z$2,LS[Date Value],"&lt;="&amp;$Z$3))+(SUMIFS(SIP[Cost of Units Sold],SIP[Investor ID],A290,SIP[B/S],"S",SIP[Date Value],"&gt;="&amp;$Z$2,SIP[Date Value],"&lt;="&amp;$Z$3))</f>
        <v>0</v>
      </c>
      <c r="N290" s="49">
        <f t="shared" si="24"/>
        <v>0</v>
      </c>
      <c r="O290" s="49">
        <f>(SUMIFS(LS[Realized Gain],LS[Investor ID],A290,LS[Date Value],"&gt;="&amp;$Z$2,LS[Date Value],"&lt;="&amp;$Z$3))+(SUMIFS(SIP[Realized Gain],SIP[Investor ID],A290,SIP[Date Value],"&gt;="&amp;$Z$2,SIP[Date Value],"&lt;="&amp;$Z$3))</f>
        <v>0</v>
      </c>
      <c r="P290" s="49">
        <v>0</v>
      </c>
      <c r="Q290" s="49">
        <v>0</v>
      </c>
      <c r="R290" s="49">
        <v>0</v>
      </c>
    </row>
    <row r="291" spans="1:18">
      <c r="A291" t="s">
        <v>630</v>
      </c>
      <c r="B291" s="47">
        <f>SUMIFS(LS[Unit],LS[Investor ID],'TAX CERTIFICATE'!A291,LS[Date Value],"&lt;"&amp;$Z$2)+SUMIFS(SIP[Unit],SIP[Investor ID],'TAX CERTIFICATE'!A291,SIP[Date Value],"&lt;"&amp;$Z$2)</f>
        <v>0</v>
      </c>
      <c r="C291" s="48">
        <f>(SUMIFS(LS[Amount],LS[B/S],"B",LS[Investor ID],A291,LS[Date Value],"&lt;"&amp;$Z$2)-SUMIFS(LS[Cost of Units Sold],LS[B/S],"S",LS[Investor ID],A291,LS[Date Value],"&lt;"&amp;$Z$2))+(SUMIFS(SIP[Amount],SIP[B/S],"B",SIP[Investor ID],#REF!,SIP[Date Value],"&lt;"&amp;$Z$2)-SUMIFS(SIP[Cost of Units Sold],SIP[B/S],"S",SIP[Investor ID],A291,SIP[Date Value],"&lt;"&amp;$Z$2))</f>
        <v>0</v>
      </c>
      <c r="D291" s="49">
        <f t="shared" si="20"/>
        <v>0</v>
      </c>
      <c r="E291" s="49">
        <f t="shared" si="21"/>
        <v>0</v>
      </c>
      <c r="F291" s="47">
        <f>SUMIFS(LS[Unit],LS[Investor ID],A291,LS[Date Value],"&lt;="&amp;$Z$3)+SUMIFS(SIP[Unit],SIP[Investor ID],A291,SIP[Date Value],"&lt;="&amp;$Z$3)</f>
        <v>0</v>
      </c>
      <c r="G291" s="49">
        <f>(SUMIFS(LS[Amount],LS[B/S],"B",LS[Investor ID],A291,LS[Date Value],"&lt;="&amp;$Z$3)-SUMIFS(LS[Cost of Units Sold],LS[B/S],"S",LS[Investor ID],A291,LS[Date Value],"&lt;="&amp;$Z$3))+(SUMIFS(SIP[Amount],SIP[B/S],"B",SIP[Investor ID],A291,SIP[Date Value],"&lt;="&amp;$Z$3)-SUMIFS(SIP[Cost of Units Sold],SIP[B/S],"S",SIP[Investor ID],A291,SIP[Date Value],"&lt;="&amp;$Z$3))</f>
        <v>0</v>
      </c>
      <c r="H291" s="49">
        <f t="shared" si="22"/>
        <v>0</v>
      </c>
      <c r="I291" s="49">
        <f t="shared" si="23"/>
        <v>0</v>
      </c>
      <c r="J291" s="47">
        <f>(SUMIFS(LS[Unit],LS[Investor ID],A291,LS[B/S],"B",LS[Date Value],"&gt;="&amp;$Z$2,LS[Date Value],"&lt;="&amp;$Z$3))+(SUMIFS(SIP[Unit],SIP[Investor ID],A291,SIP[B/S],"B",SIP[Date Value],"&gt;="&amp;$Z$2,SIP[Date Value],"&lt;="&amp;$Z$3))</f>
        <v>0</v>
      </c>
      <c r="K291" s="49">
        <f>(SUMIFS(LS[Amount],LS[Investor ID],A291,LS[B/S],"B",LS[Date Value],"&gt;="&amp;$Z$2,LS[Date Value],"&lt;="&amp;$Z$3))+(SUMIFS(SIP[Amount],SIP[Investor ID],A291,SIP[B/S],"B",SIP[Date Value],"&gt;="&amp;$Z$2,SIP[Date Value],"&lt;="&amp;$Z$3))</f>
        <v>0</v>
      </c>
      <c r="L291" s="47">
        <f>(-SUMIFS(LS[Unit],LS[Investor ID],A291,LS[B/S],"S",LS[Date Value],"&gt;="&amp;$Z$2,LS[Date Value],"&lt;="&amp;$Z$3))+(-SUMIFS(SIP[Unit],SIP[Investor ID],A291,SIP[B/S],"S",SIP[Date Value],"&gt;="&amp;$Z$2,SIP[Date Value],"&lt;="&amp;$Z$3))</f>
        <v>0</v>
      </c>
      <c r="M291" s="49">
        <f>(SUMIFS(LS[Cost of Units Sold],LS[Investor ID],A291,LS[B/S],"S",LS[Date Value],"&gt;="&amp;$Z$2,LS[Date Value],"&lt;="&amp;$Z$3))+(SUMIFS(SIP[Cost of Units Sold],SIP[Investor ID],A291,SIP[B/S],"S",SIP[Date Value],"&gt;="&amp;$Z$2,SIP[Date Value],"&lt;="&amp;$Z$3))</f>
        <v>0</v>
      </c>
      <c r="N291" s="49">
        <f t="shared" si="24"/>
        <v>0</v>
      </c>
      <c r="O291" s="49">
        <f>(SUMIFS(LS[Realized Gain],LS[Investor ID],A291,LS[Date Value],"&gt;="&amp;$Z$2,LS[Date Value],"&lt;="&amp;$Z$3))+(SUMIFS(SIP[Realized Gain],SIP[Investor ID],A291,SIP[Date Value],"&gt;="&amp;$Z$2,SIP[Date Value],"&lt;="&amp;$Z$3))</f>
        <v>0</v>
      </c>
      <c r="P291" s="49">
        <v>0</v>
      </c>
      <c r="Q291" s="49">
        <v>0</v>
      </c>
      <c r="R291" s="49">
        <v>0</v>
      </c>
    </row>
    <row r="292" spans="1:18">
      <c r="A292" t="s">
        <v>632</v>
      </c>
      <c r="B292" s="47">
        <f>SUMIFS(LS[Unit],LS[Investor ID],'TAX CERTIFICATE'!A292,LS[Date Value],"&lt;"&amp;$Z$2)+SUMIFS(SIP[Unit],SIP[Investor ID],'TAX CERTIFICATE'!A292,SIP[Date Value],"&lt;"&amp;$Z$2)</f>
        <v>78888</v>
      </c>
      <c r="C292" s="48">
        <f>(SUMIFS(LS[Amount],LS[B/S],"B",LS[Investor ID],A292,LS[Date Value],"&lt;"&amp;$Z$2)-SUMIFS(LS[Cost of Units Sold],LS[B/S],"S",LS[Investor ID],A292,LS[Date Value],"&lt;"&amp;$Z$2))+(SUMIFS(SIP[Amount],SIP[B/S],"B",SIP[Investor ID],#REF!,SIP[Date Value],"&lt;"&amp;$Z$2)-SUMIFS(SIP[Cost of Units Sold],SIP[B/S],"S",SIP[Investor ID],A292,SIP[Date Value],"&lt;"&amp;$Z$2))</f>
        <v>800000</v>
      </c>
      <c r="D292" s="49">
        <f t="shared" si="20"/>
        <v>810258.64800000004</v>
      </c>
      <c r="E292" s="49">
        <f t="shared" si="21"/>
        <v>10258.648000000045</v>
      </c>
      <c r="F292" s="47">
        <f>SUMIFS(LS[Unit],LS[Investor ID],A292,LS[Date Value],"&lt;="&amp;$Z$3)+SUMIFS(SIP[Unit],SIP[Investor ID],A292,SIP[Date Value],"&lt;="&amp;$Z$3)</f>
        <v>32350</v>
      </c>
      <c r="G292" s="49">
        <f>(SUMIFS(LS[Amount],LS[B/S],"B",LS[Investor ID],A292,LS[Date Value],"&lt;="&amp;$Z$3)-SUMIFS(LS[Cost of Units Sold],LS[B/S],"S",LS[Investor ID],A292,LS[Date Value],"&lt;="&amp;$Z$3))+(SUMIFS(SIP[Amount],SIP[B/S],"B",SIP[Investor ID],A292,SIP[Date Value],"&lt;="&amp;$Z$3)-SUMIFS(SIP[Cost of Units Sold],SIP[B/S],"S",SIP[Investor ID],A292,SIP[Date Value],"&lt;="&amp;$Z$3))</f>
        <v>328060.03447926173</v>
      </c>
      <c r="H292" s="49">
        <f t="shared" si="22"/>
        <v>361155.39999999997</v>
      </c>
      <c r="I292" s="49">
        <f t="shared" si="23"/>
        <v>33095.36552073824</v>
      </c>
      <c r="J292" s="47">
        <f>(SUMIFS(LS[Unit],LS[Investor ID],A292,LS[B/S],"B",LS[Date Value],"&gt;="&amp;$Z$2,LS[Date Value],"&lt;="&amp;$Z$3))+(SUMIFS(SIP[Unit],SIP[Investor ID],A292,SIP[B/S],"B",SIP[Date Value],"&gt;="&amp;$Z$2,SIP[Date Value],"&lt;="&amp;$Z$3))</f>
        <v>0</v>
      </c>
      <c r="K292" s="49">
        <f>(SUMIFS(LS[Amount],LS[Investor ID],A292,LS[B/S],"B",LS[Date Value],"&gt;="&amp;$Z$2,LS[Date Value],"&lt;="&amp;$Z$3))+(SUMIFS(SIP[Amount],SIP[Investor ID],A292,SIP[B/S],"B",SIP[Date Value],"&gt;="&amp;$Z$2,SIP[Date Value],"&lt;="&amp;$Z$3))</f>
        <v>0</v>
      </c>
      <c r="L292" s="47">
        <f>(-SUMIFS(LS[Unit],LS[Investor ID],A292,LS[B/S],"S",LS[Date Value],"&gt;="&amp;$Z$2,LS[Date Value],"&lt;="&amp;$Z$3))+(-SUMIFS(SIP[Unit],SIP[Investor ID],A292,SIP[B/S],"S",SIP[Date Value],"&gt;="&amp;$Z$2,SIP[Date Value],"&lt;="&amp;$Z$3))</f>
        <v>46538</v>
      </c>
      <c r="M292" s="49">
        <f>(SUMIFS(LS[Cost of Units Sold],LS[Investor ID],A292,LS[B/S],"S",LS[Date Value],"&gt;="&amp;$Z$2,LS[Date Value],"&lt;="&amp;$Z$3))+(SUMIFS(SIP[Cost of Units Sold],SIP[Investor ID],A292,SIP[B/S],"S",SIP[Date Value],"&gt;="&amp;$Z$2,SIP[Date Value],"&lt;="&amp;$Z$3))</f>
        <v>471939.96552073827</v>
      </c>
      <c r="N292" s="49">
        <f t="shared" si="24"/>
        <v>-471939.96552073827</v>
      </c>
      <c r="O292" s="49">
        <f>(SUMIFS(LS[Realized Gain],LS[Investor ID],A292,LS[Date Value],"&gt;="&amp;$Z$2,LS[Date Value],"&lt;="&amp;$Z$3))+(SUMIFS(SIP[Realized Gain],SIP[Investor ID],A292,SIP[Date Value],"&gt;="&amp;$Z$2,SIP[Date Value],"&lt;="&amp;$Z$3))</f>
        <v>28060.034479261707</v>
      </c>
      <c r="P292" s="49">
        <v>0</v>
      </c>
      <c r="Q292" s="49">
        <v>0</v>
      </c>
      <c r="R292" s="49">
        <v>0</v>
      </c>
    </row>
    <row r="293" spans="1:18">
      <c r="A293" t="s">
        <v>634</v>
      </c>
      <c r="B293" s="47">
        <f>SUMIFS(LS[Unit],LS[Investor ID],'TAX CERTIFICATE'!A293,LS[Date Value],"&lt;"&amp;$Z$2)+SUMIFS(SIP[Unit],SIP[Investor ID],'TAX CERTIFICATE'!A293,SIP[Date Value],"&lt;"&amp;$Z$2)</f>
        <v>0</v>
      </c>
      <c r="C293" s="48">
        <f>(SUMIFS(LS[Amount],LS[B/S],"B",LS[Investor ID],A293,LS[Date Value],"&lt;"&amp;$Z$2)-SUMIFS(LS[Cost of Units Sold],LS[B/S],"S",LS[Investor ID],A293,LS[Date Value],"&lt;"&amp;$Z$2))+(SUMIFS(SIP[Amount],SIP[B/S],"B",SIP[Investor ID],#REF!,SIP[Date Value],"&lt;"&amp;$Z$2)-SUMIFS(SIP[Cost of Units Sold],SIP[B/S],"S",SIP[Investor ID],A293,SIP[Date Value],"&lt;"&amp;$Z$2))</f>
        <v>0</v>
      </c>
      <c r="D293" s="49">
        <f t="shared" si="20"/>
        <v>0</v>
      </c>
      <c r="E293" s="49">
        <f t="shared" si="21"/>
        <v>0</v>
      </c>
      <c r="F293" s="47">
        <f>SUMIFS(LS[Unit],LS[Investor ID],A293,LS[Date Value],"&lt;="&amp;$Z$3)+SUMIFS(SIP[Unit],SIP[Investor ID],A293,SIP[Date Value],"&lt;="&amp;$Z$3)</f>
        <v>0</v>
      </c>
      <c r="G293" s="49">
        <f>(SUMIFS(LS[Amount],LS[B/S],"B",LS[Investor ID],A293,LS[Date Value],"&lt;="&amp;$Z$3)-SUMIFS(LS[Cost of Units Sold],LS[B/S],"S",LS[Investor ID],A293,LS[Date Value],"&lt;="&amp;$Z$3))+(SUMIFS(SIP[Amount],SIP[B/S],"B",SIP[Investor ID],A293,SIP[Date Value],"&lt;="&amp;$Z$3)-SUMIFS(SIP[Cost of Units Sold],SIP[B/S],"S",SIP[Investor ID],A293,SIP[Date Value],"&lt;="&amp;$Z$3))</f>
        <v>0</v>
      </c>
      <c r="H293" s="49">
        <f t="shared" si="22"/>
        <v>0</v>
      </c>
      <c r="I293" s="49">
        <f t="shared" si="23"/>
        <v>0</v>
      </c>
      <c r="J293" s="47">
        <f>(SUMIFS(LS[Unit],LS[Investor ID],A293,LS[B/S],"B",LS[Date Value],"&gt;="&amp;$Z$2,LS[Date Value],"&lt;="&amp;$Z$3))+(SUMIFS(SIP[Unit],SIP[Investor ID],A293,SIP[B/S],"B",SIP[Date Value],"&gt;="&amp;$Z$2,SIP[Date Value],"&lt;="&amp;$Z$3))</f>
        <v>0</v>
      </c>
      <c r="K293" s="49">
        <f>(SUMIFS(LS[Amount],LS[Investor ID],A293,LS[B/S],"B",LS[Date Value],"&gt;="&amp;$Z$2,LS[Date Value],"&lt;="&amp;$Z$3))+(SUMIFS(SIP[Amount],SIP[Investor ID],A293,SIP[B/S],"B",SIP[Date Value],"&gt;="&amp;$Z$2,SIP[Date Value],"&lt;="&amp;$Z$3))</f>
        <v>0</v>
      </c>
      <c r="L293" s="47">
        <f>(-SUMIFS(LS[Unit],LS[Investor ID],A293,LS[B/S],"S",LS[Date Value],"&gt;="&amp;$Z$2,LS[Date Value],"&lt;="&amp;$Z$3))+(-SUMIFS(SIP[Unit],SIP[Investor ID],A293,SIP[B/S],"S",SIP[Date Value],"&gt;="&amp;$Z$2,SIP[Date Value],"&lt;="&amp;$Z$3))</f>
        <v>0</v>
      </c>
      <c r="M293" s="49">
        <f>(SUMIFS(LS[Cost of Units Sold],LS[Investor ID],A293,LS[B/S],"S",LS[Date Value],"&gt;="&amp;$Z$2,LS[Date Value],"&lt;="&amp;$Z$3))+(SUMIFS(SIP[Cost of Units Sold],SIP[Investor ID],A293,SIP[B/S],"S",SIP[Date Value],"&gt;="&amp;$Z$2,SIP[Date Value],"&lt;="&amp;$Z$3))</f>
        <v>0</v>
      </c>
      <c r="N293" s="49">
        <f t="shared" si="24"/>
        <v>0</v>
      </c>
      <c r="O293" s="49">
        <f>(SUMIFS(LS[Realized Gain],LS[Investor ID],A293,LS[Date Value],"&gt;="&amp;$Z$2,LS[Date Value],"&lt;="&amp;$Z$3))+(SUMIFS(SIP[Realized Gain],SIP[Investor ID],A293,SIP[Date Value],"&gt;="&amp;$Z$2,SIP[Date Value],"&lt;="&amp;$Z$3))</f>
        <v>0</v>
      </c>
      <c r="P293" s="49">
        <v>0</v>
      </c>
      <c r="Q293" s="49">
        <v>0</v>
      </c>
      <c r="R293" s="49">
        <v>0</v>
      </c>
    </row>
    <row r="294" spans="1:18">
      <c r="A294" t="s">
        <v>636</v>
      </c>
      <c r="B294" s="47">
        <f>SUMIFS(LS[Unit],LS[Investor ID],'TAX CERTIFICATE'!A294,LS[Date Value],"&lt;"&amp;$Z$2)+SUMIFS(SIP[Unit],SIP[Investor ID],'TAX CERTIFICATE'!A294,SIP[Date Value],"&lt;"&amp;$Z$2)</f>
        <v>39256</v>
      </c>
      <c r="C294" s="48">
        <f>(SUMIFS(LS[Amount],LS[B/S],"B",LS[Investor ID],A294,LS[Date Value],"&lt;"&amp;$Z$2)-SUMIFS(LS[Cost of Units Sold],LS[B/S],"S",LS[Investor ID],A294,LS[Date Value],"&lt;"&amp;$Z$2))+(SUMIFS(SIP[Amount],SIP[B/S],"B",SIP[Investor ID],#REF!,SIP[Date Value],"&lt;"&amp;$Z$2)-SUMIFS(SIP[Cost of Units Sold],SIP[B/S],"S",SIP[Investor ID],A294,SIP[Date Value],"&lt;"&amp;$Z$2))</f>
        <v>400000</v>
      </c>
      <c r="D294" s="49">
        <f t="shared" si="20"/>
        <v>403198.37600000005</v>
      </c>
      <c r="E294" s="49">
        <f t="shared" si="21"/>
        <v>3198.3760000000475</v>
      </c>
      <c r="F294" s="47">
        <f>SUMIFS(LS[Unit],LS[Investor ID],A294,LS[Date Value],"&lt;="&amp;$Z$3)+SUMIFS(SIP[Unit],SIP[Investor ID],A294,SIP[Date Value],"&lt;="&amp;$Z$3)</f>
        <v>77058</v>
      </c>
      <c r="G294" s="49">
        <f>(SUMIFS(LS[Amount],LS[B/S],"B",LS[Investor ID],A294,LS[Date Value],"&lt;="&amp;$Z$3)-SUMIFS(LS[Cost of Units Sold],LS[B/S],"S",LS[Investor ID],A294,LS[Date Value],"&lt;="&amp;$Z$3))+(SUMIFS(SIP[Amount],SIP[B/S],"B",SIP[Investor ID],A294,SIP[Date Value],"&lt;="&amp;$Z$3)-SUMIFS(SIP[Cost of Units Sold],SIP[B/S],"S",SIP[Investor ID],A294,SIP[Date Value],"&lt;="&amp;$Z$3))</f>
        <v>810000</v>
      </c>
      <c r="H294" s="49">
        <f t="shared" si="22"/>
        <v>860275.51199999999</v>
      </c>
      <c r="I294" s="49">
        <f t="shared" si="23"/>
        <v>50275.511999999988</v>
      </c>
      <c r="J294" s="47">
        <f>(SUMIFS(LS[Unit],LS[Investor ID],A294,LS[B/S],"B",LS[Date Value],"&gt;="&amp;$Z$2,LS[Date Value],"&lt;="&amp;$Z$3))+(SUMIFS(SIP[Unit],SIP[Investor ID],A294,SIP[B/S],"B",SIP[Date Value],"&gt;="&amp;$Z$2,SIP[Date Value],"&lt;="&amp;$Z$3))</f>
        <v>37802</v>
      </c>
      <c r="K294" s="49">
        <f>(SUMIFS(LS[Amount],LS[Investor ID],A294,LS[B/S],"B",LS[Date Value],"&gt;="&amp;$Z$2,LS[Date Value],"&lt;="&amp;$Z$3))+(SUMIFS(SIP[Amount],SIP[Investor ID],A294,SIP[B/S],"B",SIP[Date Value],"&gt;="&amp;$Z$2,SIP[Date Value],"&lt;="&amp;$Z$3))</f>
        <v>410000</v>
      </c>
      <c r="L294" s="47">
        <f>(-SUMIFS(LS[Unit],LS[Investor ID],A294,LS[B/S],"S",LS[Date Value],"&gt;="&amp;$Z$2,LS[Date Value],"&lt;="&amp;$Z$3))+(-SUMIFS(SIP[Unit],SIP[Investor ID],A294,SIP[B/S],"S",SIP[Date Value],"&gt;="&amp;$Z$2,SIP[Date Value],"&lt;="&amp;$Z$3))</f>
        <v>0</v>
      </c>
      <c r="M294" s="49">
        <f>(SUMIFS(LS[Cost of Units Sold],LS[Investor ID],A294,LS[B/S],"S",LS[Date Value],"&gt;="&amp;$Z$2,LS[Date Value],"&lt;="&amp;$Z$3))+(SUMIFS(SIP[Cost of Units Sold],SIP[Investor ID],A294,SIP[B/S],"S",SIP[Date Value],"&gt;="&amp;$Z$2,SIP[Date Value],"&lt;="&amp;$Z$3))</f>
        <v>0</v>
      </c>
      <c r="N294" s="49">
        <f t="shared" si="24"/>
        <v>410000</v>
      </c>
      <c r="O294" s="49">
        <f>(SUMIFS(LS[Realized Gain],LS[Investor ID],A294,LS[Date Value],"&gt;="&amp;$Z$2,LS[Date Value],"&lt;="&amp;$Z$3))+(SUMIFS(SIP[Realized Gain],SIP[Investor ID],A294,SIP[Date Value],"&gt;="&amp;$Z$2,SIP[Date Value],"&lt;="&amp;$Z$3))</f>
        <v>0</v>
      </c>
      <c r="P294" s="49">
        <v>0</v>
      </c>
      <c r="Q294" s="49">
        <v>0</v>
      </c>
      <c r="R294" s="49">
        <v>0</v>
      </c>
    </row>
    <row r="295" spans="1:18">
      <c r="A295" t="s">
        <v>638</v>
      </c>
      <c r="B295" s="47">
        <f>SUMIFS(LS[Unit],LS[Investor ID],'TAX CERTIFICATE'!A295,LS[Date Value],"&lt;"&amp;$Z$2)+SUMIFS(SIP[Unit],SIP[Investor ID],'TAX CERTIFICATE'!A295,SIP[Date Value],"&lt;"&amp;$Z$2)</f>
        <v>0</v>
      </c>
      <c r="C295" s="48">
        <f>(SUMIFS(LS[Amount],LS[B/S],"B",LS[Investor ID],A295,LS[Date Value],"&lt;"&amp;$Z$2)-SUMIFS(LS[Cost of Units Sold],LS[B/S],"S",LS[Investor ID],A295,LS[Date Value],"&lt;"&amp;$Z$2))+(SUMIFS(SIP[Amount],SIP[B/S],"B",SIP[Investor ID],#REF!,SIP[Date Value],"&lt;"&amp;$Z$2)-SUMIFS(SIP[Cost of Units Sold],SIP[B/S],"S",SIP[Investor ID],A295,SIP[Date Value],"&lt;"&amp;$Z$2))</f>
        <v>0</v>
      </c>
      <c r="D295" s="49">
        <f t="shared" si="20"/>
        <v>0</v>
      </c>
      <c r="E295" s="49">
        <f t="shared" si="21"/>
        <v>0</v>
      </c>
      <c r="F295" s="47">
        <f>SUMIFS(LS[Unit],LS[Investor ID],A295,LS[Date Value],"&lt;="&amp;$Z$3)+SUMIFS(SIP[Unit],SIP[Investor ID],A295,SIP[Date Value],"&lt;="&amp;$Z$3)</f>
        <v>0</v>
      </c>
      <c r="G295" s="49">
        <f>(SUMIFS(LS[Amount],LS[B/S],"B",LS[Investor ID],A295,LS[Date Value],"&lt;="&amp;$Z$3)-SUMIFS(LS[Cost of Units Sold],LS[B/S],"S",LS[Investor ID],A295,LS[Date Value],"&lt;="&amp;$Z$3))+(SUMIFS(SIP[Amount],SIP[B/S],"B",SIP[Investor ID],A295,SIP[Date Value],"&lt;="&amp;$Z$3)-SUMIFS(SIP[Cost of Units Sold],SIP[B/S],"S",SIP[Investor ID],A295,SIP[Date Value],"&lt;="&amp;$Z$3))</f>
        <v>0</v>
      </c>
      <c r="H295" s="49">
        <f t="shared" si="22"/>
        <v>0</v>
      </c>
      <c r="I295" s="49">
        <f t="shared" si="23"/>
        <v>0</v>
      </c>
      <c r="J295" s="47">
        <f>(SUMIFS(LS[Unit],LS[Investor ID],A295,LS[B/S],"B",LS[Date Value],"&gt;="&amp;$Z$2,LS[Date Value],"&lt;="&amp;$Z$3))+(SUMIFS(SIP[Unit],SIP[Investor ID],A295,SIP[B/S],"B",SIP[Date Value],"&gt;="&amp;$Z$2,SIP[Date Value],"&lt;="&amp;$Z$3))</f>
        <v>0</v>
      </c>
      <c r="K295" s="49">
        <f>(SUMIFS(LS[Amount],LS[Investor ID],A295,LS[B/S],"B",LS[Date Value],"&gt;="&amp;$Z$2,LS[Date Value],"&lt;="&amp;$Z$3))+(SUMIFS(SIP[Amount],SIP[Investor ID],A295,SIP[B/S],"B",SIP[Date Value],"&gt;="&amp;$Z$2,SIP[Date Value],"&lt;="&amp;$Z$3))</f>
        <v>0</v>
      </c>
      <c r="L295" s="47">
        <f>(-SUMIFS(LS[Unit],LS[Investor ID],A295,LS[B/S],"S",LS[Date Value],"&gt;="&amp;$Z$2,LS[Date Value],"&lt;="&amp;$Z$3))+(-SUMIFS(SIP[Unit],SIP[Investor ID],A295,SIP[B/S],"S",SIP[Date Value],"&gt;="&amp;$Z$2,SIP[Date Value],"&lt;="&amp;$Z$3))</f>
        <v>0</v>
      </c>
      <c r="M295" s="49">
        <f>(SUMIFS(LS[Cost of Units Sold],LS[Investor ID],A295,LS[B/S],"S",LS[Date Value],"&gt;="&amp;$Z$2,LS[Date Value],"&lt;="&amp;$Z$3))+(SUMIFS(SIP[Cost of Units Sold],SIP[Investor ID],A295,SIP[B/S],"S",SIP[Date Value],"&gt;="&amp;$Z$2,SIP[Date Value],"&lt;="&amp;$Z$3))</f>
        <v>0</v>
      </c>
      <c r="N295" s="49">
        <f t="shared" si="24"/>
        <v>0</v>
      </c>
      <c r="O295" s="49">
        <f>(SUMIFS(LS[Realized Gain],LS[Investor ID],A295,LS[Date Value],"&gt;="&amp;$Z$2,LS[Date Value],"&lt;="&amp;$Z$3))+(SUMIFS(SIP[Realized Gain],SIP[Investor ID],A295,SIP[Date Value],"&gt;="&amp;$Z$2,SIP[Date Value],"&lt;="&amp;$Z$3))</f>
        <v>0</v>
      </c>
      <c r="P295" s="49">
        <v>0</v>
      </c>
      <c r="Q295" s="49">
        <v>0</v>
      </c>
      <c r="R295" s="49">
        <v>0</v>
      </c>
    </row>
    <row r="296" spans="1:18">
      <c r="A296" t="s">
        <v>640</v>
      </c>
      <c r="B296" s="47">
        <f>SUMIFS(LS[Unit],LS[Investor ID],'TAX CERTIFICATE'!A296,LS[Date Value],"&lt;"&amp;$Z$2)+SUMIFS(SIP[Unit],SIP[Investor ID],'TAX CERTIFICATE'!A296,SIP[Date Value],"&lt;"&amp;$Z$2)</f>
        <v>0</v>
      </c>
      <c r="C296" s="48">
        <f>(SUMIFS(LS[Amount],LS[B/S],"B",LS[Investor ID],A296,LS[Date Value],"&lt;"&amp;$Z$2)-SUMIFS(LS[Cost of Units Sold],LS[B/S],"S",LS[Investor ID],A296,LS[Date Value],"&lt;"&amp;$Z$2))+(SUMIFS(SIP[Amount],SIP[B/S],"B",SIP[Investor ID],#REF!,SIP[Date Value],"&lt;"&amp;$Z$2)-SUMIFS(SIP[Cost of Units Sold],SIP[B/S],"S",SIP[Investor ID],A296,SIP[Date Value],"&lt;"&amp;$Z$2))</f>
        <v>0</v>
      </c>
      <c r="D296" s="49">
        <f t="shared" si="20"/>
        <v>0</v>
      </c>
      <c r="E296" s="49">
        <f t="shared" si="21"/>
        <v>0</v>
      </c>
      <c r="F296" s="47">
        <f>SUMIFS(LS[Unit],LS[Investor ID],A296,LS[Date Value],"&lt;="&amp;$Z$3)+SUMIFS(SIP[Unit],SIP[Investor ID],A296,SIP[Date Value],"&lt;="&amp;$Z$3)</f>
        <v>0</v>
      </c>
      <c r="G296" s="49">
        <f>(SUMIFS(LS[Amount],LS[B/S],"B",LS[Investor ID],A296,LS[Date Value],"&lt;="&amp;$Z$3)-SUMIFS(LS[Cost of Units Sold],LS[B/S],"S",LS[Investor ID],A296,LS[Date Value],"&lt;="&amp;$Z$3))+(SUMIFS(SIP[Amount],SIP[B/S],"B",SIP[Investor ID],A296,SIP[Date Value],"&lt;="&amp;$Z$3)-SUMIFS(SIP[Cost of Units Sold],SIP[B/S],"S",SIP[Investor ID],A296,SIP[Date Value],"&lt;="&amp;$Z$3))</f>
        <v>0</v>
      </c>
      <c r="H296" s="49">
        <f t="shared" si="22"/>
        <v>0</v>
      </c>
      <c r="I296" s="49">
        <f t="shared" si="23"/>
        <v>0</v>
      </c>
      <c r="J296" s="47">
        <f>(SUMIFS(LS[Unit],LS[Investor ID],A296,LS[B/S],"B",LS[Date Value],"&gt;="&amp;$Z$2,LS[Date Value],"&lt;="&amp;$Z$3))+(SUMIFS(SIP[Unit],SIP[Investor ID],A296,SIP[B/S],"B",SIP[Date Value],"&gt;="&amp;$Z$2,SIP[Date Value],"&lt;="&amp;$Z$3))</f>
        <v>0</v>
      </c>
      <c r="K296" s="49">
        <f>(SUMIFS(LS[Amount],LS[Investor ID],A296,LS[B/S],"B",LS[Date Value],"&gt;="&amp;$Z$2,LS[Date Value],"&lt;="&amp;$Z$3))+(SUMIFS(SIP[Amount],SIP[Investor ID],A296,SIP[B/S],"B",SIP[Date Value],"&gt;="&amp;$Z$2,SIP[Date Value],"&lt;="&amp;$Z$3))</f>
        <v>0</v>
      </c>
      <c r="L296" s="47">
        <f>(-SUMIFS(LS[Unit],LS[Investor ID],A296,LS[B/S],"S",LS[Date Value],"&gt;="&amp;$Z$2,LS[Date Value],"&lt;="&amp;$Z$3))+(-SUMIFS(SIP[Unit],SIP[Investor ID],A296,SIP[B/S],"S",SIP[Date Value],"&gt;="&amp;$Z$2,SIP[Date Value],"&lt;="&amp;$Z$3))</f>
        <v>0</v>
      </c>
      <c r="M296" s="49">
        <f>(SUMIFS(LS[Cost of Units Sold],LS[Investor ID],A296,LS[B/S],"S",LS[Date Value],"&gt;="&amp;$Z$2,LS[Date Value],"&lt;="&amp;$Z$3))+(SUMIFS(SIP[Cost of Units Sold],SIP[Investor ID],A296,SIP[B/S],"S",SIP[Date Value],"&gt;="&amp;$Z$2,SIP[Date Value],"&lt;="&amp;$Z$3))</f>
        <v>0</v>
      </c>
      <c r="N296" s="49">
        <f t="shared" si="24"/>
        <v>0</v>
      </c>
      <c r="O296" s="49">
        <f>(SUMIFS(LS[Realized Gain],LS[Investor ID],A296,LS[Date Value],"&gt;="&amp;$Z$2,LS[Date Value],"&lt;="&amp;$Z$3))+(SUMIFS(SIP[Realized Gain],SIP[Investor ID],A296,SIP[Date Value],"&gt;="&amp;$Z$2,SIP[Date Value],"&lt;="&amp;$Z$3))</f>
        <v>0</v>
      </c>
      <c r="P296" s="49">
        <v>0</v>
      </c>
      <c r="Q296" s="49">
        <v>0</v>
      </c>
      <c r="R296" s="49">
        <v>0</v>
      </c>
    </row>
    <row r="297" spans="1:18">
      <c r="A297" t="s">
        <v>642</v>
      </c>
      <c r="B297" s="47">
        <f>SUMIFS(LS[Unit],LS[Investor ID],'TAX CERTIFICATE'!A297,LS[Date Value],"&lt;"&amp;$Z$2)+SUMIFS(SIP[Unit],SIP[Investor ID],'TAX CERTIFICATE'!A297,SIP[Date Value],"&lt;"&amp;$Z$2)</f>
        <v>0</v>
      </c>
      <c r="C297" s="48">
        <f>(SUMIFS(LS[Amount],LS[B/S],"B",LS[Investor ID],A297,LS[Date Value],"&lt;"&amp;$Z$2)-SUMIFS(LS[Cost of Units Sold],LS[B/S],"S",LS[Investor ID],A297,LS[Date Value],"&lt;"&amp;$Z$2))+(SUMIFS(SIP[Amount],SIP[B/S],"B",SIP[Investor ID],#REF!,SIP[Date Value],"&lt;"&amp;$Z$2)-SUMIFS(SIP[Cost of Units Sold],SIP[B/S],"S",SIP[Investor ID],A297,SIP[Date Value],"&lt;"&amp;$Z$2))</f>
        <v>0</v>
      </c>
      <c r="D297" s="49">
        <f t="shared" si="20"/>
        <v>0</v>
      </c>
      <c r="E297" s="49">
        <f t="shared" si="21"/>
        <v>0</v>
      </c>
      <c r="F297" s="47">
        <f>SUMIFS(LS[Unit],LS[Investor ID],A297,LS[Date Value],"&lt;="&amp;$Z$3)+SUMIFS(SIP[Unit],SIP[Investor ID],A297,SIP[Date Value],"&lt;="&amp;$Z$3)</f>
        <v>0</v>
      </c>
      <c r="G297" s="49">
        <f>(SUMIFS(LS[Amount],LS[B/S],"B",LS[Investor ID],A297,LS[Date Value],"&lt;="&amp;$Z$3)-SUMIFS(LS[Cost of Units Sold],LS[B/S],"S",LS[Investor ID],A297,LS[Date Value],"&lt;="&amp;$Z$3))+(SUMIFS(SIP[Amount],SIP[B/S],"B",SIP[Investor ID],A297,SIP[Date Value],"&lt;="&amp;$Z$3)-SUMIFS(SIP[Cost of Units Sold],SIP[B/S],"S",SIP[Investor ID],A297,SIP[Date Value],"&lt;="&amp;$Z$3))</f>
        <v>0</v>
      </c>
      <c r="H297" s="49">
        <f t="shared" si="22"/>
        <v>0</v>
      </c>
      <c r="I297" s="49">
        <f t="shared" si="23"/>
        <v>0</v>
      </c>
      <c r="J297" s="47">
        <f>(SUMIFS(LS[Unit],LS[Investor ID],A297,LS[B/S],"B",LS[Date Value],"&gt;="&amp;$Z$2,LS[Date Value],"&lt;="&amp;$Z$3))+(SUMIFS(SIP[Unit],SIP[Investor ID],A297,SIP[B/S],"B",SIP[Date Value],"&gt;="&amp;$Z$2,SIP[Date Value],"&lt;="&amp;$Z$3))</f>
        <v>0</v>
      </c>
      <c r="K297" s="49">
        <f>(SUMIFS(LS[Amount],LS[Investor ID],A297,LS[B/S],"B",LS[Date Value],"&gt;="&amp;$Z$2,LS[Date Value],"&lt;="&amp;$Z$3))+(SUMIFS(SIP[Amount],SIP[Investor ID],A297,SIP[B/S],"B",SIP[Date Value],"&gt;="&amp;$Z$2,SIP[Date Value],"&lt;="&amp;$Z$3))</f>
        <v>0</v>
      </c>
      <c r="L297" s="47">
        <f>(-SUMIFS(LS[Unit],LS[Investor ID],A297,LS[B/S],"S",LS[Date Value],"&gt;="&amp;$Z$2,LS[Date Value],"&lt;="&amp;$Z$3))+(-SUMIFS(SIP[Unit],SIP[Investor ID],A297,SIP[B/S],"S",SIP[Date Value],"&gt;="&amp;$Z$2,SIP[Date Value],"&lt;="&amp;$Z$3))</f>
        <v>0</v>
      </c>
      <c r="M297" s="49">
        <f>(SUMIFS(LS[Cost of Units Sold],LS[Investor ID],A297,LS[B/S],"S",LS[Date Value],"&gt;="&amp;$Z$2,LS[Date Value],"&lt;="&amp;$Z$3))+(SUMIFS(SIP[Cost of Units Sold],SIP[Investor ID],A297,SIP[B/S],"S",SIP[Date Value],"&gt;="&amp;$Z$2,SIP[Date Value],"&lt;="&amp;$Z$3))</f>
        <v>0</v>
      </c>
      <c r="N297" s="49">
        <f t="shared" si="24"/>
        <v>0</v>
      </c>
      <c r="O297" s="49">
        <f>(SUMIFS(LS[Realized Gain],LS[Investor ID],A297,LS[Date Value],"&gt;="&amp;$Z$2,LS[Date Value],"&lt;="&amp;$Z$3))+(SUMIFS(SIP[Realized Gain],SIP[Investor ID],A297,SIP[Date Value],"&gt;="&amp;$Z$2,SIP[Date Value],"&lt;="&amp;$Z$3))</f>
        <v>0</v>
      </c>
      <c r="P297" s="49">
        <v>0</v>
      </c>
      <c r="Q297" s="49">
        <v>0</v>
      </c>
      <c r="R297" s="49">
        <v>0</v>
      </c>
    </row>
    <row r="298" spans="1:18">
      <c r="A298" t="s">
        <v>644</v>
      </c>
      <c r="B298" s="47">
        <f>SUMIFS(LS[Unit],LS[Investor ID],'TAX CERTIFICATE'!A298,LS[Date Value],"&lt;"&amp;$Z$2)+SUMIFS(SIP[Unit],SIP[Investor ID],'TAX CERTIFICATE'!A298,SIP[Date Value],"&lt;"&amp;$Z$2)</f>
        <v>0</v>
      </c>
      <c r="C298" s="48">
        <f>(SUMIFS(LS[Amount],LS[B/S],"B",LS[Investor ID],A298,LS[Date Value],"&lt;"&amp;$Z$2)-SUMIFS(LS[Cost of Units Sold],LS[B/S],"S",LS[Investor ID],A298,LS[Date Value],"&lt;"&amp;$Z$2))+(SUMIFS(SIP[Amount],SIP[B/S],"B",SIP[Investor ID],#REF!,SIP[Date Value],"&lt;"&amp;$Z$2)-SUMIFS(SIP[Cost of Units Sold],SIP[B/S],"S",SIP[Investor ID],A298,SIP[Date Value],"&lt;"&amp;$Z$2))</f>
        <v>0</v>
      </c>
      <c r="D298" s="49">
        <f t="shared" si="20"/>
        <v>0</v>
      </c>
      <c r="E298" s="49">
        <f t="shared" si="21"/>
        <v>0</v>
      </c>
      <c r="F298" s="47">
        <f>SUMIFS(LS[Unit],LS[Investor ID],A298,LS[Date Value],"&lt;="&amp;$Z$3)+SUMIFS(SIP[Unit],SIP[Investor ID],A298,SIP[Date Value],"&lt;="&amp;$Z$3)</f>
        <v>0</v>
      </c>
      <c r="G298" s="49">
        <f>(SUMIFS(LS[Amount],LS[B/S],"B",LS[Investor ID],A298,LS[Date Value],"&lt;="&amp;$Z$3)-SUMIFS(LS[Cost of Units Sold],LS[B/S],"S",LS[Investor ID],A298,LS[Date Value],"&lt;="&amp;$Z$3))+(SUMIFS(SIP[Amount],SIP[B/S],"B",SIP[Investor ID],A298,SIP[Date Value],"&lt;="&amp;$Z$3)-SUMIFS(SIP[Cost of Units Sold],SIP[B/S],"S",SIP[Investor ID],A298,SIP[Date Value],"&lt;="&amp;$Z$3))</f>
        <v>0</v>
      </c>
      <c r="H298" s="49">
        <f t="shared" si="22"/>
        <v>0</v>
      </c>
      <c r="I298" s="49">
        <f t="shared" si="23"/>
        <v>0</v>
      </c>
      <c r="J298" s="47">
        <f>(SUMIFS(LS[Unit],LS[Investor ID],A298,LS[B/S],"B",LS[Date Value],"&gt;="&amp;$Z$2,LS[Date Value],"&lt;="&amp;$Z$3))+(SUMIFS(SIP[Unit],SIP[Investor ID],A298,SIP[B/S],"B",SIP[Date Value],"&gt;="&amp;$Z$2,SIP[Date Value],"&lt;="&amp;$Z$3))</f>
        <v>0</v>
      </c>
      <c r="K298" s="49">
        <f>(SUMIFS(LS[Amount],LS[Investor ID],A298,LS[B/S],"B",LS[Date Value],"&gt;="&amp;$Z$2,LS[Date Value],"&lt;="&amp;$Z$3))+(SUMIFS(SIP[Amount],SIP[Investor ID],A298,SIP[B/S],"B",SIP[Date Value],"&gt;="&amp;$Z$2,SIP[Date Value],"&lt;="&amp;$Z$3))</f>
        <v>0</v>
      </c>
      <c r="L298" s="47">
        <f>(-SUMIFS(LS[Unit],LS[Investor ID],A298,LS[B/S],"S",LS[Date Value],"&gt;="&amp;$Z$2,LS[Date Value],"&lt;="&amp;$Z$3))+(-SUMIFS(SIP[Unit],SIP[Investor ID],A298,SIP[B/S],"S",SIP[Date Value],"&gt;="&amp;$Z$2,SIP[Date Value],"&lt;="&amp;$Z$3))</f>
        <v>0</v>
      </c>
      <c r="M298" s="49">
        <f>(SUMIFS(LS[Cost of Units Sold],LS[Investor ID],A298,LS[B/S],"S",LS[Date Value],"&gt;="&amp;$Z$2,LS[Date Value],"&lt;="&amp;$Z$3))+(SUMIFS(SIP[Cost of Units Sold],SIP[Investor ID],A298,SIP[B/S],"S",SIP[Date Value],"&gt;="&amp;$Z$2,SIP[Date Value],"&lt;="&amp;$Z$3))</f>
        <v>0</v>
      </c>
      <c r="N298" s="49">
        <f t="shared" si="24"/>
        <v>0</v>
      </c>
      <c r="O298" s="49">
        <f>(SUMIFS(LS[Realized Gain],LS[Investor ID],A298,LS[Date Value],"&gt;="&amp;$Z$2,LS[Date Value],"&lt;="&amp;$Z$3))+(SUMIFS(SIP[Realized Gain],SIP[Investor ID],A298,SIP[Date Value],"&gt;="&amp;$Z$2,SIP[Date Value],"&lt;="&amp;$Z$3))</f>
        <v>0</v>
      </c>
      <c r="P298" s="49">
        <v>0</v>
      </c>
      <c r="Q298" s="49">
        <v>0</v>
      </c>
      <c r="R298" s="49">
        <v>0</v>
      </c>
    </row>
    <row r="299" spans="1:18">
      <c r="A299" t="s">
        <v>646</v>
      </c>
      <c r="B299" s="47">
        <f>SUMIFS(LS[Unit],LS[Investor ID],'TAX CERTIFICATE'!A299,LS[Date Value],"&lt;"&amp;$Z$2)+SUMIFS(SIP[Unit],SIP[Investor ID],'TAX CERTIFICATE'!A299,SIP[Date Value],"&lt;"&amp;$Z$2)</f>
        <v>0</v>
      </c>
      <c r="C299" s="48">
        <f>(SUMIFS(LS[Amount],LS[B/S],"B",LS[Investor ID],A299,LS[Date Value],"&lt;"&amp;$Z$2)-SUMIFS(LS[Cost of Units Sold],LS[B/S],"S",LS[Investor ID],A299,LS[Date Value],"&lt;"&amp;$Z$2))+(SUMIFS(SIP[Amount],SIP[B/S],"B",SIP[Investor ID],#REF!,SIP[Date Value],"&lt;"&amp;$Z$2)-SUMIFS(SIP[Cost of Units Sold],SIP[B/S],"S",SIP[Investor ID],A299,SIP[Date Value],"&lt;"&amp;$Z$2))</f>
        <v>0</v>
      </c>
      <c r="D299" s="49">
        <f t="shared" si="20"/>
        <v>0</v>
      </c>
      <c r="E299" s="49">
        <f t="shared" si="21"/>
        <v>0</v>
      </c>
      <c r="F299" s="47">
        <f>SUMIFS(LS[Unit],LS[Investor ID],A299,LS[Date Value],"&lt;="&amp;$Z$3)+SUMIFS(SIP[Unit],SIP[Investor ID],A299,SIP[Date Value],"&lt;="&amp;$Z$3)</f>
        <v>0</v>
      </c>
      <c r="G299" s="49">
        <f>(SUMIFS(LS[Amount],LS[B/S],"B",LS[Investor ID],A299,LS[Date Value],"&lt;="&amp;$Z$3)-SUMIFS(LS[Cost of Units Sold],LS[B/S],"S",LS[Investor ID],A299,LS[Date Value],"&lt;="&amp;$Z$3))+(SUMIFS(SIP[Amount],SIP[B/S],"B",SIP[Investor ID],A299,SIP[Date Value],"&lt;="&amp;$Z$3)-SUMIFS(SIP[Cost of Units Sold],SIP[B/S],"S",SIP[Investor ID],A299,SIP[Date Value],"&lt;="&amp;$Z$3))</f>
        <v>0</v>
      </c>
      <c r="H299" s="49">
        <f t="shared" si="22"/>
        <v>0</v>
      </c>
      <c r="I299" s="49">
        <f t="shared" si="23"/>
        <v>0</v>
      </c>
      <c r="J299" s="47">
        <f>(SUMIFS(LS[Unit],LS[Investor ID],A299,LS[B/S],"B",LS[Date Value],"&gt;="&amp;$Z$2,LS[Date Value],"&lt;="&amp;$Z$3))+(SUMIFS(SIP[Unit],SIP[Investor ID],A299,SIP[B/S],"B",SIP[Date Value],"&gt;="&amp;$Z$2,SIP[Date Value],"&lt;="&amp;$Z$3))</f>
        <v>0</v>
      </c>
      <c r="K299" s="49">
        <f>(SUMIFS(LS[Amount],LS[Investor ID],A299,LS[B/S],"B",LS[Date Value],"&gt;="&amp;$Z$2,LS[Date Value],"&lt;="&amp;$Z$3))+(SUMIFS(SIP[Amount],SIP[Investor ID],A299,SIP[B/S],"B",SIP[Date Value],"&gt;="&amp;$Z$2,SIP[Date Value],"&lt;="&amp;$Z$3))</f>
        <v>0</v>
      </c>
      <c r="L299" s="47">
        <f>(-SUMIFS(LS[Unit],LS[Investor ID],A299,LS[B/S],"S",LS[Date Value],"&gt;="&amp;$Z$2,LS[Date Value],"&lt;="&amp;$Z$3))+(-SUMIFS(SIP[Unit],SIP[Investor ID],A299,SIP[B/S],"S",SIP[Date Value],"&gt;="&amp;$Z$2,SIP[Date Value],"&lt;="&amp;$Z$3))</f>
        <v>0</v>
      </c>
      <c r="M299" s="49">
        <f>(SUMIFS(LS[Cost of Units Sold],LS[Investor ID],A299,LS[B/S],"S",LS[Date Value],"&gt;="&amp;$Z$2,LS[Date Value],"&lt;="&amp;$Z$3))+(SUMIFS(SIP[Cost of Units Sold],SIP[Investor ID],A299,SIP[B/S],"S",SIP[Date Value],"&gt;="&amp;$Z$2,SIP[Date Value],"&lt;="&amp;$Z$3))</f>
        <v>0</v>
      </c>
      <c r="N299" s="49">
        <f t="shared" si="24"/>
        <v>0</v>
      </c>
      <c r="O299" s="49">
        <f>(SUMIFS(LS[Realized Gain],LS[Investor ID],A299,LS[Date Value],"&gt;="&amp;$Z$2,LS[Date Value],"&lt;="&amp;$Z$3))+(SUMIFS(SIP[Realized Gain],SIP[Investor ID],A299,SIP[Date Value],"&gt;="&amp;$Z$2,SIP[Date Value],"&lt;="&amp;$Z$3))</f>
        <v>0</v>
      </c>
      <c r="P299" s="49">
        <v>0</v>
      </c>
      <c r="Q299" s="49">
        <v>0</v>
      </c>
      <c r="R299" s="49">
        <v>0</v>
      </c>
    </row>
    <row r="300" spans="1:18">
      <c r="A300" t="s">
        <v>648</v>
      </c>
      <c r="B300" s="47">
        <f>SUMIFS(LS[Unit],LS[Investor ID],'TAX CERTIFICATE'!A300,LS[Date Value],"&lt;"&amp;$Z$2)+SUMIFS(SIP[Unit],SIP[Investor ID],'TAX CERTIFICATE'!A300,SIP[Date Value],"&lt;"&amp;$Z$2)</f>
        <v>0</v>
      </c>
      <c r="C300" s="48">
        <f>(SUMIFS(LS[Amount],LS[B/S],"B",LS[Investor ID],A300,LS[Date Value],"&lt;"&amp;$Z$2)-SUMIFS(LS[Cost of Units Sold],LS[B/S],"S",LS[Investor ID],A300,LS[Date Value],"&lt;"&amp;$Z$2))+(SUMIFS(SIP[Amount],SIP[B/S],"B",SIP[Investor ID],#REF!,SIP[Date Value],"&lt;"&amp;$Z$2)-SUMIFS(SIP[Cost of Units Sold],SIP[B/S],"S",SIP[Investor ID],A300,SIP[Date Value],"&lt;"&amp;$Z$2))</f>
        <v>0</v>
      </c>
      <c r="D300" s="49">
        <f t="shared" si="20"/>
        <v>0</v>
      </c>
      <c r="E300" s="49">
        <f t="shared" si="21"/>
        <v>0</v>
      </c>
      <c r="F300" s="47">
        <f>SUMIFS(LS[Unit],LS[Investor ID],A300,LS[Date Value],"&lt;="&amp;$Z$3)+SUMIFS(SIP[Unit],SIP[Investor ID],A300,SIP[Date Value],"&lt;="&amp;$Z$3)</f>
        <v>0</v>
      </c>
      <c r="G300" s="49">
        <f>(SUMIFS(LS[Amount],LS[B/S],"B",LS[Investor ID],A300,LS[Date Value],"&lt;="&amp;$Z$3)-SUMIFS(LS[Cost of Units Sold],LS[B/S],"S",LS[Investor ID],A300,LS[Date Value],"&lt;="&amp;$Z$3))+(SUMIFS(SIP[Amount],SIP[B/S],"B",SIP[Investor ID],A300,SIP[Date Value],"&lt;="&amp;$Z$3)-SUMIFS(SIP[Cost of Units Sold],SIP[B/S],"S",SIP[Investor ID],A300,SIP[Date Value],"&lt;="&amp;$Z$3))</f>
        <v>0</v>
      </c>
      <c r="H300" s="49">
        <f t="shared" si="22"/>
        <v>0</v>
      </c>
      <c r="I300" s="49">
        <f t="shared" si="23"/>
        <v>0</v>
      </c>
      <c r="J300" s="47">
        <f>(SUMIFS(LS[Unit],LS[Investor ID],A300,LS[B/S],"B",LS[Date Value],"&gt;="&amp;$Z$2,LS[Date Value],"&lt;="&amp;$Z$3))+(SUMIFS(SIP[Unit],SIP[Investor ID],A300,SIP[B/S],"B",SIP[Date Value],"&gt;="&amp;$Z$2,SIP[Date Value],"&lt;="&amp;$Z$3))</f>
        <v>0</v>
      </c>
      <c r="K300" s="49">
        <f>(SUMIFS(LS[Amount],LS[Investor ID],A300,LS[B/S],"B",LS[Date Value],"&gt;="&amp;$Z$2,LS[Date Value],"&lt;="&amp;$Z$3))+(SUMIFS(SIP[Amount],SIP[Investor ID],A300,SIP[B/S],"B",SIP[Date Value],"&gt;="&amp;$Z$2,SIP[Date Value],"&lt;="&amp;$Z$3))</f>
        <v>0</v>
      </c>
      <c r="L300" s="47">
        <f>(-SUMIFS(LS[Unit],LS[Investor ID],A300,LS[B/S],"S",LS[Date Value],"&gt;="&amp;$Z$2,LS[Date Value],"&lt;="&amp;$Z$3))+(-SUMIFS(SIP[Unit],SIP[Investor ID],A300,SIP[B/S],"S",SIP[Date Value],"&gt;="&amp;$Z$2,SIP[Date Value],"&lt;="&amp;$Z$3))</f>
        <v>0</v>
      </c>
      <c r="M300" s="49">
        <f>(SUMIFS(LS[Cost of Units Sold],LS[Investor ID],A300,LS[B/S],"S",LS[Date Value],"&gt;="&amp;$Z$2,LS[Date Value],"&lt;="&amp;$Z$3))+(SUMIFS(SIP[Cost of Units Sold],SIP[Investor ID],A300,SIP[B/S],"S",SIP[Date Value],"&gt;="&amp;$Z$2,SIP[Date Value],"&lt;="&amp;$Z$3))</f>
        <v>0</v>
      </c>
      <c r="N300" s="49">
        <f t="shared" si="24"/>
        <v>0</v>
      </c>
      <c r="O300" s="49">
        <f>(SUMIFS(LS[Realized Gain],LS[Investor ID],A300,LS[Date Value],"&gt;="&amp;$Z$2,LS[Date Value],"&lt;="&amp;$Z$3))+(SUMIFS(SIP[Realized Gain],SIP[Investor ID],A300,SIP[Date Value],"&gt;="&amp;$Z$2,SIP[Date Value],"&lt;="&amp;$Z$3))</f>
        <v>0</v>
      </c>
      <c r="P300" s="49">
        <v>0</v>
      </c>
      <c r="Q300" s="49">
        <v>0</v>
      </c>
      <c r="R300" s="49">
        <v>0</v>
      </c>
    </row>
    <row r="301" spans="1:18">
      <c r="A301" t="s">
        <v>650</v>
      </c>
      <c r="B301" s="47">
        <f>SUMIFS(LS[Unit],LS[Investor ID],'TAX CERTIFICATE'!A301,LS[Date Value],"&lt;"&amp;$Z$2)+SUMIFS(SIP[Unit],SIP[Investor ID],'TAX CERTIFICATE'!A301,SIP[Date Value],"&lt;"&amp;$Z$2)</f>
        <v>0</v>
      </c>
      <c r="C301" s="48">
        <f>(SUMIFS(LS[Amount],LS[B/S],"B",LS[Investor ID],A301,LS[Date Value],"&lt;"&amp;$Z$2)-SUMIFS(LS[Cost of Units Sold],LS[B/S],"S",LS[Investor ID],A301,LS[Date Value],"&lt;"&amp;$Z$2))+(SUMIFS(SIP[Amount],SIP[B/S],"B",SIP[Investor ID],#REF!,SIP[Date Value],"&lt;"&amp;$Z$2)-SUMIFS(SIP[Cost of Units Sold],SIP[B/S],"S",SIP[Investor ID],A301,SIP[Date Value],"&lt;"&amp;$Z$2))</f>
        <v>0</v>
      </c>
      <c r="D301" s="49">
        <f t="shared" si="20"/>
        <v>0</v>
      </c>
      <c r="E301" s="49">
        <f t="shared" si="21"/>
        <v>0</v>
      </c>
      <c r="F301" s="47">
        <f>SUMIFS(LS[Unit],LS[Investor ID],A301,LS[Date Value],"&lt;="&amp;$Z$3)+SUMIFS(SIP[Unit],SIP[Investor ID],A301,SIP[Date Value],"&lt;="&amp;$Z$3)</f>
        <v>0</v>
      </c>
      <c r="G301" s="49">
        <f>(SUMIFS(LS[Amount],LS[B/S],"B",LS[Investor ID],A301,LS[Date Value],"&lt;="&amp;$Z$3)-SUMIFS(LS[Cost of Units Sold],LS[B/S],"S",LS[Investor ID],A301,LS[Date Value],"&lt;="&amp;$Z$3))+(SUMIFS(SIP[Amount],SIP[B/S],"B",SIP[Investor ID],A301,SIP[Date Value],"&lt;="&amp;$Z$3)-SUMIFS(SIP[Cost of Units Sold],SIP[B/S],"S",SIP[Investor ID],A301,SIP[Date Value],"&lt;="&amp;$Z$3))</f>
        <v>0</v>
      </c>
      <c r="H301" s="49">
        <f t="shared" si="22"/>
        <v>0</v>
      </c>
      <c r="I301" s="49">
        <f t="shared" si="23"/>
        <v>0</v>
      </c>
      <c r="J301" s="47">
        <f>(SUMIFS(LS[Unit],LS[Investor ID],A301,LS[B/S],"B",LS[Date Value],"&gt;="&amp;$Z$2,LS[Date Value],"&lt;="&amp;$Z$3))+(SUMIFS(SIP[Unit],SIP[Investor ID],A301,SIP[B/S],"B",SIP[Date Value],"&gt;="&amp;$Z$2,SIP[Date Value],"&lt;="&amp;$Z$3))</f>
        <v>0</v>
      </c>
      <c r="K301" s="49">
        <f>(SUMIFS(LS[Amount],LS[Investor ID],A301,LS[B/S],"B",LS[Date Value],"&gt;="&amp;$Z$2,LS[Date Value],"&lt;="&amp;$Z$3))+(SUMIFS(SIP[Amount],SIP[Investor ID],A301,SIP[B/S],"B",SIP[Date Value],"&gt;="&amp;$Z$2,SIP[Date Value],"&lt;="&amp;$Z$3))</f>
        <v>0</v>
      </c>
      <c r="L301" s="47">
        <f>(-SUMIFS(LS[Unit],LS[Investor ID],A301,LS[B/S],"S",LS[Date Value],"&gt;="&amp;$Z$2,LS[Date Value],"&lt;="&amp;$Z$3))+(-SUMIFS(SIP[Unit],SIP[Investor ID],A301,SIP[B/S],"S",SIP[Date Value],"&gt;="&amp;$Z$2,SIP[Date Value],"&lt;="&amp;$Z$3))</f>
        <v>0</v>
      </c>
      <c r="M301" s="49">
        <f>(SUMIFS(LS[Cost of Units Sold],LS[Investor ID],A301,LS[B/S],"S",LS[Date Value],"&gt;="&amp;$Z$2,LS[Date Value],"&lt;="&amp;$Z$3))+(SUMIFS(SIP[Cost of Units Sold],SIP[Investor ID],A301,SIP[B/S],"S",SIP[Date Value],"&gt;="&amp;$Z$2,SIP[Date Value],"&lt;="&amp;$Z$3))</f>
        <v>0</v>
      </c>
      <c r="N301" s="49">
        <f t="shared" si="24"/>
        <v>0</v>
      </c>
      <c r="O301" s="49">
        <f>(SUMIFS(LS[Realized Gain],LS[Investor ID],A301,LS[Date Value],"&gt;="&amp;$Z$2,LS[Date Value],"&lt;="&amp;$Z$3))+(SUMIFS(SIP[Realized Gain],SIP[Investor ID],A301,SIP[Date Value],"&gt;="&amp;$Z$2,SIP[Date Value],"&lt;="&amp;$Z$3))</f>
        <v>0</v>
      </c>
      <c r="P301" s="49">
        <v>0</v>
      </c>
      <c r="Q301" s="49">
        <v>0</v>
      </c>
      <c r="R301" s="49">
        <v>0</v>
      </c>
    </row>
    <row r="302" spans="1:18">
      <c r="A302" t="s">
        <v>652</v>
      </c>
      <c r="B302" s="47">
        <f>SUMIFS(LS[Unit],LS[Investor ID],'TAX CERTIFICATE'!A302,LS[Date Value],"&lt;"&amp;$Z$2)+SUMIFS(SIP[Unit],SIP[Investor ID],'TAX CERTIFICATE'!A302,SIP[Date Value],"&lt;"&amp;$Z$2)</f>
        <v>39147</v>
      </c>
      <c r="C302" s="48">
        <f>(SUMIFS(LS[Amount],LS[B/S],"B",LS[Investor ID],A302,LS[Date Value],"&lt;"&amp;$Z$2)-SUMIFS(LS[Cost of Units Sold],LS[B/S],"S",LS[Investor ID],A302,LS[Date Value],"&lt;"&amp;$Z$2))+(SUMIFS(SIP[Amount],SIP[B/S],"B",SIP[Investor ID],#REF!,SIP[Date Value],"&lt;"&amp;$Z$2)-SUMIFS(SIP[Cost of Units Sold],SIP[B/S],"S",SIP[Investor ID],A302,SIP[Date Value],"&lt;"&amp;$Z$2))</f>
        <v>400000</v>
      </c>
      <c r="D302" s="49">
        <f t="shared" si="20"/>
        <v>402078.83700000006</v>
      </c>
      <c r="E302" s="49">
        <f t="shared" si="21"/>
        <v>2078.8370000000577</v>
      </c>
      <c r="F302" s="47">
        <f>SUMIFS(LS[Unit],LS[Investor ID],A302,LS[Date Value],"&lt;="&amp;$Z$3)+SUMIFS(SIP[Unit],SIP[Investor ID],A302,SIP[Date Value],"&lt;="&amp;$Z$3)</f>
        <v>36020</v>
      </c>
      <c r="G302" s="49">
        <f>(SUMIFS(LS[Amount],LS[B/S],"B",LS[Investor ID],A302,LS[Date Value],"&lt;="&amp;$Z$3)-SUMIFS(LS[Cost of Units Sold],LS[B/S],"S",LS[Investor ID],A302,LS[Date Value],"&lt;="&amp;$Z$3))+(SUMIFS(SIP[Amount],SIP[B/S],"B",SIP[Investor ID],A302,SIP[Date Value],"&lt;="&amp;$Z$3)-SUMIFS(SIP[Cost of Units Sold],SIP[B/S],"S",SIP[Investor ID],A302,SIP[Date Value],"&lt;="&amp;$Z$3))</f>
        <v>400000</v>
      </c>
      <c r="H302" s="49">
        <f t="shared" si="22"/>
        <v>402127.27999999997</v>
      </c>
      <c r="I302" s="49">
        <f t="shared" si="23"/>
        <v>2127.2799999999697</v>
      </c>
      <c r="J302" s="47">
        <f>(SUMIFS(LS[Unit],LS[Investor ID],A302,LS[B/S],"B",LS[Date Value],"&gt;="&amp;$Z$2,LS[Date Value],"&lt;="&amp;$Z$3))+(SUMIFS(SIP[Unit],SIP[Investor ID],A302,SIP[B/S],"B",SIP[Date Value],"&gt;="&amp;$Z$2,SIP[Date Value],"&lt;="&amp;$Z$3))</f>
        <v>36020</v>
      </c>
      <c r="K302" s="49">
        <f>(SUMIFS(LS[Amount],LS[Investor ID],A302,LS[B/S],"B",LS[Date Value],"&gt;="&amp;$Z$2,LS[Date Value],"&lt;="&amp;$Z$3))+(SUMIFS(SIP[Amount],SIP[Investor ID],A302,SIP[B/S],"B",SIP[Date Value],"&gt;="&amp;$Z$2,SIP[Date Value],"&lt;="&amp;$Z$3))</f>
        <v>400000</v>
      </c>
      <c r="L302" s="47">
        <f>(-SUMIFS(LS[Unit],LS[Investor ID],A302,LS[B/S],"S",LS[Date Value],"&gt;="&amp;$Z$2,LS[Date Value],"&lt;="&amp;$Z$3))+(-SUMIFS(SIP[Unit],SIP[Investor ID],A302,SIP[B/S],"S",SIP[Date Value],"&gt;="&amp;$Z$2,SIP[Date Value],"&lt;="&amp;$Z$3))</f>
        <v>39147</v>
      </c>
      <c r="M302" s="49">
        <f>(SUMIFS(LS[Cost of Units Sold],LS[Investor ID],A302,LS[B/S],"S",LS[Date Value],"&gt;="&amp;$Z$2,LS[Date Value],"&lt;="&amp;$Z$3))+(SUMIFS(SIP[Cost of Units Sold],SIP[Investor ID],A302,SIP[B/S],"S",SIP[Date Value],"&gt;="&amp;$Z$2,SIP[Date Value],"&lt;="&amp;$Z$3))</f>
        <v>400000</v>
      </c>
      <c r="N302" s="49">
        <f t="shared" si="24"/>
        <v>0</v>
      </c>
      <c r="O302" s="49">
        <f>(SUMIFS(LS[Realized Gain],LS[Investor ID],A302,LS[Date Value],"&gt;="&amp;$Z$2,LS[Date Value],"&lt;="&amp;$Z$3))+(SUMIFS(SIP[Realized Gain],SIP[Investor ID],A302,SIP[Date Value],"&gt;="&amp;$Z$2,SIP[Date Value],"&lt;="&amp;$Z$3))</f>
        <v>11904.72999999998</v>
      </c>
      <c r="P302" s="49">
        <v>0</v>
      </c>
      <c r="Q302" s="49">
        <v>0</v>
      </c>
      <c r="R302" s="49">
        <v>0</v>
      </c>
    </row>
    <row r="303" spans="1:18">
      <c r="A303" t="s">
        <v>654</v>
      </c>
      <c r="B303" s="47">
        <f>SUMIFS(LS[Unit],LS[Investor ID],'TAX CERTIFICATE'!A303,LS[Date Value],"&lt;"&amp;$Z$2)+SUMIFS(SIP[Unit],SIP[Investor ID],'TAX CERTIFICATE'!A303,SIP[Date Value],"&lt;"&amp;$Z$2)</f>
        <v>0</v>
      </c>
      <c r="C303" s="48">
        <f>(SUMIFS(LS[Amount],LS[B/S],"B",LS[Investor ID],A303,LS[Date Value],"&lt;"&amp;$Z$2)-SUMIFS(LS[Cost of Units Sold],LS[B/S],"S",LS[Investor ID],A303,LS[Date Value],"&lt;"&amp;$Z$2))+(SUMIFS(SIP[Amount],SIP[B/S],"B",SIP[Investor ID],#REF!,SIP[Date Value],"&lt;"&amp;$Z$2)-SUMIFS(SIP[Cost of Units Sold],SIP[B/S],"S",SIP[Investor ID],A303,SIP[Date Value],"&lt;"&amp;$Z$2))</f>
        <v>0</v>
      </c>
      <c r="D303" s="49">
        <f t="shared" si="20"/>
        <v>0</v>
      </c>
      <c r="E303" s="49">
        <f t="shared" si="21"/>
        <v>0</v>
      </c>
      <c r="F303" s="47">
        <f>SUMIFS(LS[Unit],LS[Investor ID],A303,LS[Date Value],"&lt;="&amp;$Z$3)+SUMIFS(SIP[Unit],SIP[Investor ID],A303,SIP[Date Value],"&lt;="&amp;$Z$3)</f>
        <v>0</v>
      </c>
      <c r="G303" s="49">
        <f>(SUMIFS(LS[Amount],LS[B/S],"B",LS[Investor ID],A303,LS[Date Value],"&lt;="&amp;$Z$3)-SUMIFS(LS[Cost of Units Sold],LS[B/S],"S",LS[Investor ID],A303,LS[Date Value],"&lt;="&amp;$Z$3))+(SUMIFS(SIP[Amount],SIP[B/S],"B",SIP[Investor ID],A303,SIP[Date Value],"&lt;="&amp;$Z$3)-SUMIFS(SIP[Cost of Units Sold],SIP[B/S],"S",SIP[Investor ID],A303,SIP[Date Value],"&lt;="&amp;$Z$3))</f>
        <v>0</v>
      </c>
      <c r="H303" s="49">
        <f t="shared" si="22"/>
        <v>0</v>
      </c>
      <c r="I303" s="49">
        <f t="shared" si="23"/>
        <v>0</v>
      </c>
      <c r="J303" s="47">
        <f>(SUMIFS(LS[Unit],LS[Investor ID],A303,LS[B/S],"B",LS[Date Value],"&gt;="&amp;$Z$2,LS[Date Value],"&lt;="&amp;$Z$3))+(SUMIFS(SIP[Unit],SIP[Investor ID],A303,SIP[B/S],"B",SIP[Date Value],"&gt;="&amp;$Z$2,SIP[Date Value],"&lt;="&amp;$Z$3))</f>
        <v>0</v>
      </c>
      <c r="K303" s="49">
        <f>(SUMIFS(LS[Amount],LS[Investor ID],A303,LS[B/S],"B",LS[Date Value],"&gt;="&amp;$Z$2,LS[Date Value],"&lt;="&amp;$Z$3))+(SUMIFS(SIP[Amount],SIP[Investor ID],A303,SIP[B/S],"B",SIP[Date Value],"&gt;="&amp;$Z$2,SIP[Date Value],"&lt;="&amp;$Z$3))</f>
        <v>0</v>
      </c>
      <c r="L303" s="47">
        <f>(-SUMIFS(LS[Unit],LS[Investor ID],A303,LS[B/S],"S",LS[Date Value],"&gt;="&amp;$Z$2,LS[Date Value],"&lt;="&amp;$Z$3))+(-SUMIFS(SIP[Unit],SIP[Investor ID],A303,SIP[B/S],"S",SIP[Date Value],"&gt;="&amp;$Z$2,SIP[Date Value],"&lt;="&amp;$Z$3))</f>
        <v>0</v>
      </c>
      <c r="M303" s="49">
        <f>(SUMIFS(LS[Cost of Units Sold],LS[Investor ID],A303,LS[B/S],"S",LS[Date Value],"&gt;="&amp;$Z$2,LS[Date Value],"&lt;="&amp;$Z$3))+(SUMIFS(SIP[Cost of Units Sold],SIP[Investor ID],A303,SIP[B/S],"S",SIP[Date Value],"&gt;="&amp;$Z$2,SIP[Date Value],"&lt;="&amp;$Z$3))</f>
        <v>0</v>
      </c>
      <c r="N303" s="49">
        <f t="shared" si="24"/>
        <v>0</v>
      </c>
      <c r="O303" s="49">
        <f>(SUMIFS(LS[Realized Gain],LS[Investor ID],A303,LS[Date Value],"&gt;="&amp;$Z$2,LS[Date Value],"&lt;="&amp;$Z$3))+(SUMIFS(SIP[Realized Gain],SIP[Investor ID],A303,SIP[Date Value],"&gt;="&amp;$Z$2,SIP[Date Value],"&lt;="&amp;$Z$3))</f>
        <v>0</v>
      </c>
      <c r="P303" s="49">
        <v>0</v>
      </c>
      <c r="Q303" s="49">
        <v>0</v>
      </c>
      <c r="R303" s="49">
        <v>0</v>
      </c>
    </row>
    <row r="304" spans="1:18">
      <c r="A304" t="s">
        <v>656</v>
      </c>
      <c r="B304" s="47">
        <f>SUMIFS(LS[Unit],LS[Investor ID],'TAX CERTIFICATE'!A304,LS[Date Value],"&lt;"&amp;$Z$2)+SUMIFS(SIP[Unit],SIP[Investor ID],'TAX CERTIFICATE'!A304,SIP[Date Value],"&lt;"&amp;$Z$2)</f>
        <v>0</v>
      </c>
      <c r="C304" s="48">
        <f>(SUMIFS(LS[Amount],LS[B/S],"B",LS[Investor ID],A304,LS[Date Value],"&lt;"&amp;$Z$2)-SUMIFS(LS[Cost of Units Sold],LS[B/S],"S",LS[Investor ID],A304,LS[Date Value],"&lt;"&amp;$Z$2))+(SUMIFS(SIP[Amount],SIP[B/S],"B",SIP[Investor ID],#REF!,SIP[Date Value],"&lt;"&amp;$Z$2)-SUMIFS(SIP[Cost of Units Sold],SIP[B/S],"S",SIP[Investor ID],A304,SIP[Date Value],"&lt;"&amp;$Z$2))</f>
        <v>0</v>
      </c>
      <c r="D304" s="49">
        <f t="shared" si="20"/>
        <v>0</v>
      </c>
      <c r="E304" s="49">
        <f t="shared" si="21"/>
        <v>0</v>
      </c>
      <c r="F304" s="47">
        <f>SUMIFS(LS[Unit],LS[Investor ID],A304,LS[Date Value],"&lt;="&amp;$Z$3)+SUMIFS(SIP[Unit],SIP[Investor ID],A304,SIP[Date Value],"&lt;="&amp;$Z$3)</f>
        <v>0</v>
      </c>
      <c r="G304" s="49">
        <f>(SUMIFS(LS[Amount],LS[B/S],"B",LS[Investor ID],A304,LS[Date Value],"&lt;="&amp;$Z$3)-SUMIFS(LS[Cost of Units Sold],LS[B/S],"S",LS[Investor ID],A304,LS[Date Value],"&lt;="&amp;$Z$3))+(SUMIFS(SIP[Amount],SIP[B/S],"B",SIP[Investor ID],A304,SIP[Date Value],"&lt;="&amp;$Z$3)-SUMIFS(SIP[Cost of Units Sold],SIP[B/S],"S",SIP[Investor ID],A304,SIP[Date Value],"&lt;="&amp;$Z$3))</f>
        <v>0</v>
      </c>
      <c r="H304" s="49">
        <f t="shared" si="22"/>
        <v>0</v>
      </c>
      <c r="I304" s="49">
        <f t="shared" si="23"/>
        <v>0</v>
      </c>
      <c r="J304" s="47">
        <f>(SUMIFS(LS[Unit],LS[Investor ID],A304,LS[B/S],"B",LS[Date Value],"&gt;="&amp;$Z$2,LS[Date Value],"&lt;="&amp;$Z$3))+(SUMIFS(SIP[Unit],SIP[Investor ID],A304,SIP[B/S],"B",SIP[Date Value],"&gt;="&amp;$Z$2,SIP[Date Value],"&lt;="&amp;$Z$3))</f>
        <v>0</v>
      </c>
      <c r="K304" s="49">
        <f>(SUMIFS(LS[Amount],LS[Investor ID],A304,LS[B/S],"B",LS[Date Value],"&gt;="&amp;$Z$2,LS[Date Value],"&lt;="&amp;$Z$3))+(SUMIFS(SIP[Amount],SIP[Investor ID],A304,SIP[B/S],"B",SIP[Date Value],"&gt;="&amp;$Z$2,SIP[Date Value],"&lt;="&amp;$Z$3))</f>
        <v>0</v>
      </c>
      <c r="L304" s="47">
        <f>(-SUMIFS(LS[Unit],LS[Investor ID],A304,LS[B/S],"S",LS[Date Value],"&gt;="&amp;$Z$2,LS[Date Value],"&lt;="&amp;$Z$3))+(-SUMIFS(SIP[Unit],SIP[Investor ID],A304,SIP[B/S],"S",SIP[Date Value],"&gt;="&amp;$Z$2,SIP[Date Value],"&lt;="&amp;$Z$3))</f>
        <v>0</v>
      </c>
      <c r="M304" s="49">
        <f>(SUMIFS(LS[Cost of Units Sold],LS[Investor ID],A304,LS[B/S],"S",LS[Date Value],"&gt;="&amp;$Z$2,LS[Date Value],"&lt;="&amp;$Z$3))+(SUMIFS(SIP[Cost of Units Sold],SIP[Investor ID],A304,SIP[B/S],"S",SIP[Date Value],"&gt;="&amp;$Z$2,SIP[Date Value],"&lt;="&amp;$Z$3))</f>
        <v>0</v>
      </c>
      <c r="N304" s="49">
        <f t="shared" si="24"/>
        <v>0</v>
      </c>
      <c r="O304" s="49">
        <f>(SUMIFS(LS[Realized Gain],LS[Investor ID],A304,LS[Date Value],"&gt;="&amp;$Z$2,LS[Date Value],"&lt;="&amp;$Z$3))+(SUMIFS(SIP[Realized Gain],SIP[Investor ID],A304,SIP[Date Value],"&gt;="&amp;$Z$2,SIP[Date Value],"&lt;="&amp;$Z$3))</f>
        <v>0</v>
      </c>
      <c r="P304" s="49">
        <v>0</v>
      </c>
      <c r="Q304" s="49">
        <v>0</v>
      </c>
      <c r="R304" s="49">
        <v>0</v>
      </c>
    </row>
    <row r="305" spans="1:18">
      <c r="A305" t="s">
        <v>658</v>
      </c>
      <c r="B305" s="47">
        <f>SUMIFS(LS[Unit],LS[Investor ID],'TAX CERTIFICATE'!A305,LS[Date Value],"&lt;"&amp;$Z$2)+SUMIFS(SIP[Unit],SIP[Investor ID],'TAX CERTIFICATE'!A305,SIP[Date Value],"&lt;"&amp;$Z$2)</f>
        <v>0</v>
      </c>
      <c r="C305" s="48">
        <f>(SUMIFS(LS[Amount],LS[B/S],"B",LS[Investor ID],A305,LS[Date Value],"&lt;"&amp;$Z$2)-SUMIFS(LS[Cost of Units Sold],LS[B/S],"S",LS[Investor ID],A305,LS[Date Value],"&lt;"&amp;$Z$2))+(SUMIFS(SIP[Amount],SIP[B/S],"B",SIP[Investor ID],#REF!,SIP[Date Value],"&lt;"&amp;$Z$2)-SUMIFS(SIP[Cost of Units Sold],SIP[B/S],"S",SIP[Investor ID],A305,SIP[Date Value],"&lt;"&amp;$Z$2))</f>
        <v>0</v>
      </c>
      <c r="D305" s="49">
        <f t="shared" si="20"/>
        <v>0</v>
      </c>
      <c r="E305" s="49">
        <f t="shared" si="21"/>
        <v>0</v>
      </c>
      <c r="F305" s="47">
        <f>SUMIFS(LS[Unit],LS[Investor ID],A305,LS[Date Value],"&lt;="&amp;$Z$3)+SUMIFS(SIP[Unit],SIP[Investor ID],A305,SIP[Date Value],"&lt;="&amp;$Z$3)</f>
        <v>0</v>
      </c>
      <c r="G305" s="49">
        <f>(SUMIFS(LS[Amount],LS[B/S],"B",LS[Investor ID],A305,LS[Date Value],"&lt;="&amp;$Z$3)-SUMIFS(LS[Cost of Units Sold],LS[B/S],"S",LS[Investor ID],A305,LS[Date Value],"&lt;="&amp;$Z$3))+(SUMIFS(SIP[Amount],SIP[B/S],"B",SIP[Investor ID],A305,SIP[Date Value],"&lt;="&amp;$Z$3)-SUMIFS(SIP[Cost of Units Sold],SIP[B/S],"S",SIP[Investor ID],A305,SIP[Date Value],"&lt;="&amp;$Z$3))</f>
        <v>0</v>
      </c>
      <c r="H305" s="49">
        <f t="shared" si="22"/>
        <v>0</v>
      </c>
      <c r="I305" s="49">
        <f t="shared" si="23"/>
        <v>0</v>
      </c>
      <c r="J305" s="47">
        <f>(SUMIFS(LS[Unit],LS[Investor ID],A305,LS[B/S],"B",LS[Date Value],"&gt;="&amp;$Z$2,LS[Date Value],"&lt;="&amp;$Z$3))+(SUMIFS(SIP[Unit],SIP[Investor ID],A305,SIP[B/S],"B",SIP[Date Value],"&gt;="&amp;$Z$2,SIP[Date Value],"&lt;="&amp;$Z$3))</f>
        <v>0</v>
      </c>
      <c r="K305" s="49">
        <f>(SUMIFS(LS[Amount],LS[Investor ID],A305,LS[B/S],"B",LS[Date Value],"&gt;="&amp;$Z$2,LS[Date Value],"&lt;="&amp;$Z$3))+(SUMIFS(SIP[Amount],SIP[Investor ID],A305,SIP[B/S],"B",SIP[Date Value],"&gt;="&amp;$Z$2,SIP[Date Value],"&lt;="&amp;$Z$3))</f>
        <v>0</v>
      </c>
      <c r="L305" s="47">
        <f>(-SUMIFS(LS[Unit],LS[Investor ID],A305,LS[B/S],"S",LS[Date Value],"&gt;="&amp;$Z$2,LS[Date Value],"&lt;="&amp;$Z$3))+(-SUMIFS(SIP[Unit],SIP[Investor ID],A305,SIP[B/S],"S",SIP[Date Value],"&gt;="&amp;$Z$2,SIP[Date Value],"&lt;="&amp;$Z$3))</f>
        <v>0</v>
      </c>
      <c r="M305" s="49">
        <f>(SUMIFS(LS[Cost of Units Sold],LS[Investor ID],A305,LS[B/S],"S",LS[Date Value],"&gt;="&amp;$Z$2,LS[Date Value],"&lt;="&amp;$Z$3))+(SUMIFS(SIP[Cost of Units Sold],SIP[Investor ID],A305,SIP[B/S],"S",SIP[Date Value],"&gt;="&amp;$Z$2,SIP[Date Value],"&lt;="&amp;$Z$3))</f>
        <v>0</v>
      </c>
      <c r="N305" s="49">
        <f t="shared" si="24"/>
        <v>0</v>
      </c>
      <c r="O305" s="49">
        <f>(SUMIFS(LS[Realized Gain],LS[Investor ID],A305,LS[Date Value],"&gt;="&amp;$Z$2,LS[Date Value],"&lt;="&amp;$Z$3))+(SUMIFS(SIP[Realized Gain],SIP[Investor ID],A305,SIP[Date Value],"&gt;="&amp;$Z$2,SIP[Date Value],"&lt;="&amp;$Z$3))</f>
        <v>0</v>
      </c>
      <c r="P305" s="49">
        <v>0</v>
      </c>
      <c r="Q305" s="49">
        <v>0</v>
      </c>
      <c r="R305" s="49">
        <v>0</v>
      </c>
    </row>
    <row r="306" spans="1:18">
      <c r="A306" t="s">
        <v>660</v>
      </c>
      <c r="B306" s="47">
        <f>SUMIFS(LS[Unit],LS[Investor ID],'TAX CERTIFICATE'!A306,LS[Date Value],"&lt;"&amp;$Z$2)+SUMIFS(SIP[Unit],SIP[Investor ID],'TAX CERTIFICATE'!A306,SIP[Date Value],"&lt;"&amp;$Z$2)</f>
        <v>0</v>
      </c>
      <c r="C306" s="48">
        <f>(SUMIFS(LS[Amount],LS[B/S],"B",LS[Investor ID],A306,LS[Date Value],"&lt;"&amp;$Z$2)-SUMIFS(LS[Cost of Units Sold],LS[B/S],"S",LS[Investor ID],A306,LS[Date Value],"&lt;"&amp;$Z$2))+(SUMIFS(SIP[Amount],SIP[B/S],"B",SIP[Investor ID],#REF!,SIP[Date Value],"&lt;"&amp;$Z$2)-SUMIFS(SIP[Cost of Units Sold],SIP[B/S],"S",SIP[Investor ID],A306,SIP[Date Value],"&lt;"&amp;$Z$2))</f>
        <v>0</v>
      </c>
      <c r="D306" s="49">
        <f t="shared" si="20"/>
        <v>0</v>
      </c>
      <c r="E306" s="49">
        <f t="shared" si="21"/>
        <v>0</v>
      </c>
      <c r="F306" s="47">
        <f>SUMIFS(LS[Unit],LS[Investor ID],A306,LS[Date Value],"&lt;="&amp;$Z$3)+SUMIFS(SIP[Unit],SIP[Investor ID],A306,SIP[Date Value],"&lt;="&amp;$Z$3)</f>
        <v>0</v>
      </c>
      <c r="G306" s="49">
        <f>(SUMIFS(LS[Amount],LS[B/S],"B",LS[Investor ID],A306,LS[Date Value],"&lt;="&amp;$Z$3)-SUMIFS(LS[Cost of Units Sold],LS[B/S],"S",LS[Investor ID],A306,LS[Date Value],"&lt;="&amp;$Z$3))+(SUMIFS(SIP[Amount],SIP[B/S],"B",SIP[Investor ID],A306,SIP[Date Value],"&lt;="&amp;$Z$3)-SUMIFS(SIP[Cost of Units Sold],SIP[B/S],"S",SIP[Investor ID],A306,SIP[Date Value],"&lt;="&amp;$Z$3))</f>
        <v>0</v>
      </c>
      <c r="H306" s="49">
        <f t="shared" si="22"/>
        <v>0</v>
      </c>
      <c r="I306" s="49">
        <f t="shared" si="23"/>
        <v>0</v>
      </c>
      <c r="J306" s="47">
        <f>(SUMIFS(LS[Unit],LS[Investor ID],A306,LS[B/S],"B",LS[Date Value],"&gt;="&amp;$Z$2,LS[Date Value],"&lt;="&amp;$Z$3))+(SUMIFS(SIP[Unit],SIP[Investor ID],A306,SIP[B/S],"B",SIP[Date Value],"&gt;="&amp;$Z$2,SIP[Date Value],"&lt;="&amp;$Z$3))</f>
        <v>0</v>
      </c>
      <c r="K306" s="49">
        <f>(SUMIFS(LS[Amount],LS[Investor ID],A306,LS[B/S],"B",LS[Date Value],"&gt;="&amp;$Z$2,LS[Date Value],"&lt;="&amp;$Z$3))+(SUMIFS(SIP[Amount],SIP[Investor ID],A306,SIP[B/S],"B",SIP[Date Value],"&gt;="&amp;$Z$2,SIP[Date Value],"&lt;="&amp;$Z$3))</f>
        <v>0</v>
      </c>
      <c r="L306" s="47">
        <f>(-SUMIFS(LS[Unit],LS[Investor ID],A306,LS[B/S],"S",LS[Date Value],"&gt;="&amp;$Z$2,LS[Date Value],"&lt;="&amp;$Z$3))+(-SUMIFS(SIP[Unit],SIP[Investor ID],A306,SIP[B/S],"S",SIP[Date Value],"&gt;="&amp;$Z$2,SIP[Date Value],"&lt;="&amp;$Z$3))</f>
        <v>0</v>
      </c>
      <c r="M306" s="49">
        <f>(SUMIFS(LS[Cost of Units Sold],LS[Investor ID],A306,LS[B/S],"S",LS[Date Value],"&gt;="&amp;$Z$2,LS[Date Value],"&lt;="&amp;$Z$3))+(SUMIFS(SIP[Cost of Units Sold],SIP[Investor ID],A306,SIP[B/S],"S",SIP[Date Value],"&gt;="&amp;$Z$2,SIP[Date Value],"&lt;="&amp;$Z$3))</f>
        <v>0</v>
      </c>
      <c r="N306" s="49">
        <f t="shared" si="24"/>
        <v>0</v>
      </c>
      <c r="O306" s="49">
        <f>(SUMIFS(LS[Realized Gain],LS[Investor ID],A306,LS[Date Value],"&gt;="&amp;$Z$2,LS[Date Value],"&lt;="&amp;$Z$3))+(SUMIFS(SIP[Realized Gain],SIP[Investor ID],A306,SIP[Date Value],"&gt;="&amp;$Z$2,SIP[Date Value],"&lt;="&amp;$Z$3))</f>
        <v>0</v>
      </c>
      <c r="P306" s="49">
        <v>0</v>
      </c>
      <c r="Q306" s="49">
        <v>0</v>
      </c>
      <c r="R306" s="49">
        <v>0</v>
      </c>
    </row>
    <row r="307" spans="1:18">
      <c r="A307" t="s">
        <v>662</v>
      </c>
      <c r="B307" s="47">
        <f>SUMIFS(LS[Unit],LS[Investor ID],'TAX CERTIFICATE'!A307,LS[Date Value],"&lt;"&amp;$Z$2)+SUMIFS(SIP[Unit],SIP[Investor ID],'TAX CERTIFICATE'!A307,SIP[Date Value],"&lt;"&amp;$Z$2)</f>
        <v>0</v>
      </c>
      <c r="C307" s="48">
        <f>(SUMIFS(LS[Amount],LS[B/S],"B",LS[Investor ID],A307,LS[Date Value],"&lt;"&amp;$Z$2)-SUMIFS(LS[Cost of Units Sold],LS[B/S],"S",LS[Investor ID],A307,LS[Date Value],"&lt;"&amp;$Z$2))+(SUMIFS(SIP[Amount],SIP[B/S],"B",SIP[Investor ID],#REF!,SIP[Date Value],"&lt;"&amp;$Z$2)-SUMIFS(SIP[Cost of Units Sold],SIP[B/S],"S",SIP[Investor ID],A307,SIP[Date Value],"&lt;"&amp;$Z$2))</f>
        <v>0</v>
      </c>
      <c r="D307" s="49">
        <f t="shared" si="20"/>
        <v>0</v>
      </c>
      <c r="E307" s="49">
        <f t="shared" si="21"/>
        <v>0</v>
      </c>
      <c r="F307" s="47">
        <f>SUMIFS(LS[Unit],LS[Investor ID],A307,LS[Date Value],"&lt;="&amp;$Z$3)+SUMIFS(SIP[Unit],SIP[Investor ID],A307,SIP[Date Value],"&lt;="&amp;$Z$3)</f>
        <v>0</v>
      </c>
      <c r="G307" s="49">
        <f>(SUMIFS(LS[Amount],LS[B/S],"B",LS[Investor ID],A307,LS[Date Value],"&lt;="&amp;$Z$3)-SUMIFS(LS[Cost of Units Sold],LS[B/S],"S",LS[Investor ID],A307,LS[Date Value],"&lt;="&amp;$Z$3))+(SUMIFS(SIP[Amount],SIP[B/S],"B",SIP[Investor ID],A307,SIP[Date Value],"&lt;="&amp;$Z$3)-SUMIFS(SIP[Cost of Units Sold],SIP[B/S],"S",SIP[Investor ID],A307,SIP[Date Value],"&lt;="&amp;$Z$3))</f>
        <v>0</v>
      </c>
      <c r="H307" s="49">
        <f t="shared" si="22"/>
        <v>0</v>
      </c>
      <c r="I307" s="49">
        <f t="shared" si="23"/>
        <v>0</v>
      </c>
      <c r="J307" s="47">
        <f>(SUMIFS(LS[Unit],LS[Investor ID],A307,LS[B/S],"B",LS[Date Value],"&gt;="&amp;$Z$2,LS[Date Value],"&lt;="&amp;$Z$3))+(SUMIFS(SIP[Unit],SIP[Investor ID],A307,SIP[B/S],"B",SIP[Date Value],"&gt;="&amp;$Z$2,SIP[Date Value],"&lt;="&amp;$Z$3))</f>
        <v>0</v>
      </c>
      <c r="K307" s="49">
        <f>(SUMIFS(LS[Amount],LS[Investor ID],A307,LS[B/S],"B",LS[Date Value],"&gt;="&amp;$Z$2,LS[Date Value],"&lt;="&amp;$Z$3))+(SUMIFS(SIP[Amount],SIP[Investor ID],A307,SIP[B/S],"B",SIP[Date Value],"&gt;="&amp;$Z$2,SIP[Date Value],"&lt;="&amp;$Z$3))</f>
        <v>0</v>
      </c>
      <c r="L307" s="47">
        <f>(-SUMIFS(LS[Unit],LS[Investor ID],A307,LS[B/S],"S",LS[Date Value],"&gt;="&amp;$Z$2,LS[Date Value],"&lt;="&amp;$Z$3))+(-SUMIFS(SIP[Unit],SIP[Investor ID],A307,SIP[B/S],"S",SIP[Date Value],"&gt;="&amp;$Z$2,SIP[Date Value],"&lt;="&amp;$Z$3))</f>
        <v>0</v>
      </c>
      <c r="M307" s="49">
        <f>(SUMIFS(LS[Cost of Units Sold],LS[Investor ID],A307,LS[B/S],"S",LS[Date Value],"&gt;="&amp;$Z$2,LS[Date Value],"&lt;="&amp;$Z$3))+(SUMIFS(SIP[Cost of Units Sold],SIP[Investor ID],A307,SIP[B/S],"S",SIP[Date Value],"&gt;="&amp;$Z$2,SIP[Date Value],"&lt;="&amp;$Z$3))</f>
        <v>0</v>
      </c>
      <c r="N307" s="49">
        <f t="shared" si="24"/>
        <v>0</v>
      </c>
      <c r="O307" s="49">
        <f>(SUMIFS(LS[Realized Gain],LS[Investor ID],A307,LS[Date Value],"&gt;="&amp;$Z$2,LS[Date Value],"&lt;="&amp;$Z$3))+(SUMIFS(SIP[Realized Gain],SIP[Investor ID],A307,SIP[Date Value],"&gt;="&amp;$Z$2,SIP[Date Value],"&lt;="&amp;$Z$3))</f>
        <v>0</v>
      </c>
      <c r="P307" s="49">
        <v>0</v>
      </c>
      <c r="Q307" s="49">
        <v>0</v>
      </c>
      <c r="R307" s="49">
        <v>0</v>
      </c>
    </row>
    <row r="308" spans="1:18">
      <c r="A308" t="s">
        <v>664</v>
      </c>
      <c r="B308" s="47">
        <f>SUMIFS(LS[Unit],LS[Investor ID],'TAX CERTIFICATE'!A308,LS[Date Value],"&lt;"&amp;$Z$2)+SUMIFS(SIP[Unit],SIP[Investor ID],'TAX CERTIFICATE'!A308,SIP[Date Value],"&lt;"&amp;$Z$2)</f>
        <v>0</v>
      </c>
      <c r="C308" s="48">
        <f>(SUMIFS(LS[Amount],LS[B/S],"B",LS[Investor ID],A308,LS[Date Value],"&lt;"&amp;$Z$2)-SUMIFS(LS[Cost of Units Sold],LS[B/S],"S",LS[Investor ID],A308,LS[Date Value],"&lt;"&amp;$Z$2))+(SUMIFS(SIP[Amount],SIP[B/S],"B",SIP[Investor ID],#REF!,SIP[Date Value],"&lt;"&amp;$Z$2)-SUMIFS(SIP[Cost of Units Sold],SIP[B/S],"S",SIP[Investor ID],A308,SIP[Date Value],"&lt;"&amp;$Z$2))</f>
        <v>0</v>
      </c>
      <c r="D308" s="49">
        <f t="shared" si="20"/>
        <v>0</v>
      </c>
      <c r="E308" s="49">
        <f t="shared" si="21"/>
        <v>0</v>
      </c>
      <c r="F308" s="47">
        <f>SUMIFS(LS[Unit],LS[Investor ID],A308,LS[Date Value],"&lt;="&amp;$Z$3)+SUMIFS(SIP[Unit],SIP[Investor ID],A308,SIP[Date Value],"&lt;="&amp;$Z$3)</f>
        <v>0</v>
      </c>
      <c r="G308" s="49">
        <f>(SUMIFS(LS[Amount],LS[B/S],"B",LS[Investor ID],A308,LS[Date Value],"&lt;="&amp;$Z$3)-SUMIFS(LS[Cost of Units Sold],LS[B/S],"S",LS[Investor ID],A308,LS[Date Value],"&lt;="&amp;$Z$3))+(SUMIFS(SIP[Amount],SIP[B/S],"B",SIP[Investor ID],A308,SIP[Date Value],"&lt;="&amp;$Z$3)-SUMIFS(SIP[Cost of Units Sold],SIP[B/S],"S",SIP[Investor ID],A308,SIP[Date Value],"&lt;="&amp;$Z$3))</f>
        <v>0</v>
      </c>
      <c r="H308" s="49">
        <f t="shared" si="22"/>
        <v>0</v>
      </c>
      <c r="I308" s="49">
        <f t="shared" si="23"/>
        <v>0</v>
      </c>
      <c r="J308" s="47">
        <f>(SUMIFS(LS[Unit],LS[Investor ID],A308,LS[B/S],"B",LS[Date Value],"&gt;="&amp;$Z$2,LS[Date Value],"&lt;="&amp;$Z$3))+(SUMIFS(SIP[Unit],SIP[Investor ID],A308,SIP[B/S],"B",SIP[Date Value],"&gt;="&amp;$Z$2,SIP[Date Value],"&lt;="&amp;$Z$3))</f>
        <v>0</v>
      </c>
      <c r="K308" s="49">
        <f>(SUMIFS(LS[Amount],LS[Investor ID],A308,LS[B/S],"B",LS[Date Value],"&gt;="&amp;$Z$2,LS[Date Value],"&lt;="&amp;$Z$3))+(SUMIFS(SIP[Amount],SIP[Investor ID],A308,SIP[B/S],"B",SIP[Date Value],"&gt;="&amp;$Z$2,SIP[Date Value],"&lt;="&amp;$Z$3))</f>
        <v>0</v>
      </c>
      <c r="L308" s="47">
        <f>(-SUMIFS(LS[Unit],LS[Investor ID],A308,LS[B/S],"S",LS[Date Value],"&gt;="&amp;$Z$2,LS[Date Value],"&lt;="&amp;$Z$3))+(-SUMIFS(SIP[Unit],SIP[Investor ID],A308,SIP[B/S],"S",SIP[Date Value],"&gt;="&amp;$Z$2,SIP[Date Value],"&lt;="&amp;$Z$3))</f>
        <v>0</v>
      </c>
      <c r="M308" s="49">
        <f>(SUMIFS(LS[Cost of Units Sold],LS[Investor ID],A308,LS[B/S],"S",LS[Date Value],"&gt;="&amp;$Z$2,LS[Date Value],"&lt;="&amp;$Z$3))+(SUMIFS(SIP[Cost of Units Sold],SIP[Investor ID],A308,SIP[B/S],"S",SIP[Date Value],"&gt;="&amp;$Z$2,SIP[Date Value],"&lt;="&amp;$Z$3))</f>
        <v>0</v>
      </c>
      <c r="N308" s="49">
        <f t="shared" si="24"/>
        <v>0</v>
      </c>
      <c r="O308" s="49">
        <f>(SUMIFS(LS[Realized Gain],LS[Investor ID],A308,LS[Date Value],"&gt;="&amp;$Z$2,LS[Date Value],"&lt;="&amp;$Z$3))+(SUMIFS(SIP[Realized Gain],SIP[Investor ID],A308,SIP[Date Value],"&gt;="&amp;$Z$2,SIP[Date Value],"&lt;="&amp;$Z$3))</f>
        <v>0</v>
      </c>
      <c r="P308" s="49">
        <v>0</v>
      </c>
      <c r="Q308" s="49">
        <v>0</v>
      </c>
      <c r="R308" s="49">
        <v>0</v>
      </c>
    </row>
    <row r="309" spans="1:18">
      <c r="A309" t="s">
        <v>666</v>
      </c>
      <c r="B309" s="47">
        <f>SUMIFS(LS[Unit],LS[Investor ID],'TAX CERTIFICATE'!A309,LS[Date Value],"&lt;"&amp;$Z$2)+SUMIFS(SIP[Unit],SIP[Investor ID],'TAX CERTIFICATE'!A309,SIP[Date Value],"&lt;"&amp;$Z$2)</f>
        <v>0</v>
      </c>
      <c r="C309" s="48">
        <f>(SUMIFS(LS[Amount],LS[B/S],"B",LS[Investor ID],A309,LS[Date Value],"&lt;"&amp;$Z$2)-SUMIFS(LS[Cost of Units Sold],LS[B/S],"S",LS[Investor ID],A309,LS[Date Value],"&lt;"&amp;$Z$2))+(SUMIFS(SIP[Amount],SIP[B/S],"B",SIP[Investor ID],#REF!,SIP[Date Value],"&lt;"&amp;$Z$2)-SUMIFS(SIP[Cost of Units Sold],SIP[B/S],"S",SIP[Investor ID],A309,SIP[Date Value],"&lt;"&amp;$Z$2))</f>
        <v>0</v>
      </c>
      <c r="D309" s="49">
        <f t="shared" si="20"/>
        <v>0</v>
      </c>
      <c r="E309" s="49">
        <f t="shared" si="21"/>
        <v>0</v>
      </c>
      <c r="F309" s="47">
        <f>SUMIFS(LS[Unit],LS[Investor ID],A309,LS[Date Value],"&lt;="&amp;$Z$3)+SUMIFS(SIP[Unit],SIP[Investor ID],A309,SIP[Date Value],"&lt;="&amp;$Z$3)</f>
        <v>0</v>
      </c>
      <c r="G309" s="49">
        <f>(SUMIFS(LS[Amount],LS[B/S],"B",LS[Investor ID],A309,LS[Date Value],"&lt;="&amp;$Z$3)-SUMIFS(LS[Cost of Units Sold],LS[B/S],"S",LS[Investor ID],A309,LS[Date Value],"&lt;="&amp;$Z$3))+(SUMIFS(SIP[Amount],SIP[B/S],"B",SIP[Investor ID],A309,SIP[Date Value],"&lt;="&amp;$Z$3)-SUMIFS(SIP[Cost of Units Sold],SIP[B/S],"S",SIP[Investor ID],A309,SIP[Date Value],"&lt;="&amp;$Z$3))</f>
        <v>0</v>
      </c>
      <c r="H309" s="49">
        <f t="shared" si="22"/>
        <v>0</v>
      </c>
      <c r="I309" s="49">
        <f t="shared" si="23"/>
        <v>0</v>
      </c>
      <c r="J309" s="47">
        <f>(SUMIFS(LS[Unit],LS[Investor ID],A309,LS[B/S],"B",LS[Date Value],"&gt;="&amp;$Z$2,LS[Date Value],"&lt;="&amp;$Z$3))+(SUMIFS(SIP[Unit],SIP[Investor ID],A309,SIP[B/S],"B",SIP[Date Value],"&gt;="&amp;$Z$2,SIP[Date Value],"&lt;="&amp;$Z$3))</f>
        <v>0</v>
      </c>
      <c r="K309" s="49">
        <f>(SUMIFS(LS[Amount],LS[Investor ID],A309,LS[B/S],"B",LS[Date Value],"&gt;="&amp;$Z$2,LS[Date Value],"&lt;="&amp;$Z$3))+(SUMIFS(SIP[Amount],SIP[Investor ID],A309,SIP[B/S],"B",SIP[Date Value],"&gt;="&amp;$Z$2,SIP[Date Value],"&lt;="&amp;$Z$3))</f>
        <v>0</v>
      </c>
      <c r="L309" s="47">
        <f>(-SUMIFS(LS[Unit],LS[Investor ID],A309,LS[B/S],"S",LS[Date Value],"&gt;="&amp;$Z$2,LS[Date Value],"&lt;="&amp;$Z$3))+(-SUMIFS(SIP[Unit],SIP[Investor ID],A309,SIP[B/S],"S",SIP[Date Value],"&gt;="&amp;$Z$2,SIP[Date Value],"&lt;="&amp;$Z$3))</f>
        <v>0</v>
      </c>
      <c r="M309" s="49">
        <f>(SUMIFS(LS[Cost of Units Sold],LS[Investor ID],A309,LS[B/S],"S",LS[Date Value],"&gt;="&amp;$Z$2,LS[Date Value],"&lt;="&amp;$Z$3))+(SUMIFS(SIP[Cost of Units Sold],SIP[Investor ID],A309,SIP[B/S],"S",SIP[Date Value],"&gt;="&amp;$Z$2,SIP[Date Value],"&lt;="&amp;$Z$3))</f>
        <v>0</v>
      </c>
      <c r="N309" s="49">
        <f t="shared" si="24"/>
        <v>0</v>
      </c>
      <c r="O309" s="49">
        <f>(SUMIFS(LS[Realized Gain],LS[Investor ID],A309,LS[Date Value],"&gt;="&amp;$Z$2,LS[Date Value],"&lt;="&amp;$Z$3))+(SUMIFS(SIP[Realized Gain],SIP[Investor ID],A309,SIP[Date Value],"&gt;="&amp;$Z$2,SIP[Date Value],"&lt;="&amp;$Z$3))</f>
        <v>0</v>
      </c>
      <c r="P309" s="49">
        <v>0</v>
      </c>
      <c r="Q309" s="49">
        <v>0</v>
      </c>
      <c r="R309" s="49">
        <v>0</v>
      </c>
    </row>
    <row r="310" spans="1:18">
      <c r="A310" t="s">
        <v>668</v>
      </c>
      <c r="B310" s="47">
        <f>SUMIFS(LS[Unit],LS[Investor ID],'TAX CERTIFICATE'!A310,LS[Date Value],"&lt;"&amp;$Z$2)+SUMIFS(SIP[Unit],SIP[Investor ID],'TAX CERTIFICATE'!A310,SIP[Date Value],"&lt;"&amp;$Z$2)</f>
        <v>0</v>
      </c>
      <c r="C310" s="48">
        <f>(SUMIFS(LS[Amount],LS[B/S],"B",LS[Investor ID],A310,LS[Date Value],"&lt;"&amp;$Z$2)-SUMIFS(LS[Cost of Units Sold],LS[B/S],"S",LS[Investor ID],A310,LS[Date Value],"&lt;"&amp;$Z$2))+(SUMIFS(SIP[Amount],SIP[B/S],"B",SIP[Investor ID],#REF!,SIP[Date Value],"&lt;"&amp;$Z$2)-SUMIFS(SIP[Cost of Units Sold],SIP[B/S],"S",SIP[Investor ID],A310,SIP[Date Value],"&lt;"&amp;$Z$2))</f>
        <v>0</v>
      </c>
      <c r="D310" s="49">
        <f t="shared" si="20"/>
        <v>0</v>
      </c>
      <c r="E310" s="49">
        <f t="shared" si="21"/>
        <v>0</v>
      </c>
      <c r="F310" s="47">
        <f>SUMIFS(LS[Unit],LS[Investor ID],A310,LS[Date Value],"&lt;="&amp;$Z$3)+SUMIFS(SIP[Unit],SIP[Investor ID],A310,SIP[Date Value],"&lt;="&amp;$Z$3)</f>
        <v>0</v>
      </c>
      <c r="G310" s="49">
        <f>(SUMIFS(LS[Amount],LS[B/S],"B",LS[Investor ID],A310,LS[Date Value],"&lt;="&amp;$Z$3)-SUMIFS(LS[Cost of Units Sold],LS[B/S],"S",LS[Investor ID],A310,LS[Date Value],"&lt;="&amp;$Z$3))+(SUMIFS(SIP[Amount],SIP[B/S],"B",SIP[Investor ID],A310,SIP[Date Value],"&lt;="&amp;$Z$3)-SUMIFS(SIP[Cost of Units Sold],SIP[B/S],"S",SIP[Investor ID],A310,SIP[Date Value],"&lt;="&amp;$Z$3))</f>
        <v>0</v>
      </c>
      <c r="H310" s="49">
        <f t="shared" si="22"/>
        <v>0</v>
      </c>
      <c r="I310" s="49">
        <f t="shared" si="23"/>
        <v>0</v>
      </c>
      <c r="J310" s="47">
        <f>(SUMIFS(LS[Unit],LS[Investor ID],A310,LS[B/S],"B",LS[Date Value],"&gt;="&amp;$Z$2,LS[Date Value],"&lt;="&amp;$Z$3))+(SUMIFS(SIP[Unit],SIP[Investor ID],A310,SIP[B/S],"B",SIP[Date Value],"&gt;="&amp;$Z$2,SIP[Date Value],"&lt;="&amp;$Z$3))</f>
        <v>0</v>
      </c>
      <c r="K310" s="49">
        <f>(SUMIFS(LS[Amount],LS[Investor ID],A310,LS[B/S],"B",LS[Date Value],"&gt;="&amp;$Z$2,LS[Date Value],"&lt;="&amp;$Z$3))+(SUMIFS(SIP[Amount],SIP[Investor ID],A310,SIP[B/S],"B",SIP[Date Value],"&gt;="&amp;$Z$2,SIP[Date Value],"&lt;="&amp;$Z$3))</f>
        <v>0</v>
      </c>
      <c r="L310" s="47">
        <f>(-SUMIFS(LS[Unit],LS[Investor ID],A310,LS[B/S],"S",LS[Date Value],"&gt;="&amp;$Z$2,LS[Date Value],"&lt;="&amp;$Z$3))+(-SUMIFS(SIP[Unit],SIP[Investor ID],A310,SIP[B/S],"S",SIP[Date Value],"&gt;="&amp;$Z$2,SIP[Date Value],"&lt;="&amp;$Z$3))</f>
        <v>0</v>
      </c>
      <c r="M310" s="49">
        <f>(SUMIFS(LS[Cost of Units Sold],LS[Investor ID],A310,LS[B/S],"S",LS[Date Value],"&gt;="&amp;$Z$2,LS[Date Value],"&lt;="&amp;$Z$3))+(SUMIFS(SIP[Cost of Units Sold],SIP[Investor ID],A310,SIP[B/S],"S",SIP[Date Value],"&gt;="&amp;$Z$2,SIP[Date Value],"&lt;="&amp;$Z$3))</f>
        <v>0</v>
      </c>
      <c r="N310" s="49">
        <f t="shared" si="24"/>
        <v>0</v>
      </c>
      <c r="O310" s="49">
        <f>(SUMIFS(LS[Realized Gain],LS[Investor ID],A310,LS[Date Value],"&gt;="&amp;$Z$2,LS[Date Value],"&lt;="&amp;$Z$3))+(SUMIFS(SIP[Realized Gain],SIP[Investor ID],A310,SIP[Date Value],"&gt;="&amp;$Z$2,SIP[Date Value],"&lt;="&amp;$Z$3))</f>
        <v>0</v>
      </c>
      <c r="P310" s="49">
        <v>0</v>
      </c>
      <c r="Q310" s="49">
        <v>0</v>
      </c>
      <c r="R310" s="49">
        <v>0</v>
      </c>
    </row>
    <row r="311" spans="1:18">
      <c r="A311" t="s">
        <v>670</v>
      </c>
      <c r="B311" s="47">
        <f>SUMIFS(LS[Unit],LS[Investor ID],'TAX CERTIFICATE'!A311,LS[Date Value],"&lt;"&amp;$Z$2)+SUMIFS(SIP[Unit],SIP[Investor ID],'TAX CERTIFICATE'!A311,SIP[Date Value],"&lt;"&amp;$Z$2)</f>
        <v>0</v>
      </c>
      <c r="C311" s="48">
        <f>(SUMIFS(LS[Amount],LS[B/S],"B",LS[Investor ID],A311,LS[Date Value],"&lt;"&amp;$Z$2)-SUMIFS(LS[Cost of Units Sold],LS[B/S],"S",LS[Investor ID],A311,LS[Date Value],"&lt;"&amp;$Z$2))+(SUMIFS(SIP[Amount],SIP[B/S],"B",SIP[Investor ID],#REF!,SIP[Date Value],"&lt;"&amp;$Z$2)-SUMIFS(SIP[Cost of Units Sold],SIP[B/S],"S",SIP[Investor ID],A311,SIP[Date Value],"&lt;"&amp;$Z$2))</f>
        <v>0</v>
      </c>
      <c r="D311" s="49">
        <f t="shared" si="20"/>
        <v>0</v>
      </c>
      <c r="E311" s="49">
        <f t="shared" si="21"/>
        <v>0</v>
      </c>
      <c r="F311" s="47">
        <f>SUMIFS(LS[Unit],LS[Investor ID],A311,LS[Date Value],"&lt;="&amp;$Z$3)+SUMIFS(SIP[Unit],SIP[Investor ID],A311,SIP[Date Value],"&lt;="&amp;$Z$3)</f>
        <v>0</v>
      </c>
      <c r="G311" s="49">
        <f>(SUMIFS(LS[Amount],LS[B/S],"B",LS[Investor ID],A311,LS[Date Value],"&lt;="&amp;$Z$3)-SUMIFS(LS[Cost of Units Sold],LS[B/S],"S",LS[Investor ID],A311,LS[Date Value],"&lt;="&amp;$Z$3))+(SUMIFS(SIP[Amount],SIP[B/S],"B",SIP[Investor ID],A311,SIP[Date Value],"&lt;="&amp;$Z$3)-SUMIFS(SIP[Cost of Units Sold],SIP[B/S],"S",SIP[Investor ID],A311,SIP[Date Value],"&lt;="&amp;$Z$3))</f>
        <v>0</v>
      </c>
      <c r="H311" s="49">
        <f t="shared" si="22"/>
        <v>0</v>
      </c>
      <c r="I311" s="49">
        <f t="shared" si="23"/>
        <v>0</v>
      </c>
      <c r="J311" s="47">
        <f>(SUMIFS(LS[Unit],LS[Investor ID],A311,LS[B/S],"B",LS[Date Value],"&gt;="&amp;$Z$2,LS[Date Value],"&lt;="&amp;$Z$3))+(SUMIFS(SIP[Unit],SIP[Investor ID],A311,SIP[B/S],"B",SIP[Date Value],"&gt;="&amp;$Z$2,SIP[Date Value],"&lt;="&amp;$Z$3))</f>
        <v>0</v>
      </c>
      <c r="K311" s="49">
        <f>(SUMIFS(LS[Amount],LS[Investor ID],A311,LS[B/S],"B",LS[Date Value],"&gt;="&amp;$Z$2,LS[Date Value],"&lt;="&amp;$Z$3))+(SUMIFS(SIP[Amount],SIP[Investor ID],A311,SIP[B/S],"B",SIP[Date Value],"&gt;="&amp;$Z$2,SIP[Date Value],"&lt;="&amp;$Z$3))</f>
        <v>0</v>
      </c>
      <c r="L311" s="47">
        <f>(-SUMIFS(LS[Unit],LS[Investor ID],A311,LS[B/S],"S",LS[Date Value],"&gt;="&amp;$Z$2,LS[Date Value],"&lt;="&amp;$Z$3))+(-SUMIFS(SIP[Unit],SIP[Investor ID],A311,SIP[B/S],"S",SIP[Date Value],"&gt;="&amp;$Z$2,SIP[Date Value],"&lt;="&amp;$Z$3))</f>
        <v>0</v>
      </c>
      <c r="M311" s="49">
        <f>(SUMIFS(LS[Cost of Units Sold],LS[Investor ID],A311,LS[B/S],"S",LS[Date Value],"&gt;="&amp;$Z$2,LS[Date Value],"&lt;="&amp;$Z$3))+(SUMIFS(SIP[Cost of Units Sold],SIP[Investor ID],A311,SIP[B/S],"S",SIP[Date Value],"&gt;="&amp;$Z$2,SIP[Date Value],"&lt;="&amp;$Z$3))</f>
        <v>0</v>
      </c>
      <c r="N311" s="49">
        <f t="shared" si="24"/>
        <v>0</v>
      </c>
      <c r="O311" s="49">
        <f>(SUMIFS(LS[Realized Gain],LS[Investor ID],A311,LS[Date Value],"&gt;="&amp;$Z$2,LS[Date Value],"&lt;="&amp;$Z$3))+(SUMIFS(SIP[Realized Gain],SIP[Investor ID],A311,SIP[Date Value],"&gt;="&amp;$Z$2,SIP[Date Value],"&lt;="&amp;$Z$3))</f>
        <v>0</v>
      </c>
      <c r="P311" s="49">
        <v>0</v>
      </c>
      <c r="Q311" s="49">
        <v>0</v>
      </c>
      <c r="R311" s="49">
        <v>0</v>
      </c>
    </row>
    <row r="312" spans="1:18">
      <c r="A312" t="s">
        <v>672</v>
      </c>
      <c r="B312" s="47">
        <f>SUMIFS(LS[Unit],LS[Investor ID],'TAX CERTIFICATE'!A312,LS[Date Value],"&lt;"&amp;$Z$2)+SUMIFS(SIP[Unit],SIP[Investor ID],'TAX CERTIFICATE'!A312,SIP[Date Value],"&lt;"&amp;$Z$2)</f>
        <v>0</v>
      </c>
      <c r="C312" s="48">
        <f>(SUMIFS(LS[Amount],LS[B/S],"B",LS[Investor ID],A312,LS[Date Value],"&lt;"&amp;$Z$2)-SUMIFS(LS[Cost of Units Sold],LS[B/S],"S",LS[Investor ID],A312,LS[Date Value],"&lt;"&amp;$Z$2))+(SUMIFS(SIP[Amount],SIP[B/S],"B",SIP[Investor ID],#REF!,SIP[Date Value],"&lt;"&amp;$Z$2)-SUMIFS(SIP[Cost of Units Sold],SIP[B/S],"S",SIP[Investor ID],A312,SIP[Date Value],"&lt;"&amp;$Z$2))</f>
        <v>0</v>
      </c>
      <c r="D312" s="49">
        <f t="shared" si="20"/>
        <v>0</v>
      </c>
      <c r="E312" s="49">
        <f t="shared" si="21"/>
        <v>0</v>
      </c>
      <c r="F312" s="47">
        <f>SUMIFS(LS[Unit],LS[Investor ID],A312,LS[Date Value],"&lt;="&amp;$Z$3)+SUMIFS(SIP[Unit],SIP[Investor ID],A312,SIP[Date Value],"&lt;="&amp;$Z$3)</f>
        <v>0</v>
      </c>
      <c r="G312" s="49">
        <f>(SUMIFS(LS[Amount],LS[B/S],"B",LS[Investor ID],A312,LS[Date Value],"&lt;="&amp;$Z$3)-SUMIFS(LS[Cost of Units Sold],LS[B/S],"S",LS[Investor ID],A312,LS[Date Value],"&lt;="&amp;$Z$3))+(SUMIFS(SIP[Amount],SIP[B/S],"B",SIP[Investor ID],A312,SIP[Date Value],"&lt;="&amp;$Z$3)-SUMIFS(SIP[Cost of Units Sold],SIP[B/S],"S",SIP[Investor ID],A312,SIP[Date Value],"&lt;="&amp;$Z$3))</f>
        <v>0</v>
      </c>
      <c r="H312" s="49">
        <f t="shared" si="22"/>
        <v>0</v>
      </c>
      <c r="I312" s="49">
        <f t="shared" si="23"/>
        <v>0</v>
      </c>
      <c r="J312" s="47">
        <f>(SUMIFS(LS[Unit],LS[Investor ID],A312,LS[B/S],"B",LS[Date Value],"&gt;="&amp;$Z$2,LS[Date Value],"&lt;="&amp;$Z$3))+(SUMIFS(SIP[Unit],SIP[Investor ID],A312,SIP[B/S],"B",SIP[Date Value],"&gt;="&amp;$Z$2,SIP[Date Value],"&lt;="&amp;$Z$3))</f>
        <v>0</v>
      </c>
      <c r="K312" s="49">
        <f>(SUMIFS(LS[Amount],LS[Investor ID],A312,LS[B/S],"B",LS[Date Value],"&gt;="&amp;$Z$2,LS[Date Value],"&lt;="&amp;$Z$3))+(SUMIFS(SIP[Amount],SIP[Investor ID],A312,SIP[B/S],"B",SIP[Date Value],"&gt;="&amp;$Z$2,SIP[Date Value],"&lt;="&amp;$Z$3))</f>
        <v>0</v>
      </c>
      <c r="L312" s="47">
        <f>(-SUMIFS(LS[Unit],LS[Investor ID],A312,LS[B/S],"S",LS[Date Value],"&gt;="&amp;$Z$2,LS[Date Value],"&lt;="&amp;$Z$3))+(-SUMIFS(SIP[Unit],SIP[Investor ID],A312,SIP[B/S],"S",SIP[Date Value],"&gt;="&amp;$Z$2,SIP[Date Value],"&lt;="&amp;$Z$3))</f>
        <v>0</v>
      </c>
      <c r="M312" s="49">
        <f>(SUMIFS(LS[Cost of Units Sold],LS[Investor ID],A312,LS[B/S],"S",LS[Date Value],"&gt;="&amp;$Z$2,LS[Date Value],"&lt;="&amp;$Z$3))+(SUMIFS(SIP[Cost of Units Sold],SIP[Investor ID],A312,SIP[B/S],"S",SIP[Date Value],"&gt;="&amp;$Z$2,SIP[Date Value],"&lt;="&amp;$Z$3))</f>
        <v>0</v>
      </c>
      <c r="N312" s="49">
        <f t="shared" si="24"/>
        <v>0</v>
      </c>
      <c r="O312" s="49">
        <f>(SUMIFS(LS[Realized Gain],LS[Investor ID],A312,LS[Date Value],"&gt;="&amp;$Z$2,LS[Date Value],"&lt;="&amp;$Z$3))+(SUMIFS(SIP[Realized Gain],SIP[Investor ID],A312,SIP[Date Value],"&gt;="&amp;$Z$2,SIP[Date Value],"&lt;="&amp;$Z$3))</f>
        <v>0</v>
      </c>
      <c r="P312" s="49">
        <v>0</v>
      </c>
      <c r="Q312" s="49">
        <v>0</v>
      </c>
      <c r="R312" s="49">
        <v>0</v>
      </c>
    </row>
    <row r="313" spans="1:18">
      <c r="A313" t="s">
        <v>674</v>
      </c>
      <c r="B313" s="47">
        <f>SUMIFS(LS[Unit],LS[Investor ID],'TAX CERTIFICATE'!A313,LS[Date Value],"&lt;"&amp;$Z$2)+SUMIFS(SIP[Unit],SIP[Investor ID],'TAX CERTIFICATE'!A313,SIP[Date Value],"&lt;"&amp;$Z$2)</f>
        <v>0</v>
      </c>
      <c r="C313" s="48">
        <f>(SUMIFS(LS[Amount],LS[B/S],"B",LS[Investor ID],A313,LS[Date Value],"&lt;"&amp;$Z$2)-SUMIFS(LS[Cost of Units Sold],LS[B/S],"S",LS[Investor ID],A313,LS[Date Value],"&lt;"&amp;$Z$2))+(SUMIFS(SIP[Amount],SIP[B/S],"B",SIP[Investor ID],#REF!,SIP[Date Value],"&lt;"&amp;$Z$2)-SUMIFS(SIP[Cost of Units Sold],SIP[B/S],"S",SIP[Investor ID],A313,SIP[Date Value],"&lt;"&amp;$Z$2))</f>
        <v>0</v>
      </c>
      <c r="D313" s="49">
        <f t="shared" si="20"/>
        <v>0</v>
      </c>
      <c r="E313" s="49">
        <f t="shared" si="21"/>
        <v>0</v>
      </c>
      <c r="F313" s="47">
        <f>SUMIFS(LS[Unit],LS[Investor ID],A313,LS[Date Value],"&lt;="&amp;$Z$3)+SUMIFS(SIP[Unit],SIP[Investor ID],A313,SIP[Date Value],"&lt;="&amp;$Z$3)</f>
        <v>0</v>
      </c>
      <c r="G313" s="49">
        <f>(SUMIFS(LS[Amount],LS[B/S],"B",LS[Investor ID],A313,LS[Date Value],"&lt;="&amp;$Z$3)-SUMIFS(LS[Cost of Units Sold],LS[B/S],"S",LS[Investor ID],A313,LS[Date Value],"&lt;="&amp;$Z$3))+(SUMIFS(SIP[Amount],SIP[B/S],"B",SIP[Investor ID],A313,SIP[Date Value],"&lt;="&amp;$Z$3)-SUMIFS(SIP[Cost of Units Sold],SIP[B/S],"S",SIP[Investor ID],A313,SIP[Date Value],"&lt;="&amp;$Z$3))</f>
        <v>0</v>
      </c>
      <c r="H313" s="49">
        <f t="shared" si="22"/>
        <v>0</v>
      </c>
      <c r="I313" s="49">
        <f t="shared" si="23"/>
        <v>0</v>
      </c>
      <c r="J313" s="47">
        <f>(SUMIFS(LS[Unit],LS[Investor ID],A313,LS[B/S],"B",LS[Date Value],"&gt;="&amp;$Z$2,LS[Date Value],"&lt;="&amp;$Z$3))+(SUMIFS(SIP[Unit],SIP[Investor ID],A313,SIP[B/S],"B",SIP[Date Value],"&gt;="&amp;$Z$2,SIP[Date Value],"&lt;="&amp;$Z$3))</f>
        <v>0</v>
      </c>
      <c r="K313" s="49">
        <f>(SUMIFS(LS[Amount],LS[Investor ID],A313,LS[B/S],"B",LS[Date Value],"&gt;="&amp;$Z$2,LS[Date Value],"&lt;="&amp;$Z$3))+(SUMIFS(SIP[Amount],SIP[Investor ID],A313,SIP[B/S],"B",SIP[Date Value],"&gt;="&amp;$Z$2,SIP[Date Value],"&lt;="&amp;$Z$3))</f>
        <v>0</v>
      </c>
      <c r="L313" s="47">
        <f>(-SUMIFS(LS[Unit],LS[Investor ID],A313,LS[B/S],"S",LS[Date Value],"&gt;="&amp;$Z$2,LS[Date Value],"&lt;="&amp;$Z$3))+(-SUMIFS(SIP[Unit],SIP[Investor ID],A313,SIP[B/S],"S",SIP[Date Value],"&gt;="&amp;$Z$2,SIP[Date Value],"&lt;="&amp;$Z$3))</f>
        <v>0</v>
      </c>
      <c r="M313" s="49">
        <f>(SUMIFS(LS[Cost of Units Sold],LS[Investor ID],A313,LS[B/S],"S",LS[Date Value],"&gt;="&amp;$Z$2,LS[Date Value],"&lt;="&amp;$Z$3))+(SUMIFS(SIP[Cost of Units Sold],SIP[Investor ID],A313,SIP[B/S],"S",SIP[Date Value],"&gt;="&amp;$Z$2,SIP[Date Value],"&lt;="&amp;$Z$3))</f>
        <v>0</v>
      </c>
      <c r="N313" s="49">
        <f t="shared" si="24"/>
        <v>0</v>
      </c>
      <c r="O313" s="49">
        <f>(SUMIFS(LS[Realized Gain],LS[Investor ID],A313,LS[Date Value],"&gt;="&amp;$Z$2,LS[Date Value],"&lt;="&amp;$Z$3))+(SUMIFS(SIP[Realized Gain],SIP[Investor ID],A313,SIP[Date Value],"&gt;="&amp;$Z$2,SIP[Date Value],"&lt;="&amp;$Z$3))</f>
        <v>0</v>
      </c>
      <c r="P313" s="49">
        <v>0</v>
      </c>
      <c r="Q313" s="49">
        <v>0</v>
      </c>
      <c r="R313" s="49">
        <v>0</v>
      </c>
    </row>
    <row r="314" spans="1:18">
      <c r="A314" t="s">
        <v>676</v>
      </c>
      <c r="B314" s="47">
        <f>SUMIFS(LS[Unit],LS[Investor ID],'TAX CERTIFICATE'!A314,LS[Date Value],"&lt;"&amp;$Z$2)+SUMIFS(SIP[Unit],SIP[Investor ID],'TAX CERTIFICATE'!A314,SIP[Date Value],"&lt;"&amp;$Z$2)</f>
        <v>0</v>
      </c>
      <c r="C314" s="48">
        <f>(SUMIFS(LS[Amount],LS[B/S],"B",LS[Investor ID],A314,LS[Date Value],"&lt;"&amp;$Z$2)-SUMIFS(LS[Cost of Units Sold],LS[B/S],"S",LS[Investor ID],A314,LS[Date Value],"&lt;"&amp;$Z$2))+(SUMIFS(SIP[Amount],SIP[B/S],"B",SIP[Investor ID],#REF!,SIP[Date Value],"&lt;"&amp;$Z$2)-SUMIFS(SIP[Cost of Units Sold],SIP[B/S],"S",SIP[Investor ID],A314,SIP[Date Value],"&lt;"&amp;$Z$2))</f>
        <v>0</v>
      </c>
      <c r="D314" s="49">
        <f t="shared" si="20"/>
        <v>0</v>
      </c>
      <c r="E314" s="49">
        <f t="shared" si="21"/>
        <v>0</v>
      </c>
      <c r="F314" s="47">
        <f>SUMIFS(LS[Unit],LS[Investor ID],A314,LS[Date Value],"&lt;="&amp;$Z$3)+SUMIFS(SIP[Unit],SIP[Investor ID],A314,SIP[Date Value],"&lt;="&amp;$Z$3)</f>
        <v>0</v>
      </c>
      <c r="G314" s="49">
        <f>(SUMIFS(LS[Amount],LS[B/S],"B",LS[Investor ID],A314,LS[Date Value],"&lt;="&amp;$Z$3)-SUMIFS(LS[Cost of Units Sold],LS[B/S],"S",LS[Investor ID],A314,LS[Date Value],"&lt;="&amp;$Z$3))+(SUMIFS(SIP[Amount],SIP[B/S],"B",SIP[Investor ID],A314,SIP[Date Value],"&lt;="&amp;$Z$3)-SUMIFS(SIP[Cost of Units Sold],SIP[B/S],"S",SIP[Investor ID],A314,SIP[Date Value],"&lt;="&amp;$Z$3))</f>
        <v>0</v>
      </c>
      <c r="H314" s="49">
        <f t="shared" si="22"/>
        <v>0</v>
      </c>
      <c r="I314" s="49">
        <f t="shared" si="23"/>
        <v>0</v>
      </c>
      <c r="J314" s="47">
        <f>(SUMIFS(LS[Unit],LS[Investor ID],A314,LS[B/S],"B",LS[Date Value],"&gt;="&amp;$Z$2,LS[Date Value],"&lt;="&amp;$Z$3))+(SUMIFS(SIP[Unit],SIP[Investor ID],A314,SIP[B/S],"B",SIP[Date Value],"&gt;="&amp;$Z$2,SIP[Date Value],"&lt;="&amp;$Z$3))</f>
        <v>0</v>
      </c>
      <c r="K314" s="49">
        <f>(SUMIFS(LS[Amount],LS[Investor ID],A314,LS[B/S],"B",LS[Date Value],"&gt;="&amp;$Z$2,LS[Date Value],"&lt;="&amp;$Z$3))+(SUMIFS(SIP[Amount],SIP[Investor ID],A314,SIP[B/S],"B",SIP[Date Value],"&gt;="&amp;$Z$2,SIP[Date Value],"&lt;="&amp;$Z$3))</f>
        <v>0</v>
      </c>
      <c r="L314" s="47">
        <f>(-SUMIFS(LS[Unit],LS[Investor ID],A314,LS[B/S],"S",LS[Date Value],"&gt;="&amp;$Z$2,LS[Date Value],"&lt;="&amp;$Z$3))+(-SUMIFS(SIP[Unit],SIP[Investor ID],A314,SIP[B/S],"S",SIP[Date Value],"&gt;="&amp;$Z$2,SIP[Date Value],"&lt;="&amp;$Z$3))</f>
        <v>0</v>
      </c>
      <c r="M314" s="49">
        <f>(SUMIFS(LS[Cost of Units Sold],LS[Investor ID],A314,LS[B/S],"S",LS[Date Value],"&gt;="&amp;$Z$2,LS[Date Value],"&lt;="&amp;$Z$3))+(SUMIFS(SIP[Cost of Units Sold],SIP[Investor ID],A314,SIP[B/S],"S",SIP[Date Value],"&gt;="&amp;$Z$2,SIP[Date Value],"&lt;="&amp;$Z$3))</f>
        <v>0</v>
      </c>
      <c r="N314" s="49">
        <f t="shared" si="24"/>
        <v>0</v>
      </c>
      <c r="O314" s="49">
        <f>(SUMIFS(LS[Realized Gain],LS[Investor ID],A314,LS[Date Value],"&gt;="&amp;$Z$2,LS[Date Value],"&lt;="&amp;$Z$3))+(SUMIFS(SIP[Realized Gain],SIP[Investor ID],A314,SIP[Date Value],"&gt;="&amp;$Z$2,SIP[Date Value],"&lt;="&amp;$Z$3))</f>
        <v>0</v>
      </c>
      <c r="P314" s="49">
        <v>0</v>
      </c>
      <c r="Q314" s="49">
        <v>0</v>
      </c>
      <c r="R314" s="49">
        <v>0</v>
      </c>
    </row>
    <row r="315" spans="1:18">
      <c r="A315" t="s">
        <v>678</v>
      </c>
      <c r="B315" s="47">
        <f>SUMIFS(LS[Unit],LS[Investor ID],'TAX CERTIFICATE'!A315,LS[Date Value],"&lt;"&amp;$Z$2)+SUMIFS(SIP[Unit],SIP[Investor ID],'TAX CERTIFICATE'!A315,SIP[Date Value],"&lt;"&amp;$Z$2)</f>
        <v>0</v>
      </c>
      <c r="C315" s="48">
        <f>(SUMIFS(LS[Amount],LS[B/S],"B",LS[Investor ID],A315,LS[Date Value],"&lt;"&amp;$Z$2)-SUMIFS(LS[Cost of Units Sold],LS[B/S],"S",LS[Investor ID],A315,LS[Date Value],"&lt;"&amp;$Z$2))+(SUMIFS(SIP[Amount],SIP[B/S],"B",SIP[Investor ID],#REF!,SIP[Date Value],"&lt;"&amp;$Z$2)-SUMIFS(SIP[Cost of Units Sold],SIP[B/S],"S",SIP[Investor ID],A315,SIP[Date Value],"&lt;"&amp;$Z$2))</f>
        <v>0</v>
      </c>
      <c r="D315" s="49">
        <f t="shared" si="20"/>
        <v>0</v>
      </c>
      <c r="E315" s="49">
        <f t="shared" si="21"/>
        <v>0</v>
      </c>
      <c r="F315" s="47">
        <f>SUMIFS(LS[Unit],LS[Investor ID],A315,LS[Date Value],"&lt;="&amp;$Z$3)+SUMIFS(SIP[Unit],SIP[Investor ID],A315,SIP[Date Value],"&lt;="&amp;$Z$3)</f>
        <v>0</v>
      </c>
      <c r="G315" s="49">
        <f>(SUMIFS(LS[Amount],LS[B/S],"B",LS[Investor ID],A315,LS[Date Value],"&lt;="&amp;$Z$3)-SUMIFS(LS[Cost of Units Sold],LS[B/S],"S",LS[Investor ID],A315,LS[Date Value],"&lt;="&amp;$Z$3))+(SUMIFS(SIP[Amount],SIP[B/S],"B",SIP[Investor ID],A315,SIP[Date Value],"&lt;="&amp;$Z$3)-SUMIFS(SIP[Cost of Units Sold],SIP[B/S],"S",SIP[Investor ID],A315,SIP[Date Value],"&lt;="&amp;$Z$3))</f>
        <v>0</v>
      </c>
      <c r="H315" s="49">
        <f t="shared" si="22"/>
        <v>0</v>
      </c>
      <c r="I315" s="49">
        <f t="shared" si="23"/>
        <v>0</v>
      </c>
      <c r="J315" s="47">
        <f>(SUMIFS(LS[Unit],LS[Investor ID],A315,LS[B/S],"B",LS[Date Value],"&gt;="&amp;$Z$2,LS[Date Value],"&lt;="&amp;$Z$3))+(SUMIFS(SIP[Unit],SIP[Investor ID],A315,SIP[B/S],"B",SIP[Date Value],"&gt;="&amp;$Z$2,SIP[Date Value],"&lt;="&amp;$Z$3))</f>
        <v>0</v>
      </c>
      <c r="K315" s="49">
        <f>(SUMIFS(LS[Amount],LS[Investor ID],A315,LS[B/S],"B",LS[Date Value],"&gt;="&amp;$Z$2,LS[Date Value],"&lt;="&amp;$Z$3))+(SUMIFS(SIP[Amount],SIP[Investor ID],A315,SIP[B/S],"B",SIP[Date Value],"&gt;="&amp;$Z$2,SIP[Date Value],"&lt;="&amp;$Z$3))</f>
        <v>0</v>
      </c>
      <c r="L315" s="47">
        <f>(-SUMIFS(LS[Unit],LS[Investor ID],A315,LS[B/S],"S",LS[Date Value],"&gt;="&amp;$Z$2,LS[Date Value],"&lt;="&amp;$Z$3))+(-SUMIFS(SIP[Unit],SIP[Investor ID],A315,SIP[B/S],"S",SIP[Date Value],"&gt;="&amp;$Z$2,SIP[Date Value],"&lt;="&amp;$Z$3))</f>
        <v>0</v>
      </c>
      <c r="M315" s="49">
        <f>(SUMIFS(LS[Cost of Units Sold],LS[Investor ID],A315,LS[B/S],"S",LS[Date Value],"&gt;="&amp;$Z$2,LS[Date Value],"&lt;="&amp;$Z$3))+(SUMIFS(SIP[Cost of Units Sold],SIP[Investor ID],A315,SIP[B/S],"S",SIP[Date Value],"&gt;="&amp;$Z$2,SIP[Date Value],"&lt;="&amp;$Z$3))</f>
        <v>0</v>
      </c>
      <c r="N315" s="49">
        <f t="shared" si="24"/>
        <v>0</v>
      </c>
      <c r="O315" s="49">
        <f>(SUMIFS(LS[Realized Gain],LS[Investor ID],A315,LS[Date Value],"&gt;="&amp;$Z$2,LS[Date Value],"&lt;="&amp;$Z$3))+(SUMIFS(SIP[Realized Gain],SIP[Investor ID],A315,SIP[Date Value],"&gt;="&amp;$Z$2,SIP[Date Value],"&lt;="&amp;$Z$3))</f>
        <v>0</v>
      </c>
      <c r="P315" s="49">
        <v>0</v>
      </c>
      <c r="Q315" s="49">
        <v>0</v>
      </c>
      <c r="R315" s="49">
        <v>0</v>
      </c>
    </row>
    <row r="316" spans="1:18">
      <c r="A316" t="s">
        <v>680</v>
      </c>
      <c r="B316" s="47">
        <f>SUMIFS(LS[Unit],LS[Investor ID],'TAX CERTIFICATE'!A316,LS[Date Value],"&lt;"&amp;$Z$2)+SUMIFS(SIP[Unit],SIP[Investor ID],'TAX CERTIFICATE'!A316,SIP[Date Value],"&lt;"&amp;$Z$2)</f>
        <v>0</v>
      </c>
      <c r="C316" s="48">
        <f>(SUMIFS(LS[Amount],LS[B/S],"B",LS[Investor ID],A316,LS[Date Value],"&lt;"&amp;$Z$2)-SUMIFS(LS[Cost of Units Sold],LS[B/S],"S",LS[Investor ID],A316,LS[Date Value],"&lt;"&amp;$Z$2))+(SUMIFS(SIP[Amount],SIP[B/S],"B",SIP[Investor ID],#REF!,SIP[Date Value],"&lt;"&amp;$Z$2)-SUMIFS(SIP[Cost of Units Sold],SIP[B/S],"S",SIP[Investor ID],A316,SIP[Date Value],"&lt;"&amp;$Z$2))</f>
        <v>0</v>
      </c>
      <c r="D316" s="49">
        <f t="shared" si="20"/>
        <v>0</v>
      </c>
      <c r="E316" s="49">
        <f t="shared" si="21"/>
        <v>0</v>
      </c>
      <c r="F316" s="47">
        <f>SUMIFS(LS[Unit],LS[Investor ID],A316,LS[Date Value],"&lt;="&amp;$Z$3)+SUMIFS(SIP[Unit],SIP[Investor ID],A316,SIP[Date Value],"&lt;="&amp;$Z$3)</f>
        <v>0</v>
      </c>
      <c r="G316" s="49">
        <f>(SUMIFS(LS[Amount],LS[B/S],"B",LS[Investor ID],A316,LS[Date Value],"&lt;="&amp;$Z$3)-SUMIFS(LS[Cost of Units Sold],LS[B/S],"S",LS[Investor ID],A316,LS[Date Value],"&lt;="&amp;$Z$3))+(SUMIFS(SIP[Amount],SIP[B/S],"B",SIP[Investor ID],A316,SIP[Date Value],"&lt;="&amp;$Z$3)-SUMIFS(SIP[Cost of Units Sold],SIP[B/S],"S",SIP[Investor ID],A316,SIP[Date Value],"&lt;="&amp;$Z$3))</f>
        <v>0</v>
      </c>
      <c r="H316" s="49">
        <f t="shared" si="22"/>
        <v>0</v>
      </c>
      <c r="I316" s="49">
        <f t="shared" si="23"/>
        <v>0</v>
      </c>
      <c r="J316" s="47">
        <f>(SUMIFS(LS[Unit],LS[Investor ID],A316,LS[B/S],"B",LS[Date Value],"&gt;="&amp;$Z$2,LS[Date Value],"&lt;="&amp;$Z$3))+(SUMIFS(SIP[Unit],SIP[Investor ID],A316,SIP[B/S],"B",SIP[Date Value],"&gt;="&amp;$Z$2,SIP[Date Value],"&lt;="&amp;$Z$3))</f>
        <v>0</v>
      </c>
      <c r="K316" s="49">
        <f>(SUMIFS(LS[Amount],LS[Investor ID],A316,LS[B/S],"B",LS[Date Value],"&gt;="&amp;$Z$2,LS[Date Value],"&lt;="&amp;$Z$3))+(SUMIFS(SIP[Amount],SIP[Investor ID],A316,SIP[B/S],"B",SIP[Date Value],"&gt;="&amp;$Z$2,SIP[Date Value],"&lt;="&amp;$Z$3))</f>
        <v>0</v>
      </c>
      <c r="L316" s="47">
        <f>(-SUMIFS(LS[Unit],LS[Investor ID],A316,LS[B/S],"S",LS[Date Value],"&gt;="&amp;$Z$2,LS[Date Value],"&lt;="&amp;$Z$3))+(-SUMIFS(SIP[Unit],SIP[Investor ID],A316,SIP[B/S],"S",SIP[Date Value],"&gt;="&amp;$Z$2,SIP[Date Value],"&lt;="&amp;$Z$3))</f>
        <v>0</v>
      </c>
      <c r="M316" s="49">
        <f>(SUMIFS(LS[Cost of Units Sold],LS[Investor ID],A316,LS[B/S],"S",LS[Date Value],"&gt;="&amp;$Z$2,LS[Date Value],"&lt;="&amp;$Z$3))+(SUMIFS(SIP[Cost of Units Sold],SIP[Investor ID],A316,SIP[B/S],"S",SIP[Date Value],"&gt;="&amp;$Z$2,SIP[Date Value],"&lt;="&amp;$Z$3))</f>
        <v>0</v>
      </c>
      <c r="N316" s="49">
        <f t="shared" si="24"/>
        <v>0</v>
      </c>
      <c r="O316" s="49">
        <f>(SUMIFS(LS[Realized Gain],LS[Investor ID],A316,LS[Date Value],"&gt;="&amp;$Z$2,LS[Date Value],"&lt;="&amp;$Z$3))+(SUMIFS(SIP[Realized Gain],SIP[Investor ID],A316,SIP[Date Value],"&gt;="&amp;$Z$2,SIP[Date Value],"&lt;="&amp;$Z$3))</f>
        <v>0</v>
      </c>
      <c r="P316" s="49">
        <v>0</v>
      </c>
      <c r="Q316" s="49">
        <v>0</v>
      </c>
      <c r="R316" s="49">
        <v>0</v>
      </c>
    </row>
    <row r="317" spans="1:18">
      <c r="A317" t="s">
        <v>682</v>
      </c>
      <c r="B317" s="47">
        <f>SUMIFS(LS[Unit],LS[Investor ID],'TAX CERTIFICATE'!A317,LS[Date Value],"&lt;"&amp;$Z$2)+SUMIFS(SIP[Unit],SIP[Investor ID],'TAX CERTIFICATE'!A317,SIP[Date Value],"&lt;"&amp;$Z$2)</f>
        <v>0</v>
      </c>
      <c r="C317" s="48">
        <f>(SUMIFS(LS[Amount],LS[B/S],"B",LS[Investor ID],A317,LS[Date Value],"&lt;"&amp;$Z$2)-SUMIFS(LS[Cost of Units Sold],LS[B/S],"S",LS[Investor ID],A317,LS[Date Value],"&lt;"&amp;$Z$2))+(SUMIFS(SIP[Amount],SIP[B/S],"B",SIP[Investor ID],#REF!,SIP[Date Value],"&lt;"&amp;$Z$2)-SUMIFS(SIP[Cost of Units Sold],SIP[B/S],"S",SIP[Investor ID],A317,SIP[Date Value],"&lt;"&amp;$Z$2))</f>
        <v>0</v>
      </c>
      <c r="D317" s="49">
        <f t="shared" si="20"/>
        <v>0</v>
      </c>
      <c r="E317" s="49">
        <f t="shared" si="21"/>
        <v>0</v>
      </c>
      <c r="F317" s="47">
        <f>SUMIFS(LS[Unit],LS[Investor ID],A317,LS[Date Value],"&lt;="&amp;$Z$3)+SUMIFS(SIP[Unit],SIP[Investor ID],A317,SIP[Date Value],"&lt;="&amp;$Z$3)</f>
        <v>0</v>
      </c>
      <c r="G317" s="49">
        <f>(SUMIFS(LS[Amount],LS[B/S],"B",LS[Investor ID],A317,LS[Date Value],"&lt;="&amp;$Z$3)-SUMIFS(LS[Cost of Units Sold],LS[B/S],"S",LS[Investor ID],A317,LS[Date Value],"&lt;="&amp;$Z$3))+(SUMIFS(SIP[Amount],SIP[B/S],"B",SIP[Investor ID],A317,SIP[Date Value],"&lt;="&amp;$Z$3)-SUMIFS(SIP[Cost of Units Sold],SIP[B/S],"S",SIP[Investor ID],A317,SIP[Date Value],"&lt;="&amp;$Z$3))</f>
        <v>0</v>
      </c>
      <c r="H317" s="49">
        <f t="shared" si="22"/>
        <v>0</v>
      </c>
      <c r="I317" s="49">
        <f t="shared" si="23"/>
        <v>0</v>
      </c>
      <c r="J317" s="47">
        <f>(SUMIFS(LS[Unit],LS[Investor ID],A317,LS[B/S],"B",LS[Date Value],"&gt;="&amp;$Z$2,LS[Date Value],"&lt;="&amp;$Z$3))+(SUMIFS(SIP[Unit],SIP[Investor ID],A317,SIP[B/S],"B",SIP[Date Value],"&gt;="&amp;$Z$2,SIP[Date Value],"&lt;="&amp;$Z$3))</f>
        <v>0</v>
      </c>
      <c r="K317" s="49">
        <f>(SUMIFS(LS[Amount],LS[Investor ID],A317,LS[B/S],"B",LS[Date Value],"&gt;="&amp;$Z$2,LS[Date Value],"&lt;="&amp;$Z$3))+(SUMIFS(SIP[Amount],SIP[Investor ID],A317,SIP[B/S],"B",SIP[Date Value],"&gt;="&amp;$Z$2,SIP[Date Value],"&lt;="&amp;$Z$3))</f>
        <v>0</v>
      </c>
      <c r="L317" s="47">
        <f>(-SUMIFS(LS[Unit],LS[Investor ID],A317,LS[B/S],"S",LS[Date Value],"&gt;="&amp;$Z$2,LS[Date Value],"&lt;="&amp;$Z$3))+(-SUMIFS(SIP[Unit],SIP[Investor ID],A317,SIP[B/S],"S",SIP[Date Value],"&gt;="&amp;$Z$2,SIP[Date Value],"&lt;="&amp;$Z$3))</f>
        <v>0</v>
      </c>
      <c r="M317" s="49">
        <f>(SUMIFS(LS[Cost of Units Sold],LS[Investor ID],A317,LS[B/S],"S",LS[Date Value],"&gt;="&amp;$Z$2,LS[Date Value],"&lt;="&amp;$Z$3))+(SUMIFS(SIP[Cost of Units Sold],SIP[Investor ID],A317,SIP[B/S],"S",SIP[Date Value],"&gt;="&amp;$Z$2,SIP[Date Value],"&lt;="&amp;$Z$3))</f>
        <v>0</v>
      </c>
      <c r="N317" s="49">
        <f t="shared" si="24"/>
        <v>0</v>
      </c>
      <c r="O317" s="49">
        <f>(SUMIFS(LS[Realized Gain],LS[Investor ID],A317,LS[Date Value],"&gt;="&amp;$Z$2,LS[Date Value],"&lt;="&amp;$Z$3))+(SUMIFS(SIP[Realized Gain],SIP[Investor ID],A317,SIP[Date Value],"&gt;="&amp;$Z$2,SIP[Date Value],"&lt;="&amp;$Z$3))</f>
        <v>0</v>
      </c>
      <c r="P317" s="49">
        <v>0</v>
      </c>
      <c r="Q317" s="49">
        <v>0</v>
      </c>
      <c r="R317" s="49">
        <v>0</v>
      </c>
    </row>
    <row r="318" spans="1:18">
      <c r="A318" t="s">
        <v>684</v>
      </c>
      <c r="B318" s="47">
        <f>SUMIFS(LS[Unit],LS[Investor ID],'TAX CERTIFICATE'!A318,LS[Date Value],"&lt;"&amp;$Z$2)+SUMIFS(SIP[Unit],SIP[Investor ID],'TAX CERTIFICATE'!A318,SIP[Date Value],"&lt;"&amp;$Z$2)</f>
        <v>0</v>
      </c>
      <c r="C318" s="48">
        <f>(SUMIFS(LS[Amount],LS[B/S],"B",LS[Investor ID],A318,LS[Date Value],"&lt;"&amp;$Z$2)-SUMIFS(LS[Cost of Units Sold],LS[B/S],"S",LS[Investor ID],A318,LS[Date Value],"&lt;"&amp;$Z$2))+(SUMIFS(SIP[Amount],SIP[B/S],"B",SIP[Investor ID],#REF!,SIP[Date Value],"&lt;"&amp;$Z$2)-SUMIFS(SIP[Cost of Units Sold],SIP[B/S],"S",SIP[Investor ID],A318,SIP[Date Value],"&lt;"&amp;$Z$2))</f>
        <v>0</v>
      </c>
      <c r="D318" s="49">
        <f t="shared" si="20"/>
        <v>0</v>
      </c>
      <c r="E318" s="49">
        <f t="shared" si="21"/>
        <v>0</v>
      </c>
      <c r="F318" s="47">
        <f>SUMIFS(LS[Unit],LS[Investor ID],A318,LS[Date Value],"&lt;="&amp;$Z$3)+SUMIFS(SIP[Unit],SIP[Investor ID],A318,SIP[Date Value],"&lt;="&amp;$Z$3)</f>
        <v>0</v>
      </c>
      <c r="G318" s="49">
        <f>(SUMIFS(LS[Amount],LS[B/S],"B",LS[Investor ID],A318,LS[Date Value],"&lt;="&amp;$Z$3)-SUMIFS(LS[Cost of Units Sold],LS[B/S],"S",LS[Investor ID],A318,LS[Date Value],"&lt;="&amp;$Z$3))+(SUMIFS(SIP[Amount],SIP[B/S],"B",SIP[Investor ID],A318,SIP[Date Value],"&lt;="&amp;$Z$3)-SUMIFS(SIP[Cost of Units Sold],SIP[B/S],"S",SIP[Investor ID],A318,SIP[Date Value],"&lt;="&amp;$Z$3))</f>
        <v>0</v>
      </c>
      <c r="H318" s="49">
        <f t="shared" si="22"/>
        <v>0</v>
      </c>
      <c r="I318" s="49">
        <f t="shared" si="23"/>
        <v>0</v>
      </c>
      <c r="J318" s="47">
        <f>(SUMIFS(LS[Unit],LS[Investor ID],A318,LS[B/S],"B",LS[Date Value],"&gt;="&amp;$Z$2,LS[Date Value],"&lt;="&amp;$Z$3))+(SUMIFS(SIP[Unit],SIP[Investor ID],A318,SIP[B/S],"B",SIP[Date Value],"&gt;="&amp;$Z$2,SIP[Date Value],"&lt;="&amp;$Z$3))</f>
        <v>0</v>
      </c>
      <c r="K318" s="49">
        <f>(SUMIFS(LS[Amount],LS[Investor ID],A318,LS[B/S],"B",LS[Date Value],"&gt;="&amp;$Z$2,LS[Date Value],"&lt;="&amp;$Z$3))+(SUMIFS(SIP[Amount],SIP[Investor ID],A318,SIP[B/S],"B",SIP[Date Value],"&gt;="&amp;$Z$2,SIP[Date Value],"&lt;="&amp;$Z$3))</f>
        <v>0</v>
      </c>
      <c r="L318" s="47">
        <f>(-SUMIFS(LS[Unit],LS[Investor ID],A318,LS[B/S],"S",LS[Date Value],"&gt;="&amp;$Z$2,LS[Date Value],"&lt;="&amp;$Z$3))+(-SUMIFS(SIP[Unit],SIP[Investor ID],A318,SIP[B/S],"S",SIP[Date Value],"&gt;="&amp;$Z$2,SIP[Date Value],"&lt;="&amp;$Z$3))</f>
        <v>0</v>
      </c>
      <c r="M318" s="49">
        <f>(SUMIFS(LS[Cost of Units Sold],LS[Investor ID],A318,LS[B/S],"S",LS[Date Value],"&gt;="&amp;$Z$2,LS[Date Value],"&lt;="&amp;$Z$3))+(SUMIFS(SIP[Cost of Units Sold],SIP[Investor ID],A318,SIP[B/S],"S",SIP[Date Value],"&gt;="&amp;$Z$2,SIP[Date Value],"&lt;="&amp;$Z$3))</f>
        <v>0</v>
      </c>
      <c r="N318" s="49">
        <f t="shared" si="24"/>
        <v>0</v>
      </c>
      <c r="O318" s="49">
        <f>(SUMIFS(LS[Realized Gain],LS[Investor ID],A318,LS[Date Value],"&gt;="&amp;$Z$2,LS[Date Value],"&lt;="&amp;$Z$3))+(SUMIFS(SIP[Realized Gain],SIP[Investor ID],A318,SIP[Date Value],"&gt;="&amp;$Z$2,SIP[Date Value],"&lt;="&amp;$Z$3))</f>
        <v>0</v>
      </c>
      <c r="P318" s="49">
        <v>0</v>
      </c>
      <c r="Q318" s="49">
        <v>0</v>
      </c>
      <c r="R318" s="49">
        <v>0</v>
      </c>
    </row>
    <row r="319" spans="1:18">
      <c r="A319" t="s">
        <v>686</v>
      </c>
      <c r="B319" s="47">
        <f>SUMIFS(LS[Unit],LS[Investor ID],'TAX CERTIFICATE'!A319,LS[Date Value],"&lt;"&amp;$Z$2)+SUMIFS(SIP[Unit],SIP[Investor ID],'TAX CERTIFICATE'!A319,SIP[Date Value],"&lt;"&amp;$Z$2)</f>
        <v>0</v>
      </c>
      <c r="C319" s="48">
        <f>(SUMIFS(LS[Amount],LS[B/S],"B",LS[Investor ID],A319,LS[Date Value],"&lt;"&amp;$Z$2)-SUMIFS(LS[Cost of Units Sold],LS[B/S],"S",LS[Investor ID],A319,LS[Date Value],"&lt;"&amp;$Z$2))+(SUMIFS(SIP[Amount],SIP[B/S],"B",SIP[Investor ID],#REF!,SIP[Date Value],"&lt;"&amp;$Z$2)-SUMIFS(SIP[Cost of Units Sold],SIP[B/S],"S",SIP[Investor ID],A319,SIP[Date Value],"&lt;"&amp;$Z$2))</f>
        <v>0</v>
      </c>
      <c r="D319" s="49">
        <f t="shared" si="20"/>
        <v>0</v>
      </c>
      <c r="E319" s="49">
        <f t="shared" si="21"/>
        <v>0</v>
      </c>
      <c r="F319" s="47">
        <f>SUMIFS(LS[Unit],LS[Investor ID],A319,LS[Date Value],"&lt;="&amp;$Z$3)+SUMIFS(SIP[Unit],SIP[Investor ID],A319,SIP[Date Value],"&lt;="&amp;$Z$3)</f>
        <v>0</v>
      </c>
      <c r="G319" s="49">
        <f>(SUMIFS(LS[Amount],LS[B/S],"B",LS[Investor ID],A319,LS[Date Value],"&lt;="&amp;$Z$3)-SUMIFS(LS[Cost of Units Sold],LS[B/S],"S",LS[Investor ID],A319,LS[Date Value],"&lt;="&amp;$Z$3))+(SUMIFS(SIP[Amount],SIP[B/S],"B",SIP[Investor ID],A319,SIP[Date Value],"&lt;="&amp;$Z$3)-SUMIFS(SIP[Cost of Units Sold],SIP[B/S],"S",SIP[Investor ID],A319,SIP[Date Value],"&lt;="&amp;$Z$3))</f>
        <v>0</v>
      </c>
      <c r="H319" s="49">
        <f t="shared" si="22"/>
        <v>0</v>
      </c>
      <c r="I319" s="49">
        <f t="shared" si="23"/>
        <v>0</v>
      </c>
      <c r="J319" s="47">
        <f>(SUMIFS(LS[Unit],LS[Investor ID],A319,LS[B/S],"B",LS[Date Value],"&gt;="&amp;$Z$2,LS[Date Value],"&lt;="&amp;$Z$3))+(SUMIFS(SIP[Unit],SIP[Investor ID],A319,SIP[B/S],"B",SIP[Date Value],"&gt;="&amp;$Z$2,SIP[Date Value],"&lt;="&amp;$Z$3))</f>
        <v>0</v>
      </c>
      <c r="K319" s="49">
        <f>(SUMIFS(LS[Amount],LS[Investor ID],A319,LS[B/S],"B",LS[Date Value],"&gt;="&amp;$Z$2,LS[Date Value],"&lt;="&amp;$Z$3))+(SUMIFS(SIP[Amount],SIP[Investor ID],A319,SIP[B/S],"B",SIP[Date Value],"&gt;="&amp;$Z$2,SIP[Date Value],"&lt;="&amp;$Z$3))</f>
        <v>0</v>
      </c>
      <c r="L319" s="47">
        <f>(-SUMIFS(LS[Unit],LS[Investor ID],A319,LS[B/S],"S",LS[Date Value],"&gt;="&amp;$Z$2,LS[Date Value],"&lt;="&amp;$Z$3))+(-SUMIFS(SIP[Unit],SIP[Investor ID],A319,SIP[B/S],"S",SIP[Date Value],"&gt;="&amp;$Z$2,SIP[Date Value],"&lt;="&amp;$Z$3))</f>
        <v>0</v>
      </c>
      <c r="M319" s="49">
        <f>(SUMIFS(LS[Cost of Units Sold],LS[Investor ID],A319,LS[B/S],"S",LS[Date Value],"&gt;="&amp;$Z$2,LS[Date Value],"&lt;="&amp;$Z$3))+(SUMIFS(SIP[Cost of Units Sold],SIP[Investor ID],A319,SIP[B/S],"S",SIP[Date Value],"&gt;="&amp;$Z$2,SIP[Date Value],"&lt;="&amp;$Z$3))</f>
        <v>0</v>
      </c>
      <c r="N319" s="49">
        <f t="shared" si="24"/>
        <v>0</v>
      </c>
      <c r="O319" s="49">
        <f>(SUMIFS(LS[Realized Gain],LS[Investor ID],A319,LS[Date Value],"&gt;="&amp;$Z$2,LS[Date Value],"&lt;="&amp;$Z$3))+(SUMIFS(SIP[Realized Gain],SIP[Investor ID],A319,SIP[Date Value],"&gt;="&amp;$Z$2,SIP[Date Value],"&lt;="&amp;$Z$3))</f>
        <v>0</v>
      </c>
      <c r="P319" s="49">
        <v>0</v>
      </c>
      <c r="Q319" s="49">
        <v>0</v>
      </c>
      <c r="R319" s="49">
        <v>0</v>
      </c>
    </row>
    <row r="320" spans="1:18">
      <c r="A320" t="s">
        <v>688</v>
      </c>
      <c r="B320" s="47">
        <f>SUMIFS(LS[Unit],LS[Investor ID],'TAX CERTIFICATE'!A320,LS[Date Value],"&lt;"&amp;$Z$2)+SUMIFS(SIP[Unit],SIP[Investor ID],'TAX CERTIFICATE'!A320,SIP[Date Value],"&lt;"&amp;$Z$2)</f>
        <v>20000</v>
      </c>
      <c r="C320" s="48">
        <f>(SUMIFS(LS[Amount],LS[B/S],"B",LS[Investor ID],A320,LS[Date Value],"&lt;"&amp;$Z$2)-SUMIFS(LS[Cost of Units Sold],LS[B/S],"S",LS[Investor ID],A320,LS[Date Value],"&lt;"&amp;$Z$2))+(SUMIFS(SIP[Amount],SIP[B/S],"B",SIP[Investor ID],#REF!,SIP[Date Value],"&lt;"&amp;$Z$2)-SUMIFS(SIP[Cost of Units Sold],SIP[B/S],"S",SIP[Investor ID],A320,SIP[Date Value],"&lt;"&amp;$Z$2))</f>
        <v>200000</v>
      </c>
      <c r="D320" s="49">
        <f t="shared" si="20"/>
        <v>205420.00000000003</v>
      </c>
      <c r="E320" s="49">
        <f t="shared" si="21"/>
        <v>5420.0000000000291</v>
      </c>
      <c r="F320" s="47">
        <f>SUMIFS(LS[Unit],LS[Investor ID],A320,LS[Date Value],"&lt;="&amp;$Z$3)+SUMIFS(SIP[Unit],SIP[Investor ID],A320,SIP[Date Value],"&lt;="&amp;$Z$3)</f>
        <v>0</v>
      </c>
      <c r="G320" s="49">
        <f>(SUMIFS(LS[Amount],LS[B/S],"B",LS[Investor ID],A320,LS[Date Value],"&lt;="&amp;$Z$3)-SUMIFS(LS[Cost of Units Sold],LS[B/S],"S",LS[Investor ID],A320,LS[Date Value],"&lt;="&amp;$Z$3))+(SUMIFS(SIP[Amount],SIP[B/S],"B",SIP[Investor ID],A320,SIP[Date Value],"&lt;="&amp;$Z$3)-SUMIFS(SIP[Cost of Units Sold],SIP[B/S],"S",SIP[Investor ID],A320,SIP[Date Value],"&lt;="&amp;$Z$3))</f>
        <v>0</v>
      </c>
      <c r="H320" s="49">
        <f t="shared" si="22"/>
        <v>0</v>
      </c>
      <c r="I320" s="49">
        <f t="shared" si="23"/>
        <v>0</v>
      </c>
      <c r="J320" s="47">
        <f>(SUMIFS(LS[Unit],LS[Investor ID],A320,LS[B/S],"B",LS[Date Value],"&gt;="&amp;$Z$2,LS[Date Value],"&lt;="&amp;$Z$3))+(SUMIFS(SIP[Unit],SIP[Investor ID],A320,SIP[B/S],"B",SIP[Date Value],"&gt;="&amp;$Z$2,SIP[Date Value],"&lt;="&amp;$Z$3))</f>
        <v>0</v>
      </c>
      <c r="K320" s="49">
        <f>(SUMIFS(LS[Amount],LS[Investor ID],A320,LS[B/S],"B",LS[Date Value],"&gt;="&amp;$Z$2,LS[Date Value],"&lt;="&amp;$Z$3))+(SUMIFS(SIP[Amount],SIP[Investor ID],A320,SIP[B/S],"B",SIP[Date Value],"&gt;="&amp;$Z$2,SIP[Date Value],"&lt;="&amp;$Z$3))</f>
        <v>0</v>
      </c>
      <c r="L320" s="47">
        <f>(-SUMIFS(LS[Unit],LS[Investor ID],A320,LS[B/S],"S",LS[Date Value],"&gt;="&amp;$Z$2,LS[Date Value],"&lt;="&amp;$Z$3))+(-SUMIFS(SIP[Unit],SIP[Investor ID],A320,SIP[B/S],"S",SIP[Date Value],"&gt;="&amp;$Z$2,SIP[Date Value],"&lt;="&amp;$Z$3))</f>
        <v>20000</v>
      </c>
      <c r="M320" s="49">
        <f>(SUMIFS(LS[Cost of Units Sold],LS[Investor ID],A320,LS[B/S],"S",LS[Date Value],"&gt;="&amp;$Z$2,LS[Date Value],"&lt;="&amp;$Z$3))+(SUMIFS(SIP[Cost of Units Sold],SIP[Investor ID],A320,SIP[B/S],"S",SIP[Date Value],"&gt;="&amp;$Z$2,SIP[Date Value],"&lt;="&amp;$Z$3))</f>
        <v>200000</v>
      </c>
      <c r="N320" s="49">
        <f t="shared" si="24"/>
        <v>-200000</v>
      </c>
      <c r="O320" s="49">
        <f>(SUMIFS(LS[Realized Gain],LS[Investor ID],A320,LS[Date Value],"&gt;="&amp;$Z$2,LS[Date Value],"&lt;="&amp;$Z$3))+(SUMIFS(SIP[Realized Gain],SIP[Investor ID],A320,SIP[Date Value],"&gt;="&amp;$Z$2,SIP[Date Value],"&lt;="&amp;$Z$3))</f>
        <v>8159.9999999999891</v>
      </c>
      <c r="P320" s="49">
        <v>0</v>
      </c>
      <c r="Q320" s="49">
        <v>0</v>
      </c>
      <c r="R320" s="49">
        <v>0</v>
      </c>
    </row>
    <row r="321" spans="1:18">
      <c r="A321" t="s">
        <v>690</v>
      </c>
      <c r="B321" s="47">
        <f>SUMIFS(LS[Unit],LS[Investor ID],'TAX CERTIFICATE'!A321,LS[Date Value],"&lt;"&amp;$Z$2)+SUMIFS(SIP[Unit],SIP[Investor ID],'TAX CERTIFICATE'!A321,SIP[Date Value],"&lt;"&amp;$Z$2)</f>
        <v>0</v>
      </c>
      <c r="C321" s="48">
        <f>(SUMIFS(LS[Amount],LS[B/S],"B",LS[Investor ID],A321,LS[Date Value],"&lt;"&amp;$Z$2)-SUMIFS(LS[Cost of Units Sold],LS[B/S],"S",LS[Investor ID],A321,LS[Date Value],"&lt;"&amp;$Z$2))+(SUMIFS(SIP[Amount],SIP[B/S],"B",SIP[Investor ID],#REF!,SIP[Date Value],"&lt;"&amp;$Z$2)-SUMIFS(SIP[Cost of Units Sold],SIP[B/S],"S",SIP[Investor ID],A321,SIP[Date Value],"&lt;"&amp;$Z$2))</f>
        <v>0</v>
      </c>
      <c r="D321" s="49">
        <f t="shared" si="20"/>
        <v>0</v>
      </c>
      <c r="E321" s="49">
        <f t="shared" si="21"/>
        <v>0</v>
      </c>
      <c r="F321" s="47">
        <f>SUMIFS(LS[Unit],LS[Investor ID],A321,LS[Date Value],"&lt;="&amp;$Z$3)+SUMIFS(SIP[Unit],SIP[Investor ID],A321,SIP[Date Value],"&lt;="&amp;$Z$3)</f>
        <v>0</v>
      </c>
      <c r="G321" s="49">
        <f>(SUMIFS(LS[Amount],LS[B/S],"B",LS[Investor ID],A321,LS[Date Value],"&lt;="&amp;$Z$3)-SUMIFS(LS[Cost of Units Sold],LS[B/S],"S",LS[Investor ID],A321,LS[Date Value],"&lt;="&amp;$Z$3))+(SUMIFS(SIP[Amount],SIP[B/S],"B",SIP[Investor ID],A321,SIP[Date Value],"&lt;="&amp;$Z$3)-SUMIFS(SIP[Cost of Units Sold],SIP[B/S],"S",SIP[Investor ID],A321,SIP[Date Value],"&lt;="&amp;$Z$3))</f>
        <v>0</v>
      </c>
      <c r="H321" s="49">
        <f t="shared" si="22"/>
        <v>0</v>
      </c>
      <c r="I321" s="49">
        <f t="shared" si="23"/>
        <v>0</v>
      </c>
      <c r="J321" s="47">
        <f>(SUMIFS(LS[Unit],LS[Investor ID],A321,LS[B/S],"B",LS[Date Value],"&gt;="&amp;$Z$2,LS[Date Value],"&lt;="&amp;$Z$3))+(SUMIFS(SIP[Unit],SIP[Investor ID],A321,SIP[B/S],"B",SIP[Date Value],"&gt;="&amp;$Z$2,SIP[Date Value],"&lt;="&amp;$Z$3))</f>
        <v>0</v>
      </c>
      <c r="K321" s="49">
        <f>(SUMIFS(LS[Amount],LS[Investor ID],A321,LS[B/S],"B",LS[Date Value],"&gt;="&amp;$Z$2,LS[Date Value],"&lt;="&amp;$Z$3))+(SUMIFS(SIP[Amount],SIP[Investor ID],A321,SIP[B/S],"B",SIP[Date Value],"&gt;="&amp;$Z$2,SIP[Date Value],"&lt;="&amp;$Z$3))</f>
        <v>0</v>
      </c>
      <c r="L321" s="47">
        <f>(-SUMIFS(LS[Unit],LS[Investor ID],A321,LS[B/S],"S",LS[Date Value],"&gt;="&amp;$Z$2,LS[Date Value],"&lt;="&amp;$Z$3))+(-SUMIFS(SIP[Unit],SIP[Investor ID],A321,SIP[B/S],"S",SIP[Date Value],"&gt;="&amp;$Z$2,SIP[Date Value],"&lt;="&amp;$Z$3))</f>
        <v>0</v>
      </c>
      <c r="M321" s="49">
        <f>(SUMIFS(LS[Cost of Units Sold],LS[Investor ID],A321,LS[B/S],"S",LS[Date Value],"&gt;="&amp;$Z$2,LS[Date Value],"&lt;="&amp;$Z$3))+(SUMIFS(SIP[Cost of Units Sold],SIP[Investor ID],A321,SIP[B/S],"S",SIP[Date Value],"&gt;="&amp;$Z$2,SIP[Date Value],"&lt;="&amp;$Z$3))</f>
        <v>0</v>
      </c>
      <c r="N321" s="49">
        <f t="shared" si="24"/>
        <v>0</v>
      </c>
      <c r="O321" s="49">
        <f>(SUMIFS(LS[Realized Gain],LS[Investor ID],A321,LS[Date Value],"&gt;="&amp;$Z$2,LS[Date Value],"&lt;="&amp;$Z$3))+(SUMIFS(SIP[Realized Gain],SIP[Investor ID],A321,SIP[Date Value],"&gt;="&amp;$Z$2,SIP[Date Value],"&lt;="&amp;$Z$3))</f>
        <v>0</v>
      </c>
      <c r="P321" s="49">
        <v>0</v>
      </c>
      <c r="Q321" s="49">
        <v>0</v>
      </c>
      <c r="R321" s="49">
        <v>0</v>
      </c>
    </row>
    <row r="322" spans="1:18">
      <c r="A322" t="s">
        <v>692</v>
      </c>
      <c r="B322" s="47">
        <f>SUMIFS(LS[Unit],LS[Investor ID],'TAX CERTIFICATE'!A322,LS[Date Value],"&lt;"&amp;$Z$2)+SUMIFS(SIP[Unit],SIP[Investor ID],'TAX CERTIFICATE'!A322,SIP[Date Value],"&lt;"&amp;$Z$2)</f>
        <v>14680</v>
      </c>
      <c r="C322" s="48">
        <f>(SUMIFS(LS[Amount],LS[B/S],"B",LS[Investor ID],A322,LS[Date Value],"&lt;"&amp;$Z$2)-SUMIFS(LS[Cost of Units Sold],LS[B/S],"S",LS[Investor ID],A322,LS[Date Value],"&lt;"&amp;$Z$2))+(SUMIFS(SIP[Amount],SIP[B/S],"B",SIP[Investor ID],#REF!,SIP[Date Value],"&lt;"&amp;$Z$2)-SUMIFS(SIP[Cost of Units Sold],SIP[B/S],"S",SIP[Investor ID],A322,SIP[Date Value],"&lt;"&amp;$Z$2))</f>
        <v>150000</v>
      </c>
      <c r="D322" s="49">
        <f t="shared" si="20"/>
        <v>150778.28</v>
      </c>
      <c r="E322" s="49">
        <f t="shared" si="21"/>
        <v>778.27999999999884</v>
      </c>
      <c r="F322" s="47">
        <f>SUMIFS(LS[Unit],LS[Investor ID],A322,LS[Date Value],"&lt;="&amp;$Z$3)+SUMIFS(SIP[Unit],SIP[Investor ID],A322,SIP[Date Value],"&lt;="&amp;$Z$3)</f>
        <v>16485</v>
      </c>
      <c r="G322" s="49">
        <f>(SUMIFS(LS[Amount],LS[B/S],"B",LS[Investor ID],A322,LS[Date Value],"&lt;="&amp;$Z$3)-SUMIFS(LS[Cost of Units Sold],LS[B/S],"S",LS[Investor ID],A322,LS[Date Value],"&lt;="&amp;$Z$3))+(SUMIFS(SIP[Amount],SIP[B/S],"B",SIP[Investor ID],A322,SIP[Date Value],"&lt;="&amp;$Z$3)-SUMIFS(SIP[Cost of Units Sold],SIP[B/S],"S",SIP[Investor ID],A322,SIP[Date Value],"&lt;="&amp;$Z$3))</f>
        <v>170000</v>
      </c>
      <c r="H322" s="49">
        <f t="shared" si="22"/>
        <v>184038.54</v>
      </c>
      <c r="I322" s="49">
        <f t="shared" si="23"/>
        <v>14038.540000000008</v>
      </c>
      <c r="J322" s="47">
        <f>(SUMIFS(LS[Unit],LS[Investor ID],A322,LS[B/S],"B",LS[Date Value],"&gt;="&amp;$Z$2,LS[Date Value],"&lt;="&amp;$Z$3))+(SUMIFS(SIP[Unit],SIP[Investor ID],A322,SIP[B/S],"B",SIP[Date Value],"&gt;="&amp;$Z$2,SIP[Date Value],"&lt;="&amp;$Z$3))</f>
        <v>1805</v>
      </c>
      <c r="K322" s="49">
        <f>(SUMIFS(LS[Amount],LS[Investor ID],A322,LS[B/S],"B",LS[Date Value],"&gt;="&amp;$Z$2,LS[Date Value],"&lt;="&amp;$Z$3))+(SUMIFS(SIP[Amount],SIP[Investor ID],A322,SIP[B/S],"B",SIP[Date Value],"&gt;="&amp;$Z$2,SIP[Date Value],"&lt;="&amp;$Z$3))</f>
        <v>20000</v>
      </c>
      <c r="L322" s="47">
        <f>(-SUMIFS(LS[Unit],LS[Investor ID],A322,LS[B/S],"S",LS[Date Value],"&gt;="&amp;$Z$2,LS[Date Value],"&lt;="&amp;$Z$3))+(-SUMIFS(SIP[Unit],SIP[Investor ID],A322,SIP[B/S],"S",SIP[Date Value],"&gt;="&amp;$Z$2,SIP[Date Value],"&lt;="&amp;$Z$3))</f>
        <v>0</v>
      </c>
      <c r="M322" s="49">
        <f>(SUMIFS(LS[Cost of Units Sold],LS[Investor ID],A322,LS[B/S],"S",LS[Date Value],"&gt;="&amp;$Z$2,LS[Date Value],"&lt;="&amp;$Z$3))+(SUMIFS(SIP[Cost of Units Sold],SIP[Investor ID],A322,SIP[B/S],"S",SIP[Date Value],"&gt;="&amp;$Z$2,SIP[Date Value],"&lt;="&amp;$Z$3))</f>
        <v>0</v>
      </c>
      <c r="N322" s="49">
        <f t="shared" si="24"/>
        <v>20000</v>
      </c>
      <c r="O322" s="49">
        <f>(SUMIFS(LS[Realized Gain],LS[Investor ID],A322,LS[Date Value],"&gt;="&amp;$Z$2,LS[Date Value],"&lt;="&amp;$Z$3))+(SUMIFS(SIP[Realized Gain],SIP[Investor ID],A322,SIP[Date Value],"&gt;="&amp;$Z$2,SIP[Date Value],"&lt;="&amp;$Z$3))</f>
        <v>0</v>
      </c>
      <c r="P322" s="49">
        <v>0</v>
      </c>
      <c r="Q322" s="49">
        <v>0</v>
      </c>
      <c r="R322" s="49">
        <v>0</v>
      </c>
    </row>
    <row r="323" spans="1:18">
      <c r="A323" t="s">
        <v>694</v>
      </c>
      <c r="B323" s="47">
        <f>SUMIFS(LS[Unit],LS[Investor ID],'TAX CERTIFICATE'!A323,LS[Date Value],"&lt;"&amp;$Z$2)+SUMIFS(SIP[Unit],SIP[Investor ID],'TAX CERTIFICATE'!A323,SIP[Date Value],"&lt;"&amp;$Z$2)</f>
        <v>0</v>
      </c>
      <c r="C323" s="48">
        <f>(SUMIFS(LS[Amount],LS[B/S],"B",LS[Investor ID],A323,LS[Date Value],"&lt;"&amp;$Z$2)-SUMIFS(LS[Cost of Units Sold],LS[B/S],"S",LS[Investor ID],A323,LS[Date Value],"&lt;"&amp;$Z$2))+(SUMIFS(SIP[Amount],SIP[B/S],"B",SIP[Investor ID],#REF!,SIP[Date Value],"&lt;"&amp;$Z$2)-SUMIFS(SIP[Cost of Units Sold],SIP[B/S],"S",SIP[Investor ID],A323,SIP[Date Value],"&lt;"&amp;$Z$2))</f>
        <v>0</v>
      </c>
      <c r="D323" s="49">
        <f t="shared" ref="D323:D386" si="25">B323*$AA$2</f>
        <v>0</v>
      </c>
      <c r="E323" s="49">
        <f t="shared" ref="E323:E386" si="26">D323-C323</f>
        <v>0</v>
      </c>
      <c r="F323" s="47">
        <f>SUMIFS(LS[Unit],LS[Investor ID],A323,LS[Date Value],"&lt;="&amp;$Z$3)+SUMIFS(SIP[Unit],SIP[Investor ID],A323,SIP[Date Value],"&lt;="&amp;$Z$3)</f>
        <v>0</v>
      </c>
      <c r="G323" s="49">
        <f>(SUMIFS(LS[Amount],LS[B/S],"B",LS[Investor ID],A323,LS[Date Value],"&lt;="&amp;$Z$3)-SUMIFS(LS[Cost of Units Sold],LS[B/S],"S",LS[Investor ID],A323,LS[Date Value],"&lt;="&amp;$Z$3))+(SUMIFS(SIP[Amount],SIP[B/S],"B",SIP[Investor ID],A323,SIP[Date Value],"&lt;="&amp;$Z$3)-SUMIFS(SIP[Cost of Units Sold],SIP[B/S],"S",SIP[Investor ID],A323,SIP[Date Value],"&lt;="&amp;$Z$3))</f>
        <v>0</v>
      </c>
      <c r="H323" s="49">
        <f t="shared" ref="H323:H386" si="27">F323*$AA$3</f>
        <v>0</v>
      </c>
      <c r="I323" s="49">
        <f t="shared" ref="I323:I386" si="28">H323-G323</f>
        <v>0</v>
      </c>
      <c r="J323" s="47">
        <f>(SUMIFS(LS[Unit],LS[Investor ID],A323,LS[B/S],"B",LS[Date Value],"&gt;="&amp;$Z$2,LS[Date Value],"&lt;="&amp;$Z$3))+(SUMIFS(SIP[Unit],SIP[Investor ID],A323,SIP[B/S],"B",SIP[Date Value],"&gt;="&amp;$Z$2,SIP[Date Value],"&lt;="&amp;$Z$3))</f>
        <v>0</v>
      </c>
      <c r="K323" s="49">
        <f>(SUMIFS(LS[Amount],LS[Investor ID],A323,LS[B/S],"B",LS[Date Value],"&gt;="&amp;$Z$2,LS[Date Value],"&lt;="&amp;$Z$3))+(SUMIFS(SIP[Amount],SIP[Investor ID],A323,SIP[B/S],"B",SIP[Date Value],"&gt;="&amp;$Z$2,SIP[Date Value],"&lt;="&amp;$Z$3))</f>
        <v>0</v>
      </c>
      <c r="L323" s="47">
        <f>(-SUMIFS(LS[Unit],LS[Investor ID],A323,LS[B/S],"S",LS[Date Value],"&gt;="&amp;$Z$2,LS[Date Value],"&lt;="&amp;$Z$3))+(-SUMIFS(SIP[Unit],SIP[Investor ID],A323,SIP[B/S],"S",SIP[Date Value],"&gt;="&amp;$Z$2,SIP[Date Value],"&lt;="&amp;$Z$3))</f>
        <v>0</v>
      </c>
      <c r="M323" s="49">
        <f>(SUMIFS(LS[Cost of Units Sold],LS[Investor ID],A323,LS[B/S],"S",LS[Date Value],"&gt;="&amp;$Z$2,LS[Date Value],"&lt;="&amp;$Z$3))+(SUMIFS(SIP[Cost of Units Sold],SIP[Investor ID],A323,SIP[B/S],"S",SIP[Date Value],"&gt;="&amp;$Z$2,SIP[Date Value],"&lt;="&amp;$Z$3))</f>
        <v>0</v>
      </c>
      <c r="N323" s="49">
        <f t="shared" ref="N323:N386" si="29">K323-M323</f>
        <v>0</v>
      </c>
      <c r="O323" s="49">
        <f>(SUMIFS(LS[Realized Gain],LS[Investor ID],A323,LS[Date Value],"&gt;="&amp;$Z$2,LS[Date Value],"&lt;="&amp;$Z$3))+(SUMIFS(SIP[Realized Gain],SIP[Investor ID],A323,SIP[Date Value],"&gt;="&amp;$Z$2,SIP[Date Value],"&lt;="&amp;$Z$3))</f>
        <v>0</v>
      </c>
      <c r="P323" s="49">
        <v>0</v>
      </c>
      <c r="Q323" s="49">
        <v>0</v>
      </c>
      <c r="R323" s="49">
        <v>0</v>
      </c>
    </row>
    <row r="324" spans="1:18">
      <c r="A324" t="s">
        <v>696</v>
      </c>
      <c r="B324" s="47">
        <f>SUMIFS(LS[Unit],LS[Investor ID],'TAX CERTIFICATE'!A324,LS[Date Value],"&lt;"&amp;$Z$2)+SUMIFS(SIP[Unit],SIP[Investor ID],'TAX CERTIFICATE'!A324,SIP[Date Value],"&lt;"&amp;$Z$2)</f>
        <v>0</v>
      </c>
      <c r="C324" s="48">
        <f>(SUMIFS(LS[Amount],LS[B/S],"B",LS[Investor ID],A324,LS[Date Value],"&lt;"&amp;$Z$2)-SUMIFS(LS[Cost of Units Sold],LS[B/S],"S",LS[Investor ID],A324,LS[Date Value],"&lt;"&amp;$Z$2))+(SUMIFS(SIP[Amount],SIP[B/S],"B",SIP[Investor ID],#REF!,SIP[Date Value],"&lt;"&amp;$Z$2)-SUMIFS(SIP[Cost of Units Sold],SIP[B/S],"S",SIP[Investor ID],A324,SIP[Date Value],"&lt;"&amp;$Z$2))</f>
        <v>0</v>
      </c>
      <c r="D324" s="49">
        <f t="shared" si="25"/>
        <v>0</v>
      </c>
      <c r="E324" s="49">
        <f t="shared" si="26"/>
        <v>0</v>
      </c>
      <c r="F324" s="47">
        <f>SUMIFS(LS[Unit],LS[Investor ID],A324,LS[Date Value],"&lt;="&amp;$Z$3)+SUMIFS(SIP[Unit],SIP[Investor ID],A324,SIP[Date Value],"&lt;="&amp;$Z$3)</f>
        <v>0</v>
      </c>
      <c r="G324" s="49">
        <f>(SUMIFS(LS[Amount],LS[B/S],"B",LS[Investor ID],A324,LS[Date Value],"&lt;="&amp;$Z$3)-SUMIFS(LS[Cost of Units Sold],LS[B/S],"S",LS[Investor ID],A324,LS[Date Value],"&lt;="&amp;$Z$3))+(SUMIFS(SIP[Amount],SIP[B/S],"B",SIP[Investor ID],A324,SIP[Date Value],"&lt;="&amp;$Z$3)-SUMIFS(SIP[Cost of Units Sold],SIP[B/S],"S",SIP[Investor ID],A324,SIP[Date Value],"&lt;="&amp;$Z$3))</f>
        <v>0</v>
      </c>
      <c r="H324" s="49">
        <f t="shared" si="27"/>
        <v>0</v>
      </c>
      <c r="I324" s="49">
        <f t="shared" si="28"/>
        <v>0</v>
      </c>
      <c r="J324" s="47">
        <f>(SUMIFS(LS[Unit],LS[Investor ID],A324,LS[B/S],"B",LS[Date Value],"&gt;="&amp;$Z$2,LS[Date Value],"&lt;="&amp;$Z$3))+(SUMIFS(SIP[Unit],SIP[Investor ID],A324,SIP[B/S],"B",SIP[Date Value],"&gt;="&amp;$Z$2,SIP[Date Value],"&lt;="&amp;$Z$3))</f>
        <v>0</v>
      </c>
      <c r="K324" s="49">
        <f>(SUMIFS(LS[Amount],LS[Investor ID],A324,LS[B/S],"B",LS[Date Value],"&gt;="&amp;$Z$2,LS[Date Value],"&lt;="&amp;$Z$3))+(SUMIFS(SIP[Amount],SIP[Investor ID],A324,SIP[B/S],"B",SIP[Date Value],"&gt;="&amp;$Z$2,SIP[Date Value],"&lt;="&amp;$Z$3))</f>
        <v>0</v>
      </c>
      <c r="L324" s="47">
        <f>(-SUMIFS(LS[Unit],LS[Investor ID],A324,LS[B/S],"S",LS[Date Value],"&gt;="&amp;$Z$2,LS[Date Value],"&lt;="&amp;$Z$3))+(-SUMIFS(SIP[Unit],SIP[Investor ID],A324,SIP[B/S],"S",SIP[Date Value],"&gt;="&amp;$Z$2,SIP[Date Value],"&lt;="&amp;$Z$3))</f>
        <v>0</v>
      </c>
      <c r="M324" s="49">
        <f>(SUMIFS(LS[Cost of Units Sold],LS[Investor ID],A324,LS[B/S],"S",LS[Date Value],"&gt;="&amp;$Z$2,LS[Date Value],"&lt;="&amp;$Z$3))+(SUMIFS(SIP[Cost of Units Sold],SIP[Investor ID],A324,SIP[B/S],"S",SIP[Date Value],"&gt;="&amp;$Z$2,SIP[Date Value],"&lt;="&amp;$Z$3))</f>
        <v>0</v>
      </c>
      <c r="N324" s="49">
        <f t="shared" si="29"/>
        <v>0</v>
      </c>
      <c r="O324" s="49">
        <f>(SUMIFS(LS[Realized Gain],LS[Investor ID],A324,LS[Date Value],"&gt;="&amp;$Z$2,LS[Date Value],"&lt;="&amp;$Z$3))+(SUMIFS(SIP[Realized Gain],SIP[Investor ID],A324,SIP[Date Value],"&gt;="&amp;$Z$2,SIP[Date Value],"&lt;="&amp;$Z$3))</f>
        <v>0</v>
      </c>
      <c r="P324" s="49">
        <v>0</v>
      </c>
      <c r="Q324" s="49">
        <v>0</v>
      </c>
      <c r="R324" s="49">
        <v>0</v>
      </c>
    </row>
    <row r="325" spans="1:18">
      <c r="A325" t="s">
        <v>698</v>
      </c>
      <c r="B325" s="47">
        <f>SUMIFS(LS[Unit],LS[Investor ID],'TAX CERTIFICATE'!A325,LS[Date Value],"&lt;"&amp;$Z$2)+SUMIFS(SIP[Unit],SIP[Investor ID],'TAX CERTIFICATE'!A325,SIP[Date Value],"&lt;"&amp;$Z$2)</f>
        <v>0</v>
      </c>
      <c r="C325" s="48">
        <f>(SUMIFS(LS[Amount],LS[B/S],"B",LS[Investor ID],A325,LS[Date Value],"&lt;"&amp;$Z$2)-SUMIFS(LS[Cost of Units Sold],LS[B/S],"S",LS[Investor ID],A325,LS[Date Value],"&lt;"&amp;$Z$2))+(SUMIFS(SIP[Amount],SIP[B/S],"B",SIP[Investor ID],#REF!,SIP[Date Value],"&lt;"&amp;$Z$2)-SUMIFS(SIP[Cost of Units Sold],SIP[B/S],"S",SIP[Investor ID],A325,SIP[Date Value],"&lt;"&amp;$Z$2))</f>
        <v>0</v>
      </c>
      <c r="D325" s="49">
        <f t="shared" si="25"/>
        <v>0</v>
      </c>
      <c r="E325" s="49">
        <f t="shared" si="26"/>
        <v>0</v>
      </c>
      <c r="F325" s="47">
        <f>SUMIFS(LS[Unit],LS[Investor ID],A325,LS[Date Value],"&lt;="&amp;$Z$3)+SUMIFS(SIP[Unit],SIP[Investor ID],A325,SIP[Date Value],"&lt;="&amp;$Z$3)</f>
        <v>0</v>
      </c>
      <c r="G325" s="49">
        <f>(SUMIFS(LS[Amount],LS[B/S],"B",LS[Investor ID],A325,LS[Date Value],"&lt;="&amp;$Z$3)-SUMIFS(LS[Cost of Units Sold],LS[B/S],"S",LS[Investor ID],A325,LS[Date Value],"&lt;="&amp;$Z$3))+(SUMIFS(SIP[Amount],SIP[B/S],"B",SIP[Investor ID],A325,SIP[Date Value],"&lt;="&amp;$Z$3)-SUMIFS(SIP[Cost of Units Sold],SIP[B/S],"S",SIP[Investor ID],A325,SIP[Date Value],"&lt;="&amp;$Z$3))</f>
        <v>0</v>
      </c>
      <c r="H325" s="49">
        <f t="shared" si="27"/>
        <v>0</v>
      </c>
      <c r="I325" s="49">
        <f t="shared" si="28"/>
        <v>0</v>
      </c>
      <c r="J325" s="47">
        <f>(SUMIFS(LS[Unit],LS[Investor ID],A325,LS[B/S],"B",LS[Date Value],"&gt;="&amp;$Z$2,LS[Date Value],"&lt;="&amp;$Z$3))+(SUMIFS(SIP[Unit],SIP[Investor ID],A325,SIP[B/S],"B",SIP[Date Value],"&gt;="&amp;$Z$2,SIP[Date Value],"&lt;="&amp;$Z$3))</f>
        <v>0</v>
      </c>
      <c r="K325" s="49">
        <f>(SUMIFS(LS[Amount],LS[Investor ID],A325,LS[B/S],"B",LS[Date Value],"&gt;="&amp;$Z$2,LS[Date Value],"&lt;="&amp;$Z$3))+(SUMIFS(SIP[Amount],SIP[Investor ID],A325,SIP[B/S],"B",SIP[Date Value],"&gt;="&amp;$Z$2,SIP[Date Value],"&lt;="&amp;$Z$3))</f>
        <v>0</v>
      </c>
      <c r="L325" s="47">
        <f>(-SUMIFS(LS[Unit],LS[Investor ID],A325,LS[B/S],"S",LS[Date Value],"&gt;="&amp;$Z$2,LS[Date Value],"&lt;="&amp;$Z$3))+(-SUMIFS(SIP[Unit],SIP[Investor ID],A325,SIP[B/S],"S",SIP[Date Value],"&gt;="&amp;$Z$2,SIP[Date Value],"&lt;="&amp;$Z$3))</f>
        <v>0</v>
      </c>
      <c r="M325" s="49">
        <f>(SUMIFS(LS[Cost of Units Sold],LS[Investor ID],A325,LS[B/S],"S",LS[Date Value],"&gt;="&amp;$Z$2,LS[Date Value],"&lt;="&amp;$Z$3))+(SUMIFS(SIP[Cost of Units Sold],SIP[Investor ID],A325,SIP[B/S],"S",SIP[Date Value],"&gt;="&amp;$Z$2,SIP[Date Value],"&lt;="&amp;$Z$3))</f>
        <v>0</v>
      </c>
      <c r="N325" s="49">
        <f t="shared" si="29"/>
        <v>0</v>
      </c>
      <c r="O325" s="49">
        <f>(SUMIFS(LS[Realized Gain],LS[Investor ID],A325,LS[Date Value],"&gt;="&amp;$Z$2,LS[Date Value],"&lt;="&amp;$Z$3))+(SUMIFS(SIP[Realized Gain],SIP[Investor ID],A325,SIP[Date Value],"&gt;="&amp;$Z$2,SIP[Date Value],"&lt;="&amp;$Z$3))</f>
        <v>0</v>
      </c>
      <c r="P325" s="49">
        <v>0</v>
      </c>
      <c r="Q325" s="49">
        <v>0</v>
      </c>
      <c r="R325" s="49">
        <v>0</v>
      </c>
    </row>
    <row r="326" spans="1:18">
      <c r="A326" t="s">
        <v>700</v>
      </c>
      <c r="B326" s="47">
        <f>SUMIFS(LS[Unit],LS[Investor ID],'TAX CERTIFICATE'!A326,LS[Date Value],"&lt;"&amp;$Z$2)+SUMIFS(SIP[Unit],SIP[Investor ID],'TAX CERTIFICATE'!A326,SIP[Date Value],"&lt;"&amp;$Z$2)</f>
        <v>0</v>
      </c>
      <c r="C326" s="48">
        <f>(SUMIFS(LS[Amount],LS[B/S],"B",LS[Investor ID],A326,LS[Date Value],"&lt;"&amp;$Z$2)-SUMIFS(LS[Cost of Units Sold],LS[B/S],"S",LS[Investor ID],A326,LS[Date Value],"&lt;"&amp;$Z$2))+(SUMIFS(SIP[Amount],SIP[B/S],"B",SIP[Investor ID],#REF!,SIP[Date Value],"&lt;"&amp;$Z$2)-SUMIFS(SIP[Cost of Units Sold],SIP[B/S],"S",SIP[Investor ID],A326,SIP[Date Value],"&lt;"&amp;$Z$2))</f>
        <v>0</v>
      </c>
      <c r="D326" s="49">
        <f t="shared" si="25"/>
        <v>0</v>
      </c>
      <c r="E326" s="49">
        <f t="shared" si="26"/>
        <v>0</v>
      </c>
      <c r="F326" s="47">
        <f>SUMIFS(LS[Unit],LS[Investor ID],A326,LS[Date Value],"&lt;="&amp;$Z$3)+SUMIFS(SIP[Unit],SIP[Investor ID],A326,SIP[Date Value],"&lt;="&amp;$Z$3)</f>
        <v>0</v>
      </c>
      <c r="G326" s="49">
        <f>(SUMIFS(LS[Amount],LS[B/S],"B",LS[Investor ID],A326,LS[Date Value],"&lt;="&amp;$Z$3)-SUMIFS(LS[Cost of Units Sold],LS[B/S],"S",LS[Investor ID],A326,LS[Date Value],"&lt;="&amp;$Z$3))+(SUMIFS(SIP[Amount],SIP[B/S],"B",SIP[Investor ID],A326,SIP[Date Value],"&lt;="&amp;$Z$3)-SUMIFS(SIP[Cost of Units Sold],SIP[B/S],"S",SIP[Investor ID],A326,SIP[Date Value],"&lt;="&amp;$Z$3))</f>
        <v>0</v>
      </c>
      <c r="H326" s="49">
        <f t="shared" si="27"/>
        <v>0</v>
      </c>
      <c r="I326" s="49">
        <f t="shared" si="28"/>
        <v>0</v>
      </c>
      <c r="J326" s="47">
        <f>(SUMIFS(LS[Unit],LS[Investor ID],A326,LS[B/S],"B",LS[Date Value],"&gt;="&amp;$Z$2,LS[Date Value],"&lt;="&amp;$Z$3))+(SUMIFS(SIP[Unit],SIP[Investor ID],A326,SIP[B/S],"B",SIP[Date Value],"&gt;="&amp;$Z$2,SIP[Date Value],"&lt;="&amp;$Z$3))</f>
        <v>0</v>
      </c>
      <c r="K326" s="49">
        <f>(SUMIFS(LS[Amount],LS[Investor ID],A326,LS[B/S],"B",LS[Date Value],"&gt;="&amp;$Z$2,LS[Date Value],"&lt;="&amp;$Z$3))+(SUMIFS(SIP[Amount],SIP[Investor ID],A326,SIP[B/S],"B",SIP[Date Value],"&gt;="&amp;$Z$2,SIP[Date Value],"&lt;="&amp;$Z$3))</f>
        <v>0</v>
      </c>
      <c r="L326" s="47">
        <f>(-SUMIFS(LS[Unit],LS[Investor ID],A326,LS[B/S],"S",LS[Date Value],"&gt;="&amp;$Z$2,LS[Date Value],"&lt;="&amp;$Z$3))+(-SUMIFS(SIP[Unit],SIP[Investor ID],A326,SIP[B/S],"S",SIP[Date Value],"&gt;="&amp;$Z$2,SIP[Date Value],"&lt;="&amp;$Z$3))</f>
        <v>0</v>
      </c>
      <c r="M326" s="49">
        <f>(SUMIFS(LS[Cost of Units Sold],LS[Investor ID],A326,LS[B/S],"S",LS[Date Value],"&gt;="&amp;$Z$2,LS[Date Value],"&lt;="&amp;$Z$3))+(SUMIFS(SIP[Cost of Units Sold],SIP[Investor ID],A326,SIP[B/S],"S",SIP[Date Value],"&gt;="&amp;$Z$2,SIP[Date Value],"&lt;="&amp;$Z$3))</f>
        <v>0</v>
      </c>
      <c r="N326" s="49">
        <f t="shared" si="29"/>
        <v>0</v>
      </c>
      <c r="O326" s="49">
        <f>(SUMIFS(LS[Realized Gain],LS[Investor ID],A326,LS[Date Value],"&gt;="&amp;$Z$2,LS[Date Value],"&lt;="&amp;$Z$3))+(SUMIFS(SIP[Realized Gain],SIP[Investor ID],A326,SIP[Date Value],"&gt;="&amp;$Z$2,SIP[Date Value],"&lt;="&amp;$Z$3))</f>
        <v>0</v>
      </c>
      <c r="P326" s="49">
        <v>0</v>
      </c>
      <c r="Q326" s="49">
        <v>0</v>
      </c>
      <c r="R326" s="49">
        <v>0</v>
      </c>
    </row>
    <row r="327" spans="1:18">
      <c r="A327" t="s">
        <v>702</v>
      </c>
      <c r="B327" s="47">
        <f>SUMIFS(LS[Unit],LS[Investor ID],'TAX CERTIFICATE'!A327,LS[Date Value],"&lt;"&amp;$Z$2)+SUMIFS(SIP[Unit],SIP[Investor ID],'TAX CERTIFICATE'!A327,SIP[Date Value],"&lt;"&amp;$Z$2)</f>
        <v>0</v>
      </c>
      <c r="C327" s="48">
        <f>(SUMIFS(LS[Amount],LS[B/S],"B",LS[Investor ID],A327,LS[Date Value],"&lt;"&amp;$Z$2)-SUMIFS(LS[Cost of Units Sold],LS[B/S],"S",LS[Investor ID],A327,LS[Date Value],"&lt;"&amp;$Z$2))+(SUMIFS(SIP[Amount],SIP[B/S],"B",SIP[Investor ID],#REF!,SIP[Date Value],"&lt;"&amp;$Z$2)-SUMIFS(SIP[Cost of Units Sold],SIP[B/S],"S",SIP[Investor ID],A327,SIP[Date Value],"&lt;"&amp;$Z$2))</f>
        <v>0</v>
      </c>
      <c r="D327" s="49">
        <f t="shared" si="25"/>
        <v>0</v>
      </c>
      <c r="E327" s="49">
        <f t="shared" si="26"/>
        <v>0</v>
      </c>
      <c r="F327" s="47">
        <f>SUMIFS(LS[Unit],LS[Investor ID],A327,LS[Date Value],"&lt;="&amp;$Z$3)+SUMIFS(SIP[Unit],SIP[Investor ID],A327,SIP[Date Value],"&lt;="&amp;$Z$3)</f>
        <v>0</v>
      </c>
      <c r="G327" s="49">
        <f>(SUMIFS(LS[Amount],LS[B/S],"B",LS[Investor ID],A327,LS[Date Value],"&lt;="&amp;$Z$3)-SUMIFS(LS[Cost of Units Sold],LS[B/S],"S",LS[Investor ID],A327,LS[Date Value],"&lt;="&amp;$Z$3))+(SUMIFS(SIP[Amount],SIP[B/S],"B",SIP[Investor ID],A327,SIP[Date Value],"&lt;="&amp;$Z$3)-SUMIFS(SIP[Cost of Units Sold],SIP[B/S],"S",SIP[Investor ID],A327,SIP[Date Value],"&lt;="&amp;$Z$3))</f>
        <v>0</v>
      </c>
      <c r="H327" s="49">
        <f t="shared" si="27"/>
        <v>0</v>
      </c>
      <c r="I327" s="49">
        <f t="shared" si="28"/>
        <v>0</v>
      </c>
      <c r="J327" s="47">
        <f>(SUMIFS(LS[Unit],LS[Investor ID],A327,LS[B/S],"B",LS[Date Value],"&gt;="&amp;$Z$2,LS[Date Value],"&lt;="&amp;$Z$3))+(SUMIFS(SIP[Unit],SIP[Investor ID],A327,SIP[B/S],"B",SIP[Date Value],"&gt;="&amp;$Z$2,SIP[Date Value],"&lt;="&amp;$Z$3))</f>
        <v>0</v>
      </c>
      <c r="K327" s="49">
        <f>(SUMIFS(LS[Amount],LS[Investor ID],A327,LS[B/S],"B",LS[Date Value],"&gt;="&amp;$Z$2,LS[Date Value],"&lt;="&amp;$Z$3))+(SUMIFS(SIP[Amount],SIP[Investor ID],A327,SIP[B/S],"B",SIP[Date Value],"&gt;="&amp;$Z$2,SIP[Date Value],"&lt;="&amp;$Z$3))</f>
        <v>0</v>
      </c>
      <c r="L327" s="47">
        <f>(-SUMIFS(LS[Unit],LS[Investor ID],A327,LS[B/S],"S",LS[Date Value],"&gt;="&amp;$Z$2,LS[Date Value],"&lt;="&amp;$Z$3))+(-SUMIFS(SIP[Unit],SIP[Investor ID],A327,SIP[B/S],"S",SIP[Date Value],"&gt;="&amp;$Z$2,SIP[Date Value],"&lt;="&amp;$Z$3))</f>
        <v>0</v>
      </c>
      <c r="M327" s="49">
        <f>(SUMIFS(LS[Cost of Units Sold],LS[Investor ID],A327,LS[B/S],"S",LS[Date Value],"&gt;="&amp;$Z$2,LS[Date Value],"&lt;="&amp;$Z$3))+(SUMIFS(SIP[Cost of Units Sold],SIP[Investor ID],A327,SIP[B/S],"S",SIP[Date Value],"&gt;="&amp;$Z$2,SIP[Date Value],"&lt;="&amp;$Z$3))</f>
        <v>0</v>
      </c>
      <c r="N327" s="49">
        <f t="shared" si="29"/>
        <v>0</v>
      </c>
      <c r="O327" s="49">
        <f>(SUMIFS(LS[Realized Gain],LS[Investor ID],A327,LS[Date Value],"&gt;="&amp;$Z$2,LS[Date Value],"&lt;="&amp;$Z$3))+(SUMIFS(SIP[Realized Gain],SIP[Investor ID],A327,SIP[Date Value],"&gt;="&amp;$Z$2,SIP[Date Value],"&lt;="&amp;$Z$3))</f>
        <v>0</v>
      </c>
      <c r="P327" s="49">
        <v>0</v>
      </c>
      <c r="Q327" s="49">
        <v>0</v>
      </c>
      <c r="R327" s="49">
        <v>0</v>
      </c>
    </row>
    <row r="328" spans="1:18">
      <c r="A328" t="s">
        <v>704</v>
      </c>
      <c r="B328" s="47">
        <f>SUMIFS(LS[Unit],LS[Investor ID],'TAX CERTIFICATE'!A328,LS[Date Value],"&lt;"&amp;$Z$2)+SUMIFS(SIP[Unit],SIP[Investor ID],'TAX CERTIFICATE'!A328,SIP[Date Value],"&lt;"&amp;$Z$2)</f>
        <v>0</v>
      </c>
      <c r="C328" s="48">
        <f>(SUMIFS(LS[Amount],LS[B/S],"B",LS[Investor ID],A328,LS[Date Value],"&lt;"&amp;$Z$2)-SUMIFS(LS[Cost of Units Sold],LS[B/S],"S",LS[Investor ID],A328,LS[Date Value],"&lt;"&amp;$Z$2))+(SUMIFS(SIP[Amount],SIP[B/S],"B",SIP[Investor ID],#REF!,SIP[Date Value],"&lt;"&amp;$Z$2)-SUMIFS(SIP[Cost of Units Sold],SIP[B/S],"S",SIP[Investor ID],A328,SIP[Date Value],"&lt;"&amp;$Z$2))</f>
        <v>0</v>
      </c>
      <c r="D328" s="49">
        <f t="shared" si="25"/>
        <v>0</v>
      </c>
      <c r="E328" s="49">
        <f t="shared" si="26"/>
        <v>0</v>
      </c>
      <c r="F328" s="47">
        <f>SUMIFS(LS[Unit],LS[Investor ID],A328,LS[Date Value],"&lt;="&amp;$Z$3)+SUMIFS(SIP[Unit],SIP[Investor ID],A328,SIP[Date Value],"&lt;="&amp;$Z$3)</f>
        <v>0</v>
      </c>
      <c r="G328" s="49">
        <f>(SUMIFS(LS[Amount],LS[B/S],"B",LS[Investor ID],A328,LS[Date Value],"&lt;="&amp;$Z$3)-SUMIFS(LS[Cost of Units Sold],LS[B/S],"S",LS[Investor ID],A328,LS[Date Value],"&lt;="&amp;$Z$3))+(SUMIFS(SIP[Amount],SIP[B/S],"B",SIP[Investor ID],A328,SIP[Date Value],"&lt;="&amp;$Z$3)-SUMIFS(SIP[Cost of Units Sold],SIP[B/S],"S",SIP[Investor ID],A328,SIP[Date Value],"&lt;="&amp;$Z$3))</f>
        <v>0</v>
      </c>
      <c r="H328" s="49">
        <f t="shared" si="27"/>
        <v>0</v>
      </c>
      <c r="I328" s="49">
        <f t="shared" si="28"/>
        <v>0</v>
      </c>
      <c r="J328" s="47">
        <f>(SUMIFS(LS[Unit],LS[Investor ID],A328,LS[B/S],"B",LS[Date Value],"&gt;="&amp;$Z$2,LS[Date Value],"&lt;="&amp;$Z$3))+(SUMIFS(SIP[Unit],SIP[Investor ID],A328,SIP[B/S],"B",SIP[Date Value],"&gt;="&amp;$Z$2,SIP[Date Value],"&lt;="&amp;$Z$3))</f>
        <v>0</v>
      </c>
      <c r="K328" s="49">
        <f>(SUMIFS(LS[Amount],LS[Investor ID],A328,LS[B/S],"B",LS[Date Value],"&gt;="&amp;$Z$2,LS[Date Value],"&lt;="&amp;$Z$3))+(SUMIFS(SIP[Amount],SIP[Investor ID],A328,SIP[B/S],"B",SIP[Date Value],"&gt;="&amp;$Z$2,SIP[Date Value],"&lt;="&amp;$Z$3))</f>
        <v>0</v>
      </c>
      <c r="L328" s="47">
        <f>(-SUMIFS(LS[Unit],LS[Investor ID],A328,LS[B/S],"S",LS[Date Value],"&gt;="&amp;$Z$2,LS[Date Value],"&lt;="&amp;$Z$3))+(-SUMIFS(SIP[Unit],SIP[Investor ID],A328,SIP[B/S],"S",SIP[Date Value],"&gt;="&amp;$Z$2,SIP[Date Value],"&lt;="&amp;$Z$3))</f>
        <v>0</v>
      </c>
      <c r="M328" s="49">
        <f>(SUMIFS(LS[Cost of Units Sold],LS[Investor ID],A328,LS[B/S],"S",LS[Date Value],"&gt;="&amp;$Z$2,LS[Date Value],"&lt;="&amp;$Z$3))+(SUMIFS(SIP[Cost of Units Sold],SIP[Investor ID],A328,SIP[B/S],"S",SIP[Date Value],"&gt;="&amp;$Z$2,SIP[Date Value],"&lt;="&amp;$Z$3))</f>
        <v>0</v>
      </c>
      <c r="N328" s="49">
        <f t="shared" si="29"/>
        <v>0</v>
      </c>
      <c r="O328" s="49">
        <f>(SUMIFS(LS[Realized Gain],LS[Investor ID],A328,LS[Date Value],"&gt;="&amp;$Z$2,LS[Date Value],"&lt;="&amp;$Z$3))+(SUMIFS(SIP[Realized Gain],SIP[Investor ID],A328,SIP[Date Value],"&gt;="&amp;$Z$2,SIP[Date Value],"&lt;="&amp;$Z$3))</f>
        <v>0</v>
      </c>
      <c r="P328" s="49">
        <v>0</v>
      </c>
      <c r="Q328" s="49">
        <v>0</v>
      </c>
      <c r="R328" s="49">
        <v>0</v>
      </c>
    </row>
    <row r="329" spans="1:18">
      <c r="A329" t="s">
        <v>706</v>
      </c>
      <c r="B329" s="47">
        <f>SUMIFS(LS[Unit],LS[Investor ID],'TAX CERTIFICATE'!A329,LS[Date Value],"&lt;"&amp;$Z$2)+SUMIFS(SIP[Unit],SIP[Investor ID],'TAX CERTIFICATE'!A329,SIP[Date Value],"&lt;"&amp;$Z$2)</f>
        <v>0</v>
      </c>
      <c r="C329" s="48">
        <f>(SUMIFS(LS[Amount],LS[B/S],"B",LS[Investor ID],A329,LS[Date Value],"&lt;"&amp;$Z$2)-SUMIFS(LS[Cost of Units Sold],LS[B/S],"S",LS[Investor ID],A329,LS[Date Value],"&lt;"&amp;$Z$2))+(SUMIFS(SIP[Amount],SIP[B/S],"B",SIP[Investor ID],#REF!,SIP[Date Value],"&lt;"&amp;$Z$2)-SUMIFS(SIP[Cost of Units Sold],SIP[B/S],"S",SIP[Investor ID],A329,SIP[Date Value],"&lt;"&amp;$Z$2))</f>
        <v>0</v>
      </c>
      <c r="D329" s="49">
        <f t="shared" si="25"/>
        <v>0</v>
      </c>
      <c r="E329" s="49">
        <f t="shared" si="26"/>
        <v>0</v>
      </c>
      <c r="F329" s="47">
        <f>SUMIFS(LS[Unit],LS[Investor ID],A329,LS[Date Value],"&lt;="&amp;$Z$3)+SUMIFS(SIP[Unit],SIP[Investor ID],A329,SIP[Date Value],"&lt;="&amp;$Z$3)</f>
        <v>0</v>
      </c>
      <c r="G329" s="49">
        <f>(SUMIFS(LS[Amount],LS[B/S],"B",LS[Investor ID],A329,LS[Date Value],"&lt;="&amp;$Z$3)-SUMIFS(LS[Cost of Units Sold],LS[B/S],"S",LS[Investor ID],A329,LS[Date Value],"&lt;="&amp;$Z$3))+(SUMIFS(SIP[Amount],SIP[B/S],"B",SIP[Investor ID],A329,SIP[Date Value],"&lt;="&amp;$Z$3)-SUMIFS(SIP[Cost of Units Sold],SIP[B/S],"S",SIP[Investor ID],A329,SIP[Date Value],"&lt;="&amp;$Z$3))</f>
        <v>0</v>
      </c>
      <c r="H329" s="49">
        <f t="shared" si="27"/>
        <v>0</v>
      </c>
      <c r="I329" s="49">
        <f t="shared" si="28"/>
        <v>0</v>
      </c>
      <c r="J329" s="47">
        <f>(SUMIFS(LS[Unit],LS[Investor ID],A329,LS[B/S],"B",LS[Date Value],"&gt;="&amp;$Z$2,LS[Date Value],"&lt;="&amp;$Z$3))+(SUMIFS(SIP[Unit],SIP[Investor ID],A329,SIP[B/S],"B",SIP[Date Value],"&gt;="&amp;$Z$2,SIP[Date Value],"&lt;="&amp;$Z$3))</f>
        <v>0</v>
      </c>
      <c r="K329" s="49">
        <f>(SUMIFS(LS[Amount],LS[Investor ID],A329,LS[B/S],"B",LS[Date Value],"&gt;="&amp;$Z$2,LS[Date Value],"&lt;="&amp;$Z$3))+(SUMIFS(SIP[Amount],SIP[Investor ID],A329,SIP[B/S],"B",SIP[Date Value],"&gt;="&amp;$Z$2,SIP[Date Value],"&lt;="&amp;$Z$3))</f>
        <v>0</v>
      </c>
      <c r="L329" s="47">
        <f>(-SUMIFS(LS[Unit],LS[Investor ID],A329,LS[B/S],"S",LS[Date Value],"&gt;="&amp;$Z$2,LS[Date Value],"&lt;="&amp;$Z$3))+(-SUMIFS(SIP[Unit],SIP[Investor ID],A329,SIP[B/S],"S",SIP[Date Value],"&gt;="&amp;$Z$2,SIP[Date Value],"&lt;="&amp;$Z$3))</f>
        <v>0</v>
      </c>
      <c r="M329" s="49">
        <f>(SUMIFS(LS[Cost of Units Sold],LS[Investor ID],A329,LS[B/S],"S",LS[Date Value],"&gt;="&amp;$Z$2,LS[Date Value],"&lt;="&amp;$Z$3))+(SUMIFS(SIP[Cost of Units Sold],SIP[Investor ID],A329,SIP[B/S],"S",SIP[Date Value],"&gt;="&amp;$Z$2,SIP[Date Value],"&lt;="&amp;$Z$3))</f>
        <v>0</v>
      </c>
      <c r="N329" s="49">
        <f t="shared" si="29"/>
        <v>0</v>
      </c>
      <c r="O329" s="49">
        <f>(SUMIFS(LS[Realized Gain],LS[Investor ID],A329,LS[Date Value],"&gt;="&amp;$Z$2,LS[Date Value],"&lt;="&amp;$Z$3))+(SUMIFS(SIP[Realized Gain],SIP[Investor ID],A329,SIP[Date Value],"&gt;="&amp;$Z$2,SIP[Date Value],"&lt;="&amp;$Z$3))</f>
        <v>0</v>
      </c>
      <c r="P329" s="49">
        <v>0</v>
      </c>
      <c r="Q329" s="49">
        <v>0</v>
      </c>
      <c r="R329" s="49">
        <v>0</v>
      </c>
    </row>
    <row r="330" spans="1:18">
      <c r="A330" t="s">
        <v>708</v>
      </c>
      <c r="B330" s="47">
        <f>SUMIFS(LS[Unit],LS[Investor ID],'TAX CERTIFICATE'!A330,LS[Date Value],"&lt;"&amp;$Z$2)+SUMIFS(SIP[Unit],SIP[Investor ID],'TAX CERTIFICATE'!A330,SIP[Date Value],"&lt;"&amp;$Z$2)</f>
        <v>0</v>
      </c>
      <c r="C330" s="48">
        <f>(SUMIFS(LS[Amount],LS[B/S],"B",LS[Investor ID],A330,LS[Date Value],"&lt;"&amp;$Z$2)-SUMIFS(LS[Cost of Units Sold],LS[B/S],"S",LS[Investor ID],A330,LS[Date Value],"&lt;"&amp;$Z$2))+(SUMIFS(SIP[Amount],SIP[B/S],"B",SIP[Investor ID],#REF!,SIP[Date Value],"&lt;"&amp;$Z$2)-SUMIFS(SIP[Cost of Units Sold],SIP[B/S],"S",SIP[Investor ID],A330,SIP[Date Value],"&lt;"&amp;$Z$2))</f>
        <v>0</v>
      </c>
      <c r="D330" s="49">
        <f t="shared" si="25"/>
        <v>0</v>
      </c>
      <c r="E330" s="49">
        <f t="shared" si="26"/>
        <v>0</v>
      </c>
      <c r="F330" s="47">
        <f>SUMIFS(LS[Unit],LS[Investor ID],A330,LS[Date Value],"&lt;="&amp;$Z$3)+SUMIFS(SIP[Unit],SIP[Investor ID],A330,SIP[Date Value],"&lt;="&amp;$Z$3)</f>
        <v>0</v>
      </c>
      <c r="G330" s="49">
        <f>(SUMIFS(LS[Amount],LS[B/S],"B",LS[Investor ID],A330,LS[Date Value],"&lt;="&amp;$Z$3)-SUMIFS(LS[Cost of Units Sold],LS[B/S],"S",LS[Investor ID],A330,LS[Date Value],"&lt;="&amp;$Z$3))+(SUMIFS(SIP[Amount],SIP[B/S],"B",SIP[Investor ID],A330,SIP[Date Value],"&lt;="&amp;$Z$3)-SUMIFS(SIP[Cost of Units Sold],SIP[B/S],"S",SIP[Investor ID],A330,SIP[Date Value],"&lt;="&amp;$Z$3))</f>
        <v>0</v>
      </c>
      <c r="H330" s="49">
        <f t="shared" si="27"/>
        <v>0</v>
      </c>
      <c r="I330" s="49">
        <f t="shared" si="28"/>
        <v>0</v>
      </c>
      <c r="J330" s="47">
        <f>(SUMIFS(LS[Unit],LS[Investor ID],A330,LS[B/S],"B",LS[Date Value],"&gt;="&amp;$Z$2,LS[Date Value],"&lt;="&amp;$Z$3))+(SUMIFS(SIP[Unit],SIP[Investor ID],A330,SIP[B/S],"B",SIP[Date Value],"&gt;="&amp;$Z$2,SIP[Date Value],"&lt;="&amp;$Z$3))</f>
        <v>0</v>
      </c>
      <c r="K330" s="49">
        <f>(SUMIFS(LS[Amount],LS[Investor ID],A330,LS[B/S],"B",LS[Date Value],"&gt;="&amp;$Z$2,LS[Date Value],"&lt;="&amp;$Z$3))+(SUMIFS(SIP[Amount],SIP[Investor ID],A330,SIP[B/S],"B",SIP[Date Value],"&gt;="&amp;$Z$2,SIP[Date Value],"&lt;="&amp;$Z$3))</f>
        <v>0</v>
      </c>
      <c r="L330" s="47">
        <f>(-SUMIFS(LS[Unit],LS[Investor ID],A330,LS[B/S],"S",LS[Date Value],"&gt;="&amp;$Z$2,LS[Date Value],"&lt;="&amp;$Z$3))+(-SUMIFS(SIP[Unit],SIP[Investor ID],A330,SIP[B/S],"S",SIP[Date Value],"&gt;="&amp;$Z$2,SIP[Date Value],"&lt;="&amp;$Z$3))</f>
        <v>0</v>
      </c>
      <c r="M330" s="49">
        <f>(SUMIFS(LS[Cost of Units Sold],LS[Investor ID],A330,LS[B/S],"S",LS[Date Value],"&gt;="&amp;$Z$2,LS[Date Value],"&lt;="&amp;$Z$3))+(SUMIFS(SIP[Cost of Units Sold],SIP[Investor ID],A330,SIP[B/S],"S",SIP[Date Value],"&gt;="&amp;$Z$2,SIP[Date Value],"&lt;="&amp;$Z$3))</f>
        <v>0</v>
      </c>
      <c r="N330" s="49">
        <f t="shared" si="29"/>
        <v>0</v>
      </c>
      <c r="O330" s="49">
        <f>(SUMIFS(LS[Realized Gain],LS[Investor ID],A330,LS[Date Value],"&gt;="&amp;$Z$2,LS[Date Value],"&lt;="&amp;$Z$3))+(SUMIFS(SIP[Realized Gain],SIP[Investor ID],A330,SIP[Date Value],"&gt;="&amp;$Z$2,SIP[Date Value],"&lt;="&amp;$Z$3))</f>
        <v>0</v>
      </c>
      <c r="P330" s="49">
        <v>0</v>
      </c>
      <c r="Q330" s="49">
        <v>0</v>
      </c>
      <c r="R330" s="49">
        <v>0</v>
      </c>
    </row>
    <row r="331" spans="1:18">
      <c r="A331" t="s">
        <v>710</v>
      </c>
      <c r="B331" s="47">
        <f>SUMIFS(LS[Unit],LS[Investor ID],'TAX CERTIFICATE'!A331,LS[Date Value],"&lt;"&amp;$Z$2)+SUMIFS(SIP[Unit],SIP[Investor ID],'TAX CERTIFICATE'!A331,SIP[Date Value],"&lt;"&amp;$Z$2)</f>
        <v>0</v>
      </c>
      <c r="C331" s="48">
        <f>(SUMIFS(LS[Amount],LS[B/S],"B",LS[Investor ID],A331,LS[Date Value],"&lt;"&amp;$Z$2)-SUMIFS(LS[Cost of Units Sold],LS[B/S],"S",LS[Investor ID],A331,LS[Date Value],"&lt;"&amp;$Z$2))+(SUMIFS(SIP[Amount],SIP[B/S],"B",SIP[Investor ID],#REF!,SIP[Date Value],"&lt;"&amp;$Z$2)-SUMIFS(SIP[Cost of Units Sold],SIP[B/S],"S",SIP[Investor ID],A331,SIP[Date Value],"&lt;"&amp;$Z$2))</f>
        <v>0</v>
      </c>
      <c r="D331" s="49">
        <f t="shared" si="25"/>
        <v>0</v>
      </c>
      <c r="E331" s="49">
        <f t="shared" si="26"/>
        <v>0</v>
      </c>
      <c r="F331" s="47">
        <f>SUMIFS(LS[Unit],LS[Investor ID],A331,LS[Date Value],"&lt;="&amp;$Z$3)+SUMIFS(SIP[Unit],SIP[Investor ID],A331,SIP[Date Value],"&lt;="&amp;$Z$3)</f>
        <v>0</v>
      </c>
      <c r="G331" s="49">
        <f>(SUMIFS(LS[Amount],LS[B/S],"B",LS[Investor ID],A331,LS[Date Value],"&lt;="&amp;$Z$3)-SUMIFS(LS[Cost of Units Sold],LS[B/S],"S",LS[Investor ID],A331,LS[Date Value],"&lt;="&amp;$Z$3))+(SUMIFS(SIP[Amount],SIP[B/S],"B",SIP[Investor ID],A331,SIP[Date Value],"&lt;="&amp;$Z$3)-SUMIFS(SIP[Cost of Units Sold],SIP[B/S],"S",SIP[Investor ID],A331,SIP[Date Value],"&lt;="&amp;$Z$3))</f>
        <v>0</v>
      </c>
      <c r="H331" s="49">
        <f t="shared" si="27"/>
        <v>0</v>
      </c>
      <c r="I331" s="49">
        <f t="shared" si="28"/>
        <v>0</v>
      </c>
      <c r="J331" s="47">
        <f>(SUMIFS(LS[Unit],LS[Investor ID],A331,LS[B/S],"B",LS[Date Value],"&gt;="&amp;$Z$2,LS[Date Value],"&lt;="&amp;$Z$3))+(SUMIFS(SIP[Unit],SIP[Investor ID],A331,SIP[B/S],"B",SIP[Date Value],"&gt;="&amp;$Z$2,SIP[Date Value],"&lt;="&amp;$Z$3))</f>
        <v>0</v>
      </c>
      <c r="K331" s="49">
        <f>(SUMIFS(LS[Amount],LS[Investor ID],A331,LS[B/S],"B",LS[Date Value],"&gt;="&amp;$Z$2,LS[Date Value],"&lt;="&amp;$Z$3))+(SUMIFS(SIP[Amount],SIP[Investor ID],A331,SIP[B/S],"B",SIP[Date Value],"&gt;="&amp;$Z$2,SIP[Date Value],"&lt;="&amp;$Z$3))</f>
        <v>0</v>
      </c>
      <c r="L331" s="47">
        <f>(-SUMIFS(LS[Unit],LS[Investor ID],A331,LS[B/S],"S",LS[Date Value],"&gt;="&amp;$Z$2,LS[Date Value],"&lt;="&amp;$Z$3))+(-SUMIFS(SIP[Unit],SIP[Investor ID],A331,SIP[B/S],"S",SIP[Date Value],"&gt;="&amp;$Z$2,SIP[Date Value],"&lt;="&amp;$Z$3))</f>
        <v>0</v>
      </c>
      <c r="M331" s="49">
        <f>(SUMIFS(LS[Cost of Units Sold],LS[Investor ID],A331,LS[B/S],"S",LS[Date Value],"&gt;="&amp;$Z$2,LS[Date Value],"&lt;="&amp;$Z$3))+(SUMIFS(SIP[Cost of Units Sold],SIP[Investor ID],A331,SIP[B/S],"S",SIP[Date Value],"&gt;="&amp;$Z$2,SIP[Date Value],"&lt;="&amp;$Z$3))</f>
        <v>0</v>
      </c>
      <c r="N331" s="49">
        <f t="shared" si="29"/>
        <v>0</v>
      </c>
      <c r="O331" s="49">
        <f>(SUMIFS(LS[Realized Gain],LS[Investor ID],A331,LS[Date Value],"&gt;="&amp;$Z$2,LS[Date Value],"&lt;="&amp;$Z$3))+(SUMIFS(SIP[Realized Gain],SIP[Investor ID],A331,SIP[Date Value],"&gt;="&amp;$Z$2,SIP[Date Value],"&lt;="&amp;$Z$3))</f>
        <v>0</v>
      </c>
      <c r="P331" s="49">
        <v>0</v>
      </c>
      <c r="Q331" s="49">
        <v>0</v>
      </c>
      <c r="R331" s="49">
        <v>0</v>
      </c>
    </row>
    <row r="332" spans="1:18">
      <c r="A332" t="s">
        <v>712</v>
      </c>
      <c r="B332" s="47">
        <f>SUMIFS(LS[Unit],LS[Investor ID],'TAX CERTIFICATE'!A332,LS[Date Value],"&lt;"&amp;$Z$2)+SUMIFS(SIP[Unit],SIP[Investor ID],'TAX CERTIFICATE'!A332,SIP[Date Value],"&lt;"&amp;$Z$2)</f>
        <v>0</v>
      </c>
      <c r="C332" s="48">
        <f>(SUMIFS(LS[Amount],LS[B/S],"B",LS[Investor ID],A332,LS[Date Value],"&lt;"&amp;$Z$2)-SUMIFS(LS[Cost of Units Sold],LS[B/S],"S",LS[Investor ID],A332,LS[Date Value],"&lt;"&amp;$Z$2))+(SUMIFS(SIP[Amount],SIP[B/S],"B",SIP[Investor ID],#REF!,SIP[Date Value],"&lt;"&amp;$Z$2)-SUMIFS(SIP[Cost of Units Sold],SIP[B/S],"S",SIP[Investor ID],A332,SIP[Date Value],"&lt;"&amp;$Z$2))</f>
        <v>0</v>
      </c>
      <c r="D332" s="49">
        <f t="shared" si="25"/>
        <v>0</v>
      </c>
      <c r="E332" s="49">
        <f t="shared" si="26"/>
        <v>0</v>
      </c>
      <c r="F332" s="47">
        <f>SUMIFS(LS[Unit],LS[Investor ID],A332,LS[Date Value],"&lt;="&amp;$Z$3)+SUMIFS(SIP[Unit],SIP[Investor ID],A332,SIP[Date Value],"&lt;="&amp;$Z$3)</f>
        <v>0</v>
      </c>
      <c r="G332" s="49">
        <f>(SUMIFS(LS[Amount],LS[B/S],"B",LS[Investor ID],A332,LS[Date Value],"&lt;="&amp;$Z$3)-SUMIFS(LS[Cost of Units Sold],LS[B/S],"S",LS[Investor ID],A332,LS[Date Value],"&lt;="&amp;$Z$3))+(SUMIFS(SIP[Amount],SIP[B/S],"B",SIP[Investor ID],A332,SIP[Date Value],"&lt;="&amp;$Z$3)-SUMIFS(SIP[Cost of Units Sold],SIP[B/S],"S",SIP[Investor ID],A332,SIP[Date Value],"&lt;="&amp;$Z$3))</f>
        <v>0</v>
      </c>
      <c r="H332" s="49">
        <f t="shared" si="27"/>
        <v>0</v>
      </c>
      <c r="I332" s="49">
        <f t="shared" si="28"/>
        <v>0</v>
      </c>
      <c r="J332" s="47">
        <f>(SUMIFS(LS[Unit],LS[Investor ID],A332,LS[B/S],"B",LS[Date Value],"&gt;="&amp;$Z$2,LS[Date Value],"&lt;="&amp;$Z$3))+(SUMIFS(SIP[Unit],SIP[Investor ID],A332,SIP[B/S],"B",SIP[Date Value],"&gt;="&amp;$Z$2,SIP[Date Value],"&lt;="&amp;$Z$3))</f>
        <v>0</v>
      </c>
      <c r="K332" s="49">
        <f>(SUMIFS(LS[Amount],LS[Investor ID],A332,LS[B/S],"B",LS[Date Value],"&gt;="&amp;$Z$2,LS[Date Value],"&lt;="&amp;$Z$3))+(SUMIFS(SIP[Amount],SIP[Investor ID],A332,SIP[B/S],"B",SIP[Date Value],"&gt;="&amp;$Z$2,SIP[Date Value],"&lt;="&amp;$Z$3))</f>
        <v>0</v>
      </c>
      <c r="L332" s="47">
        <f>(-SUMIFS(LS[Unit],LS[Investor ID],A332,LS[B/S],"S",LS[Date Value],"&gt;="&amp;$Z$2,LS[Date Value],"&lt;="&amp;$Z$3))+(-SUMIFS(SIP[Unit],SIP[Investor ID],A332,SIP[B/S],"S",SIP[Date Value],"&gt;="&amp;$Z$2,SIP[Date Value],"&lt;="&amp;$Z$3))</f>
        <v>0</v>
      </c>
      <c r="M332" s="49">
        <f>(SUMIFS(LS[Cost of Units Sold],LS[Investor ID],A332,LS[B/S],"S",LS[Date Value],"&gt;="&amp;$Z$2,LS[Date Value],"&lt;="&amp;$Z$3))+(SUMIFS(SIP[Cost of Units Sold],SIP[Investor ID],A332,SIP[B/S],"S",SIP[Date Value],"&gt;="&amp;$Z$2,SIP[Date Value],"&lt;="&amp;$Z$3))</f>
        <v>0</v>
      </c>
      <c r="N332" s="49">
        <f t="shared" si="29"/>
        <v>0</v>
      </c>
      <c r="O332" s="49">
        <f>(SUMIFS(LS[Realized Gain],LS[Investor ID],A332,LS[Date Value],"&gt;="&amp;$Z$2,LS[Date Value],"&lt;="&amp;$Z$3))+(SUMIFS(SIP[Realized Gain],SIP[Investor ID],A332,SIP[Date Value],"&gt;="&amp;$Z$2,SIP[Date Value],"&lt;="&amp;$Z$3))</f>
        <v>0</v>
      </c>
      <c r="P332" s="49">
        <v>0</v>
      </c>
      <c r="Q332" s="49">
        <v>0</v>
      </c>
      <c r="R332" s="49">
        <v>0</v>
      </c>
    </row>
    <row r="333" spans="1:18">
      <c r="A333" t="s">
        <v>714</v>
      </c>
      <c r="B333" s="47">
        <f>SUMIFS(LS[Unit],LS[Investor ID],'TAX CERTIFICATE'!A333,LS[Date Value],"&lt;"&amp;$Z$2)+SUMIFS(SIP[Unit],SIP[Investor ID],'TAX CERTIFICATE'!A333,SIP[Date Value],"&lt;"&amp;$Z$2)</f>
        <v>0</v>
      </c>
      <c r="C333" s="48">
        <f>(SUMIFS(LS[Amount],LS[B/S],"B",LS[Investor ID],A333,LS[Date Value],"&lt;"&amp;$Z$2)-SUMIFS(LS[Cost of Units Sold],LS[B/S],"S",LS[Investor ID],A333,LS[Date Value],"&lt;"&amp;$Z$2))+(SUMIFS(SIP[Amount],SIP[B/S],"B",SIP[Investor ID],#REF!,SIP[Date Value],"&lt;"&amp;$Z$2)-SUMIFS(SIP[Cost of Units Sold],SIP[B/S],"S",SIP[Investor ID],A333,SIP[Date Value],"&lt;"&amp;$Z$2))</f>
        <v>0</v>
      </c>
      <c r="D333" s="49">
        <f t="shared" si="25"/>
        <v>0</v>
      </c>
      <c r="E333" s="49">
        <f t="shared" si="26"/>
        <v>0</v>
      </c>
      <c r="F333" s="47">
        <f>SUMIFS(LS[Unit],LS[Investor ID],A333,LS[Date Value],"&lt;="&amp;$Z$3)+SUMIFS(SIP[Unit],SIP[Investor ID],A333,SIP[Date Value],"&lt;="&amp;$Z$3)</f>
        <v>0</v>
      </c>
      <c r="G333" s="49">
        <f>(SUMIFS(LS[Amount],LS[B/S],"B",LS[Investor ID],A333,LS[Date Value],"&lt;="&amp;$Z$3)-SUMIFS(LS[Cost of Units Sold],LS[B/S],"S",LS[Investor ID],A333,LS[Date Value],"&lt;="&amp;$Z$3))+(SUMIFS(SIP[Amount],SIP[B/S],"B",SIP[Investor ID],A333,SIP[Date Value],"&lt;="&amp;$Z$3)-SUMIFS(SIP[Cost of Units Sold],SIP[B/S],"S",SIP[Investor ID],A333,SIP[Date Value],"&lt;="&amp;$Z$3))</f>
        <v>0</v>
      </c>
      <c r="H333" s="49">
        <f t="shared" si="27"/>
        <v>0</v>
      </c>
      <c r="I333" s="49">
        <f t="shared" si="28"/>
        <v>0</v>
      </c>
      <c r="J333" s="47">
        <f>(SUMIFS(LS[Unit],LS[Investor ID],A333,LS[B/S],"B",LS[Date Value],"&gt;="&amp;$Z$2,LS[Date Value],"&lt;="&amp;$Z$3))+(SUMIFS(SIP[Unit],SIP[Investor ID],A333,SIP[B/S],"B",SIP[Date Value],"&gt;="&amp;$Z$2,SIP[Date Value],"&lt;="&amp;$Z$3))</f>
        <v>0</v>
      </c>
      <c r="K333" s="49">
        <f>(SUMIFS(LS[Amount],LS[Investor ID],A333,LS[B/S],"B",LS[Date Value],"&gt;="&amp;$Z$2,LS[Date Value],"&lt;="&amp;$Z$3))+(SUMIFS(SIP[Amount],SIP[Investor ID],A333,SIP[B/S],"B",SIP[Date Value],"&gt;="&amp;$Z$2,SIP[Date Value],"&lt;="&amp;$Z$3))</f>
        <v>0</v>
      </c>
      <c r="L333" s="47">
        <f>(-SUMIFS(LS[Unit],LS[Investor ID],A333,LS[B/S],"S",LS[Date Value],"&gt;="&amp;$Z$2,LS[Date Value],"&lt;="&amp;$Z$3))+(-SUMIFS(SIP[Unit],SIP[Investor ID],A333,SIP[B/S],"S",SIP[Date Value],"&gt;="&amp;$Z$2,SIP[Date Value],"&lt;="&amp;$Z$3))</f>
        <v>0</v>
      </c>
      <c r="M333" s="49">
        <f>(SUMIFS(LS[Cost of Units Sold],LS[Investor ID],A333,LS[B/S],"S",LS[Date Value],"&gt;="&amp;$Z$2,LS[Date Value],"&lt;="&amp;$Z$3))+(SUMIFS(SIP[Cost of Units Sold],SIP[Investor ID],A333,SIP[B/S],"S",SIP[Date Value],"&gt;="&amp;$Z$2,SIP[Date Value],"&lt;="&amp;$Z$3))</f>
        <v>0</v>
      </c>
      <c r="N333" s="49">
        <f t="shared" si="29"/>
        <v>0</v>
      </c>
      <c r="O333" s="49">
        <f>(SUMIFS(LS[Realized Gain],LS[Investor ID],A333,LS[Date Value],"&gt;="&amp;$Z$2,LS[Date Value],"&lt;="&amp;$Z$3))+(SUMIFS(SIP[Realized Gain],SIP[Investor ID],A333,SIP[Date Value],"&gt;="&amp;$Z$2,SIP[Date Value],"&lt;="&amp;$Z$3))</f>
        <v>0</v>
      </c>
      <c r="P333" s="49">
        <v>0</v>
      </c>
      <c r="Q333" s="49">
        <v>0</v>
      </c>
      <c r="R333" s="49">
        <v>0</v>
      </c>
    </row>
    <row r="334" spans="1:18">
      <c r="A334" t="s">
        <v>716</v>
      </c>
      <c r="B334" s="47">
        <f>SUMIFS(LS[Unit],LS[Investor ID],'TAX CERTIFICATE'!A334,LS[Date Value],"&lt;"&amp;$Z$2)+SUMIFS(SIP[Unit],SIP[Investor ID],'TAX CERTIFICATE'!A334,SIP[Date Value],"&lt;"&amp;$Z$2)</f>
        <v>0</v>
      </c>
      <c r="C334" s="48">
        <f>(SUMIFS(LS[Amount],LS[B/S],"B",LS[Investor ID],A334,LS[Date Value],"&lt;"&amp;$Z$2)-SUMIFS(LS[Cost of Units Sold],LS[B/S],"S",LS[Investor ID],A334,LS[Date Value],"&lt;"&amp;$Z$2))+(SUMIFS(SIP[Amount],SIP[B/S],"B",SIP[Investor ID],#REF!,SIP[Date Value],"&lt;"&amp;$Z$2)-SUMIFS(SIP[Cost of Units Sold],SIP[B/S],"S",SIP[Investor ID],A334,SIP[Date Value],"&lt;"&amp;$Z$2))</f>
        <v>0</v>
      </c>
      <c r="D334" s="49">
        <f t="shared" si="25"/>
        <v>0</v>
      </c>
      <c r="E334" s="49">
        <f t="shared" si="26"/>
        <v>0</v>
      </c>
      <c r="F334" s="47">
        <f>SUMIFS(LS[Unit],LS[Investor ID],A334,LS[Date Value],"&lt;="&amp;$Z$3)+SUMIFS(SIP[Unit],SIP[Investor ID],A334,SIP[Date Value],"&lt;="&amp;$Z$3)</f>
        <v>0</v>
      </c>
      <c r="G334" s="49">
        <f>(SUMIFS(LS[Amount],LS[B/S],"B",LS[Investor ID],A334,LS[Date Value],"&lt;="&amp;$Z$3)-SUMIFS(LS[Cost of Units Sold],LS[B/S],"S",LS[Investor ID],A334,LS[Date Value],"&lt;="&amp;$Z$3))+(SUMIFS(SIP[Amount],SIP[B/S],"B",SIP[Investor ID],A334,SIP[Date Value],"&lt;="&amp;$Z$3)-SUMIFS(SIP[Cost of Units Sold],SIP[B/S],"S",SIP[Investor ID],A334,SIP[Date Value],"&lt;="&amp;$Z$3))</f>
        <v>0</v>
      </c>
      <c r="H334" s="49">
        <f t="shared" si="27"/>
        <v>0</v>
      </c>
      <c r="I334" s="49">
        <f t="shared" si="28"/>
        <v>0</v>
      </c>
      <c r="J334" s="47">
        <f>(SUMIFS(LS[Unit],LS[Investor ID],A334,LS[B/S],"B",LS[Date Value],"&gt;="&amp;$Z$2,LS[Date Value],"&lt;="&amp;$Z$3))+(SUMIFS(SIP[Unit],SIP[Investor ID],A334,SIP[B/S],"B",SIP[Date Value],"&gt;="&amp;$Z$2,SIP[Date Value],"&lt;="&amp;$Z$3))</f>
        <v>0</v>
      </c>
      <c r="K334" s="49">
        <f>(SUMIFS(LS[Amount],LS[Investor ID],A334,LS[B/S],"B",LS[Date Value],"&gt;="&amp;$Z$2,LS[Date Value],"&lt;="&amp;$Z$3))+(SUMIFS(SIP[Amount],SIP[Investor ID],A334,SIP[B/S],"B",SIP[Date Value],"&gt;="&amp;$Z$2,SIP[Date Value],"&lt;="&amp;$Z$3))</f>
        <v>0</v>
      </c>
      <c r="L334" s="47">
        <f>(-SUMIFS(LS[Unit],LS[Investor ID],A334,LS[B/S],"S",LS[Date Value],"&gt;="&amp;$Z$2,LS[Date Value],"&lt;="&amp;$Z$3))+(-SUMIFS(SIP[Unit],SIP[Investor ID],A334,SIP[B/S],"S",SIP[Date Value],"&gt;="&amp;$Z$2,SIP[Date Value],"&lt;="&amp;$Z$3))</f>
        <v>0</v>
      </c>
      <c r="M334" s="49">
        <f>(SUMIFS(LS[Cost of Units Sold],LS[Investor ID],A334,LS[B/S],"S",LS[Date Value],"&gt;="&amp;$Z$2,LS[Date Value],"&lt;="&amp;$Z$3))+(SUMIFS(SIP[Cost of Units Sold],SIP[Investor ID],A334,SIP[B/S],"S",SIP[Date Value],"&gt;="&amp;$Z$2,SIP[Date Value],"&lt;="&amp;$Z$3))</f>
        <v>0</v>
      </c>
      <c r="N334" s="49">
        <f t="shared" si="29"/>
        <v>0</v>
      </c>
      <c r="O334" s="49">
        <f>(SUMIFS(LS[Realized Gain],LS[Investor ID],A334,LS[Date Value],"&gt;="&amp;$Z$2,LS[Date Value],"&lt;="&amp;$Z$3))+(SUMIFS(SIP[Realized Gain],SIP[Investor ID],A334,SIP[Date Value],"&gt;="&amp;$Z$2,SIP[Date Value],"&lt;="&amp;$Z$3))</f>
        <v>0</v>
      </c>
      <c r="P334" s="49">
        <v>0</v>
      </c>
      <c r="Q334" s="49">
        <v>0</v>
      </c>
      <c r="R334" s="49">
        <v>0</v>
      </c>
    </row>
    <row r="335" spans="1:18">
      <c r="A335" t="s">
        <v>718</v>
      </c>
      <c r="B335" s="47">
        <f>SUMIFS(LS[Unit],LS[Investor ID],'TAX CERTIFICATE'!A335,LS[Date Value],"&lt;"&amp;$Z$2)+SUMIFS(SIP[Unit],SIP[Investor ID],'TAX CERTIFICATE'!A335,SIP[Date Value],"&lt;"&amp;$Z$2)</f>
        <v>0</v>
      </c>
      <c r="C335" s="48">
        <f>(SUMIFS(LS[Amount],LS[B/S],"B",LS[Investor ID],A335,LS[Date Value],"&lt;"&amp;$Z$2)-SUMIFS(LS[Cost of Units Sold],LS[B/S],"S",LS[Investor ID],A335,LS[Date Value],"&lt;"&amp;$Z$2))+(SUMIFS(SIP[Amount],SIP[B/S],"B",SIP[Investor ID],#REF!,SIP[Date Value],"&lt;"&amp;$Z$2)-SUMIFS(SIP[Cost of Units Sold],SIP[B/S],"S",SIP[Investor ID],A335,SIP[Date Value],"&lt;"&amp;$Z$2))</f>
        <v>0</v>
      </c>
      <c r="D335" s="49">
        <f t="shared" si="25"/>
        <v>0</v>
      </c>
      <c r="E335" s="49">
        <f t="shared" si="26"/>
        <v>0</v>
      </c>
      <c r="F335" s="47">
        <f>SUMIFS(LS[Unit],LS[Investor ID],A335,LS[Date Value],"&lt;="&amp;$Z$3)+SUMIFS(SIP[Unit],SIP[Investor ID],A335,SIP[Date Value],"&lt;="&amp;$Z$3)</f>
        <v>0</v>
      </c>
      <c r="G335" s="49">
        <f>(SUMIFS(LS[Amount],LS[B/S],"B",LS[Investor ID],A335,LS[Date Value],"&lt;="&amp;$Z$3)-SUMIFS(LS[Cost of Units Sold],LS[B/S],"S",LS[Investor ID],A335,LS[Date Value],"&lt;="&amp;$Z$3))+(SUMIFS(SIP[Amount],SIP[B/S],"B",SIP[Investor ID],A335,SIP[Date Value],"&lt;="&amp;$Z$3)-SUMIFS(SIP[Cost of Units Sold],SIP[B/S],"S",SIP[Investor ID],A335,SIP[Date Value],"&lt;="&amp;$Z$3))</f>
        <v>0</v>
      </c>
      <c r="H335" s="49">
        <f t="shared" si="27"/>
        <v>0</v>
      </c>
      <c r="I335" s="49">
        <f t="shared" si="28"/>
        <v>0</v>
      </c>
      <c r="J335" s="47">
        <f>(SUMIFS(LS[Unit],LS[Investor ID],A335,LS[B/S],"B",LS[Date Value],"&gt;="&amp;$Z$2,LS[Date Value],"&lt;="&amp;$Z$3))+(SUMIFS(SIP[Unit],SIP[Investor ID],A335,SIP[B/S],"B",SIP[Date Value],"&gt;="&amp;$Z$2,SIP[Date Value],"&lt;="&amp;$Z$3))</f>
        <v>0</v>
      </c>
      <c r="K335" s="49">
        <f>(SUMIFS(LS[Amount],LS[Investor ID],A335,LS[B/S],"B",LS[Date Value],"&gt;="&amp;$Z$2,LS[Date Value],"&lt;="&amp;$Z$3))+(SUMIFS(SIP[Amount],SIP[Investor ID],A335,SIP[B/S],"B",SIP[Date Value],"&gt;="&amp;$Z$2,SIP[Date Value],"&lt;="&amp;$Z$3))</f>
        <v>0</v>
      </c>
      <c r="L335" s="47">
        <f>(-SUMIFS(LS[Unit],LS[Investor ID],A335,LS[B/S],"S",LS[Date Value],"&gt;="&amp;$Z$2,LS[Date Value],"&lt;="&amp;$Z$3))+(-SUMIFS(SIP[Unit],SIP[Investor ID],A335,SIP[B/S],"S",SIP[Date Value],"&gt;="&amp;$Z$2,SIP[Date Value],"&lt;="&amp;$Z$3))</f>
        <v>0</v>
      </c>
      <c r="M335" s="49">
        <f>(SUMIFS(LS[Cost of Units Sold],LS[Investor ID],A335,LS[B/S],"S",LS[Date Value],"&gt;="&amp;$Z$2,LS[Date Value],"&lt;="&amp;$Z$3))+(SUMIFS(SIP[Cost of Units Sold],SIP[Investor ID],A335,SIP[B/S],"S",SIP[Date Value],"&gt;="&amp;$Z$2,SIP[Date Value],"&lt;="&amp;$Z$3))</f>
        <v>0</v>
      </c>
      <c r="N335" s="49">
        <f t="shared" si="29"/>
        <v>0</v>
      </c>
      <c r="O335" s="49">
        <f>(SUMIFS(LS[Realized Gain],LS[Investor ID],A335,LS[Date Value],"&gt;="&amp;$Z$2,LS[Date Value],"&lt;="&amp;$Z$3))+(SUMIFS(SIP[Realized Gain],SIP[Investor ID],A335,SIP[Date Value],"&gt;="&amp;$Z$2,SIP[Date Value],"&lt;="&amp;$Z$3))</f>
        <v>0</v>
      </c>
      <c r="P335" s="49">
        <v>0</v>
      </c>
      <c r="Q335" s="49">
        <v>0</v>
      </c>
      <c r="R335" s="49">
        <v>0</v>
      </c>
    </row>
    <row r="336" spans="1:18">
      <c r="A336" t="s">
        <v>720</v>
      </c>
      <c r="B336" s="47">
        <f>SUMIFS(LS[Unit],LS[Investor ID],'TAX CERTIFICATE'!A336,LS[Date Value],"&lt;"&amp;$Z$2)+SUMIFS(SIP[Unit],SIP[Investor ID],'TAX CERTIFICATE'!A336,SIP[Date Value],"&lt;"&amp;$Z$2)</f>
        <v>0</v>
      </c>
      <c r="C336" s="48">
        <f>(SUMIFS(LS[Amount],LS[B/S],"B",LS[Investor ID],A336,LS[Date Value],"&lt;"&amp;$Z$2)-SUMIFS(LS[Cost of Units Sold],LS[B/S],"S",LS[Investor ID],A336,LS[Date Value],"&lt;"&amp;$Z$2))+(SUMIFS(SIP[Amount],SIP[B/S],"B",SIP[Investor ID],#REF!,SIP[Date Value],"&lt;"&amp;$Z$2)-SUMIFS(SIP[Cost of Units Sold],SIP[B/S],"S",SIP[Investor ID],A336,SIP[Date Value],"&lt;"&amp;$Z$2))</f>
        <v>0</v>
      </c>
      <c r="D336" s="49">
        <f t="shared" si="25"/>
        <v>0</v>
      </c>
      <c r="E336" s="49">
        <f t="shared" si="26"/>
        <v>0</v>
      </c>
      <c r="F336" s="47">
        <f>SUMIFS(LS[Unit],LS[Investor ID],A336,LS[Date Value],"&lt;="&amp;$Z$3)+SUMIFS(SIP[Unit],SIP[Investor ID],A336,SIP[Date Value],"&lt;="&amp;$Z$3)</f>
        <v>0</v>
      </c>
      <c r="G336" s="49">
        <f>(SUMIFS(LS[Amount],LS[B/S],"B",LS[Investor ID],A336,LS[Date Value],"&lt;="&amp;$Z$3)-SUMIFS(LS[Cost of Units Sold],LS[B/S],"S",LS[Investor ID],A336,LS[Date Value],"&lt;="&amp;$Z$3))+(SUMIFS(SIP[Amount],SIP[B/S],"B",SIP[Investor ID],A336,SIP[Date Value],"&lt;="&amp;$Z$3)-SUMIFS(SIP[Cost of Units Sold],SIP[B/S],"S",SIP[Investor ID],A336,SIP[Date Value],"&lt;="&amp;$Z$3))</f>
        <v>0</v>
      </c>
      <c r="H336" s="49">
        <f t="shared" si="27"/>
        <v>0</v>
      </c>
      <c r="I336" s="49">
        <f t="shared" si="28"/>
        <v>0</v>
      </c>
      <c r="J336" s="47">
        <f>(SUMIFS(LS[Unit],LS[Investor ID],A336,LS[B/S],"B",LS[Date Value],"&gt;="&amp;$Z$2,LS[Date Value],"&lt;="&amp;$Z$3))+(SUMIFS(SIP[Unit],SIP[Investor ID],A336,SIP[B/S],"B",SIP[Date Value],"&gt;="&amp;$Z$2,SIP[Date Value],"&lt;="&amp;$Z$3))</f>
        <v>0</v>
      </c>
      <c r="K336" s="49">
        <f>(SUMIFS(LS[Amount],LS[Investor ID],A336,LS[B/S],"B",LS[Date Value],"&gt;="&amp;$Z$2,LS[Date Value],"&lt;="&amp;$Z$3))+(SUMIFS(SIP[Amount],SIP[Investor ID],A336,SIP[B/S],"B",SIP[Date Value],"&gt;="&amp;$Z$2,SIP[Date Value],"&lt;="&amp;$Z$3))</f>
        <v>0</v>
      </c>
      <c r="L336" s="47">
        <f>(-SUMIFS(LS[Unit],LS[Investor ID],A336,LS[B/S],"S",LS[Date Value],"&gt;="&amp;$Z$2,LS[Date Value],"&lt;="&amp;$Z$3))+(-SUMIFS(SIP[Unit],SIP[Investor ID],A336,SIP[B/S],"S",SIP[Date Value],"&gt;="&amp;$Z$2,SIP[Date Value],"&lt;="&amp;$Z$3))</f>
        <v>0</v>
      </c>
      <c r="M336" s="49">
        <f>(SUMIFS(LS[Cost of Units Sold],LS[Investor ID],A336,LS[B/S],"S",LS[Date Value],"&gt;="&amp;$Z$2,LS[Date Value],"&lt;="&amp;$Z$3))+(SUMIFS(SIP[Cost of Units Sold],SIP[Investor ID],A336,SIP[B/S],"S",SIP[Date Value],"&gt;="&amp;$Z$2,SIP[Date Value],"&lt;="&amp;$Z$3))</f>
        <v>0</v>
      </c>
      <c r="N336" s="49">
        <f t="shared" si="29"/>
        <v>0</v>
      </c>
      <c r="O336" s="49">
        <f>(SUMIFS(LS[Realized Gain],LS[Investor ID],A336,LS[Date Value],"&gt;="&amp;$Z$2,LS[Date Value],"&lt;="&amp;$Z$3))+(SUMIFS(SIP[Realized Gain],SIP[Investor ID],A336,SIP[Date Value],"&gt;="&amp;$Z$2,SIP[Date Value],"&lt;="&amp;$Z$3))</f>
        <v>0</v>
      </c>
      <c r="P336" s="49">
        <v>0</v>
      </c>
      <c r="Q336" s="49">
        <v>0</v>
      </c>
      <c r="R336" s="49">
        <v>0</v>
      </c>
    </row>
    <row r="337" spans="1:18">
      <c r="A337" t="s">
        <v>722</v>
      </c>
      <c r="B337" s="47">
        <f>SUMIFS(LS[Unit],LS[Investor ID],'TAX CERTIFICATE'!A337,LS[Date Value],"&lt;"&amp;$Z$2)+SUMIFS(SIP[Unit],SIP[Investor ID],'TAX CERTIFICATE'!A337,SIP[Date Value],"&lt;"&amp;$Z$2)</f>
        <v>0</v>
      </c>
      <c r="C337" s="48">
        <f>(SUMIFS(LS[Amount],LS[B/S],"B",LS[Investor ID],A337,LS[Date Value],"&lt;"&amp;$Z$2)-SUMIFS(LS[Cost of Units Sold],LS[B/S],"S",LS[Investor ID],A337,LS[Date Value],"&lt;"&amp;$Z$2))+(SUMIFS(SIP[Amount],SIP[B/S],"B",SIP[Investor ID],#REF!,SIP[Date Value],"&lt;"&amp;$Z$2)-SUMIFS(SIP[Cost of Units Sold],SIP[B/S],"S",SIP[Investor ID],A337,SIP[Date Value],"&lt;"&amp;$Z$2))</f>
        <v>0</v>
      </c>
      <c r="D337" s="49">
        <f t="shared" si="25"/>
        <v>0</v>
      </c>
      <c r="E337" s="49">
        <f t="shared" si="26"/>
        <v>0</v>
      </c>
      <c r="F337" s="47">
        <f>SUMIFS(LS[Unit],LS[Investor ID],A337,LS[Date Value],"&lt;="&amp;$Z$3)+SUMIFS(SIP[Unit],SIP[Investor ID],A337,SIP[Date Value],"&lt;="&amp;$Z$3)</f>
        <v>0</v>
      </c>
      <c r="G337" s="49">
        <f>(SUMIFS(LS[Amount],LS[B/S],"B",LS[Investor ID],A337,LS[Date Value],"&lt;="&amp;$Z$3)-SUMIFS(LS[Cost of Units Sold],LS[B/S],"S",LS[Investor ID],A337,LS[Date Value],"&lt;="&amp;$Z$3))+(SUMIFS(SIP[Amount],SIP[B/S],"B",SIP[Investor ID],A337,SIP[Date Value],"&lt;="&amp;$Z$3)-SUMIFS(SIP[Cost of Units Sold],SIP[B/S],"S",SIP[Investor ID],A337,SIP[Date Value],"&lt;="&amp;$Z$3))</f>
        <v>0</v>
      </c>
      <c r="H337" s="49">
        <f t="shared" si="27"/>
        <v>0</v>
      </c>
      <c r="I337" s="49">
        <f t="shared" si="28"/>
        <v>0</v>
      </c>
      <c r="J337" s="47">
        <f>(SUMIFS(LS[Unit],LS[Investor ID],A337,LS[B/S],"B",LS[Date Value],"&gt;="&amp;$Z$2,LS[Date Value],"&lt;="&amp;$Z$3))+(SUMIFS(SIP[Unit],SIP[Investor ID],A337,SIP[B/S],"B",SIP[Date Value],"&gt;="&amp;$Z$2,SIP[Date Value],"&lt;="&amp;$Z$3))</f>
        <v>0</v>
      </c>
      <c r="K337" s="49">
        <f>(SUMIFS(LS[Amount],LS[Investor ID],A337,LS[B/S],"B",LS[Date Value],"&gt;="&amp;$Z$2,LS[Date Value],"&lt;="&amp;$Z$3))+(SUMIFS(SIP[Amount],SIP[Investor ID],A337,SIP[B/S],"B",SIP[Date Value],"&gt;="&amp;$Z$2,SIP[Date Value],"&lt;="&amp;$Z$3))</f>
        <v>0</v>
      </c>
      <c r="L337" s="47">
        <f>(-SUMIFS(LS[Unit],LS[Investor ID],A337,LS[B/S],"S",LS[Date Value],"&gt;="&amp;$Z$2,LS[Date Value],"&lt;="&amp;$Z$3))+(-SUMIFS(SIP[Unit],SIP[Investor ID],A337,SIP[B/S],"S",SIP[Date Value],"&gt;="&amp;$Z$2,SIP[Date Value],"&lt;="&amp;$Z$3))</f>
        <v>0</v>
      </c>
      <c r="M337" s="49">
        <f>(SUMIFS(LS[Cost of Units Sold],LS[Investor ID],A337,LS[B/S],"S",LS[Date Value],"&gt;="&amp;$Z$2,LS[Date Value],"&lt;="&amp;$Z$3))+(SUMIFS(SIP[Cost of Units Sold],SIP[Investor ID],A337,SIP[B/S],"S",SIP[Date Value],"&gt;="&amp;$Z$2,SIP[Date Value],"&lt;="&amp;$Z$3))</f>
        <v>0</v>
      </c>
      <c r="N337" s="49">
        <f t="shared" si="29"/>
        <v>0</v>
      </c>
      <c r="O337" s="49">
        <f>(SUMIFS(LS[Realized Gain],LS[Investor ID],A337,LS[Date Value],"&gt;="&amp;$Z$2,LS[Date Value],"&lt;="&amp;$Z$3))+(SUMIFS(SIP[Realized Gain],SIP[Investor ID],A337,SIP[Date Value],"&gt;="&amp;$Z$2,SIP[Date Value],"&lt;="&amp;$Z$3))</f>
        <v>0</v>
      </c>
      <c r="P337" s="49">
        <v>0</v>
      </c>
      <c r="Q337" s="49">
        <v>0</v>
      </c>
      <c r="R337" s="49">
        <v>0</v>
      </c>
    </row>
    <row r="338" spans="1:18">
      <c r="A338" t="s">
        <v>724</v>
      </c>
      <c r="B338" s="47">
        <f>SUMIFS(LS[Unit],LS[Investor ID],'TAX CERTIFICATE'!A338,LS[Date Value],"&lt;"&amp;$Z$2)+SUMIFS(SIP[Unit],SIP[Investor ID],'TAX CERTIFICATE'!A338,SIP[Date Value],"&lt;"&amp;$Z$2)</f>
        <v>0</v>
      </c>
      <c r="C338" s="48">
        <f>(SUMIFS(LS[Amount],LS[B/S],"B",LS[Investor ID],A338,LS[Date Value],"&lt;"&amp;$Z$2)-SUMIFS(LS[Cost of Units Sold],LS[B/S],"S",LS[Investor ID],A338,LS[Date Value],"&lt;"&amp;$Z$2))+(SUMIFS(SIP[Amount],SIP[B/S],"B",SIP[Investor ID],#REF!,SIP[Date Value],"&lt;"&amp;$Z$2)-SUMIFS(SIP[Cost of Units Sold],SIP[B/S],"S",SIP[Investor ID],A338,SIP[Date Value],"&lt;"&amp;$Z$2))</f>
        <v>0</v>
      </c>
      <c r="D338" s="49">
        <f t="shared" si="25"/>
        <v>0</v>
      </c>
      <c r="E338" s="49">
        <f t="shared" si="26"/>
        <v>0</v>
      </c>
      <c r="F338" s="47">
        <f>SUMIFS(LS[Unit],LS[Investor ID],A338,LS[Date Value],"&lt;="&amp;$Z$3)+SUMIFS(SIP[Unit],SIP[Investor ID],A338,SIP[Date Value],"&lt;="&amp;$Z$3)</f>
        <v>0</v>
      </c>
      <c r="G338" s="49">
        <f>(SUMIFS(LS[Amount],LS[B/S],"B",LS[Investor ID],A338,LS[Date Value],"&lt;="&amp;$Z$3)-SUMIFS(LS[Cost of Units Sold],LS[B/S],"S",LS[Investor ID],A338,LS[Date Value],"&lt;="&amp;$Z$3))+(SUMIFS(SIP[Amount],SIP[B/S],"B",SIP[Investor ID],A338,SIP[Date Value],"&lt;="&amp;$Z$3)-SUMIFS(SIP[Cost of Units Sold],SIP[B/S],"S",SIP[Investor ID],A338,SIP[Date Value],"&lt;="&amp;$Z$3))</f>
        <v>0</v>
      </c>
      <c r="H338" s="49">
        <f t="shared" si="27"/>
        <v>0</v>
      </c>
      <c r="I338" s="49">
        <f t="shared" si="28"/>
        <v>0</v>
      </c>
      <c r="J338" s="47">
        <f>(SUMIFS(LS[Unit],LS[Investor ID],A338,LS[B/S],"B",LS[Date Value],"&gt;="&amp;$Z$2,LS[Date Value],"&lt;="&amp;$Z$3))+(SUMIFS(SIP[Unit],SIP[Investor ID],A338,SIP[B/S],"B",SIP[Date Value],"&gt;="&amp;$Z$2,SIP[Date Value],"&lt;="&amp;$Z$3))</f>
        <v>0</v>
      </c>
      <c r="K338" s="49">
        <f>(SUMIFS(LS[Amount],LS[Investor ID],A338,LS[B/S],"B",LS[Date Value],"&gt;="&amp;$Z$2,LS[Date Value],"&lt;="&amp;$Z$3))+(SUMIFS(SIP[Amount],SIP[Investor ID],A338,SIP[B/S],"B",SIP[Date Value],"&gt;="&amp;$Z$2,SIP[Date Value],"&lt;="&amp;$Z$3))</f>
        <v>0</v>
      </c>
      <c r="L338" s="47">
        <f>(-SUMIFS(LS[Unit],LS[Investor ID],A338,LS[B/S],"S",LS[Date Value],"&gt;="&amp;$Z$2,LS[Date Value],"&lt;="&amp;$Z$3))+(-SUMIFS(SIP[Unit],SIP[Investor ID],A338,SIP[B/S],"S",SIP[Date Value],"&gt;="&amp;$Z$2,SIP[Date Value],"&lt;="&amp;$Z$3))</f>
        <v>0</v>
      </c>
      <c r="M338" s="49">
        <f>(SUMIFS(LS[Cost of Units Sold],LS[Investor ID],A338,LS[B/S],"S",LS[Date Value],"&gt;="&amp;$Z$2,LS[Date Value],"&lt;="&amp;$Z$3))+(SUMIFS(SIP[Cost of Units Sold],SIP[Investor ID],A338,SIP[B/S],"S",SIP[Date Value],"&gt;="&amp;$Z$2,SIP[Date Value],"&lt;="&amp;$Z$3))</f>
        <v>0</v>
      </c>
      <c r="N338" s="49">
        <f t="shared" si="29"/>
        <v>0</v>
      </c>
      <c r="O338" s="49">
        <f>(SUMIFS(LS[Realized Gain],LS[Investor ID],A338,LS[Date Value],"&gt;="&amp;$Z$2,LS[Date Value],"&lt;="&amp;$Z$3))+(SUMIFS(SIP[Realized Gain],SIP[Investor ID],A338,SIP[Date Value],"&gt;="&amp;$Z$2,SIP[Date Value],"&lt;="&amp;$Z$3))</f>
        <v>0</v>
      </c>
      <c r="P338" s="49">
        <v>0</v>
      </c>
      <c r="Q338" s="49">
        <v>0</v>
      </c>
      <c r="R338" s="49">
        <v>0</v>
      </c>
    </row>
    <row r="339" spans="1:18">
      <c r="A339" t="s">
        <v>726</v>
      </c>
      <c r="B339" s="47">
        <f>SUMIFS(LS[Unit],LS[Investor ID],'TAX CERTIFICATE'!A339,LS[Date Value],"&lt;"&amp;$Z$2)+SUMIFS(SIP[Unit],SIP[Investor ID],'TAX CERTIFICATE'!A339,SIP[Date Value],"&lt;"&amp;$Z$2)</f>
        <v>0</v>
      </c>
      <c r="C339" s="48">
        <f>(SUMIFS(LS[Amount],LS[B/S],"B",LS[Investor ID],A339,LS[Date Value],"&lt;"&amp;$Z$2)-SUMIFS(LS[Cost of Units Sold],LS[B/S],"S",LS[Investor ID],A339,LS[Date Value],"&lt;"&amp;$Z$2))+(SUMIFS(SIP[Amount],SIP[B/S],"B",SIP[Investor ID],#REF!,SIP[Date Value],"&lt;"&amp;$Z$2)-SUMIFS(SIP[Cost of Units Sold],SIP[B/S],"S",SIP[Investor ID],A339,SIP[Date Value],"&lt;"&amp;$Z$2))</f>
        <v>0</v>
      </c>
      <c r="D339" s="49">
        <f t="shared" si="25"/>
        <v>0</v>
      </c>
      <c r="E339" s="49">
        <f t="shared" si="26"/>
        <v>0</v>
      </c>
      <c r="F339" s="47">
        <f>SUMIFS(LS[Unit],LS[Investor ID],A339,LS[Date Value],"&lt;="&amp;$Z$3)+SUMIFS(SIP[Unit],SIP[Investor ID],A339,SIP[Date Value],"&lt;="&amp;$Z$3)</f>
        <v>0</v>
      </c>
      <c r="G339" s="49">
        <f>(SUMIFS(LS[Amount],LS[B/S],"B",LS[Investor ID],A339,LS[Date Value],"&lt;="&amp;$Z$3)-SUMIFS(LS[Cost of Units Sold],LS[B/S],"S",LS[Investor ID],A339,LS[Date Value],"&lt;="&amp;$Z$3))+(SUMIFS(SIP[Amount],SIP[B/S],"B",SIP[Investor ID],A339,SIP[Date Value],"&lt;="&amp;$Z$3)-SUMIFS(SIP[Cost of Units Sold],SIP[B/S],"S",SIP[Investor ID],A339,SIP[Date Value],"&lt;="&amp;$Z$3))</f>
        <v>0</v>
      </c>
      <c r="H339" s="49">
        <f t="shared" si="27"/>
        <v>0</v>
      </c>
      <c r="I339" s="49">
        <f t="shared" si="28"/>
        <v>0</v>
      </c>
      <c r="J339" s="47">
        <f>(SUMIFS(LS[Unit],LS[Investor ID],A339,LS[B/S],"B",LS[Date Value],"&gt;="&amp;$Z$2,LS[Date Value],"&lt;="&amp;$Z$3))+(SUMIFS(SIP[Unit],SIP[Investor ID],A339,SIP[B/S],"B",SIP[Date Value],"&gt;="&amp;$Z$2,SIP[Date Value],"&lt;="&amp;$Z$3))</f>
        <v>0</v>
      </c>
      <c r="K339" s="49">
        <f>(SUMIFS(LS[Amount],LS[Investor ID],A339,LS[B/S],"B",LS[Date Value],"&gt;="&amp;$Z$2,LS[Date Value],"&lt;="&amp;$Z$3))+(SUMIFS(SIP[Amount],SIP[Investor ID],A339,SIP[B/S],"B",SIP[Date Value],"&gt;="&amp;$Z$2,SIP[Date Value],"&lt;="&amp;$Z$3))</f>
        <v>0</v>
      </c>
      <c r="L339" s="47">
        <f>(-SUMIFS(LS[Unit],LS[Investor ID],A339,LS[B/S],"S",LS[Date Value],"&gt;="&amp;$Z$2,LS[Date Value],"&lt;="&amp;$Z$3))+(-SUMIFS(SIP[Unit],SIP[Investor ID],A339,SIP[B/S],"S",SIP[Date Value],"&gt;="&amp;$Z$2,SIP[Date Value],"&lt;="&amp;$Z$3))</f>
        <v>0</v>
      </c>
      <c r="M339" s="49">
        <f>(SUMIFS(LS[Cost of Units Sold],LS[Investor ID],A339,LS[B/S],"S",LS[Date Value],"&gt;="&amp;$Z$2,LS[Date Value],"&lt;="&amp;$Z$3))+(SUMIFS(SIP[Cost of Units Sold],SIP[Investor ID],A339,SIP[B/S],"S",SIP[Date Value],"&gt;="&amp;$Z$2,SIP[Date Value],"&lt;="&amp;$Z$3))</f>
        <v>0</v>
      </c>
      <c r="N339" s="49">
        <f t="shared" si="29"/>
        <v>0</v>
      </c>
      <c r="O339" s="49">
        <f>(SUMIFS(LS[Realized Gain],LS[Investor ID],A339,LS[Date Value],"&gt;="&amp;$Z$2,LS[Date Value],"&lt;="&amp;$Z$3))+(SUMIFS(SIP[Realized Gain],SIP[Investor ID],A339,SIP[Date Value],"&gt;="&amp;$Z$2,SIP[Date Value],"&lt;="&amp;$Z$3))</f>
        <v>0</v>
      </c>
      <c r="P339" s="49">
        <v>0</v>
      </c>
      <c r="Q339" s="49">
        <v>0</v>
      </c>
      <c r="R339" s="49">
        <v>0</v>
      </c>
    </row>
    <row r="340" spans="1:18">
      <c r="A340" t="s">
        <v>728</v>
      </c>
      <c r="B340" s="47">
        <f>SUMIFS(LS[Unit],LS[Investor ID],'TAX CERTIFICATE'!A340,LS[Date Value],"&lt;"&amp;$Z$2)+SUMIFS(SIP[Unit],SIP[Investor ID],'TAX CERTIFICATE'!A340,SIP[Date Value],"&lt;"&amp;$Z$2)</f>
        <v>0</v>
      </c>
      <c r="C340" s="48">
        <f>(SUMIFS(LS[Amount],LS[B/S],"B",LS[Investor ID],A340,LS[Date Value],"&lt;"&amp;$Z$2)-SUMIFS(LS[Cost of Units Sold],LS[B/S],"S",LS[Investor ID],A340,LS[Date Value],"&lt;"&amp;$Z$2))+(SUMIFS(SIP[Amount],SIP[B/S],"B",SIP[Investor ID],#REF!,SIP[Date Value],"&lt;"&amp;$Z$2)-SUMIFS(SIP[Cost of Units Sold],SIP[B/S],"S",SIP[Investor ID],A340,SIP[Date Value],"&lt;"&amp;$Z$2))</f>
        <v>0</v>
      </c>
      <c r="D340" s="49">
        <f t="shared" si="25"/>
        <v>0</v>
      </c>
      <c r="E340" s="49">
        <f t="shared" si="26"/>
        <v>0</v>
      </c>
      <c r="F340" s="47">
        <f>SUMIFS(LS[Unit],LS[Investor ID],A340,LS[Date Value],"&lt;="&amp;$Z$3)+SUMIFS(SIP[Unit],SIP[Investor ID],A340,SIP[Date Value],"&lt;="&amp;$Z$3)</f>
        <v>112933</v>
      </c>
      <c r="G340" s="49">
        <f>(SUMIFS(LS[Amount],LS[B/S],"B",LS[Investor ID],A340,LS[Date Value],"&lt;="&amp;$Z$3)-SUMIFS(LS[Cost of Units Sold],LS[B/S],"S",LS[Investor ID],A340,LS[Date Value],"&lt;="&amp;$Z$3))+(SUMIFS(SIP[Amount],SIP[B/S],"B",SIP[Investor ID],A340,SIP[Date Value],"&lt;="&amp;$Z$3)-SUMIFS(SIP[Cost of Units Sold],SIP[B/S],"S",SIP[Investor ID],A340,SIP[Date Value],"&lt;="&amp;$Z$3))</f>
        <v>1200000</v>
      </c>
      <c r="H340" s="49">
        <f t="shared" si="27"/>
        <v>1260784.0119999999</v>
      </c>
      <c r="I340" s="49">
        <f t="shared" si="28"/>
        <v>60784.011999999871</v>
      </c>
      <c r="J340" s="47">
        <f>(SUMIFS(LS[Unit],LS[Investor ID],A340,LS[B/S],"B",LS[Date Value],"&gt;="&amp;$Z$2,LS[Date Value],"&lt;="&amp;$Z$3))+(SUMIFS(SIP[Unit],SIP[Investor ID],A340,SIP[B/S],"B",SIP[Date Value],"&gt;="&amp;$Z$2,SIP[Date Value],"&lt;="&amp;$Z$3))</f>
        <v>112933</v>
      </c>
      <c r="K340" s="49">
        <f>(SUMIFS(LS[Amount],LS[Investor ID],A340,LS[B/S],"B",LS[Date Value],"&gt;="&amp;$Z$2,LS[Date Value],"&lt;="&amp;$Z$3))+(SUMIFS(SIP[Amount],SIP[Investor ID],A340,SIP[B/S],"B",SIP[Date Value],"&gt;="&amp;$Z$2,SIP[Date Value],"&lt;="&amp;$Z$3))</f>
        <v>1200000</v>
      </c>
      <c r="L340" s="47">
        <f>(-SUMIFS(LS[Unit],LS[Investor ID],A340,LS[B/S],"S",LS[Date Value],"&gt;="&amp;$Z$2,LS[Date Value],"&lt;="&amp;$Z$3))+(-SUMIFS(SIP[Unit],SIP[Investor ID],A340,SIP[B/S],"S",SIP[Date Value],"&gt;="&amp;$Z$2,SIP[Date Value],"&lt;="&amp;$Z$3))</f>
        <v>0</v>
      </c>
      <c r="M340" s="49">
        <f>(SUMIFS(LS[Cost of Units Sold],LS[Investor ID],A340,LS[B/S],"S",LS[Date Value],"&gt;="&amp;$Z$2,LS[Date Value],"&lt;="&amp;$Z$3))+(SUMIFS(SIP[Cost of Units Sold],SIP[Investor ID],A340,SIP[B/S],"S",SIP[Date Value],"&gt;="&amp;$Z$2,SIP[Date Value],"&lt;="&amp;$Z$3))</f>
        <v>0</v>
      </c>
      <c r="N340" s="49">
        <f t="shared" si="29"/>
        <v>1200000</v>
      </c>
      <c r="O340" s="49">
        <f>(SUMIFS(LS[Realized Gain],LS[Investor ID],A340,LS[Date Value],"&gt;="&amp;$Z$2,LS[Date Value],"&lt;="&amp;$Z$3))+(SUMIFS(SIP[Realized Gain],SIP[Investor ID],A340,SIP[Date Value],"&gt;="&amp;$Z$2,SIP[Date Value],"&lt;="&amp;$Z$3))</f>
        <v>0</v>
      </c>
      <c r="P340" s="49">
        <v>0</v>
      </c>
      <c r="Q340" s="49">
        <v>0</v>
      </c>
      <c r="R340" s="49">
        <v>0</v>
      </c>
    </row>
    <row r="341" spans="1:18">
      <c r="A341" t="s">
        <v>730</v>
      </c>
      <c r="B341" s="47">
        <f>SUMIFS(LS[Unit],LS[Investor ID],'TAX CERTIFICATE'!A341,LS[Date Value],"&lt;"&amp;$Z$2)+SUMIFS(SIP[Unit],SIP[Investor ID],'TAX CERTIFICATE'!A341,SIP[Date Value],"&lt;"&amp;$Z$2)</f>
        <v>0</v>
      </c>
      <c r="C341" s="48">
        <f>(SUMIFS(LS[Amount],LS[B/S],"B",LS[Investor ID],A341,LS[Date Value],"&lt;"&amp;$Z$2)-SUMIFS(LS[Cost of Units Sold],LS[B/S],"S",LS[Investor ID],A341,LS[Date Value],"&lt;"&amp;$Z$2))+(SUMIFS(SIP[Amount],SIP[B/S],"B",SIP[Investor ID],#REF!,SIP[Date Value],"&lt;"&amp;$Z$2)-SUMIFS(SIP[Cost of Units Sold],SIP[B/S],"S",SIP[Investor ID],A341,SIP[Date Value],"&lt;"&amp;$Z$2))</f>
        <v>0</v>
      </c>
      <c r="D341" s="49">
        <f t="shared" si="25"/>
        <v>0</v>
      </c>
      <c r="E341" s="49">
        <f t="shared" si="26"/>
        <v>0</v>
      </c>
      <c r="F341" s="47">
        <f>SUMIFS(LS[Unit],LS[Investor ID],A341,LS[Date Value],"&lt;="&amp;$Z$3)+SUMIFS(SIP[Unit],SIP[Investor ID],A341,SIP[Date Value],"&lt;="&amp;$Z$3)</f>
        <v>0</v>
      </c>
      <c r="G341" s="49">
        <f>(SUMIFS(LS[Amount],LS[B/S],"B",LS[Investor ID],A341,LS[Date Value],"&lt;="&amp;$Z$3)-SUMIFS(LS[Cost of Units Sold],LS[B/S],"S",LS[Investor ID],A341,LS[Date Value],"&lt;="&amp;$Z$3))+(SUMIFS(SIP[Amount],SIP[B/S],"B",SIP[Investor ID],A341,SIP[Date Value],"&lt;="&amp;$Z$3)-SUMIFS(SIP[Cost of Units Sold],SIP[B/S],"S",SIP[Investor ID],A341,SIP[Date Value],"&lt;="&amp;$Z$3))</f>
        <v>0</v>
      </c>
      <c r="H341" s="49">
        <f t="shared" si="27"/>
        <v>0</v>
      </c>
      <c r="I341" s="49">
        <f t="shared" si="28"/>
        <v>0</v>
      </c>
      <c r="J341" s="47">
        <f>(SUMIFS(LS[Unit],LS[Investor ID],A341,LS[B/S],"B",LS[Date Value],"&gt;="&amp;$Z$2,LS[Date Value],"&lt;="&amp;$Z$3))+(SUMIFS(SIP[Unit],SIP[Investor ID],A341,SIP[B/S],"B",SIP[Date Value],"&gt;="&amp;$Z$2,SIP[Date Value],"&lt;="&amp;$Z$3))</f>
        <v>0</v>
      </c>
      <c r="K341" s="49">
        <f>(SUMIFS(LS[Amount],LS[Investor ID],A341,LS[B/S],"B",LS[Date Value],"&gt;="&amp;$Z$2,LS[Date Value],"&lt;="&amp;$Z$3))+(SUMIFS(SIP[Amount],SIP[Investor ID],A341,SIP[B/S],"B",SIP[Date Value],"&gt;="&amp;$Z$2,SIP[Date Value],"&lt;="&amp;$Z$3))</f>
        <v>0</v>
      </c>
      <c r="L341" s="47">
        <f>(-SUMIFS(LS[Unit],LS[Investor ID],A341,LS[B/S],"S",LS[Date Value],"&gt;="&amp;$Z$2,LS[Date Value],"&lt;="&amp;$Z$3))+(-SUMIFS(SIP[Unit],SIP[Investor ID],A341,SIP[B/S],"S",SIP[Date Value],"&gt;="&amp;$Z$2,SIP[Date Value],"&lt;="&amp;$Z$3))</f>
        <v>0</v>
      </c>
      <c r="M341" s="49">
        <f>(SUMIFS(LS[Cost of Units Sold],LS[Investor ID],A341,LS[B/S],"S",LS[Date Value],"&gt;="&amp;$Z$2,LS[Date Value],"&lt;="&amp;$Z$3))+(SUMIFS(SIP[Cost of Units Sold],SIP[Investor ID],A341,SIP[B/S],"S",SIP[Date Value],"&gt;="&amp;$Z$2,SIP[Date Value],"&lt;="&amp;$Z$3))</f>
        <v>0</v>
      </c>
      <c r="N341" s="49">
        <f t="shared" si="29"/>
        <v>0</v>
      </c>
      <c r="O341" s="49">
        <f>(SUMIFS(LS[Realized Gain],LS[Investor ID],A341,LS[Date Value],"&gt;="&amp;$Z$2,LS[Date Value],"&lt;="&amp;$Z$3))+(SUMIFS(SIP[Realized Gain],SIP[Investor ID],A341,SIP[Date Value],"&gt;="&amp;$Z$2,SIP[Date Value],"&lt;="&amp;$Z$3))</f>
        <v>0</v>
      </c>
      <c r="P341" s="49">
        <v>0</v>
      </c>
      <c r="Q341" s="49">
        <v>0</v>
      </c>
      <c r="R341" s="49">
        <v>0</v>
      </c>
    </row>
    <row r="342" spans="1:18">
      <c r="A342" t="s">
        <v>732</v>
      </c>
      <c r="B342" s="47">
        <f>SUMIFS(LS[Unit],LS[Investor ID],'TAX CERTIFICATE'!A342,LS[Date Value],"&lt;"&amp;$Z$2)+SUMIFS(SIP[Unit],SIP[Investor ID],'TAX CERTIFICATE'!A342,SIP[Date Value],"&lt;"&amp;$Z$2)</f>
        <v>0</v>
      </c>
      <c r="C342" s="48">
        <f>(SUMIFS(LS[Amount],LS[B/S],"B",LS[Investor ID],A342,LS[Date Value],"&lt;"&amp;$Z$2)-SUMIFS(LS[Cost of Units Sold],LS[B/S],"S",LS[Investor ID],A342,LS[Date Value],"&lt;"&amp;$Z$2))+(SUMIFS(SIP[Amount],SIP[B/S],"B",SIP[Investor ID],#REF!,SIP[Date Value],"&lt;"&amp;$Z$2)-SUMIFS(SIP[Cost of Units Sold],SIP[B/S],"S",SIP[Investor ID],A342,SIP[Date Value],"&lt;"&amp;$Z$2))</f>
        <v>0</v>
      </c>
      <c r="D342" s="49">
        <f t="shared" si="25"/>
        <v>0</v>
      </c>
      <c r="E342" s="49">
        <f t="shared" si="26"/>
        <v>0</v>
      </c>
      <c r="F342" s="47">
        <f>SUMIFS(LS[Unit],LS[Investor ID],A342,LS[Date Value],"&lt;="&amp;$Z$3)+SUMIFS(SIP[Unit],SIP[Investor ID],A342,SIP[Date Value],"&lt;="&amp;$Z$3)</f>
        <v>0</v>
      </c>
      <c r="G342" s="49">
        <f>(SUMIFS(LS[Amount],LS[B/S],"B",LS[Investor ID],A342,LS[Date Value],"&lt;="&amp;$Z$3)-SUMIFS(LS[Cost of Units Sold],LS[B/S],"S",LS[Investor ID],A342,LS[Date Value],"&lt;="&amp;$Z$3))+(SUMIFS(SIP[Amount],SIP[B/S],"B",SIP[Investor ID],A342,SIP[Date Value],"&lt;="&amp;$Z$3)-SUMIFS(SIP[Cost of Units Sold],SIP[B/S],"S",SIP[Investor ID],A342,SIP[Date Value],"&lt;="&amp;$Z$3))</f>
        <v>0</v>
      </c>
      <c r="H342" s="49">
        <f t="shared" si="27"/>
        <v>0</v>
      </c>
      <c r="I342" s="49">
        <f t="shared" si="28"/>
        <v>0</v>
      </c>
      <c r="J342" s="47">
        <f>(SUMIFS(LS[Unit],LS[Investor ID],A342,LS[B/S],"B",LS[Date Value],"&gt;="&amp;$Z$2,LS[Date Value],"&lt;="&amp;$Z$3))+(SUMIFS(SIP[Unit],SIP[Investor ID],A342,SIP[B/S],"B",SIP[Date Value],"&gt;="&amp;$Z$2,SIP[Date Value],"&lt;="&amp;$Z$3))</f>
        <v>0</v>
      </c>
      <c r="K342" s="49">
        <f>(SUMIFS(LS[Amount],LS[Investor ID],A342,LS[B/S],"B",LS[Date Value],"&gt;="&amp;$Z$2,LS[Date Value],"&lt;="&amp;$Z$3))+(SUMIFS(SIP[Amount],SIP[Investor ID],A342,SIP[B/S],"B",SIP[Date Value],"&gt;="&amp;$Z$2,SIP[Date Value],"&lt;="&amp;$Z$3))</f>
        <v>0</v>
      </c>
      <c r="L342" s="47">
        <f>(-SUMIFS(LS[Unit],LS[Investor ID],A342,LS[B/S],"S",LS[Date Value],"&gt;="&amp;$Z$2,LS[Date Value],"&lt;="&amp;$Z$3))+(-SUMIFS(SIP[Unit],SIP[Investor ID],A342,SIP[B/S],"S",SIP[Date Value],"&gt;="&amp;$Z$2,SIP[Date Value],"&lt;="&amp;$Z$3))</f>
        <v>0</v>
      </c>
      <c r="M342" s="49">
        <f>(SUMIFS(LS[Cost of Units Sold],LS[Investor ID],A342,LS[B/S],"S",LS[Date Value],"&gt;="&amp;$Z$2,LS[Date Value],"&lt;="&amp;$Z$3))+(SUMIFS(SIP[Cost of Units Sold],SIP[Investor ID],A342,SIP[B/S],"S",SIP[Date Value],"&gt;="&amp;$Z$2,SIP[Date Value],"&lt;="&amp;$Z$3))</f>
        <v>0</v>
      </c>
      <c r="N342" s="49">
        <f t="shared" si="29"/>
        <v>0</v>
      </c>
      <c r="O342" s="49">
        <f>(SUMIFS(LS[Realized Gain],LS[Investor ID],A342,LS[Date Value],"&gt;="&amp;$Z$2,LS[Date Value],"&lt;="&amp;$Z$3))+(SUMIFS(SIP[Realized Gain],SIP[Investor ID],A342,SIP[Date Value],"&gt;="&amp;$Z$2,SIP[Date Value],"&lt;="&amp;$Z$3))</f>
        <v>0</v>
      </c>
      <c r="P342" s="49">
        <v>0</v>
      </c>
      <c r="Q342" s="49">
        <v>0</v>
      </c>
      <c r="R342" s="49">
        <v>0</v>
      </c>
    </row>
    <row r="343" spans="1:18">
      <c r="A343" t="s">
        <v>734</v>
      </c>
      <c r="B343" s="47">
        <f>SUMIFS(LS[Unit],LS[Investor ID],'TAX CERTIFICATE'!A343,LS[Date Value],"&lt;"&amp;$Z$2)+SUMIFS(SIP[Unit],SIP[Investor ID],'TAX CERTIFICATE'!A343,SIP[Date Value],"&lt;"&amp;$Z$2)</f>
        <v>0</v>
      </c>
      <c r="C343" s="48">
        <f>(SUMIFS(LS[Amount],LS[B/S],"B",LS[Investor ID],A343,LS[Date Value],"&lt;"&amp;$Z$2)-SUMIFS(LS[Cost of Units Sold],LS[B/S],"S",LS[Investor ID],A343,LS[Date Value],"&lt;"&amp;$Z$2))+(SUMIFS(SIP[Amount],SIP[B/S],"B",SIP[Investor ID],#REF!,SIP[Date Value],"&lt;"&amp;$Z$2)-SUMIFS(SIP[Cost of Units Sold],SIP[B/S],"S",SIP[Investor ID],A343,SIP[Date Value],"&lt;"&amp;$Z$2))</f>
        <v>0</v>
      </c>
      <c r="D343" s="49">
        <f t="shared" si="25"/>
        <v>0</v>
      </c>
      <c r="E343" s="49">
        <f t="shared" si="26"/>
        <v>0</v>
      </c>
      <c r="F343" s="47">
        <f>SUMIFS(LS[Unit],LS[Investor ID],A343,LS[Date Value],"&lt;="&amp;$Z$3)+SUMIFS(SIP[Unit],SIP[Investor ID],A343,SIP[Date Value],"&lt;="&amp;$Z$3)</f>
        <v>0</v>
      </c>
      <c r="G343" s="49">
        <f>(SUMIFS(LS[Amount],LS[B/S],"B",LS[Investor ID],A343,LS[Date Value],"&lt;="&amp;$Z$3)-SUMIFS(LS[Cost of Units Sold],LS[B/S],"S",LS[Investor ID],A343,LS[Date Value],"&lt;="&amp;$Z$3))+(SUMIFS(SIP[Amount],SIP[B/S],"B",SIP[Investor ID],A343,SIP[Date Value],"&lt;="&amp;$Z$3)-SUMIFS(SIP[Cost of Units Sold],SIP[B/S],"S",SIP[Investor ID],A343,SIP[Date Value],"&lt;="&amp;$Z$3))</f>
        <v>0</v>
      </c>
      <c r="H343" s="49">
        <f t="shared" si="27"/>
        <v>0</v>
      </c>
      <c r="I343" s="49">
        <f t="shared" si="28"/>
        <v>0</v>
      </c>
      <c r="J343" s="47">
        <f>(SUMIFS(LS[Unit],LS[Investor ID],A343,LS[B/S],"B",LS[Date Value],"&gt;="&amp;$Z$2,LS[Date Value],"&lt;="&amp;$Z$3))+(SUMIFS(SIP[Unit],SIP[Investor ID],A343,SIP[B/S],"B",SIP[Date Value],"&gt;="&amp;$Z$2,SIP[Date Value],"&lt;="&amp;$Z$3))</f>
        <v>0</v>
      </c>
      <c r="K343" s="49">
        <f>(SUMIFS(LS[Amount],LS[Investor ID],A343,LS[B/S],"B",LS[Date Value],"&gt;="&amp;$Z$2,LS[Date Value],"&lt;="&amp;$Z$3))+(SUMIFS(SIP[Amount],SIP[Investor ID],A343,SIP[B/S],"B",SIP[Date Value],"&gt;="&amp;$Z$2,SIP[Date Value],"&lt;="&amp;$Z$3))</f>
        <v>0</v>
      </c>
      <c r="L343" s="47">
        <f>(-SUMIFS(LS[Unit],LS[Investor ID],A343,LS[B/S],"S",LS[Date Value],"&gt;="&amp;$Z$2,LS[Date Value],"&lt;="&amp;$Z$3))+(-SUMIFS(SIP[Unit],SIP[Investor ID],A343,SIP[B/S],"S",SIP[Date Value],"&gt;="&amp;$Z$2,SIP[Date Value],"&lt;="&amp;$Z$3))</f>
        <v>0</v>
      </c>
      <c r="M343" s="49">
        <f>(SUMIFS(LS[Cost of Units Sold],LS[Investor ID],A343,LS[B/S],"S",LS[Date Value],"&gt;="&amp;$Z$2,LS[Date Value],"&lt;="&amp;$Z$3))+(SUMIFS(SIP[Cost of Units Sold],SIP[Investor ID],A343,SIP[B/S],"S",SIP[Date Value],"&gt;="&amp;$Z$2,SIP[Date Value],"&lt;="&amp;$Z$3))</f>
        <v>0</v>
      </c>
      <c r="N343" s="49">
        <f t="shared" si="29"/>
        <v>0</v>
      </c>
      <c r="O343" s="49">
        <f>(SUMIFS(LS[Realized Gain],LS[Investor ID],A343,LS[Date Value],"&gt;="&amp;$Z$2,LS[Date Value],"&lt;="&amp;$Z$3))+(SUMIFS(SIP[Realized Gain],SIP[Investor ID],A343,SIP[Date Value],"&gt;="&amp;$Z$2,SIP[Date Value],"&lt;="&amp;$Z$3))</f>
        <v>0</v>
      </c>
      <c r="P343" s="49">
        <v>0</v>
      </c>
      <c r="Q343" s="49">
        <v>0</v>
      </c>
      <c r="R343" s="49">
        <v>0</v>
      </c>
    </row>
    <row r="344" spans="1:18">
      <c r="A344" t="s">
        <v>736</v>
      </c>
      <c r="B344" s="47">
        <f>SUMIFS(LS[Unit],LS[Investor ID],'TAX CERTIFICATE'!A344,LS[Date Value],"&lt;"&amp;$Z$2)+SUMIFS(SIP[Unit],SIP[Investor ID],'TAX CERTIFICATE'!A344,SIP[Date Value],"&lt;"&amp;$Z$2)</f>
        <v>250000</v>
      </c>
      <c r="C344" s="48">
        <f>(SUMIFS(LS[Amount],LS[B/S],"B",LS[Investor ID],A344,LS[Date Value],"&lt;"&amp;$Z$2)-SUMIFS(LS[Cost of Units Sold],LS[B/S],"S",LS[Investor ID],A344,LS[Date Value],"&lt;"&amp;$Z$2))+(SUMIFS(SIP[Amount],SIP[B/S],"B",SIP[Investor ID],#REF!,SIP[Date Value],"&lt;"&amp;$Z$2)-SUMIFS(SIP[Cost of Units Sold],SIP[B/S],"S",SIP[Investor ID],A344,SIP[Date Value],"&lt;"&amp;$Z$2))</f>
        <v>2500000</v>
      </c>
      <c r="D344" s="49">
        <f t="shared" si="25"/>
        <v>2567750</v>
      </c>
      <c r="E344" s="49">
        <f t="shared" si="26"/>
        <v>67750</v>
      </c>
      <c r="F344" s="47">
        <f>SUMIFS(LS[Unit],LS[Investor ID],A344,LS[Date Value],"&lt;="&amp;$Z$3)+SUMIFS(SIP[Unit],SIP[Investor ID],A344,SIP[Date Value],"&lt;="&amp;$Z$3)</f>
        <v>441077</v>
      </c>
      <c r="G344" s="49">
        <f>(SUMIFS(LS[Amount],LS[B/S],"B",LS[Investor ID],A344,LS[Date Value],"&lt;="&amp;$Z$3)-SUMIFS(LS[Cost of Units Sold],LS[B/S],"S",LS[Investor ID],A344,LS[Date Value],"&lt;="&amp;$Z$3))+(SUMIFS(SIP[Amount],SIP[B/S],"B",SIP[Investor ID],A344,SIP[Date Value],"&lt;="&amp;$Z$3)-SUMIFS(SIP[Cost of Units Sold],SIP[B/S],"S",SIP[Investor ID],A344,SIP[Date Value],"&lt;="&amp;$Z$3))</f>
        <v>4500000</v>
      </c>
      <c r="H344" s="49">
        <f t="shared" si="27"/>
        <v>4924183.6279999996</v>
      </c>
      <c r="I344" s="49">
        <f t="shared" si="28"/>
        <v>424183.62799999956</v>
      </c>
      <c r="J344" s="47">
        <f>(SUMIFS(LS[Unit],LS[Investor ID],A344,LS[B/S],"B",LS[Date Value],"&gt;="&amp;$Z$2,LS[Date Value],"&lt;="&amp;$Z$3))+(SUMIFS(SIP[Unit],SIP[Investor ID],A344,SIP[B/S],"B",SIP[Date Value],"&gt;="&amp;$Z$2,SIP[Date Value],"&lt;="&amp;$Z$3))</f>
        <v>191077</v>
      </c>
      <c r="K344" s="49">
        <f>(SUMIFS(LS[Amount],LS[Investor ID],A344,LS[B/S],"B",LS[Date Value],"&gt;="&amp;$Z$2,LS[Date Value],"&lt;="&amp;$Z$3))+(SUMIFS(SIP[Amount],SIP[Investor ID],A344,SIP[B/S],"B",SIP[Date Value],"&gt;="&amp;$Z$2,SIP[Date Value],"&lt;="&amp;$Z$3))</f>
        <v>2000000</v>
      </c>
      <c r="L344" s="47">
        <f>(-SUMIFS(LS[Unit],LS[Investor ID],A344,LS[B/S],"S",LS[Date Value],"&gt;="&amp;$Z$2,LS[Date Value],"&lt;="&amp;$Z$3))+(-SUMIFS(SIP[Unit],SIP[Investor ID],A344,SIP[B/S],"S",SIP[Date Value],"&gt;="&amp;$Z$2,SIP[Date Value],"&lt;="&amp;$Z$3))</f>
        <v>0</v>
      </c>
      <c r="M344" s="49">
        <f>(SUMIFS(LS[Cost of Units Sold],LS[Investor ID],A344,LS[B/S],"S",LS[Date Value],"&gt;="&amp;$Z$2,LS[Date Value],"&lt;="&amp;$Z$3))+(SUMIFS(SIP[Cost of Units Sold],SIP[Investor ID],A344,SIP[B/S],"S",SIP[Date Value],"&gt;="&amp;$Z$2,SIP[Date Value],"&lt;="&amp;$Z$3))</f>
        <v>0</v>
      </c>
      <c r="N344" s="49">
        <f t="shared" si="29"/>
        <v>2000000</v>
      </c>
      <c r="O344" s="49">
        <f>(SUMIFS(LS[Realized Gain],LS[Investor ID],A344,LS[Date Value],"&gt;="&amp;$Z$2,LS[Date Value],"&lt;="&amp;$Z$3))+(SUMIFS(SIP[Realized Gain],SIP[Investor ID],A344,SIP[Date Value],"&gt;="&amp;$Z$2,SIP[Date Value],"&lt;="&amp;$Z$3))</f>
        <v>0</v>
      </c>
      <c r="P344" s="49">
        <v>0</v>
      </c>
      <c r="Q344" s="49">
        <v>0</v>
      </c>
      <c r="R344" s="49">
        <v>0</v>
      </c>
    </row>
    <row r="345" spans="1:18">
      <c r="A345" t="s">
        <v>738</v>
      </c>
      <c r="B345" s="47">
        <f>SUMIFS(LS[Unit],LS[Investor ID],'TAX CERTIFICATE'!A345,LS[Date Value],"&lt;"&amp;$Z$2)+SUMIFS(SIP[Unit],SIP[Investor ID],'TAX CERTIFICATE'!A345,SIP[Date Value],"&lt;"&amp;$Z$2)</f>
        <v>0</v>
      </c>
      <c r="C345" s="48">
        <f>(SUMIFS(LS[Amount],LS[B/S],"B",LS[Investor ID],A345,LS[Date Value],"&lt;"&amp;$Z$2)-SUMIFS(LS[Cost of Units Sold],LS[B/S],"S",LS[Investor ID],A345,LS[Date Value],"&lt;"&amp;$Z$2))+(SUMIFS(SIP[Amount],SIP[B/S],"B",SIP[Investor ID],#REF!,SIP[Date Value],"&lt;"&amp;$Z$2)-SUMIFS(SIP[Cost of Units Sold],SIP[B/S],"S",SIP[Investor ID],A345,SIP[Date Value],"&lt;"&amp;$Z$2))</f>
        <v>0</v>
      </c>
      <c r="D345" s="49">
        <f t="shared" si="25"/>
        <v>0</v>
      </c>
      <c r="E345" s="49">
        <f t="shared" si="26"/>
        <v>0</v>
      </c>
      <c r="F345" s="47">
        <f>SUMIFS(LS[Unit],LS[Investor ID],A345,LS[Date Value],"&lt;="&amp;$Z$3)+SUMIFS(SIP[Unit],SIP[Investor ID],A345,SIP[Date Value],"&lt;="&amp;$Z$3)</f>
        <v>0</v>
      </c>
      <c r="G345" s="49">
        <f>(SUMIFS(LS[Amount],LS[B/S],"B",LS[Investor ID],A345,LS[Date Value],"&lt;="&amp;$Z$3)-SUMIFS(LS[Cost of Units Sold],LS[B/S],"S",LS[Investor ID],A345,LS[Date Value],"&lt;="&amp;$Z$3))+(SUMIFS(SIP[Amount],SIP[B/S],"B",SIP[Investor ID],A345,SIP[Date Value],"&lt;="&amp;$Z$3)-SUMIFS(SIP[Cost of Units Sold],SIP[B/S],"S",SIP[Investor ID],A345,SIP[Date Value],"&lt;="&amp;$Z$3))</f>
        <v>0</v>
      </c>
      <c r="H345" s="49">
        <f t="shared" si="27"/>
        <v>0</v>
      </c>
      <c r="I345" s="49">
        <f t="shared" si="28"/>
        <v>0</v>
      </c>
      <c r="J345" s="47">
        <f>(SUMIFS(LS[Unit],LS[Investor ID],A345,LS[B/S],"B",LS[Date Value],"&gt;="&amp;$Z$2,LS[Date Value],"&lt;="&amp;$Z$3))+(SUMIFS(SIP[Unit],SIP[Investor ID],A345,SIP[B/S],"B",SIP[Date Value],"&gt;="&amp;$Z$2,SIP[Date Value],"&lt;="&amp;$Z$3))</f>
        <v>0</v>
      </c>
      <c r="K345" s="49">
        <f>(SUMIFS(LS[Amount],LS[Investor ID],A345,LS[B/S],"B",LS[Date Value],"&gt;="&amp;$Z$2,LS[Date Value],"&lt;="&amp;$Z$3))+(SUMIFS(SIP[Amount],SIP[Investor ID],A345,SIP[B/S],"B",SIP[Date Value],"&gt;="&amp;$Z$2,SIP[Date Value],"&lt;="&amp;$Z$3))</f>
        <v>0</v>
      </c>
      <c r="L345" s="47">
        <f>(-SUMIFS(LS[Unit],LS[Investor ID],A345,LS[B/S],"S",LS[Date Value],"&gt;="&amp;$Z$2,LS[Date Value],"&lt;="&amp;$Z$3))+(-SUMIFS(SIP[Unit],SIP[Investor ID],A345,SIP[B/S],"S",SIP[Date Value],"&gt;="&amp;$Z$2,SIP[Date Value],"&lt;="&amp;$Z$3))</f>
        <v>0</v>
      </c>
      <c r="M345" s="49">
        <f>(SUMIFS(LS[Cost of Units Sold],LS[Investor ID],A345,LS[B/S],"S",LS[Date Value],"&gt;="&amp;$Z$2,LS[Date Value],"&lt;="&amp;$Z$3))+(SUMIFS(SIP[Cost of Units Sold],SIP[Investor ID],A345,SIP[B/S],"S",SIP[Date Value],"&gt;="&amp;$Z$2,SIP[Date Value],"&lt;="&amp;$Z$3))</f>
        <v>0</v>
      </c>
      <c r="N345" s="49">
        <f t="shared" si="29"/>
        <v>0</v>
      </c>
      <c r="O345" s="49">
        <f>(SUMIFS(LS[Realized Gain],LS[Investor ID],A345,LS[Date Value],"&gt;="&amp;$Z$2,LS[Date Value],"&lt;="&amp;$Z$3))+(SUMIFS(SIP[Realized Gain],SIP[Investor ID],A345,SIP[Date Value],"&gt;="&amp;$Z$2,SIP[Date Value],"&lt;="&amp;$Z$3))</f>
        <v>0</v>
      </c>
      <c r="P345" s="49">
        <v>0</v>
      </c>
      <c r="Q345" s="49">
        <v>0</v>
      </c>
      <c r="R345" s="49">
        <v>0</v>
      </c>
    </row>
    <row r="346" spans="1:18">
      <c r="A346" t="s">
        <v>740</v>
      </c>
      <c r="B346" s="47">
        <f>SUMIFS(LS[Unit],LS[Investor ID],'TAX CERTIFICATE'!A346,LS[Date Value],"&lt;"&amp;$Z$2)+SUMIFS(SIP[Unit],SIP[Investor ID],'TAX CERTIFICATE'!A346,SIP[Date Value],"&lt;"&amp;$Z$2)</f>
        <v>0</v>
      </c>
      <c r="C346" s="48">
        <f>(SUMIFS(LS[Amount],LS[B/S],"B",LS[Investor ID],A346,LS[Date Value],"&lt;"&amp;$Z$2)-SUMIFS(LS[Cost of Units Sold],LS[B/S],"S",LS[Investor ID],A346,LS[Date Value],"&lt;"&amp;$Z$2))+(SUMIFS(SIP[Amount],SIP[B/S],"B",SIP[Investor ID],#REF!,SIP[Date Value],"&lt;"&amp;$Z$2)-SUMIFS(SIP[Cost of Units Sold],SIP[B/S],"S",SIP[Investor ID],A346,SIP[Date Value],"&lt;"&amp;$Z$2))</f>
        <v>0</v>
      </c>
      <c r="D346" s="49">
        <f t="shared" si="25"/>
        <v>0</v>
      </c>
      <c r="E346" s="49">
        <f t="shared" si="26"/>
        <v>0</v>
      </c>
      <c r="F346" s="47">
        <f>SUMIFS(LS[Unit],LS[Investor ID],A346,LS[Date Value],"&lt;="&amp;$Z$3)+SUMIFS(SIP[Unit],SIP[Investor ID],A346,SIP[Date Value],"&lt;="&amp;$Z$3)</f>
        <v>0</v>
      </c>
      <c r="G346" s="49">
        <f>(SUMIFS(LS[Amount],LS[B/S],"B",LS[Investor ID],A346,LS[Date Value],"&lt;="&amp;$Z$3)-SUMIFS(LS[Cost of Units Sold],LS[B/S],"S",LS[Investor ID],A346,LS[Date Value],"&lt;="&amp;$Z$3))+(SUMIFS(SIP[Amount],SIP[B/S],"B",SIP[Investor ID],A346,SIP[Date Value],"&lt;="&amp;$Z$3)-SUMIFS(SIP[Cost of Units Sold],SIP[B/S],"S",SIP[Investor ID],A346,SIP[Date Value],"&lt;="&amp;$Z$3))</f>
        <v>0</v>
      </c>
      <c r="H346" s="49">
        <f t="shared" si="27"/>
        <v>0</v>
      </c>
      <c r="I346" s="49">
        <f t="shared" si="28"/>
        <v>0</v>
      </c>
      <c r="J346" s="47">
        <f>(SUMIFS(LS[Unit],LS[Investor ID],A346,LS[B/S],"B",LS[Date Value],"&gt;="&amp;$Z$2,LS[Date Value],"&lt;="&amp;$Z$3))+(SUMIFS(SIP[Unit],SIP[Investor ID],A346,SIP[B/S],"B",SIP[Date Value],"&gt;="&amp;$Z$2,SIP[Date Value],"&lt;="&amp;$Z$3))</f>
        <v>0</v>
      </c>
      <c r="K346" s="49">
        <f>(SUMIFS(LS[Amount],LS[Investor ID],A346,LS[B/S],"B",LS[Date Value],"&gt;="&amp;$Z$2,LS[Date Value],"&lt;="&amp;$Z$3))+(SUMIFS(SIP[Amount],SIP[Investor ID],A346,SIP[B/S],"B",SIP[Date Value],"&gt;="&amp;$Z$2,SIP[Date Value],"&lt;="&amp;$Z$3))</f>
        <v>0</v>
      </c>
      <c r="L346" s="47">
        <f>(-SUMIFS(LS[Unit],LS[Investor ID],A346,LS[B/S],"S",LS[Date Value],"&gt;="&amp;$Z$2,LS[Date Value],"&lt;="&amp;$Z$3))+(-SUMIFS(SIP[Unit],SIP[Investor ID],A346,SIP[B/S],"S",SIP[Date Value],"&gt;="&amp;$Z$2,SIP[Date Value],"&lt;="&amp;$Z$3))</f>
        <v>0</v>
      </c>
      <c r="M346" s="49">
        <f>(SUMIFS(LS[Cost of Units Sold],LS[Investor ID],A346,LS[B/S],"S",LS[Date Value],"&gt;="&amp;$Z$2,LS[Date Value],"&lt;="&amp;$Z$3))+(SUMIFS(SIP[Cost of Units Sold],SIP[Investor ID],A346,SIP[B/S],"S",SIP[Date Value],"&gt;="&amp;$Z$2,SIP[Date Value],"&lt;="&amp;$Z$3))</f>
        <v>0</v>
      </c>
      <c r="N346" s="49">
        <f t="shared" si="29"/>
        <v>0</v>
      </c>
      <c r="O346" s="49">
        <f>(SUMIFS(LS[Realized Gain],LS[Investor ID],A346,LS[Date Value],"&gt;="&amp;$Z$2,LS[Date Value],"&lt;="&amp;$Z$3))+(SUMIFS(SIP[Realized Gain],SIP[Investor ID],A346,SIP[Date Value],"&gt;="&amp;$Z$2,SIP[Date Value],"&lt;="&amp;$Z$3))</f>
        <v>0</v>
      </c>
      <c r="P346" s="49">
        <v>0</v>
      </c>
      <c r="Q346" s="49">
        <v>0</v>
      </c>
      <c r="R346" s="49">
        <v>0</v>
      </c>
    </row>
    <row r="347" spans="1:18">
      <c r="A347" t="s">
        <v>742</v>
      </c>
      <c r="B347" s="47">
        <f>SUMIFS(LS[Unit],LS[Investor ID],'TAX CERTIFICATE'!A347,LS[Date Value],"&lt;"&amp;$Z$2)+SUMIFS(SIP[Unit],SIP[Investor ID],'TAX CERTIFICATE'!A347,SIP[Date Value],"&lt;"&amp;$Z$2)</f>
        <v>0</v>
      </c>
      <c r="C347" s="48">
        <f>(SUMIFS(LS[Amount],LS[B/S],"B",LS[Investor ID],A347,LS[Date Value],"&lt;"&amp;$Z$2)-SUMIFS(LS[Cost of Units Sold],LS[B/S],"S",LS[Investor ID],A347,LS[Date Value],"&lt;"&amp;$Z$2))+(SUMIFS(SIP[Amount],SIP[B/S],"B",SIP[Investor ID],#REF!,SIP[Date Value],"&lt;"&amp;$Z$2)-SUMIFS(SIP[Cost of Units Sold],SIP[B/S],"S",SIP[Investor ID],A347,SIP[Date Value],"&lt;"&amp;$Z$2))</f>
        <v>0</v>
      </c>
      <c r="D347" s="49">
        <f t="shared" si="25"/>
        <v>0</v>
      </c>
      <c r="E347" s="49">
        <f t="shared" si="26"/>
        <v>0</v>
      </c>
      <c r="F347" s="47">
        <f>SUMIFS(LS[Unit],LS[Investor ID],A347,LS[Date Value],"&lt;="&amp;$Z$3)+SUMIFS(SIP[Unit],SIP[Investor ID],A347,SIP[Date Value],"&lt;="&amp;$Z$3)</f>
        <v>0</v>
      </c>
      <c r="G347" s="49">
        <f>(SUMIFS(LS[Amount],LS[B/S],"B",LS[Investor ID],A347,LS[Date Value],"&lt;="&amp;$Z$3)-SUMIFS(LS[Cost of Units Sold],LS[B/S],"S",LS[Investor ID],A347,LS[Date Value],"&lt;="&amp;$Z$3))+(SUMIFS(SIP[Amount],SIP[B/S],"B",SIP[Investor ID],A347,SIP[Date Value],"&lt;="&amp;$Z$3)-SUMIFS(SIP[Cost of Units Sold],SIP[B/S],"S",SIP[Investor ID],A347,SIP[Date Value],"&lt;="&amp;$Z$3))</f>
        <v>0</v>
      </c>
      <c r="H347" s="49">
        <f t="shared" si="27"/>
        <v>0</v>
      </c>
      <c r="I347" s="49">
        <f t="shared" si="28"/>
        <v>0</v>
      </c>
      <c r="J347" s="47">
        <f>(SUMIFS(LS[Unit],LS[Investor ID],A347,LS[B/S],"B",LS[Date Value],"&gt;="&amp;$Z$2,LS[Date Value],"&lt;="&amp;$Z$3))+(SUMIFS(SIP[Unit],SIP[Investor ID],A347,SIP[B/S],"B",SIP[Date Value],"&gt;="&amp;$Z$2,SIP[Date Value],"&lt;="&amp;$Z$3))</f>
        <v>0</v>
      </c>
      <c r="K347" s="49">
        <f>(SUMIFS(LS[Amount],LS[Investor ID],A347,LS[B/S],"B",LS[Date Value],"&gt;="&amp;$Z$2,LS[Date Value],"&lt;="&amp;$Z$3))+(SUMIFS(SIP[Amount],SIP[Investor ID],A347,SIP[B/S],"B",SIP[Date Value],"&gt;="&amp;$Z$2,SIP[Date Value],"&lt;="&amp;$Z$3))</f>
        <v>0</v>
      </c>
      <c r="L347" s="47">
        <f>(-SUMIFS(LS[Unit],LS[Investor ID],A347,LS[B/S],"S",LS[Date Value],"&gt;="&amp;$Z$2,LS[Date Value],"&lt;="&amp;$Z$3))+(-SUMIFS(SIP[Unit],SIP[Investor ID],A347,SIP[B/S],"S",SIP[Date Value],"&gt;="&amp;$Z$2,SIP[Date Value],"&lt;="&amp;$Z$3))</f>
        <v>0</v>
      </c>
      <c r="M347" s="49">
        <f>(SUMIFS(LS[Cost of Units Sold],LS[Investor ID],A347,LS[B/S],"S",LS[Date Value],"&gt;="&amp;$Z$2,LS[Date Value],"&lt;="&amp;$Z$3))+(SUMIFS(SIP[Cost of Units Sold],SIP[Investor ID],A347,SIP[B/S],"S",SIP[Date Value],"&gt;="&amp;$Z$2,SIP[Date Value],"&lt;="&amp;$Z$3))</f>
        <v>0</v>
      </c>
      <c r="N347" s="49">
        <f t="shared" si="29"/>
        <v>0</v>
      </c>
      <c r="O347" s="49">
        <f>(SUMIFS(LS[Realized Gain],LS[Investor ID],A347,LS[Date Value],"&gt;="&amp;$Z$2,LS[Date Value],"&lt;="&amp;$Z$3))+(SUMIFS(SIP[Realized Gain],SIP[Investor ID],A347,SIP[Date Value],"&gt;="&amp;$Z$2,SIP[Date Value],"&lt;="&amp;$Z$3))</f>
        <v>0</v>
      </c>
      <c r="P347" s="49">
        <v>0</v>
      </c>
      <c r="Q347" s="49">
        <v>0</v>
      </c>
      <c r="R347" s="49">
        <v>0</v>
      </c>
    </row>
    <row r="348" spans="1:18">
      <c r="A348" t="s">
        <v>744</v>
      </c>
      <c r="B348" s="47">
        <f>SUMIFS(LS[Unit],LS[Investor ID],'TAX CERTIFICATE'!A348,LS[Date Value],"&lt;"&amp;$Z$2)+SUMIFS(SIP[Unit],SIP[Investor ID],'TAX CERTIFICATE'!A348,SIP[Date Value],"&lt;"&amp;$Z$2)</f>
        <v>0</v>
      </c>
      <c r="C348" s="48">
        <f>(SUMIFS(LS[Amount],LS[B/S],"B",LS[Investor ID],A348,LS[Date Value],"&lt;"&amp;$Z$2)-SUMIFS(LS[Cost of Units Sold],LS[B/S],"S",LS[Investor ID],A348,LS[Date Value],"&lt;"&amp;$Z$2))+(SUMIFS(SIP[Amount],SIP[B/S],"B",SIP[Investor ID],#REF!,SIP[Date Value],"&lt;"&amp;$Z$2)-SUMIFS(SIP[Cost of Units Sold],SIP[B/S],"S",SIP[Investor ID],A348,SIP[Date Value],"&lt;"&amp;$Z$2))</f>
        <v>0</v>
      </c>
      <c r="D348" s="49">
        <f t="shared" si="25"/>
        <v>0</v>
      </c>
      <c r="E348" s="49">
        <f t="shared" si="26"/>
        <v>0</v>
      </c>
      <c r="F348" s="47">
        <f>SUMIFS(LS[Unit],LS[Investor ID],A348,LS[Date Value],"&lt;="&amp;$Z$3)+SUMIFS(SIP[Unit],SIP[Investor ID],A348,SIP[Date Value],"&lt;="&amp;$Z$3)</f>
        <v>0</v>
      </c>
      <c r="G348" s="49">
        <f>(SUMIFS(LS[Amount],LS[B/S],"B",LS[Investor ID],A348,LS[Date Value],"&lt;="&amp;$Z$3)-SUMIFS(LS[Cost of Units Sold],LS[B/S],"S",LS[Investor ID],A348,LS[Date Value],"&lt;="&amp;$Z$3))+(SUMIFS(SIP[Amount],SIP[B/S],"B",SIP[Investor ID],A348,SIP[Date Value],"&lt;="&amp;$Z$3)-SUMIFS(SIP[Cost of Units Sold],SIP[B/S],"S",SIP[Investor ID],A348,SIP[Date Value],"&lt;="&amp;$Z$3))</f>
        <v>0</v>
      </c>
      <c r="H348" s="49">
        <f t="shared" si="27"/>
        <v>0</v>
      </c>
      <c r="I348" s="49">
        <f t="shared" si="28"/>
        <v>0</v>
      </c>
      <c r="J348" s="47">
        <f>(SUMIFS(LS[Unit],LS[Investor ID],A348,LS[B/S],"B",LS[Date Value],"&gt;="&amp;$Z$2,LS[Date Value],"&lt;="&amp;$Z$3))+(SUMIFS(SIP[Unit],SIP[Investor ID],A348,SIP[B/S],"B",SIP[Date Value],"&gt;="&amp;$Z$2,SIP[Date Value],"&lt;="&amp;$Z$3))</f>
        <v>0</v>
      </c>
      <c r="K348" s="49">
        <f>(SUMIFS(LS[Amount],LS[Investor ID],A348,LS[B/S],"B",LS[Date Value],"&gt;="&amp;$Z$2,LS[Date Value],"&lt;="&amp;$Z$3))+(SUMIFS(SIP[Amount],SIP[Investor ID],A348,SIP[B/S],"B",SIP[Date Value],"&gt;="&amp;$Z$2,SIP[Date Value],"&lt;="&amp;$Z$3))</f>
        <v>0</v>
      </c>
      <c r="L348" s="47">
        <f>(-SUMIFS(LS[Unit],LS[Investor ID],A348,LS[B/S],"S",LS[Date Value],"&gt;="&amp;$Z$2,LS[Date Value],"&lt;="&amp;$Z$3))+(-SUMIFS(SIP[Unit],SIP[Investor ID],A348,SIP[B/S],"S",SIP[Date Value],"&gt;="&amp;$Z$2,SIP[Date Value],"&lt;="&amp;$Z$3))</f>
        <v>0</v>
      </c>
      <c r="M348" s="49">
        <f>(SUMIFS(LS[Cost of Units Sold],LS[Investor ID],A348,LS[B/S],"S",LS[Date Value],"&gt;="&amp;$Z$2,LS[Date Value],"&lt;="&amp;$Z$3))+(SUMIFS(SIP[Cost of Units Sold],SIP[Investor ID],A348,SIP[B/S],"S",SIP[Date Value],"&gt;="&amp;$Z$2,SIP[Date Value],"&lt;="&amp;$Z$3))</f>
        <v>0</v>
      </c>
      <c r="N348" s="49">
        <f t="shared" si="29"/>
        <v>0</v>
      </c>
      <c r="O348" s="49">
        <f>(SUMIFS(LS[Realized Gain],LS[Investor ID],A348,LS[Date Value],"&gt;="&amp;$Z$2,LS[Date Value],"&lt;="&amp;$Z$3))+(SUMIFS(SIP[Realized Gain],SIP[Investor ID],A348,SIP[Date Value],"&gt;="&amp;$Z$2,SIP[Date Value],"&lt;="&amp;$Z$3))</f>
        <v>0</v>
      </c>
      <c r="P348" s="49">
        <v>0</v>
      </c>
      <c r="Q348" s="49">
        <v>0</v>
      </c>
      <c r="R348" s="49">
        <v>0</v>
      </c>
    </row>
    <row r="349" spans="1:18">
      <c r="A349" t="s">
        <v>746</v>
      </c>
      <c r="B349" s="47">
        <f>SUMIFS(LS[Unit],LS[Investor ID],'TAX CERTIFICATE'!A349,LS[Date Value],"&lt;"&amp;$Z$2)+SUMIFS(SIP[Unit],SIP[Investor ID],'TAX CERTIFICATE'!A349,SIP[Date Value],"&lt;"&amp;$Z$2)</f>
        <v>0</v>
      </c>
      <c r="C349" s="48">
        <f>(SUMIFS(LS[Amount],LS[B/S],"B",LS[Investor ID],A349,LS[Date Value],"&lt;"&amp;$Z$2)-SUMIFS(LS[Cost of Units Sold],LS[B/S],"S",LS[Investor ID],A349,LS[Date Value],"&lt;"&amp;$Z$2))+(SUMIFS(SIP[Amount],SIP[B/S],"B",SIP[Investor ID],#REF!,SIP[Date Value],"&lt;"&amp;$Z$2)-SUMIFS(SIP[Cost of Units Sold],SIP[B/S],"S",SIP[Investor ID],A349,SIP[Date Value],"&lt;"&amp;$Z$2))</f>
        <v>0</v>
      </c>
      <c r="D349" s="49">
        <f t="shared" si="25"/>
        <v>0</v>
      </c>
      <c r="E349" s="49">
        <f t="shared" si="26"/>
        <v>0</v>
      </c>
      <c r="F349" s="47">
        <f>SUMIFS(LS[Unit],LS[Investor ID],A349,LS[Date Value],"&lt;="&amp;$Z$3)+SUMIFS(SIP[Unit],SIP[Investor ID],A349,SIP[Date Value],"&lt;="&amp;$Z$3)</f>
        <v>0</v>
      </c>
      <c r="G349" s="49">
        <f>(SUMIFS(LS[Amount],LS[B/S],"B",LS[Investor ID],A349,LS[Date Value],"&lt;="&amp;$Z$3)-SUMIFS(LS[Cost of Units Sold],LS[B/S],"S",LS[Investor ID],A349,LS[Date Value],"&lt;="&amp;$Z$3))+(SUMIFS(SIP[Amount],SIP[B/S],"B",SIP[Investor ID],A349,SIP[Date Value],"&lt;="&amp;$Z$3)-SUMIFS(SIP[Cost of Units Sold],SIP[B/S],"S",SIP[Investor ID],A349,SIP[Date Value],"&lt;="&amp;$Z$3))</f>
        <v>0</v>
      </c>
      <c r="H349" s="49">
        <f t="shared" si="27"/>
        <v>0</v>
      </c>
      <c r="I349" s="49">
        <f t="shared" si="28"/>
        <v>0</v>
      </c>
      <c r="J349" s="47">
        <f>(SUMIFS(LS[Unit],LS[Investor ID],A349,LS[B/S],"B",LS[Date Value],"&gt;="&amp;$Z$2,LS[Date Value],"&lt;="&amp;$Z$3))+(SUMIFS(SIP[Unit],SIP[Investor ID],A349,SIP[B/S],"B",SIP[Date Value],"&gt;="&amp;$Z$2,SIP[Date Value],"&lt;="&amp;$Z$3))</f>
        <v>0</v>
      </c>
      <c r="K349" s="49">
        <f>(SUMIFS(LS[Amount],LS[Investor ID],A349,LS[B/S],"B",LS[Date Value],"&gt;="&amp;$Z$2,LS[Date Value],"&lt;="&amp;$Z$3))+(SUMIFS(SIP[Amount],SIP[Investor ID],A349,SIP[B/S],"B",SIP[Date Value],"&gt;="&amp;$Z$2,SIP[Date Value],"&lt;="&amp;$Z$3))</f>
        <v>0</v>
      </c>
      <c r="L349" s="47">
        <f>(-SUMIFS(LS[Unit],LS[Investor ID],A349,LS[B/S],"S",LS[Date Value],"&gt;="&amp;$Z$2,LS[Date Value],"&lt;="&amp;$Z$3))+(-SUMIFS(SIP[Unit],SIP[Investor ID],A349,SIP[B/S],"S",SIP[Date Value],"&gt;="&amp;$Z$2,SIP[Date Value],"&lt;="&amp;$Z$3))</f>
        <v>0</v>
      </c>
      <c r="M349" s="49">
        <f>(SUMIFS(LS[Cost of Units Sold],LS[Investor ID],A349,LS[B/S],"S",LS[Date Value],"&gt;="&amp;$Z$2,LS[Date Value],"&lt;="&amp;$Z$3))+(SUMIFS(SIP[Cost of Units Sold],SIP[Investor ID],A349,SIP[B/S],"S",SIP[Date Value],"&gt;="&amp;$Z$2,SIP[Date Value],"&lt;="&amp;$Z$3))</f>
        <v>0</v>
      </c>
      <c r="N349" s="49">
        <f t="shared" si="29"/>
        <v>0</v>
      </c>
      <c r="O349" s="49">
        <f>(SUMIFS(LS[Realized Gain],LS[Investor ID],A349,LS[Date Value],"&gt;="&amp;$Z$2,LS[Date Value],"&lt;="&amp;$Z$3))+(SUMIFS(SIP[Realized Gain],SIP[Investor ID],A349,SIP[Date Value],"&gt;="&amp;$Z$2,SIP[Date Value],"&lt;="&amp;$Z$3))</f>
        <v>0</v>
      </c>
      <c r="P349" s="49">
        <v>0</v>
      </c>
      <c r="Q349" s="49">
        <v>0</v>
      </c>
      <c r="R349" s="49">
        <v>0</v>
      </c>
    </row>
    <row r="350" spans="1:18">
      <c r="A350" t="s">
        <v>748</v>
      </c>
      <c r="B350" s="47">
        <f>SUMIFS(LS[Unit],LS[Investor ID],'TAX CERTIFICATE'!A350,LS[Date Value],"&lt;"&amp;$Z$2)+SUMIFS(SIP[Unit],SIP[Investor ID],'TAX CERTIFICATE'!A350,SIP[Date Value],"&lt;"&amp;$Z$2)</f>
        <v>0</v>
      </c>
      <c r="C350" s="48">
        <f>(SUMIFS(LS[Amount],LS[B/S],"B",LS[Investor ID],A350,LS[Date Value],"&lt;"&amp;$Z$2)-SUMIFS(LS[Cost of Units Sold],LS[B/S],"S",LS[Investor ID],A350,LS[Date Value],"&lt;"&amp;$Z$2))+(SUMIFS(SIP[Amount],SIP[B/S],"B",SIP[Investor ID],#REF!,SIP[Date Value],"&lt;"&amp;$Z$2)-SUMIFS(SIP[Cost of Units Sold],SIP[B/S],"S",SIP[Investor ID],A350,SIP[Date Value],"&lt;"&amp;$Z$2))</f>
        <v>0</v>
      </c>
      <c r="D350" s="49">
        <f t="shared" si="25"/>
        <v>0</v>
      </c>
      <c r="E350" s="49">
        <f t="shared" si="26"/>
        <v>0</v>
      </c>
      <c r="F350" s="47">
        <f>SUMIFS(LS[Unit],LS[Investor ID],A350,LS[Date Value],"&lt;="&amp;$Z$3)+SUMIFS(SIP[Unit],SIP[Investor ID],A350,SIP[Date Value],"&lt;="&amp;$Z$3)</f>
        <v>0</v>
      </c>
      <c r="G350" s="49">
        <f>(SUMIFS(LS[Amount],LS[B/S],"B",LS[Investor ID],A350,LS[Date Value],"&lt;="&amp;$Z$3)-SUMIFS(LS[Cost of Units Sold],LS[B/S],"S",LS[Investor ID],A350,LS[Date Value],"&lt;="&amp;$Z$3))+(SUMIFS(SIP[Amount],SIP[B/S],"B",SIP[Investor ID],A350,SIP[Date Value],"&lt;="&amp;$Z$3)-SUMIFS(SIP[Cost of Units Sold],SIP[B/S],"S",SIP[Investor ID],A350,SIP[Date Value],"&lt;="&amp;$Z$3))</f>
        <v>0</v>
      </c>
      <c r="H350" s="49">
        <f t="shared" si="27"/>
        <v>0</v>
      </c>
      <c r="I350" s="49">
        <f t="shared" si="28"/>
        <v>0</v>
      </c>
      <c r="J350" s="47">
        <f>(SUMIFS(LS[Unit],LS[Investor ID],A350,LS[B/S],"B",LS[Date Value],"&gt;="&amp;$Z$2,LS[Date Value],"&lt;="&amp;$Z$3))+(SUMIFS(SIP[Unit],SIP[Investor ID],A350,SIP[B/S],"B",SIP[Date Value],"&gt;="&amp;$Z$2,SIP[Date Value],"&lt;="&amp;$Z$3))</f>
        <v>0</v>
      </c>
      <c r="K350" s="49">
        <f>(SUMIFS(LS[Amount],LS[Investor ID],A350,LS[B/S],"B",LS[Date Value],"&gt;="&amp;$Z$2,LS[Date Value],"&lt;="&amp;$Z$3))+(SUMIFS(SIP[Amount],SIP[Investor ID],A350,SIP[B/S],"B",SIP[Date Value],"&gt;="&amp;$Z$2,SIP[Date Value],"&lt;="&amp;$Z$3))</f>
        <v>0</v>
      </c>
      <c r="L350" s="47">
        <f>(-SUMIFS(LS[Unit],LS[Investor ID],A350,LS[B/S],"S",LS[Date Value],"&gt;="&amp;$Z$2,LS[Date Value],"&lt;="&amp;$Z$3))+(-SUMIFS(SIP[Unit],SIP[Investor ID],A350,SIP[B/S],"S",SIP[Date Value],"&gt;="&amp;$Z$2,SIP[Date Value],"&lt;="&amp;$Z$3))</f>
        <v>0</v>
      </c>
      <c r="M350" s="49">
        <f>(SUMIFS(LS[Cost of Units Sold],LS[Investor ID],A350,LS[B/S],"S",LS[Date Value],"&gt;="&amp;$Z$2,LS[Date Value],"&lt;="&amp;$Z$3))+(SUMIFS(SIP[Cost of Units Sold],SIP[Investor ID],A350,SIP[B/S],"S",SIP[Date Value],"&gt;="&amp;$Z$2,SIP[Date Value],"&lt;="&amp;$Z$3))</f>
        <v>0</v>
      </c>
      <c r="N350" s="49">
        <f t="shared" si="29"/>
        <v>0</v>
      </c>
      <c r="O350" s="49">
        <f>(SUMIFS(LS[Realized Gain],LS[Investor ID],A350,LS[Date Value],"&gt;="&amp;$Z$2,LS[Date Value],"&lt;="&amp;$Z$3))+(SUMIFS(SIP[Realized Gain],SIP[Investor ID],A350,SIP[Date Value],"&gt;="&amp;$Z$2,SIP[Date Value],"&lt;="&amp;$Z$3))</f>
        <v>0</v>
      </c>
      <c r="P350" s="49">
        <v>0</v>
      </c>
      <c r="Q350" s="49">
        <v>0</v>
      </c>
      <c r="R350" s="49">
        <v>0</v>
      </c>
    </row>
    <row r="351" spans="1:18">
      <c r="A351" t="s">
        <v>750</v>
      </c>
      <c r="B351" s="47">
        <f>SUMIFS(LS[Unit],LS[Investor ID],'TAX CERTIFICATE'!A351,LS[Date Value],"&lt;"&amp;$Z$2)+SUMIFS(SIP[Unit],SIP[Investor ID],'TAX CERTIFICATE'!A351,SIP[Date Value],"&lt;"&amp;$Z$2)</f>
        <v>0</v>
      </c>
      <c r="C351" s="48">
        <f>(SUMIFS(LS[Amount],LS[B/S],"B",LS[Investor ID],A351,LS[Date Value],"&lt;"&amp;$Z$2)-SUMIFS(LS[Cost of Units Sold],LS[B/S],"S",LS[Investor ID],A351,LS[Date Value],"&lt;"&amp;$Z$2))+(SUMIFS(SIP[Amount],SIP[B/S],"B",SIP[Investor ID],#REF!,SIP[Date Value],"&lt;"&amp;$Z$2)-SUMIFS(SIP[Cost of Units Sold],SIP[B/S],"S",SIP[Investor ID],A351,SIP[Date Value],"&lt;"&amp;$Z$2))</f>
        <v>0</v>
      </c>
      <c r="D351" s="49">
        <f t="shared" si="25"/>
        <v>0</v>
      </c>
      <c r="E351" s="49">
        <f t="shared" si="26"/>
        <v>0</v>
      </c>
      <c r="F351" s="47">
        <f>SUMIFS(LS[Unit],LS[Investor ID],A351,LS[Date Value],"&lt;="&amp;$Z$3)+SUMIFS(SIP[Unit],SIP[Investor ID],A351,SIP[Date Value],"&lt;="&amp;$Z$3)</f>
        <v>0</v>
      </c>
      <c r="G351" s="49">
        <f>(SUMIFS(LS[Amount],LS[B/S],"B",LS[Investor ID],A351,LS[Date Value],"&lt;="&amp;$Z$3)-SUMIFS(LS[Cost of Units Sold],LS[B/S],"S",LS[Investor ID],A351,LS[Date Value],"&lt;="&amp;$Z$3))+(SUMIFS(SIP[Amount],SIP[B/S],"B",SIP[Investor ID],A351,SIP[Date Value],"&lt;="&amp;$Z$3)-SUMIFS(SIP[Cost of Units Sold],SIP[B/S],"S",SIP[Investor ID],A351,SIP[Date Value],"&lt;="&amp;$Z$3))</f>
        <v>0</v>
      </c>
      <c r="H351" s="49">
        <f t="shared" si="27"/>
        <v>0</v>
      </c>
      <c r="I351" s="49">
        <f t="shared" si="28"/>
        <v>0</v>
      </c>
      <c r="J351" s="47">
        <f>(SUMIFS(LS[Unit],LS[Investor ID],A351,LS[B/S],"B",LS[Date Value],"&gt;="&amp;$Z$2,LS[Date Value],"&lt;="&amp;$Z$3))+(SUMIFS(SIP[Unit],SIP[Investor ID],A351,SIP[B/S],"B",SIP[Date Value],"&gt;="&amp;$Z$2,SIP[Date Value],"&lt;="&amp;$Z$3))</f>
        <v>0</v>
      </c>
      <c r="K351" s="49">
        <f>(SUMIFS(LS[Amount],LS[Investor ID],A351,LS[B/S],"B",LS[Date Value],"&gt;="&amp;$Z$2,LS[Date Value],"&lt;="&amp;$Z$3))+(SUMIFS(SIP[Amount],SIP[Investor ID],A351,SIP[B/S],"B",SIP[Date Value],"&gt;="&amp;$Z$2,SIP[Date Value],"&lt;="&amp;$Z$3))</f>
        <v>0</v>
      </c>
      <c r="L351" s="47">
        <f>(-SUMIFS(LS[Unit],LS[Investor ID],A351,LS[B/S],"S",LS[Date Value],"&gt;="&amp;$Z$2,LS[Date Value],"&lt;="&amp;$Z$3))+(-SUMIFS(SIP[Unit],SIP[Investor ID],A351,SIP[B/S],"S",SIP[Date Value],"&gt;="&amp;$Z$2,SIP[Date Value],"&lt;="&amp;$Z$3))</f>
        <v>0</v>
      </c>
      <c r="M351" s="49">
        <f>(SUMIFS(LS[Cost of Units Sold],LS[Investor ID],A351,LS[B/S],"S",LS[Date Value],"&gt;="&amp;$Z$2,LS[Date Value],"&lt;="&amp;$Z$3))+(SUMIFS(SIP[Cost of Units Sold],SIP[Investor ID],A351,SIP[B/S],"S",SIP[Date Value],"&gt;="&amp;$Z$2,SIP[Date Value],"&lt;="&amp;$Z$3))</f>
        <v>0</v>
      </c>
      <c r="N351" s="49">
        <f t="shared" si="29"/>
        <v>0</v>
      </c>
      <c r="O351" s="49">
        <f>(SUMIFS(LS[Realized Gain],LS[Investor ID],A351,LS[Date Value],"&gt;="&amp;$Z$2,LS[Date Value],"&lt;="&amp;$Z$3))+(SUMIFS(SIP[Realized Gain],SIP[Investor ID],A351,SIP[Date Value],"&gt;="&amp;$Z$2,SIP[Date Value],"&lt;="&amp;$Z$3))</f>
        <v>0</v>
      </c>
      <c r="P351" s="49">
        <v>0</v>
      </c>
      <c r="Q351" s="49">
        <v>0</v>
      </c>
      <c r="R351" s="49">
        <v>0</v>
      </c>
    </row>
    <row r="352" spans="1:18">
      <c r="A352" t="s">
        <v>752</v>
      </c>
      <c r="B352" s="47">
        <f>SUMIFS(LS[Unit],LS[Investor ID],'TAX CERTIFICATE'!A352,LS[Date Value],"&lt;"&amp;$Z$2)+SUMIFS(SIP[Unit],SIP[Investor ID],'TAX CERTIFICATE'!A352,SIP[Date Value],"&lt;"&amp;$Z$2)</f>
        <v>0</v>
      </c>
      <c r="C352" s="48">
        <f>(SUMIFS(LS[Amount],LS[B/S],"B",LS[Investor ID],A352,LS[Date Value],"&lt;"&amp;$Z$2)-SUMIFS(LS[Cost of Units Sold],LS[B/S],"S",LS[Investor ID],A352,LS[Date Value],"&lt;"&amp;$Z$2))+(SUMIFS(SIP[Amount],SIP[B/S],"B",SIP[Investor ID],#REF!,SIP[Date Value],"&lt;"&amp;$Z$2)-SUMIFS(SIP[Cost of Units Sold],SIP[B/S],"S",SIP[Investor ID],A352,SIP[Date Value],"&lt;"&amp;$Z$2))</f>
        <v>0</v>
      </c>
      <c r="D352" s="49">
        <f t="shared" si="25"/>
        <v>0</v>
      </c>
      <c r="E352" s="49">
        <f t="shared" si="26"/>
        <v>0</v>
      </c>
      <c r="F352" s="47">
        <f>SUMIFS(LS[Unit],LS[Investor ID],A352,LS[Date Value],"&lt;="&amp;$Z$3)+SUMIFS(SIP[Unit],SIP[Investor ID],A352,SIP[Date Value],"&lt;="&amp;$Z$3)</f>
        <v>0</v>
      </c>
      <c r="G352" s="49">
        <f>(SUMIFS(LS[Amount],LS[B/S],"B",LS[Investor ID],A352,LS[Date Value],"&lt;="&amp;$Z$3)-SUMIFS(LS[Cost of Units Sold],LS[B/S],"S",LS[Investor ID],A352,LS[Date Value],"&lt;="&amp;$Z$3))+(SUMIFS(SIP[Amount],SIP[B/S],"B",SIP[Investor ID],A352,SIP[Date Value],"&lt;="&amp;$Z$3)-SUMIFS(SIP[Cost of Units Sold],SIP[B/S],"S",SIP[Investor ID],A352,SIP[Date Value],"&lt;="&amp;$Z$3))</f>
        <v>0</v>
      </c>
      <c r="H352" s="49">
        <f t="shared" si="27"/>
        <v>0</v>
      </c>
      <c r="I352" s="49">
        <f t="shared" si="28"/>
        <v>0</v>
      </c>
      <c r="J352" s="47">
        <f>(SUMIFS(LS[Unit],LS[Investor ID],A352,LS[B/S],"B",LS[Date Value],"&gt;="&amp;$Z$2,LS[Date Value],"&lt;="&amp;$Z$3))+(SUMIFS(SIP[Unit],SIP[Investor ID],A352,SIP[B/S],"B",SIP[Date Value],"&gt;="&amp;$Z$2,SIP[Date Value],"&lt;="&amp;$Z$3))</f>
        <v>0</v>
      </c>
      <c r="K352" s="49">
        <f>(SUMIFS(LS[Amount],LS[Investor ID],A352,LS[B/S],"B",LS[Date Value],"&gt;="&amp;$Z$2,LS[Date Value],"&lt;="&amp;$Z$3))+(SUMIFS(SIP[Amount],SIP[Investor ID],A352,SIP[B/S],"B",SIP[Date Value],"&gt;="&amp;$Z$2,SIP[Date Value],"&lt;="&amp;$Z$3))</f>
        <v>0</v>
      </c>
      <c r="L352" s="47">
        <f>(-SUMIFS(LS[Unit],LS[Investor ID],A352,LS[B/S],"S",LS[Date Value],"&gt;="&amp;$Z$2,LS[Date Value],"&lt;="&amp;$Z$3))+(-SUMIFS(SIP[Unit],SIP[Investor ID],A352,SIP[B/S],"S",SIP[Date Value],"&gt;="&amp;$Z$2,SIP[Date Value],"&lt;="&amp;$Z$3))</f>
        <v>0</v>
      </c>
      <c r="M352" s="49">
        <f>(SUMIFS(LS[Cost of Units Sold],LS[Investor ID],A352,LS[B/S],"S",LS[Date Value],"&gt;="&amp;$Z$2,LS[Date Value],"&lt;="&amp;$Z$3))+(SUMIFS(SIP[Cost of Units Sold],SIP[Investor ID],A352,SIP[B/S],"S",SIP[Date Value],"&gt;="&amp;$Z$2,SIP[Date Value],"&lt;="&amp;$Z$3))</f>
        <v>0</v>
      </c>
      <c r="N352" s="49">
        <f t="shared" si="29"/>
        <v>0</v>
      </c>
      <c r="O352" s="49">
        <f>(SUMIFS(LS[Realized Gain],LS[Investor ID],A352,LS[Date Value],"&gt;="&amp;$Z$2,LS[Date Value],"&lt;="&amp;$Z$3))+(SUMIFS(SIP[Realized Gain],SIP[Investor ID],A352,SIP[Date Value],"&gt;="&amp;$Z$2,SIP[Date Value],"&lt;="&amp;$Z$3))</f>
        <v>0</v>
      </c>
      <c r="P352" s="49">
        <v>0</v>
      </c>
      <c r="Q352" s="49">
        <v>0</v>
      </c>
      <c r="R352" s="49">
        <v>0</v>
      </c>
    </row>
    <row r="353" spans="1:18">
      <c r="A353" t="s">
        <v>754</v>
      </c>
      <c r="B353" s="47">
        <f>SUMIFS(LS[Unit],LS[Investor ID],'TAX CERTIFICATE'!A353,LS[Date Value],"&lt;"&amp;$Z$2)+SUMIFS(SIP[Unit],SIP[Investor ID],'TAX CERTIFICATE'!A353,SIP[Date Value],"&lt;"&amp;$Z$2)</f>
        <v>0</v>
      </c>
      <c r="C353" s="48">
        <f>(SUMIFS(LS[Amount],LS[B/S],"B",LS[Investor ID],A353,LS[Date Value],"&lt;"&amp;$Z$2)-SUMIFS(LS[Cost of Units Sold],LS[B/S],"S",LS[Investor ID],A353,LS[Date Value],"&lt;"&amp;$Z$2))+(SUMIFS(SIP[Amount],SIP[B/S],"B",SIP[Investor ID],#REF!,SIP[Date Value],"&lt;"&amp;$Z$2)-SUMIFS(SIP[Cost of Units Sold],SIP[B/S],"S",SIP[Investor ID],A353,SIP[Date Value],"&lt;"&amp;$Z$2))</f>
        <v>0</v>
      </c>
      <c r="D353" s="49">
        <f t="shared" si="25"/>
        <v>0</v>
      </c>
      <c r="E353" s="49">
        <f t="shared" si="26"/>
        <v>0</v>
      </c>
      <c r="F353" s="47">
        <f>SUMIFS(LS[Unit],LS[Investor ID],A353,LS[Date Value],"&lt;="&amp;$Z$3)+SUMIFS(SIP[Unit],SIP[Investor ID],A353,SIP[Date Value],"&lt;="&amp;$Z$3)</f>
        <v>0</v>
      </c>
      <c r="G353" s="49">
        <f>(SUMIFS(LS[Amount],LS[B/S],"B",LS[Investor ID],A353,LS[Date Value],"&lt;="&amp;$Z$3)-SUMIFS(LS[Cost of Units Sold],LS[B/S],"S",LS[Investor ID],A353,LS[Date Value],"&lt;="&amp;$Z$3))+(SUMIFS(SIP[Amount],SIP[B/S],"B",SIP[Investor ID],A353,SIP[Date Value],"&lt;="&amp;$Z$3)-SUMIFS(SIP[Cost of Units Sold],SIP[B/S],"S",SIP[Investor ID],A353,SIP[Date Value],"&lt;="&amp;$Z$3))</f>
        <v>0</v>
      </c>
      <c r="H353" s="49">
        <f t="shared" si="27"/>
        <v>0</v>
      </c>
      <c r="I353" s="49">
        <f t="shared" si="28"/>
        <v>0</v>
      </c>
      <c r="J353" s="47">
        <f>(SUMIFS(LS[Unit],LS[Investor ID],A353,LS[B/S],"B",LS[Date Value],"&gt;="&amp;$Z$2,LS[Date Value],"&lt;="&amp;$Z$3))+(SUMIFS(SIP[Unit],SIP[Investor ID],A353,SIP[B/S],"B",SIP[Date Value],"&gt;="&amp;$Z$2,SIP[Date Value],"&lt;="&amp;$Z$3))</f>
        <v>0</v>
      </c>
      <c r="K353" s="49">
        <f>(SUMIFS(LS[Amount],LS[Investor ID],A353,LS[B/S],"B",LS[Date Value],"&gt;="&amp;$Z$2,LS[Date Value],"&lt;="&amp;$Z$3))+(SUMIFS(SIP[Amount],SIP[Investor ID],A353,SIP[B/S],"B",SIP[Date Value],"&gt;="&amp;$Z$2,SIP[Date Value],"&lt;="&amp;$Z$3))</f>
        <v>0</v>
      </c>
      <c r="L353" s="47">
        <f>(-SUMIFS(LS[Unit],LS[Investor ID],A353,LS[B/S],"S",LS[Date Value],"&gt;="&amp;$Z$2,LS[Date Value],"&lt;="&amp;$Z$3))+(-SUMIFS(SIP[Unit],SIP[Investor ID],A353,SIP[B/S],"S",SIP[Date Value],"&gt;="&amp;$Z$2,SIP[Date Value],"&lt;="&amp;$Z$3))</f>
        <v>0</v>
      </c>
      <c r="M353" s="49">
        <f>(SUMIFS(LS[Cost of Units Sold],LS[Investor ID],A353,LS[B/S],"S",LS[Date Value],"&gt;="&amp;$Z$2,LS[Date Value],"&lt;="&amp;$Z$3))+(SUMIFS(SIP[Cost of Units Sold],SIP[Investor ID],A353,SIP[B/S],"S",SIP[Date Value],"&gt;="&amp;$Z$2,SIP[Date Value],"&lt;="&amp;$Z$3))</f>
        <v>0</v>
      </c>
      <c r="N353" s="49">
        <f t="shared" si="29"/>
        <v>0</v>
      </c>
      <c r="O353" s="49">
        <f>(SUMIFS(LS[Realized Gain],LS[Investor ID],A353,LS[Date Value],"&gt;="&amp;$Z$2,LS[Date Value],"&lt;="&amp;$Z$3))+(SUMIFS(SIP[Realized Gain],SIP[Investor ID],A353,SIP[Date Value],"&gt;="&amp;$Z$2,SIP[Date Value],"&lt;="&amp;$Z$3))</f>
        <v>0</v>
      </c>
      <c r="P353" s="49">
        <v>0</v>
      </c>
      <c r="Q353" s="49">
        <v>0</v>
      </c>
      <c r="R353" s="49">
        <v>0</v>
      </c>
    </row>
    <row r="354" spans="1:18">
      <c r="A354" t="s">
        <v>756</v>
      </c>
      <c r="B354" s="47">
        <f>SUMIFS(LS[Unit],LS[Investor ID],'TAX CERTIFICATE'!A354,LS[Date Value],"&lt;"&amp;$Z$2)+SUMIFS(SIP[Unit],SIP[Investor ID],'TAX CERTIFICATE'!A354,SIP[Date Value],"&lt;"&amp;$Z$2)</f>
        <v>0</v>
      </c>
      <c r="C354" s="48">
        <f>(SUMIFS(LS[Amount],LS[B/S],"B",LS[Investor ID],A354,LS[Date Value],"&lt;"&amp;$Z$2)-SUMIFS(LS[Cost of Units Sold],LS[B/S],"S",LS[Investor ID],A354,LS[Date Value],"&lt;"&amp;$Z$2))+(SUMIFS(SIP[Amount],SIP[B/S],"B",SIP[Investor ID],#REF!,SIP[Date Value],"&lt;"&amp;$Z$2)-SUMIFS(SIP[Cost of Units Sold],SIP[B/S],"S",SIP[Investor ID],A354,SIP[Date Value],"&lt;"&amp;$Z$2))</f>
        <v>0</v>
      </c>
      <c r="D354" s="49">
        <f t="shared" si="25"/>
        <v>0</v>
      </c>
      <c r="E354" s="49">
        <f t="shared" si="26"/>
        <v>0</v>
      </c>
      <c r="F354" s="47">
        <f>SUMIFS(LS[Unit],LS[Investor ID],A354,LS[Date Value],"&lt;="&amp;$Z$3)+SUMIFS(SIP[Unit],SIP[Investor ID],A354,SIP[Date Value],"&lt;="&amp;$Z$3)</f>
        <v>0</v>
      </c>
      <c r="G354" s="49">
        <f>(SUMIFS(LS[Amount],LS[B/S],"B",LS[Investor ID],A354,LS[Date Value],"&lt;="&amp;$Z$3)-SUMIFS(LS[Cost of Units Sold],LS[B/S],"S",LS[Investor ID],A354,LS[Date Value],"&lt;="&amp;$Z$3))+(SUMIFS(SIP[Amount],SIP[B/S],"B",SIP[Investor ID],A354,SIP[Date Value],"&lt;="&amp;$Z$3)-SUMIFS(SIP[Cost of Units Sold],SIP[B/S],"S",SIP[Investor ID],A354,SIP[Date Value],"&lt;="&amp;$Z$3))</f>
        <v>0</v>
      </c>
      <c r="H354" s="49">
        <f t="shared" si="27"/>
        <v>0</v>
      </c>
      <c r="I354" s="49">
        <f t="shared" si="28"/>
        <v>0</v>
      </c>
      <c r="J354" s="47">
        <f>(SUMIFS(LS[Unit],LS[Investor ID],A354,LS[B/S],"B",LS[Date Value],"&gt;="&amp;$Z$2,LS[Date Value],"&lt;="&amp;$Z$3))+(SUMIFS(SIP[Unit],SIP[Investor ID],A354,SIP[B/S],"B",SIP[Date Value],"&gt;="&amp;$Z$2,SIP[Date Value],"&lt;="&amp;$Z$3))</f>
        <v>0</v>
      </c>
      <c r="K354" s="49">
        <f>(SUMIFS(LS[Amount],LS[Investor ID],A354,LS[B/S],"B",LS[Date Value],"&gt;="&amp;$Z$2,LS[Date Value],"&lt;="&amp;$Z$3))+(SUMIFS(SIP[Amount],SIP[Investor ID],A354,SIP[B/S],"B",SIP[Date Value],"&gt;="&amp;$Z$2,SIP[Date Value],"&lt;="&amp;$Z$3))</f>
        <v>0</v>
      </c>
      <c r="L354" s="47">
        <f>(-SUMIFS(LS[Unit],LS[Investor ID],A354,LS[B/S],"S",LS[Date Value],"&gt;="&amp;$Z$2,LS[Date Value],"&lt;="&amp;$Z$3))+(-SUMIFS(SIP[Unit],SIP[Investor ID],A354,SIP[B/S],"S",SIP[Date Value],"&gt;="&amp;$Z$2,SIP[Date Value],"&lt;="&amp;$Z$3))</f>
        <v>0</v>
      </c>
      <c r="M354" s="49">
        <f>(SUMIFS(LS[Cost of Units Sold],LS[Investor ID],A354,LS[B/S],"S",LS[Date Value],"&gt;="&amp;$Z$2,LS[Date Value],"&lt;="&amp;$Z$3))+(SUMIFS(SIP[Cost of Units Sold],SIP[Investor ID],A354,SIP[B/S],"S",SIP[Date Value],"&gt;="&amp;$Z$2,SIP[Date Value],"&lt;="&amp;$Z$3))</f>
        <v>0</v>
      </c>
      <c r="N354" s="49">
        <f t="shared" si="29"/>
        <v>0</v>
      </c>
      <c r="O354" s="49">
        <f>(SUMIFS(LS[Realized Gain],LS[Investor ID],A354,LS[Date Value],"&gt;="&amp;$Z$2,LS[Date Value],"&lt;="&amp;$Z$3))+(SUMIFS(SIP[Realized Gain],SIP[Investor ID],A354,SIP[Date Value],"&gt;="&amp;$Z$2,SIP[Date Value],"&lt;="&amp;$Z$3))</f>
        <v>0</v>
      </c>
      <c r="P354" s="49">
        <v>0</v>
      </c>
      <c r="Q354" s="49">
        <v>0</v>
      </c>
      <c r="R354" s="49">
        <v>0</v>
      </c>
    </row>
    <row r="355" spans="1:18">
      <c r="A355" t="s">
        <v>758</v>
      </c>
      <c r="B355" s="47">
        <f>SUMIFS(LS[Unit],LS[Investor ID],'TAX CERTIFICATE'!A355,LS[Date Value],"&lt;"&amp;$Z$2)+SUMIFS(SIP[Unit],SIP[Investor ID],'TAX CERTIFICATE'!A355,SIP[Date Value],"&lt;"&amp;$Z$2)</f>
        <v>0</v>
      </c>
      <c r="C355" s="48">
        <f>(SUMIFS(LS[Amount],LS[B/S],"B",LS[Investor ID],A355,LS[Date Value],"&lt;"&amp;$Z$2)-SUMIFS(LS[Cost of Units Sold],LS[B/S],"S",LS[Investor ID],A355,LS[Date Value],"&lt;"&amp;$Z$2))+(SUMIFS(SIP[Amount],SIP[B/S],"B",SIP[Investor ID],#REF!,SIP[Date Value],"&lt;"&amp;$Z$2)-SUMIFS(SIP[Cost of Units Sold],SIP[B/S],"S",SIP[Investor ID],A355,SIP[Date Value],"&lt;"&amp;$Z$2))</f>
        <v>0</v>
      </c>
      <c r="D355" s="49">
        <f t="shared" si="25"/>
        <v>0</v>
      </c>
      <c r="E355" s="49">
        <f t="shared" si="26"/>
        <v>0</v>
      </c>
      <c r="F355" s="47">
        <f>SUMIFS(LS[Unit],LS[Investor ID],A355,LS[Date Value],"&lt;="&amp;$Z$3)+SUMIFS(SIP[Unit],SIP[Investor ID],A355,SIP[Date Value],"&lt;="&amp;$Z$3)</f>
        <v>0</v>
      </c>
      <c r="G355" s="49">
        <f>(SUMIFS(LS[Amount],LS[B/S],"B",LS[Investor ID],A355,LS[Date Value],"&lt;="&amp;$Z$3)-SUMIFS(LS[Cost of Units Sold],LS[B/S],"S",LS[Investor ID],A355,LS[Date Value],"&lt;="&amp;$Z$3))+(SUMIFS(SIP[Amount],SIP[B/S],"B",SIP[Investor ID],A355,SIP[Date Value],"&lt;="&amp;$Z$3)-SUMIFS(SIP[Cost of Units Sold],SIP[B/S],"S",SIP[Investor ID],A355,SIP[Date Value],"&lt;="&amp;$Z$3))</f>
        <v>0</v>
      </c>
      <c r="H355" s="49">
        <f t="shared" si="27"/>
        <v>0</v>
      </c>
      <c r="I355" s="49">
        <f t="shared" si="28"/>
        <v>0</v>
      </c>
      <c r="J355" s="47">
        <f>(SUMIFS(LS[Unit],LS[Investor ID],A355,LS[B/S],"B",LS[Date Value],"&gt;="&amp;$Z$2,LS[Date Value],"&lt;="&amp;$Z$3))+(SUMIFS(SIP[Unit],SIP[Investor ID],A355,SIP[B/S],"B",SIP[Date Value],"&gt;="&amp;$Z$2,SIP[Date Value],"&lt;="&amp;$Z$3))</f>
        <v>0</v>
      </c>
      <c r="K355" s="49">
        <f>(SUMIFS(LS[Amount],LS[Investor ID],A355,LS[B/S],"B",LS[Date Value],"&gt;="&amp;$Z$2,LS[Date Value],"&lt;="&amp;$Z$3))+(SUMIFS(SIP[Amount],SIP[Investor ID],A355,SIP[B/S],"B",SIP[Date Value],"&gt;="&amp;$Z$2,SIP[Date Value],"&lt;="&amp;$Z$3))</f>
        <v>0</v>
      </c>
      <c r="L355" s="47">
        <f>(-SUMIFS(LS[Unit],LS[Investor ID],A355,LS[B/S],"S",LS[Date Value],"&gt;="&amp;$Z$2,LS[Date Value],"&lt;="&amp;$Z$3))+(-SUMIFS(SIP[Unit],SIP[Investor ID],A355,SIP[B/S],"S",SIP[Date Value],"&gt;="&amp;$Z$2,SIP[Date Value],"&lt;="&amp;$Z$3))</f>
        <v>0</v>
      </c>
      <c r="M355" s="49">
        <f>(SUMIFS(LS[Cost of Units Sold],LS[Investor ID],A355,LS[B/S],"S",LS[Date Value],"&gt;="&amp;$Z$2,LS[Date Value],"&lt;="&amp;$Z$3))+(SUMIFS(SIP[Cost of Units Sold],SIP[Investor ID],A355,SIP[B/S],"S",SIP[Date Value],"&gt;="&amp;$Z$2,SIP[Date Value],"&lt;="&amp;$Z$3))</f>
        <v>0</v>
      </c>
      <c r="N355" s="49">
        <f t="shared" si="29"/>
        <v>0</v>
      </c>
      <c r="O355" s="49">
        <f>(SUMIFS(LS[Realized Gain],LS[Investor ID],A355,LS[Date Value],"&gt;="&amp;$Z$2,LS[Date Value],"&lt;="&amp;$Z$3))+(SUMIFS(SIP[Realized Gain],SIP[Investor ID],A355,SIP[Date Value],"&gt;="&amp;$Z$2,SIP[Date Value],"&lt;="&amp;$Z$3))</f>
        <v>0</v>
      </c>
      <c r="P355" s="49">
        <v>0</v>
      </c>
      <c r="Q355" s="49">
        <v>0</v>
      </c>
      <c r="R355" s="49">
        <v>0</v>
      </c>
    </row>
    <row r="356" spans="1:18">
      <c r="A356" t="s">
        <v>760</v>
      </c>
      <c r="B356" s="47">
        <f>SUMIFS(LS[Unit],LS[Investor ID],'TAX CERTIFICATE'!A356,LS[Date Value],"&lt;"&amp;$Z$2)+SUMIFS(SIP[Unit],SIP[Investor ID],'TAX CERTIFICATE'!A356,SIP[Date Value],"&lt;"&amp;$Z$2)</f>
        <v>0</v>
      </c>
      <c r="C356" s="48">
        <f>(SUMIFS(LS[Amount],LS[B/S],"B",LS[Investor ID],A356,LS[Date Value],"&lt;"&amp;$Z$2)-SUMIFS(LS[Cost of Units Sold],LS[B/S],"S",LS[Investor ID],A356,LS[Date Value],"&lt;"&amp;$Z$2))+(SUMIFS(SIP[Amount],SIP[B/S],"B",SIP[Investor ID],#REF!,SIP[Date Value],"&lt;"&amp;$Z$2)-SUMIFS(SIP[Cost of Units Sold],SIP[B/S],"S",SIP[Investor ID],A356,SIP[Date Value],"&lt;"&amp;$Z$2))</f>
        <v>0</v>
      </c>
      <c r="D356" s="49">
        <f t="shared" si="25"/>
        <v>0</v>
      </c>
      <c r="E356" s="49">
        <f t="shared" si="26"/>
        <v>0</v>
      </c>
      <c r="F356" s="47">
        <f>SUMIFS(LS[Unit],LS[Investor ID],A356,LS[Date Value],"&lt;="&amp;$Z$3)+SUMIFS(SIP[Unit],SIP[Investor ID],A356,SIP[Date Value],"&lt;="&amp;$Z$3)</f>
        <v>0</v>
      </c>
      <c r="G356" s="49">
        <f>(SUMIFS(LS[Amount],LS[B/S],"B",LS[Investor ID],A356,LS[Date Value],"&lt;="&amp;$Z$3)-SUMIFS(LS[Cost of Units Sold],LS[B/S],"S",LS[Investor ID],A356,LS[Date Value],"&lt;="&amp;$Z$3))+(SUMIFS(SIP[Amount],SIP[B/S],"B",SIP[Investor ID],A356,SIP[Date Value],"&lt;="&amp;$Z$3)-SUMIFS(SIP[Cost of Units Sold],SIP[B/S],"S",SIP[Investor ID],A356,SIP[Date Value],"&lt;="&amp;$Z$3))</f>
        <v>0</v>
      </c>
      <c r="H356" s="49">
        <f t="shared" si="27"/>
        <v>0</v>
      </c>
      <c r="I356" s="49">
        <f t="shared" si="28"/>
        <v>0</v>
      </c>
      <c r="J356" s="47">
        <f>(SUMIFS(LS[Unit],LS[Investor ID],A356,LS[B/S],"B",LS[Date Value],"&gt;="&amp;$Z$2,LS[Date Value],"&lt;="&amp;$Z$3))+(SUMIFS(SIP[Unit],SIP[Investor ID],A356,SIP[B/S],"B",SIP[Date Value],"&gt;="&amp;$Z$2,SIP[Date Value],"&lt;="&amp;$Z$3))</f>
        <v>0</v>
      </c>
      <c r="K356" s="49">
        <f>(SUMIFS(LS[Amount],LS[Investor ID],A356,LS[B/S],"B",LS[Date Value],"&gt;="&amp;$Z$2,LS[Date Value],"&lt;="&amp;$Z$3))+(SUMIFS(SIP[Amount],SIP[Investor ID],A356,SIP[B/S],"B",SIP[Date Value],"&gt;="&amp;$Z$2,SIP[Date Value],"&lt;="&amp;$Z$3))</f>
        <v>0</v>
      </c>
      <c r="L356" s="47">
        <f>(-SUMIFS(LS[Unit],LS[Investor ID],A356,LS[B/S],"S",LS[Date Value],"&gt;="&amp;$Z$2,LS[Date Value],"&lt;="&amp;$Z$3))+(-SUMIFS(SIP[Unit],SIP[Investor ID],A356,SIP[B/S],"S",SIP[Date Value],"&gt;="&amp;$Z$2,SIP[Date Value],"&lt;="&amp;$Z$3))</f>
        <v>0</v>
      </c>
      <c r="M356" s="49">
        <f>(SUMIFS(LS[Cost of Units Sold],LS[Investor ID],A356,LS[B/S],"S",LS[Date Value],"&gt;="&amp;$Z$2,LS[Date Value],"&lt;="&amp;$Z$3))+(SUMIFS(SIP[Cost of Units Sold],SIP[Investor ID],A356,SIP[B/S],"S",SIP[Date Value],"&gt;="&amp;$Z$2,SIP[Date Value],"&lt;="&amp;$Z$3))</f>
        <v>0</v>
      </c>
      <c r="N356" s="49">
        <f t="shared" si="29"/>
        <v>0</v>
      </c>
      <c r="O356" s="49">
        <f>(SUMIFS(LS[Realized Gain],LS[Investor ID],A356,LS[Date Value],"&gt;="&amp;$Z$2,LS[Date Value],"&lt;="&amp;$Z$3))+(SUMIFS(SIP[Realized Gain],SIP[Investor ID],A356,SIP[Date Value],"&gt;="&amp;$Z$2,SIP[Date Value],"&lt;="&amp;$Z$3))</f>
        <v>0</v>
      </c>
      <c r="P356" s="49">
        <v>0</v>
      </c>
      <c r="Q356" s="49">
        <v>0</v>
      </c>
      <c r="R356" s="49">
        <v>0</v>
      </c>
    </row>
    <row r="357" spans="1:18">
      <c r="A357" t="s">
        <v>762</v>
      </c>
      <c r="B357" s="47">
        <f>SUMIFS(LS[Unit],LS[Investor ID],'TAX CERTIFICATE'!A357,LS[Date Value],"&lt;"&amp;$Z$2)+SUMIFS(SIP[Unit],SIP[Investor ID],'TAX CERTIFICATE'!A357,SIP[Date Value],"&lt;"&amp;$Z$2)</f>
        <v>0</v>
      </c>
      <c r="C357" s="48">
        <f>(SUMIFS(LS[Amount],LS[B/S],"B",LS[Investor ID],A357,LS[Date Value],"&lt;"&amp;$Z$2)-SUMIFS(LS[Cost of Units Sold],LS[B/S],"S",LS[Investor ID],A357,LS[Date Value],"&lt;"&amp;$Z$2))+(SUMIFS(SIP[Amount],SIP[B/S],"B",SIP[Investor ID],#REF!,SIP[Date Value],"&lt;"&amp;$Z$2)-SUMIFS(SIP[Cost of Units Sold],SIP[B/S],"S",SIP[Investor ID],A357,SIP[Date Value],"&lt;"&amp;$Z$2))</f>
        <v>0</v>
      </c>
      <c r="D357" s="49">
        <f t="shared" si="25"/>
        <v>0</v>
      </c>
      <c r="E357" s="49">
        <f t="shared" si="26"/>
        <v>0</v>
      </c>
      <c r="F357" s="47">
        <f>SUMIFS(LS[Unit],LS[Investor ID],A357,LS[Date Value],"&lt;="&amp;$Z$3)+SUMIFS(SIP[Unit],SIP[Investor ID],A357,SIP[Date Value],"&lt;="&amp;$Z$3)</f>
        <v>0</v>
      </c>
      <c r="G357" s="49">
        <f>(SUMIFS(LS[Amount],LS[B/S],"B",LS[Investor ID],A357,LS[Date Value],"&lt;="&amp;$Z$3)-SUMIFS(LS[Cost of Units Sold],LS[B/S],"S",LS[Investor ID],A357,LS[Date Value],"&lt;="&amp;$Z$3))+(SUMIFS(SIP[Amount],SIP[B/S],"B",SIP[Investor ID],A357,SIP[Date Value],"&lt;="&amp;$Z$3)-SUMIFS(SIP[Cost of Units Sold],SIP[B/S],"S",SIP[Investor ID],A357,SIP[Date Value],"&lt;="&amp;$Z$3))</f>
        <v>0</v>
      </c>
      <c r="H357" s="49">
        <f t="shared" si="27"/>
        <v>0</v>
      </c>
      <c r="I357" s="49">
        <f t="shared" si="28"/>
        <v>0</v>
      </c>
      <c r="J357" s="47">
        <f>(SUMIFS(LS[Unit],LS[Investor ID],A357,LS[B/S],"B",LS[Date Value],"&gt;="&amp;$Z$2,LS[Date Value],"&lt;="&amp;$Z$3))+(SUMIFS(SIP[Unit],SIP[Investor ID],A357,SIP[B/S],"B",SIP[Date Value],"&gt;="&amp;$Z$2,SIP[Date Value],"&lt;="&amp;$Z$3))</f>
        <v>0</v>
      </c>
      <c r="K357" s="49">
        <f>(SUMIFS(LS[Amount],LS[Investor ID],A357,LS[B/S],"B",LS[Date Value],"&gt;="&amp;$Z$2,LS[Date Value],"&lt;="&amp;$Z$3))+(SUMIFS(SIP[Amount],SIP[Investor ID],A357,SIP[B/S],"B",SIP[Date Value],"&gt;="&amp;$Z$2,SIP[Date Value],"&lt;="&amp;$Z$3))</f>
        <v>0</v>
      </c>
      <c r="L357" s="47">
        <f>(-SUMIFS(LS[Unit],LS[Investor ID],A357,LS[B/S],"S",LS[Date Value],"&gt;="&amp;$Z$2,LS[Date Value],"&lt;="&amp;$Z$3))+(-SUMIFS(SIP[Unit],SIP[Investor ID],A357,SIP[B/S],"S",SIP[Date Value],"&gt;="&amp;$Z$2,SIP[Date Value],"&lt;="&amp;$Z$3))</f>
        <v>0</v>
      </c>
      <c r="M357" s="49">
        <f>(SUMIFS(LS[Cost of Units Sold],LS[Investor ID],A357,LS[B/S],"S",LS[Date Value],"&gt;="&amp;$Z$2,LS[Date Value],"&lt;="&amp;$Z$3))+(SUMIFS(SIP[Cost of Units Sold],SIP[Investor ID],A357,SIP[B/S],"S",SIP[Date Value],"&gt;="&amp;$Z$2,SIP[Date Value],"&lt;="&amp;$Z$3))</f>
        <v>0</v>
      </c>
      <c r="N357" s="49">
        <f t="shared" si="29"/>
        <v>0</v>
      </c>
      <c r="O357" s="49">
        <f>(SUMIFS(LS[Realized Gain],LS[Investor ID],A357,LS[Date Value],"&gt;="&amp;$Z$2,LS[Date Value],"&lt;="&amp;$Z$3))+(SUMIFS(SIP[Realized Gain],SIP[Investor ID],A357,SIP[Date Value],"&gt;="&amp;$Z$2,SIP[Date Value],"&lt;="&amp;$Z$3))</f>
        <v>0</v>
      </c>
      <c r="P357" s="49">
        <v>0</v>
      </c>
      <c r="Q357" s="49">
        <v>0</v>
      </c>
      <c r="R357" s="49">
        <v>0</v>
      </c>
    </row>
    <row r="358" spans="1:18">
      <c r="A358" t="s">
        <v>764</v>
      </c>
      <c r="B358" s="47">
        <f>SUMIFS(LS[Unit],LS[Investor ID],'TAX CERTIFICATE'!A358,LS[Date Value],"&lt;"&amp;$Z$2)+SUMIFS(SIP[Unit],SIP[Investor ID],'TAX CERTIFICATE'!A358,SIP[Date Value],"&lt;"&amp;$Z$2)</f>
        <v>0</v>
      </c>
      <c r="C358" s="48">
        <f>(SUMIFS(LS[Amount],LS[B/S],"B",LS[Investor ID],A358,LS[Date Value],"&lt;"&amp;$Z$2)-SUMIFS(LS[Cost of Units Sold],LS[B/S],"S",LS[Investor ID],A358,LS[Date Value],"&lt;"&amp;$Z$2))+(SUMIFS(SIP[Amount],SIP[B/S],"B",SIP[Investor ID],#REF!,SIP[Date Value],"&lt;"&amp;$Z$2)-SUMIFS(SIP[Cost of Units Sold],SIP[B/S],"S",SIP[Investor ID],A358,SIP[Date Value],"&lt;"&amp;$Z$2))</f>
        <v>0</v>
      </c>
      <c r="D358" s="49">
        <f t="shared" si="25"/>
        <v>0</v>
      </c>
      <c r="E358" s="49">
        <f t="shared" si="26"/>
        <v>0</v>
      </c>
      <c r="F358" s="47">
        <f>SUMIFS(LS[Unit],LS[Investor ID],A358,LS[Date Value],"&lt;="&amp;$Z$3)+SUMIFS(SIP[Unit],SIP[Investor ID],A358,SIP[Date Value],"&lt;="&amp;$Z$3)</f>
        <v>0</v>
      </c>
      <c r="G358" s="49">
        <f>(SUMIFS(LS[Amount],LS[B/S],"B",LS[Investor ID],A358,LS[Date Value],"&lt;="&amp;$Z$3)-SUMIFS(LS[Cost of Units Sold],LS[B/S],"S",LS[Investor ID],A358,LS[Date Value],"&lt;="&amp;$Z$3))+(SUMIFS(SIP[Amount],SIP[B/S],"B",SIP[Investor ID],A358,SIP[Date Value],"&lt;="&amp;$Z$3)-SUMIFS(SIP[Cost of Units Sold],SIP[B/S],"S",SIP[Investor ID],A358,SIP[Date Value],"&lt;="&amp;$Z$3))</f>
        <v>0</v>
      </c>
      <c r="H358" s="49">
        <f t="shared" si="27"/>
        <v>0</v>
      </c>
      <c r="I358" s="49">
        <f t="shared" si="28"/>
        <v>0</v>
      </c>
      <c r="J358" s="47">
        <f>(SUMIFS(LS[Unit],LS[Investor ID],A358,LS[B/S],"B",LS[Date Value],"&gt;="&amp;$Z$2,LS[Date Value],"&lt;="&amp;$Z$3))+(SUMIFS(SIP[Unit],SIP[Investor ID],A358,SIP[B/S],"B",SIP[Date Value],"&gt;="&amp;$Z$2,SIP[Date Value],"&lt;="&amp;$Z$3))</f>
        <v>0</v>
      </c>
      <c r="K358" s="49">
        <f>(SUMIFS(LS[Amount],LS[Investor ID],A358,LS[B/S],"B",LS[Date Value],"&gt;="&amp;$Z$2,LS[Date Value],"&lt;="&amp;$Z$3))+(SUMIFS(SIP[Amount],SIP[Investor ID],A358,SIP[B/S],"B",SIP[Date Value],"&gt;="&amp;$Z$2,SIP[Date Value],"&lt;="&amp;$Z$3))</f>
        <v>0</v>
      </c>
      <c r="L358" s="47">
        <f>(-SUMIFS(LS[Unit],LS[Investor ID],A358,LS[B/S],"S",LS[Date Value],"&gt;="&amp;$Z$2,LS[Date Value],"&lt;="&amp;$Z$3))+(-SUMIFS(SIP[Unit],SIP[Investor ID],A358,SIP[B/S],"S",SIP[Date Value],"&gt;="&amp;$Z$2,SIP[Date Value],"&lt;="&amp;$Z$3))</f>
        <v>0</v>
      </c>
      <c r="M358" s="49">
        <f>(SUMIFS(LS[Cost of Units Sold],LS[Investor ID],A358,LS[B/S],"S",LS[Date Value],"&gt;="&amp;$Z$2,LS[Date Value],"&lt;="&amp;$Z$3))+(SUMIFS(SIP[Cost of Units Sold],SIP[Investor ID],A358,SIP[B/S],"S",SIP[Date Value],"&gt;="&amp;$Z$2,SIP[Date Value],"&lt;="&amp;$Z$3))</f>
        <v>0</v>
      </c>
      <c r="N358" s="49">
        <f t="shared" si="29"/>
        <v>0</v>
      </c>
      <c r="O358" s="49">
        <f>(SUMIFS(LS[Realized Gain],LS[Investor ID],A358,LS[Date Value],"&gt;="&amp;$Z$2,LS[Date Value],"&lt;="&amp;$Z$3))+(SUMIFS(SIP[Realized Gain],SIP[Investor ID],A358,SIP[Date Value],"&gt;="&amp;$Z$2,SIP[Date Value],"&lt;="&amp;$Z$3))</f>
        <v>0</v>
      </c>
      <c r="P358" s="49">
        <v>0</v>
      </c>
      <c r="Q358" s="49">
        <v>0</v>
      </c>
      <c r="R358" s="49">
        <v>0</v>
      </c>
    </row>
    <row r="359" spans="1:18">
      <c r="A359" t="s">
        <v>766</v>
      </c>
      <c r="B359" s="47">
        <f>SUMIFS(LS[Unit],LS[Investor ID],'TAX CERTIFICATE'!A359,LS[Date Value],"&lt;"&amp;$Z$2)+SUMIFS(SIP[Unit],SIP[Investor ID],'TAX CERTIFICATE'!A359,SIP[Date Value],"&lt;"&amp;$Z$2)</f>
        <v>9769</v>
      </c>
      <c r="C359" s="48">
        <f>(SUMIFS(LS[Amount],LS[B/S],"B",LS[Investor ID],A359,LS[Date Value],"&lt;"&amp;$Z$2)-SUMIFS(LS[Cost of Units Sold],LS[B/S],"S",LS[Investor ID],A359,LS[Date Value],"&lt;"&amp;$Z$2))+(SUMIFS(SIP[Amount],SIP[B/S],"B",SIP[Investor ID],#REF!,SIP[Date Value],"&lt;"&amp;$Z$2)-SUMIFS(SIP[Cost of Units Sold],SIP[B/S],"S",SIP[Investor ID],A359,SIP[Date Value],"&lt;"&amp;$Z$2))</f>
        <v>100000</v>
      </c>
      <c r="D359" s="49">
        <f t="shared" si="25"/>
        <v>100337.399</v>
      </c>
      <c r="E359" s="49">
        <f t="shared" si="26"/>
        <v>337.39900000000489</v>
      </c>
      <c r="F359" s="47">
        <f>SUMIFS(LS[Unit],LS[Investor ID],A359,LS[Date Value],"&lt;="&amp;$Z$3)+SUMIFS(SIP[Unit],SIP[Investor ID],A359,SIP[Date Value],"&lt;="&amp;$Z$3)</f>
        <v>0</v>
      </c>
      <c r="G359" s="49">
        <f>(SUMIFS(LS[Amount],LS[B/S],"B",LS[Investor ID],A359,LS[Date Value],"&lt;="&amp;$Z$3)-SUMIFS(LS[Cost of Units Sold],LS[B/S],"S",LS[Investor ID],A359,LS[Date Value],"&lt;="&amp;$Z$3))+(SUMIFS(SIP[Amount],SIP[B/S],"B",SIP[Investor ID],A359,SIP[Date Value],"&lt;="&amp;$Z$3)-SUMIFS(SIP[Cost of Units Sold],SIP[B/S],"S",SIP[Investor ID],A359,SIP[Date Value],"&lt;="&amp;$Z$3))</f>
        <v>0</v>
      </c>
      <c r="H359" s="49">
        <f t="shared" si="27"/>
        <v>0</v>
      </c>
      <c r="I359" s="49">
        <f t="shared" si="28"/>
        <v>0</v>
      </c>
      <c r="J359" s="47">
        <f>(SUMIFS(LS[Unit],LS[Investor ID],A359,LS[B/S],"B",LS[Date Value],"&gt;="&amp;$Z$2,LS[Date Value],"&lt;="&amp;$Z$3))+(SUMIFS(SIP[Unit],SIP[Investor ID],A359,SIP[B/S],"B",SIP[Date Value],"&gt;="&amp;$Z$2,SIP[Date Value],"&lt;="&amp;$Z$3))</f>
        <v>14486</v>
      </c>
      <c r="K359" s="49">
        <f>(SUMIFS(LS[Amount],LS[Investor ID],A359,LS[B/S],"B",LS[Date Value],"&gt;="&amp;$Z$2,LS[Date Value],"&lt;="&amp;$Z$3))+(SUMIFS(SIP[Amount],SIP[Investor ID],A359,SIP[B/S],"B",SIP[Date Value],"&gt;="&amp;$Z$2,SIP[Date Value],"&lt;="&amp;$Z$3))</f>
        <v>150000</v>
      </c>
      <c r="L359" s="47">
        <f>(-SUMIFS(LS[Unit],LS[Investor ID],A359,LS[B/S],"S",LS[Date Value],"&gt;="&amp;$Z$2,LS[Date Value],"&lt;="&amp;$Z$3))+(-SUMIFS(SIP[Unit],SIP[Investor ID],A359,SIP[B/S],"S",SIP[Date Value],"&gt;="&amp;$Z$2,SIP[Date Value],"&lt;="&amp;$Z$3))</f>
        <v>24255</v>
      </c>
      <c r="M359" s="49">
        <f>(SUMIFS(LS[Cost of Units Sold],LS[Investor ID],A359,LS[B/S],"S",LS[Date Value],"&gt;="&amp;$Z$2,LS[Date Value],"&lt;="&amp;$Z$3))+(SUMIFS(SIP[Cost of Units Sold],SIP[Investor ID],A359,SIP[B/S],"S",SIP[Date Value],"&gt;="&amp;$Z$2,SIP[Date Value],"&lt;="&amp;$Z$3))</f>
        <v>250000</v>
      </c>
      <c r="N359" s="49">
        <f t="shared" si="29"/>
        <v>-100000</v>
      </c>
      <c r="O359" s="49">
        <f>(SUMIFS(LS[Realized Gain],LS[Investor ID],A359,LS[Date Value],"&gt;="&amp;$Z$2,LS[Date Value],"&lt;="&amp;$Z$3))+(SUMIFS(SIP[Realized Gain],SIP[Investor ID],A359,SIP[Date Value],"&gt;="&amp;$Z$2,SIP[Date Value],"&lt;="&amp;$Z$3))</f>
        <v>5135.8700000000063</v>
      </c>
      <c r="P359" s="49">
        <v>0</v>
      </c>
      <c r="Q359" s="49">
        <v>0</v>
      </c>
      <c r="R359" s="49">
        <v>0</v>
      </c>
    </row>
    <row r="360" spans="1:18">
      <c r="A360" t="s">
        <v>768</v>
      </c>
      <c r="B360" s="47">
        <f>SUMIFS(LS[Unit],LS[Investor ID],'TAX CERTIFICATE'!A360,LS[Date Value],"&lt;"&amp;$Z$2)+SUMIFS(SIP[Unit],SIP[Investor ID],'TAX CERTIFICATE'!A360,SIP[Date Value],"&lt;"&amp;$Z$2)</f>
        <v>0</v>
      </c>
      <c r="C360" s="48">
        <f>(SUMIFS(LS[Amount],LS[B/S],"B",LS[Investor ID],A360,LS[Date Value],"&lt;"&amp;$Z$2)-SUMIFS(LS[Cost of Units Sold],LS[B/S],"S",LS[Investor ID],A360,LS[Date Value],"&lt;"&amp;$Z$2))+(SUMIFS(SIP[Amount],SIP[B/S],"B",SIP[Investor ID],#REF!,SIP[Date Value],"&lt;"&amp;$Z$2)-SUMIFS(SIP[Cost of Units Sold],SIP[B/S],"S",SIP[Investor ID],A360,SIP[Date Value],"&lt;"&amp;$Z$2))</f>
        <v>0</v>
      </c>
      <c r="D360" s="49">
        <f t="shared" si="25"/>
        <v>0</v>
      </c>
      <c r="E360" s="49">
        <f t="shared" si="26"/>
        <v>0</v>
      </c>
      <c r="F360" s="47">
        <f>SUMIFS(LS[Unit],LS[Investor ID],A360,LS[Date Value],"&lt;="&amp;$Z$3)+SUMIFS(SIP[Unit],SIP[Investor ID],A360,SIP[Date Value],"&lt;="&amp;$Z$3)</f>
        <v>0</v>
      </c>
      <c r="G360" s="49">
        <f>(SUMIFS(LS[Amount],LS[B/S],"B",LS[Investor ID],A360,LS[Date Value],"&lt;="&amp;$Z$3)-SUMIFS(LS[Cost of Units Sold],LS[B/S],"S",LS[Investor ID],A360,LS[Date Value],"&lt;="&amp;$Z$3))+(SUMIFS(SIP[Amount],SIP[B/S],"B",SIP[Investor ID],A360,SIP[Date Value],"&lt;="&amp;$Z$3)-SUMIFS(SIP[Cost of Units Sold],SIP[B/S],"S",SIP[Investor ID],A360,SIP[Date Value],"&lt;="&amp;$Z$3))</f>
        <v>0</v>
      </c>
      <c r="H360" s="49">
        <f t="shared" si="27"/>
        <v>0</v>
      </c>
      <c r="I360" s="49">
        <f t="shared" si="28"/>
        <v>0</v>
      </c>
      <c r="J360" s="47">
        <f>(SUMIFS(LS[Unit],LS[Investor ID],A360,LS[B/S],"B",LS[Date Value],"&gt;="&amp;$Z$2,LS[Date Value],"&lt;="&amp;$Z$3))+(SUMIFS(SIP[Unit],SIP[Investor ID],A360,SIP[B/S],"B",SIP[Date Value],"&gt;="&amp;$Z$2,SIP[Date Value],"&lt;="&amp;$Z$3))</f>
        <v>0</v>
      </c>
      <c r="K360" s="49">
        <f>(SUMIFS(LS[Amount],LS[Investor ID],A360,LS[B/S],"B",LS[Date Value],"&gt;="&amp;$Z$2,LS[Date Value],"&lt;="&amp;$Z$3))+(SUMIFS(SIP[Amount],SIP[Investor ID],A360,SIP[B/S],"B",SIP[Date Value],"&gt;="&amp;$Z$2,SIP[Date Value],"&lt;="&amp;$Z$3))</f>
        <v>0</v>
      </c>
      <c r="L360" s="47">
        <f>(-SUMIFS(LS[Unit],LS[Investor ID],A360,LS[B/S],"S",LS[Date Value],"&gt;="&amp;$Z$2,LS[Date Value],"&lt;="&amp;$Z$3))+(-SUMIFS(SIP[Unit],SIP[Investor ID],A360,SIP[B/S],"S",SIP[Date Value],"&gt;="&amp;$Z$2,SIP[Date Value],"&lt;="&amp;$Z$3))</f>
        <v>0</v>
      </c>
      <c r="M360" s="49">
        <f>(SUMIFS(LS[Cost of Units Sold],LS[Investor ID],A360,LS[B/S],"S",LS[Date Value],"&gt;="&amp;$Z$2,LS[Date Value],"&lt;="&amp;$Z$3))+(SUMIFS(SIP[Cost of Units Sold],SIP[Investor ID],A360,SIP[B/S],"S",SIP[Date Value],"&gt;="&amp;$Z$2,SIP[Date Value],"&lt;="&amp;$Z$3))</f>
        <v>0</v>
      </c>
      <c r="N360" s="49">
        <f t="shared" si="29"/>
        <v>0</v>
      </c>
      <c r="O360" s="49">
        <f>(SUMIFS(LS[Realized Gain],LS[Investor ID],A360,LS[Date Value],"&gt;="&amp;$Z$2,LS[Date Value],"&lt;="&amp;$Z$3))+(SUMIFS(SIP[Realized Gain],SIP[Investor ID],A360,SIP[Date Value],"&gt;="&amp;$Z$2,SIP[Date Value],"&lt;="&amp;$Z$3))</f>
        <v>0</v>
      </c>
      <c r="P360" s="49">
        <v>0</v>
      </c>
      <c r="Q360" s="49">
        <v>0</v>
      </c>
      <c r="R360" s="49">
        <v>0</v>
      </c>
    </row>
    <row r="361" spans="1:18">
      <c r="A361" t="s">
        <v>770</v>
      </c>
      <c r="B361" s="47">
        <f>SUMIFS(LS[Unit],LS[Investor ID],'TAX CERTIFICATE'!A361,LS[Date Value],"&lt;"&amp;$Z$2)+SUMIFS(SIP[Unit],SIP[Investor ID],'TAX CERTIFICATE'!A361,SIP[Date Value],"&lt;"&amp;$Z$2)</f>
        <v>0</v>
      </c>
      <c r="C361" s="48">
        <f>(SUMIFS(LS[Amount],LS[B/S],"B",LS[Investor ID],A361,LS[Date Value],"&lt;"&amp;$Z$2)-SUMIFS(LS[Cost of Units Sold],LS[B/S],"S",LS[Investor ID],A361,LS[Date Value],"&lt;"&amp;$Z$2))+(SUMIFS(SIP[Amount],SIP[B/S],"B",SIP[Investor ID],#REF!,SIP[Date Value],"&lt;"&amp;$Z$2)-SUMIFS(SIP[Cost of Units Sold],SIP[B/S],"S",SIP[Investor ID],A361,SIP[Date Value],"&lt;"&amp;$Z$2))</f>
        <v>0</v>
      </c>
      <c r="D361" s="49">
        <f t="shared" si="25"/>
        <v>0</v>
      </c>
      <c r="E361" s="49">
        <f t="shared" si="26"/>
        <v>0</v>
      </c>
      <c r="F361" s="47">
        <f>SUMIFS(LS[Unit],LS[Investor ID],A361,LS[Date Value],"&lt;="&amp;$Z$3)+SUMIFS(SIP[Unit],SIP[Investor ID],A361,SIP[Date Value],"&lt;="&amp;$Z$3)</f>
        <v>0</v>
      </c>
      <c r="G361" s="49">
        <f>(SUMIFS(LS[Amount],LS[B/S],"B",LS[Investor ID],A361,LS[Date Value],"&lt;="&amp;$Z$3)-SUMIFS(LS[Cost of Units Sold],LS[B/S],"S",LS[Investor ID],A361,LS[Date Value],"&lt;="&amp;$Z$3))+(SUMIFS(SIP[Amount],SIP[B/S],"B",SIP[Investor ID],A361,SIP[Date Value],"&lt;="&amp;$Z$3)-SUMIFS(SIP[Cost of Units Sold],SIP[B/S],"S",SIP[Investor ID],A361,SIP[Date Value],"&lt;="&amp;$Z$3))</f>
        <v>0</v>
      </c>
      <c r="H361" s="49">
        <f t="shared" si="27"/>
        <v>0</v>
      </c>
      <c r="I361" s="49">
        <f t="shared" si="28"/>
        <v>0</v>
      </c>
      <c r="J361" s="47">
        <f>(SUMIFS(LS[Unit],LS[Investor ID],A361,LS[B/S],"B",LS[Date Value],"&gt;="&amp;$Z$2,LS[Date Value],"&lt;="&amp;$Z$3))+(SUMIFS(SIP[Unit],SIP[Investor ID],A361,SIP[B/S],"B",SIP[Date Value],"&gt;="&amp;$Z$2,SIP[Date Value],"&lt;="&amp;$Z$3))</f>
        <v>0</v>
      </c>
      <c r="K361" s="49">
        <f>(SUMIFS(LS[Amount],LS[Investor ID],A361,LS[B/S],"B",LS[Date Value],"&gt;="&amp;$Z$2,LS[Date Value],"&lt;="&amp;$Z$3))+(SUMIFS(SIP[Amount],SIP[Investor ID],A361,SIP[B/S],"B",SIP[Date Value],"&gt;="&amp;$Z$2,SIP[Date Value],"&lt;="&amp;$Z$3))</f>
        <v>0</v>
      </c>
      <c r="L361" s="47">
        <f>(-SUMIFS(LS[Unit],LS[Investor ID],A361,LS[B/S],"S",LS[Date Value],"&gt;="&amp;$Z$2,LS[Date Value],"&lt;="&amp;$Z$3))+(-SUMIFS(SIP[Unit],SIP[Investor ID],A361,SIP[B/S],"S",SIP[Date Value],"&gt;="&amp;$Z$2,SIP[Date Value],"&lt;="&amp;$Z$3))</f>
        <v>0</v>
      </c>
      <c r="M361" s="49">
        <f>(SUMIFS(LS[Cost of Units Sold],LS[Investor ID],A361,LS[B/S],"S",LS[Date Value],"&gt;="&amp;$Z$2,LS[Date Value],"&lt;="&amp;$Z$3))+(SUMIFS(SIP[Cost of Units Sold],SIP[Investor ID],A361,SIP[B/S],"S",SIP[Date Value],"&gt;="&amp;$Z$2,SIP[Date Value],"&lt;="&amp;$Z$3))</f>
        <v>0</v>
      </c>
      <c r="N361" s="49">
        <f t="shared" si="29"/>
        <v>0</v>
      </c>
      <c r="O361" s="49">
        <f>(SUMIFS(LS[Realized Gain],LS[Investor ID],A361,LS[Date Value],"&gt;="&amp;$Z$2,LS[Date Value],"&lt;="&amp;$Z$3))+(SUMIFS(SIP[Realized Gain],SIP[Investor ID],A361,SIP[Date Value],"&gt;="&amp;$Z$2,SIP[Date Value],"&lt;="&amp;$Z$3))</f>
        <v>0</v>
      </c>
      <c r="P361" s="49">
        <v>0</v>
      </c>
      <c r="Q361" s="49">
        <v>0</v>
      </c>
      <c r="R361" s="49">
        <v>0</v>
      </c>
    </row>
    <row r="362" spans="1:18">
      <c r="A362" t="s">
        <v>772</v>
      </c>
      <c r="B362" s="47">
        <f>SUMIFS(LS[Unit],LS[Investor ID],'TAX CERTIFICATE'!A362,LS[Date Value],"&lt;"&amp;$Z$2)+SUMIFS(SIP[Unit],SIP[Investor ID],'TAX CERTIFICATE'!A362,SIP[Date Value],"&lt;"&amp;$Z$2)</f>
        <v>0</v>
      </c>
      <c r="C362" s="48">
        <f>(SUMIFS(LS[Amount],LS[B/S],"B",LS[Investor ID],A362,LS[Date Value],"&lt;"&amp;$Z$2)-SUMIFS(LS[Cost of Units Sold],LS[B/S],"S",LS[Investor ID],A362,LS[Date Value],"&lt;"&amp;$Z$2))+(SUMIFS(SIP[Amount],SIP[B/S],"B",SIP[Investor ID],#REF!,SIP[Date Value],"&lt;"&amp;$Z$2)-SUMIFS(SIP[Cost of Units Sold],SIP[B/S],"S",SIP[Investor ID],A362,SIP[Date Value],"&lt;"&amp;$Z$2))</f>
        <v>0</v>
      </c>
      <c r="D362" s="49">
        <f t="shared" si="25"/>
        <v>0</v>
      </c>
      <c r="E362" s="49">
        <f t="shared" si="26"/>
        <v>0</v>
      </c>
      <c r="F362" s="47">
        <f>SUMIFS(LS[Unit],LS[Investor ID],A362,LS[Date Value],"&lt;="&amp;$Z$3)+SUMIFS(SIP[Unit],SIP[Investor ID],A362,SIP[Date Value],"&lt;="&amp;$Z$3)</f>
        <v>0</v>
      </c>
      <c r="G362" s="49">
        <f>(SUMIFS(LS[Amount],LS[B/S],"B",LS[Investor ID],A362,LS[Date Value],"&lt;="&amp;$Z$3)-SUMIFS(LS[Cost of Units Sold],LS[B/S],"S",LS[Investor ID],A362,LS[Date Value],"&lt;="&amp;$Z$3))+(SUMIFS(SIP[Amount],SIP[B/S],"B",SIP[Investor ID],A362,SIP[Date Value],"&lt;="&amp;$Z$3)-SUMIFS(SIP[Cost of Units Sold],SIP[B/S],"S",SIP[Investor ID],A362,SIP[Date Value],"&lt;="&amp;$Z$3))</f>
        <v>0</v>
      </c>
      <c r="H362" s="49">
        <f t="shared" si="27"/>
        <v>0</v>
      </c>
      <c r="I362" s="49">
        <f t="shared" si="28"/>
        <v>0</v>
      </c>
      <c r="J362" s="47">
        <f>(SUMIFS(LS[Unit],LS[Investor ID],A362,LS[B/S],"B",LS[Date Value],"&gt;="&amp;$Z$2,LS[Date Value],"&lt;="&amp;$Z$3))+(SUMIFS(SIP[Unit],SIP[Investor ID],A362,SIP[B/S],"B",SIP[Date Value],"&gt;="&amp;$Z$2,SIP[Date Value],"&lt;="&amp;$Z$3))</f>
        <v>0</v>
      </c>
      <c r="K362" s="49">
        <f>(SUMIFS(LS[Amount],LS[Investor ID],A362,LS[B/S],"B",LS[Date Value],"&gt;="&amp;$Z$2,LS[Date Value],"&lt;="&amp;$Z$3))+(SUMIFS(SIP[Amount],SIP[Investor ID],A362,SIP[B/S],"B",SIP[Date Value],"&gt;="&amp;$Z$2,SIP[Date Value],"&lt;="&amp;$Z$3))</f>
        <v>0</v>
      </c>
      <c r="L362" s="47">
        <f>(-SUMIFS(LS[Unit],LS[Investor ID],A362,LS[B/S],"S",LS[Date Value],"&gt;="&amp;$Z$2,LS[Date Value],"&lt;="&amp;$Z$3))+(-SUMIFS(SIP[Unit],SIP[Investor ID],A362,SIP[B/S],"S",SIP[Date Value],"&gt;="&amp;$Z$2,SIP[Date Value],"&lt;="&amp;$Z$3))</f>
        <v>0</v>
      </c>
      <c r="M362" s="49">
        <f>(SUMIFS(LS[Cost of Units Sold],LS[Investor ID],A362,LS[B/S],"S",LS[Date Value],"&gt;="&amp;$Z$2,LS[Date Value],"&lt;="&amp;$Z$3))+(SUMIFS(SIP[Cost of Units Sold],SIP[Investor ID],A362,SIP[B/S],"S",SIP[Date Value],"&gt;="&amp;$Z$2,SIP[Date Value],"&lt;="&amp;$Z$3))</f>
        <v>0</v>
      </c>
      <c r="N362" s="49">
        <f t="shared" si="29"/>
        <v>0</v>
      </c>
      <c r="O362" s="49">
        <f>(SUMIFS(LS[Realized Gain],LS[Investor ID],A362,LS[Date Value],"&gt;="&amp;$Z$2,LS[Date Value],"&lt;="&amp;$Z$3))+(SUMIFS(SIP[Realized Gain],SIP[Investor ID],A362,SIP[Date Value],"&gt;="&amp;$Z$2,SIP[Date Value],"&lt;="&amp;$Z$3))</f>
        <v>0</v>
      </c>
      <c r="P362" s="49">
        <v>0</v>
      </c>
      <c r="Q362" s="49">
        <v>0</v>
      </c>
      <c r="R362" s="49">
        <v>0</v>
      </c>
    </row>
    <row r="363" spans="1:18">
      <c r="A363" t="s">
        <v>774</v>
      </c>
      <c r="B363" s="47">
        <f>SUMIFS(LS[Unit],LS[Investor ID],'TAX CERTIFICATE'!A363,LS[Date Value],"&lt;"&amp;$Z$2)+SUMIFS(SIP[Unit],SIP[Investor ID],'TAX CERTIFICATE'!A363,SIP[Date Value],"&lt;"&amp;$Z$2)</f>
        <v>0</v>
      </c>
      <c r="C363" s="48">
        <f>(SUMIFS(LS[Amount],LS[B/S],"B",LS[Investor ID],A363,LS[Date Value],"&lt;"&amp;$Z$2)-SUMIFS(LS[Cost of Units Sold],LS[B/S],"S",LS[Investor ID],A363,LS[Date Value],"&lt;"&amp;$Z$2))+(SUMIFS(SIP[Amount],SIP[B/S],"B",SIP[Investor ID],#REF!,SIP[Date Value],"&lt;"&amp;$Z$2)-SUMIFS(SIP[Cost of Units Sold],SIP[B/S],"S",SIP[Investor ID],A363,SIP[Date Value],"&lt;"&amp;$Z$2))</f>
        <v>0</v>
      </c>
      <c r="D363" s="49">
        <f t="shared" si="25"/>
        <v>0</v>
      </c>
      <c r="E363" s="49">
        <f t="shared" si="26"/>
        <v>0</v>
      </c>
      <c r="F363" s="47">
        <f>SUMIFS(LS[Unit],LS[Investor ID],A363,LS[Date Value],"&lt;="&amp;$Z$3)+SUMIFS(SIP[Unit],SIP[Investor ID],A363,SIP[Date Value],"&lt;="&amp;$Z$3)</f>
        <v>0</v>
      </c>
      <c r="G363" s="49">
        <f>(SUMIFS(LS[Amount],LS[B/S],"B",LS[Investor ID],A363,LS[Date Value],"&lt;="&amp;$Z$3)-SUMIFS(LS[Cost of Units Sold],LS[B/S],"S",LS[Investor ID],A363,LS[Date Value],"&lt;="&amp;$Z$3))+(SUMIFS(SIP[Amount],SIP[B/S],"B",SIP[Investor ID],A363,SIP[Date Value],"&lt;="&amp;$Z$3)-SUMIFS(SIP[Cost of Units Sold],SIP[B/S],"S",SIP[Investor ID],A363,SIP[Date Value],"&lt;="&amp;$Z$3))</f>
        <v>0</v>
      </c>
      <c r="H363" s="49">
        <f t="shared" si="27"/>
        <v>0</v>
      </c>
      <c r="I363" s="49">
        <f t="shared" si="28"/>
        <v>0</v>
      </c>
      <c r="J363" s="47">
        <f>(SUMIFS(LS[Unit],LS[Investor ID],A363,LS[B/S],"B",LS[Date Value],"&gt;="&amp;$Z$2,LS[Date Value],"&lt;="&amp;$Z$3))+(SUMIFS(SIP[Unit],SIP[Investor ID],A363,SIP[B/S],"B",SIP[Date Value],"&gt;="&amp;$Z$2,SIP[Date Value],"&lt;="&amp;$Z$3))</f>
        <v>0</v>
      </c>
      <c r="K363" s="49">
        <f>(SUMIFS(LS[Amount],LS[Investor ID],A363,LS[B/S],"B",LS[Date Value],"&gt;="&amp;$Z$2,LS[Date Value],"&lt;="&amp;$Z$3))+(SUMIFS(SIP[Amount],SIP[Investor ID],A363,SIP[B/S],"B",SIP[Date Value],"&gt;="&amp;$Z$2,SIP[Date Value],"&lt;="&amp;$Z$3))</f>
        <v>0</v>
      </c>
      <c r="L363" s="47">
        <f>(-SUMIFS(LS[Unit],LS[Investor ID],A363,LS[B/S],"S",LS[Date Value],"&gt;="&amp;$Z$2,LS[Date Value],"&lt;="&amp;$Z$3))+(-SUMIFS(SIP[Unit],SIP[Investor ID],A363,SIP[B/S],"S",SIP[Date Value],"&gt;="&amp;$Z$2,SIP[Date Value],"&lt;="&amp;$Z$3))</f>
        <v>0</v>
      </c>
      <c r="M363" s="49">
        <f>(SUMIFS(LS[Cost of Units Sold],LS[Investor ID],A363,LS[B/S],"S",LS[Date Value],"&gt;="&amp;$Z$2,LS[Date Value],"&lt;="&amp;$Z$3))+(SUMIFS(SIP[Cost of Units Sold],SIP[Investor ID],A363,SIP[B/S],"S",SIP[Date Value],"&gt;="&amp;$Z$2,SIP[Date Value],"&lt;="&amp;$Z$3))</f>
        <v>0</v>
      </c>
      <c r="N363" s="49">
        <f t="shared" si="29"/>
        <v>0</v>
      </c>
      <c r="O363" s="49">
        <f>(SUMIFS(LS[Realized Gain],LS[Investor ID],A363,LS[Date Value],"&gt;="&amp;$Z$2,LS[Date Value],"&lt;="&amp;$Z$3))+(SUMIFS(SIP[Realized Gain],SIP[Investor ID],A363,SIP[Date Value],"&gt;="&amp;$Z$2,SIP[Date Value],"&lt;="&amp;$Z$3))</f>
        <v>0</v>
      </c>
      <c r="P363" s="49">
        <v>0</v>
      </c>
      <c r="Q363" s="49">
        <v>0</v>
      </c>
      <c r="R363" s="49">
        <v>0</v>
      </c>
    </row>
    <row r="364" spans="1:18">
      <c r="A364" t="s">
        <v>776</v>
      </c>
      <c r="B364" s="47">
        <f>SUMIFS(LS[Unit],LS[Investor ID],'TAX CERTIFICATE'!A364,LS[Date Value],"&lt;"&amp;$Z$2)+SUMIFS(SIP[Unit],SIP[Investor ID],'TAX CERTIFICATE'!A364,SIP[Date Value],"&lt;"&amp;$Z$2)</f>
        <v>0</v>
      </c>
      <c r="C364" s="48">
        <f>(SUMIFS(LS[Amount],LS[B/S],"B",LS[Investor ID],A364,LS[Date Value],"&lt;"&amp;$Z$2)-SUMIFS(LS[Cost of Units Sold],LS[B/S],"S",LS[Investor ID],A364,LS[Date Value],"&lt;"&amp;$Z$2))+(SUMIFS(SIP[Amount],SIP[B/S],"B",SIP[Investor ID],#REF!,SIP[Date Value],"&lt;"&amp;$Z$2)-SUMIFS(SIP[Cost of Units Sold],SIP[B/S],"S",SIP[Investor ID],A364,SIP[Date Value],"&lt;"&amp;$Z$2))</f>
        <v>0</v>
      </c>
      <c r="D364" s="49">
        <f t="shared" si="25"/>
        <v>0</v>
      </c>
      <c r="E364" s="49">
        <f t="shared" si="26"/>
        <v>0</v>
      </c>
      <c r="F364" s="47">
        <f>SUMIFS(LS[Unit],LS[Investor ID],A364,LS[Date Value],"&lt;="&amp;$Z$3)+SUMIFS(SIP[Unit],SIP[Investor ID],A364,SIP[Date Value],"&lt;="&amp;$Z$3)</f>
        <v>0</v>
      </c>
      <c r="G364" s="49">
        <f>(SUMIFS(LS[Amount],LS[B/S],"B",LS[Investor ID],A364,LS[Date Value],"&lt;="&amp;$Z$3)-SUMIFS(LS[Cost of Units Sold],LS[B/S],"S",LS[Investor ID],A364,LS[Date Value],"&lt;="&amp;$Z$3))+(SUMIFS(SIP[Amount],SIP[B/S],"B",SIP[Investor ID],A364,SIP[Date Value],"&lt;="&amp;$Z$3)-SUMIFS(SIP[Cost of Units Sold],SIP[B/S],"S",SIP[Investor ID],A364,SIP[Date Value],"&lt;="&amp;$Z$3))</f>
        <v>0</v>
      </c>
      <c r="H364" s="49">
        <f t="shared" si="27"/>
        <v>0</v>
      </c>
      <c r="I364" s="49">
        <f t="shared" si="28"/>
        <v>0</v>
      </c>
      <c r="J364" s="47">
        <f>(SUMIFS(LS[Unit],LS[Investor ID],A364,LS[B/S],"B",LS[Date Value],"&gt;="&amp;$Z$2,LS[Date Value],"&lt;="&amp;$Z$3))+(SUMIFS(SIP[Unit],SIP[Investor ID],A364,SIP[B/S],"B",SIP[Date Value],"&gt;="&amp;$Z$2,SIP[Date Value],"&lt;="&amp;$Z$3))</f>
        <v>0</v>
      </c>
      <c r="K364" s="49">
        <f>(SUMIFS(LS[Amount],LS[Investor ID],A364,LS[B/S],"B",LS[Date Value],"&gt;="&amp;$Z$2,LS[Date Value],"&lt;="&amp;$Z$3))+(SUMIFS(SIP[Amount],SIP[Investor ID],A364,SIP[B/S],"B",SIP[Date Value],"&gt;="&amp;$Z$2,SIP[Date Value],"&lt;="&amp;$Z$3))</f>
        <v>0</v>
      </c>
      <c r="L364" s="47">
        <f>(-SUMIFS(LS[Unit],LS[Investor ID],A364,LS[B/S],"S",LS[Date Value],"&gt;="&amp;$Z$2,LS[Date Value],"&lt;="&amp;$Z$3))+(-SUMIFS(SIP[Unit],SIP[Investor ID],A364,SIP[B/S],"S",SIP[Date Value],"&gt;="&amp;$Z$2,SIP[Date Value],"&lt;="&amp;$Z$3))</f>
        <v>0</v>
      </c>
      <c r="M364" s="49">
        <f>(SUMIFS(LS[Cost of Units Sold],LS[Investor ID],A364,LS[B/S],"S",LS[Date Value],"&gt;="&amp;$Z$2,LS[Date Value],"&lt;="&amp;$Z$3))+(SUMIFS(SIP[Cost of Units Sold],SIP[Investor ID],A364,SIP[B/S],"S",SIP[Date Value],"&gt;="&amp;$Z$2,SIP[Date Value],"&lt;="&amp;$Z$3))</f>
        <v>0</v>
      </c>
      <c r="N364" s="49">
        <f t="shared" si="29"/>
        <v>0</v>
      </c>
      <c r="O364" s="49">
        <f>(SUMIFS(LS[Realized Gain],LS[Investor ID],A364,LS[Date Value],"&gt;="&amp;$Z$2,LS[Date Value],"&lt;="&amp;$Z$3))+(SUMIFS(SIP[Realized Gain],SIP[Investor ID],A364,SIP[Date Value],"&gt;="&amp;$Z$2,SIP[Date Value],"&lt;="&amp;$Z$3))</f>
        <v>0</v>
      </c>
      <c r="P364" s="49">
        <v>0</v>
      </c>
      <c r="Q364" s="49">
        <v>0</v>
      </c>
      <c r="R364" s="49">
        <v>0</v>
      </c>
    </row>
    <row r="365" spans="1:18">
      <c r="A365" t="s">
        <v>778</v>
      </c>
      <c r="B365" s="47">
        <f>SUMIFS(LS[Unit],LS[Investor ID],'TAX CERTIFICATE'!A365,LS[Date Value],"&lt;"&amp;$Z$2)+SUMIFS(SIP[Unit],SIP[Investor ID],'TAX CERTIFICATE'!A365,SIP[Date Value],"&lt;"&amp;$Z$2)</f>
        <v>0</v>
      </c>
      <c r="C365" s="48">
        <f>(SUMIFS(LS[Amount],LS[B/S],"B",LS[Investor ID],A365,LS[Date Value],"&lt;"&amp;$Z$2)-SUMIFS(LS[Cost of Units Sold],LS[B/S],"S",LS[Investor ID],A365,LS[Date Value],"&lt;"&amp;$Z$2))+(SUMIFS(SIP[Amount],SIP[B/S],"B",SIP[Investor ID],#REF!,SIP[Date Value],"&lt;"&amp;$Z$2)-SUMIFS(SIP[Cost of Units Sold],SIP[B/S],"S",SIP[Investor ID],A365,SIP[Date Value],"&lt;"&amp;$Z$2))</f>
        <v>0</v>
      </c>
      <c r="D365" s="49">
        <f t="shared" si="25"/>
        <v>0</v>
      </c>
      <c r="E365" s="49">
        <f t="shared" si="26"/>
        <v>0</v>
      </c>
      <c r="F365" s="47">
        <f>SUMIFS(LS[Unit],LS[Investor ID],A365,LS[Date Value],"&lt;="&amp;$Z$3)+SUMIFS(SIP[Unit],SIP[Investor ID],A365,SIP[Date Value],"&lt;="&amp;$Z$3)</f>
        <v>0</v>
      </c>
      <c r="G365" s="49">
        <f>(SUMIFS(LS[Amount],LS[B/S],"B",LS[Investor ID],A365,LS[Date Value],"&lt;="&amp;$Z$3)-SUMIFS(LS[Cost of Units Sold],LS[B/S],"S",LS[Investor ID],A365,LS[Date Value],"&lt;="&amp;$Z$3))+(SUMIFS(SIP[Amount],SIP[B/S],"B",SIP[Investor ID],A365,SIP[Date Value],"&lt;="&amp;$Z$3)-SUMIFS(SIP[Cost of Units Sold],SIP[B/S],"S",SIP[Investor ID],A365,SIP[Date Value],"&lt;="&amp;$Z$3))</f>
        <v>0</v>
      </c>
      <c r="H365" s="49">
        <f t="shared" si="27"/>
        <v>0</v>
      </c>
      <c r="I365" s="49">
        <f t="shared" si="28"/>
        <v>0</v>
      </c>
      <c r="J365" s="47">
        <f>(SUMIFS(LS[Unit],LS[Investor ID],A365,LS[B/S],"B",LS[Date Value],"&gt;="&amp;$Z$2,LS[Date Value],"&lt;="&amp;$Z$3))+(SUMIFS(SIP[Unit],SIP[Investor ID],A365,SIP[B/S],"B",SIP[Date Value],"&gt;="&amp;$Z$2,SIP[Date Value],"&lt;="&amp;$Z$3))</f>
        <v>0</v>
      </c>
      <c r="K365" s="49">
        <f>(SUMIFS(LS[Amount],LS[Investor ID],A365,LS[B/S],"B",LS[Date Value],"&gt;="&amp;$Z$2,LS[Date Value],"&lt;="&amp;$Z$3))+(SUMIFS(SIP[Amount],SIP[Investor ID],A365,SIP[B/S],"B",SIP[Date Value],"&gt;="&amp;$Z$2,SIP[Date Value],"&lt;="&amp;$Z$3))</f>
        <v>0</v>
      </c>
      <c r="L365" s="47">
        <f>(-SUMIFS(LS[Unit],LS[Investor ID],A365,LS[B/S],"S",LS[Date Value],"&gt;="&amp;$Z$2,LS[Date Value],"&lt;="&amp;$Z$3))+(-SUMIFS(SIP[Unit],SIP[Investor ID],A365,SIP[B/S],"S",SIP[Date Value],"&gt;="&amp;$Z$2,SIP[Date Value],"&lt;="&amp;$Z$3))</f>
        <v>0</v>
      </c>
      <c r="M365" s="49">
        <f>(SUMIFS(LS[Cost of Units Sold],LS[Investor ID],A365,LS[B/S],"S",LS[Date Value],"&gt;="&amp;$Z$2,LS[Date Value],"&lt;="&amp;$Z$3))+(SUMIFS(SIP[Cost of Units Sold],SIP[Investor ID],A365,SIP[B/S],"S",SIP[Date Value],"&gt;="&amp;$Z$2,SIP[Date Value],"&lt;="&amp;$Z$3))</f>
        <v>0</v>
      </c>
      <c r="N365" s="49">
        <f t="shared" si="29"/>
        <v>0</v>
      </c>
      <c r="O365" s="49">
        <f>(SUMIFS(LS[Realized Gain],LS[Investor ID],A365,LS[Date Value],"&gt;="&amp;$Z$2,LS[Date Value],"&lt;="&amp;$Z$3))+(SUMIFS(SIP[Realized Gain],SIP[Investor ID],A365,SIP[Date Value],"&gt;="&amp;$Z$2,SIP[Date Value],"&lt;="&amp;$Z$3))</f>
        <v>0</v>
      </c>
      <c r="P365" s="49">
        <v>0</v>
      </c>
      <c r="Q365" s="49">
        <v>0</v>
      </c>
      <c r="R365" s="49">
        <v>0</v>
      </c>
    </row>
    <row r="366" spans="1:18">
      <c r="A366" t="s">
        <v>780</v>
      </c>
      <c r="B366" s="47">
        <f>SUMIFS(LS[Unit],LS[Investor ID],'TAX CERTIFICATE'!A366,LS[Date Value],"&lt;"&amp;$Z$2)+SUMIFS(SIP[Unit],SIP[Investor ID],'TAX CERTIFICATE'!A366,SIP[Date Value],"&lt;"&amp;$Z$2)</f>
        <v>0</v>
      </c>
      <c r="C366" s="48">
        <f>(SUMIFS(LS[Amount],LS[B/S],"B",LS[Investor ID],A366,LS[Date Value],"&lt;"&amp;$Z$2)-SUMIFS(LS[Cost of Units Sold],LS[B/S],"S",LS[Investor ID],A366,LS[Date Value],"&lt;"&amp;$Z$2))+(SUMIFS(SIP[Amount],SIP[B/S],"B",SIP[Investor ID],#REF!,SIP[Date Value],"&lt;"&amp;$Z$2)-SUMIFS(SIP[Cost of Units Sold],SIP[B/S],"S",SIP[Investor ID],A366,SIP[Date Value],"&lt;"&amp;$Z$2))</f>
        <v>0</v>
      </c>
      <c r="D366" s="49">
        <f t="shared" si="25"/>
        <v>0</v>
      </c>
      <c r="E366" s="49">
        <f t="shared" si="26"/>
        <v>0</v>
      </c>
      <c r="F366" s="47">
        <f>SUMIFS(LS[Unit],LS[Investor ID],A366,LS[Date Value],"&lt;="&amp;$Z$3)+SUMIFS(SIP[Unit],SIP[Investor ID],A366,SIP[Date Value],"&lt;="&amp;$Z$3)</f>
        <v>0</v>
      </c>
      <c r="G366" s="49">
        <f>(SUMIFS(LS[Amount],LS[B/S],"B",LS[Investor ID],A366,LS[Date Value],"&lt;="&amp;$Z$3)-SUMIFS(LS[Cost of Units Sold],LS[B/S],"S",LS[Investor ID],A366,LS[Date Value],"&lt;="&amp;$Z$3))+(SUMIFS(SIP[Amount],SIP[B/S],"B",SIP[Investor ID],A366,SIP[Date Value],"&lt;="&amp;$Z$3)-SUMIFS(SIP[Cost of Units Sold],SIP[B/S],"S",SIP[Investor ID],A366,SIP[Date Value],"&lt;="&amp;$Z$3))</f>
        <v>0</v>
      </c>
      <c r="H366" s="49">
        <f t="shared" si="27"/>
        <v>0</v>
      </c>
      <c r="I366" s="49">
        <f t="shared" si="28"/>
        <v>0</v>
      </c>
      <c r="J366" s="47">
        <f>(SUMIFS(LS[Unit],LS[Investor ID],A366,LS[B/S],"B",LS[Date Value],"&gt;="&amp;$Z$2,LS[Date Value],"&lt;="&amp;$Z$3))+(SUMIFS(SIP[Unit],SIP[Investor ID],A366,SIP[B/S],"B",SIP[Date Value],"&gt;="&amp;$Z$2,SIP[Date Value],"&lt;="&amp;$Z$3))</f>
        <v>0</v>
      </c>
      <c r="K366" s="49">
        <f>(SUMIFS(LS[Amount],LS[Investor ID],A366,LS[B/S],"B",LS[Date Value],"&gt;="&amp;$Z$2,LS[Date Value],"&lt;="&amp;$Z$3))+(SUMIFS(SIP[Amount],SIP[Investor ID],A366,SIP[B/S],"B",SIP[Date Value],"&gt;="&amp;$Z$2,SIP[Date Value],"&lt;="&amp;$Z$3))</f>
        <v>0</v>
      </c>
      <c r="L366" s="47">
        <f>(-SUMIFS(LS[Unit],LS[Investor ID],A366,LS[B/S],"S",LS[Date Value],"&gt;="&amp;$Z$2,LS[Date Value],"&lt;="&amp;$Z$3))+(-SUMIFS(SIP[Unit],SIP[Investor ID],A366,SIP[B/S],"S",SIP[Date Value],"&gt;="&amp;$Z$2,SIP[Date Value],"&lt;="&amp;$Z$3))</f>
        <v>0</v>
      </c>
      <c r="M366" s="49">
        <f>(SUMIFS(LS[Cost of Units Sold],LS[Investor ID],A366,LS[B/S],"S",LS[Date Value],"&gt;="&amp;$Z$2,LS[Date Value],"&lt;="&amp;$Z$3))+(SUMIFS(SIP[Cost of Units Sold],SIP[Investor ID],A366,SIP[B/S],"S",SIP[Date Value],"&gt;="&amp;$Z$2,SIP[Date Value],"&lt;="&amp;$Z$3))</f>
        <v>0</v>
      </c>
      <c r="N366" s="49">
        <f t="shared" si="29"/>
        <v>0</v>
      </c>
      <c r="O366" s="49">
        <f>(SUMIFS(LS[Realized Gain],LS[Investor ID],A366,LS[Date Value],"&gt;="&amp;$Z$2,LS[Date Value],"&lt;="&amp;$Z$3))+(SUMIFS(SIP[Realized Gain],SIP[Investor ID],A366,SIP[Date Value],"&gt;="&amp;$Z$2,SIP[Date Value],"&lt;="&amp;$Z$3))</f>
        <v>0</v>
      </c>
      <c r="P366" s="49">
        <v>0</v>
      </c>
      <c r="Q366" s="49">
        <v>0</v>
      </c>
      <c r="R366" s="49">
        <v>0</v>
      </c>
    </row>
    <row r="367" spans="1:18">
      <c r="A367" t="s">
        <v>782</v>
      </c>
      <c r="B367" s="47">
        <f>SUMIFS(LS[Unit],LS[Investor ID],'TAX CERTIFICATE'!A367,LS[Date Value],"&lt;"&amp;$Z$2)+SUMIFS(SIP[Unit],SIP[Investor ID],'TAX CERTIFICATE'!A367,SIP[Date Value],"&lt;"&amp;$Z$2)</f>
        <v>0</v>
      </c>
      <c r="C367" s="48">
        <f>(SUMIFS(LS[Amount],LS[B/S],"B",LS[Investor ID],A367,LS[Date Value],"&lt;"&amp;$Z$2)-SUMIFS(LS[Cost of Units Sold],LS[B/S],"S",LS[Investor ID],A367,LS[Date Value],"&lt;"&amp;$Z$2))+(SUMIFS(SIP[Amount],SIP[B/S],"B",SIP[Investor ID],#REF!,SIP[Date Value],"&lt;"&amp;$Z$2)-SUMIFS(SIP[Cost of Units Sold],SIP[B/S],"S",SIP[Investor ID],A367,SIP[Date Value],"&lt;"&amp;$Z$2))</f>
        <v>0</v>
      </c>
      <c r="D367" s="49">
        <f t="shared" si="25"/>
        <v>0</v>
      </c>
      <c r="E367" s="49">
        <f t="shared" si="26"/>
        <v>0</v>
      </c>
      <c r="F367" s="47">
        <f>SUMIFS(LS[Unit],LS[Investor ID],A367,LS[Date Value],"&lt;="&amp;$Z$3)+SUMIFS(SIP[Unit],SIP[Investor ID],A367,SIP[Date Value],"&lt;="&amp;$Z$3)</f>
        <v>0</v>
      </c>
      <c r="G367" s="49">
        <f>(SUMIFS(LS[Amount],LS[B/S],"B",LS[Investor ID],A367,LS[Date Value],"&lt;="&amp;$Z$3)-SUMIFS(LS[Cost of Units Sold],LS[B/S],"S",LS[Investor ID],A367,LS[Date Value],"&lt;="&amp;$Z$3))+(SUMIFS(SIP[Amount],SIP[B/S],"B",SIP[Investor ID],A367,SIP[Date Value],"&lt;="&amp;$Z$3)-SUMIFS(SIP[Cost of Units Sold],SIP[B/S],"S",SIP[Investor ID],A367,SIP[Date Value],"&lt;="&amp;$Z$3))</f>
        <v>0</v>
      </c>
      <c r="H367" s="49">
        <f t="shared" si="27"/>
        <v>0</v>
      </c>
      <c r="I367" s="49">
        <f t="shared" si="28"/>
        <v>0</v>
      </c>
      <c r="J367" s="47">
        <f>(SUMIFS(LS[Unit],LS[Investor ID],A367,LS[B/S],"B",LS[Date Value],"&gt;="&amp;$Z$2,LS[Date Value],"&lt;="&amp;$Z$3))+(SUMIFS(SIP[Unit],SIP[Investor ID],A367,SIP[B/S],"B",SIP[Date Value],"&gt;="&amp;$Z$2,SIP[Date Value],"&lt;="&amp;$Z$3))</f>
        <v>0</v>
      </c>
      <c r="K367" s="49">
        <f>(SUMIFS(LS[Amount],LS[Investor ID],A367,LS[B/S],"B",LS[Date Value],"&gt;="&amp;$Z$2,LS[Date Value],"&lt;="&amp;$Z$3))+(SUMIFS(SIP[Amount],SIP[Investor ID],A367,SIP[B/S],"B",SIP[Date Value],"&gt;="&amp;$Z$2,SIP[Date Value],"&lt;="&amp;$Z$3))</f>
        <v>0</v>
      </c>
      <c r="L367" s="47">
        <f>(-SUMIFS(LS[Unit],LS[Investor ID],A367,LS[B/S],"S",LS[Date Value],"&gt;="&amp;$Z$2,LS[Date Value],"&lt;="&amp;$Z$3))+(-SUMIFS(SIP[Unit],SIP[Investor ID],A367,SIP[B/S],"S",SIP[Date Value],"&gt;="&amp;$Z$2,SIP[Date Value],"&lt;="&amp;$Z$3))</f>
        <v>0</v>
      </c>
      <c r="M367" s="49">
        <f>(SUMIFS(LS[Cost of Units Sold],LS[Investor ID],A367,LS[B/S],"S",LS[Date Value],"&gt;="&amp;$Z$2,LS[Date Value],"&lt;="&amp;$Z$3))+(SUMIFS(SIP[Cost of Units Sold],SIP[Investor ID],A367,SIP[B/S],"S",SIP[Date Value],"&gt;="&amp;$Z$2,SIP[Date Value],"&lt;="&amp;$Z$3))</f>
        <v>0</v>
      </c>
      <c r="N367" s="49">
        <f t="shared" si="29"/>
        <v>0</v>
      </c>
      <c r="O367" s="49">
        <f>(SUMIFS(LS[Realized Gain],LS[Investor ID],A367,LS[Date Value],"&gt;="&amp;$Z$2,LS[Date Value],"&lt;="&amp;$Z$3))+(SUMIFS(SIP[Realized Gain],SIP[Investor ID],A367,SIP[Date Value],"&gt;="&amp;$Z$2,SIP[Date Value],"&lt;="&amp;$Z$3))</f>
        <v>0</v>
      </c>
      <c r="P367" s="49">
        <v>0</v>
      </c>
      <c r="Q367" s="49">
        <v>0</v>
      </c>
      <c r="R367" s="49">
        <v>0</v>
      </c>
    </row>
    <row r="368" spans="1:18">
      <c r="A368" t="s">
        <v>784</v>
      </c>
      <c r="B368" s="47">
        <f>SUMIFS(LS[Unit],LS[Investor ID],'TAX CERTIFICATE'!A368,LS[Date Value],"&lt;"&amp;$Z$2)+SUMIFS(SIP[Unit],SIP[Investor ID],'TAX CERTIFICATE'!A368,SIP[Date Value],"&lt;"&amp;$Z$2)</f>
        <v>0</v>
      </c>
      <c r="C368" s="48">
        <f>(SUMIFS(LS[Amount],LS[B/S],"B",LS[Investor ID],A368,LS[Date Value],"&lt;"&amp;$Z$2)-SUMIFS(LS[Cost of Units Sold],LS[B/S],"S",LS[Investor ID],A368,LS[Date Value],"&lt;"&amp;$Z$2))+(SUMIFS(SIP[Amount],SIP[B/S],"B",SIP[Investor ID],#REF!,SIP[Date Value],"&lt;"&amp;$Z$2)-SUMIFS(SIP[Cost of Units Sold],SIP[B/S],"S",SIP[Investor ID],A368,SIP[Date Value],"&lt;"&amp;$Z$2))</f>
        <v>0</v>
      </c>
      <c r="D368" s="49">
        <f t="shared" si="25"/>
        <v>0</v>
      </c>
      <c r="E368" s="49">
        <f t="shared" si="26"/>
        <v>0</v>
      </c>
      <c r="F368" s="47">
        <f>SUMIFS(LS[Unit],LS[Investor ID],A368,LS[Date Value],"&lt;="&amp;$Z$3)+SUMIFS(SIP[Unit],SIP[Investor ID],A368,SIP[Date Value],"&lt;="&amp;$Z$3)</f>
        <v>0</v>
      </c>
      <c r="G368" s="49">
        <f>(SUMIFS(LS[Amount],LS[B/S],"B",LS[Investor ID],A368,LS[Date Value],"&lt;="&amp;$Z$3)-SUMIFS(LS[Cost of Units Sold],LS[B/S],"S",LS[Investor ID],A368,LS[Date Value],"&lt;="&amp;$Z$3))+(SUMIFS(SIP[Amount],SIP[B/S],"B",SIP[Investor ID],A368,SIP[Date Value],"&lt;="&amp;$Z$3)-SUMIFS(SIP[Cost of Units Sold],SIP[B/S],"S",SIP[Investor ID],A368,SIP[Date Value],"&lt;="&amp;$Z$3))</f>
        <v>0</v>
      </c>
      <c r="H368" s="49">
        <f t="shared" si="27"/>
        <v>0</v>
      </c>
      <c r="I368" s="49">
        <f t="shared" si="28"/>
        <v>0</v>
      </c>
      <c r="J368" s="47">
        <f>(SUMIFS(LS[Unit],LS[Investor ID],A368,LS[B/S],"B",LS[Date Value],"&gt;="&amp;$Z$2,LS[Date Value],"&lt;="&amp;$Z$3))+(SUMIFS(SIP[Unit],SIP[Investor ID],A368,SIP[B/S],"B",SIP[Date Value],"&gt;="&amp;$Z$2,SIP[Date Value],"&lt;="&amp;$Z$3))</f>
        <v>0</v>
      </c>
      <c r="K368" s="49">
        <f>(SUMIFS(LS[Amount],LS[Investor ID],A368,LS[B/S],"B",LS[Date Value],"&gt;="&amp;$Z$2,LS[Date Value],"&lt;="&amp;$Z$3))+(SUMIFS(SIP[Amount],SIP[Investor ID],A368,SIP[B/S],"B",SIP[Date Value],"&gt;="&amp;$Z$2,SIP[Date Value],"&lt;="&amp;$Z$3))</f>
        <v>0</v>
      </c>
      <c r="L368" s="47">
        <f>(-SUMIFS(LS[Unit],LS[Investor ID],A368,LS[B/S],"S",LS[Date Value],"&gt;="&amp;$Z$2,LS[Date Value],"&lt;="&amp;$Z$3))+(-SUMIFS(SIP[Unit],SIP[Investor ID],A368,SIP[B/S],"S",SIP[Date Value],"&gt;="&amp;$Z$2,SIP[Date Value],"&lt;="&amp;$Z$3))</f>
        <v>0</v>
      </c>
      <c r="M368" s="49">
        <f>(SUMIFS(LS[Cost of Units Sold],LS[Investor ID],A368,LS[B/S],"S",LS[Date Value],"&gt;="&amp;$Z$2,LS[Date Value],"&lt;="&amp;$Z$3))+(SUMIFS(SIP[Cost of Units Sold],SIP[Investor ID],A368,SIP[B/S],"S",SIP[Date Value],"&gt;="&amp;$Z$2,SIP[Date Value],"&lt;="&amp;$Z$3))</f>
        <v>0</v>
      </c>
      <c r="N368" s="49">
        <f t="shared" si="29"/>
        <v>0</v>
      </c>
      <c r="O368" s="49">
        <f>(SUMIFS(LS[Realized Gain],LS[Investor ID],A368,LS[Date Value],"&gt;="&amp;$Z$2,LS[Date Value],"&lt;="&amp;$Z$3))+(SUMIFS(SIP[Realized Gain],SIP[Investor ID],A368,SIP[Date Value],"&gt;="&amp;$Z$2,SIP[Date Value],"&lt;="&amp;$Z$3))</f>
        <v>0</v>
      </c>
      <c r="P368" s="49">
        <v>0</v>
      </c>
      <c r="Q368" s="49">
        <v>0</v>
      </c>
      <c r="R368" s="49">
        <v>0</v>
      </c>
    </row>
    <row r="369" spans="1:18">
      <c r="A369" t="s">
        <v>786</v>
      </c>
      <c r="B369" s="47">
        <f>SUMIFS(LS[Unit],LS[Investor ID],'TAX CERTIFICATE'!A369,LS[Date Value],"&lt;"&amp;$Z$2)+SUMIFS(SIP[Unit],SIP[Investor ID],'TAX CERTIFICATE'!A369,SIP[Date Value],"&lt;"&amp;$Z$2)</f>
        <v>0</v>
      </c>
      <c r="C369" s="48">
        <f>(SUMIFS(LS[Amount],LS[B/S],"B",LS[Investor ID],A369,LS[Date Value],"&lt;"&amp;$Z$2)-SUMIFS(LS[Cost of Units Sold],LS[B/S],"S",LS[Investor ID],A369,LS[Date Value],"&lt;"&amp;$Z$2))+(SUMIFS(SIP[Amount],SIP[B/S],"B",SIP[Investor ID],#REF!,SIP[Date Value],"&lt;"&amp;$Z$2)-SUMIFS(SIP[Cost of Units Sold],SIP[B/S],"S",SIP[Investor ID],A369,SIP[Date Value],"&lt;"&amp;$Z$2))</f>
        <v>0</v>
      </c>
      <c r="D369" s="49">
        <f t="shared" si="25"/>
        <v>0</v>
      </c>
      <c r="E369" s="49">
        <f t="shared" si="26"/>
        <v>0</v>
      </c>
      <c r="F369" s="47">
        <f>SUMIFS(LS[Unit],LS[Investor ID],A369,LS[Date Value],"&lt;="&amp;$Z$3)+SUMIFS(SIP[Unit],SIP[Investor ID],A369,SIP[Date Value],"&lt;="&amp;$Z$3)</f>
        <v>0</v>
      </c>
      <c r="G369" s="49">
        <f>(SUMIFS(LS[Amount],LS[B/S],"B",LS[Investor ID],A369,LS[Date Value],"&lt;="&amp;$Z$3)-SUMIFS(LS[Cost of Units Sold],LS[B/S],"S",LS[Investor ID],A369,LS[Date Value],"&lt;="&amp;$Z$3))+(SUMIFS(SIP[Amount],SIP[B/S],"B",SIP[Investor ID],A369,SIP[Date Value],"&lt;="&amp;$Z$3)-SUMIFS(SIP[Cost of Units Sold],SIP[B/S],"S",SIP[Investor ID],A369,SIP[Date Value],"&lt;="&amp;$Z$3))</f>
        <v>0</v>
      </c>
      <c r="H369" s="49">
        <f t="shared" si="27"/>
        <v>0</v>
      </c>
      <c r="I369" s="49">
        <f t="shared" si="28"/>
        <v>0</v>
      </c>
      <c r="J369" s="47">
        <f>(SUMIFS(LS[Unit],LS[Investor ID],A369,LS[B/S],"B",LS[Date Value],"&gt;="&amp;$Z$2,LS[Date Value],"&lt;="&amp;$Z$3))+(SUMIFS(SIP[Unit],SIP[Investor ID],A369,SIP[B/S],"B",SIP[Date Value],"&gt;="&amp;$Z$2,SIP[Date Value],"&lt;="&amp;$Z$3))</f>
        <v>0</v>
      </c>
      <c r="K369" s="49">
        <f>(SUMIFS(LS[Amount],LS[Investor ID],A369,LS[B/S],"B",LS[Date Value],"&gt;="&amp;$Z$2,LS[Date Value],"&lt;="&amp;$Z$3))+(SUMIFS(SIP[Amount],SIP[Investor ID],A369,SIP[B/S],"B",SIP[Date Value],"&gt;="&amp;$Z$2,SIP[Date Value],"&lt;="&amp;$Z$3))</f>
        <v>0</v>
      </c>
      <c r="L369" s="47">
        <f>(-SUMIFS(LS[Unit],LS[Investor ID],A369,LS[B/S],"S",LS[Date Value],"&gt;="&amp;$Z$2,LS[Date Value],"&lt;="&amp;$Z$3))+(-SUMIFS(SIP[Unit],SIP[Investor ID],A369,SIP[B/S],"S",SIP[Date Value],"&gt;="&amp;$Z$2,SIP[Date Value],"&lt;="&amp;$Z$3))</f>
        <v>0</v>
      </c>
      <c r="M369" s="49">
        <f>(SUMIFS(LS[Cost of Units Sold],LS[Investor ID],A369,LS[B/S],"S",LS[Date Value],"&gt;="&amp;$Z$2,LS[Date Value],"&lt;="&amp;$Z$3))+(SUMIFS(SIP[Cost of Units Sold],SIP[Investor ID],A369,SIP[B/S],"S",SIP[Date Value],"&gt;="&amp;$Z$2,SIP[Date Value],"&lt;="&amp;$Z$3))</f>
        <v>0</v>
      </c>
      <c r="N369" s="49">
        <f t="shared" si="29"/>
        <v>0</v>
      </c>
      <c r="O369" s="49">
        <f>(SUMIFS(LS[Realized Gain],LS[Investor ID],A369,LS[Date Value],"&gt;="&amp;$Z$2,LS[Date Value],"&lt;="&amp;$Z$3))+(SUMIFS(SIP[Realized Gain],SIP[Investor ID],A369,SIP[Date Value],"&gt;="&amp;$Z$2,SIP[Date Value],"&lt;="&amp;$Z$3))</f>
        <v>0</v>
      </c>
      <c r="P369" s="49">
        <v>0</v>
      </c>
      <c r="Q369" s="49">
        <v>0</v>
      </c>
      <c r="R369" s="49">
        <v>0</v>
      </c>
    </row>
    <row r="370" spans="1:18">
      <c r="A370" t="s">
        <v>788</v>
      </c>
      <c r="B370" s="47">
        <f>SUMIFS(LS[Unit],LS[Investor ID],'TAX CERTIFICATE'!A370,LS[Date Value],"&lt;"&amp;$Z$2)+SUMIFS(SIP[Unit],SIP[Investor ID],'TAX CERTIFICATE'!A370,SIP[Date Value],"&lt;"&amp;$Z$2)</f>
        <v>0</v>
      </c>
      <c r="C370" s="48">
        <f>(SUMIFS(LS[Amount],LS[B/S],"B",LS[Investor ID],A370,LS[Date Value],"&lt;"&amp;$Z$2)-SUMIFS(LS[Cost of Units Sold],LS[B/S],"S",LS[Investor ID],A370,LS[Date Value],"&lt;"&amp;$Z$2))+(SUMIFS(SIP[Amount],SIP[B/S],"B",SIP[Investor ID],#REF!,SIP[Date Value],"&lt;"&amp;$Z$2)-SUMIFS(SIP[Cost of Units Sold],SIP[B/S],"S",SIP[Investor ID],A370,SIP[Date Value],"&lt;"&amp;$Z$2))</f>
        <v>0</v>
      </c>
      <c r="D370" s="49">
        <f t="shared" si="25"/>
        <v>0</v>
      </c>
      <c r="E370" s="49">
        <f t="shared" si="26"/>
        <v>0</v>
      </c>
      <c r="F370" s="47">
        <f>SUMIFS(LS[Unit],LS[Investor ID],A370,LS[Date Value],"&lt;="&amp;$Z$3)+SUMIFS(SIP[Unit],SIP[Investor ID],A370,SIP[Date Value],"&lt;="&amp;$Z$3)</f>
        <v>0</v>
      </c>
      <c r="G370" s="49">
        <f>(SUMIFS(LS[Amount],LS[B/S],"B",LS[Investor ID],A370,LS[Date Value],"&lt;="&amp;$Z$3)-SUMIFS(LS[Cost of Units Sold],LS[B/S],"S",LS[Investor ID],A370,LS[Date Value],"&lt;="&amp;$Z$3))+(SUMIFS(SIP[Amount],SIP[B/S],"B",SIP[Investor ID],A370,SIP[Date Value],"&lt;="&amp;$Z$3)-SUMIFS(SIP[Cost of Units Sold],SIP[B/S],"S",SIP[Investor ID],A370,SIP[Date Value],"&lt;="&amp;$Z$3))</f>
        <v>0</v>
      </c>
      <c r="H370" s="49">
        <f t="shared" si="27"/>
        <v>0</v>
      </c>
      <c r="I370" s="49">
        <f t="shared" si="28"/>
        <v>0</v>
      </c>
      <c r="J370" s="47">
        <f>(SUMIFS(LS[Unit],LS[Investor ID],A370,LS[B/S],"B",LS[Date Value],"&gt;="&amp;$Z$2,LS[Date Value],"&lt;="&amp;$Z$3))+(SUMIFS(SIP[Unit],SIP[Investor ID],A370,SIP[B/S],"B",SIP[Date Value],"&gt;="&amp;$Z$2,SIP[Date Value],"&lt;="&amp;$Z$3))</f>
        <v>0</v>
      </c>
      <c r="K370" s="49">
        <f>(SUMIFS(LS[Amount],LS[Investor ID],A370,LS[B/S],"B",LS[Date Value],"&gt;="&amp;$Z$2,LS[Date Value],"&lt;="&amp;$Z$3))+(SUMIFS(SIP[Amount],SIP[Investor ID],A370,SIP[B/S],"B",SIP[Date Value],"&gt;="&amp;$Z$2,SIP[Date Value],"&lt;="&amp;$Z$3))</f>
        <v>0</v>
      </c>
      <c r="L370" s="47">
        <f>(-SUMIFS(LS[Unit],LS[Investor ID],A370,LS[B/S],"S",LS[Date Value],"&gt;="&amp;$Z$2,LS[Date Value],"&lt;="&amp;$Z$3))+(-SUMIFS(SIP[Unit],SIP[Investor ID],A370,SIP[B/S],"S",SIP[Date Value],"&gt;="&amp;$Z$2,SIP[Date Value],"&lt;="&amp;$Z$3))</f>
        <v>0</v>
      </c>
      <c r="M370" s="49">
        <f>(SUMIFS(LS[Cost of Units Sold],LS[Investor ID],A370,LS[B/S],"S",LS[Date Value],"&gt;="&amp;$Z$2,LS[Date Value],"&lt;="&amp;$Z$3))+(SUMIFS(SIP[Cost of Units Sold],SIP[Investor ID],A370,SIP[B/S],"S",SIP[Date Value],"&gt;="&amp;$Z$2,SIP[Date Value],"&lt;="&amp;$Z$3))</f>
        <v>0</v>
      </c>
      <c r="N370" s="49">
        <f t="shared" si="29"/>
        <v>0</v>
      </c>
      <c r="O370" s="49">
        <f>(SUMIFS(LS[Realized Gain],LS[Investor ID],A370,LS[Date Value],"&gt;="&amp;$Z$2,LS[Date Value],"&lt;="&amp;$Z$3))+(SUMIFS(SIP[Realized Gain],SIP[Investor ID],A370,SIP[Date Value],"&gt;="&amp;$Z$2,SIP[Date Value],"&lt;="&amp;$Z$3))</f>
        <v>0</v>
      </c>
      <c r="P370" s="49">
        <v>0</v>
      </c>
      <c r="Q370" s="49">
        <v>0</v>
      </c>
      <c r="R370" s="49">
        <v>0</v>
      </c>
    </row>
    <row r="371" spans="1:18">
      <c r="A371" t="s">
        <v>790</v>
      </c>
      <c r="B371" s="47">
        <f>SUMIFS(LS[Unit],LS[Investor ID],'TAX CERTIFICATE'!A371,LS[Date Value],"&lt;"&amp;$Z$2)+SUMIFS(SIP[Unit],SIP[Investor ID],'TAX CERTIFICATE'!A371,SIP[Date Value],"&lt;"&amp;$Z$2)</f>
        <v>0</v>
      </c>
      <c r="C371" s="48">
        <f>(SUMIFS(LS[Amount],LS[B/S],"B",LS[Investor ID],A371,LS[Date Value],"&lt;"&amp;$Z$2)-SUMIFS(LS[Cost of Units Sold],LS[B/S],"S",LS[Investor ID],A371,LS[Date Value],"&lt;"&amp;$Z$2))+(SUMIFS(SIP[Amount],SIP[B/S],"B",SIP[Investor ID],#REF!,SIP[Date Value],"&lt;"&amp;$Z$2)-SUMIFS(SIP[Cost of Units Sold],SIP[B/S],"S",SIP[Investor ID],A371,SIP[Date Value],"&lt;"&amp;$Z$2))</f>
        <v>0</v>
      </c>
      <c r="D371" s="49">
        <f t="shared" si="25"/>
        <v>0</v>
      </c>
      <c r="E371" s="49">
        <f t="shared" si="26"/>
        <v>0</v>
      </c>
      <c r="F371" s="47">
        <f>SUMIFS(LS[Unit],LS[Investor ID],A371,LS[Date Value],"&lt;="&amp;$Z$3)+SUMIFS(SIP[Unit],SIP[Investor ID],A371,SIP[Date Value],"&lt;="&amp;$Z$3)</f>
        <v>0</v>
      </c>
      <c r="G371" s="49">
        <f>(SUMIFS(LS[Amount],LS[B/S],"B",LS[Investor ID],A371,LS[Date Value],"&lt;="&amp;$Z$3)-SUMIFS(LS[Cost of Units Sold],LS[B/S],"S",LS[Investor ID],A371,LS[Date Value],"&lt;="&amp;$Z$3))+(SUMIFS(SIP[Amount],SIP[B/S],"B",SIP[Investor ID],A371,SIP[Date Value],"&lt;="&amp;$Z$3)-SUMIFS(SIP[Cost of Units Sold],SIP[B/S],"S",SIP[Investor ID],A371,SIP[Date Value],"&lt;="&amp;$Z$3))</f>
        <v>0</v>
      </c>
      <c r="H371" s="49">
        <f t="shared" si="27"/>
        <v>0</v>
      </c>
      <c r="I371" s="49">
        <f t="shared" si="28"/>
        <v>0</v>
      </c>
      <c r="J371" s="47">
        <f>(SUMIFS(LS[Unit],LS[Investor ID],A371,LS[B/S],"B",LS[Date Value],"&gt;="&amp;$Z$2,LS[Date Value],"&lt;="&amp;$Z$3))+(SUMIFS(SIP[Unit],SIP[Investor ID],A371,SIP[B/S],"B",SIP[Date Value],"&gt;="&amp;$Z$2,SIP[Date Value],"&lt;="&amp;$Z$3))</f>
        <v>0</v>
      </c>
      <c r="K371" s="49">
        <f>(SUMIFS(LS[Amount],LS[Investor ID],A371,LS[B/S],"B",LS[Date Value],"&gt;="&amp;$Z$2,LS[Date Value],"&lt;="&amp;$Z$3))+(SUMIFS(SIP[Amount],SIP[Investor ID],A371,SIP[B/S],"B",SIP[Date Value],"&gt;="&amp;$Z$2,SIP[Date Value],"&lt;="&amp;$Z$3))</f>
        <v>0</v>
      </c>
      <c r="L371" s="47">
        <f>(-SUMIFS(LS[Unit],LS[Investor ID],A371,LS[B/S],"S",LS[Date Value],"&gt;="&amp;$Z$2,LS[Date Value],"&lt;="&amp;$Z$3))+(-SUMIFS(SIP[Unit],SIP[Investor ID],A371,SIP[B/S],"S",SIP[Date Value],"&gt;="&amp;$Z$2,SIP[Date Value],"&lt;="&amp;$Z$3))</f>
        <v>0</v>
      </c>
      <c r="M371" s="49">
        <f>(SUMIFS(LS[Cost of Units Sold],LS[Investor ID],A371,LS[B/S],"S",LS[Date Value],"&gt;="&amp;$Z$2,LS[Date Value],"&lt;="&amp;$Z$3))+(SUMIFS(SIP[Cost of Units Sold],SIP[Investor ID],A371,SIP[B/S],"S",SIP[Date Value],"&gt;="&amp;$Z$2,SIP[Date Value],"&lt;="&amp;$Z$3))</f>
        <v>0</v>
      </c>
      <c r="N371" s="49">
        <f t="shared" si="29"/>
        <v>0</v>
      </c>
      <c r="O371" s="49">
        <f>(SUMIFS(LS[Realized Gain],LS[Investor ID],A371,LS[Date Value],"&gt;="&amp;$Z$2,LS[Date Value],"&lt;="&amp;$Z$3))+(SUMIFS(SIP[Realized Gain],SIP[Investor ID],A371,SIP[Date Value],"&gt;="&amp;$Z$2,SIP[Date Value],"&lt;="&amp;$Z$3))</f>
        <v>0</v>
      </c>
      <c r="P371" s="49">
        <v>0</v>
      </c>
      <c r="Q371" s="49">
        <v>0</v>
      </c>
      <c r="R371" s="49">
        <v>0</v>
      </c>
    </row>
    <row r="372" spans="1:18">
      <c r="A372" t="s">
        <v>792</v>
      </c>
      <c r="B372" s="47">
        <f>SUMIFS(LS[Unit],LS[Investor ID],'TAX CERTIFICATE'!A372,LS[Date Value],"&lt;"&amp;$Z$2)+SUMIFS(SIP[Unit],SIP[Investor ID],'TAX CERTIFICATE'!A372,SIP[Date Value],"&lt;"&amp;$Z$2)</f>
        <v>0</v>
      </c>
      <c r="C372" s="48">
        <f>(SUMIFS(LS[Amount],LS[B/S],"B",LS[Investor ID],A372,LS[Date Value],"&lt;"&amp;$Z$2)-SUMIFS(LS[Cost of Units Sold],LS[B/S],"S",LS[Investor ID],A372,LS[Date Value],"&lt;"&amp;$Z$2))+(SUMIFS(SIP[Amount],SIP[B/S],"B",SIP[Investor ID],#REF!,SIP[Date Value],"&lt;"&amp;$Z$2)-SUMIFS(SIP[Cost of Units Sold],SIP[B/S],"S",SIP[Investor ID],A372,SIP[Date Value],"&lt;"&amp;$Z$2))</f>
        <v>0</v>
      </c>
      <c r="D372" s="49">
        <f t="shared" si="25"/>
        <v>0</v>
      </c>
      <c r="E372" s="49">
        <f t="shared" si="26"/>
        <v>0</v>
      </c>
      <c r="F372" s="47">
        <f>SUMIFS(LS[Unit],LS[Investor ID],A372,LS[Date Value],"&lt;="&amp;$Z$3)+SUMIFS(SIP[Unit],SIP[Investor ID],A372,SIP[Date Value],"&lt;="&amp;$Z$3)</f>
        <v>0</v>
      </c>
      <c r="G372" s="49">
        <f>(SUMIFS(LS[Amount],LS[B/S],"B",LS[Investor ID],A372,LS[Date Value],"&lt;="&amp;$Z$3)-SUMIFS(LS[Cost of Units Sold],LS[B/S],"S",LS[Investor ID],A372,LS[Date Value],"&lt;="&amp;$Z$3))+(SUMIFS(SIP[Amount],SIP[B/S],"B",SIP[Investor ID],A372,SIP[Date Value],"&lt;="&amp;$Z$3)-SUMIFS(SIP[Cost of Units Sold],SIP[B/S],"S",SIP[Investor ID],A372,SIP[Date Value],"&lt;="&amp;$Z$3))</f>
        <v>0</v>
      </c>
      <c r="H372" s="49">
        <f t="shared" si="27"/>
        <v>0</v>
      </c>
      <c r="I372" s="49">
        <f t="shared" si="28"/>
        <v>0</v>
      </c>
      <c r="J372" s="47">
        <f>(SUMIFS(LS[Unit],LS[Investor ID],A372,LS[B/S],"B",LS[Date Value],"&gt;="&amp;$Z$2,LS[Date Value],"&lt;="&amp;$Z$3))+(SUMIFS(SIP[Unit],SIP[Investor ID],A372,SIP[B/S],"B",SIP[Date Value],"&gt;="&amp;$Z$2,SIP[Date Value],"&lt;="&amp;$Z$3))</f>
        <v>0</v>
      </c>
      <c r="K372" s="49">
        <f>(SUMIFS(LS[Amount],LS[Investor ID],A372,LS[B/S],"B",LS[Date Value],"&gt;="&amp;$Z$2,LS[Date Value],"&lt;="&amp;$Z$3))+(SUMIFS(SIP[Amount],SIP[Investor ID],A372,SIP[B/S],"B",SIP[Date Value],"&gt;="&amp;$Z$2,SIP[Date Value],"&lt;="&amp;$Z$3))</f>
        <v>0</v>
      </c>
      <c r="L372" s="47">
        <f>(-SUMIFS(LS[Unit],LS[Investor ID],A372,LS[B/S],"S",LS[Date Value],"&gt;="&amp;$Z$2,LS[Date Value],"&lt;="&amp;$Z$3))+(-SUMIFS(SIP[Unit],SIP[Investor ID],A372,SIP[B/S],"S",SIP[Date Value],"&gt;="&amp;$Z$2,SIP[Date Value],"&lt;="&amp;$Z$3))</f>
        <v>0</v>
      </c>
      <c r="M372" s="49">
        <f>(SUMIFS(LS[Cost of Units Sold],LS[Investor ID],A372,LS[B/S],"S",LS[Date Value],"&gt;="&amp;$Z$2,LS[Date Value],"&lt;="&amp;$Z$3))+(SUMIFS(SIP[Cost of Units Sold],SIP[Investor ID],A372,SIP[B/S],"S",SIP[Date Value],"&gt;="&amp;$Z$2,SIP[Date Value],"&lt;="&amp;$Z$3))</f>
        <v>0</v>
      </c>
      <c r="N372" s="49">
        <f t="shared" si="29"/>
        <v>0</v>
      </c>
      <c r="O372" s="49">
        <f>(SUMIFS(LS[Realized Gain],LS[Investor ID],A372,LS[Date Value],"&gt;="&amp;$Z$2,LS[Date Value],"&lt;="&amp;$Z$3))+(SUMIFS(SIP[Realized Gain],SIP[Investor ID],A372,SIP[Date Value],"&gt;="&amp;$Z$2,SIP[Date Value],"&lt;="&amp;$Z$3))</f>
        <v>0</v>
      </c>
      <c r="P372" s="49">
        <v>0</v>
      </c>
      <c r="Q372" s="49">
        <v>0</v>
      </c>
      <c r="R372" s="49">
        <v>0</v>
      </c>
    </row>
    <row r="373" spans="1:18">
      <c r="A373" t="s">
        <v>794</v>
      </c>
      <c r="B373" s="47">
        <f>SUMIFS(LS[Unit],LS[Investor ID],'TAX CERTIFICATE'!A373,LS[Date Value],"&lt;"&amp;$Z$2)+SUMIFS(SIP[Unit],SIP[Investor ID],'TAX CERTIFICATE'!A373,SIP[Date Value],"&lt;"&amp;$Z$2)</f>
        <v>0</v>
      </c>
      <c r="C373" s="48">
        <f>(SUMIFS(LS[Amount],LS[B/S],"B",LS[Investor ID],A373,LS[Date Value],"&lt;"&amp;$Z$2)-SUMIFS(LS[Cost of Units Sold],LS[B/S],"S",LS[Investor ID],A373,LS[Date Value],"&lt;"&amp;$Z$2))+(SUMIFS(SIP[Amount],SIP[B/S],"B",SIP[Investor ID],#REF!,SIP[Date Value],"&lt;"&amp;$Z$2)-SUMIFS(SIP[Cost of Units Sold],SIP[B/S],"S",SIP[Investor ID],A373,SIP[Date Value],"&lt;"&amp;$Z$2))</f>
        <v>0</v>
      </c>
      <c r="D373" s="49">
        <f t="shared" si="25"/>
        <v>0</v>
      </c>
      <c r="E373" s="49">
        <f t="shared" si="26"/>
        <v>0</v>
      </c>
      <c r="F373" s="47">
        <f>SUMIFS(LS[Unit],LS[Investor ID],A373,LS[Date Value],"&lt;="&amp;$Z$3)+SUMIFS(SIP[Unit],SIP[Investor ID],A373,SIP[Date Value],"&lt;="&amp;$Z$3)</f>
        <v>0</v>
      </c>
      <c r="G373" s="49">
        <f>(SUMIFS(LS[Amount],LS[B/S],"B",LS[Investor ID],A373,LS[Date Value],"&lt;="&amp;$Z$3)-SUMIFS(LS[Cost of Units Sold],LS[B/S],"S",LS[Investor ID],A373,LS[Date Value],"&lt;="&amp;$Z$3))+(SUMIFS(SIP[Amount],SIP[B/S],"B",SIP[Investor ID],A373,SIP[Date Value],"&lt;="&amp;$Z$3)-SUMIFS(SIP[Cost of Units Sold],SIP[B/S],"S",SIP[Investor ID],A373,SIP[Date Value],"&lt;="&amp;$Z$3))</f>
        <v>0</v>
      </c>
      <c r="H373" s="49">
        <f t="shared" si="27"/>
        <v>0</v>
      </c>
      <c r="I373" s="49">
        <f t="shared" si="28"/>
        <v>0</v>
      </c>
      <c r="J373" s="47">
        <f>(SUMIFS(LS[Unit],LS[Investor ID],A373,LS[B/S],"B",LS[Date Value],"&gt;="&amp;$Z$2,LS[Date Value],"&lt;="&amp;$Z$3))+(SUMIFS(SIP[Unit],SIP[Investor ID],A373,SIP[B/S],"B",SIP[Date Value],"&gt;="&amp;$Z$2,SIP[Date Value],"&lt;="&amp;$Z$3))</f>
        <v>0</v>
      </c>
      <c r="K373" s="49">
        <f>(SUMIFS(LS[Amount],LS[Investor ID],A373,LS[B/S],"B",LS[Date Value],"&gt;="&amp;$Z$2,LS[Date Value],"&lt;="&amp;$Z$3))+(SUMIFS(SIP[Amount],SIP[Investor ID],A373,SIP[B/S],"B",SIP[Date Value],"&gt;="&amp;$Z$2,SIP[Date Value],"&lt;="&amp;$Z$3))</f>
        <v>0</v>
      </c>
      <c r="L373" s="47">
        <f>(-SUMIFS(LS[Unit],LS[Investor ID],A373,LS[B/S],"S",LS[Date Value],"&gt;="&amp;$Z$2,LS[Date Value],"&lt;="&amp;$Z$3))+(-SUMIFS(SIP[Unit],SIP[Investor ID],A373,SIP[B/S],"S",SIP[Date Value],"&gt;="&amp;$Z$2,SIP[Date Value],"&lt;="&amp;$Z$3))</f>
        <v>0</v>
      </c>
      <c r="M373" s="49">
        <f>(SUMIFS(LS[Cost of Units Sold],LS[Investor ID],A373,LS[B/S],"S",LS[Date Value],"&gt;="&amp;$Z$2,LS[Date Value],"&lt;="&amp;$Z$3))+(SUMIFS(SIP[Cost of Units Sold],SIP[Investor ID],A373,SIP[B/S],"S",SIP[Date Value],"&gt;="&amp;$Z$2,SIP[Date Value],"&lt;="&amp;$Z$3))</f>
        <v>0</v>
      </c>
      <c r="N373" s="49">
        <f t="shared" si="29"/>
        <v>0</v>
      </c>
      <c r="O373" s="49">
        <f>(SUMIFS(LS[Realized Gain],LS[Investor ID],A373,LS[Date Value],"&gt;="&amp;$Z$2,LS[Date Value],"&lt;="&amp;$Z$3))+(SUMIFS(SIP[Realized Gain],SIP[Investor ID],A373,SIP[Date Value],"&gt;="&amp;$Z$2,SIP[Date Value],"&lt;="&amp;$Z$3))</f>
        <v>0</v>
      </c>
      <c r="P373" s="49">
        <v>0</v>
      </c>
      <c r="Q373" s="49">
        <v>0</v>
      </c>
      <c r="R373" s="49">
        <v>0</v>
      </c>
    </row>
    <row r="374" spans="1:18">
      <c r="A374" t="s">
        <v>796</v>
      </c>
      <c r="B374" s="47">
        <f>SUMIFS(LS[Unit],LS[Investor ID],'TAX CERTIFICATE'!A374,LS[Date Value],"&lt;"&amp;$Z$2)+SUMIFS(SIP[Unit],SIP[Investor ID],'TAX CERTIFICATE'!A374,SIP[Date Value],"&lt;"&amp;$Z$2)</f>
        <v>0</v>
      </c>
      <c r="C374" s="48">
        <f>(SUMIFS(LS[Amount],LS[B/S],"B",LS[Investor ID],A374,LS[Date Value],"&lt;"&amp;$Z$2)-SUMIFS(LS[Cost of Units Sold],LS[B/S],"S",LS[Investor ID],A374,LS[Date Value],"&lt;"&amp;$Z$2))+(SUMIFS(SIP[Amount],SIP[B/S],"B",SIP[Investor ID],#REF!,SIP[Date Value],"&lt;"&amp;$Z$2)-SUMIFS(SIP[Cost of Units Sold],SIP[B/S],"S",SIP[Investor ID],A374,SIP[Date Value],"&lt;"&amp;$Z$2))</f>
        <v>0</v>
      </c>
      <c r="D374" s="49">
        <f t="shared" si="25"/>
        <v>0</v>
      </c>
      <c r="E374" s="49">
        <f t="shared" si="26"/>
        <v>0</v>
      </c>
      <c r="F374" s="47">
        <f>SUMIFS(LS[Unit],LS[Investor ID],A374,LS[Date Value],"&lt;="&amp;$Z$3)+SUMIFS(SIP[Unit],SIP[Investor ID],A374,SIP[Date Value],"&lt;="&amp;$Z$3)</f>
        <v>0</v>
      </c>
      <c r="G374" s="49">
        <f>(SUMIFS(LS[Amount],LS[B/S],"B",LS[Investor ID],A374,LS[Date Value],"&lt;="&amp;$Z$3)-SUMIFS(LS[Cost of Units Sold],LS[B/S],"S",LS[Investor ID],A374,LS[Date Value],"&lt;="&amp;$Z$3))+(SUMIFS(SIP[Amount],SIP[B/S],"B",SIP[Investor ID],A374,SIP[Date Value],"&lt;="&amp;$Z$3)-SUMIFS(SIP[Cost of Units Sold],SIP[B/S],"S",SIP[Investor ID],A374,SIP[Date Value],"&lt;="&amp;$Z$3))</f>
        <v>0</v>
      </c>
      <c r="H374" s="49">
        <f t="shared" si="27"/>
        <v>0</v>
      </c>
      <c r="I374" s="49">
        <f t="shared" si="28"/>
        <v>0</v>
      </c>
      <c r="J374" s="47">
        <f>(SUMIFS(LS[Unit],LS[Investor ID],A374,LS[B/S],"B",LS[Date Value],"&gt;="&amp;$Z$2,LS[Date Value],"&lt;="&amp;$Z$3))+(SUMIFS(SIP[Unit],SIP[Investor ID],A374,SIP[B/S],"B",SIP[Date Value],"&gt;="&amp;$Z$2,SIP[Date Value],"&lt;="&amp;$Z$3))</f>
        <v>0</v>
      </c>
      <c r="K374" s="49">
        <f>(SUMIFS(LS[Amount],LS[Investor ID],A374,LS[B/S],"B",LS[Date Value],"&gt;="&amp;$Z$2,LS[Date Value],"&lt;="&amp;$Z$3))+(SUMIFS(SIP[Amount],SIP[Investor ID],A374,SIP[B/S],"B",SIP[Date Value],"&gt;="&amp;$Z$2,SIP[Date Value],"&lt;="&amp;$Z$3))</f>
        <v>0</v>
      </c>
      <c r="L374" s="47">
        <f>(-SUMIFS(LS[Unit],LS[Investor ID],A374,LS[B/S],"S",LS[Date Value],"&gt;="&amp;$Z$2,LS[Date Value],"&lt;="&amp;$Z$3))+(-SUMIFS(SIP[Unit],SIP[Investor ID],A374,SIP[B/S],"S",SIP[Date Value],"&gt;="&amp;$Z$2,SIP[Date Value],"&lt;="&amp;$Z$3))</f>
        <v>0</v>
      </c>
      <c r="M374" s="49">
        <f>(SUMIFS(LS[Cost of Units Sold],LS[Investor ID],A374,LS[B/S],"S",LS[Date Value],"&gt;="&amp;$Z$2,LS[Date Value],"&lt;="&amp;$Z$3))+(SUMIFS(SIP[Cost of Units Sold],SIP[Investor ID],A374,SIP[B/S],"S",SIP[Date Value],"&gt;="&amp;$Z$2,SIP[Date Value],"&lt;="&amp;$Z$3))</f>
        <v>0</v>
      </c>
      <c r="N374" s="49">
        <f t="shared" si="29"/>
        <v>0</v>
      </c>
      <c r="O374" s="49">
        <f>(SUMIFS(LS[Realized Gain],LS[Investor ID],A374,LS[Date Value],"&gt;="&amp;$Z$2,LS[Date Value],"&lt;="&amp;$Z$3))+(SUMIFS(SIP[Realized Gain],SIP[Investor ID],A374,SIP[Date Value],"&gt;="&amp;$Z$2,SIP[Date Value],"&lt;="&amp;$Z$3))</f>
        <v>0</v>
      </c>
      <c r="P374" s="49">
        <v>0</v>
      </c>
      <c r="Q374" s="49">
        <v>0</v>
      </c>
      <c r="R374" s="49">
        <v>0</v>
      </c>
    </row>
    <row r="375" spans="1:18">
      <c r="A375" t="s">
        <v>798</v>
      </c>
      <c r="B375" s="47">
        <f>SUMIFS(LS[Unit],LS[Investor ID],'TAX CERTIFICATE'!A375,LS[Date Value],"&lt;"&amp;$Z$2)+SUMIFS(SIP[Unit],SIP[Investor ID],'TAX CERTIFICATE'!A375,SIP[Date Value],"&lt;"&amp;$Z$2)</f>
        <v>0</v>
      </c>
      <c r="C375" s="48">
        <f>(SUMIFS(LS[Amount],LS[B/S],"B",LS[Investor ID],A375,LS[Date Value],"&lt;"&amp;$Z$2)-SUMIFS(LS[Cost of Units Sold],LS[B/S],"S",LS[Investor ID],A375,LS[Date Value],"&lt;"&amp;$Z$2))+(SUMIFS(SIP[Amount],SIP[B/S],"B",SIP[Investor ID],#REF!,SIP[Date Value],"&lt;"&amp;$Z$2)-SUMIFS(SIP[Cost of Units Sold],SIP[B/S],"S",SIP[Investor ID],A375,SIP[Date Value],"&lt;"&amp;$Z$2))</f>
        <v>0</v>
      </c>
      <c r="D375" s="49">
        <f t="shared" si="25"/>
        <v>0</v>
      </c>
      <c r="E375" s="49">
        <f t="shared" si="26"/>
        <v>0</v>
      </c>
      <c r="F375" s="47">
        <f>SUMIFS(LS[Unit],LS[Investor ID],A375,LS[Date Value],"&lt;="&amp;$Z$3)+SUMIFS(SIP[Unit],SIP[Investor ID],A375,SIP[Date Value],"&lt;="&amp;$Z$3)</f>
        <v>0</v>
      </c>
      <c r="G375" s="49">
        <f>(SUMIFS(LS[Amount],LS[B/S],"B",LS[Investor ID],A375,LS[Date Value],"&lt;="&amp;$Z$3)-SUMIFS(LS[Cost of Units Sold],LS[B/S],"S",LS[Investor ID],A375,LS[Date Value],"&lt;="&amp;$Z$3))+(SUMIFS(SIP[Amount],SIP[B/S],"B",SIP[Investor ID],A375,SIP[Date Value],"&lt;="&amp;$Z$3)-SUMIFS(SIP[Cost of Units Sold],SIP[B/S],"S",SIP[Investor ID],A375,SIP[Date Value],"&lt;="&amp;$Z$3))</f>
        <v>0</v>
      </c>
      <c r="H375" s="49">
        <f t="shared" si="27"/>
        <v>0</v>
      </c>
      <c r="I375" s="49">
        <f t="shared" si="28"/>
        <v>0</v>
      </c>
      <c r="J375" s="47">
        <f>(SUMIFS(LS[Unit],LS[Investor ID],A375,LS[B/S],"B",LS[Date Value],"&gt;="&amp;$Z$2,LS[Date Value],"&lt;="&amp;$Z$3))+(SUMIFS(SIP[Unit],SIP[Investor ID],A375,SIP[B/S],"B",SIP[Date Value],"&gt;="&amp;$Z$2,SIP[Date Value],"&lt;="&amp;$Z$3))</f>
        <v>0</v>
      </c>
      <c r="K375" s="49">
        <f>(SUMIFS(LS[Amount],LS[Investor ID],A375,LS[B/S],"B",LS[Date Value],"&gt;="&amp;$Z$2,LS[Date Value],"&lt;="&amp;$Z$3))+(SUMIFS(SIP[Amount],SIP[Investor ID],A375,SIP[B/S],"B",SIP[Date Value],"&gt;="&amp;$Z$2,SIP[Date Value],"&lt;="&amp;$Z$3))</f>
        <v>0</v>
      </c>
      <c r="L375" s="47">
        <f>(-SUMIFS(LS[Unit],LS[Investor ID],A375,LS[B/S],"S",LS[Date Value],"&gt;="&amp;$Z$2,LS[Date Value],"&lt;="&amp;$Z$3))+(-SUMIFS(SIP[Unit],SIP[Investor ID],A375,SIP[B/S],"S",SIP[Date Value],"&gt;="&amp;$Z$2,SIP[Date Value],"&lt;="&amp;$Z$3))</f>
        <v>0</v>
      </c>
      <c r="M375" s="49">
        <f>(SUMIFS(LS[Cost of Units Sold],LS[Investor ID],A375,LS[B/S],"S",LS[Date Value],"&gt;="&amp;$Z$2,LS[Date Value],"&lt;="&amp;$Z$3))+(SUMIFS(SIP[Cost of Units Sold],SIP[Investor ID],A375,SIP[B/S],"S",SIP[Date Value],"&gt;="&amp;$Z$2,SIP[Date Value],"&lt;="&amp;$Z$3))</f>
        <v>0</v>
      </c>
      <c r="N375" s="49">
        <f t="shared" si="29"/>
        <v>0</v>
      </c>
      <c r="O375" s="49">
        <f>(SUMIFS(LS[Realized Gain],LS[Investor ID],A375,LS[Date Value],"&gt;="&amp;$Z$2,LS[Date Value],"&lt;="&amp;$Z$3))+(SUMIFS(SIP[Realized Gain],SIP[Investor ID],A375,SIP[Date Value],"&gt;="&amp;$Z$2,SIP[Date Value],"&lt;="&amp;$Z$3))</f>
        <v>0</v>
      </c>
      <c r="P375" s="49">
        <v>0</v>
      </c>
      <c r="Q375" s="49">
        <v>0</v>
      </c>
      <c r="R375" s="49">
        <v>0</v>
      </c>
    </row>
    <row r="376" spans="1:18">
      <c r="A376" t="s">
        <v>800</v>
      </c>
      <c r="B376" s="47">
        <f>SUMIFS(LS[Unit],LS[Investor ID],'TAX CERTIFICATE'!A376,LS[Date Value],"&lt;"&amp;$Z$2)+SUMIFS(SIP[Unit],SIP[Investor ID],'TAX CERTIFICATE'!A376,SIP[Date Value],"&lt;"&amp;$Z$2)</f>
        <v>0</v>
      </c>
      <c r="C376" s="48">
        <f>(SUMIFS(LS[Amount],LS[B/S],"B",LS[Investor ID],A376,LS[Date Value],"&lt;"&amp;$Z$2)-SUMIFS(LS[Cost of Units Sold],LS[B/S],"S",LS[Investor ID],A376,LS[Date Value],"&lt;"&amp;$Z$2))+(SUMIFS(SIP[Amount],SIP[B/S],"B",SIP[Investor ID],#REF!,SIP[Date Value],"&lt;"&amp;$Z$2)-SUMIFS(SIP[Cost of Units Sold],SIP[B/S],"S",SIP[Investor ID],A376,SIP[Date Value],"&lt;"&amp;$Z$2))</f>
        <v>0</v>
      </c>
      <c r="D376" s="49">
        <f t="shared" si="25"/>
        <v>0</v>
      </c>
      <c r="E376" s="49">
        <f t="shared" si="26"/>
        <v>0</v>
      </c>
      <c r="F376" s="47">
        <f>SUMIFS(LS[Unit],LS[Investor ID],A376,LS[Date Value],"&lt;="&amp;$Z$3)+SUMIFS(SIP[Unit],SIP[Investor ID],A376,SIP[Date Value],"&lt;="&amp;$Z$3)</f>
        <v>28896</v>
      </c>
      <c r="G376" s="49">
        <f>(SUMIFS(LS[Amount],LS[B/S],"B",LS[Investor ID],A376,LS[Date Value],"&lt;="&amp;$Z$3)-SUMIFS(LS[Cost of Units Sold],LS[B/S],"S",LS[Investor ID],A376,LS[Date Value],"&lt;="&amp;$Z$3))+(SUMIFS(SIP[Amount],SIP[B/S],"B",SIP[Investor ID],A376,SIP[Date Value],"&lt;="&amp;$Z$3)-SUMIFS(SIP[Cost of Units Sold],SIP[B/S],"S",SIP[Investor ID],A376,SIP[Date Value],"&lt;="&amp;$Z$3))</f>
        <v>300000</v>
      </c>
      <c r="H376" s="49">
        <f t="shared" si="27"/>
        <v>322594.94400000002</v>
      </c>
      <c r="I376" s="49">
        <f t="shared" si="28"/>
        <v>22594.944000000018</v>
      </c>
      <c r="J376" s="47">
        <f>(SUMIFS(LS[Unit],LS[Investor ID],A376,LS[B/S],"B",LS[Date Value],"&gt;="&amp;$Z$2,LS[Date Value],"&lt;="&amp;$Z$3))+(SUMIFS(SIP[Unit],SIP[Investor ID],A376,SIP[B/S],"B",SIP[Date Value],"&gt;="&amp;$Z$2,SIP[Date Value],"&lt;="&amp;$Z$3))</f>
        <v>28896</v>
      </c>
      <c r="K376" s="49">
        <f>(SUMIFS(LS[Amount],LS[Investor ID],A376,LS[B/S],"B",LS[Date Value],"&gt;="&amp;$Z$2,LS[Date Value],"&lt;="&amp;$Z$3))+(SUMIFS(SIP[Amount],SIP[Investor ID],A376,SIP[B/S],"B",SIP[Date Value],"&gt;="&amp;$Z$2,SIP[Date Value],"&lt;="&amp;$Z$3))</f>
        <v>300000</v>
      </c>
      <c r="L376" s="47">
        <f>(-SUMIFS(LS[Unit],LS[Investor ID],A376,LS[B/S],"S",LS[Date Value],"&gt;="&amp;$Z$2,LS[Date Value],"&lt;="&amp;$Z$3))+(-SUMIFS(SIP[Unit],SIP[Investor ID],A376,SIP[B/S],"S",SIP[Date Value],"&gt;="&amp;$Z$2,SIP[Date Value],"&lt;="&amp;$Z$3))</f>
        <v>0</v>
      </c>
      <c r="M376" s="49">
        <f>(SUMIFS(LS[Cost of Units Sold],LS[Investor ID],A376,LS[B/S],"S",LS[Date Value],"&gt;="&amp;$Z$2,LS[Date Value],"&lt;="&amp;$Z$3))+(SUMIFS(SIP[Cost of Units Sold],SIP[Investor ID],A376,SIP[B/S],"S",SIP[Date Value],"&gt;="&amp;$Z$2,SIP[Date Value],"&lt;="&amp;$Z$3))</f>
        <v>0</v>
      </c>
      <c r="N376" s="49">
        <f t="shared" si="29"/>
        <v>300000</v>
      </c>
      <c r="O376" s="49">
        <f>(SUMIFS(LS[Realized Gain],LS[Investor ID],A376,LS[Date Value],"&gt;="&amp;$Z$2,LS[Date Value],"&lt;="&amp;$Z$3))+(SUMIFS(SIP[Realized Gain],SIP[Investor ID],A376,SIP[Date Value],"&gt;="&amp;$Z$2,SIP[Date Value],"&lt;="&amp;$Z$3))</f>
        <v>0</v>
      </c>
      <c r="P376" s="49">
        <v>0</v>
      </c>
      <c r="Q376" s="49">
        <v>0</v>
      </c>
      <c r="R376" s="49">
        <v>0</v>
      </c>
    </row>
    <row r="377" spans="1:18">
      <c r="A377" t="s">
        <v>802</v>
      </c>
      <c r="B377" s="47">
        <f>SUMIFS(LS[Unit],LS[Investor ID],'TAX CERTIFICATE'!A377,LS[Date Value],"&lt;"&amp;$Z$2)+SUMIFS(SIP[Unit],SIP[Investor ID],'TAX CERTIFICATE'!A377,SIP[Date Value],"&lt;"&amp;$Z$2)</f>
        <v>0</v>
      </c>
      <c r="C377" s="48">
        <f>(SUMIFS(LS[Amount],LS[B/S],"B",LS[Investor ID],A377,LS[Date Value],"&lt;"&amp;$Z$2)-SUMIFS(LS[Cost of Units Sold],LS[B/S],"S",LS[Investor ID],A377,LS[Date Value],"&lt;"&amp;$Z$2))+(SUMIFS(SIP[Amount],SIP[B/S],"B",SIP[Investor ID],#REF!,SIP[Date Value],"&lt;"&amp;$Z$2)-SUMIFS(SIP[Cost of Units Sold],SIP[B/S],"S",SIP[Investor ID],A377,SIP[Date Value],"&lt;"&amp;$Z$2))</f>
        <v>0</v>
      </c>
      <c r="D377" s="49">
        <f t="shared" si="25"/>
        <v>0</v>
      </c>
      <c r="E377" s="49">
        <f t="shared" si="26"/>
        <v>0</v>
      </c>
      <c r="F377" s="47">
        <f>SUMIFS(LS[Unit],LS[Investor ID],A377,LS[Date Value],"&lt;="&amp;$Z$3)+SUMIFS(SIP[Unit],SIP[Investor ID],A377,SIP[Date Value],"&lt;="&amp;$Z$3)</f>
        <v>0</v>
      </c>
      <c r="G377" s="49">
        <f>(SUMIFS(LS[Amount],LS[B/S],"B",LS[Investor ID],A377,LS[Date Value],"&lt;="&amp;$Z$3)-SUMIFS(LS[Cost of Units Sold],LS[B/S],"S",LS[Investor ID],A377,LS[Date Value],"&lt;="&amp;$Z$3))+(SUMIFS(SIP[Amount],SIP[B/S],"B",SIP[Investor ID],A377,SIP[Date Value],"&lt;="&amp;$Z$3)-SUMIFS(SIP[Cost of Units Sold],SIP[B/S],"S",SIP[Investor ID],A377,SIP[Date Value],"&lt;="&amp;$Z$3))</f>
        <v>0</v>
      </c>
      <c r="H377" s="49">
        <f t="shared" si="27"/>
        <v>0</v>
      </c>
      <c r="I377" s="49">
        <f t="shared" si="28"/>
        <v>0</v>
      </c>
      <c r="J377" s="47">
        <f>(SUMIFS(LS[Unit],LS[Investor ID],A377,LS[B/S],"B",LS[Date Value],"&gt;="&amp;$Z$2,LS[Date Value],"&lt;="&amp;$Z$3))+(SUMIFS(SIP[Unit],SIP[Investor ID],A377,SIP[B/S],"B",SIP[Date Value],"&gt;="&amp;$Z$2,SIP[Date Value],"&lt;="&amp;$Z$3))</f>
        <v>0</v>
      </c>
      <c r="K377" s="49">
        <f>(SUMIFS(LS[Amount],LS[Investor ID],A377,LS[B/S],"B",LS[Date Value],"&gt;="&amp;$Z$2,LS[Date Value],"&lt;="&amp;$Z$3))+(SUMIFS(SIP[Amount],SIP[Investor ID],A377,SIP[B/S],"B",SIP[Date Value],"&gt;="&amp;$Z$2,SIP[Date Value],"&lt;="&amp;$Z$3))</f>
        <v>0</v>
      </c>
      <c r="L377" s="47">
        <f>(-SUMIFS(LS[Unit],LS[Investor ID],A377,LS[B/S],"S",LS[Date Value],"&gt;="&amp;$Z$2,LS[Date Value],"&lt;="&amp;$Z$3))+(-SUMIFS(SIP[Unit],SIP[Investor ID],A377,SIP[B/S],"S",SIP[Date Value],"&gt;="&amp;$Z$2,SIP[Date Value],"&lt;="&amp;$Z$3))</f>
        <v>0</v>
      </c>
      <c r="M377" s="49">
        <f>(SUMIFS(LS[Cost of Units Sold],LS[Investor ID],A377,LS[B/S],"S",LS[Date Value],"&gt;="&amp;$Z$2,LS[Date Value],"&lt;="&amp;$Z$3))+(SUMIFS(SIP[Cost of Units Sold],SIP[Investor ID],A377,SIP[B/S],"S",SIP[Date Value],"&gt;="&amp;$Z$2,SIP[Date Value],"&lt;="&amp;$Z$3))</f>
        <v>0</v>
      </c>
      <c r="N377" s="49">
        <f t="shared" si="29"/>
        <v>0</v>
      </c>
      <c r="O377" s="49">
        <f>(SUMIFS(LS[Realized Gain],LS[Investor ID],A377,LS[Date Value],"&gt;="&amp;$Z$2,LS[Date Value],"&lt;="&amp;$Z$3))+(SUMIFS(SIP[Realized Gain],SIP[Investor ID],A377,SIP[Date Value],"&gt;="&amp;$Z$2,SIP[Date Value],"&lt;="&amp;$Z$3))</f>
        <v>0</v>
      </c>
      <c r="P377" s="49">
        <v>0</v>
      </c>
      <c r="Q377" s="49">
        <v>0</v>
      </c>
      <c r="R377" s="49">
        <v>0</v>
      </c>
    </row>
    <row r="378" spans="1:18">
      <c r="A378" t="s">
        <v>804</v>
      </c>
      <c r="B378" s="47">
        <f>SUMIFS(LS[Unit],LS[Investor ID],'TAX CERTIFICATE'!A378,LS[Date Value],"&lt;"&amp;$Z$2)+SUMIFS(SIP[Unit],SIP[Investor ID],'TAX CERTIFICATE'!A378,SIP[Date Value],"&lt;"&amp;$Z$2)</f>
        <v>0</v>
      </c>
      <c r="C378" s="48">
        <f>(SUMIFS(LS[Amount],LS[B/S],"B",LS[Investor ID],A378,LS[Date Value],"&lt;"&amp;$Z$2)-SUMIFS(LS[Cost of Units Sold],LS[B/S],"S",LS[Investor ID],A378,LS[Date Value],"&lt;"&amp;$Z$2))+(SUMIFS(SIP[Amount],SIP[B/S],"B",SIP[Investor ID],#REF!,SIP[Date Value],"&lt;"&amp;$Z$2)-SUMIFS(SIP[Cost of Units Sold],SIP[B/S],"S",SIP[Investor ID],A378,SIP[Date Value],"&lt;"&amp;$Z$2))</f>
        <v>0</v>
      </c>
      <c r="D378" s="49">
        <f t="shared" si="25"/>
        <v>0</v>
      </c>
      <c r="E378" s="49">
        <f t="shared" si="26"/>
        <v>0</v>
      </c>
      <c r="F378" s="47">
        <f>SUMIFS(LS[Unit],LS[Investor ID],A378,LS[Date Value],"&lt;="&amp;$Z$3)+SUMIFS(SIP[Unit],SIP[Investor ID],A378,SIP[Date Value],"&lt;="&amp;$Z$3)</f>
        <v>0</v>
      </c>
      <c r="G378" s="49">
        <f>(SUMIFS(LS[Amount],LS[B/S],"B",LS[Investor ID],A378,LS[Date Value],"&lt;="&amp;$Z$3)-SUMIFS(LS[Cost of Units Sold],LS[B/S],"S",LS[Investor ID],A378,LS[Date Value],"&lt;="&amp;$Z$3))+(SUMIFS(SIP[Amount],SIP[B/S],"B",SIP[Investor ID],A378,SIP[Date Value],"&lt;="&amp;$Z$3)-SUMIFS(SIP[Cost of Units Sold],SIP[B/S],"S",SIP[Investor ID],A378,SIP[Date Value],"&lt;="&amp;$Z$3))</f>
        <v>0</v>
      </c>
      <c r="H378" s="49">
        <f t="shared" si="27"/>
        <v>0</v>
      </c>
      <c r="I378" s="49">
        <f t="shared" si="28"/>
        <v>0</v>
      </c>
      <c r="J378" s="47">
        <f>(SUMIFS(LS[Unit],LS[Investor ID],A378,LS[B/S],"B",LS[Date Value],"&gt;="&amp;$Z$2,LS[Date Value],"&lt;="&amp;$Z$3))+(SUMIFS(SIP[Unit],SIP[Investor ID],A378,SIP[B/S],"B",SIP[Date Value],"&gt;="&amp;$Z$2,SIP[Date Value],"&lt;="&amp;$Z$3))</f>
        <v>0</v>
      </c>
      <c r="K378" s="49">
        <f>(SUMIFS(LS[Amount],LS[Investor ID],A378,LS[B/S],"B",LS[Date Value],"&gt;="&amp;$Z$2,LS[Date Value],"&lt;="&amp;$Z$3))+(SUMIFS(SIP[Amount],SIP[Investor ID],A378,SIP[B/S],"B",SIP[Date Value],"&gt;="&amp;$Z$2,SIP[Date Value],"&lt;="&amp;$Z$3))</f>
        <v>0</v>
      </c>
      <c r="L378" s="47">
        <f>(-SUMIFS(LS[Unit],LS[Investor ID],A378,LS[B/S],"S",LS[Date Value],"&gt;="&amp;$Z$2,LS[Date Value],"&lt;="&amp;$Z$3))+(-SUMIFS(SIP[Unit],SIP[Investor ID],A378,SIP[B/S],"S",SIP[Date Value],"&gt;="&amp;$Z$2,SIP[Date Value],"&lt;="&amp;$Z$3))</f>
        <v>0</v>
      </c>
      <c r="M378" s="49">
        <f>(SUMIFS(LS[Cost of Units Sold],LS[Investor ID],A378,LS[B/S],"S",LS[Date Value],"&gt;="&amp;$Z$2,LS[Date Value],"&lt;="&amp;$Z$3))+(SUMIFS(SIP[Cost of Units Sold],SIP[Investor ID],A378,SIP[B/S],"S",SIP[Date Value],"&gt;="&amp;$Z$2,SIP[Date Value],"&lt;="&amp;$Z$3))</f>
        <v>0</v>
      </c>
      <c r="N378" s="49">
        <f t="shared" si="29"/>
        <v>0</v>
      </c>
      <c r="O378" s="49">
        <f>(SUMIFS(LS[Realized Gain],LS[Investor ID],A378,LS[Date Value],"&gt;="&amp;$Z$2,LS[Date Value],"&lt;="&amp;$Z$3))+(SUMIFS(SIP[Realized Gain],SIP[Investor ID],A378,SIP[Date Value],"&gt;="&amp;$Z$2,SIP[Date Value],"&lt;="&amp;$Z$3))</f>
        <v>0</v>
      </c>
      <c r="P378" s="49">
        <v>0</v>
      </c>
      <c r="Q378" s="49">
        <v>0</v>
      </c>
      <c r="R378" s="49">
        <v>0</v>
      </c>
    </row>
    <row r="379" spans="1:18">
      <c r="A379" t="s">
        <v>806</v>
      </c>
      <c r="B379" s="47">
        <f>SUMIFS(LS[Unit],LS[Investor ID],'TAX CERTIFICATE'!A379,LS[Date Value],"&lt;"&amp;$Z$2)+SUMIFS(SIP[Unit],SIP[Investor ID],'TAX CERTIFICATE'!A379,SIP[Date Value],"&lt;"&amp;$Z$2)</f>
        <v>0</v>
      </c>
      <c r="C379" s="48">
        <f>(SUMIFS(LS[Amount],LS[B/S],"B",LS[Investor ID],A379,LS[Date Value],"&lt;"&amp;$Z$2)-SUMIFS(LS[Cost of Units Sold],LS[B/S],"S",LS[Investor ID],A379,LS[Date Value],"&lt;"&amp;$Z$2))+(SUMIFS(SIP[Amount],SIP[B/S],"B",SIP[Investor ID],#REF!,SIP[Date Value],"&lt;"&amp;$Z$2)-SUMIFS(SIP[Cost of Units Sold],SIP[B/S],"S",SIP[Investor ID],A379,SIP[Date Value],"&lt;"&amp;$Z$2))</f>
        <v>0</v>
      </c>
      <c r="D379" s="49">
        <f t="shared" si="25"/>
        <v>0</v>
      </c>
      <c r="E379" s="49">
        <f t="shared" si="26"/>
        <v>0</v>
      </c>
      <c r="F379" s="47">
        <f>SUMIFS(LS[Unit],LS[Investor ID],A379,LS[Date Value],"&lt;="&amp;$Z$3)+SUMIFS(SIP[Unit],SIP[Investor ID],A379,SIP[Date Value],"&lt;="&amp;$Z$3)</f>
        <v>0</v>
      </c>
      <c r="G379" s="49">
        <f>(SUMIFS(LS[Amount],LS[B/S],"B",LS[Investor ID],A379,LS[Date Value],"&lt;="&amp;$Z$3)-SUMIFS(LS[Cost of Units Sold],LS[B/S],"S",LS[Investor ID],A379,LS[Date Value],"&lt;="&amp;$Z$3))+(SUMIFS(SIP[Amount],SIP[B/S],"B",SIP[Investor ID],A379,SIP[Date Value],"&lt;="&amp;$Z$3)-SUMIFS(SIP[Cost of Units Sold],SIP[B/S],"S",SIP[Investor ID],A379,SIP[Date Value],"&lt;="&amp;$Z$3))</f>
        <v>0</v>
      </c>
      <c r="H379" s="49">
        <f t="shared" si="27"/>
        <v>0</v>
      </c>
      <c r="I379" s="49">
        <f t="shared" si="28"/>
        <v>0</v>
      </c>
      <c r="J379" s="47">
        <f>(SUMIFS(LS[Unit],LS[Investor ID],A379,LS[B/S],"B",LS[Date Value],"&gt;="&amp;$Z$2,LS[Date Value],"&lt;="&amp;$Z$3))+(SUMIFS(SIP[Unit],SIP[Investor ID],A379,SIP[B/S],"B",SIP[Date Value],"&gt;="&amp;$Z$2,SIP[Date Value],"&lt;="&amp;$Z$3))</f>
        <v>0</v>
      </c>
      <c r="K379" s="49">
        <f>(SUMIFS(LS[Amount],LS[Investor ID],A379,LS[B/S],"B",LS[Date Value],"&gt;="&amp;$Z$2,LS[Date Value],"&lt;="&amp;$Z$3))+(SUMIFS(SIP[Amount],SIP[Investor ID],A379,SIP[B/S],"B",SIP[Date Value],"&gt;="&amp;$Z$2,SIP[Date Value],"&lt;="&amp;$Z$3))</f>
        <v>0</v>
      </c>
      <c r="L379" s="47">
        <f>(-SUMIFS(LS[Unit],LS[Investor ID],A379,LS[B/S],"S",LS[Date Value],"&gt;="&amp;$Z$2,LS[Date Value],"&lt;="&amp;$Z$3))+(-SUMIFS(SIP[Unit],SIP[Investor ID],A379,SIP[B/S],"S",SIP[Date Value],"&gt;="&amp;$Z$2,SIP[Date Value],"&lt;="&amp;$Z$3))</f>
        <v>0</v>
      </c>
      <c r="M379" s="49">
        <f>(SUMIFS(LS[Cost of Units Sold],LS[Investor ID],A379,LS[B/S],"S",LS[Date Value],"&gt;="&amp;$Z$2,LS[Date Value],"&lt;="&amp;$Z$3))+(SUMIFS(SIP[Cost of Units Sold],SIP[Investor ID],A379,SIP[B/S],"S",SIP[Date Value],"&gt;="&amp;$Z$2,SIP[Date Value],"&lt;="&amp;$Z$3))</f>
        <v>0</v>
      </c>
      <c r="N379" s="49">
        <f t="shared" si="29"/>
        <v>0</v>
      </c>
      <c r="O379" s="49">
        <f>(SUMIFS(LS[Realized Gain],LS[Investor ID],A379,LS[Date Value],"&gt;="&amp;$Z$2,LS[Date Value],"&lt;="&amp;$Z$3))+(SUMIFS(SIP[Realized Gain],SIP[Investor ID],A379,SIP[Date Value],"&gt;="&amp;$Z$2,SIP[Date Value],"&lt;="&amp;$Z$3))</f>
        <v>0</v>
      </c>
      <c r="P379" s="49">
        <v>0</v>
      </c>
      <c r="Q379" s="49">
        <v>0</v>
      </c>
      <c r="R379" s="49">
        <v>0</v>
      </c>
    </row>
    <row r="380" spans="1:18">
      <c r="A380" t="s">
        <v>808</v>
      </c>
      <c r="B380" s="47">
        <f>SUMIFS(LS[Unit],LS[Investor ID],'TAX CERTIFICATE'!A380,LS[Date Value],"&lt;"&amp;$Z$2)+SUMIFS(SIP[Unit],SIP[Investor ID],'TAX CERTIFICATE'!A380,SIP[Date Value],"&lt;"&amp;$Z$2)</f>
        <v>0</v>
      </c>
      <c r="C380" s="48">
        <f>(SUMIFS(LS[Amount],LS[B/S],"B",LS[Investor ID],A380,LS[Date Value],"&lt;"&amp;$Z$2)-SUMIFS(LS[Cost of Units Sold],LS[B/S],"S",LS[Investor ID],A380,LS[Date Value],"&lt;"&amp;$Z$2))+(SUMIFS(SIP[Amount],SIP[B/S],"B",SIP[Investor ID],#REF!,SIP[Date Value],"&lt;"&amp;$Z$2)-SUMIFS(SIP[Cost of Units Sold],SIP[B/S],"S",SIP[Investor ID],A380,SIP[Date Value],"&lt;"&amp;$Z$2))</f>
        <v>0</v>
      </c>
      <c r="D380" s="49">
        <f t="shared" si="25"/>
        <v>0</v>
      </c>
      <c r="E380" s="49">
        <f t="shared" si="26"/>
        <v>0</v>
      </c>
      <c r="F380" s="47">
        <f>SUMIFS(LS[Unit],LS[Investor ID],A380,LS[Date Value],"&lt;="&amp;$Z$3)+SUMIFS(SIP[Unit],SIP[Investor ID],A380,SIP[Date Value],"&lt;="&amp;$Z$3)</f>
        <v>0</v>
      </c>
      <c r="G380" s="49">
        <f>(SUMIFS(LS[Amount],LS[B/S],"B",LS[Investor ID],A380,LS[Date Value],"&lt;="&amp;$Z$3)-SUMIFS(LS[Cost of Units Sold],LS[B/S],"S",LS[Investor ID],A380,LS[Date Value],"&lt;="&amp;$Z$3))+(SUMIFS(SIP[Amount],SIP[B/S],"B",SIP[Investor ID],A380,SIP[Date Value],"&lt;="&amp;$Z$3)-SUMIFS(SIP[Cost of Units Sold],SIP[B/S],"S",SIP[Investor ID],A380,SIP[Date Value],"&lt;="&amp;$Z$3))</f>
        <v>0</v>
      </c>
      <c r="H380" s="49">
        <f t="shared" si="27"/>
        <v>0</v>
      </c>
      <c r="I380" s="49">
        <f t="shared" si="28"/>
        <v>0</v>
      </c>
      <c r="J380" s="47">
        <f>(SUMIFS(LS[Unit],LS[Investor ID],A380,LS[B/S],"B",LS[Date Value],"&gt;="&amp;$Z$2,LS[Date Value],"&lt;="&amp;$Z$3))+(SUMIFS(SIP[Unit],SIP[Investor ID],A380,SIP[B/S],"B",SIP[Date Value],"&gt;="&amp;$Z$2,SIP[Date Value],"&lt;="&amp;$Z$3))</f>
        <v>0</v>
      </c>
      <c r="K380" s="49">
        <f>(SUMIFS(LS[Amount],LS[Investor ID],A380,LS[B/S],"B",LS[Date Value],"&gt;="&amp;$Z$2,LS[Date Value],"&lt;="&amp;$Z$3))+(SUMIFS(SIP[Amount],SIP[Investor ID],A380,SIP[B/S],"B",SIP[Date Value],"&gt;="&amp;$Z$2,SIP[Date Value],"&lt;="&amp;$Z$3))</f>
        <v>0</v>
      </c>
      <c r="L380" s="47">
        <f>(-SUMIFS(LS[Unit],LS[Investor ID],A380,LS[B/S],"S",LS[Date Value],"&gt;="&amp;$Z$2,LS[Date Value],"&lt;="&amp;$Z$3))+(-SUMIFS(SIP[Unit],SIP[Investor ID],A380,SIP[B/S],"S",SIP[Date Value],"&gt;="&amp;$Z$2,SIP[Date Value],"&lt;="&amp;$Z$3))</f>
        <v>0</v>
      </c>
      <c r="M380" s="49">
        <f>(SUMIFS(LS[Cost of Units Sold],LS[Investor ID],A380,LS[B/S],"S",LS[Date Value],"&gt;="&amp;$Z$2,LS[Date Value],"&lt;="&amp;$Z$3))+(SUMIFS(SIP[Cost of Units Sold],SIP[Investor ID],A380,SIP[B/S],"S",SIP[Date Value],"&gt;="&amp;$Z$2,SIP[Date Value],"&lt;="&amp;$Z$3))</f>
        <v>0</v>
      </c>
      <c r="N380" s="49">
        <f t="shared" si="29"/>
        <v>0</v>
      </c>
      <c r="O380" s="49">
        <f>(SUMIFS(LS[Realized Gain],LS[Investor ID],A380,LS[Date Value],"&gt;="&amp;$Z$2,LS[Date Value],"&lt;="&amp;$Z$3))+(SUMIFS(SIP[Realized Gain],SIP[Investor ID],A380,SIP[Date Value],"&gt;="&amp;$Z$2,SIP[Date Value],"&lt;="&amp;$Z$3))</f>
        <v>0</v>
      </c>
      <c r="P380" s="49">
        <v>0</v>
      </c>
      <c r="Q380" s="49">
        <v>0</v>
      </c>
      <c r="R380" s="49">
        <v>0</v>
      </c>
    </row>
    <row r="381" spans="1:18">
      <c r="A381" t="s">
        <v>810</v>
      </c>
      <c r="B381" s="47">
        <f>SUMIFS(LS[Unit],LS[Investor ID],'TAX CERTIFICATE'!A381,LS[Date Value],"&lt;"&amp;$Z$2)+SUMIFS(SIP[Unit],SIP[Investor ID],'TAX CERTIFICATE'!A381,SIP[Date Value],"&lt;"&amp;$Z$2)</f>
        <v>0</v>
      </c>
      <c r="C381" s="48">
        <f>(SUMIFS(LS[Amount],LS[B/S],"B",LS[Investor ID],A381,LS[Date Value],"&lt;"&amp;$Z$2)-SUMIFS(LS[Cost of Units Sold],LS[B/S],"S",LS[Investor ID],A381,LS[Date Value],"&lt;"&amp;$Z$2))+(SUMIFS(SIP[Amount],SIP[B/S],"B",SIP[Investor ID],#REF!,SIP[Date Value],"&lt;"&amp;$Z$2)-SUMIFS(SIP[Cost of Units Sold],SIP[B/S],"S",SIP[Investor ID],A381,SIP[Date Value],"&lt;"&amp;$Z$2))</f>
        <v>0</v>
      </c>
      <c r="D381" s="49">
        <f t="shared" si="25"/>
        <v>0</v>
      </c>
      <c r="E381" s="49">
        <f t="shared" si="26"/>
        <v>0</v>
      </c>
      <c r="F381" s="47">
        <f>SUMIFS(LS[Unit],LS[Investor ID],A381,LS[Date Value],"&lt;="&amp;$Z$3)+SUMIFS(SIP[Unit],SIP[Investor ID],A381,SIP[Date Value],"&lt;="&amp;$Z$3)</f>
        <v>0</v>
      </c>
      <c r="G381" s="49">
        <f>(SUMIFS(LS[Amount],LS[B/S],"B",LS[Investor ID],A381,LS[Date Value],"&lt;="&amp;$Z$3)-SUMIFS(LS[Cost of Units Sold],LS[B/S],"S",LS[Investor ID],A381,LS[Date Value],"&lt;="&amp;$Z$3))+(SUMIFS(SIP[Amount],SIP[B/S],"B",SIP[Investor ID],A381,SIP[Date Value],"&lt;="&amp;$Z$3)-SUMIFS(SIP[Cost of Units Sold],SIP[B/S],"S",SIP[Investor ID],A381,SIP[Date Value],"&lt;="&amp;$Z$3))</f>
        <v>0</v>
      </c>
      <c r="H381" s="49">
        <f t="shared" si="27"/>
        <v>0</v>
      </c>
      <c r="I381" s="49">
        <f t="shared" si="28"/>
        <v>0</v>
      </c>
      <c r="J381" s="47">
        <f>(SUMIFS(LS[Unit],LS[Investor ID],A381,LS[B/S],"B",LS[Date Value],"&gt;="&amp;$Z$2,LS[Date Value],"&lt;="&amp;$Z$3))+(SUMIFS(SIP[Unit],SIP[Investor ID],A381,SIP[B/S],"B",SIP[Date Value],"&gt;="&amp;$Z$2,SIP[Date Value],"&lt;="&amp;$Z$3))</f>
        <v>0</v>
      </c>
      <c r="K381" s="49">
        <f>(SUMIFS(LS[Amount],LS[Investor ID],A381,LS[B/S],"B",LS[Date Value],"&gt;="&amp;$Z$2,LS[Date Value],"&lt;="&amp;$Z$3))+(SUMIFS(SIP[Amount],SIP[Investor ID],A381,SIP[B/S],"B",SIP[Date Value],"&gt;="&amp;$Z$2,SIP[Date Value],"&lt;="&amp;$Z$3))</f>
        <v>0</v>
      </c>
      <c r="L381" s="47">
        <f>(-SUMIFS(LS[Unit],LS[Investor ID],A381,LS[B/S],"S",LS[Date Value],"&gt;="&amp;$Z$2,LS[Date Value],"&lt;="&amp;$Z$3))+(-SUMIFS(SIP[Unit],SIP[Investor ID],A381,SIP[B/S],"S",SIP[Date Value],"&gt;="&amp;$Z$2,SIP[Date Value],"&lt;="&amp;$Z$3))</f>
        <v>0</v>
      </c>
      <c r="M381" s="49">
        <f>(SUMIFS(LS[Cost of Units Sold],LS[Investor ID],A381,LS[B/S],"S",LS[Date Value],"&gt;="&amp;$Z$2,LS[Date Value],"&lt;="&amp;$Z$3))+(SUMIFS(SIP[Cost of Units Sold],SIP[Investor ID],A381,SIP[B/S],"S",SIP[Date Value],"&gt;="&amp;$Z$2,SIP[Date Value],"&lt;="&amp;$Z$3))</f>
        <v>0</v>
      </c>
      <c r="N381" s="49">
        <f t="shared" si="29"/>
        <v>0</v>
      </c>
      <c r="O381" s="49">
        <f>(SUMIFS(LS[Realized Gain],LS[Investor ID],A381,LS[Date Value],"&gt;="&amp;$Z$2,LS[Date Value],"&lt;="&amp;$Z$3))+(SUMIFS(SIP[Realized Gain],SIP[Investor ID],A381,SIP[Date Value],"&gt;="&amp;$Z$2,SIP[Date Value],"&lt;="&amp;$Z$3))</f>
        <v>0</v>
      </c>
      <c r="P381" s="49">
        <v>0</v>
      </c>
      <c r="Q381" s="49">
        <v>0</v>
      </c>
      <c r="R381" s="49">
        <v>0</v>
      </c>
    </row>
    <row r="382" spans="1:18">
      <c r="A382" t="s">
        <v>811</v>
      </c>
      <c r="B382" s="47">
        <f>SUMIFS(LS[Unit],LS[Investor ID],'TAX CERTIFICATE'!A382,LS[Date Value],"&lt;"&amp;$Z$2)+SUMIFS(SIP[Unit],SIP[Investor ID],'TAX CERTIFICATE'!A382,SIP[Date Value],"&lt;"&amp;$Z$2)</f>
        <v>0</v>
      </c>
      <c r="C382" s="48">
        <f>(SUMIFS(LS[Amount],LS[B/S],"B",LS[Investor ID],A382,LS[Date Value],"&lt;"&amp;$Z$2)-SUMIFS(LS[Cost of Units Sold],LS[B/S],"S",LS[Investor ID],A382,LS[Date Value],"&lt;"&amp;$Z$2))+(SUMIFS(SIP[Amount],SIP[B/S],"B",SIP[Investor ID],#REF!,SIP[Date Value],"&lt;"&amp;$Z$2)-SUMIFS(SIP[Cost of Units Sold],SIP[B/S],"S",SIP[Investor ID],A382,SIP[Date Value],"&lt;"&amp;$Z$2))</f>
        <v>0</v>
      </c>
      <c r="D382" s="49">
        <f t="shared" si="25"/>
        <v>0</v>
      </c>
      <c r="E382" s="49">
        <f t="shared" si="26"/>
        <v>0</v>
      </c>
      <c r="F382" s="47">
        <f>SUMIFS(LS[Unit],LS[Investor ID],A382,LS[Date Value],"&lt;="&amp;$Z$3)+SUMIFS(SIP[Unit],SIP[Investor ID],A382,SIP[Date Value],"&lt;="&amp;$Z$3)</f>
        <v>0</v>
      </c>
      <c r="G382" s="49">
        <f>(SUMIFS(LS[Amount],LS[B/S],"B",LS[Investor ID],A382,LS[Date Value],"&lt;="&amp;$Z$3)-SUMIFS(LS[Cost of Units Sold],LS[B/S],"S",LS[Investor ID],A382,LS[Date Value],"&lt;="&amp;$Z$3))+(SUMIFS(SIP[Amount],SIP[B/S],"B",SIP[Investor ID],A382,SIP[Date Value],"&lt;="&amp;$Z$3)-SUMIFS(SIP[Cost of Units Sold],SIP[B/S],"S",SIP[Investor ID],A382,SIP[Date Value],"&lt;="&amp;$Z$3))</f>
        <v>0</v>
      </c>
      <c r="H382" s="49">
        <f t="shared" si="27"/>
        <v>0</v>
      </c>
      <c r="I382" s="49">
        <f t="shared" si="28"/>
        <v>0</v>
      </c>
      <c r="J382" s="47">
        <f>(SUMIFS(LS[Unit],LS[Investor ID],A382,LS[B/S],"B",LS[Date Value],"&gt;="&amp;$Z$2,LS[Date Value],"&lt;="&amp;$Z$3))+(SUMIFS(SIP[Unit],SIP[Investor ID],A382,SIP[B/S],"B",SIP[Date Value],"&gt;="&amp;$Z$2,SIP[Date Value],"&lt;="&amp;$Z$3))</f>
        <v>0</v>
      </c>
      <c r="K382" s="49">
        <f>(SUMIFS(LS[Amount],LS[Investor ID],A382,LS[B/S],"B",LS[Date Value],"&gt;="&amp;$Z$2,LS[Date Value],"&lt;="&amp;$Z$3))+(SUMIFS(SIP[Amount],SIP[Investor ID],A382,SIP[B/S],"B",SIP[Date Value],"&gt;="&amp;$Z$2,SIP[Date Value],"&lt;="&amp;$Z$3))</f>
        <v>0</v>
      </c>
      <c r="L382" s="47">
        <f>(-SUMIFS(LS[Unit],LS[Investor ID],A382,LS[B/S],"S",LS[Date Value],"&gt;="&amp;$Z$2,LS[Date Value],"&lt;="&amp;$Z$3))+(-SUMIFS(SIP[Unit],SIP[Investor ID],A382,SIP[B/S],"S",SIP[Date Value],"&gt;="&amp;$Z$2,SIP[Date Value],"&lt;="&amp;$Z$3))</f>
        <v>0</v>
      </c>
      <c r="M382" s="49">
        <f>(SUMIFS(LS[Cost of Units Sold],LS[Investor ID],A382,LS[B/S],"S",LS[Date Value],"&gt;="&amp;$Z$2,LS[Date Value],"&lt;="&amp;$Z$3))+(SUMIFS(SIP[Cost of Units Sold],SIP[Investor ID],A382,SIP[B/S],"S",SIP[Date Value],"&gt;="&amp;$Z$2,SIP[Date Value],"&lt;="&amp;$Z$3))</f>
        <v>0</v>
      </c>
      <c r="N382" s="49">
        <f t="shared" si="29"/>
        <v>0</v>
      </c>
      <c r="O382" s="49">
        <f>(SUMIFS(LS[Realized Gain],LS[Investor ID],A382,LS[Date Value],"&gt;="&amp;$Z$2,LS[Date Value],"&lt;="&amp;$Z$3))+(SUMIFS(SIP[Realized Gain],SIP[Investor ID],A382,SIP[Date Value],"&gt;="&amp;$Z$2,SIP[Date Value],"&lt;="&amp;$Z$3))</f>
        <v>0</v>
      </c>
      <c r="P382" s="49">
        <v>0</v>
      </c>
      <c r="Q382" s="49">
        <v>0</v>
      </c>
      <c r="R382" s="49">
        <v>0</v>
      </c>
    </row>
    <row r="383" spans="1:18">
      <c r="A383" t="s">
        <v>813</v>
      </c>
      <c r="B383" s="47">
        <f>SUMIFS(LS[Unit],LS[Investor ID],'TAX CERTIFICATE'!A383,LS[Date Value],"&lt;"&amp;$Z$2)+SUMIFS(SIP[Unit],SIP[Investor ID],'TAX CERTIFICATE'!A383,SIP[Date Value],"&lt;"&amp;$Z$2)</f>
        <v>0</v>
      </c>
      <c r="C383" s="48">
        <f>(SUMIFS(LS[Amount],LS[B/S],"B",LS[Investor ID],A383,LS[Date Value],"&lt;"&amp;$Z$2)-SUMIFS(LS[Cost of Units Sold],LS[B/S],"S",LS[Investor ID],A383,LS[Date Value],"&lt;"&amp;$Z$2))+(SUMIFS(SIP[Amount],SIP[B/S],"B",SIP[Investor ID],#REF!,SIP[Date Value],"&lt;"&amp;$Z$2)-SUMIFS(SIP[Cost of Units Sold],SIP[B/S],"S",SIP[Investor ID],A383,SIP[Date Value],"&lt;"&amp;$Z$2))</f>
        <v>0</v>
      </c>
      <c r="D383" s="49">
        <f t="shared" si="25"/>
        <v>0</v>
      </c>
      <c r="E383" s="49">
        <f t="shared" si="26"/>
        <v>0</v>
      </c>
      <c r="F383" s="47">
        <f>SUMIFS(LS[Unit],LS[Investor ID],A383,LS[Date Value],"&lt;="&amp;$Z$3)+SUMIFS(SIP[Unit],SIP[Investor ID],A383,SIP[Date Value],"&lt;="&amp;$Z$3)</f>
        <v>0</v>
      </c>
      <c r="G383" s="49">
        <f>(SUMIFS(LS[Amount],LS[B/S],"B",LS[Investor ID],A383,LS[Date Value],"&lt;="&amp;$Z$3)-SUMIFS(LS[Cost of Units Sold],LS[B/S],"S",LS[Investor ID],A383,LS[Date Value],"&lt;="&amp;$Z$3))+(SUMIFS(SIP[Amount],SIP[B/S],"B",SIP[Investor ID],A383,SIP[Date Value],"&lt;="&amp;$Z$3)-SUMIFS(SIP[Cost of Units Sold],SIP[B/S],"S",SIP[Investor ID],A383,SIP[Date Value],"&lt;="&amp;$Z$3))</f>
        <v>0</v>
      </c>
      <c r="H383" s="49">
        <f t="shared" si="27"/>
        <v>0</v>
      </c>
      <c r="I383" s="49">
        <f t="shared" si="28"/>
        <v>0</v>
      </c>
      <c r="J383" s="47">
        <f>(SUMIFS(LS[Unit],LS[Investor ID],A383,LS[B/S],"B",LS[Date Value],"&gt;="&amp;$Z$2,LS[Date Value],"&lt;="&amp;$Z$3))+(SUMIFS(SIP[Unit],SIP[Investor ID],A383,SIP[B/S],"B",SIP[Date Value],"&gt;="&amp;$Z$2,SIP[Date Value],"&lt;="&amp;$Z$3))</f>
        <v>0</v>
      </c>
      <c r="K383" s="49">
        <f>(SUMIFS(LS[Amount],LS[Investor ID],A383,LS[B/S],"B",LS[Date Value],"&gt;="&amp;$Z$2,LS[Date Value],"&lt;="&amp;$Z$3))+(SUMIFS(SIP[Amount],SIP[Investor ID],A383,SIP[B/S],"B",SIP[Date Value],"&gt;="&amp;$Z$2,SIP[Date Value],"&lt;="&amp;$Z$3))</f>
        <v>0</v>
      </c>
      <c r="L383" s="47">
        <f>(-SUMIFS(LS[Unit],LS[Investor ID],A383,LS[B/S],"S",LS[Date Value],"&gt;="&amp;$Z$2,LS[Date Value],"&lt;="&amp;$Z$3))+(-SUMIFS(SIP[Unit],SIP[Investor ID],A383,SIP[B/S],"S",SIP[Date Value],"&gt;="&amp;$Z$2,SIP[Date Value],"&lt;="&amp;$Z$3))</f>
        <v>0</v>
      </c>
      <c r="M383" s="49">
        <f>(SUMIFS(LS[Cost of Units Sold],LS[Investor ID],A383,LS[B/S],"S",LS[Date Value],"&gt;="&amp;$Z$2,LS[Date Value],"&lt;="&amp;$Z$3))+(SUMIFS(SIP[Cost of Units Sold],SIP[Investor ID],A383,SIP[B/S],"S",SIP[Date Value],"&gt;="&amp;$Z$2,SIP[Date Value],"&lt;="&amp;$Z$3))</f>
        <v>0</v>
      </c>
      <c r="N383" s="49">
        <f t="shared" si="29"/>
        <v>0</v>
      </c>
      <c r="O383" s="49">
        <f>(SUMIFS(LS[Realized Gain],LS[Investor ID],A383,LS[Date Value],"&gt;="&amp;$Z$2,LS[Date Value],"&lt;="&amp;$Z$3))+(SUMIFS(SIP[Realized Gain],SIP[Investor ID],A383,SIP[Date Value],"&gt;="&amp;$Z$2,SIP[Date Value],"&lt;="&amp;$Z$3))</f>
        <v>0</v>
      </c>
      <c r="P383" s="49">
        <v>0</v>
      </c>
      <c r="Q383" s="49">
        <v>0</v>
      </c>
      <c r="R383" s="49">
        <v>0</v>
      </c>
    </row>
    <row r="384" spans="1:18">
      <c r="A384" t="s">
        <v>815</v>
      </c>
      <c r="B384" s="47">
        <f>SUMIFS(LS[Unit],LS[Investor ID],'TAX CERTIFICATE'!A384,LS[Date Value],"&lt;"&amp;$Z$2)+SUMIFS(SIP[Unit],SIP[Investor ID],'TAX CERTIFICATE'!A384,SIP[Date Value],"&lt;"&amp;$Z$2)</f>
        <v>15604</v>
      </c>
      <c r="C384" s="48">
        <f>(SUMIFS(LS[Amount],LS[B/S],"B",LS[Investor ID],A384,LS[Date Value],"&lt;"&amp;$Z$2)-SUMIFS(LS[Cost of Units Sold],LS[B/S],"S",LS[Investor ID],A384,LS[Date Value],"&lt;"&amp;$Z$2))+(SUMIFS(SIP[Amount],SIP[B/S],"B",SIP[Investor ID],#REF!,SIP[Date Value],"&lt;"&amp;$Z$2)-SUMIFS(SIP[Cost of Units Sold],SIP[B/S],"S",SIP[Investor ID],A384,SIP[Date Value],"&lt;"&amp;$Z$2))</f>
        <v>160000</v>
      </c>
      <c r="D384" s="49">
        <f t="shared" si="25"/>
        <v>160268.68400000001</v>
      </c>
      <c r="E384" s="49">
        <f t="shared" si="26"/>
        <v>268.68400000000838</v>
      </c>
      <c r="F384" s="47">
        <f>SUMIFS(LS[Unit],LS[Investor ID],A384,LS[Date Value],"&lt;="&amp;$Z$3)+SUMIFS(SIP[Unit],SIP[Investor ID],A384,SIP[Date Value],"&lt;="&amp;$Z$3)</f>
        <v>8967</v>
      </c>
      <c r="G384" s="49">
        <f>(SUMIFS(LS[Amount],LS[B/S],"B",LS[Investor ID],A384,LS[Date Value],"&lt;="&amp;$Z$3)-SUMIFS(LS[Cost of Units Sold],LS[B/S],"S",LS[Investor ID],A384,LS[Date Value],"&lt;="&amp;$Z$3))+(SUMIFS(SIP[Amount],SIP[B/S],"B",SIP[Investor ID],A384,SIP[Date Value],"&lt;="&amp;$Z$3)-SUMIFS(SIP[Cost of Units Sold],SIP[B/S],"S",SIP[Investor ID],A384,SIP[Date Value],"&lt;="&amp;$Z$3))</f>
        <v>100000</v>
      </c>
      <c r="H384" s="49">
        <f t="shared" si="27"/>
        <v>100107.588</v>
      </c>
      <c r="I384" s="49">
        <f t="shared" si="28"/>
        <v>107.58800000000338</v>
      </c>
      <c r="J384" s="47">
        <f>(SUMIFS(LS[Unit],LS[Investor ID],A384,LS[B/S],"B",LS[Date Value],"&gt;="&amp;$Z$2,LS[Date Value],"&lt;="&amp;$Z$3))+(SUMIFS(SIP[Unit],SIP[Investor ID],A384,SIP[B/S],"B",SIP[Date Value],"&gt;="&amp;$Z$2,SIP[Date Value],"&lt;="&amp;$Z$3))</f>
        <v>8967</v>
      </c>
      <c r="K384" s="49">
        <f>(SUMIFS(LS[Amount],LS[Investor ID],A384,LS[B/S],"B",LS[Date Value],"&gt;="&amp;$Z$2,LS[Date Value],"&lt;="&amp;$Z$3))+(SUMIFS(SIP[Amount],SIP[Investor ID],A384,SIP[B/S],"B",SIP[Date Value],"&gt;="&amp;$Z$2,SIP[Date Value],"&lt;="&amp;$Z$3))</f>
        <v>100000</v>
      </c>
      <c r="L384" s="47">
        <f>(-SUMIFS(LS[Unit],LS[Investor ID],A384,LS[B/S],"S",LS[Date Value],"&gt;="&amp;$Z$2,LS[Date Value],"&lt;="&amp;$Z$3))+(-SUMIFS(SIP[Unit],SIP[Investor ID],A384,SIP[B/S],"S",SIP[Date Value],"&gt;="&amp;$Z$2,SIP[Date Value],"&lt;="&amp;$Z$3))</f>
        <v>15604</v>
      </c>
      <c r="M384" s="49">
        <f>(SUMIFS(LS[Cost of Units Sold],LS[Investor ID],A384,LS[B/S],"S",LS[Date Value],"&gt;="&amp;$Z$2,LS[Date Value],"&lt;="&amp;$Z$3))+(SUMIFS(SIP[Cost of Units Sold],SIP[Investor ID],A384,SIP[B/S],"S",SIP[Date Value],"&gt;="&amp;$Z$2,SIP[Date Value],"&lt;="&amp;$Z$3))</f>
        <v>160000</v>
      </c>
      <c r="N384" s="49">
        <f t="shared" si="29"/>
        <v>-60000</v>
      </c>
      <c r="O384" s="49">
        <f>(SUMIFS(LS[Realized Gain],LS[Investor ID],A384,LS[Date Value],"&gt;="&amp;$Z$2,LS[Date Value],"&lt;="&amp;$Z$3))+(SUMIFS(SIP[Realized Gain],SIP[Investor ID],A384,SIP[Date Value],"&gt;="&amp;$Z$2,SIP[Date Value],"&lt;="&amp;$Z$3))</f>
        <v>3576.7299999999886</v>
      </c>
      <c r="P384" s="49">
        <v>0</v>
      </c>
      <c r="Q384" s="49">
        <v>0</v>
      </c>
      <c r="R384" s="49">
        <v>0</v>
      </c>
    </row>
    <row r="385" spans="1:18">
      <c r="A385" t="s">
        <v>817</v>
      </c>
      <c r="B385" s="47">
        <f>SUMIFS(LS[Unit],LS[Investor ID],'TAX CERTIFICATE'!A385,LS[Date Value],"&lt;"&amp;$Z$2)+SUMIFS(SIP[Unit],SIP[Investor ID],'TAX CERTIFICATE'!A385,SIP[Date Value],"&lt;"&amp;$Z$2)</f>
        <v>0</v>
      </c>
      <c r="C385" s="48">
        <f>(SUMIFS(LS[Amount],LS[B/S],"B",LS[Investor ID],A385,LS[Date Value],"&lt;"&amp;$Z$2)-SUMIFS(LS[Cost of Units Sold],LS[B/S],"S",LS[Investor ID],A385,LS[Date Value],"&lt;"&amp;$Z$2))+(SUMIFS(SIP[Amount],SIP[B/S],"B",SIP[Investor ID],#REF!,SIP[Date Value],"&lt;"&amp;$Z$2)-SUMIFS(SIP[Cost of Units Sold],SIP[B/S],"S",SIP[Investor ID],A385,SIP[Date Value],"&lt;"&amp;$Z$2))</f>
        <v>0</v>
      </c>
      <c r="D385" s="49">
        <f t="shared" si="25"/>
        <v>0</v>
      </c>
      <c r="E385" s="49">
        <f t="shared" si="26"/>
        <v>0</v>
      </c>
      <c r="F385" s="47">
        <f>SUMIFS(LS[Unit],LS[Investor ID],A385,LS[Date Value],"&lt;="&amp;$Z$3)+SUMIFS(SIP[Unit],SIP[Investor ID],A385,SIP[Date Value],"&lt;="&amp;$Z$3)</f>
        <v>0</v>
      </c>
      <c r="G385" s="49">
        <f>(SUMIFS(LS[Amount],LS[B/S],"B",LS[Investor ID],A385,LS[Date Value],"&lt;="&amp;$Z$3)-SUMIFS(LS[Cost of Units Sold],LS[B/S],"S",LS[Investor ID],A385,LS[Date Value],"&lt;="&amp;$Z$3))+(SUMIFS(SIP[Amount],SIP[B/S],"B",SIP[Investor ID],A385,SIP[Date Value],"&lt;="&amp;$Z$3)-SUMIFS(SIP[Cost of Units Sold],SIP[B/S],"S",SIP[Investor ID],A385,SIP[Date Value],"&lt;="&amp;$Z$3))</f>
        <v>0</v>
      </c>
      <c r="H385" s="49">
        <f t="shared" si="27"/>
        <v>0</v>
      </c>
      <c r="I385" s="49">
        <f t="shared" si="28"/>
        <v>0</v>
      </c>
      <c r="J385" s="47">
        <f>(SUMIFS(LS[Unit],LS[Investor ID],A385,LS[B/S],"B",LS[Date Value],"&gt;="&amp;$Z$2,LS[Date Value],"&lt;="&amp;$Z$3))+(SUMIFS(SIP[Unit],SIP[Investor ID],A385,SIP[B/S],"B",SIP[Date Value],"&gt;="&amp;$Z$2,SIP[Date Value],"&lt;="&amp;$Z$3))</f>
        <v>0</v>
      </c>
      <c r="K385" s="49">
        <f>(SUMIFS(LS[Amount],LS[Investor ID],A385,LS[B/S],"B",LS[Date Value],"&gt;="&amp;$Z$2,LS[Date Value],"&lt;="&amp;$Z$3))+(SUMIFS(SIP[Amount],SIP[Investor ID],A385,SIP[B/S],"B",SIP[Date Value],"&gt;="&amp;$Z$2,SIP[Date Value],"&lt;="&amp;$Z$3))</f>
        <v>0</v>
      </c>
      <c r="L385" s="47">
        <f>(-SUMIFS(LS[Unit],LS[Investor ID],A385,LS[B/S],"S",LS[Date Value],"&gt;="&amp;$Z$2,LS[Date Value],"&lt;="&amp;$Z$3))+(-SUMIFS(SIP[Unit],SIP[Investor ID],A385,SIP[B/S],"S",SIP[Date Value],"&gt;="&amp;$Z$2,SIP[Date Value],"&lt;="&amp;$Z$3))</f>
        <v>0</v>
      </c>
      <c r="M385" s="49">
        <f>(SUMIFS(LS[Cost of Units Sold],LS[Investor ID],A385,LS[B/S],"S",LS[Date Value],"&gt;="&amp;$Z$2,LS[Date Value],"&lt;="&amp;$Z$3))+(SUMIFS(SIP[Cost of Units Sold],SIP[Investor ID],A385,SIP[B/S],"S",SIP[Date Value],"&gt;="&amp;$Z$2,SIP[Date Value],"&lt;="&amp;$Z$3))</f>
        <v>0</v>
      </c>
      <c r="N385" s="49">
        <f t="shared" si="29"/>
        <v>0</v>
      </c>
      <c r="O385" s="49">
        <f>(SUMIFS(LS[Realized Gain],LS[Investor ID],A385,LS[Date Value],"&gt;="&amp;$Z$2,LS[Date Value],"&lt;="&amp;$Z$3))+(SUMIFS(SIP[Realized Gain],SIP[Investor ID],A385,SIP[Date Value],"&gt;="&amp;$Z$2,SIP[Date Value],"&lt;="&amp;$Z$3))</f>
        <v>0</v>
      </c>
      <c r="P385" s="49">
        <v>0</v>
      </c>
      <c r="Q385" s="49">
        <v>0</v>
      </c>
      <c r="R385" s="49">
        <v>0</v>
      </c>
    </row>
    <row r="386" spans="1:18">
      <c r="A386" t="s">
        <v>819</v>
      </c>
      <c r="B386" s="47">
        <f>SUMIFS(LS[Unit],LS[Investor ID],'TAX CERTIFICATE'!A386,LS[Date Value],"&lt;"&amp;$Z$2)+SUMIFS(SIP[Unit],SIP[Investor ID],'TAX CERTIFICATE'!A386,SIP[Date Value],"&lt;"&amp;$Z$2)</f>
        <v>0</v>
      </c>
      <c r="C386" s="48">
        <f>(SUMIFS(LS[Amount],LS[B/S],"B",LS[Investor ID],A386,LS[Date Value],"&lt;"&amp;$Z$2)-SUMIFS(LS[Cost of Units Sold],LS[B/S],"S",LS[Investor ID],A386,LS[Date Value],"&lt;"&amp;$Z$2))+(SUMIFS(SIP[Amount],SIP[B/S],"B",SIP[Investor ID],#REF!,SIP[Date Value],"&lt;"&amp;$Z$2)-SUMIFS(SIP[Cost of Units Sold],SIP[B/S],"S",SIP[Investor ID],A386,SIP[Date Value],"&lt;"&amp;$Z$2))</f>
        <v>0</v>
      </c>
      <c r="D386" s="49">
        <f t="shared" si="25"/>
        <v>0</v>
      </c>
      <c r="E386" s="49">
        <f t="shared" si="26"/>
        <v>0</v>
      </c>
      <c r="F386" s="47">
        <f>SUMIFS(LS[Unit],LS[Investor ID],A386,LS[Date Value],"&lt;="&amp;$Z$3)+SUMIFS(SIP[Unit],SIP[Investor ID],A386,SIP[Date Value],"&lt;="&amp;$Z$3)</f>
        <v>0</v>
      </c>
      <c r="G386" s="49">
        <f>(SUMIFS(LS[Amount],LS[B/S],"B",LS[Investor ID],A386,LS[Date Value],"&lt;="&amp;$Z$3)-SUMIFS(LS[Cost of Units Sold],LS[B/S],"S",LS[Investor ID],A386,LS[Date Value],"&lt;="&amp;$Z$3))+(SUMIFS(SIP[Amount],SIP[B/S],"B",SIP[Investor ID],A386,SIP[Date Value],"&lt;="&amp;$Z$3)-SUMIFS(SIP[Cost of Units Sold],SIP[B/S],"S",SIP[Investor ID],A386,SIP[Date Value],"&lt;="&amp;$Z$3))</f>
        <v>0</v>
      </c>
      <c r="H386" s="49">
        <f t="shared" si="27"/>
        <v>0</v>
      </c>
      <c r="I386" s="49">
        <f t="shared" si="28"/>
        <v>0</v>
      </c>
      <c r="J386" s="47">
        <f>(SUMIFS(LS[Unit],LS[Investor ID],A386,LS[B/S],"B",LS[Date Value],"&gt;="&amp;$Z$2,LS[Date Value],"&lt;="&amp;$Z$3))+(SUMIFS(SIP[Unit],SIP[Investor ID],A386,SIP[B/S],"B",SIP[Date Value],"&gt;="&amp;$Z$2,SIP[Date Value],"&lt;="&amp;$Z$3))</f>
        <v>0</v>
      </c>
      <c r="K386" s="49">
        <f>(SUMIFS(LS[Amount],LS[Investor ID],A386,LS[B/S],"B",LS[Date Value],"&gt;="&amp;$Z$2,LS[Date Value],"&lt;="&amp;$Z$3))+(SUMIFS(SIP[Amount],SIP[Investor ID],A386,SIP[B/S],"B",SIP[Date Value],"&gt;="&amp;$Z$2,SIP[Date Value],"&lt;="&amp;$Z$3))</f>
        <v>0</v>
      </c>
      <c r="L386" s="47">
        <f>(-SUMIFS(LS[Unit],LS[Investor ID],A386,LS[B/S],"S",LS[Date Value],"&gt;="&amp;$Z$2,LS[Date Value],"&lt;="&amp;$Z$3))+(-SUMIFS(SIP[Unit],SIP[Investor ID],A386,SIP[B/S],"S",SIP[Date Value],"&gt;="&amp;$Z$2,SIP[Date Value],"&lt;="&amp;$Z$3))</f>
        <v>0</v>
      </c>
      <c r="M386" s="49">
        <f>(SUMIFS(LS[Cost of Units Sold],LS[Investor ID],A386,LS[B/S],"S",LS[Date Value],"&gt;="&amp;$Z$2,LS[Date Value],"&lt;="&amp;$Z$3))+(SUMIFS(SIP[Cost of Units Sold],SIP[Investor ID],A386,SIP[B/S],"S",SIP[Date Value],"&gt;="&amp;$Z$2,SIP[Date Value],"&lt;="&amp;$Z$3))</f>
        <v>0</v>
      </c>
      <c r="N386" s="49">
        <f t="shared" si="29"/>
        <v>0</v>
      </c>
      <c r="O386" s="49">
        <f>(SUMIFS(LS[Realized Gain],LS[Investor ID],A386,LS[Date Value],"&gt;="&amp;$Z$2,LS[Date Value],"&lt;="&amp;$Z$3))+(SUMIFS(SIP[Realized Gain],SIP[Investor ID],A386,SIP[Date Value],"&gt;="&amp;$Z$2,SIP[Date Value],"&lt;="&amp;$Z$3))</f>
        <v>0</v>
      </c>
      <c r="P386" s="49">
        <v>0</v>
      </c>
      <c r="Q386" s="49">
        <v>0</v>
      </c>
      <c r="R386" s="49">
        <v>0</v>
      </c>
    </row>
    <row r="387" spans="1:18">
      <c r="A387" t="s">
        <v>821</v>
      </c>
      <c r="B387" s="47">
        <f>SUMIFS(LS[Unit],LS[Investor ID],'TAX CERTIFICATE'!A387,LS[Date Value],"&lt;"&amp;$Z$2)+SUMIFS(SIP[Unit],SIP[Investor ID],'TAX CERTIFICATE'!A387,SIP[Date Value],"&lt;"&amp;$Z$2)</f>
        <v>0</v>
      </c>
      <c r="C387" s="48">
        <f>(SUMIFS(LS[Amount],LS[B/S],"B",LS[Investor ID],A387,LS[Date Value],"&lt;"&amp;$Z$2)-SUMIFS(LS[Cost of Units Sold],LS[B/S],"S",LS[Investor ID],A387,LS[Date Value],"&lt;"&amp;$Z$2))+(SUMIFS(SIP[Amount],SIP[B/S],"B",SIP[Investor ID],#REF!,SIP[Date Value],"&lt;"&amp;$Z$2)-SUMIFS(SIP[Cost of Units Sold],SIP[B/S],"S",SIP[Investor ID],A387,SIP[Date Value],"&lt;"&amp;$Z$2))</f>
        <v>0</v>
      </c>
      <c r="D387" s="49">
        <f t="shared" ref="D387:D450" si="30">B387*$AA$2</f>
        <v>0</v>
      </c>
      <c r="E387" s="49">
        <f t="shared" ref="E387:E450" si="31">D387-C387</f>
        <v>0</v>
      </c>
      <c r="F387" s="47">
        <f>SUMIFS(LS[Unit],LS[Investor ID],A387,LS[Date Value],"&lt;="&amp;$Z$3)+SUMIFS(SIP[Unit],SIP[Investor ID],A387,SIP[Date Value],"&lt;="&amp;$Z$3)</f>
        <v>0</v>
      </c>
      <c r="G387" s="49">
        <f>(SUMIFS(LS[Amount],LS[B/S],"B",LS[Investor ID],A387,LS[Date Value],"&lt;="&amp;$Z$3)-SUMIFS(LS[Cost of Units Sold],LS[B/S],"S",LS[Investor ID],A387,LS[Date Value],"&lt;="&amp;$Z$3))+(SUMIFS(SIP[Amount],SIP[B/S],"B",SIP[Investor ID],A387,SIP[Date Value],"&lt;="&amp;$Z$3)-SUMIFS(SIP[Cost of Units Sold],SIP[B/S],"S",SIP[Investor ID],A387,SIP[Date Value],"&lt;="&amp;$Z$3))</f>
        <v>0</v>
      </c>
      <c r="H387" s="49">
        <f t="shared" ref="H387:H450" si="32">F387*$AA$3</f>
        <v>0</v>
      </c>
      <c r="I387" s="49">
        <f t="shared" ref="I387:I450" si="33">H387-G387</f>
        <v>0</v>
      </c>
      <c r="J387" s="47">
        <f>(SUMIFS(LS[Unit],LS[Investor ID],A387,LS[B/S],"B",LS[Date Value],"&gt;="&amp;$Z$2,LS[Date Value],"&lt;="&amp;$Z$3))+(SUMIFS(SIP[Unit],SIP[Investor ID],A387,SIP[B/S],"B",SIP[Date Value],"&gt;="&amp;$Z$2,SIP[Date Value],"&lt;="&amp;$Z$3))</f>
        <v>0</v>
      </c>
      <c r="K387" s="49">
        <f>(SUMIFS(LS[Amount],LS[Investor ID],A387,LS[B/S],"B",LS[Date Value],"&gt;="&amp;$Z$2,LS[Date Value],"&lt;="&amp;$Z$3))+(SUMIFS(SIP[Amount],SIP[Investor ID],A387,SIP[B/S],"B",SIP[Date Value],"&gt;="&amp;$Z$2,SIP[Date Value],"&lt;="&amp;$Z$3))</f>
        <v>0</v>
      </c>
      <c r="L387" s="47">
        <f>(-SUMIFS(LS[Unit],LS[Investor ID],A387,LS[B/S],"S",LS[Date Value],"&gt;="&amp;$Z$2,LS[Date Value],"&lt;="&amp;$Z$3))+(-SUMIFS(SIP[Unit],SIP[Investor ID],A387,SIP[B/S],"S",SIP[Date Value],"&gt;="&amp;$Z$2,SIP[Date Value],"&lt;="&amp;$Z$3))</f>
        <v>0</v>
      </c>
      <c r="M387" s="49">
        <f>(SUMIFS(LS[Cost of Units Sold],LS[Investor ID],A387,LS[B/S],"S",LS[Date Value],"&gt;="&amp;$Z$2,LS[Date Value],"&lt;="&amp;$Z$3))+(SUMIFS(SIP[Cost of Units Sold],SIP[Investor ID],A387,SIP[B/S],"S",SIP[Date Value],"&gt;="&amp;$Z$2,SIP[Date Value],"&lt;="&amp;$Z$3))</f>
        <v>0</v>
      </c>
      <c r="N387" s="49">
        <f t="shared" ref="N387:N450" si="34">K387-M387</f>
        <v>0</v>
      </c>
      <c r="O387" s="49">
        <f>(SUMIFS(LS[Realized Gain],LS[Investor ID],A387,LS[Date Value],"&gt;="&amp;$Z$2,LS[Date Value],"&lt;="&amp;$Z$3))+(SUMIFS(SIP[Realized Gain],SIP[Investor ID],A387,SIP[Date Value],"&gt;="&amp;$Z$2,SIP[Date Value],"&lt;="&amp;$Z$3))</f>
        <v>0</v>
      </c>
      <c r="P387" s="49">
        <v>0</v>
      </c>
      <c r="Q387" s="49">
        <v>0</v>
      </c>
      <c r="R387" s="49">
        <v>0</v>
      </c>
    </row>
    <row r="388" spans="1:18">
      <c r="A388" t="s">
        <v>823</v>
      </c>
      <c r="B388" s="47">
        <f>SUMIFS(LS[Unit],LS[Investor ID],'TAX CERTIFICATE'!A388,LS[Date Value],"&lt;"&amp;$Z$2)+SUMIFS(SIP[Unit],SIP[Investor ID],'TAX CERTIFICATE'!A388,SIP[Date Value],"&lt;"&amp;$Z$2)</f>
        <v>0</v>
      </c>
      <c r="C388" s="48">
        <f>(SUMIFS(LS[Amount],LS[B/S],"B",LS[Investor ID],A388,LS[Date Value],"&lt;"&amp;$Z$2)-SUMIFS(LS[Cost of Units Sold],LS[B/S],"S",LS[Investor ID],A388,LS[Date Value],"&lt;"&amp;$Z$2))+(SUMIFS(SIP[Amount],SIP[B/S],"B",SIP[Investor ID],#REF!,SIP[Date Value],"&lt;"&amp;$Z$2)-SUMIFS(SIP[Cost of Units Sold],SIP[B/S],"S",SIP[Investor ID],A388,SIP[Date Value],"&lt;"&amp;$Z$2))</f>
        <v>0</v>
      </c>
      <c r="D388" s="49">
        <f t="shared" si="30"/>
        <v>0</v>
      </c>
      <c r="E388" s="49">
        <f t="shared" si="31"/>
        <v>0</v>
      </c>
      <c r="F388" s="47">
        <f>SUMIFS(LS[Unit],LS[Investor ID],A388,LS[Date Value],"&lt;="&amp;$Z$3)+SUMIFS(SIP[Unit],SIP[Investor ID],A388,SIP[Date Value],"&lt;="&amp;$Z$3)</f>
        <v>0</v>
      </c>
      <c r="G388" s="49">
        <f>(SUMIFS(LS[Amount],LS[B/S],"B",LS[Investor ID],A388,LS[Date Value],"&lt;="&amp;$Z$3)-SUMIFS(LS[Cost of Units Sold],LS[B/S],"S",LS[Investor ID],A388,LS[Date Value],"&lt;="&amp;$Z$3))+(SUMIFS(SIP[Amount],SIP[B/S],"B",SIP[Investor ID],A388,SIP[Date Value],"&lt;="&amp;$Z$3)-SUMIFS(SIP[Cost of Units Sold],SIP[B/S],"S",SIP[Investor ID],A388,SIP[Date Value],"&lt;="&amp;$Z$3))</f>
        <v>0</v>
      </c>
      <c r="H388" s="49">
        <f t="shared" si="32"/>
        <v>0</v>
      </c>
      <c r="I388" s="49">
        <f t="shared" si="33"/>
        <v>0</v>
      </c>
      <c r="J388" s="47">
        <f>(SUMIFS(LS[Unit],LS[Investor ID],A388,LS[B/S],"B",LS[Date Value],"&gt;="&amp;$Z$2,LS[Date Value],"&lt;="&amp;$Z$3))+(SUMIFS(SIP[Unit],SIP[Investor ID],A388,SIP[B/S],"B",SIP[Date Value],"&gt;="&amp;$Z$2,SIP[Date Value],"&lt;="&amp;$Z$3))</f>
        <v>0</v>
      </c>
      <c r="K388" s="49">
        <f>(SUMIFS(LS[Amount],LS[Investor ID],A388,LS[B/S],"B",LS[Date Value],"&gt;="&amp;$Z$2,LS[Date Value],"&lt;="&amp;$Z$3))+(SUMIFS(SIP[Amount],SIP[Investor ID],A388,SIP[B/S],"B",SIP[Date Value],"&gt;="&amp;$Z$2,SIP[Date Value],"&lt;="&amp;$Z$3))</f>
        <v>0</v>
      </c>
      <c r="L388" s="47">
        <f>(-SUMIFS(LS[Unit],LS[Investor ID],A388,LS[B/S],"S",LS[Date Value],"&gt;="&amp;$Z$2,LS[Date Value],"&lt;="&amp;$Z$3))+(-SUMIFS(SIP[Unit],SIP[Investor ID],A388,SIP[B/S],"S",SIP[Date Value],"&gt;="&amp;$Z$2,SIP[Date Value],"&lt;="&amp;$Z$3))</f>
        <v>0</v>
      </c>
      <c r="M388" s="49">
        <f>(SUMIFS(LS[Cost of Units Sold],LS[Investor ID],A388,LS[B/S],"S",LS[Date Value],"&gt;="&amp;$Z$2,LS[Date Value],"&lt;="&amp;$Z$3))+(SUMIFS(SIP[Cost of Units Sold],SIP[Investor ID],A388,SIP[B/S],"S",SIP[Date Value],"&gt;="&amp;$Z$2,SIP[Date Value],"&lt;="&amp;$Z$3))</f>
        <v>0</v>
      </c>
      <c r="N388" s="49">
        <f t="shared" si="34"/>
        <v>0</v>
      </c>
      <c r="O388" s="49">
        <f>(SUMIFS(LS[Realized Gain],LS[Investor ID],A388,LS[Date Value],"&gt;="&amp;$Z$2,LS[Date Value],"&lt;="&amp;$Z$3))+(SUMIFS(SIP[Realized Gain],SIP[Investor ID],A388,SIP[Date Value],"&gt;="&amp;$Z$2,SIP[Date Value],"&lt;="&amp;$Z$3))</f>
        <v>0</v>
      </c>
      <c r="P388" s="49">
        <v>0</v>
      </c>
      <c r="Q388" s="49">
        <v>0</v>
      </c>
      <c r="R388" s="49">
        <v>0</v>
      </c>
    </row>
    <row r="389" spans="1:18">
      <c r="A389" t="s">
        <v>825</v>
      </c>
      <c r="B389" s="47">
        <f>SUMIFS(LS[Unit],LS[Investor ID],'TAX CERTIFICATE'!A389,LS[Date Value],"&lt;"&amp;$Z$2)+SUMIFS(SIP[Unit],SIP[Investor ID],'TAX CERTIFICATE'!A389,SIP[Date Value],"&lt;"&amp;$Z$2)</f>
        <v>0</v>
      </c>
      <c r="C389" s="48">
        <f>(SUMIFS(LS[Amount],LS[B/S],"B",LS[Investor ID],A389,LS[Date Value],"&lt;"&amp;$Z$2)-SUMIFS(LS[Cost of Units Sold],LS[B/S],"S",LS[Investor ID],A389,LS[Date Value],"&lt;"&amp;$Z$2))+(SUMIFS(SIP[Amount],SIP[B/S],"B",SIP[Investor ID],#REF!,SIP[Date Value],"&lt;"&amp;$Z$2)-SUMIFS(SIP[Cost of Units Sold],SIP[B/S],"S",SIP[Investor ID],A389,SIP[Date Value],"&lt;"&amp;$Z$2))</f>
        <v>0</v>
      </c>
      <c r="D389" s="49">
        <f t="shared" si="30"/>
        <v>0</v>
      </c>
      <c r="E389" s="49">
        <f t="shared" si="31"/>
        <v>0</v>
      </c>
      <c r="F389" s="47">
        <f>SUMIFS(LS[Unit],LS[Investor ID],A389,LS[Date Value],"&lt;="&amp;$Z$3)+SUMIFS(SIP[Unit],SIP[Investor ID],A389,SIP[Date Value],"&lt;="&amp;$Z$3)</f>
        <v>0</v>
      </c>
      <c r="G389" s="49">
        <f>(SUMIFS(LS[Amount],LS[B/S],"B",LS[Investor ID],A389,LS[Date Value],"&lt;="&amp;$Z$3)-SUMIFS(LS[Cost of Units Sold],LS[B/S],"S",LS[Investor ID],A389,LS[Date Value],"&lt;="&amp;$Z$3))+(SUMIFS(SIP[Amount],SIP[B/S],"B",SIP[Investor ID],A389,SIP[Date Value],"&lt;="&amp;$Z$3)-SUMIFS(SIP[Cost of Units Sold],SIP[B/S],"S",SIP[Investor ID],A389,SIP[Date Value],"&lt;="&amp;$Z$3))</f>
        <v>0</v>
      </c>
      <c r="H389" s="49">
        <f t="shared" si="32"/>
        <v>0</v>
      </c>
      <c r="I389" s="49">
        <f t="shared" si="33"/>
        <v>0</v>
      </c>
      <c r="J389" s="47">
        <f>(SUMIFS(LS[Unit],LS[Investor ID],A389,LS[B/S],"B",LS[Date Value],"&gt;="&amp;$Z$2,LS[Date Value],"&lt;="&amp;$Z$3))+(SUMIFS(SIP[Unit],SIP[Investor ID],A389,SIP[B/S],"B",SIP[Date Value],"&gt;="&amp;$Z$2,SIP[Date Value],"&lt;="&amp;$Z$3))</f>
        <v>0</v>
      </c>
      <c r="K389" s="49">
        <f>(SUMIFS(LS[Amount],LS[Investor ID],A389,LS[B/S],"B",LS[Date Value],"&gt;="&amp;$Z$2,LS[Date Value],"&lt;="&amp;$Z$3))+(SUMIFS(SIP[Amount],SIP[Investor ID],A389,SIP[B/S],"B",SIP[Date Value],"&gt;="&amp;$Z$2,SIP[Date Value],"&lt;="&amp;$Z$3))</f>
        <v>0</v>
      </c>
      <c r="L389" s="47">
        <f>(-SUMIFS(LS[Unit],LS[Investor ID],A389,LS[B/S],"S",LS[Date Value],"&gt;="&amp;$Z$2,LS[Date Value],"&lt;="&amp;$Z$3))+(-SUMIFS(SIP[Unit],SIP[Investor ID],A389,SIP[B/S],"S",SIP[Date Value],"&gt;="&amp;$Z$2,SIP[Date Value],"&lt;="&amp;$Z$3))</f>
        <v>0</v>
      </c>
      <c r="M389" s="49">
        <f>(SUMIFS(LS[Cost of Units Sold],LS[Investor ID],A389,LS[B/S],"S",LS[Date Value],"&gt;="&amp;$Z$2,LS[Date Value],"&lt;="&amp;$Z$3))+(SUMIFS(SIP[Cost of Units Sold],SIP[Investor ID],A389,SIP[B/S],"S",SIP[Date Value],"&gt;="&amp;$Z$2,SIP[Date Value],"&lt;="&amp;$Z$3))</f>
        <v>0</v>
      </c>
      <c r="N389" s="49">
        <f t="shared" si="34"/>
        <v>0</v>
      </c>
      <c r="O389" s="49">
        <f>(SUMIFS(LS[Realized Gain],LS[Investor ID],A389,LS[Date Value],"&gt;="&amp;$Z$2,LS[Date Value],"&lt;="&amp;$Z$3))+(SUMIFS(SIP[Realized Gain],SIP[Investor ID],A389,SIP[Date Value],"&gt;="&amp;$Z$2,SIP[Date Value],"&lt;="&amp;$Z$3))</f>
        <v>0</v>
      </c>
      <c r="P389" s="49">
        <v>0</v>
      </c>
      <c r="Q389" s="49">
        <v>0</v>
      </c>
      <c r="R389" s="49">
        <v>0</v>
      </c>
    </row>
    <row r="390" spans="1:18">
      <c r="A390" t="s">
        <v>827</v>
      </c>
      <c r="B390" s="47">
        <f>SUMIFS(LS[Unit],LS[Investor ID],'TAX CERTIFICATE'!A390,LS[Date Value],"&lt;"&amp;$Z$2)+SUMIFS(SIP[Unit],SIP[Investor ID],'TAX CERTIFICATE'!A390,SIP[Date Value],"&lt;"&amp;$Z$2)</f>
        <v>0</v>
      </c>
      <c r="C390" s="48">
        <f>(SUMIFS(LS[Amount],LS[B/S],"B",LS[Investor ID],A390,LS[Date Value],"&lt;"&amp;$Z$2)-SUMIFS(LS[Cost of Units Sold],LS[B/S],"S",LS[Investor ID],A390,LS[Date Value],"&lt;"&amp;$Z$2))+(SUMIFS(SIP[Amount],SIP[B/S],"B",SIP[Investor ID],#REF!,SIP[Date Value],"&lt;"&amp;$Z$2)-SUMIFS(SIP[Cost of Units Sold],SIP[B/S],"S",SIP[Investor ID],A390,SIP[Date Value],"&lt;"&amp;$Z$2))</f>
        <v>0</v>
      </c>
      <c r="D390" s="49">
        <f t="shared" si="30"/>
        <v>0</v>
      </c>
      <c r="E390" s="49">
        <f t="shared" si="31"/>
        <v>0</v>
      </c>
      <c r="F390" s="47">
        <f>SUMIFS(LS[Unit],LS[Investor ID],A390,LS[Date Value],"&lt;="&amp;$Z$3)+SUMIFS(SIP[Unit],SIP[Investor ID],A390,SIP[Date Value],"&lt;="&amp;$Z$3)</f>
        <v>0</v>
      </c>
      <c r="G390" s="49">
        <f>(SUMIFS(LS[Amount],LS[B/S],"B",LS[Investor ID],A390,LS[Date Value],"&lt;="&amp;$Z$3)-SUMIFS(LS[Cost of Units Sold],LS[B/S],"S",LS[Investor ID],A390,LS[Date Value],"&lt;="&amp;$Z$3))+(SUMIFS(SIP[Amount],SIP[B/S],"B",SIP[Investor ID],A390,SIP[Date Value],"&lt;="&amp;$Z$3)-SUMIFS(SIP[Cost of Units Sold],SIP[B/S],"S",SIP[Investor ID],A390,SIP[Date Value],"&lt;="&amp;$Z$3))</f>
        <v>0</v>
      </c>
      <c r="H390" s="49">
        <f t="shared" si="32"/>
        <v>0</v>
      </c>
      <c r="I390" s="49">
        <f t="shared" si="33"/>
        <v>0</v>
      </c>
      <c r="J390" s="47">
        <f>(SUMIFS(LS[Unit],LS[Investor ID],A390,LS[B/S],"B",LS[Date Value],"&gt;="&amp;$Z$2,LS[Date Value],"&lt;="&amp;$Z$3))+(SUMIFS(SIP[Unit],SIP[Investor ID],A390,SIP[B/S],"B",SIP[Date Value],"&gt;="&amp;$Z$2,SIP[Date Value],"&lt;="&amp;$Z$3))</f>
        <v>0</v>
      </c>
      <c r="K390" s="49">
        <f>(SUMIFS(LS[Amount],LS[Investor ID],A390,LS[B/S],"B",LS[Date Value],"&gt;="&amp;$Z$2,LS[Date Value],"&lt;="&amp;$Z$3))+(SUMIFS(SIP[Amount],SIP[Investor ID],A390,SIP[B/S],"B",SIP[Date Value],"&gt;="&amp;$Z$2,SIP[Date Value],"&lt;="&amp;$Z$3))</f>
        <v>0</v>
      </c>
      <c r="L390" s="47">
        <f>(-SUMIFS(LS[Unit],LS[Investor ID],A390,LS[B/S],"S",LS[Date Value],"&gt;="&amp;$Z$2,LS[Date Value],"&lt;="&amp;$Z$3))+(-SUMIFS(SIP[Unit],SIP[Investor ID],A390,SIP[B/S],"S",SIP[Date Value],"&gt;="&amp;$Z$2,SIP[Date Value],"&lt;="&amp;$Z$3))</f>
        <v>0</v>
      </c>
      <c r="M390" s="49">
        <f>(SUMIFS(LS[Cost of Units Sold],LS[Investor ID],A390,LS[B/S],"S",LS[Date Value],"&gt;="&amp;$Z$2,LS[Date Value],"&lt;="&amp;$Z$3))+(SUMIFS(SIP[Cost of Units Sold],SIP[Investor ID],A390,SIP[B/S],"S",SIP[Date Value],"&gt;="&amp;$Z$2,SIP[Date Value],"&lt;="&amp;$Z$3))</f>
        <v>0</v>
      </c>
      <c r="N390" s="49">
        <f t="shared" si="34"/>
        <v>0</v>
      </c>
      <c r="O390" s="49">
        <f>(SUMIFS(LS[Realized Gain],LS[Investor ID],A390,LS[Date Value],"&gt;="&amp;$Z$2,LS[Date Value],"&lt;="&amp;$Z$3))+(SUMIFS(SIP[Realized Gain],SIP[Investor ID],A390,SIP[Date Value],"&gt;="&amp;$Z$2,SIP[Date Value],"&lt;="&amp;$Z$3))</f>
        <v>0</v>
      </c>
      <c r="P390" s="49">
        <v>0</v>
      </c>
      <c r="Q390" s="49">
        <v>0</v>
      </c>
      <c r="R390" s="49">
        <v>0</v>
      </c>
    </row>
    <row r="391" spans="1:18">
      <c r="A391" t="s">
        <v>829</v>
      </c>
      <c r="B391" s="47">
        <f>SUMIFS(LS[Unit],LS[Investor ID],'TAX CERTIFICATE'!A391,LS[Date Value],"&lt;"&amp;$Z$2)+SUMIFS(SIP[Unit],SIP[Investor ID],'TAX CERTIFICATE'!A391,SIP[Date Value],"&lt;"&amp;$Z$2)</f>
        <v>0</v>
      </c>
      <c r="C391" s="48">
        <f>(SUMIFS(LS[Amount],LS[B/S],"B",LS[Investor ID],A391,LS[Date Value],"&lt;"&amp;$Z$2)-SUMIFS(LS[Cost of Units Sold],LS[B/S],"S",LS[Investor ID],A391,LS[Date Value],"&lt;"&amp;$Z$2))+(SUMIFS(SIP[Amount],SIP[B/S],"B",SIP[Investor ID],#REF!,SIP[Date Value],"&lt;"&amp;$Z$2)-SUMIFS(SIP[Cost of Units Sold],SIP[B/S],"S",SIP[Investor ID],A391,SIP[Date Value],"&lt;"&amp;$Z$2))</f>
        <v>0</v>
      </c>
      <c r="D391" s="49">
        <f t="shared" si="30"/>
        <v>0</v>
      </c>
      <c r="E391" s="49">
        <f t="shared" si="31"/>
        <v>0</v>
      </c>
      <c r="F391" s="47">
        <f>SUMIFS(LS[Unit],LS[Investor ID],A391,LS[Date Value],"&lt;="&amp;$Z$3)+SUMIFS(SIP[Unit],SIP[Investor ID],A391,SIP[Date Value],"&lt;="&amp;$Z$3)</f>
        <v>0</v>
      </c>
      <c r="G391" s="49">
        <f>(SUMIFS(LS[Amount],LS[B/S],"B",LS[Investor ID],A391,LS[Date Value],"&lt;="&amp;$Z$3)-SUMIFS(LS[Cost of Units Sold],LS[B/S],"S",LS[Investor ID],A391,LS[Date Value],"&lt;="&amp;$Z$3))+(SUMIFS(SIP[Amount],SIP[B/S],"B",SIP[Investor ID],A391,SIP[Date Value],"&lt;="&amp;$Z$3)-SUMIFS(SIP[Cost of Units Sold],SIP[B/S],"S",SIP[Investor ID],A391,SIP[Date Value],"&lt;="&amp;$Z$3))</f>
        <v>0</v>
      </c>
      <c r="H391" s="49">
        <f t="shared" si="32"/>
        <v>0</v>
      </c>
      <c r="I391" s="49">
        <f t="shared" si="33"/>
        <v>0</v>
      </c>
      <c r="J391" s="47">
        <f>(SUMIFS(LS[Unit],LS[Investor ID],A391,LS[B/S],"B",LS[Date Value],"&gt;="&amp;$Z$2,LS[Date Value],"&lt;="&amp;$Z$3))+(SUMIFS(SIP[Unit],SIP[Investor ID],A391,SIP[B/S],"B",SIP[Date Value],"&gt;="&amp;$Z$2,SIP[Date Value],"&lt;="&amp;$Z$3))</f>
        <v>0</v>
      </c>
      <c r="K391" s="49">
        <f>(SUMIFS(LS[Amount],LS[Investor ID],A391,LS[B/S],"B",LS[Date Value],"&gt;="&amp;$Z$2,LS[Date Value],"&lt;="&amp;$Z$3))+(SUMIFS(SIP[Amount],SIP[Investor ID],A391,SIP[B/S],"B",SIP[Date Value],"&gt;="&amp;$Z$2,SIP[Date Value],"&lt;="&amp;$Z$3))</f>
        <v>0</v>
      </c>
      <c r="L391" s="47">
        <f>(-SUMIFS(LS[Unit],LS[Investor ID],A391,LS[B/S],"S",LS[Date Value],"&gt;="&amp;$Z$2,LS[Date Value],"&lt;="&amp;$Z$3))+(-SUMIFS(SIP[Unit],SIP[Investor ID],A391,SIP[B/S],"S",SIP[Date Value],"&gt;="&amp;$Z$2,SIP[Date Value],"&lt;="&amp;$Z$3))</f>
        <v>0</v>
      </c>
      <c r="M391" s="49">
        <f>(SUMIFS(LS[Cost of Units Sold],LS[Investor ID],A391,LS[B/S],"S",LS[Date Value],"&gt;="&amp;$Z$2,LS[Date Value],"&lt;="&amp;$Z$3))+(SUMIFS(SIP[Cost of Units Sold],SIP[Investor ID],A391,SIP[B/S],"S",SIP[Date Value],"&gt;="&amp;$Z$2,SIP[Date Value],"&lt;="&amp;$Z$3))</f>
        <v>0</v>
      </c>
      <c r="N391" s="49">
        <f t="shared" si="34"/>
        <v>0</v>
      </c>
      <c r="O391" s="49">
        <f>(SUMIFS(LS[Realized Gain],LS[Investor ID],A391,LS[Date Value],"&gt;="&amp;$Z$2,LS[Date Value],"&lt;="&amp;$Z$3))+(SUMIFS(SIP[Realized Gain],SIP[Investor ID],A391,SIP[Date Value],"&gt;="&amp;$Z$2,SIP[Date Value],"&lt;="&amp;$Z$3))</f>
        <v>0</v>
      </c>
      <c r="P391" s="49">
        <v>0</v>
      </c>
      <c r="Q391" s="49">
        <v>0</v>
      </c>
      <c r="R391" s="49">
        <v>0</v>
      </c>
    </row>
    <row r="392" spans="1:18">
      <c r="A392" t="s">
        <v>831</v>
      </c>
      <c r="B392" s="47">
        <f>SUMIFS(LS[Unit],LS[Investor ID],'TAX CERTIFICATE'!A392,LS[Date Value],"&lt;"&amp;$Z$2)+SUMIFS(SIP[Unit],SIP[Investor ID],'TAX CERTIFICATE'!A392,SIP[Date Value],"&lt;"&amp;$Z$2)</f>
        <v>13044</v>
      </c>
      <c r="C392" s="48">
        <f>(SUMIFS(LS[Amount],LS[B/S],"B",LS[Investor ID],A392,LS[Date Value],"&lt;"&amp;$Z$2)-SUMIFS(LS[Cost of Units Sold],LS[B/S],"S",LS[Investor ID],A392,LS[Date Value],"&lt;"&amp;$Z$2))+(SUMIFS(SIP[Amount],SIP[B/S],"B",SIP[Investor ID],#REF!,SIP[Date Value],"&lt;"&amp;$Z$2)-SUMIFS(SIP[Cost of Units Sold],SIP[B/S],"S",SIP[Investor ID],A392,SIP[Date Value],"&lt;"&amp;$Z$2))</f>
        <v>88000</v>
      </c>
      <c r="D392" s="49">
        <f t="shared" si="30"/>
        <v>133974.924</v>
      </c>
      <c r="E392" s="49">
        <f t="shared" si="31"/>
        <v>45974.923999999999</v>
      </c>
      <c r="F392" s="47">
        <f>SUMIFS(LS[Unit],LS[Investor ID],A392,LS[Date Value],"&lt;="&amp;$Z$3)+SUMIFS(SIP[Unit],SIP[Investor ID],A392,SIP[Date Value],"&lt;="&amp;$Z$3)</f>
        <v>27600</v>
      </c>
      <c r="G392" s="49">
        <f>(SUMIFS(LS[Amount],LS[B/S],"B",LS[Investor ID],A392,LS[Date Value],"&lt;="&amp;$Z$3)-SUMIFS(LS[Cost of Units Sold],LS[B/S],"S",LS[Investor ID],A392,LS[Date Value],"&lt;="&amp;$Z$3))+(SUMIFS(SIP[Amount],SIP[B/S],"B",SIP[Investor ID],A392,SIP[Date Value],"&lt;="&amp;$Z$3)-SUMIFS(SIP[Cost of Units Sold],SIP[B/S],"S",SIP[Investor ID],A392,SIP[Date Value],"&lt;="&amp;$Z$3))</f>
        <v>286360</v>
      </c>
      <c r="H392" s="49">
        <f t="shared" si="32"/>
        <v>308126.39999999997</v>
      </c>
      <c r="I392" s="49">
        <f t="shared" si="33"/>
        <v>21766.399999999965</v>
      </c>
      <c r="J392" s="47">
        <f>(SUMIFS(LS[Unit],LS[Investor ID],A392,LS[B/S],"B",LS[Date Value],"&gt;="&amp;$Z$2,LS[Date Value],"&lt;="&amp;$Z$3))+(SUMIFS(SIP[Unit],SIP[Investor ID],A392,SIP[B/S],"B",SIP[Date Value],"&gt;="&amp;$Z$2,SIP[Date Value],"&lt;="&amp;$Z$3))</f>
        <v>14556</v>
      </c>
      <c r="K392" s="49">
        <f>(SUMIFS(LS[Amount],LS[Investor ID],A392,LS[B/S],"B",LS[Date Value],"&gt;="&amp;$Z$2,LS[Date Value],"&lt;="&amp;$Z$3))+(SUMIFS(SIP[Amount],SIP[Investor ID],A392,SIP[B/S],"B",SIP[Date Value],"&gt;="&amp;$Z$2,SIP[Date Value],"&lt;="&amp;$Z$3))</f>
        <v>154280</v>
      </c>
      <c r="L392" s="47">
        <f>(-SUMIFS(LS[Unit],LS[Investor ID],A392,LS[B/S],"S",LS[Date Value],"&gt;="&amp;$Z$2,LS[Date Value],"&lt;="&amp;$Z$3))+(-SUMIFS(SIP[Unit],SIP[Investor ID],A392,SIP[B/S],"S",SIP[Date Value],"&gt;="&amp;$Z$2,SIP[Date Value],"&lt;="&amp;$Z$3))</f>
        <v>0</v>
      </c>
      <c r="M392" s="49">
        <f>(SUMIFS(LS[Cost of Units Sold],LS[Investor ID],A392,LS[B/S],"S",LS[Date Value],"&gt;="&amp;$Z$2,LS[Date Value],"&lt;="&amp;$Z$3))+(SUMIFS(SIP[Cost of Units Sold],SIP[Investor ID],A392,SIP[B/S],"S",SIP[Date Value],"&gt;="&amp;$Z$2,SIP[Date Value],"&lt;="&amp;$Z$3))</f>
        <v>0</v>
      </c>
      <c r="N392" s="49">
        <f t="shared" si="34"/>
        <v>154280</v>
      </c>
      <c r="O392" s="49">
        <f>(SUMIFS(LS[Realized Gain],LS[Investor ID],A392,LS[Date Value],"&gt;="&amp;$Z$2,LS[Date Value],"&lt;="&amp;$Z$3))+(SUMIFS(SIP[Realized Gain],SIP[Investor ID],A392,SIP[Date Value],"&gt;="&amp;$Z$2,SIP[Date Value],"&lt;="&amp;$Z$3))</f>
        <v>0</v>
      </c>
      <c r="P392" s="49">
        <v>0</v>
      </c>
      <c r="Q392" s="49">
        <v>0</v>
      </c>
      <c r="R392" s="49">
        <v>0</v>
      </c>
    </row>
    <row r="393" spans="1:18">
      <c r="A393" t="s">
        <v>833</v>
      </c>
      <c r="B393" s="47">
        <f>SUMIFS(LS[Unit],LS[Investor ID],'TAX CERTIFICATE'!A393,LS[Date Value],"&lt;"&amp;$Z$2)+SUMIFS(SIP[Unit],SIP[Investor ID],'TAX CERTIFICATE'!A393,SIP[Date Value],"&lt;"&amp;$Z$2)</f>
        <v>0</v>
      </c>
      <c r="C393" s="48">
        <f>(SUMIFS(LS[Amount],LS[B/S],"B",LS[Investor ID],A393,LS[Date Value],"&lt;"&amp;$Z$2)-SUMIFS(LS[Cost of Units Sold],LS[B/S],"S",LS[Investor ID],A393,LS[Date Value],"&lt;"&amp;$Z$2))+(SUMIFS(SIP[Amount],SIP[B/S],"B",SIP[Investor ID],#REF!,SIP[Date Value],"&lt;"&amp;$Z$2)-SUMIFS(SIP[Cost of Units Sold],SIP[B/S],"S",SIP[Investor ID],A393,SIP[Date Value],"&lt;"&amp;$Z$2))</f>
        <v>0</v>
      </c>
      <c r="D393" s="49">
        <f t="shared" si="30"/>
        <v>0</v>
      </c>
      <c r="E393" s="49">
        <f t="shared" si="31"/>
        <v>0</v>
      </c>
      <c r="F393" s="47">
        <f>SUMIFS(LS[Unit],LS[Investor ID],A393,LS[Date Value],"&lt;="&amp;$Z$3)+SUMIFS(SIP[Unit],SIP[Investor ID],A393,SIP[Date Value],"&lt;="&amp;$Z$3)</f>
        <v>0</v>
      </c>
      <c r="G393" s="49">
        <f>(SUMIFS(LS[Amount],LS[B/S],"B",LS[Investor ID],A393,LS[Date Value],"&lt;="&amp;$Z$3)-SUMIFS(LS[Cost of Units Sold],LS[B/S],"S",LS[Investor ID],A393,LS[Date Value],"&lt;="&amp;$Z$3))+(SUMIFS(SIP[Amount],SIP[B/S],"B",SIP[Investor ID],A393,SIP[Date Value],"&lt;="&amp;$Z$3)-SUMIFS(SIP[Cost of Units Sold],SIP[B/S],"S",SIP[Investor ID],A393,SIP[Date Value],"&lt;="&amp;$Z$3))</f>
        <v>0</v>
      </c>
      <c r="H393" s="49">
        <f t="shared" si="32"/>
        <v>0</v>
      </c>
      <c r="I393" s="49">
        <f t="shared" si="33"/>
        <v>0</v>
      </c>
      <c r="J393" s="47">
        <f>(SUMIFS(LS[Unit],LS[Investor ID],A393,LS[B/S],"B",LS[Date Value],"&gt;="&amp;$Z$2,LS[Date Value],"&lt;="&amp;$Z$3))+(SUMIFS(SIP[Unit],SIP[Investor ID],A393,SIP[B/S],"B",SIP[Date Value],"&gt;="&amp;$Z$2,SIP[Date Value],"&lt;="&amp;$Z$3))</f>
        <v>0</v>
      </c>
      <c r="K393" s="49">
        <f>(SUMIFS(LS[Amount],LS[Investor ID],A393,LS[B/S],"B",LS[Date Value],"&gt;="&amp;$Z$2,LS[Date Value],"&lt;="&amp;$Z$3))+(SUMIFS(SIP[Amount],SIP[Investor ID],A393,SIP[B/S],"B",SIP[Date Value],"&gt;="&amp;$Z$2,SIP[Date Value],"&lt;="&amp;$Z$3))</f>
        <v>0</v>
      </c>
      <c r="L393" s="47">
        <f>(-SUMIFS(LS[Unit],LS[Investor ID],A393,LS[B/S],"S",LS[Date Value],"&gt;="&amp;$Z$2,LS[Date Value],"&lt;="&amp;$Z$3))+(-SUMIFS(SIP[Unit],SIP[Investor ID],A393,SIP[B/S],"S",SIP[Date Value],"&gt;="&amp;$Z$2,SIP[Date Value],"&lt;="&amp;$Z$3))</f>
        <v>0</v>
      </c>
      <c r="M393" s="49">
        <f>(SUMIFS(LS[Cost of Units Sold],LS[Investor ID],A393,LS[B/S],"S",LS[Date Value],"&gt;="&amp;$Z$2,LS[Date Value],"&lt;="&amp;$Z$3))+(SUMIFS(SIP[Cost of Units Sold],SIP[Investor ID],A393,SIP[B/S],"S",SIP[Date Value],"&gt;="&amp;$Z$2,SIP[Date Value],"&lt;="&amp;$Z$3))</f>
        <v>0</v>
      </c>
      <c r="N393" s="49">
        <f t="shared" si="34"/>
        <v>0</v>
      </c>
      <c r="O393" s="49">
        <f>(SUMIFS(LS[Realized Gain],LS[Investor ID],A393,LS[Date Value],"&gt;="&amp;$Z$2,LS[Date Value],"&lt;="&amp;$Z$3))+(SUMIFS(SIP[Realized Gain],SIP[Investor ID],A393,SIP[Date Value],"&gt;="&amp;$Z$2,SIP[Date Value],"&lt;="&amp;$Z$3))</f>
        <v>0</v>
      </c>
      <c r="P393" s="49">
        <v>0</v>
      </c>
      <c r="Q393" s="49">
        <v>0</v>
      </c>
      <c r="R393" s="49">
        <v>0</v>
      </c>
    </row>
    <row r="394" spans="1:18">
      <c r="A394" t="s">
        <v>835</v>
      </c>
      <c r="B394" s="47">
        <f>SUMIFS(LS[Unit],LS[Investor ID],'TAX CERTIFICATE'!A394,LS[Date Value],"&lt;"&amp;$Z$2)+SUMIFS(SIP[Unit],SIP[Investor ID],'TAX CERTIFICATE'!A394,SIP[Date Value],"&lt;"&amp;$Z$2)</f>
        <v>0</v>
      </c>
      <c r="C394" s="48">
        <f>(SUMIFS(LS[Amount],LS[B/S],"B",LS[Investor ID],A394,LS[Date Value],"&lt;"&amp;$Z$2)-SUMIFS(LS[Cost of Units Sold],LS[B/S],"S",LS[Investor ID],A394,LS[Date Value],"&lt;"&amp;$Z$2))+(SUMIFS(SIP[Amount],SIP[B/S],"B",SIP[Investor ID],#REF!,SIP[Date Value],"&lt;"&amp;$Z$2)-SUMIFS(SIP[Cost of Units Sold],SIP[B/S],"S",SIP[Investor ID],A394,SIP[Date Value],"&lt;"&amp;$Z$2))</f>
        <v>0</v>
      </c>
      <c r="D394" s="49">
        <f t="shared" si="30"/>
        <v>0</v>
      </c>
      <c r="E394" s="49">
        <f t="shared" si="31"/>
        <v>0</v>
      </c>
      <c r="F394" s="47">
        <f>SUMIFS(LS[Unit],LS[Investor ID],A394,LS[Date Value],"&lt;="&amp;$Z$3)+SUMIFS(SIP[Unit],SIP[Investor ID],A394,SIP[Date Value],"&lt;="&amp;$Z$3)</f>
        <v>0</v>
      </c>
      <c r="G394" s="49">
        <f>(SUMIFS(LS[Amount],LS[B/S],"B",LS[Investor ID],A394,LS[Date Value],"&lt;="&amp;$Z$3)-SUMIFS(LS[Cost of Units Sold],LS[B/S],"S",LS[Investor ID],A394,LS[Date Value],"&lt;="&amp;$Z$3))+(SUMIFS(SIP[Amount],SIP[B/S],"B",SIP[Investor ID],A394,SIP[Date Value],"&lt;="&amp;$Z$3)-SUMIFS(SIP[Cost of Units Sold],SIP[B/S],"S",SIP[Investor ID],A394,SIP[Date Value],"&lt;="&amp;$Z$3))</f>
        <v>0</v>
      </c>
      <c r="H394" s="49">
        <f t="shared" si="32"/>
        <v>0</v>
      </c>
      <c r="I394" s="49">
        <f t="shared" si="33"/>
        <v>0</v>
      </c>
      <c r="J394" s="47">
        <f>(SUMIFS(LS[Unit],LS[Investor ID],A394,LS[B/S],"B",LS[Date Value],"&gt;="&amp;$Z$2,LS[Date Value],"&lt;="&amp;$Z$3))+(SUMIFS(SIP[Unit],SIP[Investor ID],A394,SIP[B/S],"B",SIP[Date Value],"&gt;="&amp;$Z$2,SIP[Date Value],"&lt;="&amp;$Z$3))</f>
        <v>0</v>
      </c>
      <c r="K394" s="49">
        <f>(SUMIFS(LS[Amount],LS[Investor ID],A394,LS[B/S],"B",LS[Date Value],"&gt;="&amp;$Z$2,LS[Date Value],"&lt;="&amp;$Z$3))+(SUMIFS(SIP[Amount],SIP[Investor ID],A394,SIP[B/S],"B",SIP[Date Value],"&gt;="&amp;$Z$2,SIP[Date Value],"&lt;="&amp;$Z$3))</f>
        <v>0</v>
      </c>
      <c r="L394" s="47">
        <f>(-SUMIFS(LS[Unit],LS[Investor ID],A394,LS[B/S],"S",LS[Date Value],"&gt;="&amp;$Z$2,LS[Date Value],"&lt;="&amp;$Z$3))+(-SUMIFS(SIP[Unit],SIP[Investor ID],A394,SIP[B/S],"S",SIP[Date Value],"&gt;="&amp;$Z$2,SIP[Date Value],"&lt;="&amp;$Z$3))</f>
        <v>0</v>
      </c>
      <c r="M394" s="49">
        <f>(SUMIFS(LS[Cost of Units Sold],LS[Investor ID],A394,LS[B/S],"S",LS[Date Value],"&gt;="&amp;$Z$2,LS[Date Value],"&lt;="&amp;$Z$3))+(SUMIFS(SIP[Cost of Units Sold],SIP[Investor ID],A394,SIP[B/S],"S",SIP[Date Value],"&gt;="&amp;$Z$2,SIP[Date Value],"&lt;="&amp;$Z$3))</f>
        <v>0</v>
      </c>
      <c r="N394" s="49">
        <f t="shared" si="34"/>
        <v>0</v>
      </c>
      <c r="O394" s="49">
        <f>(SUMIFS(LS[Realized Gain],LS[Investor ID],A394,LS[Date Value],"&gt;="&amp;$Z$2,LS[Date Value],"&lt;="&amp;$Z$3))+(SUMIFS(SIP[Realized Gain],SIP[Investor ID],A394,SIP[Date Value],"&gt;="&amp;$Z$2,SIP[Date Value],"&lt;="&amp;$Z$3))</f>
        <v>0</v>
      </c>
      <c r="P394" s="49">
        <v>0</v>
      </c>
      <c r="Q394" s="49">
        <v>0</v>
      </c>
      <c r="R394" s="49">
        <v>0</v>
      </c>
    </row>
    <row r="395" spans="1:18">
      <c r="A395" t="s">
        <v>837</v>
      </c>
      <c r="B395" s="47">
        <f>SUMIFS(LS[Unit],LS[Investor ID],'TAX CERTIFICATE'!A395,LS[Date Value],"&lt;"&amp;$Z$2)+SUMIFS(SIP[Unit],SIP[Investor ID],'TAX CERTIFICATE'!A395,SIP[Date Value],"&lt;"&amp;$Z$2)</f>
        <v>0</v>
      </c>
      <c r="C395" s="48">
        <f>(SUMIFS(LS[Amount],LS[B/S],"B",LS[Investor ID],A395,LS[Date Value],"&lt;"&amp;$Z$2)-SUMIFS(LS[Cost of Units Sold],LS[B/S],"S",LS[Investor ID],A395,LS[Date Value],"&lt;"&amp;$Z$2))+(SUMIFS(SIP[Amount],SIP[B/S],"B",SIP[Investor ID],#REF!,SIP[Date Value],"&lt;"&amp;$Z$2)-SUMIFS(SIP[Cost of Units Sold],SIP[B/S],"S",SIP[Investor ID],A395,SIP[Date Value],"&lt;"&amp;$Z$2))</f>
        <v>0</v>
      </c>
      <c r="D395" s="49">
        <f t="shared" si="30"/>
        <v>0</v>
      </c>
      <c r="E395" s="49">
        <f t="shared" si="31"/>
        <v>0</v>
      </c>
      <c r="F395" s="47">
        <f>SUMIFS(LS[Unit],LS[Investor ID],A395,LS[Date Value],"&lt;="&amp;$Z$3)+SUMIFS(SIP[Unit],SIP[Investor ID],A395,SIP[Date Value],"&lt;="&amp;$Z$3)</f>
        <v>0</v>
      </c>
      <c r="G395" s="49">
        <f>(SUMIFS(LS[Amount],LS[B/S],"B",LS[Investor ID],A395,LS[Date Value],"&lt;="&amp;$Z$3)-SUMIFS(LS[Cost of Units Sold],LS[B/S],"S",LS[Investor ID],A395,LS[Date Value],"&lt;="&amp;$Z$3))+(SUMIFS(SIP[Amount],SIP[B/S],"B",SIP[Investor ID],A395,SIP[Date Value],"&lt;="&amp;$Z$3)-SUMIFS(SIP[Cost of Units Sold],SIP[B/S],"S",SIP[Investor ID],A395,SIP[Date Value],"&lt;="&amp;$Z$3))</f>
        <v>0</v>
      </c>
      <c r="H395" s="49">
        <f t="shared" si="32"/>
        <v>0</v>
      </c>
      <c r="I395" s="49">
        <f t="shared" si="33"/>
        <v>0</v>
      </c>
      <c r="J395" s="47">
        <f>(SUMIFS(LS[Unit],LS[Investor ID],A395,LS[B/S],"B",LS[Date Value],"&gt;="&amp;$Z$2,LS[Date Value],"&lt;="&amp;$Z$3))+(SUMIFS(SIP[Unit],SIP[Investor ID],A395,SIP[B/S],"B",SIP[Date Value],"&gt;="&amp;$Z$2,SIP[Date Value],"&lt;="&amp;$Z$3))</f>
        <v>0</v>
      </c>
      <c r="K395" s="49">
        <f>(SUMIFS(LS[Amount],LS[Investor ID],A395,LS[B/S],"B",LS[Date Value],"&gt;="&amp;$Z$2,LS[Date Value],"&lt;="&amp;$Z$3))+(SUMIFS(SIP[Amount],SIP[Investor ID],A395,SIP[B/S],"B",SIP[Date Value],"&gt;="&amp;$Z$2,SIP[Date Value],"&lt;="&amp;$Z$3))</f>
        <v>0</v>
      </c>
      <c r="L395" s="47">
        <f>(-SUMIFS(LS[Unit],LS[Investor ID],A395,LS[B/S],"S",LS[Date Value],"&gt;="&amp;$Z$2,LS[Date Value],"&lt;="&amp;$Z$3))+(-SUMIFS(SIP[Unit],SIP[Investor ID],A395,SIP[B/S],"S",SIP[Date Value],"&gt;="&amp;$Z$2,SIP[Date Value],"&lt;="&amp;$Z$3))</f>
        <v>0</v>
      </c>
      <c r="M395" s="49">
        <f>(SUMIFS(LS[Cost of Units Sold],LS[Investor ID],A395,LS[B/S],"S",LS[Date Value],"&gt;="&amp;$Z$2,LS[Date Value],"&lt;="&amp;$Z$3))+(SUMIFS(SIP[Cost of Units Sold],SIP[Investor ID],A395,SIP[B/S],"S",SIP[Date Value],"&gt;="&amp;$Z$2,SIP[Date Value],"&lt;="&amp;$Z$3))</f>
        <v>0</v>
      </c>
      <c r="N395" s="49">
        <f t="shared" si="34"/>
        <v>0</v>
      </c>
      <c r="O395" s="49">
        <f>(SUMIFS(LS[Realized Gain],LS[Investor ID],A395,LS[Date Value],"&gt;="&amp;$Z$2,LS[Date Value],"&lt;="&amp;$Z$3))+(SUMIFS(SIP[Realized Gain],SIP[Investor ID],A395,SIP[Date Value],"&gt;="&amp;$Z$2,SIP[Date Value],"&lt;="&amp;$Z$3))</f>
        <v>0</v>
      </c>
      <c r="P395" s="49">
        <v>0</v>
      </c>
      <c r="Q395" s="49">
        <v>0</v>
      </c>
      <c r="R395" s="49">
        <v>0</v>
      </c>
    </row>
    <row r="396" spans="1:18">
      <c r="A396" t="s">
        <v>839</v>
      </c>
      <c r="B396" s="47">
        <f>SUMIFS(LS[Unit],LS[Investor ID],'TAX CERTIFICATE'!A396,LS[Date Value],"&lt;"&amp;$Z$2)+SUMIFS(SIP[Unit],SIP[Investor ID],'TAX CERTIFICATE'!A396,SIP[Date Value],"&lt;"&amp;$Z$2)</f>
        <v>0</v>
      </c>
      <c r="C396" s="48">
        <f>(SUMIFS(LS[Amount],LS[B/S],"B",LS[Investor ID],A396,LS[Date Value],"&lt;"&amp;$Z$2)-SUMIFS(LS[Cost of Units Sold],LS[B/S],"S",LS[Investor ID],A396,LS[Date Value],"&lt;"&amp;$Z$2))+(SUMIFS(SIP[Amount],SIP[B/S],"B",SIP[Investor ID],#REF!,SIP[Date Value],"&lt;"&amp;$Z$2)-SUMIFS(SIP[Cost of Units Sold],SIP[B/S],"S",SIP[Investor ID],A396,SIP[Date Value],"&lt;"&amp;$Z$2))</f>
        <v>0</v>
      </c>
      <c r="D396" s="49">
        <f t="shared" si="30"/>
        <v>0</v>
      </c>
      <c r="E396" s="49">
        <f t="shared" si="31"/>
        <v>0</v>
      </c>
      <c r="F396" s="47">
        <f>SUMIFS(LS[Unit],LS[Investor ID],A396,LS[Date Value],"&lt;="&amp;$Z$3)+SUMIFS(SIP[Unit],SIP[Investor ID],A396,SIP[Date Value],"&lt;="&amp;$Z$3)</f>
        <v>0</v>
      </c>
      <c r="G396" s="49">
        <f>(SUMIFS(LS[Amount],LS[B/S],"B",LS[Investor ID],A396,LS[Date Value],"&lt;="&amp;$Z$3)-SUMIFS(LS[Cost of Units Sold],LS[B/S],"S",LS[Investor ID],A396,LS[Date Value],"&lt;="&amp;$Z$3))+(SUMIFS(SIP[Amount],SIP[B/S],"B",SIP[Investor ID],A396,SIP[Date Value],"&lt;="&amp;$Z$3)-SUMIFS(SIP[Cost of Units Sold],SIP[B/S],"S",SIP[Investor ID],A396,SIP[Date Value],"&lt;="&amp;$Z$3))</f>
        <v>0</v>
      </c>
      <c r="H396" s="49">
        <f t="shared" si="32"/>
        <v>0</v>
      </c>
      <c r="I396" s="49">
        <f t="shared" si="33"/>
        <v>0</v>
      </c>
      <c r="J396" s="47">
        <f>(SUMIFS(LS[Unit],LS[Investor ID],A396,LS[B/S],"B",LS[Date Value],"&gt;="&amp;$Z$2,LS[Date Value],"&lt;="&amp;$Z$3))+(SUMIFS(SIP[Unit],SIP[Investor ID],A396,SIP[B/S],"B",SIP[Date Value],"&gt;="&amp;$Z$2,SIP[Date Value],"&lt;="&amp;$Z$3))</f>
        <v>0</v>
      </c>
      <c r="K396" s="49">
        <f>(SUMIFS(LS[Amount],LS[Investor ID],A396,LS[B/S],"B",LS[Date Value],"&gt;="&amp;$Z$2,LS[Date Value],"&lt;="&amp;$Z$3))+(SUMIFS(SIP[Amount],SIP[Investor ID],A396,SIP[B/S],"B",SIP[Date Value],"&gt;="&amp;$Z$2,SIP[Date Value],"&lt;="&amp;$Z$3))</f>
        <v>0</v>
      </c>
      <c r="L396" s="47">
        <f>(-SUMIFS(LS[Unit],LS[Investor ID],A396,LS[B/S],"S",LS[Date Value],"&gt;="&amp;$Z$2,LS[Date Value],"&lt;="&amp;$Z$3))+(-SUMIFS(SIP[Unit],SIP[Investor ID],A396,SIP[B/S],"S",SIP[Date Value],"&gt;="&amp;$Z$2,SIP[Date Value],"&lt;="&amp;$Z$3))</f>
        <v>0</v>
      </c>
      <c r="M396" s="49">
        <f>(SUMIFS(LS[Cost of Units Sold],LS[Investor ID],A396,LS[B/S],"S",LS[Date Value],"&gt;="&amp;$Z$2,LS[Date Value],"&lt;="&amp;$Z$3))+(SUMIFS(SIP[Cost of Units Sold],SIP[Investor ID],A396,SIP[B/S],"S",SIP[Date Value],"&gt;="&amp;$Z$2,SIP[Date Value],"&lt;="&amp;$Z$3))</f>
        <v>0</v>
      </c>
      <c r="N396" s="49">
        <f t="shared" si="34"/>
        <v>0</v>
      </c>
      <c r="O396" s="49">
        <f>(SUMIFS(LS[Realized Gain],LS[Investor ID],A396,LS[Date Value],"&gt;="&amp;$Z$2,LS[Date Value],"&lt;="&amp;$Z$3))+(SUMIFS(SIP[Realized Gain],SIP[Investor ID],A396,SIP[Date Value],"&gt;="&amp;$Z$2,SIP[Date Value],"&lt;="&amp;$Z$3))</f>
        <v>0</v>
      </c>
      <c r="P396" s="49">
        <v>0</v>
      </c>
      <c r="Q396" s="49">
        <v>0</v>
      </c>
      <c r="R396" s="49">
        <v>0</v>
      </c>
    </row>
    <row r="397" spans="1:18">
      <c r="A397" t="s">
        <v>841</v>
      </c>
      <c r="B397" s="47">
        <f>SUMIFS(LS[Unit],LS[Investor ID],'TAX CERTIFICATE'!A397,LS[Date Value],"&lt;"&amp;$Z$2)+SUMIFS(SIP[Unit],SIP[Investor ID],'TAX CERTIFICATE'!A397,SIP[Date Value],"&lt;"&amp;$Z$2)</f>
        <v>0</v>
      </c>
      <c r="C397" s="48">
        <f>(SUMIFS(LS[Amount],LS[B/S],"B",LS[Investor ID],A397,LS[Date Value],"&lt;"&amp;$Z$2)-SUMIFS(LS[Cost of Units Sold],LS[B/S],"S",LS[Investor ID],A397,LS[Date Value],"&lt;"&amp;$Z$2))+(SUMIFS(SIP[Amount],SIP[B/S],"B",SIP[Investor ID],#REF!,SIP[Date Value],"&lt;"&amp;$Z$2)-SUMIFS(SIP[Cost of Units Sold],SIP[B/S],"S",SIP[Investor ID],A397,SIP[Date Value],"&lt;"&amp;$Z$2))</f>
        <v>0</v>
      </c>
      <c r="D397" s="49">
        <f t="shared" si="30"/>
        <v>0</v>
      </c>
      <c r="E397" s="49">
        <f t="shared" si="31"/>
        <v>0</v>
      </c>
      <c r="F397" s="47">
        <f>SUMIFS(LS[Unit],LS[Investor ID],A397,LS[Date Value],"&lt;="&amp;$Z$3)+SUMIFS(SIP[Unit],SIP[Investor ID],A397,SIP[Date Value],"&lt;="&amp;$Z$3)</f>
        <v>0</v>
      </c>
      <c r="G397" s="49">
        <f>(SUMIFS(LS[Amount],LS[B/S],"B",LS[Investor ID],A397,LS[Date Value],"&lt;="&amp;$Z$3)-SUMIFS(LS[Cost of Units Sold],LS[B/S],"S",LS[Investor ID],A397,LS[Date Value],"&lt;="&amp;$Z$3))+(SUMIFS(SIP[Amount],SIP[B/S],"B",SIP[Investor ID],A397,SIP[Date Value],"&lt;="&amp;$Z$3)-SUMIFS(SIP[Cost of Units Sold],SIP[B/S],"S",SIP[Investor ID],A397,SIP[Date Value],"&lt;="&amp;$Z$3))</f>
        <v>0</v>
      </c>
      <c r="H397" s="49">
        <f t="shared" si="32"/>
        <v>0</v>
      </c>
      <c r="I397" s="49">
        <f t="shared" si="33"/>
        <v>0</v>
      </c>
      <c r="J397" s="47">
        <f>(SUMIFS(LS[Unit],LS[Investor ID],A397,LS[B/S],"B",LS[Date Value],"&gt;="&amp;$Z$2,LS[Date Value],"&lt;="&amp;$Z$3))+(SUMIFS(SIP[Unit],SIP[Investor ID],A397,SIP[B/S],"B",SIP[Date Value],"&gt;="&amp;$Z$2,SIP[Date Value],"&lt;="&amp;$Z$3))</f>
        <v>0</v>
      </c>
      <c r="K397" s="49">
        <f>(SUMIFS(LS[Amount],LS[Investor ID],A397,LS[B/S],"B",LS[Date Value],"&gt;="&amp;$Z$2,LS[Date Value],"&lt;="&amp;$Z$3))+(SUMIFS(SIP[Amount],SIP[Investor ID],A397,SIP[B/S],"B",SIP[Date Value],"&gt;="&amp;$Z$2,SIP[Date Value],"&lt;="&amp;$Z$3))</f>
        <v>0</v>
      </c>
      <c r="L397" s="47">
        <f>(-SUMIFS(LS[Unit],LS[Investor ID],A397,LS[B/S],"S",LS[Date Value],"&gt;="&amp;$Z$2,LS[Date Value],"&lt;="&amp;$Z$3))+(-SUMIFS(SIP[Unit],SIP[Investor ID],A397,SIP[B/S],"S",SIP[Date Value],"&gt;="&amp;$Z$2,SIP[Date Value],"&lt;="&amp;$Z$3))</f>
        <v>0</v>
      </c>
      <c r="M397" s="49">
        <f>(SUMIFS(LS[Cost of Units Sold],LS[Investor ID],A397,LS[B/S],"S",LS[Date Value],"&gt;="&amp;$Z$2,LS[Date Value],"&lt;="&amp;$Z$3))+(SUMIFS(SIP[Cost of Units Sold],SIP[Investor ID],A397,SIP[B/S],"S",SIP[Date Value],"&gt;="&amp;$Z$2,SIP[Date Value],"&lt;="&amp;$Z$3))</f>
        <v>0</v>
      </c>
      <c r="N397" s="49">
        <f t="shared" si="34"/>
        <v>0</v>
      </c>
      <c r="O397" s="49">
        <f>(SUMIFS(LS[Realized Gain],LS[Investor ID],A397,LS[Date Value],"&gt;="&amp;$Z$2,LS[Date Value],"&lt;="&amp;$Z$3))+(SUMIFS(SIP[Realized Gain],SIP[Investor ID],A397,SIP[Date Value],"&gt;="&amp;$Z$2,SIP[Date Value],"&lt;="&amp;$Z$3))</f>
        <v>0</v>
      </c>
      <c r="P397" s="49">
        <v>0</v>
      </c>
      <c r="Q397" s="49">
        <v>0</v>
      </c>
      <c r="R397" s="49">
        <v>0</v>
      </c>
    </row>
    <row r="398" spans="1:18">
      <c r="A398" t="s">
        <v>843</v>
      </c>
      <c r="B398" s="47">
        <f>SUMIFS(LS[Unit],LS[Investor ID],'TAX CERTIFICATE'!A398,LS[Date Value],"&lt;"&amp;$Z$2)+SUMIFS(SIP[Unit],SIP[Investor ID],'TAX CERTIFICATE'!A398,SIP[Date Value],"&lt;"&amp;$Z$2)</f>
        <v>0</v>
      </c>
      <c r="C398" s="48">
        <f>(SUMIFS(LS[Amount],LS[B/S],"B",LS[Investor ID],A398,LS[Date Value],"&lt;"&amp;$Z$2)-SUMIFS(LS[Cost of Units Sold],LS[B/S],"S",LS[Investor ID],A398,LS[Date Value],"&lt;"&amp;$Z$2))+(SUMIFS(SIP[Amount],SIP[B/S],"B",SIP[Investor ID],#REF!,SIP[Date Value],"&lt;"&amp;$Z$2)-SUMIFS(SIP[Cost of Units Sold],SIP[B/S],"S",SIP[Investor ID],A398,SIP[Date Value],"&lt;"&amp;$Z$2))</f>
        <v>0</v>
      </c>
      <c r="D398" s="49">
        <f t="shared" si="30"/>
        <v>0</v>
      </c>
      <c r="E398" s="49">
        <f t="shared" si="31"/>
        <v>0</v>
      </c>
      <c r="F398" s="47">
        <f>SUMIFS(LS[Unit],LS[Investor ID],A398,LS[Date Value],"&lt;="&amp;$Z$3)+SUMIFS(SIP[Unit],SIP[Investor ID],A398,SIP[Date Value],"&lt;="&amp;$Z$3)</f>
        <v>0</v>
      </c>
      <c r="G398" s="49">
        <f>(SUMIFS(LS[Amount],LS[B/S],"B",LS[Investor ID],A398,LS[Date Value],"&lt;="&amp;$Z$3)-SUMIFS(LS[Cost of Units Sold],LS[B/S],"S",LS[Investor ID],A398,LS[Date Value],"&lt;="&amp;$Z$3))+(SUMIFS(SIP[Amount],SIP[B/S],"B",SIP[Investor ID],A398,SIP[Date Value],"&lt;="&amp;$Z$3)-SUMIFS(SIP[Cost of Units Sold],SIP[B/S],"S",SIP[Investor ID],A398,SIP[Date Value],"&lt;="&amp;$Z$3))</f>
        <v>0</v>
      </c>
      <c r="H398" s="49">
        <f t="shared" si="32"/>
        <v>0</v>
      </c>
      <c r="I398" s="49">
        <f t="shared" si="33"/>
        <v>0</v>
      </c>
      <c r="J398" s="47">
        <f>(SUMIFS(LS[Unit],LS[Investor ID],A398,LS[B/S],"B",LS[Date Value],"&gt;="&amp;$Z$2,LS[Date Value],"&lt;="&amp;$Z$3))+(SUMIFS(SIP[Unit],SIP[Investor ID],A398,SIP[B/S],"B",SIP[Date Value],"&gt;="&amp;$Z$2,SIP[Date Value],"&lt;="&amp;$Z$3))</f>
        <v>0</v>
      </c>
      <c r="K398" s="49">
        <f>(SUMIFS(LS[Amount],LS[Investor ID],A398,LS[B/S],"B",LS[Date Value],"&gt;="&amp;$Z$2,LS[Date Value],"&lt;="&amp;$Z$3))+(SUMIFS(SIP[Amount],SIP[Investor ID],A398,SIP[B/S],"B",SIP[Date Value],"&gt;="&amp;$Z$2,SIP[Date Value],"&lt;="&amp;$Z$3))</f>
        <v>0</v>
      </c>
      <c r="L398" s="47">
        <f>(-SUMIFS(LS[Unit],LS[Investor ID],A398,LS[B/S],"S",LS[Date Value],"&gt;="&amp;$Z$2,LS[Date Value],"&lt;="&amp;$Z$3))+(-SUMIFS(SIP[Unit],SIP[Investor ID],A398,SIP[B/S],"S",SIP[Date Value],"&gt;="&amp;$Z$2,SIP[Date Value],"&lt;="&amp;$Z$3))</f>
        <v>0</v>
      </c>
      <c r="M398" s="49">
        <f>(SUMIFS(LS[Cost of Units Sold],LS[Investor ID],A398,LS[B/S],"S",LS[Date Value],"&gt;="&amp;$Z$2,LS[Date Value],"&lt;="&amp;$Z$3))+(SUMIFS(SIP[Cost of Units Sold],SIP[Investor ID],A398,SIP[B/S],"S",SIP[Date Value],"&gt;="&amp;$Z$2,SIP[Date Value],"&lt;="&amp;$Z$3))</f>
        <v>0</v>
      </c>
      <c r="N398" s="49">
        <f t="shared" si="34"/>
        <v>0</v>
      </c>
      <c r="O398" s="49">
        <f>(SUMIFS(LS[Realized Gain],LS[Investor ID],A398,LS[Date Value],"&gt;="&amp;$Z$2,LS[Date Value],"&lt;="&amp;$Z$3))+(SUMIFS(SIP[Realized Gain],SIP[Investor ID],A398,SIP[Date Value],"&gt;="&amp;$Z$2,SIP[Date Value],"&lt;="&amp;$Z$3))</f>
        <v>0</v>
      </c>
      <c r="P398" s="49">
        <v>0</v>
      </c>
      <c r="Q398" s="49">
        <v>0</v>
      </c>
      <c r="R398" s="49">
        <v>0</v>
      </c>
    </row>
    <row r="399" spans="1:18">
      <c r="A399" t="s">
        <v>845</v>
      </c>
      <c r="B399" s="47">
        <f>SUMIFS(LS[Unit],LS[Investor ID],'TAX CERTIFICATE'!A399,LS[Date Value],"&lt;"&amp;$Z$2)+SUMIFS(SIP[Unit],SIP[Investor ID],'TAX CERTIFICATE'!A399,SIP[Date Value],"&lt;"&amp;$Z$2)</f>
        <v>0</v>
      </c>
      <c r="C399" s="48">
        <f>(SUMIFS(LS[Amount],LS[B/S],"B",LS[Investor ID],A399,LS[Date Value],"&lt;"&amp;$Z$2)-SUMIFS(LS[Cost of Units Sold],LS[B/S],"S",LS[Investor ID],A399,LS[Date Value],"&lt;"&amp;$Z$2))+(SUMIFS(SIP[Amount],SIP[B/S],"B",SIP[Investor ID],#REF!,SIP[Date Value],"&lt;"&amp;$Z$2)-SUMIFS(SIP[Cost of Units Sold],SIP[B/S],"S",SIP[Investor ID],A399,SIP[Date Value],"&lt;"&amp;$Z$2))</f>
        <v>0</v>
      </c>
      <c r="D399" s="49">
        <f t="shared" si="30"/>
        <v>0</v>
      </c>
      <c r="E399" s="49">
        <f t="shared" si="31"/>
        <v>0</v>
      </c>
      <c r="F399" s="47">
        <f>SUMIFS(LS[Unit],LS[Investor ID],A399,LS[Date Value],"&lt;="&amp;$Z$3)+SUMIFS(SIP[Unit],SIP[Investor ID],A399,SIP[Date Value],"&lt;="&amp;$Z$3)</f>
        <v>0</v>
      </c>
      <c r="G399" s="49">
        <f>(SUMIFS(LS[Amount],LS[B/S],"B",LS[Investor ID],A399,LS[Date Value],"&lt;="&amp;$Z$3)-SUMIFS(LS[Cost of Units Sold],LS[B/S],"S",LS[Investor ID],A399,LS[Date Value],"&lt;="&amp;$Z$3))+(SUMIFS(SIP[Amount],SIP[B/S],"B",SIP[Investor ID],A399,SIP[Date Value],"&lt;="&amp;$Z$3)-SUMIFS(SIP[Cost of Units Sold],SIP[B/S],"S",SIP[Investor ID],A399,SIP[Date Value],"&lt;="&amp;$Z$3))</f>
        <v>0</v>
      </c>
      <c r="H399" s="49">
        <f t="shared" si="32"/>
        <v>0</v>
      </c>
      <c r="I399" s="49">
        <f t="shared" si="33"/>
        <v>0</v>
      </c>
      <c r="J399" s="47">
        <f>(SUMIFS(LS[Unit],LS[Investor ID],A399,LS[B/S],"B",LS[Date Value],"&gt;="&amp;$Z$2,LS[Date Value],"&lt;="&amp;$Z$3))+(SUMIFS(SIP[Unit],SIP[Investor ID],A399,SIP[B/S],"B",SIP[Date Value],"&gt;="&amp;$Z$2,SIP[Date Value],"&lt;="&amp;$Z$3))</f>
        <v>0</v>
      </c>
      <c r="K399" s="49">
        <f>(SUMIFS(LS[Amount],LS[Investor ID],A399,LS[B/S],"B",LS[Date Value],"&gt;="&amp;$Z$2,LS[Date Value],"&lt;="&amp;$Z$3))+(SUMIFS(SIP[Amount],SIP[Investor ID],A399,SIP[B/S],"B",SIP[Date Value],"&gt;="&amp;$Z$2,SIP[Date Value],"&lt;="&amp;$Z$3))</f>
        <v>0</v>
      </c>
      <c r="L399" s="47">
        <f>(-SUMIFS(LS[Unit],LS[Investor ID],A399,LS[B/S],"S",LS[Date Value],"&gt;="&amp;$Z$2,LS[Date Value],"&lt;="&amp;$Z$3))+(-SUMIFS(SIP[Unit],SIP[Investor ID],A399,SIP[B/S],"S",SIP[Date Value],"&gt;="&amp;$Z$2,SIP[Date Value],"&lt;="&amp;$Z$3))</f>
        <v>0</v>
      </c>
      <c r="M399" s="49">
        <f>(SUMIFS(LS[Cost of Units Sold],LS[Investor ID],A399,LS[B/S],"S",LS[Date Value],"&gt;="&amp;$Z$2,LS[Date Value],"&lt;="&amp;$Z$3))+(SUMIFS(SIP[Cost of Units Sold],SIP[Investor ID],A399,SIP[B/S],"S",SIP[Date Value],"&gt;="&amp;$Z$2,SIP[Date Value],"&lt;="&amp;$Z$3))</f>
        <v>0</v>
      </c>
      <c r="N399" s="49">
        <f t="shared" si="34"/>
        <v>0</v>
      </c>
      <c r="O399" s="49">
        <f>(SUMIFS(LS[Realized Gain],LS[Investor ID],A399,LS[Date Value],"&gt;="&amp;$Z$2,LS[Date Value],"&lt;="&amp;$Z$3))+(SUMIFS(SIP[Realized Gain],SIP[Investor ID],A399,SIP[Date Value],"&gt;="&amp;$Z$2,SIP[Date Value],"&lt;="&amp;$Z$3))</f>
        <v>0</v>
      </c>
      <c r="P399" s="49">
        <v>0</v>
      </c>
      <c r="Q399" s="49">
        <v>0</v>
      </c>
      <c r="R399" s="49">
        <v>0</v>
      </c>
    </row>
    <row r="400" spans="1:18">
      <c r="A400" t="s">
        <v>847</v>
      </c>
      <c r="B400" s="47">
        <f>SUMIFS(LS[Unit],LS[Investor ID],'TAX CERTIFICATE'!A400,LS[Date Value],"&lt;"&amp;$Z$2)+SUMIFS(SIP[Unit],SIP[Investor ID],'TAX CERTIFICATE'!A400,SIP[Date Value],"&lt;"&amp;$Z$2)</f>
        <v>0</v>
      </c>
      <c r="C400" s="48">
        <f>(SUMIFS(LS[Amount],LS[B/S],"B",LS[Investor ID],A400,LS[Date Value],"&lt;"&amp;$Z$2)-SUMIFS(LS[Cost of Units Sold],LS[B/S],"S",LS[Investor ID],A400,LS[Date Value],"&lt;"&amp;$Z$2))+(SUMIFS(SIP[Amount],SIP[B/S],"B",SIP[Investor ID],#REF!,SIP[Date Value],"&lt;"&amp;$Z$2)-SUMIFS(SIP[Cost of Units Sold],SIP[B/S],"S",SIP[Investor ID],A400,SIP[Date Value],"&lt;"&amp;$Z$2))</f>
        <v>0</v>
      </c>
      <c r="D400" s="49">
        <f t="shared" si="30"/>
        <v>0</v>
      </c>
      <c r="E400" s="49">
        <f t="shared" si="31"/>
        <v>0</v>
      </c>
      <c r="F400" s="47">
        <f>SUMIFS(LS[Unit],LS[Investor ID],A400,LS[Date Value],"&lt;="&amp;$Z$3)+SUMIFS(SIP[Unit],SIP[Investor ID],A400,SIP[Date Value],"&lt;="&amp;$Z$3)</f>
        <v>0</v>
      </c>
      <c r="G400" s="49">
        <f>(SUMIFS(LS[Amount],LS[B/S],"B",LS[Investor ID],A400,LS[Date Value],"&lt;="&amp;$Z$3)-SUMIFS(LS[Cost of Units Sold],LS[B/S],"S",LS[Investor ID],A400,LS[Date Value],"&lt;="&amp;$Z$3))+(SUMIFS(SIP[Amount],SIP[B/S],"B",SIP[Investor ID],A400,SIP[Date Value],"&lt;="&amp;$Z$3)-SUMIFS(SIP[Cost of Units Sold],SIP[B/S],"S",SIP[Investor ID],A400,SIP[Date Value],"&lt;="&amp;$Z$3))</f>
        <v>0</v>
      </c>
      <c r="H400" s="49">
        <f t="shared" si="32"/>
        <v>0</v>
      </c>
      <c r="I400" s="49">
        <f t="shared" si="33"/>
        <v>0</v>
      </c>
      <c r="J400" s="47">
        <f>(SUMIFS(LS[Unit],LS[Investor ID],A400,LS[B/S],"B",LS[Date Value],"&gt;="&amp;$Z$2,LS[Date Value],"&lt;="&amp;$Z$3))+(SUMIFS(SIP[Unit],SIP[Investor ID],A400,SIP[B/S],"B",SIP[Date Value],"&gt;="&amp;$Z$2,SIP[Date Value],"&lt;="&amp;$Z$3))</f>
        <v>0</v>
      </c>
      <c r="K400" s="49">
        <f>(SUMIFS(LS[Amount],LS[Investor ID],A400,LS[B/S],"B",LS[Date Value],"&gt;="&amp;$Z$2,LS[Date Value],"&lt;="&amp;$Z$3))+(SUMIFS(SIP[Amount],SIP[Investor ID],A400,SIP[B/S],"B",SIP[Date Value],"&gt;="&amp;$Z$2,SIP[Date Value],"&lt;="&amp;$Z$3))</f>
        <v>0</v>
      </c>
      <c r="L400" s="47">
        <f>(-SUMIFS(LS[Unit],LS[Investor ID],A400,LS[B/S],"S",LS[Date Value],"&gt;="&amp;$Z$2,LS[Date Value],"&lt;="&amp;$Z$3))+(-SUMIFS(SIP[Unit],SIP[Investor ID],A400,SIP[B/S],"S",SIP[Date Value],"&gt;="&amp;$Z$2,SIP[Date Value],"&lt;="&amp;$Z$3))</f>
        <v>0</v>
      </c>
      <c r="M400" s="49">
        <f>(SUMIFS(LS[Cost of Units Sold],LS[Investor ID],A400,LS[B/S],"S",LS[Date Value],"&gt;="&amp;$Z$2,LS[Date Value],"&lt;="&amp;$Z$3))+(SUMIFS(SIP[Cost of Units Sold],SIP[Investor ID],A400,SIP[B/S],"S",SIP[Date Value],"&gt;="&amp;$Z$2,SIP[Date Value],"&lt;="&amp;$Z$3))</f>
        <v>0</v>
      </c>
      <c r="N400" s="49">
        <f t="shared" si="34"/>
        <v>0</v>
      </c>
      <c r="O400" s="49">
        <f>(SUMIFS(LS[Realized Gain],LS[Investor ID],A400,LS[Date Value],"&gt;="&amp;$Z$2,LS[Date Value],"&lt;="&amp;$Z$3))+(SUMIFS(SIP[Realized Gain],SIP[Investor ID],A400,SIP[Date Value],"&gt;="&amp;$Z$2,SIP[Date Value],"&lt;="&amp;$Z$3))</f>
        <v>0</v>
      </c>
      <c r="P400" s="49">
        <v>0</v>
      </c>
      <c r="Q400" s="49">
        <v>0</v>
      </c>
      <c r="R400" s="49">
        <v>0</v>
      </c>
    </row>
    <row r="401" spans="1:18">
      <c r="A401" t="s">
        <v>849</v>
      </c>
      <c r="B401" s="47">
        <f>SUMIFS(LS[Unit],LS[Investor ID],'TAX CERTIFICATE'!A401,LS[Date Value],"&lt;"&amp;$Z$2)+SUMIFS(SIP[Unit],SIP[Investor ID],'TAX CERTIFICATE'!A401,SIP[Date Value],"&lt;"&amp;$Z$2)</f>
        <v>0</v>
      </c>
      <c r="C401" s="48">
        <f>(SUMIFS(LS[Amount],LS[B/S],"B",LS[Investor ID],A401,LS[Date Value],"&lt;"&amp;$Z$2)-SUMIFS(LS[Cost of Units Sold],LS[B/S],"S",LS[Investor ID],A401,LS[Date Value],"&lt;"&amp;$Z$2))+(SUMIFS(SIP[Amount],SIP[B/S],"B",SIP[Investor ID],#REF!,SIP[Date Value],"&lt;"&amp;$Z$2)-SUMIFS(SIP[Cost of Units Sold],SIP[B/S],"S",SIP[Investor ID],A401,SIP[Date Value],"&lt;"&amp;$Z$2))</f>
        <v>0</v>
      </c>
      <c r="D401" s="49">
        <f t="shared" si="30"/>
        <v>0</v>
      </c>
      <c r="E401" s="49">
        <f t="shared" si="31"/>
        <v>0</v>
      </c>
      <c r="F401" s="47">
        <f>SUMIFS(LS[Unit],LS[Investor ID],A401,LS[Date Value],"&lt;="&amp;$Z$3)+SUMIFS(SIP[Unit],SIP[Investor ID],A401,SIP[Date Value],"&lt;="&amp;$Z$3)</f>
        <v>0</v>
      </c>
      <c r="G401" s="49">
        <f>(SUMIFS(LS[Amount],LS[B/S],"B",LS[Investor ID],A401,LS[Date Value],"&lt;="&amp;$Z$3)-SUMIFS(LS[Cost of Units Sold],LS[B/S],"S",LS[Investor ID],A401,LS[Date Value],"&lt;="&amp;$Z$3))+(SUMIFS(SIP[Amount],SIP[B/S],"B",SIP[Investor ID],A401,SIP[Date Value],"&lt;="&amp;$Z$3)-SUMIFS(SIP[Cost of Units Sold],SIP[B/S],"S",SIP[Investor ID],A401,SIP[Date Value],"&lt;="&amp;$Z$3))</f>
        <v>0</v>
      </c>
      <c r="H401" s="49">
        <f t="shared" si="32"/>
        <v>0</v>
      </c>
      <c r="I401" s="49">
        <f t="shared" si="33"/>
        <v>0</v>
      </c>
      <c r="J401" s="47">
        <f>(SUMIFS(LS[Unit],LS[Investor ID],A401,LS[B/S],"B",LS[Date Value],"&gt;="&amp;$Z$2,LS[Date Value],"&lt;="&amp;$Z$3))+(SUMIFS(SIP[Unit],SIP[Investor ID],A401,SIP[B/S],"B",SIP[Date Value],"&gt;="&amp;$Z$2,SIP[Date Value],"&lt;="&amp;$Z$3))</f>
        <v>0</v>
      </c>
      <c r="K401" s="49">
        <f>(SUMIFS(LS[Amount],LS[Investor ID],A401,LS[B/S],"B",LS[Date Value],"&gt;="&amp;$Z$2,LS[Date Value],"&lt;="&amp;$Z$3))+(SUMIFS(SIP[Amount],SIP[Investor ID],A401,SIP[B/S],"B",SIP[Date Value],"&gt;="&amp;$Z$2,SIP[Date Value],"&lt;="&amp;$Z$3))</f>
        <v>0</v>
      </c>
      <c r="L401" s="47">
        <f>(-SUMIFS(LS[Unit],LS[Investor ID],A401,LS[B/S],"S",LS[Date Value],"&gt;="&amp;$Z$2,LS[Date Value],"&lt;="&amp;$Z$3))+(-SUMIFS(SIP[Unit],SIP[Investor ID],A401,SIP[B/S],"S",SIP[Date Value],"&gt;="&amp;$Z$2,SIP[Date Value],"&lt;="&amp;$Z$3))</f>
        <v>0</v>
      </c>
      <c r="M401" s="49">
        <f>(SUMIFS(LS[Cost of Units Sold],LS[Investor ID],A401,LS[B/S],"S",LS[Date Value],"&gt;="&amp;$Z$2,LS[Date Value],"&lt;="&amp;$Z$3))+(SUMIFS(SIP[Cost of Units Sold],SIP[Investor ID],A401,SIP[B/S],"S",SIP[Date Value],"&gt;="&amp;$Z$2,SIP[Date Value],"&lt;="&amp;$Z$3))</f>
        <v>0</v>
      </c>
      <c r="N401" s="49">
        <f t="shared" si="34"/>
        <v>0</v>
      </c>
      <c r="O401" s="49">
        <f>(SUMIFS(LS[Realized Gain],LS[Investor ID],A401,LS[Date Value],"&gt;="&amp;$Z$2,LS[Date Value],"&lt;="&amp;$Z$3))+(SUMIFS(SIP[Realized Gain],SIP[Investor ID],A401,SIP[Date Value],"&gt;="&amp;$Z$2,SIP[Date Value],"&lt;="&amp;$Z$3))</f>
        <v>0</v>
      </c>
      <c r="P401" s="49">
        <v>0</v>
      </c>
      <c r="Q401" s="49">
        <v>0</v>
      </c>
      <c r="R401" s="49">
        <v>0</v>
      </c>
    </row>
    <row r="402" spans="1:18">
      <c r="A402" t="s">
        <v>851</v>
      </c>
      <c r="B402" s="47">
        <f>SUMIFS(LS[Unit],LS[Investor ID],'TAX CERTIFICATE'!A402,LS[Date Value],"&lt;"&amp;$Z$2)+SUMIFS(SIP[Unit],SIP[Investor ID],'TAX CERTIFICATE'!A402,SIP[Date Value],"&lt;"&amp;$Z$2)</f>
        <v>0</v>
      </c>
      <c r="C402" s="48">
        <f>(SUMIFS(LS[Amount],LS[B/S],"B",LS[Investor ID],A402,LS[Date Value],"&lt;"&amp;$Z$2)-SUMIFS(LS[Cost of Units Sold],LS[B/S],"S",LS[Investor ID],A402,LS[Date Value],"&lt;"&amp;$Z$2))+(SUMIFS(SIP[Amount],SIP[B/S],"B",SIP[Investor ID],#REF!,SIP[Date Value],"&lt;"&amp;$Z$2)-SUMIFS(SIP[Cost of Units Sold],SIP[B/S],"S",SIP[Investor ID],A402,SIP[Date Value],"&lt;"&amp;$Z$2))</f>
        <v>0</v>
      </c>
      <c r="D402" s="49">
        <f t="shared" si="30"/>
        <v>0</v>
      </c>
      <c r="E402" s="49">
        <f t="shared" si="31"/>
        <v>0</v>
      </c>
      <c r="F402" s="47">
        <f>SUMIFS(LS[Unit],LS[Investor ID],A402,LS[Date Value],"&lt;="&amp;$Z$3)+SUMIFS(SIP[Unit],SIP[Investor ID],A402,SIP[Date Value],"&lt;="&amp;$Z$3)</f>
        <v>0</v>
      </c>
      <c r="G402" s="49">
        <f>(SUMIFS(LS[Amount],LS[B/S],"B",LS[Investor ID],A402,LS[Date Value],"&lt;="&amp;$Z$3)-SUMIFS(LS[Cost of Units Sold],LS[B/S],"S",LS[Investor ID],A402,LS[Date Value],"&lt;="&amp;$Z$3))+(SUMIFS(SIP[Amount],SIP[B/S],"B",SIP[Investor ID],A402,SIP[Date Value],"&lt;="&amp;$Z$3)-SUMIFS(SIP[Cost of Units Sold],SIP[B/S],"S",SIP[Investor ID],A402,SIP[Date Value],"&lt;="&amp;$Z$3))</f>
        <v>0</v>
      </c>
      <c r="H402" s="49">
        <f t="shared" si="32"/>
        <v>0</v>
      </c>
      <c r="I402" s="49">
        <f t="shared" si="33"/>
        <v>0</v>
      </c>
      <c r="J402" s="47">
        <f>(SUMIFS(LS[Unit],LS[Investor ID],A402,LS[B/S],"B",LS[Date Value],"&gt;="&amp;$Z$2,LS[Date Value],"&lt;="&amp;$Z$3))+(SUMIFS(SIP[Unit],SIP[Investor ID],A402,SIP[B/S],"B",SIP[Date Value],"&gt;="&amp;$Z$2,SIP[Date Value],"&lt;="&amp;$Z$3))</f>
        <v>0</v>
      </c>
      <c r="K402" s="49">
        <f>(SUMIFS(LS[Amount],LS[Investor ID],A402,LS[B/S],"B",LS[Date Value],"&gt;="&amp;$Z$2,LS[Date Value],"&lt;="&amp;$Z$3))+(SUMIFS(SIP[Amount],SIP[Investor ID],A402,SIP[B/S],"B",SIP[Date Value],"&gt;="&amp;$Z$2,SIP[Date Value],"&lt;="&amp;$Z$3))</f>
        <v>0</v>
      </c>
      <c r="L402" s="47">
        <f>(-SUMIFS(LS[Unit],LS[Investor ID],A402,LS[B/S],"S",LS[Date Value],"&gt;="&amp;$Z$2,LS[Date Value],"&lt;="&amp;$Z$3))+(-SUMIFS(SIP[Unit],SIP[Investor ID],A402,SIP[B/S],"S",SIP[Date Value],"&gt;="&amp;$Z$2,SIP[Date Value],"&lt;="&amp;$Z$3))</f>
        <v>0</v>
      </c>
      <c r="M402" s="49">
        <f>(SUMIFS(LS[Cost of Units Sold],LS[Investor ID],A402,LS[B/S],"S",LS[Date Value],"&gt;="&amp;$Z$2,LS[Date Value],"&lt;="&amp;$Z$3))+(SUMIFS(SIP[Cost of Units Sold],SIP[Investor ID],A402,SIP[B/S],"S",SIP[Date Value],"&gt;="&amp;$Z$2,SIP[Date Value],"&lt;="&amp;$Z$3))</f>
        <v>0</v>
      </c>
      <c r="N402" s="49">
        <f t="shared" si="34"/>
        <v>0</v>
      </c>
      <c r="O402" s="49">
        <f>(SUMIFS(LS[Realized Gain],LS[Investor ID],A402,LS[Date Value],"&gt;="&amp;$Z$2,LS[Date Value],"&lt;="&amp;$Z$3))+(SUMIFS(SIP[Realized Gain],SIP[Investor ID],A402,SIP[Date Value],"&gt;="&amp;$Z$2,SIP[Date Value],"&lt;="&amp;$Z$3))</f>
        <v>0</v>
      </c>
      <c r="P402" s="49">
        <v>0</v>
      </c>
      <c r="Q402" s="49">
        <v>0</v>
      </c>
      <c r="R402" s="49">
        <v>0</v>
      </c>
    </row>
    <row r="403" spans="1:18">
      <c r="A403" t="s">
        <v>853</v>
      </c>
      <c r="B403" s="47">
        <f>SUMIFS(LS[Unit],LS[Investor ID],'TAX CERTIFICATE'!A403,LS[Date Value],"&lt;"&amp;$Z$2)+SUMIFS(SIP[Unit],SIP[Investor ID],'TAX CERTIFICATE'!A403,SIP[Date Value],"&lt;"&amp;$Z$2)</f>
        <v>0</v>
      </c>
      <c r="C403" s="48">
        <f>(SUMIFS(LS[Amount],LS[B/S],"B",LS[Investor ID],A403,LS[Date Value],"&lt;"&amp;$Z$2)-SUMIFS(LS[Cost of Units Sold],LS[B/S],"S",LS[Investor ID],A403,LS[Date Value],"&lt;"&amp;$Z$2))+(SUMIFS(SIP[Amount],SIP[B/S],"B",SIP[Investor ID],#REF!,SIP[Date Value],"&lt;"&amp;$Z$2)-SUMIFS(SIP[Cost of Units Sold],SIP[B/S],"S",SIP[Investor ID],A403,SIP[Date Value],"&lt;"&amp;$Z$2))</f>
        <v>0</v>
      </c>
      <c r="D403" s="49">
        <f t="shared" si="30"/>
        <v>0</v>
      </c>
      <c r="E403" s="49">
        <f t="shared" si="31"/>
        <v>0</v>
      </c>
      <c r="F403" s="47">
        <f>SUMIFS(LS[Unit],LS[Investor ID],A403,LS[Date Value],"&lt;="&amp;$Z$3)+SUMIFS(SIP[Unit],SIP[Investor ID],A403,SIP[Date Value],"&lt;="&amp;$Z$3)</f>
        <v>0</v>
      </c>
      <c r="G403" s="49">
        <f>(SUMIFS(LS[Amount],LS[B/S],"B",LS[Investor ID],A403,LS[Date Value],"&lt;="&amp;$Z$3)-SUMIFS(LS[Cost of Units Sold],LS[B/S],"S",LS[Investor ID],A403,LS[Date Value],"&lt;="&amp;$Z$3))+(SUMIFS(SIP[Amount],SIP[B/S],"B",SIP[Investor ID],A403,SIP[Date Value],"&lt;="&amp;$Z$3)-SUMIFS(SIP[Cost of Units Sold],SIP[B/S],"S",SIP[Investor ID],A403,SIP[Date Value],"&lt;="&amp;$Z$3))</f>
        <v>0</v>
      </c>
      <c r="H403" s="49">
        <f t="shared" si="32"/>
        <v>0</v>
      </c>
      <c r="I403" s="49">
        <f t="shared" si="33"/>
        <v>0</v>
      </c>
      <c r="J403" s="47">
        <f>(SUMIFS(LS[Unit],LS[Investor ID],A403,LS[B/S],"B",LS[Date Value],"&gt;="&amp;$Z$2,LS[Date Value],"&lt;="&amp;$Z$3))+(SUMIFS(SIP[Unit],SIP[Investor ID],A403,SIP[B/S],"B",SIP[Date Value],"&gt;="&amp;$Z$2,SIP[Date Value],"&lt;="&amp;$Z$3))</f>
        <v>0</v>
      </c>
      <c r="K403" s="49">
        <f>(SUMIFS(LS[Amount],LS[Investor ID],A403,LS[B/S],"B",LS[Date Value],"&gt;="&amp;$Z$2,LS[Date Value],"&lt;="&amp;$Z$3))+(SUMIFS(SIP[Amount],SIP[Investor ID],A403,SIP[B/S],"B",SIP[Date Value],"&gt;="&amp;$Z$2,SIP[Date Value],"&lt;="&amp;$Z$3))</f>
        <v>0</v>
      </c>
      <c r="L403" s="47">
        <f>(-SUMIFS(LS[Unit],LS[Investor ID],A403,LS[B/S],"S",LS[Date Value],"&gt;="&amp;$Z$2,LS[Date Value],"&lt;="&amp;$Z$3))+(-SUMIFS(SIP[Unit],SIP[Investor ID],A403,SIP[B/S],"S",SIP[Date Value],"&gt;="&amp;$Z$2,SIP[Date Value],"&lt;="&amp;$Z$3))</f>
        <v>0</v>
      </c>
      <c r="M403" s="49">
        <f>(SUMIFS(LS[Cost of Units Sold],LS[Investor ID],A403,LS[B/S],"S",LS[Date Value],"&gt;="&amp;$Z$2,LS[Date Value],"&lt;="&amp;$Z$3))+(SUMIFS(SIP[Cost of Units Sold],SIP[Investor ID],A403,SIP[B/S],"S",SIP[Date Value],"&gt;="&amp;$Z$2,SIP[Date Value],"&lt;="&amp;$Z$3))</f>
        <v>0</v>
      </c>
      <c r="N403" s="49">
        <f t="shared" si="34"/>
        <v>0</v>
      </c>
      <c r="O403" s="49">
        <f>(SUMIFS(LS[Realized Gain],LS[Investor ID],A403,LS[Date Value],"&gt;="&amp;$Z$2,LS[Date Value],"&lt;="&amp;$Z$3))+(SUMIFS(SIP[Realized Gain],SIP[Investor ID],A403,SIP[Date Value],"&gt;="&amp;$Z$2,SIP[Date Value],"&lt;="&amp;$Z$3))</f>
        <v>0</v>
      </c>
      <c r="P403" s="49">
        <v>0</v>
      </c>
      <c r="Q403" s="49">
        <v>0</v>
      </c>
      <c r="R403" s="49">
        <v>0</v>
      </c>
    </row>
    <row r="404" spans="1:18">
      <c r="A404" t="s">
        <v>855</v>
      </c>
      <c r="B404" s="47">
        <f>SUMIFS(LS[Unit],LS[Investor ID],'TAX CERTIFICATE'!A404,LS[Date Value],"&lt;"&amp;$Z$2)+SUMIFS(SIP[Unit],SIP[Investor ID],'TAX CERTIFICATE'!A404,SIP[Date Value],"&lt;"&amp;$Z$2)</f>
        <v>0</v>
      </c>
      <c r="C404" s="48">
        <f>(SUMIFS(LS[Amount],LS[B/S],"B",LS[Investor ID],A404,LS[Date Value],"&lt;"&amp;$Z$2)-SUMIFS(LS[Cost of Units Sold],LS[B/S],"S",LS[Investor ID],A404,LS[Date Value],"&lt;"&amp;$Z$2))+(SUMIFS(SIP[Amount],SIP[B/S],"B",SIP[Investor ID],#REF!,SIP[Date Value],"&lt;"&amp;$Z$2)-SUMIFS(SIP[Cost of Units Sold],SIP[B/S],"S",SIP[Investor ID],A404,SIP[Date Value],"&lt;"&amp;$Z$2))</f>
        <v>0</v>
      </c>
      <c r="D404" s="49">
        <f t="shared" si="30"/>
        <v>0</v>
      </c>
      <c r="E404" s="49">
        <f t="shared" si="31"/>
        <v>0</v>
      </c>
      <c r="F404" s="47">
        <f>SUMIFS(LS[Unit],LS[Investor ID],A404,LS[Date Value],"&lt;="&amp;$Z$3)+SUMIFS(SIP[Unit],SIP[Investor ID],A404,SIP[Date Value],"&lt;="&amp;$Z$3)</f>
        <v>0</v>
      </c>
      <c r="G404" s="49">
        <f>(SUMIFS(LS[Amount],LS[B/S],"B",LS[Investor ID],A404,LS[Date Value],"&lt;="&amp;$Z$3)-SUMIFS(LS[Cost of Units Sold],LS[B/S],"S",LS[Investor ID],A404,LS[Date Value],"&lt;="&amp;$Z$3))+(SUMIFS(SIP[Amount],SIP[B/S],"B",SIP[Investor ID],A404,SIP[Date Value],"&lt;="&amp;$Z$3)-SUMIFS(SIP[Cost of Units Sold],SIP[B/S],"S",SIP[Investor ID],A404,SIP[Date Value],"&lt;="&amp;$Z$3))</f>
        <v>0</v>
      </c>
      <c r="H404" s="49">
        <f t="shared" si="32"/>
        <v>0</v>
      </c>
      <c r="I404" s="49">
        <f t="shared" si="33"/>
        <v>0</v>
      </c>
      <c r="J404" s="47">
        <f>(SUMIFS(LS[Unit],LS[Investor ID],A404,LS[B/S],"B",LS[Date Value],"&gt;="&amp;$Z$2,LS[Date Value],"&lt;="&amp;$Z$3))+(SUMIFS(SIP[Unit],SIP[Investor ID],A404,SIP[B/S],"B",SIP[Date Value],"&gt;="&amp;$Z$2,SIP[Date Value],"&lt;="&amp;$Z$3))</f>
        <v>0</v>
      </c>
      <c r="K404" s="49">
        <f>(SUMIFS(LS[Amount],LS[Investor ID],A404,LS[B/S],"B",LS[Date Value],"&gt;="&amp;$Z$2,LS[Date Value],"&lt;="&amp;$Z$3))+(SUMIFS(SIP[Amount],SIP[Investor ID],A404,SIP[B/S],"B",SIP[Date Value],"&gt;="&amp;$Z$2,SIP[Date Value],"&lt;="&amp;$Z$3))</f>
        <v>0</v>
      </c>
      <c r="L404" s="47">
        <f>(-SUMIFS(LS[Unit],LS[Investor ID],A404,LS[B/S],"S",LS[Date Value],"&gt;="&amp;$Z$2,LS[Date Value],"&lt;="&amp;$Z$3))+(-SUMIFS(SIP[Unit],SIP[Investor ID],A404,SIP[B/S],"S",SIP[Date Value],"&gt;="&amp;$Z$2,SIP[Date Value],"&lt;="&amp;$Z$3))</f>
        <v>0</v>
      </c>
      <c r="M404" s="49">
        <f>(SUMIFS(LS[Cost of Units Sold],LS[Investor ID],A404,LS[B/S],"S",LS[Date Value],"&gt;="&amp;$Z$2,LS[Date Value],"&lt;="&amp;$Z$3))+(SUMIFS(SIP[Cost of Units Sold],SIP[Investor ID],A404,SIP[B/S],"S",SIP[Date Value],"&gt;="&amp;$Z$2,SIP[Date Value],"&lt;="&amp;$Z$3))</f>
        <v>0</v>
      </c>
      <c r="N404" s="49">
        <f t="shared" si="34"/>
        <v>0</v>
      </c>
      <c r="O404" s="49">
        <f>(SUMIFS(LS[Realized Gain],LS[Investor ID],A404,LS[Date Value],"&gt;="&amp;$Z$2,LS[Date Value],"&lt;="&amp;$Z$3))+(SUMIFS(SIP[Realized Gain],SIP[Investor ID],A404,SIP[Date Value],"&gt;="&amp;$Z$2,SIP[Date Value],"&lt;="&amp;$Z$3))</f>
        <v>0</v>
      </c>
      <c r="P404" s="49">
        <v>0</v>
      </c>
      <c r="Q404" s="49">
        <v>0</v>
      </c>
      <c r="R404" s="49">
        <v>0</v>
      </c>
    </row>
    <row r="405" spans="1:18">
      <c r="A405" t="s">
        <v>857</v>
      </c>
      <c r="B405" s="47">
        <f>SUMIFS(LS[Unit],LS[Investor ID],'TAX CERTIFICATE'!A405,LS[Date Value],"&lt;"&amp;$Z$2)+SUMIFS(SIP[Unit],SIP[Investor ID],'TAX CERTIFICATE'!A405,SIP[Date Value],"&lt;"&amp;$Z$2)</f>
        <v>0</v>
      </c>
      <c r="C405" s="48">
        <f>(SUMIFS(LS[Amount],LS[B/S],"B",LS[Investor ID],A405,LS[Date Value],"&lt;"&amp;$Z$2)-SUMIFS(LS[Cost of Units Sold],LS[B/S],"S",LS[Investor ID],A405,LS[Date Value],"&lt;"&amp;$Z$2))+(SUMIFS(SIP[Amount],SIP[B/S],"B",SIP[Investor ID],#REF!,SIP[Date Value],"&lt;"&amp;$Z$2)-SUMIFS(SIP[Cost of Units Sold],SIP[B/S],"S",SIP[Investor ID],A405,SIP[Date Value],"&lt;"&amp;$Z$2))</f>
        <v>0</v>
      </c>
      <c r="D405" s="49">
        <f t="shared" si="30"/>
        <v>0</v>
      </c>
      <c r="E405" s="49">
        <f t="shared" si="31"/>
        <v>0</v>
      </c>
      <c r="F405" s="47">
        <f>SUMIFS(LS[Unit],LS[Investor ID],A405,LS[Date Value],"&lt;="&amp;$Z$3)+SUMIFS(SIP[Unit],SIP[Investor ID],A405,SIP[Date Value],"&lt;="&amp;$Z$3)</f>
        <v>0</v>
      </c>
      <c r="G405" s="49">
        <f>(SUMIFS(LS[Amount],LS[B/S],"B",LS[Investor ID],A405,LS[Date Value],"&lt;="&amp;$Z$3)-SUMIFS(LS[Cost of Units Sold],LS[B/S],"S",LS[Investor ID],A405,LS[Date Value],"&lt;="&amp;$Z$3))+(SUMIFS(SIP[Amount],SIP[B/S],"B",SIP[Investor ID],A405,SIP[Date Value],"&lt;="&amp;$Z$3)-SUMIFS(SIP[Cost of Units Sold],SIP[B/S],"S",SIP[Investor ID],A405,SIP[Date Value],"&lt;="&amp;$Z$3))</f>
        <v>0</v>
      </c>
      <c r="H405" s="49">
        <f t="shared" si="32"/>
        <v>0</v>
      </c>
      <c r="I405" s="49">
        <f t="shared" si="33"/>
        <v>0</v>
      </c>
      <c r="J405" s="47">
        <f>(SUMIFS(LS[Unit],LS[Investor ID],A405,LS[B/S],"B",LS[Date Value],"&gt;="&amp;$Z$2,LS[Date Value],"&lt;="&amp;$Z$3))+(SUMIFS(SIP[Unit],SIP[Investor ID],A405,SIP[B/S],"B",SIP[Date Value],"&gt;="&amp;$Z$2,SIP[Date Value],"&lt;="&amp;$Z$3))</f>
        <v>0</v>
      </c>
      <c r="K405" s="49">
        <f>(SUMIFS(LS[Amount],LS[Investor ID],A405,LS[B/S],"B",LS[Date Value],"&gt;="&amp;$Z$2,LS[Date Value],"&lt;="&amp;$Z$3))+(SUMIFS(SIP[Amount],SIP[Investor ID],A405,SIP[B/S],"B",SIP[Date Value],"&gt;="&amp;$Z$2,SIP[Date Value],"&lt;="&amp;$Z$3))</f>
        <v>0</v>
      </c>
      <c r="L405" s="47">
        <f>(-SUMIFS(LS[Unit],LS[Investor ID],A405,LS[B/S],"S",LS[Date Value],"&gt;="&amp;$Z$2,LS[Date Value],"&lt;="&amp;$Z$3))+(-SUMIFS(SIP[Unit],SIP[Investor ID],A405,SIP[B/S],"S",SIP[Date Value],"&gt;="&amp;$Z$2,SIP[Date Value],"&lt;="&amp;$Z$3))</f>
        <v>0</v>
      </c>
      <c r="M405" s="49">
        <f>(SUMIFS(LS[Cost of Units Sold],LS[Investor ID],A405,LS[B/S],"S",LS[Date Value],"&gt;="&amp;$Z$2,LS[Date Value],"&lt;="&amp;$Z$3))+(SUMIFS(SIP[Cost of Units Sold],SIP[Investor ID],A405,SIP[B/S],"S",SIP[Date Value],"&gt;="&amp;$Z$2,SIP[Date Value],"&lt;="&amp;$Z$3))</f>
        <v>0</v>
      </c>
      <c r="N405" s="49">
        <f t="shared" si="34"/>
        <v>0</v>
      </c>
      <c r="O405" s="49">
        <f>(SUMIFS(LS[Realized Gain],LS[Investor ID],A405,LS[Date Value],"&gt;="&amp;$Z$2,LS[Date Value],"&lt;="&amp;$Z$3))+(SUMIFS(SIP[Realized Gain],SIP[Investor ID],A405,SIP[Date Value],"&gt;="&amp;$Z$2,SIP[Date Value],"&lt;="&amp;$Z$3))</f>
        <v>0</v>
      </c>
      <c r="P405" s="49">
        <v>0</v>
      </c>
      <c r="Q405" s="49">
        <v>0</v>
      </c>
      <c r="R405" s="49">
        <v>0</v>
      </c>
    </row>
    <row r="406" spans="1:18">
      <c r="A406" t="s">
        <v>859</v>
      </c>
      <c r="B406" s="47">
        <f>SUMIFS(LS[Unit],LS[Investor ID],'TAX CERTIFICATE'!A406,LS[Date Value],"&lt;"&amp;$Z$2)+SUMIFS(SIP[Unit],SIP[Investor ID],'TAX CERTIFICATE'!A406,SIP[Date Value],"&lt;"&amp;$Z$2)</f>
        <v>0</v>
      </c>
      <c r="C406" s="48">
        <f>(SUMIFS(LS[Amount],LS[B/S],"B",LS[Investor ID],A406,LS[Date Value],"&lt;"&amp;$Z$2)-SUMIFS(LS[Cost of Units Sold],LS[B/S],"S",LS[Investor ID],A406,LS[Date Value],"&lt;"&amp;$Z$2))+(SUMIFS(SIP[Amount],SIP[B/S],"B",SIP[Investor ID],#REF!,SIP[Date Value],"&lt;"&amp;$Z$2)-SUMIFS(SIP[Cost of Units Sold],SIP[B/S],"S",SIP[Investor ID],A406,SIP[Date Value],"&lt;"&amp;$Z$2))</f>
        <v>0</v>
      </c>
      <c r="D406" s="49">
        <f t="shared" si="30"/>
        <v>0</v>
      </c>
      <c r="E406" s="49">
        <f t="shared" si="31"/>
        <v>0</v>
      </c>
      <c r="F406" s="47">
        <f>SUMIFS(LS[Unit],LS[Investor ID],A406,LS[Date Value],"&lt;="&amp;$Z$3)+SUMIFS(SIP[Unit],SIP[Investor ID],A406,SIP[Date Value],"&lt;="&amp;$Z$3)</f>
        <v>0</v>
      </c>
      <c r="G406" s="49">
        <f>(SUMIFS(LS[Amount],LS[B/S],"B",LS[Investor ID],A406,LS[Date Value],"&lt;="&amp;$Z$3)-SUMIFS(LS[Cost of Units Sold],LS[B/S],"S",LS[Investor ID],A406,LS[Date Value],"&lt;="&amp;$Z$3))+(SUMIFS(SIP[Amount],SIP[B/S],"B",SIP[Investor ID],A406,SIP[Date Value],"&lt;="&amp;$Z$3)-SUMIFS(SIP[Cost of Units Sold],SIP[B/S],"S",SIP[Investor ID],A406,SIP[Date Value],"&lt;="&amp;$Z$3))</f>
        <v>0</v>
      </c>
      <c r="H406" s="49">
        <f t="shared" si="32"/>
        <v>0</v>
      </c>
      <c r="I406" s="49">
        <f t="shared" si="33"/>
        <v>0</v>
      </c>
      <c r="J406" s="47">
        <f>(SUMIFS(LS[Unit],LS[Investor ID],A406,LS[B/S],"B",LS[Date Value],"&gt;="&amp;$Z$2,LS[Date Value],"&lt;="&amp;$Z$3))+(SUMIFS(SIP[Unit],SIP[Investor ID],A406,SIP[B/S],"B",SIP[Date Value],"&gt;="&amp;$Z$2,SIP[Date Value],"&lt;="&amp;$Z$3))</f>
        <v>0</v>
      </c>
      <c r="K406" s="49">
        <f>(SUMIFS(LS[Amount],LS[Investor ID],A406,LS[B/S],"B",LS[Date Value],"&gt;="&amp;$Z$2,LS[Date Value],"&lt;="&amp;$Z$3))+(SUMIFS(SIP[Amount],SIP[Investor ID],A406,SIP[B/S],"B",SIP[Date Value],"&gt;="&amp;$Z$2,SIP[Date Value],"&lt;="&amp;$Z$3))</f>
        <v>0</v>
      </c>
      <c r="L406" s="47">
        <f>(-SUMIFS(LS[Unit],LS[Investor ID],A406,LS[B/S],"S",LS[Date Value],"&gt;="&amp;$Z$2,LS[Date Value],"&lt;="&amp;$Z$3))+(-SUMIFS(SIP[Unit],SIP[Investor ID],A406,SIP[B/S],"S",SIP[Date Value],"&gt;="&amp;$Z$2,SIP[Date Value],"&lt;="&amp;$Z$3))</f>
        <v>0</v>
      </c>
      <c r="M406" s="49">
        <f>(SUMIFS(LS[Cost of Units Sold],LS[Investor ID],A406,LS[B/S],"S",LS[Date Value],"&gt;="&amp;$Z$2,LS[Date Value],"&lt;="&amp;$Z$3))+(SUMIFS(SIP[Cost of Units Sold],SIP[Investor ID],A406,SIP[B/S],"S",SIP[Date Value],"&gt;="&amp;$Z$2,SIP[Date Value],"&lt;="&amp;$Z$3))</f>
        <v>0</v>
      </c>
      <c r="N406" s="49">
        <f t="shared" si="34"/>
        <v>0</v>
      </c>
      <c r="O406" s="49">
        <f>(SUMIFS(LS[Realized Gain],LS[Investor ID],A406,LS[Date Value],"&gt;="&amp;$Z$2,LS[Date Value],"&lt;="&amp;$Z$3))+(SUMIFS(SIP[Realized Gain],SIP[Investor ID],A406,SIP[Date Value],"&gt;="&amp;$Z$2,SIP[Date Value],"&lt;="&amp;$Z$3))</f>
        <v>0</v>
      </c>
      <c r="P406" s="49">
        <v>0</v>
      </c>
      <c r="Q406" s="49">
        <v>0</v>
      </c>
      <c r="R406" s="49">
        <v>0</v>
      </c>
    </row>
    <row r="407" spans="1:18">
      <c r="A407" t="s">
        <v>860</v>
      </c>
      <c r="B407" s="47">
        <f>SUMIFS(LS[Unit],LS[Investor ID],'TAX CERTIFICATE'!A407,LS[Date Value],"&lt;"&amp;$Z$2)+SUMIFS(SIP[Unit],SIP[Investor ID],'TAX CERTIFICATE'!A407,SIP[Date Value],"&lt;"&amp;$Z$2)</f>
        <v>0</v>
      </c>
      <c r="C407" s="48">
        <f>(SUMIFS(LS[Amount],LS[B/S],"B",LS[Investor ID],A407,LS[Date Value],"&lt;"&amp;$Z$2)-SUMIFS(LS[Cost of Units Sold],LS[B/S],"S",LS[Investor ID],A407,LS[Date Value],"&lt;"&amp;$Z$2))+(SUMIFS(SIP[Amount],SIP[B/S],"B",SIP[Investor ID],#REF!,SIP[Date Value],"&lt;"&amp;$Z$2)-SUMIFS(SIP[Cost of Units Sold],SIP[B/S],"S",SIP[Investor ID],A407,SIP[Date Value],"&lt;"&amp;$Z$2))</f>
        <v>0</v>
      </c>
      <c r="D407" s="49">
        <f t="shared" si="30"/>
        <v>0</v>
      </c>
      <c r="E407" s="49">
        <f t="shared" si="31"/>
        <v>0</v>
      </c>
      <c r="F407" s="47">
        <f>SUMIFS(LS[Unit],LS[Investor ID],A407,LS[Date Value],"&lt;="&amp;$Z$3)+SUMIFS(SIP[Unit],SIP[Investor ID],A407,SIP[Date Value],"&lt;="&amp;$Z$3)</f>
        <v>0</v>
      </c>
      <c r="G407" s="49">
        <f>(SUMIFS(LS[Amount],LS[B/S],"B",LS[Investor ID],A407,LS[Date Value],"&lt;="&amp;$Z$3)-SUMIFS(LS[Cost of Units Sold],LS[B/S],"S",LS[Investor ID],A407,LS[Date Value],"&lt;="&amp;$Z$3))+(SUMIFS(SIP[Amount],SIP[B/S],"B",SIP[Investor ID],A407,SIP[Date Value],"&lt;="&amp;$Z$3)-SUMIFS(SIP[Cost of Units Sold],SIP[B/S],"S",SIP[Investor ID],A407,SIP[Date Value],"&lt;="&amp;$Z$3))</f>
        <v>0</v>
      </c>
      <c r="H407" s="49">
        <f t="shared" si="32"/>
        <v>0</v>
      </c>
      <c r="I407" s="49">
        <f t="shared" si="33"/>
        <v>0</v>
      </c>
      <c r="J407" s="47">
        <f>(SUMIFS(LS[Unit],LS[Investor ID],A407,LS[B/S],"B",LS[Date Value],"&gt;="&amp;$Z$2,LS[Date Value],"&lt;="&amp;$Z$3))+(SUMIFS(SIP[Unit],SIP[Investor ID],A407,SIP[B/S],"B",SIP[Date Value],"&gt;="&amp;$Z$2,SIP[Date Value],"&lt;="&amp;$Z$3))</f>
        <v>0</v>
      </c>
      <c r="K407" s="49">
        <f>(SUMIFS(LS[Amount],LS[Investor ID],A407,LS[B/S],"B",LS[Date Value],"&gt;="&amp;$Z$2,LS[Date Value],"&lt;="&amp;$Z$3))+(SUMIFS(SIP[Amount],SIP[Investor ID],A407,SIP[B/S],"B",SIP[Date Value],"&gt;="&amp;$Z$2,SIP[Date Value],"&lt;="&amp;$Z$3))</f>
        <v>0</v>
      </c>
      <c r="L407" s="47">
        <f>(-SUMIFS(LS[Unit],LS[Investor ID],A407,LS[B/S],"S",LS[Date Value],"&gt;="&amp;$Z$2,LS[Date Value],"&lt;="&amp;$Z$3))+(-SUMIFS(SIP[Unit],SIP[Investor ID],A407,SIP[B/S],"S",SIP[Date Value],"&gt;="&amp;$Z$2,SIP[Date Value],"&lt;="&amp;$Z$3))</f>
        <v>0</v>
      </c>
      <c r="M407" s="49">
        <f>(SUMIFS(LS[Cost of Units Sold],LS[Investor ID],A407,LS[B/S],"S",LS[Date Value],"&gt;="&amp;$Z$2,LS[Date Value],"&lt;="&amp;$Z$3))+(SUMIFS(SIP[Cost of Units Sold],SIP[Investor ID],A407,SIP[B/S],"S",SIP[Date Value],"&gt;="&amp;$Z$2,SIP[Date Value],"&lt;="&amp;$Z$3))</f>
        <v>0</v>
      </c>
      <c r="N407" s="49">
        <f t="shared" si="34"/>
        <v>0</v>
      </c>
      <c r="O407" s="49">
        <f>(SUMIFS(LS[Realized Gain],LS[Investor ID],A407,LS[Date Value],"&gt;="&amp;$Z$2,LS[Date Value],"&lt;="&amp;$Z$3))+(SUMIFS(SIP[Realized Gain],SIP[Investor ID],A407,SIP[Date Value],"&gt;="&amp;$Z$2,SIP[Date Value],"&lt;="&amp;$Z$3))</f>
        <v>0</v>
      </c>
      <c r="P407" s="49">
        <v>0</v>
      </c>
      <c r="Q407" s="49">
        <v>0</v>
      </c>
      <c r="R407" s="49">
        <v>0</v>
      </c>
    </row>
    <row r="408" spans="1:18">
      <c r="A408" t="s">
        <v>862</v>
      </c>
      <c r="B408" s="47">
        <f>SUMIFS(LS[Unit],LS[Investor ID],'TAX CERTIFICATE'!A408,LS[Date Value],"&lt;"&amp;$Z$2)+SUMIFS(SIP[Unit],SIP[Investor ID],'TAX CERTIFICATE'!A408,SIP[Date Value],"&lt;"&amp;$Z$2)</f>
        <v>0</v>
      </c>
      <c r="C408" s="48">
        <f>(SUMIFS(LS[Amount],LS[B/S],"B",LS[Investor ID],A408,LS[Date Value],"&lt;"&amp;$Z$2)-SUMIFS(LS[Cost of Units Sold],LS[B/S],"S",LS[Investor ID],A408,LS[Date Value],"&lt;"&amp;$Z$2))+(SUMIFS(SIP[Amount],SIP[B/S],"B",SIP[Investor ID],#REF!,SIP[Date Value],"&lt;"&amp;$Z$2)-SUMIFS(SIP[Cost of Units Sold],SIP[B/S],"S",SIP[Investor ID],A408,SIP[Date Value],"&lt;"&amp;$Z$2))</f>
        <v>0</v>
      </c>
      <c r="D408" s="49">
        <f t="shared" si="30"/>
        <v>0</v>
      </c>
      <c r="E408" s="49">
        <f t="shared" si="31"/>
        <v>0</v>
      </c>
      <c r="F408" s="47">
        <f>SUMIFS(LS[Unit],LS[Investor ID],A408,LS[Date Value],"&lt;="&amp;$Z$3)+SUMIFS(SIP[Unit],SIP[Investor ID],A408,SIP[Date Value],"&lt;="&amp;$Z$3)</f>
        <v>0</v>
      </c>
      <c r="G408" s="49">
        <f>(SUMIFS(LS[Amount],LS[B/S],"B",LS[Investor ID],A408,LS[Date Value],"&lt;="&amp;$Z$3)-SUMIFS(LS[Cost of Units Sold],LS[B/S],"S",LS[Investor ID],A408,LS[Date Value],"&lt;="&amp;$Z$3))+(SUMIFS(SIP[Amount],SIP[B/S],"B",SIP[Investor ID],A408,SIP[Date Value],"&lt;="&amp;$Z$3)-SUMIFS(SIP[Cost of Units Sold],SIP[B/S],"S",SIP[Investor ID],A408,SIP[Date Value],"&lt;="&amp;$Z$3))</f>
        <v>0</v>
      </c>
      <c r="H408" s="49">
        <f t="shared" si="32"/>
        <v>0</v>
      </c>
      <c r="I408" s="49">
        <f t="shared" si="33"/>
        <v>0</v>
      </c>
      <c r="J408" s="47">
        <f>(SUMIFS(LS[Unit],LS[Investor ID],A408,LS[B/S],"B",LS[Date Value],"&gt;="&amp;$Z$2,LS[Date Value],"&lt;="&amp;$Z$3))+(SUMIFS(SIP[Unit],SIP[Investor ID],A408,SIP[B/S],"B",SIP[Date Value],"&gt;="&amp;$Z$2,SIP[Date Value],"&lt;="&amp;$Z$3))</f>
        <v>0</v>
      </c>
      <c r="K408" s="49">
        <f>(SUMIFS(LS[Amount],LS[Investor ID],A408,LS[B/S],"B",LS[Date Value],"&gt;="&amp;$Z$2,LS[Date Value],"&lt;="&amp;$Z$3))+(SUMIFS(SIP[Amount],SIP[Investor ID],A408,SIP[B/S],"B",SIP[Date Value],"&gt;="&amp;$Z$2,SIP[Date Value],"&lt;="&amp;$Z$3))</f>
        <v>0</v>
      </c>
      <c r="L408" s="47">
        <f>(-SUMIFS(LS[Unit],LS[Investor ID],A408,LS[B/S],"S",LS[Date Value],"&gt;="&amp;$Z$2,LS[Date Value],"&lt;="&amp;$Z$3))+(-SUMIFS(SIP[Unit],SIP[Investor ID],A408,SIP[B/S],"S",SIP[Date Value],"&gt;="&amp;$Z$2,SIP[Date Value],"&lt;="&amp;$Z$3))</f>
        <v>0</v>
      </c>
      <c r="M408" s="49">
        <f>(SUMIFS(LS[Cost of Units Sold],LS[Investor ID],A408,LS[B/S],"S",LS[Date Value],"&gt;="&amp;$Z$2,LS[Date Value],"&lt;="&amp;$Z$3))+(SUMIFS(SIP[Cost of Units Sold],SIP[Investor ID],A408,SIP[B/S],"S",SIP[Date Value],"&gt;="&amp;$Z$2,SIP[Date Value],"&lt;="&amp;$Z$3))</f>
        <v>0</v>
      </c>
      <c r="N408" s="49">
        <f t="shared" si="34"/>
        <v>0</v>
      </c>
      <c r="O408" s="49">
        <f>(SUMIFS(LS[Realized Gain],LS[Investor ID],A408,LS[Date Value],"&gt;="&amp;$Z$2,LS[Date Value],"&lt;="&amp;$Z$3))+(SUMIFS(SIP[Realized Gain],SIP[Investor ID],A408,SIP[Date Value],"&gt;="&amp;$Z$2,SIP[Date Value],"&lt;="&amp;$Z$3))</f>
        <v>0</v>
      </c>
      <c r="P408" s="49">
        <v>0</v>
      </c>
      <c r="Q408" s="49">
        <v>0</v>
      </c>
      <c r="R408" s="49">
        <v>0</v>
      </c>
    </row>
    <row r="409" spans="1:18">
      <c r="A409" t="s">
        <v>864</v>
      </c>
      <c r="B409" s="47">
        <f>SUMIFS(LS[Unit],LS[Investor ID],'TAX CERTIFICATE'!A409,LS[Date Value],"&lt;"&amp;$Z$2)+SUMIFS(SIP[Unit],SIP[Investor ID],'TAX CERTIFICATE'!A409,SIP[Date Value],"&lt;"&amp;$Z$2)</f>
        <v>0</v>
      </c>
      <c r="C409" s="48">
        <f>(SUMIFS(LS[Amount],LS[B/S],"B",LS[Investor ID],A409,LS[Date Value],"&lt;"&amp;$Z$2)-SUMIFS(LS[Cost of Units Sold],LS[B/S],"S",LS[Investor ID],A409,LS[Date Value],"&lt;"&amp;$Z$2))+(SUMIFS(SIP[Amount],SIP[B/S],"B",SIP[Investor ID],#REF!,SIP[Date Value],"&lt;"&amp;$Z$2)-SUMIFS(SIP[Cost of Units Sold],SIP[B/S],"S",SIP[Investor ID],A409,SIP[Date Value],"&lt;"&amp;$Z$2))</f>
        <v>0</v>
      </c>
      <c r="D409" s="49">
        <f t="shared" si="30"/>
        <v>0</v>
      </c>
      <c r="E409" s="49">
        <f t="shared" si="31"/>
        <v>0</v>
      </c>
      <c r="F409" s="47">
        <f>SUMIFS(LS[Unit],LS[Investor ID],A409,LS[Date Value],"&lt;="&amp;$Z$3)+SUMIFS(SIP[Unit],SIP[Investor ID],A409,SIP[Date Value],"&lt;="&amp;$Z$3)</f>
        <v>0</v>
      </c>
      <c r="G409" s="49">
        <f>(SUMIFS(LS[Amount],LS[B/S],"B",LS[Investor ID],A409,LS[Date Value],"&lt;="&amp;$Z$3)-SUMIFS(LS[Cost of Units Sold],LS[B/S],"S",LS[Investor ID],A409,LS[Date Value],"&lt;="&amp;$Z$3))+(SUMIFS(SIP[Amount],SIP[B/S],"B",SIP[Investor ID],A409,SIP[Date Value],"&lt;="&amp;$Z$3)-SUMIFS(SIP[Cost of Units Sold],SIP[B/S],"S",SIP[Investor ID],A409,SIP[Date Value],"&lt;="&amp;$Z$3))</f>
        <v>0</v>
      </c>
      <c r="H409" s="49">
        <f t="shared" si="32"/>
        <v>0</v>
      </c>
      <c r="I409" s="49">
        <f t="shared" si="33"/>
        <v>0</v>
      </c>
      <c r="J409" s="47">
        <f>(SUMIFS(LS[Unit],LS[Investor ID],A409,LS[B/S],"B",LS[Date Value],"&gt;="&amp;$Z$2,LS[Date Value],"&lt;="&amp;$Z$3))+(SUMIFS(SIP[Unit],SIP[Investor ID],A409,SIP[B/S],"B",SIP[Date Value],"&gt;="&amp;$Z$2,SIP[Date Value],"&lt;="&amp;$Z$3))</f>
        <v>0</v>
      </c>
      <c r="K409" s="49">
        <f>(SUMIFS(LS[Amount],LS[Investor ID],A409,LS[B/S],"B",LS[Date Value],"&gt;="&amp;$Z$2,LS[Date Value],"&lt;="&amp;$Z$3))+(SUMIFS(SIP[Amount],SIP[Investor ID],A409,SIP[B/S],"B",SIP[Date Value],"&gt;="&amp;$Z$2,SIP[Date Value],"&lt;="&amp;$Z$3))</f>
        <v>0</v>
      </c>
      <c r="L409" s="47">
        <f>(-SUMIFS(LS[Unit],LS[Investor ID],A409,LS[B/S],"S",LS[Date Value],"&gt;="&amp;$Z$2,LS[Date Value],"&lt;="&amp;$Z$3))+(-SUMIFS(SIP[Unit],SIP[Investor ID],A409,SIP[B/S],"S",SIP[Date Value],"&gt;="&amp;$Z$2,SIP[Date Value],"&lt;="&amp;$Z$3))</f>
        <v>0</v>
      </c>
      <c r="M409" s="49">
        <f>(SUMIFS(LS[Cost of Units Sold],LS[Investor ID],A409,LS[B/S],"S",LS[Date Value],"&gt;="&amp;$Z$2,LS[Date Value],"&lt;="&amp;$Z$3))+(SUMIFS(SIP[Cost of Units Sold],SIP[Investor ID],A409,SIP[B/S],"S",SIP[Date Value],"&gt;="&amp;$Z$2,SIP[Date Value],"&lt;="&amp;$Z$3))</f>
        <v>0</v>
      </c>
      <c r="N409" s="49">
        <f t="shared" si="34"/>
        <v>0</v>
      </c>
      <c r="O409" s="49">
        <f>(SUMIFS(LS[Realized Gain],LS[Investor ID],A409,LS[Date Value],"&gt;="&amp;$Z$2,LS[Date Value],"&lt;="&amp;$Z$3))+(SUMIFS(SIP[Realized Gain],SIP[Investor ID],A409,SIP[Date Value],"&gt;="&amp;$Z$2,SIP[Date Value],"&lt;="&amp;$Z$3))</f>
        <v>0</v>
      </c>
      <c r="P409" s="49">
        <v>0</v>
      </c>
      <c r="Q409" s="49">
        <v>0</v>
      </c>
      <c r="R409" s="49">
        <v>0</v>
      </c>
    </row>
    <row r="410" spans="1:18">
      <c r="A410" t="s">
        <v>866</v>
      </c>
      <c r="B410" s="47">
        <f>SUMIFS(LS[Unit],LS[Investor ID],'TAX CERTIFICATE'!A410,LS[Date Value],"&lt;"&amp;$Z$2)+SUMIFS(SIP[Unit],SIP[Investor ID],'TAX CERTIFICATE'!A410,SIP[Date Value],"&lt;"&amp;$Z$2)</f>
        <v>0</v>
      </c>
      <c r="C410" s="48">
        <f>(SUMIFS(LS[Amount],LS[B/S],"B",LS[Investor ID],A410,LS[Date Value],"&lt;"&amp;$Z$2)-SUMIFS(LS[Cost of Units Sold],LS[B/S],"S",LS[Investor ID],A410,LS[Date Value],"&lt;"&amp;$Z$2))+(SUMIFS(SIP[Amount],SIP[B/S],"B",SIP[Investor ID],#REF!,SIP[Date Value],"&lt;"&amp;$Z$2)-SUMIFS(SIP[Cost of Units Sold],SIP[B/S],"S",SIP[Investor ID],A410,SIP[Date Value],"&lt;"&amp;$Z$2))</f>
        <v>0</v>
      </c>
      <c r="D410" s="49">
        <f t="shared" si="30"/>
        <v>0</v>
      </c>
      <c r="E410" s="49">
        <f t="shared" si="31"/>
        <v>0</v>
      </c>
      <c r="F410" s="47">
        <f>SUMIFS(LS[Unit],LS[Investor ID],A410,LS[Date Value],"&lt;="&amp;$Z$3)+SUMIFS(SIP[Unit],SIP[Investor ID],A410,SIP[Date Value],"&lt;="&amp;$Z$3)</f>
        <v>0</v>
      </c>
      <c r="G410" s="49">
        <f>(SUMIFS(LS[Amount],LS[B/S],"B",LS[Investor ID],A410,LS[Date Value],"&lt;="&amp;$Z$3)-SUMIFS(LS[Cost of Units Sold],LS[B/S],"S",LS[Investor ID],A410,LS[Date Value],"&lt;="&amp;$Z$3))+(SUMIFS(SIP[Amount],SIP[B/S],"B",SIP[Investor ID],A410,SIP[Date Value],"&lt;="&amp;$Z$3)-SUMIFS(SIP[Cost of Units Sold],SIP[B/S],"S",SIP[Investor ID],A410,SIP[Date Value],"&lt;="&amp;$Z$3))</f>
        <v>0</v>
      </c>
      <c r="H410" s="49">
        <f t="shared" si="32"/>
        <v>0</v>
      </c>
      <c r="I410" s="49">
        <f t="shared" si="33"/>
        <v>0</v>
      </c>
      <c r="J410" s="47">
        <f>(SUMIFS(LS[Unit],LS[Investor ID],A410,LS[B/S],"B",LS[Date Value],"&gt;="&amp;$Z$2,LS[Date Value],"&lt;="&amp;$Z$3))+(SUMIFS(SIP[Unit],SIP[Investor ID],A410,SIP[B/S],"B",SIP[Date Value],"&gt;="&amp;$Z$2,SIP[Date Value],"&lt;="&amp;$Z$3))</f>
        <v>0</v>
      </c>
      <c r="K410" s="49">
        <f>(SUMIFS(LS[Amount],LS[Investor ID],A410,LS[B/S],"B",LS[Date Value],"&gt;="&amp;$Z$2,LS[Date Value],"&lt;="&amp;$Z$3))+(SUMIFS(SIP[Amount],SIP[Investor ID],A410,SIP[B/S],"B",SIP[Date Value],"&gt;="&amp;$Z$2,SIP[Date Value],"&lt;="&amp;$Z$3))</f>
        <v>0</v>
      </c>
      <c r="L410" s="47">
        <f>(-SUMIFS(LS[Unit],LS[Investor ID],A410,LS[B/S],"S",LS[Date Value],"&gt;="&amp;$Z$2,LS[Date Value],"&lt;="&amp;$Z$3))+(-SUMIFS(SIP[Unit],SIP[Investor ID],A410,SIP[B/S],"S",SIP[Date Value],"&gt;="&amp;$Z$2,SIP[Date Value],"&lt;="&amp;$Z$3))</f>
        <v>0</v>
      </c>
      <c r="M410" s="49">
        <f>(SUMIFS(LS[Cost of Units Sold],LS[Investor ID],A410,LS[B/S],"S",LS[Date Value],"&gt;="&amp;$Z$2,LS[Date Value],"&lt;="&amp;$Z$3))+(SUMIFS(SIP[Cost of Units Sold],SIP[Investor ID],A410,SIP[B/S],"S",SIP[Date Value],"&gt;="&amp;$Z$2,SIP[Date Value],"&lt;="&amp;$Z$3))</f>
        <v>0</v>
      </c>
      <c r="N410" s="49">
        <f t="shared" si="34"/>
        <v>0</v>
      </c>
      <c r="O410" s="49">
        <f>(SUMIFS(LS[Realized Gain],LS[Investor ID],A410,LS[Date Value],"&gt;="&amp;$Z$2,LS[Date Value],"&lt;="&amp;$Z$3))+(SUMIFS(SIP[Realized Gain],SIP[Investor ID],A410,SIP[Date Value],"&gt;="&amp;$Z$2,SIP[Date Value],"&lt;="&amp;$Z$3))</f>
        <v>0</v>
      </c>
      <c r="P410" s="49">
        <v>0</v>
      </c>
      <c r="Q410" s="49">
        <v>0</v>
      </c>
      <c r="R410" s="49">
        <v>0</v>
      </c>
    </row>
    <row r="411" spans="1:18">
      <c r="A411" t="s">
        <v>868</v>
      </c>
      <c r="B411" s="47">
        <f>SUMIFS(LS[Unit],LS[Investor ID],'TAX CERTIFICATE'!A411,LS[Date Value],"&lt;"&amp;$Z$2)+SUMIFS(SIP[Unit],SIP[Investor ID],'TAX CERTIFICATE'!A411,SIP[Date Value],"&lt;"&amp;$Z$2)</f>
        <v>0</v>
      </c>
      <c r="C411" s="48">
        <f>(SUMIFS(LS[Amount],LS[B/S],"B",LS[Investor ID],A411,LS[Date Value],"&lt;"&amp;$Z$2)-SUMIFS(LS[Cost of Units Sold],LS[B/S],"S",LS[Investor ID],A411,LS[Date Value],"&lt;"&amp;$Z$2))+(SUMIFS(SIP[Amount],SIP[B/S],"B",SIP[Investor ID],#REF!,SIP[Date Value],"&lt;"&amp;$Z$2)-SUMIFS(SIP[Cost of Units Sold],SIP[B/S],"S",SIP[Investor ID],A411,SIP[Date Value],"&lt;"&amp;$Z$2))</f>
        <v>0</v>
      </c>
      <c r="D411" s="49">
        <f t="shared" si="30"/>
        <v>0</v>
      </c>
      <c r="E411" s="49">
        <f t="shared" si="31"/>
        <v>0</v>
      </c>
      <c r="F411" s="47">
        <f>SUMIFS(LS[Unit],LS[Investor ID],A411,LS[Date Value],"&lt;="&amp;$Z$3)+SUMIFS(SIP[Unit],SIP[Investor ID],A411,SIP[Date Value],"&lt;="&amp;$Z$3)</f>
        <v>0</v>
      </c>
      <c r="G411" s="49">
        <f>(SUMIFS(LS[Amount],LS[B/S],"B",LS[Investor ID],A411,LS[Date Value],"&lt;="&amp;$Z$3)-SUMIFS(LS[Cost of Units Sold],LS[B/S],"S",LS[Investor ID],A411,LS[Date Value],"&lt;="&amp;$Z$3))+(SUMIFS(SIP[Amount],SIP[B/S],"B",SIP[Investor ID],A411,SIP[Date Value],"&lt;="&amp;$Z$3)-SUMIFS(SIP[Cost of Units Sold],SIP[B/S],"S",SIP[Investor ID],A411,SIP[Date Value],"&lt;="&amp;$Z$3))</f>
        <v>0</v>
      </c>
      <c r="H411" s="49">
        <f t="shared" si="32"/>
        <v>0</v>
      </c>
      <c r="I411" s="49">
        <f t="shared" si="33"/>
        <v>0</v>
      </c>
      <c r="J411" s="47">
        <f>(SUMIFS(LS[Unit],LS[Investor ID],A411,LS[B/S],"B",LS[Date Value],"&gt;="&amp;$Z$2,LS[Date Value],"&lt;="&amp;$Z$3))+(SUMIFS(SIP[Unit],SIP[Investor ID],A411,SIP[B/S],"B",SIP[Date Value],"&gt;="&amp;$Z$2,SIP[Date Value],"&lt;="&amp;$Z$3))</f>
        <v>0</v>
      </c>
      <c r="K411" s="49">
        <f>(SUMIFS(LS[Amount],LS[Investor ID],A411,LS[B/S],"B",LS[Date Value],"&gt;="&amp;$Z$2,LS[Date Value],"&lt;="&amp;$Z$3))+(SUMIFS(SIP[Amount],SIP[Investor ID],A411,SIP[B/S],"B",SIP[Date Value],"&gt;="&amp;$Z$2,SIP[Date Value],"&lt;="&amp;$Z$3))</f>
        <v>0</v>
      </c>
      <c r="L411" s="47">
        <f>(-SUMIFS(LS[Unit],LS[Investor ID],A411,LS[B/S],"S",LS[Date Value],"&gt;="&amp;$Z$2,LS[Date Value],"&lt;="&amp;$Z$3))+(-SUMIFS(SIP[Unit],SIP[Investor ID],A411,SIP[B/S],"S",SIP[Date Value],"&gt;="&amp;$Z$2,SIP[Date Value],"&lt;="&amp;$Z$3))</f>
        <v>0</v>
      </c>
      <c r="M411" s="49">
        <f>(SUMIFS(LS[Cost of Units Sold],LS[Investor ID],A411,LS[B/S],"S",LS[Date Value],"&gt;="&amp;$Z$2,LS[Date Value],"&lt;="&amp;$Z$3))+(SUMIFS(SIP[Cost of Units Sold],SIP[Investor ID],A411,SIP[B/S],"S",SIP[Date Value],"&gt;="&amp;$Z$2,SIP[Date Value],"&lt;="&amp;$Z$3))</f>
        <v>0</v>
      </c>
      <c r="N411" s="49">
        <f t="shared" si="34"/>
        <v>0</v>
      </c>
      <c r="O411" s="49">
        <f>(SUMIFS(LS[Realized Gain],LS[Investor ID],A411,LS[Date Value],"&gt;="&amp;$Z$2,LS[Date Value],"&lt;="&amp;$Z$3))+(SUMIFS(SIP[Realized Gain],SIP[Investor ID],A411,SIP[Date Value],"&gt;="&amp;$Z$2,SIP[Date Value],"&lt;="&amp;$Z$3))</f>
        <v>0</v>
      </c>
      <c r="P411" s="49">
        <v>0</v>
      </c>
      <c r="Q411" s="49">
        <v>0</v>
      </c>
      <c r="R411" s="49">
        <v>0</v>
      </c>
    </row>
    <row r="412" spans="1:18">
      <c r="A412" t="s">
        <v>870</v>
      </c>
      <c r="B412" s="47">
        <f>SUMIFS(LS[Unit],LS[Investor ID],'TAX CERTIFICATE'!A412,LS[Date Value],"&lt;"&amp;$Z$2)+SUMIFS(SIP[Unit],SIP[Investor ID],'TAX CERTIFICATE'!A412,SIP[Date Value],"&lt;"&amp;$Z$2)</f>
        <v>0</v>
      </c>
      <c r="C412" s="48">
        <f>(SUMIFS(LS[Amount],LS[B/S],"B",LS[Investor ID],A412,LS[Date Value],"&lt;"&amp;$Z$2)-SUMIFS(LS[Cost of Units Sold],LS[B/S],"S",LS[Investor ID],A412,LS[Date Value],"&lt;"&amp;$Z$2))+(SUMIFS(SIP[Amount],SIP[B/S],"B",SIP[Investor ID],#REF!,SIP[Date Value],"&lt;"&amp;$Z$2)-SUMIFS(SIP[Cost of Units Sold],SIP[B/S],"S",SIP[Investor ID],A412,SIP[Date Value],"&lt;"&amp;$Z$2))</f>
        <v>0</v>
      </c>
      <c r="D412" s="49">
        <f t="shared" si="30"/>
        <v>0</v>
      </c>
      <c r="E412" s="49">
        <f t="shared" si="31"/>
        <v>0</v>
      </c>
      <c r="F412" s="47">
        <f>SUMIFS(LS[Unit],LS[Investor ID],A412,LS[Date Value],"&lt;="&amp;$Z$3)+SUMIFS(SIP[Unit],SIP[Investor ID],A412,SIP[Date Value],"&lt;="&amp;$Z$3)</f>
        <v>0</v>
      </c>
      <c r="G412" s="49">
        <f>(SUMIFS(LS[Amount],LS[B/S],"B",LS[Investor ID],A412,LS[Date Value],"&lt;="&amp;$Z$3)-SUMIFS(LS[Cost of Units Sold],LS[B/S],"S",LS[Investor ID],A412,LS[Date Value],"&lt;="&amp;$Z$3))+(SUMIFS(SIP[Amount],SIP[B/S],"B",SIP[Investor ID],A412,SIP[Date Value],"&lt;="&amp;$Z$3)-SUMIFS(SIP[Cost of Units Sold],SIP[B/S],"S",SIP[Investor ID],A412,SIP[Date Value],"&lt;="&amp;$Z$3))</f>
        <v>0</v>
      </c>
      <c r="H412" s="49">
        <f t="shared" si="32"/>
        <v>0</v>
      </c>
      <c r="I412" s="49">
        <f t="shared" si="33"/>
        <v>0</v>
      </c>
      <c r="J412" s="47">
        <f>(SUMIFS(LS[Unit],LS[Investor ID],A412,LS[B/S],"B",LS[Date Value],"&gt;="&amp;$Z$2,LS[Date Value],"&lt;="&amp;$Z$3))+(SUMIFS(SIP[Unit],SIP[Investor ID],A412,SIP[B/S],"B",SIP[Date Value],"&gt;="&amp;$Z$2,SIP[Date Value],"&lt;="&amp;$Z$3))</f>
        <v>11359</v>
      </c>
      <c r="K412" s="49">
        <f>(SUMIFS(LS[Amount],LS[Investor ID],A412,LS[B/S],"B",LS[Date Value],"&gt;="&amp;$Z$2,LS[Date Value],"&lt;="&amp;$Z$3))+(SUMIFS(SIP[Amount],SIP[Investor ID],A412,SIP[B/S],"B",SIP[Date Value],"&gt;="&amp;$Z$2,SIP[Date Value],"&lt;="&amp;$Z$3))</f>
        <v>120000</v>
      </c>
      <c r="L412" s="47">
        <f>(-SUMIFS(LS[Unit],LS[Investor ID],A412,LS[B/S],"S",LS[Date Value],"&gt;="&amp;$Z$2,LS[Date Value],"&lt;="&amp;$Z$3))+(-SUMIFS(SIP[Unit],SIP[Investor ID],A412,SIP[B/S],"S",SIP[Date Value],"&gt;="&amp;$Z$2,SIP[Date Value],"&lt;="&amp;$Z$3))</f>
        <v>11359</v>
      </c>
      <c r="M412" s="49">
        <f>(SUMIFS(LS[Cost of Units Sold],LS[Investor ID],A412,LS[B/S],"S",LS[Date Value],"&gt;="&amp;$Z$2,LS[Date Value],"&lt;="&amp;$Z$3))+(SUMIFS(SIP[Cost of Units Sold],SIP[Investor ID],A412,SIP[B/S],"S",SIP[Date Value],"&gt;="&amp;$Z$2,SIP[Date Value],"&lt;="&amp;$Z$3))</f>
        <v>120000</v>
      </c>
      <c r="N412" s="49">
        <f t="shared" si="34"/>
        <v>0</v>
      </c>
      <c r="O412" s="49">
        <f>(SUMIFS(LS[Realized Gain],LS[Investor ID],A412,LS[Date Value],"&gt;="&amp;$Z$2,LS[Date Value],"&lt;="&amp;$Z$3))+(SUMIFS(SIP[Realized Gain],SIP[Investor ID],A412,SIP[Date Value],"&gt;="&amp;$Z$2,SIP[Date Value],"&lt;="&amp;$Z$3))</f>
        <v>3869.8999999999974</v>
      </c>
      <c r="P412" s="49">
        <v>0</v>
      </c>
      <c r="Q412" s="49">
        <v>0</v>
      </c>
      <c r="R412" s="49">
        <v>0</v>
      </c>
    </row>
    <row r="413" spans="1:18">
      <c r="A413" t="s">
        <v>872</v>
      </c>
      <c r="B413" s="47">
        <f>SUMIFS(LS[Unit],LS[Investor ID],'TAX CERTIFICATE'!A413,LS[Date Value],"&lt;"&amp;$Z$2)+SUMIFS(SIP[Unit],SIP[Investor ID],'TAX CERTIFICATE'!A413,SIP[Date Value],"&lt;"&amp;$Z$2)</f>
        <v>49305</v>
      </c>
      <c r="C413" s="48">
        <f>(SUMIFS(LS[Amount],LS[B/S],"B",LS[Investor ID],A413,LS[Date Value],"&lt;"&amp;$Z$2)-SUMIFS(LS[Cost of Units Sold],LS[B/S],"S",LS[Investor ID],A413,LS[Date Value],"&lt;"&amp;$Z$2))+(SUMIFS(SIP[Amount],SIP[B/S],"B",SIP[Investor ID],#REF!,SIP[Date Value],"&lt;"&amp;$Z$2)-SUMIFS(SIP[Cost of Units Sold],SIP[B/S],"S",SIP[Investor ID],A413,SIP[Date Value],"&lt;"&amp;$Z$2))</f>
        <v>500000</v>
      </c>
      <c r="D413" s="49">
        <f t="shared" si="30"/>
        <v>506411.65500000003</v>
      </c>
      <c r="E413" s="49">
        <f t="shared" si="31"/>
        <v>6411.6550000000279</v>
      </c>
      <c r="F413" s="47">
        <f>SUMIFS(LS[Unit],LS[Investor ID],A413,LS[Date Value],"&lt;="&amp;$Z$3)+SUMIFS(SIP[Unit],SIP[Investor ID],A413,SIP[Date Value],"&lt;="&amp;$Z$3)</f>
        <v>28000</v>
      </c>
      <c r="G413" s="49">
        <f>(SUMIFS(LS[Amount],LS[B/S],"B",LS[Investor ID],A413,LS[Date Value],"&lt;="&amp;$Z$3)-SUMIFS(LS[Cost of Units Sold],LS[B/S],"S",LS[Investor ID],A413,LS[Date Value],"&lt;="&amp;$Z$3))+(SUMIFS(SIP[Amount],SIP[B/S],"B",SIP[Investor ID],A413,SIP[Date Value],"&lt;="&amp;$Z$3)-SUMIFS(SIP[Cost of Units Sold],SIP[B/S],"S",SIP[Investor ID],A413,SIP[Date Value],"&lt;="&amp;$Z$3))</f>
        <v>283946.86137308588</v>
      </c>
      <c r="H413" s="49">
        <f t="shared" si="32"/>
        <v>312592</v>
      </c>
      <c r="I413" s="49">
        <f t="shared" si="33"/>
        <v>28645.138626914122</v>
      </c>
      <c r="J413" s="47">
        <f>(SUMIFS(LS[Unit],LS[Investor ID],A413,LS[B/S],"B",LS[Date Value],"&gt;="&amp;$Z$2,LS[Date Value],"&lt;="&amp;$Z$3))+(SUMIFS(SIP[Unit],SIP[Investor ID],A413,SIP[B/S],"B",SIP[Date Value],"&gt;="&amp;$Z$2,SIP[Date Value],"&lt;="&amp;$Z$3))</f>
        <v>0</v>
      </c>
      <c r="K413" s="49">
        <f>(SUMIFS(LS[Amount],LS[Investor ID],A413,LS[B/S],"B",LS[Date Value],"&gt;="&amp;$Z$2,LS[Date Value],"&lt;="&amp;$Z$3))+(SUMIFS(SIP[Amount],SIP[Investor ID],A413,SIP[B/S],"B",SIP[Date Value],"&gt;="&amp;$Z$2,SIP[Date Value],"&lt;="&amp;$Z$3))</f>
        <v>0</v>
      </c>
      <c r="L413" s="47">
        <f>(-SUMIFS(LS[Unit],LS[Investor ID],A413,LS[B/S],"S",LS[Date Value],"&gt;="&amp;$Z$2,LS[Date Value],"&lt;="&amp;$Z$3))+(-SUMIFS(SIP[Unit],SIP[Investor ID],A413,SIP[B/S],"S",SIP[Date Value],"&gt;="&amp;$Z$2,SIP[Date Value],"&lt;="&amp;$Z$3))</f>
        <v>21305</v>
      </c>
      <c r="M413" s="49">
        <f>(SUMIFS(LS[Cost of Units Sold],LS[Investor ID],A413,LS[B/S],"S",LS[Date Value],"&gt;="&amp;$Z$2,LS[Date Value],"&lt;="&amp;$Z$3))+(SUMIFS(SIP[Cost of Units Sold],SIP[Investor ID],A413,SIP[B/S],"S",SIP[Date Value],"&gt;="&amp;$Z$2,SIP[Date Value],"&lt;="&amp;$Z$3))</f>
        <v>216053.13862691412</v>
      </c>
      <c r="N413" s="49">
        <f t="shared" si="34"/>
        <v>-216053.13862691412</v>
      </c>
      <c r="O413" s="49">
        <f>(SUMIFS(LS[Realized Gain],LS[Investor ID],A413,LS[Date Value],"&gt;="&amp;$Z$2,LS[Date Value],"&lt;="&amp;$Z$3))+(SUMIFS(SIP[Realized Gain],SIP[Investor ID],A413,SIP[Date Value],"&gt;="&amp;$Z$2,SIP[Date Value],"&lt;="&amp;$Z$3))</f>
        <v>14573.491373085899</v>
      </c>
      <c r="P413" s="49">
        <v>0</v>
      </c>
      <c r="Q413" s="49">
        <v>0</v>
      </c>
      <c r="R413" s="49">
        <v>0</v>
      </c>
    </row>
    <row r="414" spans="1:18">
      <c r="A414" t="s">
        <v>874</v>
      </c>
      <c r="B414" s="47">
        <f>SUMIFS(LS[Unit],LS[Investor ID],'TAX CERTIFICATE'!A414,LS[Date Value],"&lt;"&amp;$Z$2)+SUMIFS(SIP[Unit],SIP[Investor ID],'TAX CERTIFICATE'!A414,SIP[Date Value],"&lt;"&amp;$Z$2)</f>
        <v>0</v>
      </c>
      <c r="C414" s="48">
        <f>(SUMIFS(LS[Amount],LS[B/S],"B",LS[Investor ID],A414,LS[Date Value],"&lt;"&amp;$Z$2)-SUMIFS(LS[Cost of Units Sold],LS[B/S],"S",LS[Investor ID],A414,LS[Date Value],"&lt;"&amp;$Z$2))+(SUMIFS(SIP[Amount],SIP[B/S],"B",SIP[Investor ID],#REF!,SIP[Date Value],"&lt;"&amp;$Z$2)-SUMIFS(SIP[Cost of Units Sold],SIP[B/S],"S",SIP[Investor ID],A414,SIP[Date Value],"&lt;"&amp;$Z$2))</f>
        <v>0</v>
      </c>
      <c r="D414" s="49">
        <f t="shared" si="30"/>
        <v>0</v>
      </c>
      <c r="E414" s="49">
        <f t="shared" si="31"/>
        <v>0</v>
      </c>
      <c r="F414" s="47">
        <f>SUMIFS(LS[Unit],LS[Investor ID],A414,LS[Date Value],"&lt;="&amp;$Z$3)+SUMIFS(SIP[Unit],SIP[Investor ID],A414,SIP[Date Value],"&lt;="&amp;$Z$3)</f>
        <v>0</v>
      </c>
      <c r="G414" s="49">
        <f>(SUMIFS(LS[Amount],LS[B/S],"B",LS[Investor ID],A414,LS[Date Value],"&lt;="&amp;$Z$3)-SUMIFS(LS[Cost of Units Sold],LS[B/S],"S",LS[Investor ID],A414,LS[Date Value],"&lt;="&amp;$Z$3))+(SUMIFS(SIP[Amount],SIP[B/S],"B",SIP[Investor ID],A414,SIP[Date Value],"&lt;="&amp;$Z$3)-SUMIFS(SIP[Cost of Units Sold],SIP[B/S],"S",SIP[Investor ID],A414,SIP[Date Value],"&lt;="&amp;$Z$3))</f>
        <v>0</v>
      </c>
      <c r="H414" s="49">
        <f t="shared" si="32"/>
        <v>0</v>
      </c>
      <c r="I414" s="49">
        <f t="shared" si="33"/>
        <v>0</v>
      </c>
      <c r="J414" s="47">
        <f>(SUMIFS(LS[Unit],LS[Investor ID],A414,LS[B/S],"B",LS[Date Value],"&gt;="&amp;$Z$2,LS[Date Value],"&lt;="&amp;$Z$3))+(SUMIFS(SIP[Unit],SIP[Investor ID],A414,SIP[B/S],"B",SIP[Date Value],"&gt;="&amp;$Z$2,SIP[Date Value],"&lt;="&amp;$Z$3))</f>
        <v>0</v>
      </c>
      <c r="K414" s="49">
        <f>(SUMIFS(LS[Amount],LS[Investor ID],A414,LS[B/S],"B",LS[Date Value],"&gt;="&amp;$Z$2,LS[Date Value],"&lt;="&amp;$Z$3))+(SUMIFS(SIP[Amount],SIP[Investor ID],A414,SIP[B/S],"B",SIP[Date Value],"&gt;="&amp;$Z$2,SIP[Date Value],"&lt;="&amp;$Z$3))</f>
        <v>0</v>
      </c>
      <c r="L414" s="47">
        <f>(-SUMIFS(LS[Unit],LS[Investor ID],A414,LS[B/S],"S",LS[Date Value],"&gt;="&amp;$Z$2,LS[Date Value],"&lt;="&amp;$Z$3))+(-SUMIFS(SIP[Unit],SIP[Investor ID],A414,SIP[B/S],"S",SIP[Date Value],"&gt;="&amp;$Z$2,SIP[Date Value],"&lt;="&amp;$Z$3))</f>
        <v>0</v>
      </c>
      <c r="M414" s="49">
        <f>(SUMIFS(LS[Cost of Units Sold],LS[Investor ID],A414,LS[B/S],"S",LS[Date Value],"&gt;="&amp;$Z$2,LS[Date Value],"&lt;="&amp;$Z$3))+(SUMIFS(SIP[Cost of Units Sold],SIP[Investor ID],A414,SIP[B/S],"S",SIP[Date Value],"&gt;="&amp;$Z$2,SIP[Date Value],"&lt;="&amp;$Z$3))</f>
        <v>0</v>
      </c>
      <c r="N414" s="49">
        <f t="shared" si="34"/>
        <v>0</v>
      </c>
      <c r="O414" s="49">
        <f>(SUMIFS(LS[Realized Gain],LS[Investor ID],A414,LS[Date Value],"&gt;="&amp;$Z$2,LS[Date Value],"&lt;="&amp;$Z$3))+(SUMIFS(SIP[Realized Gain],SIP[Investor ID],A414,SIP[Date Value],"&gt;="&amp;$Z$2,SIP[Date Value],"&lt;="&amp;$Z$3))</f>
        <v>0</v>
      </c>
      <c r="P414" s="49">
        <v>0</v>
      </c>
      <c r="Q414" s="49">
        <v>0</v>
      </c>
      <c r="R414" s="49">
        <v>0</v>
      </c>
    </row>
    <row r="415" spans="1:18">
      <c r="A415" t="s">
        <v>876</v>
      </c>
      <c r="B415" s="47">
        <f>SUMIFS(LS[Unit],LS[Investor ID],'TAX CERTIFICATE'!A415,LS[Date Value],"&lt;"&amp;$Z$2)+SUMIFS(SIP[Unit],SIP[Investor ID],'TAX CERTIFICATE'!A415,SIP[Date Value],"&lt;"&amp;$Z$2)</f>
        <v>0</v>
      </c>
      <c r="C415" s="48">
        <f>(SUMIFS(LS[Amount],LS[B/S],"B",LS[Investor ID],A415,LS[Date Value],"&lt;"&amp;$Z$2)-SUMIFS(LS[Cost of Units Sold],LS[B/S],"S",LS[Investor ID],A415,LS[Date Value],"&lt;"&amp;$Z$2))+(SUMIFS(SIP[Amount],SIP[B/S],"B",SIP[Investor ID],#REF!,SIP[Date Value],"&lt;"&amp;$Z$2)-SUMIFS(SIP[Cost of Units Sold],SIP[B/S],"S",SIP[Investor ID],A415,SIP[Date Value],"&lt;"&amp;$Z$2))</f>
        <v>0</v>
      </c>
      <c r="D415" s="49">
        <f t="shared" si="30"/>
        <v>0</v>
      </c>
      <c r="E415" s="49">
        <f t="shared" si="31"/>
        <v>0</v>
      </c>
      <c r="F415" s="47">
        <f>SUMIFS(LS[Unit],LS[Investor ID],A415,LS[Date Value],"&lt;="&amp;$Z$3)+SUMIFS(SIP[Unit],SIP[Investor ID],A415,SIP[Date Value],"&lt;="&amp;$Z$3)</f>
        <v>0</v>
      </c>
      <c r="G415" s="49">
        <f>(SUMIFS(LS[Amount],LS[B/S],"B",LS[Investor ID],A415,LS[Date Value],"&lt;="&amp;$Z$3)-SUMIFS(LS[Cost of Units Sold],LS[B/S],"S",LS[Investor ID],A415,LS[Date Value],"&lt;="&amp;$Z$3))+(SUMIFS(SIP[Amount],SIP[B/S],"B",SIP[Investor ID],A415,SIP[Date Value],"&lt;="&amp;$Z$3)-SUMIFS(SIP[Cost of Units Sold],SIP[B/S],"S",SIP[Investor ID],A415,SIP[Date Value],"&lt;="&amp;$Z$3))</f>
        <v>0</v>
      </c>
      <c r="H415" s="49">
        <f t="shared" si="32"/>
        <v>0</v>
      </c>
      <c r="I415" s="49">
        <f t="shared" si="33"/>
        <v>0</v>
      </c>
      <c r="J415" s="47">
        <f>(SUMIFS(LS[Unit],LS[Investor ID],A415,LS[B/S],"B",LS[Date Value],"&gt;="&amp;$Z$2,LS[Date Value],"&lt;="&amp;$Z$3))+(SUMIFS(SIP[Unit],SIP[Investor ID],A415,SIP[B/S],"B",SIP[Date Value],"&gt;="&amp;$Z$2,SIP[Date Value],"&lt;="&amp;$Z$3))</f>
        <v>0</v>
      </c>
      <c r="K415" s="49">
        <f>(SUMIFS(LS[Amount],LS[Investor ID],A415,LS[B/S],"B",LS[Date Value],"&gt;="&amp;$Z$2,LS[Date Value],"&lt;="&amp;$Z$3))+(SUMIFS(SIP[Amount],SIP[Investor ID],A415,SIP[B/S],"B",SIP[Date Value],"&gt;="&amp;$Z$2,SIP[Date Value],"&lt;="&amp;$Z$3))</f>
        <v>0</v>
      </c>
      <c r="L415" s="47">
        <f>(-SUMIFS(LS[Unit],LS[Investor ID],A415,LS[B/S],"S",LS[Date Value],"&gt;="&amp;$Z$2,LS[Date Value],"&lt;="&amp;$Z$3))+(-SUMIFS(SIP[Unit],SIP[Investor ID],A415,SIP[B/S],"S",SIP[Date Value],"&gt;="&amp;$Z$2,SIP[Date Value],"&lt;="&amp;$Z$3))</f>
        <v>0</v>
      </c>
      <c r="M415" s="49">
        <f>(SUMIFS(LS[Cost of Units Sold],LS[Investor ID],A415,LS[B/S],"S",LS[Date Value],"&gt;="&amp;$Z$2,LS[Date Value],"&lt;="&amp;$Z$3))+(SUMIFS(SIP[Cost of Units Sold],SIP[Investor ID],A415,SIP[B/S],"S",SIP[Date Value],"&gt;="&amp;$Z$2,SIP[Date Value],"&lt;="&amp;$Z$3))</f>
        <v>0</v>
      </c>
      <c r="N415" s="49">
        <f t="shared" si="34"/>
        <v>0</v>
      </c>
      <c r="O415" s="49">
        <f>(SUMIFS(LS[Realized Gain],LS[Investor ID],A415,LS[Date Value],"&gt;="&amp;$Z$2,LS[Date Value],"&lt;="&amp;$Z$3))+(SUMIFS(SIP[Realized Gain],SIP[Investor ID],A415,SIP[Date Value],"&gt;="&amp;$Z$2,SIP[Date Value],"&lt;="&amp;$Z$3))</f>
        <v>0</v>
      </c>
      <c r="P415" s="49">
        <v>0</v>
      </c>
      <c r="Q415" s="49">
        <v>0</v>
      </c>
      <c r="R415" s="49">
        <v>0</v>
      </c>
    </row>
    <row r="416" spans="1:18">
      <c r="A416" t="s">
        <v>878</v>
      </c>
      <c r="B416" s="47">
        <f>SUMIFS(LS[Unit],LS[Investor ID],'TAX CERTIFICATE'!A416,LS[Date Value],"&lt;"&amp;$Z$2)+SUMIFS(SIP[Unit],SIP[Investor ID],'TAX CERTIFICATE'!A416,SIP[Date Value],"&lt;"&amp;$Z$2)</f>
        <v>0</v>
      </c>
      <c r="C416" s="48">
        <f>(SUMIFS(LS[Amount],LS[B/S],"B",LS[Investor ID],A416,LS[Date Value],"&lt;"&amp;$Z$2)-SUMIFS(LS[Cost of Units Sold],LS[B/S],"S",LS[Investor ID],A416,LS[Date Value],"&lt;"&amp;$Z$2))+(SUMIFS(SIP[Amount],SIP[B/S],"B",SIP[Investor ID],#REF!,SIP[Date Value],"&lt;"&amp;$Z$2)-SUMIFS(SIP[Cost of Units Sold],SIP[B/S],"S",SIP[Investor ID],A416,SIP[Date Value],"&lt;"&amp;$Z$2))</f>
        <v>0</v>
      </c>
      <c r="D416" s="49">
        <f t="shared" si="30"/>
        <v>0</v>
      </c>
      <c r="E416" s="49">
        <f t="shared" si="31"/>
        <v>0</v>
      </c>
      <c r="F416" s="47">
        <f>SUMIFS(LS[Unit],LS[Investor ID],A416,LS[Date Value],"&lt;="&amp;$Z$3)+SUMIFS(SIP[Unit],SIP[Investor ID],A416,SIP[Date Value],"&lt;="&amp;$Z$3)</f>
        <v>0</v>
      </c>
      <c r="G416" s="49">
        <f>(SUMIFS(LS[Amount],LS[B/S],"B",LS[Investor ID],A416,LS[Date Value],"&lt;="&amp;$Z$3)-SUMIFS(LS[Cost of Units Sold],LS[B/S],"S",LS[Investor ID],A416,LS[Date Value],"&lt;="&amp;$Z$3))+(SUMIFS(SIP[Amount],SIP[B/S],"B",SIP[Investor ID],A416,SIP[Date Value],"&lt;="&amp;$Z$3)-SUMIFS(SIP[Cost of Units Sold],SIP[B/S],"S",SIP[Investor ID],A416,SIP[Date Value],"&lt;="&amp;$Z$3))</f>
        <v>0</v>
      </c>
      <c r="H416" s="49">
        <f t="shared" si="32"/>
        <v>0</v>
      </c>
      <c r="I416" s="49">
        <f t="shared" si="33"/>
        <v>0</v>
      </c>
      <c r="J416" s="47">
        <f>(SUMIFS(LS[Unit],LS[Investor ID],A416,LS[B/S],"B",LS[Date Value],"&gt;="&amp;$Z$2,LS[Date Value],"&lt;="&amp;$Z$3))+(SUMIFS(SIP[Unit],SIP[Investor ID],A416,SIP[B/S],"B",SIP[Date Value],"&gt;="&amp;$Z$2,SIP[Date Value],"&lt;="&amp;$Z$3))</f>
        <v>0</v>
      </c>
      <c r="K416" s="49">
        <f>(SUMIFS(LS[Amount],LS[Investor ID],A416,LS[B/S],"B",LS[Date Value],"&gt;="&amp;$Z$2,LS[Date Value],"&lt;="&amp;$Z$3))+(SUMIFS(SIP[Amount],SIP[Investor ID],A416,SIP[B/S],"B",SIP[Date Value],"&gt;="&amp;$Z$2,SIP[Date Value],"&lt;="&amp;$Z$3))</f>
        <v>0</v>
      </c>
      <c r="L416" s="47">
        <f>(-SUMIFS(LS[Unit],LS[Investor ID],A416,LS[B/S],"S",LS[Date Value],"&gt;="&amp;$Z$2,LS[Date Value],"&lt;="&amp;$Z$3))+(-SUMIFS(SIP[Unit],SIP[Investor ID],A416,SIP[B/S],"S",SIP[Date Value],"&gt;="&amp;$Z$2,SIP[Date Value],"&lt;="&amp;$Z$3))</f>
        <v>0</v>
      </c>
      <c r="M416" s="49">
        <f>(SUMIFS(LS[Cost of Units Sold],LS[Investor ID],A416,LS[B/S],"S",LS[Date Value],"&gt;="&amp;$Z$2,LS[Date Value],"&lt;="&amp;$Z$3))+(SUMIFS(SIP[Cost of Units Sold],SIP[Investor ID],A416,SIP[B/S],"S",SIP[Date Value],"&gt;="&amp;$Z$2,SIP[Date Value],"&lt;="&amp;$Z$3))</f>
        <v>0</v>
      </c>
      <c r="N416" s="49">
        <f t="shared" si="34"/>
        <v>0</v>
      </c>
      <c r="O416" s="49">
        <f>(SUMIFS(LS[Realized Gain],LS[Investor ID],A416,LS[Date Value],"&gt;="&amp;$Z$2,LS[Date Value],"&lt;="&amp;$Z$3))+(SUMIFS(SIP[Realized Gain],SIP[Investor ID],A416,SIP[Date Value],"&gt;="&amp;$Z$2,SIP[Date Value],"&lt;="&amp;$Z$3))</f>
        <v>0</v>
      </c>
      <c r="P416" s="49">
        <v>0</v>
      </c>
      <c r="Q416" s="49">
        <v>0</v>
      </c>
      <c r="R416" s="49">
        <v>0</v>
      </c>
    </row>
    <row r="417" spans="1:18">
      <c r="A417" t="s">
        <v>880</v>
      </c>
      <c r="B417" s="47">
        <f>SUMIFS(LS[Unit],LS[Investor ID],'TAX CERTIFICATE'!A417,LS[Date Value],"&lt;"&amp;$Z$2)+SUMIFS(SIP[Unit],SIP[Investor ID],'TAX CERTIFICATE'!A417,SIP[Date Value],"&lt;"&amp;$Z$2)</f>
        <v>0</v>
      </c>
      <c r="C417" s="48">
        <f>(SUMIFS(LS[Amount],LS[B/S],"B",LS[Investor ID],A417,LS[Date Value],"&lt;"&amp;$Z$2)-SUMIFS(LS[Cost of Units Sold],LS[B/S],"S",LS[Investor ID],A417,LS[Date Value],"&lt;"&amp;$Z$2))+(SUMIFS(SIP[Amount],SIP[B/S],"B",SIP[Investor ID],#REF!,SIP[Date Value],"&lt;"&amp;$Z$2)-SUMIFS(SIP[Cost of Units Sold],SIP[B/S],"S",SIP[Investor ID],A417,SIP[Date Value],"&lt;"&amp;$Z$2))</f>
        <v>0</v>
      </c>
      <c r="D417" s="49">
        <f t="shared" si="30"/>
        <v>0</v>
      </c>
      <c r="E417" s="49">
        <f t="shared" si="31"/>
        <v>0</v>
      </c>
      <c r="F417" s="47">
        <f>SUMIFS(LS[Unit],LS[Investor ID],A417,LS[Date Value],"&lt;="&amp;$Z$3)+SUMIFS(SIP[Unit],SIP[Investor ID],A417,SIP[Date Value],"&lt;="&amp;$Z$3)</f>
        <v>13570</v>
      </c>
      <c r="G417" s="49">
        <f>(SUMIFS(LS[Amount],LS[B/S],"B",LS[Investor ID],A417,LS[Date Value],"&lt;="&amp;$Z$3)-SUMIFS(LS[Cost of Units Sold],LS[B/S],"S",LS[Investor ID],A417,LS[Date Value],"&lt;="&amp;$Z$3))+(SUMIFS(SIP[Amount],SIP[B/S],"B",SIP[Investor ID],A417,SIP[Date Value],"&lt;="&amp;$Z$3)-SUMIFS(SIP[Cost of Units Sold],SIP[B/S],"S",SIP[Investor ID],A417,SIP[Date Value],"&lt;="&amp;$Z$3))</f>
        <v>150000</v>
      </c>
      <c r="H417" s="49">
        <f t="shared" si="32"/>
        <v>151495.48000000001</v>
      </c>
      <c r="I417" s="49">
        <f t="shared" si="33"/>
        <v>1495.4800000000105</v>
      </c>
      <c r="J417" s="47">
        <f>(SUMIFS(LS[Unit],LS[Investor ID],A417,LS[B/S],"B",LS[Date Value],"&gt;="&amp;$Z$2,LS[Date Value],"&lt;="&amp;$Z$3))+(SUMIFS(SIP[Unit],SIP[Investor ID],A417,SIP[B/S],"B",SIP[Date Value],"&gt;="&amp;$Z$2,SIP[Date Value],"&lt;="&amp;$Z$3))</f>
        <v>13570</v>
      </c>
      <c r="K417" s="49">
        <f>(SUMIFS(LS[Amount],LS[Investor ID],A417,LS[B/S],"B",LS[Date Value],"&gt;="&amp;$Z$2,LS[Date Value],"&lt;="&amp;$Z$3))+(SUMIFS(SIP[Amount],SIP[Investor ID],A417,SIP[B/S],"B",SIP[Date Value],"&gt;="&amp;$Z$2,SIP[Date Value],"&lt;="&amp;$Z$3))</f>
        <v>150000</v>
      </c>
      <c r="L417" s="47">
        <f>(-SUMIFS(LS[Unit],LS[Investor ID],A417,LS[B/S],"S",LS[Date Value],"&gt;="&amp;$Z$2,LS[Date Value],"&lt;="&amp;$Z$3))+(-SUMIFS(SIP[Unit],SIP[Investor ID],A417,SIP[B/S],"S",SIP[Date Value],"&gt;="&amp;$Z$2,SIP[Date Value],"&lt;="&amp;$Z$3))</f>
        <v>0</v>
      </c>
      <c r="M417" s="49">
        <f>(SUMIFS(LS[Cost of Units Sold],LS[Investor ID],A417,LS[B/S],"S",LS[Date Value],"&gt;="&amp;$Z$2,LS[Date Value],"&lt;="&amp;$Z$3))+(SUMIFS(SIP[Cost of Units Sold],SIP[Investor ID],A417,SIP[B/S],"S",SIP[Date Value],"&gt;="&amp;$Z$2,SIP[Date Value],"&lt;="&amp;$Z$3))</f>
        <v>0</v>
      </c>
      <c r="N417" s="49">
        <f t="shared" si="34"/>
        <v>150000</v>
      </c>
      <c r="O417" s="49">
        <f>(SUMIFS(LS[Realized Gain],LS[Investor ID],A417,LS[Date Value],"&gt;="&amp;$Z$2,LS[Date Value],"&lt;="&amp;$Z$3))+(SUMIFS(SIP[Realized Gain],SIP[Investor ID],A417,SIP[Date Value],"&gt;="&amp;$Z$2,SIP[Date Value],"&lt;="&amp;$Z$3))</f>
        <v>0</v>
      </c>
      <c r="P417" s="49">
        <v>0</v>
      </c>
      <c r="Q417" s="49">
        <v>0</v>
      </c>
      <c r="R417" s="49">
        <v>0</v>
      </c>
    </row>
    <row r="418" spans="1:18">
      <c r="A418" t="s">
        <v>882</v>
      </c>
      <c r="B418" s="47">
        <f>SUMIFS(LS[Unit],LS[Investor ID],'TAX CERTIFICATE'!A418,LS[Date Value],"&lt;"&amp;$Z$2)+SUMIFS(SIP[Unit],SIP[Investor ID],'TAX CERTIFICATE'!A418,SIP[Date Value],"&lt;"&amp;$Z$2)</f>
        <v>0</v>
      </c>
      <c r="C418" s="48">
        <f>(SUMIFS(LS[Amount],LS[B/S],"B",LS[Investor ID],A418,LS[Date Value],"&lt;"&amp;$Z$2)-SUMIFS(LS[Cost of Units Sold],LS[B/S],"S",LS[Investor ID],A418,LS[Date Value],"&lt;"&amp;$Z$2))+(SUMIFS(SIP[Amount],SIP[B/S],"B",SIP[Investor ID],#REF!,SIP[Date Value],"&lt;"&amp;$Z$2)-SUMIFS(SIP[Cost of Units Sold],SIP[B/S],"S",SIP[Investor ID],A418,SIP[Date Value],"&lt;"&amp;$Z$2))</f>
        <v>0</v>
      </c>
      <c r="D418" s="49">
        <f t="shared" si="30"/>
        <v>0</v>
      </c>
      <c r="E418" s="49">
        <f t="shared" si="31"/>
        <v>0</v>
      </c>
      <c r="F418" s="47">
        <f>SUMIFS(LS[Unit],LS[Investor ID],A418,LS[Date Value],"&lt;="&amp;$Z$3)+SUMIFS(SIP[Unit],SIP[Investor ID],A418,SIP[Date Value],"&lt;="&amp;$Z$3)</f>
        <v>0</v>
      </c>
      <c r="G418" s="49">
        <f>(SUMIFS(LS[Amount],LS[B/S],"B",LS[Investor ID],A418,LS[Date Value],"&lt;="&amp;$Z$3)-SUMIFS(LS[Cost of Units Sold],LS[B/S],"S",LS[Investor ID],A418,LS[Date Value],"&lt;="&amp;$Z$3))+(SUMIFS(SIP[Amount],SIP[B/S],"B",SIP[Investor ID],A418,SIP[Date Value],"&lt;="&amp;$Z$3)-SUMIFS(SIP[Cost of Units Sold],SIP[B/S],"S",SIP[Investor ID],A418,SIP[Date Value],"&lt;="&amp;$Z$3))</f>
        <v>0</v>
      </c>
      <c r="H418" s="49">
        <f t="shared" si="32"/>
        <v>0</v>
      </c>
      <c r="I418" s="49">
        <f t="shared" si="33"/>
        <v>0</v>
      </c>
      <c r="J418" s="47">
        <f>(SUMIFS(LS[Unit],LS[Investor ID],A418,LS[B/S],"B",LS[Date Value],"&gt;="&amp;$Z$2,LS[Date Value],"&lt;="&amp;$Z$3))+(SUMIFS(SIP[Unit],SIP[Investor ID],A418,SIP[B/S],"B",SIP[Date Value],"&gt;="&amp;$Z$2,SIP[Date Value],"&lt;="&amp;$Z$3))</f>
        <v>0</v>
      </c>
      <c r="K418" s="49">
        <f>(SUMIFS(LS[Amount],LS[Investor ID],A418,LS[B/S],"B",LS[Date Value],"&gt;="&amp;$Z$2,LS[Date Value],"&lt;="&amp;$Z$3))+(SUMIFS(SIP[Amount],SIP[Investor ID],A418,SIP[B/S],"B",SIP[Date Value],"&gt;="&amp;$Z$2,SIP[Date Value],"&lt;="&amp;$Z$3))</f>
        <v>0</v>
      </c>
      <c r="L418" s="47">
        <f>(-SUMIFS(LS[Unit],LS[Investor ID],A418,LS[B/S],"S",LS[Date Value],"&gt;="&amp;$Z$2,LS[Date Value],"&lt;="&amp;$Z$3))+(-SUMIFS(SIP[Unit],SIP[Investor ID],A418,SIP[B/S],"S",SIP[Date Value],"&gt;="&amp;$Z$2,SIP[Date Value],"&lt;="&amp;$Z$3))</f>
        <v>0</v>
      </c>
      <c r="M418" s="49">
        <f>(SUMIFS(LS[Cost of Units Sold],LS[Investor ID],A418,LS[B/S],"S",LS[Date Value],"&gt;="&amp;$Z$2,LS[Date Value],"&lt;="&amp;$Z$3))+(SUMIFS(SIP[Cost of Units Sold],SIP[Investor ID],A418,SIP[B/S],"S",SIP[Date Value],"&gt;="&amp;$Z$2,SIP[Date Value],"&lt;="&amp;$Z$3))</f>
        <v>0</v>
      </c>
      <c r="N418" s="49">
        <f t="shared" si="34"/>
        <v>0</v>
      </c>
      <c r="O418" s="49">
        <f>(SUMIFS(LS[Realized Gain],LS[Investor ID],A418,LS[Date Value],"&gt;="&amp;$Z$2,LS[Date Value],"&lt;="&amp;$Z$3))+(SUMIFS(SIP[Realized Gain],SIP[Investor ID],A418,SIP[Date Value],"&gt;="&amp;$Z$2,SIP[Date Value],"&lt;="&amp;$Z$3))</f>
        <v>0</v>
      </c>
      <c r="P418" s="49">
        <v>0</v>
      </c>
      <c r="Q418" s="49">
        <v>0</v>
      </c>
      <c r="R418" s="49">
        <v>0</v>
      </c>
    </row>
    <row r="419" spans="1:18">
      <c r="A419" t="s">
        <v>884</v>
      </c>
      <c r="B419" s="47">
        <f>SUMIFS(LS[Unit],LS[Investor ID],'TAX CERTIFICATE'!A419,LS[Date Value],"&lt;"&amp;$Z$2)+SUMIFS(SIP[Unit],SIP[Investor ID],'TAX CERTIFICATE'!A419,SIP[Date Value],"&lt;"&amp;$Z$2)</f>
        <v>0</v>
      </c>
      <c r="C419" s="48">
        <f>(SUMIFS(LS[Amount],LS[B/S],"B",LS[Investor ID],A419,LS[Date Value],"&lt;"&amp;$Z$2)-SUMIFS(LS[Cost of Units Sold],LS[B/S],"S",LS[Investor ID],A419,LS[Date Value],"&lt;"&amp;$Z$2))+(SUMIFS(SIP[Amount],SIP[B/S],"B",SIP[Investor ID],#REF!,SIP[Date Value],"&lt;"&amp;$Z$2)-SUMIFS(SIP[Cost of Units Sold],SIP[B/S],"S",SIP[Investor ID],A419,SIP[Date Value],"&lt;"&amp;$Z$2))</f>
        <v>0</v>
      </c>
      <c r="D419" s="49">
        <f t="shared" si="30"/>
        <v>0</v>
      </c>
      <c r="E419" s="49">
        <f t="shared" si="31"/>
        <v>0</v>
      </c>
      <c r="F419" s="47">
        <f>SUMIFS(LS[Unit],LS[Investor ID],A419,LS[Date Value],"&lt;="&amp;$Z$3)+SUMIFS(SIP[Unit],SIP[Investor ID],A419,SIP[Date Value],"&lt;="&amp;$Z$3)</f>
        <v>0</v>
      </c>
      <c r="G419" s="49">
        <f>(SUMIFS(LS[Amount],LS[B/S],"B",LS[Investor ID],A419,LS[Date Value],"&lt;="&amp;$Z$3)-SUMIFS(LS[Cost of Units Sold],LS[B/S],"S",LS[Investor ID],A419,LS[Date Value],"&lt;="&amp;$Z$3))+(SUMIFS(SIP[Amount],SIP[B/S],"B",SIP[Investor ID],A419,SIP[Date Value],"&lt;="&amp;$Z$3)-SUMIFS(SIP[Cost of Units Sold],SIP[B/S],"S",SIP[Investor ID],A419,SIP[Date Value],"&lt;="&amp;$Z$3))</f>
        <v>0</v>
      </c>
      <c r="H419" s="49">
        <f t="shared" si="32"/>
        <v>0</v>
      </c>
      <c r="I419" s="49">
        <f t="shared" si="33"/>
        <v>0</v>
      </c>
      <c r="J419" s="47">
        <f>(SUMIFS(LS[Unit],LS[Investor ID],A419,LS[B/S],"B",LS[Date Value],"&gt;="&amp;$Z$2,LS[Date Value],"&lt;="&amp;$Z$3))+(SUMIFS(SIP[Unit],SIP[Investor ID],A419,SIP[B/S],"B",SIP[Date Value],"&gt;="&amp;$Z$2,SIP[Date Value],"&lt;="&amp;$Z$3))</f>
        <v>0</v>
      </c>
      <c r="K419" s="49">
        <f>(SUMIFS(LS[Amount],LS[Investor ID],A419,LS[B/S],"B",LS[Date Value],"&gt;="&amp;$Z$2,LS[Date Value],"&lt;="&amp;$Z$3))+(SUMIFS(SIP[Amount],SIP[Investor ID],A419,SIP[B/S],"B",SIP[Date Value],"&gt;="&amp;$Z$2,SIP[Date Value],"&lt;="&amp;$Z$3))</f>
        <v>0</v>
      </c>
      <c r="L419" s="47">
        <f>(-SUMIFS(LS[Unit],LS[Investor ID],A419,LS[B/S],"S",LS[Date Value],"&gt;="&amp;$Z$2,LS[Date Value],"&lt;="&amp;$Z$3))+(-SUMIFS(SIP[Unit],SIP[Investor ID],A419,SIP[B/S],"S",SIP[Date Value],"&gt;="&amp;$Z$2,SIP[Date Value],"&lt;="&amp;$Z$3))</f>
        <v>0</v>
      </c>
      <c r="M419" s="49">
        <f>(SUMIFS(LS[Cost of Units Sold],LS[Investor ID],A419,LS[B/S],"S",LS[Date Value],"&gt;="&amp;$Z$2,LS[Date Value],"&lt;="&amp;$Z$3))+(SUMIFS(SIP[Cost of Units Sold],SIP[Investor ID],A419,SIP[B/S],"S",SIP[Date Value],"&gt;="&amp;$Z$2,SIP[Date Value],"&lt;="&amp;$Z$3))</f>
        <v>0</v>
      </c>
      <c r="N419" s="49">
        <f t="shared" si="34"/>
        <v>0</v>
      </c>
      <c r="O419" s="49">
        <f>(SUMIFS(LS[Realized Gain],LS[Investor ID],A419,LS[Date Value],"&gt;="&amp;$Z$2,LS[Date Value],"&lt;="&amp;$Z$3))+(SUMIFS(SIP[Realized Gain],SIP[Investor ID],A419,SIP[Date Value],"&gt;="&amp;$Z$2,SIP[Date Value],"&lt;="&amp;$Z$3))</f>
        <v>0</v>
      </c>
      <c r="P419" s="49">
        <v>0</v>
      </c>
      <c r="Q419" s="49">
        <v>0</v>
      </c>
      <c r="R419" s="49">
        <v>0</v>
      </c>
    </row>
    <row r="420" spans="1:18">
      <c r="A420" t="s">
        <v>886</v>
      </c>
      <c r="B420" s="47">
        <f>SUMIFS(LS[Unit],LS[Investor ID],'TAX CERTIFICATE'!A420,LS[Date Value],"&lt;"&amp;$Z$2)+SUMIFS(SIP[Unit],SIP[Investor ID],'TAX CERTIFICATE'!A420,SIP[Date Value],"&lt;"&amp;$Z$2)</f>
        <v>0</v>
      </c>
      <c r="C420" s="48">
        <f>(SUMIFS(LS[Amount],LS[B/S],"B",LS[Investor ID],A420,LS[Date Value],"&lt;"&amp;$Z$2)-SUMIFS(LS[Cost of Units Sold],LS[B/S],"S",LS[Investor ID],A420,LS[Date Value],"&lt;"&amp;$Z$2))+(SUMIFS(SIP[Amount],SIP[B/S],"B",SIP[Investor ID],#REF!,SIP[Date Value],"&lt;"&amp;$Z$2)-SUMIFS(SIP[Cost of Units Sold],SIP[B/S],"S",SIP[Investor ID],A420,SIP[Date Value],"&lt;"&amp;$Z$2))</f>
        <v>0</v>
      </c>
      <c r="D420" s="49">
        <f t="shared" si="30"/>
        <v>0</v>
      </c>
      <c r="E420" s="49">
        <f t="shared" si="31"/>
        <v>0</v>
      </c>
      <c r="F420" s="47">
        <f>SUMIFS(LS[Unit],LS[Investor ID],A420,LS[Date Value],"&lt;="&amp;$Z$3)+SUMIFS(SIP[Unit],SIP[Investor ID],A420,SIP[Date Value],"&lt;="&amp;$Z$3)</f>
        <v>0</v>
      </c>
      <c r="G420" s="49">
        <f>(SUMIFS(LS[Amount],LS[B/S],"B",LS[Investor ID],A420,LS[Date Value],"&lt;="&amp;$Z$3)-SUMIFS(LS[Cost of Units Sold],LS[B/S],"S",LS[Investor ID],A420,LS[Date Value],"&lt;="&amp;$Z$3))+(SUMIFS(SIP[Amount],SIP[B/S],"B",SIP[Investor ID],A420,SIP[Date Value],"&lt;="&amp;$Z$3)-SUMIFS(SIP[Cost of Units Sold],SIP[B/S],"S",SIP[Investor ID],A420,SIP[Date Value],"&lt;="&amp;$Z$3))</f>
        <v>0</v>
      </c>
      <c r="H420" s="49">
        <f t="shared" si="32"/>
        <v>0</v>
      </c>
      <c r="I420" s="49">
        <f t="shared" si="33"/>
        <v>0</v>
      </c>
      <c r="J420" s="47">
        <f>(SUMIFS(LS[Unit],LS[Investor ID],A420,LS[B/S],"B",LS[Date Value],"&gt;="&amp;$Z$2,LS[Date Value],"&lt;="&amp;$Z$3))+(SUMIFS(SIP[Unit],SIP[Investor ID],A420,SIP[B/S],"B",SIP[Date Value],"&gt;="&amp;$Z$2,SIP[Date Value],"&lt;="&amp;$Z$3))</f>
        <v>0</v>
      </c>
      <c r="K420" s="49">
        <f>(SUMIFS(LS[Amount],LS[Investor ID],A420,LS[B/S],"B",LS[Date Value],"&gt;="&amp;$Z$2,LS[Date Value],"&lt;="&amp;$Z$3))+(SUMIFS(SIP[Amount],SIP[Investor ID],A420,SIP[B/S],"B",SIP[Date Value],"&gt;="&amp;$Z$2,SIP[Date Value],"&lt;="&amp;$Z$3))</f>
        <v>0</v>
      </c>
      <c r="L420" s="47">
        <f>(-SUMIFS(LS[Unit],LS[Investor ID],A420,LS[B/S],"S",LS[Date Value],"&gt;="&amp;$Z$2,LS[Date Value],"&lt;="&amp;$Z$3))+(-SUMIFS(SIP[Unit],SIP[Investor ID],A420,SIP[B/S],"S",SIP[Date Value],"&gt;="&amp;$Z$2,SIP[Date Value],"&lt;="&amp;$Z$3))</f>
        <v>0</v>
      </c>
      <c r="M420" s="49">
        <f>(SUMIFS(LS[Cost of Units Sold],LS[Investor ID],A420,LS[B/S],"S",LS[Date Value],"&gt;="&amp;$Z$2,LS[Date Value],"&lt;="&amp;$Z$3))+(SUMIFS(SIP[Cost of Units Sold],SIP[Investor ID],A420,SIP[B/S],"S",SIP[Date Value],"&gt;="&amp;$Z$2,SIP[Date Value],"&lt;="&amp;$Z$3))</f>
        <v>0</v>
      </c>
      <c r="N420" s="49">
        <f t="shared" si="34"/>
        <v>0</v>
      </c>
      <c r="O420" s="49">
        <f>(SUMIFS(LS[Realized Gain],LS[Investor ID],A420,LS[Date Value],"&gt;="&amp;$Z$2,LS[Date Value],"&lt;="&amp;$Z$3))+(SUMIFS(SIP[Realized Gain],SIP[Investor ID],A420,SIP[Date Value],"&gt;="&amp;$Z$2,SIP[Date Value],"&lt;="&amp;$Z$3))</f>
        <v>0</v>
      </c>
      <c r="P420" s="49">
        <v>0</v>
      </c>
      <c r="Q420" s="49">
        <v>0</v>
      </c>
      <c r="R420" s="49">
        <v>0</v>
      </c>
    </row>
    <row r="421" spans="1:18">
      <c r="A421" t="s">
        <v>888</v>
      </c>
      <c r="B421" s="47">
        <f>SUMIFS(LS[Unit],LS[Investor ID],'TAX CERTIFICATE'!A421,LS[Date Value],"&lt;"&amp;$Z$2)+SUMIFS(SIP[Unit],SIP[Investor ID],'TAX CERTIFICATE'!A421,SIP[Date Value],"&lt;"&amp;$Z$2)</f>
        <v>0</v>
      </c>
      <c r="C421" s="48">
        <f>(SUMIFS(LS[Amount],LS[B/S],"B",LS[Investor ID],A421,LS[Date Value],"&lt;"&amp;$Z$2)-SUMIFS(LS[Cost of Units Sold],LS[B/S],"S",LS[Investor ID],A421,LS[Date Value],"&lt;"&amp;$Z$2))+(SUMIFS(SIP[Amount],SIP[B/S],"B",SIP[Investor ID],#REF!,SIP[Date Value],"&lt;"&amp;$Z$2)-SUMIFS(SIP[Cost of Units Sold],SIP[B/S],"S",SIP[Investor ID],A421,SIP[Date Value],"&lt;"&amp;$Z$2))</f>
        <v>0</v>
      </c>
      <c r="D421" s="49">
        <f t="shared" si="30"/>
        <v>0</v>
      </c>
      <c r="E421" s="49">
        <f t="shared" si="31"/>
        <v>0</v>
      </c>
      <c r="F421" s="47">
        <f>SUMIFS(LS[Unit],LS[Investor ID],A421,LS[Date Value],"&lt;="&amp;$Z$3)+SUMIFS(SIP[Unit],SIP[Investor ID],A421,SIP[Date Value],"&lt;="&amp;$Z$3)</f>
        <v>0</v>
      </c>
      <c r="G421" s="49">
        <f>(SUMIFS(LS[Amount],LS[B/S],"B",LS[Investor ID],A421,LS[Date Value],"&lt;="&amp;$Z$3)-SUMIFS(LS[Cost of Units Sold],LS[B/S],"S",LS[Investor ID],A421,LS[Date Value],"&lt;="&amp;$Z$3))+(SUMIFS(SIP[Amount],SIP[B/S],"B",SIP[Investor ID],A421,SIP[Date Value],"&lt;="&amp;$Z$3)-SUMIFS(SIP[Cost of Units Sold],SIP[B/S],"S",SIP[Investor ID],A421,SIP[Date Value],"&lt;="&amp;$Z$3))</f>
        <v>0</v>
      </c>
      <c r="H421" s="49">
        <f t="shared" si="32"/>
        <v>0</v>
      </c>
      <c r="I421" s="49">
        <f t="shared" si="33"/>
        <v>0</v>
      </c>
      <c r="J421" s="47">
        <f>(SUMIFS(LS[Unit],LS[Investor ID],A421,LS[B/S],"B",LS[Date Value],"&gt;="&amp;$Z$2,LS[Date Value],"&lt;="&amp;$Z$3))+(SUMIFS(SIP[Unit],SIP[Investor ID],A421,SIP[B/S],"B",SIP[Date Value],"&gt;="&amp;$Z$2,SIP[Date Value],"&lt;="&amp;$Z$3))</f>
        <v>0</v>
      </c>
      <c r="K421" s="49">
        <f>(SUMIFS(LS[Amount],LS[Investor ID],A421,LS[B/S],"B",LS[Date Value],"&gt;="&amp;$Z$2,LS[Date Value],"&lt;="&amp;$Z$3))+(SUMIFS(SIP[Amount],SIP[Investor ID],A421,SIP[B/S],"B",SIP[Date Value],"&gt;="&amp;$Z$2,SIP[Date Value],"&lt;="&amp;$Z$3))</f>
        <v>0</v>
      </c>
      <c r="L421" s="47">
        <f>(-SUMIFS(LS[Unit],LS[Investor ID],A421,LS[B/S],"S",LS[Date Value],"&gt;="&amp;$Z$2,LS[Date Value],"&lt;="&amp;$Z$3))+(-SUMIFS(SIP[Unit],SIP[Investor ID],A421,SIP[B/S],"S",SIP[Date Value],"&gt;="&amp;$Z$2,SIP[Date Value],"&lt;="&amp;$Z$3))</f>
        <v>0</v>
      </c>
      <c r="M421" s="49">
        <f>(SUMIFS(LS[Cost of Units Sold],LS[Investor ID],A421,LS[B/S],"S",LS[Date Value],"&gt;="&amp;$Z$2,LS[Date Value],"&lt;="&amp;$Z$3))+(SUMIFS(SIP[Cost of Units Sold],SIP[Investor ID],A421,SIP[B/S],"S",SIP[Date Value],"&gt;="&amp;$Z$2,SIP[Date Value],"&lt;="&amp;$Z$3))</f>
        <v>0</v>
      </c>
      <c r="N421" s="49">
        <f t="shared" si="34"/>
        <v>0</v>
      </c>
      <c r="O421" s="49">
        <f>(SUMIFS(LS[Realized Gain],LS[Investor ID],A421,LS[Date Value],"&gt;="&amp;$Z$2,LS[Date Value],"&lt;="&amp;$Z$3))+(SUMIFS(SIP[Realized Gain],SIP[Investor ID],A421,SIP[Date Value],"&gt;="&amp;$Z$2,SIP[Date Value],"&lt;="&amp;$Z$3))</f>
        <v>0</v>
      </c>
      <c r="P421" s="49">
        <v>0</v>
      </c>
      <c r="Q421" s="49">
        <v>0</v>
      </c>
      <c r="R421" s="49">
        <v>0</v>
      </c>
    </row>
    <row r="422" spans="1:18">
      <c r="A422" t="s">
        <v>890</v>
      </c>
      <c r="B422" s="47">
        <f>SUMIFS(LS[Unit],LS[Investor ID],'TAX CERTIFICATE'!A422,LS[Date Value],"&lt;"&amp;$Z$2)+SUMIFS(SIP[Unit],SIP[Investor ID],'TAX CERTIFICATE'!A422,SIP[Date Value],"&lt;"&amp;$Z$2)</f>
        <v>0</v>
      </c>
      <c r="C422" s="48">
        <f>(SUMIFS(LS[Amount],LS[B/S],"B",LS[Investor ID],A422,LS[Date Value],"&lt;"&amp;$Z$2)-SUMIFS(LS[Cost of Units Sold],LS[B/S],"S",LS[Investor ID],A422,LS[Date Value],"&lt;"&amp;$Z$2))+(SUMIFS(SIP[Amount],SIP[B/S],"B",SIP[Investor ID],#REF!,SIP[Date Value],"&lt;"&amp;$Z$2)-SUMIFS(SIP[Cost of Units Sold],SIP[B/S],"S",SIP[Investor ID],A422,SIP[Date Value],"&lt;"&amp;$Z$2))</f>
        <v>0</v>
      </c>
      <c r="D422" s="49">
        <f t="shared" si="30"/>
        <v>0</v>
      </c>
      <c r="E422" s="49">
        <f t="shared" si="31"/>
        <v>0</v>
      </c>
      <c r="F422" s="47">
        <f>SUMIFS(LS[Unit],LS[Investor ID],A422,LS[Date Value],"&lt;="&amp;$Z$3)+SUMIFS(SIP[Unit],SIP[Investor ID],A422,SIP[Date Value],"&lt;="&amp;$Z$3)</f>
        <v>0</v>
      </c>
      <c r="G422" s="49">
        <f>(SUMIFS(LS[Amount],LS[B/S],"B",LS[Investor ID],A422,LS[Date Value],"&lt;="&amp;$Z$3)-SUMIFS(LS[Cost of Units Sold],LS[B/S],"S",LS[Investor ID],A422,LS[Date Value],"&lt;="&amp;$Z$3))+(SUMIFS(SIP[Amount],SIP[B/S],"B",SIP[Investor ID],A422,SIP[Date Value],"&lt;="&amp;$Z$3)-SUMIFS(SIP[Cost of Units Sold],SIP[B/S],"S",SIP[Investor ID],A422,SIP[Date Value],"&lt;="&amp;$Z$3))</f>
        <v>0</v>
      </c>
      <c r="H422" s="49">
        <f t="shared" si="32"/>
        <v>0</v>
      </c>
      <c r="I422" s="49">
        <f t="shared" si="33"/>
        <v>0</v>
      </c>
      <c r="J422" s="47">
        <f>(SUMIFS(LS[Unit],LS[Investor ID],A422,LS[B/S],"B",LS[Date Value],"&gt;="&amp;$Z$2,LS[Date Value],"&lt;="&amp;$Z$3))+(SUMIFS(SIP[Unit],SIP[Investor ID],A422,SIP[B/S],"B",SIP[Date Value],"&gt;="&amp;$Z$2,SIP[Date Value],"&lt;="&amp;$Z$3))</f>
        <v>0</v>
      </c>
      <c r="K422" s="49">
        <f>(SUMIFS(LS[Amount],LS[Investor ID],A422,LS[B/S],"B",LS[Date Value],"&gt;="&amp;$Z$2,LS[Date Value],"&lt;="&amp;$Z$3))+(SUMIFS(SIP[Amount],SIP[Investor ID],A422,SIP[B/S],"B",SIP[Date Value],"&gt;="&amp;$Z$2,SIP[Date Value],"&lt;="&amp;$Z$3))</f>
        <v>0</v>
      </c>
      <c r="L422" s="47">
        <f>(-SUMIFS(LS[Unit],LS[Investor ID],A422,LS[B/S],"S",LS[Date Value],"&gt;="&amp;$Z$2,LS[Date Value],"&lt;="&amp;$Z$3))+(-SUMIFS(SIP[Unit],SIP[Investor ID],A422,SIP[B/S],"S",SIP[Date Value],"&gt;="&amp;$Z$2,SIP[Date Value],"&lt;="&amp;$Z$3))</f>
        <v>0</v>
      </c>
      <c r="M422" s="49">
        <f>(SUMIFS(LS[Cost of Units Sold],LS[Investor ID],A422,LS[B/S],"S",LS[Date Value],"&gt;="&amp;$Z$2,LS[Date Value],"&lt;="&amp;$Z$3))+(SUMIFS(SIP[Cost of Units Sold],SIP[Investor ID],A422,SIP[B/S],"S",SIP[Date Value],"&gt;="&amp;$Z$2,SIP[Date Value],"&lt;="&amp;$Z$3))</f>
        <v>0</v>
      </c>
      <c r="N422" s="49">
        <f t="shared" si="34"/>
        <v>0</v>
      </c>
      <c r="O422" s="49">
        <f>(SUMIFS(LS[Realized Gain],LS[Investor ID],A422,LS[Date Value],"&gt;="&amp;$Z$2,LS[Date Value],"&lt;="&amp;$Z$3))+(SUMIFS(SIP[Realized Gain],SIP[Investor ID],A422,SIP[Date Value],"&gt;="&amp;$Z$2,SIP[Date Value],"&lt;="&amp;$Z$3))</f>
        <v>0</v>
      </c>
      <c r="P422" s="49">
        <v>0</v>
      </c>
      <c r="Q422" s="49">
        <v>0</v>
      </c>
      <c r="R422" s="49">
        <v>0</v>
      </c>
    </row>
    <row r="423" spans="1:18">
      <c r="A423" t="s">
        <v>892</v>
      </c>
      <c r="B423" s="47">
        <f>SUMIFS(LS[Unit],LS[Investor ID],'TAX CERTIFICATE'!A423,LS[Date Value],"&lt;"&amp;$Z$2)+SUMIFS(SIP[Unit],SIP[Investor ID],'TAX CERTIFICATE'!A423,SIP[Date Value],"&lt;"&amp;$Z$2)</f>
        <v>0</v>
      </c>
      <c r="C423" s="48">
        <f>(SUMIFS(LS[Amount],LS[B/S],"B",LS[Investor ID],A423,LS[Date Value],"&lt;"&amp;$Z$2)-SUMIFS(LS[Cost of Units Sold],LS[B/S],"S",LS[Investor ID],A423,LS[Date Value],"&lt;"&amp;$Z$2))+(SUMIFS(SIP[Amount],SIP[B/S],"B",SIP[Investor ID],#REF!,SIP[Date Value],"&lt;"&amp;$Z$2)-SUMIFS(SIP[Cost of Units Sold],SIP[B/S],"S",SIP[Investor ID],A423,SIP[Date Value],"&lt;"&amp;$Z$2))</f>
        <v>0</v>
      </c>
      <c r="D423" s="49">
        <f t="shared" si="30"/>
        <v>0</v>
      </c>
      <c r="E423" s="49">
        <f t="shared" si="31"/>
        <v>0</v>
      </c>
      <c r="F423" s="47">
        <f>SUMIFS(LS[Unit],LS[Investor ID],A423,LS[Date Value],"&lt;="&amp;$Z$3)+SUMIFS(SIP[Unit],SIP[Investor ID],A423,SIP[Date Value],"&lt;="&amp;$Z$3)</f>
        <v>0</v>
      </c>
      <c r="G423" s="49">
        <f>(SUMIFS(LS[Amount],LS[B/S],"B",LS[Investor ID],A423,LS[Date Value],"&lt;="&amp;$Z$3)-SUMIFS(LS[Cost of Units Sold],LS[B/S],"S",LS[Investor ID],A423,LS[Date Value],"&lt;="&amp;$Z$3))+(SUMIFS(SIP[Amount],SIP[B/S],"B",SIP[Investor ID],A423,SIP[Date Value],"&lt;="&amp;$Z$3)-SUMIFS(SIP[Cost of Units Sold],SIP[B/S],"S",SIP[Investor ID],A423,SIP[Date Value],"&lt;="&amp;$Z$3))</f>
        <v>0</v>
      </c>
      <c r="H423" s="49">
        <f t="shared" si="32"/>
        <v>0</v>
      </c>
      <c r="I423" s="49">
        <f t="shared" si="33"/>
        <v>0</v>
      </c>
      <c r="J423" s="47">
        <f>(SUMIFS(LS[Unit],LS[Investor ID],A423,LS[B/S],"B",LS[Date Value],"&gt;="&amp;$Z$2,LS[Date Value],"&lt;="&amp;$Z$3))+(SUMIFS(SIP[Unit],SIP[Investor ID],A423,SIP[B/S],"B",SIP[Date Value],"&gt;="&amp;$Z$2,SIP[Date Value],"&lt;="&amp;$Z$3))</f>
        <v>0</v>
      </c>
      <c r="K423" s="49">
        <f>(SUMIFS(LS[Amount],LS[Investor ID],A423,LS[B/S],"B",LS[Date Value],"&gt;="&amp;$Z$2,LS[Date Value],"&lt;="&amp;$Z$3))+(SUMIFS(SIP[Amount],SIP[Investor ID],A423,SIP[B/S],"B",SIP[Date Value],"&gt;="&amp;$Z$2,SIP[Date Value],"&lt;="&amp;$Z$3))</f>
        <v>0</v>
      </c>
      <c r="L423" s="47">
        <f>(-SUMIFS(LS[Unit],LS[Investor ID],A423,LS[B/S],"S",LS[Date Value],"&gt;="&amp;$Z$2,LS[Date Value],"&lt;="&amp;$Z$3))+(-SUMIFS(SIP[Unit],SIP[Investor ID],A423,SIP[B/S],"S",SIP[Date Value],"&gt;="&amp;$Z$2,SIP[Date Value],"&lt;="&amp;$Z$3))</f>
        <v>0</v>
      </c>
      <c r="M423" s="49">
        <f>(SUMIFS(LS[Cost of Units Sold],LS[Investor ID],A423,LS[B/S],"S",LS[Date Value],"&gt;="&amp;$Z$2,LS[Date Value],"&lt;="&amp;$Z$3))+(SUMIFS(SIP[Cost of Units Sold],SIP[Investor ID],A423,SIP[B/S],"S",SIP[Date Value],"&gt;="&amp;$Z$2,SIP[Date Value],"&lt;="&amp;$Z$3))</f>
        <v>0</v>
      </c>
      <c r="N423" s="49">
        <f t="shared" si="34"/>
        <v>0</v>
      </c>
      <c r="O423" s="49">
        <f>(SUMIFS(LS[Realized Gain],LS[Investor ID],A423,LS[Date Value],"&gt;="&amp;$Z$2,LS[Date Value],"&lt;="&amp;$Z$3))+(SUMIFS(SIP[Realized Gain],SIP[Investor ID],A423,SIP[Date Value],"&gt;="&amp;$Z$2,SIP[Date Value],"&lt;="&amp;$Z$3))</f>
        <v>0</v>
      </c>
      <c r="P423" s="49">
        <v>0</v>
      </c>
      <c r="Q423" s="49">
        <v>0</v>
      </c>
      <c r="R423" s="49">
        <v>0</v>
      </c>
    </row>
    <row r="424" spans="1:18">
      <c r="A424" t="s">
        <v>894</v>
      </c>
      <c r="B424" s="47">
        <f>SUMIFS(LS[Unit],LS[Investor ID],'TAX CERTIFICATE'!A424,LS[Date Value],"&lt;"&amp;$Z$2)+SUMIFS(SIP[Unit],SIP[Investor ID],'TAX CERTIFICATE'!A424,SIP[Date Value],"&lt;"&amp;$Z$2)</f>
        <v>9322</v>
      </c>
      <c r="C424" s="48">
        <f>(SUMIFS(LS[Amount],LS[B/S],"B",LS[Investor ID],A424,LS[Date Value],"&lt;"&amp;$Z$2)-SUMIFS(LS[Cost of Units Sold],LS[B/S],"S",LS[Investor ID],A424,LS[Date Value],"&lt;"&amp;$Z$2))+(SUMIFS(SIP[Amount],SIP[B/S],"B",SIP[Investor ID],#REF!,SIP[Date Value],"&lt;"&amp;$Z$2)-SUMIFS(SIP[Cost of Units Sold],SIP[B/S],"S",SIP[Investor ID],A424,SIP[Date Value],"&lt;"&amp;$Z$2))</f>
        <v>0</v>
      </c>
      <c r="D424" s="49">
        <f t="shared" si="30"/>
        <v>95746.262000000002</v>
      </c>
      <c r="E424" s="49">
        <f t="shared" si="31"/>
        <v>95746.262000000002</v>
      </c>
      <c r="F424" s="47">
        <f>SUMIFS(LS[Unit],LS[Investor ID],A424,LS[Date Value],"&lt;="&amp;$Z$3)+SUMIFS(SIP[Unit],SIP[Investor ID],A424,SIP[Date Value],"&lt;="&amp;$Z$3)</f>
        <v>1793</v>
      </c>
      <c r="G424" s="49">
        <f>(SUMIFS(LS[Amount],LS[B/S],"B",LS[Investor ID],A424,LS[Date Value],"&lt;="&amp;$Z$3)-SUMIFS(LS[Cost of Units Sold],LS[B/S],"S",LS[Investor ID],A424,LS[Date Value],"&lt;="&amp;$Z$3))+(SUMIFS(SIP[Amount],SIP[B/S],"B",SIP[Investor ID],A424,SIP[Date Value],"&lt;="&amp;$Z$3)-SUMIFS(SIP[Cost of Units Sold],SIP[B/S],"S",SIP[Investor ID],A424,SIP[Date Value],"&lt;="&amp;$Z$3))</f>
        <v>19278.674479356618</v>
      </c>
      <c r="H424" s="49">
        <f t="shared" si="32"/>
        <v>20017.052</v>
      </c>
      <c r="I424" s="49">
        <f t="shared" si="33"/>
        <v>738.37752064338201</v>
      </c>
      <c r="J424" s="47">
        <f>(SUMIFS(LS[Unit],LS[Investor ID],A424,LS[B/S],"B",LS[Date Value],"&gt;="&amp;$Z$2,LS[Date Value],"&lt;="&amp;$Z$3))+(SUMIFS(SIP[Unit],SIP[Investor ID],A424,SIP[B/S],"B",SIP[Date Value],"&gt;="&amp;$Z$2,SIP[Date Value],"&lt;="&amp;$Z$3))</f>
        <v>53848</v>
      </c>
      <c r="K424" s="49">
        <f>(SUMIFS(LS[Amount],LS[Investor ID],A424,LS[B/S],"B",LS[Date Value],"&gt;="&amp;$Z$2,LS[Date Value],"&lt;="&amp;$Z$3))+(SUMIFS(SIP[Amount],SIP[Investor ID],A424,SIP[B/S],"B",SIP[Date Value],"&gt;="&amp;$Z$2,SIP[Date Value],"&lt;="&amp;$Z$3))</f>
        <v>585193.55000000005</v>
      </c>
      <c r="L424" s="47">
        <f>(-SUMIFS(LS[Unit],LS[Investor ID],A424,LS[B/S],"S",LS[Date Value],"&gt;="&amp;$Z$2,LS[Date Value],"&lt;="&amp;$Z$3))+(-SUMIFS(SIP[Unit],SIP[Investor ID],A424,SIP[B/S],"S",SIP[Date Value],"&gt;="&amp;$Z$2,SIP[Date Value],"&lt;="&amp;$Z$3))</f>
        <v>61377</v>
      </c>
      <c r="M424" s="49">
        <f>(SUMIFS(LS[Cost of Units Sold],LS[Investor ID],A424,LS[B/S],"S",LS[Date Value],"&gt;="&amp;$Z$2,LS[Date Value],"&lt;="&amp;$Z$3))+(SUMIFS(SIP[Cost of Units Sold],SIP[Investor ID],A424,SIP[B/S],"S",SIP[Date Value],"&gt;="&amp;$Z$2,SIP[Date Value],"&lt;="&amp;$Z$3))</f>
        <v>660914.87552064331</v>
      </c>
      <c r="N424" s="49">
        <f t="shared" si="34"/>
        <v>-75721.325520643266</v>
      </c>
      <c r="O424" s="49">
        <f>(SUMIFS(LS[Realized Gain],LS[Investor ID],A424,LS[Date Value],"&gt;="&amp;$Z$2,LS[Date Value],"&lt;="&amp;$Z$3))+(SUMIFS(SIP[Realized Gain],SIP[Investor ID],A424,SIP[Date Value],"&gt;="&amp;$Z$2,SIP[Date Value],"&lt;="&amp;$Z$3))</f>
        <v>11907.29447935662</v>
      </c>
      <c r="P424" s="49">
        <v>0</v>
      </c>
      <c r="Q424" s="49">
        <v>0</v>
      </c>
      <c r="R424" s="49">
        <v>0</v>
      </c>
    </row>
    <row r="425" spans="1:18">
      <c r="A425" t="s">
        <v>896</v>
      </c>
      <c r="B425" s="47">
        <f>SUMIFS(LS[Unit],LS[Investor ID],'TAX CERTIFICATE'!A425,LS[Date Value],"&lt;"&amp;$Z$2)+SUMIFS(SIP[Unit],SIP[Investor ID],'TAX CERTIFICATE'!A425,SIP[Date Value],"&lt;"&amp;$Z$2)</f>
        <v>0</v>
      </c>
      <c r="C425" s="48">
        <f>(SUMIFS(LS[Amount],LS[B/S],"B",LS[Investor ID],A425,LS[Date Value],"&lt;"&amp;$Z$2)-SUMIFS(LS[Cost of Units Sold],LS[B/S],"S",LS[Investor ID],A425,LS[Date Value],"&lt;"&amp;$Z$2))+(SUMIFS(SIP[Amount],SIP[B/S],"B",SIP[Investor ID],#REF!,SIP[Date Value],"&lt;"&amp;$Z$2)-SUMIFS(SIP[Cost of Units Sold],SIP[B/S],"S",SIP[Investor ID],A425,SIP[Date Value],"&lt;"&amp;$Z$2))</f>
        <v>0</v>
      </c>
      <c r="D425" s="49">
        <f t="shared" si="30"/>
        <v>0</v>
      </c>
      <c r="E425" s="49">
        <f t="shared" si="31"/>
        <v>0</v>
      </c>
      <c r="F425" s="47">
        <f>SUMIFS(LS[Unit],LS[Investor ID],A425,LS[Date Value],"&lt;="&amp;$Z$3)+SUMIFS(SIP[Unit],SIP[Investor ID],A425,SIP[Date Value],"&lt;="&amp;$Z$3)</f>
        <v>17755</v>
      </c>
      <c r="G425" s="49">
        <f>(SUMIFS(LS[Amount],LS[B/S],"B",LS[Investor ID],A425,LS[Date Value],"&lt;="&amp;$Z$3)-SUMIFS(LS[Cost of Units Sold],LS[B/S],"S",LS[Investor ID],A425,LS[Date Value],"&lt;="&amp;$Z$3))+(SUMIFS(SIP[Amount],SIP[B/S],"B",SIP[Investor ID],A425,SIP[Date Value],"&lt;="&amp;$Z$3)-SUMIFS(SIP[Cost of Units Sold],SIP[B/S],"S",SIP[Investor ID],A425,SIP[Date Value],"&lt;="&amp;$Z$3))</f>
        <v>198000</v>
      </c>
      <c r="H425" s="49">
        <f t="shared" si="32"/>
        <v>198216.82</v>
      </c>
      <c r="I425" s="49">
        <f t="shared" si="33"/>
        <v>216.82000000000698</v>
      </c>
      <c r="J425" s="47">
        <f>(SUMIFS(LS[Unit],LS[Investor ID],A425,LS[B/S],"B",LS[Date Value],"&gt;="&amp;$Z$2,LS[Date Value],"&lt;="&amp;$Z$3))+(SUMIFS(SIP[Unit],SIP[Investor ID],A425,SIP[B/S],"B",SIP[Date Value],"&gt;="&amp;$Z$2,SIP[Date Value],"&lt;="&amp;$Z$3))</f>
        <v>17755</v>
      </c>
      <c r="K425" s="49">
        <f>(SUMIFS(LS[Amount],LS[Investor ID],A425,LS[B/S],"B",LS[Date Value],"&gt;="&amp;$Z$2,LS[Date Value],"&lt;="&amp;$Z$3))+(SUMIFS(SIP[Amount],SIP[Investor ID],A425,SIP[B/S],"B",SIP[Date Value],"&gt;="&amp;$Z$2,SIP[Date Value],"&lt;="&amp;$Z$3))</f>
        <v>198000</v>
      </c>
      <c r="L425" s="47">
        <f>(-SUMIFS(LS[Unit],LS[Investor ID],A425,LS[B/S],"S",LS[Date Value],"&gt;="&amp;$Z$2,LS[Date Value],"&lt;="&amp;$Z$3))+(-SUMIFS(SIP[Unit],SIP[Investor ID],A425,SIP[B/S],"S",SIP[Date Value],"&gt;="&amp;$Z$2,SIP[Date Value],"&lt;="&amp;$Z$3))</f>
        <v>0</v>
      </c>
      <c r="M425" s="49">
        <f>(SUMIFS(LS[Cost of Units Sold],LS[Investor ID],A425,LS[B/S],"S",LS[Date Value],"&gt;="&amp;$Z$2,LS[Date Value],"&lt;="&amp;$Z$3))+(SUMIFS(SIP[Cost of Units Sold],SIP[Investor ID],A425,SIP[B/S],"S",SIP[Date Value],"&gt;="&amp;$Z$2,SIP[Date Value],"&lt;="&amp;$Z$3))</f>
        <v>0</v>
      </c>
      <c r="N425" s="49">
        <f t="shared" si="34"/>
        <v>198000</v>
      </c>
      <c r="O425" s="49">
        <f>(SUMIFS(LS[Realized Gain],LS[Investor ID],A425,LS[Date Value],"&gt;="&amp;$Z$2,LS[Date Value],"&lt;="&amp;$Z$3))+(SUMIFS(SIP[Realized Gain],SIP[Investor ID],A425,SIP[Date Value],"&gt;="&amp;$Z$2,SIP[Date Value],"&lt;="&amp;$Z$3))</f>
        <v>0</v>
      </c>
      <c r="P425" s="49">
        <v>0</v>
      </c>
      <c r="Q425" s="49">
        <v>0</v>
      </c>
      <c r="R425" s="49">
        <v>0</v>
      </c>
    </row>
    <row r="426" spans="1:18">
      <c r="A426" t="s">
        <v>898</v>
      </c>
      <c r="B426" s="47">
        <f>SUMIFS(LS[Unit],LS[Investor ID],'TAX CERTIFICATE'!A426,LS[Date Value],"&lt;"&amp;$Z$2)+SUMIFS(SIP[Unit],SIP[Investor ID],'TAX CERTIFICATE'!A426,SIP[Date Value],"&lt;"&amp;$Z$2)</f>
        <v>4886</v>
      </c>
      <c r="C426" s="48">
        <f>(SUMIFS(LS[Amount],LS[B/S],"B",LS[Investor ID],A426,LS[Date Value],"&lt;"&amp;$Z$2)-SUMIFS(LS[Cost of Units Sold],LS[B/S],"S",LS[Investor ID],A426,LS[Date Value],"&lt;"&amp;$Z$2))+(SUMIFS(SIP[Amount],SIP[B/S],"B",SIP[Investor ID],#REF!,SIP[Date Value],"&lt;"&amp;$Z$2)-SUMIFS(SIP[Cost of Units Sold],SIP[B/S],"S",SIP[Investor ID],A426,SIP[Date Value],"&lt;"&amp;$Z$2))</f>
        <v>50000</v>
      </c>
      <c r="D426" s="49">
        <f t="shared" si="30"/>
        <v>50184.106000000007</v>
      </c>
      <c r="E426" s="49">
        <f t="shared" si="31"/>
        <v>184.10600000000704</v>
      </c>
      <c r="F426" s="47">
        <f>SUMIFS(LS[Unit],LS[Investor ID],A426,LS[Date Value],"&lt;="&amp;$Z$3)+SUMIFS(SIP[Unit],SIP[Investor ID],A426,SIP[Date Value],"&lt;="&amp;$Z$3)</f>
        <v>0</v>
      </c>
      <c r="G426" s="49">
        <f>(SUMIFS(LS[Amount],LS[B/S],"B",LS[Investor ID],A426,LS[Date Value],"&lt;="&amp;$Z$3)-SUMIFS(LS[Cost of Units Sold],LS[B/S],"S",LS[Investor ID],A426,LS[Date Value],"&lt;="&amp;$Z$3))+(SUMIFS(SIP[Amount],SIP[B/S],"B",SIP[Investor ID],A426,SIP[Date Value],"&lt;="&amp;$Z$3)-SUMIFS(SIP[Cost of Units Sold],SIP[B/S],"S",SIP[Investor ID],A426,SIP[Date Value],"&lt;="&amp;$Z$3))</f>
        <v>-7.2759576141834259E-12</v>
      </c>
      <c r="H426" s="49">
        <f t="shared" si="32"/>
        <v>0</v>
      </c>
      <c r="I426" s="49">
        <f t="shared" si="33"/>
        <v>7.2759576141834259E-12</v>
      </c>
      <c r="J426" s="47">
        <f>(SUMIFS(LS[Unit],LS[Investor ID],A426,LS[B/S],"B",LS[Date Value],"&gt;="&amp;$Z$2,LS[Date Value],"&lt;="&amp;$Z$3))+(SUMIFS(SIP[Unit],SIP[Investor ID],A426,SIP[B/S],"B",SIP[Date Value],"&gt;="&amp;$Z$2,SIP[Date Value],"&lt;="&amp;$Z$3))</f>
        <v>0</v>
      </c>
      <c r="K426" s="49">
        <f>(SUMIFS(LS[Amount],LS[Investor ID],A426,LS[B/S],"B",LS[Date Value],"&gt;="&amp;$Z$2,LS[Date Value],"&lt;="&amp;$Z$3))+(SUMIFS(SIP[Amount],SIP[Investor ID],A426,SIP[B/S],"B",SIP[Date Value],"&gt;="&amp;$Z$2,SIP[Date Value],"&lt;="&amp;$Z$3))</f>
        <v>0</v>
      </c>
      <c r="L426" s="47">
        <f>(-SUMIFS(LS[Unit],LS[Investor ID],A426,LS[B/S],"S",LS[Date Value],"&gt;="&amp;$Z$2,LS[Date Value],"&lt;="&amp;$Z$3))+(-SUMIFS(SIP[Unit],SIP[Investor ID],A426,SIP[B/S],"S",SIP[Date Value],"&gt;="&amp;$Z$2,SIP[Date Value],"&lt;="&amp;$Z$3))</f>
        <v>4886</v>
      </c>
      <c r="M426" s="49">
        <f>(SUMIFS(LS[Cost of Units Sold],LS[Investor ID],A426,LS[B/S],"S",LS[Date Value],"&gt;="&amp;$Z$2,LS[Date Value],"&lt;="&amp;$Z$3))+(SUMIFS(SIP[Cost of Units Sold],SIP[Investor ID],A426,SIP[B/S],"S",SIP[Date Value],"&gt;="&amp;$Z$2,SIP[Date Value],"&lt;="&amp;$Z$3))</f>
        <v>50000.000000000007</v>
      </c>
      <c r="N426" s="49">
        <f t="shared" si="34"/>
        <v>-50000.000000000007</v>
      </c>
      <c r="O426" s="49">
        <f>(SUMIFS(LS[Realized Gain],LS[Investor ID],A426,LS[Date Value],"&gt;="&amp;$Z$2,LS[Date Value],"&lt;="&amp;$Z$3))+(SUMIFS(SIP[Realized Gain],SIP[Investor ID],A426,SIP[Date Value],"&gt;="&amp;$Z$2,SIP[Date Value],"&lt;="&amp;$Z$3))</f>
        <v>936.54999999999927</v>
      </c>
      <c r="P426" s="49">
        <v>0</v>
      </c>
      <c r="Q426" s="49">
        <v>0</v>
      </c>
      <c r="R426" s="49">
        <v>0</v>
      </c>
    </row>
    <row r="427" spans="1:18">
      <c r="A427" t="s">
        <v>900</v>
      </c>
      <c r="B427" s="47">
        <f>SUMIFS(LS[Unit],LS[Investor ID],'TAX CERTIFICATE'!A427,LS[Date Value],"&lt;"&amp;$Z$2)+SUMIFS(SIP[Unit],SIP[Investor ID],'TAX CERTIFICATE'!A427,SIP[Date Value],"&lt;"&amp;$Z$2)</f>
        <v>1962</v>
      </c>
      <c r="C427" s="48">
        <f>(SUMIFS(LS[Amount],LS[B/S],"B",LS[Investor ID],A427,LS[Date Value],"&lt;"&amp;$Z$2)-SUMIFS(LS[Cost of Units Sold],LS[B/S],"S",LS[Investor ID],A427,LS[Date Value],"&lt;"&amp;$Z$2))+(SUMIFS(SIP[Amount],SIP[B/S],"B",SIP[Investor ID],#REF!,SIP[Date Value],"&lt;"&amp;$Z$2)-SUMIFS(SIP[Cost of Units Sold],SIP[B/S],"S",SIP[Investor ID],A427,SIP[Date Value],"&lt;"&amp;$Z$2))</f>
        <v>0</v>
      </c>
      <c r="D427" s="49">
        <f t="shared" si="30"/>
        <v>20151.702000000001</v>
      </c>
      <c r="E427" s="49">
        <f t="shared" si="31"/>
        <v>20151.702000000001</v>
      </c>
      <c r="F427" s="47">
        <f>SUMIFS(LS[Unit],LS[Investor ID],A427,LS[Date Value],"&lt;="&amp;$Z$3)+SUMIFS(SIP[Unit],SIP[Investor ID],A427,SIP[Date Value],"&lt;="&amp;$Z$3)</f>
        <v>24457</v>
      </c>
      <c r="G427" s="49">
        <f>(SUMIFS(LS[Amount],LS[B/S],"B",LS[Investor ID],A427,LS[Date Value],"&lt;="&amp;$Z$3)-SUMIFS(LS[Cost of Units Sold],LS[B/S],"S",LS[Investor ID],A427,LS[Date Value],"&lt;="&amp;$Z$3))+(SUMIFS(SIP[Amount],SIP[B/S],"B",SIP[Investor ID],A427,SIP[Date Value],"&lt;="&amp;$Z$3)-SUMIFS(SIP[Cost of Units Sold],SIP[B/S],"S",SIP[Investor ID],A427,SIP[Date Value],"&lt;="&amp;$Z$3))</f>
        <v>260000</v>
      </c>
      <c r="H427" s="49">
        <f t="shared" si="32"/>
        <v>273037.94799999997</v>
      </c>
      <c r="I427" s="49">
        <f t="shared" si="33"/>
        <v>13037.947999999975</v>
      </c>
      <c r="J427" s="47">
        <f>(SUMIFS(LS[Unit],LS[Investor ID],A427,LS[B/S],"B",LS[Date Value],"&gt;="&amp;$Z$2,LS[Date Value],"&lt;="&amp;$Z$3))+(SUMIFS(SIP[Unit],SIP[Investor ID],A427,SIP[B/S],"B",SIP[Date Value],"&gt;="&amp;$Z$2,SIP[Date Value],"&lt;="&amp;$Z$3))</f>
        <v>22495</v>
      </c>
      <c r="K427" s="49">
        <f>(SUMIFS(LS[Amount],LS[Investor ID],A427,LS[B/S],"B",LS[Date Value],"&gt;="&amp;$Z$2,LS[Date Value],"&lt;="&amp;$Z$3))+(SUMIFS(SIP[Amount],SIP[Investor ID],A427,SIP[B/S],"B",SIP[Date Value],"&gt;="&amp;$Z$2,SIP[Date Value],"&lt;="&amp;$Z$3))</f>
        <v>240000</v>
      </c>
      <c r="L427" s="47">
        <f>(-SUMIFS(LS[Unit],LS[Investor ID],A427,LS[B/S],"S",LS[Date Value],"&gt;="&amp;$Z$2,LS[Date Value],"&lt;="&amp;$Z$3))+(-SUMIFS(SIP[Unit],SIP[Investor ID],A427,SIP[B/S],"S",SIP[Date Value],"&gt;="&amp;$Z$2,SIP[Date Value],"&lt;="&amp;$Z$3))</f>
        <v>0</v>
      </c>
      <c r="M427" s="49">
        <f>(SUMIFS(LS[Cost of Units Sold],LS[Investor ID],A427,LS[B/S],"S",LS[Date Value],"&gt;="&amp;$Z$2,LS[Date Value],"&lt;="&amp;$Z$3))+(SUMIFS(SIP[Cost of Units Sold],SIP[Investor ID],A427,SIP[B/S],"S",SIP[Date Value],"&gt;="&amp;$Z$2,SIP[Date Value],"&lt;="&amp;$Z$3))</f>
        <v>0</v>
      </c>
      <c r="N427" s="49">
        <f t="shared" si="34"/>
        <v>240000</v>
      </c>
      <c r="O427" s="49">
        <f>(SUMIFS(LS[Realized Gain],LS[Investor ID],A427,LS[Date Value],"&gt;="&amp;$Z$2,LS[Date Value],"&lt;="&amp;$Z$3))+(SUMIFS(SIP[Realized Gain],SIP[Investor ID],A427,SIP[Date Value],"&gt;="&amp;$Z$2,SIP[Date Value],"&lt;="&amp;$Z$3))</f>
        <v>0</v>
      </c>
      <c r="P427" s="49">
        <v>0</v>
      </c>
      <c r="Q427" s="49">
        <v>0</v>
      </c>
      <c r="R427" s="49">
        <v>0</v>
      </c>
    </row>
    <row r="428" spans="1:18">
      <c r="A428" t="s">
        <v>902</v>
      </c>
      <c r="B428" s="47">
        <f>SUMIFS(LS[Unit],LS[Investor ID],'TAX CERTIFICATE'!A428,LS[Date Value],"&lt;"&amp;$Z$2)+SUMIFS(SIP[Unit],SIP[Investor ID],'TAX CERTIFICATE'!A428,SIP[Date Value],"&lt;"&amp;$Z$2)</f>
        <v>0</v>
      </c>
      <c r="C428" s="48">
        <f>(SUMIFS(LS[Amount],LS[B/S],"B",LS[Investor ID],A428,LS[Date Value],"&lt;"&amp;$Z$2)-SUMIFS(LS[Cost of Units Sold],LS[B/S],"S",LS[Investor ID],A428,LS[Date Value],"&lt;"&amp;$Z$2))+(SUMIFS(SIP[Amount],SIP[B/S],"B",SIP[Investor ID],#REF!,SIP[Date Value],"&lt;"&amp;$Z$2)-SUMIFS(SIP[Cost of Units Sold],SIP[B/S],"S",SIP[Investor ID],A428,SIP[Date Value],"&lt;"&amp;$Z$2))</f>
        <v>0</v>
      </c>
      <c r="D428" s="49">
        <f t="shared" si="30"/>
        <v>0</v>
      </c>
      <c r="E428" s="49">
        <f t="shared" si="31"/>
        <v>0</v>
      </c>
      <c r="F428" s="47">
        <f>SUMIFS(LS[Unit],LS[Investor ID],A428,LS[Date Value],"&lt;="&amp;$Z$3)+SUMIFS(SIP[Unit],SIP[Investor ID],A428,SIP[Date Value],"&lt;="&amp;$Z$3)</f>
        <v>0</v>
      </c>
      <c r="G428" s="49">
        <f>(SUMIFS(LS[Amount],LS[B/S],"B",LS[Investor ID],A428,LS[Date Value],"&lt;="&amp;$Z$3)-SUMIFS(LS[Cost of Units Sold],LS[B/S],"S",LS[Investor ID],A428,LS[Date Value],"&lt;="&amp;$Z$3))+(SUMIFS(SIP[Amount],SIP[B/S],"B",SIP[Investor ID],A428,SIP[Date Value],"&lt;="&amp;$Z$3)-SUMIFS(SIP[Cost of Units Sold],SIP[B/S],"S",SIP[Investor ID],A428,SIP[Date Value],"&lt;="&amp;$Z$3))</f>
        <v>0</v>
      </c>
      <c r="H428" s="49">
        <f t="shared" si="32"/>
        <v>0</v>
      </c>
      <c r="I428" s="49">
        <f t="shared" si="33"/>
        <v>0</v>
      </c>
      <c r="J428" s="47">
        <f>(SUMIFS(LS[Unit],LS[Investor ID],A428,LS[B/S],"B",LS[Date Value],"&gt;="&amp;$Z$2,LS[Date Value],"&lt;="&amp;$Z$3))+(SUMIFS(SIP[Unit],SIP[Investor ID],A428,SIP[B/S],"B",SIP[Date Value],"&gt;="&amp;$Z$2,SIP[Date Value],"&lt;="&amp;$Z$3))</f>
        <v>0</v>
      </c>
      <c r="K428" s="49">
        <f>(SUMIFS(LS[Amount],LS[Investor ID],A428,LS[B/S],"B",LS[Date Value],"&gt;="&amp;$Z$2,LS[Date Value],"&lt;="&amp;$Z$3))+(SUMIFS(SIP[Amount],SIP[Investor ID],A428,SIP[B/S],"B",SIP[Date Value],"&gt;="&amp;$Z$2,SIP[Date Value],"&lt;="&amp;$Z$3))</f>
        <v>0</v>
      </c>
      <c r="L428" s="47">
        <f>(-SUMIFS(LS[Unit],LS[Investor ID],A428,LS[B/S],"S",LS[Date Value],"&gt;="&amp;$Z$2,LS[Date Value],"&lt;="&amp;$Z$3))+(-SUMIFS(SIP[Unit],SIP[Investor ID],A428,SIP[B/S],"S",SIP[Date Value],"&gt;="&amp;$Z$2,SIP[Date Value],"&lt;="&amp;$Z$3))</f>
        <v>0</v>
      </c>
      <c r="M428" s="49">
        <f>(SUMIFS(LS[Cost of Units Sold],LS[Investor ID],A428,LS[B/S],"S",LS[Date Value],"&gt;="&amp;$Z$2,LS[Date Value],"&lt;="&amp;$Z$3))+(SUMIFS(SIP[Cost of Units Sold],SIP[Investor ID],A428,SIP[B/S],"S",SIP[Date Value],"&gt;="&amp;$Z$2,SIP[Date Value],"&lt;="&amp;$Z$3))</f>
        <v>0</v>
      </c>
      <c r="N428" s="49">
        <f t="shared" si="34"/>
        <v>0</v>
      </c>
      <c r="O428" s="49">
        <f>(SUMIFS(LS[Realized Gain],LS[Investor ID],A428,LS[Date Value],"&gt;="&amp;$Z$2,LS[Date Value],"&lt;="&amp;$Z$3))+(SUMIFS(SIP[Realized Gain],SIP[Investor ID],A428,SIP[Date Value],"&gt;="&amp;$Z$2,SIP[Date Value],"&lt;="&amp;$Z$3))</f>
        <v>0</v>
      </c>
      <c r="P428" s="49">
        <v>0</v>
      </c>
      <c r="Q428" s="49">
        <v>0</v>
      </c>
      <c r="R428" s="49">
        <v>0</v>
      </c>
    </row>
    <row r="429" spans="1:18">
      <c r="A429" t="s">
        <v>904</v>
      </c>
      <c r="B429" s="47">
        <f>SUMIFS(LS[Unit],LS[Investor ID],'TAX CERTIFICATE'!A429,LS[Date Value],"&lt;"&amp;$Z$2)+SUMIFS(SIP[Unit],SIP[Investor ID],'TAX CERTIFICATE'!A429,SIP[Date Value],"&lt;"&amp;$Z$2)</f>
        <v>0</v>
      </c>
      <c r="C429" s="48">
        <f>(SUMIFS(LS[Amount],LS[B/S],"B",LS[Investor ID],A429,LS[Date Value],"&lt;"&amp;$Z$2)-SUMIFS(LS[Cost of Units Sold],LS[B/S],"S",LS[Investor ID],A429,LS[Date Value],"&lt;"&amp;$Z$2))+(SUMIFS(SIP[Amount],SIP[B/S],"B",SIP[Investor ID],#REF!,SIP[Date Value],"&lt;"&amp;$Z$2)-SUMIFS(SIP[Cost of Units Sold],SIP[B/S],"S",SIP[Investor ID],A429,SIP[Date Value],"&lt;"&amp;$Z$2))</f>
        <v>0</v>
      </c>
      <c r="D429" s="49">
        <f t="shared" si="30"/>
        <v>0</v>
      </c>
      <c r="E429" s="49">
        <f t="shared" si="31"/>
        <v>0</v>
      </c>
      <c r="F429" s="47">
        <f>SUMIFS(LS[Unit],LS[Investor ID],A429,LS[Date Value],"&lt;="&amp;$Z$3)+SUMIFS(SIP[Unit],SIP[Investor ID],A429,SIP[Date Value],"&lt;="&amp;$Z$3)</f>
        <v>0</v>
      </c>
      <c r="G429" s="49">
        <f>(SUMIFS(LS[Amount],LS[B/S],"B",LS[Investor ID],A429,LS[Date Value],"&lt;="&amp;$Z$3)-SUMIFS(LS[Cost of Units Sold],LS[B/S],"S",LS[Investor ID],A429,LS[Date Value],"&lt;="&amp;$Z$3))+(SUMIFS(SIP[Amount],SIP[B/S],"B",SIP[Investor ID],A429,SIP[Date Value],"&lt;="&amp;$Z$3)-SUMIFS(SIP[Cost of Units Sold],SIP[B/S],"S",SIP[Investor ID],A429,SIP[Date Value],"&lt;="&amp;$Z$3))</f>
        <v>0</v>
      </c>
      <c r="H429" s="49">
        <f t="shared" si="32"/>
        <v>0</v>
      </c>
      <c r="I429" s="49">
        <f t="shared" si="33"/>
        <v>0</v>
      </c>
      <c r="J429" s="47">
        <f>(SUMIFS(LS[Unit],LS[Investor ID],A429,LS[B/S],"B",LS[Date Value],"&gt;="&amp;$Z$2,LS[Date Value],"&lt;="&amp;$Z$3))+(SUMIFS(SIP[Unit],SIP[Investor ID],A429,SIP[B/S],"B",SIP[Date Value],"&gt;="&amp;$Z$2,SIP[Date Value],"&lt;="&amp;$Z$3))</f>
        <v>0</v>
      </c>
      <c r="K429" s="49">
        <f>(SUMIFS(LS[Amount],LS[Investor ID],A429,LS[B/S],"B",LS[Date Value],"&gt;="&amp;$Z$2,LS[Date Value],"&lt;="&amp;$Z$3))+(SUMIFS(SIP[Amount],SIP[Investor ID],A429,SIP[B/S],"B",SIP[Date Value],"&gt;="&amp;$Z$2,SIP[Date Value],"&lt;="&amp;$Z$3))</f>
        <v>0</v>
      </c>
      <c r="L429" s="47">
        <f>(-SUMIFS(LS[Unit],LS[Investor ID],A429,LS[B/S],"S",LS[Date Value],"&gt;="&amp;$Z$2,LS[Date Value],"&lt;="&amp;$Z$3))+(-SUMIFS(SIP[Unit],SIP[Investor ID],A429,SIP[B/S],"S",SIP[Date Value],"&gt;="&amp;$Z$2,SIP[Date Value],"&lt;="&amp;$Z$3))</f>
        <v>0</v>
      </c>
      <c r="M429" s="49">
        <f>(SUMIFS(LS[Cost of Units Sold],LS[Investor ID],A429,LS[B/S],"S",LS[Date Value],"&gt;="&amp;$Z$2,LS[Date Value],"&lt;="&amp;$Z$3))+(SUMIFS(SIP[Cost of Units Sold],SIP[Investor ID],A429,SIP[B/S],"S",SIP[Date Value],"&gt;="&amp;$Z$2,SIP[Date Value],"&lt;="&amp;$Z$3))</f>
        <v>0</v>
      </c>
      <c r="N429" s="49">
        <f t="shared" si="34"/>
        <v>0</v>
      </c>
      <c r="O429" s="49">
        <f>(SUMIFS(LS[Realized Gain],LS[Investor ID],A429,LS[Date Value],"&gt;="&amp;$Z$2,LS[Date Value],"&lt;="&amp;$Z$3))+(SUMIFS(SIP[Realized Gain],SIP[Investor ID],A429,SIP[Date Value],"&gt;="&amp;$Z$2,SIP[Date Value],"&lt;="&amp;$Z$3))</f>
        <v>0</v>
      </c>
      <c r="P429" s="49">
        <v>0</v>
      </c>
      <c r="Q429" s="49">
        <v>0</v>
      </c>
      <c r="R429" s="49">
        <v>0</v>
      </c>
    </row>
    <row r="430" spans="1:18">
      <c r="A430" t="s">
        <v>906</v>
      </c>
      <c r="B430" s="47">
        <f>SUMIFS(LS[Unit],LS[Investor ID],'TAX CERTIFICATE'!A430,LS[Date Value],"&lt;"&amp;$Z$2)+SUMIFS(SIP[Unit],SIP[Investor ID],'TAX CERTIFICATE'!A430,SIP[Date Value],"&lt;"&amp;$Z$2)</f>
        <v>0</v>
      </c>
      <c r="C430" s="48">
        <f>(SUMIFS(LS[Amount],LS[B/S],"B",LS[Investor ID],A430,LS[Date Value],"&lt;"&amp;$Z$2)-SUMIFS(LS[Cost of Units Sold],LS[B/S],"S",LS[Investor ID],A430,LS[Date Value],"&lt;"&amp;$Z$2))+(SUMIFS(SIP[Amount],SIP[B/S],"B",SIP[Investor ID],#REF!,SIP[Date Value],"&lt;"&amp;$Z$2)-SUMIFS(SIP[Cost of Units Sold],SIP[B/S],"S",SIP[Investor ID],A430,SIP[Date Value],"&lt;"&amp;$Z$2))</f>
        <v>0</v>
      </c>
      <c r="D430" s="49">
        <f t="shared" si="30"/>
        <v>0</v>
      </c>
      <c r="E430" s="49">
        <f t="shared" si="31"/>
        <v>0</v>
      </c>
      <c r="F430" s="47">
        <f>SUMIFS(LS[Unit],LS[Investor ID],A430,LS[Date Value],"&lt;="&amp;$Z$3)+SUMIFS(SIP[Unit],SIP[Investor ID],A430,SIP[Date Value],"&lt;="&amp;$Z$3)</f>
        <v>0</v>
      </c>
      <c r="G430" s="49">
        <f>(SUMIFS(LS[Amount],LS[B/S],"B",LS[Investor ID],A430,LS[Date Value],"&lt;="&amp;$Z$3)-SUMIFS(LS[Cost of Units Sold],LS[B/S],"S",LS[Investor ID],A430,LS[Date Value],"&lt;="&amp;$Z$3))+(SUMIFS(SIP[Amount],SIP[B/S],"B",SIP[Investor ID],A430,SIP[Date Value],"&lt;="&amp;$Z$3)-SUMIFS(SIP[Cost of Units Sold],SIP[B/S],"S",SIP[Investor ID],A430,SIP[Date Value],"&lt;="&amp;$Z$3))</f>
        <v>0</v>
      </c>
      <c r="H430" s="49">
        <f t="shared" si="32"/>
        <v>0</v>
      </c>
      <c r="I430" s="49">
        <f t="shared" si="33"/>
        <v>0</v>
      </c>
      <c r="J430" s="47">
        <f>(SUMIFS(LS[Unit],LS[Investor ID],A430,LS[B/S],"B",LS[Date Value],"&gt;="&amp;$Z$2,LS[Date Value],"&lt;="&amp;$Z$3))+(SUMIFS(SIP[Unit],SIP[Investor ID],A430,SIP[B/S],"B",SIP[Date Value],"&gt;="&amp;$Z$2,SIP[Date Value],"&lt;="&amp;$Z$3))</f>
        <v>0</v>
      </c>
      <c r="K430" s="49">
        <f>(SUMIFS(LS[Amount],LS[Investor ID],A430,LS[B/S],"B",LS[Date Value],"&gt;="&amp;$Z$2,LS[Date Value],"&lt;="&amp;$Z$3))+(SUMIFS(SIP[Amount],SIP[Investor ID],A430,SIP[B/S],"B",SIP[Date Value],"&gt;="&amp;$Z$2,SIP[Date Value],"&lt;="&amp;$Z$3))</f>
        <v>0</v>
      </c>
      <c r="L430" s="47">
        <f>(-SUMIFS(LS[Unit],LS[Investor ID],A430,LS[B/S],"S",LS[Date Value],"&gt;="&amp;$Z$2,LS[Date Value],"&lt;="&amp;$Z$3))+(-SUMIFS(SIP[Unit],SIP[Investor ID],A430,SIP[B/S],"S",SIP[Date Value],"&gt;="&amp;$Z$2,SIP[Date Value],"&lt;="&amp;$Z$3))</f>
        <v>0</v>
      </c>
      <c r="M430" s="49">
        <f>(SUMIFS(LS[Cost of Units Sold],LS[Investor ID],A430,LS[B/S],"S",LS[Date Value],"&gt;="&amp;$Z$2,LS[Date Value],"&lt;="&amp;$Z$3))+(SUMIFS(SIP[Cost of Units Sold],SIP[Investor ID],A430,SIP[B/S],"S",SIP[Date Value],"&gt;="&amp;$Z$2,SIP[Date Value],"&lt;="&amp;$Z$3))</f>
        <v>0</v>
      </c>
      <c r="N430" s="49">
        <f t="shared" si="34"/>
        <v>0</v>
      </c>
      <c r="O430" s="49">
        <f>(SUMIFS(LS[Realized Gain],LS[Investor ID],A430,LS[Date Value],"&gt;="&amp;$Z$2,LS[Date Value],"&lt;="&amp;$Z$3))+(SUMIFS(SIP[Realized Gain],SIP[Investor ID],A430,SIP[Date Value],"&gt;="&amp;$Z$2,SIP[Date Value],"&lt;="&amp;$Z$3))</f>
        <v>0</v>
      </c>
      <c r="P430" s="49">
        <v>0</v>
      </c>
      <c r="Q430" s="49">
        <v>0</v>
      </c>
      <c r="R430" s="49">
        <v>0</v>
      </c>
    </row>
    <row r="431" spans="1:18">
      <c r="A431" t="s">
        <v>908</v>
      </c>
      <c r="B431" s="47">
        <f>SUMIFS(LS[Unit],LS[Investor ID],'TAX CERTIFICATE'!A431,LS[Date Value],"&lt;"&amp;$Z$2)+SUMIFS(SIP[Unit],SIP[Investor ID],'TAX CERTIFICATE'!A431,SIP[Date Value],"&lt;"&amp;$Z$2)</f>
        <v>0</v>
      </c>
      <c r="C431" s="48">
        <f>(SUMIFS(LS[Amount],LS[B/S],"B",LS[Investor ID],A431,LS[Date Value],"&lt;"&amp;$Z$2)-SUMIFS(LS[Cost of Units Sold],LS[B/S],"S",LS[Investor ID],A431,LS[Date Value],"&lt;"&amp;$Z$2))+(SUMIFS(SIP[Amount],SIP[B/S],"B",SIP[Investor ID],#REF!,SIP[Date Value],"&lt;"&amp;$Z$2)-SUMIFS(SIP[Cost of Units Sold],SIP[B/S],"S",SIP[Investor ID],A431,SIP[Date Value],"&lt;"&amp;$Z$2))</f>
        <v>0</v>
      </c>
      <c r="D431" s="49">
        <f t="shared" si="30"/>
        <v>0</v>
      </c>
      <c r="E431" s="49">
        <f t="shared" si="31"/>
        <v>0</v>
      </c>
      <c r="F431" s="47">
        <f>SUMIFS(LS[Unit],LS[Investor ID],A431,LS[Date Value],"&lt;="&amp;$Z$3)+SUMIFS(SIP[Unit],SIP[Investor ID],A431,SIP[Date Value],"&lt;="&amp;$Z$3)</f>
        <v>0</v>
      </c>
      <c r="G431" s="49">
        <f>(SUMIFS(LS[Amount],LS[B/S],"B",LS[Investor ID],A431,LS[Date Value],"&lt;="&amp;$Z$3)-SUMIFS(LS[Cost of Units Sold],LS[B/S],"S",LS[Investor ID],A431,LS[Date Value],"&lt;="&amp;$Z$3))+(SUMIFS(SIP[Amount],SIP[B/S],"B",SIP[Investor ID],A431,SIP[Date Value],"&lt;="&amp;$Z$3)-SUMIFS(SIP[Cost of Units Sold],SIP[B/S],"S",SIP[Investor ID],A431,SIP[Date Value],"&lt;="&amp;$Z$3))</f>
        <v>0</v>
      </c>
      <c r="H431" s="49">
        <f t="shared" si="32"/>
        <v>0</v>
      </c>
      <c r="I431" s="49">
        <f t="shared" si="33"/>
        <v>0</v>
      </c>
      <c r="J431" s="47">
        <f>(SUMIFS(LS[Unit],LS[Investor ID],A431,LS[B/S],"B",LS[Date Value],"&gt;="&amp;$Z$2,LS[Date Value],"&lt;="&amp;$Z$3))+(SUMIFS(SIP[Unit],SIP[Investor ID],A431,SIP[B/S],"B",SIP[Date Value],"&gt;="&amp;$Z$2,SIP[Date Value],"&lt;="&amp;$Z$3))</f>
        <v>0</v>
      </c>
      <c r="K431" s="49">
        <f>(SUMIFS(LS[Amount],LS[Investor ID],A431,LS[B/S],"B",LS[Date Value],"&gt;="&amp;$Z$2,LS[Date Value],"&lt;="&amp;$Z$3))+(SUMIFS(SIP[Amount],SIP[Investor ID],A431,SIP[B/S],"B",SIP[Date Value],"&gt;="&amp;$Z$2,SIP[Date Value],"&lt;="&amp;$Z$3))</f>
        <v>0</v>
      </c>
      <c r="L431" s="47">
        <f>(-SUMIFS(LS[Unit],LS[Investor ID],A431,LS[B/S],"S",LS[Date Value],"&gt;="&amp;$Z$2,LS[Date Value],"&lt;="&amp;$Z$3))+(-SUMIFS(SIP[Unit],SIP[Investor ID],A431,SIP[B/S],"S",SIP[Date Value],"&gt;="&amp;$Z$2,SIP[Date Value],"&lt;="&amp;$Z$3))</f>
        <v>0</v>
      </c>
      <c r="M431" s="49">
        <f>(SUMIFS(LS[Cost of Units Sold],LS[Investor ID],A431,LS[B/S],"S",LS[Date Value],"&gt;="&amp;$Z$2,LS[Date Value],"&lt;="&amp;$Z$3))+(SUMIFS(SIP[Cost of Units Sold],SIP[Investor ID],A431,SIP[B/S],"S",SIP[Date Value],"&gt;="&amp;$Z$2,SIP[Date Value],"&lt;="&amp;$Z$3))</f>
        <v>0</v>
      </c>
      <c r="N431" s="49">
        <f t="shared" si="34"/>
        <v>0</v>
      </c>
      <c r="O431" s="49">
        <f>(SUMIFS(LS[Realized Gain],LS[Investor ID],A431,LS[Date Value],"&gt;="&amp;$Z$2,LS[Date Value],"&lt;="&amp;$Z$3))+(SUMIFS(SIP[Realized Gain],SIP[Investor ID],A431,SIP[Date Value],"&gt;="&amp;$Z$2,SIP[Date Value],"&lt;="&amp;$Z$3))</f>
        <v>0</v>
      </c>
      <c r="P431" s="49">
        <v>0</v>
      </c>
      <c r="Q431" s="49">
        <v>0</v>
      </c>
      <c r="R431" s="49">
        <v>0</v>
      </c>
    </row>
    <row r="432" spans="1:18">
      <c r="A432" t="s">
        <v>910</v>
      </c>
      <c r="B432" s="47">
        <f>SUMIFS(LS[Unit],LS[Investor ID],'TAX CERTIFICATE'!A432,LS[Date Value],"&lt;"&amp;$Z$2)+SUMIFS(SIP[Unit],SIP[Investor ID],'TAX CERTIFICATE'!A432,SIP[Date Value],"&lt;"&amp;$Z$2)</f>
        <v>0</v>
      </c>
      <c r="C432" s="48">
        <f>(SUMIFS(LS[Amount],LS[B/S],"B",LS[Investor ID],A432,LS[Date Value],"&lt;"&amp;$Z$2)-SUMIFS(LS[Cost of Units Sold],LS[B/S],"S",LS[Investor ID],A432,LS[Date Value],"&lt;"&amp;$Z$2))+(SUMIFS(SIP[Amount],SIP[B/S],"B",SIP[Investor ID],#REF!,SIP[Date Value],"&lt;"&amp;$Z$2)-SUMIFS(SIP[Cost of Units Sold],SIP[B/S],"S",SIP[Investor ID],A432,SIP[Date Value],"&lt;"&amp;$Z$2))</f>
        <v>0</v>
      </c>
      <c r="D432" s="49">
        <f t="shared" si="30"/>
        <v>0</v>
      </c>
      <c r="E432" s="49">
        <f t="shared" si="31"/>
        <v>0</v>
      </c>
      <c r="F432" s="47">
        <f>SUMIFS(LS[Unit],LS[Investor ID],A432,LS[Date Value],"&lt;="&amp;$Z$3)+SUMIFS(SIP[Unit],SIP[Investor ID],A432,SIP[Date Value],"&lt;="&amp;$Z$3)</f>
        <v>0</v>
      </c>
      <c r="G432" s="49">
        <f>(SUMIFS(LS[Amount],LS[B/S],"B",LS[Investor ID],A432,LS[Date Value],"&lt;="&amp;$Z$3)-SUMIFS(LS[Cost of Units Sold],LS[B/S],"S",LS[Investor ID],A432,LS[Date Value],"&lt;="&amp;$Z$3))+(SUMIFS(SIP[Amount],SIP[B/S],"B",SIP[Investor ID],A432,SIP[Date Value],"&lt;="&amp;$Z$3)-SUMIFS(SIP[Cost of Units Sold],SIP[B/S],"S",SIP[Investor ID],A432,SIP[Date Value],"&lt;="&amp;$Z$3))</f>
        <v>0</v>
      </c>
      <c r="H432" s="49">
        <f t="shared" si="32"/>
        <v>0</v>
      </c>
      <c r="I432" s="49">
        <f t="shared" si="33"/>
        <v>0</v>
      </c>
      <c r="J432" s="47">
        <f>(SUMIFS(LS[Unit],LS[Investor ID],A432,LS[B/S],"B",LS[Date Value],"&gt;="&amp;$Z$2,LS[Date Value],"&lt;="&amp;$Z$3))+(SUMIFS(SIP[Unit],SIP[Investor ID],A432,SIP[B/S],"B",SIP[Date Value],"&gt;="&amp;$Z$2,SIP[Date Value],"&lt;="&amp;$Z$3))</f>
        <v>0</v>
      </c>
      <c r="K432" s="49">
        <f>(SUMIFS(LS[Amount],LS[Investor ID],A432,LS[B/S],"B",LS[Date Value],"&gt;="&amp;$Z$2,LS[Date Value],"&lt;="&amp;$Z$3))+(SUMIFS(SIP[Amount],SIP[Investor ID],A432,SIP[B/S],"B",SIP[Date Value],"&gt;="&amp;$Z$2,SIP[Date Value],"&lt;="&amp;$Z$3))</f>
        <v>0</v>
      </c>
      <c r="L432" s="47">
        <f>(-SUMIFS(LS[Unit],LS[Investor ID],A432,LS[B/S],"S",LS[Date Value],"&gt;="&amp;$Z$2,LS[Date Value],"&lt;="&amp;$Z$3))+(-SUMIFS(SIP[Unit],SIP[Investor ID],A432,SIP[B/S],"S",SIP[Date Value],"&gt;="&amp;$Z$2,SIP[Date Value],"&lt;="&amp;$Z$3))</f>
        <v>0</v>
      </c>
      <c r="M432" s="49">
        <f>(SUMIFS(LS[Cost of Units Sold],LS[Investor ID],A432,LS[B/S],"S",LS[Date Value],"&gt;="&amp;$Z$2,LS[Date Value],"&lt;="&amp;$Z$3))+(SUMIFS(SIP[Cost of Units Sold],SIP[Investor ID],A432,SIP[B/S],"S",SIP[Date Value],"&gt;="&amp;$Z$2,SIP[Date Value],"&lt;="&amp;$Z$3))</f>
        <v>0</v>
      </c>
      <c r="N432" s="49">
        <f t="shared" si="34"/>
        <v>0</v>
      </c>
      <c r="O432" s="49">
        <f>(SUMIFS(LS[Realized Gain],LS[Investor ID],A432,LS[Date Value],"&gt;="&amp;$Z$2,LS[Date Value],"&lt;="&amp;$Z$3))+(SUMIFS(SIP[Realized Gain],SIP[Investor ID],A432,SIP[Date Value],"&gt;="&amp;$Z$2,SIP[Date Value],"&lt;="&amp;$Z$3))</f>
        <v>0</v>
      </c>
      <c r="P432" s="49">
        <v>0</v>
      </c>
      <c r="Q432" s="49">
        <v>0</v>
      </c>
      <c r="R432" s="49">
        <v>0</v>
      </c>
    </row>
    <row r="433" spans="1:18">
      <c r="A433" t="s">
        <v>912</v>
      </c>
      <c r="B433" s="47">
        <f>SUMIFS(LS[Unit],LS[Investor ID],'TAX CERTIFICATE'!A433,LS[Date Value],"&lt;"&amp;$Z$2)+SUMIFS(SIP[Unit],SIP[Investor ID],'TAX CERTIFICATE'!A433,SIP[Date Value],"&lt;"&amp;$Z$2)</f>
        <v>0</v>
      </c>
      <c r="C433" s="48">
        <f>(SUMIFS(LS[Amount],LS[B/S],"B",LS[Investor ID],A433,LS[Date Value],"&lt;"&amp;$Z$2)-SUMIFS(LS[Cost of Units Sold],LS[B/S],"S",LS[Investor ID],A433,LS[Date Value],"&lt;"&amp;$Z$2))+(SUMIFS(SIP[Amount],SIP[B/S],"B",SIP[Investor ID],#REF!,SIP[Date Value],"&lt;"&amp;$Z$2)-SUMIFS(SIP[Cost of Units Sold],SIP[B/S],"S",SIP[Investor ID],A433,SIP[Date Value],"&lt;"&amp;$Z$2))</f>
        <v>0</v>
      </c>
      <c r="D433" s="49">
        <f t="shared" si="30"/>
        <v>0</v>
      </c>
      <c r="E433" s="49">
        <f t="shared" si="31"/>
        <v>0</v>
      </c>
      <c r="F433" s="47">
        <f>SUMIFS(LS[Unit],LS[Investor ID],A433,LS[Date Value],"&lt;="&amp;$Z$3)+SUMIFS(SIP[Unit],SIP[Investor ID],A433,SIP[Date Value],"&lt;="&amp;$Z$3)</f>
        <v>0</v>
      </c>
      <c r="G433" s="49">
        <f>(SUMIFS(LS[Amount],LS[B/S],"B",LS[Investor ID],A433,LS[Date Value],"&lt;="&amp;$Z$3)-SUMIFS(LS[Cost of Units Sold],LS[B/S],"S",LS[Investor ID],A433,LS[Date Value],"&lt;="&amp;$Z$3))+(SUMIFS(SIP[Amount],SIP[B/S],"B",SIP[Investor ID],A433,SIP[Date Value],"&lt;="&amp;$Z$3)-SUMIFS(SIP[Cost of Units Sold],SIP[B/S],"S",SIP[Investor ID],A433,SIP[Date Value],"&lt;="&amp;$Z$3))</f>
        <v>3.637978807091713E-12</v>
      </c>
      <c r="H433" s="49">
        <f t="shared" si="32"/>
        <v>0</v>
      </c>
      <c r="I433" s="49">
        <f t="shared" si="33"/>
        <v>-3.637978807091713E-12</v>
      </c>
      <c r="J433" s="47">
        <f>(SUMIFS(LS[Unit],LS[Investor ID],A433,LS[B/S],"B",LS[Date Value],"&gt;="&amp;$Z$2,LS[Date Value],"&lt;="&amp;$Z$3))+(SUMIFS(SIP[Unit],SIP[Investor ID],A433,SIP[B/S],"B",SIP[Date Value],"&gt;="&amp;$Z$2,SIP[Date Value],"&lt;="&amp;$Z$3))</f>
        <v>2864</v>
      </c>
      <c r="K433" s="49">
        <f>(SUMIFS(LS[Amount],LS[Investor ID],A433,LS[B/S],"B",LS[Date Value],"&gt;="&amp;$Z$2,LS[Date Value],"&lt;="&amp;$Z$3))+(SUMIFS(SIP[Amount],SIP[Investor ID],A433,SIP[B/S],"B",SIP[Date Value],"&gt;="&amp;$Z$2,SIP[Date Value],"&lt;="&amp;$Z$3))</f>
        <v>30239.34</v>
      </c>
      <c r="L433" s="47">
        <f>(-SUMIFS(LS[Unit],LS[Investor ID],A433,LS[B/S],"S",LS[Date Value],"&gt;="&amp;$Z$2,LS[Date Value],"&lt;="&amp;$Z$3))+(-SUMIFS(SIP[Unit],SIP[Investor ID],A433,SIP[B/S],"S",SIP[Date Value],"&gt;="&amp;$Z$2,SIP[Date Value],"&lt;="&amp;$Z$3))</f>
        <v>2864</v>
      </c>
      <c r="M433" s="49">
        <f>(SUMIFS(LS[Cost of Units Sold],LS[Investor ID],A433,LS[B/S],"S",LS[Date Value],"&gt;="&amp;$Z$2,LS[Date Value],"&lt;="&amp;$Z$3))+(SUMIFS(SIP[Cost of Units Sold],SIP[Investor ID],A433,SIP[B/S],"S",SIP[Date Value],"&gt;="&amp;$Z$2,SIP[Date Value],"&lt;="&amp;$Z$3))</f>
        <v>30239.339999999997</v>
      </c>
      <c r="N433" s="49">
        <f t="shared" si="34"/>
        <v>0</v>
      </c>
      <c r="O433" s="49">
        <f>(SUMIFS(LS[Realized Gain],LS[Investor ID],A433,LS[Date Value],"&gt;="&amp;$Z$2,LS[Date Value],"&lt;="&amp;$Z$3))+(SUMIFS(SIP[Realized Gain],SIP[Investor ID],A433,SIP[Date Value],"&gt;="&amp;$Z$2,SIP[Date Value],"&lt;="&amp;$Z$3))</f>
        <v>239.34000000000185</v>
      </c>
      <c r="P433" s="49">
        <v>0</v>
      </c>
      <c r="Q433" s="49">
        <v>0</v>
      </c>
      <c r="R433" s="49">
        <v>0</v>
      </c>
    </row>
    <row r="434" spans="1:18">
      <c r="A434" t="s">
        <v>914</v>
      </c>
      <c r="B434" s="47">
        <f>SUMIFS(LS[Unit],LS[Investor ID],'TAX CERTIFICATE'!A434,LS[Date Value],"&lt;"&amp;$Z$2)+SUMIFS(SIP[Unit],SIP[Investor ID],'TAX CERTIFICATE'!A434,SIP[Date Value],"&lt;"&amp;$Z$2)</f>
        <v>0</v>
      </c>
      <c r="C434" s="48">
        <f>(SUMIFS(LS[Amount],LS[B/S],"B",LS[Investor ID],A434,LS[Date Value],"&lt;"&amp;$Z$2)-SUMIFS(LS[Cost of Units Sold],LS[B/S],"S",LS[Investor ID],A434,LS[Date Value],"&lt;"&amp;$Z$2))+(SUMIFS(SIP[Amount],SIP[B/S],"B",SIP[Investor ID],#REF!,SIP[Date Value],"&lt;"&amp;$Z$2)-SUMIFS(SIP[Cost of Units Sold],SIP[B/S],"S",SIP[Investor ID],A434,SIP[Date Value],"&lt;"&amp;$Z$2))</f>
        <v>0</v>
      </c>
      <c r="D434" s="49">
        <f t="shared" si="30"/>
        <v>0</v>
      </c>
      <c r="E434" s="49">
        <f t="shared" si="31"/>
        <v>0</v>
      </c>
      <c r="F434" s="47">
        <f>SUMIFS(LS[Unit],LS[Investor ID],A434,LS[Date Value],"&lt;="&amp;$Z$3)+SUMIFS(SIP[Unit],SIP[Investor ID],A434,SIP[Date Value],"&lt;="&amp;$Z$3)</f>
        <v>0</v>
      </c>
      <c r="G434" s="49">
        <f>(SUMIFS(LS[Amount],LS[B/S],"B",LS[Investor ID],A434,LS[Date Value],"&lt;="&amp;$Z$3)-SUMIFS(LS[Cost of Units Sold],LS[B/S],"S",LS[Investor ID],A434,LS[Date Value],"&lt;="&amp;$Z$3))+(SUMIFS(SIP[Amount],SIP[B/S],"B",SIP[Investor ID],A434,SIP[Date Value],"&lt;="&amp;$Z$3)-SUMIFS(SIP[Cost of Units Sold],SIP[B/S],"S",SIP[Investor ID],A434,SIP[Date Value],"&lt;="&amp;$Z$3))</f>
        <v>0</v>
      </c>
      <c r="H434" s="49">
        <f t="shared" si="32"/>
        <v>0</v>
      </c>
      <c r="I434" s="49">
        <f t="shared" si="33"/>
        <v>0</v>
      </c>
      <c r="J434" s="47">
        <f>(SUMIFS(LS[Unit],LS[Investor ID],A434,LS[B/S],"B",LS[Date Value],"&gt;="&amp;$Z$2,LS[Date Value],"&lt;="&amp;$Z$3))+(SUMIFS(SIP[Unit],SIP[Investor ID],A434,SIP[B/S],"B",SIP[Date Value],"&gt;="&amp;$Z$2,SIP[Date Value],"&lt;="&amp;$Z$3))</f>
        <v>0</v>
      </c>
      <c r="K434" s="49">
        <f>(SUMIFS(LS[Amount],LS[Investor ID],A434,LS[B/S],"B",LS[Date Value],"&gt;="&amp;$Z$2,LS[Date Value],"&lt;="&amp;$Z$3))+(SUMIFS(SIP[Amount],SIP[Investor ID],A434,SIP[B/S],"B",SIP[Date Value],"&gt;="&amp;$Z$2,SIP[Date Value],"&lt;="&amp;$Z$3))</f>
        <v>0</v>
      </c>
      <c r="L434" s="47">
        <f>(-SUMIFS(LS[Unit],LS[Investor ID],A434,LS[B/S],"S",LS[Date Value],"&gt;="&amp;$Z$2,LS[Date Value],"&lt;="&amp;$Z$3))+(-SUMIFS(SIP[Unit],SIP[Investor ID],A434,SIP[B/S],"S",SIP[Date Value],"&gt;="&amp;$Z$2,SIP[Date Value],"&lt;="&amp;$Z$3))</f>
        <v>0</v>
      </c>
      <c r="M434" s="49">
        <f>(SUMIFS(LS[Cost of Units Sold],LS[Investor ID],A434,LS[B/S],"S",LS[Date Value],"&gt;="&amp;$Z$2,LS[Date Value],"&lt;="&amp;$Z$3))+(SUMIFS(SIP[Cost of Units Sold],SIP[Investor ID],A434,SIP[B/S],"S",SIP[Date Value],"&gt;="&amp;$Z$2,SIP[Date Value],"&lt;="&amp;$Z$3))</f>
        <v>0</v>
      </c>
      <c r="N434" s="49">
        <f t="shared" si="34"/>
        <v>0</v>
      </c>
      <c r="O434" s="49">
        <f>(SUMIFS(LS[Realized Gain],LS[Investor ID],A434,LS[Date Value],"&gt;="&amp;$Z$2,LS[Date Value],"&lt;="&amp;$Z$3))+(SUMIFS(SIP[Realized Gain],SIP[Investor ID],A434,SIP[Date Value],"&gt;="&amp;$Z$2,SIP[Date Value],"&lt;="&amp;$Z$3))</f>
        <v>0</v>
      </c>
      <c r="P434" s="49">
        <v>0</v>
      </c>
      <c r="Q434" s="49">
        <v>0</v>
      </c>
      <c r="R434" s="49">
        <v>0</v>
      </c>
    </row>
    <row r="435" spans="1:18">
      <c r="A435" t="s">
        <v>916</v>
      </c>
      <c r="B435" s="47">
        <f>SUMIFS(LS[Unit],LS[Investor ID],'TAX CERTIFICATE'!A435,LS[Date Value],"&lt;"&amp;$Z$2)+SUMIFS(SIP[Unit],SIP[Investor ID],'TAX CERTIFICATE'!A435,SIP[Date Value],"&lt;"&amp;$Z$2)</f>
        <v>0</v>
      </c>
      <c r="C435" s="48">
        <f>(SUMIFS(LS[Amount],LS[B/S],"B",LS[Investor ID],A435,LS[Date Value],"&lt;"&amp;$Z$2)-SUMIFS(LS[Cost of Units Sold],LS[B/S],"S",LS[Investor ID],A435,LS[Date Value],"&lt;"&amp;$Z$2))+(SUMIFS(SIP[Amount],SIP[B/S],"B",SIP[Investor ID],#REF!,SIP[Date Value],"&lt;"&amp;$Z$2)-SUMIFS(SIP[Cost of Units Sold],SIP[B/S],"S",SIP[Investor ID],A435,SIP[Date Value],"&lt;"&amp;$Z$2))</f>
        <v>0</v>
      </c>
      <c r="D435" s="49">
        <f t="shared" si="30"/>
        <v>0</v>
      </c>
      <c r="E435" s="49">
        <f t="shared" si="31"/>
        <v>0</v>
      </c>
      <c r="F435" s="47">
        <f>SUMIFS(LS[Unit],LS[Investor ID],A435,LS[Date Value],"&lt;="&amp;$Z$3)+SUMIFS(SIP[Unit],SIP[Investor ID],A435,SIP[Date Value],"&lt;="&amp;$Z$3)</f>
        <v>0</v>
      </c>
      <c r="G435" s="49">
        <f>(SUMIFS(LS[Amount],LS[B/S],"B",LS[Investor ID],A435,LS[Date Value],"&lt;="&amp;$Z$3)-SUMIFS(LS[Cost of Units Sold],LS[B/S],"S",LS[Investor ID],A435,LS[Date Value],"&lt;="&amp;$Z$3))+(SUMIFS(SIP[Amount],SIP[B/S],"B",SIP[Investor ID],A435,SIP[Date Value],"&lt;="&amp;$Z$3)-SUMIFS(SIP[Cost of Units Sold],SIP[B/S],"S",SIP[Investor ID],A435,SIP[Date Value],"&lt;="&amp;$Z$3))</f>
        <v>0</v>
      </c>
      <c r="H435" s="49">
        <f t="shared" si="32"/>
        <v>0</v>
      </c>
      <c r="I435" s="49">
        <f t="shared" si="33"/>
        <v>0</v>
      </c>
      <c r="J435" s="47">
        <f>(SUMIFS(LS[Unit],LS[Investor ID],A435,LS[B/S],"B",LS[Date Value],"&gt;="&amp;$Z$2,LS[Date Value],"&lt;="&amp;$Z$3))+(SUMIFS(SIP[Unit],SIP[Investor ID],A435,SIP[B/S],"B",SIP[Date Value],"&gt;="&amp;$Z$2,SIP[Date Value],"&lt;="&amp;$Z$3))</f>
        <v>0</v>
      </c>
      <c r="K435" s="49">
        <f>(SUMIFS(LS[Amount],LS[Investor ID],A435,LS[B/S],"B",LS[Date Value],"&gt;="&amp;$Z$2,LS[Date Value],"&lt;="&amp;$Z$3))+(SUMIFS(SIP[Amount],SIP[Investor ID],A435,SIP[B/S],"B",SIP[Date Value],"&gt;="&amp;$Z$2,SIP[Date Value],"&lt;="&amp;$Z$3))</f>
        <v>0</v>
      </c>
      <c r="L435" s="47">
        <f>(-SUMIFS(LS[Unit],LS[Investor ID],A435,LS[B/S],"S",LS[Date Value],"&gt;="&amp;$Z$2,LS[Date Value],"&lt;="&amp;$Z$3))+(-SUMIFS(SIP[Unit],SIP[Investor ID],A435,SIP[B/S],"S",SIP[Date Value],"&gt;="&amp;$Z$2,SIP[Date Value],"&lt;="&amp;$Z$3))</f>
        <v>0</v>
      </c>
      <c r="M435" s="49">
        <f>(SUMIFS(LS[Cost of Units Sold],LS[Investor ID],A435,LS[B/S],"S",LS[Date Value],"&gt;="&amp;$Z$2,LS[Date Value],"&lt;="&amp;$Z$3))+(SUMIFS(SIP[Cost of Units Sold],SIP[Investor ID],A435,SIP[B/S],"S",SIP[Date Value],"&gt;="&amp;$Z$2,SIP[Date Value],"&lt;="&amp;$Z$3))</f>
        <v>0</v>
      </c>
      <c r="N435" s="49">
        <f t="shared" si="34"/>
        <v>0</v>
      </c>
      <c r="O435" s="49">
        <f>(SUMIFS(LS[Realized Gain],LS[Investor ID],A435,LS[Date Value],"&gt;="&amp;$Z$2,LS[Date Value],"&lt;="&amp;$Z$3))+(SUMIFS(SIP[Realized Gain],SIP[Investor ID],A435,SIP[Date Value],"&gt;="&amp;$Z$2,SIP[Date Value],"&lt;="&amp;$Z$3))</f>
        <v>0</v>
      </c>
      <c r="P435" s="49">
        <v>0</v>
      </c>
      <c r="Q435" s="49">
        <v>0</v>
      </c>
      <c r="R435" s="49">
        <v>0</v>
      </c>
    </row>
    <row r="436" spans="1:18">
      <c r="A436" t="s">
        <v>918</v>
      </c>
      <c r="B436" s="47">
        <f>SUMIFS(LS[Unit],LS[Investor ID],'TAX CERTIFICATE'!A436,LS[Date Value],"&lt;"&amp;$Z$2)+SUMIFS(SIP[Unit],SIP[Investor ID],'TAX CERTIFICATE'!A436,SIP[Date Value],"&lt;"&amp;$Z$2)</f>
        <v>0</v>
      </c>
      <c r="C436" s="48">
        <f>(SUMIFS(LS[Amount],LS[B/S],"B",LS[Investor ID],A436,LS[Date Value],"&lt;"&amp;$Z$2)-SUMIFS(LS[Cost of Units Sold],LS[B/S],"S",LS[Investor ID],A436,LS[Date Value],"&lt;"&amp;$Z$2))+(SUMIFS(SIP[Amount],SIP[B/S],"B",SIP[Investor ID],#REF!,SIP[Date Value],"&lt;"&amp;$Z$2)-SUMIFS(SIP[Cost of Units Sold],SIP[B/S],"S",SIP[Investor ID],A436,SIP[Date Value],"&lt;"&amp;$Z$2))</f>
        <v>0</v>
      </c>
      <c r="D436" s="49">
        <f t="shared" si="30"/>
        <v>0</v>
      </c>
      <c r="E436" s="49">
        <f t="shared" si="31"/>
        <v>0</v>
      </c>
      <c r="F436" s="47">
        <f>SUMIFS(LS[Unit],LS[Investor ID],A436,LS[Date Value],"&lt;="&amp;$Z$3)+SUMIFS(SIP[Unit],SIP[Investor ID],A436,SIP[Date Value],"&lt;="&amp;$Z$3)</f>
        <v>0</v>
      </c>
      <c r="G436" s="49">
        <f>(SUMIFS(LS[Amount],LS[B/S],"B",LS[Investor ID],A436,LS[Date Value],"&lt;="&amp;$Z$3)-SUMIFS(LS[Cost of Units Sold],LS[B/S],"S",LS[Investor ID],A436,LS[Date Value],"&lt;="&amp;$Z$3))+(SUMIFS(SIP[Amount],SIP[B/S],"B",SIP[Investor ID],A436,SIP[Date Value],"&lt;="&amp;$Z$3)-SUMIFS(SIP[Cost of Units Sold],SIP[B/S],"S",SIP[Investor ID],A436,SIP[Date Value],"&lt;="&amp;$Z$3))</f>
        <v>0</v>
      </c>
      <c r="H436" s="49">
        <f t="shared" si="32"/>
        <v>0</v>
      </c>
      <c r="I436" s="49">
        <f t="shared" si="33"/>
        <v>0</v>
      </c>
      <c r="J436" s="47">
        <f>(SUMIFS(LS[Unit],LS[Investor ID],A436,LS[B/S],"B",LS[Date Value],"&gt;="&amp;$Z$2,LS[Date Value],"&lt;="&amp;$Z$3))+(SUMIFS(SIP[Unit],SIP[Investor ID],A436,SIP[B/S],"B",SIP[Date Value],"&gt;="&amp;$Z$2,SIP[Date Value],"&lt;="&amp;$Z$3))</f>
        <v>0</v>
      </c>
      <c r="K436" s="49">
        <f>(SUMIFS(LS[Amount],LS[Investor ID],A436,LS[B/S],"B",LS[Date Value],"&gt;="&amp;$Z$2,LS[Date Value],"&lt;="&amp;$Z$3))+(SUMIFS(SIP[Amount],SIP[Investor ID],A436,SIP[B/S],"B",SIP[Date Value],"&gt;="&amp;$Z$2,SIP[Date Value],"&lt;="&amp;$Z$3))</f>
        <v>0</v>
      </c>
      <c r="L436" s="47">
        <f>(-SUMIFS(LS[Unit],LS[Investor ID],A436,LS[B/S],"S",LS[Date Value],"&gt;="&amp;$Z$2,LS[Date Value],"&lt;="&amp;$Z$3))+(-SUMIFS(SIP[Unit],SIP[Investor ID],A436,SIP[B/S],"S",SIP[Date Value],"&gt;="&amp;$Z$2,SIP[Date Value],"&lt;="&amp;$Z$3))</f>
        <v>0</v>
      </c>
      <c r="M436" s="49">
        <f>(SUMIFS(LS[Cost of Units Sold],LS[Investor ID],A436,LS[B/S],"S",LS[Date Value],"&gt;="&amp;$Z$2,LS[Date Value],"&lt;="&amp;$Z$3))+(SUMIFS(SIP[Cost of Units Sold],SIP[Investor ID],A436,SIP[B/S],"S",SIP[Date Value],"&gt;="&amp;$Z$2,SIP[Date Value],"&lt;="&amp;$Z$3))</f>
        <v>0</v>
      </c>
      <c r="N436" s="49">
        <f t="shared" si="34"/>
        <v>0</v>
      </c>
      <c r="O436" s="49">
        <f>(SUMIFS(LS[Realized Gain],LS[Investor ID],A436,LS[Date Value],"&gt;="&amp;$Z$2,LS[Date Value],"&lt;="&amp;$Z$3))+(SUMIFS(SIP[Realized Gain],SIP[Investor ID],A436,SIP[Date Value],"&gt;="&amp;$Z$2,SIP[Date Value],"&lt;="&amp;$Z$3))</f>
        <v>0</v>
      </c>
      <c r="P436" s="49">
        <v>0</v>
      </c>
      <c r="Q436" s="49">
        <v>0</v>
      </c>
      <c r="R436" s="49">
        <v>0</v>
      </c>
    </row>
    <row r="437" spans="1:18">
      <c r="A437" t="s">
        <v>920</v>
      </c>
      <c r="B437" s="47">
        <f>SUMIFS(LS[Unit],LS[Investor ID],'TAX CERTIFICATE'!A437,LS[Date Value],"&lt;"&amp;$Z$2)+SUMIFS(SIP[Unit],SIP[Investor ID],'TAX CERTIFICATE'!A437,SIP[Date Value],"&lt;"&amp;$Z$2)</f>
        <v>0</v>
      </c>
      <c r="C437" s="48">
        <f>(SUMIFS(LS[Amount],LS[B/S],"B",LS[Investor ID],A437,LS[Date Value],"&lt;"&amp;$Z$2)-SUMIFS(LS[Cost of Units Sold],LS[B/S],"S",LS[Investor ID],A437,LS[Date Value],"&lt;"&amp;$Z$2))+(SUMIFS(SIP[Amount],SIP[B/S],"B",SIP[Investor ID],#REF!,SIP[Date Value],"&lt;"&amp;$Z$2)-SUMIFS(SIP[Cost of Units Sold],SIP[B/S],"S",SIP[Investor ID],A437,SIP[Date Value],"&lt;"&amp;$Z$2))</f>
        <v>0</v>
      </c>
      <c r="D437" s="49">
        <f t="shared" si="30"/>
        <v>0</v>
      </c>
      <c r="E437" s="49">
        <f t="shared" si="31"/>
        <v>0</v>
      </c>
      <c r="F437" s="47">
        <f>SUMIFS(LS[Unit],LS[Investor ID],A437,LS[Date Value],"&lt;="&amp;$Z$3)+SUMIFS(SIP[Unit],SIP[Investor ID],A437,SIP[Date Value],"&lt;="&amp;$Z$3)</f>
        <v>0</v>
      </c>
      <c r="G437" s="49">
        <f>(SUMIFS(LS[Amount],LS[B/S],"B",LS[Investor ID],A437,LS[Date Value],"&lt;="&amp;$Z$3)-SUMIFS(LS[Cost of Units Sold],LS[B/S],"S",LS[Investor ID],A437,LS[Date Value],"&lt;="&amp;$Z$3))+(SUMIFS(SIP[Amount],SIP[B/S],"B",SIP[Investor ID],A437,SIP[Date Value],"&lt;="&amp;$Z$3)-SUMIFS(SIP[Cost of Units Sold],SIP[B/S],"S",SIP[Investor ID],A437,SIP[Date Value],"&lt;="&amp;$Z$3))</f>
        <v>0</v>
      </c>
      <c r="H437" s="49">
        <f t="shared" si="32"/>
        <v>0</v>
      </c>
      <c r="I437" s="49">
        <f t="shared" si="33"/>
        <v>0</v>
      </c>
      <c r="J437" s="47">
        <f>(SUMIFS(LS[Unit],LS[Investor ID],A437,LS[B/S],"B",LS[Date Value],"&gt;="&amp;$Z$2,LS[Date Value],"&lt;="&amp;$Z$3))+(SUMIFS(SIP[Unit],SIP[Investor ID],A437,SIP[B/S],"B",SIP[Date Value],"&gt;="&amp;$Z$2,SIP[Date Value],"&lt;="&amp;$Z$3))</f>
        <v>0</v>
      </c>
      <c r="K437" s="49">
        <f>(SUMIFS(LS[Amount],LS[Investor ID],A437,LS[B/S],"B",LS[Date Value],"&gt;="&amp;$Z$2,LS[Date Value],"&lt;="&amp;$Z$3))+(SUMIFS(SIP[Amount],SIP[Investor ID],A437,SIP[B/S],"B",SIP[Date Value],"&gt;="&amp;$Z$2,SIP[Date Value],"&lt;="&amp;$Z$3))</f>
        <v>0</v>
      </c>
      <c r="L437" s="47">
        <f>(-SUMIFS(LS[Unit],LS[Investor ID],A437,LS[B/S],"S",LS[Date Value],"&gt;="&amp;$Z$2,LS[Date Value],"&lt;="&amp;$Z$3))+(-SUMIFS(SIP[Unit],SIP[Investor ID],A437,SIP[B/S],"S",SIP[Date Value],"&gt;="&amp;$Z$2,SIP[Date Value],"&lt;="&amp;$Z$3))</f>
        <v>0</v>
      </c>
      <c r="M437" s="49">
        <f>(SUMIFS(LS[Cost of Units Sold],LS[Investor ID],A437,LS[B/S],"S",LS[Date Value],"&gt;="&amp;$Z$2,LS[Date Value],"&lt;="&amp;$Z$3))+(SUMIFS(SIP[Cost of Units Sold],SIP[Investor ID],A437,SIP[B/S],"S",SIP[Date Value],"&gt;="&amp;$Z$2,SIP[Date Value],"&lt;="&amp;$Z$3))</f>
        <v>0</v>
      </c>
      <c r="N437" s="49">
        <f t="shared" si="34"/>
        <v>0</v>
      </c>
      <c r="O437" s="49">
        <f>(SUMIFS(LS[Realized Gain],LS[Investor ID],A437,LS[Date Value],"&gt;="&amp;$Z$2,LS[Date Value],"&lt;="&amp;$Z$3))+(SUMIFS(SIP[Realized Gain],SIP[Investor ID],A437,SIP[Date Value],"&gt;="&amp;$Z$2,SIP[Date Value],"&lt;="&amp;$Z$3))</f>
        <v>0</v>
      </c>
      <c r="P437" s="49">
        <v>0</v>
      </c>
      <c r="Q437" s="49">
        <v>0</v>
      </c>
      <c r="R437" s="49">
        <v>0</v>
      </c>
    </row>
    <row r="438" spans="1:18">
      <c r="A438" t="s">
        <v>922</v>
      </c>
      <c r="B438" s="47">
        <f>SUMIFS(LS[Unit],LS[Investor ID],'TAX CERTIFICATE'!A438,LS[Date Value],"&lt;"&amp;$Z$2)+SUMIFS(SIP[Unit],SIP[Investor ID],'TAX CERTIFICATE'!A438,SIP[Date Value],"&lt;"&amp;$Z$2)</f>
        <v>0</v>
      </c>
      <c r="C438" s="48">
        <f>(SUMIFS(LS[Amount],LS[B/S],"B",LS[Investor ID],A438,LS[Date Value],"&lt;"&amp;$Z$2)-SUMIFS(LS[Cost of Units Sold],LS[B/S],"S",LS[Investor ID],A438,LS[Date Value],"&lt;"&amp;$Z$2))+(SUMIFS(SIP[Amount],SIP[B/S],"B",SIP[Investor ID],#REF!,SIP[Date Value],"&lt;"&amp;$Z$2)-SUMIFS(SIP[Cost of Units Sold],SIP[B/S],"S",SIP[Investor ID],A438,SIP[Date Value],"&lt;"&amp;$Z$2))</f>
        <v>0</v>
      </c>
      <c r="D438" s="49">
        <f t="shared" si="30"/>
        <v>0</v>
      </c>
      <c r="E438" s="49">
        <f t="shared" si="31"/>
        <v>0</v>
      </c>
      <c r="F438" s="47">
        <f>SUMIFS(LS[Unit],LS[Investor ID],A438,LS[Date Value],"&lt;="&amp;$Z$3)+SUMIFS(SIP[Unit],SIP[Investor ID],A438,SIP[Date Value],"&lt;="&amp;$Z$3)</f>
        <v>0</v>
      </c>
      <c r="G438" s="49">
        <f>(SUMIFS(LS[Amount],LS[B/S],"B",LS[Investor ID],A438,LS[Date Value],"&lt;="&amp;$Z$3)-SUMIFS(LS[Cost of Units Sold],LS[B/S],"S",LS[Investor ID],A438,LS[Date Value],"&lt;="&amp;$Z$3))+(SUMIFS(SIP[Amount],SIP[B/S],"B",SIP[Investor ID],A438,SIP[Date Value],"&lt;="&amp;$Z$3)-SUMIFS(SIP[Cost of Units Sold],SIP[B/S],"S",SIP[Investor ID],A438,SIP[Date Value],"&lt;="&amp;$Z$3))</f>
        <v>0</v>
      </c>
      <c r="H438" s="49">
        <f t="shared" si="32"/>
        <v>0</v>
      </c>
      <c r="I438" s="49">
        <f t="shared" si="33"/>
        <v>0</v>
      </c>
      <c r="J438" s="47">
        <f>(SUMIFS(LS[Unit],LS[Investor ID],A438,LS[B/S],"B",LS[Date Value],"&gt;="&amp;$Z$2,LS[Date Value],"&lt;="&amp;$Z$3))+(SUMIFS(SIP[Unit],SIP[Investor ID],A438,SIP[B/S],"B",SIP[Date Value],"&gt;="&amp;$Z$2,SIP[Date Value],"&lt;="&amp;$Z$3))</f>
        <v>0</v>
      </c>
      <c r="K438" s="49">
        <f>(SUMIFS(LS[Amount],LS[Investor ID],A438,LS[B/S],"B",LS[Date Value],"&gt;="&amp;$Z$2,LS[Date Value],"&lt;="&amp;$Z$3))+(SUMIFS(SIP[Amount],SIP[Investor ID],A438,SIP[B/S],"B",SIP[Date Value],"&gt;="&amp;$Z$2,SIP[Date Value],"&lt;="&amp;$Z$3))</f>
        <v>0</v>
      </c>
      <c r="L438" s="47">
        <f>(-SUMIFS(LS[Unit],LS[Investor ID],A438,LS[B/S],"S",LS[Date Value],"&gt;="&amp;$Z$2,LS[Date Value],"&lt;="&amp;$Z$3))+(-SUMIFS(SIP[Unit],SIP[Investor ID],A438,SIP[B/S],"S",SIP[Date Value],"&gt;="&amp;$Z$2,SIP[Date Value],"&lt;="&amp;$Z$3))</f>
        <v>0</v>
      </c>
      <c r="M438" s="49">
        <f>(SUMIFS(LS[Cost of Units Sold],LS[Investor ID],A438,LS[B/S],"S",LS[Date Value],"&gt;="&amp;$Z$2,LS[Date Value],"&lt;="&amp;$Z$3))+(SUMIFS(SIP[Cost of Units Sold],SIP[Investor ID],A438,SIP[B/S],"S",SIP[Date Value],"&gt;="&amp;$Z$2,SIP[Date Value],"&lt;="&amp;$Z$3))</f>
        <v>0</v>
      </c>
      <c r="N438" s="49">
        <f t="shared" si="34"/>
        <v>0</v>
      </c>
      <c r="O438" s="49">
        <f>(SUMIFS(LS[Realized Gain],LS[Investor ID],A438,LS[Date Value],"&gt;="&amp;$Z$2,LS[Date Value],"&lt;="&amp;$Z$3))+(SUMIFS(SIP[Realized Gain],SIP[Investor ID],A438,SIP[Date Value],"&gt;="&amp;$Z$2,SIP[Date Value],"&lt;="&amp;$Z$3))</f>
        <v>0</v>
      </c>
      <c r="P438" s="49">
        <v>0</v>
      </c>
      <c r="Q438" s="49">
        <v>0</v>
      </c>
      <c r="R438" s="49">
        <v>0</v>
      </c>
    </row>
    <row r="439" spans="1:18">
      <c r="A439" t="s">
        <v>924</v>
      </c>
      <c r="B439" s="47">
        <f>SUMIFS(LS[Unit],LS[Investor ID],'TAX CERTIFICATE'!A439,LS[Date Value],"&lt;"&amp;$Z$2)+SUMIFS(SIP[Unit],SIP[Investor ID],'TAX CERTIFICATE'!A439,SIP[Date Value],"&lt;"&amp;$Z$2)</f>
        <v>0</v>
      </c>
      <c r="C439" s="48">
        <f>(SUMIFS(LS[Amount],LS[B/S],"B",LS[Investor ID],A439,LS[Date Value],"&lt;"&amp;$Z$2)-SUMIFS(LS[Cost of Units Sold],LS[B/S],"S",LS[Investor ID],A439,LS[Date Value],"&lt;"&amp;$Z$2))+(SUMIFS(SIP[Amount],SIP[B/S],"B",SIP[Investor ID],#REF!,SIP[Date Value],"&lt;"&amp;$Z$2)-SUMIFS(SIP[Cost of Units Sold],SIP[B/S],"S",SIP[Investor ID],A439,SIP[Date Value],"&lt;"&amp;$Z$2))</f>
        <v>0</v>
      </c>
      <c r="D439" s="49">
        <f t="shared" si="30"/>
        <v>0</v>
      </c>
      <c r="E439" s="49">
        <f t="shared" si="31"/>
        <v>0</v>
      </c>
      <c r="F439" s="47">
        <f>SUMIFS(LS[Unit],LS[Investor ID],A439,LS[Date Value],"&lt;="&amp;$Z$3)+SUMIFS(SIP[Unit],SIP[Investor ID],A439,SIP[Date Value],"&lt;="&amp;$Z$3)</f>
        <v>0</v>
      </c>
      <c r="G439" s="49">
        <f>(SUMIFS(LS[Amount],LS[B/S],"B",LS[Investor ID],A439,LS[Date Value],"&lt;="&amp;$Z$3)-SUMIFS(LS[Cost of Units Sold],LS[B/S],"S",LS[Investor ID],A439,LS[Date Value],"&lt;="&amp;$Z$3))+(SUMIFS(SIP[Amount],SIP[B/S],"B",SIP[Investor ID],A439,SIP[Date Value],"&lt;="&amp;$Z$3)-SUMIFS(SIP[Cost of Units Sold],SIP[B/S],"S",SIP[Investor ID],A439,SIP[Date Value],"&lt;="&amp;$Z$3))</f>
        <v>0</v>
      </c>
      <c r="H439" s="49">
        <f t="shared" si="32"/>
        <v>0</v>
      </c>
      <c r="I439" s="49">
        <f t="shared" si="33"/>
        <v>0</v>
      </c>
      <c r="J439" s="47">
        <f>(SUMIFS(LS[Unit],LS[Investor ID],A439,LS[B/S],"B",LS[Date Value],"&gt;="&amp;$Z$2,LS[Date Value],"&lt;="&amp;$Z$3))+(SUMIFS(SIP[Unit],SIP[Investor ID],A439,SIP[B/S],"B",SIP[Date Value],"&gt;="&amp;$Z$2,SIP[Date Value],"&lt;="&amp;$Z$3))</f>
        <v>0</v>
      </c>
      <c r="K439" s="49">
        <f>(SUMIFS(LS[Amount],LS[Investor ID],A439,LS[B/S],"B",LS[Date Value],"&gt;="&amp;$Z$2,LS[Date Value],"&lt;="&amp;$Z$3))+(SUMIFS(SIP[Amount],SIP[Investor ID],A439,SIP[B/S],"B",SIP[Date Value],"&gt;="&amp;$Z$2,SIP[Date Value],"&lt;="&amp;$Z$3))</f>
        <v>0</v>
      </c>
      <c r="L439" s="47">
        <f>(-SUMIFS(LS[Unit],LS[Investor ID],A439,LS[B/S],"S",LS[Date Value],"&gt;="&amp;$Z$2,LS[Date Value],"&lt;="&amp;$Z$3))+(-SUMIFS(SIP[Unit],SIP[Investor ID],A439,SIP[B/S],"S",SIP[Date Value],"&gt;="&amp;$Z$2,SIP[Date Value],"&lt;="&amp;$Z$3))</f>
        <v>0</v>
      </c>
      <c r="M439" s="49">
        <f>(SUMIFS(LS[Cost of Units Sold],LS[Investor ID],A439,LS[B/S],"S",LS[Date Value],"&gt;="&amp;$Z$2,LS[Date Value],"&lt;="&amp;$Z$3))+(SUMIFS(SIP[Cost of Units Sold],SIP[Investor ID],A439,SIP[B/S],"S",SIP[Date Value],"&gt;="&amp;$Z$2,SIP[Date Value],"&lt;="&amp;$Z$3))</f>
        <v>0</v>
      </c>
      <c r="N439" s="49">
        <f t="shared" si="34"/>
        <v>0</v>
      </c>
      <c r="O439" s="49">
        <f>(SUMIFS(LS[Realized Gain],LS[Investor ID],A439,LS[Date Value],"&gt;="&amp;$Z$2,LS[Date Value],"&lt;="&amp;$Z$3))+(SUMIFS(SIP[Realized Gain],SIP[Investor ID],A439,SIP[Date Value],"&gt;="&amp;$Z$2,SIP[Date Value],"&lt;="&amp;$Z$3))</f>
        <v>0</v>
      </c>
      <c r="P439" s="49">
        <v>0</v>
      </c>
      <c r="Q439" s="49">
        <v>0</v>
      </c>
      <c r="R439" s="49">
        <v>0</v>
      </c>
    </row>
    <row r="440" spans="1:18">
      <c r="A440" t="s">
        <v>926</v>
      </c>
      <c r="B440" s="47">
        <f>SUMIFS(LS[Unit],LS[Investor ID],'TAX CERTIFICATE'!A440,LS[Date Value],"&lt;"&amp;$Z$2)+SUMIFS(SIP[Unit],SIP[Investor ID],'TAX CERTIFICATE'!A440,SIP[Date Value],"&lt;"&amp;$Z$2)</f>
        <v>0</v>
      </c>
      <c r="C440" s="48">
        <f>(SUMIFS(LS[Amount],LS[B/S],"B",LS[Investor ID],A440,LS[Date Value],"&lt;"&amp;$Z$2)-SUMIFS(LS[Cost of Units Sold],LS[B/S],"S",LS[Investor ID],A440,LS[Date Value],"&lt;"&amp;$Z$2))+(SUMIFS(SIP[Amount],SIP[B/S],"B",SIP[Investor ID],#REF!,SIP[Date Value],"&lt;"&amp;$Z$2)-SUMIFS(SIP[Cost of Units Sold],SIP[B/S],"S",SIP[Investor ID],A440,SIP[Date Value],"&lt;"&amp;$Z$2))</f>
        <v>0</v>
      </c>
      <c r="D440" s="49">
        <f t="shared" si="30"/>
        <v>0</v>
      </c>
      <c r="E440" s="49">
        <f t="shared" si="31"/>
        <v>0</v>
      </c>
      <c r="F440" s="47">
        <f>SUMIFS(LS[Unit],LS[Investor ID],A440,LS[Date Value],"&lt;="&amp;$Z$3)+SUMIFS(SIP[Unit],SIP[Investor ID],A440,SIP[Date Value],"&lt;="&amp;$Z$3)</f>
        <v>5113</v>
      </c>
      <c r="G440" s="49">
        <f>(SUMIFS(LS[Amount],LS[B/S],"B",LS[Investor ID],A440,LS[Date Value],"&lt;="&amp;$Z$3)-SUMIFS(LS[Cost of Units Sold],LS[B/S],"S",LS[Investor ID],A440,LS[Date Value],"&lt;="&amp;$Z$3))+(SUMIFS(SIP[Amount],SIP[B/S],"B",SIP[Investor ID],A440,SIP[Date Value],"&lt;="&amp;$Z$3)-SUMIFS(SIP[Cost of Units Sold],SIP[B/S],"S",SIP[Investor ID],A440,SIP[Date Value],"&lt;="&amp;$Z$3))</f>
        <v>55000</v>
      </c>
      <c r="H440" s="49">
        <f t="shared" si="32"/>
        <v>57081.531999999999</v>
      </c>
      <c r="I440" s="49">
        <f t="shared" si="33"/>
        <v>2081.5319999999992</v>
      </c>
      <c r="J440" s="47">
        <f>(SUMIFS(LS[Unit],LS[Investor ID],A440,LS[B/S],"B",LS[Date Value],"&gt;="&amp;$Z$2,LS[Date Value],"&lt;="&amp;$Z$3))+(SUMIFS(SIP[Unit],SIP[Investor ID],A440,SIP[B/S],"B",SIP[Date Value],"&gt;="&amp;$Z$2,SIP[Date Value],"&lt;="&amp;$Z$3))</f>
        <v>5113</v>
      </c>
      <c r="K440" s="49">
        <f>(SUMIFS(LS[Amount],LS[Investor ID],A440,LS[B/S],"B",LS[Date Value],"&gt;="&amp;$Z$2,LS[Date Value],"&lt;="&amp;$Z$3))+(SUMIFS(SIP[Amount],SIP[Investor ID],A440,SIP[B/S],"B",SIP[Date Value],"&gt;="&amp;$Z$2,SIP[Date Value],"&lt;="&amp;$Z$3))</f>
        <v>55000</v>
      </c>
      <c r="L440" s="47">
        <f>(-SUMIFS(LS[Unit],LS[Investor ID],A440,LS[B/S],"S",LS[Date Value],"&gt;="&amp;$Z$2,LS[Date Value],"&lt;="&amp;$Z$3))+(-SUMIFS(SIP[Unit],SIP[Investor ID],A440,SIP[B/S],"S",SIP[Date Value],"&gt;="&amp;$Z$2,SIP[Date Value],"&lt;="&amp;$Z$3))</f>
        <v>0</v>
      </c>
      <c r="M440" s="49">
        <f>(SUMIFS(LS[Cost of Units Sold],LS[Investor ID],A440,LS[B/S],"S",LS[Date Value],"&gt;="&amp;$Z$2,LS[Date Value],"&lt;="&amp;$Z$3))+(SUMIFS(SIP[Cost of Units Sold],SIP[Investor ID],A440,SIP[B/S],"S",SIP[Date Value],"&gt;="&amp;$Z$2,SIP[Date Value],"&lt;="&amp;$Z$3))</f>
        <v>0</v>
      </c>
      <c r="N440" s="49">
        <f t="shared" si="34"/>
        <v>55000</v>
      </c>
      <c r="O440" s="49">
        <f>(SUMIFS(LS[Realized Gain],LS[Investor ID],A440,LS[Date Value],"&gt;="&amp;$Z$2,LS[Date Value],"&lt;="&amp;$Z$3))+(SUMIFS(SIP[Realized Gain],SIP[Investor ID],A440,SIP[Date Value],"&gt;="&amp;$Z$2,SIP[Date Value],"&lt;="&amp;$Z$3))</f>
        <v>0</v>
      </c>
      <c r="P440" s="49">
        <v>0</v>
      </c>
      <c r="Q440" s="49">
        <v>0</v>
      </c>
      <c r="R440" s="49">
        <v>0</v>
      </c>
    </row>
    <row r="441" spans="1:18">
      <c r="A441" t="s">
        <v>928</v>
      </c>
      <c r="B441" s="47">
        <f>SUMIFS(LS[Unit],LS[Investor ID],'TAX CERTIFICATE'!A441,LS[Date Value],"&lt;"&amp;$Z$2)+SUMIFS(SIP[Unit],SIP[Investor ID],'TAX CERTIFICATE'!A441,SIP[Date Value],"&lt;"&amp;$Z$2)</f>
        <v>0</v>
      </c>
      <c r="C441" s="48">
        <f>(SUMIFS(LS[Amount],LS[B/S],"B",LS[Investor ID],A441,LS[Date Value],"&lt;"&amp;$Z$2)-SUMIFS(LS[Cost of Units Sold],LS[B/S],"S",LS[Investor ID],A441,LS[Date Value],"&lt;"&amp;$Z$2))+(SUMIFS(SIP[Amount],SIP[B/S],"B",SIP[Investor ID],#REF!,SIP[Date Value],"&lt;"&amp;$Z$2)-SUMIFS(SIP[Cost of Units Sold],SIP[B/S],"S",SIP[Investor ID],A441,SIP[Date Value],"&lt;"&amp;$Z$2))</f>
        <v>0</v>
      </c>
      <c r="D441" s="49">
        <f t="shared" si="30"/>
        <v>0</v>
      </c>
      <c r="E441" s="49">
        <f t="shared" si="31"/>
        <v>0</v>
      </c>
      <c r="F441" s="47">
        <f>SUMIFS(LS[Unit],LS[Investor ID],A441,LS[Date Value],"&lt;="&amp;$Z$3)+SUMIFS(SIP[Unit],SIP[Investor ID],A441,SIP[Date Value],"&lt;="&amp;$Z$3)</f>
        <v>0</v>
      </c>
      <c r="G441" s="49">
        <f>(SUMIFS(LS[Amount],LS[B/S],"B",LS[Investor ID],A441,LS[Date Value],"&lt;="&amp;$Z$3)-SUMIFS(LS[Cost of Units Sold],LS[B/S],"S",LS[Investor ID],A441,LS[Date Value],"&lt;="&amp;$Z$3))+(SUMIFS(SIP[Amount],SIP[B/S],"B",SIP[Investor ID],A441,SIP[Date Value],"&lt;="&amp;$Z$3)-SUMIFS(SIP[Cost of Units Sold],SIP[B/S],"S",SIP[Investor ID],A441,SIP[Date Value],"&lt;="&amp;$Z$3))</f>
        <v>0</v>
      </c>
      <c r="H441" s="49">
        <f t="shared" si="32"/>
        <v>0</v>
      </c>
      <c r="I441" s="49">
        <f t="shared" si="33"/>
        <v>0</v>
      </c>
      <c r="J441" s="47">
        <f>(SUMIFS(LS[Unit],LS[Investor ID],A441,LS[B/S],"B",LS[Date Value],"&gt;="&amp;$Z$2,LS[Date Value],"&lt;="&amp;$Z$3))+(SUMIFS(SIP[Unit],SIP[Investor ID],A441,SIP[B/S],"B",SIP[Date Value],"&gt;="&amp;$Z$2,SIP[Date Value],"&lt;="&amp;$Z$3))</f>
        <v>0</v>
      </c>
      <c r="K441" s="49">
        <f>(SUMIFS(LS[Amount],LS[Investor ID],A441,LS[B/S],"B",LS[Date Value],"&gt;="&amp;$Z$2,LS[Date Value],"&lt;="&amp;$Z$3))+(SUMIFS(SIP[Amount],SIP[Investor ID],A441,SIP[B/S],"B",SIP[Date Value],"&gt;="&amp;$Z$2,SIP[Date Value],"&lt;="&amp;$Z$3))</f>
        <v>0</v>
      </c>
      <c r="L441" s="47">
        <f>(-SUMIFS(LS[Unit],LS[Investor ID],A441,LS[B/S],"S",LS[Date Value],"&gt;="&amp;$Z$2,LS[Date Value],"&lt;="&amp;$Z$3))+(-SUMIFS(SIP[Unit],SIP[Investor ID],A441,SIP[B/S],"S",SIP[Date Value],"&gt;="&amp;$Z$2,SIP[Date Value],"&lt;="&amp;$Z$3))</f>
        <v>0</v>
      </c>
      <c r="M441" s="49">
        <f>(SUMIFS(LS[Cost of Units Sold],LS[Investor ID],A441,LS[B/S],"S",LS[Date Value],"&gt;="&amp;$Z$2,LS[Date Value],"&lt;="&amp;$Z$3))+(SUMIFS(SIP[Cost of Units Sold],SIP[Investor ID],A441,SIP[B/S],"S",SIP[Date Value],"&gt;="&amp;$Z$2,SIP[Date Value],"&lt;="&amp;$Z$3))</f>
        <v>0</v>
      </c>
      <c r="N441" s="49">
        <f t="shared" si="34"/>
        <v>0</v>
      </c>
      <c r="O441" s="49">
        <f>(SUMIFS(LS[Realized Gain],LS[Investor ID],A441,LS[Date Value],"&gt;="&amp;$Z$2,LS[Date Value],"&lt;="&amp;$Z$3))+(SUMIFS(SIP[Realized Gain],SIP[Investor ID],A441,SIP[Date Value],"&gt;="&amp;$Z$2,SIP[Date Value],"&lt;="&amp;$Z$3))</f>
        <v>0</v>
      </c>
      <c r="P441" s="49">
        <v>0</v>
      </c>
      <c r="Q441" s="49">
        <v>0</v>
      </c>
      <c r="R441" s="49">
        <v>0</v>
      </c>
    </row>
    <row r="442" spans="1:18">
      <c r="A442" t="s">
        <v>930</v>
      </c>
      <c r="B442" s="47">
        <f>SUMIFS(LS[Unit],LS[Investor ID],'TAX CERTIFICATE'!A442,LS[Date Value],"&lt;"&amp;$Z$2)+SUMIFS(SIP[Unit],SIP[Investor ID],'TAX CERTIFICATE'!A442,SIP[Date Value],"&lt;"&amp;$Z$2)</f>
        <v>195</v>
      </c>
      <c r="C442" s="48">
        <f>(SUMIFS(LS[Amount],LS[B/S],"B",LS[Investor ID],A442,LS[Date Value],"&lt;"&amp;$Z$2)-SUMIFS(LS[Cost of Units Sold],LS[B/S],"S",LS[Investor ID],A442,LS[Date Value],"&lt;"&amp;$Z$2))+(SUMIFS(SIP[Amount],SIP[B/S],"B",SIP[Investor ID],#REF!,SIP[Date Value],"&lt;"&amp;$Z$2)-SUMIFS(SIP[Cost of Units Sold],SIP[B/S],"S",SIP[Investor ID],A442,SIP[Date Value],"&lt;"&amp;$Z$2))</f>
        <v>0</v>
      </c>
      <c r="D442" s="49">
        <f t="shared" si="30"/>
        <v>2002.8450000000003</v>
      </c>
      <c r="E442" s="49">
        <f t="shared" si="31"/>
        <v>2002.8450000000003</v>
      </c>
      <c r="F442" s="47">
        <f>SUMIFS(LS[Unit],LS[Investor ID],A442,LS[Date Value],"&lt;="&amp;$Z$3)+SUMIFS(SIP[Unit],SIP[Investor ID],A442,SIP[Date Value],"&lt;="&amp;$Z$3)</f>
        <v>1314</v>
      </c>
      <c r="G442" s="49">
        <f>(SUMIFS(LS[Amount],LS[B/S],"B",LS[Investor ID],A442,LS[Date Value],"&lt;="&amp;$Z$3)-SUMIFS(LS[Cost of Units Sold],LS[B/S],"S",LS[Investor ID],A442,LS[Date Value],"&lt;="&amp;$Z$3))+(SUMIFS(SIP[Amount],SIP[B/S],"B",SIP[Investor ID],A442,SIP[Date Value],"&lt;="&amp;$Z$3)-SUMIFS(SIP[Cost of Units Sold],SIP[B/S],"S",SIP[Investor ID],A442,SIP[Date Value],"&lt;="&amp;$Z$3))</f>
        <v>14000</v>
      </c>
      <c r="H442" s="49">
        <f t="shared" si="32"/>
        <v>14669.495999999999</v>
      </c>
      <c r="I442" s="49">
        <f t="shared" si="33"/>
        <v>669.49599999999919</v>
      </c>
      <c r="J442" s="47">
        <f>(SUMIFS(LS[Unit],LS[Investor ID],A442,LS[B/S],"B",LS[Date Value],"&gt;="&amp;$Z$2,LS[Date Value],"&lt;="&amp;$Z$3))+(SUMIFS(SIP[Unit],SIP[Investor ID],A442,SIP[B/S],"B",SIP[Date Value],"&gt;="&amp;$Z$2,SIP[Date Value],"&lt;="&amp;$Z$3))</f>
        <v>1119</v>
      </c>
      <c r="K442" s="49">
        <f>(SUMIFS(LS[Amount],LS[Investor ID],A442,LS[B/S],"B",LS[Date Value],"&gt;="&amp;$Z$2,LS[Date Value],"&lt;="&amp;$Z$3))+(SUMIFS(SIP[Amount],SIP[Investor ID],A442,SIP[B/S],"B",SIP[Date Value],"&gt;="&amp;$Z$2,SIP[Date Value],"&lt;="&amp;$Z$3))</f>
        <v>12000</v>
      </c>
      <c r="L442" s="47">
        <f>(-SUMIFS(LS[Unit],LS[Investor ID],A442,LS[B/S],"S",LS[Date Value],"&gt;="&amp;$Z$2,LS[Date Value],"&lt;="&amp;$Z$3))+(-SUMIFS(SIP[Unit],SIP[Investor ID],A442,SIP[B/S],"S",SIP[Date Value],"&gt;="&amp;$Z$2,SIP[Date Value],"&lt;="&amp;$Z$3))</f>
        <v>0</v>
      </c>
      <c r="M442" s="49">
        <f>(SUMIFS(LS[Cost of Units Sold],LS[Investor ID],A442,LS[B/S],"S",LS[Date Value],"&gt;="&amp;$Z$2,LS[Date Value],"&lt;="&amp;$Z$3))+(SUMIFS(SIP[Cost of Units Sold],SIP[Investor ID],A442,SIP[B/S],"S",SIP[Date Value],"&gt;="&amp;$Z$2,SIP[Date Value],"&lt;="&amp;$Z$3))</f>
        <v>0</v>
      </c>
      <c r="N442" s="49">
        <f t="shared" si="34"/>
        <v>12000</v>
      </c>
      <c r="O442" s="49">
        <f>(SUMIFS(LS[Realized Gain],LS[Investor ID],A442,LS[Date Value],"&gt;="&amp;$Z$2,LS[Date Value],"&lt;="&amp;$Z$3))+(SUMIFS(SIP[Realized Gain],SIP[Investor ID],A442,SIP[Date Value],"&gt;="&amp;$Z$2,SIP[Date Value],"&lt;="&amp;$Z$3))</f>
        <v>0</v>
      </c>
      <c r="P442" s="49">
        <v>0</v>
      </c>
      <c r="Q442" s="49">
        <v>0</v>
      </c>
      <c r="R442" s="49">
        <v>0</v>
      </c>
    </row>
    <row r="443" spans="1:18">
      <c r="A443" t="s">
        <v>932</v>
      </c>
      <c r="B443" s="47">
        <f>SUMIFS(LS[Unit],LS[Investor ID],'TAX CERTIFICATE'!A443,LS[Date Value],"&lt;"&amp;$Z$2)+SUMIFS(SIP[Unit],SIP[Investor ID],'TAX CERTIFICATE'!A443,SIP[Date Value],"&lt;"&amp;$Z$2)</f>
        <v>0</v>
      </c>
      <c r="C443" s="48">
        <f>(SUMIFS(LS[Amount],LS[B/S],"B",LS[Investor ID],A443,LS[Date Value],"&lt;"&amp;$Z$2)-SUMIFS(LS[Cost of Units Sold],LS[B/S],"S",LS[Investor ID],A443,LS[Date Value],"&lt;"&amp;$Z$2))+(SUMIFS(SIP[Amount],SIP[B/S],"B",SIP[Investor ID],#REF!,SIP[Date Value],"&lt;"&amp;$Z$2)-SUMIFS(SIP[Cost of Units Sold],SIP[B/S],"S",SIP[Investor ID],A443,SIP[Date Value],"&lt;"&amp;$Z$2))</f>
        <v>0</v>
      </c>
      <c r="D443" s="49">
        <f t="shared" si="30"/>
        <v>0</v>
      </c>
      <c r="E443" s="49">
        <f t="shared" si="31"/>
        <v>0</v>
      </c>
      <c r="F443" s="47">
        <f>SUMIFS(LS[Unit],LS[Investor ID],A443,LS[Date Value],"&lt;="&amp;$Z$3)+SUMIFS(SIP[Unit],SIP[Investor ID],A443,SIP[Date Value],"&lt;="&amp;$Z$3)</f>
        <v>0</v>
      </c>
      <c r="G443" s="49">
        <f>(SUMIFS(LS[Amount],LS[B/S],"B",LS[Investor ID],A443,LS[Date Value],"&lt;="&amp;$Z$3)-SUMIFS(LS[Cost of Units Sold],LS[B/S],"S",LS[Investor ID],A443,LS[Date Value],"&lt;="&amp;$Z$3))+(SUMIFS(SIP[Amount],SIP[B/S],"B",SIP[Investor ID],A443,SIP[Date Value],"&lt;="&amp;$Z$3)-SUMIFS(SIP[Cost of Units Sold],SIP[B/S],"S",SIP[Investor ID],A443,SIP[Date Value],"&lt;="&amp;$Z$3))</f>
        <v>0</v>
      </c>
      <c r="H443" s="49">
        <f t="shared" si="32"/>
        <v>0</v>
      </c>
      <c r="I443" s="49">
        <f t="shared" si="33"/>
        <v>0</v>
      </c>
      <c r="J443" s="47">
        <f>(SUMIFS(LS[Unit],LS[Investor ID],A443,LS[B/S],"B",LS[Date Value],"&gt;="&amp;$Z$2,LS[Date Value],"&lt;="&amp;$Z$3))+(SUMIFS(SIP[Unit],SIP[Investor ID],A443,SIP[B/S],"B",SIP[Date Value],"&gt;="&amp;$Z$2,SIP[Date Value],"&lt;="&amp;$Z$3))</f>
        <v>0</v>
      </c>
      <c r="K443" s="49">
        <f>(SUMIFS(LS[Amount],LS[Investor ID],A443,LS[B/S],"B",LS[Date Value],"&gt;="&amp;$Z$2,LS[Date Value],"&lt;="&amp;$Z$3))+(SUMIFS(SIP[Amount],SIP[Investor ID],A443,SIP[B/S],"B",SIP[Date Value],"&gt;="&amp;$Z$2,SIP[Date Value],"&lt;="&amp;$Z$3))</f>
        <v>0</v>
      </c>
      <c r="L443" s="47">
        <f>(-SUMIFS(LS[Unit],LS[Investor ID],A443,LS[B/S],"S",LS[Date Value],"&gt;="&amp;$Z$2,LS[Date Value],"&lt;="&amp;$Z$3))+(-SUMIFS(SIP[Unit],SIP[Investor ID],A443,SIP[B/S],"S",SIP[Date Value],"&gt;="&amp;$Z$2,SIP[Date Value],"&lt;="&amp;$Z$3))</f>
        <v>0</v>
      </c>
      <c r="M443" s="49">
        <f>(SUMIFS(LS[Cost of Units Sold],LS[Investor ID],A443,LS[B/S],"S",LS[Date Value],"&gt;="&amp;$Z$2,LS[Date Value],"&lt;="&amp;$Z$3))+(SUMIFS(SIP[Cost of Units Sold],SIP[Investor ID],A443,SIP[B/S],"S",SIP[Date Value],"&gt;="&amp;$Z$2,SIP[Date Value],"&lt;="&amp;$Z$3))</f>
        <v>0</v>
      </c>
      <c r="N443" s="49">
        <f t="shared" si="34"/>
        <v>0</v>
      </c>
      <c r="O443" s="49">
        <f>(SUMIFS(LS[Realized Gain],LS[Investor ID],A443,LS[Date Value],"&gt;="&amp;$Z$2,LS[Date Value],"&lt;="&amp;$Z$3))+(SUMIFS(SIP[Realized Gain],SIP[Investor ID],A443,SIP[Date Value],"&gt;="&amp;$Z$2,SIP[Date Value],"&lt;="&amp;$Z$3))</f>
        <v>0</v>
      </c>
      <c r="P443" s="49">
        <v>0</v>
      </c>
      <c r="Q443" s="49">
        <v>0</v>
      </c>
      <c r="R443" s="49">
        <v>0</v>
      </c>
    </row>
    <row r="444" spans="1:18">
      <c r="A444" t="s">
        <v>934</v>
      </c>
      <c r="B444" s="47">
        <f>SUMIFS(LS[Unit],LS[Investor ID],'TAX CERTIFICATE'!A444,LS[Date Value],"&lt;"&amp;$Z$2)+SUMIFS(SIP[Unit],SIP[Investor ID],'TAX CERTIFICATE'!A444,SIP[Date Value],"&lt;"&amp;$Z$2)</f>
        <v>20000</v>
      </c>
      <c r="C444" s="48">
        <f>(SUMIFS(LS[Amount],LS[B/S],"B",LS[Investor ID],A444,LS[Date Value],"&lt;"&amp;$Z$2)-SUMIFS(LS[Cost of Units Sold],LS[B/S],"S",LS[Investor ID],A444,LS[Date Value],"&lt;"&amp;$Z$2))+(SUMIFS(SIP[Amount],SIP[B/S],"B",SIP[Investor ID],#REF!,SIP[Date Value],"&lt;"&amp;$Z$2)-SUMIFS(SIP[Cost of Units Sold],SIP[B/S],"S",SIP[Investor ID],A444,SIP[Date Value],"&lt;"&amp;$Z$2))</f>
        <v>200000</v>
      </c>
      <c r="D444" s="49">
        <f t="shared" si="30"/>
        <v>205420.00000000003</v>
      </c>
      <c r="E444" s="49">
        <f t="shared" si="31"/>
        <v>5420.0000000000291</v>
      </c>
      <c r="F444" s="47">
        <f>SUMIFS(LS[Unit],LS[Investor ID],A444,LS[Date Value],"&lt;="&amp;$Z$3)+SUMIFS(SIP[Unit],SIP[Investor ID],A444,SIP[Date Value],"&lt;="&amp;$Z$3)</f>
        <v>0</v>
      </c>
      <c r="G444" s="49">
        <f>(SUMIFS(LS[Amount],LS[B/S],"B",LS[Investor ID],A444,LS[Date Value],"&lt;="&amp;$Z$3)-SUMIFS(LS[Cost of Units Sold],LS[B/S],"S",LS[Investor ID],A444,LS[Date Value],"&lt;="&amp;$Z$3))+(SUMIFS(SIP[Amount],SIP[B/S],"B",SIP[Investor ID],A444,SIP[Date Value],"&lt;="&amp;$Z$3)-SUMIFS(SIP[Cost of Units Sold],SIP[B/S],"S",SIP[Investor ID],A444,SIP[Date Value],"&lt;="&amp;$Z$3))</f>
        <v>0</v>
      </c>
      <c r="H444" s="49">
        <f t="shared" si="32"/>
        <v>0</v>
      </c>
      <c r="I444" s="49">
        <f t="shared" si="33"/>
        <v>0</v>
      </c>
      <c r="J444" s="47">
        <f>(SUMIFS(LS[Unit],LS[Investor ID],A444,LS[B/S],"B",LS[Date Value],"&gt;="&amp;$Z$2,LS[Date Value],"&lt;="&amp;$Z$3))+(SUMIFS(SIP[Unit],SIP[Investor ID],A444,SIP[B/S],"B",SIP[Date Value],"&gt;="&amp;$Z$2,SIP[Date Value],"&lt;="&amp;$Z$3))</f>
        <v>0</v>
      </c>
      <c r="K444" s="49">
        <f>(SUMIFS(LS[Amount],LS[Investor ID],A444,LS[B/S],"B",LS[Date Value],"&gt;="&amp;$Z$2,LS[Date Value],"&lt;="&amp;$Z$3))+(SUMIFS(SIP[Amount],SIP[Investor ID],A444,SIP[B/S],"B",SIP[Date Value],"&gt;="&amp;$Z$2,SIP[Date Value],"&lt;="&amp;$Z$3))</f>
        <v>0</v>
      </c>
      <c r="L444" s="47">
        <f>(-SUMIFS(LS[Unit],LS[Investor ID],A444,LS[B/S],"S",LS[Date Value],"&gt;="&amp;$Z$2,LS[Date Value],"&lt;="&amp;$Z$3))+(-SUMIFS(SIP[Unit],SIP[Investor ID],A444,SIP[B/S],"S",SIP[Date Value],"&gt;="&amp;$Z$2,SIP[Date Value],"&lt;="&amp;$Z$3))</f>
        <v>20000</v>
      </c>
      <c r="M444" s="49">
        <f>(SUMIFS(LS[Cost of Units Sold],LS[Investor ID],A444,LS[B/S],"S",LS[Date Value],"&gt;="&amp;$Z$2,LS[Date Value],"&lt;="&amp;$Z$3))+(SUMIFS(SIP[Cost of Units Sold],SIP[Investor ID],A444,SIP[B/S],"S",SIP[Date Value],"&gt;="&amp;$Z$2,SIP[Date Value],"&lt;="&amp;$Z$3))</f>
        <v>200000</v>
      </c>
      <c r="N444" s="49">
        <f t="shared" si="34"/>
        <v>-200000</v>
      </c>
      <c r="O444" s="49">
        <f>(SUMIFS(LS[Realized Gain],LS[Investor ID],A444,LS[Date Value],"&gt;="&amp;$Z$2,LS[Date Value],"&lt;="&amp;$Z$3))+(SUMIFS(SIP[Realized Gain],SIP[Investor ID],A444,SIP[Date Value],"&gt;="&amp;$Z$2,SIP[Date Value],"&lt;="&amp;$Z$3))</f>
        <v>17259.999999999993</v>
      </c>
      <c r="P444" s="49">
        <v>0</v>
      </c>
      <c r="Q444" s="49">
        <v>0</v>
      </c>
      <c r="R444" s="49">
        <v>0</v>
      </c>
    </row>
    <row r="445" spans="1:18">
      <c r="A445" t="s">
        <v>936</v>
      </c>
      <c r="B445" s="47">
        <f>SUMIFS(LS[Unit],LS[Investor ID],'TAX CERTIFICATE'!A445,LS[Date Value],"&lt;"&amp;$Z$2)+SUMIFS(SIP[Unit],SIP[Investor ID],'TAX CERTIFICATE'!A445,SIP[Date Value],"&lt;"&amp;$Z$2)</f>
        <v>59490</v>
      </c>
      <c r="C445" s="48">
        <f>(SUMIFS(LS[Amount],LS[B/S],"B",LS[Investor ID],A445,LS[Date Value],"&lt;"&amp;$Z$2)-SUMIFS(LS[Cost of Units Sold],LS[B/S],"S",LS[Investor ID],A445,LS[Date Value],"&lt;"&amp;$Z$2))+(SUMIFS(SIP[Amount],SIP[B/S],"B",SIP[Investor ID],#REF!,SIP[Date Value],"&lt;"&amp;$Z$2)-SUMIFS(SIP[Cost of Units Sold],SIP[B/S],"S",SIP[Investor ID],A445,SIP[Date Value],"&lt;"&amp;$Z$2))</f>
        <v>600000</v>
      </c>
      <c r="D445" s="49">
        <f t="shared" si="30"/>
        <v>611021.79</v>
      </c>
      <c r="E445" s="49">
        <f t="shared" si="31"/>
        <v>11021.790000000037</v>
      </c>
      <c r="F445" s="47">
        <f>SUMIFS(LS[Unit],LS[Investor ID],A445,LS[Date Value],"&lt;="&amp;$Z$3)+SUMIFS(SIP[Unit],SIP[Investor ID],A445,SIP[Date Value],"&lt;="&amp;$Z$3)</f>
        <v>45025</v>
      </c>
      <c r="G445" s="49">
        <f>(SUMIFS(LS[Amount],LS[B/S],"B",LS[Investor ID],A445,LS[Date Value],"&lt;="&amp;$Z$3)-SUMIFS(LS[Cost of Units Sold],LS[B/S],"S",LS[Investor ID],A445,LS[Date Value],"&lt;="&amp;$Z$3))+(SUMIFS(SIP[Amount],SIP[B/S],"B",SIP[Investor ID],A445,SIP[Date Value],"&lt;="&amp;$Z$3)-SUMIFS(SIP[Cost of Units Sold],SIP[B/S],"S",SIP[Investor ID],A445,SIP[Date Value],"&lt;="&amp;$Z$3))</f>
        <v>500000</v>
      </c>
      <c r="H445" s="49">
        <f t="shared" si="32"/>
        <v>502659.1</v>
      </c>
      <c r="I445" s="49">
        <f t="shared" si="33"/>
        <v>2659.0999999999767</v>
      </c>
      <c r="J445" s="47">
        <f>(SUMIFS(LS[Unit],LS[Investor ID],A445,LS[B/S],"B",LS[Date Value],"&gt;="&amp;$Z$2,LS[Date Value],"&lt;="&amp;$Z$3))+(SUMIFS(SIP[Unit],SIP[Investor ID],A445,SIP[B/S],"B",SIP[Date Value],"&gt;="&amp;$Z$2,SIP[Date Value],"&lt;="&amp;$Z$3))</f>
        <v>93314</v>
      </c>
      <c r="K445" s="49">
        <f>(SUMIFS(LS[Amount],LS[Investor ID],A445,LS[B/S],"B",LS[Date Value],"&gt;="&amp;$Z$2,LS[Date Value],"&lt;="&amp;$Z$3))+(SUMIFS(SIP[Amount],SIP[Investor ID],A445,SIP[B/S],"B",SIP[Date Value],"&gt;="&amp;$Z$2,SIP[Date Value],"&lt;="&amp;$Z$3))</f>
        <v>1000000</v>
      </c>
      <c r="L445" s="47">
        <f>(-SUMIFS(LS[Unit],LS[Investor ID],A445,LS[B/S],"S",LS[Date Value],"&gt;="&amp;$Z$2,LS[Date Value],"&lt;="&amp;$Z$3))+(-SUMIFS(SIP[Unit],SIP[Investor ID],A445,SIP[B/S],"S",SIP[Date Value],"&gt;="&amp;$Z$2,SIP[Date Value],"&lt;="&amp;$Z$3))</f>
        <v>107779</v>
      </c>
      <c r="M445" s="49">
        <f>(SUMIFS(LS[Cost of Units Sold],LS[Investor ID],A445,LS[B/S],"S",LS[Date Value],"&gt;="&amp;$Z$2,LS[Date Value],"&lt;="&amp;$Z$3))+(SUMIFS(SIP[Cost of Units Sold],SIP[Investor ID],A445,SIP[B/S],"S",SIP[Date Value],"&gt;="&amp;$Z$2,SIP[Date Value],"&lt;="&amp;$Z$3))</f>
        <v>1100000</v>
      </c>
      <c r="N445" s="49">
        <f t="shared" si="34"/>
        <v>-100000</v>
      </c>
      <c r="O445" s="49">
        <f>(SUMIFS(LS[Realized Gain],LS[Investor ID],A445,LS[Date Value],"&gt;="&amp;$Z$2,LS[Date Value],"&lt;="&amp;$Z$3))+(SUMIFS(SIP[Realized Gain],SIP[Investor ID],A445,SIP[Date Value],"&gt;="&amp;$Z$2,SIP[Date Value],"&lt;="&amp;$Z$3))</f>
        <v>66707.68000000008</v>
      </c>
      <c r="P445" s="49">
        <v>0</v>
      </c>
      <c r="Q445" s="49">
        <v>0</v>
      </c>
      <c r="R445" s="49">
        <v>0</v>
      </c>
    </row>
    <row r="446" spans="1:18">
      <c r="A446" t="s">
        <v>938</v>
      </c>
      <c r="B446" s="47">
        <f>SUMIFS(LS[Unit],LS[Investor ID],'TAX CERTIFICATE'!A446,LS[Date Value],"&lt;"&amp;$Z$2)+SUMIFS(SIP[Unit],SIP[Investor ID],'TAX CERTIFICATE'!A446,SIP[Date Value],"&lt;"&amp;$Z$2)</f>
        <v>100000</v>
      </c>
      <c r="C446" s="48">
        <f>(SUMIFS(LS[Amount],LS[B/S],"B",LS[Investor ID],A446,LS[Date Value],"&lt;"&amp;$Z$2)-SUMIFS(LS[Cost of Units Sold],LS[B/S],"S",LS[Investor ID],A446,LS[Date Value],"&lt;"&amp;$Z$2))+(SUMIFS(SIP[Amount],SIP[B/S],"B",SIP[Investor ID],#REF!,SIP[Date Value],"&lt;"&amp;$Z$2)-SUMIFS(SIP[Cost of Units Sold],SIP[B/S],"S",SIP[Investor ID],A446,SIP[Date Value],"&lt;"&amp;$Z$2))</f>
        <v>1000000</v>
      </c>
      <c r="D446" s="49">
        <f t="shared" si="30"/>
        <v>1027100.0000000001</v>
      </c>
      <c r="E446" s="49">
        <f t="shared" si="31"/>
        <v>27100.000000000116</v>
      </c>
      <c r="F446" s="47">
        <f>SUMIFS(LS[Unit],LS[Investor ID],A446,LS[Date Value],"&lt;="&amp;$Z$3)+SUMIFS(SIP[Unit],SIP[Investor ID],A446,SIP[Date Value],"&lt;="&amp;$Z$3)</f>
        <v>0</v>
      </c>
      <c r="G446" s="49">
        <f>(SUMIFS(LS[Amount],LS[B/S],"B",LS[Investor ID],A446,LS[Date Value],"&lt;="&amp;$Z$3)-SUMIFS(LS[Cost of Units Sold],LS[B/S],"S",LS[Investor ID],A446,LS[Date Value],"&lt;="&amp;$Z$3))+(SUMIFS(SIP[Amount],SIP[B/S],"B",SIP[Investor ID],A446,SIP[Date Value],"&lt;="&amp;$Z$3)-SUMIFS(SIP[Cost of Units Sold],SIP[B/S],"S",SIP[Investor ID],A446,SIP[Date Value],"&lt;="&amp;$Z$3))</f>
        <v>0</v>
      </c>
      <c r="H446" s="49">
        <f t="shared" si="32"/>
        <v>0</v>
      </c>
      <c r="I446" s="49">
        <f t="shared" si="33"/>
        <v>0</v>
      </c>
      <c r="J446" s="47">
        <f>(SUMIFS(LS[Unit],LS[Investor ID],A446,LS[B/S],"B",LS[Date Value],"&gt;="&amp;$Z$2,LS[Date Value],"&lt;="&amp;$Z$3))+(SUMIFS(SIP[Unit],SIP[Investor ID],A446,SIP[B/S],"B",SIP[Date Value],"&gt;="&amp;$Z$2,SIP[Date Value],"&lt;="&amp;$Z$3))</f>
        <v>0</v>
      </c>
      <c r="K446" s="49">
        <f>(SUMIFS(LS[Amount],LS[Investor ID],A446,LS[B/S],"B",LS[Date Value],"&gt;="&amp;$Z$2,LS[Date Value],"&lt;="&amp;$Z$3))+(SUMIFS(SIP[Amount],SIP[Investor ID],A446,SIP[B/S],"B",SIP[Date Value],"&gt;="&amp;$Z$2,SIP[Date Value],"&lt;="&amp;$Z$3))</f>
        <v>0</v>
      </c>
      <c r="L446" s="47">
        <f>(-SUMIFS(LS[Unit],LS[Investor ID],A446,LS[B/S],"S",LS[Date Value],"&gt;="&amp;$Z$2,LS[Date Value],"&lt;="&amp;$Z$3))+(-SUMIFS(SIP[Unit],SIP[Investor ID],A446,SIP[B/S],"S",SIP[Date Value],"&gt;="&amp;$Z$2,SIP[Date Value],"&lt;="&amp;$Z$3))</f>
        <v>100000</v>
      </c>
      <c r="M446" s="49">
        <f>(SUMIFS(LS[Cost of Units Sold],LS[Investor ID],A446,LS[B/S],"S",LS[Date Value],"&gt;="&amp;$Z$2,LS[Date Value],"&lt;="&amp;$Z$3))+(SUMIFS(SIP[Cost of Units Sold],SIP[Investor ID],A446,SIP[B/S],"S",SIP[Date Value],"&gt;="&amp;$Z$2,SIP[Date Value],"&lt;="&amp;$Z$3))</f>
        <v>1000000</v>
      </c>
      <c r="N446" s="49">
        <f t="shared" si="34"/>
        <v>-1000000</v>
      </c>
      <c r="O446" s="49">
        <f>(SUMIFS(LS[Realized Gain],LS[Investor ID],A446,LS[Date Value],"&gt;="&amp;$Z$2,LS[Date Value],"&lt;="&amp;$Z$3))+(SUMIFS(SIP[Realized Gain],SIP[Investor ID],A446,SIP[Date Value],"&gt;="&amp;$Z$2,SIP[Date Value],"&lt;="&amp;$Z$3))</f>
        <v>84549.999999999942</v>
      </c>
      <c r="P446" s="49">
        <v>0</v>
      </c>
      <c r="Q446" s="49">
        <v>0</v>
      </c>
      <c r="R446" s="49">
        <v>0</v>
      </c>
    </row>
    <row r="447" spans="1:18">
      <c r="A447" t="s">
        <v>940</v>
      </c>
      <c r="B447" s="47">
        <f>SUMIFS(LS[Unit],LS[Investor ID],'TAX CERTIFICATE'!A447,LS[Date Value],"&lt;"&amp;$Z$2)+SUMIFS(SIP[Unit],SIP[Investor ID],'TAX CERTIFICATE'!A447,SIP[Date Value],"&lt;"&amp;$Z$2)</f>
        <v>20000</v>
      </c>
      <c r="C447" s="48">
        <f>(SUMIFS(LS[Amount],LS[B/S],"B",LS[Investor ID],A447,LS[Date Value],"&lt;"&amp;$Z$2)-SUMIFS(LS[Cost of Units Sold],LS[B/S],"S",LS[Investor ID],A447,LS[Date Value],"&lt;"&amp;$Z$2))+(SUMIFS(SIP[Amount],SIP[B/S],"B",SIP[Investor ID],#REF!,SIP[Date Value],"&lt;"&amp;$Z$2)-SUMIFS(SIP[Cost of Units Sold],SIP[B/S],"S",SIP[Investor ID],A447,SIP[Date Value],"&lt;"&amp;$Z$2))</f>
        <v>200000</v>
      </c>
      <c r="D447" s="49">
        <f t="shared" si="30"/>
        <v>205420.00000000003</v>
      </c>
      <c r="E447" s="49">
        <f t="shared" si="31"/>
        <v>5420.0000000000291</v>
      </c>
      <c r="F447" s="47">
        <f>SUMIFS(LS[Unit],LS[Investor ID],A447,LS[Date Value],"&lt;="&amp;$Z$3)+SUMIFS(SIP[Unit],SIP[Investor ID],A447,SIP[Date Value],"&lt;="&amp;$Z$3)</f>
        <v>20000</v>
      </c>
      <c r="G447" s="49">
        <f>(SUMIFS(LS[Amount],LS[B/S],"B",LS[Investor ID],A447,LS[Date Value],"&lt;="&amp;$Z$3)-SUMIFS(LS[Cost of Units Sold],LS[B/S],"S",LS[Investor ID],A447,LS[Date Value],"&lt;="&amp;$Z$3))+(SUMIFS(SIP[Amount],SIP[B/S],"B",SIP[Investor ID],A447,SIP[Date Value],"&lt;="&amp;$Z$3)-SUMIFS(SIP[Cost of Units Sold],SIP[B/S],"S",SIP[Investor ID],A447,SIP[Date Value],"&lt;="&amp;$Z$3))</f>
        <v>200000</v>
      </c>
      <c r="H447" s="49">
        <f t="shared" si="32"/>
        <v>223280</v>
      </c>
      <c r="I447" s="49">
        <f t="shared" si="33"/>
        <v>23280</v>
      </c>
      <c r="J447" s="47">
        <f>(SUMIFS(LS[Unit],LS[Investor ID],A447,LS[B/S],"B",LS[Date Value],"&gt;="&amp;$Z$2,LS[Date Value],"&lt;="&amp;$Z$3))+(SUMIFS(SIP[Unit],SIP[Investor ID],A447,SIP[B/S],"B",SIP[Date Value],"&gt;="&amp;$Z$2,SIP[Date Value],"&lt;="&amp;$Z$3))</f>
        <v>0</v>
      </c>
      <c r="K447" s="49">
        <f>(SUMIFS(LS[Amount],LS[Investor ID],A447,LS[B/S],"B",LS[Date Value],"&gt;="&amp;$Z$2,LS[Date Value],"&lt;="&amp;$Z$3))+(SUMIFS(SIP[Amount],SIP[Investor ID],A447,SIP[B/S],"B",SIP[Date Value],"&gt;="&amp;$Z$2,SIP[Date Value],"&lt;="&amp;$Z$3))</f>
        <v>0</v>
      </c>
      <c r="L447" s="47">
        <f>(-SUMIFS(LS[Unit],LS[Investor ID],A447,LS[B/S],"S",LS[Date Value],"&gt;="&amp;$Z$2,LS[Date Value],"&lt;="&amp;$Z$3))+(-SUMIFS(SIP[Unit],SIP[Investor ID],A447,SIP[B/S],"S",SIP[Date Value],"&gt;="&amp;$Z$2,SIP[Date Value],"&lt;="&amp;$Z$3))</f>
        <v>0</v>
      </c>
      <c r="M447" s="49">
        <f>(SUMIFS(LS[Cost of Units Sold],LS[Investor ID],A447,LS[B/S],"S",LS[Date Value],"&gt;="&amp;$Z$2,LS[Date Value],"&lt;="&amp;$Z$3))+(SUMIFS(SIP[Cost of Units Sold],SIP[Investor ID],A447,SIP[B/S],"S",SIP[Date Value],"&gt;="&amp;$Z$2,SIP[Date Value],"&lt;="&amp;$Z$3))</f>
        <v>0</v>
      </c>
      <c r="N447" s="49">
        <f t="shared" si="34"/>
        <v>0</v>
      </c>
      <c r="O447" s="49">
        <f>(SUMIFS(LS[Realized Gain],LS[Investor ID],A447,LS[Date Value],"&gt;="&amp;$Z$2,LS[Date Value],"&lt;="&amp;$Z$3))+(SUMIFS(SIP[Realized Gain],SIP[Investor ID],A447,SIP[Date Value],"&gt;="&amp;$Z$2,SIP[Date Value],"&lt;="&amp;$Z$3))</f>
        <v>0</v>
      </c>
      <c r="P447" s="49">
        <v>0</v>
      </c>
      <c r="Q447" s="49">
        <v>0</v>
      </c>
      <c r="R447" s="49">
        <v>0</v>
      </c>
    </row>
    <row r="448" spans="1:18">
      <c r="A448" t="s">
        <v>942</v>
      </c>
      <c r="B448" s="47">
        <f>SUMIFS(LS[Unit],LS[Investor ID],'TAX CERTIFICATE'!A448,LS[Date Value],"&lt;"&amp;$Z$2)+SUMIFS(SIP[Unit],SIP[Investor ID],'TAX CERTIFICATE'!A448,SIP[Date Value],"&lt;"&amp;$Z$2)</f>
        <v>150000</v>
      </c>
      <c r="C448" s="48">
        <f>(SUMIFS(LS[Amount],LS[B/S],"B",LS[Investor ID],A448,LS[Date Value],"&lt;"&amp;$Z$2)-SUMIFS(LS[Cost of Units Sold],LS[B/S],"S",LS[Investor ID],A448,LS[Date Value],"&lt;"&amp;$Z$2))+(SUMIFS(SIP[Amount],SIP[B/S],"B",SIP[Investor ID],#REF!,SIP[Date Value],"&lt;"&amp;$Z$2)-SUMIFS(SIP[Cost of Units Sold],SIP[B/S],"S",SIP[Investor ID],A448,SIP[Date Value],"&lt;"&amp;$Z$2))</f>
        <v>1500000</v>
      </c>
      <c r="D448" s="49">
        <f t="shared" si="30"/>
        <v>1540650.0000000002</v>
      </c>
      <c r="E448" s="49">
        <f t="shared" si="31"/>
        <v>40650.000000000233</v>
      </c>
      <c r="F448" s="47">
        <f>SUMIFS(LS[Unit],LS[Investor ID],A448,LS[Date Value],"&lt;="&amp;$Z$3)+SUMIFS(SIP[Unit],SIP[Investor ID],A448,SIP[Date Value],"&lt;="&amp;$Z$3)</f>
        <v>196189</v>
      </c>
      <c r="G448" s="49">
        <f>(SUMIFS(LS[Amount],LS[B/S],"B",LS[Investor ID],A448,LS[Date Value],"&lt;="&amp;$Z$3)-SUMIFS(LS[Cost of Units Sold],LS[B/S],"S",LS[Investor ID],A448,LS[Date Value],"&lt;="&amp;$Z$3))+(SUMIFS(SIP[Amount],SIP[B/S],"B",SIP[Investor ID],A448,SIP[Date Value],"&lt;="&amp;$Z$3)-SUMIFS(SIP[Cost of Units Sold],SIP[B/S],"S",SIP[Investor ID],A448,SIP[Date Value],"&lt;="&amp;$Z$3))</f>
        <v>2000000</v>
      </c>
      <c r="H448" s="49">
        <f t="shared" si="32"/>
        <v>2190253.9959999998</v>
      </c>
      <c r="I448" s="49">
        <f t="shared" si="33"/>
        <v>190253.99599999981</v>
      </c>
      <c r="J448" s="47">
        <f>(SUMIFS(LS[Unit],LS[Investor ID],A448,LS[B/S],"B",LS[Date Value],"&gt;="&amp;$Z$2,LS[Date Value],"&lt;="&amp;$Z$3))+(SUMIFS(SIP[Unit],SIP[Investor ID],A448,SIP[B/S],"B",SIP[Date Value],"&gt;="&amp;$Z$2,SIP[Date Value],"&lt;="&amp;$Z$3))</f>
        <v>46189</v>
      </c>
      <c r="K448" s="49">
        <f>(SUMIFS(LS[Amount],LS[Investor ID],A448,LS[B/S],"B",LS[Date Value],"&gt;="&amp;$Z$2,LS[Date Value],"&lt;="&amp;$Z$3))+(SUMIFS(SIP[Amount],SIP[Investor ID],A448,SIP[B/S],"B",SIP[Date Value],"&gt;="&amp;$Z$2,SIP[Date Value],"&lt;="&amp;$Z$3))</f>
        <v>500000</v>
      </c>
      <c r="L448" s="47">
        <f>(-SUMIFS(LS[Unit],LS[Investor ID],A448,LS[B/S],"S",LS[Date Value],"&gt;="&amp;$Z$2,LS[Date Value],"&lt;="&amp;$Z$3))+(-SUMIFS(SIP[Unit],SIP[Investor ID],A448,SIP[B/S],"S",SIP[Date Value],"&gt;="&amp;$Z$2,SIP[Date Value],"&lt;="&amp;$Z$3))</f>
        <v>0</v>
      </c>
      <c r="M448" s="49">
        <f>(SUMIFS(LS[Cost of Units Sold],LS[Investor ID],A448,LS[B/S],"S",LS[Date Value],"&gt;="&amp;$Z$2,LS[Date Value],"&lt;="&amp;$Z$3))+(SUMIFS(SIP[Cost of Units Sold],SIP[Investor ID],A448,SIP[B/S],"S",SIP[Date Value],"&gt;="&amp;$Z$2,SIP[Date Value],"&lt;="&amp;$Z$3))</f>
        <v>0</v>
      </c>
      <c r="N448" s="49">
        <f t="shared" si="34"/>
        <v>500000</v>
      </c>
      <c r="O448" s="49">
        <f>(SUMIFS(LS[Realized Gain],LS[Investor ID],A448,LS[Date Value],"&gt;="&amp;$Z$2,LS[Date Value],"&lt;="&amp;$Z$3))+(SUMIFS(SIP[Realized Gain],SIP[Investor ID],A448,SIP[Date Value],"&gt;="&amp;$Z$2,SIP[Date Value],"&lt;="&amp;$Z$3))</f>
        <v>0</v>
      </c>
      <c r="P448" s="49">
        <v>0</v>
      </c>
      <c r="Q448" s="49">
        <v>0</v>
      </c>
      <c r="R448" s="49">
        <v>0</v>
      </c>
    </row>
    <row r="449" spans="1:18">
      <c r="A449" t="s">
        <v>944</v>
      </c>
      <c r="B449" s="47">
        <f>SUMIFS(LS[Unit],LS[Investor ID],'TAX CERTIFICATE'!A449,LS[Date Value],"&lt;"&amp;$Z$2)+SUMIFS(SIP[Unit],SIP[Investor ID],'TAX CERTIFICATE'!A449,SIP[Date Value],"&lt;"&amp;$Z$2)</f>
        <v>1496968</v>
      </c>
      <c r="C449" s="48">
        <f>(SUMIFS(LS[Amount],LS[B/S],"B",LS[Investor ID],A449,LS[Date Value],"&lt;"&amp;$Z$2)-SUMIFS(LS[Cost of Units Sold],LS[B/S],"S",LS[Investor ID],A449,LS[Date Value],"&lt;"&amp;$Z$2))+(SUMIFS(SIP[Amount],SIP[B/S],"B",SIP[Investor ID],#REF!,SIP[Date Value],"&lt;"&amp;$Z$2)-SUMIFS(SIP[Cost of Units Sold],SIP[B/S],"S",SIP[Investor ID],A449,SIP[Date Value],"&lt;"&amp;$Z$2))</f>
        <v>15000000</v>
      </c>
      <c r="D449" s="49">
        <f t="shared" si="30"/>
        <v>15375358.328000002</v>
      </c>
      <c r="E449" s="49">
        <f t="shared" si="31"/>
        <v>375358.32800000161</v>
      </c>
      <c r="F449" s="47">
        <f>SUMIFS(LS[Unit],LS[Investor ID],A449,LS[Date Value],"&lt;="&amp;$Z$3)+SUMIFS(SIP[Unit],SIP[Investor ID],A449,SIP[Date Value],"&lt;="&amp;$Z$3)</f>
        <v>4651897</v>
      </c>
      <c r="G449" s="49">
        <f>(SUMIFS(LS[Amount],LS[B/S],"B",LS[Investor ID],A449,LS[Date Value],"&lt;="&amp;$Z$3)-SUMIFS(LS[Cost of Units Sold],LS[B/S],"S",LS[Investor ID],A449,LS[Date Value],"&lt;="&amp;$Z$3))+(SUMIFS(SIP[Amount],SIP[B/S],"B",SIP[Investor ID],A449,SIP[Date Value],"&lt;="&amp;$Z$3)-SUMIFS(SIP[Cost of Units Sold],SIP[B/S],"S",SIP[Investor ID],A449,SIP[Date Value],"&lt;="&amp;$Z$3))</f>
        <v>51796297.811942033</v>
      </c>
      <c r="H449" s="49">
        <f t="shared" si="32"/>
        <v>51933778.107999995</v>
      </c>
      <c r="I449" s="49">
        <f t="shared" si="33"/>
        <v>137480.29605796188</v>
      </c>
      <c r="J449" s="47">
        <f>(SUMIFS(LS[Unit],LS[Investor ID],A449,LS[B/S],"B",LS[Date Value],"&gt;="&amp;$Z$2,LS[Date Value],"&lt;="&amp;$Z$3))+(SUMIFS(SIP[Unit],SIP[Investor ID],A449,SIP[B/S],"B",SIP[Date Value],"&gt;="&amp;$Z$2,SIP[Date Value],"&lt;="&amp;$Z$3))</f>
        <v>9081596</v>
      </c>
      <c r="K449" s="49">
        <f>(SUMIFS(LS[Amount],LS[Investor ID],A449,LS[B/S],"B",LS[Date Value],"&gt;="&amp;$Z$2,LS[Date Value],"&lt;="&amp;$Z$3))+(SUMIFS(SIP[Amount],SIP[Investor ID],A449,SIP[B/S],"B",SIP[Date Value],"&gt;="&amp;$Z$2,SIP[Date Value],"&lt;="&amp;$Z$3))</f>
        <v>99500000</v>
      </c>
      <c r="L449" s="47">
        <f>(-SUMIFS(LS[Unit],LS[Investor ID],A449,LS[B/S],"S",LS[Date Value],"&gt;="&amp;$Z$2,LS[Date Value],"&lt;="&amp;$Z$3))+(-SUMIFS(SIP[Unit],SIP[Investor ID],A449,SIP[B/S],"S",SIP[Date Value],"&gt;="&amp;$Z$2,SIP[Date Value],"&lt;="&amp;$Z$3))</f>
        <v>5926667</v>
      </c>
      <c r="M449" s="49">
        <f>(SUMIFS(LS[Cost of Units Sold],LS[Investor ID],A449,LS[B/S],"S",LS[Date Value],"&gt;="&amp;$Z$2,LS[Date Value],"&lt;="&amp;$Z$3))+(SUMIFS(SIP[Cost of Units Sold],SIP[Investor ID],A449,SIP[B/S],"S",SIP[Date Value],"&gt;="&amp;$Z$2,SIP[Date Value],"&lt;="&amp;$Z$3))</f>
        <v>62703702.188057967</v>
      </c>
      <c r="N449" s="49">
        <f t="shared" si="34"/>
        <v>36796297.811942033</v>
      </c>
      <c r="O449" s="49">
        <f>(SUMIFS(LS[Realized Gain],LS[Investor ID],A449,LS[Date Value],"&gt;="&amp;$Z$2,LS[Date Value],"&lt;="&amp;$Z$3))+(SUMIFS(SIP[Realized Gain],SIP[Investor ID],A449,SIP[Date Value],"&gt;="&amp;$Z$2,SIP[Date Value],"&lt;="&amp;$Z$3))</f>
        <v>2365061.871942034</v>
      </c>
      <c r="P449" s="49">
        <v>0</v>
      </c>
      <c r="Q449" s="49">
        <v>0</v>
      </c>
      <c r="R449" s="49">
        <v>0</v>
      </c>
    </row>
    <row r="450" spans="1:18">
      <c r="A450" t="s">
        <v>946</v>
      </c>
      <c r="B450" s="47">
        <f>SUMIFS(LS[Unit],LS[Investor ID],'TAX CERTIFICATE'!A450,LS[Date Value],"&lt;"&amp;$Z$2)+SUMIFS(SIP[Unit],SIP[Investor ID],'TAX CERTIFICATE'!A450,SIP[Date Value],"&lt;"&amp;$Z$2)</f>
        <v>50000</v>
      </c>
      <c r="C450" s="48">
        <f>(SUMIFS(LS[Amount],LS[B/S],"B",LS[Investor ID],A450,LS[Date Value],"&lt;"&amp;$Z$2)-SUMIFS(LS[Cost of Units Sold],LS[B/S],"S",LS[Investor ID],A450,LS[Date Value],"&lt;"&amp;$Z$2))+(SUMIFS(SIP[Amount],SIP[B/S],"B",SIP[Investor ID],#REF!,SIP[Date Value],"&lt;"&amp;$Z$2)-SUMIFS(SIP[Cost of Units Sold],SIP[B/S],"S",SIP[Investor ID],A450,SIP[Date Value],"&lt;"&amp;$Z$2))</f>
        <v>500000</v>
      </c>
      <c r="D450" s="49">
        <f t="shared" si="30"/>
        <v>513550.00000000006</v>
      </c>
      <c r="E450" s="49">
        <f t="shared" si="31"/>
        <v>13550.000000000058</v>
      </c>
      <c r="F450" s="47">
        <f>SUMIFS(LS[Unit],LS[Investor ID],A450,LS[Date Value],"&lt;="&amp;$Z$3)+SUMIFS(SIP[Unit],SIP[Investor ID],A450,SIP[Date Value],"&lt;="&amp;$Z$3)</f>
        <v>50000</v>
      </c>
      <c r="G450" s="49">
        <f>(SUMIFS(LS[Amount],LS[B/S],"B",LS[Investor ID],A450,LS[Date Value],"&lt;="&amp;$Z$3)-SUMIFS(LS[Cost of Units Sold],LS[B/S],"S",LS[Investor ID],A450,LS[Date Value],"&lt;="&amp;$Z$3))+(SUMIFS(SIP[Amount],SIP[B/S],"B",SIP[Investor ID],A450,SIP[Date Value],"&lt;="&amp;$Z$3)-SUMIFS(SIP[Cost of Units Sold],SIP[B/S],"S",SIP[Investor ID],A450,SIP[Date Value],"&lt;="&amp;$Z$3))</f>
        <v>500000</v>
      </c>
      <c r="H450" s="49">
        <f t="shared" si="32"/>
        <v>558200</v>
      </c>
      <c r="I450" s="49">
        <f t="shared" si="33"/>
        <v>58200</v>
      </c>
      <c r="J450" s="47">
        <f>(SUMIFS(LS[Unit],LS[Investor ID],A450,LS[B/S],"B",LS[Date Value],"&gt;="&amp;$Z$2,LS[Date Value],"&lt;="&amp;$Z$3))+(SUMIFS(SIP[Unit],SIP[Investor ID],A450,SIP[B/S],"B",SIP[Date Value],"&gt;="&amp;$Z$2,SIP[Date Value],"&lt;="&amp;$Z$3))</f>
        <v>0</v>
      </c>
      <c r="K450" s="49">
        <f>(SUMIFS(LS[Amount],LS[Investor ID],A450,LS[B/S],"B",LS[Date Value],"&gt;="&amp;$Z$2,LS[Date Value],"&lt;="&amp;$Z$3))+(SUMIFS(SIP[Amount],SIP[Investor ID],A450,SIP[B/S],"B",SIP[Date Value],"&gt;="&amp;$Z$2,SIP[Date Value],"&lt;="&amp;$Z$3))</f>
        <v>0</v>
      </c>
      <c r="L450" s="47">
        <f>(-SUMIFS(LS[Unit],LS[Investor ID],A450,LS[B/S],"S",LS[Date Value],"&gt;="&amp;$Z$2,LS[Date Value],"&lt;="&amp;$Z$3))+(-SUMIFS(SIP[Unit],SIP[Investor ID],A450,SIP[B/S],"S",SIP[Date Value],"&gt;="&amp;$Z$2,SIP[Date Value],"&lt;="&amp;$Z$3))</f>
        <v>0</v>
      </c>
      <c r="M450" s="49">
        <f>(SUMIFS(LS[Cost of Units Sold],LS[Investor ID],A450,LS[B/S],"S",LS[Date Value],"&gt;="&amp;$Z$2,LS[Date Value],"&lt;="&amp;$Z$3))+(SUMIFS(SIP[Cost of Units Sold],SIP[Investor ID],A450,SIP[B/S],"S",SIP[Date Value],"&gt;="&amp;$Z$2,SIP[Date Value],"&lt;="&amp;$Z$3))</f>
        <v>0</v>
      </c>
      <c r="N450" s="49">
        <f t="shared" si="34"/>
        <v>0</v>
      </c>
      <c r="O450" s="49">
        <f>(SUMIFS(LS[Realized Gain],LS[Investor ID],A450,LS[Date Value],"&gt;="&amp;$Z$2,LS[Date Value],"&lt;="&amp;$Z$3))+(SUMIFS(SIP[Realized Gain],SIP[Investor ID],A450,SIP[Date Value],"&gt;="&amp;$Z$2,SIP[Date Value],"&lt;="&amp;$Z$3))</f>
        <v>0</v>
      </c>
      <c r="P450" s="49">
        <v>0</v>
      </c>
      <c r="Q450" s="49">
        <v>0</v>
      </c>
      <c r="R450" s="49">
        <v>0</v>
      </c>
    </row>
    <row r="451" spans="1:18">
      <c r="A451" t="s">
        <v>948</v>
      </c>
      <c r="B451" s="47">
        <f>SUMIFS(LS[Unit],LS[Investor ID],'TAX CERTIFICATE'!A451,LS[Date Value],"&lt;"&amp;$Z$2)+SUMIFS(SIP[Unit],SIP[Investor ID],'TAX CERTIFICATE'!A451,SIP[Date Value],"&lt;"&amp;$Z$2)</f>
        <v>5000</v>
      </c>
      <c r="C451" s="48">
        <f>(SUMIFS(LS[Amount],LS[B/S],"B",LS[Investor ID],A451,LS[Date Value],"&lt;"&amp;$Z$2)-SUMIFS(LS[Cost of Units Sold],LS[B/S],"S",LS[Investor ID],A451,LS[Date Value],"&lt;"&amp;$Z$2))+(SUMIFS(SIP[Amount],SIP[B/S],"B",SIP[Investor ID],#REF!,SIP[Date Value],"&lt;"&amp;$Z$2)-SUMIFS(SIP[Cost of Units Sold],SIP[B/S],"S",SIP[Investor ID],A451,SIP[Date Value],"&lt;"&amp;$Z$2))</f>
        <v>50000</v>
      </c>
      <c r="D451" s="49">
        <f t="shared" ref="D451:D510" si="35">B451*$AA$2</f>
        <v>51355.000000000007</v>
      </c>
      <c r="E451" s="49">
        <f t="shared" ref="E451:E510" si="36">D451-C451</f>
        <v>1355.0000000000073</v>
      </c>
      <c r="F451" s="47">
        <f>SUMIFS(LS[Unit],LS[Investor ID],A451,LS[Date Value],"&lt;="&amp;$Z$3)+SUMIFS(SIP[Unit],SIP[Investor ID],A451,SIP[Date Value],"&lt;="&amp;$Z$3)</f>
        <v>0</v>
      </c>
      <c r="G451" s="49">
        <f>(SUMIFS(LS[Amount],LS[B/S],"B",LS[Investor ID],A451,LS[Date Value],"&lt;="&amp;$Z$3)-SUMIFS(LS[Cost of Units Sold],LS[B/S],"S",LS[Investor ID],A451,LS[Date Value],"&lt;="&amp;$Z$3))+(SUMIFS(SIP[Amount],SIP[B/S],"B",SIP[Investor ID],A451,SIP[Date Value],"&lt;="&amp;$Z$3)-SUMIFS(SIP[Cost of Units Sold],SIP[B/S],"S",SIP[Investor ID],A451,SIP[Date Value],"&lt;="&amp;$Z$3))</f>
        <v>0</v>
      </c>
      <c r="H451" s="49">
        <f t="shared" ref="H451:H510" si="37">F451*$AA$3</f>
        <v>0</v>
      </c>
      <c r="I451" s="49">
        <f t="shared" ref="I451:I510" si="38">H451-G451</f>
        <v>0</v>
      </c>
      <c r="J451" s="47">
        <f>(SUMIFS(LS[Unit],LS[Investor ID],A451,LS[B/S],"B",LS[Date Value],"&gt;="&amp;$Z$2,LS[Date Value],"&lt;="&amp;$Z$3))+(SUMIFS(SIP[Unit],SIP[Investor ID],A451,SIP[B/S],"B",SIP[Date Value],"&gt;="&amp;$Z$2,SIP[Date Value],"&lt;="&amp;$Z$3))</f>
        <v>0</v>
      </c>
      <c r="K451" s="49">
        <f>(SUMIFS(LS[Amount],LS[Investor ID],A451,LS[B/S],"B",LS[Date Value],"&gt;="&amp;$Z$2,LS[Date Value],"&lt;="&amp;$Z$3))+(SUMIFS(SIP[Amount],SIP[Investor ID],A451,SIP[B/S],"B",SIP[Date Value],"&gt;="&amp;$Z$2,SIP[Date Value],"&lt;="&amp;$Z$3))</f>
        <v>0</v>
      </c>
      <c r="L451" s="47">
        <f>(-SUMIFS(LS[Unit],LS[Investor ID],A451,LS[B/S],"S",LS[Date Value],"&gt;="&amp;$Z$2,LS[Date Value],"&lt;="&amp;$Z$3))+(-SUMIFS(SIP[Unit],SIP[Investor ID],A451,SIP[B/S],"S",SIP[Date Value],"&gt;="&amp;$Z$2,SIP[Date Value],"&lt;="&amp;$Z$3))</f>
        <v>5000</v>
      </c>
      <c r="M451" s="49">
        <f>(SUMIFS(LS[Cost of Units Sold],LS[Investor ID],A451,LS[B/S],"S",LS[Date Value],"&gt;="&amp;$Z$2,LS[Date Value],"&lt;="&amp;$Z$3))+(SUMIFS(SIP[Cost of Units Sold],SIP[Investor ID],A451,SIP[B/S],"S",SIP[Date Value],"&gt;="&amp;$Z$2,SIP[Date Value],"&lt;="&amp;$Z$3))</f>
        <v>50000</v>
      </c>
      <c r="N451" s="49">
        <f t="shared" ref="N451:N510" si="39">K451-M451</f>
        <v>-50000</v>
      </c>
      <c r="O451" s="49">
        <f>(SUMIFS(LS[Realized Gain],LS[Investor ID],A451,LS[Date Value],"&gt;="&amp;$Z$2,LS[Date Value],"&lt;="&amp;$Z$3))+(SUMIFS(SIP[Realized Gain],SIP[Investor ID],A451,SIP[Date Value],"&gt;="&amp;$Z$2,SIP[Date Value],"&lt;="&amp;$Z$3))</f>
        <v>2975.0000000000032</v>
      </c>
      <c r="P451" s="49">
        <v>0</v>
      </c>
      <c r="Q451" s="49">
        <v>0</v>
      </c>
      <c r="R451" s="49">
        <v>0</v>
      </c>
    </row>
    <row r="452" spans="1:18">
      <c r="A452" t="s">
        <v>950</v>
      </c>
      <c r="B452" s="47">
        <f>SUMIFS(LS[Unit],LS[Investor ID],'TAX CERTIFICATE'!A452,LS[Date Value],"&lt;"&amp;$Z$2)+SUMIFS(SIP[Unit],SIP[Investor ID],'TAX CERTIFICATE'!A452,SIP[Date Value],"&lt;"&amp;$Z$2)</f>
        <v>150000</v>
      </c>
      <c r="C452" s="48">
        <f>(SUMIFS(LS[Amount],LS[B/S],"B",LS[Investor ID],A452,LS[Date Value],"&lt;"&amp;$Z$2)-SUMIFS(LS[Cost of Units Sold],LS[B/S],"S",LS[Investor ID],A452,LS[Date Value],"&lt;"&amp;$Z$2))+(SUMIFS(SIP[Amount],SIP[B/S],"B",SIP[Investor ID],#REF!,SIP[Date Value],"&lt;"&amp;$Z$2)-SUMIFS(SIP[Cost of Units Sold],SIP[B/S],"S",SIP[Investor ID],A452,SIP[Date Value],"&lt;"&amp;$Z$2))</f>
        <v>1500000</v>
      </c>
      <c r="D452" s="49">
        <f t="shared" si="35"/>
        <v>1540650.0000000002</v>
      </c>
      <c r="E452" s="49">
        <f t="shared" si="36"/>
        <v>40650.000000000233</v>
      </c>
      <c r="F452" s="47">
        <f>SUMIFS(LS[Unit],LS[Investor ID],A452,LS[Date Value],"&lt;="&amp;$Z$3)+SUMIFS(SIP[Unit],SIP[Investor ID],A452,SIP[Date Value],"&lt;="&amp;$Z$3)</f>
        <v>150000</v>
      </c>
      <c r="G452" s="49">
        <f>(SUMIFS(LS[Amount],LS[B/S],"B",LS[Investor ID],A452,LS[Date Value],"&lt;="&amp;$Z$3)-SUMIFS(LS[Cost of Units Sold],LS[B/S],"S",LS[Investor ID],A452,LS[Date Value],"&lt;="&amp;$Z$3))+(SUMIFS(SIP[Amount],SIP[B/S],"B",SIP[Investor ID],A452,SIP[Date Value],"&lt;="&amp;$Z$3)-SUMIFS(SIP[Cost of Units Sold],SIP[B/S],"S",SIP[Investor ID],A452,SIP[Date Value],"&lt;="&amp;$Z$3))</f>
        <v>1500000</v>
      </c>
      <c r="H452" s="49">
        <f t="shared" si="37"/>
        <v>1674600</v>
      </c>
      <c r="I452" s="49">
        <f t="shared" si="38"/>
        <v>174600</v>
      </c>
      <c r="J452" s="47">
        <f>(SUMIFS(LS[Unit],LS[Investor ID],A452,LS[B/S],"B",LS[Date Value],"&gt;="&amp;$Z$2,LS[Date Value],"&lt;="&amp;$Z$3))+(SUMIFS(SIP[Unit],SIP[Investor ID],A452,SIP[B/S],"B",SIP[Date Value],"&gt;="&amp;$Z$2,SIP[Date Value],"&lt;="&amp;$Z$3))</f>
        <v>0</v>
      </c>
      <c r="K452" s="49">
        <f>(SUMIFS(LS[Amount],LS[Investor ID],A452,LS[B/S],"B",LS[Date Value],"&gt;="&amp;$Z$2,LS[Date Value],"&lt;="&amp;$Z$3))+(SUMIFS(SIP[Amount],SIP[Investor ID],A452,SIP[B/S],"B",SIP[Date Value],"&gt;="&amp;$Z$2,SIP[Date Value],"&lt;="&amp;$Z$3))</f>
        <v>0</v>
      </c>
      <c r="L452" s="47">
        <f>(-SUMIFS(LS[Unit],LS[Investor ID],A452,LS[B/S],"S",LS[Date Value],"&gt;="&amp;$Z$2,LS[Date Value],"&lt;="&amp;$Z$3))+(-SUMIFS(SIP[Unit],SIP[Investor ID],A452,SIP[B/S],"S",SIP[Date Value],"&gt;="&amp;$Z$2,SIP[Date Value],"&lt;="&amp;$Z$3))</f>
        <v>0</v>
      </c>
      <c r="M452" s="49">
        <f>(SUMIFS(LS[Cost of Units Sold],LS[Investor ID],A452,LS[B/S],"S",LS[Date Value],"&gt;="&amp;$Z$2,LS[Date Value],"&lt;="&amp;$Z$3))+(SUMIFS(SIP[Cost of Units Sold],SIP[Investor ID],A452,SIP[B/S],"S",SIP[Date Value],"&gt;="&amp;$Z$2,SIP[Date Value],"&lt;="&amp;$Z$3))</f>
        <v>0</v>
      </c>
      <c r="N452" s="49">
        <f t="shared" si="39"/>
        <v>0</v>
      </c>
      <c r="O452" s="49">
        <f>(SUMIFS(LS[Realized Gain],LS[Investor ID],A452,LS[Date Value],"&gt;="&amp;$Z$2,LS[Date Value],"&lt;="&amp;$Z$3))+(SUMIFS(SIP[Realized Gain],SIP[Investor ID],A452,SIP[Date Value],"&gt;="&amp;$Z$2,SIP[Date Value],"&lt;="&amp;$Z$3))</f>
        <v>0</v>
      </c>
      <c r="P452" s="49">
        <v>0</v>
      </c>
      <c r="Q452" s="49">
        <v>0</v>
      </c>
      <c r="R452" s="49">
        <v>0</v>
      </c>
    </row>
    <row r="453" spans="1:18">
      <c r="A453" t="s">
        <v>952</v>
      </c>
      <c r="B453" s="47">
        <f>SUMIFS(LS[Unit],LS[Investor ID],'TAX CERTIFICATE'!A453,LS[Date Value],"&lt;"&amp;$Z$2)+SUMIFS(SIP[Unit],SIP[Investor ID],'TAX CERTIFICATE'!A453,SIP[Date Value],"&lt;"&amp;$Z$2)</f>
        <v>0</v>
      </c>
      <c r="C453" s="48">
        <f>(SUMIFS(LS[Amount],LS[B/S],"B",LS[Investor ID],A453,LS[Date Value],"&lt;"&amp;$Z$2)-SUMIFS(LS[Cost of Units Sold],LS[B/S],"S",LS[Investor ID],A453,LS[Date Value],"&lt;"&amp;$Z$2))+(SUMIFS(SIP[Amount],SIP[B/S],"B",SIP[Investor ID],#REF!,SIP[Date Value],"&lt;"&amp;$Z$2)-SUMIFS(SIP[Cost of Units Sold],SIP[B/S],"S",SIP[Investor ID],A453,SIP[Date Value],"&lt;"&amp;$Z$2))</f>
        <v>0</v>
      </c>
      <c r="D453" s="49">
        <f t="shared" si="35"/>
        <v>0</v>
      </c>
      <c r="E453" s="49">
        <f t="shared" si="36"/>
        <v>0</v>
      </c>
      <c r="F453" s="47">
        <f>SUMIFS(LS[Unit],LS[Investor ID],A453,LS[Date Value],"&lt;="&amp;$Z$3)+SUMIFS(SIP[Unit],SIP[Investor ID],A453,SIP[Date Value],"&lt;="&amp;$Z$3)</f>
        <v>0</v>
      </c>
      <c r="G453" s="49">
        <f>(SUMIFS(LS[Amount],LS[B/S],"B",LS[Investor ID],A453,LS[Date Value],"&lt;="&amp;$Z$3)-SUMIFS(LS[Cost of Units Sold],LS[B/S],"S",LS[Investor ID],A453,LS[Date Value],"&lt;="&amp;$Z$3))+(SUMIFS(SIP[Amount],SIP[B/S],"B",SIP[Investor ID],A453,SIP[Date Value],"&lt;="&amp;$Z$3)-SUMIFS(SIP[Cost of Units Sold],SIP[B/S],"S",SIP[Investor ID],A453,SIP[Date Value],"&lt;="&amp;$Z$3))</f>
        <v>3.637978807091713E-12</v>
      </c>
      <c r="H453" s="49">
        <f t="shared" si="37"/>
        <v>0</v>
      </c>
      <c r="I453" s="49">
        <f t="shared" si="38"/>
        <v>-3.637978807091713E-12</v>
      </c>
      <c r="J453" s="47">
        <f>(SUMIFS(LS[Unit],LS[Investor ID],A453,LS[B/S],"B",LS[Date Value],"&gt;="&amp;$Z$2,LS[Date Value],"&lt;="&amp;$Z$3))+(SUMIFS(SIP[Unit],SIP[Investor ID],A453,SIP[B/S],"B",SIP[Date Value],"&gt;="&amp;$Z$2,SIP[Date Value],"&lt;="&amp;$Z$3))</f>
        <v>2813</v>
      </c>
      <c r="K453" s="49">
        <f>(SUMIFS(LS[Amount],LS[Investor ID],A453,LS[B/S],"B",LS[Date Value],"&gt;="&amp;$Z$2,LS[Date Value],"&lt;="&amp;$Z$3))+(SUMIFS(SIP[Amount],SIP[Investor ID],A453,SIP[B/S],"B",SIP[Date Value],"&gt;="&amp;$Z$2,SIP[Date Value],"&lt;="&amp;$Z$3))</f>
        <v>30000</v>
      </c>
      <c r="L453" s="47">
        <f>(-SUMIFS(LS[Unit],LS[Investor ID],A453,LS[B/S],"S",LS[Date Value],"&gt;="&amp;$Z$2,LS[Date Value],"&lt;="&amp;$Z$3))+(-SUMIFS(SIP[Unit],SIP[Investor ID],A453,SIP[B/S],"S",SIP[Date Value],"&gt;="&amp;$Z$2,SIP[Date Value],"&lt;="&amp;$Z$3))</f>
        <v>2813</v>
      </c>
      <c r="M453" s="49">
        <f>(SUMIFS(LS[Cost of Units Sold],LS[Investor ID],A453,LS[B/S],"S",LS[Date Value],"&gt;="&amp;$Z$2,LS[Date Value],"&lt;="&amp;$Z$3))+(SUMIFS(SIP[Cost of Units Sold],SIP[Investor ID],A453,SIP[B/S],"S",SIP[Date Value],"&gt;="&amp;$Z$2,SIP[Date Value],"&lt;="&amp;$Z$3))</f>
        <v>29999.999999999996</v>
      </c>
      <c r="N453" s="49">
        <f t="shared" si="39"/>
        <v>0</v>
      </c>
      <c r="O453" s="49">
        <f>(SUMIFS(LS[Realized Gain],LS[Investor ID],A453,LS[Date Value],"&gt;="&amp;$Z$2,LS[Date Value],"&lt;="&amp;$Z$3))+(SUMIFS(SIP[Realized Gain],SIP[Investor ID],A453,SIP[Date Value],"&gt;="&amp;$Z$2,SIP[Date Value],"&lt;="&amp;$Z$3))</f>
        <v>557.62000000000512</v>
      </c>
      <c r="P453" s="49">
        <v>0</v>
      </c>
      <c r="Q453" s="49">
        <v>0</v>
      </c>
      <c r="R453" s="49">
        <v>0</v>
      </c>
    </row>
    <row r="454" spans="1:18">
      <c r="A454" t="s">
        <v>954</v>
      </c>
      <c r="B454" s="47">
        <f>SUMIFS(LS[Unit],LS[Investor ID],'TAX CERTIFICATE'!A454,LS[Date Value],"&lt;"&amp;$Z$2)+SUMIFS(SIP[Unit],SIP[Investor ID],'TAX CERTIFICATE'!A454,SIP[Date Value],"&lt;"&amp;$Z$2)</f>
        <v>150000</v>
      </c>
      <c r="C454" s="48">
        <f>(SUMIFS(LS[Amount],LS[B/S],"B",LS[Investor ID],A454,LS[Date Value],"&lt;"&amp;$Z$2)-SUMIFS(LS[Cost of Units Sold],LS[B/S],"S",LS[Investor ID],A454,LS[Date Value],"&lt;"&amp;$Z$2))+(SUMIFS(SIP[Amount],SIP[B/S],"B",SIP[Investor ID],#REF!,SIP[Date Value],"&lt;"&amp;$Z$2)-SUMIFS(SIP[Cost of Units Sold],SIP[B/S],"S",SIP[Investor ID],A454,SIP[Date Value],"&lt;"&amp;$Z$2))</f>
        <v>1500000</v>
      </c>
      <c r="D454" s="49">
        <f t="shared" si="35"/>
        <v>1540650.0000000002</v>
      </c>
      <c r="E454" s="49">
        <f t="shared" si="36"/>
        <v>40650.000000000233</v>
      </c>
      <c r="F454" s="47">
        <f>SUMIFS(LS[Unit],LS[Investor ID],A454,LS[Date Value],"&lt;="&amp;$Z$3)+SUMIFS(SIP[Unit],SIP[Investor ID],A454,SIP[Date Value],"&lt;="&amp;$Z$3)</f>
        <v>480345</v>
      </c>
      <c r="G454" s="49">
        <f>(SUMIFS(LS[Amount],LS[B/S],"B",LS[Investor ID],A454,LS[Date Value],"&lt;="&amp;$Z$3)-SUMIFS(LS[Cost of Units Sold],LS[B/S],"S",LS[Investor ID],A454,LS[Date Value],"&lt;="&amp;$Z$3))+(SUMIFS(SIP[Amount],SIP[B/S],"B",SIP[Investor ID],A454,SIP[Date Value],"&lt;="&amp;$Z$3)-SUMIFS(SIP[Cost of Units Sold],SIP[B/S],"S",SIP[Investor ID],A454,SIP[Date Value],"&lt;="&amp;$Z$3))</f>
        <v>5000000</v>
      </c>
      <c r="H454" s="49">
        <f t="shared" si="37"/>
        <v>5362571.58</v>
      </c>
      <c r="I454" s="49">
        <f t="shared" si="38"/>
        <v>362571.58000000007</v>
      </c>
      <c r="J454" s="47">
        <f>(SUMIFS(LS[Unit],LS[Investor ID],A454,LS[B/S],"B",LS[Date Value],"&gt;="&amp;$Z$2,LS[Date Value],"&lt;="&amp;$Z$3))+(SUMIFS(SIP[Unit],SIP[Investor ID],A454,SIP[B/S],"B",SIP[Date Value],"&gt;="&amp;$Z$2,SIP[Date Value],"&lt;="&amp;$Z$3))</f>
        <v>330345</v>
      </c>
      <c r="K454" s="49">
        <f>(SUMIFS(LS[Amount],LS[Investor ID],A454,LS[B/S],"B",LS[Date Value],"&gt;="&amp;$Z$2,LS[Date Value],"&lt;="&amp;$Z$3))+(SUMIFS(SIP[Amount],SIP[Investor ID],A454,SIP[B/S],"B",SIP[Date Value],"&gt;="&amp;$Z$2,SIP[Date Value],"&lt;="&amp;$Z$3))</f>
        <v>3500000</v>
      </c>
      <c r="L454" s="47">
        <f>(-SUMIFS(LS[Unit],LS[Investor ID],A454,LS[B/S],"S",LS[Date Value],"&gt;="&amp;$Z$2,LS[Date Value],"&lt;="&amp;$Z$3))+(-SUMIFS(SIP[Unit],SIP[Investor ID],A454,SIP[B/S],"S",SIP[Date Value],"&gt;="&amp;$Z$2,SIP[Date Value],"&lt;="&amp;$Z$3))</f>
        <v>0</v>
      </c>
      <c r="M454" s="49">
        <f>(SUMIFS(LS[Cost of Units Sold],LS[Investor ID],A454,LS[B/S],"S",LS[Date Value],"&gt;="&amp;$Z$2,LS[Date Value],"&lt;="&amp;$Z$3))+(SUMIFS(SIP[Cost of Units Sold],SIP[Investor ID],A454,SIP[B/S],"S",SIP[Date Value],"&gt;="&amp;$Z$2,SIP[Date Value],"&lt;="&amp;$Z$3))</f>
        <v>0</v>
      </c>
      <c r="N454" s="49">
        <f t="shared" si="39"/>
        <v>3500000</v>
      </c>
      <c r="O454" s="49">
        <f>(SUMIFS(LS[Realized Gain],LS[Investor ID],A454,LS[Date Value],"&gt;="&amp;$Z$2,LS[Date Value],"&lt;="&amp;$Z$3))+(SUMIFS(SIP[Realized Gain],SIP[Investor ID],A454,SIP[Date Value],"&gt;="&amp;$Z$2,SIP[Date Value],"&lt;="&amp;$Z$3))</f>
        <v>0</v>
      </c>
      <c r="P454" s="49">
        <v>0</v>
      </c>
      <c r="Q454" s="49">
        <v>0</v>
      </c>
      <c r="R454" s="49">
        <v>0</v>
      </c>
    </row>
    <row r="455" spans="1:18">
      <c r="A455" t="s">
        <v>956</v>
      </c>
      <c r="B455" s="47">
        <f>SUMIFS(LS[Unit],LS[Investor ID],'TAX CERTIFICATE'!A455,LS[Date Value],"&lt;"&amp;$Z$2)+SUMIFS(SIP[Unit],SIP[Investor ID],'TAX CERTIFICATE'!A455,SIP[Date Value],"&lt;"&amp;$Z$2)</f>
        <v>100000</v>
      </c>
      <c r="C455" s="48">
        <f>(SUMIFS(LS[Amount],LS[B/S],"B",LS[Investor ID],A455,LS[Date Value],"&lt;"&amp;$Z$2)-SUMIFS(LS[Cost of Units Sold],LS[B/S],"S",LS[Investor ID],A455,LS[Date Value],"&lt;"&amp;$Z$2))+(SUMIFS(SIP[Amount],SIP[B/S],"B",SIP[Investor ID],#REF!,SIP[Date Value],"&lt;"&amp;$Z$2)-SUMIFS(SIP[Cost of Units Sold],SIP[B/S],"S",SIP[Investor ID],A455,SIP[Date Value],"&lt;"&amp;$Z$2))</f>
        <v>1000000</v>
      </c>
      <c r="D455" s="49">
        <f t="shared" si="35"/>
        <v>1027100.0000000001</v>
      </c>
      <c r="E455" s="49">
        <f t="shared" si="36"/>
        <v>27100.000000000116</v>
      </c>
      <c r="F455" s="47">
        <f>SUMIFS(LS[Unit],LS[Investor ID],A455,LS[Date Value],"&lt;="&amp;$Z$3)+SUMIFS(SIP[Unit],SIP[Investor ID],A455,SIP[Date Value],"&lt;="&amp;$Z$3)</f>
        <v>0</v>
      </c>
      <c r="G455" s="49">
        <f>(SUMIFS(LS[Amount],LS[B/S],"B",LS[Investor ID],A455,LS[Date Value],"&lt;="&amp;$Z$3)-SUMIFS(LS[Cost of Units Sold],LS[B/S],"S",LS[Investor ID],A455,LS[Date Value],"&lt;="&amp;$Z$3))+(SUMIFS(SIP[Amount],SIP[B/S],"B",SIP[Investor ID],A455,SIP[Date Value],"&lt;="&amp;$Z$3)-SUMIFS(SIP[Cost of Units Sold],SIP[B/S],"S",SIP[Investor ID],A455,SIP[Date Value],"&lt;="&amp;$Z$3))</f>
        <v>0</v>
      </c>
      <c r="H455" s="49">
        <f t="shared" si="37"/>
        <v>0</v>
      </c>
      <c r="I455" s="49">
        <f t="shared" si="38"/>
        <v>0</v>
      </c>
      <c r="J455" s="47">
        <f>(SUMIFS(LS[Unit],LS[Investor ID],A455,LS[B/S],"B",LS[Date Value],"&gt;="&amp;$Z$2,LS[Date Value],"&lt;="&amp;$Z$3))+(SUMIFS(SIP[Unit],SIP[Investor ID],A455,SIP[B/S],"B",SIP[Date Value],"&gt;="&amp;$Z$2,SIP[Date Value],"&lt;="&amp;$Z$3))</f>
        <v>0</v>
      </c>
      <c r="K455" s="49">
        <f>(SUMIFS(LS[Amount],LS[Investor ID],A455,LS[B/S],"B",LS[Date Value],"&gt;="&amp;$Z$2,LS[Date Value],"&lt;="&amp;$Z$3))+(SUMIFS(SIP[Amount],SIP[Investor ID],A455,SIP[B/S],"B",SIP[Date Value],"&gt;="&amp;$Z$2,SIP[Date Value],"&lt;="&amp;$Z$3))</f>
        <v>0</v>
      </c>
      <c r="L455" s="47">
        <f>(-SUMIFS(LS[Unit],LS[Investor ID],A455,LS[B/S],"S",LS[Date Value],"&gt;="&amp;$Z$2,LS[Date Value],"&lt;="&amp;$Z$3))+(-SUMIFS(SIP[Unit],SIP[Investor ID],A455,SIP[B/S],"S",SIP[Date Value],"&gt;="&amp;$Z$2,SIP[Date Value],"&lt;="&amp;$Z$3))</f>
        <v>100000</v>
      </c>
      <c r="M455" s="49">
        <f>(SUMIFS(LS[Cost of Units Sold],LS[Investor ID],A455,LS[B/S],"S",LS[Date Value],"&gt;="&amp;$Z$2,LS[Date Value],"&lt;="&amp;$Z$3))+(SUMIFS(SIP[Cost of Units Sold],SIP[Investor ID],A455,SIP[B/S],"S",SIP[Date Value],"&gt;="&amp;$Z$2,SIP[Date Value],"&lt;="&amp;$Z$3))</f>
        <v>1000000</v>
      </c>
      <c r="N455" s="49">
        <f t="shared" si="39"/>
        <v>-1000000</v>
      </c>
      <c r="O455" s="49">
        <f>(SUMIFS(LS[Realized Gain],LS[Investor ID],A455,LS[Date Value],"&gt;="&amp;$Z$2,LS[Date Value],"&lt;="&amp;$Z$3))+(SUMIFS(SIP[Realized Gain],SIP[Investor ID],A455,SIP[Date Value],"&gt;="&amp;$Z$2,SIP[Date Value],"&lt;="&amp;$Z$3))</f>
        <v>103599.99999999996</v>
      </c>
      <c r="P455" s="49">
        <v>0</v>
      </c>
      <c r="Q455" s="49">
        <v>0</v>
      </c>
      <c r="R455" s="49">
        <v>0</v>
      </c>
    </row>
    <row r="456" spans="1:18">
      <c r="A456" t="s">
        <v>958</v>
      </c>
      <c r="B456" s="47">
        <f>SUMIFS(LS[Unit],LS[Investor ID],'TAX CERTIFICATE'!A456,LS[Date Value],"&lt;"&amp;$Z$2)+SUMIFS(SIP[Unit],SIP[Investor ID],'TAX CERTIFICATE'!A456,SIP[Date Value],"&lt;"&amp;$Z$2)</f>
        <v>10000</v>
      </c>
      <c r="C456" s="48">
        <f>(SUMIFS(LS[Amount],LS[B/S],"B",LS[Investor ID],A456,LS[Date Value],"&lt;"&amp;$Z$2)-SUMIFS(LS[Cost of Units Sold],LS[B/S],"S",LS[Investor ID],A456,LS[Date Value],"&lt;"&amp;$Z$2))+(SUMIFS(SIP[Amount],SIP[B/S],"B",SIP[Investor ID],#REF!,SIP[Date Value],"&lt;"&amp;$Z$2)-SUMIFS(SIP[Cost of Units Sold],SIP[B/S],"S",SIP[Investor ID],A456,SIP[Date Value],"&lt;"&amp;$Z$2))</f>
        <v>100000</v>
      </c>
      <c r="D456" s="49">
        <f t="shared" si="35"/>
        <v>102710.00000000001</v>
      </c>
      <c r="E456" s="49">
        <f t="shared" si="36"/>
        <v>2710.0000000000146</v>
      </c>
      <c r="F456" s="47">
        <f>SUMIFS(LS[Unit],LS[Investor ID],A456,LS[Date Value],"&lt;="&amp;$Z$3)+SUMIFS(SIP[Unit],SIP[Investor ID],A456,SIP[Date Value],"&lt;="&amp;$Z$3)</f>
        <v>0</v>
      </c>
      <c r="G456" s="49">
        <f>(SUMIFS(LS[Amount],LS[B/S],"B",LS[Investor ID],A456,LS[Date Value],"&lt;="&amp;$Z$3)-SUMIFS(LS[Cost of Units Sold],LS[B/S],"S",LS[Investor ID],A456,LS[Date Value],"&lt;="&amp;$Z$3))+(SUMIFS(SIP[Amount],SIP[B/S],"B",SIP[Investor ID],A456,SIP[Date Value],"&lt;="&amp;$Z$3)-SUMIFS(SIP[Cost of Units Sold],SIP[B/S],"S",SIP[Investor ID],A456,SIP[Date Value],"&lt;="&amp;$Z$3))</f>
        <v>0</v>
      </c>
      <c r="H456" s="49">
        <f t="shared" si="37"/>
        <v>0</v>
      </c>
      <c r="I456" s="49">
        <f t="shared" si="38"/>
        <v>0</v>
      </c>
      <c r="J456" s="47">
        <f>(SUMIFS(LS[Unit],LS[Investor ID],A456,LS[B/S],"B",LS[Date Value],"&gt;="&amp;$Z$2,LS[Date Value],"&lt;="&amp;$Z$3))+(SUMIFS(SIP[Unit],SIP[Investor ID],A456,SIP[B/S],"B",SIP[Date Value],"&gt;="&amp;$Z$2,SIP[Date Value],"&lt;="&amp;$Z$3))</f>
        <v>0</v>
      </c>
      <c r="K456" s="49">
        <f>(SUMIFS(LS[Amount],LS[Investor ID],A456,LS[B/S],"B",LS[Date Value],"&gt;="&amp;$Z$2,LS[Date Value],"&lt;="&amp;$Z$3))+(SUMIFS(SIP[Amount],SIP[Investor ID],A456,SIP[B/S],"B",SIP[Date Value],"&gt;="&amp;$Z$2,SIP[Date Value],"&lt;="&amp;$Z$3))</f>
        <v>0</v>
      </c>
      <c r="L456" s="47">
        <f>(-SUMIFS(LS[Unit],LS[Investor ID],A456,LS[B/S],"S",LS[Date Value],"&gt;="&amp;$Z$2,LS[Date Value],"&lt;="&amp;$Z$3))+(-SUMIFS(SIP[Unit],SIP[Investor ID],A456,SIP[B/S],"S",SIP[Date Value],"&gt;="&amp;$Z$2,SIP[Date Value],"&lt;="&amp;$Z$3))</f>
        <v>10000</v>
      </c>
      <c r="M456" s="49">
        <f>(SUMIFS(LS[Cost of Units Sold],LS[Investor ID],A456,LS[B/S],"S",LS[Date Value],"&gt;="&amp;$Z$2,LS[Date Value],"&lt;="&amp;$Z$3))+(SUMIFS(SIP[Cost of Units Sold],SIP[Investor ID],A456,SIP[B/S],"S",SIP[Date Value],"&gt;="&amp;$Z$2,SIP[Date Value],"&lt;="&amp;$Z$3))</f>
        <v>100000</v>
      </c>
      <c r="N456" s="49">
        <f t="shared" si="39"/>
        <v>-100000</v>
      </c>
      <c r="O456" s="49">
        <f>(SUMIFS(LS[Realized Gain],LS[Investor ID],A456,LS[Date Value],"&gt;="&amp;$Z$2,LS[Date Value],"&lt;="&amp;$Z$3))+(SUMIFS(SIP[Realized Gain],SIP[Investor ID],A456,SIP[Date Value],"&gt;="&amp;$Z$2,SIP[Date Value],"&lt;="&amp;$Z$3))</f>
        <v>4979.9999999999936</v>
      </c>
      <c r="P456" s="49">
        <v>0</v>
      </c>
      <c r="Q456" s="49">
        <v>0</v>
      </c>
      <c r="R456" s="49">
        <v>0</v>
      </c>
    </row>
    <row r="457" spans="1:18">
      <c r="A457" t="s">
        <v>960</v>
      </c>
      <c r="B457" s="47">
        <f>SUMIFS(LS[Unit],LS[Investor ID],'TAX CERTIFICATE'!A457,LS[Date Value],"&lt;"&amp;$Z$2)+SUMIFS(SIP[Unit],SIP[Investor ID],'TAX CERTIFICATE'!A457,SIP[Date Value],"&lt;"&amp;$Z$2)</f>
        <v>331578</v>
      </c>
      <c r="C457" s="48">
        <f>(SUMIFS(LS[Amount],LS[B/S],"B",LS[Investor ID],A457,LS[Date Value],"&lt;"&amp;$Z$2)-SUMIFS(LS[Cost of Units Sold],LS[B/S],"S",LS[Investor ID],A457,LS[Date Value],"&lt;"&amp;$Z$2))+(SUMIFS(SIP[Amount],SIP[B/S],"B",SIP[Investor ID],#REF!,SIP[Date Value],"&lt;"&amp;$Z$2)-SUMIFS(SIP[Cost of Units Sold],SIP[B/S],"S",SIP[Investor ID],A457,SIP[Date Value],"&lt;"&amp;$Z$2))</f>
        <v>3400000</v>
      </c>
      <c r="D457" s="49">
        <f t="shared" si="35"/>
        <v>3405637.6380000003</v>
      </c>
      <c r="E457" s="49">
        <f t="shared" si="36"/>
        <v>5637.6380000002682</v>
      </c>
      <c r="F457" s="47">
        <f>SUMIFS(LS[Unit],LS[Investor ID],A457,LS[Date Value],"&lt;="&amp;$Z$3)+SUMIFS(SIP[Unit],SIP[Investor ID],A457,SIP[Date Value],"&lt;="&amp;$Z$3)</f>
        <v>18072</v>
      </c>
      <c r="G457" s="49">
        <f>(SUMIFS(LS[Amount],LS[B/S],"B",LS[Investor ID],A457,LS[Date Value],"&lt;="&amp;$Z$3)-SUMIFS(LS[Cost of Units Sold],LS[B/S],"S",LS[Investor ID],A457,LS[Date Value],"&lt;="&amp;$Z$3))+(SUMIFS(SIP[Amount],SIP[B/S],"B",SIP[Investor ID],A457,SIP[Date Value],"&lt;="&amp;$Z$3)-SUMIFS(SIP[Cost of Units Sold],SIP[B/S],"S",SIP[Investor ID],A457,SIP[Date Value],"&lt;="&amp;$Z$3))</f>
        <v>186882.38303596713</v>
      </c>
      <c r="H457" s="49">
        <f t="shared" si="37"/>
        <v>201755.80799999999</v>
      </c>
      <c r="I457" s="49">
        <f t="shared" si="38"/>
        <v>14873.424964032863</v>
      </c>
      <c r="J457" s="47">
        <f>(SUMIFS(LS[Unit],LS[Investor ID],A457,LS[B/S],"B",LS[Date Value],"&gt;="&amp;$Z$2,LS[Date Value],"&lt;="&amp;$Z$3))+(SUMIFS(SIP[Unit],SIP[Investor ID],A457,SIP[B/S],"B",SIP[Date Value],"&gt;="&amp;$Z$2,SIP[Date Value],"&lt;="&amp;$Z$3))</f>
        <v>143885</v>
      </c>
      <c r="K457" s="49">
        <f>(SUMIFS(LS[Amount],LS[Investor ID],A457,LS[B/S],"B",LS[Date Value],"&gt;="&amp;$Z$2,LS[Date Value],"&lt;="&amp;$Z$3))+(SUMIFS(SIP[Amount],SIP[Investor ID],A457,SIP[B/S],"B",SIP[Date Value],"&gt;="&amp;$Z$2,SIP[Date Value],"&lt;="&amp;$Z$3))</f>
        <v>1500000</v>
      </c>
      <c r="L457" s="47">
        <f>(-SUMIFS(LS[Unit],LS[Investor ID],A457,LS[B/S],"S",LS[Date Value],"&gt;="&amp;$Z$2,LS[Date Value],"&lt;="&amp;$Z$3))+(-SUMIFS(SIP[Unit],SIP[Investor ID],A457,SIP[B/S],"S",SIP[Date Value],"&gt;="&amp;$Z$2,SIP[Date Value],"&lt;="&amp;$Z$3))</f>
        <v>457391</v>
      </c>
      <c r="M457" s="49">
        <f>(SUMIFS(LS[Cost of Units Sold],LS[Investor ID],A457,LS[B/S],"S",LS[Date Value],"&gt;="&amp;$Z$2,LS[Date Value],"&lt;="&amp;$Z$3))+(SUMIFS(SIP[Cost of Units Sold],SIP[Investor ID],A457,SIP[B/S],"S",SIP[Date Value],"&gt;="&amp;$Z$2,SIP[Date Value],"&lt;="&amp;$Z$3))</f>
        <v>4713117.6169640329</v>
      </c>
      <c r="N457" s="49">
        <f t="shared" si="39"/>
        <v>-3213117.6169640329</v>
      </c>
      <c r="O457" s="49">
        <f>(SUMIFS(LS[Realized Gain],LS[Investor ID],A457,LS[Date Value],"&gt;="&amp;$Z$2,LS[Date Value],"&lt;="&amp;$Z$3))+(SUMIFS(SIP[Realized Gain],SIP[Investor ID],A457,SIP[Date Value],"&gt;="&amp;$Z$2,SIP[Date Value],"&lt;="&amp;$Z$3))</f>
        <v>86882.383035966865</v>
      </c>
      <c r="P457" s="49">
        <v>0</v>
      </c>
      <c r="Q457" s="49">
        <v>0</v>
      </c>
      <c r="R457" s="49">
        <v>0</v>
      </c>
    </row>
    <row r="458" spans="1:18">
      <c r="A458" t="s">
        <v>962</v>
      </c>
      <c r="B458" s="47">
        <f>SUMIFS(LS[Unit],LS[Investor ID],'TAX CERTIFICATE'!A458,LS[Date Value],"&lt;"&amp;$Z$2)+SUMIFS(SIP[Unit],SIP[Investor ID],'TAX CERTIFICATE'!A458,SIP[Date Value],"&lt;"&amp;$Z$2)</f>
        <v>0</v>
      </c>
      <c r="C458" s="48">
        <f>(SUMIFS(LS[Amount],LS[B/S],"B",LS[Investor ID],A458,LS[Date Value],"&lt;"&amp;$Z$2)-SUMIFS(LS[Cost of Units Sold],LS[B/S],"S",LS[Investor ID],A458,LS[Date Value],"&lt;"&amp;$Z$2))+(SUMIFS(SIP[Amount],SIP[B/S],"B",SIP[Investor ID],#REF!,SIP[Date Value],"&lt;"&amp;$Z$2)-SUMIFS(SIP[Cost of Units Sold],SIP[B/S],"S",SIP[Investor ID],A458,SIP[Date Value],"&lt;"&amp;$Z$2))</f>
        <v>0</v>
      </c>
      <c r="D458" s="49">
        <f t="shared" si="35"/>
        <v>0</v>
      </c>
      <c r="E458" s="49">
        <f t="shared" si="36"/>
        <v>0</v>
      </c>
      <c r="F458" s="47">
        <f>SUMIFS(LS[Unit],LS[Investor ID],A458,LS[Date Value],"&lt;="&amp;$Z$3)+SUMIFS(SIP[Unit],SIP[Investor ID],A458,SIP[Date Value],"&lt;="&amp;$Z$3)</f>
        <v>0</v>
      </c>
      <c r="G458" s="49">
        <f>(SUMIFS(LS[Amount],LS[B/S],"B",LS[Investor ID],A458,LS[Date Value],"&lt;="&amp;$Z$3)-SUMIFS(LS[Cost of Units Sold],LS[B/S],"S",LS[Investor ID],A458,LS[Date Value],"&lt;="&amp;$Z$3))+(SUMIFS(SIP[Amount],SIP[B/S],"B",SIP[Investor ID],A458,SIP[Date Value],"&lt;="&amp;$Z$3)-SUMIFS(SIP[Cost of Units Sold],SIP[B/S],"S",SIP[Investor ID],A458,SIP[Date Value],"&lt;="&amp;$Z$3))</f>
        <v>0</v>
      </c>
      <c r="H458" s="49">
        <f t="shared" si="37"/>
        <v>0</v>
      </c>
      <c r="I458" s="49">
        <f t="shared" si="38"/>
        <v>0</v>
      </c>
      <c r="J458" s="47">
        <f>(SUMIFS(LS[Unit],LS[Investor ID],A458,LS[B/S],"B",LS[Date Value],"&gt;="&amp;$Z$2,LS[Date Value],"&lt;="&amp;$Z$3))+(SUMIFS(SIP[Unit],SIP[Investor ID],A458,SIP[B/S],"B",SIP[Date Value],"&gt;="&amp;$Z$2,SIP[Date Value],"&lt;="&amp;$Z$3))</f>
        <v>0</v>
      </c>
      <c r="K458" s="49">
        <f>(SUMIFS(LS[Amount],LS[Investor ID],A458,LS[B/S],"B",LS[Date Value],"&gt;="&amp;$Z$2,LS[Date Value],"&lt;="&amp;$Z$3))+(SUMIFS(SIP[Amount],SIP[Investor ID],A458,SIP[B/S],"B",SIP[Date Value],"&gt;="&amp;$Z$2,SIP[Date Value],"&lt;="&amp;$Z$3))</f>
        <v>0</v>
      </c>
      <c r="L458" s="47">
        <f>(-SUMIFS(LS[Unit],LS[Investor ID],A458,LS[B/S],"S",LS[Date Value],"&gt;="&amp;$Z$2,LS[Date Value],"&lt;="&amp;$Z$3))+(-SUMIFS(SIP[Unit],SIP[Investor ID],A458,SIP[B/S],"S",SIP[Date Value],"&gt;="&amp;$Z$2,SIP[Date Value],"&lt;="&amp;$Z$3))</f>
        <v>0</v>
      </c>
      <c r="M458" s="49">
        <f>(SUMIFS(LS[Cost of Units Sold],LS[Investor ID],A458,LS[B/S],"S",LS[Date Value],"&gt;="&amp;$Z$2,LS[Date Value],"&lt;="&amp;$Z$3))+(SUMIFS(SIP[Cost of Units Sold],SIP[Investor ID],A458,SIP[B/S],"S",SIP[Date Value],"&gt;="&amp;$Z$2,SIP[Date Value],"&lt;="&amp;$Z$3))</f>
        <v>0</v>
      </c>
      <c r="N458" s="49">
        <f t="shared" si="39"/>
        <v>0</v>
      </c>
      <c r="O458" s="49">
        <f>(SUMIFS(LS[Realized Gain],LS[Investor ID],A458,LS[Date Value],"&gt;="&amp;$Z$2,LS[Date Value],"&lt;="&amp;$Z$3))+(SUMIFS(SIP[Realized Gain],SIP[Investor ID],A458,SIP[Date Value],"&gt;="&amp;$Z$2,SIP[Date Value],"&lt;="&amp;$Z$3))</f>
        <v>0</v>
      </c>
      <c r="P458" s="49">
        <v>0</v>
      </c>
      <c r="Q458" s="49">
        <v>0</v>
      </c>
      <c r="R458" s="49">
        <v>0</v>
      </c>
    </row>
    <row r="459" spans="1:18">
      <c r="A459" t="s">
        <v>964</v>
      </c>
      <c r="B459" s="47">
        <f>SUMIFS(LS[Unit],LS[Investor ID],'TAX CERTIFICATE'!A459,LS[Date Value],"&lt;"&amp;$Z$2)+SUMIFS(SIP[Unit],SIP[Investor ID],'TAX CERTIFICATE'!A459,SIP[Date Value],"&lt;"&amp;$Z$2)</f>
        <v>250000</v>
      </c>
      <c r="C459" s="48">
        <f>(SUMIFS(LS[Amount],LS[B/S],"B",LS[Investor ID],A459,LS[Date Value],"&lt;"&amp;$Z$2)-SUMIFS(LS[Cost of Units Sold],LS[B/S],"S",LS[Investor ID],A459,LS[Date Value],"&lt;"&amp;$Z$2))+(SUMIFS(SIP[Amount],SIP[B/S],"B",SIP[Investor ID],#REF!,SIP[Date Value],"&lt;"&amp;$Z$2)-SUMIFS(SIP[Cost of Units Sold],SIP[B/S],"S",SIP[Investor ID],A459,SIP[Date Value],"&lt;"&amp;$Z$2))</f>
        <v>2500000</v>
      </c>
      <c r="D459" s="49">
        <f t="shared" si="35"/>
        <v>2567750</v>
      </c>
      <c r="E459" s="49">
        <f t="shared" si="36"/>
        <v>67750</v>
      </c>
      <c r="F459" s="47">
        <f>SUMIFS(LS[Unit],LS[Investor ID],A459,LS[Date Value],"&lt;="&amp;$Z$3)+SUMIFS(SIP[Unit],SIP[Investor ID],A459,SIP[Date Value],"&lt;="&amp;$Z$3)</f>
        <v>250000</v>
      </c>
      <c r="G459" s="49">
        <f>(SUMIFS(LS[Amount],LS[B/S],"B",LS[Investor ID],A459,LS[Date Value],"&lt;="&amp;$Z$3)-SUMIFS(LS[Cost of Units Sold],LS[B/S],"S",LS[Investor ID],A459,LS[Date Value],"&lt;="&amp;$Z$3))+(SUMIFS(SIP[Amount],SIP[B/S],"B",SIP[Investor ID],A459,SIP[Date Value],"&lt;="&amp;$Z$3)-SUMIFS(SIP[Cost of Units Sold],SIP[B/S],"S",SIP[Investor ID],A459,SIP[Date Value],"&lt;="&amp;$Z$3))</f>
        <v>2500000</v>
      </c>
      <c r="H459" s="49">
        <f t="shared" si="37"/>
        <v>2791000</v>
      </c>
      <c r="I459" s="49">
        <f t="shared" si="38"/>
        <v>291000</v>
      </c>
      <c r="J459" s="47">
        <f>(SUMIFS(LS[Unit],LS[Investor ID],A459,LS[B/S],"B",LS[Date Value],"&gt;="&amp;$Z$2,LS[Date Value],"&lt;="&amp;$Z$3))+(SUMIFS(SIP[Unit],SIP[Investor ID],A459,SIP[B/S],"B",SIP[Date Value],"&gt;="&amp;$Z$2,SIP[Date Value],"&lt;="&amp;$Z$3))</f>
        <v>0</v>
      </c>
      <c r="K459" s="49">
        <f>(SUMIFS(LS[Amount],LS[Investor ID],A459,LS[B/S],"B",LS[Date Value],"&gt;="&amp;$Z$2,LS[Date Value],"&lt;="&amp;$Z$3))+(SUMIFS(SIP[Amount],SIP[Investor ID],A459,SIP[B/S],"B",SIP[Date Value],"&gt;="&amp;$Z$2,SIP[Date Value],"&lt;="&amp;$Z$3))</f>
        <v>0</v>
      </c>
      <c r="L459" s="47">
        <f>(-SUMIFS(LS[Unit],LS[Investor ID],A459,LS[B/S],"S",LS[Date Value],"&gt;="&amp;$Z$2,LS[Date Value],"&lt;="&amp;$Z$3))+(-SUMIFS(SIP[Unit],SIP[Investor ID],A459,SIP[B/S],"S",SIP[Date Value],"&gt;="&amp;$Z$2,SIP[Date Value],"&lt;="&amp;$Z$3))</f>
        <v>0</v>
      </c>
      <c r="M459" s="49">
        <f>(SUMIFS(LS[Cost of Units Sold],LS[Investor ID],A459,LS[B/S],"S",LS[Date Value],"&gt;="&amp;$Z$2,LS[Date Value],"&lt;="&amp;$Z$3))+(SUMIFS(SIP[Cost of Units Sold],SIP[Investor ID],A459,SIP[B/S],"S",SIP[Date Value],"&gt;="&amp;$Z$2,SIP[Date Value],"&lt;="&amp;$Z$3))</f>
        <v>0</v>
      </c>
      <c r="N459" s="49">
        <f t="shared" si="39"/>
        <v>0</v>
      </c>
      <c r="O459" s="49">
        <f>(SUMIFS(LS[Realized Gain],LS[Investor ID],A459,LS[Date Value],"&gt;="&amp;$Z$2,LS[Date Value],"&lt;="&amp;$Z$3))+(SUMIFS(SIP[Realized Gain],SIP[Investor ID],A459,SIP[Date Value],"&gt;="&amp;$Z$2,SIP[Date Value],"&lt;="&amp;$Z$3))</f>
        <v>0</v>
      </c>
      <c r="P459" s="49">
        <v>0</v>
      </c>
      <c r="Q459" s="49">
        <v>0</v>
      </c>
      <c r="R459" s="49">
        <v>0</v>
      </c>
    </row>
    <row r="460" spans="1:18">
      <c r="A460" t="s">
        <v>966</v>
      </c>
      <c r="B460" s="47">
        <f>SUMIFS(LS[Unit],LS[Investor ID],'TAX CERTIFICATE'!A460,LS[Date Value],"&lt;"&amp;$Z$2)+SUMIFS(SIP[Unit],SIP[Investor ID],'TAX CERTIFICATE'!A460,SIP[Date Value],"&lt;"&amp;$Z$2)</f>
        <v>5000</v>
      </c>
      <c r="C460" s="48">
        <f>(SUMIFS(LS[Amount],LS[B/S],"B",LS[Investor ID],A460,LS[Date Value],"&lt;"&amp;$Z$2)-SUMIFS(LS[Cost of Units Sold],LS[B/S],"S",LS[Investor ID],A460,LS[Date Value],"&lt;"&amp;$Z$2))+(SUMIFS(SIP[Amount],SIP[B/S],"B",SIP[Investor ID],#REF!,SIP[Date Value],"&lt;"&amp;$Z$2)-SUMIFS(SIP[Cost of Units Sold],SIP[B/S],"S",SIP[Investor ID],A460,SIP[Date Value],"&lt;"&amp;$Z$2))</f>
        <v>50000</v>
      </c>
      <c r="D460" s="49">
        <f t="shared" si="35"/>
        <v>51355.000000000007</v>
      </c>
      <c r="E460" s="49">
        <f t="shared" si="36"/>
        <v>1355.0000000000073</v>
      </c>
      <c r="F460" s="47">
        <f>SUMIFS(LS[Unit],LS[Investor ID],A460,LS[Date Value],"&lt;="&amp;$Z$3)+SUMIFS(SIP[Unit],SIP[Investor ID],A460,SIP[Date Value],"&lt;="&amp;$Z$3)</f>
        <v>5000</v>
      </c>
      <c r="G460" s="49">
        <f>(SUMIFS(LS[Amount],LS[B/S],"B",LS[Investor ID],A460,LS[Date Value],"&lt;="&amp;$Z$3)-SUMIFS(LS[Cost of Units Sold],LS[B/S],"S",LS[Investor ID],A460,LS[Date Value],"&lt;="&amp;$Z$3))+(SUMIFS(SIP[Amount],SIP[B/S],"B",SIP[Investor ID],A460,SIP[Date Value],"&lt;="&amp;$Z$3)-SUMIFS(SIP[Cost of Units Sold],SIP[B/S],"S",SIP[Investor ID],A460,SIP[Date Value],"&lt;="&amp;$Z$3))</f>
        <v>50000</v>
      </c>
      <c r="H460" s="49">
        <f t="shared" si="37"/>
        <v>55820</v>
      </c>
      <c r="I460" s="49">
        <f t="shared" si="38"/>
        <v>5820</v>
      </c>
      <c r="J460" s="47">
        <f>(SUMIFS(LS[Unit],LS[Investor ID],A460,LS[B/S],"B",LS[Date Value],"&gt;="&amp;$Z$2,LS[Date Value],"&lt;="&amp;$Z$3))+(SUMIFS(SIP[Unit],SIP[Investor ID],A460,SIP[B/S],"B",SIP[Date Value],"&gt;="&amp;$Z$2,SIP[Date Value],"&lt;="&amp;$Z$3))</f>
        <v>0</v>
      </c>
      <c r="K460" s="49">
        <f>(SUMIFS(LS[Amount],LS[Investor ID],A460,LS[B/S],"B",LS[Date Value],"&gt;="&amp;$Z$2,LS[Date Value],"&lt;="&amp;$Z$3))+(SUMIFS(SIP[Amount],SIP[Investor ID],A460,SIP[B/S],"B",SIP[Date Value],"&gt;="&amp;$Z$2,SIP[Date Value],"&lt;="&amp;$Z$3))</f>
        <v>0</v>
      </c>
      <c r="L460" s="47">
        <f>(-SUMIFS(LS[Unit],LS[Investor ID],A460,LS[B/S],"S",LS[Date Value],"&gt;="&amp;$Z$2,LS[Date Value],"&lt;="&amp;$Z$3))+(-SUMIFS(SIP[Unit],SIP[Investor ID],A460,SIP[B/S],"S",SIP[Date Value],"&gt;="&amp;$Z$2,SIP[Date Value],"&lt;="&amp;$Z$3))</f>
        <v>0</v>
      </c>
      <c r="M460" s="49">
        <f>(SUMIFS(LS[Cost of Units Sold],LS[Investor ID],A460,LS[B/S],"S",LS[Date Value],"&gt;="&amp;$Z$2,LS[Date Value],"&lt;="&amp;$Z$3))+(SUMIFS(SIP[Cost of Units Sold],SIP[Investor ID],A460,SIP[B/S],"S",SIP[Date Value],"&gt;="&amp;$Z$2,SIP[Date Value],"&lt;="&amp;$Z$3))</f>
        <v>0</v>
      </c>
      <c r="N460" s="49">
        <f t="shared" si="39"/>
        <v>0</v>
      </c>
      <c r="O460" s="49">
        <f>(SUMIFS(LS[Realized Gain],LS[Investor ID],A460,LS[Date Value],"&gt;="&amp;$Z$2,LS[Date Value],"&lt;="&amp;$Z$3))+(SUMIFS(SIP[Realized Gain],SIP[Investor ID],A460,SIP[Date Value],"&gt;="&amp;$Z$2,SIP[Date Value],"&lt;="&amp;$Z$3))</f>
        <v>0</v>
      </c>
      <c r="P460" s="49">
        <v>0</v>
      </c>
      <c r="Q460" s="49">
        <v>0</v>
      </c>
      <c r="R460" s="49">
        <v>0</v>
      </c>
    </row>
    <row r="461" spans="1:18">
      <c r="A461" t="s">
        <v>968</v>
      </c>
      <c r="B461" s="47">
        <f>SUMIFS(LS[Unit],LS[Investor ID],'TAX CERTIFICATE'!A461,LS[Date Value],"&lt;"&amp;$Z$2)+SUMIFS(SIP[Unit],SIP[Investor ID],'TAX CERTIFICATE'!A461,SIP[Date Value],"&lt;"&amp;$Z$2)</f>
        <v>0</v>
      </c>
      <c r="C461" s="48">
        <f>(SUMIFS(LS[Amount],LS[B/S],"B",LS[Investor ID],A461,LS[Date Value],"&lt;"&amp;$Z$2)-SUMIFS(LS[Cost of Units Sold],LS[B/S],"S",LS[Investor ID],A461,LS[Date Value],"&lt;"&amp;$Z$2))+(SUMIFS(SIP[Amount],SIP[B/S],"B",SIP[Investor ID],#REF!,SIP[Date Value],"&lt;"&amp;$Z$2)-SUMIFS(SIP[Cost of Units Sold],SIP[B/S],"S",SIP[Investor ID],A461,SIP[Date Value],"&lt;"&amp;$Z$2))</f>
        <v>0</v>
      </c>
      <c r="D461" s="49">
        <f t="shared" si="35"/>
        <v>0</v>
      </c>
      <c r="E461" s="49">
        <f t="shared" si="36"/>
        <v>0</v>
      </c>
      <c r="F461" s="47">
        <f>SUMIFS(LS[Unit],LS[Investor ID],A461,LS[Date Value],"&lt;="&amp;$Z$3)+SUMIFS(SIP[Unit],SIP[Investor ID],A461,SIP[Date Value],"&lt;="&amp;$Z$3)</f>
        <v>5380</v>
      </c>
      <c r="G461" s="49">
        <f>(SUMIFS(LS[Amount],LS[B/S],"B",LS[Investor ID],A461,LS[Date Value],"&lt;="&amp;$Z$3)-SUMIFS(LS[Cost of Units Sold],LS[B/S],"S",LS[Investor ID],A461,LS[Date Value],"&lt;="&amp;$Z$3))+(SUMIFS(SIP[Amount],SIP[B/S],"B",SIP[Investor ID],A461,SIP[Date Value],"&lt;="&amp;$Z$3)-SUMIFS(SIP[Cost of Units Sold],SIP[B/S],"S",SIP[Investor ID],A461,SIP[Date Value],"&lt;="&amp;$Z$3))</f>
        <v>60000</v>
      </c>
      <c r="H461" s="49">
        <f t="shared" si="37"/>
        <v>60062.32</v>
      </c>
      <c r="I461" s="49">
        <f t="shared" si="38"/>
        <v>62.319999999999709</v>
      </c>
      <c r="J461" s="47">
        <f>(SUMIFS(LS[Unit],LS[Investor ID],A461,LS[B/S],"B",LS[Date Value],"&gt;="&amp;$Z$2,LS[Date Value],"&lt;="&amp;$Z$3))+(SUMIFS(SIP[Unit],SIP[Investor ID],A461,SIP[B/S],"B",SIP[Date Value],"&gt;="&amp;$Z$2,SIP[Date Value],"&lt;="&amp;$Z$3))</f>
        <v>5380</v>
      </c>
      <c r="K461" s="49">
        <f>(SUMIFS(LS[Amount],LS[Investor ID],A461,LS[B/S],"B",LS[Date Value],"&gt;="&amp;$Z$2,LS[Date Value],"&lt;="&amp;$Z$3))+(SUMIFS(SIP[Amount],SIP[Investor ID],A461,SIP[B/S],"B",SIP[Date Value],"&gt;="&amp;$Z$2,SIP[Date Value],"&lt;="&amp;$Z$3))</f>
        <v>60000</v>
      </c>
      <c r="L461" s="47">
        <f>(-SUMIFS(LS[Unit],LS[Investor ID],A461,LS[B/S],"S",LS[Date Value],"&gt;="&amp;$Z$2,LS[Date Value],"&lt;="&amp;$Z$3))+(-SUMIFS(SIP[Unit],SIP[Investor ID],A461,SIP[B/S],"S",SIP[Date Value],"&gt;="&amp;$Z$2,SIP[Date Value],"&lt;="&amp;$Z$3))</f>
        <v>0</v>
      </c>
      <c r="M461" s="49">
        <f>(SUMIFS(LS[Cost of Units Sold],LS[Investor ID],A461,LS[B/S],"S",LS[Date Value],"&gt;="&amp;$Z$2,LS[Date Value],"&lt;="&amp;$Z$3))+(SUMIFS(SIP[Cost of Units Sold],SIP[Investor ID],A461,SIP[B/S],"S",SIP[Date Value],"&gt;="&amp;$Z$2,SIP[Date Value],"&lt;="&amp;$Z$3))</f>
        <v>0</v>
      </c>
      <c r="N461" s="49">
        <f t="shared" si="39"/>
        <v>60000</v>
      </c>
      <c r="O461" s="49">
        <f>(SUMIFS(LS[Realized Gain],LS[Investor ID],A461,LS[Date Value],"&gt;="&amp;$Z$2,LS[Date Value],"&lt;="&amp;$Z$3))+(SUMIFS(SIP[Realized Gain],SIP[Investor ID],A461,SIP[Date Value],"&gt;="&amp;$Z$2,SIP[Date Value],"&lt;="&amp;$Z$3))</f>
        <v>0</v>
      </c>
      <c r="P461" s="49">
        <v>0</v>
      </c>
      <c r="Q461" s="49">
        <v>0</v>
      </c>
      <c r="R461" s="49">
        <v>0</v>
      </c>
    </row>
    <row r="462" spans="1:18">
      <c r="A462" t="s">
        <v>970</v>
      </c>
      <c r="B462" s="47">
        <f>SUMIFS(LS[Unit],LS[Investor ID],'TAX CERTIFICATE'!A462,LS[Date Value],"&lt;"&amp;$Z$2)+SUMIFS(SIP[Unit],SIP[Investor ID],'TAX CERTIFICATE'!A462,SIP[Date Value],"&lt;"&amp;$Z$2)</f>
        <v>100000</v>
      </c>
      <c r="C462" s="48">
        <f>(SUMIFS(LS[Amount],LS[B/S],"B",LS[Investor ID],A462,LS[Date Value],"&lt;"&amp;$Z$2)-SUMIFS(LS[Cost of Units Sold],LS[B/S],"S",LS[Investor ID],A462,LS[Date Value],"&lt;"&amp;$Z$2))+(SUMIFS(SIP[Amount],SIP[B/S],"B",SIP[Investor ID],#REF!,SIP[Date Value],"&lt;"&amp;$Z$2)-SUMIFS(SIP[Cost of Units Sold],SIP[B/S],"S",SIP[Investor ID],A462,SIP[Date Value],"&lt;"&amp;$Z$2))</f>
        <v>1000000</v>
      </c>
      <c r="D462" s="49">
        <f t="shared" si="35"/>
        <v>1027100.0000000001</v>
      </c>
      <c r="E462" s="49">
        <f t="shared" si="36"/>
        <v>27100.000000000116</v>
      </c>
      <c r="F462" s="47">
        <f>SUMIFS(LS[Unit],LS[Investor ID],A462,LS[Date Value],"&lt;="&amp;$Z$3)+SUMIFS(SIP[Unit],SIP[Investor ID],A462,SIP[Date Value],"&lt;="&amp;$Z$3)</f>
        <v>100000</v>
      </c>
      <c r="G462" s="49">
        <f>(SUMIFS(LS[Amount],LS[B/S],"B",LS[Investor ID],A462,LS[Date Value],"&lt;="&amp;$Z$3)-SUMIFS(LS[Cost of Units Sold],LS[B/S],"S",LS[Investor ID],A462,LS[Date Value],"&lt;="&amp;$Z$3))+(SUMIFS(SIP[Amount],SIP[B/S],"B",SIP[Investor ID],A462,SIP[Date Value],"&lt;="&amp;$Z$3)-SUMIFS(SIP[Cost of Units Sold],SIP[B/S],"S",SIP[Investor ID],A462,SIP[Date Value],"&lt;="&amp;$Z$3))</f>
        <v>1000000</v>
      </c>
      <c r="H462" s="49">
        <f t="shared" si="37"/>
        <v>1116400</v>
      </c>
      <c r="I462" s="49">
        <f t="shared" si="38"/>
        <v>116400</v>
      </c>
      <c r="J462" s="47">
        <f>(SUMIFS(LS[Unit],LS[Investor ID],A462,LS[B/S],"B",LS[Date Value],"&gt;="&amp;$Z$2,LS[Date Value],"&lt;="&amp;$Z$3))+(SUMIFS(SIP[Unit],SIP[Investor ID],A462,SIP[B/S],"B",SIP[Date Value],"&gt;="&amp;$Z$2,SIP[Date Value],"&lt;="&amp;$Z$3))</f>
        <v>0</v>
      </c>
      <c r="K462" s="49">
        <f>(SUMIFS(LS[Amount],LS[Investor ID],A462,LS[B/S],"B",LS[Date Value],"&gt;="&amp;$Z$2,LS[Date Value],"&lt;="&amp;$Z$3))+(SUMIFS(SIP[Amount],SIP[Investor ID],A462,SIP[B/S],"B",SIP[Date Value],"&gt;="&amp;$Z$2,SIP[Date Value],"&lt;="&amp;$Z$3))</f>
        <v>0</v>
      </c>
      <c r="L462" s="47">
        <f>(-SUMIFS(LS[Unit],LS[Investor ID],A462,LS[B/S],"S",LS[Date Value],"&gt;="&amp;$Z$2,LS[Date Value],"&lt;="&amp;$Z$3))+(-SUMIFS(SIP[Unit],SIP[Investor ID],A462,SIP[B/S],"S",SIP[Date Value],"&gt;="&amp;$Z$2,SIP[Date Value],"&lt;="&amp;$Z$3))</f>
        <v>0</v>
      </c>
      <c r="M462" s="49">
        <f>(SUMIFS(LS[Cost of Units Sold],LS[Investor ID],A462,LS[B/S],"S",LS[Date Value],"&gt;="&amp;$Z$2,LS[Date Value],"&lt;="&amp;$Z$3))+(SUMIFS(SIP[Cost of Units Sold],SIP[Investor ID],A462,SIP[B/S],"S",SIP[Date Value],"&gt;="&amp;$Z$2,SIP[Date Value],"&lt;="&amp;$Z$3))</f>
        <v>0</v>
      </c>
      <c r="N462" s="49">
        <f t="shared" si="39"/>
        <v>0</v>
      </c>
      <c r="O462" s="49">
        <f>(SUMIFS(LS[Realized Gain],LS[Investor ID],A462,LS[Date Value],"&gt;="&amp;$Z$2,LS[Date Value],"&lt;="&amp;$Z$3))+(SUMIFS(SIP[Realized Gain],SIP[Investor ID],A462,SIP[Date Value],"&gt;="&amp;$Z$2,SIP[Date Value],"&lt;="&amp;$Z$3))</f>
        <v>0</v>
      </c>
      <c r="P462" s="49">
        <v>0</v>
      </c>
      <c r="Q462" s="49">
        <v>0</v>
      </c>
      <c r="R462" s="49">
        <v>0</v>
      </c>
    </row>
    <row r="463" spans="1:18">
      <c r="A463" t="s">
        <v>972</v>
      </c>
      <c r="B463" s="47">
        <f>SUMIFS(LS[Unit],LS[Investor ID],'TAX CERTIFICATE'!A463,LS[Date Value],"&lt;"&amp;$Z$2)+SUMIFS(SIP[Unit],SIP[Investor ID],'TAX CERTIFICATE'!A463,SIP[Date Value],"&lt;"&amp;$Z$2)</f>
        <v>50000</v>
      </c>
      <c r="C463" s="48">
        <f>(SUMIFS(LS[Amount],LS[B/S],"B",LS[Investor ID],A463,LS[Date Value],"&lt;"&amp;$Z$2)-SUMIFS(LS[Cost of Units Sold],LS[B/S],"S",LS[Investor ID],A463,LS[Date Value],"&lt;"&amp;$Z$2))+(SUMIFS(SIP[Amount],SIP[B/S],"B",SIP[Investor ID],#REF!,SIP[Date Value],"&lt;"&amp;$Z$2)-SUMIFS(SIP[Cost of Units Sold],SIP[B/S],"S",SIP[Investor ID],A463,SIP[Date Value],"&lt;"&amp;$Z$2))</f>
        <v>500000</v>
      </c>
      <c r="D463" s="49">
        <f t="shared" si="35"/>
        <v>513550.00000000006</v>
      </c>
      <c r="E463" s="49">
        <f t="shared" si="36"/>
        <v>13550.000000000058</v>
      </c>
      <c r="F463" s="47">
        <f>SUMIFS(LS[Unit],LS[Investor ID],A463,LS[Date Value],"&lt;="&amp;$Z$3)+SUMIFS(SIP[Unit],SIP[Investor ID],A463,SIP[Date Value],"&lt;="&amp;$Z$3)</f>
        <v>50000</v>
      </c>
      <c r="G463" s="49">
        <f>(SUMIFS(LS[Amount],LS[B/S],"B",LS[Investor ID],A463,LS[Date Value],"&lt;="&amp;$Z$3)-SUMIFS(LS[Cost of Units Sold],LS[B/S],"S",LS[Investor ID],A463,LS[Date Value],"&lt;="&amp;$Z$3))+(SUMIFS(SIP[Amount],SIP[B/S],"B",SIP[Investor ID],A463,SIP[Date Value],"&lt;="&amp;$Z$3)-SUMIFS(SIP[Cost of Units Sold],SIP[B/S],"S",SIP[Investor ID],A463,SIP[Date Value],"&lt;="&amp;$Z$3))</f>
        <v>500000</v>
      </c>
      <c r="H463" s="49">
        <f t="shared" si="37"/>
        <v>558200</v>
      </c>
      <c r="I463" s="49">
        <f t="shared" si="38"/>
        <v>58200</v>
      </c>
      <c r="J463" s="47">
        <f>(SUMIFS(LS[Unit],LS[Investor ID],A463,LS[B/S],"B",LS[Date Value],"&gt;="&amp;$Z$2,LS[Date Value],"&lt;="&amp;$Z$3))+(SUMIFS(SIP[Unit],SIP[Investor ID],A463,SIP[B/S],"B",SIP[Date Value],"&gt;="&amp;$Z$2,SIP[Date Value],"&lt;="&amp;$Z$3))</f>
        <v>0</v>
      </c>
      <c r="K463" s="49">
        <f>(SUMIFS(LS[Amount],LS[Investor ID],A463,LS[B/S],"B",LS[Date Value],"&gt;="&amp;$Z$2,LS[Date Value],"&lt;="&amp;$Z$3))+(SUMIFS(SIP[Amount],SIP[Investor ID],A463,SIP[B/S],"B",SIP[Date Value],"&gt;="&amp;$Z$2,SIP[Date Value],"&lt;="&amp;$Z$3))</f>
        <v>0</v>
      </c>
      <c r="L463" s="47">
        <f>(-SUMIFS(LS[Unit],LS[Investor ID],A463,LS[B/S],"S",LS[Date Value],"&gt;="&amp;$Z$2,LS[Date Value],"&lt;="&amp;$Z$3))+(-SUMIFS(SIP[Unit],SIP[Investor ID],A463,SIP[B/S],"S",SIP[Date Value],"&gt;="&amp;$Z$2,SIP[Date Value],"&lt;="&amp;$Z$3))</f>
        <v>0</v>
      </c>
      <c r="M463" s="49">
        <f>(SUMIFS(LS[Cost of Units Sold],LS[Investor ID],A463,LS[B/S],"S",LS[Date Value],"&gt;="&amp;$Z$2,LS[Date Value],"&lt;="&amp;$Z$3))+(SUMIFS(SIP[Cost of Units Sold],SIP[Investor ID],A463,SIP[B/S],"S",SIP[Date Value],"&gt;="&amp;$Z$2,SIP[Date Value],"&lt;="&amp;$Z$3))</f>
        <v>0</v>
      </c>
      <c r="N463" s="49">
        <f t="shared" si="39"/>
        <v>0</v>
      </c>
      <c r="O463" s="49">
        <f>(SUMIFS(LS[Realized Gain],LS[Investor ID],A463,LS[Date Value],"&gt;="&amp;$Z$2,LS[Date Value],"&lt;="&amp;$Z$3))+(SUMIFS(SIP[Realized Gain],SIP[Investor ID],A463,SIP[Date Value],"&gt;="&amp;$Z$2,SIP[Date Value],"&lt;="&amp;$Z$3))</f>
        <v>0</v>
      </c>
      <c r="P463" s="49">
        <v>0</v>
      </c>
      <c r="Q463" s="49">
        <v>0</v>
      </c>
      <c r="R463" s="49">
        <v>0</v>
      </c>
    </row>
    <row r="464" spans="1:18">
      <c r="A464" t="s">
        <v>974</v>
      </c>
      <c r="B464" s="47">
        <f>SUMIFS(LS[Unit],LS[Investor ID],'TAX CERTIFICATE'!A464,LS[Date Value],"&lt;"&amp;$Z$2)+SUMIFS(SIP[Unit],SIP[Investor ID],'TAX CERTIFICATE'!A464,SIP[Date Value],"&lt;"&amp;$Z$2)</f>
        <v>200000</v>
      </c>
      <c r="C464" s="48">
        <f>(SUMIFS(LS[Amount],LS[B/S],"B",LS[Investor ID],A464,LS[Date Value],"&lt;"&amp;$Z$2)-SUMIFS(LS[Cost of Units Sold],LS[B/S],"S",LS[Investor ID],A464,LS[Date Value],"&lt;"&amp;$Z$2))+(SUMIFS(SIP[Amount],SIP[B/S],"B",SIP[Investor ID],#REF!,SIP[Date Value],"&lt;"&amp;$Z$2)-SUMIFS(SIP[Cost of Units Sold],SIP[B/S],"S",SIP[Investor ID],A464,SIP[Date Value],"&lt;"&amp;$Z$2))</f>
        <v>2005150</v>
      </c>
      <c r="D464" s="49">
        <f t="shared" si="35"/>
        <v>2054200.0000000002</v>
      </c>
      <c r="E464" s="49">
        <f t="shared" si="36"/>
        <v>49050.000000000233</v>
      </c>
      <c r="F464" s="47">
        <f>SUMIFS(LS[Unit],LS[Investor ID],A464,LS[Date Value],"&lt;="&amp;$Z$3)+SUMIFS(SIP[Unit],SIP[Investor ID],A464,SIP[Date Value],"&lt;="&amp;$Z$3)</f>
        <v>771210</v>
      </c>
      <c r="G464" s="49">
        <f>(SUMIFS(LS[Amount],LS[B/S],"B",LS[Investor ID],A464,LS[Date Value],"&lt;="&amp;$Z$3)-SUMIFS(LS[Cost of Units Sold],LS[B/S],"S",LS[Investor ID],A464,LS[Date Value],"&lt;="&amp;$Z$3))+(SUMIFS(SIP[Amount],SIP[B/S],"B",SIP[Investor ID],A464,SIP[Date Value],"&lt;="&amp;$Z$3)-SUMIFS(SIP[Cost of Units Sold],SIP[B/S],"S",SIP[Investor ID],A464,SIP[Date Value],"&lt;="&amp;$Z$3))</f>
        <v>8000000</v>
      </c>
      <c r="H464" s="49">
        <f t="shared" si="37"/>
        <v>8609788.4399999995</v>
      </c>
      <c r="I464" s="49">
        <f t="shared" si="38"/>
        <v>609788.43999999948</v>
      </c>
      <c r="J464" s="47">
        <f>(SUMIFS(LS[Unit],LS[Investor ID],A464,LS[B/S],"B",LS[Date Value],"&gt;="&amp;$Z$2,LS[Date Value],"&lt;="&amp;$Z$3))+(SUMIFS(SIP[Unit],SIP[Investor ID],A464,SIP[B/S],"B",SIP[Date Value],"&gt;="&amp;$Z$2,SIP[Date Value],"&lt;="&amp;$Z$3))</f>
        <v>571210</v>
      </c>
      <c r="K464" s="49">
        <f>(SUMIFS(LS[Amount],LS[Investor ID],A464,LS[B/S],"B",LS[Date Value],"&gt;="&amp;$Z$2,LS[Date Value],"&lt;="&amp;$Z$3))+(SUMIFS(SIP[Amount],SIP[Investor ID],A464,SIP[B/S],"B",SIP[Date Value],"&gt;="&amp;$Z$2,SIP[Date Value],"&lt;="&amp;$Z$3))</f>
        <v>5994850</v>
      </c>
      <c r="L464" s="47">
        <f>(-SUMIFS(LS[Unit],LS[Investor ID],A464,LS[B/S],"S",LS[Date Value],"&gt;="&amp;$Z$2,LS[Date Value],"&lt;="&amp;$Z$3))+(-SUMIFS(SIP[Unit],SIP[Investor ID],A464,SIP[B/S],"S",SIP[Date Value],"&gt;="&amp;$Z$2,SIP[Date Value],"&lt;="&amp;$Z$3))</f>
        <v>0</v>
      </c>
      <c r="M464" s="49">
        <f>(SUMIFS(LS[Cost of Units Sold],LS[Investor ID],A464,LS[B/S],"S",LS[Date Value],"&gt;="&amp;$Z$2,LS[Date Value],"&lt;="&amp;$Z$3))+(SUMIFS(SIP[Cost of Units Sold],SIP[Investor ID],A464,SIP[B/S],"S",SIP[Date Value],"&gt;="&amp;$Z$2,SIP[Date Value],"&lt;="&amp;$Z$3))</f>
        <v>0</v>
      </c>
      <c r="N464" s="49">
        <f t="shared" si="39"/>
        <v>5994850</v>
      </c>
      <c r="O464" s="49">
        <f>(SUMIFS(LS[Realized Gain],LS[Investor ID],A464,LS[Date Value],"&gt;="&amp;$Z$2,LS[Date Value],"&lt;="&amp;$Z$3))+(SUMIFS(SIP[Realized Gain],SIP[Investor ID],A464,SIP[Date Value],"&gt;="&amp;$Z$2,SIP[Date Value],"&lt;="&amp;$Z$3))</f>
        <v>0</v>
      </c>
      <c r="P464" s="49">
        <v>0</v>
      </c>
      <c r="Q464" s="49">
        <v>0</v>
      </c>
      <c r="R464" s="49">
        <v>0</v>
      </c>
    </row>
    <row r="465" spans="1:18">
      <c r="A465" t="s">
        <v>976</v>
      </c>
      <c r="B465" s="47">
        <f>SUMIFS(LS[Unit],LS[Investor ID],'TAX CERTIFICATE'!A465,LS[Date Value],"&lt;"&amp;$Z$2)+SUMIFS(SIP[Unit],SIP[Investor ID],'TAX CERTIFICATE'!A465,SIP[Date Value],"&lt;"&amp;$Z$2)</f>
        <v>1300000</v>
      </c>
      <c r="C465" s="48">
        <f>(SUMIFS(LS[Amount],LS[B/S],"B",LS[Investor ID],A465,LS[Date Value],"&lt;"&amp;$Z$2)-SUMIFS(LS[Cost of Units Sold],LS[B/S],"S",LS[Investor ID],A465,LS[Date Value],"&lt;"&amp;$Z$2))+(SUMIFS(SIP[Amount],SIP[B/S],"B",SIP[Investor ID],#REF!,SIP[Date Value],"&lt;"&amp;$Z$2)-SUMIFS(SIP[Cost of Units Sold],SIP[B/S],"S",SIP[Investor ID],A465,SIP[Date Value],"&lt;"&amp;$Z$2))</f>
        <v>13111000</v>
      </c>
      <c r="D465" s="49">
        <f t="shared" si="35"/>
        <v>13352300.000000002</v>
      </c>
      <c r="E465" s="49">
        <f t="shared" si="36"/>
        <v>241300.00000000186</v>
      </c>
      <c r="F465" s="47">
        <f>SUMIFS(LS[Unit],LS[Investor ID],A465,LS[Date Value],"&lt;="&amp;$Z$3)+SUMIFS(SIP[Unit],SIP[Investor ID],A465,SIP[Date Value],"&lt;="&amp;$Z$3)</f>
        <v>665700</v>
      </c>
      <c r="G465" s="49">
        <f>(SUMIFS(LS[Amount],LS[B/S],"B",LS[Investor ID],A465,LS[Date Value],"&lt;="&amp;$Z$3)-SUMIFS(LS[Cost of Units Sold],LS[B/S],"S",LS[Investor ID],A465,LS[Date Value],"&lt;="&amp;$Z$3))+(SUMIFS(SIP[Amount],SIP[B/S],"B",SIP[Investor ID],A465,SIP[Date Value],"&lt;="&amp;$Z$3)-SUMIFS(SIP[Cost of Units Sold],SIP[B/S],"S",SIP[Investor ID],A465,SIP[Date Value],"&lt;="&amp;$Z$3))</f>
        <v>6713840.5384615371</v>
      </c>
      <c r="H465" s="49">
        <f t="shared" si="37"/>
        <v>7431874.7999999998</v>
      </c>
      <c r="I465" s="49">
        <f t="shared" si="38"/>
        <v>718034.26153846271</v>
      </c>
      <c r="J465" s="47">
        <f>(SUMIFS(LS[Unit],LS[Investor ID],A465,LS[B/S],"B",LS[Date Value],"&gt;="&amp;$Z$2,LS[Date Value],"&lt;="&amp;$Z$3))+(SUMIFS(SIP[Unit],SIP[Investor ID],A465,SIP[B/S],"B",SIP[Date Value],"&gt;="&amp;$Z$2,SIP[Date Value],"&lt;="&amp;$Z$3))</f>
        <v>0</v>
      </c>
      <c r="K465" s="49">
        <f>(SUMIFS(LS[Amount],LS[Investor ID],A465,LS[B/S],"B",LS[Date Value],"&gt;="&amp;$Z$2,LS[Date Value],"&lt;="&amp;$Z$3))+(SUMIFS(SIP[Amount],SIP[Investor ID],A465,SIP[B/S],"B",SIP[Date Value],"&gt;="&amp;$Z$2,SIP[Date Value],"&lt;="&amp;$Z$3))</f>
        <v>0</v>
      </c>
      <c r="L465" s="47">
        <f>(-SUMIFS(LS[Unit],LS[Investor ID],A465,LS[B/S],"S",LS[Date Value],"&gt;="&amp;$Z$2,LS[Date Value],"&lt;="&amp;$Z$3))+(-SUMIFS(SIP[Unit],SIP[Investor ID],A465,SIP[B/S],"S",SIP[Date Value],"&gt;="&amp;$Z$2,SIP[Date Value],"&lt;="&amp;$Z$3))</f>
        <v>634300</v>
      </c>
      <c r="M465" s="49">
        <f>(SUMIFS(LS[Cost of Units Sold],LS[Investor ID],A465,LS[B/S],"S",LS[Date Value],"&gt;="&amp;$Z$2,LS[Date Value],"&lt;="&amp;$Z$3))+(SUMIFS(SIP[Cost of Units Sold],SIP[Investor ID],A465,SIP[B/S],"S",SIP[Date Value],"&gt;="&amp;$Z$2,SIP[Date Value],"&lt;="&amp;$Z$3))</f>
        <v>6397159.4615384629</v>
      </c>
      <c r="N465" s="49">
        <f t="shared" si="39"/>
        <v>-6397159.4615384629</v>
      </c>
      <c r="O465" s="49">
        <f>(SUMIFS(LS[Realized Gain],LS[Investor ID],A465,LS[Date Value],"&gt;="&amp;$Z$2,LS[Date Value],"&lt;="&amp;$Z$3))+(SUMIFS(SIP[Realized Gain],SIP[Investor ID],A465,SIP[Date Value],"&gt;="&amp;$Z$2,SIP[Date Value],"&lt;="&amp;$Z$3))</f>
        <v>602975.33846153691</v>
      </c>
      <c r="P465" s="49">
        <v>0</v>
      </c>
      <c r="Q465" s="49">
        <v>0</v>
      </c>
      <c r="R465" s="49">
        <v>0</v>
      </c>
    </row>
    <row r="466" spans="1:18">
      <c r="A466" t="s">
        <v>978</v>
      </c>
      <c r="B466" s="47">
        <f>SUMIFS(LS[Unit],LS[Investor ID],'TAX CERTIFICATE'!A466,LS[Date Value],"&lt;"&amp;$Z$2)+SUMIFS(SIP[Unit],SIP[Investor ID],'TAX CERTIFICATE'!A466,SIP[Date Value],"&lt;"&amp;$Z$2)</f>
        <v>150000</v>
      </c>
      <c r="C466" s="48">
        <f>(SUMIFS(LS[Amount],LS[B/S],"B",LS[Investor ID],A466,LS[Date Value],"&lt;"&amp;$Z$2)-SUMIFS(LS[Cost of Units Sold],LS[B/S],"S",LS[Investor ID],A466,LS[Date Value],"&lt;"&amp;$Z$2))+(SUMIFS(SIP[Amount],SIP[B/S],"B",SIP[Investor ID],#REF!,SIP[Date Value],"&lt;"&amp;$Z$2)-SUMIFS(SIP[Cost of Units Sold],SIP[B/S],"S",SIP[Investor ID],A466,SIP[Date Value],"&lt;"&amp;$Z$2))</f>
        <v>1500000</v>
      </c>
      <c r="D466" s="49">
        <f t="shared" si="35"/>
        <v>1540650.0000000002</v>
      </c>
      <c r="E466" s="49">
        <f t="shared" si="36"/>
        <v>40650.000000000233</v>
      </c>
      <c r="F466" s="47">
        <f>SUMIFS(LS[Unit],LS[Investor ID],A466,LS[Date Value],"&lt;="&amp;$Z$3)+SUMIFS(SIP[Unit],SIP[Investor ID],A466,SIP[Date Value],"&lt;="&amp;$Z$3)</f>
        <v>510000</v>
      </c>
      <c r="G466" s="49">
        <f>(SUMIFS(LS[Amount],LS[B/S],"B",LS[Investor ID],A466,LS[Date Value],"&lt;="&amp;$Z$3)-SUMIFS(LS[Cost of Units Sold],LS[B/S],"S",LS[Investor ID],A466,LS[Date Value],"&lt;="&amp;$Z$3))+(SUMIFS(SIP[Amount],SIP[B/S],"B",SIP[Investor ID],A466,SIP[Date Value],"&lt;="&amp;$Z$3)-SUMIFS(SIP[Cost of Units Sold],SIP[B/S],"S",SIP[Investor ID],A466,SIP[Date Value],"&lt;="&amp;$Z$3))</f>
        <v>5367840</v>
      </c>
      <c r="H466" s="49">
        <f t="shared" si="37"/>
        <v>5693640</v>
      </c>
      <c r="I466" s="49">
        <f t="shared" si="38"/>
        <v>325800</v>
      </c>
      <c r="J466" s="47">
        <f>(SUMIFS(LS[Unit],LS[Investor ID],A466,LS[B/S],"B",LS[Date Value],"&gt;="&amp;$Z$2,LS[Date Value],"&lt;="&amp;$Z$3))+(SUMIFS(SIP[Unit],SIP[Investor ID],A466,SIP[B/S],"B",SIP[Date Value],"&gt;="&amp;$Z$2,SIP[Date Value],"&lt;="&amp;$Z$3))</f>
        <v>360000</v>
      </c>
      <c r="K466" s="49">
        <f>(SUMIFS(LS[Amount],LS[Investor ID],A466,LS[B/S],"B",LS[Date Value],"&gt;="&amp;$Z$2,LS[Date Value],"&lt;="&amp;$Z$3))+(SUMIFS(SIP[Amount],SIP[Investor ID],A466,SIP[B/S],"B",SIP[Date Value],"&gt;="&amp;$Z$2,SIP[Date Value],"&lt;="&amp;$Z$3))</f>
        <v>3867840</v>
      </c>
      <c r="L466" s="47">
        <f>(-SUMIFS(LS[Unit],LS[Investor ID],A466,LS[B/S],"S",LS[Date Value],"&gt;="&amp;$Z$2,LS[Date Value],"&lt;="&amp;$Z$3))+(-SUMIFS(SIP[Unit],SIP[Investor ID],A466,SIP[B/S],"S",SIP[Date Value],"&gt;="&amp;$Z$2,SIP[Date Value],"&lt;="&amp;$Z$3))</f>
        <v>0</v>
      </c>
      <c r="M466" s="49">
        <f>(SUMIFS(LS[Cost of Units Sold],LS[Investor ID],A466,LS[B/S],"S",LS[Date Value],"&gt;="&amp;$Z$2,LS[Date Value],"&lt;="&amp;$Z$3))+(SUMIFS(SIP[Cost of Units Sold],SIP[Investor ID],A466,SIP[B/S],"S",SIP[Date Value],"&gt;="&amp;$Z$2,SIP[Date Value],"&lt;="&amp;$Z$3))</f>
        <v>0</v>
      </c>
      <c r="N466" s="49">
        <f t="shared" si="39"/>
        <v>3867840</v>
      </c>
      <c r="O466" s="49">
        <f>(SUMIFS(LS[Realized Gain],LS[Investor ID],A466,LS[Date Value],"&gt;="&amp;$Z$2,LS[Date Value],"&lt;="&amp;$Z$3))+(SUMIFS(SIP[Realized Gain],SIP[Investor ID],A466,SIP[Date Value],"&gt;="&amp;$Z$2,SIP[Date Value],"&lt;="&amp;$Z$3))</f>
        <v>0</v>
      </c>
      <c r="P466" s="49">
        <v>0</v>
      </c>
      <c r="Q466" s="49">
        <v>0</v>
      </c>
      <c r="R466" s="49">
        <v>0</v>
      </c>
    </row>
    <row r="467" spans="1:18">
      <c r="A467" t="s">
        <v>980</v>
      </c>
      <c r="B467" s="47">
        <f>SUMIFS(LS[Unit],LS[Investor ID],'TAX CERTIFICATE'!A467,LS[Date Value],"&lt;"&amp;$Z$2)+SUMIFS(SIP[Unit],SIP[Investor ID],'TAX CERTIFICATE'!A467,SIP[Date Value],"&lt;"&amp;$Z$2)</f>
        <v>2500</v>
      </c>
      <c r="C467" s="48">
        <f>(SUMIFS(LS[Amount],LS[B/S],"B",LS[Investor ID],A467,LS[Date Value],"&lt;"&amp;$Z$2)-SUMIFS(LS[Cost of Units Sold],LS[B/S],"S",LS[Investor ID],A467,LS[Date Value],"&lt;"&amp;$Z$2))+(SUMIFS(SIP[Amount],SIP[B/S],"B",SIP[Investor ID],#REF!,SIP[Date Value],"&lt;"&amp;$Z$2)-SUMIFS(SIP[Cost of Units Sold],SIP[B/S],"S",SIP[Investor ID],A467,SIP[Date Value],"&lt;"&amp;$Z$2))</f>
        <v>25000</v>
      </c>
      <c r="D467" s="49">
        <f t="shared" si="35"/>
        <v>25677.500000000004</v>
      </c>
      <c r="E467" s="49">
        <f t="shared" si="36"/>
        <v>677.50000000000364</v>
      </c>
      <c r="F467" s="47">
        <f>SUMIFS(LS[Unit],LS[Investor ID],A467,LS[Date Value],"&lt;="&amp;$Z$3)+SUMIFS(SIP[Unit],SIP[Investor ID],A467,SIP[Date Value],"&lt;="&amp;$Z$3)</f>
        <v>0</v>
      </c>
      <c r="G467" s="49">
        <f>(SUMIFS(LS[Amount],LS[B/S],"B",LS[Investor ID],A467,LS[Date Value],"&lt;="&amp;$Z$3)-SUMIFS(LS[Cost of Units Sold],LS[B/S],"S",LS[Investor ID],A467,LS[Date Value],"&lt;="&amp;$Z$3))+(SUMIFS(SIP[Amount],SIP[B/S],"B",SIP[Investor ID],A467,SIP[Date Value],"&lt;="&amp;$Z$3)-SUMIFS(SIP[Cost of Units Sold],SIP[B/S],"S",SIP[Investor ID],A467,SIP[Date Value],"&lt;="&amp;$Z$3))</f>
        <v>0</v>
      </c>
      <c r="H467" s="49">
        <f t="shared" si="37"/>
        <v>0</v>
      </c>
      <c r="I467" s="49">
        <f t="shared" si="38"/>
        <v>0</v>
      </c>
      <c r="J467" s="47">
        <f>(SUMIFS(LS[Unit],LS[Investor ID],A467,LS[B/S],"B",LS[Date Value],"&gt;="&amp;$Z$2,LS[Date Value],"&lt;="&amp;$Z$3))+(SUMIFS(SIP[Unit],SIP[Investor ID],A467,SIP[B/S],"B",SIP[Date Value],"&gt;="&amp;$Z$2,SIP[Date Value],"&lt;="&amp;$Z$3))</f>
        <v>0</v>
      </c>
      <c r="K467" s="49">
        <f>(SUMIFS(LS[Amount],LS[Investor ID],A467,LS[B/S],"B",LS[Date Value],"&gt;="&amp;$Z$2,LS[Date Value],"&lt;="&amp;$Z$3))+(SUMIFS(SIP[Amount],SIP[Investor ID],A467,SIP[B/S],"B",SIP[Date Value],"&gt;="&amp;$Z$2,SIP[Date Value],"&lt;="&amp;$Z$3))</f>
        <v>0</v>
      </c>
      <c r="L467" s="47">
        <f>(-SUMIFS(LS[Unit],LS[Investor ID],A467,LS[B/S],"S",LS[Date Value],"&gt;="&amp;$Z$2,LS[Date Value],"&lt;="&amp;$Z$3))+(-SUMIFS(SIP[Unit],SIP[Investor ID],A467,SIP[B/S],"S",SIP[Date Value],"&gt;="&amp;$Z$2,SIP[Date Value],"&lt;="&amp;$Z$3))</f>
        <v>2500</v>
      </c>
      <c r="M467" s="49">
        <f>(SUMIFS(LS[Cost of Units Sold],LS[Investor ID],A467,LS[B/S],"S",LS[Date Value],"&gt;="&amp;$Z$2,LS[Date Value],"&lt;="&amp;$Z$3))+(SUMIFS(SIP[Cost of Units Sold],SIP[Investor ID],A467,SIP[B/S],"S",SIP[Date Value],"&gt;="&amp;$Z$2,SIP[Date Value],"&lt;="&amp;$Z$3))</f>
        <v>25000</v>
      </c>
      <c r="N467" s="49">
        <f t="shared" si="39"/>
        <v>-25000</v>
      </c>
      <c r="O467" s="49">
        <f>(SUMIFS(LS[Realized Gain],LS[Investor ID],A467,LS[Date Value],"&gt;="&amp;$Z$2,LS[Date Value],"&lt;="&amp;$Z$3))+(SUMIFS(SIP[Realized Gain],SIP[Investor ID],A467,SIP[Date Value],"&gt;="&amp;$Z$2,SIP[Date Value],"&lt;="&amp;$Z$3))</f>
        <v>2879.9999999999982</v>
      </c>
      <c r="P467" s="49">
        <v>0</v>
      </c>
      <c r="Q467" s="49">
        <v>0</v>
      </c>
      <c r="R467" s="49">
        <v>0</v>
      </c>
    </row>
    <row r="468" spans="1:18">
      <c r="A468" t="s">
        <v>982</v>
      </c>
      <c r="B468" s="47">
        <f>SUMIFS(LS[Unit],LS[Investor ID],'TAX CERTIFICATE'!A468,LS[Date Value],"&lt;"&amp;$Z$2)+SUMIFS(SIP[Unit],SIP[Investor ID],'TAX CERTIFICATE'!A468,SIP[Date Value],"&lt;"&amp;$Z$2)</f>
        <v>20000</v>
      </c>
      <c r="C468" s="48">
        <f>(SUMIFS(LS[Amount],LS[B/S],"B",LS[Investor ID],A468,LS[Date Value],"&lt;"&amp;$Z$2)-SUMIFS(LS[Cost of Units Sold],LS[B/S],"S",LS[Investor ID],A468,LS[Date Value],"&lt;"&amp;$Z$2))+(SUMIFS(SIP[Amount],SIP[B/S],"B",SIP[Investor ID],#REF!,SIP[Date Value],"&lt;"&amp;$Z$2)-SUMIFS(SIP[Cost of Units Sold],SIP[B/S],"S",SIP[Investor ID],A468,SIP[Date Value],"&lt;"&amp;$Z$2))</f>
        <v>200000</v>
      </c>
      <c r="D468" s="49">
        <f t="shared" si="35"/>
        <v>205420.00000000003</v>
      </c>
      <c r="E468" s="49">
        <f t="shared" si="36"/>
        <v>5420.0000000000291</v>
      </c>
      <c r="F468" s="47">
        <f>SUMIFS(LS[Unit],LS[Investor ID],A468,LS[Date Value],"&lt;="&amp;$Z$3)+SUMIFS(SIP[Unit],SIP[Investor ID],A468,SIP[Date Value],"&lt;="&amp;$Z$3)</f>
        <v>0</v>
      </c>
      <c r="G468" s="49">
        <f>(SUMIFS(LS[Amount],LS[B/S],"B",LS[Investor ID],A468,LS[Date Value],"&lt;="&amp;$Z$3)-SUMIFS(LS[Cost of Units Sold],LS[B/S],"S",LS[Investor ID],A468,LS[Date Value],"&lt;="&amp;$Z$3))+(SUMIFS(SIP[Amount],SIP[B/S],"B",SIP[Investor ID],A468,SIP[Date Value],"&lt;="&amp;$Z$3)-SUMIFS(SIP[Cost of Units Sold],SIP[B/S],"S",SIP[Investor ID],A468,SIP[Date Value],"&lt;="&amp;$Z$3))</f>
        <v>-1.1641532182693481E-10</v>
      </c>
      <c r="H468" s="49">
        <f t="shared" si="37"/>
        <v>0</v>
      </c>
      <c r="I468" s="49">
        <f t="shared" si="38"/>
        <v>1.1641532182693481E-10</v>
      </c>
      <c r="J468" s="47">
        <f>(SUMIFS(LS[Unit],LS[Investor ID],A468,LS[B/S],"B",LS[Date Value],"&gt;="&amp;$Z$2,LS[Date Value],"&lt;="&amp;$Z$3))+(SUMIFS(SIP[Unit],SIP[Investor ID],A468,SIP[B/S],"B",SIP[Date Value],"&gt;="&amp;$Z$2,SIP[Date Value],"&lt;="&amp;$Z$3))</f>
        <v>54971</v>
      </c>
      <c r="K468" s="49">
        <f>(SUMIFS(LS[Amount],LS[Investor ID],A468,LS[B/S],"B",LS[Date Value],"&gt;="&amp;$Z$2,LS[Date Value],"&lt;="&amp;$Z$3))+(SUMIFS(SIP[Amount],SIP[Investor ID],A468,SIP[B/S],"B",SIP[Date Value],"&gt;="&amp;$Z$2,SIP[Date Value],"&lt;="&amp;$Z$3))</f>
        <v>600000</v>
      </c>
      <c r="L468" s="47">
        <f>(-SUMIFS(LS[Unit],LS[Investor ID],A468,LS[B/S],"S",LS[Date Value],"&gt;="&amp;$Z$2,LS[Date Value],"&lt;="&amp;$Z$3))+(-SUMIFS(SIP[Unit],SIP[Investor ID],A468,SIP[B/S],"S",SIP[Date Value],"&gt;="&amp;$Z$2,SIP[Date Value],"&lt;="&amp;$Z$3))</f>
        <v>74971</v>
      </c>
      <c r="M468" s="49">
        <f>(SUMIFS(LS[Cost of Units Sold],LS[Investor ID],A468,LS[B/S],"S",LS[Date Value],"&gt;="&amp;$Z$2,LS[Date Value],"&lt;="&amp;$Z$3))+(SUMIFS(SIP[Cost of Units Sold],SIP[Investor ID],A468,SIP[B/S],"S",SIP[Date Value],"&gt;="&amp;$Z$2,SIP[Date Value],"&lt;="&amp;$Z$3))</f>
        <v>800000.00000000012</v>
      </c>
      <c r="N468" s="49">
        <f t="shared" si="39"/>
        <v>-200000.00000000012</v>
      </c>
      <c r="O468" s="49">
        <f>(SUMIFS(LS[Realized Gain],LS[Investor ID],A468,LS[Date Value],"&gt;="&amp;$Z$2,LS[Date Value],"&lt;="&amp;$Z$3))+(SUMIFS(SIP[Realized Gain],SIP[Investor ID],A468,SIP[Date Value],"&gt;="&amp;$Z$2,SIP[Date Value],"&lt;="&amp;$Z$3))</f>
        <v>21646.269999999924</v>
      </c>
      <c r="P468" s="49">
        <v>0</v>
      </c>
      <c r="Q468" s="49">
        <v>0</v>
      </c>
      <c r="R468" s="49">
        <v>0</v>
      </c>
    </row>
    <row r="469" spans="1:18">
      <c r="A469" t="s">
        <v>984</v>
      </c>
      <c r="B469" s="47">
        <f>SUMIFS(LS[Unit],LS[Investor ID],'TAX CERTIFICATE'!A469,LS[Date Value],"&lt;"&amp;$Z$2)+SUMIFS(SIP[Unit],SIP[Investor ID],'TAX CERTIFICATE'!A469,SIP[Date Value],"&lt;"&amp;$Z$2)</f>
        <v>38700</v>
      </c>
      <c r="C469" s="48">
        <f>(SUMIFS(LS[Amount],LS[B/S],"B",LS[Investor ID],A469,LS[Date Value],"&lt;"&amp;$Z$2)-SUMIFS(LS[Cost of Units Sold],LS[B/S],"S",LS[Investor ID],A469,LS[Date Value],"&lt;"&amp;$Z$2))+(SUMIFS(SIP[Amount],SIP[B/S],"B",SIP[Investor ID],#REF!,SIP[Date Value],"&lt;"&amp;$Z$2)-SUMIFS(SIP[Cost of Units Sold],SIP[B/S],"S",SIP[Investor ID],A469,SIP[Date Value],"&lt;"&amp;$Z$2))</f>
        <v>387001</v>
      </c>
      <c r="D469" s="49">
        <f t="shared" si="35"/>
        <v>397487.7</v>
      </c>
      <c r="E469" s="49">
        <f t="shared" si="36"/>
        <v>10486.700000000012</v>
      </c>
      <c r="F469" s="47">
        <f>SUMIFS(LS[Unit],LS[Investor ID],A469,LS[Date Value],"&lt;="&amp;$Z$3)+SUMIFS(SIP[Unit],SIP[Investor ID],A469,SIP[Date Value],"&lt;="&amp;$Z$3)</f>
        <v>38700</v>
      </c>
      <c r="G469" s="49">
        <f>(SUMIFS(LS[Amount],LS[B/S],"B",LS[Investor ID],A469,LS[Date Value],"&lt;="&amp;$Z$3)-SUMIFS(LS[Cost of Units Sold],LS[B/S],"S",LS[Investor ID],A469,LS[Date Value],"&lt;="&amp;$Z$3))+(SUMIFS(SIP[Amount],SIP[B/S],"B",SIP[Investor ID],A469,SIP[Date Value],"&lt;="&amp;$Z$3)-SUMIFS(SIP[Cost of Units Sold],SIP[B/S],"S",SIP[Investor ID],A469,SIP[Date Value],"&lt;="&amp;$Z$3))</f>
        <v>387001</v>
      </c>
      <c r="H469" s="49">
        <f t="shared" si="37"/>
        <v>432046.8</v>
      </c>
      <c r="I469" s="49">
        <f t="shared" si="38"/>
        <v>45045.799999999988</v>
      </c>
      <c r="J469" s="47">
        <f>(SUMIFS(LS[Unit],LS[Investor ID],A469,LS[B/S],"B",LS[Date Value],"&gt;="&amp;$Z$2,LS[Date Value],"&lt;="&amp;$Z$3))+(SUMIFS(SIP[Unit],SIP[Investor ID],A469,SIP[B/S],"B",SIP[Date Value],"&gt;="&amp;$Z$2,SIP[Date Value],"&lt;="&amp;$Z$3))</f>
        <v>0</v>
      </c>
      <c r="K469" s="49">
        <f>(SUMIFS(LS[Amount],LS[Investor ID],A469,LS[B/S],"B",LS[Date Value],"&gt;="&amp;$Z$2,LS[Date Value],"&lt;="&amp;$Z$3))+(SUMIFS(SIP[Amount],SIP[Investor ID],A469,SIP[B/S],"B",SIP[Date Value],"&gt;="&amp;$Z$2,SIP[Date Value],"&lt;="&amp;$Z$3))</f>
        <v>0</v>
      </c>
      <c r="L469" s="47">
        <f>(-SUMIFS(LS[Unit],LS[Investor ID],A469,LS[B/S],"S",LS[Date Value],"&gt;="&amp;$Z$2,LS[Date Value],"&lt;="&amp;$Z$3))+(-SUMIFS(SIP[Unit],SIP[Investor ID],A469,SIP[B/S],"S",SIP[Date Value],"&gt;="&amp;$Z$2,SIP[Date Value],"&lt;="&amp;$Z$3))</f>
        <v>0</v>
      </c>
      <c r="M469" s="49">
        <f>(SUMIFS(LS[Cost of Units Sold],LS[Investor ID],A469,LS[B/S],"S",LS[Date Value],"&gt;="&amp;$Z$2,LS[Date Value],"&lt;="&amp;$Z$3))+(SUMIFS(SIP[Cost of Units Sold],SIP[Investor ID],A469,SIP[B/S],"S",SIP[Date Value],"&gt;="&amp;$Z$2,SIP[Date Value],"&lt;="&amp;$Z$3))</f>
        <v>0</v>
      </c>
      <c r="N469" s="49">
        <f t="shared" si="39"/>
        <v>0</v>
      </c>
      <c r="O469" s="49">
        <f>(SUMIFS(LS[Realized Gain],LS[Investor ID],A469,LS[Date Value],"&gt;="&amp;$Z$2,LS[Date Value],"&lt;="&amp;$Z$3))+(SUMIFS(SIP[Realized Gain],SIP[Investor ID],A469,SIP[Date Value],"&gt;="&amp;$Z$2,SIP[Date Value],"&lt;="&amp;$Z$3))</f>
        <v>0</v>
      </c>
      <c r="P469" s="49">
        <v>0</v>
      </c>
      <c r="Q469" s="49">
        <v>0</v>
      </c>
      <c r="R469" s="49">
        <v>0</v>
      </c>
    </row>
    <row r="470" spans="1:18">
      <c r="A470" t="s">
        <v>986</v>
      </c>
      <c r="B470" s="47">
        <f>SUMIFS(LS[Unit],LS[Investor ID],'TAX CERTIFICATE'!A470,LS[Date Value],"&lt;"&amp;$Z$2)+SUMIFS(SIP[Unit],SIP[Investor ID],'TAX CERTIFICATE'!A470,SIP[Date Value],"&lt;"&amp;$Z$2)</f>
        <v>71714</v>
      </c>
      <c r="C470" s="48">
        <f>(SUMIFS(LS[Amount],LS[B/S],"B",LS[Investor ID],A470,LS[Date Value],"&lt;"&amp;$Z$2)-SUMIFS(LS[Cost of Units Sold],LS[B/S],"S",LS[Investor ID],A470,LS[Date Value],"&lt;"&amp;$Z$2))+(SUMIFS(SIP[Amount],SIP[B/S],"B",SIP[Investor ID],#REF!,SIP[Date Value],"&lt;"&amp;$Z$2)-SUMIFS(SIP[Cost of Units Sold],SIP[B/S],"S",SIP[Investor ID],A470,SIP[Date Value],"&lt;"&amp;$Z$2))</f>
        <v>725101.6157408345</v>
      </c>
      <c r="D470" s="49">
        <f t="shared" si="35"/>
        <v>736574.49400000006</v>
      </c>
      <c r="E470" s="49">
        <f t="shared" si="36"/>
        <v>11472.878259165562</v>
      </c>
      <c r="F470" s="47">
        <f>SUMIFS(LS[Unit],LS[Investor ID],A470,LS[Date Value],"&lt;="&amp;$Z$3)+SUMIFS(SIP[Unit],SIP[Investor ID],A470,SIP[Date Value],"&lt;="&amp;$Z$3)</f>
        <v>947218</v>
      </c>
      <c r="G470" s="49">
        <f>(SUMIFS(LS[Amount],LS[B/S],"B",LS[Investor ID],A470,LS[Date Value],"&lt;="&amp;$Z$3)-SUMIFS(LS[Cost of Units Sold],LS[B/S],"S",LS[Investor ID],A470,LS[Date Value],"&lt;="&amp;$Z$3))+(SUMIFS(SIP[Amount],SIP[B/S],"B",SIP[Investor ID],A470,SIP[Date Value],"&lt;="&amp;$Z$3)-SUMIFS(SIP[Cost of Units Sold],SIP[B/S],"S",SIP[Investor ID],A470,SIP[Date Value],"&lt;="&amp;$Z$3))</f>
        <v>10580000</v>
      </c>
      <c r="H470" s="49">
        <f t="shared" si="37"/>
        <v>10574741.752</v>
      </c>
      <c r="I470" s="49">
        <f t="shared" si="38"/>
        <v>-5258.2479999996722</v>
      </c>
      <c r="J470" s="47">
        <f>(SUMIFS(LS[Unit],LS[Investor ID],A470,LS[B/S],"B",LS[Date Value],"&gt;="&amp;$Z$2,LS[Date Value],"&lt;="&amp;$Z$3))+(SUMIFS(SIP[Unit],SIP[Investor ID],A470,SIP[B/S],"B",SIP[Date Value],"&gt;="&amp;$Z$2,SIP[Date Value],"&lt;="&amp;$Z$3))</f>
        <v>947218</v>
      </c>
      <c r="K470" s="49">
        <f>(SUMIFS(LS[Amount],LS[Investor ID],A470,LS[B/S],"B",LS[Date Value],"&gt;="&amp;$Z$2,LS[Date Value],"&lt;="&amp;$Z$3))+(SUMIFS(SIP[Amount],SIP[Investor ID],A470,SIP[B/S],"B",SIP[Date Value],"&gt;="&amp;$Z$2,SIP[Date Value],"&lt;="&amp;$Z$3))</f>
        <v>10580000</v>
      </c>
      <c r="L470" s="47">
        <f>(-SUMIFS(LS[Unit],LS[Investor ID],A470,LS[B/S],"S",LS[Date Value],"&gt;="&amp;$Z$2,LS[Date Value],"&lt;="&amp;$Z$3))+(-SUMIFS(SIP[Unit],SIP[Investor ID],A470,SIP[B/S],"S",SIP[Date Value],"&gt;="&amp;$Z$2,SIP[Date Value],"&lt;="&amp;$Z$3))</f>
        <v>71714</v>
      </c>
      <c r="M470" s="49">
        <f>(SUMIFS(LS[Cost of Units Sold],LS[Investor ID],A470,LS[B/S],"S",LS[Date Value],"&gt;="&amp;$Z$2,LS[Date Value],"&lt;="&amp;$Z$3))+(SUMIFS(SIP[Cost of Units Sold],SIP[Investor ID],A470,SIP[B/S],"S",SIP[Date Value],"&gt;="&amp;$Z$2,SIP[Date Value],"&lt;="&amp;$Z$3))</f>
        <v>725101.61574083427</v>
      </c>
      <c r="N470" s="49">
        <f t="shared" si="39"/>
        <v>9854898.3842591662</v>
      </c>
      <c r="O470" s="49">
        <f>(SUMIFS(LS[Realized Gain],LS[Investor ID],A470,LS[Date Value],"&gt;="&amp;$Z$2,LS[Date Value],"&lt;="&amp;$Z$3))+(SUMIFS(SIP[Realized Gain],SIP[Investor ID],A470,SIP[Date Value],"&gt;="&amp;$Z$2,SIP[Date Value],"&lt;="&amp;$Z$3))</f>
        <v>34708.214259165594</v>
      </c>
      <c r="P470" s="49">
        <v>0</v>
      </c>
      <c r="Q470" s="49">
        <v>0</v>
      </c>
      <c r="R470" s="49">
        <v>0</v>
      </c>
    </row>
    <row r="471" spans="1:18">
      <c r="A471" t="s">
        <v>988</v>
      </c>
      <c r="B471" s="47">
        <f>SUMIFS(LS[Unit],LS[Investor ID],'TAX CERTIFICATE'!A471,LS[Date Value],"&lt;"&amp;$Z$2)+SUMIFS(SIP[Unit],SIP[Investor ID],'TAX CERTIFICATE'!A471,SIP[Date Value],"&lt;"&amp;$Z$2)</f>
        <v>294</v>
      </c>
      <c r="C471" s="48">
        <f>(SUMIFS(LS[Amount],LS[B/S],"B",LS[Investor ID],A471,LS[Date Value],"&lt;"&amp;$Z$2)-SUMIFS(LS[Cost of Units Sold],LS[B/S],"S",LS[Investor ID],A471,LS[Date Value],"&lt;"&amp;$Z$2))+(SUMIFS(SIP[Amount],SIP[B/S],"B",SIP[Investor ID],#REF!,SIP[Date Value],"&lt;"&amp;$Z$2)-SUMIFS(SIP[Cost of Units Sold],SIP[B/S],"S",SIP[Investor ID],A471,SIP[Date Value],"&lt;"&amp;$Z$2))</f>
        <v>0</v>
      </c>
      <c r="D471" s="49">
        <f t="shared" si="35"/>
        <v>3019.6740000000004</v>
      </c>
      <c r="E471" s="49">
        <f t="shared" si="36"/>
        <v>3019.6740000000004</v>
      </c>
      <c r="F471" s="47">
        <f>SUMIFS(LS[Unit],LS[Investor ID],A471,LS[Date Value],"&lt;="&amp;$Z$3)+SUMIFS(SIP[Unit],SIP[Investor ID],A471,SIP[Date Value],"&lt;="&amp;$Z$3)</f>
        <v>0</v>
      </c>
      <c r="G471" s="49">
        <f>(SUMIFS(LS[Amount],LS[B/S],"B",LS[Investor ID],A471,LS[Date Value],"&lt;="&amp;$Z$3)-SUMIFS(LS[Cost of Units Sold],LS[B/S],"S",LS[Investor ID],A471,LS[Date Value],"&lt;="&amp;$Z$3))+(SUMIFS(SIP[Amount],SIP[B/S],"B",SIP[Investor ID],A471,SIP[Date Value],"&lt;="&amp;$Z$3)-SUMIFS(SIP[Cost of Units Sold],SIP[B/S],"S",SIP[Investor ID],A471,SIP[Date Value],"&lt;="&amp;$Z$3))</f>
        <v>0</v>
      </c>
      <c r="H471" s="49">
        <f t="shared" si="37"/>
        <v>0</v>
      </c>
      <c r="I471" s="49">
        <f t="shared" si="38"/>
        <v>0</v>
      </c>
      <c r="J471" s="47">
        <f>(SUMIFS(LS[Unit],LS[Investor ID],A471,LS[B/S],"B",LS[Date Value],"&gt;="&amp;$Z$2,LS[Date Value],"&lt;="&amp;$Z$3))+(SUMIFS(SIP[Unit],SIP[Investor ID],A471,SIP[B/S],"B",SIP[Date Value],"&gt;="&amp;$Z$2,SIP[Date Value],"&lt;="&amp;$Z$3))</f>
        <v>97</v>
      </c>
      <c r="K471" s="49">
        <f>(SUMIFS(LS[Amount],LS[Investor ID],A471,LS[B/S],"B",LS[Date Value],"&gt;="&amp;$Z$2,LS[Date Value],"&lt;="&amp;$Z$3))+(SUMIFS(SIP[Amount],SIP[Investor ID],A471,SIP[B/S],"B",SIP[Date Value],"&gt;="&amp;$Z$2,SIP[Date Value],"&lt;="&amp;$Z$3))</f>
        <v>1000</v>
      </c>
      <c r="L471" s="47">
        <f>(-SUMIFS(LS[Unit],LS[Investor ID],A471,LS[B/S],"S",LS[Date Value],"&gt;="&amp;$Z$2,LS[Date Value],"&lt;="&amp;$Z$3))+(-SUMIFS(SIP[Unit],SIP[Investor ID],A471,SIP[B/S],"S",SIP[Date Value],"&gt;="&amp;$Z$2,SIP[Date Value],"&lt;="&amp;$Z$3))</f>
        <v>391</v>
      </c>
      <c r="M471" s="49">
        <f>(SUMIFS(LS[Cost of Units Sold],LS[Investor ID],A471,LS[B/S],"S",LS[Date Value],"&gt;="&amp;$Z$2,LS[Date Value],"&lt;="&amp;$Z$3))+(SUMIFS(SIP[Cost of Units Sold],SIP[Investor ID],A471,SIP[B/S],"S",SIP[Date Value],"&gt;="&amp;$Z$2,SIP[Date Value],"&lt;="&amp;$Z$3))</f>
        <v>4000</v>
      </c>
      <c r="N471" s="49">
        <f t="shared" si="39"/>
        <v>-3000</v>
      </c>
      <c r="O471" s="49">
        <f>(SUMIFS(LS[Realized Gain],LS[Investor ID],A471,LS[Date Value],"&gt;="&amp;$Z$2,LS[Date Value],"&lt;="&amp;$Z$3))+(SUMIFS(SIP[Realized Gain],SIP[Investor ID],A471,SIP[Date Value],"&gt;="&amp;$Z$2,SIP[Date Value],"&lt;="&amp;$Z$3))</f>
        <v>59.360000000000277</v>
      </c>
      <c r="P471" s="49">
        <v>0</v>
      </c>
      <c r="Q471" s="49">
        <v>0</v>
      </c>
      <c r="R471" s="49">
        <v>0</v>
      </c>
    </row>
    <row r="472" spans="1:18">
      <c r="A472" t="s">
        <v>990</v>
      </c>
      <c r="B472" s="47">
        <f>SUMIFS(LS[Unit],LS[Investor ID],'TAX CERTIFICATE'!A472,LS[Date Value],"&lt;"&amp;$Z$2)+SUMIFS(SIP[Unit],SIP[Investor ID],'TAX CERTIFICATE'!A472,SIP[Date Value],"&lt;"&amp;$Z$2)</f>
        <v>294</v>
      </c>
      <c r="C472" s="48">
        <f>(SUMIFS(LS[Amount],LS[B/S],"B",LS[Investor ID],A472,LS[Date Value],"&lt;"&amp;$Z$2)-SUMIFS(LS[Cost of Units Sold],LS[B/S],"S",LS[Investor ID],A472,LS[Date Value],"&lt;"&amp;$Z$2))+(SUMIFS(SIP[Amount],SIP[B/S],"B",SIP[Investor ID],#REF!,SIP[Date Value],"&lt;"&amp;$Z$2)-SUMIFS(SIP[Cost of Units Sold],SIP[B/S],"S",SIP[Investor ID],A472,SIP[Date Value],"&lt;"&amp;$Z$2))</f>
        <v>0</v>
      </c>
      <c r="D472" s="49">
        <f t="shared" si="35"/>
        <v>3019.6740000000004</v>
      </c>
      <c r="E472" s="49">
        <f t="shared" si="36"/>
        <v>3019.6740000000004</v>
      </c>
      <c r="F472" s="47">
        <f>SUMIFS(LS[Unit],LS[Investor ID],A472,LS[Date Value],"&lt;="&amp;$Z$3)+SUMIFS(SIP[Unit],SIP[Investor ID],A472,SIP[Date Value],"&lt;="&amp;$Z$3)</f>
        <v>0</v>
      </c>
      <c r="G472" s="49">
        <f>(SUMIFS(LS[Amount],LS[B/S],"B",LS[Investor ID],A472,LS[Date Value],"&lt;="&amp;$Z$3)-SUMIFS(LS[Cost of Units Sold],LS[B/S],"S",LS[Investor ID],A472,LS[Date Value],"&lt;="&amp;$Z$3))+(SUMIFS(SIP[Amount],SIP[B/S],"B",SIP[Investor ID],A472,SIP[Date Value],"&lt;="&amp;$Z$3)-SUMIFS(SIP[Cost of Units Sold],SIP[B/S],"S",SIP[Investor ID],A472,SIP[Date Value],"&lt;="&amp;$Z$3))</f>
        <v>0</v>
      </c>
      <c r="H472" s="49">
        <f t="shared" si="37"/>
        <v>0</v>
      </c>
      <c r="I472" s="49">
        <f t="shared" si="38"/>
        <v>0</v>
      </c>
      <c r="J472" s="47">
        <f>(SUMIFS(LS[Unit],LS[Investor ID],A472,LS[B/S],"B",LS[Date Value],"&gt;="&amp;$Z$2,LS[Date Value],"&lt;="&amp;$Z$3))+(SUMIFS(SIP[Unit],SIP[Investor ID],A472,SIP[B/S],"B",SIP[Date Value],"&gt;="&amp;$Z$2,SIP[Date Value],"&lt;="&amp;$Z$3))</f>
        <v>97</v>
      </c>
      <c r="K472" s="49">
        <f>(SUMIFS(LS[Amount],LS[Investor ID],A472,LS[B/S],"B",LS[Date Value],"&gt;="&amp;$Z$2,LS[Date Value],"&lt;="&amp;$Z$3))+(SUMIFS(SIP[Amount],SIP[Investor ID],A472,SIP[B/S],"B",SIP[Date Value],"&gt;="&amp;$Z$2,SIP[Date Value],"&lt;="&amp;$Z$3))</f>
        <v>1000</v>
      </c>
      <c r="L472" s="47">
        <f>(-SUMIFS(LS[Unit],LS[Investor ID],A472,LS[B/S],"S",LS[Date Value],"&gt;="&amp;$Z$2,LS[Date Value],"&lt;="&amp;$Z$3))+(-SUMIFS(SIP[Unit],SIP[Investor ID],A472,SIP[B/S],"S",SIP[Date Value],"&gt;="&amp;$Z$2,SIP[Date Value],"&lt;="&amp;$Z$3))</f>
        <v>391</v>
      </c>
      <c r="M472" s="49">
        <f>(SUMIFS(LS[Cost of Units Sold],LS[Investor ID],A472,LS[B/S],"S",LS[Date Value],"&gt;="&amp;$Z$2,LS[Date Value],"&lt;="&amp;$Z$3))+(SUMIFS(SIP[Cost of Units Sold],SIP[Investor ID],A472,SIP[B/S],"S",SIP[Date Value],"&gt;="&amp;$Z$2,SIP[Date Value],"&lt;="&amp;$Z$3))</f>
        <v>4000</v>
      </c>
      <c r="N472" s="49">
        <f t="shared" si="39"/>
        <v>-3000</v>
      </c>
      <c r="O472" s="49">
        <f>(SUMIFS(LS[Realized Gain],LS[Investor ID],A472,LS[Date Value],"&gt;="&amp;$Z$2,LS[Date Value],"&lt;="&amp;$Z$3))+(SUMIFS(SIP[Realized Gain],SIP[Investor ID],A472,SIP[Date Value],"&gt;="&amp;$Z$2,SIP[Date Value],"&lt;="&amp;$Z$3))</f>
        <v>59.360000000000277</v>
      </c>
      <c r="P472" s="49">
        <v>0</v>
      </c>
      <c r="Q472" s="49">
        <v>0</v>
      </c>
      <c r="R472" s="49">
        <v>0</v>
      </c>
    </row>
    <row r="473" spans="1:18">
      <c r="A473" t="s">
        <v>992</v>
      </c>
      <c r="B473" s="47">
        <f>SUMIFS(LS[Unit],LS[Investor ID],'TAX CERTIFICATE'!A473,LS[Date Value],"&lt;"&amp;$Z$2)+SUMIFS(SIP[Unit],SIP[Investor ID],'TAX CERTIFICATE'!A473,SIP[Date Value],"&lt;"&amp;$Z$2)</f>
        <v>10000</v>
      </c>
      <c r="C473" s="48">
        <f>(SUMIFS(LS[Amount],LS[B/S],"B",LS[Investor ID],A473,LS[Date Value],"&lt;"&amp;$Z$2)-SUMIFS(LS[Cost of Units Sold],LS[B/S],"S",LS[Investor ID],A473,LS[Date Value],"&lt;"&amp;$Z$2))+(SUMIFS(SIP[Amount],SIP[B/S],"B",SIP[Investor ID],#REF!,SIP[Date Value],"&lt;"&amp;$Z$2)-SUMIFS(SIP[Cost of Units Sold],SIP[B/S],"S",SIP[Investor ID],A473,SIP[Date Value],"&lt;"&amp;$Z$2))</f>
        <v>101110</v>
      </c>
      <c r="D473" s="49">
        <f t="shared" si="35"/>
        <v>102710.00000000001</v>
      </c>
      <c r="E473" s="49">
        <f t="shared" si="36"/>
        <v>1600.0000000000146</v>
      </c>
      <c r="F473" s="47">
        <f>SUMIFS(LS[Unit],LS[Investor ID],A473,LS[Date Value],"&lt;="&amp;$Z$3)+SUMIFS(SIP[Unit],SIP[Investor ID],A473,SIP[Date Value],"&lt;="&amp;$Z$3)</f>
        <v>0</v>
      </c>
      <c r="G473" s="49">
        <f>(SUMIFS(LS[Amount],LS[B/S],"B",LS[Investor ID],A473,LS[Date Value],"&lt;="&amp;$Z$3)-SUMIFS(LS[Cost of Units Sold],LS[B/S],"S",LS[Investor ID],A473,LS[Date Value],"&lt;="&amp;$Z$3))+(SUMIFS(SIP[Amount],SIP[B/S],"B",SIP[Investor ID],A473,SIP[Date Value],"&lt;="&amp;$Z$3)-SUMIFS(SIP[Cost of Units Sold],SIP[B/S],"S",SIP[Investor ID],A473,SIP[Date Value],"&lt;="&amp;$Z$3))</f>
        <v>0</v>
      </c>
      <c r="H473" s="49">
        <f t="shared" si="37"/>
        <v>0</v>
      </c>
      <c r="I473" s="49">
        <f t="shared" si="38"/>
        <v>0</v>
      </c>
      <c r="J473" s="47">
        <f>(SUMIFS(LS[Unit],LS[Investor ID],A473,LS[B/S],"B",LS[Date Value],"&gt;="&amp;$Z$2,LS[Date Value],"&lt;="&amp;$Z$3))+(SUMIFS(SIP[Unit],SIP[Investor ID],A473,SIP[B/S],"B",SIP[Date Value],"&gt;="&amp;$Z$2,SIP[Date Value],"&lt;="&amp;$Z$3))</f>
        <v>0</v>
      </c>
      <c r="K473" s="49">
        <f>(SUMIFS(LS[Amount],LS[Investor ID],A473,LS[B/S],"B",LS[Date Value],"&gt;="&amp;$Z$2,LS[Date Value],"&lt;="&amp;$Z$3))+(SUMIFS(SIP[Amount],SIP[Investor ID],A473,SIP[B/S],"B",SIP[Date Value],"&gt;="&amp;$Z$2,SIP[Date Value],"&lt;="&amp;$Z$3))</f>
        <v>0</v>
      </c>
      <c r="L473" s="47">
        <f>(-SUMIFS(LS[Unit],LS[Investor ID],A473,LS[B/S],"S",LS[Date Value],"&gt;="&amp;$Z$2,LS[Date Value],"&lt;="&amp;$Z$3))+(-SUMIFS(SIP[Unit],SIP[Investor ID],A473,SIP[B/S],"S",SIP[Date Value],"&gt;="&amp;$Z$2,SIP[Date Value],"&lt;="&amp;$Z$3))</f>
        <v>10000</v>
      </c>
      <c r="M473" s="49">
        <f>(SUMIFS(LS[Cost of Units Sold],LS[Investor ID],A473,LS[B/S],"S",LS[Date Value],"&gt;="&amp;$Z$2,LS[Date Value],"&lt;="&amp;$Z$3))+(SUMIFS(SIP[Cost of Units Sold],SIP[Investor ID],A473,SIP[B/S],"S",SIP[Date Value],"&gt;="&amp;$Z$2,SIP[Date Value],"&lt;="&amp;$Z$3))</f>
        <v>101110</v>
      </c>
      <c r="N473" s="49">
        <f t="shared" si="39"/>
        <v>-101110</v>
      </c>
      <c r="O473" s="49">
        <f>(SUMIFS(LS[Realized Gain],LS[Investor ID],A473,LS[Date Value],"&gt;="&amp;$Z$2,LS[Date Value],"&lt;="&amp;$Z$3))+(SUMIFS(SIP[Realized Gain],SIP[Investor ID],A473,SIP[Date Value],"&gt;="&amp;$Z$2,SIP[Date Value],"&lt;="&amp;$Z$3))</f>
        <v>5160</v>
      </c>
      <c r="P473" s="49">
        <v>0</v>
      </c>
      <c r="Q473" s="49">
        <v>0</v>
      </c>
      <c r="R473" s="49">
        <v>0</v>
      </c>
    </row>
    <row r="474" spans="1:18">
      <c r="A474" t="s">
        <v>994</v>
      </c>
      <c r="B474" s="47">
        <f>SUMIFS(LS[Unit],LS[Investor ID],'TAX CERTIFICATE'!A474,LS[Date Value],"&lt;"&amp;$Z$2)+SUMIFS(SIP[Unit],SIP[Investor ID],'TAX CERTIFICATE'!A474,SIP[Date Value],"&lt;"&amp;$Z$2)</f>
        <v>791</v>
      </c>
      <c r="C474" s="48">
        <f>(SUMIFS(LS[Amount],LS[B/S],"B",LS[Investor ID],A474,LS[Date Value],"&lt;"&amp;$Z$2)-SUMIFS(LS[Cost of Units Sold],LS[B/S],"S",LS[Investor ID],A474,LS[Date Value],"&lt;"&amp;$Z$2))+(SUMIFS(SIP[Amount],SIP[B/S],"B",SIP[Investor ID],#REF!,SIP[Date Value],"&lt;"&amp;$Z$2)-SUMIFS(SIP[Cost of Units Sold],SIP[B/S],"S",SIP[Investor ID],A474,SIP[Date Value],"&lt;"&amp;$Z$2))</f>
        <v>8000</v>
      </c>
      <c r="D474" s="49">
        <f t="shared" si="35"/>
        <v>8124.3610000000008</v>
      </c>
      <c r="E474" s="49">
        <f t="shared" si="36"/>
        <v>124.36100000000079</v>
      </c>
      <c r="F474" s="47">
        <f>SUMIFS(LS[Unit],LS[Investor ID],A474,LS[Date Value],"&lt;="&amp;$Z$3)+SUMIFS(SIP[Unit],SIP[Investor ID],A474,SIP[Date Value],"&lt;="&amp;$Z$3)</f>
        <v>2311</v>
      </c>
      <c r="G474" s="49">
        <f>(SUMIFS(LS[Amount],LS[B/S],"B",LS[Investor ID],A474,LS[Date Value],"&lt;="&amp;$Z$3)-SUMIFS(LS[Cost of Units Sold],LS[B/S],"S",LS[Investor ID],A474,LS[Date Value],"&lt;="&amp;$Z$3))+(SUMIFS(SIP[Amount],SIP[B/S],"B",SIP[Investor ID],A474,SIP[Date Value],"&lt;="&amp;$Z$3)-SUMIFS(SIP[Cost of Units Sold],SIP[B/S],"S",SIP[Investor ID],A474,SIP[Date Value],"&lt;="&amp;$Z$3))</f>
        <v>23655</v>
      </c>
      <c r="H474" s="49">
        <f t="shared" si="37"/>
        <v>25800.004000000001</v>
      </c>
      <c r="I474" s="49">
        <f t="shared" si="38"/>
        <v>2145.0040000000008</v>
      </c>
      <c r="J474" s="47">
        <f>(SUMIFS(LS[Unit],LS[Investor ID],A474,LS[B/S],"B",LS[Date Value],"&gt;="&amp;$Z$2,LS[Date Value],"&lt;="&amp;$Z$3))+(SUMIFS(SIP[Unit],SIP[Investor ID],A474,SIP[B/S],"B",SIP[Date Value],"&gt;="&amp;$Z$2,SIP[Date Value],"&lt;="&amp;$Z$3))</f>
        <v>1520</v>
      </c>
      <c r="K474" s="49">
        <f>(SUMIFS(LS[Amount],LS[Investor ID],A474,LS[B/S],"B",LS[Date Value],"&gt;="&amp;$Z$2,LS[Date Value],"&lt;="&amp;$Z$3))+(SUMIFS(SIP[Amount],SIP[Investor ID],A474,SIP[B/S],"B",SIP[Date Value],"&gt;="&amp;$Z$2,SIP[Date Value],"&lt;="&amp;$Z$3))</f>
        <v>15655</v>
      </c>
      <c r="L474" s="47">
        <f>(-SUMIFS(LS[Unit],LS[Investor ID],A474,LS[B/S],"S",LS[Date Value],"&gt;="&amp;$Z$2,LS[Date Value],"&lt;="&amp;$Z$3))+(-SUMIFS(SIP[Unit],SIP[Investor ID],A474,SIP[B/S],"S",SIP[Date Value],"&gt;="&amp;$Z$2,SIP[Date Value],"&lt;="&amp;$Z$3))</f>
        <v>0</v>
      </c>
      <c r="M474" s="49">
        <f>(SUMIFS(LS[Cost of Units Sold],LS[Investor ID],A474,LS[B/S],"S",LS[Date Value],"&gt;="&amp;$Z$2,LS[Date Value],"&lt;="&amp;$Z$3))+(SUMIFS(SIP[Cost of Units Sold],SIP[Investor ID],A474,SIP[B/S],"S",SIP[Date Value],"&gt;="&amp;$Z$2,SIP[Date Value],"&lt;="&amp;$Z$3))</f>
        <v>0</v>
      </c>
      <c r="N474" s="49">
        <f t="shared" si="39"/>
        <v>15655</v>
      </c>
      <c r="O474" s="49">
        <f>(SUMIFS(LS[Realized Gain],LS[Investor ID],A474,LS[Date Value],"&gt;="&amp;$Z$2,LS[Date Value],"&lt;="&amp;$Z$3))+(SUMIFS(SIP[Realized Gain],SIP[Investor ID],A474,SIP[Date Value],"&gt;="&amp;$Z$2,SIP[Date Value],"&lt;="&amp;$Z$3))</f>
        <v>0</v>
      </c>
      <c r="P474" s="49">
        <v>0</v>
      </c>
      <c r="Q474" s="49">
        <v>0</v>
      </c>
      <c r="R474" s="49">
        <v>0</v>
      </c>
    </row>
    <row r="475" spans="1:18">
      <c r="A475" t="s">
        <v>996</v>
      </c>
      <c r="B475" s="47">
        <f>SUMIFS(LS[Unit],LS[Investor ID],'TAX CERTIFICATE'!A475,LS[Date Value],"&lt;"&amp;$Z$2)+SUMIFS(SIP[Unit],SIP[Investor ID],'TAX CERTIFICATE'!A475,SIP[Date Value],"&lt;"&amp;$Z$2)</f>
        <v>1969</v>
      </c>
      <c r="C475" s="48">
        <f>(SUMIFS(LS[Amount],LS[B/S],"B",LS[Investor ID],A475,LS[Date Value],"&lt;"&amp;$Z$2)-SUMIFS(LS[Cost of Units Sold],LS[B/S],"S",LS[Investor ID],A475,LS[Date Value],"&lt;"&amp;$Z$2))+(SUMIFS(SIP[Amount],SIP[B/S],"B",SIP[Investor ID],#REF!,SIP[Date Value],"&lt;"&amp;$Z$2)-SUMIFS(SIP[Cost of Units Sold],SIP[B/S],"S",SIP[Investor ID],A475,SIP[Date Value],"&lt;"&amp;$Z$2))</f>
        <v>0</v>
      </c>
      <c r="D475" s="49">
        <f t="shared" si="35"/>
        <v>20223.599000000002</v>
      </c>
      <c r="E475" s="49">
        <f t="shared" si="36"/>
        <v>20223.599000000002</v>
      </c>
      <c r="F475" s="47">
        <f>SUMIFS(LS[Unit],LS[Investor ID],A475,LS[Date Value],"&lt;="&amp;$Z$3)+SUMIFS(SIP[Unit],SIP[Investor ID],A475,SIP[Date Value],"&lt;="&amp;$Z$3)</f>
        <v>13215</v>
      </c>
      <c r="G475" s="49">
        <f>(SUMIFS(LS[Amount],LS[B/S],"B",LS[Investor ID],A475,LS[Date Value],"&lt;="&amp;$Z$3)-SUMIFS(LS[Cost of Units Sold],LS[B/S],"S",LS[Investor ID],A475,LS[Date Value],"&lt;="&amp;$Z$3))+(SUMIFS(SIP[Amount],SIP[B/S],"B",SIP[Investor ID],A475,SIP[Date Value],"&lt;="&amp;$Z$3)-SUMIFS(SIP[Cost of Units Sold],SIP[B/S],"S",SIP[Investor ID],A475,SIP[Date Value],"&lt;="&amp;$Z$3))</f>
        <v>140000</v>
      </c>
      <c r="H475" s="49">
        <f t="shared" si="37"/>
        <v>147532.26</v>
      </c>
      <c r="I475" s="49">
        <f t="shared" si="38"/>
        <v>7532.2600000000093</v>
      </c>
      <c r="J475" s="47">
        <f>(SUMIFS(LS[Unit],LS[Investor ID],A475,LS[B/S],"B",LS[Date Value],"&gt;="&amp;$Z$2,LS[Date Value],"&lt;="&amp;$Z$3))+(SUMIFS(SIP[Unit],SIP[Investor ID],A475,SIP[B/S],"B",SIP[Date Value],"&gt;="&amp;$Z$2,SIP[Date Value],"&lt;="&amp;$Z$3))</f>
        <v>11246</v>
      </c>
      <c r="K475" s="49">
        <f>(SUMIFS(LS[Amount],LS[Investor ID],A475,LS[B/S],"B",LS[Date Value],"&gt;="&amp;$Z$2,LS[Date Value],"&lt;="&amp;$Z$3))+(SUMIFS(SIP[Amount],SIP[Investor ID],A475,SIP[B/S],"B",SIP[Date Value],"&gt;="&amp;$Z$2,SIP[Date Value],"&lt;="&amp;$Z$3))</f>
        <v>120000</v>
      </c>
      <c r="L475" s="47">
        <f>(-SUMIFS(LS[Unit],LS[Investor ID],A475,LS[B/S],"S",LS[Date Value],"&gt;="&amp;$Z$2,LS[Date Value],"&lt;="&amp;$Z$3))+(-SUMIFS(SIP[Unit],SIP[Investor ID],A475,SIP[B/S],"S",SIP[Date Value],"&gt;="&amp;$Z$2,SIP[Date Value],"&lt;="&amp;$Z$3))</f>
        <v>0</v>
      </c>
      <c r="M475" s="49">
        <f>(SUMIFS(LS[Cost of Units Sold],LS[Investor ID],A475,LS[B/S],"S",LS[Date Value],"&gt;="&amp;$Z$2,LS[Date Value],"&lt;="&amp;$Z$3))+(SUMIFS(SIP[Cost of Units Sold],SIP[Investor ID],A475,SIP[B/S],"S",SIP[Date Value],"&gt;="&amp;$Z$2,SIP[Date Value],"&lt;="&amp;$Z$3))</f>
        <v>0</v>
      </c>
      <c r="N475" s="49">
        <f t="shared" si="39"/>
        <v>120000</v>
      </c>
      <c r="O475" s="49">
        <f>(SUMIFS(LS[Realized Gain],LS[Investor ID],A475,LS[Date Value],"&gt;="&amp;$Z$2,LS[Date Value],"&lt;="&amp;$Z$3))+(SUMIFS(SIP[Realized Gain],SIP[Investor ID],A475,SIP[Date Value],"&gt;="&amp;$Z$2,SIP[Date Value],"&lt;="&amp;$Z$3))</f>
        <v>0</v>
      </c>
      <c r="P475" s="49">
        <v>0</v>
      </c>
      <c r="Q475" s="49">
        <v>0</v>
      </c>
      <c r="R475" s="49">
        <v>0</v>
      </c>
    </row>
    <row r="476" spans="1:18">
      <c r="A476" t="s">
        <v>998</v>
      </c>
      <c r="B476" s="47">
        <f>SUMIFS(LS[Unit],LS[Investor ID],'TAX CERTIFICATE'!A476,LS[Date Value],"&lt;"&amp;$Z$2)+SUMIFS(SIP[Unit],SIP[Investor ID],'TAX CERTIFICATE'!A476,SIP[Date Value],"&lt;"&amp;$Z$2)</f>
        <v>98756</v>
      </c>
      <c r="C476" s="48">
        <f>(SUMIFS(LS[Amount],LS[B/S],"B",LS[Investor ID],A476,LS[Date Value],"&lt;"&amp;$Z$2)-SUMIFS(LS[Cost of Units Sold],LS[B/S],"S",LS[Investor ID],A476,LS[Date Value],"&lt;"&amp;$Z$2))+(SUMIFS(SIP[Amount],SIP[B/S],"B",SIP[Investor ID],#REF!,SIP[Date Value],"&lt;"&amp;$Z$2)-SUMIFS(SIP[Cost of Units Sold],SIP[B/S],"S",SIP[Investor ID],A476,SIP[Date Value],"&lt;"&amp;$Z$2))</f>
        <v>1000000</v>
      </c>
      <c r="D476" s="49">
        <f t="shared" si="35"/>
        <v>1014322.876</v>
      </c>
      <c r="E476" s="49">
        <f t="shared" si="36"/>
        <v>14322.876000000047</v>
      </c>
      <c r="F476" s="47">
        <f>SUMIFS(LS[Unit],LS[Investor ID],A476,LS[Date Value],"&lt;="&amp;$Z$3)+SUMIFS(SIP[Unit],SIP[Investor ID],A476,SIP[Date Value],"&lt;="&amp;$Z$3)</f>
        <v>52400</v>
      </c>
      <c r="G476" s="49">
        <f>(SUMIFS(LS[Amount],LS[B/S],"B",LS[Investor ID],A476,LS[Date Value],"&lt;="&amp;$Z$3)-SUMIFS(LS[Cost of Units Sold],LS[B/S],"S",LS[Investor ID],A476,LS[Date Value],"&lt;="&amp;$Z$3))+(SUMIFS(SIP[Amount],SIP[B/S],"B",SIP[Investor ID],A476,SIP[Date Value],"&lt;="&amp;$Z$3)-SUMIFS(SIP[Cost of Units Sold],SIP[B/S],"S",SIP[Investor ID],A476,SIP[Date Value],"&lt;="&amp;$Z$3))</f>
        <v>530600.67236421071</v>
      </c>
      <c r="H476" s="49">
        <f t="shared" si="37"/>
        <v>584993.6</v>
      </c>
      <c r="I476" s="49">
        <f t="shared" si="38"/>
        <v>54392.927635789267</v>
      </c>
      <c r="J476" s="47">
        <f>(SUMIFS(LS[Unit],LS[Investor ID],A476,LS[B/S],"B",LS[Date Value],"&gt;="&amp;$Z$2,LS[Date Value],"&lt;="&amp;$Z$3))+(SUMIFS(SIP[Unit],SIP[Investor ID],A476,SIP[B/S],"B",SIP[Date Value],"&gt;="&amp;$Z$2,SIP[Date Value],"&lt;="&amp;$Z$3))</f>
        <v>0</v>
      </c>
      <c r="K476" s="49">
        <f>(SUMIFS(LS[Amount],LS[Investor ID],A476,LS[B/S],"B",LS[Date Value],"&gt;="&amp;$Z$2,LS[Date Value],"&lt;="&amp;$Z$3))+(SUMIFS(SIP[Amount],SIP[Investor ID],A476,SIP[B/S],"B",SIP[Date Value],"&gt;="&amp;$Z$2,SIP[Date Value],"&lt;="&amp;$Z$3))</f>
        <v>0</v>
      </c>
      <c r="L476" s="47">
        <f>(-SUMIFS(LS[Unit],LS[Investor ID],A476,LS[B/S],"S",LS[Date Value],"&gt;="&amp;$Z$2,LS[Date Value],"&lt;="&amp;$Z$3))+(-SUMIFS(SIP[Unit],SIP[Investor ID],A476,SIP[B/S],"S",SIP[Date Value],"&gt;="&amp;$Z$2,SIP[Date Value],"&lt;="&amp;$Z$3))</f>
        <v>46356</v>
      </c>
      <c r="M476" s="49">
        <f>(SUMIFS(LS[Cost of Units Sold],LS[Investor ID],A476,LS[B/S],"S",LS[Date Value],"&gt;="&amp;$Z$2,LS[Date Value],"&lt;="&amp;$Z$3))+(SUMIFS(SIP[Cost of Units Sold],SIP[Investor ID],A476,SIP[B/S],"S",SIP[Date Value],"&gt;="&amp;$Z$2,SIP[Date Value],"&lt;="&amp;$Z$3))</f>
        <v>469399.32763578923</v>
      </c>
      <c r="N476" s="49">
        <f t="shared" si="39"/>
        <v>-469399.32763578923</v>
      </c>
      <c r="O476" s="49">
        <f>(SUMIFS(LS[Realized Gain],LS[Investor ID],A476,LS[Date Value],"&gt;="&amp;$Z$2,LS[Date Value],"&lt;="&amp;$Z$3))+(SUMIFS(SIP[Realized Gain],SIP[Investor ID],A476,SIP[Date Value],"&gt;="&amp;$Z$2,SIP[Date Value],"&lt;="&amp;$Z$3))</f>
        <v>30600.672364210775</v>
      </c>
      <c r="P476" s="49">
        <v>0</v>
      </c>
      <c r="Q476" s="49">
        <v>0</v>
      </c>
      <c r="R476" s="49">
        <v>0</v>
      </c>
    </row>
    <row r="477" spans="1:18">
      <c r="A477" t="s">
        <v>1000</v>
      </c>
      <c r="B477" s="47">
        <f>SUMIFS(LS[Unit],LS[Investor ID],'TAX CERTIFICATE'!A477,LS[Date Value],"&lt;"&amp;$Z$2)+SUMIFS(SIP[Unit],SIP[Investor ID],'TAX CERTIFICATE'!A477,SIP[Date Value],"&lt;"&amp;$Z$2)</f>
        <v>491</v>
      </c>
      <c r="C477" s="48">
        <f>(SUMIFS(LS[Amount],LS[B/S],"B",LS[Investor ID],A477,LS[Date Value],"&lt;"&amp;$Z$2)-SUMIFS(LS[Cost of Units Sold],LS[B/S],"S",LS[Investor ID],A477,LS[Date Value],"&lt;"&amp;$Z$2))+(SUMIFS(SIP[Amount],SIP[B/S],"B",SIP[Investor ID],#REF!,SIP[Date Value],"&lt;"&amp;$Z$2)-SUMIFS(SIP[Cost of Units Sold],SIP[B/S],"S",SIP[Investor ID],A477,SIP[Date Value],"&lt;"&amp;$Z$2))</f>
        <v>0</v>
      </c>
      <c r="D477" s="49">
        <f t="shared" si="35"/>
        <v>5043.0610000000006</v>
      </c>
      <c r="E477" s="49">
        <f t="shared" si="36"/>
        <v>5043.0610000000006</v>
      </c>
      <c r="F477" s="47">
        <f>SUMIFS(LS[Unit],LS[Investor ID],A477,LS[Date Value],"&lt;="&amp;$Z$3)+SUMIFS(SIP[Unit],SIP[Investor ID],A477,SIP[Date Value],"&lt;="&amp;$Z$3)</f>
        <v>0</v>
      </c>
      <c r="G477" s="49">
        <f>(SUMIFS(LS[Amount],LS[B/S],"B",LS[Investor ID],A477,LS[Date Value],"&lt;="&amp;$Z$3)-SUMIFS(LS[Cost of Units Sold],LS[B/S],"S",LS[Investor ID],A477,LS[Date Value],"&lt;="&amp;$Z$3))+(SUMIFS(SIP[Amount],SIP[B/S],"B",SIP[Investor ID],A477,SIP[Date Value],"&lt;="&amp;$Z$3)-SUMIFS(SIP[Cost of Units Sold],SIP[B/S],"S",SIP[Investor ID],A477,SIP[Date Value],"&lt;="&amp;$Z$3))</f>
        <v>0</v>
      </c>
      <c r="H477" s="49">
        <f t="shared" si="37"/>
        <v>0</v>
      </c>
      <c r="I477" s="49">
        <f t="shared" si="38"/>
        <v>0</v>
      </c>
      <c r="J477" s="47">
        <f>(SUMIFS(LS[Unit],LS[Investor ID],A477,LS[B/S],"B",LS[Date Value],"&gt;="&amp;$Z$2,LS[Date Value],"&lt;="&amp;$Z$3))+(SUMIFS(SIP[Unit],SIP[Investor ID],A477,SIP[B/S],"B",SIP[Date Value],"&gt;="&amp;$Z$2,SIP[Date Value],"&lt;="&amp;$Z$3))</f>
        <v>0</v>
      </c>
      <c r="K477" s="49">
        <f>(SUMIFS(LS[Amount],LS[Investor ID],A477,LS[B/S],"B",LS[Date Value],"&gt;="&amp;$Z$2,LS[Date Value],"&lt;="&amp;$Z$3))+(SUMIFS(SIP[Amount],SIP[Investor ID],A477,SIP[B/S],"B",SIP[Date Value],"&gt;="&amp;$Z$2,SIP[Date Value],"&lt;="&amp;$Z$3))</f>
        <v>0</v>
      </c>
      <c r="L477" s="47">
        <f>(-SUMIFS(LS[Unit],LS[Investor ID],A477,LS[B/S],"S",LS[Date Value],"&gt;="&amp;$Z$2,LS[Date Value],"&lt;="&amp;$Z$3))+(-SUMIFS(SIP[Unit],SIP[Investor ID],A477,SIP[B/S],"S",SIP[Date Value],"&gt;="&amp;$Z$2,SIP[Date Value],"&lt;="&amp;$Z$3))</f>
        <v>491</v>
      </c>
      <c r="M477" s="49">
        <f>(SUMIFS(LS[Cost of Units Sold],LS[Investor ID],A477,LS[B/S],"S",LS[Date Value],"&gt;="&amp;$Z$2,LS[Date Value],"&lt;="&amp;$Z$3))+(SUMIFS(SIP[Cost of Units Sold],SIP[Investor ID],A477,SIP[B/S],"S",SIP[Date Value],"&gt;="&amp;$Z$2,SIP[Date Value],"&lt;="&amp;$Z$3))</f>
        <v>5000</v>
      </c>
      <c r="N477" s="49">
        <f t="shared" si="39"/>
        <v>-5000</v>
      </c>
      <c r="O477" s="49">
        <f>(SUMIFS(LS[Realized Gain],LS[Investor ID],A477,LS[Date Value],"&gt;="&amp;$Z$2,LS[Date Value],"&lt;="&amp;$Z$3))+(SUMIFS(SIP[Realized Gain],SIP[Investor ID],A477,SIP[Date Value],"&gt;="&amp;$Z$2,SIP[Date Value],"&lt;="&amp;$Z$3))</f>
        <v>217.85999999999984</v>
      </c>
      <c r="P477" s="49">
        <v>0</v>
      </c>
      <c r="Q477" s="49">
        <v>0</v>
      </c>
      <c r="R477" s="49">
        <v>0</v>
      </c>
    </row>
    <row r="478" spans="1:18">
      <c r="A478" t="s">
        <v>1002</v>
      </c>
      <c r="B478" s="47">
        <f>SUMIFS(LS[Unit],LS[Investor ID],'TAX CERTIFICATE'!A478,LS[Date Value],"&lt;"&amp;$Z$2)+SUMIFS(SIP[Unit],SIP[Investor ID],'TAX CERTIFICATE'!A478,SIP[Date Value],"&lt;"&amp;$Z$2)</f>
        <v>1957</v>
      </c>
      <c r="C478" s="48">
        <f>(SUMIFS(LS[Amount],LS[B/S],"B",LS[Investor ID],A478,LS[Date Value],"&lt;"&amp;$Z$2)-SUMIFS(LS[Cost of Units Sold],LS[B/S],"S",LS[Investor ID],A478,LS[Date Value],"&lt;"&amp;$Z$2))+(SUMIFS(SIP[Amount],SIP[B/S],"B",SIP[Investor ID],#REF!,SIP[Date Value],"&lt;"&amp;$Z$2)-SUMIFS(SIP[Cost of Units Sold],SIP[B/S],"S",SIP[Investor ID],A478,SIP[Date Value],"&lt;"&amp;$Z$2))</f>
        <v>0</v>
      </c>
      <c r="D478" s="49">
        <f t="shared" si="35"/>
        <v>20100.347000000002</v>
      </c>
      <c r="E478" s="49">
        <f t="shared" si="36"/>
        <v>20100.347000000002</v>
      </c>
      <c r="F478" s="47">
        <f>SUMIFS(LS[Unit],LS[Investor ID],A478,LS[Date Value],"&lt;="&amp;$Z$3)+SUMIFS(SIP[Unit],SIP[Investor ID],A478,SIP[Date Value],"&lt;="&amp;$Z$3)</f>
        <v>13153</v>
      </c>
      <c r="G478" s="49">
        <f>(SUMIFS(LS[Amount],LS[B/S],"B",LS[Investor ID],A478,LS[Date Value],"&lt;="&amp;$Z$3)-SUMIFS(LS[Cost of Units Sold],LS[B/S],"S",LS[Investor ID],A478,LS[Date Value],"&lt;="&amp;$Z$3))+(SUMIFS(SIP[Amount],SIP[B/S],"B",SIP[Investor ID],A478,SIP[Date Value],"&lt;="&amp;$Z$3)-SUMIFS(SIP[Cost of Units Sold],SIP[B/S],"S",SIP[Investor ID],A478,SIP[Date Value],"&lt;="&amp;$Z$3))</f>
        <v>140000</v>
      </c>
      <c r="H478" s="49">
        <f t="shared" si="37"/>
        <v>146840.092</v>
      </c>
      <c r="I478" s="49">
        <f t="shared" si="38"/>
        <v>6840.0920000000042</v>
      </c>
      <c r="J478" s="47">
        <f>(SUMIFS(LS[Unit],LS[Investor ID],A478,LS[B/S],"B",LS[Date Value],"&gt;="&amp;$Z$2,LS[Date Value],"&lt;="&amp;$Z$3))+(SUMIFS(SIP[Unit],SIP[Investor ID],A478,SIP[B/S],"B",SIP[Date Value],"&gt;="&amp;$Z$2,SIP[Date Value],"&lt;="&amp;$Z$3))</f>
        <v>11196</v>
      </c>
      <c r="K478" s="49">
        <f>(SUMIFS(LS[Amount],LS[Investor ID],A478,LS[B/S],"B",LS[Date Value],"&gt;="&amp;$Z$2,LS[Date Value],"&lt;="&amp;$Z$3))+(SUMIFS(SIP[Amount],SIP[Investor ID],A478,SIP[B/S],"B",SIP[Date Value],"&gt;="&amp;$Z$2,SIP[Date Value],"&lt;="&amp;$Z$3))</f>
        <v>120000</v>
      </c>
      <c r="L478" s="47">
        <f>(-SUMIFS(LS[Unit],LS[Investor ID],A478,LS[B/S],"S",LS[Date Value],"&gt;="&amp;$Z$2,LS[Date Value],"&lt;="&amp;$Z$3))+(-SUMIFS(SIP[Unit],SIP[Investor ID],A478,SIP[B/S],"S",SIP[Date Value],"&gt;="&amp;$Z$2,SIP[Date Value],"&lt;="&amp;$Z$3))</f>
        <v>0</v>
      </c>
      <c r="M478" s="49">
        <f>(SUMIFS(LS[Cost of Units Sold],LS[Investor ID],A478,LS[B/S],"S",LS[Date Value],"&gt;="&amp;$Z$2,LS[Date Value],"&lt;="&amp;$Z$3))+(SUMIFS(SIP[Cost of Units Sold],SIP[Investor ID],A478,SIP[B/S],"S",SIP[Date Value],"&gt;="&amp;$Z$2,SIP[Date Value],"&lt;="&amp;$Z$3))</f>
        <v>0</v>
      </c>
      <c r="N478" s="49">
        <f t="shared" si="39"/>
        <v>120000</v>
      </c>
      <c r="O478" s="49">
        <f>(SUMIFS(LS[Realized Gain],LS[Investor ID],A478,LS[Date Value],"&gt;="&amp;$Z$2,LS[Date Value],"&lt;="&amp;$Z$3))+(SUMIFS(SIP[Realized Gain],SIP[Investor ID],A478,SIP[Date Value],"&gt;="&amp;$Z$2,SIP[Date Value],"&lt;="&amp;$Z$3))</f>
        <v>0</v>
      </c>
      <c r="P478" s="49">
        <v>0</v>
      </c>
      <c r="Q478" s="49">
        <v>0</v>
      </c>
      <c r="R478" s="49">
        <v>0</v>
      </c>
    </row>
    <row r="479" spans="1:18">
      <c r="A479" t="s">
        <v>1004</v>
      </c>
      <c r="B479" s="47">
        <f>SUMIFS(LS[Unit],LS[Investor ID],'TAX CERTIFICATE'!A479,LS[Date Value],"&lt;"&amp;$Z$2)+SUMIFS(SIP[Unit],SIP[Investor ID],'TAX CERTIFICATE'!A479,SIP[Date Value],"&lt;"&amp;$Z$2)</f>
        <v>49242</v>
      </c>
      <c r="C479" s="48">
        <f>(SUMIFS(LS[Amount],LS[B/S],"B",LS[Investor ID],A479,LS[Date Value],"&lt;"&amp;$Z$2)-SUMIFS(LS[Cost of Units Sold],LS[B/S],"S",LS[Investor ID],A479,LS[Date Value],"&lt;"&amp;$Z$2))+(SUMIFS(SIP[Amount],SIP[B/S],"B",SIP[Investor ID],#REF!,SIP[Date Value],"&lt;"&amp;$Z$2)-SUMIFS(SIP[Cost of Units Sold],SIP[B/S],"S",SIP[Investor ID],A479,SIP[Date Value],"&lt;"&amp;$Z$2))</f>
        <v>500000</v>
      </c>
      <c r="D479" s="49">
        <f t="shared" si="35"/>
        <v>505764.58200000005</v>
      </c>
      <c r="E479" s="49">
        <f t="shared" si="36"/>
        <v>5764.5820000000531</v>
      </c>
      <c r="F479" s="47">
        <f>SUMIFS(LS[Unit],LS[Investor ID],A479,LS[Date Value],"&lt;="&amp;$Z$3)+SUMIFS(SIP[Unit],SIP[Investor ID],A479,SIP[Date Value],"&lt;="&amp;$Z$3)</f>
        <v>0</v>
      </c>
      <c r="G479" s="49">
        <f>(SUMIFS(LS[Amount],LS[B/S],"B",LS[Investor ID],A479,LS[Date Value],"&lt;="&amp;$Z$3)-SUMIFS(LS[Cost of Units Sold],LS[B/S],"S",LS[Investor ID],A479,LS[Date Value],"&lt;="&amp;$Z$3))+(SUMIFS(SIP[Amount],SIP[B/S],"B",SIP[Investor ID],A479,SIP[Date Value],"&lt;="&amp;$Z$3)-SUMIFS(SIP[Cost of Units Sold],SIP[B/S],"S",SIP[Investor ID],A479,SIP[Date Value],"&lt;="&amp;$Z$3))</f>
        <v>0</v>
      </c>
      <c r="H479" s="49">
        <f t="shared" si="37"/>
        <v>0</v>
      </c>
      <c r="I479" s="49">
        <f t="shared" si="38"/>
        <v>0</v>
      </c>
      <c r="J479" s="47">
        <f>(SUMIFS(LS[Unit],LS[Investor ID],A479,LS[B/S],"B",LS[Date Value],"&gt;="&amp;$Z$2,LS[Date Value],"&lt;="&amp;$Z$3))+(SUMIFS(SIP[Unit],SIP[Investor ID],A479,SIP[B/S],"B",SIP[Date Value],"&gt;="&amp;$Z$2,SIP[Date Value],"&lt;="&amp;$Z$3))</f>
        <v>0</v>
      </c>
      <c r="K479" s="49">
        <f>(SUMIFS(LS[Amount],LS[Investor ID],A479,LS[B/S],"B",LS[Date Value],"&gt;="&amp;$Z$2,LS[Date Value],"&lt;="&amp;$Z$3))+(SUMIFS(SIP[Amount],SIP[Investor ID],A479,SIP[B/S],"B",SIP[Date Value],"&gt;="&amp;$Z$2,SIP[Date Value],"&lt;="&amp;$Z$3))</f>
        <v>0</v>
      </c>
      <c r="L479" s="47">
        <f>(-SUMIFS(LS[Unit],LS[Investor ID],A479,LS[B/S],"S",LS[Date Value],"&gt;="&amp;$Z$2,LS[Date Value],"&lt;="&amp;$Z$3))+(-SUMIFS(SIP[Unit],SIP[Investor ID],A479,SIP[B/S],"S",SIP[Date Value],"&gt;="&amp;$Z$2,SIP[Date Value],"&lt;="&amp;$Z$3))</f>
        <v>49242</v>
      </c>
      <c r="M479" s="49">
        <f>(SUMIFS(LS[Cost of Units Sold],LS[Investor ID],A479,LS[B/S],"S",LS[Date Value],"&gt;="&amp;$Z$2,LS[Date Value],"&lt;="&amp;$Z$3))+(SUMIFS(SIP[Cost of Units Sold],SIP[Investor ID],A479,SIP[B/S],"S",SIP[Date Value],"&gt;="&amp;$Z$2,SIP[Date Value],"&lt;="&amp;$Z$3))</f>
        <v>500000</v>
      </c>
      <c r="N479" s="49">
        <f t="shared" si="39"/>
        <v>-500000</v>
      </c>
      <c r="O479" s="49">
        <f>(SUMIFS(LS[Realized Gain],LS[Investor ID],A479,LS[Date Value],"&gt;="&amp;$Z$2,LS[Date Value],"&lt;="&amp;$Z$3))+(SUMIFS(SIP[Realized Gain],SIP[Investor ID],A479,SIP[Date Value],"&gt;="&amp;$Z$2,SIP[Date Value],"&lt;="&amp;$Z$3))</f>
        <v>27677.769999999993</v>
      </c>
      <c r="P479" s="49">
        <v>0</v>
      </c>
      <c r="Q479" s="49">
        <v>0</v>
      </c>
      <c r="R479" s="49">
        <v>0</v>
      </c>
    </row>
    <row r="480" spans="1:18">
      <c r="A480" t="s">
        <v>1006</v>
      </c>
      <c r="B480" s="47">
        <f>SUMIFS(LS[Unit],LS[Investor ID],'TAX CERTIFICATE'!A480,LS[Date Value],"&lt;"&amp;$Z$2)+SUMIFS(SIP[Unit],SIP[Investor ID],'TAX CERTIFICATE'!A480,SIP[Date Value],"&lt;"&amp;$Z$2)</f>
        <v>1957</v>
      </c>
      <c r="C480" s="48">
        <f>(SUMIFS(LS[Amount],LS[B/S],"B",LS[Investor ID],A480,LS[Date Value],"&lt;"&amp;$Z$2)-SUMIFS(LS[Cost of Units Sold],LS[B/S],"S",LS[Investor ID],A480,LS[Date Value],"&lt;"&amp;$Z$2))+(SUMIFS(SIP[Amount],SIP[B/S],"B",SIP[Investor ID],#REF!,SIP[Date Value],"&lt;"&amp;$Z$2)-SUMIFS(SIP[Cost of Units Sold],SIP[B/S],"S",SIP[Investor ID],A480,SIP[Date Value],"&lt;"&amp;$Z$2))</f>
        <v>0</v>
      </c>
      <c r="D480" s="49">
        <f t="shared" si="35"/>
        <v>20100.347000000002</v>
      </c>
      <c r="E480" s="49">
        <f t="shared" si="36"/>
        <v>20100.347000000002</v>
      </c>
      <c r="F480" s="47">
        <f>SUMIFS(LS[Unit],LS[Investor ID],A480,LS[Date Value],"&lt;="&amp;$Z$3)+SUMIFS(SIP[Unit],SIP[Investor ID],A480,SIP[Date Value],"&lt;="&amp;$Z$3)</f>
        <v>0</v>
      </c>
      <c r="G480" s="49">
        <f>(SUMIFS(LS[Amount],LS[B/S],"B",LS[Investor ID],A480,LS[Date Value],"&lt;="&amp;$Z$3)-SUMIFS(LS[Cost of Units Sold],LS[B/S],"S",LS[Investor ID],A480,LS[Date Value],"&lt;="&amp;$Z$3))+(SUMIFS(SIP[Amount],SIP[B/S],"B",SIP[Investor ID],A480,SIP[Date Value],"&lt;="&amp;$Z$3)-SUMIFS(SIP[Cost of Units Sold],SIP[B/S],"S",SIP[Investor ID],A480,SIP[Date Value],"&lt;="&amp;$Z$3))</f>
        <v>0</v>
      </c>
      <c r="H480" s="49">
        <f t="shared" si="37"/>
        <v>0</v>
      </c>
      <c r="I480" s="49">
        <f t="shared" si="38"/>
        <v>0</v>
      </c>
      <c r="J480" s="47">
        <f>(SUMIFS(LS[Unit],LS[Investor ID],A480,LS[B/S],"B",LS[Date Value],"&gt;="&amp;$Z$2,LS[Date Value],"&lt;="&amp;$Z$3))+(SUMIFS(SIP[Unit],SIP[Investor ID],A480,SIP[B/S],"B",SIP[Date Value],"&gt;="&amp;$Z$2,SIP[Date Value],"&lt;="&amp;$Z$3))</f>
        <v>1925</v>
      </c>
      <c r="K480" s="49">
        <f>(SUMIFS(LS[Amount],LS[Investor ID],A480,LS[B/S],"B",LS[Date Value],"&gt;="&amp;$Z$2,LS[Date Value],"&lt;="&amp;$Z$3))+(SUMIFS(SIP[Amount],SIP[Investor ID],A480,SIP[B/S],"B",SIP[Date Value],"&gt;="&amp;$Z$2,SIP[Date Value],"&lt;="&amp;$Z$3))</f>
        <v>20000</v>
      </c>
      <c r="L480" s="47">
        <f>(-SUMIFS(LS[Unit],LS[Investor ID],A480,LS[B/S],"S",LS[Date Value],"&gt;="&amp;$Z$2,LS[Date Value],"&lt;="&amp;$Z$3))+(-SUMIFS(SIP[Unit],SIP[Investor ID],A480,SIP[B/S],"S",SIP[Date Value],"&gt;="&amp;$Z$2,SIP[Date Value],"&lt;="&amp;$Z$3))</f>
        <v>3882</v>
      </c>
      <c r="M480" s="49">
        <f>(SUMIFS(LS[Cost of Units Sold],LS[Investor ID],A480,LS[B/S],"S",LS[Date Value],"&gt;="&amp;$Z$2,LS[Date Value],"&lt;="&amp;$Z$3))+(SUMIFS(SIP[Cost of Units Sold],SIP[Investor ID],A480,SIP[B/S],"S",SIP[Date Value],"&gt;="&amp;$Z$2,SIP[Date Value],"&lt;="&amp;$Z$3))</f>
        <v>40000</v>
      </c>
      <c r="N480" s="49">
        <f t="shared" si="39"/>
        <v>-20000</v>
      </c>
      <c r="O480" s="49">
        <f>(SUMIFS(LS[Realized Gain],LS[Investor ID],A480,LS[Date Value],"&gt;="&amp;$Z$2,LS[Date Value],"&lt;="&amp;$Z$3))+(SUMIFS(SIP[Realized Gain],SIP[Investor ID],A480,SIP[Date Value],"&gt;="&amp;$Z$2,SIP[Date Value],"&lt;="&amp;$Z$3))</f>
        <v>1312.2399999999966</v>
      </c>
      <c r="P480" s="49">
        <v>0</v>
      </c>
      <c r="Q480" s="49">
        <v>0</v>
      </c>
      <c r="R480" s="49">
        <v>0</v>
      </c>
    </row>
    <row r="481" spans="1:18">
      <c r="A481" t="s">
        <v>1008</v>
      </c>
      <c r="B481" s="47">
        <f>SUMIFS(LS[Unit],LS[Investor ID],'TAX CERTIFICATE'!A481,LS[Date Value],"&lt;"&amp;$Z$2)+SUMIFS(SIP[Unit],SIP[Investor ID],'TAX CERTIFICATE'!A481,SIP[Date Value],"&lt;"&amp;$Z$2)</f>
        <v>147478</v>
      </c>
      <c r="C481" s="48">
        <f>(SUMIFS(LS[Amount],LS[B/S],"B",LS[Investor ID],A481,LS[Date Value],"&lt;"&amp;$Z$2)-SUMIFS(LS[Cost of Units Sold],LS[B/S],"S",LS[Investor ID],A481,LS[Date Value],"&lt;"&amp;$Z$2))+(SUMIFS(SIP[Amount],SIP[B/S],"B",SIP[Investor ID],#REF!,SIP[Date Value],"&lt;"&amp;$Z$2)-SUMIFS(SIP[Cost of Units Sold],SIP[B/S],"S",SIP[Investor ID],A481,SIP[Date Value],"&lt;"&amp;$Z$2))</f>
        <v>1500000</v>
      </c>
      <c r="D481" s="49">
        <f t="shared" si="35"/>
        <v>1514746.5380000002</v>
      </c>
      <c r="E481" s="49">
        <f t="shared" si="36"/>
        <v>14746.538000000175</v>
      </c>
      <c r="F481" s="47">
        <f>SUMIFS(LS[Unit],LS[Investor ID],A481,LS[Date Value],"&lt;="&amp;$Z$3)+SUMIFS(SIP[Unit],SIP[Investor ID],A481,SIP[Date Value],"&lt;="&amp;$Z$3)</f>
        <v>147478</v>
      </c>
      <c r="G481" s="49">
        <f>(SUMIFS(LS[Amount],LS[B/S],"B",LS[Investor ID],A481,LS[Date Value],"&lt;="&amp;$Z$3)-SUMIFS(LS[Cost of Units Sold],LS[B/S],"S",LS[Investor ID],A481,LS[Date Value],"&lt;="&amp;$Z$3))+(SUMIFS(SIP[Amount],SIP[B/S],"B",SIP[Investor ID],A481,SIP[Date Value],"&lt;="&amp;$Z$3)-SUMIFS(SIP[Cost of Units Sold],SIP[B/S],"S",SIP[Investor ID],A481,SIP[Date Value],"&lt;="&amp;$Z$3))</f>
        <v>1500000</v>
      </c>
      <c r="H481" s="49">
        <f t="shared" si="37"/>
        <v>1646444.392</v>
      </c>
      <c r="I481" s="49">
        <f t="shared" si="38"/>
        <v>146444.39199999999</v>
      </c>
      <c r="J481" s="47">
        <f>(SUMIFS(LS[Unit],LS[Investor ID],A481,LS[B/S],"B",LS[Date Value],"&gt;="&amp;$Z$2,LS[Date Value],"&lt;="&amp;$Z$3))+(SUMIFS(SIP[Unit],SIP[Investor ID],A481,SIP[B/S],"B",SIP[Date Value],"&gt;="&amp;$Z$2,SIP[Date Value],"&lt;="&amp;$Z$3))</f>
        <v>0</v>
      </c>
      <c r="K481" s="49">
        <f>(SUMIFS(LS[Amount],LS[Investor ID],A481,LS[B/S],"B",LS[Date Value],"&gt;="&amp;$Z$2,LS[Date Value],"&lt;="&amp;$Z$3))+(SUMIFS(SIP[Amount],SIP[Investor ID],A481,SIP[B/S],"B",SIP[Date Value],"&gt;="&amp;$Z$2,SIP[Date Value],"&lt;="&amp;$Z$3))</f>
        <v>0</v>
      </c>
      <c r="L481" s="47">
        <f>(-SUMIFS(LS[Unit],LS[Investor ID],A481,LS[B/S],"S",LS[Date Value],"&gt;="&amp;$Z$2,LS[Date Value],"&lt;="&amp;$Z$3))+(-SUMIFS(SIP[Unit],SIP[Investor ID],A481,SIP[B/S],"S",SIP[Date Value],"&gt;="&amp;$Z$2,SIP[Date Value],"&lt;="&amp;$Z$3))</f>
        <v>0</v>
      </c>
      <c r="M481" s="49">
        <f>(SUMIFS(LS[Cost of Units Sold],LS[Investor ID],A481,LS[B/S],"S",LS[Date Value],"&gt;="&amp;$Z$2,LS[Date Value],"&lt;="&amp;$Z$3))+(SUMIFS(SIP[Cost of Units Sold],SIP[Investor ID],A481,SIP[B/S],"S",SIP[Date Value],"&gt;="&amp;$Z$2,SIP[Date Value],"&lt;="&amp;$Z$3))</f>
        <v>0</v>
      </c>
      <c r="N481" s="49">
        <f t="shared" si="39"/>
        <v>0</v>
      </c>
      <c r="O481" s="49">
        <f>(SUMIFS(LS[Realized Gain],LS[Investor ID],A481,LS[Date Value],"&gt;="&amp;$Z$2,LS[Date Value],"&lt;="&amp;$Z$3))+(SUMIFS(SIP[Realized Gain],SIP[Investor ID],A481,SIP[Date Value],"&gt;="&amp;$Z$2,SIP[Date Value],"&lt;="&amp;$Z$3))</f>
        <v>0</v>
      </c>
      <c r="P481" s="49">
        <v>0</v>
      </c>
      <c r="Q481" s="49">
        <v>0</v>
      </c>
      <c r="R481" s="49">
        <v>0</v>
      </c>
    </row>
    <row r="482" spans="1:18">
      <c r="A482" t="s">
        <v>1010</v>
      </c>
      <c r="B482" s="47">
        <f>SUMIFS(LS[Unit],LS[Investor ID],'TAX CERTIFICATE'!A482,LS[Date Value],"&lt;"&amp;$Z$2)+SUMIFS(SIP[Unit],SIP[Investor ID],'TAX CERTIFICATE'!A482,SIP[Date Value],"&lt;"&amp;$Z$2)</f>
        <v>487</v>
      </c>
      <c r="C482" s="48">
        <f>(SUMIFS(LS[Amount],LS[B/S],"B",LS[Investor ID],A482,LS[Date Value],"&lt;"&amp;$Z$2)-SUMIFS(LS[Cost of Units Sold],LS[B/S],"S",LS[Investor ID],A482,LS[Date Value],"&lt;"&amp;$Z$2))+(SUMIFS(SIP[Amount],SIP[B/S],"B",SIP[Investor ID],#REF!,SIP[Date Value],"&lt;"&amp;$Z$2)-SUMIFS(SIP[Cost of Units Sold],SIP[B/S],"S",SIP[Investor ID],A482,SIP[Date Value],"&lt;"&amp;$Z$2))</f>
        <v>0</v>
      </c>
      <c r="D482" s="49">
        <f t="shared" si="35"/>
        <v>5001.9770000000008</v>
      </c>
      <c r="E482" s="49">
        <f t="shared" si="36"/>
        <v>5001.9770000000008</v>
      </c>
      <c r="F482" s="47">
        <f>SUMIFS(LS[Unit],LS[Investor ID],A482,LS[Date Value],"&lt;="&amp;$Z$3)+SUMIFS(SIP[Unit],SIP[Investor ID],A482,SIP[Date Value],"&lt;="&amp;$Z$3)</f>
        <v>6083</v>
      </c>
      <c r="G482" s="49">
        <f>(SUMIFS(LS[Amount],LS[B/S],"B",LS[Investor ID],A482,LS[Date Value],"&lt;="&amp;$Z$3)-SUMIFS(LS[Cost of Units Sold],LS[B/S],"S",LS[Investor ID],A482,LS[Date Value],"&lt;="&amp;$Z$3))+(SUMIFS(SIP[Amount],SIP[B/S],"B",SIP[Investor ID],A482,SIP[Date Value],"&lt;="&amp;$Z$3)-SUMIFS(SIP[Cost of Units Sold],SIP[B/S],"S",SIP[Investor ID],A482,SIP[Date Value],"&lt;="&amp;$Z$3))</f>
        <v>65000</v>
      </c>
      <c r="H482" s="49">
        <f t="shared" si="37"/>
        <v>67910.611999999994</v>
      </c>
      <c r="I482" s="49">
        <f t="shared" si="38"/>
        <v>2910.6119999999937</v>
      </c>
      <c r="J482" s="47">
        <f>(SUMIFS(LS[Unit],LS[Investor ID],A482,LS[B/S],"B",LS[Date Value],"&gt;="&amp;$Z$2,LS[Date Value],"&lt;="&amp;$Z$3))+(SUMIFS(SIP[Unit],SIP[Investor ID],A482,SIP[B/S],"B",SIP[Date Value],"&gt;="&amp;$Z$2,SIP[Date Value],"&lt;="&amp;$Z$3))</f>
        <v>5596</v>
      </c>
      <c r="K482" s="49">
        <f>(SUMIFS(LS[Amount],LS[Investor ID],A482,LS[B/S],"B",LS[Date Value],"&gt;="&amp;$Z$2,LS[Date Value],"&lt;="&amp;$Z$3))+(SUMIFS(SIP[Amount],SIP[Investor ID],A482,SIP[B/S],"B",SIP[Date Value],"&gt;="&amp;$Z$2,SIP[Date Value],"&lt;="&amp;$Z$3))</f>
        <v>60000</v>
      </c>
      <c r="L482" s="47">
        <f>(-SUMIFS(LS[Unit],LS[Investor ID],A482,LS[B/S],"S",LS[Date Value],"&gt;="&amp;$Z$2,LS[Date Value],"&lt;="&amp;$Z$3))+(-SUMIFS(SIP[Unit],SIP[Investor ID],A482,SIP[B/S],"S",SIP[Date Value],"&gt;="&amp;$Z$2,SIP[Date Value],"&lt;="&amp;$Z$3))</f>
        <v>0</v>
      </c>
      <c r="M482" s="49">
        <f>(SUMIFS(LS[Cost of Units Sold],LS[Investor ID],A482,LS[B/S],"S",LS[Date Value],"&gt;="&amp;$Z$2,LS[Date Value],"&lt;="&amp;$Z$3))+(SUMIFS(SIP[Cost of Units Sold],SIP[Investor ID],A482,SIP[B/S],"S",SIP[Date Value],"&gt;="&amp;$Z$2,SIP[Date Value],"&lt;="&amp;$Z$3))</f>
        <v>0</v>
      </c>
      <c r="N482" s="49">
        <f t="shared" si="39"/>
        <v>60000</v>
      </c>
      <c r="O482" s="49">
        <f>(SUMIFS(LS[Realized Gain],LS[Investor ID],A482,LS[Date Value],"&gt;="&amp;$Z$2,LS[Date Value],"&lt;="&amp;$Z$3))+(SUMIFS(SIP[Realized Gain],SIP[Investor ID],A482,SIP[Date Value],"&gt;="&amp;$Z$2,SIP[Date Value],"&lt;="&amp;$Z$3))</f>
        <v>0</v>
      </c>
      <c r="P482" s="49">
        <v>0</v>
      </c>
      <c r="Q482" s="49">
        <v>0</v>
      </c>
      <c r="R482" s="49">
        <v>0</v>
      </c>
    </row>
    <row r="483" spans="1:18">
      <c r="A483" t="s">
        <v>1012</v>
      </c>
      <c r="B483" s="47">
        <f>SUMIFS(LS[Unit],LS[Investor ID],'TAX CERTIFICATE'!A483,LS[Date Value],"&lt;"&amp;$Z$2)+SUMIFS(SIP[Unit],SIP[Investor ID],'TAX CERTIFICATE'!A483,SIP[Date Value],"&lt;"&amp;$Z$2)</f>
        <v>487</v>
      </c>
      <c r="C483" s="48">
        <f>(SUMIFS(LS[Amount],LS[B/S],"B",LS[Investor ID],A483,LS[Date Value],"&lt;"&amp;$Z$2)-SUMIFS(LS[Cost of Units Sold],LS[B/S],"S",LS[Investor ID],A483,LS[Date Value],"&lt;"&amp;$Z$2))+(SUMIFS(SIP[Amount],SIP[B/S],"B",SIP[Investor ID],#REF!,SIP[Date Value],"&lt;"&amp;$Z$2)-SUMIFS(SIP[Cost of Units Sold],SIP[B/S],"S",SIP[Investor ID],A483,SIP[Date Value],"&lt;"&amp;$Z$2))</f>
        <v>0</v>
      </c>
      <c r="D483" s="49">
        <f t="shared" si="35"/>
        <v>5001.9770000000008</v>
      </c>
      <c r="E483" s="49">
        <f t="shared" si="36"/>
        <v>5001.9770000000008</v>
      </c>
      <c r="F483" s="47">
        <f>SUMIFS(LS[Unit],LS[Investor ID],A483,LS[Date Value],"&lt;="&amp;$Z$3)+SUMIFS(SIP[Unit],SIP[Investor ID],A483,SIP[Date Value],"&lt;="&amp;$Z$3)</f>
        <v>6083</v>
      </c>
      <c r="G483" s="49">
        <f>(SUMIFS(LS[Amount],LS[B/S],"B",LS[Investor ID],A483,LS[Date Value],"&lt;="&amp;$Z$3)-SUMIFS(LS[Cost of Units Sold],LS[B/S],"S",LS[Investor ID],A483,LS[Date Value],"&lt;="&amp;$Z$3))+(SUMIFS(SIP[Amount],SIP[B/S],"B",SIP[Investor ID],A483,SIP[Date Value],"&lt;="&amp;$Z$3)-SUMIFS(SIP[Cost of Units Sold],SIP[B/S],"S",SIP[Investor ID],A483,SIP[Date Value],"&lt;="&amp;$Z$3))</f>
        <v>65000</v>
      </c>
      <c r="H483" s="49">
        <f t="shared" si="37"/>
        <v>67910.611999999994</v>
      </c>
      <c r="I483" s="49">
        <f t="shared" si="38"/>
        <v>2910.6119999999937</v>
      </c>
      <c r="J483" s="47">
        <f>(SUMIFS(LS[Unit],LS[Investor ID],A483,LS[B/S],"B",LS[Date Value],"&gt;="&amp;$Z$2,LS[Date Value],"&lt;="&amp;$Z$3))+(SUMIFS(SIP[Unit],SIP[Investor ID],A483,SIP[B/S],"B",SIP[Date Value],"&gt;="&amp;$Z$2,SIP[Date Value],"&lt;="&amp;$Z$3))</f>
        <v>5596</v>
      </c>
      <c r="K483" s="49">
        <f>(SUMIFS(LS[Amount],LS[Investor ID],A483,LS[B/S],"B",LS[Date Value],"&gt;="&amp;$Z$2,LS[Date Value],"&lt;="&amp;$Z$3))+(SUMIFS(SIP[Amount],SIP[Investor ID],A483,SIP[B/S],"B",SIP[Date Value],"&gt;="&amp;$Z$2,SIP[Date Value],"&lt;="&amp;$Z$3))</f>
        <v>60000</v>
      </c>
      <c r="L483" s="47">
        <f>(-SUMIFS(LS[Unit],LS[Investor ID],A483,LS[B/S],"S",LS[Date Value],"&gt;="&amp;$Z$2,LS[Date Value],"&lt;="&amp;$Z$3))+(-SUMIFS(SIP[Unit],SIP[Investor ID],A483,SIP[B/S],"S",SIP[Date Value],"&gt;="&amp;$Z$2,SIP[Date Value],"&lt;="&amp;$Z$3))</f>
        <v>0</v>
      </c>
      <c r="M483" s="49">
        <f>(SUMIFS(LS[Cost of Units Sold],LS[Investor ID],A483,LS[B/S],"S",LS[Date Value],"&gt;="&amp;$Z$2,LS[Date Value],"&lt;="&amp;$Z$3))+(SUMIFS(SIP[Cost of Units Sold],SIP[Investor ID],A483,SIP[B/S],"S",SIP[Date Value],"&gt;="&amp;$Z$2,SIP[Date Value],"&lt;="&amp;$Z$3))</f>
        <v>0</v>
      </c>
      <c r="N483" s="49">
        <f t="shared" si="39"/>
        <v>60000</v>
      </c>
      <c r="O483" s="49">
        <f>(SUMIFS(LS[Realized Gain],LS[Investor ID],A483,LS[Date Value],"&gt;="&amp;$Z$2,LS[Date Value],"&lt;="&amp;$Z$3))+(SUMIFS(SIP[Realized Gain],SIP[Investor ID],A483,SIP[Date Value],"&gt;="&amp;$Z$2,SIP[Date Value],"&lt;="&amp;$Z$3))</f>
        <v>0</v>
      </c>
      <c r="P483" s="49">
        <v>0</v>
      </c>
      <c r="Q483" s="49">
        <v>0</v>
      </c>
      <c r="R483" s="49">
        <v>0</v>
      </c>
    </row>
    <row r="484" spans="1:18">
      <c r="A484" t="s">
        <v>1014</v>
      </c>
      <c r="B484" s="47">
        <f>SUMIFS(LS[Unit],LS[Investor ID],'TAX CERTIFICATE'!A484,LS[Date Value],"&lt;"&amp;$Z$2)+SUMIFS(SIP[Unit],SIP[Investor ID],'TAX CERTIFICATE'!A484,SIP[Date Value],"&lt;"&amp;$Z$2)</f>
        <v>487</v>
      </c>
      <c r="C484" s="48">
        <f>(SUMIFS(LS[Amount],LS[B/S],"B",LS[Investor ID],A484,LS[Date Value],"&lt;"&amp;$Z$2)-SUMIFS(LS[Cost of Units Sold],LS[B/S],"S",LS[Investor ID],A484,LS[Date Value],"&lt;"&amp;$Z$2))+(SUMIFS(SIP[Amount],SIP[B/S],"B",SIP[Investor ID],#REF!,SIP[Date Value],"&lt;"&amp;$Z$2)-SUMIFS(SIP[Cost of Units Sold],SIP[B/S],"S",SIP[Investor ID],A484,SIP[Date Value],"&lt;"&amp;$Z$2))</f>
        <v>0</v>
      </c>
      <c r="D484" s="49">
        <f t="shared" si="35"/>
        <v>5001.9770000000008</v>
      </c>
      <c r="E484" s="49">
        <f t="shared" si="36"/>
        <v>5001.9770000000008</v>
      </c>
      <c r="F484" s="47">
        <f>SUMIFS(LS[Unit],LS[Investor ID],A484,LS[Date Value],"&lt;="&amp;$Z$3)+SUMIFS(SIP[Unit],SIP[Investor ID],A484,SIP[Date Value],"&lt;="&amp;$Z$3)</f>
        <v>1926</v>
      </c>
      <c r="G484" s="49">
        <f>(SUMIFS(LS[Amount],LS[B/S],"B",LS[Investor ID],A484,LS[Date Value],"&lt;="&amp;$Z$3)-SUMIFS(LS[Cost of Units Sold],LS[B/S],"S",LS[Investor ID],A484,LS[Date Value],"&lt;="&amp;$Z$3))+(SUMIFS(SIP[Amount],SIP[B/S],"B",SIP[Investor ID],A484,SIP[Date Value],"&lt;="&amp;$Z$3)-SUMIFS(SIP[Cost of Units Sold],SIP[B/S],"S",SIP[Investor ID],A484,SIP[Date Value],"&lt;="&amp;$Z$3))</f>
        <v>20000</v>
      </c>
      <c r="H484" s="49">
        <f t="shared" si="37"/>
        <v>21501.863999999998</v>
      </c>
      <c r="I484" s="49">
        <f t="shared" si="38"/>
        <v>1501.8639999999978</v>
      </c>
      <c r="J484" s="47">
        <f>(SUMIFS(LS[Unit],LS[Investor ID],A484,LS[B/S],"B",LS[Date Value],"&gt;="&amp;$Z$2,LS[Date Value],"&lt;="&amp;$Z$3))+(SUMIFS(SIP[Unit],SIP[Investor ID],A484,SIP[B/S],"B",SIP[Date Value],"&gt;="&amp;$Z$2,SIP[Date Value],"&lt;="&amp;$Z$3))</f>
        <v>1439</v>
      </c>
      <c r="K484" s="49">
        <f>(SUMIFS(LS[Amount],LS[Investor ID],A484,LS[B/S],"B",LS[Date Value],"&gt;="&amp;$Z$2,LS[Date Value],"&lt;="&amp;$Z$3))+(SUMIFS(SIP[Amount],SIP[Investor ID],A484,SIP[B/S],"B",SIP[Date Value],"&gt;="&amp;$Z$2,SIP[Date Value],"&lt;="&amp;$Z$3))</f>
        <v>15000</v>
      </c>
      <c r="L484" s="47">
        <f>(-SUMIFS(LS[Unit],LS[Investor ID],A484,LS[B/S],"S",LS[Date Value],"&gt;="&amp;$Z$2,LS[Date Value],"&lt;="&amp;$Z$3))+(-SUMIFS(SIP[Unit],SIP[Investor ID],A484,SIP[B/S],"S",SIP[Date Value],"&gt;="&amp;$Z$2,SIP[Date Value],"&lt;="&amp;$Z$3))</f>
        <v>0</v>
      </c>
      <c r="M484" s="49">
        <f>(SUMIFS(LS[Cost of Units Sold],LS[Investor ID],A484,LS[B/S],"S",LS[Date Value],"&gt;="&amp;$Z$2,LS[Date Value],"&lt;="&amp;$Z$3))+(SUMIFS(SIP[Cost of Units Sold],SIP[Investor ID],A484,SIP[B/S],"S",SIP[Date Value],"&gt;="&amp;$Z$2,SIP[Date Value],"&lt;="&amp;$Z$3))</f>
        <v>0</v>
      </c>
      <c r="N484" s="49">
        <f t="shared" si="39"/>
        <v>15000</v>
      </c>
      <c r="O484" s="49">
        <f>(SUMIFS(LS[Realized Gain],LS[Investor ID],A484,LS[Date Value],"&gt;="&amp;$Z$2,LS[Date Value],"&lt;="&amp;$Z$3))+(SUMIFS(SIP[Realized Gain],SIP[Investor ID],A484,SIP[Date Value],"&gt;="&amp;$Z$2,SIP[Date Value],"&lt;="&amp;$Z$3))</f>
        <v>0</v>
      </c>
      <c r="P484" s="49">
        <v>0</v>
      </c>
      <c r="Q484" s="49">
        <v>0</v>
      </c>
      <c r="R484" s="49">
        <v>0</v>
      </c>
    </row>
    <row r="485" spans="1:18">
      <c r="A485" t="s">
        <v>1016</v>
      </c>
      <c r="B485" s="47">
        <f>SUMIFS(LS[Unit],LS[Investor ID],'TAX CERTIFICATE'!A485,LS[Date Value],"&lt;"&amp;$Z$2)+SUMIFS(SIP[Unit],SIP[Investor ID],'TAX CERTIFICATE'!A485,SIP[Date Value],"&lt;"&amp;$Z$2)</f>
        <v>487</v>
      </c>
      <c r="C485" s="48">
        <f>(SUMIFS(LS[Amount],LS[B/S],"B",LS[Investor ID],A485,LS[Date Value],"&lt;"&amp;$Z$2)-SUMIFS(LS[Cost of Units Sold],LS[B/S],"S",LS[Investor ID],A485,LS[Date Value],"&lt;"&amp;$Z$2))+(SUMIFS(SIP[Amount],SIP[B/S],"B",SIP[Investor ID],#REF!,SIP[Date Value],"&lt;"&amp;$Z$2)-SUMIFS(SIP[Cost of Units Sold],SIP[B/S],"S",SIP[Investor ID],A485,SIP[Date Value],"&lt;"&amp;$Z$2))</f>
        <v>0</v>
      </c>
      <c r="D485" s="49">
        <f t="shared" si="35"/>
        <v>5001.9770000000008</v>
      </c>
      <c r="E485" s="49">
        <f t="shared" si="36"/>
        <v>5001.9770000000008</v>
      </c>
      <c r="F485" s="47">
        <f>SUMIFS(LS[Unit],LS[Investor ID],A485,LS[Date Value],"&lt;="&amp;$Z$3)+SUMIFS(SIP[Unit],SIP[Investor ID],A485,SIP[Date Value],"&lt;="&amp;$Z$3)</f>
        <v>5631</v>
      </c>
      <c r="G485" s="49">
        <f>(SUMIFS(LS[Amount],LS[B/S],"B",LS[Investor ID],A485,LS[Date Value],"&lt;="&amp;$Z$3)-SUMIFS(LS[Cost of Units Sold],LS[B/S],"S",LS[Investor ID],A485,LS[Date Value],"&lt;="&amp;$Z$3))+(SUMIFS(SIP[Amount],SIP[B/S],"B",SIP[Investor ID],A485,SIP[Date Value],"&lt;="&amp;$Z$3)-SUMIFS(SIP[Cost of Units Sold],SIP[B/S],"S",SIP[Investor ID],A485,SIP[Date Value],"&lt;="&amp;$Z$3))</f>
        <v>60000</v>
      </c>
      <c r="H485" s="49">
        <f t="shared" si="37"/>
        <v>62864.483999999997</v>
      </c>
      <c r="I485" s="49">
        <f t="shared" si="38"/>
        <v>2864.4839999999967</v>
      </c>
      <c r="J485" s="47">
        <f>(SUMIFS(LS[Unit],LS[Investor ID],A485,LS[B/S],"B",LS[Date Value],"&gt;="&amp;$Z$2,LS[Date Value],"&lt;="&amp;$Z$3))+(SUMIFS(SIP[Unit],SIP[Investor ID],A485,SIP[B/S],"B",SIP[Date Value],"&gt;="&amp;$Z$2,SIP[Date Value],"&lt;="&amp;$Z$3))</f>
        <v>5144</v>
      </c>
      <c r="K485" s="49">
        <f>(SUMIFS(LS[Amount],LS[Investor ID],A485,LS[B/S],"B",LS[Date Value],"&gt;="&amp;$Z$2,LS[Date Value],"&lt;="&amp;$Z$3))+(SUMIFS(SIP[Amount],SIP[Investor ID],A485,SIP[B/S],"B",SIP[Date Value],"&gt;="&amp;$Z$2,SIP[Date Value],"&lt;="&amp;$Z$3))</f>
        <v>55000</v>
      </c>
      <c r="L485" s="47">
        <f>(-SUMIFS(LS[Unit],LS[Investor ID],A485,LS[B/S],"S",LS[Date Value],"&gt;="&amp;$Z$2,LS[Date Value],"&lt;="&amp;$Z$3))+(-SUMIFS(SIP[Unit],SIP[Investor ID],A485,SIP[B/S],"S",SIP[Date Value],"&gt;="&amp;$Z$2,SIP[Date Value],"&lt;="&amp;$Z$3))</f>
        <v>0</v>
      </c>
      <c r="M485" s="49">
        <f>(SUMIFS(LS[Cost of Units Sold],LS[Investor ID],A485,LS[B/S],"S",LS[Date Value],"&gt;="&amp;$Z$2,LS[Date Value],"&lt;="&amp;$Z$3))+(SUMIFS(SIP[Cost of Units Sold],SIP[Investor ID],A485,SIP[B/S],"S",SIP[Date Value],"&gt;="&amp;$Z$2,SIP[Date Value],"&lt;="&amp;$Z$3))</f>
        <v>0</v>
      </c>
      <c r="N485" s="49">
        <f t="shared" si="39"/>
        <v>55000</v>
      </c>
      <c r="O485" s="49">
        <f>(SUMIFS(LS[Realized Gain],LS[Investor ID],A485,LS[Date Value],"&gt;="&amp;$Z$2,LS[Date Value],"&lt;="&amp;$Z$3))+(SUMIFS(SIP[Realized Gain],SIP[Investor ID],A485,SIP[Date Value],"&gt;="&amp;$Z$2,SIP[Date Value],"&lt;="&amp;$Z$3))</f>
        <v>0</v>
      </c>
      <c r="P485" s="49">
        <v>0</v>
      </c>
      <c r="Q485" s="49">
        <v>0</v>
      </c>
      <c r="R485" s="49">
        <v>0</v>
      </c>
    </row>
    <row r="486" spans="1:18">
      <c r="A486" t="s">
        <v>1018</v>
      </c>
      <c r="B486" s="47">
        <f>SUMIFS(LS[Unit],LS[Investor ID],'TAX CERTIFICATE'!A486,LS[Date Value],"&lt;"&amp;$Z$2)+SUMIFS(SIP[Unit],SIP[Investor ID],'TAX CERTIFICATE'!A486,SIP[Date Value],"&lt;"&amp;$Z$2)</f>
        <v>976</v>
      </c>
      <c r="C486" s="48">
        <f>(SUMIFS(LS[Amount],LS[B/S],"B",LS[Investor ID],A486,LS[Date Value],"&lt;"&amp;$Z$2)-SUMIFS(LS[Cost of Units Sold],LS[B/S],"S",LS[Investor ID],A486,LS[Date Value],"&lt;"&amp;$Z$2))+(SUMIFS(SIP[Amount],SIP[B/S],"B",SIP[Investor ID],#REF!,SIP[Date Value],"&lt;"&amp;$Z$2)-SUMIFS(SIP[Cost of Units Sold],SIP[B/S],"S",SIP[Investor ID],A486,SIP[Date Value],"&lt;"&amp;$Z$2))</f>
        <v>0</v>
      </c>
      <c r="D486" s="49">
        <f t="shared" si="35"/>
        <v>10024.496000000001</v>
      </c>
      <c r="E486" s="49">
        <f t="shared" si="36"/>
        <v>10024.496000000001</v>
      </c>
      <c r="F486" s="47">
        <f>SUMIFS(LS[Unit],LS[Investor ID],A486,LS[Date Value],"&lt;="&amp;$Z$3)+SUMIFS(SIP[Unit],SIP[Investor ID],A486,SIP[Date Value],"&lt;="&amp;$Z$3)</f>
        <v>7020</v>
      </c>
      <c r="G486" s="49">
        <f>(SUMIFS(LS[Amount],LS[B/S],"B",LS[Investor ID],A486,LS[Date Value],"&lt;="&amp;$Z$3)-SUMIFS(LS[Cost of Units Sold],LS[B/S],"S",LS[Investor ID],A486,LS[Date Value],"&lt;="&amp;$Z$3))+(SUMIFS(SIP[Amount],SIP[B/S],"B",SIP[Investor ID],A486,SIP[Date Value],"&lt;="&amp;$Z$3)-SUMIFS(SIP[Cost of Units Sold],SIP[B/S],"S",SIP[Investor ID],A486,SIP[Date Value],"&lt;="&amp;$Z$3))</f>
        <v>75000</v>
      </c>
      <c r="H486" s="49">
        <f t="shared" si="37"/>
        <v>78371.28</v>
      </c>
      <c r="I486" s="49">
        <f t="shared" si="38"/>
        <v>3371.2799999999988</v>
      </c>
      <c r="J486" s="47">
        <f>(SUMIFS(LS[Unit],LS[Investor ID],A486,LS[B/S],"B",LS[Date Value],"&gt;="&amp;$Z$2,LS[Date Value],"&lt;="&amp;$Z$3))+(SUMIFS(SIP[Unit],SIP[Investor ID],A486,SIP[B/S],"B",SIP[Date Value],"&gt;="&amp;$Z$2,SIP[Date Value],"&lt;="&amp;$Z$3))</f>
        <v>6044</v>
      </c>
      <c r="K486" s="49">
        <f>(SUMIFS(LS[Amount],LS[Investor ID],A486,LS[B/S],"B",LS[Date Value],"&gt;="&amp;$Z$2,LS[Date Value],"&lt;="&amp;$Z$3))+(SUMIFS(SIP[Amount],SIP[Investor ID],A486,SIP[B/S],"B",SIP[Date Value],"&gt;="&amp;$Z$2,SIP[Date Value],"&lt;="&amp;$Z$3))</f>
        <v>65000</v>
      </c>
      <c r="L486" s="47">
        <f>(-SUMIFS(LS[Unit],LS[Investor ID],A486,LS[B/S],"S",LS[Date Value],"&gt;="&amp;$Z$2,LS[Date Value],"&lt;="&amp;$Z$3))+(-SUMIFS(SIP[Unit],SIP[Investor ID],A486,SIP[B/S],"S",SIP[Date Value],"&gt;="&amp;$Z$2,SIP[Date Value],"&lt;="&amp;$Z$3))</f>
        <v>0</v>
      </c>
      <c r="M486" s="49">
        <f>(SUMIFS(LS[Cost of Units Sold],LS[Investor ID],A486,LS[B/S],"S",LS[Date Value],"&gt;="&amp;$Z$2,LS[Date Value],"&lt;="&amp;$Z$3))+(SUMIFS(SIP[Cost of Units Sold],SIP[Investor ID],A486,SIP[B/S],"S",SIP[Date Value],"&gt;="&amp;$Z$2,SIP[Date Value],"&lt;="&amp;$Z$3))</f>
        <v>0</v>
      </c>
      <c r="N486" s="49">
        <f t="shared" si="39"/>
        <v>65000</v>
      </c>
      <c r="O486" s="49">
        <f>(SUMIFS(LS[Realized Gain],LS[Investor ID],A486,LS[Date Value],"&gt;="&amp;$Z$2,LS[Date Value],"&lt;="&amp;$Z$3))+(SUMIFS(SIP[Realized Gain],SIP[Investor ID],A486,SIP[Date Value],"&gt;="&amp;$Z$2,SIP[Date Value],"&lt;="&amp;$Z$3))</f>
        <v>0</v>
      </c>
      <c r="P486" s="49">
        <v>0</v>
      </c>
      <c r="Q486" s="49">
        <v>0</v>
      </c>
      <c r="R486" s="49">
        <v>0</v>
      </c>
    </row>
    <row r="487" spans="1:18">
      <c r="A487" t="s">
        <v>1020</v>
      </c>
      <c r="B487" s="47">
        <f>SUMIFS(LS[Unit],LS[Investor ID],'TAX CERTIFICATE'!A487,LS[Date Value],"&lt;"&amp;$Z$2)+SUMIFS(SIP[Unit],SIP[Investor ID],'TAX CERTIFICATE'!A487,SIP[Date Value],"&lt;"&amp;$Z$2)</f>
        <v>489</v>
      </c>
      <c r="C487" s="48">
        <f>(SUMIFS(LS[Amount],LS[B/S],"B",LS[Investor ID],A487,LS[Date Value],"&lt;"&amp;$Z$2)-SUMIFS(LS[Cost of Units Sold],LS[B/S],"S",LS[Investor ID],A487,LS[Date Value],"&lt;"&amp;$Z$2))+(SUMIFS(SIP[Amount],SIP[B/S],"B",SIP[Investor ID],#REF!,SIP[Date Value],"&lt;"&amp;$Z$2)-SUMIFS(SIP[Cost of Units Sold],SIP[B/S],"S",SIP[Investor ID],A487,SIP[Date Value],"&lt;"&amp;$Z$2))</f>
        <v>0</v>
      </c>
      <c r="D487" s="49">
        <f t="shared" si="35"/>
        <v>5022.5190000000002</v>
      </c>
      <c r="E487" s="49">
        <f t="shared" si="36"/>
        <v>5022.5190000000002</v>
      </c>
      <c r="F487" s="47">
        <f>SUMIFS(LS[Unit],LS[Investor ID],A487,LS[Date Value],"&lt;="&amp;$Z$3)+SUMIFS(SIP[Unit],SIP[Investor ID],A487,SIP[Date Value],"&lt;="&amp;$Z$3)</f>
        <v>6100</v>
      </c>
      <c r="G487" s="49">
        <f>(SUMIFS(LS[Amount],LS[B/S],"B",LS[Investor ID],A487,LS[Date Value],"&lt;="&amp;$Z$3)-SUMIFS(LS[Cost of Units Sold],LS[B/S],"S",LS[Investor ID],A487,LS[Date Value],"&lt;="&amp;$Z$3))+(SUMIFS(SIP[Amount],SIP[B/S],"B",SIP[Investor ID],A487,SIP[Date Value],"&lt;="&amp;$Z$3)-SUMIFS(SIP[Cost of Units Sold],SIP[B/S],"S",SIP[Investor ID],A487,SIP[Date Value],"&lt;="&amp;$Z$3))</f>
        <v>65000</v>
      </c>
      <c r="H487" s="49">
        <f t="shared" si="37"/>
        <v>68100.399999999994</v>
      </c>
      <c r="I487" s="49">
        <f t="shared" si="38"/>
        <v>3100.3999999999942</v>
      </c>
      <c r="J487" s="47">
        <f>(SUMIFS(LS[Unit],LS[Investor ID],A487,LS[B/S],"B",LS[Date Value],"&gt;="&amp;$Z$2,LS[Date Value],"&lt;="&amp;$Z$3))+(SUMIFS(SIP[Unit],SIP[Investor ID],A487,SIP[B/S],"B",SIP[Date Value],"&gt;="&amp;$Z$2,SIP[Date Value],"&lt;="&amp;$Z$3))</f>
        <v>5611</v>
      </c>
      <c r="K487" s="49">
        <f>(SUMIFS(LS[Amount],LS[Investor ID],A487,LS[B/S],"B",LS[Date Value],"&gt;="&amp;$Z$2,LS[Date Value],"&lt;="&amp;$Z$3))+(SUMIFS(SIP[Amount],SIP[Investor ID],A487,SIP[B/S],"B",SIP[Date Value],"&gt;="&amp;$Z$2,SIP[Date Value],"&lt;="&amp;$Z$3))</f>
        <v>60000</v>
      </c>
      <c r="L487" s="47">
        <f>(-SUMIFS(LS[Unit],LS[Investor ID],A487,LS[B/S],"S",LS[Date Value],"&gt;="&amp;$Z$2,LS[Date Value],"&lt;="&amp;$Z$3))+(-SUMIFS(SIP[Unit],SIP[Investor ID],A487,SIP[B/S],"S",SIP[Date Value],"&gt;="&amp;$Z$2,SIP[Date Value],"&lt;="&amp;$Z$3))</f>
        <v>0</v>
      </c>
      <c r="M487" s="49">
        <f>(SUMIFS(LS[Cost of Units Sold],LS[Investor ID],A487,LS[B/S],"S",LS[Date Value],"&gt;="&amp;$Z$2,LS[Date Value],"&lt;="&amp;$Z$3))+(SUMIFS(SIP[Cost of Units Sold],SIP[Investor ID],A487,SIP[B/S],"S",SIP[Date Value],"&gt;="&amp;$Z$2,SIP[Date Value],"&lt;="&amp;$Z$3))</f>
        <v>0</v>
      </c>
      <c r="N487" s="49">
        <f t="shared" si="39"/>
        <v>60000</v>
      </c>
      <c r="O487" s="49">
        <f>(SUMIFS(LS[Realized Gain],LS[Investor ID],A487,LS[Date Value],"&gt;="&amp;$Z$2,LS[Date Value],"&lt;="&amp;$Z$3))+(SUMIFS(SIP[Realized Gain],SIP[Investor ID],A487,SIP[Date Value],"&gt;="&amp;$Z$2,SIP[Date Value],"&lt;="&amp;$Z$3))</f>
        <v>0</v>
      </c>
      <c r="P487" s="49">
        <v>0</v>
      </c>
      <c r="Q487" s="49">
        <v>0</v>
      </c>
      <c r="R487" s="49">
        <v>0</v>
      </c>
    </row>
    <row r="488" spans="1:18">
      <c r="A488" t="s">
        <v>1022</v>
      </c>
      <c r="B488" s="47">
        <f>SUMIFS(LS[Unit],LS[Investor ID],'TAX CERTIFICATE'!A488,LS[Date Value],"&lt;"&amp;$Z$2)+SUMIFS(SIP[Unit],SIP[Investor ID],'TAX CERTIFICATE'!A488,SIP[Date Value],"&lt;"&amp;$Z$2)</f>
        <v>487</v>
      </c>
      <c r="C488" s="48">
        <f>(SUMIFS(LS[Amount],LS[B/S],"B",LS[Investor ID],A488,LS[Date Value],"&lt;"&amp;$Z$2)-SUMIFS(LS[Cost of Units Sold],LS[B/S],"S",LS[Investor ID],A488,LS[Date Value],"&lt;"&amp;$Z$2))+(SUMIFS(SIP[Amount],SIP[B/S],"B",SIP[Investor ID],#REF!,SIP[Date Value],"&lt;"&amp;$Z$2)-SUMIFS(SIP[Cost of Units Sold],SIP[B/S],"S",SIP[Investor ID],A488,SIP[Date Value],"&lt;"&amp;$Z$2))</f>
        <v>0</v>
      </c>
      <c r="D488" s="49">
        <f t="shared" si="35"/>
        <v>5001.9770000000008</v>
      </c>
      <c r="E488" s="49">
        <f t="shared" si="36"/>
        <v>5001.9770000000008</v>
      </c>
      <c r="F488" s="47">
        <f>SUMIFS(LS[Unit],LS[Investor ID],A488,LS[Date Value],"&lt;="&amp;$Z$3)+SUMIFS(SIP[Unit],SIP[Investor ID],A488,SIP[Date Value],"&lt;="&amp;$Z$3)</f>
        <v>6083</v>
      </c>
      <c r="G488" s="49">
        <f>(SUMIFS(LS[Amount],LS[B/S],"B",LS[Investor ID],A488,LS[Date Value],"&lt;="&amp;$Z$3)-SUMIFS(LS[Cost of Units Sold],LS[B/S],"S",LS[Investor ID],A488,LS[Date Value],"&lt;="&amp;$Z$3))+(SUMIFS(SIP[Amount],SIP[B/S],"B",SIP[Investor ID],A488,SIP[Date Value],"&lt;="&amp;$Z$3)-SUMIFS(SIP[Cost of Units Sold],SIP[B/S],"S",SIP[Investor ID],A488,SIP[Date Value],"&lt;="&amp;$Z$3))</f>
        <v>65000</v>
      </c>
      <c r="H488" s="49">
        <f t="shared" si="37"/>
        <v>67910.611999999994</v>
      </c>
      <c r="I488" s="49">
        <f t="shared" si="38"/>
        <v>2910.6119999999937</v>
      </c>
      <c r="J488" s="47">
        <f>(SUMIFS(LS[Unit],LS[Investor ID],A488,LS[B/S],"B",LS[Date Value],"&gt;="&amp;$Z$2,LS[Date Value],"&lt;="&amp;$Z$3))+(SUMIFS(SIP[Unit],SIP[Investor ID],A488,SIP[B/S],"B",SIP[Date Value],"&gt;="&amp;$Z$2,SIP[Date Value],"&lt;="&amp;$Z$3))</f>
        <v>5596</v>
      </c>
      <c r="K488" s="49">
        <f>(SUMIFS(LS[Amount],LS[Investor ID],A488,LS[B/S],"B",LS[Date Value],"&gt;="&amp;$Z$2,LS[Date Value],"&lt;="&amp;$Z$3))+(SUMIFS(SIP[Amount],SIP[Investor ID],A488,SIP[B/S],"B",SIP[Date Value],"&gt;="&amp;$Z$2,SIP[Date Value],"&lt;="&amp;$Z$3))</f>
        <v>60000</v>
      </c>
      <c r="L488" s="47">
        <f>(-SUMIFS(LS[Unit],LS[Investor ID],A488,LS[B/S],"S",LS[Date Value],"&gt;="&amp;$Z$2,LS[Date Value],"&lt;="&amp;$Z$3))+(-SUMIFS(SIP[Unit],SIP[Investor ID],A488,SIP[B/S],"S",SIP[Date Value],"&gt;="&amp;$Z$2,SIP[Date Value],"&lt;="&amp;$Z$3))</f>
        <v>0</v>
      </c>
      <c r="M488" s="49">
        <f>(SUMIFS(LS[Cost of Units Sold],LS[Investor ID],A488,LS[B/S],"S",LS[Date Value],"&gt;="&amp;$Z$2,LS[Date Value],"&lt;="&amp;$Z$3))+(SUMIFS(SIP[Cost of Units Sold],SIP[Investor ID],A488,SIP[B/S],"S",SIP[Date Value],"&gt;="&amp;$Z$2,SIP[Date Value],"&lt;="&amp;$Z$3))</f>
        <v>0</v>
      </c>
      <c r="N488" s="49">
        <f t="shared" si="39"/>
        <v>60000</v>
      </c>
      <c r="O488" s="49">
        <f>(SUMIFS(LS[Realized Gain],LS[Investor ID],A488,LS[Date Value],"&gt;="&amp;$Z$2,LS[Date Value],"&lt;="&amp;$Z$3))+(SUMIFS(SIP[Realized Gain],SIP[Investor ID],A488,SIP[Date Value],"&gt;="&amp;$Z$2,SIP[Date Value],"&lt;="&amp;$Z$3))</f>
        <v>0</v>
      </c>
      <c r="P488" s="49">
        <v>0</v>
      </c>
      <c r="Q488" s="49">
        <v>0</v>
      </c>
      <c r="R488" s="49">
        <v>0</v>
      </c>
    </row>
    <row r="489" spans="1:18">
      <c r="A489" t="s">
        <v>1024</v>
      </c>
      <c r="B489" s="47">
        <f>SUMIFS(LS[Unit],LS[Investor ID],'TAX CERTIFICATE'!A489,LS[Date Value],"&lt;"&amp;$Z$2)+SUMIFS(SIP[Unit],SIP[Investor ID],'TAX CERTIFICATE'!A489,SIP[Date Value],"&lt;"&amp;$Z$2)</f>
        <v>39243</v>
      </c>
      <c r="C489" s="48">
        <f>(SUMIFS(LS[Amount],LS[B/S],"B",LS[Investor ID],A489,LS[Date Value],"&lt;"&amp;$Z$2)-SUMIFS(LS[Cost of Units Sold],LS[B/S],"S",LS[Investor ID],A489,LS[Date Value],"&lt;"&amp;$Z$2))+(SUMIFS(SIP[Amount],SIP[B/S],"B",SIP[Investor ID],#REF!,SIP[Date Value],"&lt;"&amp;$Z$2)-SUMIFS(SIP[Cost of Units Sold],SIP[B/S],"S",SIP[Investor ID],A489,SIP[Date Value],"&lt;"&amp;$Z$2))</f>
        <v>400000</v>
      </c>
      <c r="D489" s="49">
        <f t="shared" si="35"/>
        <v>403064.853</v>
      </c>
      <c r="E489" s="49">
        <f t="shared" si="36"/>
        <v>3064.8530000000028</v>
      </c>
      <c r="F489" s="47">
        <f>SUMIFS(LS[Unit],LS[Investor ID],A489,LS[Date Value],"&lt;="&amp;$Z$3)+SUMIFS(SIP[Unit],SIP[Investor ID],A489,SIP[Date Value],"&lt;="&amp;$Z$3)</f>
        <v>75111</v>
      </c>
      <c r="G489" s="49">
        <f>(SUMIFS(LS[Amount],LS[B/S],"B",LS[Investor ID],A489,LS[Date Value],"&lt;="&amp;$Z$3)-SUMIFS(LS[Cost of Units Sold],LS[B/S],"S",LS[Investor ID],A489,LS[Date Value],"&lt;="&amp;$Z$3))+(SUMIFS(SIP[Amount],SIP[B/S],"B",SIP[Investor ID],A489,SIP[Date Value],"&lt;="&amp;$Z$3)-SUMIFS(SIP[Cost of Units Sold],SIP[B/S],"S",SIP[Investor ID],A489,SIP[Date Value],"&lt;="&amp;$Z$3))</f>
        <v>800000</v>
      </c>
      <c r="H489" s="49">
        <f t="shared" si="37"/>
        <v>838539.20400000003</v>
      </c>
      <c r="I489" s="49">
        <f t="shared" si="38"/>
        <v>38539.204000000027</v>
      </c>
      <c r="J489" s="47">
        <f>(SUMIFS(LS[Unit],LS[Investor ID],A489,LS[B/S],"B",LS[Date Value],"&gt;="&amp;$Z$2,LS[Date Value],"&lt;="&amp;$Z$3))+(SUMIFS(SIP[Unit],SIP[Investor ID],A489,SIP[B/S],"B",SIP[Date Value],"&gt;="&amp;$Z$2,SIP[Date Value],"&lt;="&amp;$Z$3))</f>
        <v>35868</v>
      </c>
      <c r="K489" s="49">
        <f>(SUMIFS(LS[Amount],LS[Investor ID],A489,LS[B/S],"B",LS[Date Value],"&gt;="&amp;$Z$2,LS[Date Value],"&lt;="&amp;$Z$3))+(SUMIFS(SIP[Amount],SIP[Investor ID],A489,SIP[B/S],"B",SIP[Date Value],"&gt;="&amp;$Z$2,SIP[Date Value],"&lt;="&amp;$Z$3))</f>
        <v>400000</v>
      </c>
      <c r="L489" s="47">
        <f>(-SUMIFS(LS[Unit],LS[Investor ID],A489,LS[B/S],"S",LS[Date Value],"&gt;="&amp;$Z$2,LS[Date Value],"&lt;="&amp;$Z$3))+(-SUMIFS(SIP[Unit],SIP[Investor ID],A489,SIP[B/S],"S",SIP[Date Value],"&gt;="&amp;$Z$2,SIP[Date Value],"&lt;="&amp;$Z$3))</f>
        <v>0</v>
      </c>
      <c r="M489" s="49">
        <f>(SUMIFS(LS[Cost of Units Sold],LS[Investor ID],A489,LS[B/S],"S",LS[Date Value],"&gt;="&amp;$Z$2,LS[Date Value],"&lt;="&amp;$Z$3))+(SUMIFS(SIP[Cost of Units Sold],SIP[Investor ID],A489,SIP[B/S],"S",SIP[Date Value],"&gt;="&amp;$Z$2,SIP[Date Value],"&lt;="&amp;$Z$3))</f>
        <v>0</v>
      </c>
      <c r="N489" s="49">
        <f t="shared" si="39"/>
        <v>400000</v>
      </c>
      <c r="O489" s="49">
        <f>(SUMIFS(LS[Realized Gain],LS[Investor ID],A489,LS[Date Value],"&gt;="&amp;$Z$2,LS[Date Value],"&lt;="&amp;$Z$3))+(SUMIFS(SIP[Realized Gain],SIP[Investor ID],A489,SIP[Date Value],"&gt;="&amp;$Z$2,SIP[Date Value],"&lt;="&amp;$Z$3))</f>
        <v>0</v>
      </c>
      <c r="P489" s="49">
        <v>0</v>
      </c>
      <c r="Q489" s="49">
        <v>0</v>
      </c>
      <c r="R489" s="49">
        <v>0</v>
      </c>
    </row>
    <row r="490" spans="1:18">
      <c r="A490" t="s">
        <v>1026</v>
      </c>
      <c r="B490" s="47">
        <f>SUMIFS(LS[Unit],LS[Investor ID],'TAX CERTIFICATE'!A490,LS[Date Value],"&lt;"&amp;$Z$2)+SUMIFS(SIP[Unit],SIP[Investor ID],'TAX CERTIFICATE'!A490,SIP[Date Value],"&lt;"&amp;$Z$2)</f>
        <v>49346</v>
      </c>
      <c r="C490" s="48">
        <f>(SUMIFS(LS[Amount],LS[B/S],"B",LS[Investor ID],A490,LS[Date Value],"&lt;"&amp;$Z$2)-SUMIFS(LS[Cost of Units Sold],LS[B/S],"S",LS[Investor ID],A490,LS[Date Value],"&lt;"&amp;$Z$2))+(SUMIFS(SIP[Amount],SIP[B/S],"B",SIP[Investor ID],#REF!,SIP[Date Value],"&lt;"&amp;$Z$2)-SUMIFS(SIP[Cost of Units Sold],SIP[B/S],"S",SIP[Investor ID],A490,SIP[Date Value],"&lt;"&amp;$Z$2))</f>
        <v>502981.43863332894</v>
      </c>
      <c r="D490" s="49">
        <f t="shared" si="35"/>
        <v>506832.76600000006</v>
      </c>
      <c r="E490" s="49">
        <f t="shared" si="36"/>
        <v>3851.3273666711175</v>
      </c>
      <c r="F490" s="47">
        <f>SUMIFS(LS[Unit],LS[Investor ID],A490,LS[Date Value],"&lt;="&amp;$Z$3)+SUMIFS(SIP[Unit],SIP[Investor ID],A490,SIP[Date Value],"&lt;="&amp;$Z$3)</f>
        <v>99541</v>
      </c>
      <c r="G490" s="49">
        <f>(SUMIFS(LS[Amount],LS[B/S],"B",LS[Investor ID],A490,LS[Date Value],"&lt;="&amp;$Z$3)-SUMIFS(LS[Cost of Units Sold],LS[B/S],"S",LS[Investor ID],A490,LS[Date Value],"&lt;="&amp;$Z$3))+(SUMIFS(SIP[Amount],SIP[B/S],"B",SIP[Investor ID],A490,SIP[Date Value],"&lt;="&amp;$Z$3)-SUMIFS(SIP[Cost of Units Sold],SIP[B/S],"S",SIP[Investor ID],A490,SIP[Date Value],"&lt;="&amp;$Z$3))</f>
        <v>1077238.4739463176</v>
      </c>
      <c r="H490" s="49">
        <f t="shared" si="37"/>
        <v>1111275.7239999999</v>
      </c>
      <c r="I490" s="49">
        <f t="shared" si="38"/>
        <v>34037.250053682365</v>
      </c>
      <c r="J490" s="47">
        <f>(SUMIFS(LS[Unit],LS[Investor ID],A490,LS[B/S],"B",LS[Date Value],"&gt;="&amp;$Z$2,LS[Date Value],"&lt;="&amp;$Z$3))+(SUMIFS(SIP[Unit],SIP[Investor ID],A490,SIP[B/S],"B",SIP[Date Value],"&gt;="&amp;$Z$2,SIP[Date Value],"&lt;="&amp;$Z$3))</f>
        <v>230728</v>
      </c>
      <c r="K490" s="49">
        <f>(SUMIFS(LS[Amount],LS[Investor ID],A490,LS[B/S],"B",LS[Date Value],"&gt;="&amp;$Z$2,LS[Date Value],"&lt;="&amp;$Z$3))+(SUMIFS(SIP[Amount],SIP[Investor ID],A490,SIP[B/S],"B",SIP[Date Value],"&gt;="&amp;$Z$2,SIP[Date Value],"&lt;="&amp;$Z$3))</f>
        <v>2500825</v>
      </c>
      <c r="L490" s="47">
        <f>(-SUMIFS(LS[Unit],LS[Investor ID],A490,LS[B/S],"S",LS[Date Value],"&gt;="&amp;$Z$2,LS[Date Value],"&lt;="&amp;$Z$3))+(-SUMIFS(SIP[Unit],SIP[Investor ID],A490,SIP[B/S],"S",SIP[Date Value],"&gt;="&amp;$Z$2,SIP[Date Value],"&lt;="&amp;$Z$3))</f>
        <v>180533</v>
      </c>
      <c r="M490" s="49">
        <f>(SUMIFS(LS[Cost of Units Sold],LS[Investor ID],A490,LS[B/S],"S",LS[Date Value],"&gt;="&amp;$Z$2,LS[Date Value],"&lt;="&amp;$Z$3))+(SUMIFS(SIP[Cost of Units Sold],SIP[Investor ID],A490,SIP[B/S],"S",SIP[Date Value],"&gt;="&amp;$Z$2,SIP[Date Value],"&lt;="&amp;$Z$3))</f>
        <v>1926567.9646870114</v>
      </c>
      <c r="N490" s="49">
        <f t="shared" si="39"/>
        <v>574257.03531298856</v>
      </c>
      <c r="O490" s="49">
        <f>(SUMIFS(LS[Realized Gain],LS[Investor ID],A490,LS[Date Value],"&gt;="&amp;$Z$2,LS[Date Value],"&lt;="&amp;$Z$3))+(SUMIFS(SIP[Realized Gain],SIP[Investor ID],A490,SIP[Date Value],"&gt;="&amp;$Z$2,SIP[Date Value],"&lt;="&amp;$Z$3))</f>
        <v>73432.035312988723</v>
      </c>
      <c r="P490" s="49">
        <v>0</v>
      </c>
      <c r="Q490" s="49">
        <v>0</v>
      </c>
      <c r="R490" s="49">
        <v>0</v>
      </c>
    </row>
    <row r="491" spans="1:18">
      <c r="A491" t="s">
        <v>1028</v>
      </c>
      <c r="B491" s="47">
        <f>SUMIFS(LS[Unit],LS[Investor ID],'TAX CERTIFICATE'!A491,LS[Date Value],"&lt;"&amp;$Z$2)+SUMIFS(SIP[Unit],SIP[Investor ID],'TAX CERTIFICATE'!A491,SIP[Date Value],"&lt;"&amp;$Z$2)</f>
        <v>487</v>
      </c>
      <c r="C491" s="48">
        <f>(SUMIFS(LS[Amount],LS[B/S],"B",LS[Investor ID],A491,LS[Date Value],"&lt;"&amp;$Z$2)-SUMIFS(LS[Cost of Units Sold],LS[B/S],"S",LS[Investor ID],A491,LS[Date Value],"&lt;"&amp;$Z$2))+(SUMIFS(SIP[Amount],SIP[B/S],"B",SIP[Investor ID],#REF!,SIP[Date Value],"&lt;"&amp;$Z$2)-SUMIFS(SIP[Cost of Units Sold],SIP[B/S],"S",SIP[Investor ID],A491,SIP[Date Value],"&lt;"&amp;$Z$2))</f>
        <v>0</v>
      </c>
      <c r="D491" s="49">
        <f t="shared" si="35"/>
        <v>5001.9770000000008</v>
      </c>
      <c r="E491" s="49">
        <f t="shared" si="36"/>
        <v>5001.9770000000008</v>
      </c>
      <c r="F491" s="47">
        <f>SUMIFS(LS[Unit],LS[Investor ID],A491,LS[Date Value],"&lt;="&amp;$Z$3)+SUMIFS(SIP[Unit],SIP[Investor ID],A491,SIP[Date Value],"&lt;="&amp;$Z$3)</f>
        <v>6083</v>
      </c>
      <c r="G491" s="49">
        <f>(SUMIFS(LS[Amount],LS[B/S],"B",LS[Investor ID],A491,LS[Date Value],"&lt;="&amp;$Z$3)-SUMIFS(LS[Cost of Units Sold],LS[B/S],"S",LS[Investor ID],A491,LS[Date Value],"&lt;="&amp;$Z$3))+(SUMIFS(SIP[Amount],SIP[B/S],"B",SIP[Investor ID],A491,SIP[Date Value],"&lt;="&amp;$Z$3)-SUMIFS(SIP[Cost of Units Sold],SIP[B/S],"S",SIP[Investor ID],A491,SIP[Date Value],"&lt;="&amp;$Z$3))</f>
        <v>65000</v>
      </c>
      <c r="H491" s="49">
        <f t="shared" si="37"/>
        <v>67910.611999999994</v>
      </c>
      <c r="I491" s="49">
        <f t="shared" si="38"/>
        <v>2910.6119999999937</v>
      </c>
      <c r="J491" s="47">
        <f>(SUMIFS(LS[Unit],LS[Investor ID],A491,LS[B/S],"B",LS[Date Value],"&gt;="&amp;$Z$2,LS[Date Value],"&lt;="&amp;$Z$3))+(SUMIFS(SIP[Unit],SIP[Investor ID],A491,SIP[B/S],"B",SIP[Date Value],"&gt;="&amp;$Z$2,SIP[Date Value],"&lt;="&amp;$Z$3))</f>
        <v>5596</v>
      </c>
      <c r="K491" s="49">
        <f>(SUMIFS(LS[Amount],LS[Investor ID],A491,LS[B/S],"B",LS[Date Value],"&gt;="&amp;$Z$2,LS[Date Value],"&lt;="&amp;$Z$3))+(SUMIFS(SIP[Amount],SIP[Investor ID],A491,SIP[B/S],"B",SIP[Date Value],"&gt;="&amp;$Z$2,SIP[Date Value],"&lt;="&amp;$Z$3))</f>
        <v>60000</v>
      </c>
      <c r="L491" s="47">
        <f>(-SUMIFS(LS[Unit],LS[Investor ID],A491,LS[B/S],"S",LS[Date Value],"&gt;="&amp;$Z$2,LS[Date Value],"&lt;="&amp;$Z$3))+(-SUMIFS(SIP[Unit],SIP[Investor ID],A491,SIP[B/S],"S",SIP[Date Value],"&gt;="&amp;$Z$2,SIP[Date Value],"&lt;="&amp;$Z$3))</f>
        <v>0</v>
      </c>
      <c r="M491" s="49">
        <f>(SUMIFS(LS[Cost of Units Sold],LS[Investor ID],A491,LS[B/S],"S",LS[Date Value],"&gt;="&amp;$Z$2,LS[Date Value],"&lt;="&amp;$Z$3))+(SUMIFS(SIP[Cost of Units Sold],SIP[Investor ID],A491,SIP[B/S],"S",SIP[Date Value],"&gt;="&amp;$Z$2,SIP[Date Value],"&lt;="&amp;$Z$3))</f>
        <v>0</v>
      </c>
      <c r="N491" s="49">
        <f t="shared" si="39"/>
        <v>60000</v>
      </c>
      <c r="O491" s="49">
        <f>(SUMIFS(LS[Realized Gain],LS[Investor ID],A491,LS[Date Value],"&gt;="&amp;$Z$2,LS[Date Value],"&lt;="&amp;$Z$3))+(SUMIFS(SIP[Realized Gain],SIP[Investor ID],A491,SIP[Date Value],"&gt;="&amp;$Z$2,SIP[Date Value],"&lt;="&amp;$Z$3))</f>
        <v>0</v>
      </c>
      <c r="P491" s="49">
        <v>0</v>
      </c>
      <c r="Q491" s="49">
        <v>0</v>
      </c>
      <c r="R491" s="49">
        <v>0</v>
      </c>
    </row>
    <row r="492" spans="1:18">
      <c r="A492" t="s">
        <v>1030</v>
      </c>
      <c r="B492" s="47">
        <f>SUMIFS(LS[Unit],LS[Investor ID],'TAX CERTIFICATE'!A492,LS[Date Value],"&lt;"&amp;$Z$2)+SUMIFS(SIP[Unit],SIP[Investor ID],'TAX CERTIFICATE'!A492,SIP[Date Value],"&lt;"&amp;$Z$2)</f>
        <v>48933</v>
      </c>
      <c r="C492" s="48">
        <f>(SUMIFS(LS[Amount],LS[B/S],"B",LS[Investor ID],A492,LS[Date Value],"&lt;"&amp;$Z$2)-SUMIFS(LS[Cost of Units Sold],LS[B/S],"S",LS[Investor ID],A492,LS[Date Value],"&lt;"&amp;$Z$2))+(SUMIFS(SIP[Amount],SIP[B/S],"B",SIP[Investor ID],#REF!,SIP[Date Value],"&lt;"&amp;$Z$2)-SUMIFS(SIP[Cost of Units Sold],SIP[B/S],"S",SIP[Investor ID],A492,SIP[Date Value],"&lt;"&amp;$Z$2))</f>
        <v>500000</v>
      </c>
      <c r="D492" s="49">
        <f t="shared" si="35"/>
        <v>502590.84300000005</v>
      </c>
      <c r="E492" s="49">
        <f t="shared" si="36"/>
        <v>2590.8430000000517</v>
      </c>
      <c r="F492" s="47">
        <f>SUMIFS(LS[Unit],LS[Investor ID],A492,LS[Date Value],"&lt;="&amp;$Z$3)+SUMIFS(SIP[Unit],SIP[Investor ID],A492,SIP[Date Value],"&lt;="&amp;$Z$3)</f>
        <v>48933</v>
      </c>
      <c r="G492" s="49">
        <f>(SUMIFS(LS[Amount],LS[B/S],"B",LS[Investor ID],A492,LS[Date Value],"&lt;="&amp;$Z$3)-SUMIFS(LS[Cost of Units Sold],LS[B/S],"S",LS[Investor ID],A492,LS[Date Value],"&lt;="&amp;$Z$3))+(SUMIFS(SIP[Amount],SIP[B/S],"B",SIP[Investor ID],A492,SIP[Date Value],"&lt;="&amp;$Z$3)-SUMIFS(SIP[Cost of Units Sold],SIP[B/S],"S",SIP[Investor ID],A492,SIP[Date Value],"&lt;="&amp;$Z$3))</f>
        <v>500000</v>
      </c>
      <c r="H492" s="49">
        <f t="shared" si="37"/>
        <v>546288.01199999999</v>
      </c>
      <c r="I492" s="49">
        <f t="shared" si="38"/>
        <v>46288.011999999988</v>
      </c>
      <c r="J492" s="47">
        <f>(SUMIFS(LS[Unit],LS[Investor ID],A492,LS[B/S],"B",LS[Date Value],"&gt;="&amp;$Z$2,LS[Date Value],"&lt;="&amp;$Z$3))+(SUMIFS(SIP[Unit],SIP[Investor ID],A492,SIP[B/S],"B",SIP[Date Value],"&gt;="&amp;$Z$2,SIP[Date Value],"&lt;="&amp;$Z$3))</f>
        <v>0</v>
      </c>
      <c r="K492" s="49">
        <f>(SUMIFS(LS[Amount],LS[Investor ID],A492,LS[B/S],"B",LS[Date Value],"&gt;="&amp;$Z$2,LS[Date Value],"&lt;="&amp;$Z$3))+(SUMIFS(SIP[Amount],SIP[Investor ID],A492,SIP[B/S],"B",SIP[Date Value],"&gt;="&amp;$Z$2,SIP[Date Value],"&lt;="&amp;$Z$3))</f>
        <v>0</v>
      </c>
      <c r="L492" s="47">
        <f>(-SUMIFS(LS[Unit],LS[Investor ID],A492,LS[B/S],"S",LS[Date Value],"&gt;="&amp;$Z$2,LS[Date Value],"&lt;="&amp;$Z$3))+(-SUMIFS(SIP[Unit],SIP[Investor ID],A492,SIP[B/S],"S",SIP[Date Value],"&gt;="&amp;$Z$2,SIP[Date Value],"&lt;="&amp;$Z$3))</f>
        <v>0</v>
      </c>
      <c r="M492" s="49">
        <f>(SUMIFS(LS[Cost of Units Sold],LS[Investor ID],A492,LS[B/S],"S",LS[Date Value],"&gt;="&amp;$Z$2,LS[Date Value],"&lt;="&amp;$Z$3))+(SUMIFS(SIP[Cost of Units Sold],SIP[Investor ID],A492,SIP[B/S],"S",SIP[Date Value],"&gt;="&amp;$Z$2,SIP[Date Value],"&lt;="&amp;$Z$3))</f>
        <v>0</v>
      </c>
      <c r="N492" s="49">
        <f t="shared" si="39"/>
        <v>0</v>
      </c>
      <c r="O492" s="49">
        <f>(SUMIFS(LS[Realized Gain],LS[Investor ID],A492,LS[Date Value],"&gt;="&amp;$Z$2,LS[Date Value],"&lt;="&amp;$Z$3))+(SUMIFS(SIP[Realized Gain],SIP[Investor ID],A492,SIP[Date Value],"&gt;="&amp;$Z$2,SIP[Date Value],"&lt;="&amp;$Z$3))</f>
        <v>0</v>
      </c>
      <c r="P492" s="49">
        <v>0</v>
      </c>
      <c r="Q492" s="49">
        <v>0</v>
      </c>
      <c r="R492" s="49">
        <v>0</v>
      </c>
    </row>
    <row r="493" spans="1:18">
      <c r="A493" t="s">
        <v>1032</v>
      </c>
      <c r="B493" s="47">
        <f>SUMIFS(LS[Unit],LS[Investor ID],'TAX CERTIFICATE'!A493,LS[Date Value],"&lt;"&amp;$Z$2)+SUMIFS(SIP[Unit],SIP[Investor ID],'TAX CERTIFICATE'!A493,SIP[Date Value],"&lt;"&amp;$Z$2)</f>
        <v>487</v>
      </c>
      <c r="C493" s="48">
        <f>(SUMIFS(LS[Amount],LS[B/S],"B",LS[Investor ID],A493,LS[Date Value],"&lt;"&amp;$Z$2)-SUMIFS(LS[Cost of Units Sold],LS[B/S],"S",LS[Investor ID],A493,LS[Date Value],"&lt;"&amp;$Z$2))+(SUMIFS(SIP[Amount],SIP[B/S],"B",SIP[Investor ID],#REF!,SIP[Date Value],"&lt;"&amp;$Z$2)-SUMIFS(SIP[Cost of Units Sold],SIP[B/S],"S",SIP[Investor ID],A493,SIP[Date Value],"&lt;"&amp;$Z$2))</f>
        <v>0</v>
      </c>
      <c r="D493" s="49">
        <f t="shared" si="35"/>
        <v>5001.9770000000008</v>
      </c>
      <c r="E493" s="49">
        <f t="shared" si="36"/>
        <v>5001.9770000000008</v>
      </c>
      <c r="F493" s="47">
        <f>SUMIFS(LS[Unit],LS[Investor ID],A493,LS[Date Value],"&lt;="&amp;$Z$3)+SUMIFS(SIP[Unit],SIP[Investor ID],A493,SIP[Date Value],"&lt;="&amp;$Z$3)</f>
        <v>6083</v>
      </c>
      <c r="G493" s="49">
        <f>(SUMIFS(LS[Amount],LS[B/S],"B",LS[Investor ID],A493,LS[Date Value],"&lt;="&amp;$Z$3)-SUMIFS(LS[Cost of Units Sold],LS[B/S],"S",LS[Investor ID],A493,LS[Date Value],"&lt;="&amp;$Z$3))+(SUMIFS(SIP[Amount],SIP[B/S],"B",SIP[Investor ID],A493,SIP[Date Value],"&lt;="&amp;$Z$3)-SUMIFS(SIP[Cost of Units Sold],SIP[B/S],"S",SIP[Investor ID],A493,SIP[Date Value],"&lt;="&amp;$Z$3))</f>
        <v>65000</v>
      </c>
      <c r="H493" s="49">
        <f t="shared" si="37"/>
        <v>67910.611999999994</v>
      </c>
      <c r="I493" s="49">
        <f t="shared" si="38"/>
        <v>2910.6119999999937</v>
      </c>
      <c r="J493" s="47">
        <f>(SUMIFS(LS[Unit],LS[Investor ID],A493,LS[B/S],"B",LS[Date Value],"&gt;="&amp;$Z$2,LS[Date Value],"&lt;="&amp;$Z$3))+(SUMIFS(SIP[Unit],SIP[Investor ID],A493,SIP[B/S],"B",SIP[Date Value],"&gt;="&amp;$Z$2,SIP[Date Value],"&lt;="&amp;$Z$3))</f>
        <v>5596</v>
      </c>
      <c r="K493" s="49">
        <f>(SUMIFS(LS[Amount],LS[Investor ID],A493,LS[B/S],"B",LS[Date Value],"&gt;="&amp;$Z$2,LS[Date Value],"&lt;="&amp;$Z$3))+(SUMIFS(SIP[Amount],SIP[Investor ID],A493,SIP[B/S],"B",SIP[Date Value],"&gt;="&amp;$Z$2,SIP[Date Value],"&lt;="&amp;$Z$3))</f>
        <v>60000</v>
      </c>
      <c r="L493" s="47">
        <f>(-SUMIFS(LS[Unit],LS[Investor ID],A493,LS[B/S],"S",LS[Date Value],"&gt;="&amp;$Z$2,LS[Date Value],"&lt;="&amp;$Z$3))+(-SUMIFS(SIP[Unit],SIP[Investor ID],A493,SIP[B/S],"S",SIP[Date Value],"&gt;="&amp;$Z$2,SIP[Date Value],"&lt;="&amp;$Z$3))</f>
        <v>0</v>
      </c>
      <c r="M493" s="49">
        <f>(SUMIFS(LS[Cost of Units Sold],LS[Investor ID],A493,LS[B/S],"S",LS[Date Value],"&gt;="&amp;$Z$2,LS[Date Value],"&lt;="&amp;$Z$3))+(SUMIFS(SIP[Cost of Units Sold],SIP[Investor ID],A493,SIP[B/S],"S",SIP[Date Value],"&gt;="&amp;$Z$2,SIP[Date Value],"&lt;="&amp;$Z$3))</f>
        <v>0</v>
      </c>
      <c r="N493" s="49">
        <f t="shared" si="39"/>
        <v>60000</v>
      </c>
      <c r="O493" s="49">
        <f>(SUMIFS(LS[Realized Gain],LS[Investor ID],A493,LS[Date Value],"&gt;="&amp;$Z$2,LS[Date Value],"&lt;="&amp;$Z$3))+(SUMIFS(SIP[Realized Gain],SIP[Investor ID],A493,SIP[Date Value],"&gt;="&amp;$Z$2,SIP[Date Value],"&lt;="&amp;$Z$3))</f>
        <v>0</v>
      </c>
      <c r="P493" s="49">
        <v>0</v>
      </c>
      <c r="Q493" s="49">
        <v>0</v>
      </c>
      <c r="R493" s="49">
        <v>0</v>
      </c>
    </row>
    <row r="494" spans="1:18">
      <c r="A494" t="s">
        <v>1034</v>
      </c>
      <c r="B494" s="47">
        <f>SUMIFS(LS[Unit],LS[Investor ID],'TAX CERTIFICATE'!A494,LS[Date Value],"&lt;"&amp;$Z$2)+SUMIFS(SIP[Unit],SIP[Investor ID],'TAX CERTIFICATE'!A494,SIP[Date Value],"&lt;"&amp;$Z$2)</f>
        <v>39009</v>
      </c>
      <c r="C494" s="48">
        <f>(SUMIFS(LS[Amount],LS[B/S],"B",LS[Investor ID],A494,LS[Date Value],"&lt;"&amp;$Z$2)-SUMIFS(LS[Cost of Units Sold],LS[B/S],"S",LS[Investor ID],A494,LS[Date Value],"&lt;"&amp;$Z$2))+(SUMIFS(SIP[Amount],SIP[B/S],"B",SIP[Investor ID],#REF!,SIP[Date Value],"&lt;"&amp;$Z$2)-SUMIFS(SIP[Cost of Units Sold],SIP[B/S],"S",SIP[Investor ID],A494,SIP[Date Value],"&lt;"&amp;$Z$2))</f>
        <v>400000</v>
      </c>
      <c r="D494" s="49">
        <f t="shared" si="35"/>
        <v>400661.43900000001</v>
      </c>
      <c r="E494" s="49">
        <f t="shared" si="36"/>
        <v>661.43900000001304</v>
      </c>
      <c r="F494" s="47">
        <f>SUMIFS(LS[Unit],LS[Investor ID],A494,LS[Date Value],"&lt;="&amp;$Z$3)+SUMIFS(SIP[Unit],SIP[Investor ID],A494,SIP[Date Value],"&lt;="&amp;$Z$3)</f>
        <v>0</v>
      </c>
      <c r="G494" s="49">
        <f>(SUMIFS(LS[Amount],LS[B/S],"B",LS[Investor ID],A494,LS[Date Value],"&lt;="&amp;$Z$3)-SUMIFS(LS[Cost of Units Sold],LS[B/S],"S",LS[Investor ID],A494,LS[Date Value],"&lt;="&amp;$Z$3))+(SUMIFS(SIP[Amount],SIP[B/S],"B",SIP[Investor ID],A494,SIP[Date Value],"&lt;="&amp;$Z$3)-SUMIFS(SIP[Cost of Units Sold],SIP[B/S],"S",SIP[Investor ID],A494,SIP[Date Value],"&lt;="&amp;$Z$3))</f>
        <v>1.1641532182693481E-10</v>
      </c>
      <c r="H494" s="49">
        <f t="shared" si="37"/>
        <v>0</v>
      </c>
      <c r="I494" s="49">
        <f t="shared" si="38"/>
        <v>-1.1641532182693481E-10</v>
      </c>
      <c r="J494" s="47">
        <f>(SUMIFS(LS[Unit],LS[Investor ID],A494,LS[B/S],"B",LS[Date Value],"&gt;="&amp;$Z$2,LS[Date Value],"&lt;="&amp;$Z$3))+(SUMIFS(SIP[Unit],SIP[Investor ID],A494,SIP[B/S],"B",SIP[Date Value],"&gt;="&amp;$Z$2,SIP[Date Value],"&lt;="&amp;$Z$3))</f>
        <v>22102</v>
      </c>
      <c r="K494" s="49">
        <f>(SUMIFS(LS[Amount],LS[Investor ID],A494,LS[B/S],"B",LS[Date Value],"&gt;="&amp;$Z$2,LS[Date Value],"&lt;="&amp;$Z$3))+(SUMIFS(SIP[Amount],SIP[Investor ID],A494,SIP[B/S],"B",SIP[Date Value],"&gt;="&amp;$Z$2,SIP[Date Value],"&lt;="&amp;$Z$3))</f>
        <v>240000</v>
      </c>
      <c r="L494" s="47">
        <f>(-SUMIFS(LS[Unit],LS[Investor ID],A494,LS[B/S],"S",LS[Date Value],"&gt;="&amp;$Z$2,LS[Date Value],"&lt;="&amp;$Z$3))+(-SUMIFS(SIP[Unit],SIP[Investor ID],A494,SIP[B/S],"S",SIP[Date Value],"&gt;="&amp;$Z$2,SIP[Date Value],"&lt;="&amp;$Z$3))</f>
        <v>61111</v>
      </c>
      <c r="M494" s="49">
        <f>(SUMIFS(LS[Cost of Units Sold],LS[Investor ID],A494,LS[B/S],"S",LS[Date Value],"&gt;="&amp;$Z$2,LS[Date Value],"&lt;="&amp;$Z$3))+(SUMIFS(SIP[Cost of Units Sold],SIP[Investor ID],A494,SIP[B/S],"S",SIP[Date Value],"&gt;="&amp;$Z$2,SIP[Date Value],"&lt;="&amp;$Z$3))</f>
        <v>639999.99999999988</v>
      </c>
      <c r="N494" s="49">
        <f t="shared" si="39"/>
        <v>-399999.99999999988</v>
      </c>
      <c r="O494" s="49">
        <f>(SUMIFS(LS[Realized Gain],LS[Investor ID],A494,LS[Date Value],"&gt;="&amp;$Z$2,LS[Date Value],"&lt;="&amp;$Z$3))+(SUMIFS(SIP[Realized Gain],SIP[Investor ID],A494,SIP[Date Value],"&gt;="&amp;$Z$2,SIP[Date Value],"&lt;="&amp;$Z$3))</f>
        <v>15505.320000000043</v>
      </c>
      <c r="P494" s="49">
        <v>0</v>
      </c>
      <c r="Q494" s="49">
        <v>0</v>
      </c>
      <c r="R494" s="49">
        <v>0</v>
      </c>
    </row>
    <row r="495" spans="1:18">
      <c r="A495" t="s">
        <v>1036</v>
      </c>
      <c r="B495" s="47">
        <f>SUMIFS(LS[Unit],LS[Investor ID],'TAX CERTIFICATE'!A495,LS[Date Value],"&lt;"&amp;$Z$2)+SUMIFS(SIP[Unit],SIP[Investor ID],'TAX CERTIFICATE'!A495,SIP[Date Value],"&lt;"&amp;$Z$2)</f>
        <v>48857</v>
      </c>
      <c r="C495" s="48">
        <f>(SUMIFS(LS[Amount],LS[B/S],"B",LS[Investor ID],A495,LS[Date Value],"&lt;"&amp;$Z$2)-SUMIFS(LS[Cost of Units Sold],LS[B/S],"S",LS[Investor ID],A495,LS[Date Value],"&lt;"&amp;$Z$2))+(SUMIFS(SIP[Amount],SIP[B/S],"B",SIP[Investor ID],#REF!,SIP[Date Value],"&lt;"&amp;$Z$2)-SUMIFS(SIP[Cost of Units Sold],SIP[B/S],"S",SIP[Investor ID],A495,SIP[Date Value],"&lt;"&amp;$Z$2))</f>
        <v>500000</v>
      </c>
      <c r="D495" s="49">
        <f t="shared" si="35"/>
        <v>501810.24700000003</v>
      </c>
      <c r="E495" s="49">
        <f t="shared" si="36"/>
        <v>1810.2470000000321</v>
      </c>
      <c r="F495" s="47">
        <f>SUMIFS(LS[Unit],LS[Investor ID],A495,LS[Date Value],"&lt;="&amp;$Z$3)+SUMIFS(SIP[Unit],SIP[Investor ID],A495,SIP[Date Value],"&lt;="&amp;$Z$3)</f>
        <v>48857</v>
      </c>
      <c r="G495" s="49">
        <f>(SUMIFS(LS[Amount],LS[B/S],"B",LS[Investor ID],A495,LS[Date Value],"&lt;="&amp;$Z$3)-SUMIFS(LS[Cost of Units Sold],LS[B/S],"S",LS[Investor ID],A495,LS[Date Value],"&lt;="&amp;$Z$3))+(SUMIFS(SIP[Amount],SIP[B/S],"B",SIP[Investor ID],A495,SIP[Date Value],"&lt;="&amp;$Z$3)-SUMIFS(SIP[Cost of Units Sold],SIP[B/S],"S",SIP[Investor ID],A495,SIP[Date Value],"&lt;="&amp;$Z$3))</f>
        <v>500000</v>
      </c>
      <c r="H495" s="49">
        <f t="shared" si="37"/>
        <v>545439.54799999995</v>
      </c>
      <c r="I495" s="49">
        <f t="shared" si="38"/>
        <v>45439.547999999952</v>
      </c>
      <c r="J495" s="47">
        <f>(SUMIFS(LS[Unit],LS[Investor ID],A495,LS[B/S],"B",LS[Date Value],"&gt;="&amp;$Z$2,LS[Date Value],"&lt;="&amp;$Z$3))+(SUMIFS(SIP[Unit],SIP[Investor ID],A495,SIP[B/S],"B",SIP[Date Value],"&gt;="&amp;$Z$2,SIP[Date Value],"&lt;="&amp;$Z$3))</f>
        <v>0</v>
      </c>
      <c r="K495" s="49">
        <f>(SUMIFS(LS[Amount],LS[Investor ID],A495,LS[B/S],"B",LS[Date Value],"&gt;="&amp;$Z$2,LS[Date Value],"&lt;="&amp;$Z$3))+(SUMIFS(SIP[Amount],SIP[Investor ID],A495,SIP[B/S],"B",SIP[Date Value],"&gt;="&amp;$Z$2,SIP[Date Value],"&lt;="&amp;$Z$3))</f>
        <v>0</v>
      </c>
      <c r="L495" s="47">
        <f>(-SUMIFS(LS[Unit],LS[Investor ID],A495,LS[B/S],"S",LS[Date Value],"&gt;="&amp;$Z$2,LS[Date Value],"&lt;="&amp;$Z$3))+(-SUMIFS(SIP[Unit],SIP[Investor ID],A495,SIP[B/S],"S",SIP[Date Value],"&gt;="&amp;$Z$2,SIP[Date Value],"&lt;="&amp;$Z$3))</f>
        <v>0</v>
      </c>
      <c r="M495" s="49">
        <f>(SUMIFS(LS[Cost of Units Sold],LS[Investor ID],A495,LS[B/S],"S",LS[Date Value],"&gt;="&amp;$Z$2,LS[Date Value],"&lt;="&amp;$Z$3))+(SUMIFS(SIP[Cost of Units Sold],SIP[Investor ID],A495,SIP[B/S],"S",SIP[Date Value],"&gt;="&amp;$Z$2,SIP[Date Value],"&lt;="&amp;$Z$3))</f>
        <v>0</v>
      </c>
      <c r="N495" s="49">
        <f t="shared" si="39"/>
        <v>0</v>
      </c>
      <c r="O495" s="49">
        <f>(SUMIFS(LS[Realized Gain],LS[Investor ID],A495,LS[Date Value],"&gt;="&amp;$Z$2,LS[Date Value],"&lt;="&amp;$Z$3))+(SUMIFS(SIP[Realized Gain],SIP[Investor ID],A495,SIP[Date Value],"&gt;="&amp;$Z$2,SIP[Date Value],"&lt;="&amp;$Z$3))</f>
        <v>0</v>
      </c>
      <c r="P495" s="49">
        <v>0</v>
      </c>
      <c r="Q495" s="49">
        <v>0</v>
      </c>
      <c r="R495" s="49">
        <v>0</v>
      </c>
    </row>
    <row r="496" spans="1:18">
      <c r="A496" t="s">
        <v>1038</v>
      </c>
      <c r="B496" s="47">
        <f>SUMIFS(LS[Unit],LS[Investor ID],'TAX CERTIFICATE'!A496,LS[Date Value],"&lt;"&amp;$Z$2)+SUMIFS(SIP[Unit],SIP[Investor ID],'TAX CERTIFICATE'!A496,SIP[Date Value],"&lt;"&amp;$Z$2)</f>
        <v>97714</v>
      </c>
      <c r="C496" s="48">
        <f>(SUMIFS(LS[Amount],LS[B/S],"B",LS[Investor ID],A496,LS[Date Value],"&lt;"&amp;$Z$2)-SUMIFS(LS[Cost of Units Sold],LS[B/S],"S",LS[Investor ID],A496,LS[Date Value],"&lt;"&amp;$Z$2))+(SUMIFS(SIP[Amount],SIP[B/S],"B",SIP[Investor ID],#REF!,SIP[Date Value],"&lt;"&amp;$Z$2)-SUMIFS(SIP[Cost of Units Sold],SIP[B/S],"S",SIP[Investor ID],A496,SIP[Date Value],"&lt;"&amp;$Z$2))</f>
        <v>1000000</v>
      </c>
      <c r="D496" s="49">
        <f t="shared" si="35"/>
        <v>1003620.4940000001</v>
      </c>
      <c r="E496" s="49">
        <f t="shared" si="36"/>
        <v>3620.4940000000643</v>
      </c>
      <c r="F496" s="47">
        <f>SUMIFS(LS[Unit],LS[Investor ID],A496,LS[Date Value],"&lt;="&amp;$Z$3)+SUMIFS(SIP[Unit],SIP[Investor ID],A496,SIP[Date Value],"&lt;="&amp;$Z$3)</f>
        <v>375965</v>
      </c>
      <c r="G496" s="49">
        <f>(SUMIFS(LS[Amount],LS[B/S],"B",LS[Investor ID],A496,LS[Date Value],"&lt;="&amp;$Z$3)-SUMIFS(LS[Cost of Units Sold],LS[B/S],"S",LS[Investor ID],A496,LS[Date Value],"&lt;="&amp;$Z$3))+(SUMIFS(SIP[Amount],SIP[B/S],"B",SIP[Investor ID],A496,SIP[Date Value],"&lt;="&amp;$Z$3)-SUMIFS(SIP[Cost of Units Sold],SIP[B/S],"S",SIP[Investor ID],A496,SIP[Date Value],"&lt;="&amp;$Z$3))</f>
        <v>4000000</v>
      </c>
      <c r="H496" s="49">
        <f t="shared" si="37"/>
        <v>4197273.26</v>
      </c>
      <c r="I496" s="49">
        <f t="shared" si="38"/>
        <v>197273.25999999978</v>
      </c>
      <c r="J496" s="47">
        <f>(SUMIFS(LS[Unit],LS[Investor ID],A496,LS[B/S],"B",LS[Date Value],"&gt;="&amp;$Z$2,LS[Date Value],"&lt;="&amp;$Z$3))+(SUMIFS(SIP[Unit],SIP[Investor ID],A496,SIP[B/S],"B",SIP[Date Value],"&gt;="&amp;$Z$2,SIP[Date Value],"&lt;="&amp;$Z$3))</f>
        <v>278251</v>
      </c>
      <c r="K496" s="49">
        <f>(SUMIFS(LS[Amount],LS[Investor ID],A496,LS[B/S],"B",LS[Date Value],"&gt;="&amp;$Z$2,LS[Date Value],"&lt;="&amp;$Z$3))+(SUMIFS(SIP[Amount],SIP[Investor ID],A496,SIP[B/S],"B",SIP[Date Value],"&gt;="&amp;$Z$2,SIP[Date Value],"&lt;="&amp;$Z$3))</f>
        <v>3000000</v>
      </c>
      <c r="L496" s="47">
        <f>(-SUMIFS(LS[Unit],LS[Investor ID],A496,LS[B/S],"S",LS[Date Value],"&gt;="&amp;$Z$2,LS[Date Value],"&lt;="&amp;$Z$3))+(-SUMIFS(SIP[Unit],SIP[Investor ID],A496,SIP[B/S],"S",SIP[Date Value],"&gt;="&amp;$Z$2,SIP[Date Value],"&lt;="&amp;$Z$3))</f>
        <v>0</v>
      </c>
      <c r="M496" s="49">
        <f>(SUMIFS(LS[Cost of Units Sold],LS[Investor ID],A496,LS[B/S],"S",LS[Date Value],"&gt;="&amp;$Z$2,LS[Date Value],"&lt;="&amp;$Z$3))+(SUMIFS(SIP[Cost of Units Sold],SIP[Investor ID],A496,SIP[B/S],"S",SIP[Date Value],"&gt;="&amp;$Z$2,SIP[Date Value],"&lt;="&amp;$Z$3))</f>
        <v>0</v>
      </c>
      <c r="N496" s="49">
        <f t="shared" si="39"/>
        <v>3000000</v>
      </c>
      <c r="O496" s="49">
        <f>(SUMIFS(LS[Realized Gain],LS[Investor ID],A496,LS[Date Value],"&gt;="&amp;$Z$2,LS[Date Value],"&lt;="&amp;$Z$3))+(SUMIFS(SIP[Realized Gain],SIP[Investor ID],A496,SIP[Date Value],"&gt;="&amp;$Z$2,SIP[Date Value],"&lt;="&amp;$Z$3))</f>
        <v>0</v>
      </c>
      <c r="P496" s="49">
        <v>0</v>
      </c>
      <c r="Q496" s="49">
        <v>0</v>
      </c>
      <c r="R496" s="49">
        <v>0</v>
      </c>
    </row>
    <row r="497" spans="1:18">
      <c r="A497" t="s">
        <v>1040</v>
      </c>
      <c r="B497" s="47">
        <f>SUMIFS(LS[Unit],LS[Investor ID],'TAX CERTIFICATE'!A497,LS[Date Value],"&lt;"&amp;$Z$2)+SUMIFS(SIP[Unit],SIP[Investor ID],'TAX CERTIFICATE'!A497,SIP[Date Value],"&lt;"&amp;$Z$2)</f>
        <v>24428</v>
      </c>
      <c r="C497" s="48">
        <f>(SUMIFS(LS[Amount],LS[B/S],"B",LS[Investor ID],A497,LS[Date Value],"&lt;"&amp;$Z$2)-SUMIFS(LS[Cost of Units Sold],LS[B/S],"S",LS[Investor ID],A497,LS[Date Value],"&lt;"&amp;$Z$2))+(SUMIFS(SIP[Amount],SIP[B/S],"B",SIP[Investor ID],#REF!,SIP[Date Value],"&lt;"&amp;$Z$2)-SUMIFS(SIP[Cost of Units Sold],SIP[B/S],"S",SIP[Investor ID],A497,SIP[Date Value],"&lt;"&amp;$Z$2))</f>
        <v>250000</v>
      </c>
      <c r="D497" s="49">
        <f t="shared" si="35"/>
        <v>250899.98800000001</v>
      </c>
      <c r="E497" s="49">
        <f t="shared" si="36"/>
        <v>899.98800000001211</v>
      </c>
      <c r="F497" s="47">
        <f>SUMIFS(LS[Unit],LS[Investor ID],A497,LS[Date Value],"&lt;="&amp;$Z$3)+SUMIFS(SIP[Unit],SIP[Investor ID],A497,SIP[Date Value],"&lt;="&amp;$Z$3)</f>
        <v>44449</v>
      </c>
      <c r="G497" s="49">
        <f>(SUMIFS(LS[Amount],LS[B/S],"B",LS[Investor ID],A497,LS[Date Value],"&lt;="&amp;$Z$3)-SUMIFS(LS[Cost of Units Sold],LS[B/S],"S",LS[Investor ID],A497,LS[Date Value],"&lt;="&amp;$Z$3))+(SUMIFS(SIP[Amount],SIP[B/S],"B",SIP[Investor ID],A497,SIP[Date Value],"&lt;="&amp;$Z$3)-SUMIFS(SIP[Cost of Units Sold],SIP[B/S],"S",SIP[Investor ID],A497,SIP[Date Value],"&lt;="&amp;$Z$3))</f>
        <v>493000</v>
      </c>
      <c r="H497" s="49">
        <f t="shared" si="37"/>
        <v>496228.636</v>
      </c>
      <c r="I497" s="49">
        <f t="shared" si="38"/>
        <v>3228.6359999999986</v>
      </c>
      <c r="J497" s="47">
        <f>(SUMIFS(LS[Unit],LS[Investor ID],A497,LS[B/S],"B",LS[Date Value],"&gt;="&amp;$Z$2,LS[Date Value],"&lt;="&amp;$Z$3))+(SUMIFS(SIP[Unit],SIP[Investor ID],A497,SIP[B/S],"B",SIP[Date Value],"&gt;="&amp;$Z$2,SIP[Date Value],"&lt;="&amp;$Z$3))</f>
        <v>44449</v>
      </c>
      <c r="K497" s="49">
        <f>(SUMIFS(LS[Amount],LS[Investor ID],A497,LS[B/S],"B",LS[Date Value],"&gt;="&amp;$Z$2,LS[Date Value],"&lt;="&amp;$Z$3))+(SUMIFS(SIP[Amount],SIP[Investor ID],A497,SIP[B/S],"B",SIP[Date Value],"&gt;="&amp;$Z$2,SIP[Date Value],"&lt;="&amp;$Z$3))</f>
        <v>493000</v>
      </c>
      <c r="L497" s="47">
        <f>(-SUMIFS(LS[Unit],LS[Investor ID],A497,LS[B/S],"S",LS[Date Value],"&gt;="&amp;$Z$2,LS[Date Value],"&lt;="&amp;$Z$3))+(-SUMIFS(SIP[Unit],SIP[Investor ID],A497,SIP[B/S],"S",SIP[Date Value],"&gt;="&amp;$Z$2,SIP[Date Value],"&lt;="&amp;$Z$3))</f>
        <v>24428</v>
      </c>
      <c r="M497" s="49">
        <f>(SUMIFS(LS[Cost of Units Sold],LS[Investor ID],A497,LS[B/S],"S",LS[Date Value],"&gt;="&amp;$Z$2,LS[Date Value],"&lt;="&amp;$Z$3))+(SUMIFS(SIP[Cost of Units Sold],SIP[Investor ID],A497,SIP[B/S],"S",SIP[Date Value],"&gt;="&amp;$Z$2,SIP[Date Value],"&lt;="&amp;$Z$3))</f>
        <v>250000.00000000003</v>
      </c>
      <c r="N497" s="49">
        <f t="shared" si="39"/>
        <v>242999.99999999997</v>
      </c>
      <c r="O497" s="49">
        <f>(SUMIFS(LS[Realized Gain],LS[Investor ID],A497,LS[Date Value],"&gt;="&amp;$Z$2,LS[Date Value],"&lt;="&amp;$Z$3))+(SUMIFS(SIP[Realized Gain],SIP[Investor ID],A497,SIP[Date Value],"&gt;="&amp;$Z$2,SIP[Date Value],"&lt;="&amp;$Z$3))</f>
        <v>10013.679999999986</v>
      </c>
      <c r="P497" s="49">
        <v>0</v>
      </c>
      <c r="Q497" s="49">
        <v>0</v>
      </c>
      <c r="R497" s="49">
        <v>0</v>
      </c>
    </row>
    <row r="498" spans="1:18">
      <c r="A498" t="s">
        <v>1042</v>
      </c>
      <c r="B498" s="47">
        <f>SUMIFS(LS[Unit],LS[Investor ID],'TAX CERTIFICATE'!A498,LS[Date Value],"&lt;"&amp;$Z$2)+SUMIFS(SIP[Unit],SIP[Investor ID],'TAX CERTIFICATE'!A498,SIP[Date Value],"&lt;"&amp;$Z$2)</f>
        <v>29314</v>
      </c>
      <c r="C498" s="48">
        <f>(SUMIFS(LS[Amount],LS[B/S],"B",LS[Investor ID],A498,LS[Date Value],"&lt;"&amp;$Z$2)-SUMIFS(LS[Cost of Units Sold],LS[B/S],"S",LS[Investor ID],A498,LS[Date Value],"&lt;"&amp;$Z$2))+(SUMIFS(SIP[Amount],SIP[B/S],"B",SIP[Investor ID],#REF!,SIP[Date Value],"&lt;"&amp;$Z$2)-SUMIFS(SIP[Cost of Units Sold],SIP[B/S],"S",SIP[Investor ID],A498,SIP[Date Value],"&lt;"&amp;$Z$2))</f>
        <v>300000</v>
      </c>
      <c r="D498" s="49">
        <f t="shared" si="35"/>
        <v>301084.09400000004</v>
      </c>
      <c r="E498" s="49">
        <f t="shared" si="36"/>
        <v>1084.094000000041</v>
      </c>
      <c r="F498" s="47">
        <f>SUMIFS(LS[Unit],LS[Investor ID],A498,LS[Date Value],"&lt;="&amp;$Z$3)+SUMIFS(SIP[Unit],SIP[Investor ID],A498,SIP[Date Value],"&lt;="&amp;$Z$3)</f>
        <v>29314</v>
      </c>
      <c r="G498" s="49">
        <f>(SUMIFS(LS[Amount],LS[B/S],"B",LS[Investor ID],A498,LS[Date Value],"&lt;="&amp;$Z$3)-SUMIFS(LS[Cost of Units Sold],LS[B/S],"S",LS[Investor ID],A498,LS[Date Value],"&lt;="&amp;$Z$3))+(SUMIFS(SIP[Amount],SIP[B/S],"B",SIP[Investor ID],A498,SIP[Date Value],"&lt;="&amp;$Z$3)-SUMIFS(SIP[Cost of Units Sold],SIP[B/S],"S",SIP[Investor ID],A498,SIP[Date Value],"&lt;="&amp;$Z$3))</f>
        <v>300000</v>
      </c>
      <c r="H498" s="49">
        <f t="shared" si="37"/>
        <v>327261.49599999998</v>
      </c>
      <c r="I498" s="49">
        <f t="shared" si="38"/>
        <v>27261.495999999985</v>
      </c>
      <c r="J498" s="47">
        <f>(SUMIFS(LS[Unit],LS[Investor ID],A498,LS[B/S],"B",LS[Date Value],"&gt;="&amp;$Z$2,LS[Date Value],"&lt;="&amp;$Z$3))+(SUMIFS(SIP[Unit],SIP[Investor ID],A498,SIP[B/S],"B",SIP[Date Value],"&gt;="&amp;$Z$2,SIP[Date Value],"&lt;="&amp;$Z$3))</f>
        <v>0</v>
      </c>
      <c r="K498" s="49">
        <f>(SUMIFS(LS[Amount],LS[Investor ID],A498,LS[B/S],"B",LS[Date Value],"&gt;="&amp;$Z$2,LS[Date Value],"&lt;="&amp;$Z$3))+(SUMIFS(SIP[Amount],SIP[Investor ID],A498,SIP[B/S],"B",SIP[Date Value],"&gt;="&amp;$Z$2,SIP[Date Value],"&lt;="&amp;$Z$3))</f>
        <v>0</v>
      </c>
      <c r="L498" s="47">
        <f>(-SUMIFS(LS[Unit],LS[Investor ID],A498,LS[B/S],"S",LS[Date Value],"&gt;="&amp;$Z$2,LS[Date Value],"&lt;="&amp;$Z$3))+(-SUMIFS(SIP[Unit],SIP[Investor ID],A498,SIP[B/S],"S",SIP[Date Value],"&gt;="&amp;$Z$2,SIP[Date Value],"&lt;="&amp;$Z$3))</f>
        <v>0</v>
      </c>
      <c r="M498" s="49">
        <f>(SUMIFS(LS[Cost of Units Sold],LS[Investor ID],A498,LS[B/S],"S",LS[Date Value],"&gt;="&amp;$Z$2,LS[Date Value],"&lt;="&amp;$Z$3))+(SUMIFS(SIP[Cost of Units Sold],SIP[Investor ID],A498,SIP[B/S],"S",SIP[Date Value],"&gt;="&amp;$Z$2,SIP[Date Value],"&lt;="&amp;$Z$3))</f>
        <v>0</v>
      </c>
      <c r="N498" s="49">
        <f t="shared" si="39"/>
        <v>0</v>
      </c>
      <c r="O498" s="49">
        <f>(SUMIFS(LS[Realized Gain],LS[Investor ID],A498,LS[Date Value],"&gt;="&amp;$Z$2,LS[Date Value],"&lt;="&amp;$Z$3))+(SUMIFS(SIP[Realized Gain],SIP[Investor ID],A498,SIP[Date Value],"&gt;="&amp;$Z$2,SIP[Date Value],"&lt;="&amp;$Z$3))</f>
        <v>0</v>
      </c>
      <c r="P498" s="49">
        <v>0</v>
      </c>
      <c r="Q498" s="49">
        <v>0</v>
      </c>
      <c r="R498" s="49">
        <v>0</v>
      </c>
    </row>
    <row r="499" spans="1:18">
      <c r="A499" t="s">
        <v>1044</v>
      </c>
      <c r="B499" s="47">
        <f>SUMIFS(LS[Unit],LS[Investor ID],'TAX CERTIFICATE'!A499,LS[Date Value],"&lt;"&amp;$Z$2)+SUMIFS(SIP[Unit],SIP[Investor ID],'TAX CERTIFICATE'!A499,SIP[Date Value],"&lt;"&amp;$Z$2)</f>
        <v>0</v>
      </c>
      <c r="C499" s="48">
        <f>(SUMIFS(LS[Amount],LS[B/S],"B",LS[Investor ID],A499,LS[Date Value],"&lt;"&amp;$Z$2)-SUMIFS(LS[Cost of Units Sold],LS[B/S],"S",LS[Investor ID],A499,LS[Date Value],"&lt;"&amp;$Z$2))+(SUMIFS(SIP[Amount],SIP[B/S],"B",SIP[Investor ID],#REF!,SIP[Date Value],"&lt;"&amp;$Z$2)-SUMIFS(SIP[Cost of Units Sold],SIP[B/S],"S",SIP[Investor ID],A499,SIP[Date Value],"&lt;"&amp;$Z$2))</f>
        <v>0</v>
      </c>
      <c r="D499" s="49">
        <f t="shared" si="35"/>
        <v>0</v>
      </c>
      <c r="E499" s="49">
        <f t="shared" si="36"/>
        <v>0</v>
      </c>
      <c r="F499" s="47">
        <f>SUMIFS(LS[Unit],LS[Investor ID],A499,LS[Date Value],"&lt;="&amp;$Z$3)+SUMIFS(SIP[Unit],SIP[Investor ID],A499,SIP[Date Value],"&lt;="&amp;$Z$3)</f>
        <v>0</v>
      </c>
      <c r="G499" s="49">
        <f>(SUMIFS(LS[Amount],LS[B/S],"B",LS[Investor ID],A499,LS[Date Value],"&lt;="&amp;$Z$3)-SUMIFS(LS[Cost of Units Sold],LS[B/S],"S",LS[Investor ID],A499,LS[Date Value],"&lt;="&amp;$Z$3))+(SUMIFS(SIP[Amount],SIP[B/S],"B",SIP[Investor ID],A499,SIP[Date Value],"&lt;="&amp;$Z$3)-SUMIFS(SIP[Cost of Units Sold],SIP[B/S],"S",SIP[Investor ID],A499,SIP[Date Value],"&lt;="&amp;$Z$3))</f>
        <v>0</v>
      </c>
      <c r="H499" s="49">
        <f t="shared" si="37"/>
        <v>0</v>
      </c>
      <c r="I499" s="49">
        <f t="shared" si="38"/>
        <v>0</v>
      </c>
      <c r="J499" s="47">
        <f>(SUMIFS(LS[Unit],LS[Investor ID],A499,LS[B/S],"B",LS[Date Value],"&gt;="&amp;$Z$2,LS[Date Value],"&lt;="&amp;$Z$3))+(SUMIFS(SIP[Unit],SIP[Investor ID],A499,SIP[B/S],"B",SIP[Date Value],"&gt;="&amp;$Z$2,SIP[Date Value],"&lt;="&amp;$Z$3))</f>
        <v>0</v>
      </c>
      <c r="K499" s="49">
        <f>(SUMIFS(LS[Amount],LS[Investor ID],A499,LS[B/S],"B",LS[Date Value],"&gt;="&amp;$Z$2,LS[Date Value],"&lt;="&amp;$Z$3))+(SUMIFS(SIP[Amount],SIP[Investor ID],A499,SIP[B/S],"B",SIP[Date Value],"&gt;="&amp;$Z$2,SIP[Date Value],"&lt;="&amp;$Z$3))</f>
        <v>0</v>
      </c>
      <c r="L499" s="47">
        <f>(-SUMIFS(LS[Unit],LS[Investor ID],A499,LS[B/S],"S",LS[Date Value],"&gt;="&amp;$Z$2,LS[Date Value],"&lt;="&amp;$Z$3))+(-SUMIFS(SIP[Unit],SIP[Investor ID],A499,SIP[B/S],"S",SIP[Date Value],"&gt;="&amp;$Z$2,SIP[Date Value],"&lt;="&amp;$Z$3))</f>
        <v>0</v>
      </c>
      <c r="M499" s="49">
        <f>(SUMIFS(LS[Cost of Units Sold],LS[Investor ID],A499,LS[B/S],"S",LS[Date Value],"&gt;="&amp;$Z$2,LS[Date Value],"&lt;="&amp;$Z$3))+(SUMIFS(SIP[Cost of Units Sold],SIP[Investor ID],A499,SIP[B/S],"S",SIP[Date Value],"&gt;="&amp;$Z$2,SIP[Date Value],"&lt;="&amp;$Z$3))</f>
        <v>0</v>
      </c>
      <c r="N499" s="49">
        <f t="shared" si="39"/>
        <v>0</v>
      </c>
      <c r="O499" s="49">
        <f>(SUMIFS(LS[Realized Gain],LS[Investor ID],A499,LS[Date Value],"&gt;="&amp;$Z$2,LS[Date Value],"&lt;="&amp;$Z$3))+(SUMIFS(SIP[Realized Gain],SIP[Investor ID],A499,SIP[Date Value],"&gt;="&amp;$Z$2,SIP[Date Value],"&lt;="&amp;$Z$3))</f>
        <v>0</v>
      </c>
      <c r="P499" s="49">
        <v>0</v>
      </c>
      <c r="Q499" s="49">
        <v>0</v>
      </c>
      <c r="R499" s="49">
        <v>0</v>
      </c>
    </row>
    <row r="500" spans="1:18">
      <c r="A500" t="s">
        <v>1046</v>
      </c>
      <c r="B500" s="47">
        <f>SUMIFS(LS[Unit],LS[Investor ID],'TAX CERTIFICATE'!A500,LS[Date Value],"&lt;"&amp;$Z$2)+SUMIFS(SIP[Unit],SIP[Investor ID],'TAX CERTIFICATE'!A500,SIP[Date Value],"&lt;"&amp;$Z$2)</f>
        <v>24380</v>
      </c>
      <c r="C500" s="48">
        <f>(SUMIFS(LS[Amount],LS[B/S],"B",LS[Investor ID],A500,LS[Date Value],"&lt;"&amp;$Z$2)-SUMIFS(LS[Cost of Units Sold],LS[B/S],"S",LS[Investor ID],A500,LS[Date Value],"&lt;"&amp;$Z$2))+(SUMIFS(SIP[Amount],SIP[B/S],"B",SIP[Investor ID],#REF!,SIP[Date Value],"&lt;"&amp;$Z$2)-SUMIFS(SIP[Cost of Units Sold],SIP[B/S],"S",SIP[Investor ID],A500,SIP[Date Value],"&lt;"&amp;$Z$2))</f>
        <v>250000</v>
      </c>
      <c r="D500" s="49">
        <f t="shared" si="35"/>
        <v>250406.98</v>
      </c>
      <c r="E500" s="49">
        <f t="shared" si="36"/>
        <v>406.98000000001048</v>
      </c>
      <c r="F500" s="47">
        <f>SUMIFS(LS[Unit],LS[Investor ID],A500,LS[Date Value],"&lt;="&amp;$Z$3)+SUMIFS(SIP[Unit],SIP[Investor ID],A500,SIP[Date Value],"&lt;="&amp;$Z$3)</f>
        <v>0</v>
      </c>
      <c r="G500" s="49">
        <f>(SUMIFS(LS[Amount],LS[B/S],"B",LS[Investor ID],A500,LS[Date Value],"&lt;="&amp;$Z$3)-SUMIFS(LS[Cost of Units Sold],LS[B/S],"S",LS[Investor ID],A500,LS[Date Value],"&lt;="&amp;$Z$3))+(SUMIFS(SIP[Amount],SIP[B/S],"B",SIP[Investor ID],A500,SIP[Date Value],"&lt;="&amp;$Z$3)-SUMIFS(SIP[Cost of Units Sold],SIP[B/S],"S",SIP[Investor ID],A500,SIP[Date Value],"&lt;="&amp;$Z$3))</f>
        <v>2.9103830456733704E-11</v>
      </c>
      <c r="H500" s="49">
        <f t="shared" si="37"/>
        <v>0</v>
      </c>
      <c r="I500" s="49">
        <f t="shared" si="38"/>
        <v>-2.9103830456733704E-11</v>
      </c>
      <c r="J500" s="47">
        <f>(SUMIFS(LS[Unit],LS[Investor ID],A500,LS[B/S],"B",LS[Date Value],"&gt;="&amp;$Z$2,LS[Date Value],"&lt;="&amp;$Z$3))+(SUMIFS(SIP[Unit],SIP[Investor ID],A500,SIP[B/S],"B",SIP[Date Value],"&gt;="&amp;$Z$2,SIP[Date Value],"&lt;="&amp;$Z$3))</f>
        <v>0</v>
      </c>
      <c r="K500" s="49">
        <f>(SUMIFS(LS[Amount],LS[Investor ID],A500,LS[B/S],"B",LS[Date Value],"&gt;="&amp;$Z$2,LS[Date Value],"&lt;="&amp;$Z$3))+(SUMIFS(SIP[Amount],SIP[Investor ID],A500,SIP[B/S],"B",SIP[Date Value],"&gt;="&amp;$Z$2,SIP[Date Value],"&lt;="&amp;$Z$3))</f>
        <v>0</v>
      </c>
      <c r="L500" s="47">
        <f>(-SUMIFS(LS[Unit],LS[Investor ID],A500,LS[B/S],"S",LS[Date Value],"&gt;="&amp;$Z$2,LS[Date Value],"&lt;="&amp;$Z$3))+(-SUMIFS(SIP[Unit],SIP[Investor ID],A500,SIP[B/S],"S",SIP[Date Value],"&gt;="&amp;$Z$2,SIP[Date Value],"&lt;="&amp;$Z$3))</f>
        <v>24380</v>
      </c>
      <c r="M500" s="49">
        <f>(SUMIFS(LS[Cost of Units Sold],LS[Investor ID],A500,LS[B/S],"S",LS[Date Value],"&gt;="&amp;$Z$2,LS[Date Value],"&lt;="&amp;$Z$3))+(SUMIFS(SIP[Cost of Units Sold],SIP[Investor ID],A500,SIP[B/S],"S",SIP[Date Value],"&gt;="&amp;$Z$2,SIP[Date Value],"&lt;="&amp;$Z$3))</f>
        <v>249999.99999999997</v>
      </c>
      <c r="N500" s="49">
        <f t="shared" si="39"/>
        <v>-249999.99999999997</v>
      </c>
      <c r="O500" s="49">
        <f>(SUMIFS(LS[Realized Gain],LS[Investor ID],A500,LS[Date Value],"&gt;="&amp;$Z$2,LS[Date Value],"&lt;="&amp;$Z$3))+(SUMIFS(SIP[Realized Gain],SIP[Investor ID],A500,SIP[Date Value],"&gt;="&amp;$Z$2,SIP[Date Value],"&lt;="&amp;$Z$3))</f>
        <v>9890.8000000000247</v>
      </c>
      <c r="P500" s="49">
        <v>0</v>
      </c>
      <c r="Q500" s="49">
        <v>0</v>
      </c>
      <c r="R500" s="49">
        <v>0</v>
      </c>
    </row>
    <row r="501" spans="1:18">
      <c r="A501" t="s">
        <v>1048</v>
      </c>
      <c r="B501" s="47">
        <f>SUMIFS(LS[Unit],LS[Investor ID],'TAX CERTIFICATE'!A501,LS[Date Value],"&lt;"&amp;$Z$2)+SUMIFS(SIP[Unit],SIP[Investor ID],'TAX CERTIFICATE'!A501,SIP[Date Value],"&lt;"&amp;$Z$2)</f>
        <v>24380</v>
      </c>
      <c r="C501" s="48">
        <f>(SUMIFS(LS[Amount],LS[B/S],"B",LS[Investor ID],A501,LS[Date Value],"&lt;"&amp;$Z$2)-SUMIFS(LS[Cost of Units Sold],LS[B/S],"S",LS[Investor ID],A501,LS[Date Value],"&lt;"&amp;$Z$2))+(SUMIFS(SIP[Amount],SIP[B/S],"B",SIP[Investor ID],#REF!,SIP[Date Value],"&lt;"&amp;$Z$2)-SUMIFS(SIP[Cost of Units Sold],SIP[B/S],"S",SIP[Investor ID],A501,SIP[Date Value],"&lt;"&amp;$Z$2))</f>
        <v>250000</v>
      </c>
      <c r="D501" s="49">
        <f t="shared" si="35"/>
        <v>250406.98</v>
      </c>
      <c r="E501" s="49">
        <f t="shared" si="36"/>
        <v>406.98000000001048</v>
      </c>
      <c r="F501" s="47">
        <f>SUMIFS(LS[Unit],LS[Investor ID],A501,LS[Date Value],"&lt;="&amp;$Z$3)+SUMIFS(SIP[Unit],SIP[Investor ID],A501,SIP[Date Value],"&lt;="&amp;$Z$3)</f>
        <v>31385</v>
      </c>
      <c r="G501" s="49">
        <f>(SUMIFS(LS[Amount],LS[B/S],"B",LS[Investor ID],A501,LS[Date Value],"&lt;="&amp;$Z$3)-SUMIFS(LS[Cost of Units Sold],LS[B/S],"S",LS[Investor ID],A501,LS[Date Value],"&lt;="&amp;$Z$3))+(SUMIFS(SIP[Amount],SIP[B/S],"B",SIP[Investor ID],A501,SIP[Date Value],"&lt;="&amp;$Z$3)-SUMIFS(SIP[Cost of Units Sold],SIP[B/S],"S",SIP[Investor ID],A501,SIP[Date Value],"&lt;="&amp;$Z$3))</f>
        <v>350000</v>
      </c>
      <c r="H501" s="49">
        <f t="shared" si="37"/>
        <v>350382.14</v>
      </c>
      <c r="I501" s="49">
        <f t="shared" si="38"/>
        <v>382.14000000001397</v>
      </c>
      <c r="J501" s="47">
        <f>(SUMIFS(LS[Unit],LS[Investor ID],A501,LS[B/S],"B",LS[Date Value],"&gt;="&amp;$Z$2,LS[Date Value],"&lt;="&amp;$Z$3))+(SUMIFS(SIP[Unit],SIP[Investor ID],A501,SIP[B/S],"B",SIP[Date Value],"&gt;="&amp;$Z$2,SIP[Date Value],"&lt;="&amp;$Z$3))</f>
        <v>31385</v>
      </c>
      <c r="K501" s="49">
        <f>(SUMIFS(LS[Amount],LS[Investor ID],A501,LS[B/S],"B",LS[Date Value],"&gt;="&amp;$Z$2,LS[Date Value],"&lt;="&amp;$Z$3))+(SUMIFS(SIP[Amount],SIP[Investor ID],A501,SIP[B/S],"B",SIP[Date Value],"&gt;="&amp;$Z$2,SIP[Date Value],"&lt;="&amp;$Z$3))</f>
        <v>350000</v>
      </c>
      <c r="L501" s="47">
        <f>(-SUMIFS(LS[Unit],LS[Investor ID],A501,LS[B/S],"S",LS[Date Value],"&gt;="&amp;$Z$2,LS[Date Value],"&lt;="&amp;$Z$3))+(-SUMIFS(SIP[Unit],SIP[Investor ID],A501,SIP[B/S],"S",SIP[Date Value],"&gt;="&amp;$Z$2,SIP[Date Value],"&lt;="&amp;$Z$3))</f>
        <v>24380</v>
      </c>
      <c r="M501" s="49">
        <f>(SUMIFS(LS[Cost of Units Sold],LS[Investor ID],A501,LS[B/S],"S",LS[Date Value],"&gt;="&amp;$Z$2,LS[Date Value],"&lt;="&amp;$Z$3))+(SUMIFS(SIP[Cost of Units Sold],SIP[Investor ID],A501,SIP[B/S],"S",SIP[Date Value],"&gt;="&amp;$Z$2,SIP[Date Value],"&lt;="&amp;$Z$3))</f>
        <v>249999.99999999997</v>
      </c>
      <c r="N501" s="49">
        <f t="shared" si="39"/>
        <v>100000.00000000003</v>
      </c>
      <c r="O501" s="49">
        <f>(SUMIFS(LS[Realized Gain],LS[Investor ID],A501,LS[Date Value],"&gt;="&amp;$Z$2,LS[Date Value],"&lt;="&amp;$Z$3))+(SUMIFS(SIP[Realized Gain],SIP[Investor ID],A501,SIP[Date Value],"&gt;="&amp;$Z$2,SIP[Date Value],"&lt;="&amp;$Z$3))</f>
        <v>3113.1600000000126</v>
      </c>
      <c r="P501" s="49">
        <v>0</v>
      </c>
      <c r="Q501" s="49">
        <v>0</v>
      </c>
      <c r="R501" s="49">
        <v>0</v>
      </c>
    </row>
    <row r="502" spans="1:18">
      <c r="A502" t="s">
        <v>1050</v>
      </c>
      <c r="B502" s="47">
        <f>SUMIFS(LS[Unit],LS[Investor ID],'TAX CERTIFICATE'!A502,LS[Date Value],"&lt;"&amp;$Z$2)+SUMIFS(SIP[Unit],SIP[Investor ID],'TAX CERTIFICATE'!A502,SIP[Date Value],"&lt;"&amp;$Z$2)</f>
        <v>975</v>
      </c>
      <c r="C502" s="48">
        <f>(SUMIFS(LS[Amount],LS[B/S],"B",LS[Investor ID],A502,LS[Date Value],"&lt;"&amp;$Z$2)-SUMIFS(LS[Cost of Units Sold],LS[B/S],"S",LS[Investor ID],A502,LS[Date Value],"&lt;"&amp;$Z$2))+(SUMIFS(SIP[Amount],SIP[B/S],"B",SIP[Investor ID],#REF!,SIP[Date Value],"&lt;"&amp;$Z$2)-SUMIFS(SIP[Cost of Units Sold],SIP[B/S],"S",SIP[Investor ID],A502,SIP[Date Value],"&lt;"&amp;$Z$2))</f>
        <v>0</v>
      </c>
      <c r="D502" s="49">
        <f t="shared" si="35"/>
        <v>10014.225</v>
      </c>
      <c r="E502" s="49">
        <f t="shared" si="36"/>
        <v>10014.225</v>
      </c>
      <c r="F502" s="47">
        <f>SUMIFS(LS[Unit],LS[Investor ID],A502,LS[Date Value],"&lt;="&amp;$Z$3)+SUMIFS(SIP[Unit],SIP[Investor ID],A502,SIP[Date Value],"&lt;="&amp;$Z$3)</f>
        <v>25883</v>
      </c>
      <c r="G502" s="49">
        <f>(SUMIFS(LS[Amount],LS[B/S],"B",LS[Investor ID],A502,LS[Date Value],"&lt;="&amp;$Z$3)-SUMIFS(LS[Cost of Units Sold],LS[B/S],"S",LS[Investor ID],A502,LS[Date Value],"&lt;="&amp;$Z$3))+(SUMIFS(SIP[Amount],SIP[B/S],"B",SIP[Investor ID],A502,SIP[Date Value],"&lt;="&amp;$Z$3)-SUMIFS(SIP[Cost of Units Sold],SIP[B/S],"S",SIP[Investor ID],A502,SIP[Date Value],"&lt;="&amp;$Z$3))</f>
        <v>280484.88171706093</v>
      </c>
      <c r="H502" s="49">
        <f t="shared" si="37"/>
        <v>288957.81199999998</v>
      </c>
      <c r="I502" s="49">
        <f t="shared" si="38"/>
        <v>8472.9302829390508</v>
      </c>
      <c r="J502" s="47">
        <f>(SUMIFS(LS[Unit],LS[Investor ID],A502,LS[B/S],"B",LS[Date Value],"&gt;="&amp;$Z$2,LS[Date Value],"&lt;="&amp;$Z$3))+(SUMIFS(SIP[Unit],SIP[Investor ID],A502,SIP[B/S],"B",SIP[Date Value],"&gt;="&amp;$Z$2,SIP[Date Value],"&lt;="&amp;$Z$3))</f>
        <v>27665</v>
      </c>
      <c r="K502" s="49">
        <f>(SUMIFS(LS[Amount],LS[Investor ID],A502,LS[B/S],"B",LS[Date Value],"&gt;="&amp;$Z$2,LS[Date Value],"&lt;="&amp;$Z$3))+(SUMIFS(SIP[Amount],SIP[Investor ID],A502,SIP[B/S],"B",SIP[Date Value],"&gt;="&amp;$Z$2,SIP[Date Value],"&lt;="&amp;$Z$3))</f>
        <v>300000</v>
      </c>
      <c r="L502" s="47">
        <f>(-SUMIFS(LS[Unit],LS[Investor ID],A502,LS[B/S],"S",LS[Date Value],"&gt;="&amp;$Z$2,LS[Date Value],"&lt;="&amp;$Z$3))+(-SUMIFS(SIP[Unit],SIP[Investor ID],A502,SIP[B/S],"S",SIP[Date Value],"&gt;="&amp;$Z$2,SIP[Date Value],"&lt;="&amp;$Z$3))</f>
        <v>2757</v>
      </c>
      <c r="M502" s="49">
        <f>(SUMIFS(LS[Cost of Units Sold],LS[Investor ID],A502,LS[B/S],"S",LS[Date Value],"&gt;="&amp;$Z$2,LS[Date Value],"&lt;="&amp;$Z$3))+(SUMIFS(SIP[Cost of Units Sold],SIP[Investor ID],A502,SIP[B/S],"S",SIP[Date Value],"&gt;="&amp;$Z$2,SIP[Date Value],"&lt;="&amp;$Z$3))</f>
        <v>29515.11828293906</v>
      </c>
      <c r="N502" s="49">
        <f t="shared" si="39"/>
        <v>270484.88171706093</v>
      </c>
      <c r="O502" s="49">
        <f>(SUMIFS(LS[Realized Gain],LS[Investor ID],A502,LS[Date Value],"&gt;="&amp;$Z$2,LS[Date Value],"&lt;="&amp;$Z$3))+(SUMIFS(SIP[Realized Gain],SIP[Investor ID],A502,SIP[Date Value],"&gt;="&amp;$Z$2,SIP[Date Value],"&lt;="&amp;$Z$3))</f>
        <v>484.88171706093647</v>
      </c>
      <c r="P502" s="49">
        <v>0</v>
      </c>
      <c r="Q502" s="49">
        <v>0</v>
      </c>
      <c r="R502" s="49">
        <v>0</v>
      </c>
    </row>
    <row r="503" spans="1:18">
      <c r="A503" t="s">
        <v>1052</v>
      </c>
      <c r="B503" s="47">
        <f>SUMIFS(LS[Unit],LS[Investor ID],'TAX CERTIFICATE'!A503,LS[Date Value],"&lt;"&amp;$Z$2)+SUMIFS(SIP[Unit],SIP[Investor ID],'TAX CERTIFICATE'!A503,SIP[Date Value],"&lt;"&amp;$Z$2)</f>
        <v>9314</v>
      </c>
      <c r="C503" s="48">
        <f>(SUMIFS(LS[Amount],LS[B/S],"B",LS[Investor ID],A503,LS[Date Value],"&lt;"&amp;$Z$2)-SUMIFS(LS[Cost of Units Sold],LS[B/S],"S",LS[Investor ID],A503,LS[Date Value],"&lt;"&amp;$Z$2))+(SUMIFS(SIP[Amount],SIP[B/S],"B",SIP[Investor ID],#REF!,SIP[Date Value],"&lt;"&amp;$Z$2)-SUMIFS(SIP[Cost of Units Sold],SIP[B/S],"S",SIP[Investor ID],A503,SIP[Date Value],"&lt;"&amp;$Z$2))</f>
        <v>95320</v>
      </c>
      <c r="D503" s="49">
        <f t="shared" si="35"/>
        <v>95664.094000000012</v>
      </c>
      <c r="E503" s="49">
        <f t="shared" si="36"/>
        <v>344.09400000001187</v>
      </c>
      <c r="F503" s="47">
        <f>SUMIFS(LS[Unit],LS[Investor ID],A503,LS[Date Value],"&lt;="&amp;$Z$3)+SUMIFS(SIP[Unit],SIP[Investor ID],A503,SIP[Date Value],"&lt;="&amp;$Z$3)</f>
        <v>2685</v>
      </c>
      <c r="G503" s="49">
        <f>(SUMIFS(LS[Amount],LS[B/S],"B",LS[Investor ID],A503,LS[Date Value],"&lt;="&amp;$Z$3)-SUMIFS(LS[Cost of Units Sold],LS[B/S],"S",LS[Investor ID],A503,LS[Date Value],"&lt;="&amp;$Z$3))+(SUMIFS(SIP[Amount],SIP[B/S],"B",SIP[Investor ID],A503,SIP[Date Value],"&lt;="&amp;$Z$3)-SUMIFS(SIP[Cost of Units Sold],SIP[B/S],"S",SIP[Investor ID],A503,SIP[Date Value],"&lt;="&amp;$Z$3))</f>
        <v>30000</v>
      </c>
      <c r="H503" s="49">
        <f t="shared" si="37"/>
        <v>29975.34</v>
      </c>
      <c r="I503" s="49">
        <f t="shared" si="38"/>
        <v>-24.659999999999854</v>
      </c>
      <c r="J503" s="47">
        <f>(SUMIFS(LS[Unit],LS[Investor ID],A503,LS[B/S],"B",LS[Date Value],"&gt;="&amp;$Z$2,LS[Date Value],"&lt;="&amp;$Z$3))+(SUMIFS(SIP[Unit],SIP[Investor ID],A503,SIP[B/S],"B",SIP[Date Value],"&gt;="&amp;$Z$2,SIP[Date Value],"&lt;="&amp;$Z$3))</f>
        <v>2685</v>
      </c>
      <c r="K503" s="49">
        <f>(SUMIFS(LS[Amount],LS[Investor ID],A503,LS[B/S],"B",LS[Date Value],"&gt;="&amp;$Z$2,LS[Date Value],"&lt;="&amp;$Z$3))+(SUMIFS(SIP[Amount],SIP[Investor ID],A503,SIP[B/S],"B",SIP[Date Value],"&gt;="&amp;$Z$2,SIP[Date Value],"&lt;="&amp;$Z$3))</f>
        <v>30000</v>
      </c>
      <c r="L503" s="47">
        <f>(-SUMIFS(LS[Unit],LS[Investor ID],A503,LS[B/S],"S",LS[Date Value],"&gt;="&amp;$Z$2,LS[Date Value],"&lt;="&amp;$Z$3))+(-SUMIFS(SIP[Unit],SIP[Investor ID],A503,SIP[B/S],"S",SIP[Date Value],"&gt;="&amp;$Z$2,SIP[Date Value],"&lt;="&amp;$Z$3))</f>
        <v>9314</v>
      </c>
      <c r="M503" s="49">
        <f>(SUMIFS(LS[Cost of Units Sold],LS[Investor ID],A503,LS[B/S],"S",LS[Date Value],"&gt;="&amp;$Z$2,LS[Date Value],"&lt;="&amp;$Z$3))+(SUMIFS(SIP[Cost of Units Sold],SIP[Investor ID],A503,SIP[B/S],"S",SIP[Date Value],"&gt;="&amp;$Z$2,SIP[Date Value],"&lt;="&amp;$Z$3))</f>
        <v>95320</v>
      </c>
      <c r="N503" s="49">
        <f t="shared" si="39"/>
        <v>-65320</v>
      </c>
      <c r="O503" s="49">
        <f>(SUMIFS(LS[Realized Gain],LS[Investor ID],A503,LS[Date Value],"&gt;="&amp;$Z$2,LS[Date Value],"&lt;="&amp;$Z$3))+(SUMIFS(SIP[Realized Gain],SIP[Investor ID],A503,SIP[Date Value],"&gt;="&amp;$Z$2,SIP[Date Value],"&lt;="&amp;$Z$3))</f>
        <v>2588.7699999999932</v>
      </c>
      <c r="P503" s="49">
        <v>0</v>
      </c>
      <c r="Q503" s="49">
        <v>0</v>
      </c>
      <c r="R503" s="49">
        <v>0</v>
      </c>
    </row>
    <row r="504" spans="1:18">
      <c r="A504" t="s">
        <v>1054</v>
      </c>
      <c r="B504" s="47">
        <f>SUMIFS(LS[Unit],LS[Investor ID],'TAX CERTIFICATE'!A504,LS[Date Value],"&lt;"&amp;$Z$2)+SUMIFS(SIP[Unit],SIP[Investor ID],'TAX CERTIFICATE'!A504,SIP[Date Value],"&lt;"&amp;$Z$2)</f>
        <v>7314</v>
      </c>
      <c r="C504" s="48">
        <f>(SUMIFS(LS[Amount],LS[B/S],"B",LS[Investor ID],A504,LS[Date Value],"&lt;"&amp;$Z$2)-SUMIFS(LS[Cost of Units Sold],LS[B/S],"S",LS[Investor ID],A504,LS[Date Value],"&lt;"&amp;$Z$2))+(SUMIFS(SIP[Amount],SIP[B/S],"B",SIP[Investor ID],#REF!,SIP[Date Value],"&lt;"&amp;$Z$2)-SUMIFS(SIP[Cost of Units Sold],SIP[B/S],"S",SIP[Investor ID],A504,SIP[Date Value],"&lt;"&amp;$Z$2))</f>
        <v>75000</v>
      </c>
      <c r="D504" s="49">
        <f t="shared" si="35"/>
        <v>75122.094000000012</v>
      </c>
      <c r="E504" s="49">
        <f t="shared" si="36"/>
        <v>122.09400000001187</v>
      </c>
      <c r="F504" s="47">
        <f>SUMIFS(LS[Unit],LS[Investor ID],A504,LS[Date Value],"&lt;="&amp;$Z$3)+SUMIFS(SIP[Unit],SIP[Investor ID],A504,SIP[Date Value],"&lt;="&amp;$Z$3)</f>
        <v>0</v>
      </c>
      <c r="G504" s="49">
        <f>(SUMIFS(LS[Amount],LS[B/S],"B",LS[Investor ID],A504,LS[Date Value],"&lt;="&amp;$Z$3)-SUMIFS(LS[Cost of Units Sold],LS[B/S],"S",LS[Investor ID],A504,LS[Date Value],"&lt;="&amp;$Z$3))+(SUMIFS(SIP[Amount],SIP[B/S],"B",SIP[Investor ID],A504,SIP[Date Value],"&lt;="&amp;$Z$3)-SUMIFS(SIP[Cost of Units Sold],SIP[B/S],"S",SIP[Investor ID],A504,SIP[Date Value],"&lt;="&amp;$Z$3))</f>
        <v>0</v>
      </c>
      <c r="H504" s="49">
        <f t="shared" si="37"/>
        <v>0</v>
      </c>
      <c r="I504" s="49">
        <f t="shared" si="38"/>
        <v>0</v>
      </c>
      <c r="J504" s="47">
        <f>(SUMIFS(LS[Unit],LS[Investor ID],A504,LS[B/S],"B",LS[Date Value],"&gt;="&amp;$Z$2,LS[Date Value],"&lt;="&amp;$Z$3))+(SUMIFS(SIP[Unit],SIP[Investor ID],A504,SIP[B/S],"B",SIP[Date Value],"&gt;="&amp;$Z$2,SIP[Date Value],"&lt;="&amp;$Z$3))</f>
        <v>0</v>
      </c>
      <c r="K504" s="49">
        <f>(SUMIFS(LS[Amount],LS[Investor ID],A504,LS[B/S],"B",LS[Date Value],"&gt;="&amp;$Z$2,LS[Date Value],"&lt;="&amp;$Z$3))+(SUMIFS(SIP[Amount],SIP[Investor ID],A504,SIP[B/S],"B",SIP[Date Value],"&gt;="&amp;$Z$2,SIP[Date Value],"&lt;="&amp;$Z$3))</f>
        <v>0</v>
      </c>
      <c r="L504" s="47">
        <f>(-SUMIFS(LS[Unit],LS[Investor ID],A504,LS[B/S],"S",LS[Date Value],"&gt;="&amp;$Z$2,LS[Date Value],"&lt;="&amp;$Z$3))+(-SUMIFS(SIP[Unit],SIP[Investor ID],A504,SIP[B/S],"S",SIP[Date Value],"&gt;="&amp;$Z$2,SIP[Date Value],"&lt;="&amp;$Z$3))</f>
        <v>7314</v>
      </c>
      <c r="M504" s="49">
        <f>(SUMIFS(LS[Cost of Units Sold],LS[Investor ID],A504,LS[B/S],"S",LS[Date Value],"&gt;="&amp;$Z$2,LS[Date Value],"&lt;="&amp;$Z$3))+(SUMIFS(SIP[Cost of Units Sold],SIP[Investor ID],A504,SIP[B/S],"S",SIP[Date Value],"&gt;="&amp;$Z$2,SIP[Date Value],"&lt;="&amp;$Z$3))</f>
        <v>75000</v>
      </c>
      <c r="N504" s="49">
        <f t="shared" si="39"/>
        <v>-75000</v>
      </c>
      <c r="O504" s="49">
        <f>(SUMIFS(LS[Realized Gain],LS[Investor ID],A504,LS[Date Value],"&gt;="&amp;$Z$2,LS[Date Value],"&lt;="&amp;$Z$3))+(SUMIFS(SIP[Realized Gain],SIP[Investor ID],A504,SIP[Date Value],"&gt;="&amp;$Z$2,SIP[Date Value],"&lt;="&amp;$Z$3))</f>
        <v>4451.9800000000041</v>
      </c>
      <c r="P504" s="49">
        <v>0</v>
      </c>
      <c r="Q504" s="49">
        <v>0</v>
      </c>
      <c r="R504" s="49">
        <v>0</v>
      </c>
    </row>
    <row r="505" spans="1:18">
      <c r="A505" t="s">
        <v>1056</v>
      </c>
      <c r="B505" s="47">
        <f>SUMIFS(LS[Unit],LS[Investor ID],'TAX CERTIFICATE'!A505,LS[Date Value],"&lt;"&amp;$Z$2)+SUMIFS(SIP[Unit],SIP[Investor ID],'TAX CERTIFICATE'!A505,SIP[Date Value],"&lt;"&amp;$Z$2)</f>
        <v>0</v>
      </c>
      <c r="C505" s="48">
        <f>(SUMIFS(LS[Amount],LS[B/S],"B",LS[Investor ID],A505,LS[Date Value],"&lt;"&amp;$Z$2)-SUMIFS(LS[Cost of Units Sold],LS[B/S],"S",LS[Investor ID],A505,LS[Date Value],"&lt;"&amp;$Z$2))+(SUMIFS(SIP[Amount],SIP[B/S],"B",SIP[Investor ID],#REF!,SIP[Date Value],"&lt;"&amp;$Z$2)-SUMIFS(SIP[Cost of Units Sold],SIP[B/S],"S",SIP[Investor ID],A505,SIP[Date Value],"&lt;"&amp;$Z$2))</f>
        <v>0</v>
      </c>
      <c r="D505" s="49">
        <f t="shared" si="35"/>
        <v>0</v>
      </c>
      <c r="E505" s="49">
        <f t="shared" si="36"/>
        <v>0</v>
      </c>
      <c r="F505" s="47">
        <f>SUMIFS(LS[Unit],LS[Investor ID],A505,LS[Date Value],"&lt;="&amp;$Z$3)+SUMIFS(SIP[Unit],SIP[Investor ID],A505,SIP[Date Value],"&lt;="&amp;$Z$3)</f>
        <v>58264</v>
      </c>
      <c r="G505" s="49">
        <f>(SUMIFS(LS[Amount],LS[B/S],"B",LS[Investor ID],A505,LS[Date Value],"&lt;="&amp;$Z$3)-SUMIFS(LS[Cost of Units Sold],LS[B/S],"S",LS[Investor ID],A505,LS[Date Value],"&lt;="&amp;$Z$3))+(SUMIFS(SIP[Amount],SIP[B/S],"B",SIP[Investor ID],A505,SIP[Date Value],"&lt;="&amp;$Z$3)-SUMIFS(SIP[Cost of Units Sold],SIP[B/S],"S",SIP[Investor ID],A505,SIP[Date Value],"&lt;="&amp;$Z$3))</f>
        <v>600000</v>
      </c>
      <c r="H505" s="49">
        <f t="shared" si="37"/>
        <v>650459.29599999997</v>
      </c>
      <c r="I505" s="49">
        <f t="shared" si="38"/>
        <v>50459.295999999973</v>
      </c>
      <c r="J505" s="47">
        <f>(SUMIFS(LS[Unit],LS[Investor ID],A505,LS[B/S],"B",LS[Date Value],"&gt;="&amp;$Z$2,LS[Date Value],"&lt;="&amp;$Z$3))+(SUMIFS(SIP[Unit],SIP[Investor ID],A505,SIP[B/S],"B",SIP[Date Value],"&gt;="&amp;$Z$2,SIP[Date Value],"&lt;="&amp;$Z$3))</f>
        <v>58264</v>
      </c>
      <c r="K505" s="49">
        <f>(SUMIFS(LS[Amount],LS[Investor ID],A505,LS[B/S],"B",LS[Date Value],"&gt;="&amp;$Z$2,LS[Date Value],"&lt;="&amp;$Z$3))+(SUMIFS(SIP[Amount],SIP[Investor ID],A505,SIP[B/S],"B",SIP[Date Value],"&gt;="&amp;$Z$2,SIP[Date Value],"&lt;="&amp;$Z$3))</f>
        <v>600000</v>
      </c>
      <c r="L505" s="47">
        <f>(-SUMIFS(LS[Unit],LS[Investor ID],A505,LS[B/S],"S",LS[Date Value],"&gt;="&amp;$Z$2,LS[Date Value],"&lt;="&amp;$Z$3))+(-SUMIFS(SIP[Unit],SIP[Investor ID],A505,SIP[B/S],"S",SIP[Date Value],"&gt;="&amp;$Z$2,SIP[Date Value],"&lt;="&amp;$Z$3))</f>
        <v>0</v>
      </c>
      <c r="M505" s="49">
        <f>(SUMIFS(LS[Cost of Units Sold],LS[Investor ID],A505,LS[B/S],"S",LS[Date Value],"&gt;="&amp;$Z$2,LS[Date Value],"&lt;="&amp;$Z$3))+(SUMIFS(SIP[Cost of Units Sold],SIP[Investor ID],A505,SIP[B/S],"S",SIP[Date Value],"&gt;="&amp;$Z$2,SIP[Date Value],"&lt;="&amp;$Z$3))</f>
        <v>0</v>
      </c>
      <c r="N505" s="49">
        <f t="shared" si="39"/>
        <v>600000</v>
      </c>
      <c r="O505" s="49">
        <f>(SUMIFS(LS[Realized Gain],LS[Investor ID],A505,LS[Date Value],"&gt;="&amp;$Z$2,LS[Date Value],"&lt;="&amp;$Z$3))+(SUMIFS(SIP[Realized Gain],SIP[Investor ID],A505,SIP[Date Value],"&gt;="&amp;$Z$2,SIP[Date Value],"&lt;="&amp;$Z$3))</f>
        <v>0</v>
      </c>
      <c r="P505" s="49">
        <v>0</v>
      </c>
      <c r="Q505" s="49">
        <v>0</v>
      </c>
      <c r="R505" s="49">
        <v>0</v>
      </c>
    </row>
    <row r="506" spans="1:18">
      <c r="A506" t="s">
        <v>1057</v>
      </c>
      <c r="B506" s="47">
        <f>SUMIFS(LS[Unit],LS[Investor ID],'TAX CERTIFICATE'!A506,LS[Date Value],"&lt;"&amp;$Z$2)+SUMIFS(SIP[Unit],SIP[Investor ID],'TAX CERTIFICATE'!A506,SIP[Date Value],"&lt;"&amp;$Z$2)</f>
        <v>0</v>
      </c>
      <c r="C506" s="48">
        <f>(SUMIFS(LS[Amount],LS[B/S],"B",LS[Investor ID],A506,LS[Date Value],"&lt;"&amp;$Z$2)-SUMIFS(LS[Cost of Units Sold],LS[B/S],"S",LS[Investor ID],A506,LS[Date Value],"&lt;"&amp;$Z$2))+(SUMIFS(SIP[Amount],SIP[B/S],"B",SIP[Investor ID],#REF!,SIP[Date Value],"&lt;"&amp;$Z$2)-SUMIFS(SIP[Cost of Units Sold],SIP[B/S],"S",SIP[Investor ID],A506,SIP[Date Value],"&lt;"&amp;$Z$2))</f>
        <v>0</v>
      </c>
      <c r="D506" s="49">
        <f t="shared" si="35"/>
        <v>0</v>
      </c>
      <c r="E506" s="49">
        <f t="shared" si="36"/>
        <v>0</v>
      </c>
      <c r="F506" s="47">
        <f>SUMIFS(LS[Unit],LS[Investor ID],A506,LS[Date Value],"&lt;="&amp;$Z$3)+SUMIFS(SIP[Unit],SIP[Investor ID],A506,SIP[Date Value],"&lt;="&amp;$Z$3)</f>
        <v>0</v>
      </c>
      <c r="G506" s="49">
        <f>(SUMIFS(LS[Amount],LS[B/S],"B",LS[Investor ID],A506,LS[Date Value],"&lt;="&amp;$Z$3)-SUMIFS(LS[Cost of Units Sold],LS[B/S],"S",LS[Investor ID],A506,LS[Date Value],"&lt;="&amp;$Z$3))+(SUMIFS(SIP[Amount],SIP[B/S],"B",SIP[Investor ID],A506,SIP[Date Value],"&lt;="&amp;$Z$3)-SUMIFS(SIP[Cost of Units Sold],SIP[B/S],"S",SIP[Investor ID],A506,SIP[Date Value],"&lt;="&amp;$Z$3))</f>
        <v>0</v>
      </c>
      <c r="H506" s="49">
        <f t="shared" si="37"/>
        <v>0</v>
      </c>
      <c r="I506" s="49">
        <f t="shared" si="38"/>
        <v>0</v>
      </c>
      <c r="J506" s="47">
        <f>(SUMIFS(LS[Unit],LS[Investor ID],A506,LS[B/S],"B",LS[Date Value],"&gt;="&amp;$Z$2,LS[Date Value],"&lt;="&amp;$Z$3))+(SUMIFS(SIP[Unit],SIP[Investor ID],A506,SIP[B/S],"B",SIP[Date Value],"&gt;="&amp;$Z$2,SIP[Date Value],"&lt;="&amp;$Z$3))</f>
        <v>9646</v>
      </c>
      <c r="K506" s="49">
        <f>(SUMIFS(LS[Amount],LS[Investor ID],A506,LS[B/S],"B",LS[Date Value],"&gt;="&amp;$Z$2,LS[Date Value],"&lt;="&amp;$Z$3))+(SUMIFS(SIP[Amount],SIP[Investor ID],A506,SIP[B/S],"B",SIP[Date Value],"&gt;="&amp;$Z$2,SIP[Date Value],"&lt;="&amp;$Z$3))</f>
        <v>100000</v>
      </c>
      <c r="L506" s="47">
        <f>(-SUMIFS(LS[Unit],LS[Investor ID],A506,LS[B/S],"S",LS[Date Value],"&gt;="&amp;$Z$2,LS[Date Value],"&lt;="&amp;$Z$3))+(-SUMIFS(SIP[Unit],SIP[Investor ID],A506,SIP[B/S],"S",SIP[Date Value],"&gt;="&amp;$Z$2,SIP[Date Value],"&lt;="&amp;$Z$3))</f>
        <v>9646</v>
      </c>
      <c r="M506" s="49">
        <f>(SUMIFS(LS[Cost of Units Sold],LS[Investor ID],A506,LS[B/S],"S",LS[Date Value],"&gt;="&amp;$Z$2,LS[Date Value],"&lt;="&amp;$Z$3))+(SUMIFS(SIP[Cost of Units Sold],SIP[Investor ID],A506,SIP[B/S],"S",SIP[Date Value],"&gt;="&amp;$Z$2,SIP[Date Value],"&lt;="&amp;$Z$3))</f>
        <v>100000</v>
      </c>
      <c r="N506" s="49">
        <f t="shared" si="39"/>
        <v>0</v>
      </c>
      <c r="O506" s="49">
        <f>(SUMIFS(LS[Realized Gain],LS[Investor ID],A506,LS[Date Value],"&gt;="&amp;$Z$2,LS[Date Value],"&lt;="&amp;$Z$3))+(SUMIFS(SIP[Realized Gain],SIP[Investor ID],A506,SIP[Date Value],"&gt;="&amp;$Z$2,SIP[Date Value],"&lt;="&amp;$Z$3))</f>
        <v>7118.8299999999981</v>
      </c>
      <c r="P506" s="49">
        <v>0</v>
      </c>
      <c r="Q506" s="49">
        <v>0</v>
      </c>
      <c r="R506" s="49">
        <v>0</v>
      </c>
    </row>
    <row r="507" spans="1:18">
      <c r="A507" t="s">
        <v>1059</v>
      </c>
      <c r="B507" s="47">
        <f>SUMIFS(LS[Unit],LS[Investor ID],'TAX CERTIFICATE'!A507,LS[Date Value],"&lt;"&amp;$Z$2)+SUMIFS(SIP[Unit],SIP[Investor ID],'TAX CERTIFICATE'!A507,SIP[Date Value],"&lt;"&amp;$Z$2)</f>
        <v>0</v>
      </c>
      <c r="C507" s="48">
        <f>(SUMIFS(LS[Amount],LS[B/S],"B",LS[Investor ID],A507,LS[Date Value],"&lt;"&amp;$Z$2)-SUMIFS(LS[Cost of Units Sold],LS[B/S],"S",LS[Investor ID],A507,LS[Date Value],"&lt;"&amp;$Z$2))+(SUMIFS(SIP[Amount],SIP[B/S],"B",SIP[Investor ID],#REF!,SIP[Date Value],"&lt;"&amp;$Z$2)-SUMIFS(SIP[Cost of Units Sold],SIP[B/S],"S",SIP[Investor ID],A507,SIP[Date Value],"&lt;"&amp;$Z$2))</f>
        <v>0</v>
      </c>
      <c r="D507" s="49">
        <f t="shared" si="35"/>
        <v>0</v>
      </c>
      <c r="E507" s="49">
        <f t="shared" si="36"/>
        <v>0</v>
      </c>
      <c r="F507" s="47">
        <f>SUMIFS(LS[Unit],LS[Investor ID],A507,LS[Date Value],"&lt;="&amp;$Z$3)+SUMIFS(SIP[Unit],SIP[Investor ID],A507,SIP[Date Value],"&lt;="&amp;$Z$3)</f>
        <v>67895</v>
      </c>
      <c r="G507" s="49">
        <f>(SUMIFS(LS[Amount],LS[B/S],"B",LS[Investor ID],A507,LS[Date Value],"&lt;="&amp;$Z$3)-SUMIFS(LS[Cost of Units Sold],LS[B/S],"S",LS[Investor ID],A507,LS[Date Value],"&lt;="&amp;$Z$3))+(SUMIFS(SIP[Amount],SIP[B/S],"B",SIP[Investor ID],A507,SIP[Date Value],"&lt;="&amp;$Z$3)-SUMIFS(SIP[Cost of Units Sold],SIP[B/S],"S",SIP[Investor ID],A507,SIP[Date Value],"&lt;="&amp;$Z$3))</f>
        <v>700000</v>
      </c>
      <c r="H507" s="49">
        <f t="shared" si="37"/>
        <v>757979.78</v>
      </c>
      <c r="I507" s="49">
        <f t="shared" si="38"/>
        <v>57979.780000000028</v>
      </c>
      <c r="J507" s="47">
        <f>(SUMIFS(LS[Unit],LS[Investor ID],A507,LS[B/S],"B",LS[Date Value],"&gt;="&amp;$Z$2,LS[Date Value],"&lt;="&amp;$Z$3))+(SUMIFS(SIP[Unit],SIP[Investor ID],A507,SIP[B/S],"B",SIP[Date Value],"&gt;="&amp;$Z$2,SIP[Date Value],"&lt;="&amp;$Z$3))</f>
        <v>67895</v>
      </c>
      <c r="K507" s="49">
        <f>(SUMIFS(LS[Amount],LS[Investor ID],A507,LS[B/S],"B",LS[Date Value],"&gt;="&amp;$Z$2,LS[Date Value],"&lt;="&amp;$Z$3))+(SUMIFS(SIP[Amount],SIP[Investor ID],A507,SIP[B/S],"B",SIP[Date Value],"&gt;="&amp;$Z$2,SIP[Date Value],"&lt;="&amp;$Z$3))</f>
        <v>700000</v>
      </c>
      <c r="L507" s="47">
        <f>(-SUMIFS(LS[Unit],LS[Investor ID],A507,LS[B/S],"S",LS[Date Value],"&gt;="&amp;$Z$2,LS[Date Value],"&lt;="&amp;$Z$3))+(-SUMIFS(SIP[Unit],SIP[Investor ID],A507,SIP[B/S],"S",SIP[Date Value],"&gt;="&amp;$Z$2,SIP[Date Value],"&lt;="&amp;$Z$3))</f>
        <v>0</v>
      </c>
      <c r="M507" s="49">
        <f>(SUMIFS(LS[Cost of Units Sold],LS[Investor ID],A507,LS[B/S],"S",LS[Date Value],"&gt;="&amp;$Z$2,LS[Date Value],"&lt;="&amp;$Z$3))+(SUMIFS(SIP[Cost of Units Sold],SIP[Investor ID],A507,SIP[B/S],"S",SIP[Date Value],"&gt;="&amp;$Z$2,SIP[Date Value],"&lt;="&amp;$Z$3))</f>
        <v>0</v>
      </c>
      <c r="N507" s="49">
        <f t="shared" si="39"/>
        <v>700000</v>
      </c>
      <c r="O507" s="49">
        <f>(SUMIFS(LS[Realized Gain],LS[Investor ID],A507,LS[Date Value],"&gt;="&amp;$Z$2,LS[Date Value],"&lt;="&amp;$Z$3))+(SUMIFS(SIP[Realized Gain],SIP[Investor ID],A507,SIP[Date Value],"&gt;="&amp;$Z$2,SIP[Date Value],"&lt;="&amp;$Z$3))</f>
        <v>0</v>
      </c>
      <c r="P507" s="49">
        <v>0</v>
      </c>
      <c r="Q507" s="49">
        <v>0</v>
      </c>
      <c r="R507" s="49">
        <v>0</v>
      </c>
    </row>
    <row r="508" spans="1:18">
      <c r="A508" t="s">
        <v>1061</v>
      </c>
      <c r="B508" s="47">
        <f>SUMIFS(LS[Unit],LS[Investor ID],'TAX CERTIFICATE'!A508,LS[Date Value],"&lt;"&amp;$Z$2)+SUMIFS(SIP[Unit],SIP[Investor ID],'TAX CERTIFICATE'!A508,SIP[Date Value],"&lt;"&amp;$Z$2)</f>
        <v>0</v>
      </c>
      <c r="C508" s="48">
        <f>(SUMIFS(LS[Amount],LS[B/S],"B",LS[Investor ID],A508,LS[Date Value],"&lt;"&amp;$Z$2)-SUMIFS(LS[Cost of Units Sold],LS[B/S],"S",LS[Investor ID],A508,LS[Date Value],"&lt;"&amp;$Z$2))+(SUMIFS(SIP[Amount],SIP[B/S],"B",SIP[Investor ID],#REF!,SIP[Date Value],"&lt;"&amp;$Z$2)-SUMIFS(SIP[Cost of Units Sold],SIP[B/S],"S",SIP[Investor ID],A508,SIP[Date Value],"&lt;"&amp;$Z$2))</f>
        <v>0</v>
      </c>
      <c r="D508" s="49">
        <f t="shared" si="35"/>
        <v>0</v>
      </c>
      <c r="E508" s="49">
        <f t="shared" si="36"/>
        <v>0</v>
      </c>
      <c r="F508" s="47">
        <f>SUMIFS(LS[Unit],LS[Investor ID],A508,LS[Date Value],"&lt;="&amp;$Z$3)+SUMIFS(SIP[Unit],SIP[Investor ID],A508,SIP[Date Value],"&lt;="&amp;$Z$3)</f>
        <v>28888</v>
      </c>
      <c r="G508" s="49">
        <f>(SUMIFS(LS[Amount],LS[B/S],"B",LS[Investor ID],A508,LS[Date Value],"&lt;="&amp;$Z$3)-SUMIFS(LS[Cost of Units Sold],LS[B/S],"S",LS[Investor ID],A508,LS[Date Value],"&lt;="&amp;$Z$3))+(SUMIFS(SIP[Amount],SIP[B/S],"B",SIP[Investor ID],A508,SIP[Date Value],"&lt;="&amp;$Z$3)-SUMIFS(SIP[Cost of Units Sold],SIP[B/S],"S",SIP[Investor ID],A508,SIP[Date Value],"&lt;="&amp;$Z$3))</f>
        <v>300000</v>
      </c>
      <c r="H508" s="49">
        <f t="shared" si="37"/>
        <v>322505.63199999998</v>
      </c>
      <c r="I508" s="49">
        <f t="shared" si="38"/>
        <v>22505.631999999983</v>
      </c>
      <c r="J508" s="47">
        <f>(SUMIFS(LS[Unit],LS[Investor ID],A508,LS[B/S],"B",LS[Date Value],"&gt;="&amp;$Z$2,LS[Date Value],"&lt;="&amp;$Z$3))+(SUMIFS(SIP[Unit],SIP[Investor ID],A508,SIP[B/S],"B",SIP[Date Value],"&gt;="&amp;$Z$2,SIP[Date Value],"&lt;="&amp;$Z$3))</f>
        <v>28888</v>
      </c>
      <c r="K508" s="49">
        <f>(SUMIFS(LS[Amount],LS[Investor ID],A508,LS[B/S],"B",LS[Date Value],"&gt;="&amp;$Z$2,LS[Date Value],"&lt;="&amp;$Z$3))+(SUMIFS(SIP[Amount],SIP[Investor ID],A508,SIP[B/S],"B",SIP[Date Value],"&gt;="&amp;$Z$2,SIP[Date Value],"&lt;="&amp;$Z$3))</f>
        <v>300000</v>
      </c>
      <c r="L508" s="47">
        <f>(-SUMIFS(LS[Unit],LS[Investor ID],A508,LS[B/S],"S",LS[Date Value],"&gt;="&amp;$Z$2,LS[Date Value],"&lt;="&amp;$Z$3))+(-SUMIFS(SIP[Unit],SIP[Investor ID],A508,SIP[B/S],"S",SIP[Date Value],"&gt;="&amp;$Z$2,SIP[Date Value],"&lt;="&amp;$Z$3))</f>
        <v>0</v>
      </c>
      <c r="M508" s="49">
        <f>(SUMIFS(LS[Cost of Units Sold],LS[Investor ID],A508,LS[B/S],"S",LS[Date Value],"&gt;="&amp;$Z$2,LS[Date Value],"&lt;="&amp;$Z$3))+(SUMIFS(SIP[Cost of Units Sold],SIP[Investor ID],A508,SIP[B/S],"S",SIP[Date Value],"&gt;="&amp;$Z$2,SIP[Date Value],"&lt;="&amp;$Z$3))</f>
        <v>0</v>
      </c>
      <c r="N508" s="49">
        <f t="shared" si="39"/>
        <v>300000</v>
      </c>
      <c r="O508" s="49">
        <f>(SUMIFS(LS[Realized Gain],LS[Investor ID],A508,LS[Date Value],"&gt;="&amp;$Z$2,LS[Date Value],"&lt;="&amp;$Z$3))+(SUMIFS(SIP[Realized Gain],SIP[Investor ID],A508,SIP[Date Value],"&gt;="&amp;$Z$2,SIP[Date Value],"&lt;="&amp;$Z$3))</f>
        <v>0</v>
      </c>
      <c r="P508" s="49">
        <v>0</v>
      </c>
      <c r="Q508" s="49">
        <v>0</v>
      </c>
      <c r="R508" s="49">
        <v>0</v>
      </c>
    </row>
    <row r="509" spans="1:18">
      <c r="A509" t="s">
        <v>1063</v>
      </c>
      <c r="B509" s="47">
        <f>SUMIFS(LS[Unit],LS[Investor ID],'TAX CERTIFICATE'!A509,LS[Date Value],"&lt;"&amp;$Z$2)+SUMIFS(SIP[Unit],SIP[Investor ID],'TAX CERTIFICATE'!A509,SIP[Date Value],"&lt;"&amp;$Z$2)</f>
        <v>0</v>
      </c>
      <c r="C509" s="48">
        <f>(SUMIFS(LS[Amount],LS[B/S],"B",LS[Investor ID],A509,LS[Date Value],"&lt;"&amp;$Z$2)-SUMIFS(LS[Cost of Units Sold],LS[B/S],"S",LS[Investor ID],A509,LS[Date Value],"&lt;"&amp;$Z$2))+(SUMIFS(SIP[Amount],SIP[B/S],"B",SIP[Investor ID],#REF!,SIP[Date Value],"&lt;"&amp;$Z$2)-SUMIFS(SIP[Cost of Units Sold],SIP[B/S],"S",SIP[Investor ID],A509,SIP[Date Value],"&lt;"&amp;$Z$2))</f>
        <v>0</v>
      </c>
      <c r="D509" s="49">
        <f t="shared" si="35"/>
        <v>0</v>
      </c>
      <c r="E509" s="49">
        <f t="shared" si="36"/>
        <v>0</v>
      </c>
      <c r="F509" s="47">
        <f>SUMIFS(LS[Unit],LS[Investor ID],A509,LS[Date Value],"&lt;="&amp;$Z$3)+SUMIFS(SIP[Unit],SIP[Investor ID],A509,SIP[Date Value],"&lt;="&amp;$Z$3)</f>
        <v>0</v>
      </c>
      <c r="G509" s="49">
        <f>(SUMIFS(LS[Amount],LS[B/S],"B",LS[Investor ID],A509,LS[Date Value],"&lt;="&amp;$Z$3)-SUMIFS(LS[Cost of Units Sold],LS[B/S],"S",LS[Investor ID],A509,LS[Date Value],"&lt;="&amp;$Z$3))+(SUMIFS(SIP[Amount],SIP[B/S],"B",SIP[Investor ID],A509,SIP[Date Value],"&lt;="&amp;$Z$3)-SUMIFS(SIP[Cost of Units Sold],SIP[B/S],"S",SIP[Investor ID],A509,SIP[Date Value],"&lt;="&amp;$Z$3))</f>
        <v>0</v>
      </c>
      <c r="H509" s="49">
        <f t="shared" si="37"/>
        <v>0</v>
      </c>
      <c r="I509" s="49">
        <f t="shared" si="38"/>
        <v>0</v>
      </c>
      <c r="J509" s="47">
        <f>(SUMIFS(LS[Unit],LS[Investor ID],A509,LS[B/S],"B",LS[Date Value],"&gt;="&amp;$Z$2,LS[Date Value],"&lt;="&amp;$Z$3))+(SUMIFS(SIP[Unit],SIP[Investor ID],A509,SIP[B/S],"B",SIP[Date Value],"&gt;="&amp;$Z$2,SIP[Date Value],"&lt;="&amp;$Z$3))</f>
        <v>28857</v>
      </c>
      <c r="K509" s="49">
        <f>(SUMIFS(LS[Amount],LS[Investor ID],A509,LS[B/S],"B",LS[Date Value],"&gt;="&amp;$Z$2,LS[Date Value],"&lt;="&amp;$Z$3))+(SUMIFS(SIP[Amount],SIP[Investor ID],A509,SIP[B/S],"B",SIP[Date Value],"&gt;="&amp;$Z$2,SIP[Date Value],"&lt;="&amp;$Z$3))</f>
        <v>300000</v>
      </c>
      <c r="L509" s="47">
        <f>(-SUMIFS(LS[Unit],LS[Investor ID],A509,LS[B/S],"S",LS[Date Value],"&gt;="&amp;$Z$2,LS[Date Value],"&lt;="&amp;$Z$3))+(-SUMIFS(SIP[Unit],SIP[Investor ID],A509,SIP[B/S],"S",SIP[Date Value],"&gt;="&amp;$Z$2,SIP[Date Value],"&lt;="&amp;$Z$3))</f>
        <v>28857</v>
      </c>
      <c r="M509" s="49">
        <f>(SUMIFS(LS[Cost of Units Sold],LS[Investor ID],A509,LS[B/S],"S",LS[Date Value],"&gt;="&amp;$Z$2,LS[Date Value],"&lt;="&amp;$Z$3))+(SUMIFS(SIP[Cost of Units Sold],SIP[Investor ID],A509,SIP[B/S],"S",SIP[Date Value],"&gt;="&amp;$Z$2,SIP[Date Value],"&lt;="&amp;$Z$3))</f>
        <v>300000</v>
      </c>
      <c r="N509" s="49">
        <f t="shared" si="39"/>
        <v>0</v>
      </c>
      <c r="O509" s="49">
        <f>(SUMIFS(LS[Realized Gain],LS[Investor ID],A509,LS[Date Value],"&gt;="&amp;$Z$2,LS[Date Value],"&lt;="&amp;$Z$3))+(SUMIFS(SIP[Realized Gain],SIP[Investor ID],A509,SIP[Date Value],"&gt;="&amp;$Z$2,SIP[Date Value],"&lt;="&amp;$Z$3))</f>
        <v>6230.4839999999958</v>
      </c>
      <c r="P509" s="49">
        <v>0</v>
      </c>
      <c r="Q509" s="49">
        <v>0</v>
      </c>
      <c r="R509" s="49">
        <v>0</v>
      </c>
    </row>
    <row r="510" spans="1:18">
      <c r="A510" t="s">
        <v>1065</v>
      </c>
      <c r="B510" s="47">
        <f>SUMIFS(LS[Unit],LS[Investor ID],'TAX CERTIFICATE'!A510,LS[Date Value],"&lt;"&amp;$Z$2)+SUMIFS(SIP[Unit],SIP[Investor ID],'TAX CERTIFICATE'!A510,SIP[Date Value],"&lt;"&amp;$Z$2)</f>
        <v>0</v>
      </c>
      <c r="C510" s="48">
        <f>(SUMIFS(LS[Amount],LS[B/S],"B",LS[Investor ID],A510,LS[Date Value],"&lt;"&amp;$Z$2)-SUMIFS(LS[Cost of Units Sold],LS[B/S],"S",LS[Investor ID],A510,LS[Date Value],"&lt;"&amp;$Z$2))+(SUMIFS(SIP[Amount],SIP[B/S],"B",SIP[Investor ID],#REF!,SIP[Date Value],"&lt;"&amp;$Z$2)-SUMIFS(SIP[Cost of Units Sold],SIP[B/S],"S",SIP[Investor ID],A510,SIP[Date Value],"&lt;"&amp;$Z$2))</f>
        <v>0</v>
      </c>
      <c r="D510" s="49">
        <f t="shared" si="35"/>
        <v>0</v>
      </c>
      <c r="E510" s="49">
        <f t="shared" si="36"/>
        <v>0</v>
      </c>
      <c r="F510" s="47">
        <f>SUMIFS(LS[Unit],LS[Investor ID],A510,LS[Date Value],"&lt;="&amp;$Z$3)+SUMIFS(SIP[Unit],SIP[Investor ID],A510,SIP[Date Value],"&lt;="&amp;$Z$3)</f>
        <v>4159</v>
      </c>
      <c r="G510" s="49">
        <f>(SUMIFS(LS[Amount],LS[B/S],"B",LS[Investor ID],A510,LS[Date Value],"&lt;="&amp;$Z$3)-SUMIFS(LS[Cost of Units Sold],LS[B/S],"S",LS[Investor ID],A510,LS[Date Value],"&lt;="&amp;$Z$3))+(SUMIFS(SIP[Amount],SIP[B/S],"B",SIP[Investor ID],A510,SIP[Date Value],"&lt;="&amp;$Z$3)-SUMIFS(SIP[Cost of Units Sold],SIP[B/S],"S",SIP[Investor ID],A510,SIP[Date Value],"&lt;="&amp;$Z$3))</f>
        <v>45015.772870662462</v>
      </c>
      <c r="H510" s="49">
        <f t="shared" si="37"/>
        <v>46431.076000000001</v>
      </c>
      <c r="I510" s="49">
        <f t="shared" si="38"/>
        <v>1415.3031293375388</v>
      </c>
      <c r="J510" s="47">
        <f>(SUMIFS(LS[Unit],LS[Investor ID],A510,LS[B/S],"B",LS[Date Value],"&gt;="&amp;$Z$2,LS[Date Value],"&lt;="&amp;$Z$3))+(SUMIFS(SIP[Unit],SIP[Investor ID],A510,SIP[B/S],"B",SIP[Date Value],"&gt;="&amp;$Z$2,SIP[Date Value],"&lt;="&amp;$Z$3))</f>
        <v>4633</v>
      </c>
      <c r="K510" s="49">
        <f>(SUMIFS(LS[Amount],LS[Investor ID],A510,LS[B/S],"B",LS[Date Value],"&gt;="&amp;$Z$2,LS[Date Value],"&lt;="&amp;$Z$3))+(SUMIFS(SIP[Amount],SIP[Investor ID],A510,SIP[B/S],"B",SIP[Date Value],"&gt;="&amp;$Z$2,SIP[Date Value],"&lt;="&amp;$Z$3))</f>
        <v>50000</v>
      </c>
      <c r="L510" s="47">
        <f>(-SUMIFS(LS[Unit],LS[Investor ID],A510,LS[B/S],"S",LS[Date Value],"&gt;="&amp;$Z$2,LS[Date Value],"&lt;="&amp;$Z$3))+(-SUMIFS(SIP[Unit],SIP[Investor ID],A510,SIP[B/S],"S",SIP[Date Value],"&gt;="&amp;$Z$2,SIP[Date Value],"&lt;="&amp;$Z$3))</f>
        <v>474</v>
      </c>
      <c r="M510" s="49">
        <f>(SUMIFS(LS[Cost of Units Sold],LS[Investor ID],A510,LS[B/S],"S",LS[Date Value],"&gt;="&amp;$Z$2,LS[Date Value],"&lt;="&amp;$Z$3))+(SUMIFS(SIP[Cost of Units Sold],SIP[Investor ID],A510,SIP[B/S],"S",SIP[Date Value],"&gt;="&amp;$Z$2,SIP[Date Value],"&lt;="&amp;$Z$3))</f>
        <v>4984.2271293375397</v>
      </c>
      <c r="N510" s="49">
        <f t="shared" si="39"/>
        <v>45015.772870662462</v>
      </c>
      <c r="O510" s="49">
        <f>(SUMIFS(LS[Realized Gain],LS[Investor ID],A510,LS[Date Value],"&gt;="&amp;$Z$2,LS[Date Value],"&lt;="&amp;$Z$3))+(SUMIFS(SIP[Realized Gain],SIP[Investor ID],A510,SIP[Date Value],"&gt;="&amp;$Z$2,SIP[Date Value],"&lt;="&amp;$Z$3))</f>
        <v>15.772870662460384</v>
      </c>
      <c r="P510" s="49">
        <v>0</v>
      </c>
      <c r="Q510" s="49">
        <v>0</v>
      </c>
      <c r="R510" s="49">
        <v>0</v>
      </c>
    </row>
    <row r="511" spans="1:18">
      <c r="A511" t="s">
        <v>1067</v>
      </c>
      <c r="B511" s="47">
        <f>SUMIFS(LS[Unit],LS[Investor ID],'TAX CERTIFICATE'!A511,LS[Date Value],"&lt;"&amp;$Z$2)+SUMIFS(SIP[Unit],SIP[Investor ID],'TAX CERTIFICATE'!A511,SIP[Date Value],"&lt;"&amp;$Z$2)</f>
        <v>0</v>
      </c>
      <c r="C511" s="48">
        <f>(SUMIFS(LS[Amount],LS[B/S],"B",LS[Investor ID],A511,LS[Date Value],"&lt;"&amp;$Z$2)-SUMIFS(LS[Cost of Units Sold],LS[B/S],"S",LS[Investor ID],A511,LS[Date Value],"&lt;"&amp;$Z$2))+(SUMIFS(SIP[Amount],SIP[B/S],"B",SIP[Investor ID],#REF!,SIP[Date Value],"&lt;"&amp;$Z$2)-SUMIFS(SIP[Cost of Units Sold],SIP[B/S],"S",SIP[Investor ID],A511,SIP[Date Value],"&lt;"&amp;$Z$2))</f>
        <v>0</v>
      </c>
      <c r="D511" s="49">
        <f t="shared" ref="D511:D574" si="40">B511*$AA$2</f>
        <v>0</v>
      </c>
      <c r="E511" s="49">
        <f t="shared" ref="E511:E574" si="41">D511-C511</f>
        <v>0</v>
      </c>
      <c r="F511" s="47">
        <f>SUMIFS(LS[Unit],LS[Investor ID],A511,LS[Date Value],"&lt;="&amp;$Z$3)+SUMIFS(SIP[Unit],SIP[Investor ID],A511,SIP[Date Value],"&lt;="&amp;$Z$3)</f>
        <v>35000</v>
      </c>
      <c r="G511" s="49">
        <f>(SUMIFS(LS[Amount],LS[B/S],"B",LS[Investor ID],A511,LS[Date Value],"&lt;="&amp;$Z$3)-SUMIFS(LS[Cost of Units Sold],LS[B/S],"S",LS[Investor ID],A511,LS[Date Value],"&lt;="&amp;$Z$3))+(SUMIFS(SIP[Amount],SIP[B/S],"B",SIP[Investor ID],A511,SIP[Date Value],"&lt;="&amp;$Z$3)-SUMIFS(SIP[Cost of Units Sold],SIP[B/S],"S",SIP[Investor ID],A511,SIP[Date Value],"&lt;="&amp;$Z$3))</f>
        <v>365365</v>
      </c>
      <c r="H511" s="49">
        <f t="shared" ref="H511:H574" si="42">F511*$AA$3</f>
        <v>390740</v>
      </c>
      <c r="I511" s="49">
        <f t="shared" ref="I511:I574" si="43">H511-G511</f>
        <v>25375</v>
      </c>
      <c r="J511" s="47">
        <f>(SUMIFS(LS[Unit],LS[Investor ID],A511,LS[B/S],"B",LS[Date Value],"&gt;="&amp;$Z$2,LS[Date Value],"&lt;="&amp;$Z$3))+(SUMIFS(SIP[Unit],SIP[Investor ID],A511,SIP[B/S],"B",SIP[Date Value],"&gt;="&amp;$Z$2,SIP[Date Value],"&lt;="&amp;$Z$3))</f>
        <v>35000</v>
      </c>
      <c r="K511" s="49">
        <f>(SUMIFS(LS[Amount],LS[Investor ID],A511,LS[B/S],"B",LS[Date Value],"&gt;="&amp;$Z$2,LS[Date Value],"&lt;="&amp;$Z$3))+(SUMIFS(SIP[Amount],SIP[Investor ID],A511,SIP[B/S],"B",SIP[Date Value],"&gt;="&amp;$Z$2,SIP[Date Value],"&lt;="&amp;$Z$3))</f>
        <v>365365</v>
      </c>
      <c r="L511" s="47">
        <f>(-SUMIFS(LS[Unit],LS[Investor ID],A511,LS[B/S],"S",LS[Date Value],"&gt;="&amp;$Z$2,LS[Date Value],"&lt;="&amp;$Z$3))+(-SUMIFS(SIP[Unit],SIP[Investor ID],A511,SIP[B/S],"S",SIP[Date Value],"&gt;="&amp;$Z$2,SIP[Date Value],"&lt;="&amp;$Z$3))</f>
        <v>0</v>
      </c>
      <c r="M511" s="49">
        <f>(SUMIFS(LS[Cost of Units Sold],LS[Investor ID],A511,LS[B/S],"S",LS[Date Value],"&gt;="&amp;$Z$2,LS[Date Value],"&lt;="&amp;$Z$3))+(SUMIFS(SIP[Cost of Units Sold],SIP[Investor ID],A511,SIP[B/S],"S",SIP[Date Value],"&gt;="&amp;$Z$2,SIP[Date Value],"&lt;="&amp;$Z$3))</f>
        <v>0</v>
      </c>
      <c r="N511" s="49">
        <f t="shared" ref="N511:N574" si="44">K511-M511</f>
        <v>365365</v>
      </c>
      <c r="O511" s="49">
        <f>(SUMIFS(LS[Realized Gain],LS[Investor ID],A511,LS[Date Value],"&gt;="&amp;$Z$2,LS[Date Value],"&lt;="&amp;$Z$3))+(SUMIFS(SIP[Realized Gain],SIP[Investor ID],A511,SIP[Date Value],"&gt;="&amp;$Z$2,SIP[Date Value],"&lt;="&amp;$Z$3))</f>
        <v>0</v>
      </c>
      <c r="P511" s="49">
        <v>0</v>
      </c>
      <c r="Q511" s="49">
        <v>0</v>
      </c>
      <c r="R511" s="49">
        <v>0</v>
      </c>
    </row>
    <row r="512" spans="1:18">
      <c r="A512" t="s">
        <v>1069</v>
      </c>
      <c r="B512" s="47">
        <f>SUMIFS(LS[Unit],LS[Investor ID],'TAX CERTIFICATE'!A512,LS[Date Value],"&lt;"&amp;$Z$2)+SUMIFS(SIP[Unit],SIP[Investor ID],'TAX CERTIFICATE'!A512,SIP[Date Value],"&lt;"&amp;$Z$2)</f>
        <v>0</v>
      </c>
      <c r="C512" s="48">
        <f>(SUMIFS(LS[Amount],LS[B/S],"B",LS[Investor ID],A512,LS[Date Value],"&lt;"&amp;$Z$2)-SUMIFS(LS[Cost of Units Sold],LS[B/S],"S",LS[Investor ID],A512,LS[Date Value],"&lt;"&amp;$Z$2))+(SUMIFS(SIP[Amount],SIP[B/S],"B",SIP[Investor ID],#REF!,SIP[Date Value],"&lt;"&amp;$Z$2)-SUMIFS(SIP[Cost of Units Sold],SIP[B/S],"S",SIP[Investor ID],A512,SIP[Date Value],"&lt;"&amp;$Z$2))</f>
        <v>0</v>
      </c>
      <c r="D512" s="49">
        <f t="shared" si="40"/>
        <v>0</v>
      </c>
      <c r="E512" s="49">
        <f t="shared" si="41"/>
        <v>0</v>
      </c>
      <c r="F512" s="47">
        <f>SUMIFS(LS[Unit],LS[Investor ID],A512,LS[Date Value],"&lt;="&amp;$Z$3)+SUMIFS(SIP[Unit],SIP[Investor ID],A512,SIP[Date Value],"&lt;="&amp;$Z$3)</f>
        <v>9526</v>
      </c>
      <c r="G512" s="49">
        <f>(SUMIFS(LS[Amount],LS[B/S],"B",LS[Investor ID],A512,LS[Date Value],"&lt;="&amp;$Z$3)-SUMIFS(LS[Cost of Units Sold],LS[B/S],"S",LS[Investor ID],A512,LS[Date Value],"&lt;="&amp;$Z$3))+(SUMIFS(SIP[Amount],SIP[B/S],"B",SIP[Investor ID],A512,SIP[Date Value],"&lt;="&amp;$Z$3)-SUMIFS(SIP[Cost of Units Sold],SIP[B/S],"S",SIP[Investor ID],A512,SIP[Date Value],"&lt;="&amp;$Z$3))</f>
        <v>100000</v>
      </c>
      <c r="H512" s="49">
        <f t="shared" si="42"/>
        <v>106348.264</v>
      </c>
      <c r="I512" s="49">
        <f t="shared" si="43"/>
        <v>6348.2639999999956</v>
      </c>
      <c r="J512" s="47">
        <f>(SUMIFS(LS[Unit],LS[Investor ID],A512,LS[B/S],"B",LS[Date Value],"&gt;="&amp;$Z$2,LS[Date Value],"&lt;="&amp;$Z$3))+(SUMIFS(SIP[Unit],SIP[Investor ID],A512,SIP[B/S],"B",SIP[Date Value],"&gt;="&amp;$Z$2,SIP[Date Value],"&lt;="&amp;$Z$3))</f>
        <v>9526</v>
      </c>
      <c r="K512" s="49">
        <f>(SUMIFS(LS[Amount],LS[Investor ID],A512,LS[B/S],"B",LS[Date Value],"&gt;="&amp;$Z$2,LS[Date Value],"&lt;="&amp;$Z$3))+(SUMIFS(SIP[Amount],SIP[Investor ID],A512,SIP[B/S],"B",SIP[Date Value],"&gt;="&amp;$Z$2,SIP[Date Value],"&lt;="&amp;$Z$3))</f>
        <v>100000</v>
      </c>
      <c r="L512" s="47">
        <f>(-SUMIFS(LS[Unit],LS[Investor ID],A512,LS[B/S],"S",LS[Date Value],"&gt;="&amp;$Z$2,LS[Date Value],"&lt;="&amp;$Z$3))+(-SUMIFS(SIP[Unit],SIP[Investor ID],A512,SIP[B/S],"S",SIP[Date Value],"&gt;="&amp;$Z$2,SIP[Date Value],"&lt;="&amp;$Z$3))</f>
        <v>0</v>
      </c>
      <c r="M512" s="49">
        <f>(SUMIFS(LS[Cost of Units Sold],LS[Investor ID],A512,LS[B/S],"S",LS[Date Value],"&gt;="&amp;$Z$2,LS[Date Value],"&lt;="&amp;$Z$3))+(SUMIFS(SIP[Cost of Units Sold],SIP[Investor ID],A512,SIP[B/S],"S",SIP[Date Value],"&gt;="&amp;$Z$2,SIP[Date Value],"&lt;="&amp;$Z$3))</f>
        <v>0</v>
      </c>
      <c r="N512" s="49">
        <f t="shared" si="44"/>
        <v>100000</v>
      </c>
      <c r="O512" s="49">
        <f>(SUMIFS(LS[Realized Gain],LS[Investor ID],A512,LS[Date Value],"&gt;="&amp;$Z$2,LS[Date Value],"&lt;="&amp;$Z$3))+(SUMIFS(SIP[Realized Gain],SIP[Investor ID],A512,SIP[Date Value],"&gt;="&amp;$Z$2,SIP[Date Value],"&lt;="&amp;$Z$3))</f>
        <v>0</v>
      </c>
      <c r="P512" s="49">
        <v>0</v>
      </c>
      <c r="Q512" s="49">
        <v>0</v>
      </c>
      <c r="R512" s="49">
        <v>0</v>
      </c>
    </row>
    <row r="513" spans="1:18">
      <c r="A513" t="s">
        <v>1071</v>
      </c>
      <c r="B513" s="47">
        <f>SUMIFS(LS[Unit],LS[Investor ID],'TAX CERTIFICATE'!A513,LS[Date Value],"&lt;"&amp;$Z$2)+SUMIFS(SIP[Unit],SIP[Investor ID],'TAX CERTIFICATE'!A513,SIP[Date Value],"&lt;"&amp;$Z$2)</f>
        <v>0</v>
      </c>
      <c r="C513" s="48">
        <f>(SUMIFS(LS[Amount],LS[B/S],"B",LS[Investor ID],A513,LS[Date Value],"&lt;"&amp;$Z$2)-SUMIFS(LS[Cost of Units Sold],LS[B/S],"S",LS[Investor ID],A513,LS[Date Value],"&lt;"&amp;$Z$2))+(SUMIFS(SIP[Amount],SIP[B/S],"B",SIP[Investor ID],#REF!,SIP[Date Value],"&lt;"&amp;$Z$2)-SUMIFS(SIP[Cost of Units Sold],SIP[B/S],"S",SIP[Investor ID],A513,SIP[Date Value],"&lt;"&amp;$Z$2))</f>
        <v>0</v>
      </c>
      <c r="D513" s="49">
        <f t="shared" si="40"/>
        <v>0</v>
      </c>
      <c r="E513" s="49">
        <f t="shared" si="41"/>
        <v>0</v>
      </c>
      <c r="F513" s="47">
        <f>SUMIFS(LS[Unit],LS[Investor ID],A513,LS[Date Value],"&lt;="&amp;$Z$3)+SUMIFS(SIP[Unit],SIP[Investor ID],A513,SIP[Date Value],"&lt;="&amp;$Z$3)</f>
        <v>0</v>
      </c>
      <c r="G513" s="49">
        <f>(SUMIFS(LS[Amount],LS[B/S],"B",LS[Investor ID],A513,LS[Date Value],"&lt;="&amp;$Z$3)-SUMIFS(LS[Cost of Units Sold],LS[B/S],"S",LS[Investor ID],A513,LS[Date Value],"&lt;="&amp;$Z$3))+(SUMIFS(SIP[Amount],SIP[B/S],"B",SIP[Investor ID],A513,SIP[Date Value],"&lt;="&amp;$Z$3)-SUMIFS(SIP[Cost of Units Sold],SIP[B/S],"S",SIP[Investor ID],A513,SIP[Date Value],"&lt;="&amp;$Z$3))</f>
        <v>0</v>
      </c>
      <c r="H513" s="49">
        <f t="shared" si="42"/>
        <v>0</v>
      </c>
      <c r="I513" s="49">
        <f t="shared" si="43"/>
        <v>0</v>
      </c>
      <c r="J513" s="47">
        <f>(SUMIFS(LS[Unit],LS[Investor ID],A513,LS[B/S],"B",LS[Date Value],"&gt;="&amp;$Z$2,LS[Date Value],"&lt;="&amp;$Z$3))+(SUMIFS(SIP[Unit],SIP[Investor ID],A513,SIP[B/S],"B",SIP[Date Value],"&gt;="&amp;$Z$2,SIP[Date Value],"&lt;="&amp;$Z$3))</f>
        <v>9503896</v>
      </c>
      <c r="K513" s="49">
        <f>(SUMIFS(LS[Amount],LS[Investor ID],A513,LS[B/S],"B",LS[Date Value],"&gt;="&amp;$Z$2,LS[Date Value],"&lt;="&amp;$Z$3))+(SUMIFS(SIP[Amount],SIP[Investor ID],A513,SIP[B/S],"B",SIP[Date Value],"&gt;="&amp;$Z$2,SIP[Date Value],"&lt;="&amp;$Z$3))</f>
        <v>100000000</v>
      </c>
      <c r="L513" s="47">
        <f>(-SUMIFS(LS[Unit],LS[Investor ID],A513,LS[B/S],"S",LS[Date Value],"&gt;="&amp;$Z$2,LS[Date Value],"&lt;="&amp;$Z$3))+(-SUMIFS(SIP[Unit],SIP[Investor ID],A513,SIP[B/S],"S",SIP[Date Value],"&gt;="&amp;$Z$2,SIP[Date Value],"&lt;="&amp;$Z$3))</f>
        <v>9503896</v>
      </c>
      <c r="M513" s="49">
        <f>(SUMIFS(LS[Cost of Units Sold],LS[Investor ID],A513,LS[B/S],"S",LS[Date Value],"&gt;="&amp;$Z$2,LS[Date Value],"&lt;="&amp;$Z$3))+(SUMIFS(SIP[Cost of Units Sold],SIP[Investor ID],A513,SIP[B/S],"S",SIP[Date Value],"&gt;="&amp;$Z$2,SIP[Date Value],"&lt;="&amp;$Z$3))</f>
        <v>100000000</v>
      </c>
      <c r="N513" s="49">
        <f t="shared" si="44"/>
        <v>0</v>
      </c>
      <c r="O513" s="49">
        <f>(SUMIFS(LS[Realized Gain],LS[Investor ID],A513,LS[Date Value],"&gt;="&amp;$Z$2,LS[Date Value],"&lt;="&amp;$Z$3))+(SUMIFS(SIP[Realized Gain],SIP[Investor ID],A513,SIP[Date Value],"&gt;="&amp;$Z$2,SIP[Date Value],"&lt;="&amp;$Z$3))</f>
        <v>2011495.320000004</v>
      </c>
      <c r="P513" s="49">
        <v>0</v>
      </c>
      <c r="Q513" s="49">
        <v>0</v>
      </c>
      <c r="R513" s="49">
        <v>0</v>
      </c>
    </row>
    <row r="514" spans="1:18">
      <c r="A514" t="s">
        <v>1073</v>
      </c>
      <c r="B514" s="47">
        <f>SUMIFS(LS[Unit],LS[Investor ID],'TAX CERTIFICATE'!A514,LS[Date Value],"&lt;"&amp;$Z$2)+SUMIFS(SIP[Unit],SIP[Investor ID],'TAX CERTIFICATE'!A514,SIP[Date Value],"&lt;"&amp;$Z$2)</f>
        <v>0</v>
      </c>
      <c r="C514" s="48">
        <f>(SUMIFS(LS[Amount],LS[B/S],"B",LS[Investor ID],A514,LS[Date Value],"&lt;"&amp;$Z$2)-SUMIFS(LS[Cost of Units Sold],LS[B/S],"S",LS[Investor ID],A514,LS[Date Value],"&lt;"&amp;$Z$2))+(SUMIFS(SIP[Amount],SIP[B/S],"B",SIP[Investor ID],#REF!,SIP[Date Value],"&lt;"&amp;$Z$2)-SUMIFS(SIP[Cost of Units Sold],SIP[B/S],"S",SIP[Investor ID],A514,SIP[Date Value],"&lt;"&amp;$Z$2))</f>
        <v>0</v>
      </c>
      <c r="D514" s="49">
        <f t="shared" si="40"/>
        <v>0</v>
      </c>
      <c r="E514" s="49">
        <f t="shared" si="41"/>
        <v>0</v>
      </c>
      <c r="F514" s="47">
        <f>SUMIFS(LS[Unit],LS[Investor ID],A514,LS[Date Value],"&lt;="&amp;$Z$3)+SUMIFS(SIP[Unit],SIP[Investor ID],A514,SIP[Date Value],"&lt;="&amp;$Z$3)</f>
        <v>189107</v>
      </c>
      <c r="G514" s="49">
        <f>(SUMIFS(LS[Amount],LS[B/S],"B",LS[Investor ID],A514,LS[Date Value],"&lt;="&amp;$Z$3)-SUMIFS(LS[Cost of Units Sold],LS[B/S],"S",LS[Investor ID],A514,LS[Date Value],"&lt;="&amp;$Z$3))+(SUMIFS(SIP[Amount],SIP[B/S],"B",SIP[Investor ID],A514,SIP[Date Value],"&lt;="&amp;$Z$3)-SUMIFS(SIP[Cost of Units Sold],SIP[B/S],"S",SIP[Investor ID],A514,SIP[Date Value],"&lt;="&amp;$Z$3))</f>
        <v>2000000</v>
      </c>
      <c r="H514" s="49">
        <f t="shared" si="42"/>
        <v>2111190.548</v>
      </c>
      <c r="I514" s="49">
        <f t="shared" si="43"/>
        <v>111190.54799999995</v>
      </c>
      <c r="J514" s="47">
        <f>(SUMIFS(LS[Unit],LS[Investor ID],A514,LS[B/S],"B",LS[Date Value],"&gt;="&amp;$Z$2,LS[Date Value],"&lt;="&amp;$Z$3))+(SUMIFS(SIP[Unit],SIP[Investor ID],A514,SIP[B/S],"B",SIP[Date Value],"&gt;="&amp;$Z$2,SIP[Date Value],"&lt;="&amp;$Z$3))</f>
        <v>189107</v>
      </c>
      <c r="K514" s="49">
        <f>(SUMIFS(LS[Amount],LS[Investor ID],A514,LS[B/S],"B",LS[Date Value],"&gt;="&amp;$Z$2,LS[Date Value],"&lt;="&amp;$Z$3))+(SUMIFS(SIP[Amount],SIP[Investor ID],A514,SIP[B/S],"B",SIP[Date Value],"&gt;="&amp;$Z$2,SIP[Date Value],"&lt;="&amp;$Z$3))</f>
        <v>2000000</v>
      </c>
      <c r="L514" s="47">
        <f>(-SUMIFS(LS[Unit],LS[Investor ID],A514,LS[B/S],"S",LS[Date Value],"&gt;="&amp;$Z$2,LS[Date Value],"&lt;="&amp;$Z$3))+(-SUMIFS(SIP[Unit],SIP[Investor ID],A514,SIP[B/S],"S",SIP[Date Value],"&gt;="&amp;$Z$2,SIP[Date Value],"&lt;="&amp;$Z$3))</f>
        <v>0</v>
      </c>
      <c r="M514" s="49">
        <f>(SUMIFS(LS[Cost of Units Sold],LS[Investor ID],A514,LS[B/S],"S",LS[Date Value],"&gt;="&amp;$Z$2,LS[Date Value],"&lt;="&amp;$Z$3))+(SUMIFS(SIP[Cost of Units Sold],SIP[Investor ID],A514,SIP[B/S],"S",SIP[Date Value],"&gt;="&amp;$Z$2,SIP[Date Value],"&lt;="&amp;$Z$3))</f>
        <v>0</v>
      </c>
      <c r="N514" s="49">
        <f t="shared" si="44"/>
        <v>2000000</v>
      </c>
      <c r="O514" s="49">
        <f>(SUMIFS(LS[Realized Gain],LS[Investor ID],A514,LS[Date Value],"&gt;="&amp;$Z$2,LS[Date Value],"&lt;="&amp;$Z$3))+(SUMIFS(SIP[Realized Gain],SIP[Investor ID],A514,SIP[Date Value],"&gt;="&amp;$Z$2,SIP[Date Value],"&lt;="&amp;$Z$3))</f>
        <v>0</v>
      </c>
      <c r="P514" s="49">
        <v>0</v>
      </c>
      <c r="Q514" s="49">
        <v>0</v>
      </c>
      <c r="R514" s="49">
        <v>0</v>
      </c>
    </row>
    <row r="515" spans="1:18">
      <c r="A515" t="s">
        <v>1075</v>
      </c>
      <c r="B515" s="47">
        <f>SUMIFS(LS[Unit],LS[Investor ID],'TAX CERTIFICATE'!A515,LS[Date Value],"&lt;"&amp;$Z$2)+SUMIFS(SIP[Unit],SIP[Investor ID],'TAX CERTIFICATE'!A515,SIP[Date Value],"&lt;"&amp;$Z$2)</f>
        <v>0</v>
      </c>
      <c r="C515" s="48">
        <f>(SUMIFS(LS[Amount],LS[B/S],"B",LS[Investor ID],A515,LS[Date Value],"&lt;"&amp;$Z$2)-SUMIFS(LS[Cost of Units Sold],LS[B/S],"S",LS[Investor ID],A515,LS[Date Value],"&lt;"&amp;$Z$2))+(SUMIFS(SIP[Amount],SIP[B/S],"B",SIP[Investor ID],#REF!,SIP[Date Value],"&lt;"&amp;$Z$2)-SUMIFS(SIP[Cost of Units Sold],SIP[B/S],"S",SIP[Investor ID],A515,SIP[Date Value],"&lt;"&amp;$Z$2))</f>
        <v>0</v>
      </c>
      <c r="D515" s="49">
        <f t="shared" si="40"/>
        <v>0</v>
      </c>
      <c r="E515" s="49">
        <f t="shared" si="41"/>
        <v>0</v>
      </c>
      <c r="F515" s="47">
        <f>SUMIFS(LS[Unit],LS[Investor ID],A515,LS[Date Value],"&lt;="&amp;$Z$3)+SUMIFS(SIP[Unit],SIP[Investor ID],A515,SIP[Date Value],"&lt;="&amp;$Z$3)</f>
        <v>1472</v>
      </c>
      <c r="G515" s="49">
        <f>(SUMIFS(LS[Amount],LS[B/S],"B",LS[Investor ID],A515,LS[Date Value],"&lt;="&amp;$Z$3)-SUMIFS(LS[Cost of Units Sold],LS[B/S],"S",LS[Investor ID],A515,LS[Date Value],"&lt;="&amp;$Z$3))+(SUMIFS(SIP[Amount],SIP[B/S],"B",SIP[Investor ID],A515,SIP[Date Value],"&lt;="&amp;$Z$3)-SUMIFS(SIP[Cost of Units Sold],SIP[B/S],"S",SIP[Investor ID],A515,SIP[Date Value],"&lt;="&amp;$Z$3))</f>
        <v>16000</v>
      </c>
      <c r="H515" s="49">
        <f t="shared" si="42"/>
        <v>16433.407999999999</v>
      </c>
      <c r="I515" s="49">
        <f t="shared" si="43"/>
        <v>433.40799999999945</v>
      </c>
      <c r="J515" s="47">
        <f>(SUMIFS(LS[Unit],LS[Investor ID],A515,LS[B/S],"B",LS[Date Value],"&gt;="&amp;$Z$2,LS[Date Value],"&lt;="&amp;$Z$3))+(SUMIFS(SIP[Unit],SIP[Investor ID],A515,SIP[B/S],"B",SIP[Date Value],"&gt;="&amp;$Z$2,SIP[Date Value],"&lt;="&amp;$Z$3))</f>
        <v>1472</v>
      </c>
      <c r="K515" s="49">
        <f>(SUMIFS(LS[Amount],LS[Investor ID],A515,LS[B/S],"B",LS[Date Value],"&gt;="&amp;$Z$2,LS[Date Value],"&lt;="&amp;$Z$3))+(SUMIFS(SIP[Amount],SIP[Investor ID],A515,SIP[B/S],"B",SIP[Date Value],"&gt;="&amp;$Z$2,SIP[Date Value],"&lt;="&amp;$Z$3))</f>
        <v>16000</v>
      </c>
      <c r="L515" s="47">
        <f>(-SUMIFS(LS[Unit],LS[Investor ID],A515,LS[B/S],"S",LS[Date Value],"&gt;="&amp;$Z$2,LS[Date Value],"&lt;="&amp;$Z$3))+(-SUMIFS(SIP[Unit],SIP[Investor ID],A515,SIP[B/S],"S",SIP[Date Value],"&gt;="&amp;$Z$2,SIP[Date Value],"&lt;="&amp;$Z$3))</f>
        <v>0</v>
      </c>
      <c r="M515" s="49">
        <f>(SUMIFS(LS[Cost of Units Sold],LS[Investor ID],A515,LS[B/S],"S",LS[Date Value],"&gt;="&amp;$Z$2,LS[Date Value],"&lt;="&amp;$Z$3))+(SUMIFS(SIP[Cost of Units Sold],SIP[Investor ID],A515,SIP[B/S],"S",SIP[Date Value],"&gt;="&amp;$Z$2,SIP[Date Value],"&lt;="&amp;$Z$3))</f>
        <v>0</v>
      </c>
      <c r="N515" s="49">
        <f t="shared" si="44"/>
        <v>16000</v>
      </c>
      <c r="O515" s="49">
        <f>(SUMIFS(LS[Realized Gain],LS[Investor ID],A515,LS[Date Value],"&gt;="&amp;$Z$2,LS[Date Value],"&lt;="&amp;$Z$3))+(SUMIFS(SIP[Realized Gain],SIP[Investor ID],A515,SIP[Date Value],"&gt;="&amp;$Z$2,SIP[Date Value],"&lt;="&amp;$Z$3))</f>
        <v>0</v>
      </c>
      <c r="P515" s="49">
        <v>0</v>
      </c>
      <c r="Q515" s="49">
        <v>0</v>
      </c>
      <c r="R515" s="49">
        <v>0</v>
      </c>
    </row>
    <row r="516" spans="1:18">
      <c r="A516" t="s">
        <v>1077</v>
      </c>
      <c r="B516" s="47">
        <f>SUMIFS(LS[Unit],LS[Investor ID],'TAX CERTIFICATE'!A516,LS[Date Value],"&lt;"&amp;$Z$2)+SUMIFS(SIP[Unit],SIP[Investor ID],'TAX CERTIFICATE'!A516,SIP[Date Value],"&lt;"&amp;$Z$2)</f>
        <v>0</v>
      </c>
      <c r="C516" s="48">
        <f>(SUMIFS(LS[Amount],LS[B/S],"B",LS[Investor ID],A516,LS[Date Value],"&lt;"&amp;$Z$2)-SUMIFS(LS[Cost of Units Sold],LS[B/S],"S",LS[Investor ID],A516,LS[Date Value],"&lt;"&amp;$Z$2))+(SUMIFS(SIP[Amount],SIP[B/S],"B",SIP[Investor ID],#REF!,SIP[Date Value],"&lt;"&amp;$Z$2)-SUMIFS(SIP[Cost of Units Sold],SIP[B/S],"S",SIP[Investor ID],A516,SIP[Date Value],"&lt;"&amp;$Z$2))</f>
        <v>0</v>
      </c>
      <c r="D516" s="49">
        <f t="shared" si="40"/>
        <v>0</v>
      </c>
      <c r="E516" s="49">
        <f t="shared" si="41"/>
        <v>0</v>
      </c>
      <c r="F516" s="47">
        <f>SUMIFS(LS[Unit],LS[Investor ID],A516,LS[Date Value],"&lt;="&amp;$Z$3)+SUMIFS(SIP[Unit],SIP[Investor ID],A516,SIP[Date Value],"&lt;="&amp;$Z$3)</f>
        <v>36392</v>
      </c>
      <c r="G516" s="49">
        <f>(SUMIFS(LS[Amount],LS[B/S],"B",LS[Investor ID],A516,LS[Date Value],"&lt;="&amp;$Z$3)-SUMIFS(LS[Cost of Units Sold],LS[B/S],"S",LS[Investor ID],A516,LS[Date Value],"&lt;="&amp;$Z$3))+(SUMIFS(SIP[Amount],SIP[B/S],"B",SIP[Investor ID],A516,SIP[Date Value],"&lt;="&amp;$Z$3)-SUMIFS(SIP[Cost of Units Sold],SIP[B/S],"S",SIP[Investor ID],A516,SIP[Date Value],"&lt;="&amp;$Z$3))</f>
        <v>397157.15056179778</v>
      </c>
      <c r="H516" s="49">
        <f t="shared" si="42"/>
        <v>406280.288</v>
      </c>
      <c r="I516" s="49">
        <f t="shared" si="43"/>
        <v>9123.1374382022186</v>
      </c>
      <c r="J516" s="47">
        <f>(SUMIFS(LS[Unit],LS[Investor ID],A516,LS[B/S],"B",LS[Date Value],"&gt;="&amp;$Z$2,LS[Date Value],"&lt;="&amp;$Z$3))+(SUMIFS(SIP[Unit],SIP[Investor ID],A516,SIP[B/S],"B",SIP[Date Value],"&gt;="&amp;$Z$2,SIP[Date Value],"&lt;="&amp;$Z$3))</f>
        <v>50192</v>
      </c>
      <c r="K516" s="49">
        <f>(SUMIFS(LS[Amount],LS[Investor ID],A516,LS[B/S],"B",LS[Date Value],"&gt;="&amp;$Z$2,LS[Date Value],"&lt;="&amp;$Z$3))+(SUMIFS(SIP[Amount],SIP[Investor ID],A516,SIP[B/S],"B",SIP[Date Value],"&gt;="&amp;$Z$2,SIP[Date Value],"&lt;="&amp;$Z$3))</f>
        <v>543971.04</v>
      </c>
      <c r="L516" s="47">
        <f>(-SUMIFS(LS[Unit],LS[Investor ID],A516,LS[B/S],"S",LS[Date Value],"&gt;="&amp;$Z$2,LS[Date Value],"&lt;="&amp;$Z$3))+(-SUMIFS(SIP[Unit],SIP[Investor ID],A516,SIP[B/S],"S",SIP[Date Value],"&gt;="&amp;$Z$2,SIP[Date Value],"&lt;="&amp;$Z$3))</f>
        <v>13800</v>
      </c>
      <c r="M516" s="49">
        <f>(SUMIFS(LS[Cost of Units Sold],LS[Investor ID],A516,LS[B/S],"S",LS[Date Value],"&gt;="&amp;$Z$2,LS[Date Value],"&lt;="&amp;$Z$3))+(SUMIFS(SIP[Cost of Units Sold],SIP[Investor ID],A516,SIP[B/S],"S",SIP[Date Value],"&gt;="&amp;$Z$2,SIP[Date Value],"&lt;="&amp;$Z$3))</f>
        <v>146813.88943820226</v>
      </c>
      <c r="N516" s="49">
        <f t="shared" si="44"/>
        <v>397157.15056179778</v>
      </c>
      <c r="O516" s="49">
        <f>(SUMIFS(LS[Realized Gain],LS[Investor ID],A516,LS[Date Value],"&gt;="&amp;$Z$2,LS[Date Value],"&lt;="&amp;$Z$3))+(SUMIFS(SIP[Realized Gain],SIP[Investor ID],A516,SIP[Date Value],"&gt;="&amp;$Z$2,SIP[Date Value],"&lt;="&amp;$Z$3))</f>
        <v>2571.1105617977405</v>
      </c>
      <c r="P516" s="49">
        <v>0</v>
      </c>
      <c r="Q516" s="49">
        <v>0</v>
      </c>
      <c r="R516" s="49">
        <v>0</v>
      </c>
    </row>
    <row r="517" spans="1:18">
      <c r="A517" t="s">
        <v>1079</v>
      </c>
      <c r="B517" s="47">
        <f>SUMIFS(LS[Unit],LS[Investor ID],'TAX CERTIFICATE'!A517,LS[Date Value],"&lt;"&amp;$Z$2)+SUMIFS(SIP[Unit],SIP[Investor ID],'TAX CERTIFICATE'!A517,SIP[Date Value],"&lt;"&amp;$Z$2)</f>
        <v>0</v>
      </c>
      <c r="C517" s="48">
        <f>(SUMIFS(LS[Amount],LS[B/S],"B",LS[Investor ID],A517,LS[Date Value],"&lt;"&amp;$Z$2)-SUMIFS(LS[Cost of Units Sold],LS[B/S],"S",LS[Investor ID],A517,LS[Date Value],"&lt;"&amp;$Z$2))+(SUMIFS(SIP[Amount],SIP[B/S],"B",SIP[Investor ID],#REF!,SIP[Date Value],"&lt;"&amp;$Z$2)-SUMIFS(SIP[Cost of Units Sold],SIP[B/S],"S",SIP[Investor ID],A517,SIP[Date Value],"&lt;"&amp;$Z$2))</f>
        <v>0</v>
      </c>
      <c r="D517" s="49">
        <f t="shared" si="40"/>
        <v>0</v>
      </c>
      <c r="E517" s="49">
        <f t="shared" si="41"/>
        <v>0</v>
      </c>
      <c r="F517" s="47">
        <f>SUMIFS(LS[Unit],LS[Investor ID],A517,LS[Date Value],"&lt;="&amp;$Z$3)+SUMIFS(SIP[Unit],SIP[Investor ID],A517,SIP[Date Value],"&lt;="&amp;$Z$3)</f>
        <v>200000</v>
      </c>
      <c r="G517" s="49">
        <f>(SUMIFS(LS[Amount],LS[B/S],"B",LS[Investor ID],A517,LS[Date Value],"&lt;="&amp;$Z$3)-SUMIFS(LS[Cost of Units Sold],LS[B/S],"S",LS[Investor ID],A517,LS[Date Value],"&lt;="&amp;$Z$3))+(SUMIFS(SIP[Amount],SIP[B/S],"B",SIP[Investor ID],A517,SIP[Date Value],"&lt;="&amp;$Z$3)-SUMIFS(SIP[Cost of Units Sold],SIP[B/S],"S",SIP[Investor ID],A517,SIP[Date Value],"&lt;="&amp;$Z$3))</f>
        <v>2125400</v>
      </c>
      <c r="H517" s="49">
        <f t="shared" si="42"/>
        <v>2232800</v>
      </c>
      <c r="I517" s="49">
        <f t="shared" si="43"/>
        <v>107400</v>
      </c>
      <c r="J517" s="47">
        <f>(SUMIFS(LS[Unit],LS[Investor ID],A517,LS[B/S],"B",LS[Date Value],"&gt;="&amp;$Z$2,LS[Date Value],"&lt;="&amp;$Z$3))+(SUMIFS(SIP[Unit],SIP[Investor ID],A517,SIP[B/S],"B",SIP[Date Value],"&gt;="&amp;$Z$2,SIP[Date Value],"&lt;="&amp;$Z$3))</f>
        <v>200000</v>
      </c>
      <c r="K517" s="49">
        <f>(SUMIFS(LS[Amount],LS[Investor ID],A517,LS[B/S],"B",LS[Date Value],"&gt;="&amp;$Z$2,LS[Date Value],"&lt;="&amp;$Z$3))+(SUMIFS(SIP[Amount],SIP[Investor ID],A517,SIP[B/S],"B",SIP[Date Value],"&gt;="&amp;$Z$2,SIP[Date Value],"&lt;="&amp;$Z$3))</f>
        <v>2125400</v>
      </c>
      <c r="L517" s="47">
        <f>(-SUMIFS(LS[Unit],LS[Investor ID],A517,LS[B/S],"S",LS[Date Value],"&gt;="&amp;$Z$2,LS[Date Value],"&lt;="&amp;$Z$3))+(-SUMIFS(SIP[Unit],SIP[Investor ID],A517,SIP[B/S],"S",SIP[Date Value],"&gt;="&amp;$Z$2,SIP[Date Value],"&lt;="&amp;$Z$3))</f>
        <v>0</v>
      </c>
      <c r="M517" s="49">
        <f>(SUMIFS(LS[Cost of Units Sold],LS[Investor ID],A517,LS[B/S],"S",LS[Date Value],"&gt;="&amp;$Z$2,LS[Date Value],"&lt;="&amp;$Z$3))+(SUMIFS(SIP[Cost of Units Sold],SIP[Investor ID],A517,SIP[B/S],"S",SIP[Date Value],"&gt;="&amp;$Z$2,SIP[Date Value],"&lt;="&amp;$Z$3))</f>
        <v>0</v>
      </c>
      <c r="N517" s="49">
        <f t="shared" si="44"/>
        <v>2125400</v>
      </c>
      <c r="O517" s="49">
        <f>(SUMIFS(LS[Realized Gain],LS[Investor ID],A517,LS[Date Value],"&gt;="&amp;$Z$2,LS[Date Value],"&lt;="&amp;$Z$3))+(SUMIFS(SIP[Realized Gain],SIP[Investor ID],A517,SIP[Date Value],"&gt;="&amp;$Z$2,SIP[Date Value],"&lt;="&amp;$Z$3))</f>
        <v>0</v>
      </c>
      <c r="P517" s="49">
        <v>0</v>
      </c>
      <c r="Q517" s="49">
        <v>0</v>
      </c>
      <c r="R517" s="49">
        <v>0</v>
      </c>
    </row>
    <row r="518" spans="1:18">
      <c r="A518" t="s">
        <v>1081</v>
      </c>
      <c r="B518" s="47">
        <f>SUMIFS(LS[Unit],LS[Investor ID],'TAX CERTIFICATE'!A518,LS[Date Value],"&lt;"&amp;$Z$2)+SUMIFS(SIP[Unit],SIP[Investor ID],'TAX CERTIFICATE'!A518,SIP[Date Value],"&lt;"&amp;$Z$2)</f>
        <v>0</v>
      </c>
      <c r="C518" s="48">
        <f>(SUMIFS(LS[Amount],LS[B/S],"B",LS[Investor ID],A518,LS[Date Value],"&lt;"&amp;$Z$2)-SUMIFS(LS[Cost of Units Sold],LS[B/S],"S",LS[Investor ID],A518,LS[Date Value],"&lt;"&amp;$Z$2))+(SUMIFS(SIP[Amount],SIP[B/S],"B",SIP[Investor ID],#REF!,SIP[Date Value],"&lt;"&amp;$Z$2)-SUMIFS(SIP[Cost of Units Sold],SIP[B/S],"S",SIP[Investor ID],A518,SIP[Date Value],"&lt;"&amp;$Z$2))</f>
        <v>0</v>
      </c>
      <c r="D518" s="49">
        <f t="shared" si="40"/>
        <v>0</v>
      </c>
      <c r="E518" s="49">
        <f t="shared" si="41"/>
        <v>0</v>
      </c>
      <c r="F518" s="47">
        <f>SUMIFS(LS[Unit],LS[Investor ID],A518,LS[Date Value],"&lt;="&amp;$Z$3)+SUMIFS(SIP[Unit],SIP[Investor ID],A518,SIP[Date Value],"&lt;="&amp;$Z$3)</f>
        <v>0</v>
      </c>
      <c r="G518" s="49">
        <f>(SUMIFS(LS[Amount],LS[B/S],"B",LS[Investor ID],A518,LS[Date Value],"&lt;="&amp;$Z$3)-SUMIFS(LS[Cost of Units Sold],LS[B/S],"S",LS[Investor ID],A518,LS[Date Value],"&lt;="&amp;$Z$3))+(SUMIFS(SIP[Amount],SIP[B/S],"B",SIP[Investor ID],A518,SIP[Date Value],"&lt;="&amp;$Z$3)-SUMIFS(SIP[Cost of Units Sold],SIP[B/S],"S",SIP[Investor ID],A518,SIP[Date Value],"&lt;="&amp;$Z$3))</f>
        <v>0</v>
      </c>
      <c r="H518" s="49">
        <f t="shared" si="42"/>
        <v>0</v>
      </c>
      <c r="I518" s="49">
        <f t="shared" si="43"/>
        <v>0</v>
      </c>
      <c r="J518" s="47">
        <f>(SUMIFS(LS[Unit],LS[Investor ID],A518,LS[B/S],"B",LS[Date Value],"&gt;="&amp;$Z$2,LS[Date Value],"&lt;="&amp;$Z$3))+(SUMIFS(SIP[Unit],SIP[Investor ID],A518,SIP[B/S],"B",SIP[Date Value],"&gt;="&amp;$Z$2,SIP[Date Value],"&lt;="&amp;$Z$3))</f>
        <v>206880</v>
      </c>
      <c r="K518" s="49">
        <f>(SUMIFS(LS[Amount],LS[Investor ID],A518,LS[B/S],"B",LS[Date Value],"&gt;="&amp;$Z$2,LS[Date Value],"&lt;="&amp;$Z$3))+(SUMIFS(SIP[Amount],SIP[Investor ID],A518,SIP[B/S],"B",SIP[Date Value],"&gt;="&amp;$Z$2,SIP[Date Value],"&lt;="&amp;$Z$3))</f>
        <v>2202426</v>
      </c>
      <c r="L518" s="47">
        <f>(-SUMIFS(LS[Unit],LS[Investor ID],A518,LS[B/S],"S",LS[Date Value],"&gt;="&amp;$Z$2,LS[Date Value],"&lt;="&amp;$Z$3))+(-SUMIFS(SIP[Unit],SIP[Investor ID],A518,SIP[B/S],"S",SIP[Date Value],"&gt;="&amp;$Z$2,SIP[Date Value],"&lt;="&amp;$Z$3))</f>
        <v>206880</v>
      </c>
      <c r="M518" s="49">
        <f>(SUMIFS(LS[Cost of Units Sold],LS[Investor ID],A518,LS[B/S],"S",LS[Date Value],"&gt;="&amp;$Z$2,LS[Date Value],"&lt;="&amp;$Z$3))+(SUMIFS(SIP[Cost of Units Sold],SIP[Investor ID],A518,SIP[B/S],"S",SIP[Date Value],"&gt;="&amp;$Z$2,SIP[Date Value],"&lt;="&amp;$Z$3))</f>
        <v>2202426</v>
      </c>
      <c r="N518" s="49">
        <f t="shared" si="44"/>
        <v>0</v>
      </c>
      <c r="O518" s="49">
        <f>(SUMIFS(LS[Realized Gain],LS[Investor ID],A518,LS[Date Value],"&gt;="&amp;$Z$2,LS[Date Value],"&lt;="&amp;$Z$3))+(SUMIFS(SIP[Realized Gain],SIP[Investor ID],A518,SIP[Date Value],"&gt;="&amp;$Z$2,SIP[Date Value],"&lt;="&amp;$Z$3))</f>
        <v>72035.150000000038</v>
      </c>
      <c r="P518" s="49">
        <v>0</v>
      </c>
      <c r="Q518" s="49">
        <v>0</v>
      </c>
      <c r="R518" s="49">
        <v>0</v>
      </c>
    </row>
    <row r="519" spans="1:18">
      <c r="A519" t="s">
        <v>1083</v>
      </c>
      <c r="B519" s="47">
        <f>SUMIFS(LS[Unit],LS[Investor ID],'TAX CERTIFICATE'!A519,LS[Date Value],"&lt;"&amp;$Z$2)+SUMIFS(SIP[Unit],SIP[Investor ID],'TAX CERTIFICATE'!A519,SIP[Date Value],"&lt;"&amp;$Z$2)</f>
        <v>0</v>
      </c>
      <c r="C519" s="48">
        <f>(SUMIFS(LS[Amount],LS[B/S],"B",LS[Investor ID],A519,LS[Date Value],"&lt;"&amp;$Z$2)-SUMIFS(LS[Cost of Units Sold],LS[B/S],"S",LS[Investor ID],A519,LS[Date Value],"&lt;"&amp;$Z$2))+(SUMIFS(SIP[Amount],SIP[B/S],"B",SIP[Investor ID],#REF!,SIP[Date Value],"&lt;"&amp;$Z$2)-SUMIFS(SIP[Cost of Units Sold],SIP[B/S],"S",SIP[Investor ID],A519,SIP[Date Value],"&lt;"&amp;$Z$2))</f>
        <v>0</v>
      </c>
      <c r="D519" s="49">
        <f t="shared" si="40"/>
        <v>0</v>
      </c>
      <c r="E519" s="49">
        <f t="shared" si="41"/>
        <v>0</v>
      </c>
      <c r="F519" s="47">
        <f>SUMIFS(LS[Unit],LS[Investor ID],A519,LS[Date Value],"&lt;="&amp;$Z$3)+SUMIFS(SIP[Unit],SIP[Investor ID],A519,SIP[Date Value],"&lt;="&amp;$Z$3)</f>
        <v>1551</v>
      </c>
      <c r="G519" s="49">
        <f>(SUMIFS(LS[Amount],LS[B/S],"B",LS[Investor ID],A519,LS[Date Value],"&lt;="&amp;$Z$3)-SUMIFS(LS[Cost of Units Sold],LS[B/S],"S",LS[Investor ID],A519,LS[Date Value],"&lt;="&amp;$Z$3))+(SUMIFS(SIP[Amount],SIP[B/S],"B",SIP[Investor ID],A519,SIP[Date Value],"&lt;="&amp;$Z$3)-SUMIFS(SIP[Cost of Units Sold],SIP[B/S],"S",SIP[Investor ID],A519,SIP[Date Value],"&lt;="&amp;$Z$3))</f>
        <v>16500</v>
      </c>
      <c r="H519" s="49">
        <f t="shared" si="42"/>
        <v>17315.363999999998</v>
      </c>
      <c r="I519" s="49">
        <f t="shared" si="43"/>
        <v>815.36399999999776</v>
      </c>
      <c r="J519" s="47">
        <f>(SUMIFS(LS[Unit],LS[Investor ID],A519,LS[B/S],"B",LS[Date Value],"&gt;="&amp;$Z$2,LS[Date Value],"&lt;="&amp;$Z$3))+(SUMIFS(SIP[Unit],SIP[Investor ID],A519,SIP[B/S],"B",SIP[Date Value],"&gt;="&amp;$Z$2,SIP[Date Value],"&lt;="&amp;$Z$3))</f>
        <v>1551</v>
      </c>
      <c r="K519" s="49">
        <f>(SUMIFS(LS[Amount],LS[Investor ID],A519,LS[B/S],"B",LS[Date Value],"&gt;="&amp;$Z$2,LS[Date Value],"&lt;="&amp;$Z$3))+(SUMIFS(SIP[Amount],SIP[Investor ID],A519,SIP[B/S],"B",SIP[Date Value],"&gt;="&amp;$Z$2,SIP[Date Value],"&lt;="&amp;$Z$3))</f>
        <v>16500</v>
      </c>
      <c r="L519" s="47">
        <f>(-SUMIFS(LS[Unit],LS[Investor ID],A519,LS[B/S],"S",LS[Date Value],"&gt;="&amp;$Z$2,LS[Date Value],"&lt;="&amp;$Z$3))+(-SUMIFS(SIP[Unit],SIP[Investor ID],A519,SIP[B/S],"S",SIP[Date Value],"&gt;="&amp;$Z$2,SIP[Date Value],"&lt;="&amp;$Z$3))</f>
        <v>0</v>
      </c>
      <c r="M519" s="49">
        <f>(SUMIFS(LS[Cost of Units Sold],LS[Investor ID],A519,LS[B/S],"S",LS[Date Value],"&gt;="&amp;$Z$2,LS[Date Value],"&lt;="&amp;$Z$3))+(SUMIFS(SIP[Cost of Units Sold],SIP[Investor ID],A519,SIP[B/S],"S",SIP[Date Value],"&gt;="&amp;$Z$2,SIP[Date Value],"&lt;="&amp;$Z$3))</f>
        <v>0</v>
      </c>
      <c r="N519" s="49">
        <f t="shared" si="44"/>
        <v>16500</v>
      </c>
      <c r="O519" s="49">
        <f>(SUMIFS(LS[Realized Gain],LS[Investor ID],A519,LS[Date Value],"&gt;="&amp;$Z$2,LS[Date Value],"&lt;="&amp;$Z$3))+(SUMIFS(SIP[Realized Gain],SIP[Investor ID],A519,SIP[Date Value],"&gt;="&amp;$Z$2,SIP[Date Value],"&lt;="&amp;$Z$3))</f>
        <v>0</v>
      </c>
      <c r="P519" s="49">
        <v>0</v>
      </c>
      <c r="Q519" s="49">
        <v>0</v>
      </c>
      <c r="R519" s="49">
        <v>0</v>
      </c>
    </row>
    <row r="520" spans="1:18">
      <c r="A520" t="s">
        <v>1085</v>
      </c>
      <c r="B520" s="47">
        <f>SUMIFS(LS[Unit],LS[Investor ID],'TAX CERTIFICATE'!A520,LS[Date Value],"&lt;"&amp;$Z$2)+SUMIFS(SIP[Unit],SIP[Investor ID],'TAX CERTIFICATE'!A520,SIP[Date Value],"&lt;"&amp;$Z$2)</f>
        <v>0</v>
      </c>
      <c r="C520" s="48">
        <f>(SUMIFS(LS[Amount],LS[B/S],"B",LS[Investor ID],A520,LS[Date Value],"&lt;"&amp;$Z$2)-SUMIFS(LS[Cost of Units Sold],LS[B/S],"S",LS[Investor ID],A520,LS[Date Value],"&lt;"&amp;$Z$2))+(SUMIFS(SIP[Amount],SIP[B/S],"B",SIP[Investor ID],#REF!,SIP[Date Value],"&lt;"&amp;$Z$2)-SUMIFS(SIP[Cost of Units Sold],SIP[B/S],"S",SIP[Investor ID],A520,SIP[Date Value],"&lt;"&amp;$Z$2))</f>
        <v>0</v>
      </c>
      <c r="D520" s="49">
        <f t="shared" si="40"/>
        <v>0</v>
      </c>
      <c r="E520" s="49">
        <f t="shared" si="41"/>
        <v>0</v>
      </c>
      <c r="F520" s="47">
        <f>SUMIFS(LS[Unit],LS[Investor ID],A520,LS[Date Value],"&lt;="&amp;$Z$3)+SUMIFS(SIP[Unit],SIP[Investor ID],A520,SIP[Date Value],"&lt;="&amp;$Z$3)</f>
        <v>281426</v>
      </c>
      <c r="G520" s="49">
        <f>(SUMIFS(LS[Amount],LS[B/S],"B",LS[Investor ID],A520,LS[Date Value],"&lt;="&amp;$Z$3)-SUMIFS(LS[Cost of Units Sold],LS[B/S],"S",LS[Investor ID],A520,LS[Date Value],"&lt;="&amp;$Z$3))+(SUMIFS(SIP[Amount],SIP[B/S],"B",SIP[Investor ID],A520,SIP[Date Value],"&lt;="&amp;$Z$3)-SUMIFS(SIP[Cost of Units Sold],SIP[B/S],"S",SIP[Investor ID],A520,SIP[Date Value],"&lt;="&amp;$Z$3))</f>
        <v>3000000</v>
      </c>
      <c r="H520" s="49">
        <f t="shared" si="42"/>
        <v>3141839.8640000001</v>
      </c>
      <c r="I520" s="49">
        <f t="shared" si="43"/>
        <v>141839.86400000006</v>
      </c>
      <c r="J520" s="47">
        <f>(SUMIFS(LS[Unit],LS[Investor ID],A520,LS[B/S],"B",LS[Date Value],"&gt;="&amp;$Z$2,LS[Date Value],"&lt;="&amp;$Z$3))+(SUMIFS(SIP[Unit],SIP[Investor ID],A520,SIP[B/S],"B",SIP[Date Value],"&gt;="&amp;$Z$2,SIP[Date Value],"&lt;="&amp;$Z$3))</f>
        <v>281426</v>
      </c>
      <c r="K520" s="49">
        <f>(SUMIFS(LS[Amount],LS[Investor ID],A520,LS[B/S],"B",LS[Date Value],"&gt;="&amp;$Z$2,LS[Date Value],"&lt;="&amp;$Z$3))+(SUMIFS(SIP[Amount],SIP[Investor ID],A520,SIP[B/S],"B",SIP[Date Value],"&gt;="&amp;$Z$2,SIP[Date Value],"&lt;="&amp;$Z$3))</f>
        <v>3000000</v>
      </c>
      <c r="L520" s="47">
        <f>(-SUMIFS(LS[Unit],LS[Investor ID],A520,LS[B/S],"S",LS[Date Value],"&gt;="&amp;$Z$2,LS[Date Value],"&lt;="&amp;$Z$3))+(-SUMIFS(SIP[Unit],SIP[Investor ID],A520,SIP[B/S],"S",SIP[Date Value],"&gt;="&amp;$Z$2,SIP[Date Value],"&lt;="&amp;$Z$3))</f>
        <v>0</v>
      </c>
      <c r="M520" s="49">
        <f>(SUMIFS(LS[Cost of Units Sold],LS[Investor ID],A520,LS[B/S],"S",LS[Date Value],"&gt;="&amp;$Z$2,LS[Date Value],"&lt;="&amp;$Z$3))+(SUMIFS(SIP[Cost of Units Sold],SIP[Investor ID],A520,SIP[B/S],"S",SIP[Date Value],"&gt;="&amp;$Z$2,SIP[Date Value],"&lt;="&amp;$Z$3))</f>
        <v>0</v>
      </c>
      <c r="N520" s="49">
        <f t="shared" si="44"/>
        <v>3000000</v>
      </c>
      <c r="O520" s="49">
        <f>(SUMIFS(LS[Realized Gain],LS[Investor ID],A520,LS[Date Value],"&gt;="&amp;$Z$2,LS[Date Value],"&lt;="&amp;$Z$3))+(SUMIFS(SIP[Realized Gain],SIP[Investor ID],A520,SIP[Date Value],"&gt;="&amp;$Z$2,SIP[Date Value],"&lt;="&amp;$Z$3))</f>
        <v>0</v>
      </c>
      <c r="P520" s="49">
        <v>0</v>
      </c>
      <c r="Q520" s="49">
        <v>0</v>
      </c>
      <c r="R520" s="49">
        <v>0</v>
      </c>
    </row>
    <row r="521" spans="1:18">
      <c r="A521" t="s">
        <v>1087</v>
      </c>
      <c r="B521" s="47">
        <f>SUMIFS(LS[Unit],LS[Investor ID],'TAX CERTIFICATE'!A521,LS[Date Value],"&lt;"&amp;$Z$2)+SUMIFS(SIP[Unit],SIP[Investor ID],'TAX CERTIFICATE'!A521,SIP[Date Value],"&lt;"&amp;$Z$2)</f>
        <v>0</v>
      </c>
      <c r="C521" s="48">
        <f>(SUMIFS(LS[Amount],LS[B/S],"B",LS[Investor ID],A521,LS[Date Value],"&lt;"&amp;$Z$2)-SUMIFS(LS[Cost of Units Sold],LS[B/S],"S",LS[Investor ID],A521,LS[Date Value],"&lt;"&amp;$Z$2))+(SUMIFS(SIP[Amount],SIP[B/S],"B",SIP[Investor ID],#REF!,SIP[Date Value],"&lt;"&amp;$Z$2)-SUMIFS(SIP[Cost of Units Sold],SIP[B/S],"S",SIP[Investor ID],A521,SIP[Date Value],"&lt;"&amp;$Z$2))</f>
        <v>0</v>
      </c>
      <c r="D521" s="49">
        <f t="shared" si="40"/>
        <v>0</v>
      </c>
      <c r="E521" s="49">
        <f t="shared" si="41"/>
        <v>0</v>
      </c>
      <c r="F521" s="47">
        <f>SUMIFS(LS[Unit],LS[Investor ID],A521,LS[Date Value],"&lt;="&amp;$Z$3)+SUMIFS(SIP[Unit],SIP[Investor ID],A521,SIP[Date Value],"&lt;="&amp;$Z$3)</f>
        <v>44983</v>
      </c>
      <c r="G521" s="49">
        <f>(SUMIFS(LS[Amount],LS[B/S],"B",LS[Investor ID],A521,LS[Date Value],"&lt;="&amp;$Z$3)-SUMIFS(LS[Cost of Units Sold],LS[B/S],"S",LS[Investor ID],A521,LS[Date Value],"&lt;="&amp;$Z$3))+(SUMIFS(SIP[Amount],SIP[B/S],"B",SIP[Investor ID],A521,SIP[Date Value],"&lt;="&amp;$Z$3)-SUMIFS(SIP[Cost of Units Sold],SIP[B/S],"S",SIP[Investor ID],A521,SIP[Date Value],"&lt;="&amp;$Z$3))</f>
        <v>498500</v>
      </c>
      <c r="H521" s="49">
        <f t="shared" si="42"/>
        <v>502190.212</v>
      </c>
      <c r="I521" s="49">
        <f t="shared" si="43"/>
        <v>3690.2119999999995</v>
      </c>
      <c r="J521" s="47">
        <f>(SUMIFS(LS[Unit],LS[Investor ID],A521,LS[B/S],"B",LS[Date Value],"&gt;="&amp;$Z$2,LS[Date Value],"&lt;="&amp;$Z$3))+(SUMIFS(SIP[Unit],SIP[Investor ID],A521,SIP[B/S],"B",SIP[Date Value],"&gt;="&amp;$Z$2,SIP[Date Value],"&lt;="&amp;$Z$3))</f>
        <v>91887</v>
      </c>
      <c r="K521" s="49">
        <f>(SUMIFS(LS[Amount],LS[Investor ID],A521,LS[B/S],"B",LS[Date Value],"&gt;="&amp;$Z$2,LS[Date Value],"&lt;="&amp;$Z$3))+(SUMIFS(SIP[Amount],SIP[Investor ID],A521,SIP[B/S],"B",SIP[Date Value],"&gt;="&amp;$Z$2,SIP[Date Value],"&lt;="&amp;$Z$3))</f>
        <v>998500</v>
      </c>
      <c r="L521" s="47">
        <f>(-SUMIFS(LS[Unit],LS[Investor ID],A521,LS[B/S],"S",LS[Date Value],"&gt;="&amp;$Z$2,LS[Date Value],"&lt;="&amp;$Z$3))+(-SUMIFS(SIP[Unit],SIP[Investor ID],A521,SIP[B/S],"S",SIP[Date Value],"&gt;="&amp;$Z$2,SIP[Date Value],"&lt;="&amp;$Z$3))</f>
        <v>46904</v>
      </c>
      <c r="M521" s="49">
        <f>(SUMIFS(LS[Cost of Units Sold],LS[Investor ID],A521,LS[B/S],"S",LS[Date Value],"&gt;="&amp;$Z$2,LS[Date Value],"&lt;="&amp;$Z$3))+(SUMIFS(SIP[Cost of Units Sold],SIP[Investor ID],A521,SIP[B/S],"S",SIP[Date Value],"&gt;="&amp;$Z$2,SIP[Date Value],"&lt;="&amp;$Z$3))</f>
        <v>500000</v>
      </c>
      <c r="N521" s="49">
        <f t="shared" si="44"/>
        <v>498500</v>
      </c>
      <c r="O521" s="49">
        <f>(SUMIFS(LS[Realized Gain],LS[Investor ID],A521,LS[Date Value],"&gt;="&amp;$Z$2,LS[Date Value],"&lt;="&amp;$Z$3))+(SUMIFS(SIP[Realized Gain],SIP[Investor ID],A521,SIP[Date Value],"&gt;="&amp;$Z$2,SIP[Date Value],"&lt;="&amp;$Z$3))</f>
        <v>15521.859999999931</v>
      </c>
      <c r="P521" s="49">
        <v>0</v>
      </c>
      <c r="Q521" s="49">
        <v>0</v>
      </c>
      <c r="R521" s="49">
        <v>0</v>
      </c>
    </row>
    <row r="522" spans="1:18">
      <c r="A522" t="s">
        <v>1089</v>
      </c>
      <c r="B522" s="47">
        <f>SUMIFS(LS[Unit],LS[Investor ID],'TAX CERTIFICATE'!A522,LS[Date Value],"&lt;"&amp;$Z$2)+SUMIFS(SIP[Unit],SIP[Investor ID],'TAX CERTIFICATE'!A522,SIP[Date Value],"&lt;"&amp;$Z$2)</f>
        <v>0</v>
      </c>
      <c r="C522" s="48">
        <f>(SUMIFS(LS[Amount],LS[B/S],"B",LS[Investor ID],A522,LS[Date Value],"&lt;"&amp;$Z$2)-SUMIFS(LS[Cost of Units Sold],LS[B/S],"S",LS[Investor ID],A522,LS[Date Value],"&lt;"&amp;$Z$2))+(SUMIFS(SIP[Amount],SIP[B/S],"B",SIP[Investor ID],#REF!,SIP[Date Value],"&lt;"&amp;$Z$2)-SUMIFS(SIP[Cost of Units Sold],SIP[B/S],"S",SIP[Investor ID],A522,SIP[Date Value],"&lt;"&amp;$Z$2))</f>
        <v>0</v>
      </c>
      <c r="D522" s="49">
        <f t="shared" si="40"/>
        <v>0</v>
      </c>
      <c r="E522" s="49">
        <f t="shared" si="41"/>
        <v>0</v>
      </c>
      <c r="F522" s="47">
        <f>SUMIFS(LS[Unit],LS[Investor ID],A522,LS[Date Value],"&lt;="&amp;$Z$3)+SUMIFS(SIP[Unit],SIP[Investor ID],A522,SIP[Date Value],"&lt;="&amp;$Z$3)</f>
        <v>0</v>
      </c>
      <c r="G522" s="49">
        <f>(SUMIFS(LS[Amount],LS[B/S],"B",LS[Investor ID],A522,LS[Date Value],"&lt;="&amp;$Z$3)-SUMIFS(LS[Cost of Units Sold],LS[B/S],"S",LS[Investor ID],A522,LS[Date Value],"&lt;="&amp;$Z$3))+(SUMIFS(SIP[Amount],SIP[B/S],"B",SIP[Investor ID],A522,SIP[Date Value],"&lt;="&amp;$Z$3)-SUMIFS(SIP[Cost of Units Sold],SIP[B/S],"S",SIP[Investor ID],A522,SIP[Date Value],"&lt;="&amp;$Z$3))</f>
        <v>0</v>
      </c>
      <c r="H522" s="49">
        <f t="shared" si="42"/>
        <v>0</v>
      </c>
      <c r="I522" s="49">
        <f t="shared" si="43"/>
        <v>0</v>
      </c>
      <c r="J522" s="47">
        <f>(SUMIFS(LS[Unit],LS[Investor ID],A522,LS[B/S],"B",LS[Date Value],"&gt;="&amp;$Z$2,LS[Date Value],"&lt;="&amp;$Z$3))+(SUMIFS(SIP[Unit],SIP[Investor ID],A522,SIP[B/S],"B",SIP[Date Value],"&gt;="&amp;$Z$2,SIP[Date Value],"&lt;="&amp;$Z$3))</f>
        <v>0</v>
      </c>
      <c r="K522" s="49">
        <f>(SUMIFS(LS[Amount],LS[Investor ID],A522,LS[B/S],"B",LS[Date Value],"&gt;="&amp;$Z$2,LS[Date Value],"&lt;="&amp;$Z$3))+(SUMIFS(SIP[Amount],SIP[Investor ID],A522,SIP[B/S],"B",SIP[Date Value],"&gt;="&amp;$Z$2,SIP[Date Value],"&lt;="&amp;$Z$3))</f>
        <v>0</v>
      </c>
      <c r="L522" s="47">
        <f>(-SUMIFS(LS[Unit],LS[Investor ID],A522,LS[B/S],"S",LS[Date Value],"&gt;="&amp;$Z$2,LS[Date Value],"&lt;="&amp;$Z$3))+(-SUMIFS(SIP[Unit],SIP[Investor ID],A522,SIP[B/S],"S",SIP[Date Value],"&gt;="&amp;$Z$2,SIP[Date Value],"&lt;="&amp;$Z$3))</f>
        <v>0</v>
      </c>
      <c r="M522" s="49">
        <f>(SUMIFS(LS[Cost of Units Sold],LS[Investor ID],A522,LS[B/S],"S",LS[Date Value],"&gt;="&amp;$Z$2,LS[Date Value],"&lt;="&amp;$Z$3))+(SUMIFS(SIP[Cost of Units Sold],SIP[Investor ID],A522,SIP[B/S],"S",SIP[Date Value],"&gt;="&amp;$Z$2,SIP[Date Value],"&lt;="&amp;$Z$3))</f>
        <v>0</v>
      </c>
      <c r="N522" s="49">
        <f t="shared" si="44"/>
        <v>0</v>
      </c>
      <c r="O522" s="49">
        <f>(SUMIFS(LS[Realized Gain],LS[Investor ID],A522,LS[Date Value],"&gt;="&amp;$Z$2,LS[Date Value],"&lt;="&amp;$Z$3))+(SUMIFS(SIP[Realized Gain],SIP[Investor ID],A522,SIP[Date Value],"&gt;="&amp;$Z$2,SIP[Date Value],"&lt;="&amp;$Z$3))</f>
        <v>0</v>
      </c>
      <c r="P522" s="49">
        <v>0</v>
      </c>
      <c r="Q522" s="49">
        <v>0</v>
      </c>
      <c r="R522" s="49">
        <v>0</v>
      </c>
    </row>
    <row r="523" spans="1:18">
      <c r="A523" t="s">
        <v>1091</v>
      </c>
      <c r="B523" s="47">
        <f>SUMIFS(LS[Unit],LS[Investor ID],'TAX CERTIFICATE'!A523,LS[Date Value],"&lt;"&amp;$Z$2)+SUMIFS(SIP[Unit],SIP[Investor ID],'TAX CERTIFICATE'!A523,SIP[Date Value],"&lt;"&amp;$Z$2)</f>
        <v>0</v>
      </c>
      <c r="C523" s="48">
        <f>(SUMIFS(LS[Amount],LS[B/S],"B",LS[Investor ID],A523,LS[Date Value],"&lt;"&amp;$Z$2)-SUMIFS(LS[Cost of Units Sold],LS[B/S],"S",LS[Investor ID],A523,LS[Date Value],"&lt;"&amp;$Z$2))+(SUMIFS(SIP[Amount],SIP[B/S],"B",SIP[Investor ID],#REF!,SIP[Date Value],"&lt;"&amp;$Z$2)-SUMIFS(SIP[Cost of Units Sold],SIP[B/S],"S",SIP[Investor ID],A523,SIP[Date Value],"&lt;"&amp;$Z$2))</f>
        <v>0</v>
      </c>
      <c r="D523" s="49">
        <f t="shared" si="40"/>
        <v>0</v>
      </c>
      <c r="E523" s="49">
        <f t="shared" si="41"/>
        <v>0</v>
      </c>
      <c r="F523" s="47">
        <f>SUMIFS(LS[Unit],LS[Investor ID],A523,LS[Date Value],"&lt;="&amp;$Z$3)+SUMIFS(SIP[Unit],SIP[Investor ID],A523,SIP[Date Value],"&lt;="&amp;$Z$3)</f>
        <v>380160</v>
      </c>
      <c r="G523" s="49">
        <f>(SUMIFS(LS[Amount],LS[B/S],"B",LS[Investor ID],A523,LS[Date Value],"&lt;="&amp;$Z$3)-SUMIFS(LS[Cost of Units Sold],LS[B/S],"S",LS[Investor ID],A523,LS[Date Value],"&lt;="&amp;$Z$3))+(SUMIFS(SIP[Amount],SIP[B/S],"B",SIP[Investor ID],A523,SIP[Date Value],"&lt;="&amp;$Z$3)-SUMIFS(SIP[Cost of Units Sold],SIP[B/S],"S",SIP[Investor ID],A523,SIP[Date Value],"&lt;="&amp;$Z$3))</f>
        <v>4052508.1472908356</v>
      </c>
      <c r="H523" s="49">
        <f t="shared" si="42"/>
        <v>4244106.24</v>
      </c>
      <c r="I523" s="49">
        <f t="shared" si="43"/>
        <v>191598.0927091646</v>
      </c>
      <c r="J523" s="47">
        <f>(SUMIFS(LS[Unit],LS[Investor ID],A523,LS[B/S],"B",LS[Date Value],"&gt;="&amp;$Z$2,LS[Date Value],"&lt;="&amp;$Z$3))+(SUMIFS(SIP[Unit],SIP[Investor ID],A523,SIP[B/S],"B",SIP[Date Value],"&gt;="&amp;$Z$2,SIP[Date Value],"&lt;="&amp;$Z$3))</f>
        <v>656660</v>
      </c>
      <c r="K523" s="49">
        <f>(SUMIFS(LS[Amount],LS[Investor ID],A523,LS[B/S],"B",LS[Date Value],"&gt;="&amp;$Z$2,LS[Date Value],"&lt;="&amp;$Z$3))+(SUMIFS(SIP[Amount],SIP[Investor ID],A523,SIP[B/S],"B",SIP[Date Value],"&gt;="&amp;$Z$2,SIP[Date Value],"&lt;="&amp;$Z$3))</f>
        <v>7000000</v>
      </c>
      <c r="L523" s="47">
        <f>(-SUMIFS(LS[Unit],LS[Investor ID],A523,LS[B/S],"S",LS[Date Value],"&gt;="&amp;$Z$2,LS[Date Value],"&lt;="&amp;$Z$3))+(-SUMIFS(SIP[Unit],SIP[Investor ID],A523,SIP[B/S],"S",SIP[Date Value],"&gt;="&amp;$Z$2,SIP[Date Value],"&lt;="&amp;$Z$3))</f>
        <v>276500</v>
      </c>
      <c r="M523" s="49">
        <f>(SUMIFS(LS[Cost of Units Sold],LS[Investor ID],A523,LS[B/S],"S",LS[Date Value],"&gt;="&amp;$Z$2,LS[Date Value],"&lt;="&amp;$Z$3))+(SUMIFS(SIP[Cost of Units Sold],SIP[Investor ID],A523,SIP[B/S],"S",SIP[Date Value],"&gt;="&amp;$Z$2,SIP[Date Value],"&lt;="&amp;$Z$3))</f>
        <v>2947491.8527091644</v>
      </c>
      <c r="N523" s="49">
        <f t="shared" si="44"/>
        <v>4052508.1472908356</v>
      </c>
      <c r="O523" s="49">
        <f>(SUMIFS(LS[Realized Gain],LS[Investor ID],A523,LS[Date Value],"&gt;="&amp;$Z$2,LS[Date Value],"&lt;="&amp;$Z$3))+(SUMIFS(SIP[Realized Gain],SIP[Investor ID],A523,SIP[Date Value],"&gt;="&amp;$Z$2,SIP[Date Value],"&lt;="&amp;$Z$3))</f>
        <v>56127.647290835586</v>
      </c>
      <c r="P523" s="49">
        <v>0</v>
      </c>
      <c r="Q523" s="49">
        <v>0</v>
      </c>
      <c r="R523" s="49">
        <v>0</v>
      </c>
    </row>
    <row r="524" spans="1:18">
      <c r="A524" t="s">
        <v>1093</v>
      </c>
      <c r="B524" s="47">
        <f>SUMIFS(LS[Unit],LS[Investor ID],'TAX CERTIFICATE'!A524,LS[Date Value],"&lt;"&amp;$Z$2)+SUMIFS(SIP[Unit],SIP[Investor ID],'TAX CERTIFICATE'!A524,SIP[Date Value],"&lt;"&amp;$Z$2)</f>
        <v>0</v>
      </c>
      <c r="C524" s="48">
        <f>(SUMIFS(LS[Amount],LS[B/S],"B",LS[Investor ID],A524,LS[Date Value],"&lt;"&amp;$Z$2)-SUMIFS(LS[Cost of Units Sold],LS[B/S],"S",LS[Investor ID],A524,LS[Date Value],"&lt;"&amp;$Z$2))+(SUMIFS(SIP[Amount],SIP[B/S],"B",SIP[Investor ID],#REF!,SIP[Date Value],"&lt;"&amp;$Z$2)-SUMIFS(SIP[Cost of Units Sold],SIP[B/S],"S",SIP[Investor ID],A524,SIP[Date Value],"&lt;"&amp;$Z$2))</f>
        <v>0</v>
      </c>
      <c r="D524" s="49">
        <f t="shared" si="40"/>
        <v>0</v>
      </c>
      <c r="E524" s="49">
        <f t="shared" si="41"/>
        <v>0</v>
      </c>
      <c r="F524" s="47">
        <f>SUMIFS(LS[Unit],LS[Investor ID],A524,LS[Date Value],"&lt;="&amp;$Z$3)+SUMIFS(SIP[Unit],SIP[Investor ID],A524,SIP[Date Value],"&lt;="&amp;$Z$3)</f>
        <v>473969</v>
      </c>
      <c r="G524" s="49">
        <f>(SUMIFS(LS[Amount],LS[B/S],"B",LS[Investor ID],A524,LS[Date Value],"&lt;="&amp;$Z$3)-SUMIFS(LS[Cost of Units Sold],LS[B/S],"S",LS[Investor ID],A524,LS[Date Value],"&lt;="&amp;$Z$3))+(SUMIFS(SIP[Amount],SIP[B/S],"B",SIP[Investor ID],A524,SIP[Date Value],"&lt;="&amp;$Z$3)-SUMIFS(SIP[Cost of Units Sold],SIP[B/S],"S",SIP[Investor ID],A524,SIP[Date Value],"&lt;="&amp;$Z$3))</f>
        <v>5052509.8305193149</v>
      </c>
      <c r="H524" s="49">
        <f t="shared" si="42"/>
        <v>5291389.9160000002</v>
      </c>
      <c r="I524" s="49">
        <f t="shared" si="43"/>
        <v>238880.08548068535</v>
      </c>
      <c r="J524" s="47">
        <f>(SUMIFS(LS[Unit],LS[Investor ID],A524,LS[B/S],"B",LS[Date Value],"&gt;="&amp;$Z$2,LS[Date Value],"&lt;="&amp;$Z$3))+(SUMIFS(SIP[Unit],SIP[Investor ID],A524,SIP[B/S],"B",SIP[Date Value],"&gt;="&amp;$Z$2,SIP[Date Value],"&lt;="&amp;$Z$3))</f>
        <v>750469</v>
      </c>
      <c r="K524" s="49">
        <f>(SUMIFS(LS[Amount],LS[Investor ID],A524,LS[B/S],"B",LS[Date Value],"&gt;="&amp;$Z$2,LS[Date Value],"&lt;="&amp;$Z$3))+(SUMIFS(SIP[Amount],SIP[Investor ID],A524,SIP[B/S],"B",SIP[Date Value],"&gt;="&amp;$Z$2,SIP[Date Value],"&lt;="&amp;$Z$3))</f>
        <v>8000000</v>
      </c>
      <c r="L524" s="47">
        <f>(-SUMIFS(LS[Unit],LS[Investor ID],A524,LS[B/S],"S",LS[Date Value],"&gt;="&amp;$Z$2,LS[Date Value],"&lt;="&amp;$Z$3))+(-SUMIFS(SIP[Unit],SIP[Investor ID],A524,SIP[B/S],"S",SIP[Date Value],"&gt;="&amp;$Z$2,SIP[Date Value],"&lt;="&amp;$Z$3))</f>
        <v>276500</v>
      </c>
      <c r="M524" s="49">
        <f>(SUMIFS(LS[Cost of Units Sold],LS[Investor ID],A524,LS[B/S],"S",LS[Date Value],"&gt;="&amp;$Z$2,LS[Date Value],"&lt;="&amp;$Z$3))+(SUMIFS(SIP[Cost of Units Sold],SIP[Investor ID],A524,SIP[B/S],"S",SIP[Date Value],"&gt;="&amp;$Z$2,SIP[Date Value],"&lt;="&amp;$Z$3))</f>
        <v>2947490.1694806847</v>
      </c>
      <c r="N524" s="49">
        <f t="shared" si="44"/>
        <v>5052509.8305193149</v>
      </c>
      <c r="O524" s="49">
        <f>(SUMIFS(LS[Realized Gain],LS[Investor ID],A524,LS[Date Value],"&gt;="&amp;$Z$2,LS[Date Value],"&lt;="&amp;$Z$3))+(SUMIFS(SIP[Realized Gain],SIP[Investor ID],A524,SIP[Date Value],"&gt;="&amp;$Z$2,SIP[Date Value],"&lt;="&amp;$Z$3))</f>
        <v>56129.330519314986</v>
      </c>
      <c r="P524" s="49">
        <v>0</v>
      </c>
      <c r="Q524" s="49">
        <v>0</v>
      </c>
      <c r="R524" s="49">
        <v>0</v>
      </c>
    </row>
    <row r="525" spans="1:18">
      <c r="A525" t="s">
        <v>1095</v>
      </c>
      <c r="B525" s="47">
        <f>SUMIFS(LS[Unit],LS[Investor ID],'TAX CERTIFICATE'!A525,LS[Date Value],"&lt;"&amp;$Z$2)+SUMIFS(SIP[Unit],SIP[Investor ID],'TAX CERTIFICATE'!A525,SIP[Date Value],"&lt;"&amp;$Z$2)</f>
        <v>0</v>
      </c>
      <c r="C525" s="48">
        <f>(SUMIFS(LS[Amount],LS[B/S],"B",LS[Investor ID],A525,LS[Date Value],"&lt;"&amp;$Z$2)-SUMIFS(LS[Cost of Units Sold],LS[B/S],"S",LS[Investor ID],A525,LS[Date Value],"&lt;"&amp;$Z$2))+(SUMIFS(SIP[Amount],SIP[B/S],"B",SIP[Investor ID],#REF!,SIP[Date Value],"&lt;"&amp;$Z$2)-SUMIFS(SIP[Cost of Units Sold],SIP[B/S],"S",SIP[Investor ID],A525,SIP[Date Value],"&lt;"&amp;$Z$2))</f>
        <v>0</v>
      </c>
      <c r="D525" s="49">
        <f t="shared" si="40"/>
        <v>0</v>
      </c>
      <c r="E525" s="49">
        <f t="shared" si="41"/>
        <v>0</v>
      </c>
      <c r="F525" s="47">
        <f>SUMIFS(LS[Unit],LS[Investor ID],A525,LS[Date Value],"&lt;="&amp;$Z$3)+SUMIFS(SIP[Unit],SIP[Investor ID],A525,SIP[Date Value],"&lt;="&amp;$Z$3)</f>
        <v>427065</v>
      </c>
      <c r="G525" s="49">
        <f>(SUMIFS(LS[Amount],LS[B/S],"B",LS[Investor ID],A525,LS[Date Value],"&lt;="&amp;$Z$3)-SUMIFS(LS[Cost of Units Sold],LS[B/S],"S",LS[Investor ID],A525,LS[Date Value],"&lt;="&amp;$Z$3))+(SUMIFS(SIP[Amount],SIP[B/S],"B",SIP[Investor ID],A525,SIP[Date Value],"&lt;="&amp;$Z$3)-SUMIFS(SIP[Cost of Units Sold],SIP[B/S],"S",SIP[Investor ID],A525,SIP[Date Value],"&lt;="&amp;$Z$3))</f>
        <v>4552511.1396956928</v>
      </c>
      <c r="H525" s="49">
        <f t="shared" si="42"/>
        <v>4767753.66</v>
      </c>
      <c r="I525" s="49">
        <f t="shared" si="43"/>
        <v>215242.52030430734</v>
      </c>
      <c r="J525" s="47">
        <f>(SUMIFS(LS[Unit],LS[Investor ID],A525,LS[B/S],"B",LS[Date Value],"&gt;="&amp;$Z$2,LS[Date Value],"&lt;="&amp;$Z$3))+(SUMIFS(SIP[Unit],SIP[Investor ID],A525,SIP[B/S],"B",SIP[Date Value],"&gt;="&amp;$Z$2,SIP[Date Value],"&lt;="&amp;$Z$3))</f>
        <v>703565</v>
      </c>
      <c r="K525" s="49">
        <f>(SUMIFS(LS[Amount],LS[Investor ID],A525,LS[B/S],"B",LS[Date Value],"&gt;="&amp;$Z$2,LS[Date Value],"&lt;="&amp;$Z$3))+(SUMIFS(SIP[Amount],SIP[Investor ID],A525,SIP[B/S],"B",SIP[Date Value],"&gt;="&amp;$Z$2,SIP[Date Value],"&lt;="&amp;$Z$3))</f>
        <v>7500000</v>
      </c>
      <c r="L525" s="47">
        <f>(-SUMIFS(LS[Unit],LS[Investor ID],A525,LS[B/S],"S",LS[Date Value],"&gt;="&amp;$Z$2,LS[Date Value],"&lt;="&amp;$Z$3))+(-SUMIFS(SIP[Unit],SIP[Investor ID],A525,SIP[B/S],"S",SIP[Date Value],"&gt;="&amp;$Z$2,SIP[Date Value],"&lt;="&amp;$Z$3))</f>
        <v>276500</v>
      </c>
      <c r="M525" s="49">
        <f>(SUMIFS(LS[Cost of Units Sold],LS[Investor ID],A525,LS[B/S],"S",LS[Date Value],"&gt;="&amp;$Z$2,LS[Date Value],"&lt;="&amp;$Z$3))+(SUMIFS(SIP[Cost of Units Sold],SIP[Investor ID],A525,SIP[B/S],"S",SIP[Date Value],"&gt;="&amp;$Z$2,SIP[Date Value],"&lt;="&amp;$Z$3))</f>
        <v>2947488.8603043072</v>
      </c>
      <c r="N525" s="49">
        <f t="shared" si="44"/>
        <v>4552511.1396956928</v>
      </c>
      <c r="O525" s="49">
        <f>(SUMIFS(LS[Realized Gain],LS[Investor ID],A525,LS[Date Value],"&gt;="&amp;$Z$2,LS[Date Value],"&lt;="&amp;$Z$3))+(SUMIFS(SIP[Realized Gain],SIP[Investor ID],A525,SIP[Date Value],"&gt;="&amp;$Z$2,SIP[Date Value],"&lt;="&amp;$Z$3))</f>
        <v>56130.639695692589</v>
      </c>
      <c r="P525" s="49">
        <v>0</v>
      </c>
      <c r="Q525" s="49">
        <v>0</v>
      </c>
      <c r="R525" s="49">
        <v>0</v>
      </c>
    </row>
    <row r="526" spans="1:18">
      <c r="A526" t="s">
        <v>1097</v>
      </c>
      <c r="B526" s="47">
        <f>SUMIFS(LS[Unit],LS[Investor ID],'TAX CERTIFICATE'!A526,LS[Date Value],"&lt;"&amp;$Z$2)+SUMIFS(SIP[Unit],SIP[Investor ID],'TAX CERTIFICATE'!A526,SIP[Date Value],"&lt;"&amp;$Z$2)</f>
        <v>0</v>
      </c>
      <c r="C526" s="48">
        <f>(SUMIFS(LS[Amount],LS[B/S],"B",LS[Investor ID],A526,LS[Date Value],"&lt;"&amp;$Z$2)-SUMIFS(LS[Cost of Units Sold],LS[B/S],"S",LS[Investor ID],A526,LS[Date Value],"&lt;"&amp;$Z$2))+(SUMIFS(SIP[Amount],SIP[B/S],"B",SIP[Investor ID],#REF!,SIP[Date Value],"&lt;"&amp;$Z$2)-SUMIFS(SIP[Cost of Units Sold],SIP[B/S],"S",SIP[Investor ID],A526,SIP[Date Value],"&lt;"&amp;$Z$2))</f>
        <v>0</v>
      </c>
      <c r="D526" s="49">
        <f t="shared" si="40"/>
        <v>0</v>
      </c>
      <c r="E526" s="49">
        <f t="shared" si="41"/>
        <v>0</v>
      </c>
      <c r="F526" s="47">
        <f>SUMIFS(LS[Unit],LS[Investor ID],A526,LS[Date Value],"&lt;="&amp;$Z$3)+SUMIFS(SIP[Unit],SIP[Investor ID],A526,SIP[Date Value],"&lt;="&amp;$Z$3)</f>
        <v>0</v>
      </c>
      <c r="G526" s="49">
        <f>(SUMIFS(LS[Amount],LS[B/S],"B",LS[Investor ID],A526,LS[Date Value],"&lt;="&amp;$Z$3)-SUMIFS(LS[Cost of Units Sold],LS[B/S],"S",LS[Investor ID],A526,LS[Date Value],"&lt;="&amp;$Z$3))+(SUMIFS(SIP[Amount],SIP[B/S],"B",SIP[Investor ID],A526,SIP[Date Value],"&lt;="&amp;$Z$3)-SUMIFS(SIP[Cost of Units Sold],SIP[B/S],"S",SIP[Investor ID],A526,SIP[Date Value],"&lt;="&amp;$Z$3))</f>
        <v>-1.1641532182693481E-10</v>
      </c>
      <c r="H526" s="49">
        <f t="shared" si="42"/>
        <v>0</v>
      </c>
      <c r="I526" s="49">
        <f t="shared" si="43"/>
        <v>1.1641532182693481E-10</v>
      </c>
      <c r="J526" s="47">
        <f>(SUMIFS(LS[Unit],LS[Investor ID],A526,LS[B/S],"B",LS[Date Value],"&gt;="&amp;$Z$2,LS[Date Value],"&lt;="&amp;$Z$3))+(SUMIFS(SIP[Unit],SIP[Investor ID],A526,SIP[B/S],"B",SIP[Date Value],"&gt;="&amp;$Z$2,SIP[Date Value],"&lt;="&amp;$Z$3))</f>
        <v>93484</v>
      </c>
      <c r="K526" s="49">
        <f>(SUMIFS(LS[Amount],LS[Investor ID],A526,LS[B/S],"B",LS[Date Value],"&gt;="&amp;$Z$2,LS[Date Value],"&lt;="&amp;$Z$3))+(SUMIFS(SIP[Amount],SIP[Investor ID],A526,SIP[B/S],"B",SIP[Date Value],"&gt;="&amp;$Z$2,SIP[Date Value],"&lt;="&amp;$Z$3))</f>
        <v>1000000</v>
      </c>
      <c r="L526" s="47">
        <f>(-SUMIFS(LS[Unit],LS[Investor ID],A526,LS[B/S],"S",LS[Date Value],"&gt;="&amp;$Z$2,LS[Date Value],"&lt;="&amp;$Z$3))+(-SUMIFS(SIP[Unit],SIP[Investor ID],A526,SIP[B/S],"S",SIP[Date Value],"&gt;="&amp;$Z$2,SIP[Date Value],"&lt;="&amp;$Z$3))</f>
        <v>93484</v>
      </c>
      <c r="M526" s="49">
        <f>(SUMIFS(LS[Cost of Units Sold],LS[Investor ID],A526,LS[B/S],"S",LS[Date Value],"&gt;="&amp;$Z$2,LS[Date Value],"&lt;="&amp;$Z$3))+(SUMIFS(SIP[Cost of Units Sold],SIP[Investor ID],A526,SIP[B/S],"S",SIP[Date Value],"&gt;="&amp;$Z$2,SIP[Date Value],"&lt;="&amp;$Z$3))</f>
        <v>1000000.0000000001</v>
      </c>
      <c r="N526" s="49">
        <f t="shared" si="44"/>
        <v>0</v>
      </c>
      <c r="O526" s="49">
        <f>(SUMIFS(LS[Realized Gain],LS[Investor ID],A526,LS[Date Value],"&gt;="&amp;$Z$2,LS[Date Value],"&lt;="&amp;$Z$3))+(SUMIFS(SIP[Realized Gain],SIP[Investor ID],A526,SIP[Date Value],"&gt;="&amp;$Z$2,SIP[Date Value],"&lt;="&amp;$Z$3))</f>
        <v>31502.459999999915</v>
      </c>
      <c r="P526" s="49">
        <v>0</v>
      </c>
      <c r="Q526" s="49">
        <v>0</v>
      </c>
      <c r="R526" s="49">
        <v>0</v>
      </c>
    </row>
    <row r="527" spans="1:18">
      <c r="A527" t="s">
        <v>1099</v>
      </c>
      <c r="B527" s="47">
        <f>SUMIFS(LS[Unit],LS[Investor ID],'TAX CERTIFICATE'!A527,LS[Date Value],"&lt;"&amp;$Z$2)+SUMIFS(SIP[Unit],SIP[Investor ID],'TAX CERTIFICATE'!A527,SIP[Date Value],"&lt;"&amp;$Z$2)</f>
        <v>0</v>
      </c>
      <c r="C527" s="48">
        <f>(SUMIFS(LS[Amount],LS[B/S],"B",LS[Investor ID],A527,LS[Date Value],"&lt;"&amp;$Z$2)-SUMIFS(LS[Cost of Units Sold],LS[B/S],"S",LS[Investor ID],A527,LS[Date Value],"&lt;"&amp;$Z$2))+(SUMIFS(SIP[Amount],SIP[B/S],"B",SIP[Investor ID],#REF!,SIP[Date Value],"&lt;"&amp;$Z$2)-SUMIFS(SIP[Cost of Units Sold],SIP[B/S],"S",SIP[Investor ID],A527,SIP[Date Value],"&lt;"&amp;$Z$2))</f>
        <v>0</v>
      </c>
      <c r="D527" s="49">
        <f t="shared" si="40"/>
        <v>0</v>
      </c>
      <c r="E527" s="49">
        <f t="shared" si="41"/>
        <v>0</v>
      </c>
      <c r="F527" s="47">
        <f>SUMIFS(LS[Unit],LS[Investor ID],A527,LS[Date Value],"&lt;="&amp;$Z$3)+SUMIFS(SIP[Unit],SIP[Investor ID],A527,SIP[Date Value],"&lt;="&amp;$Z$3)</f>
        <v>46502</v>
      </c>
      <c r="G527" s="49">
        <f>(SUMIFS(LS[Amount],LS[B/S],"B",LS[Investor ID],A527,LS[Date Value],"&lt;="&amp;$Z$3)-SUMIFS(LS[Cost of Units Sold],LS[B/S],"S",LS[Investor ID],A527,LS[Date Value],"&lt;="&amp;$Z$3))+(SUMIFS(SIP[Amount],SIP[B/S],"B",SIP[Investor ID],A527,SIP[Date Value],"&lt;="&amp;$Z$3)-SUMIFS(SIP[Cost of Units Sold],SIP[B/S],"S",SIP[Investor ID],A527,SIP[Date Value],"&lt;="&amp;$Z$3))</f>
        <v>500000</v>
      </c>
      <c r="H527" s="49">
        <f t="shared" si="42"/>
        <v>519148.32799999998</v>
      </c>
      <c r="I527" s="49">
        <f t="shared" si="43"/>
        <v>19148.32799999998</v>
      </c>
      <c r="J527" s="47">
        <f>(SUMIFS(LS[Unit],LS[Investor ID],A527,LS[B/S],"B",LS[Date Value],"&gt;="&amp;$Z$2,LS[Date Value],"&lt;="&amp;$Z$3))+(SUMIFS(SIP[Unit],SIP[Investor ID],A527,SIP[B/S],"B",SIP[Date Value],"&gt;="&amp;$Z$2,SIP[Date Value],"&lt;="&amp;$Z$3))</f>
        <v>46502</v>
      </c>
      <c r="K527" s="49">
        <f>(SUMIFS(LS[Amount],LS[Investor ID],A527,LS[B/S],"B",LS[Date Value],"&gt;="&amp;$Z$2,LS[Date Value],"&lt;="&amp;$Z$3))+(SUMIFS(SIP[Amount],SIP[Investor ID],A527,SIP[B/S],"B",SIP[Date Value],"&gt;="&amp;$Z$2,SIP[Date Value],"&lt;="&amp;$Z$3))</f>
        <v>500000</v>
      </c>
      <c r="L527" s="47">
        <f>(-SUMIFS(LS[Unit],LS[Investor ID],A527,LS[B/S],"S",LS[Date Value],"&gt;="&amp;$Z$2,LS[Date Value],"&lt;="&amp;$Z$3))+(-SUMIFS(SIP[Unit],SIP[Investor ID],A527,SIP[B/S],"S",SIP[Date Value],"&gt;="&amp;$Z$2,SIP[Date Value],"&lt;="&amp;$Z$3))</f>
        <v>0</v>
      </c>
      <c r="M527" s="49">
        <f>(SUMIFS(LS[Cost of Units Sold],LS[Investor ID],A527,LS[B/S],"S",LS[Date Value],"&gt;="&amp;$Z$2,LS[Date Value],"&lt;="&amp;$Z$3))+(SUMIFS(SIP[Cost of Units Sold],SIP[Investor ID],A527,SIP[B/S],"S",SIP[Date Value],"&gt;="&amp;$Z$2,SIP[Date Value],"&lt;="&amp;$Z$3))</f>
        <v>0</v>
      </c>
      <c r="N527" s="49">
        <f t="shared" si="44"/>
        <v>500000</v>
      </c>
      <c r="O527" s="49">
        <f>(SUMIFS(LS[Realized Gain],LS[Investor ID],A527,LS[Date Value],"&gt;="&amp;$Z$2,LS[Date Value],"&lt;="&amp;$Z$3))+(SUMIFS(SIP[Realized Gain],SIP[Investor ID],A527,SIP[Date Value],"&gt;="&amp;$Z$2,SIP[Date Value],"&lt;="&amp;$Z$3))</f>
        <v>0</v>
      </c>
      <c r="P527" s="49">
        <v>0</v>
      </c>
      <c r="Q527" s="49">
        <v>0</v>
      </c>
      <c r="R527" s="49">
        <v>0</v>
      </c>
    </row>
    <row r="528" spans="1:18">
      <c r="A528" t="s">
        <v>1101</v>
      </c>
      <c r="B528" s="47">
        <f>SUMIFS(LS[Unit],LS[Investor ID],'TAX CERTIFICATE'!A528,LS[Date Value],"&lt;"&amp;$Z$2)+SUMIFS(SIP[Unit],SIP[Investor ID],'TAX CERTIFICATE'!A528,SIP[Date Value],"&lt;"&amp;$Z$2)</f>
        <v>0</v>
      </c>
      <c r="C528" s="48">
        <f>(SUMIFS(LS[Amount],LS[B/S],"B",LS[Investor ID],A528,LS[Date Value],"&lt;"&amp;$Z$2)-SUMIFS(LS[Cost of Units Sold],LS[B/S],"S",LS[Investor ID],A528,LS[Date Value],"&lt;"&amp;$Z$2))+(SUMIFS(SIP[Amount],SIP[B/S],"B",SIP[Investor ID],#REF!,SIP[Date Value],"&lt;"&amp;$Z$2)-SUMIFS(SIP[Cost of Units Sold],SIP[B/S],"S",SIP[Investor ID],A528,SIP[Date Value],"&lt;"&amp;$Z$2))</f>
        <v>0</v>
      </c>
      <c r="D528" s="49">
        <f t="shared" si="40"/>
        <v>0</v>
      </c>
      <c r="E528" s="49">
        <f t="shared" si="41"/>
        <v>0</v>
      </c>
      <c r="F528" s="47">
        <f>SUMIFS(LS[Unit],LS[Investor ID],A528,LS[Date Value],"&lt;="&amp;$Z$3)+SUMIFS(SIP[Unit],SIP[Investor ID],A528,SIP[Date Value],"&lt;="&amp;$Z$3)</f>
        <v>1388</v>
      </c>
      <c r="G528" s="49">
        <f>(SUMIFS(LS[Amount],LS[B/S],"B",LS[Investor ID],A528,LS[Date Value],"&lt;="&amp;$Z$3)-SUMIFS(LS[Cost of Units Sold],LS[B/S],"S",LS[Investor ID],A528,LS[Date Value],"&lt;="&amp;$Z$3))+(SUMIFS(SIP[Amount],SIP[B/S],"B",SIP[Investor ID],A528,SIP[Date Value],"&lt;="&amp;$Z$3)-SUMIFS(SIP[Cost of Units Sold],SIP[B/S],"S",SIP[Investor ID],A528,SIP[Date Value],"&lt;="&amp;$Z$3))</f>
        <v>15000</v>
      </c>
      <c r="H528" s="49">
        <f t="shared" si="42"/>
        <v>15495.632</v>
      </c>
      <c r="I528" s="49">
        <f t="shared" si="43"/>
        <v>495.63199999999961</v>
      </c>
      <c r="J528" s="47">
        <f>(SUMIFS(LS[Unit],LS[Investor ID],A528,LS[B/S],"B",LS[Date Value],"&gt;="&amp;$Z$2,LS[Date Value],"&lt;="&amp;$Z$3))+(SUMIFS(SIP[Unit],SIP[Investor ID],A528,SIP[B/S],"B",SIP[Date Value],"&gt;="&amp;$Z$2,SIP[Date Value],"&lt;="&amp;$Z$3))</f>
        <v>1388</v>
      </c>
      <c r="K528" s="49">
        <f>(SUMIFS(LS[Amount],LS[Investor ID],A528,LS[B/S],"B",LS[Date Value],"&gt;="&amp;$Z$2,LS[Date Value],"&lt;="&amp;$Z$3))+(SUMIFS(SIP[Amount],SIP[Investor ID],A528,SIP[B/S],"B",SIP[Date Value],"&gt;="&amp;$Z$2,SIP[Date Value],"&lt;="&amp;$Z$3))</f>
        <v>15000</v>
      </c>
      <c r="L528" s="47">
        <f>(-SUMIFS(LS[Unit],LS[Investor ID],A528,LS[B/S],"S",LS[Date Value],"&gt;="&amp;$Z$2,LS[Date Value],"&lt;="&amp;$Z$3))+(-SUMIFS(SIP[Unit],SIP[Investor ID],A528,SIP[B/S],"S",SIP[Date Value],"&gt;="&amp;$Z$2,SIP[Date Value],"&lt;="&amp;$Z$3))</f>
        <v>0</v>
      </c>
      <c r="M528" s="49">
        <f>(SUMIFS(LS[Cost of Units Sold],LS[Investor ID],A528,LS[B/S],"S",LS[Date Value],"&gt;="&amp;$Z$2,LS[Date Value],"&lt;="&amp;$Z$3))+(SUMIFS(SIP[Cost of Units Sold],SIP[Investor ID],A528,SIP[B/S],"S",SIP[Date Value],"&gt;="&amp;$Z$2,SIP[Date Value],"&lt;="&amp;$Z$3))</f>
        <v>0</v>
      </c>
      <c r="N528" s="49">
        <f t="shared" si="44"/>
        <v>15000</v>
      </c>
      <c r="O528" s="49">
        <f>(SUMIFS(LS[Realized Gain],LS[Investor ID],A528,LS[Date Value],"&gt;="&amp;$Z$2,LS[Date Value],"&lt;="&amp;$Z$3))+(SUMIFS(SIP[Realized Gain],SIP[Investor ID],A528,SIP[Date Value],"&gt;="&amp;$Z$2,SIP[Date Value],"&lt;="&amp;$Z$3))</f>
        <v>0</v>
      </c>
      <c r="P528" s="49">
        <v>0</v>
      </c>
      <c r="Q528" s="49">
        <v>0</v>
      </c>
      <c r="R528" s="49">
        <v>0</v>
      </c>
    </row>
    <row r="529" spans="1:18">
      <c r="A529" t="s">
        <v>1103</v>
      </c>
      <c r="B529" s="47">
        <f>SUMIFS(LS[Unit],LS[Investor ID],'TAX CERTIFICATE'!A529,LS[Date Value],"&lt;"&amp;$Z$2)+SUMIFS(SIP[Unit],SIP[Investor ID],'TAX CERTIFICATE'!A529,SIP[Date Value],"&lt;"&amp;$Z$2)</f>
        <v>0</v>
      </c>
      <c r="C529" s="48">
        <f>(SUMIFS(LS[Amount],LS[B/S],"B",LS[Investor ID],A529,LS[Date Value],"&lt;"&amp;$Z$2)-SUMIFS(LS[Cost of Units Sold],LS[B/S],"S",LS[Investor ID],A529,LS[Date Value],"&lt;"&amp;$Z$2))+(SUMIFS(SIP[Amount],SIP[B/S],"B",SIP[Investor ID],#REF!,SIP[Date Value],"&lt;"&amp;$Z$2)-SUMIFS(SIP[Cost of Units Sold],SIP[B/S],"S",SIP[Investor ID],A529,SIP[Date Value],"&lt;"&amp;$Z$2))</f>
        <v>0</v>
      </c>
      <c r="D529" s="49">
        <f t="shared" si="40"/>
        <v>0</v>
      </c>
      <c r="E529" s="49">
        <f t="shared" si="41"/>
        <v>0</v>
      </c>
      <c r="F529" s="47">
        <f>SUMIFS(LS[Unit],LS[Investor ID],A529,LS[Date Value],"&lt;="&amp;$Z$3)+SUMIFS(SIP[Unit],SIP[Investor ID],A529,SIP[Date Value],"&lt;="&amp;$Z$3)</f>
        <v>516324</v>
      </c>
      <c r="G529" s="49">
        <f>(SUMIFS(LS[Amount],LS[B/S],"B",LS[Investor ID],A529,LS[Date Value],"&lt;="&amp;$Z$3)-SUMIFS(LS[Cost of Units Sold],LS[B/S],"S",LS[Investor ID],A529,LS[Date Value],"&lt;="&amp;$Z$3))+(SUMIFS(SIP[Amount],SIP[B/S],"B",SIP[Investor ID],A529,SIP[Date Value],"&lt;="&amp;$Z$3)-SUMIFS(SIP[Cost of Units Sold],SIP[B/S],"S",SIP[Investor ID],A529,SIP[Date Value],"&lt;="&amp;$Z$3))</f>
        <v>5599273</v>
      </c>
      <c r="H529" s="49">
        <f t="shared" si="42"/>
        <v>5764241.1359999999</v>
      </c>
      <c r="I529" s="49">
        <f t="shared" si="43"/>
        <v>164968.13599999994</v>
      </c>
      <c r="J529" s="47">
        <f>(SUMIFS(LS[Unit],LS[Investor ID],A529,LS[B/S],"B",LS[Date Value],"&gt;="&amp;$Z$2,LS[Date Value],"&lt;="&amp;$Z$3))+(SUMIFS(SIP[Unit],SIP[Investor ID],A529,SIP[B/S],"B",SIP[Date Value],"&gt;="&amp;$Z$2,SIP[Date Value],"&lt;="&amp;$Z$3))</f>
        <v>516324</v>
      </c>
      <c r="K529" s="49">
        <f>(SUMIFS(LS[Amount],LS[Investor ID],A529,LS[B/S],"B",LS[Date Value],"&gt;="&amp;$Z$2,LS[Date Value],"&lt;="&amp;$Z$3))+(SUMIFS(SIP[Amount],SIP[Investor ID],A529,SIP[B/S],"B",SIP[Date Value],"&gt;="&amp;$Z$2,SIP[Date Value],"&lt;="&amp;$Z$3))</f>
        <v>5599273</v>
      </c>
      <c r="L529" s="47">
        <f>(-SUMIFS(LS[Unit],LS[Investor ID],A529,LS[B/S],"S",LS[Date Value],"&gt;="&amp;$Z$2,LS[Date Value],"&lt;="&amp;$Z$3))+(-SUMIFS(SIP[Unit],SIP[Investor ID],A529,SIP[B/S],"S",SIP[Date Value],"&gt;="&amp;$Z$2,SIP[Date Value],"&lt;="&amp;$Z$3))</f>
        <v>0</v>
      </c>
      <c r="M529" s="49">
        <f>(SUMIFS(LS[Cost of Units Sold],LS[Investor ID],A529,LS[B/S],"S",LS[Date Value],"&gt;="&amp;$Z$2,LS[Date Value],"&lt;="&amp;$Z$3))+(SUMIFS(SIP[Cost of Units Sold],SIP[Investor ID],A529,SIP[B/S],"S",SIP[Date Value],"&gt;="&amp;$Z$2,SIP[Date Value],"&lt;="&amp;$Z$3))</f>
        <v>0</v>
      </c>
      <c r="N529" s="49">
        <f t="shared" si="44"/>
        <v>5599273</v>
      </c>
      <c r="O529" s="49">
        <f>(SUMIFS(LS[Realized Gain],LS[Investor ID],A529,LS[Date Value],"&gt;="&amp;$Z$2,LS[Date Value],"&lt;="&amp;$Z$3))+(SUMIFS(SIP[Realized Gain],SIP[Investor ID],A529,SIP[Date Value],"&gt;="&amp;$Z$2,SIP[Date Value],"&lt;="&amp;$Z$3))</f>
        <v>0</v>
      </c>
      <c r="P529" s="49">
        <v>0</v>
      </c>
      <c r="Q529" s="49">
        <v>0</v>
      </c>
      <c r="R529" s="49">
        <v>0</v>
      </c>
    </row>
    <row r="530" spans="1:18">
      <c r="A530" t="s">
        <v>1105</v>
      </c>
      <c r="B530" s="47">
        <f>SUMIFS(LS[Unit],LS[Investor ID],'TAX CERTIFICATE'!A530,LS[Date Value],"&lt;"&amp;$Z$2)+SUMIFS(SIP[Unit],SIP[Investor ID],'TAX CERTIFICATE'!A530,SIP[Date Value],"&lt;"&amp;$Z$2)</f>
        <v>0</v>
      </c>
      <c r="C530" s="48">
        <f>(SUMIFS(LS[Amount],LS[B/S],"B",LS[Investor ID],A530,LS[Date Value],"&lt;"&amp;$Z$2)-SUMIFS(LS[Cost of Units Sold],LS[B/S],"S",LS[Investor ID],A530,LS[Date Value],"&lt;"&amp;$Z$2))+(SUMIFS(SIP[Amount],SIP[B/S],"B",SIP[Investor ID],#REF!,SIP[Date Value],"&lt;"&amp;$Z$2)-SUMIFS(SIP[Cost of Units Sold],SIP[B/S],"S",SIP[Investor ID],A530,SIP[Date Value],"&lt;"&amp;$Z$2))</f>
        <v>0</v>
      </c>
      <c r="D530" s="49">
        <f t="shared" si="40"/>
        <v>0</v>
      </c>
      <c r="E530" s="49">
        <f t="shared" si="41"/>
        <v>0</v>
      </c>
      <c r="F530" s="47">
        <f>SUMIFS(LS[Unit],LS[Investor ID],A530,LS[Date Value],"&lt;="&amp;$Z$3)+SUMIFS(SIP[Unit],SIP[Investor ID],A530,SIP[Date Value],"&lt;="&amp;$Z$3)</f>
        <v>184383</v>
      </c>
      <c r="G530" s="49">
        <f>(SUMIFS(LS[Amount],LS[B/S],"B",LS[Investor ID],A530,LS[Date Value],"&lt;="&amp;$Z$3)-SUMIFS(LS[Cost of Units Sold],LS[B/S],"S",LS[Investor ID],A530,LS[Date Value],"&lt;="&amp;$Z$3))+(SUMIFS(SIP[Amount],SIP[B/S],"B",SIP[Investor ID],A530,SIP[Date Value],"&lt;="&amp;$Z$3)-SUMIFS(SIP[Cost of Units Sold],SIP[B/S],"S",SIP[Investor ID],A530,SIP[Date Value],"&lt;="&amp;$Z$3))</f>
        <v>2000000</v>
      </c>
      <c r="H530" s="49">
        <f t="shared" si="42"/>
        <v>2058451.8119999999</v>
      </c>
      <c r="I530" s="49">
        <f t="shared" si="43"/>
        <v>58451.811999999918</v>
      </c>
      <c r="J530" s="47">
        <f>(SUMIFS(LS[Unit],LS[Investor ID],A530,LS[B/S],"B",LS[Date Value],"&gt;="&amp;$Z$2,LS[Date Value],"&lt;="&amp;$Z$3))+(SUMIFS(SIP[Unit],SIP[Investor ID],A530,SIP[B/S],"B",SIP[Date Value],"&gt;="&amp;$Z$2,SIP[Date Value],"&lt;="&amp;$Z$3))</f>
        <v>184383</v>
      </c>
      <c r="K530" s="49">
        <f>(SUMIFS(LS[Amount],LS[Investor ID],A530,LS[B/S],"B",LS[Date Value],"&gt;="&amp;$Z$2,LS[Date Value],"&lt;="&amp;$Z$3))+(SUMIFS(SIP[Amount],SIP[Investor ID],A530,SIP[B/S],"B",SIP[Date Value],"&gt;="&amp;$Z$2,SIP[Date Value],"&lt;="&amp;$Z$3))</f>
        <v>2000000</v>
      </c>
      <c r="L530" s="47">
        <f>(-SUMIFS(LS[Unit],LS[Investor ID],A530,LS[B/S],"S",LS[Date Value],"&gt;="&amp;$Z$2,LS[Date Value],"&lt;="&amp;$Z$3))+(-SUMIFS(SIP[Unit],SIP[Investor ID],A530,SIP[B/S],"S",SIP[Date Value],"&gt;="&amp;$Z$2,SIP[Date Value],"&lt;="&amp;$Z$3))</f>
        <v>0</v>
      </c>
      <c r="M530" s="49">
        <f>(SUMIFS(LS[Cost of Units Sold],LS[Investor ID],A530,LS[B/S],"S",LS[Date Value],"&gt;="&amp;$Z$2,LS[Date Value],"&lt;="&amp;$Z$3))+(SUMIFS(SIP[Cost of Units Sold],SIP[Investor ID],A530,SIP[B/S],"S",SIP[Date Value],"&gt;="&amp;$Z$2,SIP[Date Value],"&lt;="&amp;$Z$3))</f>
        <v>0</v>
      </c>
      <c r="N530" s="49">
        <f t="shared" si="44"/>
        <v>2000000</v>
      </c>
      <c r="O530" s="49">
        <f>(SUMIFS(LS[Realized Gain],LS[Investor ID],A530,LS[Date Value],"&gt;="&amp;$Z$2,LS[Date Value],"&lt;="&amp;$Z$3))+(SUMIFS(SIP[Realized Gain],SIP[Investor ID],A530,SIP[Date Value],"&gt;="&amp;$Z$2,SIP[Date Value],"&lt;="&amp;$Z$3))</f>
        <v>0</v>
      </c>
      <c r="P530" s="49">
        <v>0</v>
      </c>
      <c r="Q530" s="49">
        <v>0</v>
      </c>
      <c r="R530" s="49">
        <v>0</v>
      </c>
    </row>
    <row r="531" spans="1:18">
      <c r="A531" t="s">
        <v>1107</v>
      </c>
      <c r="B531" s="47">
        <f>SUMIFS(LS[Unit],LS[Investor ID],'TAX CERTIFICATE'!A531,LS[Date Value],"&lt;"&amp;$Z$2)+SUMIFS(SIP[Unit],SIP[Investor ID],'TAX CERTIFICATE'!A531,SIP[Date Value],"&lt;"&amp;$Z$2)</f>
        <v>0</v>
      </c>
      <c r="C531" s="48">
        <f>(SUMIFS(LS[Amount],LS[B/S],"B",LS[Investor ID],A531,LS[Date Value],"&lt;"&amp;$Z$2)-SUMIFS(LS[Cost of Units Sold],LS[B/S],"S",LS[Investor ID],A531,LS[Date Value],"&lt;"&amp;$Z$2))+(SUMIFS(SIP[Amount],SIP[B/S],"B",SIP[Investor ID],#REF!,SIP[Date Value],"&lt;"&amp;$Z$2)-SUMIFS(SIP[Cost of Units Sold],SIP[B/S],"S",SIP[Investor ID],A531,SIP[Date Value],"&lt;"&amp;$Z$2))</f>
        <v>0</v>
      </c>
      <c r="D531" s="49">
        <f t="shared" si="40"/>
        <v>0</v>
      </c>
      <c r="E531" s="49">
        <f t="shared" si="41"/>
        <v>0</v>
      </c>
      <c r="F531" s="47">
        <f>SUMIFS(LS[Unit],LS[Investor ID],A531,LS[Date Value],"&lt;="&amp;$Z$3)+SUMIFS(SIP[Unit],SIP[Investor ID],A531,SIP[Date Value],"&lt;="&amp;$Z$3)</f>
        <v>0</v>
      </c>
      <c r="G531" s="49">
        <f>(SUMIFS(LS[Amount],LS[B/S],"B",LS[Investor ID],A531,LS[Date Value],"&lt;="&amp;$Z$3)-SUMIFS(LS[Cost of Units Sold],LS[B/S],"S",LS[Investor ID],A531,LS[Date Value],"&lt;="&amp;$Z$3))+(SUMIFS(SIP[Amount],SIP[B/S],"B",SIP[Investor ID],A531,SIP[Date Value],"&lt;="&amp;$Z$3)-SUMIFS(SIP[Cost of Units Sold],SIP[B/S],"S",SIP[Investor ID],A531,SIP[Date Value],"&lt;="&amp;$Z$3))</f>
        <v>0</v>
      </c>
      <c r="H531" s="49">
        <f t="shared" si="42"/>
        <v>0</v>
      </c>
      <c r="I531" s="49">
        <f t="shared" si="43"/>
        <v>0</v>
      </c>
      <c r="J531" s="47">
        <f>(SUMIFS(LS[Unit],LS[Investor ID],A531,LS[B/S],"B",LS[Date Value],"&gt;="&amp;$Z$2,LS[Date Value],"&lt;="&amp;$Z$3))+(SUMIFS(SIP[Unit],SIP[Investor ID],A531,SIP[B/S],"B",SIP[Date Value],"&gt;="&amp;$Z$2,SIP[Date Value],"&lt;="&amp;$Z$3))</f>
        <v>0</v>
      </c>
      <c r="K531" s="49">
        <f>(SUMIFS(LS[Amount],LS[Investor ID],A531,LS[B/S],"B",LS[Date Value],"&gt;="&amp;$Z$2,LS[Date Value],"&lt;="&amp;$Z$3))+(SUMIFS(SIP[Amount],SIP[Investor ID],A531,SIP[B/S],"B",SIP[Date Value],"&gt;="&amp;$Z$2,SIP[Date Value],"&lt;="&amp;$Z$3))</f>
        <v>0</v>
      </c>
      <c r="L531" s="47">
        <f>(-SUMIFS(LS[Unit],LS[Investor ID],A531,LS[B/S],"S",LS[Date Value],"&gt;="&amp;$Z$2,LS[Date Value],"&lt;="&amp;$Z$3))+(-SUMIFS(SIP[Unit],SIP[Investor ID],A531,SIP[B/S],"S",SIP[Date Value],"&gt;="&amp;$Z$2,SIP[Date Value],"&lt;="&amp;$Z$3))</f>
        <v>0</v>
      </c>
      <c r="M531" s="49">
        <f>(SUMIFS(LS[Cost of Units Sold],LS[Investor ID],A531,LS[B/S],"S",LS[Date Value],"&gt;="&amp;$Z$2,LS[Date Value],"&lt;="&amp;$Z$3))+(SUMIFS(SIP[Cost of Units Sold],SIP[Investor ID],A531,SIP[B/S],"S",SIP[Date Value],"&gt;="&amp;$Z$2,SIP[Date Value],"&lt;="&amp;$Z$3))</f>
        <v>0</v>
      </c>
      <c r="N531" s="49">
        <f t="shared" si="44"/>
        <v>0</v>
      </c>
      <c r="O531" s="49">
        <f>(SUMIFS(LS[Realized Gain],LS[Investor ID],A531,LS[Date Value],"&gt;="&amp;$Z$2,LS[Date Value],"&lt;="&amp;$Z$3))+(SUMIFS(SIP[Realized Gain],SIP[Investor ID],A531,SIP[Date Value],"&gt;="&amp;$Z$2,SIP[Date Value],"&lt;="&amp;$Z$3))</f>
        <v>0</v>
      </c>
      <c r="P531" s="49">
        <v>0</v>
      </c>
      <c r="Q531" s="49">
        <v>0</v>
      </c>
      <c r="R531" s="49">
        <v>0</v>
      </c>
    </row>
    <row r="532" spans="1:18">
      <c r="A532" t="s">
        <v>1109</v>
      </c>
      <c r="B532" s="47">
        <f>SUMIFS(LS[Unit],LS[Investor ID],'TAX CERTIFICATE'!A532,LS[Date Value],"&lt;"&amp;$Z$2)+SUMIFS(SIP[Unit],SIP[Investor ID],'TAX CERTIFICATE'!A532,SIP[Date Value],"&lt;"&amp;$Z$2)</f>
        <v>0</v>
      </c>
      <c r="C532" s="48">
        <f>(SUMIFS(LS[Amount],LS[B/S],"B",LS[Investor ID],A532,LS[Date Value],"&lt;"&amp;$Z$2)-SUMIFS(LS[Cost of Units Sold],LS[B/S],"S",LS[Investor ID],A532,LS[Date Value],"&lt;"&amp;$Z$2))+(SUMIFS(SIP[Amount],SIP[B/S],"B",SIP[Investor ID],#REF!,SIP[Date Value],"&lt;"&amp;$Z$2)-SUMIFS(SIP[Cost of Units Sold],SIP[B/S],"S",SIP[Investor ID],A532,SIP[Date Value],"&lt;"&amp;$Z$2))</f>
        <v>0</v>
      </c>
      <c r="D532" s="49">
        <f t="shared" si="40"/>
        <v>0</v>
      </c>
      <c r="E532" s="49">
        <f t="shared" si="41"/>
        <v>0</v>
      </c>
      <c r="F532" s="47">
        <f>SUMIFS(LS[Unit],LS[Investor ID],A532,LS[Date Value],"&lt;="&amp;$Z$3)+SUMIFS(SIP[Unit],SIP[Investor ID],A532,SIP[Date Value],"&lt;="&amp;$Z$3)</f>
        <v>0</v>
      </c>
      <c r="G532" s="49">
        <f>(SUMIFS(LS[Amount],LS[B/S],"B",LS[Investor ID],A532,LS[Date Value],"&lt;="&amp;$Z$3)-SUMIFS(LS[Cost of Units Sold],LS[B/S],"S",LS[Investor ID],A532,LS[Date Value],"&lt;="&amp;$Z$3))+(SUMIFS(SIP[Amount],SIP[B/S],"B",SIP[Investor ID],A532,SIP[Date Value],"&lt;="&amp;$Z$3)-SUMIFS(SIP[Cost of Units Sold],SIP[B/S],"S",SIP[Investor ID],A532,SIP[Date Value],"&lt;="&amp;$Z$3))</f>
        <v>0</v>
      </c>
      <c r="H532" s="49">
        <f t="shared" si="42"/>
        <v>0</v>
      </c>
      <c r="I532" s="49">
        <f t="shared" si="43"/>
        <v>0</v>
      </c>
      <c r="J532" s="47">
        <f>(SUMIFS(LS[Unit],LS[Investor ID],A532,LS[B/S],"B",LS[Date Value],"&gt;="&amp;$Z$2,LS[Date Value],"&lt;="&amp;$Z$3))+(SUMIFS(SIP[Unit],SIP[Investor ID],A532,SIP[B/S],"B",SIP[Date Value],"&gt;="&amp;$Z$2,SIP[Date Value],"&lt;="&amp;$Z$3))</f>
        <v>0</v>
      </c>
      <c r="K532" s="49">
        <f>(SUMIFS(LS[Amount],LS[Investor ID],A532,LS[B/S],"B",LS[Date Value],"&gt;="&amp;$Z$2,LS[Date Value],"&lt;="&amp;$Z$3))+(SUMIFS(SIP[Amount],SIP[Investor ID],A532,SIP[B/S],"B",SIP[Date Value],"&gt;="&amp;$Z$2,SIP[Date Value],"&lt;="&amp;$Z$3))</f>
        <v>0</v>
      </c>
      <c r="L532" s="47">
        <f>(-SUMIFS(LS[Unit],LS[Investor ID],A532,LS[B/S],"S",LS[Date Value],"&gt;="&amp;$Z$2,LS[Date Value],"&lt;="&amp;$Z$3))+(-SUMIFS(SIP[Unit],SIP[Investor ID],A532,SIP[B/S],"S",SIP[Date Value],"&gt;="&amp;$Z$2,SIP[Date Value],"&lt;="&amp;$Z$3))</f>
        <v>0</v>
      </c>
      <c r="M532" s="49">
        <f>(SUMIFS(LS[Cost of Units Sold],LS[Investor ID],A532,LS[B/S],"S",LS[Date Value],"&gt;="&amp;$Z$2,LS[Date Value],"&lt;="&amp;$Z$3))+(SUMIFS(SIP[Cost of Units Sold],SIP[Investor ID],A532,SIP[B/S],"S",SIP[Date Value],"&gt;="&amp;$Z$2,SIP[Date Value],"&lt;="&amp;$Z$3))</f>
        <v>0</v>
      </c>
      <c r="N532" s="49">
        <f t="shared" si="44"/>
        <v>0</v>
      </c>
      <c r="O532" s="49">
        <f>(SUMIFS(LS[Realized Gain],LS[Investor ID],A532,LS[Date Value],"&gt;="&amp;$Z$2,LS[Date Value],"&lt;="&amp;$Z$3))+(SUMIFS(SIP[Realized Gain],SIP[Investor ID],A532,SIP[Date Value],"&gt;="&amp;$Z$2,SIP[Date Value],"&lt;="&amp;$Z$3))</f>
        <v>0</v>
      </c>
      <c r="P532" s="49">
        <v>0</v>
      </c>
      <c r="Q532" s="49">
        <v>0</v>
      </c>
      <c r="R532" s="49">
        <v>0</v>
      </c>
    </row>
    <row r="533" spans="1:18">
      <c r="A533" t="s">
        <v>1111</v>
      </c>
      <c r="B533" s="47">
        <f>SUMIFS(LS[Unit],LS[Investor ID],'TAX CERTIFICATE'!A533,LS[Date Value],"&lt;"&amp;$Z$2)+SUMIFS(SIP[Unit],SIP[Investor ID],'TAX CERTIFICATE'!A533,SIP[Date Value],"&lt;"&amp;$Z$2)</f>
        <v>0</v>
      </c>
      <c r="C533" s="48">
        <f>(SUMIFS(LS[Amount],LS[B/S],"B",LS[Investor ID],A533,LS[Date Value],"&lt;"&amp;$Z$2)-SUMIFS(LS[Cost of Units Sold],LS[B/S],"S",LS[Investor ID],A533,LS[Date Value],"&lt;"&amp;$Z$2))+(SUMIFS(SIP[Amount],SIP[B/S],"B",SIP[Investor ID],#REF!,SIP[Date Value],"&lt;"&amp;$Z$2)-SUMIFS(SIP[Cost of Units Sold],SIP[B/S],"S",SIP[Investor ID],A533,SIP[Date Value],"&lt;"&amp;$Z$2))</f>
        <v>0</v>
      </c>
      <c r="D533" s="49">
        <f t="shared" si="40"/>
        <v>0</v>
      </c>
      <c r="E533" s="49">
        <f t="shared" si="41"/>
        <v>0</v>
      </c>
      <c r="F533" s="47">
        <f>SUMIFS(LS[Unit],LS[Investor ID],A533,LS[Date Value],"&lt;="&amp;$Z$3)+SUMIFS(SIP[Unit],SIP[Investor ID],A533,SIP[Date Value],"&lt;="&amp;$Z$3)</f>
        <v>32480</v>
      </c>
      <c r="G533" s="49">
        <f>(SUMIFS(LS[Amount],LS[B/S],"B",LS[Investor ID],A533,LS[Date Value],"&lt;="&amp;$Z$3)-SUMIFS(LS[Cost of Units Sold],LS[B/S],"S",LS[Investor ID],A533,LS[Date Value],"&lt;="&amp;$Z$3))+(SUMIFS(SIP[Amount],SIP[B/S],"B",SIP[Investor ID],A533,SIP[Date Value],"&lt;="&amp;$Z$3)-SUMIFS(SIP[Cost of Units Sold],SIP[B/S],"S",SIP[Investor ID],A533,SIP[Date Value],"&lt;="&amp;$Z$3))</f>
        <v>352310</v>
      </c>
      <c r="H533" s="49">
        <f t="shared" si="42"/>
        <v>362606.72</v>
      </c>
      <c r="I533" s="49">
        <f t="shared" si="43"/>
        <v>10296.719999999972</v>
      </c>
      <c r="J533" s="47">
        <f>(SUMIFS(LS[Unit],LS[Investor ID],A533,LS[B/S],"B",LS[Date Value],"&gt;="&amp;$Z$2,LS[Date Value],"&lt;="&amp;$Z$3))+(SUMIFS(SIP[Unit],SIP[Investor ID],A533,SIP[B/S],"B",SIP[Date Value],"&gt;="&amp;$Z$2,SIP[Date Value],"&lt;="&amp;$Z$3))</f>
        <v>32480</v>
      </c>
      <c r="K533" s="49">
        <f>(SUMIFS(LS[Amount],LS[Investor ID],A533,LS[B/S],"B",LS[Date Value],"&gt;="&amp;$Z$2,LS[Date Value],"&lt;="&amp;$Z$3))+(SUMIFS(SIP[Amount],SIP[Investor ID],A533,SIP[B/S],"B",SIP[Date Value],"&gt;="&amp;$Z$2,SIP[Date Value],"&lt;="&amp;$Z$3))</f>
        <v>352310</v>
      </c>
      <c r="L533" s="47">
        <f>(-SUMIFS(LS[Unit],LS[Investor ID],A533,LS[B/S],"S",LS[Date Value],"&gt;="&amp;$Z$2,LS[Date Value],"&lt;="&amp;$Z$3))+(-SUMIFS(SIP[Unit],SIP[Investor ID],A533,SIP[B/S],"S",SIP[Date Value],"&gt;="&amp;$Z$2,SIP[Date Value],"&lt;="&amp;$Z$3))</f>
        <v>0</v>
      </c>
      <c r="M533" s="49">
        <f>(SUMIFS(LS[Cost of Units Sold],LS[Investor ID],A533,LS[B/S],"S",LS[Date Value],"&gt;="&amp;$Z$2,LS[Date Value],"&lt;="&amp;$Z$3))+(SUMIFS(SIP[Cost of Units Sold],SIP[Investor ID],A533,SIP[B/S],"S",SIP[Date Value],"&gt;="&amp;$Z$2,SIP[Date Value],"&lt;="&amp;$Z$3))</f>
        <v>0</v>
      </c>
      <c r="N533" s="49">
        <f t="shared" si="44"/>
        <v>352310</v>
      </c>
      <c r="O533" s="49">
        <f>(SUMIFS(LS[Realized Gain],LS[Investor ID],A533,LS[Date Value],"&gt;="&amp;$Z$2,LS[Date Value],"&lt;="&amp;$Z$3))+(SUMIFS(SIP[Realized Gain],SIP[Investor ID],A533,SIP[Date Value],"&gt;="&amp;$Z$2,SIP[Date Value],"&lt;="&amp;$Z$3))</f>
        <v>0</v>
      </c>
      <c r="P533" s="49">
        <v>0</v>
      </c>
      <c r="Q533" s="49">
        <v>0</v>
      </c>
      <c r="R533" s="49">
        <v>0</v>
      </c>
    </row>
    <row r="534" spans="1:18">
      <c r="A534" t="s">
        <v>1113</v>
      </c>
      <c r="B534" s="47">
        <f>SUMIFS(LS[Unit],LS[Investor ID],'TAX CERTIFICATE'!A534,LS[Date Value],"&lt;"&amp;$Z$2)+SUMIFS(SIP[Unit],SIP[Investor ID],'TAX CERTIFICATE'!A534,SIP[Date Value],"&lt;"&amp;$Z$2)</f>
        <v>0</v>
      </c>
      <c r="C534" s="48">
        <f>(SUMIFS(LS[Amount],LS[B/S],"B",LS[Investor ID],A534,LS[Date Value],"&lt;"&amp;$Z$2)-SUMIFS(LS[Cost of Units Sold],LS[B/S],"S",LS[Investor ID],A534,LS[Date Value],"&lt;"&amp;$Z$2))+(SUMIFS(SIP[Amount],SIP[B/S],"B",SIP[Investor ID],#REF!,SIP[Date Value],"&lt;"&amp;$Z$2)-SUMIFS(SIP[Cost of Units Sold],SIP[B/S],"S",SIP[Investor ID],A534,SIP[Date Value],"&lt;"&amp;$Z$2))</f>
        <v>0</v>
      </c>
      <c r="D534" s="49">
        <f t="shared" si="40"/>
        <v>0</v>
      </c>
      <c r="E534" s="49">
        <f t="shared" si="41"/>
        <v>0</v>
      </c>
      <c r="F534" s="47">
        <f>SUMIFS(LS[Unit],LS[Investor ID],A534,LS[Date Value],"&lt;="&amp;$Z$3)+SUMIFS(SIP[Unit],SIP[Investor ID],A534,SIP[Date Value],"&lt;="&amp;$Z$3)</f>
        <v>460957</v>
      </c>
      <c r="G534" s="49">
        <f>(SUMIFS(LS[Amount],LS[B/S],"B",LS[Investor ID],A534,LS[Date Value],"&lt;="&amp;$Z$3)-SUMIFS(LS[Cost of Units Sold],LS[B/S],"S",LS[Investor ID],A534,LS[Date Value],"&lt;="&amp;$Z$3))+(SUMIFS(SIP[Amount],SIP[B/S],"B",SIP[Investor ID],A534,SIP[Date Value],"&lt;="&amp;$Z$3)-SUMIFS(SIP[Cost of Units Sold],SIP[B/S],"S",SIP[Investor ID],A534,SIP[Date Value],"&lt;="&amp;$Z$3))</f>
        <v>5000000</v>
      </c>
      <c r="H534" s="49">
        <f t="shared" si="42"/>
        <v>5146123.9479999999</v>
      </c>
      <c r="I534" s="49">
        <f t="shared" si="43"/>
        <v>146123.94799999986</v>
      </c>
      <c r="J534" s="47">
        <f>(SUMIFS(LS[Unit],LS[Investor ID],A534,LS[B/S],"B",LS[Date Value],"&gt;="&amp;$Z$2,LS[Date Value],"&lt;="&amp;$Z$3))+(SUMIFS(SIP[Unit],SIP[Investor ID],A534,SIP[B/S],"B",SIP[Date Value],"&gt;="&amp;$Z$2,SIP[Date Value],"&lt;="&amp;$Z$3))</f>
        <v>460957</v>
      </c>
      <c r="K534" s="49">
        <f>(SUMIFS(LS[Amount],LS[Investor ID],A534,LS[B/S],"B",LS[Date Value],"&gt;="&amp;$Z$2,LS[Date Value],"&lt;="&amp;$Z$3))+(SUMIFS(SIP[Amount],SIP[Investor ID],A534,SIP[B/S],"B",SIP[Date Value],"&gt;="&amp;$Z$2,SIP[Date Value],"&lt;="&amp;$Z$3))</f>
        <v>5000000</v>
      </c>
      <c r="L534" s="47">
        <f>(-SUMIFS(LS[Unit],LS[Investor ID],A534,LS[B/S],"S",LS[Date Value],"&gt;="&amp;$Z$2,LS[Date Value],"&lt;="&amp;$Z$3))+(-SUMIFS(SIP[Unit],SIP[Investor ID],A534,SIP[B/S],"S",SIP[Date Value],"&gt;="&amp;$Z$2,SIP[Date Value],"&lt;="&amp;$Z$3))</f>
        <v>0</v>
      </c>
      <c r="M534" s="49">
        <f>(SUMIFS(LS[Cost of Units Sold],LS[Investor ID],A534,LS[B/S],"S",LS[Date Value],"&gt;="&amp;$Z$2,LS[Date Value],"&lt;="&amp;$Z$3))+(SUMIFS(SIP[Cost of Units Sold],SIP[Investor ID],A534,SIP[B/S],"S",SIP[Date Value],"&gt;="&amp;$Z$2,SIP[Date Value],"&lt;="&amp;$Z$3))</f>
        <v>0</v>
      </c>
      <c r="N534" s="49">
        <f t="shared" si="44"/>
        <v>5000000</v>
      </c>
      <c r="O534" s="49">
        <f>(SUMIFS(LS[Realized Gain],LS[Investor ID],A534,LS[Date Value],"&gt;="&amp;$Z$2,LS[Date Value],"&lt;="&amp;$Z$3))+(SUMIFS(SIP[Realized Gain],SIP[Investor ID],A534,SIP[Date Value],"&gt;="&amp;$Z$2,SIP[Date Value],"&lt;="&amp;$Z$3))</f>
        <v>0</v>
      </c>
      <c r="P534" s="49">
        <v>0</v>
      </c>
      <c r="Q534" s="49">
        <v>0</v>
      </c>
      <c r="R534" s="49">
        <v>0</v>
      </c>
    </row>
    <row r="535" spans="1:18">
      <c r="A535" t="s">
        <v>1114</v>
      </c>
      <c r="B535" s="47">
        <f>SUMIFS(LS[Unit],LS[Investor ID],'TAX CERTIFICATE'!A535,LS[Date Value],"&lt;"&amp;$Z$2)+SUMIFS(SIP[Unit],SIP[Investor ID],'TAX CERTIFICATE'!A535,SIP[Date Value],"&lt;"&amp;$Z$2)</f>
        <v>0</v>
      </c>
      <c r="C535" s="48">
        <f>(SUMIFS(LS[Amount],LS[B/S],"B",LS[Investor ID],A535,LS[Date Value],"&lt;"&amp;$Z$2)-SUMIFS(LS[Cost of Units Sold],LS[B/S],"S",LS[Investor ID],A535,LS[Date Value],"&lt;"&amp;$Z$2))+(SUMIFS(SIP[Amount],SIP[B/S],"B",SIP[Investor ID],#REF!,SIP[Date Value],"&lt;"&amp;$Z$2)-SUMIFS(SIP[Cost of Units Sold],SIP[B/S],"S",SIP[Investor ID],A535,SIP[Date Value],"&lt;"&amp;$Z$2))</f>
        <v>0</v>
      </c>
      <c r="D535" s="49">
        <f t="shared" si="40"/>
        <v>0</v>
      </c>
      <c r="E535" s="49">
        <f t="shared" si="41"/>
        <v>0</v>
      </c>
      <c r="F535" s="47">
        <f>SUMIFS(LS[Unit],LS[Investor ID],A535,LS[Date Value],"&lt;="&amp;$Z$3)+SUMIFS(SIP[Unit],SIP[Investor ID],A535,SIP[Date Value],"&lt;="&amp;$Z$3)</f>
        <v>614388</v>
      </c>
      <c r="G535" s="49">
        <f>(SUMIFS(LS[Amount],LS[B/S],"B",LS[Investor ID],A535,LS[Date Value],"&lt;="&amp;$Z$3)-SUMIFS(LS[Cost of Units Sold],LS[B/S],"S",LS[Investor ID],A535,LS[Date Value],"&lt;="&amp;$Z$3))+(SUMIFS(SIP[Amount],SIP[B/S],"B",SIP[Investor ID],A535,SIP[Date Value],"&lt;="&amp;$Z$3)-SUMIFS(SIP[Cost of Units Sold],SIP[B/S],"S",SIP[Investor ID],A535,SIP[Date Value],"&lt;="&amp;$Z$3))</f>
        <v>6804963.2535786163</v>
      </c>
      <c r="H535" s="49">
        <f t="shared" si="42"/>
        <v>6859027.6320000002</v>
      </c>
      <c r="I535" s="49">
        <f t="shared" si="43"/>
        <v>54064.37842138391</v>
      </c>
      <c r="J535" s="47">
        <f>(SUMIFS(LS[Unit],LS[Investor ID],A535,LS[B/S],"B",LS[Date Value],"&gt;="&amp;$Z$2,LS[Date Value],"&lt;="&amp;$Z$3))+(SUMIFS(SIP[Unit],SIP[Investor ID],A535,SIP[B/S],"B",SIP[Date Value],"&gt;="&amp;$Z$2,SIP[Date Value],"&lt;="&amp;$Z$3))</f>
        <v>1098469</v>
      </c>
      <c r="K535" s="49">
        <f>(SUMIFS(LS[Amount],LS[Investor ID],A535,LS[B/S],"B",LS[Date Value],"&gt;="&amp;$Z$2,LS[Date Value],"&lt;="&amp;$Z$3))+(SUMIFS(SIP[Amount],SIP[Investor ID],A535,SIP[B/S],"B",SIP[Date Value],"&gt;="&amp;$Z$2,SIP[Date Value],"&lt;="&amp;$Z$3))</f>
        <v>12104000</v>
      </c>
      <c r="L535" s="47">
        <f>(-SUMIFS(LS[Unit],LS[Investor ID],A535,LS[B/S],"S",LS[Date Value],"&gt;="&amp;$Z$2,LS[Date Value],"&lt;="&amp;$Z$3))+(-SUMIFS(SIP[Unit],SIP[Investor ID],A535,SIP[B/S],"S",SIP[Date Value],"&gt;="&amp;$Z$2,SIP[Date Value],"&lt;="&amp;$Z$3))</f>
        <v>484081</v>
      </c>
      <c r="M535" s="49">
        <f>(SUMIFS(LS[Cost of Units Sold],LS[Investor ID],A535,LS[B/S],"S",LS[Date Value],"&gt;="&amp;$Z$2,LS[Date Value],"&lt;="&amp;$Z$3))+(SUMIFS(SIP[Cost of Units Sold],SIP[Investor ID],A535,SIP[B/S],"S",SIP[Date Value],"&gt;="&amp;$Z$2,SIP[Date Value],"&lt;="&amp;$Z$3))</f>
        <v>5299036.7464213837</v>
      </c>
      <c r="N535" s="49">
        <f t="shared" si="44"/>
        <v>6804963.2535786163</v>
      </c>
      <c r="O535" s="49">
        <f>(SUMIFS(LS[Realized Gain],LS[Investor ID],A535,LS[Date Value],"&gt;="&amp;$Z$2,LS[Date Value],"&lt;="&amp;$Z$3))+(SUMIFS(SIP[Realized Gain],SIP[Investor ID],A535,SIP[Date Value],"&gt;="&amp;$Z$2,SIP[Date Value],"&lt;="&amp;$Z$3))</f>
        <v>70793.25357861619</v>
      </c>
      <c r="P535" s="49">
        <v>0</v>
      </c>
      <c r="Q535" s="49">
        <v>0</v>
      </c>
      <c r="R535" s="49">
        <v>0</v>
      </c>
    </row>
    <row r="536" spans="1:18">
      <c r="A536" t="s">
        <v>1116</v>
      </c>
      <c r="B536" s="47">
        <f>SUMIFS(LS[Unit],LS[Investor ID],'TAX CERTIFICATE'!A536,LS[Date Value],"&lt;"&amp;$Z$2)+SUMIFS(SIP[Unit],SIP[Investor ID],'TAX CERTIFICATE'!A536,SIP[Date Value],"&lt;"&amp;$Z$2)</f>
        <v>0</v>
      </c>
      <c r="C536" s="48">
        <f>(SUMIFS(LS[Amount],LS[B/S],"B",LS[Investor ID],A536,LS[Date Value],"&lt;"&amp;$Z$2)-SUMIFS(LS[Cost of Units Sold],LS[B/S],"S",LS[Investor ID],A536,LS[Date Value],"&lt;"&amp;$Z$2))+(SUMIFS(SIP[Amount],SIP[B/S],"B",SIP[Investor ID],#REF!,SIP[Date Value],"&lt;"&amp;$Z$2)-SUMIFS(SIP[Cost of Units Sold],SIP[B/S],"S",SIP[Investor ID],A536,SIP[Date Value],"&lt;"&amp;$Z$2))</f>
        <v>0</v>
      </c>
      <c r="D536" s="49">
        <f t="shared" si="40"/>
        <v>0</v>
      </c>
      <c r="E536" s="49">
        <f t="shared" si="41"/>
        <v>0</v>
      </c>
      <c r="F536" s="47">
        <f>SUMIFS(LS[Unit],LS[Investor ID],A536,LS[Date Value],"&lt;="&amp;$Z$3)+SUMIFS(SIP[Unit],SIP[Investor ID],A536,SIP[Date Value],"&lt;="&amp;$Z$3)</f>
        <v>1192</v>
      </c>
      <c r="G536" s="49">
        <f>(SUMIFS(LS[Amount],LS[B/S],"B",LS[Investor ID],A536,LS[Date Value],"&lt;="&amp;$Z$3)-SUMIFS(LS[Cost of Units Sold],LS[B/S],"S",LS[Investor ID],A536,LS[Date Value],"&lt;="&amp;$Z$3))+(SUMIFS(SIP[Amount],SIP[B/S],"B",SIP[Investor ID],A536,SIP[Date Value],"&lt;="&amp;$Z$3)-SUMIFS(SIP[Cost of Units Sold],SIP[B/S],"S",SIP[Investor ID],A536,SIP[Date Value],"&lt;="&amp;$Z$3))</f>
        <v>13000</v>
      </c>
      <c r="H536" s="49">
        <f t="shared" si="42"/>
        <v>13307.487999999999</v>
      </c>
      <c r="I536" s="49">
        <f t="shared" si="43"/>
        <v>307.48799999999937</v>
      </c>
      <c r="J536" s="47">
        <f>(SUMIFS(LS[Unit],LS[Investor ID],A536,LS[B/S],"B",LS[Date Value],"&gt;="&amp;$Z$2,LS[Date Value],"&lt;="&amp;$Z$3))+(SUMIFS(SIP[Unit],SIP[Investor ID],A536,SIP[B/S],"B",SIP[Date Value],"&gt;="&amp;$Z$2,SIP[Date Value],"&lt;="&amp;$Z$3))</f>
        <v>1192</v>
      </c>
      <c r="K536" s="49">
        <f>(SUMIFS(LS[Amount],LS[Investor ID],A536,LS[B/S],"B",LS[Date Value],"&gt;="&amp;$Z$2,LS[Date Value],"&lt;="&amp;$Z$3))+(SUMIFS(SIP[Amount],SIP[Investor ID],A536,SIP[B/S],"B",SIP[Date Value],"&gt;="&amp;$Z$2,SIP[Date Value],"&lt;="&amp;$Z$3))</f>
        <v>13000</v>
      </c>
      <c r="L536" s="47">
        <f>(-SUMIFS(LS[Unit],LS[Investor ID],A536,LS[B/S],"S",LS[Date Value],"&gt;="&amp;$Z$2,LS[Date Value],"&lt;="&amp;$Z$3))+(-SUMIFS(SIP[Unit],SIP[Investor ID],A536,SIP[B/S],"S",SIP[Date Value],"&gt;="&amp;$Z$2,SIP[Date Value],"&lt;="&amp;$Z$3))</f>
        <v>0</v>
      </c>
      <c r="M536" s="49">
        <f>(SUMIFS(LS[Cost of Units Sold],LS[Investor ID],A536,LS[B/S],"S",LS[Date Value],"&gt;="&amp;$Z$2,LS[Date Value],"&lt;="&amp;$Z$3))+(SUMIFS(SIP[Cost of Units Sold],SIP[Investor ID],A536,SIP[B/S],"S",SIP[Date Value],"&gt;="&amp;$Z$2,SIP[Date Value],"&lt;="&amp;$Z$3))</f>
        <v>0</v>
      </c>
      <c r="N536" s="49">
        <f t="shared" si="44"/>
        <v>13000</v>
      </c>
      <c r="O536" s="49">
        <f>(SUMIFS(LS[Realized Gain],LS[Investor ID],A536,LS[Date Value],"&gt;="&amp;$Z$2,LS[Date Value],"&lt;="&amp;$Z$3))+(SUMIFS(SIP[Realized Gain],SIP[Investor ID],A536,SIP[Date Value],"&gt;="&amp;$Z$2,SIP[Date Value],"&lt;="&amp;$Z$3))</f>
        <v>0</v>
      </c>
      <c r="P536" s="49">
        <v>0</v>
      </c>
      <c r="Q536" s="49">
        <v>0</v>
      </c>
      <c r="R536" s="49">
        <v>0</v>
      </c>
    </row>
    <row r="537" spans="1:18">
      <c r="A537" t="s">
        <v>1118</v>
      </c>
      <c r="B537" s="47">
        <f>SUMIFS(LS[Unit],LS[Investor ID],'TAX CERTIFICATE'!A537,LS[Date Value],"&lt;"&amp;$Z$2)+SUMIFS(SIP[Unit],SIP[Investor ID],'TAX CERTIFICATE'!A537,SIP[Date Value],"&lt;"&amp;$Z$2)</f>
        <v>0</v>
      </c>
      <c r="C537" s="48">
        <f>(SUMIFS(LS[Amount],LS[B/S],"B",LS[Investor ID],A537,LS[Date Value],"&lt;"&amp;$Z$2)-SUMIFS(LS[Cost of Units Sold],LS[B/S],"S",LS[Investor ID],A537,LS[Date Value],"&lt;"&amp;$Z$2))+(SUMIFS(SIP[Amount],SIP[B/S],"B",SIP[Investor ID],#REF!,SIP[Date Value],"&lt;"&amp;$Z$2)-SUMIFS(SIP[Cost of Units Sold],SIP[B/S],"S",SIP[Investor ID],A537,SIP[Date Value],"&lt;"&amp;$Z$2))</f>
        <v>0</v>
      </c>
      <c r="D537" s="49">
        <f t="shared" si="40"/>
        <v>0</v>
      </c>
      <c r="E537" s="49">
        <f t="shared" si="41"/>
        <v>0</v>
      </c>
      <c r="F537" s="47">
        <f>SUMIFS(LS[Unit],LS[Investor ID],A537,LS[Date Value],"&lt;="&amp;$Z$3)+SUMIFS(SIP[Unit],SIP[Investor ID],A537,SIP[Date Value],"&lt;="&amp;$Z$3)</f>
        <v>110041</v>
      </c>
      <c r="G537" s="49">
        <f>(SUMIFS(LS[Amount],LS[B/S],"B",LS[Investor ID],A537,LS[Date Value],"&lt;="&amp;$Z$3)-SUMIFS(LS[Cost of Units Sold],LS[B/S],"S",LS[Investor ID],A537,LS[Date Value],"&lt;="&amp;$Z$3))+(SUMIFS(SIP[Amount],SIP[B/S],"B",SIP[Investor ID],A537,SIP[Date Value],"&lt;="&amp;$Z$3)-SUMIFS(SIP[Cost of Units Sold],SIP[B/S],"S",SIP[Investor ID],A537,SIP[Date Value],"&lt;="&amp;$Z$3))</f>
        <v>1200000</v>
      </c>
      <c r="H537" s="49">
        <f t="shared" si="42"/>
        <v>1228497.7239999999</v>
      </c>
      <c r="I537" s="49">
        <f t="shared" si="43"/>
        <v>28497.723999999929</v>
      </c>
      <c r="J537" s="47">
        <f>(SUMIFS(LS[Unit],LS[Investor ID],A537,LS[B/S],"B",LS[Date Value],"&gt;="&amp;$Z$2,LS[Date Value],"&lt;="&amp;$Z$3))+(SUMIFS(SIP[Unit],SIP[Investor ID],A537,SIP[B/S],"B",SIP[Date Value],"&gt;="&amp;$Z$2,SIP[Date Value],"&lt;="&amp;$Z$3))</f>
        <v>110041</v>
      </c>
      <c r="K537" s="49">
        <f>(SUMIFS(LS[Amount],LS[Investor ID],A537,LS[B/S],"B",LS[Date Value],"&gt;="&amp;$Z$2,LS[Date Value],"&lt;="&amp;$Z$3))+(SUMIFS(SIP[Amount],SIP[Investor ID],A537,SIP[B/S],"B",SIP[Date Value],"&gt;="&amp;$Z$2,SIP[Date Value],"&lt;="&amp;$Z$3))</f>
        <v>1200000</v>
      </c>
      <c r="L537" s="47">
        <f>(-SUMIFS(LS[Unit],LS[Investor ID],A537,LS[B/S],"S",LS[Date Value],"&gt;="&amp;$Z$2,LS[Date Value],"&lt;="&amp;$Z$3))+(-SUMIFS(SIP[Unit],SIP[Investor ID],A537,SIP[B/S],"S",SIP[Date Value],"&gt;="&amp;$Z$2,SIP[Date Value],"&lt;="&amp;$Z$3))</f>
        <v>0</v>
      </c>
      <c r="M537" s="49">
        <f>(SUMIFS(LS[Cost of Units Sold],LS[Investor ID],A537,LS[B/S],"S",LS[Date Value],"&gt;="&amp;$Z$2,LS[Date Value],"&lt;="&amp;$Z$3))+(SUMIFS(SIP[Cost of Units Sold],SIP[Investor ID],A537,SIP[B/S],"S",SIP[Date Value],"&gt;="&amp;$Z$2,SIP[Date Value],"&lt;="&amp;$Z$3))</f>
        <v>0</v>
      </c>
      <c r="N537" s="49">
        <f t="shared" si="44"/>
        <v>1200000</v>
      </c>
      <c r="O537" s="49">
        <f>(SUMIFS(LS[Realized Gain],LS[Investor ID],A537,LS[Date Value],"&gt;="&amp;$Z$2,LS[Date Value],"&lt;="&amp;$Z$3))+(SUMIFS(SIP[Realized Gain],SIP[Investor ID],A537,SIP[Date Value],"&gt;="&amp;$Z$2,SIP[Date Value],"&lt;="&amp;$Z$3))</f>
        <v>0</v>
      </c>
      <c r="P537" s="49">
        <v>0</v>
      </c>
      <c r="Q537" s="49">
        <v>0</v>
      </c>
      <c r="R537" s="49">
        <v>0</v>
      </c>
    </row>
    <row r="538" spans="1:18">
      <c r="A538" t="s">
        <v>1120</v>
      </c>
      <c r="B538" s="47">
        <f>SUMIFS(LS[Unit],LS[Investor ID],'TAX CERTIFICATE'!A538,LS[Date Value],"&lt;"&amp;$Z$2)+SUMIFS(SIP[Unit],SIP[Investor ID],'TAX CERTIFICATE'!A538,SIP[Date Value],"&lt;"&amp;$Z$2)</f>
        <v>0</v>
      </c>
      <c r="C538" s="48">
        <f>(SUMIFS(LS[Amount],LS[B/S],"B",LS[Investor ID],A538,LS[Date Value],"&lt;"&amp;$Z$2)-SUMIFS(LS[Cost of Units Sold],LS[B/S],"S",LS[Investor ID],A538,LS[Date Value],"&lt;"&amp;$Z$2))+(SUMIFS(SIP[Amount],SIP[B/S],"B",SIP[Investor ID],#REF!,SIP[Date Value],"&lt;"&amp;$Z$2)-SUMIFS(SIP[Cost of Units Sold],SIP[B/S],"S",SIP[Investor ID],A538,SIP[Date Value],"&lt;"&amp;$Z$2))</f>
        <v>0</v>
      </c>
      <c r="D538" s="49">
        <f t="shared" si="40"/>
        <v>0</v>
      </c>
      <c r="E538" s="49">
        <f t="shared" si="41"/>
        <v>0</v>
      </c>
      <c r="F538" s="47">
        <f>SUMIFS(LS[Unit],LS[Investor ID],A538,LS[Date Value],"&lt;="&amp;$Z$3)+SUMIFS(SIP[Unit],SIP[Investor ID],A538,SIP[Date Value],"&lt;="&amp;$Z$3)</f>
        <v>4577</v>
      </c>
      <c r="G538" s="49">
        <f>(SUMIFS(LS[Amount],LS[B/S],"B",LS[Investor ID],A538,LS[Date Value],"&lt;="&amp;$Z$3)-SUMIFS(LS[Cost of Units Sold],LS[B/S],"S",LS[Investor ID],A538,LS[Date Value],"&lt;="&amp;$Z$3))+(SUMIFS(SIP[Amount],SIP[B/S],"B",SIP[Investor ID],A538,SIP[Date Value],"&lt;="&amp;$Z$3)-SUMIFS(SIP[Cost of Units Sold],SIP[B/S],"S",SIP[Investor ID],A538,SIP[Date Value],"&lt;="&amp;$Z$3))</f>
        <v>50008</v>
      </c>
      <c r="H538" s="49">
        <f t="shared" si="42"/>
        <v>51097.627999999997</v>
      </c>
      <c r="I538" s="49">
        <f t="shared" si="43"/>
        <v>1089.627999999997</v>
      </c>
      <c r="J538" s="47">
        <f>(SUMIFS(LS[Unit],LS[Investor ID],A538,LS[B/S],"B",LS[Date Value],"&gt;="&amp;$Z$2,LS[Date Value],"&lt;="&amp;$Z$3))+(SUMIFS(SIP[Unit],SIP[Investor ID],A538,SIP[B/S],"B",SIP[Date Value],"&gt;="&amp;$Z$2,SIP[Date Value],"&lt;="&amp;$Z$3))</f>
        <v>4577</v>
      </c>
      <c r="K538" s="49">
        <f>(SUMIFS(LS[Amount],LS[Investor ID],A538,LS[B/S],"B",LS[Date Value],"&gt;="&amp;$Z$2,LS[Date Value],"&lt;="&amp;$Z$3))+(SUMIFS(SIP[Amount],SIP[Investor ID],A538,SIP[B/S],"B",SIP[Date Value],"&gt;="&amp;$Z$2,SIP[Date Value],"&lt;="&amp;$Z$3))</f>
        <v>50008</v>
      </c>
      <c r="L538" s="47">
        <f>(-SUMIFS(LS[Unit],LS[Investor ID],A538,LS[B/S],"S",LS[Date Value],"&gt;="&amp;$Z$2,LS[Date Value],"&lt;="&amp;$Z$3))+(-SUMIFS(SIP[Unit],SIP[Investor ID],A538,SIP[B/S],"S",SIP[Date Value],"&gt;="&amp;$Z$2,SIP[Date Value],"&lt;="&amp;$Z$3))</f>
        <v>0</v>
      </c>
      <c r="M538" s="49">
        <f>(SUMIFS(LS[Cost of Units Sold],LS[Investor ID],A538,LS[B/S],"S",LS[Date Value],"&gt;="&amp;$Z$2,LS[Date Value],"&lt;="&amp;$Z$3))+(SUMIFS(SIP[Cost of Units Sold],SIP[Investor ID],A538,SIP[B/S],"S",SIP[Date Value],"&gt;="&amp;$Z$2,SIP[Date Value],"&lt;="&amp;$Z$3))</f>
        <v>0</v>
      </c>
      <c r="N538" s="49">
        <f t="shared" si="44"/>
        <v>50008</v>
      </c>
      <c r="O538" s="49">
        <f>(SUMIFS(LS[Realized Gain],LS[Investor ID],A538,LS[Date Value],"&gt;="&amp;$Z$2,LS[Date Value],"&lt;="&amp;$Z$3))+(SUMIFS(SIP[Realized Gain],SIP[Investor ID],A538,SIP[Date Value],"&gt;="&amp;$Z$2,SIP[Date Value],"&lt;="&amp;$Z$3))</f>
        <v>0</v>
      </c>
      <c r="P538" s="49">
        <v>0</v>
      </c>
      <c r="Q538" s="49">
        <v>0</v>
      </c>
      <c r="R538" s="49">
        <v>0</v>
      </c>
    </row>
    <row r="539" spans="1:18">
      <c r="A539" t="s">
        <v>1122</v>
      </c>
      <c r="B539" s="47">
        <f>SUMIFS(LS[Unit],LS[Investor ID],'TAX CERTIFICATE'!A539,LS[Date Value],"&lt;"&amp;$Z$2)+SUMIFS(SIP[Unit],SIP[Investor ID],'TAX CERTIFICATE'!A539,SIP[Date Value],"&lt;"&amp;$Z$2)</f>
        <v>0</v>
      </c>
      <c r="C539" s="48">
        <f>(SUMIFS(LS[Amount],LS[B/S],"B",LS[Investor ID],A539,LS[Date Value],"&lt;"&amp;$Z$2)-SUMIFS(LS[Cost of Units Sold],LS[B/S],"S",LS[Investor ID],A539,LS[Date Value],"&lt;"&amp;$Z$2))+(SUMIFS(SIP[Amount],SIP[B/S],"B",SIP[Investor ID],#REF!,SIP[Date Value],"&lt;"&amp;$Z$2)-SUMIFS(SIP[Cost of Units Sold],SIP[B/S],"S",SIP[Investor ID],A539,SIP[Date Value],"&lt;"&amp;$Z$2))</f>
        <v>0</v>
      </c>
      <c r="D539" s="49">
        <f t="shared" si="40"/>
        <v>0</v>
      </c>
      <c r="E539" s="49">
        <f t="shared" si="41"/>
        <v>0</v>
      </c>
      <c r="F539" s="47">
        <f>SUMIFS(LS[Unit],LS[Investor ID],A539,LS[Date Value],"&lt;="&amp;$Z$3)+SUMIFS(SIP[Unit],SIP[Investor ID],A539,SIP[Date Value],"&lt;="&amp;$Z$3)</f>
        <v>3168</v>
      </c>
      <c r="G539" s="49">
        <f>(SUMIFS(LS[Amount],LS[B/S],"B",LS[Investor ID],A539,LS[Date Value],"&lt;="&amp;$Z$3)-SUMIFS(LS[Cost of Units Sold],LS[B/S],"S",LS[Investor ID],A539,LS[Date Value],"&lt;="&amp;$Z$3))+(SUMIFS(SIP[Amount],SIP[B/S],"B",SIP[Investor ID],A539,SIP[Date Value],"&lt;="&amp;$Z$3)-SUMIFS(SIP[Cost of Units Sold],SIP[B/S],"S",SIP[Investor ID],A539,SIP[Date Value],"&lt;="&amp;$Z$3))</f>
        <v>35000</v>
      </c>
      <c r="H539" s="49">
        <f t="shared" si="42"/>
        <v>35367.551999999996</v>
      </c>
      <c r="I539" s="49">
        <f t="shared" si="43"/>
        <v>367.55199999999604</v>
      </c>
      <c r="J539" s="47">
        <f>(SUMIFS(LS[Unit],LS[Investor ID],A539,LS[B/S],"B",LS[Date Value],"&gt;="&amp;$Z$2,LS[Date Value],"&lt;="&amp;$Z$3))+(SUMIFS(SIP[Unit],SIP[Investor ID],A539,SIP[B/S],"B",SIP[Date Value],"&gt;="&amp;$Z$2,SIP[Date Value],"&lt;="&amp;$Z$3))</f>
        <v>3168</v>
      </c>
      <c r="K539" s="49">
        <f>(SUMIFS(LS[Amount],LS[Investor ID],A539,LS[B/S],"B",LS[Date Value],"&gt;="&amp;$Z$2,LS[Date Value],"&lt;="&amp;$Z$3))+(SUMIFS(SIP[Amount],SIP[Investor ID],A539,SIP[B/S],"B",SIP[Date Value],"&gt;="&amp;$Z$2,SIP[Date Value],"&lt;="&amp;$Z$3))</f>
        <v>35000</v>
      </c>
      <c r="L539" s="47">
        <f>(-SUMIFS(LS[Unit],LS[Investor ID],A539,LS[B/S],"S",LS[Date Value],"&gt;="&amp;$Z$2,LS[Date Value],"&lt;="&amp;$Z$3))+(-SUMIFS(SIP[Unit],SIP[Investor ID],A539,SIP[B/S],"S",SIP[Date Value],"&gt;="&amp;$Z$2,SIP[Date Value],"&lt;="&amp;$Z$3))</f>
        <v>0</v>
      </c>
      <c r="M539" s="49">
        <f>(SUMIFS(LS[Cost of Units Sold],LS[Investor ID],A539,LS[B/S],"S",LS[Date Value],"&gt;="&amp;$Z$2,LS[Date Value],"&lt;="&amp;$Z$3))+(SUMIFS(SIP[Cost of Units Sold],SIP[Investor ID],A539,SIP[B/S],"S",SIP[Date Value],"&gt;="&amp;$Z$2,SIP[Date Value],"&lt;="&amp;$Z$3))</f>
        <v>0</v>
      </c>
      <c r="N539" s="49">
        <f t="shared" si="44"/>
        <v>35000</v>
      </c>
      <c r="O539" s="49">
        <f>(SUMIFS(LS[Realized Gain],LS[Investor ID],A539,LS[Date Value],"&gt;="&amp;$Z$2,LS[Date Value],"&lt;="&amp;$Z$3))+(SUMIFS(SIP[Realized Gain],SIP[Investor ID],A539,SIP[Date Value],"&gt;="&amp;$Z$2,SIP[Date Value],"&lt;="&amp;$Z$3))</f>
        <v>0</v>
      </c>
      <c r="P539" s="49">
        <v>0</v>
      </c>
      <c r="Q539" s="49">
        <v>0</v>
      </c>
      <c r="R539" s="49">
        <v>0</v>
      </c>
    </row>
    <row r="540" spans="1:18">
      <c r="A540" t="s">
        <v>1124</v>
      </c>
      <c r="B540" s="47">
        <f>SUMIFS(LS[Unit],LS[Investor ID],'TAX CERTIFICATE'!A540,LS[Date Value],"&lt;"&amp;$Z$2)+SUMIFS(SIP[Unit],SIP[Investor ID],'TAX CERTIFICATE'!A540,SIP[Date Value],"&lt;"&amp;$Z$2)</f>
        <v>0</v>
      </c>
      <c r="C540" s="48">
        <f>(SUMIFS(LS[Amount],LS[B/S],"B",LS[Investor ID],A540,LS[Date Value],"&lt;"&amp;$Z$2)-SUMIFS(LS[Cost of Units Sold],LS[B/S],"S",LS[Investor ID],A540,LS[Date Value],"&lt;"&amp;$Z$2))+(SUMIFS(SIP[Amount],SIP[B/S],"B",SIP[Investor ID],#REF!,SIP[Date Value],"&lt;"&amp;$Z$2)-SUMIFS(SIP[Cost of Units Sold],SIP[B/S],"S",SIP[Investor ID],A540,SIP[Date Value],"&lt;"&amp;$Z$2))</f>
        <v>0</v>
      </c>
      <c r="D540" s="49">
        <f t="shared" si="40"/>
        <v>0</v>
      </c>
      <c r="E540" s="49">
        <f t="shared" si="41"/>
        <v>0</v>
      </c>
      <c r="F540" s="47">
        <f>SUMIFS(LS[Unit],LS[Investor ID],A540,LS[Date Value],"&lt;="&amp;$Z$3)+SUMIFS(SIP[Unit],SIP[Investor ID],A540,SIP[Date Value],"&lt;="&amp;$Z$3)</f>
        <v>271887</v>
      </c>
      <c r="G540" s="49">
        <f>(SUMIFS(LS[Amount],LS[B/S],"B",LS[Investor ID],A540,LS[Date Value],"&lt;="&amp;$Z$3)-SUMIFS(LS[Cost of Units Sold],LS[B/S],"S",LS[Investor ID],A540,LS[Date Value],"&lt;="&amp;$Z$3))+(SUMIFS(SIP[Amount],SIP[B/S],"B",SIP[Investor ID],A540,SIP[Date Value],"&lt;="&amp;$Z$3)-SUMIFS(SIP[Cost of Units Sold],SIP[B/S],"S",SIP[Investor ID],A540,SIP[Date Value],"&lt;="&amp;$Z$3))</f>
        <v>3000000</v>
      </c>
      <c r="H540" s="49">
        <f t="shared" si="42"/>
        <v>3035346.4679999999</v>
      </c>
      <c r="I540" s="49">
        <f t="shared" si="43"/>
        <v>35346.467999999877</v>
      </c>
      <c r="J540" s="47">
        <f>(SUMIFS(LS[Unit],LS[Investor ID],A540,LS[B/S],"B",LS[Date Value],"&gt;="&amp;$Z$2,LS[Date Value],"&lt;="&amp;$Z$3))+(SUMIFS(SIP[Unit],SIP[Investor ID],A540,SIP[B/S],"B",SIP[Date Value],"&gt;="&amp;$Z$2,SIP[Date Value],"&lt;="&amp;$Z$3))</f>
        <v>271887</v>
      </c>
      <c r="K540" s="49">
        <f>(SUMIFS(LS[Amount],LS[Investor ID],A540,LS[B/S],"B",LS[Date Value],"&gt;="&amp;$Z$2,LS[Date Value],"&lt;="&amp;$Z$3))+(SUMIFS(SIP[Amount],SIP[Investor ID],A540,SIP[B/S],"B",SIP[Date Value],"&gt;="&amp;$Z$2,SIP[Date Value],"&lt;="&amp;$Z$3))</f>
        <v>3000000</v>
      </c>
      <c r="L540" s="47">
        <f>(-SUMIFS(LS[Unit],LS[Investor ID],A540,LS[B/S],"S",LS[Date Value],"&gt;="&amp;$Z$2,LS[Date Value],"&lt;="&amp;$Z$3))+(-SUMIFS(SIP[Unit],SIP[Investor ID],A540,SIP[B/S],"S",SIP[Date Value],"&gt;="&amp;$Z$2,SIP[Date Value],"&lt;="&amp;$Z$3))</f>
        <v>0</v>
      </c>
      <c r="M540" s="49">
        <f>(SUMIFS(LS[Cost of Units Sold],LS[Investor ID],A540,LS[B/S],"S",LS[Date Value],"&gt;="&amp;$Z$2,LS[Date Value],"&lt;="&amp;$Z$3))+(SUMIFS(SIP[Cost of Units Sold],SIP[Investor ID],A540,SIP[B/S],"S",SIP[Date Value],"&gt;="&amp;$Z$2,SIP[Date Value],"&lt;="&amp;$Z$3))</f>
        <v>0</v>
      </c>
      <c r="N540" s="49">
        <f t="shared" si="44"/>
        <v>3000000</v>
      </c>
      <c r="O540" s="49">
        <f>(SUMIFS(LS[Realized Gain],LS[Investor ID],A540,LS[Date Value],"&gt;="&amp;$Z$2,LS[Date Value],"&lt;="&amp;$Z$3))+(SUMIFS(SIP[Realized Gain],SIP[Investor ID],A540,SIP[Date Value],"&gt;="&amp;$Z$2,SIP[Date Value],"&lt;="&amp;$Z$3))</f>
        <v>0</v>
      </c>
      <c r="P540" s="49">
        <v>0</v>
      </c>
      <c r="Q540" s="49">
        <v>0</v>
      </c>
      <c r="R540" s="49">
        <v>0</v>
      </c>
    </row>
    <row r="541" spans="1:18">
      <c r="A541" t="s">
        <v>1126</v>
      </c>
      <c r="B541" s="47">
        <f>SUMIFS(LS[Unit],LS[Investor ID],'TAX CERTIFICATE'!A541,LS[Date Value],"&lt;"&amp;$Z$2)+SUMIFS(SIP[Unit],SIP[Investor ID],'TAX CERTIFICATE'!A541,SIP[Date Value],"&lt;"&amp;$Z$2)</f>
        <v>0</v>
      </c>
      <c r="C541" s="48">
        <f>(SUMIFS(LS[Amount],LS[B/S],"B",LS[Investor ID],A541,LS[Date Value],"&lt;"&amp;$Z$2)-SUMIFS(LS[Cost of Units Sold],LS[B/S],"S",LS[Investor ID],A541,LS[Date Value],"&lt;"&amp;$Z$2))+(SUMIFS(SIP[Amount],SIP[B/S],"B",SIP[Investor ID],#REF!,SIP[Date Value],"&lt;"&amp;$Z$2)-SUMIFS(SIP[Cost of Units Sold],SIP[B/S],"S",SIP[Investor ID],A541,SIP[Date Value],"&lt;"&amp;$Z$2))</f>
        <v>0</v>
      </c>
      <c r="D541" s="49">
        <f t="shared" si="40"/>
        <v>0</v>
      </c>
      <c r="E541" s="49">
        <f t="shared" si="41"/>
        <v>0</v>
      </c>
      <c r="F541" s="47">
        <f>SUMIFS(LS[Unit],LS[Investor ID],A541,LS[Date Value],"&lt;="&amp;$Z$3)+SUMIFS(SIP[Unit],SIP[Investor ID],A541,SIP[Date Value],"&lt;="&amp;$Z$3)</f>
        <v>270150</v>
      </c>
      <c r="G541" s="49">
        <f>(SUMIFS(LS[Amount],LS[B/S],"B",LS[Investor ID],A541,LS[Date Value],"&lt;="&amp;$Z$3)-SUMIFS(LS[Cost of Units Sold],LS[B/S],"S",LS[Investor ID],A541,LS[Date Value],"&lt;="&amp;$Z$3))+(SUMIFS(SIP[Amount],SIP[B/S],"B",SIP[Investor ID],A541,SIP[Date Value],"&lt;="&amp;$Z$3)-SUMIFS(SIP[Cost of Units Sold],SIP[B/S],"S",SIP[Investor ID],A541,SIP[Date Value],"&lt;="&amp;$Z$3))</f>
        <v>2975165.6540812394</v>
      </c>
      <c r="H541" s="49">
        <f t="shared" si="42"/>
        <v>3015954.6</v>
      </c>
      <c r="I541" s="49">
        <f t="shared" si="43"/>
        <v>40788.945918760728</v>
      </c>
      <c r="J541" s="47">
        <f>(SUMIFS(LS[Unit],LS[Investor ID],A541,LS[B/S],"B",LS[Date Value],"&gt;="&amp;$Z$2,LS[Date Value],"&lt;="&amp;$Z$3))+(SUMIFS(SIP[Unit],SIP[Investor ID],A541,SIP[B/S],"B",SIP[Date Value],"&gt;="&amp;$Z$2,SIP[Date Value],"&lt;="&amp;$Z$3))</f>
        <v>272405</v>
      </c>
      <c r="K541" s="49">
        <f>(SUMIFS(LS[Amount],LS[Investor ID],A541,LS[B/S],"B",LS[Date Value],"&gt;="&amp;$Z$2,LS[Date Value],"&lt;="&amp;$Z$3))+(SUMIFS(SIP[Amount],SIP[Investor ID],A541,SIP[B/S],"B",SIP[Date Value],"&gt;="&amp;$Z$2,SIP[Date Value],"&lt;="&amp;$Z$3))</f>
        <v>3000000</v>
      </c>
      <c r="L541" s="47">
        <f>(-SUMIFS(LS[Unit],LS[Investor ID],A541,LS[B/S],"S",LS[Date Value],"&gt;="&amp;$Z$2,LS[Date Value],"&lt;="&amp;$Z$3))+(-SUMIFS(SIP[Unit],SIP[Investor ID],A541,SIP[B/S],"S",SIP[Date Value],"&gt;="&amp;$Z$2,SIP[Date Value],"&lt;="&amp;$Z$3))</f>
        <v>2255</v>
      </c>
      <c r="M541" s="49">
        <f>(SUMIFS(LS[Cost of Units Sold],LS[Investor ID],A541,LS[B/S],"S",LS[Date Value],"&gt;="&amp;$Z$2,LS[Date Value],"&lt;="&amp;$Z$3))+(SUMIFS(SIP[Cost of Units Sold],SIP[Investor ID],A541,SIP[B/S],"S",SIP[Date Value],"&gt;="&amp;$Z$2,SIP[Date Value],"&lt;="&amp;$Z$3))</f>
        <v>24834.345918760668</v>
      </c>
      <c r="N541" s="49">
        <f t="shared" si="44"/>
        <v>2975165.6540812394</v>
      </c>
      <c r="O541" s="49">
        <f>(SUMIFS(LS[Realized Gain],LS[Investor ID],A541,LS[Date Value],"&gt;="&amp;$Z$2,LS[Date Value],"&lt;="&amp;$Z$3))+(SUMIFS(SIP[Realized Gain],SIP[Investor ID],A541,SIP[Date Value],"&gt;="&amp;$Z$2,SIP[Date Value],"&lt;="&amp;$Z$3))</f>
        <v>207.43408123932875</v>
      </c>
      <c r="P541" s="49">
        <v>0</v>
      </c>
      <c r="Q541" s="49">
        <v>0</v>
      </c>
      <c r="R541" s="49">
        <v>0</v>
      </c>
    </row>
    <row r="542" spans="1:18">
      <c r="A542" t="s">
        <v>1128</v>
      </c>
      <c r="B542" s="47">
        <f>SUMIFS(LS[Unit],LS[Investor ID],'TAX CERTIFICATE'!A542,LS[Date Value],"&lt;"&amp;$Z$2)+SUMIFS(SIP[Unit],SIP[Investor ID],'TAX CERTIFICATE'!A542,SIP[Date Value],"&lt;"&amp;$Z$2)</f>
        <v>0</v>
      </c>
      <c r="C542" s="48">
        <f>(SUMIFS(LS[Amount],LS[B/S],"B",LS[Investor ID],A542,LS[Date Value],"&lt;"&amp;$Z$2)-SUMIFS(LS[Cost of Units Sold],LS[B/S],"S",LS[Investor ID],A542,LS[Date Value],"&lt;"&amp;$Z$2))+(SUMIFS(SIP[Amount],SIP[B/S],"B",SIP[Investor ID],#REF!,SIP[Date Value],"&lt;"&amp;$Z$2)-SUMIFS(SIP[Cost of Units Sold],SIP[B/S],"S",SIP[Investor ID],A542,SIP[Date Value],"&lt;"&amp;$Z$2))</f>
        <v>0</v>
      </c>
      <c r="D542" s="49">
        <f t="shared" si="40"/>
        <v>0</v>
      </c>
      <c r="E542" s="49">
        <f t="shared" si="41"/>
        <v>0</v>
      </c>
      <c r="F542" s="47">
        <f>SUMIFS(LS[Unit],LS[Investor ID],A542,LS[Date Value],"&lt;="&amp;$Z$3)+SUMIFS(SIP[Unit],SIP[Investor ID],A542,SIP[Date Value],"&lt;="&amp;$Z$3)</f>
        <v>181604</v>
      </c>
      <c r="G542" s="49">
        <f>(SUMIFS(LS[Amount],LS[B/S],"B",LS[Investor ID],A542,LS[Date Value],"&lt;="&amp;$Z$3)-SUMIFS(LS[Cost of Units Sold],LS[B/S],"S",LS[Investor ID],A542,LS[Date Value],"&lt;="&amp;$Z$3))+(SUMIFS(SIP[Amount],SIP[B/S],"B",SIP[Investor ID],A542,SIP[Date Value],"&lt;="&amp;$Z$3)-SUMIFS(SIP[Cost of Units Sold],SIP[B/S],"S",SIP[Investor ID],A542,SIP[Date Value],"&lt;="&amp;$Z$3))</f>
        <v>2000000</v>
      </c>
      <c r="H542" s="49">
        <f t="shared" si="42"/>
        <v>2027427.0559999999</v>
      </c>
      <c r="I542" s="49">
        <f t="shared" si="43"/>
        <v>27427.055999999866</v>
      </c>
      <c r="J542" s="47">
        <f>(SUMIFS(LS[Unit],LS[Investor ID],A542,LS[B/S],"B",LS[Date Value],"&gt;="&amp;$Z$2,LS[Date Value],"&lt;="&amp;$Z$3))+(SUMIFS(SIP[Unit],SIP[Investor ID],A542,SIP[B/S],"B",SIP[Date Value],"&gt;="&amp;$Z$2,SIP[Date Value],"&lt;="&amp;$Z$3))</f>
        <v>181604</v>
      </c>
      <c r="K542" s="49">
        <f>(SUMIFS(LS[Amount],LS[Investor ID],A542,LS[B/S],"B",LS[Date Value],"&gt;="&amp;$Z$2,LS[Date Value],"&lt;="&amp;$Z$3))+(SUMIFS(SIP[Amount],SIP[Investor ID],A542,SIP[B/S],"B",SIP[Date Value],"&gt;="&amp;$Z$2,SIP[Date Value],"&lt;="&amp;$Z$3))</f>
        <v>2000000</v>
      </c>
      <c r="L542" s="47">
        <f>(-SUMIFS(LS[Unit],LS[Investor ID],A542,LS[B/S],"S",LS[Date Value],"&gt;="&amp;$Z$2,LS[Date Value],"&lt;="&amp;$Z$3))+(-SUMIFS(SIP[Unit],SIP[Investor ID],A542,SIP[B/S],"S",SIP[Date Value],"&gt;="&amp;$Z$2,SIP[Date Value],"&lt;="&amp;$Z$3))</f>
        <v>0</v>
      </c>
      <c r="M542" s="49">
        <f>(SUMIFS(LS[Cost of Units Sold],LS[Investor ID],A542,LS[B/S],"S",LS[Date Value],"&gt;="&amp;$Z$2,LS[Date Value],"&lt;="&amp;$Z$3))+(SUMIFS(SIP[Cost of Units Sold],SIP[Investor ID],A542,SIP[B/S],"S",SIP[Date Value],"&gt;="&amp;$Z$2,SIP[Date Value],"&lt;="&amp;$Z$3))</f>
        <v>0</v>
      </c>
      <c r="N542" s="49">
        <f t="shared" si="44"/>
        <v>2000000</v>
      </c>
      <c r="O542" s="49">
        <f>(SUMIFS(LS[Realized Gain],LS[Investor ID],A542,LS[Date Value],"&gt;="&amp;$Z$2,LS[Date Value],"&lt;="&amp;$Z$3))+(SUMIFS(SIP[Realized Gain],SIP[Investor ID],A542,SIP[Date Value],"&gt;="&amp;$Z$2,SIP[Date Value],"&lt;="&amp;$Z$3))</f>
        <v>0</v>
      </c>
      <c r="P542" s="49">
        <v>0</v>
      </c>
      <c r="Q542" s="49">
        <v>0</v>
      </c>
      <c r="R542" s="49">
        <v>0</v>
      </c>
    </row>
    <row r="543" spans="1:18">
      <c r="A543" t="s">
        <v>1130</v>
      </c>
      <c r="B543" s="47">
        <f>SUMIFS(LS[Unit],LS[Investor ID],'TAX CERTIFICATE'!A543,LS[Date Value],"&lt;"&amp;$Z$2)+SUMIFS(SIP[Unit],SIP[Investor ID],'TAX CERTIFICATE'!A543,SIP[Date Value],"&lt;"&amp;$Z$2)</f>
        <v>0</v>
      </c>
      <c r="C543" s="48">
        <f>(SUMIFS(LS[Amount],LS[B/S],"B",LS[Investor ID],A543,LS[Date Value],"&lt;"&amp;$Z$2)-SUMIFS(LS[Cost of Units Sold],LS[B/S],"S",LS[Investor ID],A543,LS[Date Value],"&lt;"&amp;$Z$2))+(SUMIFS(SIP[Amount],SIP[B/S],"B",SIP[Investor ID],#REF!,SIP[Date Value],"&lt;"&amp;$Z$2)-SUMIFS(SIP[Cost of Units Sold],SIP[B/S],"S",SIP[Investor ID],A543,SIP[Date Value],"&lt;"&amp;$Z$2))</f>
        <v>0</v>
      </c>
      <c r="D543" s="49">
        <f t="shared" si="40"/>
        <v>0</v>
      </c>
      <c r="E543" s="49">
        <f t="shared" si="41"/>
        <v>0</v>
      </c>
      <c r="F543" s="47">
        <f>SUMIFS(LS[Unit],LS[Investor ID],A543,LS[Date Value],"&lt;="&amp;$Z$3)+SUMIFS(SIP[Unit],SIP[Investor ID],A543,SIP[Date Value],"&lt;="&amp;$Z$3)</f>
        <v>20812</v>
      </c>
      <c r="G543" s="49">
        <f>(SUMIFS(LS[Amount],LS[B/S],"B",LS[Investor ID],A543,LS[Date Value],"&lt;="&amp;$Z$3)-SUMIFS(LS[Cost of Units Sold],LS[B/S],"S",LS[Investor ID],A543,LS[Date Value],"&lt;="&amp;$Z$3))+(SUMIFS(SIP[Amount],SIP[B/S],"B",SIP[Investor ID],A543,SIP[Date Value],"&lt;="&amp;$Z$3)-SUMIFS(SIP[Cost of Units Sold],SIP[B/S],"S",SIP[Investor ID],A543,SIP[Date Value],"&lt;="&amp;$Z$3))</f>
        <v>230000</v>
      </c>
      <c r="H543" s="49">
        <f t="shared" si="42"/>
        <v>232345.16800000001</v>
      </c>
      <c r="I543" s="49">
        <f t="shared" si="43"/>
        <v>2345.1680000000051</v>
      </c>
      <c r="J543" s="47">
        <f>(SUMIFS(LS[Unit],LS[Investor ID],A543,LS[B/S],"B",LS[Date Value],"&gt;="&amp;$Z$2,LS[Date Value],"&lt;="&amp;$Z$3))+(SUMIFS(SIP[Unit],SIP[Investor ID],A543,SIP[B/S],"B",SIP[Date Value],"&gt;="&amp;$Z$2,SIP[Date Value],"&lt;="&amp;$Z$3))</f>
        <v>20812</v>
      </c>
      <c r="K543" s="49">
        <f>(SUMIFS(LS[Amount],LS[Investor ID],A543,LS[B/S],"B",LS[Date Value],"&gt;="&amp;$Z$2,LS[Date Value],"&lt;="&amp;$Z$3))+(SUMIFS(SIP[Amount],SIP[Investor ID],A543,SIP[B/S],"B",SIP[Date Value],"&gt;="&amp;$Z$2,SIP[Date Value],"&lt;="&amp;$Z$3))</f>
        <v>230000</v>
      </c>
      <c r="L543" s="47">
        <f>(-SUMIFS(LS[Unit],LS[Investor ID],A543,LS[B/S],"S",LS[Date Value],"&gt;="&amp;$Z$2,LS[Date Value],"&lt;="&amp;$Z$3))+(-SUMIFS(SIP[Unit],SIP[Investor ID],A543,SIP[B/S],"S",SIP[Date Value],"&gt;="&amp;$Z$2,SIP[Date Value],"&lt;="&amp;$Z$3))</f>
        <v>0</v>
      </c>
      <c r="M543" s="49">
        <f>(SUMIFS(LS[Cost of Units Sold],LS[Investor ID],A543,LS[B/S],"S",LS[Date Value],"&gt;="&amp;$Z$2,LS[Date Value],"&lt;="&amp;$Z$3))+(SUMIFS(SIP[Cost of Units Sold],SIP[Investor ID],A543,SIP[B/S],"S",SIP[Date Value],"&gt;="&amp;$Z$2,SIP[Date Value],"&lt;="&amp;$Z$3))</f>
        <v>0</v>
      </c>
      <c r="N543" s="49">
        <f t="shared" si="44"/>
        <v>230000</v>
      </c>
      <c r="O543" s="49">
        <f>(SUMIFS(LS[Realized Gain],LS[Investor ID],A543,LS[Date Value],"&gt;="&amp;$Z$2,LS[Date Value],"&lt;="&amp;$Z$3))+(SUMIFS(SIP[Realized Gain],SIP[Investor ID],A543,SIP[Date Value],"&gt;="&amp;$Z$2,SIP[Date Value],"&lt;="&amp;$Z$3))</f>
        <v>0</v>
      </c>
      <c r="P543" s="49">
        <v>0</v>
      </c>
      <c r="Q543" s="49">
        <v>0</v>
      </c>
      <c r="R543" s="49">
        <v>0</v>
      </c>
    </row>
    <row r="544" spans="1:18">
      <c r="A544" t="s">
        <v>1131</v>
      </c>
      <c r="B544" s="47">
        <f>SUMIFS(LS[Unit],LS[Investor ID],'TAX CERTIFICATE'!A544,LS[Date Value],"&lt;"&amp;$Z$2)+SUMIFS(SIP[Unit],SIP[Investor ID],'TAX CERTIFICATE'!A544,SIP[Date Value],"&lt;"&amp;$Z$2)</f>
        <v>0</v>
      </c>
      <c r="C544" s="48">
        <f>(SUMIFS(LS[Amount],LS[B/S],"B",LS[Investor ID],A544,LS[Date Value],"&lt;"&amp;$Z$2)-SUMIFS(LS[Cost of Units Sold],LS[B/S],"S",LS[Investor ID],A544,LS[Date Value],"&lt;"&amp;$Z$2))+(SUMIFS(SIP[Amount],SIP[B/S],"B",SIP[Investor ID],#REF!,SIP[Date Value],"&lt;"&amp;$Z$2)-SUMIFS(SIP[Cost of Units Sold],SIP[B/S],"S",SIP[Investor ID],A544,SIP[Date Value],"&lt;"&amp;$Z$2))</f>
        <v>0</v>
      </c>
      <c r="D544" s="49">
        <f t="shared" si="40"/>
        <v>0</v>
      </c>
      <c r="E544" s="49">
        <f t="shared" si="41"/>
        <v>0</v>
      </c>
      <c r="F544" s="47">
        <f>SUMIFS(LS[Unit],LS[Investor ID],A544,LS[Date Value],"&lt;="&amp;$Z$3)+SUMIFS(SIP[Unit],SIP[Investor ID],A544,SIP[Date Value],"&lt;="&amp;$Z$3)</f>
        <v>270149</v>
      </c>
      <c r="G544" s="49">
        <f>(SUMIFS(LS[Amount],LS[B/S],"B",LS[Investor ID],A544,LS[Date Value],"&lt;="&amp;$Z$3)-SUMIFS(LS[Cost of Units Sold],LS[B/S],"S",LS[Investor ID],A544,LS[Date Value],"&lt;="&amp;$Z$3))+(SUMIFS(SIP[Amount],SIP[B/S],"B",SIP[Investor ID],A544,SIP[Date Value],"&lt;="&amp;$Z$3)-SUMIFS(SIP[Cost of Units Sold],SIP[B/S],"S",SIP[Investor ID],A544,SIP[Date Value],"&lt;="&amp;$Z$3))</f>
        <v>3000000</v>
      </c>
      <c r="H544" s="49">
        <f t="shared" si="42"/>
        <v>3015943.4359999998</v>
      </c>
      <c r="I544" s="49">
        <f t="shared" si="43"/>
        <v>15943.435999999754</v>
      </c>
      <c r="J544" s="47">
        <f>(SUMIFS(LS[Unit],LS[Investor ID],A544,LS[B/S],"B",LS[Date Value],"&gt;="&amp;$Z$2,LS[Date Value],"&lt;="&amp;$Z$3))+(SUMIFS(SIP[Unit],SIP[Investor ID],A544,SIP[B/S],"B",SIP[Date Value],"&gt;="&amp;$Z$2,SIP[Date Value],"&lt;="&amp;$Z$3))</f>
        <v>270149</v>
      </c>
      <c r="K544" s="49">
        <f>(SUMIFS(LS[Amount],LS[Investor ID],A544,LS[B/S],"B",LS[Date Value],"&gt;="&amp;$Z$2,LS[Date Value],"&lt;="&amp;$Z$3))+(SUMIFS(SIP[Amount],SIP[Investor ID],A544,SIP[B/S],"B",SIP[Date Value],"&gt;="&amp;$Z$2,SIP[Date Value],"&lt;="&amp;$Z$3))</f>
        <v>3000000</v>
      </c>
      <c r="L544" s="47">
        <f>(-SUMIFS(LS[Unit],LS[Investor ID],A544,LS[B/S],"S",LS[Date Value],"&gt;="&amp;$Z$2,LS[Date Value],"&lt;="&amp;$Z$3))+(-SUMIFS(SIP[Unit],SIP[Investor ID],A544,SIP[B/S],"S",SIP[Date Value],"&gt;="&amp;$Z$2,SIP[Date Value],"&lt;="&amp;$Z$3))</f>
        <v>0</v>
      </c>
      <c r="M544" s="49">
        <f>(SUMIFS(LS[Cost of Units Sold],LS[Investor ID],A544,LS[B/S],"S",LS[Date Value],"&gt;="&amp;$Z$2,LS[Date Value],"&lt;="&amp;$Z$3))+(SUMIFS(SIP[Cost of Units Sold],SIP[Investor ID],A544,SIP[B/S],"S",SIP[Date Value],"&gt;="&amp;$Z$2,SIP[Date Value],"&lt;="&amp;$Z$3))</f>
        <v>0</v>
      </c>
      <c r="N544" s="49">
        <f t="shared" si="44"/>
        <v>3000000</v>
      </c>
      <c r="O544" s="49">
        <f>(SUMIFS(LS[Realized Gain],LS[Investor ID],A544,LS[Date Value],"&gt;="&amp;$Z$2,LS[Date Value],"&lt;="&amp;$Z$3))+(SUMIFS(SIP[Realized Gain],SIP[Investor ID],A544,SIP[Date Value],"&gt;="&amp;$Z$2,SIP[Date Value],"&lt;="&amp;$Z$3))</f>
        <v>0</v>
      </c>
      <c r="P544" s="49">
        <v>0</v>
      </c>
      <c r="Q544" s="49">
        <v>0</v>
      </c>
      <c r="R544" s="49">
        <v>0</v>
      </c>
    </row>
    <row r="545" spans="1:18">
      <c r="A545" t="s">
        <v>1133</v>
      </c>
      <c r="B545" s="47">
        <f>SUMIFS(LS[Unit],LS[Investor ID],'TAX CERTIFICATE'!A545,LS[Date Value],"&lt;"&amp;$Z$2)+SUMIFS(SIP[Unit],SIP[Investor ID],'TAX CERTIFICATE'!A545,SIP[Date Value],"&lt;"&amp;$Z$2)</f>
        <v>0</v>
      </c>
      <c r="C545" s="48">
        <f>(SUMIFS(LS[Amount],LS[B/S],"B",LS[Investor ID],A545,LS[Date Value],"&lt;"&amp;$Z$2)-SUMIFS(LS[Cost of Units Sold],LS[B/S],"S",LS[Investor ID],A545,LS[Date Value],"&lt;"&amp;$Z$2))+(SUMIFS(SIP[Amount],SIP[B/S],"B",SIP[Investor ID],#REF!,SIP[Date Value],"&lt;"&amp;$Z$2)-SUMIFS(SIP[Cost of Units Sold],SIP[B/S],"S",SIP[Investor ID],A545,SIP[Date Value],"&lt;"&amp;$Z$2))</f>
        <v>0</v>
      </c>
      <c r="D545" s="49">
        <f t="shared" si="40"/>
        <v>0</v>
      </c>
      <c r="E545" s="49">
        <f t="shared" si="41"/>
        <v>0</v>
      </c>
      <c r="F545" s="47">
        <f>SUMIFS(LS[Unit],LS[Investor ID],A545,LS[Date Value],"&lt;="&amp;$Z$3)+SUMIFS(SIP[Unit],SIP[Investor ID],A545,SIP[Date Value],"&lt;="&amp;$Z$3)</f>
        <v>163132</v>
      </c>
      <c r="G545" s="49">
        <f>(SUMIFS(LS[Amount],LS[B/S],"B",LS[Investor ID],A545,LS[Date Value],"&lt;="&amp;$Z$3)-SUMIFS(LS[Cost of Units Sold],LS[B/S],"S",LS[Investor ID],A545,LS[Date Value],"&lt;="&amp;$Z$3))+(SUMIFS(SIP[Amount],SIP[B/S],"B",SIP[Investor ID],A545,SIP[Date Value],"&lt;="&amp;$Z$3)-SUMIFS(SIP[Cost of Units Sold],SIP[B/S],"S",SIP[Investor ID],A545,SIP[Date Value],"&lt;="&amp;$Z$3))</f>
        <v>1800000</v>
      </c>
      <c r="H545" s="49">
        <f t="shared" si="42"/>
        <v>1821205.648</v>
      </c>
      <c r="I545" s="49">
        <f t="shared" si="43"/>
        <v>21205.648000000045</v>
      </c>
      <c r="J545" s="47">
        <f>(SUMIFS(LS[Unit],LS[Investor ID],A545,LS[B/S],"B",LS[Date Value],"&gt;="&amp;$Z$2,LS[Date Value],"&lt;="&amp;$Z$3))+(SUMIFS(SIP[Unit],SIP[Investor ID],A545,SIP[B/S],"B",SIP[Date Value],"&gt;="&amp;$Z$2,SIP[Date Value],"&lt;="&amp;$Z$3))</f>
        <v>163132</v>
      </c>
      <c r="K545" s="49">
        <f>(SUMIFS(LS[Amount],LS[Investor ID],A545,LS[B/S],"B",LS[Date Value],"&gt;="&amp;$Z$2,LS[Date Value],"&lt;="&amp;$Z$3))+(SUMIFS(SIP[Amount],SIP[Investor ID],A545,SIP[B/S],"B",SIP[Date Value],"&gt;="&amp;$Z$2,SIP[Date Value],"&lt;="&amp;$Z$3))</f>
        <v>1800000</v>
      </c>
      <c r="L545" s="47">
        <f>(-SUMIFS(LS[Unit],LS[Investor ID],A545,LS[B/S],"S",LS[Date Value],"&gt;="&amp;$Z$2,LS[Date Value],"&lt;="&amp;$Z$3))+(-SUMIFS(SIP[Unit],SIP[Investor ID],A545,SIP[B/S],"S",SIP[Date Value],"&gt;="&amp;$Z$2,SIP[Date Value],"&lt;="&amp;$Z$3))</f>
        <v>0</v>
      </c>
      <c r="M545" s="49">
        <f>(SUMIFS(LS[Cost of Units Sold],LS[Investor ID],A545,LS[B/S],"S",LS[Date Value],"&gt;="&amp;$Z$2,LS[Date Value],"&lt;="&amp;$Z$3))+(SUMIFS(SIP[Cost of Units Sold],SIP[Investor ID],A545,SIP[B/S],"S",SIP[Date Value],"&gt;="&amp;$Z$2,SIP[Date Value],"&lt;="&amp;$Z$3))</f>
        <v>0</v>
      </c>
      <c r="N545" s="49">
        <f t="shared" si="44"/>
        <v>1800000</v>
      </c>
      <c r="O545" s="49">
        <f>(SUMIFS(LS[Realized Gain],LS[Investor ID],A545,LS[Date Value],"&gt;="&amp;$Z$2,LS[Date Value],"&lt;="&amp;$Z$3))+(SUMIFS(SIP[Realized Gain],SIP[Investor ID],A545,SIP[Date Value],"&gt;="&amp;$Z$2,SIP[Date Value],"&lt;="&amp;$Z$3))</f>
        <v>0</v>
      </c>
      <c r="P545" s="49">
        <v>0</v>
      </c>
      <c r="Q545" s="49">
        <v>0</v>
      </c>
      <c r="R545" s="49">
        <v>0</v>
      </c>
    </row>
    <row r="546" spans="1:18">
      <c r="A546" t="s">
        <v>1135</v>
      </c>
      <c r="B546" s="47">
        <f>SUMIFS(LS[Unit],LS[Investor ID],'TAX CERTIFICATE'!A546,LS[Date Value],"&lt;"&amp;$Z$2)+SUMIFS(SIP[Unit],SIP[Investor ID],'TAX CERTIFICATE'!A546,SIP[Date Value],"&lt;"&amp;$Z$2)</f>
        <v>0</v>
      </c>
      <c r="C546" s="48">
        <f>(SUMIFS(LS[Amount],LS[B/S],"B",LS[Investor ID],A546,LS[Date Value],"&lt;"&amp;$Z$2)-SUMIFS(LS[Cost of Units Sold],LS[B/S],"S",LS[Investor ID],A546,LS[Date Value],"&lt;"&amp;$Z$2))+(SUMIFS(SIP[Amount],SIP[B/S],"B",SIP[Investor ID],#REF!,SIP[Date Value],"&lt;"&amp;$Z$2)-SUMIFS(SIP[Cost of Units Sold],SIP[B/S],"S",SIP[Investor ID],A546,SIP[Date Value],"&lt;"&amp;$Z$2))</f>
        <v>0</v>
      </c>
      <c r="D546" s="49">
        <f t="shared" si="40"/>
        <v>0</v>
      </c>
      <c r="E546" s="49">
        <f t="shared" si="41"/>
        <v>0</v>
      </c>
      <c r="F546" s="47">
        <f>SUMIFS(LS[Unit],LS[Investor ID],A546,LS[Date Value],"&lt;="&amp;$Z$3)+SUMIFS(SIP[Unit],SIP[Investor ID],A546,SIP[Date Value],"&lt;="&amp;$Z$3)</f>
        <v>27015</v>
      </c>
      <c r="G546" s="49">
        <f>(SUMIFS(LS[Amount],LS[B/S],"B",LS[Investor ID],A546,LS[Date Value],"&lt;="&amp;$Z$3)-SUMIFS(LS[Cost of Units Sold],LS[B/S],"S",LS[Investor ID],A546,LS[Date Value],"&lt;="&amp;$Z$3))+(SUMIFS(SIP[Amount],SIP[B/S],"B",SIP[Investor ID],A546,SIP[Date Value],"&lt;="&amp;$Z$3)-SUMIFS(SIP[Cost of Units Sold],SIP[B/S],"S",SIP[Investor ID],A546,SIP[Date Value],"&lt;="&amp;$Z$3))</f>
        <v>300000</v>
      </c>
      <c r="H546" s="49">
        <f t="shared" si="42"/>
        <v>301595.46000000002</v>
      </c>
      <c r="I546" s="49">
        <f t="shared" si="43"/>
        <v>1595.460000000021</v>
      </c>
      <c r="J546" s="47">
        <f>(SUMIFS(LS[Unit],LS[Investor ID],A546,LS[B/S],"B",LS[Date Value],"&gt;="&amp;$Z$2,LS[Date Value],"&lt;="&amp;$Z$3))+(SUMIFS(SIP[Unit],SIP[Investor ID],A546,SIP[B/S],"B",SIP[Date Value],"&gt;="&amp;$Z$2,SIP[Date Value],"&lt;="&amp;$Z$3))</f>
        <v>27015</v>
      </c>
      <c r="K546" s="49">
        <f>(SUMIFS(LS[Amount],LS[Investor ID],A546,LS[B/S],"B",LS[Date Value],"&gt;="&amp;$Z$2,LS[Date Value],"&lt;="&amp;$Z$3))+(SUMIFS(SIP[Amount],SIP[Investor ID],A546,SIP[B/S],"B",SIP[Date Value],"&gt;="&amp;$Z$2,SIP[Date Value],"&lt;="&amp;$Z$3))</f>
        <v>300000</v>
      </c>
      <c r="L546" s="47">
        <f>(-SUMIFS(LS[Unit],LS[Investor ID],A546,LS[B/S],"S",LS[Date Value],"&gt;="&amp;$Z$2,LS[Date Value],"&lt;="&amp;$Z$3))+(-SUMIFS(SIP[Unit],SIP[Investor ID],A546,SIP[B/S],"S",SIP[Date Value],"&gt;="&amp;$Z$2,SIP[Date Value],"&lt;="&amp;$Z$3))</f>
        <v>0</v>
      </c>
      <c r="M546" s="49">
        <f>(SUMIFS(LS[Cost of Units Sold],LS[Investor ID],A546,LS[B/S],"S",LS[Date Value],"&gt;="&amp;$Z$2,LS[Date Value],"&lt;="&amp;$Z$3))+(SUMIFS(SIP[Cost of Units Sold],SIP[Investor ID],A546,SIP[B/S],"S",SIP[Date Value],"&gt;="&amp;$Z$2,SIP[Date Value],"&lt;="&amp;$Z$3))</f>
        <v>0</v>
      </c>
      <c r="N546" s="49">
        <f t="shared" si="44"/>
        <v>300000</v>
      </c>
      <c r="O546" s="49">
        <f>(SUMIFS(LS[Realized Gain],LS[Investor ID],A546,LS[Date Value],"&gt;="&amp;$Z$2,LS[Date Value],"&lt;="&amp;$Z$3))+(SUMIFS(SIP[Realized Gain],SIP[Investor ID],A546,SIP[Date Value],"&gt;="&amp;$Z$2,SIP[Date Value],"&lt;="&amp;$Z$3))</f>
        <v>0</v>
      </c>
      <c r="P546" s="49">
        <v>0</v>
      </c>
      <c r="Q546" s="49">
        <v>0</v>
      </c>
      <c r="R546" s="49">
        <v>0</v>
      </c>
    </row>
    <row r="547" spans="1:18">
      <c r="A547" t="s">
        <v>1137</v>
      </c>
      <c r="B547" s="47">
        <f>SUMIFS(LS[Unit],LS[Investor ID],'TAX CERTIFICATE'!A547,LS[Date Value],"&lt;"&amp;$Z$2)+SUMIFS(SIP[Unit],SIP[Investor ID],'TAX CERTIFICATE'!A547,SIP[Date Value],"&lt;"&amp;$Z$2)</f>
        <v>0</v>
      </c>
      <c r="C547" s="48">
        <f>(SUMIFS(LS[Amount],LS[B/S],"B",LS[Investor ID],A547,LS[Date Value],"&lt;"&amp;$Z$2)-SUMIFS(LS[Cost of Units Sold],LS[B/S],"S",LS[Investor ID],A547,LS[Date Value],"&lt;"&amp;$Z$2))+(SUMIFS(SIP[Amount],SIP[B/S],"B",SIP[Investor ID],#REF!,SIP[Date Value],"&lt;"&amp;$Z$2)-SUMIFS(SIP[Cost of Units Sold],SIP[B/S],"S",SIP[Investor ID],A547,SIP[Date Value],"&lt;"&amp;$Z$2))</f>
        <v>0</v>
      </c>
      <c r="D547" s="49">
        <f t="shared" si="40"/>
        <v>0</v>
      </c>
      <c r="E547" s="49">
        <f t="shared" si="41"/>
        <v>0</v>
      </c>
      <c r="F547" s="47">
        <f>SUMIFS(LS[Unit],LS[Investor ID],A547,LS[Date Value],"&lt;="&amp;$Z$3)+SUMIFS(SIP[Unit],SIP[Investor ID],A547,SIP[Date Value],"&lt;="&amp;$Z$3)</f>
        <v>226572</v>
      </c>
      <c r="G547" s="49">
        <f>(SUMIFS(LS[Amount],LS[B/S],"B",LS[Investor ID],A547,LS[Date Value],"&lt;="&amp;$Z$3)-SUMIFS(LS[Cost of Units Sold],LS[B/S],"S",LS[Investor ID],A547,LS[Date Value],"&lt;="&amp;$Z$3))+(SUMIFS(SIP[Amount],SIP[B/S],"B",SIP[Investor ID],A547,SIP[Date Value],"&lt;="&amp;$Z$3)-SUMIFS(SIP[Cost of Units Sold],SIP[B/S],"S",SIP[Investor ID],A547,SIP[Date Value],"&lt;="&amp;$Z$3))</f>
        <v>2500000</v>
      </c>
      <c r="H547" s="49">
        <f t="shared" si="42"/>
        <v>2529449.8079999997</v>
      </c>
      <c r="I547" s="49">
        <f t="shared" si="43"/>
        <v>29449.807999999728</v>
      </c>
      <c r="J547" s="47">
        <f>(SUMIFS(LS[Unit],LS[Investor ID],A547,LS[B/S],"B",LS[Date Value],"&gt;="&amp;$Z$2,LS[Date Value],"&lt;="&amp;$Z$3))+(SUMIFS(SIP[Unit],SIP[Investor ID],A547,SIP[B/S],"B",SIP[Date Value],"&gt;="&amp;$Z$2,SIP[Date Value],"&lt;="&amp;$Z$3))</f>
        <v>226572</v>
      </c>
      <c r="K547" s="49">
        <f>(SUMIFS(LS[Amount],LS[Investor ID],A547,LS[B/S],"B",LS[Date Value],"&gt;="&amp;$Z$2,LS[Date Value],"&lt;="&amp;$Z$3))+(SUMIFS(SIP[Amount],SIP[Investor ID],A547,SIP[B/S],"B",SIP[Date Value],"&gt;="&amp;$Z$2,SIP[Date Value],"&lt;="&amp;$Z$3))</f>
        <v>2500000</v>
      </c>
      <c r="L547" s="47">
        <f>(-SUMIFS(LS[Unit],LS[Investor ID],A547,LS[B/S],"S",LS[Date Value],"&gt;="&amp;$Z$2,LS[Date Value],"&lt;="&amp;$Z$3))+(-SUMIFS(SIP[Unit],SIP[Investor ID],A547,SIP[B/S],"S",SIP[Date Value],"&gt;="&amp;$Z$2,SIP[Date Value],"&lt;="&amp;$Z$3))</f>
        <v>0</v>
      </c>
      <c r="M547" s="49">
        <f>(SUMIFS(LS[Cost of Units Sold],LS[Investor ID],A547,LS[B/S],"S",LS[Date Value],"&gt;="&amp;$Z$2,LS[Date Value],"&lt;="&amp;$Z$3))+(SUMIFS(SIP[Cost of Units Sold],SIP[Investor ID],A547,SIP[B/S],"S",SIP[Date Value],"&gt;="&amp;$Z$2,SIP[Date Value],"&lt;="&amp;$Z$3))</f>
        <v>0</v>
      </c>
      <c r="N547" s="49">
        <f t="shared" si="44"/>
        <v>2500000</v>
      </c>
      <c r="O547" s="49">
        <f>(SUMIFS(LS[Realized Gain],LS[Investor ID],A547,LS[Date Value],"&gt;="&amp;$Z$2,LS[Date Value],"&lt;="&amp;$Z$3))+(SUMIFS(SIP[Realized Gain],SIP[Investor ID],A547,SIP[Date Value],"&gt;="&amp;$Z$2,SIP[Date Value],"&lt;="&amp;$Z$3))</f>
        <v>0</v>
      </c>
      <c r="P547" s="49">
        <v>0</v>
      </c>
      <c r="Q547" s="49">
        <v>0</v>
      </c>
      <c r="R547" s="49">
        <v>0</v>
      </c>
    </row>
    <row r="548" spans="1:18">
      <c r="A548" t="s">
        <v>1139</v>
      </c>
      <c r="B548" s="47">
        <f>SUMIFS(LS[Unit],LS[Investor ID],'TAX CERTIFICATE'!A548,LS[Date Value],"&lt;"&amp;$Z$2)+SUMIFS(SIP[Unit],SIP[Investor ID],'TAX CERTIFICATE'!A548,SIP[Date Value],"&lt;"&amp;$Z$2)</f>
        <v>0</v>
      </c>
      <c r="C548" s="48">
        <f>(SUMIFS(LS[Amount],LS[B/S],"B",LS[Investor ID],A548,LS[Date Value],"&lt;"&amp;$Z$2)-SUMIFS(LS[Cost of Units Sold],LS[B/S],"S",LS[Investor ID],A548,LS[Date Value],"&lt;"&amp;$Z$2))+(SUMIFS(SIP[Amount],SIP[B/S],"B",SIP[Investor ID],#REF!,SIP[Date Value],"&lt;"&amp;$Z$2)-SUMIFS(SIP[Cost of Units Sold],SIP[B/S],"S",SIP[Investor ID],A548,SIP[Date Value],"&lt;"&amp;$Z$2))</f>
        <v>0</v>
      </c>
      <c r="D548" s="49">
        <f t="shared" si="40"/>
        <v>0</v>
      </c>
      <c r="E548" s="49">
        <f t="shared" si="41"/>
        <v>0</v>
      </c>
      <c r="F548" s="47">
        <f>SUMIFS(LS[Unit],LS[Investor ID],A548,LS[Date Value],"&lt;="&amp;$Z$3)+SUMIFS(SIP[Unit],SIP[Investor ID],A548,SIP[Date Value],"&lt;="&amp;$Z$3)</f>
        <v>453145</v>
      </c>
      <c r="G548" s="49">
        <f>(SUMIFS(LS[Amount],LS[B/S],"B",LS[Investor ID],A548,LS[Date Value],"&lt;="&amp;$Z$3)-SUMIFS(LS[Cost of Units Sold],LS[B/S],"S",LS[Investor ID],A548,LS[Date Value],"&lt;="&amp;$Z$3))+(SUMIFS(SIP[Amount],SIP[B/S],"B",SIP[Investor ID],A548,SIP[Date Value],"&lt;="&amp;$Z$3)-SUMIFS(SIP[Cost of Units Sold],SIP[B/S],"S",SIP[Investor ID],A548,SIP[Date Value],"&lt;="&amp;$Z$3))</f>
        <v>5000000</v>
      </c>
      <c r="H548" s="49">
        <f t="shared" si="42"/>
        <v>5058910.78</v>
      </c>
      <c r="I548" s="49">
        <f t="shared" si="43"/>
        <v>58910.780000000261</v>
      </c>
      <c r="J548" s="47">
        <f>(SUMIFS(LS[Unit],LS[Investor ID],A548,LS[B/S],"B",LS[Date Value],"&gt;="&amp;$Z$2,LS[Date Value],"&lt;="&amp;$Z$3))+(SUMIFS(SIP[Unit],SIP[Investor ID],A548,SIP[B/S],"B",SIP[Date Value],"&gt;="&amp;$Z$2,SIP[Date Value],"&lt;="&amp;$Z$3))</f>
        <v>453145</v>
      </c>
      <c r="K548" s="49">
        <f>(SUMIFS(LS[Amount],LS[Investor ID],A548,LS[B/S],"B",LS[Date Value],"&gt;="&amp;$Z$2,LS[Date Value],"&lt;="&amp;$Z$3))+(SUMIFS(SIP[Amount],SIP[Investor ID],A548,SIP[B/S],"B",SIP[Date Value],"&gt;="&amp;$Z$2,SIP[Date Value],"&lt;="&amp;$Z$3))</f>
        <v>5000000</v>
      </c>
      <c r="L548" s="47">
        <f>(-SUMIFS(LS[Unit],LS[Investor ID],A548,LS[B/S],"S",LS[Date Value],"&gt;="&amp;$Z$2,LS[Date Value],"&lt;="&amp;$Z$3))+(-SUMIFS(SIP[Unit],SIP[Investor ID],A548,SIP[B/S],"S",SIP[Date Value],"&gt;="&amp;$Z$2,SIP[Date Value],"&lt;="&amp;$Z$3))</f>
        <v>0</v>
      </c>
      <c r="M548" s="49">
        <f>(SUMIFS(LS[Cost of Units Sold],LS[Investor ID],A548,LS[B/S],"S",LS[Date Value],"&gt;="&amp;$Z$2,LS[Date Value],"&lt;="&amp;$Z$3))+(SUMIFS(SIP[Cost of Units Sold],SIP[Investor ID],A548,SIP[B/S],"S",SIP[Date Value],"&gt;="&amp;$Z$2,SIP[Date Value],"&lt;="&amp;$Z$3))</f>
        <v>0</v>
      </c>
      <c r="N548" s="49">
        <f t="shared" si="44"/>
        <v>5000000</v>
      </c>
      <c r="O548" s="49">
        <f>(SUMIFS(LS[Realized Gain],LS[Investor ID],A548,LS[Date Value],"&gt;="&amp;$Z$2,LS[Date Value],"&lt;="&amp;$Z$3))+(SUMIFS(SIP[Realized Gain],SIP[Investor ID],A548,SIP[Date Value],"&gt;="&amp;$Z$2,SIP[Date Value],"&lt;="&amp;$Z$3))</f>
        <v>0</v>
      </c>
      <c r="P548" s="49">
        <v>0</v>
      </c>
      <c r="Q548" s="49">
        <v>0</v>
      </c>
      <c r="R548" s="49">
        <v>0</v>
      </c>
    </row>
    <row r="549" spans="1:18">
      <c r="A549" t="s">
        <v>1141</v>
      </c>
      <c r="B549" s="47">
        <f>SUMIFS(LS[Unit],LS[Investor ID],'TAX CERTIFICATE'!A549,LS[Date Value],"&lt;"&amp;$Z$2)+SUMIFS(SIP[Unit],SIP[Investor ID],'TAX CERTIFICATE'!A549,SIP[Date Value],"&lt;"&amp;$Z$2)</f>
        <v>0</v>
      </c>
      <c r="C549" s="48">
        <f>(SUMIFS(LS[Amount],LS[B/S],"B",LS[Investor ID],A549,LS[Date Value],"&lt;"&amp;$Z$2)-SUMIFS(LS[Cost of Units Sold],LS[B/S],"S",LS[Investor ID],A549,LS[Date Value],"&lt;"&amp;$Z$2))+(SUMIFS(SIP[Amount],SIP[B/S],"B",SIP[Investor ID],#REF!,SIP[Date Value],"&lt;"&amp;$Z$2)-SUMIFS(SIP[Cost of Units Sold],SIP[B/S],"S",SIP[Investor ID],A549,SIP[Date Value],"&lt;"&amp;$Z$2))</f>
        <v>0</v>
      </c>
      <c r="D549" s="49">
        <f t="shared" si="40"/>
        <v>0</v>
      </c>
      <c r="E549" s="49">
        <f t="shared" si="41"/>
        <v>0</v>
      </c>
      <c r="F549" s="47">
        <f>SUMIFS(LS[Unit],LS[Investor ID],A549,LS[Date Value],"&lt;="&amp;$Z$3)+SUMIFS(SIP[Unit],SIP[Investor ID],A549,SIP[Date Value],"&lt;="&amp;$Z$3)</f>
        <v>63882</v>
      </c>
      <c r="G549" s="49">
        <f>(SUMIFS(LS[Amount],LS[B/S],"B",LS[Investor ID],A549,LS[Date Value],"&lt;="&amp;$Z$3)-SUMIFS(LS[Cost of Units Sold],LS[B/S],"S",LS[Investor ID],A549,LS[Date Value],"&lt;="&amp;$Z$3))+(SUMIFS(SIP[Amount],SIP[B/S],"B",SIP[Investor ID],A549,SIP[Date Value],"&lt;="&amp;$Z$3)-SUMIFS(SIP[Cost of Units Sold],SIP[B/S],"S",SIP[Investor ID],A549,SIP[Date Value],"&lt;="&amp;$Z$3))</f>
        <v>706151.5503233294</v>
      </c>
      <c r="H549" s="49">
        <f t="shared" si="42"/>
        <v>713178.64799999993</v>
      </c>
      <c r="I549" s="49">
        <f t="shared" si="43"/>
        <v>7027.097676670528</v>
      </c>
      <c r="J549" s="47">
        <f>(SUMIFS(LS[Unit],LS[Investor ID],A549,LS[B/S],"B",LS[Date Value],"&gt;="&amp;$Z$2,LS[Date Value],"&lt;="&amp;$Z$3))+(SUMIFS(SIP[Unit],SIP[Investor ID],A549,SIP[B/S],"B",SIP[Date Value],"&gt;="&amp;$Z$2,SIP[Date Value],"&lt;="&amp;$Z$3))</f>
        <v>126651</v>
      </c>
      <c r="K549" s="49">
        <f>(SUMIFS(LS[Amount],LS[Investor ID],A549,LS[B/S],"B",LS[Date Value],"&gt;="&amp;$Z$2,LS[Date Value],"&lt;="&amp;$Z$3))+(SUMIFS(SIP[Amount],SIP[Investor ID],A549,SIP[B/S],"B",SIP[Date Value],"&gt;="&amp;$Z$2,SIP[Date Value],"&lt;="&amp;$Z$3))</f>
        <v>1400000</v>
      </c>
      <c r="L549" s="47">
        <f>(-SUMIFS(LS[Unit],LS[Investor ID],A549,LS[B/S],"S",LS[Date Value],"&gt;="&amp;$Z$2,LS[Date Value],"&lt;="&amp;$Z$3))+(-SUMIFS(SIP[Unit],SIP[Investor ID],A549,SIP[B/S],"S",SIP[Date Value],"&gt;="&amp;$Z$2,SIP[Date Value],"&lt;="&amp;$Z$3))</f>
        <v>62769</v>
      </c>
      <c r="M549" s="49">
        <f>(SUMIFS(LS[Cost of Units Sold],LS[Investor ID],A549,LS[B/S],"S",LS[Date Value],"&gt;="&amp;$Z$2,LS[Date Value],"&lt;="&amp;$Z$3))+(SUMIFS(SIP[Cost of Units Sold],SIP[Investor ID],A549,SIP[B/S],"S",SIP[Date Value],"&gt;="&amp;$Z$2,SIP[Date Value],"&lt;="&amp;$Z$3))</f>
        <v>693848.4496766706</v>
      </c>
      <c r="N549" s="49">
        <f t="shared" si="44"/>
        <v>706151.5503233294</v>
      </c>
      <c r="O549" s="49">
        <f>(SUMIFS(LS[Realized Gain],LS[Investor ID],A549,LS[Date Value],"&gt;="&amp;$Z$2,LS[Date Value],"&lt;="&amp;$Z$3))+(SUMIFS(SIP[Realized Gain],SIP[Investor ID],A549,SIP[Date Value],"&gt;="&amp;$Z$2,SIP[Date Value],"&lt;="&amp;$Z$3))</f>
        <v>6151.5503233294367</v>
      </c>
      <c r="P549" s="49">
        <v>0</v>
      </c>
      <c r="Q549" s="49">
        <v>0</v>
      </c>
      <c r="R549" s="49">
        <v>0</v>
      </c>
    </row>
    <row r="550" spans="1:18">
      <c r="A550" t="s">
        <v>1143</v>
      </c>
      <c r="B550" s="47">
        <f>SUMIFS(LS[Unit],LS[Investor ID],'TAX CERTIFICATE'!A550,LS[Date Value],"&lt;"&amp;$Z$2)+SUMIFS(SIP[Unit],SIP[Investor ID],'TAX CERTIFICATE'!A550,SIP[Date Value],"&lt;"&amp;$Z$2)</f>
        <v>0</v>
      </c>
      <c r="C550" s="48">
        <f>(SUMIFS(LS[Amount],LS[B/S],"B",LS[Investor ID],A550,LS[Date Value],"&lt;"&amp;$Z$2)-SUMIFS(LS[Cost of Units Sold],LS[B/S],"S",LS[Investor ID],A550,LS[Date Value],"&lt;"&amp;$Z$2))+(SUMIFS(SIP[Amount],SIP[B/S],"B",SIP[Investor ID],#REF!,SIP[Date Value],"&lt;"&amp;$Z$2)-SUMIFS(SIP[Cost of Units Sold],SIP[B/S],"S",SIP[Investor ID],A550,SIP[Date Value],"&lt;"&amp;$Z$2))</f>
        <v>0</v>
      </c>
      <c r="D550" s="49">
        <f t="shared" si="40"/>
        <v>0</v>
      </c>
      <c r="E550" s="49">
        <f t="shared" si="41"/>
        <v>0</v>
      </c>
      <c r="F550" s="47">
        <f>SUMIFS(LS[Unit],LS[Investor ID],A550,LS[Date Value],"&lt;="&amp;$Z$3)+SUMIFS(SIP[Unit],SIP[Investor ID],A550,SIP[Date Value],"&lt;="&amp;$Z$3)</f>
        <v>108558</v>
      </c>
      <c r="G550" s="49">
        <f>(SUMIFS(LS[Amount],LS[B/S],"B",LS[Investor ID],A550,LS[Date Value],"&lt;="&amp;$Z$3)-SUMIFS(LS[Cost of Units Sold],LS[B/S],"S",LS[Investor ID],A550,LS[Date Value],"&lt;="&amp;$Z$3))+(SUMIFS(SIP[Amount],SIP[B/S],"B",SIP[Investor ID],A550,SIP[Date Value],"&lt;="&amp;$Z$3)-SUMIFS(SIP[Cost of Units Sold],SIP[B/S],"S",SIP[Investor ID],A550,SIP[Date Value],"&lt;="&amp;$Z$3))</f>
        <v>1200000</v>
      </c>
      <c r="H550" s="49">
        <f t="shared" si="42"/>
        <v>1211941.5119999999</v>
      </c>
      <c r="I550" s="49">
        <f t="shared" si="43"/>
        <v>11941.511999999871</v>
      </c>
      <c r="J550" s="47">
        <f>(SUMIFS(LS[Unit],LS[Investor ID],A550,LS[B/S],"B",LS[Date Value],"&gt;="&amp;$Z$2,LS[Date Value],"&lt;="&amp;$Z$3))+(SUMIFS(SIP[Unit],SIP[Investor ID],A550,SIP[B/S],"B",SIP[Date Value],"&gt;="&amp;$Z$2,SIP[Date Value],"&lt;="&amp;$Z$3))</f>
        <v>108558</v>
      </c>
      <c r="K550" s="49">
        <f>(SUMIFS(LS[Amount],LS[Investor ID],A550,LS[B/S],"B",LS[Date Value],"&gt;="&amp;$Z$2,LS[Date Value],"&lt;="&amp;$Z$3))+(SUMIFS(SIP[Amount],SIP[Investor ID],A550,SIP[B/S],"B",SIP[Date Value],"&gt;="&amp;$Z$2,SIP[Date Value],"&lt;="&amp;$Z$3))</f>
        <v>1200000</v>
      </c>
      <c r="L550" s="47">
        <f>(-SUMIFS(LS[Unit],LS[Investor ID],A550,LS[B/S],"S",LS[Date Value],"&gt;="&amp;$Z$2,LS[Date Value],"&lt;="&amp;$Z$3))+(-SUMIFS(SIP[Unit],SIP[Investor ID],A550,SIP[B/S],"S",SIP[Date Value],"&gt;="&amp;$Z$2,SIP[Date Value],"&lt;="&amp;$Z$3))</f>
        <v>0</v>
      </c>
      <c r="M550" s="49">
        <f>(SUMIFS(LS[Cost of Units Sold],LS[Investor ID],A550,LS[B/S],"S",LS[Date Value],"&gt;="&amp;$Z$2,LS[Date Value],"&lt;="&amp;$Z$3))+(SUMIFS(SIP[Cost of Units Sold],SIP[Investor ID],A550,SIP[B/S],"S",SIP[Date Value],"&gt;="&amp;$Z$2,SIP[Date Value],"&lt;="&amp;$Z$3))</f>
        <v>0</v>
      </c>
      <c r="N550" s="49">
        <f t="shared" si="44"/>
        <v>1200000</v>
      </c>
      <c r="O550" s="49">
        <f>(SUMIFS(LS[Realized Gain],LS[Investor ID],A550,LS[Date Value],"&gt;="&amp;$Z$2,LS[Date Value],"&lt;="&amp;$Z$3))+(SUMIFS(SIP[Realized Gain],SIP[Investor ID],A550,SIP[Date Value],"&gt;="&amp;$Z$2,SIP[Date Value],"&lt;="&amp;$Z$3))</f>
        <v>0</v>
      </c>
      <c r="P550" s="49">
        <v>0</v>
      </c>
      <c r="Q550" s="49">
        <v>0</v>
      </c>
      <c r="R550" s="49">
        <v>0</v>
      </c>
    </row>
    <row r="551" spans="1:18">
      <c r="A551" t="s">
        <v>1145</v>
      </c>
      <c r="B551" s="47">
        <f>SUMIFS(LS[Unit],LS[Investor ID],'TAX CERTIFICATE'!A551,LS[Date Value],"&lt;"&amp;$Z$2)+SUMIFS(SIP[Unit],SIP[Investor ID],'TAX CERTIFICATE'!A551,SIP[Date Value],"&lt;"&amp;$Z$2)</f>
        <v>0</v>
      </c>
      <c r="C551" s="48">
        <f>(SUMIFS(LS[Amount],LS[B/S],"B",LS[Investor ID],A551,LS[Date Value],"&lt;"&amp;$Z$2)-SUMIFS(LS[Cost of Units Sold],LS[B/S],"S",LS[Investor ID],A551,LS[Date Value],"&lt;"&amp;$Z$2))+(SUMIFS(SIP[Amount],SIP[B/S],"B",SIP[Investor ID],#REF!,SIP[Date Value],"&lt;"&amp;$Z$2)-SUMIFS(SIP[Cost of Units Sold],SIP[B/S],"S",SIP[Investor ID],A551,SIP[Date Value],"&lt;"&amp;$Z$2))</f>
        <v>0</v>
      </c>
      <c r="D551" s="49">
        <f t="shared" si="40"/>
        <v>0</v>
      </c>
      <c r="E551" s="49">
        <f t="shared" si="41"/>
        <v>0</v>
      </c>
      <c r="F551" s="47">
        <f>SUMIFS(LS[Unit],LS[Investor ID],A551,LS[Date Value],"&lt;="&amp;$Z$3)+SUMIFS(SIP[Unit],SIP[Investor ID],A551,SIP[Date Value],"&lt;="&amp;$Z$3)</f>
        <v>45118</v>
      </c>
      <c r="G551" s="49">
        <f>(SUMIFS(LS[Amount],LS[B/S],"B",LS[Investor ID],A551,LS[Date Value],"&lt;="&amp;$Z$3)-SUMIFS(LS[Cost of Units Sold],LS[B/S],"S",LS[Investor ID],A551,LS[Date Value],"&lt;="&amp;$Z$3))+(SUMIFS(SIP[Amount],SIP[B/S],"B",SIP[Investor ID],A551,SIP[Date Value],"&lt;="&amp;$Z$3)-SUMIFS(SIP[Cost of Units Sold],SIP[B/S],"S",SIP[Investor ID],A551,SIP[Date Value],"&lt;="&amp;$Z$3))</f>
        <v>500000</v>
      </c>
      <c r="H551" s="49">
        <f t="shared" si="42"/>
        <v>503697.35200000001</v>
      </c>
      <c r="I551" s="49">
        <f t="shared" si="43"/>
        <v>3697.3520000000135</v>
      </c>
      <c r="J551" s="47">
        <f>(SUMIFS(LS[Unit],LS[Investor ID],A551,LS[B/S],"B",LS[Date Value],"&gt;="&amp;$Z$2,LS[Date Value],"&lt;="&amp;$Z$3))+(SUMIFS(SIP[Unit],SIP[Investor ID],A551,SIP[B/S],"B",SIP[Date Value],"&gt;="&amp;$Z$2,SIP[Date Value],"&lt;="&amp;$Z$3))</f>
        <v>45118</v>
      </c>
      <c r="K551" s="49">
        <f>(SUMIFS(LS[Amount],LS[Investor ID],A551,LS[B/S],"B",LS[Date Value],"&gt;="&amp;$Z$2,LS[Date Value],"&lt;="&amp;$Z$3))+(SUMIFS(SIP[Amount],SIP[Investor ID],A551,SIP[B/S],"B",SIP[Date Value],"&gt;="&amp;$Z$2,SIP[Date Value],"&lt;="&amp;$Z$3))</f>
        <v>500000</v>
      </c>
      <c r="L551" s="47">
        <f>(-SUMIFS(LS[Unit],LS[Investor ID],A551,LS[B/S],"S",LS[Date Value],"&gt;="&amp;$Z$2,LS[Date Value],"&lt;="&amp;$Z$3))+(-SUMIFS(SIP[Unit],SIP[Investor ID],A551,SIP[B/S],"S",SIP[Date Value],"&gt;="&amp;$Z$2,SIP[Date Value],"&lt;="&amp;$Z$3))</f>
        <v>0</v>
      </c>
      <c r="M551" s="49">
        <f>(SUMIFS(LS[Cost of Units Sold],LS[Investor ID],A551,LS[B/S],"S",LS[Date Value],"&gt;="&amp;$Z$2,LS[Date Value],"&lt;="&amp;$Z$3))+(SUMIFS(SIP[Cost of Units Sold],SIP[Investor ID],A551,SIP[B/S],"S",SIP[Date Value],"&gt;="&amp;$Z$2,SIP[Date Value],"&lt;="&amp;$Z$3))</f>
        <v>0</v>
      </c>
      <c r="N551" s="49">
        <f t="shared" si="44"/>
        <v>500000</v>
      </c>
      <c r="O551" s="49">
        <f>(SUMIFS(LS[Realized Gain],LS[Investor ID],A551,LS[Date Value],"&gt;="&amp;$Z$2,LS[Date Value],"&lt;="&amp;$Z$3))+(SUMIFS(SIP[Realized Gain],SIP[Investor ID],A551,SIP[Date Value],"&gt;="&amp;$Z$2,SIP[Date Value],"&lt;="&amp;$Z$3))</f>
        <v>0</v>
      </c>
      <c r="P551" s="49">
        <v>0</v>
      </c>
      <c r="Q551" s="49">
        <v>0</v>
      </c>
      <c r="R551" s="49">
        <v>0</v>
      </c>
    </row>
    <row r="552" spans="1:18">
      <c r="A552" t="s">
        <v>1147</v>
      </c>
      <c r="B552" s="47">
        <f>SUMIFS(LS[Unit],LS[Investor ID],'TAX CERTIFICATE'!A552,LS[Date Value],"&lt;"&amp;$Z$2)+SUMIFS(SIP[Unit],SIP[Investor ID],'TAX CERTIFICATE'!A552,SIP[Date Value],"&lt;"&amp;$Z$2)</f>
        <v>0</v>
      </c>
      <c r="C552" s="48">
        <f>(SUMIFS(LS[Amount],LS[B/S],"B",LS[Investor ID],A552,LS[Date Value],"&lt;"&amp;$Z$2)-SUMIFS(LS[Cost of Units Sold],LS[B/S],"S",LS[Investor ID],A552,LS[Date Value],"&lt;"&amp;$Z$2))+(SUMIFS(SIP[Amount],SIP[B/S],"B",SIP[Investor ID],#REF!,SIP[Date Value],"&lt;"&amp;$Z$2)-SUMIFS(SIP[Cost of Units Sold],SIP[B/S],"S",SIP[Investor ID],A552,SIP[Date Value],"&lt;"&amp;$Z$2))</f>
        <v>0</v>
      </c>
      <c r="D552" s="49">
        <f t="shared" si="40"/>
        <v>0</v>
      </c>
      <c r="E552" s="49">
        <f t="shared" si="41"/>
        <v>0</v>
      </c>
      <c r="F552" s="47">
        <f>SUMIFS(LS[Unit],LS[Investor ID],A552,LS[Date Value],"&lt;="&amp;$Z$3)+SUMIFS(SIP[Unit],SIP[Investor ID],A552,SIP[Date Value],"&lt;="&amp;$Z$3)</f>
        <v>2262</v>
      </c>
      <c r="G552" s="49">
        <f>(SUMIFS(LS[Amount],LS[B/S],"B",LS[Investor ID],A552,LS[Date Value],"&lt;="&amp;$Z$3)-SUMIFS(LS[Cost of Units Sold],LS[B/S],"S",LS[Investor ID],A552,LS[Date Value],"&lt;="&amp;$Z$3))+(SUMIFS(SIP[Amount],SIP[B/S],"B",SIP[Investor ID],A552,SIP[Date Value],"&lt;="&amp;$Z$3)-SUMIFS(SIP[Cost of Units Sold],SIP[B/S],"S",SIP[Investor ID],A552,SIP[Date Value],"&lt;="&amp;$Z$3))</f>
        <v>25000</v>
      </c>
      <c r="H552" s="49">
        <f t="shared" si="42"/>
        <v>25252.968000000001</v>
      </c>
      <c r="I552" s="49">
        <f t="shared" si="43"/>
        <v>252.96800000000076</v>
      </c>
      <c r="J552" s="47">
        <f>(SUMIFS(LS[Unit],LS[Investor ID],A552,LS[B/S],"B",LS[Date Value],"&gt;="&amp;$Z$2,LS[Date Value],"&lt;="&amp;$Z$3))+(SUMIFS(SIP[Unit],SIP[Investor ID],A552,SIP[B/S],"B",SIP[Date Value],"&gt;="&amp;$Z$2,SIP[Date Value],"&lt;="&amp;$Z$3))</f>
        <v>2262</v>
      </c>
      <c r="K552" s="49">
        <f>(SUMIFS(LS[Amount],LS[Investor ID],A552,LS[B/S],"B",LS[Date Value],"&gt;="&amp;$Z$2,LS[Date Value],"&lt;="&amp;$Z$3))+(SUMIFS(SIP[Amount],SIP[Investor ID],A552,SIP[B/S],"B",SIP[Date Value],"&gt;="&amp;$Z$2,SIP[Date Value],"&lt;="&amp;$Z$3))</f>
        <v>25000</v>
      </c>
      <c r="L552" s="47">
        <f>(-SUMIFS(LS[Unit],LS[Investor ID],A552,LS[B/S],"S",LS[Date Value],"&gt;="&amp;$Z$2,LS[Date Value],"&lt;="&amp;$Z$3))+(-SUMIFS(SIP[Unit],SIP[Investor ID],A552,SIP[B/S],"S",SIP[Date Value],"&gt;="&amp;$Z$2,SIP[Date Value],"&lt;="&amp;$Z$3))</f>
        <v>0</v>
      </c>
      <c r="M552" s="49">
        <f>(SUMIFS(LS[Cost of Units Sold],LS[Investor ID],A552,LS[B/S],"S",LS[Date Value],"&gt;="&amp;$Z$2,LS[Date Value],"&lt;="&amp;$Z$3))+(SUMIFS(SIP[Cost of Units Sold],SIP[Investor ID],A552,SIP[B/S],"S",SIP[Date Value],"&gt;="&amp;$Z$2,SIP[Date Value],"&lt;="&amp;$Z$3))</f>
        <v>0</v>
      </c>
      <c r="N552" s="49">
        <f t="shared" si="44"/>
        <v>25000</v>
      </c>
      <c r="O552" s="49">
        <f>(SUMIFS(LS[Realized Gain],LS[Investor ID],A552,LS[Date Value],"&gt;="&amp;$Z$2,LS[Date Value],"&lt;="&amp;$Z$3))+(SUMIFS(SIP[Realized Gain],SIP[Investor ID],A552,SIP[Date Value],"&gt;="&amp;$Z$2,SIP[Date Value],"&lt;="&amp;$Z$3))</f>
        <v>0</v>
      </c>
      <c r="P552" s="49">
        <v>0</v>
      </c>
      <c r="Q552" s="49">
        <v>0</v>
      </c>
      <c r="R552" s="49">
        <v>0</v>
      </c>
    </row>
    <row r="553" spans="1:18">
      <c r="A553" t="s">
        <v>1149</v>
      </c>
      <c r="B553" s="47">
        <f>SUMIFS(LS[Unit],LS[Investor ID],'TAX CERTIFICATE'!A553,LS[Date Value],"&lt;"&amp;$Z$2)+SUMIFS(SIP[Unit],SIP[Investor ID],'TAX CERTIFICATE'!A553,SIP[Date Value],"&lt;"&amp;$Z$2)</f>
        <v>0</v>
      </c>
      <c r="C553" s="48">
        <f>(SUMIFS(LS[Amount],LS[B/S],"B",LS[Investor ID],A553,LS[Date Value],"&lt;"&amp;$Z$2)-SUMIFS(LS[Cost of Units Sold],LS[B/S],"S",LS[Investor ID],A553,LS[Date Value],"&lt;"&amp;$Z$2))+(SUMIFS(SIP[Amount],SIP[B/S],"B",SIP[Investor ID],#REF!,SIP[Date Value],"&lt;"&amp;$Z$2)-SUMIFS(SIP[Cost of Units Sold],SIP[B/S],"S",SIP[Investor ID],A553,SIP[Date Value],"&lt;"&amp;$Z$2))</f>
        <v>0</v>
      </c>
      <c r="D553" s="49">
        <f t="shared" si="40"/>
        <v>0</v>
      </c>
      <c r="E553" s="49">
        <f t="shared" si="41"/>
        <v>0</v>
      </c>
      <c r="F553" s="47">
        <f>SUMIFS(LS[Unit],LS[Investor ID],A553,LS[Date Value],"&lt;="&amp;$Z$3)+SUMIFS(SIP[Unit],SIP[Investor ID],A553,SIP[Date Value],"&lt;="&amp;$Z$3)</f>
        <v>180473</v>
      </c>
      <c r="G553" s="49">
        <f>(SUMIFS(LS[Amount],LS[B/S],"B",LS[Investor ID],A553,LS[Date Value],"&lt;="&amp;$Z$3)-SUMIFS(LS[Cost of Units Sold],LS[B/S],"S",LS[Investor ID],A553,LS[Date Value],"&lt;="&amp;$Z$3))+(SUMIFS(SIP[Amount],SIP[B/S],"B",SIP[Investor ID],A553,SIP[Date Value],"&lt;="&amp;$Z$3)-SUMIFS(SIP[Cost of Units Sold],SIP[B/S],"S",SIP[Investor ID],A553,SIP[Date Value],"&lt;="&amp;$Z$3))</f>
        <v>2000000</v>
      </c>
      <c r="H553" s="49">
        <f t="shared" si="42"/>
        <v>2014800.5719999999</v>
      </c>
      <c r="I553" s="49">
        <f t="shared" si="43"/>
        <v>14800.571999999927</v>
      </c>
      <c r="J553" s="47">
        <f>(SUMIFS(LS[Unit],LS[Investor ID],A553,LS[B/S],"B",LS[Date Value],"&gt;="&amp;$Z$2,LS[Date Value],"&lt;="&amp;$Z$3))+(SUMIFS(SIP[Unit],SIP[Investor ID],A553,SIP[B/S],"B",SIP[Date Value],"&gt;="&amp;$Z$2,SIP[Date Value],"&lt;="&amp;$Z$3))</f>
        <v>180473</v>
      </c>
      <c r="K553" s="49">
        <f>(SUMIFS(LS[Amount],LS[Investor ID],A553,LS[B/S],"B",LS[Date Value],"&gt;="&amp;$Z$2,LS[Date Value],"&lt;="&amp;$Z$3))+(SUMIFS(SIP[Amount],SIP[Investor ID],A553,SIP[B/S],"B",SIP[Date Value],"&gt;="&amp;$Z$2,SIP[Date Value],"&lt;="&amp;$Z$3))</f>
        <v>2000000</v>
      </c>
      <c r="L553" s="47">
        <f>(-SUMIFS(LS[Unit],LS[Investor ID],A553,LS[B/S],"S",LS[Date Value],"&gt;="&amp;$Z$2,LS[Date Value],"&lt;="&amp;$Z$3))+(-SUMIFS(SIP[Unit],SIP[Investor ID],A553,SIP[B/S],"S",SIP[Date Value],"&gt;="&amp;$Z$2,SIP[Date Value],"&lt;="&amp;$Z$3))</f>
        <v>0</v>
      </c>
      <c r="M553" s="49">
        <f>(SUMIFS(LS[Cost of Units Sold],LS[Investor ID],A553,LS[B/S],"S",LS[Date Value],"&gt;="&amp;$Z$2,LS[Date Value],"&lt;="&amp;$Z$3))+(SUMIFS(SIP[Cost of Units Sold],SIP[Investor ID],A553,SIP[B/S],"S",SIP[Date Value],"&gt;="&amp;$Z$2,SIP[Date Value],"&lt;="&amp;$Z$3))</f>
        <v>0</v>
      </c>
      <c r="N553" s="49">
        <f t="shared" si="44"/>
        <v>2000000</v>
      </c>
      <c r="O553" s="49">
        <f>(SUMIFS(LS[Realized Gain],LS[Investor ID],A553,LS[Date Value],"&gt;="&amp;$Z$2,LS[Date Value],"&lt;="&amp;$Z$3))+(SUMIFS(SIP[Realized Gain],SIP[Investor ID],A553,SIP[Date Value],"&gt;="&amp;$Z$2,SIP[Date Value],"&lt;="&amp;$Z$3))</f>
        <v>0</v>
      </c>
      <c r="P553" s="49">
        <v>0</v>
      </c>
      <c r="Q553" s="49">
        <v>0</v>
      </c>
      <c r="R553" s="49">
        <v>0</v>
      </c>
    </row>
    <row r="554" spans="1:18">
      <c r="A554" t="s">
        <v>1151</v>
      </c>
      <c r="B554" s="47">
        <f>SUMIFS(LS[Unit],LS[Investor ID],'TAX CERTIFICATE'!A554,LS[Date Value],"&lt;"&amp;$Z$2)+SUMIFS(SIP[Unit],SIP[Investor ID],'TAX CERTIFICATE'!A554,SIP[Date Value],"&lt;"&amp;$Z$2)</f>
        <v>0</v>
      </c>
      <c r="C554" s="48">
        <f>(SUMIFS(LS[Amount],LS[B/S],"B",LS[Investor ID],A554,LS[Date Value],"&lt;"&amp;$Z$2)-SUMIFS(LS[Cost of Units Sold],LS[B/S],"S",LS[Investor ID],A554,LS[Date Value],"&lt;"&amp;$Z$2))+(SUMIFS(SIP[Amount],SIP[B/S],"B",SIP[Investor ID],#REF!,SIP[Date Value],"&lt;"&amp;$Z$2)-SUMIFS(SIP[Cost of Units Sold],SIP[B/S],"S",SIP[Investor ID],A554,SIP[Date Value],"&lt;"&amp;$Z$2))</f>
        <v>0</v>
      </c>
      <c r="D554" s="49">
        <f t="shared" si="40"/>
        <v>0</v>
      </c>
      <c r="E554" s="49">
        <f t="shared" si="41"/>
        <v>0</v>
      </c>
      <c r="F554" s="47">
        <f>SUMIFS(LS[Unit],LS[Investor ID],A554,LS[Date Value],"&lt;="&amp;$Z$3)+SUMIFS(SIP[Unit],SIP[Investor ID],A554,SIP[Date Value],"&lt;="&amp;$Z$3)</f>
        <v>3609457</v>
      </c>
      <c r="G554" s="49">
        <f>(SUMIFS(LS[Amount],LS[B/S],"B",LS[Investor ID],A554,LS[Date Value],"&lt;="&amp;$Z$3)-SUMIFS(LS[Cost of Units Sold],LS[B/S],"S",LS[Investor ID],A554,LS[Date Value],"&lt;="&amp;$Z$3))+(SUMIFS(SIP[Amount],SIP[B/S],"B",SIP[Investor ID],A554,SIP[Date Value],"&lt;="&amp;$Z$3)-SUMIFS(SIP[Cost of Units Sold],SIP[B/S],"S",SIP[Investor ID],A554,SIP[Date Value],"&lt;="&amp;$Z$3))</f>
        <v>40000000</v>
      </c>
      <c r="H554" s="49">
        <f t="shared" si="42"/>
        <v>40295977.947999999</v>
      </c>
      <c r="I554" s="49">
        <f t="shared" si="43"/>
        <v>295977.94799999893</v>
      </c>
      <c r="J554" s="47">
        <f>(SUMIFS(LS[Unit],LS[Investor ID],A554,LS[B/S],"B",LS[Date Value],"&gt;="&amp;$Z$2,LS[Date Value],"&lt;="&amp;$Z$3))+(SUMIFS(SIP[Unit],SIP[Investor ID],A554,SIP[B/S],"B",SIP[Date Value],"&gt;="&amp;$Z$2,SIP[Date Value],"&lt;="&amp;$Z$3))</f>
        <v>3609457</v>
      </c>
      <c r="K554" s="49">
        <f>(SUMIFS(LS[Amount],LS[Investor ID],A554,LS[B/S],"B",LS[Date Value],"&gt;="&amp;$Z$2,LS[Date Value],"&lt;="&amp;$Z$3))+(SUMIFS(SIP[Amount],SIP[Investor ID],A554,SIP[B/S],"B",SIP[Date Value],"&gt;="&amp;$Z$2,SIP[Date Value],"&lt;="&amp;$Z$3))</f>
        <v>40000000</v>
      </c>
      <c r="L554" s="47">
        <f>(-SUMIFS(LS[Unit],LS[Investor ID],A554,LS[B/S],"S",LS[Date Value],"&gt;="&amp;$Z$2,LS[Date Value],"&lt;="&amp;$Z$3))+(-SUMIFS(SIP[Unit],SIP[Investor ID],A554,SIP[B/S],"S",SIP[Date Value],"&gt;="&amp;$Z$2,SIP[Date Value],"&lt;="&amp;$Z$3))</f>
        <v>0</v>
      </c>
      <c r="M554" s="49">
        <f>(SUMIFS(LS[Cost of Units Sold],LS[Investor ID],A554,LS[B/S],"S",LS[Date Value],"&gt;="&amp;$Z$2,LS[Date Value],"&lt;="&amp;$Z$3))+(SUMIFS(SIP[Cost of Units Sold],SIP[Investor ID],A554,SIP[B/S],"S",SIP[Date Value],"&gt;="&amp;$Z$2,SIP[Date Value],"&lt;="&amp;$Z$3))</f>
        <v>0</v>
      </c>
      <c r="N554" s="49">
        <f t="shared" si="44"/>
        <v>40000000</v>
      </c>
      <c r="O554" s="49">
        <f>(SUMIFS(LS[Realized Gain],LS[Investor ID],A554,LS[Date Value],"&gt;="&amp;$Z$2,LS[Date Value],"&lt;="&amp;$Z$3))+(SUMIFS(SIP[Realized Gain],SIP[Investor ID],A554,SIP[Date Value],"&gt;="&amp;$Z$2,SIP[Date Value],"&lt;="&amp;$Z$3))</f>
        <v>0</v>
      </c>
      <c r="P554" s="49">
        <v>0</v>
      </c>
      <c r="Q554" s="49">
        <v>0</v>
      </c>
      <c r="R554" s="49">
        <v>0</v>
      </c>
    </row>
    <row r="555" spans="1:18">
      <c r="A555" t="s">
        <v>1153</v>
      </c>
      <c r="B555" s="47">
        <f>SUMIFS(LS[Unit],LS[Investor ID],'TAX CERTIFICATE'!A555,LS[Date Value],"&lt;"&amp;$Z$2)+SUMIFS(SIP[Unit],SIP[Investor ID],'TAX CERTIFICATE'!A555,SIP[Date Value],"&lt;"&amp;$Z$2)</f>
        <v>0</v>
      </c>
      <c r="C555" s="48">
        <f>(SUMIFS(LS[Amount],LS[B/S],"B",LS[Investor ID],A555,LS[Date Value],"&lt;"&amp;$Z$2)-SUMIFS(LS[Cost of Units Sold],LS[B/S],"S",LS[Investor ID],A555,LS[Date Value],"&lt;"&amp;$Z$2))+(SUMIFS(SIP[Amount],SIP[B/S],"B",SIP[Investor ID],#REF!,SIP[Date Value],"&lt;"&amp;$Z$2)-SUMIFS(SIP[Cost of Units Sold],SIP[B/S],"S",SIP[Investor ID],A555,SIP[Date Value],"&lt;"&amp;$Z$2))</f>
        <v>0</v>
      </c>
      <c r="D555" s="49">
        <f t="shared" si="40"/>
        <v>0</v>
      </c>
      <c r="E555" s="49">
        <f t="shared" si="41"/>
        <v>0</v>
      </c>
      <c r="F555" s="47">
        <f>SUMIFS(LS[Unit],LS[Investor ID],A555,LS[Date Value],"&lt;="&amp;$Z$3)+SUMIFS(SIP[Unit],SIP[Investor ID],A555,SIP[Date Value],"&lt;="&amp;$Z$3)</f>
        <v>225591</v>
      </c>
      <c r="G555" s="49">
        <f>(SUMIFS(LS[Amount],LS[B/S],"B",LS[Investor ID],A555,LS[Date Value],"&lt;="&amp;$Z$3)-SUMIFS(LS[Cost of Units Sold],LS[B/S],"S",LS[Investor ID],A555,LS[Date Value],"&lt;="&amp;$Z$3))+(SUMIFS(SIP[Amount],SIP[B/S],"B",SIP[Investor ID],A555,SIP[Date Value],"&lt;="&amp;$Z$3)-SUMIFS(SIP[Cost of Units Sold],SIP[B/S],"S",SIP[Investor ID],A555,SIP[Date Value],"&lt;="&amp;$Z$3))</f>
        <v>2500000</v>
      </c>
      <c r="H555" s="49">
        <f t="shared" si="42"/>
        <v>2518497.9240000001</v>
      </c>
      <c r="I555" s="49">
        <f t="shared" si="43"/>
        <v>18497.924000000115</v>
      </c>
      <c r="J555" s="47">
        <f>(SUMIFS(LS[Unit],LS[Investor ID],A555,LS[B/S],"B",LS[Date Value],"&gt;="&amp;$Z$2,LS[Date Value],"&lt;="&amp;$Z$3))+(SUMIFS(SIP[Unit],SIP[Investor ID],A555,SIP[B/S],"B",SIP[Date Value],"&gt;="&amp;$Z$2,SIP[Date Value],"&lt;="&amp;$Z$3))</f>
        <v>225591</v>
      </c>
      <c r="K555" s="49">
        <f>(SUMIFS(LS[Amount],LS[Investor ID],A555,LS[B/S],"B",LS[Date Value],"&gt;="&amp;$Z$2,LS[Date Value],"&lt;="&amp;$Z$3))+(SUMIFS(SIP[Amount],SIP[Investor ID],A555,SIP[B/S],"B",SIP[Date Value],"&gt;="&amp;$Z$2,SIP[Date Value],"&lt;="&amp;$Z$3))</f>
        <v>2500000</v>
      </c>
      <c r="L555" s="47">
        <f>(-SUMIFS(LS[Unit],LS[Investor ID],A555,LS[B/S],"S",LS[Date Value],"&gt;="&amp;$Z$2,LS[Date Value],"&lt;="&amp;$Z$3))+(-SUMIFS(SIP[Unit],SIP[Investor ID],A555,SIP[B/S],"S",SIP[Date Value],"&gt;="&amp;$Z$2,SIP[Date Value],"&lt;="&amp;$Z$3))</f>
        <v>0</v>
      </c>
      <c r="M555" s="49">
        <f>(SUMIFS(LS[Cost of Units Sold],LS[Investor ID],A555,LS[B/S],"S",LS[Date Value],"&gt;="&amp;$Z$2,LS[Date Value],"&lt;="&amp;$Z$3))+(SUMIFS(SIP[Cost of Units Sold],SIP[Investor ID],A555,SIP[B/S],"S",SIP[Date Value],"&gt;="&amp;$Z$2,SIP[Date Value],"&lt;="&amp;$Z$3))</f>
        <v>0</v>
      </c>
      <c r="N555" s="49">
        <f t="shared" si="44"/>
        <v>2500000</v>
      </c>
      <c r="O555" s="49">
        <f>(SUMIFS(LS[Realized Gain],LS[Investor ID],A555,LS[Date Value],"&gt;="&amp;$Z$2,LS[Date Value],"&lt;="&amp;$Z$3))+(SUMIFS(SIP[Realized Gain],SIP[Investor ID],A555,SIP[Date Value],"&gt;="&amp;$Z$2,SIP[Date Value],"&lt;="&amp;$Z$3))</f>
        <v>0</v>
      </c>
      <c r="P555" s="49">
        <v>0</v>
      </c>
      <c r="Q555" s="49">
        <v>0</v>
      </c>
      <c r="R555" s="49">
        <v>0</v>
      </c>
    </row>
    <row r="556" spans="1:18">
      <c r="A556" t="s">
        <v>1155</v>
      </c>
      <c r="B556" s="47">
        <f>SUMIFS(LS[Unit],LS[Investor ID],'TAX CERTIFICATE'!A556,LS[Date Value],"&lt;"&amp;$Z$2)+SUMIFS(SIP[Unit],SIP[Investor ID],'TAX CERTIFICATE'!A556,SIP[Date Value],"&lt;"&amp;$Z$2)</f>
        <v>0</v>
      </c>
      <c r="C556" s="48">
        <f>(SUMIFS(LS[Amount],LS[B/S],"B",LS[Investor ID],A556,LS[Date Value],"&lt;"&amp;$Z$2)-SUMIFS(LS[Cost of Units Sold],LS[B/S],"S",LS[Investor ID],A556,LS[Date Value],"&lt;"&amp;$Z$2))+(SUMIFS(SIP[Amount],SIP[B/S],"B",SIP[Investor ID],#REF!,SIP[Date Value],"&lt;"&amp;$Z$2)-SUMIFS(SIP[Cost of Units Sold],SIP[B/S],"S",SIP[Investor ID],A556,SIP[Date Value],"&lt;"&amp;$Z$2))</f>
        <v>0</v>
      </c>
      <c r="D556" s="49">
        <f t="shared" si="40"/>
        <v>0</v>
      </c>
      <c r="E556" s="49">
        <f t="shared" si="41"/>
        <v>0</v>
      </c>
      <c r="F556" s="47">
        <f>SUMIFS(LS[Unit],LS[Investor ID],A556,LS[Date Value],"&lt;="&amp;$Z$3)+SUMIFS(SIP[Unit],SIP[Investor ID],A556,SIP[Date Value],"&lt;="&amp;$Z$3)</f>
        <v>45025</v>
      </c>
      <c r="G556" s="49">
        <f>(SUMIFS(LS[Amount],LS[B/S],"B",LS[Investor ID],A556,LS[Date Value],"&lt;="&amp;$Z$3)-SUMIFS(LS[Cost of Units Sold],LS[B/S],"S",LS[Investor ID],A556,LS[Date Value],"&lt;="&amp;$Z$3))+(SUMIFS(SIP[Amount],SIP[B/S],"B",SIP[Investor ID],A556,SIP[Date Value],"&lt;="&amp;$Z$3)-SUMIFS(SIP[Cost of Units Sold],SIP[B/S],"S",SIP[Investor ID],A556,SIP[Date Value],"&lt;="&amp;$Z$3))</f>
        <v>500000</v>
      </c>
      <c r="H556" s="49">
        <f t="shared" si="42"/>
        <v>502659.1</v>
      </c>
      <c r="I556" s="49">
        <f t="shared" si="43"/>
        <v>2659.0999999999767</v>
      </c>
      <c r="J556" s="47">
        <f>(SUMIFS(LS[Unit],LS[Investor ID],A556,LS[B/S],"B",LS[Date Value],"&gt;="&amp;$Z$2,LS[Date Value],"&lt;="&amp;$Z$3))+(SUMIFS(SIP[Unit],SIP[Investor ID],A556,SIP[B/S],"B",SIP[Date Value],"&gt;="&amp;$Z$2,SIP[Date Value],"&lt;="&amp;$Z$3))</f>
        <v>45025</v>
      </c>
      <c r="K556" s="49">
        <f>(SUMIFS(LS[Amount],LS[Investor ID],A556,LS[B/S],"B",LS[Date Value],"&gt;="&amp;$Z$2,LS[Date Value],"&lt;="&amp;$Z$3))+(SUMIFS(SIP[Amount],SIP[Investor ID],A556,SIP[B/S],"B",SIP[Date Value],"&gt;="&amp;$Z$2,SIP[Date Value],"&lt;="&amp;$Z$3))</f>
        <v>500000</v>
      </c>
      <c r="L556" s="47">
        <f>(-SUMIFS(LS[Unit],LS[Investor ID],A556,LS[B/S],"S",LS[Date Value],"&gt;="&amp;$Z$2,LS[Date Value],"&lt;="&amp;$Z$3))+(-SUMIFS(SIP[Unit],SIP[Investor ID],A556,SIP[B/S],"S",SIP[Date Value],"&gt;="&amp;$Z$2,SIP[Date Value],"&lt;="&amp;$Z$3))</f>
        <v>0</v>
      </c>
      <c r="M556" s="49">
        <f>(SUMIFS(LS[Cost of Units Sold],LS[Investor ID],A556,LS[B/S],"S",LS[Date Value],"&gt;="&amp;$Z$2,LS[Date Value],"&lt;="&amp;$Z$3))+(SUMIFS(SIP[Cost of Units Sold],SIP[Investor ID],A556,SIP[B/S],"S",SIP[Date Value],"&gt;="&amp;$Z$2,SIP[Date Value],"&lt;="&amp;$Z$3))</f>
        <v>0</v>
      </c>
      <c r="N556" s="49">
        <f t="shared" si="44"/>
        <v>500000</v>
      </c>
      <c r="O556" s="49">
        <f>(SUMIFS(LS[Realized Gain],LS[Investor ID],A556,LS[Date Value],"&gt;="&amp;$Z$2,LS[Date Value],"&lt;="&amp;$Z$3))+(SUMIFS(SIP[Realized Gain],SIP[Investor ID],A556,SIP[Date Value],"&gt;="&amp;$Z$2,SIP[Date Value],"&lt;="&amp;$Z$3))</f>
        <v>0</v>
      </c>
      <c r="P556" s="49">
        <v>0</v>
      </c>
      <c r="Q556" s="49">
        <v>0</v>
      </c>
      <c r="R556" s="49">
        <v>0</v>
      </c>
    </row>
    <row r="557" spans="1:18">
      <c r="A557" t="s">
        <v>1157</v>
      </c>
      <c r="B557" s="47">
        <f>SUMIFS(LS[Unit],LS[Investor ID],'TAX CERTIFICATE'!A557,LS[Date Value],"&lt;"&amp;$Z$2)+SUMIFS(SIP[Unit],SIP[Investor ID],'TAX CERTIFICATE'!A557,SIP[Date Value],"&lt;"&amp;$Z$2)</f>
        <v>0</v>
      </c>
      <c r="C557" s="48">
        <f>(SUMIFS(LS[Amount],LS[B/S],"B",LS[Investor ID],A557,LS[Date Value],"&lt;"&amp;$Z$2)-SUMIFS(LS[Cost of Units Sold],LS[B/S],"S",LS[Investor ID],A557,LS[Date Value],"&lt;"&amp;$Z$2))+(SUMIFS(SIP[Amount],SIP[B/S],"B",SIP[Investor ID],#REF!,SIP[Date Value],"&lt;"&amp;$Z$2)-SUMIFS(SIP[Cost of Units Sold],SIP[B/S],"S",SIP[Investor ID],A557,SIP[Date Value],"&lt;"&amp;$Z$2))</f>
        <v>0</v>
      </c>
      <c r="D557" s="49">
        <f t="shared" si="40"/>
        <v>0</v>
      </c>
      <c r="E557" s="49">
        <f t="shared" si="41"/>
        <v>0</v>
      </c>
      <c r="F557" s="47">
        <f>SUMIFS(LS[Unit],LS[Investor ID],A557,LS[Date Value],"&lt;="&amp;$Z$3)+SUMIFS(SIP[Unit],SIP[Investor ID],A557,SIP[Date Value],"&lt;="&amp;$Z$3)</f>
        <v>19852</v>
      </c>
      <c r="G557" s="49">
        <f>(SUMIFS(LS[Amount],LS[B/S],"B",LS[Investor ID],A557,LS[Date Value],"&lt;="&amp;$Z$3)-SUMIFS(LS[Cost of Units Sold],LS[B/S],"S",LS[Investor ID],A557,LS[Date Value],"&lt;="&amp;$Z$3))+(SUMIFS(SIP[Amount],SIP[B/S],"B",SIP[Investor ID],A557,SIP[Date Value],"&lt;="&amp;$Z$3)-SUMIFS(SIP[Cost of Units Sold],SIP[B/S],"S",SIP[Investor ID],A557,SIP[Date Value],"&lt;="&amp;$Z$3))</f>
        <v>220000</v>
      </c>
      <c r="H557" s="49">
        <f t="shared" si="42"/>
        <v>221627.728</v>
      </c>
      <c r="I557" s="49">
        <f t="shared" si="43"/>
        <v>1627.7280000000028</v>
      </c>
      <c r="J557" s="47">
        <f>(SUMIFS(LS[Unit],LS[Investor ID],A557,LS[B/S],"B",LS[Date Value],"&gt;="&amp;$Z$2,LS[Date Value],"&lt;="&amp;$Z$3))+(SUMIFS(SIP[Unit],SIP[Investor ID],A557,SIP[B/S],"B",SIP[Date Value],"&gt;="&amp;$Z$2,SIP[Date Value],"&lt;="&amp;$Z$3))</f>
        <v>19852</v>
      </c>
      <c r="K557" s="49">
        <f>(SUMIFS(LS[Amount],LS[Investor ID],A557,LS[B/S],"B",LS[Date Value],"&gt;="&amp;$Z$2,LS[Date Value],"&lt;="&amp;$Z$3))+(SUMIFS(SIP[Amount],SIP[Investor ID],A557,SIP[B/S],"B",SIP[Date Value],"&gt;="&amp;$Z$2,SIP[Date Value],"&lt;="&amp;$Z$3))</f>
        <v>220000</v>
      </c>
      <c r="L557" s="47">
        <f>(-SUMIFS(LS[Unit],LS[Investor ID],A557,LS[B/S],"S",LS[Date Value],"&gt;="&amp;$Z$2,LS[Date Value],"&lt;="&amp;$Z$3))+(-SUMIFS(SIP[Unit],SIP[Investor ID],A557,SIP[B/S],"S",SIP[Date Value],"&gt;="&amp;$Z$2,SIP[Date Value],"&lt;="&amp;$Z$3))</f>
        <v>0</v>
      </c>
      <c r="M557" s="49">
        <f>(SUMIFS(LS[Cost of Units Sold],LS[Investor ID],A557,LS[B/S],"S",LS[Date Value],"&gt;="&amp;$Z$2,LS[Date Value],"&lt;="&amp;$Z$3))+(SUMIFS(SIP[Cost of Units Sold],SIP[Investor ID],A557,SIP[B/S],"S",SIP[Date Value],"&gt;="&amp;$Z$2,SIP[Date Value],"&lt;="&amp;$Z$3))</f>
        <v>0</v>
      </c>
      <c r="N557" s="49">
        <f t="shared" si="44"/>
        <v>220000</v>
      </c>
      <c r="O557" s="49">
        <f>(SUMIFS(LS[Realized Gain],LS[Investor ID],A557,LS[Date Value],"&gt;="&amp;$Z$2,LS[Date Value],"&lt;="&amp;$Z$3))+(SUMIFS(SIP[Realized Gain],SIP[Investor ID],A557,SIP[Date Value],"&gt;="&amp;$Z$2,SIP[Date Value],"&lt;="&amp;$Z$3))</f>
        <v>0</v>
      </c>
      <c r="P557" s="49">
        <v>0</v>
      </c>
      <c r="Q557" s="49">
        <v>0</v>
      </c>
      <c r="R557" s="49">
        <v>0</v>
      </c>
    </row>
    <row r="558" spans="1:18">
      <c r="A558" t="s">
        <v>1159</v>
      </c>
      <c r="B558" s="47">
        <f>SUMIFS(LS[Unit],LS[Investor ID],'TAX CERTIFICATE'!A558,LS[Date Value],"&lt;"&amp;$Z$2)+SUMIFS(SIP[Unit],SIP[Investor ID],'TAX CERTIFICATE'!A558,SIP[Date Value],"&lt;"&amp;$Z$2)</f>
        <v>0</v>
      </c>
      <c r="C558" s="48">
        <f>(SUMIFS(LS[Amount],LS[B/S],"B",LS[Investor ID],A558,LS[Date Value],"&lt;"&amp;$Z$2)-SUMIFS(LS[Cost of Units Sold],LS[B/S],"S",LS[Investor ID],A558,LS[Date Value],"&lt;"&amp;$Z$2))+(SUMIFS(SIP[Amount],SIP[B/S],"B",SIP[Investor ID],#REF!,SIP[Date Value],"&lt;"&amp;$Z$2)-SUMIFS(SIP[Cost of Units Sold],SIP[B/S],"S",SIP[Investor ID],A558,SIP[Date Value],"&lt;"&amp;$Z$2))</f>
        <v>0</v>
      </c>
      <c r="D558" s="49">
        <f t="shared" si="40"/>
        <v>0</v>
      </c>
      <c r="E558" s="49">
        <f t="shared" si="41"/>
        <v>0</v>
      </c>
      <c r="F558" s="47">
        <f>SUMIFS(LS[Unit],LS[Investor ID],A558,LS[Date Value],"&lt;="&amp;$Z$3)+SUMIFS(SIP[Unit],SIP[Investor ID],A558,SIP[Date Value],"&lt;="&amp;$Z$3)</f>
        <v>8986</v>
      </c>
      <c r="G558" s="49">
        <f>(SUMIFS(LS[Amount],LS[B/S],"B",LS[Investor ID],A558,LS[Date Value],"&lt;="&amp;$Z$3)-SUMIFS(LS[Cost of Units Sold],LS[B/S],"S",LS[Investor ID],A558,LS[Date Value],"&lt;="&amp;$Z$3))+(SUMIFS(SIP[Amount],SIP[B/S],"B",SIP[Investor ID],A558,SIP[Date Value],"&lt;="&amp;$Z$3)-SUMIFS(SIP[Cost of Units Sold],SIP[B/S],"S",SIP[Investor ID],A558,SIP[Date Value],"&lt;="&amp;$Z$3))</f>
        <v>100000</v>
      </c>
      <c r="H558" s="49">
        <f t="shared" si="42"/>
        <v>100319.704</v>
      </c>
      <c r="I558" s="49">
        <f t="shared" si="43"/>
        <v>319.7039999999979</v>
      </c>
      <c r="J558" s="47">
        <f>(SUMIFS(LS[Unit],LS[Investor ID],A558,LS[B/S],"B",LS[Date Value],"&gt;="&amp;$Z$2,LS[Date Value],"&lt;="&amp;$Z$3))+(SUMIFS(SIP[Unit],SIP[Investor ID],A558,SIP[B/S],"B",SIP[Date Value],"&gt;="&amp;$Z$2,SIP[Date Value],"&lt;="&amp;$Z$3))</f>
        <v>8986</v>
      </c>
      <c r="K558" s="49">
        <f>(SUMIFS(LS[Amount],LS[Investor ID],A558,LS[B/S],"B",LS[Date Value],"&gt;="&amp;$Z$2,LS[Date Value],"&lt;="&amp;$Z$3))+(SUMIFS(SIP[Amount],SIP[Investor ID],A558,SIP[B/S],"B",SIP[Date Value],"&gt;="&amp;$Z$2,SIP[Date Value],"&lt;="&amp;$Z$3))</f>
        <v>100000</v>
      </c>
      <c r="L558" s="47">
        <f>(-SUMIFS(LS[Unit],LS[Investor ID],A558,LS[B/S],"S",LS[Date Value],"&gt;="&amp;$Z$2,LS[Date Value],"&lt;="&amp;$Z$3))+(-SUMIFS(SIP[Unit],SIP[Investor ID],A558,SIP[B/S],"S",SIP[Date Value],"&gt;="&amp;$Z$2,SIP[Date Value],"&lt;="&amp;$Z$3))</f>
        <v>0</v>
      </c>
      <c r="M558" s="49">
        <f>(SUMIFS(LS[Cost of Units Sold],LS[Investor ID],A558,LS[B/S],"S",LS[Date Value],"&gt;="&amp;$Z$2,LS[Date Value],"&lt;="&amp;$Z$3))+(SUMIFS(SIP[Cost of Units Sold],SIP[Investor ID],A558,SIP[B/S],"S",SIP[Date Value],"&gt;="&amp;$Z$2,SIP[Date Value],"&lt;="&amp;$Z$3))</f>
        <v>0</v>
      </c>
      <c r="N558" s="49">
        <f t="shared" si="44"/>
        <v>100000</v>
      </c>
      <c r="O558" s="49">
        <f>(SUMIFS(LS[Realized Gain],LS[Investor ID],A558,LS[Date Value],"&gt;="&amp;$Z$2,LS[Date Value],"&lt;="&amp;$Z$3))+(SUMIFS(SIP[Realized Gain],SIP[Investor ID],A558,SIP[Date Value],"&gt;="&amp;$Z$2,SIP[Date Value],"&lt;="&amp;$Z$3))</f>
        <v>0</v>
      </c>
      <c r="P558" s="49">
        <v>0</v>
      </c>
      <c r="Q558" s="49">
        <v>0</v>
      </c>
      <c r="R558" s="49">
        <v>0</v>
      </c>
    </row>
    <row r="559" spans="1:18">
      <c r="A559" t="s">
        <v>1161</v>
      </c>
      <c r="B559" s="47">
        <f>SUMIFS(LS[Unit],LS[Investor ID],'TAX CERTIFICATE'!A559,LS[Date Value],"&lt;"&amp;$Z$2)+SUMIFS(SIP[Unit],SIP[Investor ID],'TAX CERTIFICATE'!A559,SIP[Date Value],"&lt;"&amp;$Z$2)</f>
        <v>0</v>
      </c>
      <c r="C559" s="48">
        <f>(SUMIFS(LS[Amount],LS[B/S],"B",LS[Investor ID],A559,LS[Date Value],"&lt;"&amp;$Z$2)-SUMIFS(LS[Cost of Units Sold],LS[B/S],"S",LS[Investor ID],A559,LS[Date Value],"&lt;"&amp;$Z$2))+(SUMIFS(SIP[Amount],SIP[B/S],"B",SIP[Investor ID],#REF!,SIP[Date Value],"&lt;"&amp;$Z$2)-SUMIFS(SIP[Cost of Units Sold],SIP[B/S],"S",SIP[Investor ID],A559,SIP[Date Value],"&lt;"&amp;$Z$2))</f>
        <v>0</v>
      </c>
      <c r="D559" s="49">
        <f t="shared" si="40"/>
        <v>0</v>
      </c>
      <c r="E559" s="49">
        <f t="shared" si="41"/>
        <v>0</v>
      </c>
      <c r="F559" s="47">
        <f>SUMIFS(LS[Unit],LS[Investor ID],A559,LS[Date Value],"&lt;="&amp;$Z$3)+SUMIFS(SIP[Unit],SIP[Investor ID],A559,SIP[Date Value],"&lt;="&amp;$Z$3)</f>
        <v>22512</v>
      </c>
      <c r="G559" s="49">
        <f>(SUMIFS(LS[Amount],LS[B/S],"B",LS[Investor ID],A559,LS[Date Value],"&lt;="&amp;$Z$3)-SUMIFS(LS[Cost of Units Sold],LS[B/S],"S",LS[Investor ID],A559,LS[Date Value],"&lt;="&amp;$Z$3))+(SUMIFS(SIP[Amount],SIP[B/S],"B",SIP[Investor ID],A559,SIP[Date Value],"&lt;="&amp;$Z$3)-SUMIFS(SIP[Cost of Units Sold],SIP[B/S],"S",SIP[Investor ID],A559,SIP[Date Value],"&lt;="&amp;$Z$3))</f>
        <v>250000</v>
      </c>
      <c r="H559" s="49">
        <f t="shared" si="42"/>
        <v>251323.96799999999</v>
      </c>
      <c r="I559" s="49">
        <f t="shared" si="43"/>
        <v>1323.9679999999935</v>
      </c>
      <c r="J559" s="47">
        <f>(SUMIFS(LS[Unit],LS[Investor ID],A559,LS[B/S],"B",LS[Date Value],"&gt;="&amp;$Z$2,LS[Date Value],"&lt;="&amp;$Z$3))+(SUMIFS(SIP[Unit],SIP[Investor ID],A559,SIP[B/S],"B",SIP[Date Value],"&gt;="&amp;$Z$2,SIP[Date Value],"&lt;="&amp;$Z$3))</f>
        <v>22512</v>
      </c>
      <c r="K559" s="49">
        <f>(SUMIFS(LS[Amount],LS[Investor ID],A559,LS[B/S],"B",LS[Date Value],"&gt;="&amp;$Z$2,LS[Date Value],"&lt;="&amp;$Z$3))+(SUMIFS(SIP[Amount],SIP[Investor ID],A559,SIP[B/S],"B",SIP[Date Value],"&gt;="&amp;$Z$2,SIP[Date Value],"&lt;="&amp;$Z$3))</f>
        <v>250000</v>
      </c>
      <c r="L559" s="47">
        <f>(-SUMIFS(LS[Unit],LS[Investor ID],A559,LS[B/S],"S",LS[Date Value],"&gt;="&amp;$Z$2,LS[Date Value],"&lt;="&amp;$Z$3))+(-SUMIFS(SIP[Unit],SIP[Investor ID],A559,SIP[B/S],"S",SIP[Date Value],"&gt;="&amp;$Z$2,SIP[Date Value],"&lt;="&amp;$Z$3))</f>
        <v>0</v>
      </c>
      <c r="M559" s="49">
        <f>(SUMIFS(LS[Cost of Units Sold],LS[Investor ID],A559,LS[B/S],"S",LS[Date Value],"&gt;="&amp;$Z$2,LS[Date Value],"&lt;="&amp;$Z$3))+(SUMIFS(SIP[Cost of Units Sold],SIP[Investor ID],A559,SIP[B/S],"S",SIP[Date Value],"&gt;="&amp;$Z$2,SIP[Date Value],"&lt;="&amp;$Z$3))</f>
        <v>0</v>
      </c>
      <c r="N559" s="49">
        <f t="shared" si="44"/>
        <v>250000</v>
      </c>
      <c r="O559" s="49">
        <f>(SUMIFS(LS[Realized Gain],LS[Investor ID],A559,LS[Date Value],"&gt;="&amp;$Z$2,LS[Date Value],"&lt;="&amp;$Z$3))+(SUMIFS(SIP[Realized Gain],SIP[Investor ID],A559,SIP[Date Value],"&gt;="&amp;$Z$2,SIP[Date Value],"&lt;="&amp;$Z$3))</f>
        <v>0</v>
      </c>
      <c r="P559" s="49">
        <v>0</v>
      </c>
      <c r="Q559" s="49">
        <v>0</v>
      </c>
      <c r="R559" s="49">
        <v>0</v>
      </c>
    </row>
    <row r="560" spans="1:18">
      <c r="A560" t="s">
        <v>1163</v>
      </c>
      <c r="B560" s="47">
        <f>SUMIFS(LS[Unit],LS[Investor ID],'TAX CERTIFICATE'!A560,LS[Date Value],"&lt;"&amp;$Z$2)+SUMIFS(SIP[Unit],SIP[Investor ID],'TAX CERTIFICATE'!A560,SIP[Date Value],"&lt;"&amp;$Z$2)</f>
        <v>0</v>
      </c>
      <c r="C560" s="48">
        <f>(SUMIFS(LS[Amount],LS[B/S],"B",LS[Investor ID],A560,LS[Date Value],"&lt;"&amp;$Z$2)-SUMIFS(LS[Cost of Units Sold],LS[B/S],"S",LS[Investor ID],A560,LS[Date Value],"&lt;"&amp;$Z$2))+(SUMIFS(SIP[Amount],SIP[B/S],"B",SIP[Investor ID],#REF!,SIP[Date Value],"&lt;"&amp;$Z$2)-SUMIFS(SIP[Cost of Units Sold],SIP[B/S],"S",SIP[Investor ID],A560,SIP[Date Value],"&lt;"&amp;$Z$2))</f>
        <v>0</v>
      </c>
      <c r="D560" s="49">
        <f t="shared" si="40"/>
        <v>0</v>
      </c>
      <c r="E560" s="49">
        <f t="shared" si="41"/>
        <v>0</v>
      </c>
      <c r="F560" s="47">
        <f>SUMIFS(LS[Unit],LS[Investor ID],A560,LS[Date Value],"&lt;="&amp;$Z$3)+SUMIFS(SIP[Unit],SIP[Investor ID],A560,SIP[Date Value],"&lt;="&amp;$Z$3)</f>
        <v>26901</v>
      </c>
      <c r="G560" s="49">
        <f>(SUMIFS(LS[Amount],LS[B/S],"B",LS[Investor ID],A560,LS[Date Value],"&lt;="&amp;$Z$3)-SUMIFS(LS[Cost of Units Sold],LS[B/S],"S",LS[Investor ID],A560,LS[Date Value],"&lt;="&amp;$Z$3))+(SUMIFS(SIP[Amount],SIP[B/S],"B",SIP[Investor ID],A560,SIP[Date Value],"&lt;="&amp;$Z$3)-SUMIFS(SIP[Cost of Units Sold],SIP[B/S],"S",SIP[Investor ID],A560,SIP[Date Value],"&lt;="&amp;$Z$3))</f>
        <v>300000</v>
      </c>
      <c r="H560" s="49">
        <f t="shared" si="42"/>
        <v>300322.76399999997</v>
      </c>
      <c r="I560" s="49">
        <f t="shared" si="43"/>
        <v>322.76399999996647</v>
      </c>
      <c r="J560" s="47">
        <f>(SUMIFS(LS[Unit],LS[Investor ID],A560,LS[B/S],"B",LS[Date Value],"&gt;="&amp;$Z$2,LS[Date Value],"&lt;="&amp;$Z$3))+(SUMIFS(SIP[Unit],SIP[Investor ID],A560,SIP[B/S],"B",SIP[Date Value],"&gt;="&amp;$Z$2,SIP[Date Value],"&lt;="&amp;$Z$3))</f>
        <v>26901</v>
      </c>
      <c r="K560" s="49">
        <f>(SUMIFS(LS[Amount],LS[Investor ID],A560,LS[B/S],"B",LS[Date Value],"&gt;="&amp;$Z$2,LS[Date Value],"&lt;="&amp;$Z$3))+(SUMIFS(SIP[Amount],SIP[Investor ID],A560,SIP[B/S],"B",SIP[Date Value],"&gt;="&amp;$Z$2,SIP[Date Value],"&lt;="&amp;$Z$3))</f>
        <v>300000</v>
      </c>
      <c r="L560" s="47">
        <f>(-SUMIFS(LS[Unit],LS[Investor ID],A560,LS[B/S],"S",LS[Date Value],"&gt;="&amp;$Z$2,LS[Date Value],"&lt;="&amp;$Z$3))+(-SUMIFS(SIP[Unit],SIP[Investor ID],A560,SIP[B/S],"S",SIP[Date Value],"&gt;="&amp;$Z$2,SIP[Date Value],"&lt;="&amp;$Z$3))</f>
        <v>0</v>
      </c>
      <c r="M560" s="49">
        <f>(SUMIFS(LS[Cost of Units Sold],LS[Investor ID],A560,LS[B/S],"S",LS[Date Value],"&gt;="&amp;$Z$2,LS[Date Value],"&lt;="&amp;$Z$3))+(SUMIFS(SIP[Cost of Units Sold],SIP[Investor ID],A560,SIP[B/S],"S",SIP[Date Value],"&gt;="&amp;$Z$2,SIP[Date Value],"&lt;="&amp;$Z$3))</f>
        <v>0</v>
      </c>
      <c r="N560" s="49">
        <f t="shared" si="44"/>
        <v>300000</v>
      </c>
      <c r="O560" s="49">
        <f>(SUMIFS(LS[Realized Gain],LS[Investor ID],A560,LS[Date Value],"&gt;="&amp;$Z$2,LS[Date Value],"&lt;="&amp;$Z$3))+(SUMIFS(SIP[Realized Gain],SIP[Investor ID],A560,SIP[Date Value],"&gt;="&amp;$Z$2,SIP[Date Value],"&lt;="&amp;$Z$3))</f>
        <v>0</v>
      </c>
      <c r="P560" s="49">
        <v>0</v>
      </c>
      <c r="Q560" s="49">
        <v>0</v>
      </c>
      <c r="R560" s="49">
        <v>0</v>
      </c>
    </row>
    <row r="561" spans="1:18">
      <c r="A561" t="s">
        <v>1165</v>
      </c>
      <c r="B561" s="47">
        <f>SUMIFS(LS[Unit],LS[Investor ID],'TAX CERTIFICATE'!A561,LS[Date Value],"&lt;"&amp;$Z$2)+SUMIFS(SIP[Unit],SIP[Investor ID],'TAX CERTIFICATE'!A561,SIP[Date Value],"&lt;"&amp;$Z$2)</f>
        <v>0</v>
      </c>
      <c r="C561" s="48">
        <f>(SUMIFS(LS[Amount],LS[B/S],"B",LS[Investor ID],A561,LS[Date Value],"&lt;"&amp;$Z$2)-SUMIFS(LS[Cost of Units Sold],LS[B/S],"S",LS[Investor ID],A561,LS[Date Value],"&lt;"&amp;$Z$2))+(SUMIFS(SIP[Amount],SIP[B/S],"B",SIP[Investor ID],#REF!,SIP[Date Value],"&lt;"&amp;$Z$2)-SUMIFS(SIP[Cost of Units Sold],SIP[B/S],"S",SIP[Investor ID],A561,SIP[Date Value],"&lt;"&amp;$Z$2))</f>
        <v>0</v>
      </c>
      <c r="D561" s="49">
        <f t="shared" si="40"/>
        <v>0</v>
      </c>
      <c r="E561" s="49">
        <f t="shared" si="41"/>
        <v>0</v>
      </c>
      <c r="F561" s="47">
        <f>SUMIFS(LS[Unit],LS[Investor ID],A561,LS[Date Value],"&lt;="&amp;$Z$3)+SUMIFS(SIP[Unit],SIP[Investor ID],A561,SIP[Date Value],"&lt;="&amp;$Z$3)</f>
        <v>45025</v>
      </c>
      <c r="G561" s="49">
        <f>(SUMIFS(LS[Amount],LS[B/S],"B",LS[Investor ID],A561,LS[Date Value],"&lt;="&amp;$Z$3)-SUMIFS(LS[Cost of Units Sold],LS[B/S],"S",LS[Investor ID],A561,LS[Date Value],"&lt;="&amp;$Z$3))+(SUMIFS(SIP[Amount],SIP[B/S],"B",SIP[Investor ID],A561,SIP[Date Value],"&lt;="&amp;$Z$3)-SUMIFS(SIP[Cost of Units Sold],SIP[B/S],"S",SIP[Investor ID],A561,SIP[Date Value],"&lt;="&amp;$Z$3))</f>
        <v>500000</v>
      </c>
      <c r="H561" s="49">
        <f t="shared" si="42"/>
        <v>502659.1</v>
      </c>
      <c r="I561" s="49">
        <f t="shared" si="43"/>
        <v>2659.0999999999767</v>
      </c>
      <c r="J561" s="47">
        <f>(SUMIFS(LS[Unit],LS[Investor ID],A561,LS[B/S],"B",LS[Date Value],"&gt;="&amp;$Z$2,LS[Date Value],"&lt;="&amp;$Z$3))+(SUMIFS(SIP[Unit],SIP[Investor ID],A561,SIP[B/S],"B",SIP[Date Value],"&gt;="&amp;$Z$2,SIP[Date Value],"&lt;="&amp;$Z$3))</f>
        <v>45025</v>
      </c>
      <c r="K561" s="49">
        <f>(SUMIFS(LS[Amount],LS[Investor ID],A561,LS[B/S],"B",LS[Date Value],"&gt;="&amp;$Z$2,LS[Date Value],"&lt;="&amp;$Z$3))+(SUMIFS(SIP[Amount],SIP[Investor ID],A561,SIP[B/S],"B",SIP[Date Value],"&gt;="&amp;$Z$2,SIP[Date Value],"&lt;="&amp;$Z$3))</f>
        <v>500000</v>
      </c>
      <c r="L561" s="47">
        <f>(-SUMIFS(LS[Unit],LS[Investor ID],A561,LS[B/S],"S",LS[Date Value],"&gt;="&amp;$Z$2,LS[Date Value],"&lt;="&amp;$Z$3))+(-SUMIFS(SIP[Unit],SIP[Investor ID],A561,SIP[B/S],"S",SIP[Date Value],"&gt;="&amp;$Z$2,SIP[Date Value],"&lt;="&amp;$Z$3))</f>
        <v>0</v>
      </c>
      <c r="M561" s="49">
        <f>(SUMIFS(LS[Cost of Units Sold],LS[Investor ID],A561,LS[B/S],"S",LS[Date Value],"&gt;="&amp;$Z$2,LS[Date Value],"&lt;="&amp;$Z$3))+(SUMIFS(SIP[Cost of Units Sold],SIP[Investor ID],A561,SIP[B/S],"S",SIP[Date Value],"&gt;="&amp;$Z$2,SIP[Date Value],"&lt;="&amp;$Z$3))</f>
        <v>0</v>
      </c>
      <c r="N561" s="49">
        <f t="shared" si="44"/>
        <v>500000</v>
      </c>
      <c r="O561" s="49">
        <f>(SUMIFS(LS[Realized Gain],LS[Investor ID],A561,LS[Date Value],"&gt;="&amp;$Z$2,LS[Date Value],"&lt;="&amp;$Z$3))+(SUMIFS(SIP[Realized Gain],SIP[Investor ID],A561,SIP[Date Value],"&gt;="&amp;$Z$2,SIP[Date Value],"&lt;="&amp;$Z$3))</f>
        <v>0</v>
      </c>
      <c r="P561" s="49">
        <v>0</v>
      </c>
      <c r="Q561" s="49">
        <v>0</v>
      </c>
      <c r="R561" s="49">
        <v>0</v>
      </c>
    </row>
    <row r="562" spans="1:18">
      <c r="A562" t="s">
        <v>1167</v>
      </c>
      <c r="B562" s="47">
        <f>SUMIFS(LS[Unit],LS[Investor ID],'TAX CERTIFICATE'!A562,LS[Date Value],"&lt;"&amp;$Z$2)+SUMIFS(SIP[Unit],SIP[Investor ID],'TAX CERTIFICATE'!A562,SIP[Date Value],"&lt;"&amp;$Z$2)</f>
        <v>0</v>
      </c>
      <c r="C562" s="48">
        <f>(SUMIFS(LS[Amount],LS[B/S],"B",LS[Investor ID],A562,LS[Date Value],"&lt;"&amp;$Z$2)-SUMIFS(LS[Cost of Units Sold],LS[B/S],"S",LS[Investor ID],A562,LS[Date Value],"&lt;"&amp;$Z$2))+(SUMIFS(SIP[Amount],SIP[B/S],"B",SIP[Investor ID],#REF!,SIP[Date Value],"&lt;"&amp;$Z$2)-SUMIFS(SIP[Cost of Units Sold],SIP[B/S],"S",SIP[Investor ID],A562,SIP[Date Value],"&lt;"&amp;$Z$2))</f>
        <v>0</v>
      </c>
      <c r="D562" s="49">
        <f t="shared" si="40"/>
        <v>0</v>
      </c>
      <c r="E562" s="49">
        <f t="shared" si="41"/>
        <v>0</v>
      </c>
      <c r="F562" s="47">
        <f>SUMIFS(LS[Unit],LS[Investor ID],A562,LS[Date Value],"&lt;="&amp;$Z$3)+SUMIFS(SIP[Unit],SIP[Investor ID],A562,SIP[Date Value],"&lt;="&amp;$Z$3)</f>
        <v>174857</v>
      </c>
      <c r="G562" s="49">
        <f>(SUMIFS(LS[Amount],LS[B/S],"B",LS[Investor ID],A562,LS[Date Value],"&lt;="&amp;$Z$3)-SUMIFS(LS[Cost of Units Sold],LS[B/S],"S",LS[Investor ID],A562,LS[Date Value],"&lt;="&amp;$Z$3))+(SUMIFS(SIP[Amount],SIP[B/S],"B",SIP[Investor ID],A562,SIP[Date Value],"&lt;="&amp;$Z$3)-SUMIFS(SIP[Cost of Units Sold],SIP[B/S],"S",SIP[Investor ID],A562,SIP[Date Value],"&lt;="&amp;$Z$3))</f>
        <v>1950000</v>
      </c>
      <c r="H562" s="49">
        <f t="shared" si="42"/>
        <v>1952103.548</v>
      </c>
      <c r="I562" s="49">
        <f t="shared" si="43"/>
        <v>2103.5479999999516</v>
      </c>
      <c r="J562" s="47">
        <f>(SUMIFS(LS[Unit],LS[Investor ID],A562,LS[B/S],"B",LS[Date Value],"&gt;="&amp;$Z$2,LS[Date Value],"&lt;="&amp;$Z$3))+(SUMIFS(SIP[Unit],SIP[Investor ID],A562,SIP[B/S],"B",SIP[Date Value],"&gt;="&amp;$Z$2,SIP[Date Value],"&lt;="&amp;$Z$3))</f>
        <v>174857</v>
      </c>
      <c r="K562" s="49">
        <f>(SUMIFS(LS[Amount],LS[Investor ID],A562,LS[B/S],"B",LS[Date Value],"&gt;="&amp;$Z$2,LS[Date Value],"&lt;="&amp;$Z$3))+(SUMIFS(SIP[Amount],SIP[Investor ID],A562,SIP[B/S],"B",SIP[Date Value],"&gt;="&amp;$Z$2,SIP[Date Value],"&lt;="&amp;$Z$3))</f>
        <v>1950000</v>
      </c>
      <c r="L562" s="47">
        <f>(-SUMIFS(LS[Unit],LS[Investor ID],A562,LS[B/S],"S",LS[Date Value],"&gt;="&amp;$Z$2,LS[Date Value],"&lt;="&amp;$Z$3))+(-SUMIFS(SIP[Unit],SIP[Investor ID],A562,SIP[B/S],"S",SIP[Date Value],"&gt;="&amp;$Z$2,SIP[Date Value],"&lt;="&amp;$Z$3))</f>
        <v>0</v>
      </c>
      <c r="M562" s="49">
        <f>(SUMIFS(LS[Cost of Units Sold],LS[Investor ID],A562,LS[B/S],"S",LS[Date Value],"&gt;="&amp;$Z$2,LS[Date Value],"&lt;="&amp;$Z$3))+(SUMIFS(SIP[Cost of Units Sold],SIP[Investor ID],A562,SIP[B/S],"S",SIP[Date Value],"&gt;="&amp;$Z$2,SIP[Date Value],"&lt;="&amp;$Z$3))</f>
        <v>0</v>
      </c>
      <c r="N562" s="49">
        <f t="shared" si="44"/>
        <v>1950000</v>
      </c>
      <c r="O562" s="49">
        <f>(SUMIFS(LS[Realized Gain],LS[Investor ID],A562,LS[Date Value],"&gt;="&amp;$Z$2,LS[Date Value],"&lt;="&amp;$Z$3))+(SUMIFS(SIP[Realized Gain],SIP[Investor ID],A562,SIP[Date Value],"&gt;="&amp;$Z$2,SIP[Date Value],"&lt;="&amp;$Z$3))</f>
        <v>0</v>
      </c>
      <c r="P562" s="49">
        <v>0</v>
      </c>
      <c r="Q562" s="49">
        <v>0</v>
      </c>
      <c r="R562" s="49">
        <v>0</v>
      </c>
    </row>
    <row r="563" spans="1:18">
      <c r="A563" t="s">
        <v>1169</v>
      </c>
      <c r="B563" s="47">
        <f>SUMIFS(LS[Unit],LS[Investor ID],'TAX CERTIFICATE'!A563,LS[Date Value],"&lt;"&amp;$Z$2)+SUMIFS(SIP[Unit],SIP[Investor ID],'TAX CERTIFICATE'!A563,SIP[Date Value],"&lt;"&amp;$Z$2)</f>
        <v>0</v>
      </c>
      <c r="C563" s="48">
        <f>(SUMIFS(LS[Amount],LS[B/S],"B",LS[Investor ID],A563,LS[Date Value],"&lt;"&amp;$Z$2)-SUMIFS(LS[Cost of Units Sold],LS[B/S],"S",LS[Investor ID],A563,LS[Date Value],"&lt;"&amp;$Z$2))+(SUMIFS(SIP[Amount],SIP[B/S],"B",SIP[Investor ID],#REF!,SIP[Date Value],"&lt;"&amp;$Z$2)-SUMIFS(SIP[Cost of Units Sold],SIP[B/S],"S",SIP[Investor ID],A563,SIP[Date Value],"&lt;"&amp;$Z$2))</f>
        <v>0</v>
      </c>
      <c r="D563" s="49">
        <f t="shared" si="40"/>
        <v>0</v>
      </c>
      <c r="E563" s="49">
        <f t="shared" si="41"/>
        <v>0</v>
      </c>
      <c r="F563" s="47">
        <f>SUMIFS(LS[Unit],LS[Investor ID],A563,LS[Date Value],"&lt;="&amp;$Z$3)+SUMIFS(SIP[Unit],SIP[Investor ID],A563,SIP[Date Value],"&lt;="&amp;$Z$3)</f>
        <v>22418</v>
      </c>
      <c r="G563" s="49">
        <f>(SUMIFS(LS[Amount],LS[B/S],"B",LS[Investor ID],A563,LS[Date Value],"&lt;="&amp;$Z$3)-SUMIFS(LS[Cost of Units Sold],LS[B/S],"S",LS[Investor ID],A563,LS[Date Value],"&lt;="&amp;$Z$3))+(SUMIFS(SIP[Amount],SIP[B/S],"B",SIP[Investor ID],A563,SIP[Date Value],"&lt;="&amp;$Z$3)-SUMIFS(SIP[Cost of Units Sold],SIP[B/S],"S",SIP[Investor ID],A563,SIP[Date Value],"&lt;="&amp;$Z$3))</f>
        <v>250000</v>
      </c>
      <c r="H563" s="49">
        <f t="shared" si="42"/>
        <v>250274.552</v>
      </c>
      <c r="I563" s="49">
        <f t="shared" si="43"/>
        <v>274.55199999999604</v>
      </c>
      <c r="J563" s="47">
        <f>(SUMIFS(LS[Unit],LS[Investor ID],A563,LS[B/S],"B",LS[Date Value],"&gt;="&amp;$Z$2,LS[Date Value],"&lt;="&amp;$Z$3))+(SUMIFS(SIP[Unit],SIP[Investor ID],A563,SIP[B/S],"B",SIP[Date Value],"&gt;="&amp;$Z$2,SIP[Date Value],"&lt;="&amp;$Z$3))</f>
        <v>22418</v>
      </c>
      <c r="K563" s="49">
        <f>(SUMIFS(LS[Amount],LS[Investor ID],A563,LS[B/S],"B",LS[Date Value],"&gt;="&amp;$Z$2,LS[Date Value],"&lt;="&amp;$Z$3))+(SUMIFS(SIP[Amount],SIP[Investor ID],A563,SIP[B/S],"B",SIP[Date Value],"&gt;="&amp;$Z$2,SIP[Date Value],"&lt;="&amp;$Z$3))</f>
        <v>250000</v>
      </c>
      <c r="L563" s="47">
        <f>(-SUMIFS(LS[Unit],LS[Investor ID],A563,LS[B/S],"S",LS[Date Value],"&gt;="&amp;$Z$2,LS[Date Value],"&lt;="&amp;$Z$3))+(-SUMIFS(SIP[Unit],SIP[Investor ID],A563,SIP[B/S],"S",SIP[Date Value],"&gt;="&amp;$Z$2,SIP[Date Value],"&lt;="&amp;$Z$3))</f>
        <v>0</v>
      </c>
      <c r="M563" s="49">
        <f>(SUMIFS(LS[Cost of Units Sold],LS[Investor ID],A563,LS[B/S],"S",LS[Date Value],"&gt;="&amp;$Z$2,LS[Date Value],"&lt;="&amp;$Z$3))+(SUMIFS(SIP[Cost of Units Sold],SIP[Investor ID],A563,SIP[B/S],"S",SIP[Date Value],"&gt;="&amp;$Z$2,SIP[Date Value],"&lt;="&amp;$Z$3))</f>
        <v>0</v>
      </c>
      <c r="N563" s="49">
        <f t="shared" si="44"/>
        <v>250000</v>
      </c>
      <c r="O563" s="49">
        <f>(SUMIFS(LS[Realized Gain],LS[Investor ID],A563,LS[Date Value],"&gt;="&amp;$Z$2,LS[Date Value],"&lt;="&amp;$Z$3))+(SUMIFS(SIP[Realized Gain],SIP[Investor ID],A563,SIP[Date Value],"&gt;="&amp;$Z$2,SIP[Date Value],"&lt;="&amp;$Z$3))</f>
        <v>0</v>
      </c>
      <c r="P563" s="49">
        <v>0</v>
      </c>
      <c r="Q563" s="49">
        <v>0</v>
      </c>
      <c r="R563" s="49">
        <v>0</v>
      </c>
    </row>
    <row r="564" spans="1:18">
      <c r="A564" t="s">
        <v>1171</v>
      </c>
      <c r="B564" s="47">
        <f>SUMIFS(LS[Unit],LS[Investor ID],'TAX CERTIFICATE'!A564,LS[Date Value],"&lt;"&amp;$Z$2)+SUMIFS(SIP[Unit],SIP[Investor ID],'TAX CERTIFICATE'!A564,SIP[Date Value],"&lt;"&amp;$Z$2)</f>
        <v>0</v>
      </c>
      <c r="C564" s="48">
        <f>(SUMIFS(LS[Amount],LS[B/S],"B",LS[Investor ID],A564,LS[Date Value],"&lt;"&amp;$Z$2)-SUMIFS(LS[Cost of Units Sold],LS[B/S],"S",LS[Investor ID],A564,LS[Date Value],"&lt;"&amp;$Z$2))+(SUMIFS(SIP[Amount],SIP[B/S],"B",SIP[Investor ID],#REF!,SIP[Date Value],"&lt;"&amp;$Z$2)-SUMIFS(SIP[Cost of Units Sold],SIP[B/S],"S",SIP[Investor ID],A564,SIP[Date Value],"&lt;"&amp;$Z$2))</f>
        <v>0</v>
      </c>
      <c r="D564" s="49">
        <f t="shared" si="40"/>
        <v>0</v>
      </c>
      <c r="E564" s="49">
        <f t="shared" si="41"/>
        <v>0</v>
      </c>
      <c r="F564" s="47">
        <f>SUMIFS(LS[Unit],LS[Investor ID],A564,LS[Date Value],"&lt;="&amp;$Z$3)+SUMIFS(SIP[Unit],SIP[Investor ID],A564,SIP[Date Value],"&lt;="&amp;$Z$3)</f>
        <v>17934</v>
      </c>
      <c r="G564" s="49">
        <f>(SUMIFS(LS[Amount],LS[B/S],"B",LS[Investor ID],A564,LS[Date Value],"&lt;="&amp;$Z$3)-SUMIFS(LS[Cost of Units Sold],LS[B/S],"S",LS[Investor ID],A564,LS[Date Value],"&lt;="&amp;$Z$3))+(SUMIFS(SIP[Amount],SIP[B/S],"B",SIP[Investor ID],A564,SIP[Date Value],"&lt;="&amp;$Z$3)-SUMIFS(SIP[Cost of Units Sold],SIP[B/S],"S",SIP[Investor ID],A564,SIP[Date Value],"&lt;="&amp;$Z$3))</f>
        <v>200000</v>
      </c>
      <c r="H564" s="49">
        <f t="shared" si="42"/>
        <v>200215.17600000001</v>
      </c>
      <c r="I564" s="49">
        <f t="shared" si="43"/>
        <v>215.17600000000675</v>
      </c>
      <c r="J564" s="47">
        <f>(SUMIFS(LS[Unit],LS[Investor ID],A564,LS[B/S],"B",LS[Date Value],"&gt;="&amp;$Z$2,LS[Date Value],"&lt;="&amp;$Z$3))+(SUMIFS(SIP[Unit],SIP[Investor ID],A564,SIP[B/S],"B",SIP[Date Value],"&gt;="&amp;$Z$2,SIP[Date Value],"&lt;="&amp;$Z$3))</f>
        <v>17934</v>
      </c>
      <c r="K564" s="49">
        <f>(SUMIFS(LS[Amount],LS[Investor ID],A564,LS[B/S],"B",LS[Date Value],"&gt;="&amp;$Z$2,LS[Date Value],"&lt;="&amp;$Z$3))+(SUMIFS(SIP[Amount],SIP[Investor ID],A564,SIP[B/S],"B",SIP[Date Value],"&gt;="&amp;$Z$2,SIP[Date Value],"&lt;="&amp;$Z$3))</f>
        <v>200000</v>
      </c>
      <c r="L564" s="47">
        <f>(-SUMIFS(LS[Unit],LS[Investor ID],A564,LS[B/S],"S",LS[Date Value],"&gt;="&amp;$Z$2,LS[Date Value],"&lt;="&amp;$Z$3))+(-SUMIFS(SIP[Unit],SIP[Investor ID],A564,SIP[B/S],"S",SIP[Date Value],"&gt;="&amp;$Z$2,SIP[Date Value],"&lt;="&amp;$Z$3))</f>
        <v>0</v>
      </c>
      <c r="M564" s="49">
        <f>(SUMIFS(LS[Cost of Units Sold],LS[Investor ID],A564,LS[B/S],"S",LS[Date Value],"&gt;="&amp;$Z$2,LS[Date Value],"&lt;="&amp;$Z$3))+(SUMIFS(SIP[Cost of Units Sold],SIP[Investor ID],A564,SIP[B/S],"S",SIP[Date Value],"&gt;="&amp;$Z$2,SIP[Date Value],"&lt;="&amp;$Z$3))</f>
        <v>0</v>
      </c>
      <c r="N564" s="49">
        <f t="shared" si="44"/>
        <v>200000</v>
      </c>
      <c r="O564" s="49">
        <f>(SUMIFS(LS[Realized Gain],LS[Investor ID],A564,LS[Date Value],"&gt;="&amp;$Z$2,LS[Date Value],"&lt;="&amp;$Z$3))+(SUMIFS(SIP[Realized Gain],SIP[Investor ID],A564,SIP[Date Value],"&gt;="&amp;$Z$2,SIP[Date Value],"&lt;="&amp;$Z$3))</f>
        <v>0</v>
      </c>
      <c r="P564" s="49">
        <v>0</v>
      </c>
      <c r="Q564" s="49">
        <v>0</v>
      </c>
      <c r="R564" s="49">
        <v>0</v>
      </c>
    </row>
    <row r="565" spans="1:18">
      <c r="A565" t="s">
        <v>1173</v>
      </c>
      <c r="B565" s="47">
        <f>SUMIFS(LS[Unit],LS[Investor ID],'TAX CERTIFICATE'!A565,LS[Date Value],"&lt;"&amp;$Z$2)+SUMIFS(SIP[Unit],SIP[Investor ID],'TAX CERTIFICATE'!A565,SIP[Date Value],"&lt;"&amp;$Z$2)</f>
        <v>0</v>
      </c>
      <c r="C565" s="48">
        <f>(SUMIFS(LS[Amount],LS[B/S],"B",LS[Investor ID],A565,LS[Date Value],"&lt;"&amp;$Z$2)-SUMIFS(LS[Cost of Units Sold],LS[B/S],"S",LS[Investor ID],A565,LS[Date Value],"&lt;"&amp;$Z$2))+(SUMIFS(SIP[Amount],SIP[B/S],"B",SIP[Investor ID],#REF!,SIP[Date Value],"&lt;"&amp;$Z$2)-SUMIFS(SIP[Cost of Units Sold],SIP[B/S],"S",SIP[Investor ID],A565,SIP[Date Value],"&lt;"&amp;$Z$2))</f>
        <v>0</v>
      </c>
      <c r="D565" s="49">
        <f t="shared" si="40"/>
        <v>0</v>
      </c>
      <c r="E565" s="49">
        <f t="shared" si="41"/>
        <v>0</v>
      </c>
      <c r="F565" s="47">
        <f>SUMIFS(LS[Unit],LS[Investor ID],A565,LS[Date Value],"&lt;="&amp;$Z$3)+SUMIFS(SIP[Unit],SIP[Investor ID],A565,SIP[Date Value],"&lt;="&amp;$Z$3)</f>
        <v>34075</v>
      </c>
      <c r="G565" s="49">
        <f>(SUMIFS(LS[Amount],LS[B/S],"B",LS[Investor ID],A565,LS[Date Value],"&lt;="&amp;$Z$3)-SUMIFS(LS[Cost of Units Sold],LS[B/S],"S",LS[Investor ID],A565,LS[Date Value],"&lt;="&amp;$Z$3))+(SUMIFS(SIP[Amount],SIP[B/S],"B",SIP[Investor ID],A565,SIP[Date Value],"&lt;="&amp;$Z$3)-SUMIFS(SIP[Cost of Units Sold],SIP[B/S],"S",SIP[Investor ID],A565,SIP[Date Value],"&lt;="&amp;$Z$3))</f>
        <v>380000</v>
      </c>
      <c r="H565" s="49">
        <f t="shared" si="42"/>
        <v>380413.3</v>
      </c>
      <c r="I565" s="49">
        <f t="shared" si="43"/>
        <v>413.29999999998836</v>
      </c>
      <c r="J565" s="47">
        <f>(SUMIFS(LS[Unit],LS[Investor ID],A565,LS[B/S],"B",LS[Date Value],"&gt;="&amp;$Z$2,LS[Date Value],"&lt;="&amp;$Z$3))+(SUMIFS(SIP[Unit],SIP[Investor ID],A565,SIP[B/S],"B",SIP[Date Value],"&gt;="&amp;$Z$2,SIP[Date Value],"&lt;="&amp;$Z$3))</f>
        <v>34075</v>
      </c>
      <c r="K565" s="49">
        <f>(SUMIFS(LS[Amount],LS[Investor ID],A565,LS[B/S],"B",LS[Date Value],"&gt;="&amp;$Z$2,LS[Date Value],"&lt;="&amp;$Z$3))+(SUMIFS(SIP[Amount],SIP[Investor ID],A565,SIP[B/S],"B",SIP[Date Value],"&gt;="&amp;$Z$2,SIP[Date Value],"&lt;="&amp;$Z$3))</f>
        <v>380000</v>
      </c>
      <c r="L565" s="47">
        <f>(-SUMIFS(LS[Unit],LS[Investor ID],A565,LS[B/S],"S",LS[Date Value],"&gt;="&amp;$Z$2,LS[Date Value],"&lt;="&amp;$Z$3))+(-SUMIFS(SIP[Unit],SIP[Investor ID],A565,SIP[B/S],"S",SIP[Date Value],"&gt;="&amp;$Z$2,SIP[Date Value],"&lt;="&amp;$Z$3))</f>
        <v>0</v>
      </c>
      <c r="M565" s="49">
        <f>(SUMIFS(LS[Cost of Units Sold],LS[Investor ID],A565,LS[B/S],"S",LS[Date Value],"&gt;="&amp;$Z$2,LS[Date Value],"&lt;="&amp;$Z$3))+(SUMIFS(SIP[Cost of Units Sold],SIP[Investor ID],A565,SIP[B/S],"S",SIP[Date Value],"&gt;="&amp;$Z$2,SIP[Date Value],"&lt;="&amp;$Z$3))</f>
        <v>0</v>
      </c>
      <c r="N565" s="49">
        <f t="shared" si="44"/>
        <v>380000</v>
      </c>
      <c r="O565" s="49">
        <f>(SUMIFS(LS[Realized Gain],LS[Investor ID],A565,LS[Date Value],"&gt;="&amp;$Z$2,LS[Date Value],"&lt;="&amp;$Z$3))+(SUMIFS(SIP[Realized Gain],SIP[Investor ID],A565,SIP[Date Value],"&gt;="&amp;$Z$2,SIP[Date Value],"&lt;="&amp;$Z$3))</f>
        <v>0</v>
      </c>
      <c r="P565" s="49">
        <v>0</v>
      </c>
      <c r="Q565" s="49">
        <v>0</v>
      </c>
      <c r="R565" s="49">
        <v>0</v>
      </c>
    </row>
    <row r="566" spans="1:18">
      <c r="A566" t="s">
        <v>1175</v>
      </c>
      <c r="B566" s="47">
        <f>SUMIFS(LS[Unit],LS[Investor ID],'TAX CERTIFICATE'!A566,LS[Date Value],"&lt;"&amp;$Z$2)+SUMIFS(SIP[Unit],SIP[Investor ID],'TAX CERTIFICATE'!A566,SIP[Date Value],"&lt;"&amp;$Z$2)</f>
        <v>0</v>
      </c>
      <c r="C566" s="48">
        <f>(SUMIFS(LS[Amount],LS[B/S],"B",LS[Investor ID],A566,LS[Date Value],"&lt;"&amp;$Z$2)-SUMIFS(LS[Cost of Units Sold],LS[B/S],"S",LS[Investor ID],A566,LS[Date Value],"&lt;"&amp;$Z$2))+(SUMIFS(SIP[Amount],SIP[B/S],"B",SIP[Investor ID],#REF!,SIP[Date Value],"&lt;"&amp;$Z$2)-SUMIFS(SIP[Cost of Units Sold],SIP[B/S],"S",SIP[Investor ID],A566,SIP[Date Value],"&lt;"&amp;$Z$2))</f>
        <v>0</v>
      </c>
      <c r="D566" s="49">
        <f t="shared" si="40"/>
        <v>0</v>
      </c>
      <c r="E566" s="49">
        <f t="shared" si="41"/>
        <v>0</v>
      </c>
      <c r="F566" s="47">
        <f>SUMIFS(LS[Unit],LS[Investor ID],A566,LS[Date Value],"&lt;="&amp;$Z$3)+SUMIFS(SIP[Unit],SIP[Investor ID],A566,SIP[Date Value],"&lt;="&amp;$Z$3)</f>
        <v>31385</v>
      </c>
      <c r="G566" s="49">
        <f>(SUMIFS(LS[Amount],LS[B/S],"B",LS[Investor ID],A566,LS[Date Value],"&lt;="&amp;$Z$3)-SUMIFS(LS[Cost of Units Sold],LS[B/S],"S",LS[Investor ID],A566,LS[Date Value],"&lt;="&amp;$Z$3))+(SUMIFS(SIP[Amount],SIP[B/S],"B",SIP[Investor ID],A566,SIP[Date Value],"&lt;="&amp;$Z$3)-SUMIFS(SIP[Cost of Units Sold],SIP[B/S],"S",SIP[Investor ID],A566,SIP[Date Value],"&lt;="&amp;$Z$3))</f>
        <v>350000</v>
      </c>
      <c r="H566" s="49">
        <f t="shared" si="42"/>
        <v>350382.14</v>
      </c>
      <c r="I566" s="49">
        <f t="shared" si="43"/>
        <v>382.14000000001397</v>
      </c>
      <c r="J566" s="47">
        <f>(SUMIFS(LS[Unit],LS[Investor ID],A566,LS[B/S],"B",LS[Date Value],"&gt;="&amp;$Z$2,LS[Date Value],"&lt;="&amp;$Z$3))+(SUMIFS(SIP[Unit],SIP[Investor ID],A566,SIP[B/S],"B",SIP[Date Value],"&gt;="&amp;$Z$2,SIP[Date Value],"&lt;="&amp;$Z$3))</f>
        <v>31385</v>
      </c>
      <c r="K566" s="49">
        <f>(SUMIFS(LS[Amount],LS[Investor ID],A566,LS[B/S],"B",LS[Date Value],"&gt;="&amp;$Z$2,LS[Date Value],"&lt;="&amp;$Z$3))+(SUMIFS(SIP[Amount],SIP[Investor ID],A566,SIP[B/S],"B",SIP[Date Value],"&gt;="&amp;$Z$2,SIP[Date Value],"&lt;="&amp;$Z$3))</f>
        <v>350000</v>
      </c>
      <c r="L566" s="47">
        <f>(-SUMIFS(LS[Unit],LS[Investor ID],A566,LS[B/S],"S",LS[Date Value],"&gt;="&amp;$Z$2,LS[Date Value],"&lt;="&amp;$Z$3))+(-SUMIFS(SIP[Unit],SIP[Investor ID],A566,SIP[B/S],"S",SIP[Date Value],"&gt;="&amp;$Z$2,SIP[Date Value],"&lt;="&amp;$Z$3))</f>
        <v>0</v>
      </c>
      <c r="M566" s="49">
        <f>(SUMIFS(LS[Cost of Units Sold],LS[Investor ID],A566,LS[B/S],"S",LS[Date Value],"&gt;="&amp;$Z$2,LS[Date Value],"&lt;="&amp;$Z$3))+(SUMIFS(SIP[Cost of Units Sold],SIP[Investor ID],A566,SIP[B/S],"S",SIP[Date Value],"&gt;="&amp;$Z$2,SIP[Date Value],"&lt;="&amp;$Z$3))</f>
        <v>0</v>
      </c>
      <c r="N566" s="49">
        <f t="shared" si="44"/>
        <v>350000</v>
      </c>
      <c r="O566" s="49">
        <f>(SUMIFS(LS[Realized Gain],LS[Investor ID],A566,LS[Date Value],"&gt;="&amp;$Z$2,LS[Date Value],"&lt;="&amp;$Z$3))+(SUMIFS(SIP[Realized Gain],SIP[Investor ID],A566,SIP[Date Value],"&gt;="&amp;$Z$2,SIP[Date Value],"&lt;="&amp;$Z$3))</f>
        <v>0</v>
      </c>
      <c r="P566" s="49">
        <v>0</v>
      </c>
      <c r="Q566" s="49">
        <v>0</v>
      </c>
      <c r="R566" s="49">
        <v>0</v>
      </c>
    </row>
    <row r="567" spans="1:18">
      <c r="A567" t="s">
        <v>1177</v>
      </c>
      <c r="B567" s="47">
        <f>SUMIFS(LS[Unit],LS[Investor ID],'TAX CERTIFICATE'!A567,LS[Date Value],"&lt;"&amp;$Z$2)+SUMIFS(SIP[Unit],SIP[Investor ID],'TAX CERTIFICATE'!A567,SIP[Date Value],"&lt;"&amp;$Z$2)</f>
        <v>0</v>
      </c>
      <c r="C567" s="48">
        <f>(SUMIFS(LS[Amount],LS[B/S],"B",LS[Investor ID],A567,LS[Date Value],"&lt;"&amp;$Z$2)-SUMIFS(LS[Cost of Units Sold],LS[B/S],"S",LS[Investor ID],A567,LS[Date Value],"&lt;"&amp;$Z$2))+(SUMIFS(SIP[Amount],SIP[B/S],"B",SIP[Investor ID],#REF!,SIP[Date Value],"&lt;"&amp;$Z$2)-SUMIFS(SIP[Cost of Units Sold],SIP[B/S],"S",SIP[Investor ID],A567,SIP[Date Value],"&lt;"&amp;$Z$2))</f>
        <v>0</v>
      </c>
      <c r="D567" s="49">
        <f t="shared" si="40"/>
        <v>0</v>
      </c>
      <c r="E567" s="49">
        <f t="shared" si="41"/>
        <v>0</v>
      </c>
      <c r="F567" s="47">
        <f>SUMIFS(LS[Unit],LS[Investor ID],A567,LS[Date Value],"&lt;="&amp;$Z$3)+SUMIFS(SIP[Unit],SIP[Investor ID],A567,SIP[Date Value],"&lt;="&amp;$Z$3)</f>
        <v>10760</v>
      </c>
      <c r="G567" s="49">
        <f>(SUMIFS(LS[Amount],LS[B/S],"B",LS[Investor ID],A567,LS[Date Value],"&lt;="&amp;$Z$3)-SUMIFS(LS[Cost of Units Sold],LS[B/S],"S",LS[Investor ID],A567,LS[Date Value],"&lt;="&amp;$Z$3))+(SUMIFS(SIP[Amount],SIP[B/S],"B",SIP[Investor ID],A567,SIP[Date Value],"&lt;="&amp;$Z$3)-SUMIFS(SIP[Cost of Units Sold],SIP[B/S],"S",SIP[Investor ID],A567,SIP[Date Value],"&lt;="&amp;$Z$3))</f>
        <v>120000</v>
      </c>
      <c r="H567" s="49">
        <f t="shared" si="42"/>
        <v>120124.64</v>
      </c>
      <c r="I567" s="49">
        <f t="shared" si="43"/>
        <v>124.63999999999942</v>
      </c>
      <c r="J567" s="47">
        <f>(SUMIFS(LS[Unit],LS[Investor ID],A567,LS[B/S],"B",LS[Date Value],"&gt;="&amp;$Z$2,LS[Date Value],"&lt;="&amp;$Z$3))+(SUMIFS(SIP[Unit],SIP[Investor ID],A567,SIP[B/S],"B",SIP[Date Value],"&gt;="&amp;$Z$2,SIP[Date Value],"&lt;="&amp;$Z$3))</f>
        <v>10760</v>
      </c>
      <c r="K567" s="49">
        <f>(SUMIFS(LS[Amount],LS[Investor ID],A567,LS[B/S],"B",LS[Date Value],"&gt;="&amp;$Z$2,LS[Date Value],"&lt;="&amp;$Z$3))+(SUMIFS(SIP[Amount],SIP[Investor ID],A567,SIP[B/S],"B",SIP[Date Value],"&gt;="&amp;$Z$2,SIP[Date Value],"&lt;="&amp;$Z$3))</f>
        <v>120000</v>
      </c>
      <c r="L567" s="47">
        <f>(-SUMIFS(LS[Unit],LS[Investor ID],A567,LS[B/S],"S",LS[Date Value],"&gt;="&amp;$Z$2,LS[Date Value],"&lt;="&amp;$Z$3))+(-SUMIFS(SIP[Unit],SIP[Investor ID],A567,SIP[B/S],"S",SIP[Date Value],"&gt;="&amp;$Z$2,SIP[Date Value],"&lt;="&amp;$Z$3))</f>
        <v>0</v>
      </c>
      <c r="M567" s="49">
        <f>(SUMIFS(LS[Cost of Units Sold],LS[Investor ID],A567,LS[B/S],"S",LS[Date Value],"&gt;="&amp;$Z$2,LS[Date Value],"&lt;="&amp;$Z$3))+(SUMIFS(SIP[Cost of Units Sold],SIP[Investor ID],A567,SIP[B/S],"S",SIP[Date Value],"&gt;="&amp;$Z$2,SIP[Date Value],"&lt;="&amp;$Z$3))</f>
        <v>0</v>
      </c>
      <c r="N567" s="49">
        <f t="shared" si="44"/>
        <v>120000</v>
      </c>
      <c r="O567" s="49">
        <f>(SUMIFS(LS[Realized Gain],LS[Investor ID],A567,LS[Date Value],"&gt;="&amp;$Z$2,LS[Date Value],"&lt;="&amp;$Z$3))+(SUMIFS(SIP[Realized Gain],SIP[Investor ID],A567,SIP[Date Value],"&gt;="&amp;$Z$2,SIP[Date Value],"&lt;="&amp;$Z$3))</f>
        <v>0</v>
      </c>
      <c r="P567" s="49">
        <v>0</v>
      </c>
      <c r="Q567" s="49">
        <v>0</v>
      </c>
      <c r="R567" s="49">
        <v>0</v>
      </c>
    </row>
    <row r="568" spans="1:18">
      <c r="A568" t="s">
        <v>1179</v>
      </c>
      <c r="B568" s="47">
        <f>SUMIFS(LS[Unit],LS[Investor ID],'TAX CERTIFICATE'!A568,LS[Date Value],"&lt;"&amp;$Z$2)+SUMIFS(SIP[Unit],SIP[Investor ID],'TAX CERTIFICATE'!A568,SIP[Date Value],"&lt;"&amp;$Z$2)</f>
        <v>0</v>
      </c>
      <c r="C568" s="48">
        <f>(SUMIFS(LS[Amount],LS[B/S],"B",LS[Investor ID],A568,LS[Date Value],"&lt;"&amp;$Z$2)-SUMIFS(LS[Cost of Units Sold],LS[B/S],"S",LS[Investor ID],A568,LS[Date Value],"&lt;"&amp;$Z$2))+(SUMIFS(SIP[Amount],SIP[B/S],"B",SIP[Investor ID],#REF!,SIP[Date Value],"&lt;"&amp;$Z$2)-SUMIFS(SIP[Cost of Units Sold],SIP[B/S],"S",SIP[Investor ID],A568,SIP[Date Value],"&lt;"&amp;$Z$2))</f>
        <v>0</v>
      </c>
      <c r="D568" s="49">
        <f t="shared" si="40"/>
        <v>0</v>
      </c>
      <c r="E568" s="49">
        <f t="shared" si="41"/>
        <v>0</v>
      </c>
      <c r="F568" s="47">
        <f>SUMIFS(LS[Unit],LS[Investor ID],A568,LS[Date Value],"&lt;="&amp;$Z$3)+SUMIFS(SIP[Unit],SIP[Investor ID],A568,SIP[Date Value],"&lt;="&amp;$Z$3)</f>
        <v>20624</v>
      </c>
      <c r="G568" s="49">
        <f>(SUMIFS(LS[Amount],LS[B/S],"B",LS[Investor ID],A568,LS[Date Value],"&lt;="&amp;$Z$3)-SUMIFS(LS[Cost of Units Sold],LS[B/S],"S",LS[Investor ID],A568,LS[Date Value],"&lt;="&amp;$Z$3))+(SUMIFS(SIP[Amount],SIP[B/S],"B",SIP[Investor ID],A568,SIP[Date Value],"&lt;="&amp;$Z$3)-SUMIFS(SIP[Cost of Units Sold],SIP[B/S],"S",SIP[Investor ID],A568,SIP[Date Value],"&lt;="&amp;$Z$3))</f>
        <v>230000</v>
      </c>
      <c r="H568" s="49">
        <f t="shared" si="42"/>
        <v>230246.33599999998</v>
      </c>
      <c r="I568" s="49">
        <f t="shared" si="43"/>
        <v>246.33599999998114</v>
      </c>
      <c r="J568" s="47">
        <f>(SUMIFS(LS[Unit],LS[Investor ID],A568,LS[B/S],"B",LS[Date Value],"&gt;="&amp;$Z$2,LS[Date Value],"&lt;="&amp;$Z$3))+(SUMIFS(SIP[Unit],SIP[Investor ID],A568,SIP[B/S],"B",SIP[Date Value],"&gt;="&amp;$Z$2,SIP[Date Value],"&lt;="&amp;$Z$3))</f>
        <v>20624</v>
      </c>
      <c r="K568" s="49">
        <f>(SUMIFS(LS[Amount],LS[Investor ID],A568,LS[B/S],"B",LS[Date Value],"&gt;="&amp;$Z$2,LS[Date Value],"&lt;="&amp;$Z$3))+(SUMIFS(SIP[Amount],SIP[Investor ID],A568,SIP[B/S],"B",SIP[Date Value],"&gt;="&amp;$Z$2,SIP[Date Value],"&lt;="&amp;$Z$3))</f>
        <v>230000</v>
      </c>
      <c r="L568" s="47">
        <f>(-SUMIFS(LS[Unit],LS[Investor ID],A568,LS[B/S],"S",LS[Date Value],"&gt;="&amp;$Z$2,LS[Date Value],"&lt;="&amp;$Z$3))+(-SUMIFS(SIP[Unit],SIP[Investor ID],A568,SIP[B/S],"S",SIP[Date Value],"&gt;="&amp;$Z$2,SIP[Date Value],"&lt;="&amp;$Z$3))</f>
        <v>0</v>
      </c>
      <c r="M568" s="49">
        <f>(SUMIFS(LS[Cost of Units Sold],LS[Investor ID],A568,LS[B/S],"S",LS[Date Value],"&gt;="&amp;$Z$2,LS[Date Value],"&lt;="&amp;$Z$3))+(SUMIFS(SIP[Cost of Units Sold],SIP[Investor ID],A568,SIP[B/S],"S",SIP[Date Value],"&gt;="&amp;$Z$2,SIP[Date Value],"&lt;="&amp;$Z$3))</f>
        <v>0</v>
      </c>
      <c r="N568" s="49">
        <f t="shared" si="44"/>
        <v>230000</v>
      </c>
      <c r="O568" s="49">
        <f>(SUMIFS(LS[Realized Gain],LS[Investor ID],A568,LS[Date Value],"&gt;="&amp;$Z$2,LS[Date Value],"&lt;="&amp;$Z$3))+(SUMIFS(SIP[Realized Gain],SIP[Investor ID],A568,SIP[Date Value],"&gt;="&amp;$Z$2,SIP[Date Value],"&lt;="&amp;$Z$3))</f>
        <v>0</v>
      </c>
      <c r="P568" s="49">
        <v>0</v>
      </c>
      <c r="Q568" s="49">
        <v>0</v>
      </c>
      <c r="R568" s="49">
        <v>0</v>
      </c>
    </row>
    <row r="569" spans="1:18">
      <c r="A569" t="s">
        <v>1180</v>
      </c>
      <c r="B569" s="47">
        <f>SUMIFS(LS[Unit],LS[Investor ID],'TAX CERTIFICATE'!A569,LS[Date Value],"&lt;"&amp;$Z$2)+SUMIFS(SIP[Unit],SIP[Investor ID],'TAX CERTIFICATE'!A569,SIP[Date Value],"&lt;"&amp;$Z$2)</f>
        <v>0</v>
      </c>
      <c r="C569" s="48">
        <f>(SUMIFS(LS[Amount],LS[B/S],"B",LS[Investor ID],A569,LS[Date Value],"&lt;"&amp;$Z$2)-SUMIFS(LS[Cost of Units Sold],LS[B/S],"S",LS[Investor ID],A569,LS[Date Value],"&lt;"&amp;$Z$2))+(SUMIFS(SIP[Amount],SIP[B/S],"B",SIP[Investor ID],#REF!,SIP[Date Value],"&lt;"&amp;$Z$2)-SUMIFS(SIP[Cost of Units Sold],SIP[B/S],"S",SIP[Investor ID],A569,SIP[Date Value],"&lt;"&amp;$Z$2))</f>
        <v>0</v>
      </c>
      <c r="D569" s="49">
        <f t="shared" si="40"/>
        <v>0</v>
      </c>
      <c r="E569" s="49">
        <f t="shared" si="41"/>
        <v>0</v>
      </c>
      <c r="F569" s="47">
        <f>SUMIFS(LS[Unit],LS[Investor ID],A569,LS[Date Value],"&lt;="&amp;$Z$3)+SUMIFS(SIP[Unit],SIP[Investor ID],A569,SIP[Date Value],"&lt;="&amp;$Z$3)</f>
        <v>89799</v>
      </c>
      <c r="G569" s="49">
        <f>(SUMIFS(LS[Amount],LS[B/S],"B",LS[Investor ID],A569,LS[Date Value],"&lt;="&amp;$Z$3)-SUMIFS(LS[Cost of Units Sold],LS[B/S],"S",LS[Investor ID],A569,LS[Date Value],"&lt;="&amp;$Z$3))+(SUMIFS(SIP[Amount],SIP[B/S],"B",SIP[Investor ID],A569,SIP[Date Value],"&lt;="&amp;$Z$3)-SUMIFS(SIP[Cost of Units Sold],SIP[B/S],"S",SIP[Investor ID],A569,SIP[Date Value],"&lt;="&amp;$Z$3))</f>
        <v>1000000</v>
      </c>
      <c r="H569" s="49">
        <f t="shared" si="42"/>
        <v>1002516.036</v>
      </c>
      <c r="I569" s="49">
        <f t="shared" si="43"/>
        <v>2516.0359999999637</v>
      </c>
      <c r="J569" s="47">
        <f>(SUMIFS(LS[Unit],LS[Investor ID],A569,LS[B/S],"B",LS[Date Value],"&gt;="&amp;$Z$2,LS[Date Value],"&lt;="&amp;$Z$3))+(SUMIFS(SIP[Unit],SIP[Investor ID],A569,SIP[B/S],"B",SIP[Date Value],"&gt;="&amp;$Z$2,SIP[Date Value],"&lt;="&amp;$Z$3))</f>
        <v>89799</v>
      </c>
      <c r="K569" s="49">
        <f>(SUMIFS(LS[Amount],LS[Investor ID],A569,LS[B/S],"B",LS[Date Value],"&gt;="&amp;$Z$2,LS[Date Value],"&lt;="&amp;$Z$3))+(SUMIFS(SIP[Amount],SIP[Investor ID],A569,SIP[B/S],"B",SIP[Date Value],"&gt;="&amp;$Z$2,SIP[Date Value],"&lt;="&amp;$Z$3))</f>
        <v>1000000</v>
      </c>
      <c r="L569" s="47">
        <f>(-SUMIFS(LS[Unit],LS[Investor ID],A569,LS[B/S],"S",LS[Date Value],"&gt;="&amp;$Z$2,LS[Date Value],"&lt;="&amp;$Z$3))+(-SUMIFS(SIP[Unit],SIP[Investor ID],A569,SIP[B/S],"S",SIP[Date Value],"&gt;="&amp;$Z$2,SIP[Date Value],"&lt;="&amp;$Z$3))</f>
        <v>0</v>
      </c>
      <c r="M569" s="49">
        <f>(SUMIFS(LS[Cost of Units Sold],LS[Investor ID],A569,LS[B/S],"S",LS[Date Value],"&gt;="&amp;$Z$2,LS[Date Value],"&lt;="&amp;$Z$3))+(SUMIFS(SIP[Cost of Units Sold],SIP[Investor ID],A569,SIP[B/S],"S",SIP[Date Value],"&gt;="&amp;$Z$2,SIP[Date Value],"&lt;="&amp;$Z$3))</f>
        <v>0</v>
      </c>
      <c r="N569" s="49">
        <f t="shared" si="44"/>
        <v>1000000</v>
      </c>
      <c r="O569" s="49">
        <f>(SUMIFS(LS[Realized Gain],LS[Investor ID],A569,LS[Date Value],"&gt;="&amp;$Z$2,LS[Date Value],"&lt;="&amp;$Z$3))+(SUMIFS(SIP[Realized Gain],SIP[Investor ID],A569,SIP[Date Value],"&gt;="&amp;$Z$2,SIP[Date Value],"&lt;="&amp;$Z$3))</f>
        <v>0</v>
      </c>
      <c r="P569" s="49">
        <v>0</v>
      </c>
      <c r="Q569" s="49">
        <v>0</v>
      </c>
      <c r="R569" s="49">
        <v>0</v>
      </c>
    </row>
    <row r="570" spans="1:18">
      <c r="A570" t="s">
        <v>1182</v>
      </c>
      <c r="B570" s="47">
        <f>SUMIFS(LS[Unit],LS[Investor ID],'TAX CERTIFICATE'!A570,LS[Date Value],"&lt;"&amp;$Z$2)+SUMIFS(SIP[Unit],SIP[Investor ID],'TAX CERTIFICATE'!A570,SIP[Date Value],"&lt;"&amp;$Z$2)</f>
        <v>0</v>
      </c>
      <c r="C570" s="48">
        <f>(SUMIFS(LS[Amount],LS[B/S],"B",LS[Investor ID],A570,LS[Date Value],"&lt;"&amp;$Z$2)-SUMIFS(LS[Cost of Units Sold],LS[B/S],"S",LS[Investor ID],A570,LS[Date Value],"&lt;"&amp;$Z$2))+(SUMIFS(SIP[Amount],SIP[B/S],"B",SIP[Investor ID],#REF!,SIP[Date Value],"&lt;"&amp;$Z$2)-SUMIFS(SIP[Cost of Units Sold],SIP[B/S],"S",SIP[Investor ID],A570,SIP[Date Value],"&lt;"&amp;$Z$2))</f>
        <v>0</v>
      </c>
      <c r="D570" s="49">
        <f t="shared" si="40"/>
        <v>0</v>
      </c>
      <c r="E570" s="49">
        <f t="shared" si="41"/>
        <v>0</v>
      </c>
      <c r="F570" s="47">
        <f>SUMIFS(LS[Unit],LS[Investor ID],A570,LS[Date Value],"&lt;="&amp;$Z$3)+SUMIFS(SIP[Unit],SIP[Investor ID],A570,SIP[Date Value],"&lt;="&amp;$Z$3)</f>
        <v>0</v>
      </c>
      <c r="G570" s="49">
        <f>(SUMIFS(LS[Amount],LS[B/S],"B",LS[Investor ID],A570,LS[Date Value],"&lt;="&amp;$Z$3)-SUMIFS(LS[Cost of Units Sold],LS[B/S],"S",LS[Investor ID],A570,LS[Date Value],"&lt;="&amp;$Z$3))+(SUMIFS(SIP[Amount],SIP[B/S],"B",SIP[Investor ID],A570,SIP[Date Value],"&lt;="&amp;$Z$3)-SUMIFS(SIP[Cost of Units Sold],SIP[B/S],"S",SIP[Investor ID],A570,SIP[Date Value],"&lt;="&amp;$Z$3))</f>
        <v>0</v>
      </c>
      <c r="H570" s="49">
        <f t="shared" si="42"/>
        <v>0</v>
      </c>
      <c r="I570" s="49">
        <f t="shared" si="43"/>
        <v>0</v>
      </c>
      <c r="J570" s="47">
        <f>(SUMIFS(LS[Unit],LS[Investor ID],A570,LS[B/S],"B",LS[Date Value],"&gt;="&amp;$Z$2,LS[Date Value],"&lt;="&amp;$Z$3))+(SUMIFS(SIP[Unit],SIP[Investor ID],A570,SIP[B/S],"B",SIP[Date Value],"&gt;="&amp;$Z$2,SIP[Date Value],"&lt;="&amp;$Z$3))</f>
        <v>0</v>
      </c>
      <c r="K570" s="49">
        <f>(SUMIFS(LS[Amount],LS[Investor ID],A570,LS[B/S],"B",LS[Date Value],"&gt;="&amp;$Z$2,LS[Date Value],"&lt;="&amp;$Z$3))+(SUMIFS(SIP[Amount],SIP[Investor ID],A570,SIP[B/S],"B",SIP[Date Value],"&gt;="&amp;$Z$2,SIP[Date Value],"&lt;="&amp;$Z$3))</f>
        <v>0</v>
      </c>
      <c r="L570" s="47">
        <f>(-SUMIFS(LS[Unit],LS[Investor ID],A570,LS[B/S],"S",LS[Date Value],"&gt;="&amp;$Z$2,LS[Date Value],"&lt;="&amp;$Z$3))+(-SUMIFS(SIP[Unit],SIP[Investor ID],A570,SIP[B/S],"S",SIP[Date Value],"&gt;="&amp;$Z$2,SIP[Date Value],"&lt;="&amp;$Z$3))</f>
        <v>0</v>
      </c>
      <c r="M570" s="49">
        <f>(SUMIFS(LS[Cost of Units Sold],LS[Investor ID],A570,LS[B/S],"S",LS[Date Value],"&gt;="&amp;$Z$2,LS[Date Value],"&lt;="&amp;$Z$3))+(SUMIFS(SIP[Cost of Units Sold],SIP[Investor ID],A570,SIP[B/S],"S",SIP[Date Value],"&gt;="&amp;$Z$2,SIP[Date Value],"&lt;="&amp;$Z$3))</f>
        <v>0</v>
      </c>
      <c r="N570" s="49">
        <f t="shared" si="44"/>
        <v>0</v>
      </c>
      <c r="O570" s="49">
        <f>(SUMIFS(LS[Realized Gain],LS[Investor ID],A570,LS[Date Value],"&gt;="&amp;$Z$2,LS[Date Value],"&lt;="&amp;$Z$3))+(SUMIFS(SIP[Realized Gain],SIP[Investor ID],A570,SIP[Date Value],"&gt;="&amp;$Z$2,SIP[Date Value],"&lt;="&amp;$Z$3))</f>
        <v>0</v>
      </c>
      <c r="P570" s="49">
        <v>0</v>
      </c>
      <c r="Q570" s="49">
        <v>0</v>
      </c>
      <c r="R570" s="49">
        <v>0</v>
      </c>
    </row>
    <row r="571" spans="1:18">
      <c r="A571" t="s">
        <v>1184</v>
      </c>
      <c r="B571" s="47">
        <f>SUMIFS(LS[Unit],LS[Investor ID],'TAX CERTIFICATE'!A571,LS[Date Value],"&lt;"&amp;$Z$2)+SUMIFS(SIP[Unit],SIP[Investor ID],'TAX CERTIFICATE'!A571,SIP[Date Value],"&lt;"&amp;$Z$2)</f>
        <v>0</v>
      </c>
      <c r="C571" s="48">
        <f>(SUMIFS(LS[Amount],LS[B/S],"B",LS[Investor ID],A571,LS[Date Value],"&lt;"&amp;$Z$2)-SUMIFS(LS[Cost of Units Sold],LS[B/S],"S",LS[Investor ID],A571,LS[Date Value],"&lt;"&amp;$Z$2))+(SUMIFS(SIP[Amount],SIP[B/S],"B",SIP[Investor ID],#REF!,SIP[Date Value],"&lt;"&amp;$Z$2)-SUMIFS(SIP[Cost of Units Sold],SIP[B/S],"S",SIP[Investor ID],A571,SIP[Date Value],"&lt;"&amp;$Z$2))</f>
        <v>0</v>
      </c>
      <c r="D571" s="49">
        <f t="shared" si="40"/>
        <v>0</v>
      </c>
      <c r="E571" s="49">
        <f t="shared" si="41"/>
        <v>0</v>
      </c>
      <c r="F571" s="47">
        <f>SUMIFS(LS[Unit],LS[Investor ID],A571,LS[Date Value],"&lt;="&amp;$Z$3)+SUMIFS(SIP[Unit],SIP[Investor ID],A571,SIP[Date Value],"&lt;="&amp;$Z$3)</f>
        <v>22418</v>
      </c>
      <c r="G571" s="49">
        <f>(SUMIFS(LS[Amount],LS[B/S],"B",LS[Investor ID],A571,LS[Date Value],"&lt;="&amp;$Z$3)-SUMIFS(LS[Cost of Units Sold],LS[B/S],"S",LS[Investor ID],A571,LS[Date Value],"&lt;="&amp;$Z$3))+(SUMIFS(SIP[Amount],SIP[B/S],"B",SIP[Investor ID],A571,SIP[Date Value],"&lt;="&amp;$Z$3)-SUMIFS(SIP[Cost of Units Sold],SIP[B/S],"S",SIP[Investor ID],A571,SIP[Date Value],"&lt;="&amp;$Z$3))</f>
        <v>250000</v>
      </c>
      <c r="H571" s="49">
        <f t="shared" si="42"/>
        <v>250274.552</v>
      </c>
      <c r="I571" s="49">
        <f t="shared" si="43"/>
        <v>274.55199999999604</v>
      </c>
      <c r="J571" s="47">
        <f>(SUMIFS(LS[Unit],LS[Investor ID],A571,LS[B/S],"B",LS[Date Value],"&gt;="&amp;$Z$2,LS[Date Value],"&lt;="&amp;$Z$3))+(SUMIFS(SIP[Unit],SIP[Investor ID],A571,SIP[B/S],"B",SIP[Date Value],"&gt;="&amp;$Z$2,SIP[Date Value],"&lt;="&amp;$Z$3))</f>
        <v>22418</v>
      </c>
      <c r="K571" s="49">
        <f>(SUMIFS(LS[Amount],LS[Investor ID],A571,LS[B/S],"B",LS[Date Value],"&gt;="&amp;$Z$2,LS[Date Value],"&lt;="&amp;$Z$3))+(SUMIFS(SIP[Amount],SIP[Investor ID],A571,SIP[B/S],"B",SIP[Date Value],"&gt;="&amp;$Z$2,SIP[Date Value],"&lt;="&amp;$Z$3))</f>
        <v>250000</v>
      </c>
      <c r="L571" s="47">
        <f>(-SUMIFS(LS[Unit],LS[Investor ID],A571,LS[B/S],"S",LS[Date Value],"&gt;="&amp;$Z$2,LS[Date Value],"&lt;="&amp;$Z$3))+(-SUMIFS(SIP[Unit],SIP[Investor ID],A571,SIP[B/S],"S",SIP[Date Value],"&gt;="&amp;$Z$2,SIP[Date Value],"&lt;="&amp;$Z$3))</f>
        <v>0</v>
      </c>
      <c r="M571" s="49">
        <f>(SUMIFS(LS[Cost of Units Sold],LS[Investor ID],A571,LS[B/S],"S",LS[Date Value],"&gt;="&amp;$Z$2,LS[Date Value],"&lt;="&amp;$Z$3))+(SUMIFS(SIP[Cost of Units Sold],SIP[Investor ID],A571,SIP[B/S],"S",SIP[Date Value],"&gt;="&amp;$Z$2,SIP[Date Value],"&lt;="&amp;$Z$3))</f>
        <v>0</v>
      </c>
      <c r="N571" s="49">
        <f t="shared" si="44"/>
        <v>250000</v>
      </c>
      <c r="O571" s="49">
        <f>(SUMIFS(LS[Realized Gain],LS[Investor ID],A571,LS[Date Value],"&gt;="&amp;$Z$2,LS[Date Value],"&lt;="&amp;$Z$3))+(SUMIFS(SIP[Realized Gain],SIP[Investor ID],A571,SIP[Date Value],"&gt;="&amp;$Z$2,SIP[Date Value],"&lt;="&amp;$Z$3))</f>
        <v>0</v>
      </c>
      <c r="P571" s="49">
        <v>0</v>
      </c>
      <c r="Q571" s="49">
        <v>0</v>
      </c>
      <c r="R571" s="49">
        <v>0</v>
      </c>
    </row>
    <row r="572" spans="1:18">
      <c r="A572" t="s">
        <v>1186</v>
      </c>
      <c r="B572" s="47">
        <f>SUMIFS(LS[Unit],LS[Investor ID],'TAX CERTIFICATE'!A572,LS[Date Value],"&lt;"&amp;$Z$2)+SUMIFS(SIP[Unit],SIP[Investor ID],'TAX CERTIFICATE'!A572,SIP[Date Value],"&lt;"&amp;$Z$2)</f>
        <v>0</v>
      </c>
      <c r="C572" s="48">
        <f>(SUMIFS(LS[Amount],LS[B/S],"B",LS[Investor ID],A572,LS[Date Value],"&lt;"&amp;$Z$2)-SUMIFS(LS[Cost of Units Sold],LS[B/S],"S",LS[Investor ID],A572,LS[Date Value],"&lt;"&amp;$Z$2))+(SUMIFS(SIP[Amount],SIP[B/S],"B",SIP[Investor ID],#REF!,SIP[Date Value],"&lt;"&amp;$Z$2)-SUMIFS(SIP[Cost of Units Sold],SIP[B/S],"S",SIP[Investor ID],A572,SIP[Date Value],"&lt;"&amp;$Z$2))</f>
        <v>0</v>
      </c>
      <c r="D572" s="49">
        <f t="shared" si="40"/>
        <v>0</v>
      </c>
      <c r="E572" s="49">
        <f t="shared" si="41"/>
        <v>0</v>
      </c>
      <c r="F572" s="47">
        <f>SUMIFS(LS[Unit],LS[Investor ID],A572,LS[Date Value],"&lt;="&amp;$Z$3)+SUMIFS(SIP[Unit],SIP[Investor ID],A572,SIP[Date Value],"&lt;="&amp;$Z$3)</f>
        <v>26901</v>
      </c>
      <c r="G572" s="49">
        <f>(SUMIFS(LS[Amount],LS[B/S],"B",LS[Investor ID],A572,LS[Date Value],"&lt;="&amp;$Z$3)-SUMIFS(LS[Cost of Units Sold],LS[B/S],"S",LS[Investor ID],A572,LS[Date Value],"&lt;="&amp;$Z$3))+(SUMIFS(SIP[Amount],SIP[B/S],"B",SIP[Investor ID],A572,SIP[Date Value],"&lt;="&amp;$Z$3)-SUMIFS(SIP[Cost of Units Sold],SIP[B/S],"S",SIP[Investor ID],A572,SIP[Date Value],"&lt;="&amp;$Z$3))</f>
        <v>300000</v>
      </c>
      <c r="H572" s="49">
        <f t="shared" si="42"/>
        <v>300322.76399999997</v>
      </c>
      <c r="I572" s="49">
        <f t="shared" si="43"/>
        <v>322.76399999996647</v>
      </c>
      <c r="J572" s="47">
        <f>(SUMIFS(LS[Unit],LS[Investor ID],A572,LS[B/S],"B",LS[Date Value],"&gt;="&amp;$Z$2,LS[Date Value],"&lt;="&amp;$Z$3))+(SUMIFS(SIP[Unit],SIP[Investor ID],A572,SIP[B/S],"B",SIP[Date Value],"&gt;="&amp;$Z$2,SIP[Date Value],"&lt;="&amp;$Z$3))</f>
        <v>26901</v>
      </c>
      <c r="K572" s="49">
        <f>(SUMIFS(LS[Amount],LS[Investor ID],A572,LS[B/S],"B",LS[Date Value],"&gt;="&amp;$Z$2,LS[Date Value],"&lt;="&amp;$Z$3))+(SUMIFS(SIP[Amount],SIP[Investor ID],A572,SIP[B/S],"B",SIP[Date Value],"&gt;="&amp;$Z$2,SIP[Date Value],"&lt;="&amp;$Z$3))</f>
        <v>300000</v>
      </c>
      <c r="L572" s="47">
        <f>(-SUMIFS(LS[Unit],LS[Investor ID],A572,LS[B/S],"S",LS[Date Value],"&gt;="&amp;$Z$2,LS[Date Value],"&lt;="&amp;$Z$3))+(-SUMIFS(SIP[Unit],SIP[Investor ID],A572,SIP[B/S],"S",SIP[Date Value],"&gt;="&amp;$Z$2,SIP[Date Value],"&lt;="&amp;$Z$3))</f>
        <v>0</v>
      </c>
      <c r="M572" s="49">
        <f>(SUMIFS(LS[Cost of Units Sold],LS[Investor ID],A572,LS[B/S],"S",LS[Date Value],"&gt;="&amp;$Z$2,LS[Date Value],"&lt;="&amp;$Z$3))+(SUMIFS(SIP[Cost of Units Sold],SIP[Investor ID],A572,SIP[B/S],"S",SIP[Date Value],"&gt;="&amp;$Z$2,SIP[Date Value],"&lt;="&amp;$Z$3))</f>
        <v>0</v>
      </c>
      <c r="N572" s="49">
        <f t="shared" si="44"/>
        <v>300000</v>
      </c>
      <c r="O572" s="49">
        <f>(SUMIFS(LS[Realized Gain],LS[Investor ID],A572,LS[Date Value],"&gt;="&amp;$Z$2,LS[Date Value],"&lt;="&amp;$Z$3))+(SUMIFS(SIP[Realized Gain],SIP[Investor ID],A572,SIP[Date Value],"&gt;="&amp;$Z$2,SIP[Date Value],"&lt;="&amp;$Z$3))</f>
        <v>0</v>
      </c>
      <c r="P572" s="49">
        <v>0</v>
      </c>
      <c r="Q572" s="49">
        <v>0</v>
      </c>
      <c r="R572" s="49">
        <v>0</v>
      </c>
    </row>
    <row r="573" spans="1:18">
      <c r="A573" t="s">
        <v>1188</v>
      </c>
      <c r="B573" s="47">
        <f>SUMIFS(LS[Unit],LS[Investor ID],'TAX CERTIFICATE'!A573,LS[Date Value],"&lt;"&amp;$Z$2)+SUMIFS(SIP[Unit],SIP[Investor ID],'TAX CERTIFICATE'!A573,SIP[Date Value],"&lt;"&amp;$Z$2)</f>
        <v>0</v>
      </c>
      <c r="C573" s="48">
        <f>(SUMIFS(LS[Amount],LS[B/S],"B",LS[Investor ID],A573,LS[Date Value],"&lt;"&amp;$Z$2)-SUMIFS(LS[Cost of Units Sold],LS[B/S],"S",LS[Investor ID],A573,LS[Date Value],"&lt;"&amp;$Z$2))+(SUMIFS(SIP[Amount],SIP[B/S],"B",SIP[Investor ID],#REF!,SIP[Date Value],"&lt;"&amp;$Z$2)-SUMIFS(SIP[Cost of Units Sold],SIP[B/S],"S",SIP[Investor ID],A573,SIP[Date Value],"&lt;"&amp;$Z$2))</f>
        <v>0</v>
      </c>
      <c r="D573" s="49">
        <f t="shared" si="40"/>
        <v>0</v>
      </c>
      <c r="E573" s="49">
        <f t="shared" si="41"/>
        <v>0</v>
      </c>
      <c r="F573" s="47">
        <f>SUMIFS(LS[Unit],LS[Investor ID],A573,LS[Date Value],"&lt;="&amp;$Z$3)+SUMIFS(SIP[Unit],SIP[Investor ID],A573,SIP[Date Value],"&lt;="&amp;$Z$3)</f>
        <v>44835</v>
      </c>
      <c r="G573" s="49">
        <f>(SUMIFS(LS[Amount],LS[B/S],"B",LS[Investor ID],A573,LS[Date Value],"&lt;="&amp;$Z$3)-SUMIFS(LS[Cost of Units Sold],LS[B/S],"S",LS[Investor ID],A573,LS[Date Value],"&lt;="&amp;$Z$3))+(SUMIFS(SIP[Amount],SIP[B/S],"B",SIP[Investor ID],A573,SIP[Date Value],"&lt;="&amp;$Z$3)-SUMIFS(SIP[Cost of Units Sold],SIP[B/S],"S",SIP[Investor ID],A573,SIP[Date Value],"&lt;="&amp;$Z$3))</f>
        <v>500000</v>
      </c>
      <c r="H573" s="49">
        <f t="shared" si="42"/>
        <v>500537.94</v>
      </c>
      <c r="I573" s="49">
        <f t="shared" si="43"/>
        <v>537.94000000000233</v>
      </c>
      <c r="J573" s="47">
        <f>(SUMIFS(LS[Unit],LS[Investor ID],A573,LS[B/S],"B",LS[Date Value],"&gt;="&amp;$Z$2,LS[Date Value],"&lt;="&amp;$Z$3))+(SUMIFS(SIP[Unit],SIP[Investor ID],A573,SIP[B/S],"B",SIP[Date Value],"&gt;="&amp;$Z$2,SIP[Date Value],"&lt;="&amp;$Z$3))</f>
        <v>44835</v>
      </c>
      <c r="K573" s="49">
        <f>(SUMIFS(LS[Amount],LS[Investor ID],A573,LS[B/S],"B",LS[Date Value],"&gt;="&amp;$Z$2,LS[Date Value],"&lt;="&amp;$Z$3))+(SUMIFS(SIP[Amount],SIP[Investor ID],A573,SIP[B/S],"B",SIP[Date Value],"&gt;="&amp;$Z$2,SIP[Date Value],"&lt;="&amp;$Z$3))</f>
        <v>500000</v>
      </c>
      <c r="L573" s="47">
        <f>(-SUMIFS(LS[Unit],LS[Investor ID],A573,LS[B/S],"S",LS[Date Value],"&gt;="&amp;$Z$2,LS[Date Value],"&lt;="&amp;$Z$3))+(-SUMIFS(SIP[Unit],SIP[Investor ID],A573,SIP[B/S],"S",SIP[Date Value],"&gt;="&amp;$Z$2,SIP[Date Value],"&lt;="&amp;$Z$3))</f>
        <v>0</v>
      </c>
      <c r="M573" s="49">
        <f>(SUMIFS(LS[Cost of Units Sold],LS[Investor ID],A573,LS[B/S],"S",LS[Date Value],"&gt;="&amp;$Z$2,LS[Date Value],"&lt;="&amp;$Z$3))+(SUMIFS(SIP[Cost of Units Sold],SIP[Investor ID],A573,SIP[B/S],"S",SIP[Date Value],"&gt;="&amp;$Z$2,SIP[Date Value],"&lt;="&amp;$Z$3))</f>
        <v>0</v>
      </c>
      <c r="N573" s="49">
        <f t="shared" si="44"/>
        <v>500000</v>
      </c>
      <c r="O573" s="49">
        <f>(SUMIFS(LS[Realized Gain],LS[Investor ID],A573,LS[Date Value],"&gt;="&amp;$Z$2,LS[Date Value],"&lt;="&amp;$Z$3))+(SUMIFS(SIP[Realized Gain],SIP[Investor ID],A573,SIP[Date Value],"&gt;="&amp;$Z$2,SIP[Date Value],"&lt;="&amp;$Z$3))</f>
        <v>0</v>
      </c>
      <c r="P573" s="49">
        <v>0</v>
      </c>
      <c r="Q573" s="49">
        <v>0</v>
      </c>
      <c r="R573" s="49">
        <v>0</v>
      </c>
    </row>
    <row r="574" spans="1:18">
      <c r="A574" t="s">
        <v>1190</v>
      </c>
      <c r="B574" s="47">
        <f>SUMIFS(LS[Unit],LS[Investor ID],'TAX CERTIFICATE'!A574,LS[Date Value],"&lt;"&amp;$Z$2)+SUMIFS(SIP[Unit],SIP[Investor ID],'TAX CERTIFICATE'!A574,SIP[Date Value],"&lt;"&amp;$Z$2)</f>
        <v>0</v>
      </c>
      <c r="C574" s="48">
        <f>(SUMIFS(LS[Amount],LS[B/S],"B",LS[Investor ID],A574,LS[Date Value],"&lt;"&amp;$Z$2)-SUMIFS(LS[Cost of Units Sold],LS[B/S],"S",LS[Investor ID],A574,LS[Date Value],"&lt;"&amp;$Z$2))+(SUMIFS(SIP[Amount],SIP[B/S],"B",SIP[Investor ID],#REF!,SIP[Date Value],"&lt;"&amp;$Z$2)-SUMIFS(SIP[Cost of Units Sold],SIP[B/S],"S",SIP[Investor ID],A574,SIP[Date Value],"&lt;"&amp;$Z$2))</f>
        <v>0</v>
      </c>
      <c r="D574" s="49">
        <f t="shared" si="40"/>
        <v>0</v>
      </c>
      <c r="E574" s="49">
        <f t="shared" si="41"/>
        <v>0</v>
      </c>
      <c r="F574" s="47">
        <f>SUMIFS(LS[Unit],LS[Investor ID],A574,LS[Date Value],"&lt;="&amp;$Z$3)+SUMIFS(SIP[Unit],SIP[Investor ID],A574,SIP[Date Value],"&lt;="&amp;$Z$3)</f>
        <v>3138</v>
      </c>
      <c r="G574" s="49">
        <f>(SUMIFS(LS[Amount],LS[B/S],"B",LS[Investor ID],A574,LS[Date Value],"&lt;="&amp;$Z$3)-SUMIFS(LS[Cost of Units Sold],LS[B/S],"S",LS[Investor ID],A574,LS[Date Value],"&lt;="&amp;$Z$3))+(SUMIFS(SIP[Amount],SIP[B/S],"B",SIP[Investor ID],A574,SIP[Date Value],"&lt;="&amp;$Z$3)-SUMIFS(SIP[Cost of Units Sold],SIP[B/S],"S",SIP[Investor ID],A574,SIP[Date Value],"&lt;="&amp;$Z$3))</f>
        <v>35000</v>
      </c>
      <c r="H574" s="49">
        <f t="shared" si="42"/>
        <v>35032.631999999998</v>
      </c>
      <c r="I574" s="49">
        <f t="shared" si="43"/>
        <v>32.631999999997788</v>
      </c>
      <c r="J574" s="47">
        <f>(SUMIFS(LS[Unit],LS[Investor ID],A574,LS[B/S],"B",LS[Date Value],"&gt;="&amp;$Z$2,LS[Date Value],"&lt;="&amp;$Z$3))+(SUMIFS(SIP[Unit],SIP[Investor ID],A574,SIP[B/S],"B",SIP[Date Value],"&gt;="&amp;$Z$2,SIP[Date Value],"&lt;="&amp;$Z$3))</f>
        <v>3138</v>
      </c>
      <c r="K574" s="49">
        <f>(SUMIFS(LS[Amount],LS[Investor ID],A574,LS[B/S],"B",LS[Date Value],"&gt;="&amp;$Z$2,LS[Date Value],"&lt;="&amp;$Z$3))+(SUMIFS(SIP[Amount],SIP[Investor ID],A574,SIP[B/S],"B",SIP[Date Value],"&gt;="&amp;$Z$2,SIP[Date Value],"&lt;="&amp;$Z$3))</f>
        <v>35000</v>
      </c>
      <c r="L574" s="47">
        <f>(-SUMIFS(LS[Unit],LS[Investor ID],A574,LS[B/S],"S",LS[Date Value],"&gt;="&amp;$Z$2,LS[Date Value],"&lt;="&amp;$Z$3))+(-SUMIFS(SIP[Unit],SIP[Investor ID],A574,SIP[B/S],"S",SIP[Date Value],"&gt;="&amp;$Z$2,SIP[Date Value],"&lt;="&amp;$Z$3))</f>
        <v>0</v>
      </c>
      <c r="M574" s="49">
        <f>(SUMIFS(LS[Cost of Units Sold],LS[Investor ID],A574,LS[B/S],"S",LS[Date Value],"&gt;="&amp;$Z$2,LS[Date Value],"&lt;="&amp;$Z$3))+(SUMIFS(SIP[Cost of Units Sold],SIP[Investor ID],A574,SIP[B/S],"S",SIP[Date Value],"&gt;="&amp;$Z$2,SIP[Date Value],"&lt;="&amp;$Z$3))</f>
        <v>0</v>
      </c>
      <c r="N574" s="49">
        <f t="shared" si="44"/>
        <v>35000</v>
      </c>
      <c r="O574" s="49">
        <f>(SUMIFS(LS[Realized Gain],LS[Investor ID],A574,LS[Date Value],"&gt;="&amp;$Z$2,LS[Date Value],"&lt;="&amp;$Z$3))+(SUMIFS(SIP[Realized Gain],SIP[Investor ID],A574,SIP[Date Value],"&gt;="&amp;$Z$2,SIP[Date Value],"&lt;="&amp;$Z$3))</f>
        <v>0</v>
      </c>
      <c r="P574" s="49">
        <v>0</v>
      </c>
      <c r="Q574" s="49">
        <v>0</v>
      </c>
      <c r="R574" s="49">
        <v>0</v>
      </c>
    </row>
    <row r="575" spans="1:18">
      <c r="A575" t="s">
        <v>1192</v>
      </c>
      <c r="B575" s="47">
        <f>SUMIFS(LS[Unit],LS[Investor ID],'TAX CERTIFICATE'!A575,LS[Date Value],"&lt;"&amp;$Z$2)+SUMIFS(SIP[Unit],SIP[Investor ID],'TAX CERTIFICATE'!A575,SIP[Date Value],"&lt;"&amp;$Z$2)</f>
        <v>0</v>
      </c>
      <c r="C575" s="48">
        <f>(SUMIFS(LS[Amount],LS[B/S],"B",LS[Investor ID],A575,LS[Date Value],"&lt;"&amp;$Z$2)-SUMIFS(LS[Cost of Units Sold],LS[B/S],"S",LS[Investor ID],A575,LS[Date Value],"&lt;"&amp;$Z$2))+(SUMIFS(SIP[Amount],SIP[B/S],"B",SIP[Investor ID],#REF!,SIP[Date Value],"&lt;"&amp;$Z$2)-SUMIFS(SIP[Cost of Units Sold],SIP[B/S],"S",SIP[Investor ID],A575,SIP[Date Value],"&lt;"&amp;$Z$2))</f>
        <v>0</v>
      </c>
      <c r="D575" s="49">
        <f t="shared" ref="D575:D584" si="45">B575*$AA$2</f>
        <v>0</v>
      </c>
      <c r="E575" s="49">
        <f t="shared" ref="E575:E584" si="46">D575-C575</f>
        <v>0</v>
      </c>
      <c r="F575" s="47">
        <f>SUMIFS(LS[Unit],LS[Investor ID],A575,LS[Date Value],"&lt;="&amp;$Z$3)+SUMIFS(SIP[Unit],SIP[Investor ID],A575,SIP[Date Value],"&lt;="&amp;$Z$3)</f>
        <v>17934</v>
      </c>
      <c r="G575" s="49">
        <f>(SUMIFS(LS[Amount],LS[B/S],"B",LS[Investor ID],A575,LS[Date Value],"&lt;="&amp;$Z$3)-SUMIFS(LS[Cost of Units Sold],LS[B/S],"S",LS[Investor ID],A575,LS[Date Value],"&lt;="&amp;$Z$3))+(SUMIFS(SIP[Amount],SIP[B/S],"B",SIP[Investor ID],A575,SIP[Date Value],"&lt;="&amp;$Z$3)-SUMIFS(SIP[Cost of Units Sold],SIP[B/S],"S",SIP[Investor ID],A575,SIP[Date Value],"&lt;="&amp;$Z$3))</f>
        <v>200000</v>
      </c>
      <c r="H575" s="49">
        <f t="shared" ref="H575:H584" si="47">F575*$AA$3</f>
        <v>200215.17600000001</v>
      </c>
      <c r="I575" s="49">
        <f t="shared" ref="I575:I584" si="48">H575-G575</f>
        <v>215.17600000000675</v>
      </c>
      <c r="J575" s="47">
        <f>(SUMIFS(LS[Unit],LS[Investor ID],A575,LS[B/S],"B",LS[Date Value],"&gt;="&amp;$Z$2,LS[Date Value],"&lt;="&amp;$Z$3))+(SUMIFS(SIP[Unit],SIP[Investor ID],A575,SIP[B/S],"B",SIP[Date Value],"&gt;="&amp;$Z$2,SIP[Date Value],"&lt;="&amp;$Z$3))</f>
        <v>17934</v>
      </c>
      <c r="K575" s="49">
        <f>(SUMIFS(LS[Amount],LS[Investor ID],A575,LS[B/S],"B",LS[Date Value],"&gt;="&amp;$Z$2,LS[Date Value],"&lt;="&amp;$Z$3))+(SUMIFS(SIP[Amount],SIP[Investor ID],A575,SIP[B/S],"B",SIP[Date Value],"&gt;="&amp;$Z$2,SIP[Date Value],"&lt;="&amp;$Z$3))</f>
        <v>200000</v>
      </c>
      <c r="L575" s="47">
        <f>(-SUMIFS(LS[Unit],LS[Investor ID],A575,LS[B/S],"S",LS[Date Value],"&gt;="&amp;$Z$2,LS[Date Value],"&lt;="&amp;$Z$3))+(-SUMIFS(SIP[Unit],SIP[Investor ID],A575,SIP[B/S],"S",SIP[Date Value],"&gt;="&amp;$Z$2,SIP[Date Value],"&lt;="&amp;$Z$3))</f>
        <v>0</v>
      </c>
      <c r="M575" s="49">
        <f>(SUMIFS(LS[Cost of Units Sold],LS[Investor ID],A575,LS[B/S],"S",LS[Date Value],"&gt;="&amp;$Z$2,LS[Date Value],"&lt;="&amp;$Z$3))+(SUMIFS(SIP[Cost of Units Sold],SIP[Investor ID],A575,SIP[B/S],"S",SIP[Date Value],"&gt;="&amp;$Z$2,SIP[Date Value],"&lt;="&amp;$Z$3))</f>
        <v>0</v>
      </c>
      <c r="N575" s="49">
        <f t="shared" ref="N575:N584" si="49">K575-M575</f>
        <v>200000</v>
      </c>
      <c r="O575" s="49">
        <f>(SUMIFS(LS[Realized Gain],LS[Investor ID],A575,LS[Date Value],"&gt;="&amp;$Z$2,LS[Date Value],"&lt;="&amp;$Z$3))+(SUMIFS(SIP[Realized Gain],SIP[Investor ID],A575,SIP[Date Value],"&gt;="&amp;$Z$2,SIP[Date Value],"&lt;="&amp;$Z$3))</f>
        <v>0</v>
      </c>
      <c r="P575" s="49">
        <v>0</v>
      </c>
      <c r="Q575" s="49">
        <v>0</v>
      </c>
      <c r="R575" s="49">
        <v>0</v>
      </c>
    </row>
    <row r="576" spans="1:18">
      <c r="A576" t="s">
        <v>1194</v>
      </c>
      <c r="B576" s="47">
        <f>SUMIFS(LS[Unit],LS[Investor ID],'TAX CERTIFICATE'!A576,LS[Date Value],"&lt;"&amp;$Z$2)+SUMIFS(SIP[Unit],SIP[Investor ID],'TAX CERTIFICATE'!A576,SIP[Date Value],"&lt;"&amp;$Z$2)</f>
        <v>0</v>
      </c>
      <c r="C576" s="48">
        <f>(SUMIFS(LS[Amount],LS[B/S],"B",LS[Investor ID],A576,LS[Date Value],"&lt;"&amp;$Z$2)-SUMIFS(LS[Cost of Units Sold],LS[B/S],"S",LS[Investor ID],A576,LS[Date Value],"&lt;"&amp;$Z$2))+(SUMIFS(SIP[Amount],SIP[B/S],"B",SIP[Investor ID],#REF!,SIP[Date Value],"&lt;"&amp;$Z$2)-SUMIFS(SIP[Cost of Units Sold],SIP[B/S],"S",SIP[Investor ID],A576,SIP[Date Value],"&lt;"&amp;$Z$2))</f>
        <v>0</v>
      </c>
      <c r="D576" s="49">
        <f t="shared" si="45"/>
        <v>0</v>
      </c>
      <c r="E576" s="49">
        <f t="shared" si="46"/>
        <v>0</v>
      </c>
      <c r="F576" s="47">
        <f>SUMIFS(LS[Unit],LS[Investor ID],A576,LS[Date Value],"&lt;="&amp;$Z$3)+SUMIFS(SIP[Unit],SIP[Investor ID],A576,SIP[Date Value],"&lt;="&amp;$Z$3)</f>
        <v>17934</v>
      </c>
      <c r="G576" s="49">
        <f>(SUMIFS(LS[Amount],LS[B/S],"B",LS[Investor ID],A576,LS[Date Value],"&lt;="&amp;$Z$3)-SUMIFS(LS[Cost of Units Sold],LS[B/S],"S",LS[Investor ID],A576,LS[Date Value],"&lt;="&amp;$Z$3))+(SUMIFS(SIP[Amount],SIP[B/S],"B",SIP[Investor ID],A576,SIP[Date Value],"&lt;="&amp;$Z$3)-SUMIFS(SIP[Cost of Units Sold],SIP[B/S],"S",SIP[Investor ID],A576,SIP[Date Value],"&lt;="&amp;$Z$3))</f>
        <v>200000</v>
      </c>
      <c r="H576" s="49">
        <f t="shared" si="47"/>
        <v>200215.17600000001</v>
      </c>
      <c r="I576" s="49">
        <f t="shared" si="48"/>
        <v>215.17600000000675</v>
      </c>
      <c r="J576" s="47">
        <f>(SUMIFS(LS[Unit],LS[Investor ID],A576,LS[B/S],"B",LS[Date Value],"&gt;="&amp;$Z$2,LS[Date Value],"&lt;="&amp;$Z$3))+(SUMIFS(SIP[Unit],SIP[Investor ID],A576,SIP[B/S],"B",SIP[Date Value],"&gt;="&amp;$Z$2,SIP[Date Value],"&lt;="&amp;$Z$3))</f>
        <v>17934</v>
      </c>
      <c r="K576" s="49">
        <f>(SUMIFS(LS[Amount],LS[Investor ID],A576,LS[B/S],"B",LS[Date Value],"&gt;="&amp;$Z$2,LS[Date Value],"&lt;="&amp;$Z$3))+(SUMIFS(SIP[Amount],SIP[Investor ID],A576,SIP[B/S],"B",SIP[Date Value],"&gt;="&amp;$Z$2,SIP[Date Value],"&lt;="&amp;$Z$3))</f>
        <v>200000</v>
      </c>
      <c r="L576" s="47">
        <f>(-SUMIFS(LS[Unit],LS[Investor ID],A576,LS[B/S],"S",LS[Date Value],"&gt;="&amp;$Z$2,LS[Date Value],"&lt;="&amp;$Z$3))+(-SUMIFS(SIP[Unit],SIP[Investor ID],A576,SIP[B/S],"S",SIP[Date Value],"&gt;="&amp;$Z$2,SIP[Date Value],"&lt;="&amp;$Z$3))</f>
        <v>0</v>
      </c>
      <c r="M576" s="49">
        <f>(SUMIFS(LS[Cost of Units Sold],LS[Investor ID],A576,LS[B/S],"S",LS[Date Value],"&gt;="&amp;$Z$2,LS[Date Value],"&lt;="&amp;$Z$3))+(SUMIFS(SIP[Cost of Units Sold],SIP[Investor ID],A576,SIP[B/S],"S",SIP[Date Value],"&gt;="&amp;$Z$2,SIP[Date Value],"&lt;="&amp;$Z$3))</f>
        <v>0</v>
      </c>
      <c r="N576" s="49">
        <f t="shared" si="49"/>
        <v>200000</v>
      </c>
      <c r="O576" s="49">
        <f>(SUMIFS(LS[Realized Gain],LS[Investor ID],A576,LS[Date Value],"&gt;="&amp;$Z$2,LS[Date Value],"&lt;="&amp;$Z$3))+(SUMIFS(SIP[Realized Gain],SIP[Investor ID],A576,SIP[Date Value],"&gt;="&amp;$Z$2,SIP[Date Value],"&lt;="&amp;$Z$3))</f>
        <v>0</v>
      </c>
      <c r="P576" s="49">
        <v>0</v>
      </c>
      <c r="Q576" s="49">
        <v>0</v>
      </c>
      <c r="R576" s="49">
        <v>0</v>
      </c>
    </row>
    <row r="577" spans="1:18">
      <c r="A577" t="s">
        <v>1196</v>
      </c>
      <c r="B577" s="47">
        <f>SUMIFS(LS[Unit],LS[Investor ID],'TAX CERTIFICATE'!A577,LS[Date Value],"&lt;"&amp;$Z$2)+SUMIFS(SIP[Unit],SIP[Investor ID],'TAX CERTIFICATE'!A577,SIP[Date Value],"&lt;"&amp;$Z$2)</f>
        <v>0</v>
      </c>
      <c r="C577" s="48">
        <f>(SUMIFS(LS[Amount],LS[B/S],"B",LS[Investor ID],A577,LS[Date Value],"&lt;"&amp;$Z$2)-SUMIFS(LS[Cost of Units Sold],LS[B/S],"S",LS[Investor ID],A577,LS[Date Value],"&lt;"&amp;$Z$2))+(SUMIFS(SIP[Amount],SIP[B/S],"B",SIP[Investor ID],#REF!,SIP[Date Value],"&lt;"&amp;$Z$2)-SUMIFS(SIP[Cost of Units Sold],SIP[B/S],"S",SIP[Investor ID],A577,SIP[Date Value],"&lt;"&amp;$Z$2))</f>
        <v>0</v>
      </c>
      <c r="D577" s="49">
        <f t="shared" si="45"/>
        <v>0</v>
      </c>
      <c r="E577" s="49">
        <f t="shared" si="46"/>
        <v>0</v>
      </c>
      <c r="F577" s="47">
        <f>SUMIFS(LS[Unit],LS[Investor ID],A577,LS[Date Value],"&lt;="&amp;$Z$3)+SUMIFS(SIP[Unit],SIP[Investor ID],A577,SIP[Date Value],"&lt;="&amp;$Z$3)</f>
        <v>44835</v>
      </c>
      <c r="G577" s="49">
        <f>(SUMIFS(LS[Amount],LS[B/S],"B",LS[Investor ID],A577,LS[Date Value],"&lt;="&amp;$Z$3)-SUMIFS(LS[Cost of Units Sold],LS[B/S],"S",LS[Investor ID],A577,LS[Date Value],"&lt;="&amp;$Z$3))+(SUMIFS(SIP[Amount],SIP[B/S],"B",SIP[Investor ID],A577,SIP[Date Value],"&lt;="&amp;$Z$3)-SUMIFS(SIP[Cost of Units Sold],SIP[B/S],"S",SIP[Investor ID],A577,SIP[Date Value],"&lt;="&amp;$Z$3))</f>
        <v>500000</v>
      </c>
      <c r="H577" s="49">
        <f t="shared" si="47"/>
        <v>500537.94</v>
      </c>
      <c r="I577" s="49">
        <f t="shared" si="48"/>
        <v>537.94000000000233</v>
      </c>
      <c r="J577" s="47">
        <f>(SUMIFS(LS[Unit],LS[Investor ID],A577,LS[B/S],"B",LS[Date Value],"&gt;="&amp;$Z$2,LS[Date Value],"&lt;="&amp;$Z$3))+(SUMIFS(SIP[Unit],SIP[Investor ID],A577,SIP[B/S],"B",SIP[Date Value],"&gt;="&amp;$Z$2,SIP[Date Value],"&lt;="&amp;$Z$3))</f>
        <v>44835</v>
      </c>
      <c r="K577" s="49">
        <f>(SUMIFS(LS[Amount],LS[Investor ID],A577,LS[B/S],"B",LS[Date Value],"&gt;="&amp;$Z$2,LS[Date Value],"&lt;="&amp;$Z$3))+(SUMIFS(SIP[Amount],SIP[Investor ID],A577,SIP[B/S],"B",SIP[Date Value],"&gt;="&amp;$Z$2,SIP[Date Value],"&lt;="&amp;$Z$3))</f>
        <v>500000</v>
      </c>
      <c r="L577" s="47">
        <f>(-SUMIFS(LS[Unit],LS[Investor ID],A577,LS[B/S],"S",LS[Date Value],"&gt;="&amp;$Z$2,LS[Date Value],"&lt;="&amp;$Z$3))+(-SUMIFS(SIP[Unit],SIP[Investor ID],A577,SIP[B/S],"S",SIP[Date Value],"&gt;="&amp;$Z$2,SIP[Date Value],"&lt;="&amp;$Z$3))</f>
        <v>0</v>
      </c>
      <c r="M577" s="49">
        <f>(SUMIFS(LS[Cost of Units Sold],LS[Investor ID],A577,LS[B/S],"S",LS[Date Value],"&gt;="&amp;$Z$2,LS[Date Value],"&lt;="&amp;$Z$3))+(SUMIFS(SIP[Cost of Units Sold],SIP[Investor ID],A577,SIP[B/S],"S",SIP[Date Value],"&gt;="&amp;$Z$2,SIP[Date Value],"&lt;="&amp;$Z$3))</f>
        <v>0</v>
      </c>
      <c r="N577" s="49">
        <f t="shared" si="49"/>
        <v>500000</v>
      </c>
      <c r="O577" s="49">
        <f>(SUMIFS(LS[Realized Gain],LS[Investor ID],A577,LS[Date Value],"&gt;="&amp;$Z$2,LS[Date Value],"&lt;="&amp;$Z$3))+(SUMIFS(SIP[Realized Gain],SIP[Investor ID],A577,SIP[Date Value],"&gt;="&amp;$Z$2,SIP[Date Value],"&lt;="&amp;$Z$3))</f>
        <v>0</v>
      </c>
      <c r="P577" s="49">
        <v>0</v>
      </c>
      <c r="Q577" s="49">
        <v>0</v>
      </c>
      <c r="R577" s="49">
        <v>0</v>
      </c>
    </row>
    <row r="578" spans="1:18">
      <c r="A578" t="s">
        <v>1198</v>
      </c>
      <c r="B578" s="47">
        <f>SUMIFS(LS[Unit],LS[Investor ID],'TAX CERTIFICATE'!A578,LS[Date Value],"&lt;"&amp;$Z$2)+SUMIFS(SIP[Unit],SIP[Investor ID],'TAX CERTIFICATE'!A578,SIP[Date Value],"&lt;"&amp;$Z$2)</f>
        <v>0</v>
      </c>
      <c r="C578" s="48">
        <f>(SUMIFS(LS[Amount],LS[B/S],"B",LS[Investor ID],A578,LS[Date Value],"&lt;"&amp;$Z$2)-SUMIFS(LS[Cost of Units Sold],LS[B/S],"S",LS[Investor ID],A578,LS[Date Value],"&lt;"&amp;$Z$2))+(SUMIFS(SIP[Amount],SIP[B/S],"B",SIP[Investor ID],#REF!,SIP[Date Value],"&lt;"&amp;$Z$2)-SUMIFS(SIP[Cost of Units Sold],SIP[B/S],"S",SIP[Investor ID],A578,SIP[Date Value],"&lt;"&amp;$Z$2))</f>
        <v>0</v>
      </c>
      <c r="D578" s="49">
        <f t="shared" si="45"/>
        <v>0</v>
      </c>
      <c r="E578" s="49">
        <f t="shared" si="46"/>
        <v>0</v>
      </c>
      <c r="F578" s="47">
        <f>SUMIFS(LS[Unit],LS[Investor ID],A578,LS[Date Value],"&lt;="&amp;$Z$3)+SUMIFS(SIP[Unit],SIP[Investor ID],A578,SIP[Date Value],"&lt;="&amp;$Z$3)</f>
        <v>44835</v>
      </c>
      <c r="G578" s="49">
        <f>(SUMIFS(LS[Amount],LS[B/S],"B",LS[Investor ID],A578,LS[Date Value],"&lt;="&amp;$Z$3)-SUMIFS(LS[Cost of Units Sold],LS[B/S],"S",LS[Investor ID],A578,LS[Date Value],"&lt;="&amp;$Z$3))+(SUMIFS(SIP[Amount],SIP[B/S],"B",SIP[Investor ID],A578,SIP[Date Value],"&lt;="&amp;$Z$3)-SUMIFS(SIP[Cost of Units Sold],SIP[B/S],"S",SIP[Investor ID],A578,SIP[Date Value],"&lt;="&amp;$Z$3))</f>
        <v>500000</v>
      </c>
      <c r="H578" s="49">
        <f t="shared" si="47"/>
        <v>500537.94</v>
      </c>
      <c r="I578" s="49">
        <f t="shared" si="48"/>
        <v>537.94000000000233</v>
      </c>
      <c r="J578" s="47">
        <f>(SUMIFS(LS[Unit],LS[Investor ID],A578,LS[B/S],"B",LS[Date Value],"&gt;="&amp;$Z$2,LS[Date Value],"&lt;="&amp;$Z$3))+(SUMIFS(SIP[Unit],SIP[Investor ID],A578,SIP[B/S],"B",SIP[Date Value],"&gt;="&amp;$Z$2,SIP[Date Value],"&lt;="&amp;$Z$3))</f>
        <v>44835</v>
      </c>
      <c r="K578" s="49">
        <f>(SUMIFS(LS[Amount],LS[Investor ID],A578,LS[B/S],"B",LS[Date Value],"&gt;="&amp;$Z$2,LS[Date Value],"&lt;="&amp;$Z$3))+(SUMIFS(SIP[Amount],SIP[Investor ID],A578,SIP[B/S],"B",SIP[Date Value],"&gt;="&amp;$Z$2,SIP[Date Value],"&lt;="&amp;$Z$3))</f>
        <v>500000</v>
      </c>
      <c r="L578" s="47">
        <f>(-SUMIFS(LS[Unit],LS[Investor ID],A578,LS[B/S],"S",LS[Date Value],"&gt;="&amp;$Z$2,LS[Date Value],"&lt;="&amp;$Z$3))+(-SUMIFS(SIP[Unit],SIP[Investor ID],A578,SIP[B/S],"S",SIP[Date Value],"&gt;="&amp;$Z$2,SIP[Date Value],"&lt;="&amp;$Z$3))</f>
        <v>0</v>
      </c>
      <c r="M578" s="49">
        <f>(SUMIFS(LS[Cost of Units Sold],LS[Investor ID],A578,LS[B/S],"S",LS[Date Value],"&gt;="&amp;$Z$2,LS[Date Value],"&lt;="&amp;$Z$3))+(SUMIFS(SIP[Cost of Units Sold],SIP[Investor ID],A578,SIP[B/S],"S",SIP[Date Value],"&gt;="&amp;$Z$2,SIP[Date Value],"&lt;="&amp;$Z$3))</f>
        <v>0</v>
      </c>
      <c r="N578" s="49">
        <f t="shared" si="49"/>
        <v>500000</v>
      </c>
      <c r="O578" s="49">
        <f>(SUMIFS(LS[Realized Gain],LS[Investor ID],A578,LS[Date Value],"&gt;="&amp;$Z$2,LS[Date Value],"&lt;="&amp;$Z$3))+(SUMIFS(SIP[Realized Gain],SIP[Investor ID],A578,SIP[Date Value],"&gt;="&amp;$Z$2,SIP[Date Value],"&lt;="&amp;$Z$3))</f>
        <v>0</v>
      </c>
      <c r="P578" s="49">
        <v>0</v>
      </c>
      <c r="Q578" s="49">
        <v>0</v>
      </c>
      <c r="R578" s="49">
        <v>0</v>
      </c>
    </row>
    <row r="579" spans="1:18">
      <c r="A579" t="s">
        <v>1200</v>
      </c>
      <c r="B579" s="47">
        <f>SUMIFS(LS[Unit],LS[Investor ID],'TAX CERTIFICATE'!A579,LS[Date Value],"&lt;"&amp;$Z$2)+SUMIFS(SIP[Unit],SIP[Investor ID],'TAX CERTIFICATE'!A579,SIP[Date Value],"&lt;"&amp;$Z$2)</f>
        <v>0</v>
      </c>
      <c r="C579" s="48">
        <f>(SUMIFS(LS[Amount],LS[B/S],"B",LS[Investor ID],A579,LS[Date Value],"&lt;"&amp;$Z$2)-SUMIFS(LS[Cost of Units Sold],LS[B/S],"S",LS[Investor ID],A579,LS[Date Value],"&lt;"&amp;$Z$2))+(SUMIFS(SIP[Amount],SIP[B/S],"B",SIP[Investor ID],#REF!,SIP[Date Value],"&lt;"&amp;$Z$2)-SUMIFS(SIP[Cost of Units Sold],SIP[B/S],"S",SIP[Investor ID],A579,SIP[Date Value],"&lt;"&amp;$Z$2))</f>
        <v>0</v>
      </c>
      <c r="D579" s="49">
        <f t="shared" si="45"/>
        <v>0</v>
      </c>
      <c r="E579" s="49">
        <f t="shared" si="46"/>
        <v>0</v>
      </c>
      <c r="F579" s="47">
        <f>SUMIFS(LS[Unit],LS[Investor ID],A579,LS[Date Value],"&lt;="&amp;$Z$3)+SUMIFS(SIP[Unit],SIP[Investor ID],A579,SIP[Date Value],"&lt;="&amp;$Z$3)</f>
        <v>44835</v>
      </c>
      <c r="G579" s="49">
        <f>(SUMIFS(LS[Amount],LS[B/S],"B",LS[Investor ID],A579,LS[Date Value],"&lt;="&amp;$Z$3)-SUMIFS(LS[Cost of Units Sold],LS[B/S],"S",LS[Investor ID],A579,LS[Date Value],"&lt;="&amp;$Z$3))+(SUMIFS(SIP[Amount],SIP[B/S],"B",SIP[Investor ID],A579,SIP[Date Value],"&lt;="&amp;$Z$3)-SUMIFS(SIP[Cost of Units Sold],SIP[B/S],"S",SIP[Investor ID],A579,SIP[Date Value],"&lt;="&amp;$Z$3))</f>
        <v>500000</v>
      </c>
      <c r="H579" s="49">
        <f t="shared" si="47"/>
        <v>500537.94</v>
      </c>
      <c r="I579" s="49">
        <f t="shared" si="48"/>
        <v>537.94000000000233</v>
      </c>
      <c r="J579" s="47">
        <f>(SUMIFS(LS[Unit],LS[Investor ID],A579,LS[B/S],"B",LS[Date Value],"&gt;="&amp;$Z$2,LS[Date Value],"&lt;="&amp;$Z$3))+(SUMIFS(SIP[Unit],SIP[Investor ID],A579,SIP[B/S],"B",SIP[Date Value],"&gt;="&amp;$Z$2,SIP[Date Value],"&lt;="&amp;$Z$3))</f>
        <v>44835</v>
      </c>
      <c r="K579" s="49">
        <f>(SUMIFS(LS[Amount],LS[Investor ID],A579,LS[B/S],"B",LS[Date Value],"&gt;="&amp;$Z$2,LS[Date Value],"&lt;="&amp;$Z$3))+(SUMIFS(SIP[Amount],SIP[Investor ID],A579,SIP[B/S],"B",SIP[Date Value],"&gt;="&amp;$Z$2,SIP[Date Value],"&lt;="&amp;$Z$3))</f>
        <v>500000</v>
      </c>
      <c r="L579" s="47">
        <f>(-SUMIFS(LS[Unit],LS[Investor ID],A579,LS[B/S],"S",LS[Date Value],"&gt;="&amp;$Z$2,LS[Date Value],"&lt;="&amp;$Z$3))+(-SUMIFS(SIP[Unit],SIP[Investor ID],A579,SIP[B/S],"S",SIP[Date Value],"&gt;="&amp;$Z$2,SIP[Date Value],"&lt;="&amp;$Z$3))</f>
        <v>0</v>
      </c>
      <c r="M579" s="49">
        <f>(SUMIFS(LS[Cost of Units Sold],LS[Investor ID],A579,LS[B/S],"S",LS[Date Value],"&gt;="&amp;$Z$2,LS[Date Value],"&lt;="&amp;$Z$3))+(SUMIFS(SIP[Cost of Units Sold],SIP[Investor ID],A579,SIP[B/S],"S",SIP[Date Value],"&gt;="&amp;$Z$2,SIP[Date Value],"&lt;="&amp;$Z$3))</f>
        <v>0</v>
      </c>
      <c r="N579" s="49">
        <f t="shared" si="49"/>
        <v>500000</v>
      </c>
      <c r="O579" s="49">
        <f>(SUMIFS(LS[Realized Gain],LS[Investor ID],A579,LS[Date Value],"&gt;="&amp;$Z$2,LS[Date Value],"&lt;="&amp;$Z$3))+(SUMIFS(SIP[Realized Gain],SIP[Investor ID],A579,SIP[Date Value],"&gt;="&amp;$Z$2,SIP[Date Value],"&lt;="&amp;$Z$3))</f>
        <v>0</v>
      </c>
      <c r="P579" s="49">
        <v>0</v>
      </c>
      <c r="Q579" s="49">
        <v>0</v>
      </c>
      <c r="R579" s="49">
        <v>0</v>
      </c>
    </row>
    <row r="580" spans="1:18">
      <c r="A580" t="s">
        <v>1202</v>
      </c>
      <c r="B580" s="47">
        <f>SUMIFS(LS[Unit],LS[Investor ID],'TAX CERTIFICATE'!A580,LS[Date Value],"&lt;"&amp;$Z$2)+SUMIFS(SIP[Unit],SIP[Investor ID],'TAX CERTIFICATE'!A580,SIP[Date Value],"&lt;"&amp;$Z$2)</f>
        <v>0</v>
      </c>
      <c r="C580" s="48">
        <f>(SUMIFS(LS[Amount],LS[B/S],"B",LS[Investor ID],A580,LS[Date Value],"&lt;"&amp;$Z$2)-SUMIFS(LS[Cost of Units Sold],LS[B/S],"S",LS[Investor ID],A580,LS[Date Value],"&lt;"&amp;$Z$2))+(SUMIFS(SIP[Amount],SIP[B/S],"B",SIP[Investor ID],#REF!,SIP[Date Value],"&lt;"&amp;$Z$2)-SUMIFS(SIP[Cost of Units Sold],SIP[B/S],"S",SIP[Investor ID],A580,SIP[Date Value],"&lt;"&amp;$Z$2))</f>
        <v>0</v>
      </c>
      <c r="D580" s="49">
        <f t="shared" si="45"/>
        <v>0</v>
      </c>
      <c r="E580" s="49">
        <f t="shared" si="46"/>
        <v>0</v>
      </c>
      <c r="F580" s="47">
        <f>SUMIFS(LS[Unit],LS[Investor ID],A580,LS[Date Value],"&lt;="&amp;$Z$3)+SUMIFS(SIP[Unit],SIP[Investor ID],A580,SIP[Date Value],"&lt;="&amp;$Z$3)</f>
        <v>44835</v>
      </c>
      <c r="G580" s="49">
        <f>(SUMIFS(LS[Amount],LS[B/S],"B",LS[Investor ID],A580,LS[Date Value],"&lt;="&amp;$Z$3)-SUMIFS(LS[Cost of Units Sold],LS[B/S],"S",LS[Investor ID],A580,LS[Date Value],"&lt;="&amp;$Z$3))+(SUMIFS(SIP[Amount],SIP[B/S],"B",SIP[Investor ID],A580,SIP[Date Value],"&lt;="&amp;$Z$3)-SUMIFS(SIP[Cost of Units Sold],SIP[B/S],"S",SIP[Investor ID],A580,SIP[Date Value],"&lt;="&amp;$Z$3))</f>
        <v>500000</v>
      </c>
      <c r="H580" s="49">
        <f t="shared" si="47"/>
        <v>500537.94</v>
      </c>
      <c r="I580" s="49">
        <f t="shared" si="48"/>
        <v>537.94000000000233</v>
      </c>
      <c r="J580" s="47">
        <f>(SUMIFS(LS[Unit],LS[Investor ID],A580,LS[B/S],"B",LS[Date Value],"&gt;="&amp;$Z$2,LS[Date Value],"&lt;="&amp;$Z$3))+(SUMIFS(SIP[Unit],SIP[Investor ID],A580,SIP[B/S],"B",SIP[Date Value],"&gt;="&amp;$Z$2,SIP[Date Value],"&lt;="&amp;$Z$3))</f>
        <v>44835</v>
      </c>
      <c r="K580" s="49">
        <f>(SUMIFS(LS[Amount],LS[Investor ID],A580,LS[B/S],"B",LS[Date Value],"&gt;="&amp;$Z$2,LS[Date Value],"&lt;="&amp;$Z$3))+(SUMIFS(SIP[Amount],SIP[Investor ID],A580,SIP[B/S],"B",SIP[Date Value],"&gt;="&amp;$Z$2,SIP[Date Value],"&lt;="&amp;$Z$3))</f>
        <v>500000</v>
      </c>
      <c r="L580" s="47">
        <f>(-SUMIFS(LS[Unit],LS[Investor ID],A580,LS[B/S],"S",LS[Date Value],"&gt;="&amp;$Z$2,LS[Date Value],"&lt;="&amp;$Z$3))+(-SUMIFS(SIP[Unit],SIP[Investor ID],A580,SIP[B/S],"S",SIP[Date Value],"&gt;="&amp;$Z$2,SIP[Date Value],"&lt;="&amp;$Z$3))</f>
        <v>0</v>
      </c>
      <c r="M580" s="49">
        <f>(SUMIFS(LS[Cost of Units Sold],LS[Investor ID],A580,LS[B/S],"S",LS[Date Value],"&gt;="&amp;$Z$2,LS[Date Value],"&lt;="&amp;$Z$3))+(SUMIFS(SIP[Cost of Units Sold],SIP[Investor ID],A580,SIP[B/S],"S",SIP[Date Value],"&gt;="&amp;$Z$2,SIP[Date Value],"&lt;="&amp;$Z$3))</f>
        <v>0</v>
      </c>
      <c r="N580" s="49">
        <f t="shared" si="49"/>
        <v>500000</v>
      </c>
      <c r="O580" s="49">
        <f>(SUMIFS(LS[Realized Gain],LS[Investor ID],A580,LS[Date Value],"&gt;="&amp;$Z$2,LS[Date Value],"&lt;="&amp;$Z$3))+(SUMIFS(SIP[Realized Gain],SIP[Investor ID],A580,SIP[Date Value],"&gt;="&amp;$Z$2,SIP[Date Value],"&lt;="&amp;$Z$3))</f>
        <v>0</v>
      </c>
      <c r="P580" s="49">
        <v>0</v>
      </c>
      <c r="Q580" s="49">
        <v>0</v>
      </c>
      <c r="R580" s="49">
        <v>0</v>
      </c>
    </row>
    <row r="581" spans="1:18">
      <c r="A581" t="s">
        <v>1204</v>
      </c>
      <c r="B581" s="47">
        <f>SUMIFS(LS[Unit],LS[Investor ID],'TAX CERTIFICATE'!A581,LS[Date Value],"&lt;"&amp;$Z$2)+SUMIFS(SIP[Unit],SIP[Investor ID],'TAX CERTIFICATE'!A581,SIP[Date Value],"&lt;"&amp;$Z$2)</f>
        <v>0</v>
      </c>
      <c r="C581" s="48">
        <f>(SUMIFS(LS[Amount],LS[B/S],"B",LS[Investor ID],A581,LS[Date Value],"&lt;"&amp;$Z$2)-SUMIFS(LS[Cost of Units Sold],LS[B/S],"S",LS[Investor ID],A581,LS[Date Value],"&lt;"&amp;$Z$2))+(SUMIFS(SIP[Amount],SIP[B/S],"B",SIP[Investor ID],#REF!,SIP[Date Value],"&lt;"&amp;$Z$2)-SUMIFS(SIP[Cost of Units Sold],SIP[B/S],"S",SIP[Investor ID],A581,SIP[Date Value],"&lt;"&amp;$Z$2))</f>
        <v>0</v>
      </c>
      <c r="D581" s="49">
        <f t="shared" si="45"/>
        <v>0</v>
      </c>
      <c r="E581" s="49">
        <f t="shared" si="46"/>
        <v>0</v>
      </c>
      <c r="F581" s="47">
        <f>SUMIFS(LS[Unit],LS[Investor ID],A581,LS[Date Value],"&lt;="&amp;$Z$3)+SUMIFS(SIP[Unit],SIP[Investor ID],A581,SIP[Date Value],"&lt;="&amp;$Z$3)</f>
        <v>44835</v>
      </c>
      <c r="G581" s="49">
        <f>(SUMIFS(LS[Amount],LS[B/S],"B",LS[Investor ID],A581,LS[Date Value],"&lt;="&amp;$Z$3)-SUMIFS(LS[Cost of Units Sold],LS[B/S],"S",LS[Investor ID],A581,LS[Date Value],"&lt;="&amp;$Z$3))+(SUMIFS(SIP[Amount],SIP[B/S],"B",SIP[Investor ID],A581,SIP[Date Value],"&lt;="&amp;$Z$3)-SUMIFS(SIP[Cost of Units Sold],SIP[B/S],"S",SIP[Investor ID],A581,SIP[Date Value],"&lt;="&amp;$Z$3))</f>
        <v>500000</v>
      </c>
      <c r="H581" s="49">
        <f t="shared" si="47"/>
        <v>500537.94</v>
      </c>
      <c r="I581" s="49">
        <f t="shared" si="48"/>
        <v>537.94000000000233</v>
      </c>
      <c r="J581" s="47">
        <f>(SUMIFS(LS[Unit],LS[Investor ID],A581,LS[B/S],"B",LS[Date Value],"&gt;="&amp;$Z$2,LS[Date Value],"&lt;="&amp;$Z$3))+(SUMIFS(SIP[Unit],SIP[Investor ID],A581,SIP[B/S],"B",SIP[Date Value],"&gt;="&amp;$Z$2,SIP[Date Value],"&lt;="&amp;$Z$3))</f>
        <v>44835</v>
      </c>
      <c r="K581" s="49">
        <f>(SUMIFS(LS[Amount],LS[Investor ID],A581,LS[B/S],"B",LS[Date Value],"&gt;="&amp;$Z$2,LS[Date Value],"&lt;="&amp;$Z$3))+(SUMIFS(SIP[Amount],SIP[Investor ID],A581,SIP[B/S],"B",SIP[Date Value],"&gt;="&amp;$Z$2,SIP[Date Value],"&lt;="&amp;$Z$3))</f>
        <v>500000</v>
      </c>
      <c r="L581" s="47">
        <f>(-SUMIFS(LS[Unit],LS[Investor ID],A581,LS[B/S],"S",LS[Date Value],"&gt;="&amp;$Z$2,LS[Date Value],"&lt;="&amp;$Z$3))+(-SUMIFS(SIP[Unit],SIP[Investor ID],A581,SIP[B/S],"S",SIP[Date Value],"&gt;="&amp;$Z$2,SIP[Date Value],"&lt;="&amp;$Z$3))</f>
        <v>0</v>
      </c>
      <c r="M581" s="49">
        <f>(SUMIFS(LS[Cost of Units Sold],LS[Investor ID],A581,LS[B/S],"S",LS[Date Value],"&gt;="&amp;$Z$2,LS[Date Value],"&lt;="&amp;$Z$3))+(SUMIFS(SIP[Cost of Units Sold],SIP[Investor ID],A581,SIP[B/S],"S",SIP[Date Value],"&gt;="&amp;$Z$2,SIP[Date Value],"&lt;="&amp;$Z$3))</f>
        <v>0</v>
      </c>
      <c r="N581" s="49">
        <f t="shared" si="49"/>
        <v>500000</v>
      </c>
      <c r="O581" s="49">
        <f>(SUMIFS(LS[Realized Gain],LS[Investor ID],A581,LS[Date Value],"&gt;="&amp;$Z$2,LS[Date Value],"&lt;="&amp;$Z$3))+(SUMIFS(SIP[Realized Gain],SIP[Investor ID],A581,SIP[Date Value],"&gt;="&amp;$Z$2,SIP[Date Value],"&lt;="&amp;$Z$3))</f>
        <v>0</v>
      </c>
      <c r="P581" s="49">
        <v>0</v>
      </c>
      <c r="Q581" s="49">
        <v>0</v>
      </c>
      <c r="R581" s="49">
        <v>0</v>
      </c>
    </row>
    <row r="582" spans="1:18">
      <c r="A582" t="s">
        <v>1206</v>
      </c>
      <c r="B582" s="47">
        <f>SUMIFS(LS[Unit],LS[Investor ID],'TAX CERTIFICATE'!A582,LS[Date Value],"&lt;"&amp;$Z$2)+SUMIFS(SIP[Unit],SIP[Investor ID],'TAX CERTIFICATE'!A582,SIP[Date Value],"&lt;"&amp;$Z$2)</f>
        <v>0</v>
      </c>
      <c r="C582" s="48">
        <f>(SUMIFS(LS[Amount],LS[B/S],"B",LS[Investor ID],A582,LS[Date Value],"&lt;"&amp;$Z$2)-SUMIFS(LS[Cost of Units Sold],LS[B/S],"S",LS[Investor ID],A582,LS[Date Value],"&lt;"&amp;$Z$2))+(SUMIFS(SIP[Amount],SIP[B/S],"B",SIP[Investor ID],#REF!,SIP[Date Value],"&lt;"&amp;$Z$2)-SUMIFS(SIP[Cost of Units Sold],SIP[B/S],"S",SIP[Investor ID],A582,SIP[Date Value],"&lt;"&amp;$Z$2))</f>
        <v>0</v>
      </c>
      <c r="D582" s="49">
        <f t="shared" si="45"/>
        <v>0</v>
      </c>
      <c r="E582" s="49">
        <f t="shared" si="46"/>
        <v>0</v>
      </c>
      <c r="F582" s="47">
        <f>SUMIFS(LS[Unit],LS[Investor ID],A582,LS[Date Value],"&lt;="&amp;$Z$3)+SUMIFS(SIP[Unit],SIP[Investor ID],A582,SIP[Date Value],"&lt;="&amp;$Z$3)</f>
        <v>14347</v>
      </c>
      <c r="G582" s="49">
        <f>(SUMIFS(LS[Amount],LS[B/S],"B",LS[Investor ID],A582,LS[Date Value],"&lt;="&amp;$Z$3)-SUMIFS(LS[Cost of Units Sold],LS[B/S],"S",LS[Investor ID],A582,LS[Date Value],"&lt;="&amp;$Z$3))+(SUMIFS(SIP[Amount],SIP[B/S],"B",SIP[Investor ID],A582,SIP[Date Value],"&lt;="&amp;$Z$3)-SUMIFS(SIP[Cost of Units Sold],SIP[B/S],"S",SIP[Investor ID],A582,SIP[Date Value],"&lt;="&amp;$Z$3))</f>
        <v>160000</v>
      </c>
      <c r="H582" s="49">
        <f t="shared" si="47"/>
        <v>160169.908</v>
      </c>
      <c r="I582" s="49">
        <f t="shared" si="48"/>
        <v>169.90799999999581</v>
      </c>
      <c r="J582" s="47">
        <f>(SUMIFS(LS[Unit],LS[Investor ID],A582,LS[B/S],"B",LS[Date Value],"&gt;="&amp;$Z$2,LS[Date Value],"&lt;="&amp;$Z$3))+(SUMIFS(SIP[Unit],SIP[Investor ID],A582,SIP[B/S],"B",SIP[Date Value],"&gt;="&amp;$Z$2,SIP[Date Value],"&lt;="&amp;$Z$3))</f>
        <v>14347</v>
      </c>
      <c r="K582" s="49">
        <f>(SUMIFS(LS[Amount],LS[Investor ID],A582,LS[B/S],"B",LS[Date Value],"&gt;="&amp;$Z$2,LS[Date Value],"&lt;="&amp;$Z$3))+(SUMIFS(SIP[Amount],SIP[Investor ID],A582,SIP[B/S],"B",SIP[Date Value],"&gt;="&amp;$Z$2,SIP[Date Value],"&lt;="&amp;$Z$3))</f>
        <v>160000</v>
      </c>
      <c r="L582" s="47">
        <f>(-SUMIFS(LS[Unit],LS[Investor ID],A582,LS[B/S],"S",LS[Date Value],"&gt;="&amp;$Z$2,LS[Date Value],"&lt;="&amp;$Z$3))+(-SUMIFS(SIP[Unit],SIP[Investor ID],A582,SIP[B/S],"S",SIP[Date Value],"&gt;="&amp;$Z$2,SIP[Date Value],"&lt;="&amp;$Z$3))</f>
        <v>0</v>
      </c>
      <c r="M582" s="49">
        <f>(SUMIFS(LS[Cost of Units Sold],LS[Investor ID],A582,LS[B/S],"S",LS[Date Value],"&gt;="&amp;$Z$2,LS[Date Value],"&lt;="&amp;$Z$3))+(SUMIFS(SIP[Cost of Units Sold],SIP[Investor ID],A582,SIP[B/S],"S",SIP[Date Value],"&gt;="&amp;$Z$2,SIP[Date Value],"&lt;="&amp;$Z$3))</f>
        <v>0</v>
      </c>
      <c r="N582" s="49">
        <f t="shared" si="49"/>
        <v>160000</v>
      </c>
      <c r="O582" s="49">
        <f>(SUMIFS(LS[Realized Gain],LS[Investor ID],A582,LS[Date Value],"&gt;="&amp;$Z$2,LS[Date Value],"&lt;="&amp;$Z$3))+(SUMIFS(SIP[Realized Gain],SIP[Investor ID],A582,SIP[Date Value],"&gt;="&amp;$Z$2,SIP[Date Value],"&lt;="&amp;$Z$3))</f>
        <v>0</v>
      </c>
      <c r="P582" s="49">
        <v>0</v>
      </c>
      <c r="Q582" s="49">
        <v>0</v>
      </c>
      <c r="R582" s="49">
        <v>0</v>
      </c>
    </row>
    <row r="583" spans="1:18">
      <c r="A583" t="s">
        <v>1264</v>
      </c>
      <c r="B583" s="47">
        <f>SUMIFS(LS[Unit],LS[Investor ID],'TAX CERTIFICATE'!A583,LS[Date Value],"&lt;"&amp;$Z$2)+SUMIFS(SIP[Unit],SIP[Investor ID],'TAX CERTIFICATE'!A583,SIP[Date Value],"&lt;"&amp;$Z$2)</f>
        <v>0</v>
      </c>
      <c r="C583" s="48">
        <f>(SUMIFS(LS[Amount],LS[B/S],"B",LS[Investor ID],A583,LS[Date Value],"&lt;"&amp;$Z$2)-SUMIFS(LS[Cost of Units Sold],LS[B/S],"S",LS[Investor ID],A583,LS[Date Value],"&lt;"&amp;$Z$2))+(SUMIFS(SIP[Amount],SIP[B/S],"B",SIP[Investor ID],#REF!,SIP[Date Value],"&lt;"&amp;$Z$2)-SUMIFS(SIP[Cost of Units Sold],SIP[B/S],"S",SIP[Investor ID],A583,SIP[Date Value],"&lt;"&amp;$Z$2))</f>
        <v>0</v>
      </c>
      <c r="D583" s="49">
        <f t="shared" si="45"/>
        <v>0</v>
      </c>
      <c r="E583" s="49">
        <f t="shared" si="46"/>
        <v>0</v>
      </c>
      <c r="F583" s="47">
        <f>SUMIFS(LS[Unit],LS[Investor ID],A583,LS[Date Value],"&lt;="&amp;$Z$3)+SUMIFS(SIP[Unit],SIP[Investor ID],A583,SIP[Date Value],"&lt;="&amp;$Z$3)</f>
        <v>26850</v>
      </c>
      <c r="G583" s="49">
        <f>(SUMIFS(LS[Amount],LS[B/S],"B",LS[Investor ID],A583,LS[Date Value],"&lt;="&amp;$Z$3)-SUMIFS(LS[Cost of Units Sold],LS[B/S],"S",LS[Investor ID],A583,LS[Date Value],"&lt;="&amp;$Z$3))+(SUMIFS(SIP[Amount],SIP[B/S],"B",SIP[Investor ID],A583,SIP[Date Value],"&lt;="&amp;$Z$3)-SUMIFS(SIP[Cost of Units Sold],SIP[B/S],"S",SIP[Investor ID],A583,SIP[Date Value],"&lt;="&amp;$Z$3))</f>
        <v>300000</v>
      </c>
      <c r="H583" s="49">
        <f t="shared" si="47"/>
        <v>299753.39999999997</v>
      </c>
      <c r="I583" s="49">
        <f t="shared" si="48"/>
        <v>-246.60000000003492</v>
      </c>
      <c r="J583" s="47">
        <f>(SUMIFS(LS[Unit],LS[Investor ID],A583,LS[B/S],"B",LS[Date Value],"&gt;="&amp;$Z$2,LS[Date Value],"&lt;="&amp;$Z$3))+(SUMIFS(SIP[Unit],SIP[Investor ID],A583,SIP[B/S],"B",SIP[Date Value],"&gt;="&amp;$Z$2,SIP[Date Value],"&lt;="&amp;$Z$3))</f>
        <v>26850</v>
      </c>
      <c r="K583" s="49">
        <f>(SUMIFS(LS[Amount],LS[Investor ID],A583,LS[B/S],"B",LS[Date Value],"&gt;="&amp;$Z$2,LS[Date Value],"&lt;="&amp;$Z$3))+(SUMIFS(SIP[Amount],SIP[Investor ID],A583,SIP[B/S],"B",SIP[Date Value],"&gt;="&amp;$Z$2,SIP[Date Value],"&lt;="&amp;$Z$3))</f>
        <v>300000</v>
      </c>
      <c r="L583" s="47">
        <f>(-SUMIFS(LS[Unit],LS[Investor ID],A583,LS[B/S],"S",LS[Date Value],"&gt;="&amp;$Z$2,LS[Date Value],"&lt;="&amp;$Z$3))+(-SUMIFS(SIP[Unit],SIP[Investor ID],A583,SIP[B/S],"S",SIP[Date Value],"&gt;="&amp;$Z$2,SIP[Date Value],"&lt;="&amp;$Z$3))</f>
        <v>0</v>
      </c>
      <c r="M583" s="49">
        <f>(SUMIFS(LS[Cost of Units Sold],LS[Investor ID],A583,LS[B/S],"S",LS[Date Value],"&gt;="&amp;$Z$2,LS[Date Value],"&lt;="&amp;$Z$3))+(SUMIFS(SIP[Cost of Units Sold],SIP[Investor ID],A583,SIP[B/S],"S",SIP[Date Value],"&gt;="&amp;$Z$2,SIP[Date Value],"&lt;="&amp;$Z$3))</f>
        <v>0</v>
      </c>
      <c r="N583" s="49">
        <f t="shared" si="49"/>
        <v>300000</v>
      </c>
      <c r="O583" s="49">
        <f>(SUMIFS(LS[Realized Gain],LS[Investor ID],A583,LS[Date Value],"&gt;="&amp;$Z$2,LS[Date Value],"&lt;="&amp;$Z$3))+(SUMIFS(SIP[Realized Gain],SIP[Investor ID],A583,SIP[Date Value],"&gt;="&amp;$Z$2,SIP[Date Value],"&lt;="&amp;$Z$3))</f>
        <v>0</v>
      </c>
      <c r="P583" s="49">
        <v>0</v>
      </c>
      <c r="Q583" s="49">
        <v>0</v>
      </c>
      <c r="R583" s="49">
        <v>0</v>
      </c>
    </row>
    <row r="584" spans="1:18">
      <c r="A584" t="s">
        <v>1263</v>
      </c>
      <c r="B584" s="47">
        <f>SUMIFS(LS[Unit],LS[Investor ID],'TAX CERTIFICATE'!A584,LS[Date Value],"&lt;"&amp;$Z$2)+SUMIFS(SIP[Unit],SIP[Investor ID],'TAX CERTIFICATE'!A584,SIP[Date Value],"&lt;"&amp;$Z$2)</f>
        <v>0</v>
      </c>
      <c r="C584" s="48">
        <f>(SUMIFS(LS[Amount],LS[B/S],"B",LS[Investor ID],A584,LS[Date Value],"&lt;"&amp;$Z$2)-SUMIFS(LS[Cost of Units Sold],LS[B/S],"S",LS[Investor ID],A584,LS[Date Value],"&lt;"&amp;$Z$2))+(SUMIFS(SIP[Amount],SIP[B/S],"B",SIP[Investor ID],#REF!,SIP[Date Value],"&lt;"&amp;$Z$2)-SUMIFS(SIP[Cost of Units Sold],SIP[B/S],"S",SIP[Investor ID],A584,SIP[Date Value],"&lt;"&amp;$Z$2))</f>
        <v>0</v>
      </c>
      <c r="D584" s="49">
        <f t="shared" si="45"/>
        <v>0</v>
      </c>
      <c r="E584" s="49">
        <f t="shared" si="46"/>
        <v>0</v>
      </c>
      <c r="F584" s="47">
        <f>SUMIFS(LS[Unit],LS[Investor ID],A584,LS[Date Value],"&lt;="&amp;$Z$3)+SUMIFS(SIP[Unit],SIP[Investor ID],A584,SIP[Date Value],"&lt;="&amp;$Z$3)</f>
        <v>10740</v>
      </c>
      <c r="G584" s="49">
        <f>(SUMIFS(LS[Amount],LS[B/S],"B",LS[Investor ID],A584,LS[Date Value],"&lt;="&amp;$Z$3)-SUMIFS(LS[Cost of Units Sold],LS[B/S],"S",LS[Investor ID],A584,LS[Date Value],"&lt;="&amp;$Z$3))+(SUMIFS(SIP[Amount],SIP[B/S],"B",SIP[Investor ID],A584,SIP[Date Value],"&lt;="&amp;$Z$3)-SUMIFS(SIP[Cost of Units Sold],SIP[B/S],"S",SIP[Investor ID],A584,SIP[Date Value],"&lt;="&amp;$Z$3))</f>
        <v>120000</v>
      </c>
      <c r="H584" s="49">
        <f t="shared" si="47"/>
        <v>119901.36</v>
      </c>
      <c r="I584" s="49">
        <f t="shared" si="48"/>
        <v>-98.639999999999418</v>
      </c>
      <c r="J584" s="47">
        <f>(SUMIFS(LS[Unit],LS[Investor ID],A584,LS[B/S],"B",LS[Date Value],"&gt;="&amp;$Z$2,LS[Date Value],"&lt;="&amp;$Z$3))+(SUMIFS(SIP[Unit],SIP[Investor ID],A584,SIP[B/S],"B",SIP[Date Value],"&gt;="&amp;$Z$2,SIP[Date Value],"&lt;="&amp;$Z$3))</f>
        <v>10740</v>
      </c>
      <c r="K584" s="49">
        <f>(SUMIFS(LS[Amount],LS[Investor ID],A584,LS[B/S],"B",LS[Date Value],"&gt;="&amp;$Z$2,LS[Date Value],"&lt;="&amp;$Z$3))+(SUMIFS(SIP[Amount],SIP[Investor ID],A584,SIP[B/S],"B",SIP[Date Value],"&gt;="&amp;$Z$2,SIP[Date Value],"&lt;="&amp;$Z$3))</f>
        <v>120000</v>
      </c>
      <c r="L584" s="47">
        <f>(-SUMIFS(LS[Unit],LS[Investor ID],A584,LS[B/S],"S",LS[Date Value],"&gt;="&amp;$Z$2,LS[Date Value],"&lt;="&amp;$Z$3))+(-SUMIFS(SIP[Unit],SIP[Investor ID],A584,SIP[B/S],"S",SIP[Date Value],"&gt;="&amp;$Z$2,SIP[Date Value],"&lt;="&amp;$Z$3))</f>
        <v>0</v>
      </c>
      <c r="M584" s="49">
        <f>(SUMIFS(LS[Cost of Units Sold],LS[Investor ID],A584,LS[B/S],"S",LS[Date Value],"&gt;="&amp;$Z$2,LS[Date Value],"&lt;="&amp;$Z$3))+(SUMIFS(SIP[Cost of Units Sold],SIP[Investor ID],A584,SIP[B/S],"S",SIP[Date Value],"&gt;="&amp;$Z$2,SIP[Date Value],"&lt;="&amp;$Z$3))</f>
        <v>0</v>
      </c>
      <c r="N584" s="49">
        <f t="shared" si="49"/>
        <v>120000</v>
      </c>
      <c r="O584" s="49">
        <f>(SUMIFS(LS[Realized Gain],LS[Investor ID],A584,LS[Date Value],"&gt;="&amp;$Z$2,LS[Date Value],"&lt;="&amp;$Z$3))+(SUMIFS(SIP[Realized Gain],SIP[Investor ID],A584,SIP[Date Value],"&gt;="&amp;$Z$2,SIP[Date Value],"&lt;="&amp;$Z$3))</f>
        <v>0</v>
      </c>
      <c r="P584" s="49">
        <v>0</v>
      </c>
      <c r="Q584" s="49">
        <v>0</v>
      </c>
      <c r="R584" s="49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AC152"/>
  <sheetViews>
    <sheetView zoomScale="115" zoomScaleNormal="115" workbookViewId="0">
      <selection activeCell="E13" sqref="E13"/>
    </sheetView>
  </sheetViews>
  <sheetFormatPr defaultColWidth="8.85546875" defaultRowHeight="12.75"/>
  <cols>
    <col min="1" max="1" width="4.5703125" style="2" customWidth="1"/>
    <col min="2" max="2" width="19.28515625" style="3" hidden="1" customWidth="1"/>
    <col min="3" max="3" width="25.85546875" style="2" hidden="1" customWidth="1"/>
    <col min="4" max="4" width="9.28515625" style="2" hidden="1" customWidth="1"/>
    <col min="5" max="5" width="18.85546875" style="3" customWidth="1"/>
    <col min="6" max="6" width="12" style="4" hidden="1" customWidth="1"/>
    <col min="7" max="7" width="16" style="5" hidden="1" customWidth="1"/>
    <col min="8" max="8" width="11.42578125" style="6" hidden="1" customWidth="1"/>
    <col min="9" max="9" width="11.28515625" style="7" hidden="1" customWidth="1"/>
    <col min="10" max="10" width="11.42578125" style="7" customWidth="1"/>
    <col min="11" max="11" width="16.85546875" style="6" hidden="1" customWidth="1"/>
    <col min="12" max="12" width="14.42578125" style="5" customWidth="1"/>
    <col min="13" max="13" width="13.7109375" style="5" hidden="1" customWidth="1"/>
    <col min="14" max="14" width="11.42578125" style="8" customWidth="1"/>
    <col min="15" max="15" width="10.85546875" style="8" customWidth="1"/>
    <col min="16" max="16" width="10.5703125" style="2" customWidth="1"/>
    <col min="17" max="17" width="1.28515625" style="2" hidden="1" customWidth="1"/>
    <col min="18" max="18" width="14.7109375" style="9" hidden="1" customWidth="1"/>
    <col min="19" max="19" width="12.28515625" style="9" customWidth="1"/>
    <col min="20" max="20" width="13" style="2" hidden="1" customWidth="1"/>
    <col min="21" max="21" width="12.42578125" style="2" bestFit="1" customWidth="1"/>
    <col min="22" max="22" width="13.85546875" style="2" bestFit="1" customWidth="1"/>
    <col min="23" max="23" width="8.85546875" style="2" hidden="1" customWidth="1"/>
    <col min="24" max="24" width="19.42578125" style="2" hidden="1" customWidth="1"/>
    <col min="25" max="25" width="8.85546875" style="2"/>
    <col min="26" max="26" width="11.85546875" style="2" customWidth="1"/>
    <col min="27" max="27" width="14.42578125" style="2" customWidth="1"/>
    <col min="28" max="28" width="19.42578125" style="2" customWidth="1"/>
    <col min="29" max="29" width="13.5703125" style="2" customWidth="1"/>
    <col min="30" max="30" width="11" style="2" customWidth="1"/>
    <col min="31" max="31" width="15.28515625" style="2" customWidth="1"/>
    <col min="32" max="32" width="19.42578125" style="2" bestFit="1" customWidth="1"/>
    <col min="33" max="33" width="21.28515625" style="2" bestFit="1" customWidth="1"/>
    <col min="34" max="34" width="16.28515625" style="2" bestFit="1" customWidth="1"/>
    <col min="35" max="35" width="14.7109375" style="2" bestFit="1" customWidth="1"/>
    <col min="36" max="16384" width="8.85546875" style="2"/>
  </cols>
  <sheetData>
    <row r="1" spans="1:29">
      <c r="A1" s="310"/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"/>
      <c r="P1" s="4"/>
      <c r="Q1" s="4"/>
      <c r="R1" s="39"/>
      <c r="S1" s="39"/>
      <c r="T1" s="4"/>
      <c r="U1" s="4"/>
      <c r="V1" s="4"/>
    </row>
    <row r="2" spans="1:29" ht="18">
      <c r="B2" s="10"/>
      <c r="C2" s="10"/>
      <c r="D2" s="10"/>
      <c r="E2" s="311" t="s">
        <v>1250</v>
      </c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10"/>
      <c r="X2" s="10"/>
      <c r="Y2" s="10"/>
      <c r="AB2" s="309" t="s">
        <v>894</v>
      </c>
      <c r="AC2" s="309"/>
    </row>
    <row r="3" spans="1:29" ht="18">
      <c r="B3" s="10"/>
      <c r="C3" s="10"/>
      <c r="D3" s="10"/>
      <c r="E3" s="311" t="s">
        <v>1251</v>
      </c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10"/>
      <c r="X3" s="10"/>
      <c r="Y3" s="10"/>
      <c r="AB3" s="309"/>
      <c r="AC3" s="309"/>
    </row>
    <row r="6" spans="1:29" ht="16.149999999999999" customHeight="1">
      <c r="E6" s="137" t="s">
        <v>1252</v>
      </c>
      <c r="J6" s="31" t="str" cm="1">
        <f t="array" ref="J6">_xlfn.IFNA(_xlfn.XLOOKUP($AB$2,INVESTORS_LIST[[#All],[INVESTOR CODE]],INVESTORS_LIST[[#All],[INVESTOR NAME]]),"")</f>
        <v>SRIJON GHOSH</v>
      </c>
      <c r="K6" s="31"/>
      <c r="L6" s="31"/>
    </row>
    <row r="7" spans="1:29" ht="14.45" customHeight="1">
      <c r="E7" s="137" t="s">
        <v>1253</v>
      </c>
      <c r="J7" s="312" t="str">
        <f>$AB$2</f>
        <v>A00424</v>
      </c>
      <c r="K7" s="312"/>
      <c r="L7" s="312"/>
    </row>
    <row r="8" spans="1:29" ht="14.45" customHeight="1">
      <c r="E8" s="137"/>
      <c r="J8" s="32"/>
      <c r="K8" s="32"/>
      <c r="L8" s="32"/>
    </row>
    <row r="9" spans="1:29">
      <c r="E9" s="191" t="s">
        <v>1338</v>
      </c>
      <c r="F9" s="192"/>
      <c r="G9" s="193"/>
      <c r="H9" s="194"/>
      <c r="I9" s="195"/>
      <c r="J9" s="196">
        <f ca="1">XIRR(L13:L143,E13:E143)</f>
        <v>0.10275068879127505</v>
      </c>
    </row>
    <row r="11" spans="1:29" s="1" customFormat="1" ht="28.9" customHeight="1">
      <c r="B11" s="11" t="s">
        <v>1232</v>
      </c>
      <c r="C11" s="12" t="s">
        <v>1207</v>
      </c>
      <c r="D11" s="12" t="s">
        <v>1208</v>
      </c>
      <c r="E11" s="11" t="s">
        <v>1254</v>
      </c>
      <c r="F11" s="12" t="s">
        <v>1210</v>
      </c>
      <c r="G11" s="13" t="s">
        <v>1211</v>
      </c>
      <c r="H11" s="14" t="s">
        <v>1212</v>
      </c>
      <c r="I11" s="33" t="s">
        <v>1213</v>
      </c>
      <c r="J11" s="33" t="s">
        <v>1255</v>
      </c>
      <c r="K11" s="14" t="s">
        <v>1215</v>
      </c>
      <c r="L11" s="13" t="s">
        <v>1216</v>
      </c>
      <c r="M11" s="14" t="s">
        <v>1227</v>
      </c>
      <c r="N11" s="33" t="s">
        <v>1218</v>
      </c>
      <c r="O11" s="33" t="s">
        <v>1219</v>
      </c>
      <c r="P11" s="14" t="s">
        <v>1220</v>
      </c>
      <c r="Q11" s="14" t="s">
        <v>1221</v>
      </c>
      <c r="R11" s="13" t="s">
        <v>1222</v>
      </c>
      <c r="S11" s="13" t="s">
        <v>1223</v>
      </c>
      <c r="T11" s="14" t="s">
        <v>1224</v>
      </c>
      <c r="U11" s="14" t="s">
        <v>1225</v>
      </c>
      <c r="V11" s="14" t="s">
        <v>1226</v>
      </c>
      <c r="W11" s="1" t="s">
        <v>1256</v>
      </c>
      <c r="X11" s="1" t="s">
        <v>1228</v>
      </c>
    </row>
    <row r="12" spans="1:29" ht="13.9" customHeight="1">
      <c r="A12" s="15"/>
      <c r="B12" s="307" t="s">
        <v>1257</v>
      </c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</row>
    <row r="13" spans="1:29">
      <c r="B13" s="16" cm="1">
        <f t="array" ref="B13:X24">_xlfn._xlws.FILTER(LS[#All],LS[[#All],[Investor ID]]=AB2,"No Data Found")</f>
        <v>2024</v>
      </c>
      <c r="C13" s="17">
        <v>2</v>
      </c>
      <c r="D13" s="17">
        <v>8</v>
      </c>
      <c r="E13" s="18">
        <v>45330</v>
      </c>
      <c r="F13" s="19" t="str">
        <v>SRIJON GHOSH</v>
      </c>
      <c r="G13" s="20" t="str">
        <v>A00424</v>
      </c>
      <c r="H13" s="21">
        <v>1</v>
      </c>
      <c r="I13" s="34" t="str">
        <v>1A00424</v>
      </c>
      <c r="J13" s="35" t="str">
        <v>BUY</v>
      </c>
      <c r="K13" s="21" t="str">
        <v>B</v>
      </c>
      <c r="L13" s="20">
        <v>193.55</v>
      </c>
      <c r="M13" s="20">
        <v>0</v>
      </c>
      <c r="N13" s="36">
        <v>10.752777777777778</v>
      </c>
      <c r="O13" s="34">
        <v>18</v>
      </c>
      <c r="P13" s="34">
        <v>18</v>
      </c>
      <c r="Q13" s="17">
        <v>180</v>
      </c>
      <c r="R13" s="20">
        <v>13.550000000000011</v>
      </c>
      <c r="S13" s="36">
        <v>10.752777777777778</v>
      </c>
      <c r="T13" s="36">
        <v>14.224</v>
      </c>
      <c r="U13" s="20">
        <v>0</v>
      </c>
      <c r="V13" s="20">
        <v>0</v>
      </c>
      <c r="W13" s="2">
        <v>0</v>
      </c>
      <c r="X13" s="40">
        <v>0</v>
      </c>
      <c r="AA13" s="9"/>
    </row>
    <row r="14" spans="1:29">
      <c r="B14" s="16">
        <v>2024</v>
      </c>
      <c r="C14" s="17">
        <v>5</v>
      </c>
      <c r="D14" s="17">
        <v>23</v>
      </c>
      <c r="E14" s="18">
        <v>45435</v>
      </c>
      <c r="F14" s="19" t="str">
        <v>SRIJON GHOSH</v>
      </c>
      <c r="G14" s="20" t="str">
        <v>A00424</v>
      </c>
      <c r="H14" s="21">
        <v>2</v>
      </c>
      <c r="I14" s="34" t="str">
        <v>2A00424</v>
      </c>
      <c r="J14" s="35" t="str">
        <v>BUY</v>
      </c>
      <c r="K14" s="21" t="str">
        <v>B</v>
      </c>
      <c r="L14" s="20">
        <v>300000</v>
      </c>
      <c r="M14" s="20">
        <v>0</v>
      </c>
      <c r="N14" s="36">
        <v>11.033873993158998</v>
      </c>
      <c r="O14" s="34">
        <v>27189</v>
      </c>
      <c r="P14" s="34">
        <v>27207</v>
      </c>
      <c r="Q14" s="17">
        <v>271890</v>
      </c>
      <c r="R14" s="20">
        <v>28110</v>
      </c>
      <c r="S14" s="36">
        <v>11.033688021465064</v>
      </c>
      <c r="T14" s="36">
        <v>14.224</v>
      </c>
      <c r="U14" s="20">
        <v>0</v>
      </c>
      <c r="V14" s="20">
        <v>0</v>
      </c>
      <c r="W14" s="2">
        <v>0</v>
      </c>
      <c r="X14" s="40">
        <v>0</v>
      </c>
    </row>
    <row r="15" spans="1:29" ht="12" customHeight="1">
      <c r="B15" s="16">
        <v>2024</v>
      </c>
      <c r="C15" s="17">
        <v>6</v>
      </c>
      <c r="D15" s="17">
        <v>9</v>
      </c>
      <c r="E15" s="18">
        <v>45452</v>
      </c>
      <c r="F15" s="19" t="str">
        <v>SRIJON GHOSH</v>
      </c>
      <c r="G15" s="20" t="str">
        <v>A00424</v>
      </c>
      <c r="H15" s="21">
        <v>3</v>
      </c>
      <c r="I15" s="34" t="str">
        <v>3A00424</v>
      </c>
      <c r="J15" s="35" t="str">
        <v>SELL</v>
      </c>
      <c r="K15" s="21" t="str">
        <v>S</v>
      </c>
      <c r="L15" s="20">
        <v>-302133.73499999999</v>
      </c>
      <c r="M15" s="20">
        <v>0</v>
      </c>
      <c r="N15" s="36">
        <v>11.104999999999999</v>
      </c>
      <c r="O15" s="34">
        <v>-27207</v>
      </c>
      <c r="P15" s="34">
        <v>0</v>
      </c>
      <c r="Q15" s="17">
        <v>-272070</v>
      </c>
      <c r="R15" s="20">
        <v>-30063.734999999986</v>
      </c>
      <c r="S15" s="36">
        <v>0</v>
      </c>
      <c r="T15" s="36">
        <v>14.224</v>
      </c>
      <c r="U15" s="20">
        <v>1940.184999999964</v>
      </c>
      <c r="V15" s="20">
        <v>300193.55</v>
      </c>
      <c r="W15" s="2">
        <v>0</v>
      </c>
      <c r="X15" s="40">
        <v>0</v>
      </c>
      <c r="Y15" s="43"/>
      <c r="AA15" s="41"/>
    </row>
    <row r="16" spans="1:29" hidden="1">
      <c r="B16" s="16">
        <v>2024</v>
      </c>
      <c r="C16" s="17">
        <v>7</v>
      </c>
      <c r="D16" s="17">
        <v>10</v>
      </c>
      <c r="E16" s="18">
        <v>45483</v>
      </c>
      <c r="F16" s="19" t="str">
        <v>SRIJON GHOSH</v>
      </c>
      <c r="G16" s="20" t="str">
        <v>A00424</v>
      </c>
      <c r="H16" s="21">
        <v>4</v>
      </c>
      <c r="I16" s="34" t="str">
        <v>4A00424</v>
      </c>
      <c r="J16" s="35" t="str">
        <v>BUY</v>
      </c>
      <c r="K16" s="21" t="str">
        <v>B</v>
      </c>
      <c r="L16" s="20">
        <v>205000</v>
      </c>
      <c r="M16" s="20">
        <v>0</v>
      </c>
      <c r="N16" s="36">
        <v>11.199125921879268</v>
      </c>
      <c r="O16" s="34">
        <v>18305</v>
      </c>
      <c r="P16" s="34">
        <v>18305</v>
      </c>
      <c r="Q16" s="17">
        <v>183050</v>
      </c>
      <c r="R16" s="20">
        <v>21950</v>
      </c>
      <c r="S16" s="36">
        <v>11.199125921879268</v>
      </c>
      <c r="T16" s="36">
        <v>14.224</v>
      </c>
      <c r="U16" s="20">
        <v>0</v>
      </c>
      <c r="V16" s="20">
        <v>0</v>
      </c>
      <c r="W16" s="2">
        <v>0</v>
      </c>
      <c r="X16" s="2">
        <v>0</v>
      </c>
      <c r="AA16" s="41"/>
    </row>
    <row r="17" spans="2:24" hidden="1">
      <c r="B17" s="16">
        <v>2024</v>
      </c>
      <c r="C17" s="17">
        <v>8</v>
      </c>
      <c r="D17" s="17">
        <v>8</v>
      </c>
      <c r="E17" s="18">
        <v>45512</v>
      </c>
      <c r="F17" s="19" t="str">
        <v>SRIJON GHOSH</v>
      </c>
      <c r="G17" s="20" t="str">
        <v>A00424</v>
      </c>
      <c r="H17" s="21">
        <v>5</v>
      </c>
      <c r="I17" s="34" t="str">
        <v>5A00424</v>
      </c>
      <c r="J17" s="35" t="str">
        <v>SELL</v>
      </c>
      <c r="K17" s="21" t="str">
        <v>S</v>
      </c>
      <c r="L17" s="20">
        <v>-206626.84</v>
      </c>
      <c r="M17" s="20">
        <v>0</v>
      </c>
      <c r="N17" s="36">
        <v>11.288</v>
      </c>
      <c r="O17" s="34">
        <v>-18305</v>
      </c>
      <c r="P17" s="138">
        <v>0</v>
      </c>
      <c r="Q17" s="17">
        <v>-183050</v>
      </c>
      <c r="R17" s="20">
        <v>-23576.839999999997</v>
      </c>
      <c r="S17" s="36">
        <v>0</v>
      </c>
      <c r="T17" s="36">
        <v>14.224</v>
      </c>
      <c r="U17" s="20">
        <v>1626.8399999999951</v>
      </c>
      <c r="V17" s="20">
        <v>205000</v>
      </c>
      <c r="W17" s="2">
        <v>0</v>
      </c>
      <c r="X17" s="2">
        <v>0</v>
      </c>
    </row>
    <row r="18" spans="2:24" hidden="1">
      <c r="B18" s="16">
        <v>2024</v>
      </c>
      <c r="C18" s="17">
        <v>12</v>
      </c>
      <c r="D18" s="17">
        <v>3</v>
      </c>
      <c r="E18" s="18">
        <v>45629</v>
      </c>
      <c r="F18" s="19" t="str">
        <v>SRIJON GHOSH</v>
      </c>
      <c r="G18" s="20" t="str">
        <v>A00424</v>
      </c>
      <c r="H18" s="21">
        <v>6</v>
      </c>
      <c r="I18" s="34" t="str">
        <v>6A00424</v>
      </c>
      <c r="J18" s="35" t="str">
        <v>BUY</v>
      </c>
      <c r="K18" s="21" t="str">
        <v>B</v>
      </c>
      <c r="L18" s="20">
        <v>451</v>
      </c>
      <c r="M18" s="20">
        <v>0</v>
      </c>
      <c r="N18" s="36">
        <v>11.564102564102564</v>
      </c>
      <c r="O18" s="34">
        <v>39</v>
      </c>
      <c r="P18" s="138">
        <v>39</v>
      </c>
      <c r="Q18" s="17">
        <v>390</v>
      </c>
      <c r="R18" s="20">
        <v>61</v>
      </c>
      <c r="S18" s="36">
        <v>11.564102564102564</v>
      </c>
      <c r="T18" s="36">
        <v>14.224</v>
      </c>
      <c r="U18" s="20">
        <v>0</v>
      </c>
      <c r="V18" s="20">
        <v>0</v>
      </c>
      <c r="W18" s="2">
        <v>0</v>
      </c>
      <c r="X18" s="2">
        <v>0</v>
      </c>
    </row>
    <row r="19" spans="2:24" hidden="1">
      <c r="B19" s="16">
        <v>2025</v>
      </c>
      <c r="C19" s="17">
        <v>9</v>
      </c>
      <c r="D19" s="17">
        <v>25</v>
      </c>
      <c r="E19" s="18">
        <v>45925</v>
      </c>
      <c r="F19" s="19" t="str">
        <v>SRIJON GHOSH</v>
      </c>
      <c r="G19" s="20" t="str">
        <v>A00424</v>
      </c>
      <c r="H19" s="21">
        <v>7</v>
      </c>
      <c r="I19" s="34" t="str">
        <v>7A00424</v>
      </c>
      <c r="J19" s="35" t="str">
        <v>BUY</v>
      </c>
      <c r="K19" s="21" t="str">
        <v>B</v>
      </c>
      <c r="L19" s="20">
        <v>105000</v>
      </c>
      <c r="M19" s="20">
        <v>0</v>
      </c>
      <c r="N19" s="36">
        <v>13.442580975547305</v>
      </c>
      <c r="O19" s="34">
        <v>7811</v>
      </c>
      <c r="P19" s="138">
        <v>7850</v>
      </c>
      <c r="Q19" s="17">
        <v>78110</v>
      </c>
      <c r="R19" s="20">
        <v>26890</v>
      </c>
      <c r="S19" s="36">
        <v>13.433248407643312</v>
      </c>
      <c r="T19" s="36">
        <v>14.224</v>
      </c>
      <c r="U19" s="20">
        <v>0</v>
      </c>
      <c r="V19" s="20">
        <v>0</v>
      </c>
      <c r="W19" s="2">
        <v>0</v>
      </c>
      <c r="X19" s="2">
        <v>0</v>
      </c>
    </row>
    <row r="20" spans="2:24" hidden="1">
      <c r="B20" s="16">
        <v>2025</v>
      </c>
      <c r="C20" s="17">
        <v>9</v>
      </c>
      <c r="D20" s="17">
        <v>25</v>
      </c>
      <c r="E20" s="18">
        <v>45925</v>
      </c>
      <c r="F20" s="19" t="str">
        <v>SRIJON GHOSH</v>
      </c>
      <c r="G20" s="20" t="str">
        <v>A00424</v>
      </c>
      <c r="H20" s="21">
        <v>8</v>
      </c>
      <c r="I20" s="34" t="str">
        <v>8A00424</v>
      </c>
      <c r="J20" s="35" t="str">
        <v>BUY</v>
      </c>
      <c r="K20" s="21" t="str">
        <v>B</v>
      </c>
      <c r="L20" s="20">
        <v>50000</v>
      </c>
      <c r="M20" s="20">
        <v>0</v>
      </c>
      <c r="N20" s="36">
        <v>13.440860215053764</v>
      </c>
      <c r="O20" s="34">
        <v>3720</v>
      </c>
      <c r="P20" s="138">
        <v>11570</v>
      </c>
      <c r="Q20" s="17">
        <v>37200</v>
      </c>
      <c r="R20" s="20">
        <v>12800</v>
      </c>
      <c r="S20" s="36">
        <v>13.43569576490925</v>
      </c>
      <c r="T20" s="36">
        <v>14.224</v>
      </c>
      <c r="U20" s="20">
        <v>0</v>
      </c>
      <c r="V20" s="20">
        <v>0</v>
      </c>
      <c r="W20" s="2">
        <v>0</v>
      </c>
      <c r="X20" s="2">
        <v>0</v>
      </c>
    </row>
    <row r="21" spans="2:24" hidden="1">
      <c r="B21" s="16">
        <v>2025</v>
      </c>
      <c r="C21" s="17">
        <v>10</v>
      </c>
      <c r="D21" s="17">
        <v>20</v>
      </c>
      <c r="E21" s="18">
        <v>45950</v>
      </c>
      <c r="F21" s="19" t="str">
        <v>SRIJON GHOSH</v>
      </c>
      <c r="G21" s="20" t="str">
        <v>A00424</v>
      </c>
      <c r="H21" s="21">
        <v>9</v>
      </c>
      <c r="I21" s="34" t="str">
        <v>9A00424</v>
      </c>
      <c r="J21" s="35" t="str">
        <v>SELL</v>
      </c>
      <c r="K21" s="21" t="str">
        <v>S</v>
      </c>
      <c r="L21" s="20">
        <v>-15000</v>
      </c>
      <c r="M21" s="20">
        <v>0</v>
      </c>
      <c r="N21" s="36">
        <v>13.64877161055505</v>
      </c>
      <c r="O21" s="34">
        <v>-1099</v>
      </c>
      <c r="P21" s="138">
        <v>10471</v>
      </c>
      <c r="Q21" s="17">
        <v>-10990</v>
      </c>
      <c r="R21" s="20">
        <v>-4010</v>
      </c>
      <c r="S21" s="36">
        <v>13.43569576490925</v>
      </c>
      <c r="T21" s="36">
        <v>14.224</v>
      </c>
      <c r="U21" s="20">
        <v>234.17035436473464</v>
      </c>
      <c r="V21" s="20">
        <v>14765.829645635265</v>
      </c>
      <c r="W21" s="2">
        <v>0</v>
      </c>
      <c r="X21" s="2">
        <v>0</v>
      </c>
    </row>
    <row r="22" spans="2:24" hidden="1">
      <c r="B22" s="16">
        <v>2025</v>
      </c>
      <c r="C22" s="17">
        <v>10</v>
      </c>
      <c r="D22" s="17">
        <v>23</v>
      </c>
      <c r="E22" s="18">
        <v>45953</v>
      </c>
      <c r="F22" s="19" t="str">
        <v>SRIJON GHOSH</v>
      </c>
      <c r="G22" s="20" t="str">
        <v>A00424</v>
      </c>
      <c r="H22" s="21">
        <v>10</v>
      </c>
      <c r="I22" s="34" t="str">
        <v>10A00424</v>
      </c>
      <c r="J22" s="35" t="str">
        <v>SELL</v>
      </c>
      <c r="K22" s="21" t="str">
        <v>S</v>
      </c>
      <c r="L22" s="20">
        <v>-10000</v>
      </c>
      <c r="M22" s="20">
        <v>0</v>
      </c>
      <c r="N22" s="36">
        <v>13.66120218579235</v>
      </c>
      <c r="O22" s="34">
        <v>-732</v>
      </c>
      <c r="P22" s="34">
        <v>9739</v>
      </c>
      <c r="Q22" s="17">
        <v>-7320</v>
      </c>
      <c r="R22" s="20">
        <v>-2680</v>
      </c>
      <c r="S22" s="36">
        <v>13.43569576490925</v>
      </c>
      <c r="T22" s="36">
        <v>14.224</v>
      </c>
      <c r="U22" s="20">
        <v>165.0707000864293</v>
      </c>
      <c r="V22" s="20">
        <v>9834.9292999135705</v>
      </c>
      <c r="W22" s="2">
        <v>0</v>
      </c>
      <c r="X22" s="41">
        <v>0</v>
      </c>
    </row>
    <row r="23" spans="2:24" hidden="1">
      <c r="B23" s="16">
        <v>2025</v>
      </c>
      <c r="C23" s="17">
        <v>11</v>
      </c>
      <c r="D23" s="17">
        <v>9</v>
      </c>
      <c r="E23" s="18">
        <v>45970</v>
      </c>
      <c r="F23" s="19" t="str">
        <v>SRIJON GHOSH</v>
      </c>
      <c r="G23" s="20" t="str">
        <v>A00424</v>
      </c>
      <c r="H23" s="21">
        <v>11</v>
      </c>
      <c r="I23" s="34" t="str">
        <v>11A00424</v>
      </c>
      <c r="J23" s="35" t="str">
        <v>SELL</v>
      </c>
      <c r="K23" s="21" t="str">
        <v>S</v>
      </c>
      <c r="L23" s="20">
        <v>-20000</v>
      </c>
      <c r="M23" s="20">
        <v>0</v>
      </c>
      <c r="N23" s="36">
        <v>13.66120218579235</v>
      </c>
      <c r="O23" s="34">
        <v>-1464</v>
      </c>
      <c r="P23" s="34">
        <v>8275</v>
      </c>
      <c r="Q23" s="17">
        <v>-14640</v>
      </c>
      <c r="R23" s="20">
        <v>-5360</v>
      </c>
      <c r="S23" s="36">
        <v>13.43569576490925</v>
      </c>
      <c r="T23" s="36">
        <v>14.224</v>
      </c>
      <c r="U23" s="20">
        <v>330.1414001728586</v>
      </c>
      <c r="V23" s="20">
        <v>19669.858599827141</v>
      </c>
      <c r="W23" s="2">
        <v>0</v>
      </c>
      <c r="X23" s="2">
        <v>0</v>
      </c>
    </row>
    <row r="24" spans="2:24" hidden="1">
      <c r="B24" s="16">
        <v>2025</v>
      </c>
      <c r="C24" s="17">
        <v>11</v>
      </c>
      <c r="D24" s="17">
        <v>18</v>
      </c>
      <c r="E24" s="18">
        <v>45979</v>
      </c>
      <c r="F24" s="19" t="str">
        <v>SRIJON GHOSH</v>
      </c>
      <c r="G24" s="20" t="str">
        <v>A00424</v>
      </c>
      <c r="H24" s="21">
        <v>12</v>
      </c>
      <c r="I24" s="34" t="str">
        <v>12A00424</v>
      </c>
      <c r="J24" s="35" t="str">
        <v>SELL</v>
      </c>
      <c r="K24" s="21" t="str">
        <v>S</v>
      </c>
      <c r="L24" s="20">
        <v>-114286.03</v>
      </c>
      <c r="M24" s="20">
        <v>0</v>
      </c>
      <c r="N24" s="36">
        <v>13.811000604229607</v>
      </c>
      <c r="O24" s="34">
        <v>-8275</v>
      </c>
      <c r="P24" s="34">
        <v>0</v>
      </c>
      <c r="Q24" s="17">
        <v>-82750</v>
      </c>
      <c r="R24" s="20">
        <v>-31536.03</v>
      </c>
      <c r="S24" s="36">
        <v>0</v>
      </c>
      <c r="T24" s="20">
        <v>14.224</v>
      </c>
      <c r="U24" s="20">
        <v>3105.6475453759549</v>
      </c>
      <c r="V24" s="20">
        <v>111180.38245462404</v>
      </c>
      <c r="W24" s="2">
        <v>0</v>
      </c>
      <c r="X24" s="2">
        <v>0</v>
      </c>
    </row>
    <row r="25" spans="2:24" hidden="1">
      <c r="B25" s="16"/>
      <c r="C25" s="17"/>
      <c r="D25" s="17"/>
      <c r="E25" s="18"/>
      <c r="F25" s="19"/>
      <c r="G25" s="20"/>
      <c r="H25" s="21"/>
      <c r="I25" s="34"/>
      <c r="J25" s="35"/>
      <c r="K25" s="21"/>
      <c r="L25" s="20"/>
      <c r="M25" s="20"/>
      <c r="N25" s="36"/>
      <c r="O25" s="34"/>
      <c r="P25" s="34"/>
      <c r="Q25" s="17"/>
      <c r="R25" s="20"/>
      <c r="S25" s="36"/>
      <c r="T25" s="20"/>
      <c r="U25" s="20"/>
      <c r="V25" s="20"/>
    </row>
    <row r="26" spans="2:24" hidden="1">
      <c r="B26" s="16"/>
      <c r="C26" s="17"/>
      <c r="D26" s="17"/>
      <c r="E26" s="18"/>
      <c r="F26" s="19"/>
      <c r="G26" s="20"/>
      <c r="H26" s="21"/>
      <c r="I26" s="34"/>
      <c r="J26" s="35"/>
      <c r="K26" s="21"/>
      <c r="L26" s="20"/>
      <c r="M26" s="20"/>
      <c r="N26" s="36"/>
      <c r="O26" s="34"/>
      <c r="P26" s="34"/>
      <c r="Q26" s="17"/>
      <c r="R26" s="20"/>
      <c r="S26" s="36"/>
      <c r="T26" s="20"/>
      <c r="U26" s="20"/>
      <c r="V26" s="20"/>
    </row>
    <row r="27" spans="2:24" hidden="1">
      <c r="B27" s="16"/>
      <c r="C27" s="17"/>
      <c r="D27" s="17"/>
      <c r="E27" s="18"/>
      <c r="F27" s="19"/>
      <c r="G27" s="20"/>
      <c r="H27" s="21"/>
      <c r="I27" s="34"/>
      <c r="J27" s="35"/>
      <c r="K27" s="21"/>
      <c r="L27" s="20"/>
      <c r="M27" s="20"/>
      <c r="N27" s="36"/>
      <c r="O27" s="34"/>
      <c r="P27" s="34"/>
      <c r="Q27" s="17"/>
      <c r="R27" s="20"/>
      <c r="S27" s="36"/>
      <c r="T27" s="20"/>
      <c r="U27" s="20"/>
      <c r="V27" s="20"/>
    </row>
    <row r="28" spans="2:24" hidden="1">
      <c r="B28" s="16"/>
      <c r="C28" s="17"/>
      <c r="D28" s="17"/>
      <c r="E28" s="18"/>
      <c r="F28" s="19"/>
      <c r="G28" s="20"/>
      <c r="H28" s="21"/>
      <c r="I28" s="34"/>
      <c r="J28" s="35"/>
      <c r="K28" s="21"/>
      <c r="L28" s="20"/>
      <c r="M28" s="20"/>
      <c r="N28" s="36"/>
      <c r="O28" s="34"/>
      <c r="P28" s="34"/>
      <c r="Q28" s="17"/>
      <c r="R28" s="20"/>
      <c r="S28" s="36"/>
      <c r="T28" s="20"/>
      <c r="U28" s="20"/>
      <c r="V28" s="20"/>
    </row>
    <row r="29" spans="2:24" hidden="1">
      <c r="B29" s="16"/>
      <c r="C29" s="17"/>
      <c r="D29" s="17"/>
      <c r="E29" s="18"/>
      <c r="F29" s="19"/>
      <c r="G29" s="20"/>
      <c r="H29" s="21"/>
      <c r="I29" s="34"/>
      <c r="J29" s="35"/>
      <c r="K29" s="21"/>
      <c r="L29" s="20"/>
      <c r="M29" s="20"/>
      <c r="N29" s="36"/>
      <c r="O29" s="34"/>
      <c r="P29" s="34"/>
      <c r="Q29" s="17"/>
      <c r="R29" s="20"/>
      <c r="S29" s="36"/>
      <c r="T29" s="20"/>
      <c r="U29" s="20"/>
      <c r="V29" s="20"/>
    </row>
    <row r="30" spans="2:24" hidden="1">
      <c r="B30" s="16"/>
      <c r="C30" s="17"/>
      <c r="D30" s="17"/>
      <c r="E30" s="18"/>
      <c r="F30" s="19"/>
      <c r="G30" s="20"/>
      <c r="H30" s="21"/>
      <c r="I30" s="34"/>
      <c r="J30" s="35"/>
      <c r="K30" s="21"/>
      <c r="L30" s="20"/>
      <c r="M30" s="20"/>
      <c r="N30" s="36"/>
      <c r="O30" s="34"/>
      <c r="P30" s="34"/>
      <c r="Q30" s="17"/>
      <c r="R30" s="20"/>
      <c r="S30" s="36"/>
      <c r="T30" s="20"/>
      <c r="U30" s="20"/>
      <c r="V30" s="20"/>
    </row>
    <row r="31" spans="2:24" hidden="1">
      <c r="B31" s="16"/>
      <c r="C31" s="17"/>
      <c r="D31" s="17"/>
      <c r="E31" s="18"/>
      <c r="F31" s="19"/>
      <c r="G31" s="20"/>
      <c r="H31" s="21"/>
      <c r="I31" s="34"/>
      <c r="J31" s="35"/>
      <c r="K31" s="21"/>
      <c r="L31" s="20"/>
      <c r="M31" s="20"/>
      <c r="N31" s="36"/>
      <c r="O31" s="34"/>
      <c r="P31" s="34"/>
      <c r="Q31" s="17"/>
      <c r="R31" s="20"/>
      <c r="S31" s="36"/>
      <c r="T31" s="20"/>
      <c r="U31" s="20"/>
      <c r="V31" s="20"/>
    </row>
    <row r="32" spans="2:24" hidden="1">
      <c r="B32" s="16"/>
      <c r="C32" s="17"/>
      <c r="D32" s="17"/>
      <c r="E32" s="18"/>
      <c r="F32" s="19"/>
      <c r="G32" s="20"/>
      <c r="H32" s="21"/>
      <c r="I32" s="34"/>
      <c r="J32" s="35"/>
      <c r="K32" s="21"/>
      <c r="L32" s="20"/>
      <c r="M32" s="20"/>
      <c r="N32" s="36"/>
      <c r="O32" s="34"/>
      <c r="P32" s="34"/>
      <c r="Q32" s="17"/>
      <c r="R32" s="20"/>
      <c r="S32" s="36"/>
      <c r="T32" s="20"/>
      <c r="U32" s="20"/>
      <c r="V32" s="20"/>
    </row>
    <row r="33" spans="2:22" hidden="1">
      <c r="B33" s="16"/>
      <c r="C33" s="17"/>
      <c r="D33" s="17"/>
      <c r="E33" s="18"/>
      <c r="F33" s="19"/>
      <c r="G33" s="20"/>
      <c r="H33" s="21"/>
      <c r="I33" s="34"/>
      <c r="J33" s="35"/>
      <c r="K33" s="21"/>
      <c r="L33" s="20"/>
      <c r="M33" s="20"/>
      <c r="N33" s="36"/>
      <c r="O33" s="34"/>
      <c r="P33" s="34"/>
      <c r="Q33" s="17"/>
      <c r="R33" s="20"/>
      <c r="S33" s="36"/>
      <c r="T33" s="20"/>
      <c r="U33" s="20"/>
      <c r="V33" s="20"/>
    </row>
    <row r="34" spans="2:22" hidden="1">
      <c r="B34" s="16"/>
      <c r="C34" s="17"/>
      <c r="D34" s="17"/>
      <c r="E34" s="18"/>
      <c r="F34" s="19"/>
      <c r="G34" s="20"/>
      <c r="H34" s="21"/>
      <c r="I34" s="34"/>
      <c r="J34" s="35"/>
      <c r="K34" s="21"/>
      <c r="L34" s="20"/>
      <c r="M34" s="20"/>
      <c r="N34" s="36"/>
      <c r="O34" s="34"/>
      <c r="P34" s="34"/>
      <c r="Q34" s="17"/>
      <c r="R34" s="20"/>
      <c r="S34" s="36"/>
      <c r="T34" s="20"/>
      <c r="U34" s="20"/>
      <c r="V34" s="20"/>
    </row>
    <row r="35" spans="2:22" hidden="1">
      <c r="B35" s="16"/>
      <c r="C35" s="17"/>
      <c r="D35" s="17"/>
      <c r="E35" s="18"/>
      <c r="F35" s="19"/>
      <c r="G35" s="20"/>
      <c r="H35" s="21"/>
      <c r="I35" s="34"/>
      <c r="J35" s="35"/>
      <c r="K35" s="21"/>
      <c r="L35" s="20"/>
      <c r="M35" s="20"/>
      <c r="N35" s="36"/>
      <c r="O35" s="34"/>
      <c r="P35" s="34"/>
      <c r="Q35" s="17"/>
      <c r="R35" s="20"/>
      <c r="S35" s="36"/>
      <c r="T35" s="20"/>
      <c r="U35" s="20"/>
      <c r="V35" s="20"/>
    </row>
    <row r="36" spans="2:22" hidden="1">
      <c r="B36" s="16"/>
      <c r="C36" s="17"/>
      <c r="D36" s="17"/>
      <c r="E36" s="18"/>
      <c r="F36" s="19"/>
      <c r="G36" s="20"/>
      <c r="H36" s="21"/>
      <c r="I36" s="34"/>
      <c r="J36" s="35"/>
      <c r="K36" s="21"/>
      <c r="L36" s="20"/>
      <c r="M36" s="20"/>
      <c r="N36" s="36"/>
      <c r="O36" s="34"/>
      <c r="P36" s="34"/>
      <c r="Q36" s="17"/>
      <c r="R36" s="20"/>
      <c r="S36" s="36"/>
      <c r="T36" s="20"/>
      <c r="U36" s="20"/>
      <c r="V36" s="20"/>
    </row>
    <row r="37" spans="2:22" hidden="1">
      <c r="B37" s="16"/>
      <c r="C37" s="17"/>
      <c r="D37" s="17"/>
      <c r="E37" s="18"/>
      <c r="F37" s="19"/>
      <c r="G37" s="20"/>
      <c r="H37" s="21"/>
      <c r="I37" s="34"/>
      <c r="J37" s="35"/>
      <c r="K37" s="21"/>
      <c r="L37" s="20"/>
      <c r="M37" s="20"/>
      <c r="N37" s="36"/>
      <c r="O37" s="34"/>
      <c r="P37" s="34"/>
      <c r="Q37" s="17"/>
      <c r="R37" s="20"/>
      <c r="S37" s="36"/>
      <c r="T37" s="20"/>
      <c r="U37" s="20"/>
      <c r="V37" s="20"/>
    </row>
    <row r="38" spans="2:22" hidden="1">
      <c r="B38" s="16"/>
      <c r="C38" s="17"/>
      <c r="D38" s="17"/>
      <c r="E38" s="18"/>
      <c r="F38" s="19"/>
      <c r="G38" s="20"/>
      <c r="H38" s="21"/>
      <c r="I38" s="34"/>
      <c r="J38" s="35"/>
      <c r="K38" s="21"/>
      <c r="L38" s="20"/>
      <c r="M38" s="20"/>
      <c r="N38" s="36"/>
      <c r="O38" s="34"/>
      <c r="P38" s="34"/>
      <c r="Q38" s="17"/>
      <c r="R38" s="20"/>
      <c r="S38" s="36"/>
      <c r="T38" s="20"/>
      <c r="U38" s="20"/>
      <c r="V38" s="20"/>
    </row>
    <row r="39" spans="2:22" hidden="1">
      <c r="B39" s="16"/>
      <c r="C39" s="17"/>
      <c r="D39" s="17"/>
      <c r="E39" s="18"/>
      <c r="F39" s="19"/>
      <c r="G39" s="20"/>
      <c r="H39" s="21"/>
      <c r="I39" s="34"/>
      <c r="J39" s="35"/>
      <c r="K39" s="21"/>
      <c r="L39" s="20"/>
      <c r="M39" s="20"/>
      <c r="N39" s="36"/>
      <c r="O39" s="34"/>
      <c r="P39" s="34"/>
      <c r="Q39" s="17"/>
      <c r="R39" s="20"/>
      <c r="S39" s="36"/>
      <c r="T39" s="20"/>
      <c r="U39" s="20"/>
      <c r="V39" s="20"/>
    </row>
    <row r="40" spans="2:22" hidden="1">
      <c r="B40" s="16"/>
      <c r="C40" s="17"/>
      <c r="D40" s="17"/>
      <c r="E40" s="18"/>
      <c r="F40" s="19"/>
      <c r="G40" s="20"/>
      <c r="H40" s="21"/>
      <c r="I40" s="34"/>
      <c r="J40" s="35"/>
      <c r="K40" s="21"/>
      <c r="L40" s="20"/>
      <c r="M40" s="20"/>
      <c r="N40" s="36"/>
      <c r="O40" s="34"/>
      <c r="P40" s="34"/>
      <c r="Q40" s="17"/>
      <c r="R40" s="20"/>
      <c r="S40" s="36"/>
      <c r="T40" s="20"/>
      <c r="U40" s="20"/>
      <c r="V40" s="20"/>
    </row>
    <row r="41" spans="2:22" hidden="1">
      <c r="B41" s="16"/>
      <c r="C41" s="17"/>
      <c r="D41" s="17"/>
      <c r="E41" s="18"/>
      <c r="F41" s="19"/>
      <c r="G41" s="20"/>
      <c r="H41" s="21"/>
      <c r="I41" s="34"/>
      <c r="J41" s="35"/>
      <c r="K41" s="21"/>
      <c r="L41" s="20"/>
      <c r="M41" s="20"/>
      <c r="N41" s="36"/>
      <c r="O41" s="34"/>
      <c r="P41" s="34"/>
      <c r="Q41" s="17"/>
      <c r="R41" s="20"/>
      <c r="S41" s="36"/>
      <c r="T41" s="20"/>
      <c r="U41" s="20"/>
      <c r="V41" s="20"/>
    </row>
    <row r="42" spans="2:22" hidden="1">
      <c r="B42" s="16"/>
      <c r="C42" s="17"/>
      <c r="D42" s="17"/>
      <c r="E42" s="18"/>
      <c r="F42" s="19"/>
      <c r="G42" s="20"/>
      <c r="H42" s="21"/>
      <c r="I42" s="34"/>
      <c r="J42" s="35"/>
      <c r="K42" s="21"/>
      <c r="L42" s="20"/>
      <c r="M42" s="20"/>
      <c r="N42" s="36"/>
      <c r="O42" s="34"/>
      <c r="P42" s="34"/>
      <c r="Q42" s="17"/>
      <c r="R42" s="20"/>
      <c r="S42" s="36"/>
      <c r="T42" s="20"/>
      <c r="U42" s="20"/>
      <c r="V42" s="20"/>
    </row>
    <row r="43" spans="2:22" hidden="1">
      <c r="B43" s="16"/>
      <c r="C43" s="17"/>
      <c r="D43" s="17"/>
      <c r="E43" s="18"/>
      <c r="F43" s="19"/>
      <c r="G43" s="20"/>
      <c r="H43" s="21"/>
      <c r="I43" s="34"/>
      <c r="J43" s="35"/>
      <c r="K43" s="21"/>
      <c r="L43" s="20"/>
      <c r="M43" s="20"/>
      <c r="N43" s="36"/>
      <c r="O43" s="34"/>
      <c r="P43" s="34"/>
      <c r="Q43" s="17"/>
      <c r="R43" s="20"/>
      <c r="S43" s="36"/>
      <c r="T43" s="20"/>
      <c r="U43" s="20"/>
      <c r="V43" s="20"/>
    </row>
    <row r="44" spans="2:22" hidden="1">
      <c r="B44" s="16"/>
      <c r="C44" s="17"/>
      <c r="D44" s="17"/>
      <c r="E44" s="18"/>
      <c r="F44" s="19"/>
      <c r="G44" s="20"/>
      <c r="H44" s="21"/>
      <c r="I44" s="34"/>
      <c r="J44" s="35"/>
      <c r="K44" s="21"/>
      <c r="L44" s="20"/>
      <c r="M44" s="20"/>
      <c r="N44" s="36"/>
      <c r="O44" s="34"/>
      <c r="P44" s="34"/>
      <c r="Q44" s="17"/>
      <c r="R44" s="20"/>
      <c r="S44" s="36"/>
      <c r="T44" s="20"/>
      <c r="U44" s="20"/>
      <c r="V44" s="20"/>
    </row>
    <row r="45" spans="2:22" hidden="1">
      <c r="B45" s="16"/>
      <c r="C45" s="17"/>
      <c r="D45" s="17"/>
      <c r="E45" s="18"/>
      <c r="F45" s="19"/>
      <c r="G45" s="20"/>
      <c r="H45" s="21"/>
      <c r="I45" s="34"/>
      <c r="J45" s="35"/>
      <c r="K45" s="21"/>
      <c r="L45" s="20"/>
      <c r="M45" s="20"/>
      <c r="N45" s="36"/>
      <c r="O45" s="34"/>
      <c r="P45" s="34"/>
      <c r="Q45" s="17"/>
      <c r="R45" s="20"/>
      <c r="S45" s="36"/>
      <c r="T45" s="20"/>
      <c r="U45" s="20"/>
      <c r="V45" s="20"/>
    </row>
    <row r="46" spans="2:22" hidden="1">
      <c r="B46" s="16"/>
      <c r="C46" s="17"/>
      <c r="D46" s="17"/>
      <c r="E46" s="18"/>
      <c r="F46" s="19"/>
      <c r="G46" s="20"/>
      <c r="H46" s="21"/>
      <c r="I46" s="34"/>
      <c r="J46" s="35"/>
      <c r="K46" s="21"/>
      <c r="L46" s="20"/>
      <c r="M46" s="20"/>
      <c r="N46" s="36"/>
      <c r="O46" s="34"/>
      <c r="P46" s="34"/>
      <c r="Q46" s="17"/>
      <c r="R46" s="20"/>
      <c r="S46" s="36"/>
      <c r="T46" s="20"/>
      <c r="U46" s="20"/>
      <c r="V46" s="20"/>
    </row>
    <row r="47" spans="2:22" hidden="1">
      <c r="B47" s="16"/>
      <c r="C47" s="17"/>
      <c r="D47" s="17"/>
      <c r="E47" s="18"/>
      <c r="F47" s="19"/>
      <c r="G47" s="20"/>
      <c r="H47" s="21"/>
      <c r="I47" s="34"/>
      <c r="J47" s="35"/>
      <c r="K47" s="21"/>
      <c r="L47" s="20"/>
      <c r="M47" s="20"/>
      <c r="N47" s="36"/>
      <c r="O47" s="34"/>
      <c r="P47" s="34"/>
      <c r="Q47" s="17"/>
      <c r="R47" s="20"/>
      <c r="S47" s="36"/>
      <c r="T47" s="20"/>
      <c r="U47" s="20"/>
      <c r="V47" s="20"/>
    </row>
    <row r="48" spans="2:22" hidden="1">
      <c r="B48" s="16"/>
      <c r="C48" s="17"/>
      <c r="D48" s="17"/>
      <c r="E48" s="18"/>
      <c r="F48" s="19"/>
      <c r="G48" s="20"/>
      <c r="H48" s="21"/>
      <c r="I48" s="34"/>
      <c r="J48" s="35"/>
      <c r="K48" s="21"/>
      <c r="L48" s="20"/>
      <c r="M48" s="20"/>
      <c r="N48" s="36"/>
      <c r="O48" s="34"/>
      <c r="P48" s="34"/>
      <c r="Q48" s="17"/>
      <c r="R48" s="20"/>
      <c r="S48" s="36"/>
      <c r="T48" s="20"/>
      <c r="U48" s="20"/>
      <c r="V48" s="20"/>
    </row>
    <row r="49" spans="2:22" hidden="1">
      <c r="B49" s="220"/>
      <c r="C49" s="221"/>
      <c r="D49" s="221"/>
      <c r="E49" s="18"/>
      <c r="F49" s="19"/>
      <c r="G49" s="20"/>
      <c r="H49" s="21"/>
      <c r="I49" s="34"/>
      <c r="J49" s="35"/>
      <c r="K49" s="21"/>
      <c r="L49" s="20"/>
      <c r="M49" s="20"/>
      <c r="N49" s="36"/>
      <c r="O49" s="34"/>
      <c r="P49" s="34"/>
      <c r="Q49" s="17"/>
      <c r="R49" s="20"/>
      <c r="S49" s="36"/>
      <c r="T49" s="20"/>
      <c r="U49" s="20"/>
      <c r="V49" s="20"/>
    </row>
    <row r="50" spans="2:22" hidden="1">
      <c r="B50" s="220"/>
      <c r="C50" s="221"/>
      <c r="D50" s="221"/>
      <c r="E50" s="18"/>
      <c r="F50" s="19"/>
      <c r="G50" s="20"/>
      <c r="H50" s="21"/>
      <c r="I50" s="34"/>
      <c r="J50" s="35"/>
      <c r="K50" s="21"/>
      <c r="L50" s="20"/>
      <c r="M50" s="20"/>
      <c r="N50" s="36"/>
      <c r="O50" s="34"/>
      <c r="P50" s="34"/>
      <c r="Q50" s="17"/>
      <c r="R50" s="20"/>
      <c r="S50" s="36"/>
      <c r="T50" s="20"/>
      <c r="U50" s="20"/>
      <c r="V50" s="20"/>
    </row>
    <row r="51" spans="2:22" hidden="1">
      <c r="B51" s="220"/>
      <c r="C51" s="221"/>
      <c r="D51" s="221"/>
      <c r="E51" s="18"/>
      <c r="F51" s="19"/>
      <c r="G51" s="20"/>
      <c r="H51" s="21"/>
      <c r="I51" s="34"/>
      <c r="J51" s="35"/>
      <c r="K51" s="21"/>
      <c r="L51" s="20"/>
      <c r="M51" s="20"/>
      <c r="N51" s="36"/>
      <c r="O51" s="34"/>
      <c r="P51" s="34"/>
      <c r="Q51" s="17"/>
      <c r="R51" s="20"/>
      <c r="S51" s="36"/>
      <c r="T51" s="20"/>
      <c r="U51" s="20"/>
      <c r="V51" s="20"/>
    </row>
    <row r="52" spans="2:22" hidden="1">
      <c r="B52" s="220"/>
      <c r="C52" s="221"/>
      <c r="D52" s="221"/>
      <c r="E52" s="18"/>
      <c r="F52" s="19"/>
      <c r="G52" s="20"/>
      <c r="H52" s="21"/>
      <c r="I52" s="34"/>
      <c r="J52" s="35"/>
      <c r="K52" s="21"/>
      <c r="L52" s="20"/>
      <c r="M52" s="20"/>
      <c r="N52" s="36"/>
      <c r="O52" s="34"/>
      <c r="P52" s="34"/>
      <c r="Q52" s="17"/>
      <c r="R52" s="20"/>
      <c r="S52" s="36"/>
      <c r="T52" s="20"/>
      <c r="U52" s="20"/>
      <c r="V52" s="20"/>
    </row>
    <row r="53" spans="2:22" hidden="1">
      <c r="B53" s="220"/>
      <c r="C53" s="221"/>
      <c r="D53" s="221"/>
      <c r="E53" s="18"/>
      <c r="F53" s="19"/>
      <c r="G53" s="20"/>
      <c r="H53" s="21"/>
      <c r="I53" s="34"/>
      <c r="J53" s="35"/>
      <c r="K53" s="21"/>
      <c r="L53" s="20"/>
      <c r="M53" s="20"/>
      <c r="N53" s="36"/>
      <c r="O53" s="34"/>
      <c r="P53" s="34"/>
      <c r="Q53" s="17"/>
      <c r="R53" s="20"/>
      <c r="S53" s="36"/>
      <c r="T53" s="20"/>
      <c r="U53" s="20"/>
      <c r="V53" s="20"/>
    </row>
    <row r="54" spans="2:22" hidden="1">
      <c r="B54" s="220"/>
      <c r="C54" s="221"/>
      <c r="D54" s="221"/>
      <c r="E54" s="18"/>
      <c r="F54" s="19"/>
      <c r="G54" s="20"/>
      <c r="H54" s="21"/>
      <c r="I54" s="34"/>
      <c r="J54" s="35"/>
      <c r="K54" s="21"/>
      <c r="L54" s="20"/>
      <c r="M54" s="20"/>
      <c r="N54" s="36"/>
      <c r="O54" s="34"/>
      <c r="P54" s="34"/>
      <c r="Q54" s="17"/>
      <c r="R54" s="20"/>
      <c r="S54" s="36"/>
      <c r="T54" s="20"/>
      <c r="U54" s="20"/>
      <c r="V54" s="20"/>
    </row>
    <row r="55" spans="2:22" hidden="1">
      <c r="B55" s="220"/>
      <c r="C55" s="221"/>
      <c r="D55" s="221"/>
      <c r="E55" s="18"/>
      <c r="F55" s="19"/>
      <c r="G55" s="20"/>
      <c r="H55" s="21"/>
      <c r="I55" s="34"/>
      <c r="J55" s="35"/>
      <c r="K55" s="21"/>
      <c r="L55" s="20"/>
      <c r="M55" s="20"/>
      <c r="N55" s="36"/>
      <c r="O55" s="34"/>
      <c r="P55" s="34"/>
      <c r="Q55" s="17"/>
      <c r="R55" s="20"/>
      <c r="S55" s="36"/>
      <c r="T55" s="20"/>
      <c r="U55" s="20"/>
      <c r="V55" s="20"/>
    </row>
    <row r="56" spans="2:22" hidden="1">
      <c r="B56" s="220"/>
      <c r="C56" s="221"/>
      <c r="D56" s="221"/>
      <c r="E56" s="18"/>
      <c r="F56" s="19"/>
      <c r="G56" s="20"/>
      <c r="H56" s="21"/>
      <c r="I56" s="34"/>
      <c r="J56" s="35"/>
      <c r="K56" s="21"/>
      <c r="L56" s="20"/>
      <c r="M56" s="20"/>
      <c r="N56" s="36"/>
      <c r="O56" s="34"/>
      <c r="P56" s="34"/>
      <c r="Q56" s="17"/>
      <c r="R56" s="20"/>
      <c r="S56" s="36"/>
      <c r="T56" s="20"/>
      <c r="U56" s="20"/>
      <c r="V56" s="20"/>
    </row>
    <row r="57" spans="2:22" hidden="1">
      <c r="B57" s="220"/>
      <c r="C57" s="221"/>
      <c r="D57" s="221"/>
      <c r="E57" s="18"/>
      <c r="F57" s="19"/>
      <c r="G57" s="20"/>
      <c r="H57" s="21"/>
      <c r="I57" s="34"/>
      <c r="J57" s="35"/>
      <c r="K57" s="21"/>
      <c r="L57" s="20"/>
      <c r="M57" s="20"/>
      <c r="N57" s="36"/>
      <c r="O57" s="34"/>
      <c r="P57" s="34"/>
      <c r="Q57" s="17"/>
      <c r="R57" s="20"/>
      <c r="S57" s="36"/>
      <c r="T57" s="20"/>
      <c r="U57" s="20"/>
      <c r="V57" s="20"/>
    </row>
    <row r="58" spans="2:22" hidden="1">
      <c r="B58" s="220"/>
      <c r="C58" s="221"/>
      <c r="D58" s="221"/>
      <c r="E58" s="18"/>
      <c r="F58" s="19"/>
      <c r="G58" s="20"/>
      <c r="H58" s="21"/>
      <c r="I58" s="34"/>
      <c r="J58" s="35"/>
      <c r="K58" s="21"/>
      <c r="L58" s="20"/>
      <c r="M58" s="20"/>
      <c r="N58" s="36"/>
      <c r="O58" s="34"/>
      <c r="P58" s="34"/>
      <c r="Q58" s="17"/>
      <c r="R58" s="20"/>
      <c r="S58" s="36"/>
      <c r="T58" s="20"/>
      <c r="U58" s="20"/>
      <c r="V58" s="20"/>
    </row>
    <row r="59" spans="2:22" hidden="1">
      <c r="B59" s="220"/>
      <c r="C59" s="221"/>
      <c r="D59" s="221"/>
      <c r="E59" s="18"/>
      <c r="F59" s="19"/>
      <c r="G59" s="20"/>
      <c r="H59" s="21"/>
      <c r="I59" s="34"/>
      <c r="J59" s="35"/>
      <c r="K59" s="21"/>
      <c r="L59" s="20"/>
      <c r="M59" s="20"/>
      <c r="N59" s="36"/>
      <c r="O59" s="34"/>
      <c r="P59" s="34"/>
      <c r="Q59" s="17"/>
      <c r="R59" s="20"/>
      <c r="S59" s="36"/>
      <c r="T59" s="20"/>
      <c r="U59" s="20"/>
      <c r="V59" s="20"/>
    </row>
    <row r="60" spans="2:22" hidden="1">
      <c r="B60" s="220"/>
      <c r="C60" s="221"/>
      <c r="D60" s="221"/>
      <c r="E60" s="18"/>
      <c r="F60" s="19"/>
      <c r="G60" s="20"/>
      <c r="H60" s="21"/>
      <c r="I60" s="34"/>
      <c r="J60" s="35"/>
      <c r="K60" s="21"/>
      <c r="L60" s="20"/>
      <c r="M60" s="20"/>
      <c r="N60" s="36"/>
      <c r="O60" s="34"/>
      <c r="P60" s="34"/>
      <c r="Q60" s="17"/>
      <c r="R60" s="20"/>
      <c r="S60" s="36"/>
      <c r="T60" s="20"/>
      <c r="U60" s="20"/>
      <c r="V60" s="20"/>
    </row>
    <row r="61" spans="2:22" hidden="1">
      <c r="B61" s="220"/>
      <c r="C61" s="221"/>
      <c r="D61" s="221"/>
      <c r="E61" s="18"/>
      <c r="F61" s="19"/>
      <c r="G61" s="20"/>
      <c r="H61" s="21"/>
      <c r="I61" s="34"/>
      <c r="J61" s="35"/>
      <c r="K61" s="21"/>
      <c r="L61" s="20"/>
      <c r="M61" s="20"/>
      <c r="N61" s="36"/>
      <c r="O61" s="34"/>
      <c r="P61" s="34"/>
      <c r="Q61" s="17"/>
      <c r="R61" s="20"/>
      <c r="S61" s="36"/>
      <c r="T61" s="20"/>
      <c r="U61" s="20"/>
      <c r="V61" s="20"/>
    </row>
    <row r="62" spans="2:22" hidden="1">
      <c r="B62" s="220"/>
      <c r="C62" s="221"/>
      <c r="D62" s="221"/>
      <c r="E62" s="18"/>
      <c r="F62" s="19"/>
      <c r="G62" s="20"/>
      <c r="H62" s="21"/>
      <c r="I62" s="34"/>
      <c r="J62" s="35"/>
      <c r="K62" s="21"/>
      <c r="L62" s="20"/>
      <c r="M62" s="20"/>
      <c r="N62" s="36"/>
      <c r="O62" s="34"/>
      <c r="P62" s="34"/>
      <c r="Q62" s="17"/>
      <c r="R62" s="20"/>
      <c r="S62" s="36"/>
      <c r="T62" s="20"/>
      <c r="U62" s="20"/>
      <c r="V62" s="20"/>
    </row>
    <row r="63" spans="2:22" hidden="1">
      <c r="B63" s="220"/>
      <c r="C63" s="221"/>
      <c r="D63" s="221"/>
      <c r="E63" s="18"/>
      <c r="F63" s="19"/>
      <c r="G63" s="20"/>
      <c r="H63" s="21"/>
      <c r="I63" s="34"/>
      <c r="J63" s="35"/>
      <c r="K63" s="21"/>
      <c r="L63" s="20"/>
      <c r="M63" s="20"/>
      <c r="N63" s="36"/>
      <c r="O63" s="34"/>
      <c r="P63" s="34"/>
      <c r="Q63" s="17"/>
      <c r="R63" s="20"/>
      <c r="S63" s="36"/>
      <c r="T63" s="20"/>
      <c r="U63" s="20"/>
      <c r="V63" s="20"/>
    </row>
    <row r="64" spans="2:22" ht="15.6" hidden="1" customHeight="1">
      <c r="B64" s="22"/>
      <c r="C64" s="23"/>
      <c r="D64" s="23"/>
      <c r="E64" s="24"/>
      <c r="F64" s="25"/>
      <c r="G64" s="25"/>
      <c r="H64" s="25"/>
      <c r="I64" s="25"/>
      <c r="J64" s="25"/>
      <c r="K64" s="25"/>
      <c r="L64" s="25"/>
      <c r="M64" s="25"/>
      <c r="N64" s="321" t="s">
        <v>1258</v>
      </c>
      <c r="O64" s="321"/>
      <c r="P64" s="25"/>
      <c r="Q64" s="25"/>
      <c r="R64" s="25"/>
      <c r="S64" s="25"/>
      <c r="T64" s="25"/>
      <c r="U64" s="25"/>
      <c r="V64" s="42"/>
    </row>
    <row r="65" spans="2:24" hidden="1">
      <c r="B65" s="16" cm="1">
        <f t="array" ref="B65:X102">_xlfn._xlws.FILTER(SIP[#All],SIP[[#All],[Investor ID]]=AB2,"No Data Found")</f>
        <v>2023</v>
      </c>
      <c r="C65" s="17">
        <v>4</v>
      </c>
      <c r="D65" s="17">
        <v>5</v>
      </c>
      <c r="E65" s="26">
        <v>45021</v>
      </c>
      <c r="F65" s="27" t="str">
        <v>SRIJON GHOSH</v>
      </c>
      <c r="G65" s="28" t="str">
        <v>A00424</v>
      </c>
      <c r="H65" s="29">
        <v>1</v>
      </c>
      <c r="I65" s="37" t="str">
        <v>1A00424</v>
      </c>
      <c r="J65" s="38" t="str">
        <v>BUY</v>
      </c>
      <c r="K65" s="29" t="str">
        <v>B</v>
      </c>
      <c r="L65" s="20">
        <v>15000</v>
      </c>
      <c r="M65" s="20">
        <v>0</v>
      </c>
      <c r="N65" s="36">
        <v>10.087424344317418</v>
      </c>
      <c r="O65" s="34">
        <v>1487</v>
      </c>
      <c r="P65" s="34">
        <v>1487</v>
      </c>
      <c r="Q65" s="17">
        <v>14870</v>
      </c>
      <c r="R65" s="20">
        <v>130</v>
      </c>
      <c r="S65" s="36">
        <v>10.087424344317418</v>
      </c>
      <c r="T65" s="20">
        <v>14.224</v>
      </c>
      <c r="U65" s="20">
        <v>0</v>
      </c>
      <c r="V65" s="20">
        <v>0</v>
      </c>
      <c r="W65" s="2">
        <v>0</v>
      </c>
      <c r="X65" s="2">
        <v>0</v>
      </c>
    </row>
    <row r="66" spans="2:24" hidden="1">
      <c r="B66" s="16">
        <v>2023</v>
      </c>
      <c r="C66" s="17">
        <v>4</v>
      </c>
      <c r="D66" s="17">
        <v>26</v>
      </c>
      <c r="E66" s="18">
        <v>45042</v>
      </c>
      <c r="F66" s="19" t="str">
        <v>SRIJON GHOSH</v>
      </c>
      <c r="G66" s="20" t="str">
        <v>A00424</v>
      </c>
      <c r="H66" s="21">
        <v>2</v>
      </c>
      <c r="I66" s="34" t="str">
        <v>2A00424</v>
      </c>
      <c r="J66" s="35" t="str">
        <v>BUY</v>
      </c>
      <c r="K66" s="21" t="str">
        <v>B</v>
      </c>
      <c r="L66" s="20">
        <v>15000</v>
      </c>
      <c r="M66" s="20">
        <v>0</v>
      </c>
      <c r="N66" s="36">
        <v>10.107816711590296</v>
      </c>
      <c r="O66" s="34">
        <v>1484</v>
      </c>
      <c r="P66" s="34">
        <v>2971</v>
      </c>
      <c r="Q66" s="17">
        <v>14840</v>
      </c>
      <c r="R66" s="20">
        <v>160</v>
      </c>
      <c r="S66" s="36">
        <v>10.097610232245035</v>
      </c>
      <c r="T66" s="20">
        <v>14.224</v>
      </c>
      <c r="U66" s="20">
        <v>0</v>
      </c>
      <c r="V66" s="20">
        <v>0</v>
      </c>
      <c r="W66" s="2">
        <v>0</v>
      </c>
      <c r="X66" s="2">
        <v>0</v>
      </c>
    </row>
    <row r="67" spans="2:24" hidden="1">
      <c r="B67" s="16">
        <v>2023</v>
      </c>
      <c r="C67" s="17">
        <v>5</v>
      </c>
      <c r="D67" s="17">
        <v>26</v>
      </c>
      <c r="E67" s="18">
        <v>45072</v>
      </c>
      <c r="F67" s="19" t="str">
        <v>SRIJON GHOSH</v>
      </c>
      <c r="G67" s="20" t="str">
        <v>A00424</v>
      </c>
      <c r="H67" s="21">
        <v>3</v>
      </c>
      <c r="I67" s="34" t="str">
        <v>3A00424</v>
      </c>
      <c r="J67" s="35" t="str">
        <v>BUY</v>
      </c>
      <c r="K67" s="21" t="str">
        <v>B</v>
      </c>
      <c r="L67" s="20">
        <v>15000</v>
      </c>
      <c r="M67" s="20">
        <v>0</v>
      </c>
      <c r="N67" s="36">
        <v>10.169491525423728</v>
      </c>
      <c r="O67" s="34">
        <v>1475</v>
      </c>
      <c r="P67" s="34">
        <v>4446</v>
      </c>
      <c r="Q67" s="17">
        <v>14750</v>
      </c>
      <c r="R67" s="20">
        <v>250</v>
      </c>
      <c r="S67" s="36">
        <v>10.121457489878543</v>
      </c>
      <c r="T67" s="20">
        <v>14.224</v>
      </c>
      <c r="U67" s="20">
        <v>0</v>
      </c>
      <c r="V67" s="20">
        <v>0</v>
      </c>
      <c r="W67" s="2">
        <v>0</v>
      </c>
      <c r="X67" s="2">
        <v>0</v>
      </c>
    </row>
    <row r="68" spans="2:24" hidden="1">
      <c r="B68" s="16">
        <v>2023</v>
      </c>
      <c r="C68" s="17">
        <v>6</v>
      </c>
      <c r="D68" s="17">
        <v>26</v>
      </c>
      <c r="E68" s="18">
        <v>45103</v>
      </c>
      <c r="F68" s="19" t="str">
        <v>SRIJON GHOSH</v>
      </c>
      <c r="G68" s="20" t="str">
        <v>A00424</v>
      </c>
      <c r="H68" s="21">
        <v>4</v>
      </c>
      <c r="I68" s="34" t="str">
        <v>4A00424</v>
      </c>
      <c r="J68" s="35" t="str">
        <v>BUY</v>
      </c>
      <c r="K68" s="21" t="str">
        <v>B</v>
      </c>
      <c r="L68" s="20">
        <v>50000</v>
      </c>
      <c r="M68" s="20">
        <v>0</v>
      </c>
      <c r="N68" s="36">
        <v>10.25430680885972</v>
      </c>
      <c r="O68" s="34">
        <v>4876</v>
      </c>
      <c r="P68" s="34">
        <v>9322</v>
      </c>
      <c r="Q68" s="17">
        <v>48760</v>
      </c>
      <c r="R68" s="20">
        <v>1240</v>
      </c>
      <c r="S68" s="36">
        <v>10.190946148895087</v>
      </c>
      <c r="T68" s="20">
        <v>14.224</v>
      </c>
      <c r="U68" s="20">
        <v>0</v>
      </c>
      <c r="V68" s="20">
        <v>0</v>
      </c>
      <c r="W68" s="2">
        <v>0</v>
      </c>
      <c r="X68" s="2">
        <v>0</v>
      </c>
    </row>
    <row r="69" spans="2:24" hidden="1">
      <c r="B69" s="16">
        <v>2023</v>
      </c>
      <c r="C69" s="17">
        <v>7</v>
      </c>
      <c r="D69" s="17">
        <v>26</v>
      </c>
      <c r="E69" s="18">
        <v>45133</v>
      </c>
      <c r="F69" s="19" t="str">
        <v>SRIJON GHOSH</v>
      </c>
      <c r="G69" s="20" t="str">
        <v>A00424</v>
      </c>
      <c r="H69" s="21">
        <v>5</v>
      </c>
      <c r="I69" s="34" t="str">
        <v>5A00424</v>
      </c>
      <c r="J69" s="35" t="str">
        <v>BUY</v>
      </c>
      <c r="K69" s="21" t="str">
        <v>B</v>
      </c>
      <c r="L69" s="20">
        <v>15000</v>
      </c>
      <c r="M69" s="20">
        <v>0</v>
      </c>
      <c r="N69" s="36">
        <v>10.351966873706004</v>
      </c>
      <c r="O69" s="34">
        <v>1449</v>
      </c>
      <c r="P69" s="34">
        <v>10771</v>
      </c>
      <c r="Q69" s="17">
        <v>14490</v>
      </c>
      <c r="R69" s="20">
        <v>510</v>
      </c>
      <c r="S69" s="36">
        <v>10.212607928697429</v>
      </c>
      <c r="T69" s="20">
        <v>14.224</v>
      </c>
      <c r="U69" s="20">
        <v>0</v>
      </c>
      <c r="V69" s="20">
        <v>0</v>
      </c>
      <c r="W69" s="2">
        <v>0</v>
      </c>
      <c r="X69" s="2">
        <v>0</v>
      </c>
    </row>
    <row r="70" spans="2:24" hidden="1">
      <c r="B70" s="16">
        <v>2023</v>
      </c>
      <c r="C70" s="17">
        <v>8</v>
      </c>
      <c r="D70" s="17">
        <v>26</v>
      </c>
      <c r="E70" s="18">
        <v>45164</v>
      </c>
      <c r="F70" s="19" t="str">
        <v>SRIJON GHOSH</v>
      </c>
      <c r="G70" s="20" t="str">
        <v>A00424</v>
      </c>
      <c r="H70" s="21">
        <v>6</v>
      </c>
      <c r="I70" s="34" t="str">
        <v>6A00424</v>
      </c>
      <c r="J70" s="35" t="str">
        <v>BUY</v>
      </c>
      <c r="K70" s="21" t="str">
        <v>B</v>
      </c>
      <c r="L70" s="20">
        <v>15000</v>
      </c>
      <c r="M70" s="20">
        <v>0</v>
      </c>
      <c r="N70" s="36">
        <v>10.423905489923557</v>
      </c>
      <c r="O70" s="34">
        <v>1439</v>
      </c>
      <c r="P70" s="34">
        <v>12210</v>
      </c>
      <c r="Q70" s="17">
        <v>14390</v>
      </c>
      <c r="R70" s="20">
        <v>610</v>
      </c>
      <c r="S70" s="36">
        <v>10.237510237510238</v>
      </c>
      <c r="T70" s="20">
        <v>14.224</v>
      </c>
      <c r="U70" s="20">
        <v>0</v>
      </c>
      <c r="V70" s="20">
        <v>0</v>
      </c>
      <c r="W70" s="2">
        <v>0</v>
      </c>
      <c r="X70" s="2">
        <v>0</v>
      </c>
    </row>
    <row r="71" spans="2:24" hidden="1">
      <c r="B71" s="16">
        <v>2023</v>
      </c>
      <c r="C71" s="17">
        <v>8</v>
      </c>
      <c r="D71" s="17">
        <v>26</v>
      </c>
      <c r="E71" s="18">
        <v>45164</v>
      </c>
      <c r="F71" s="19" t="str">
        <v>SRIJON GHOSH</v>
      </c>
      <c r="G71" s="20" t="str">
        <v>A00424</v>
      </c>
      <c r="H71" s="21">
        <v>7</v>
      </c>
      <c r="I71" s="34" t="str">
        <v>7A00424</v>
      </c>
      <c r="J71" s="35" t="str">
        <v>BUY</v>
      </c>
      <c r="K71" s="21" t="str">
        <v>B</v>
      </c>
      <c r="L71" s="20">
        <v>5000</v>
      </c>
      <c r="M71" s="20">
        <v>0</v>
      </c>
      <c r="N71" s="36">
        <v>10.416666666666666</v>
      </c>
      <c r="O71" s="34">
        <v>480</v>
      </c>
      <c r="P71" s="34">
        <v>12690</v>
      </c>
      <c r="Q71" s="17">
        <v>4800</v>
      </c>
      <c r="R71" s="20">
        <v>200</v>
      </c>
      <c r="S71" s="36">
        <v>10.244286840031521</v>
      </c>
      <c r="T71" s="20">
        <v>14.224</v>
      </c>
      <c r="U71" s="20">
        <v>0</v>
      </c>
      <c r="V71" s="20">
        <v>0</v>
      </c>
      <c r="W71" s="2">
        <v>0</v>
      </c>
      <c r="X71" s="2">
        <v>0</v>
      </c>
    </row>
    <row r="72" spans="2:24" hidden="1">
      <c r="B72" s="16">
        <v>2023</v>
      </c>
      <c r="C72" s="17">
        <v>8</v>
      </c>
      <c r="D72" s="17">
        <v>28</v>
      </c>
      <c r="E72" s="18">
        <v>45166</v>
      </c>
      <c r="F72" s="19" t="str">
        <v>SRIJON GHOSH</v>
      </c>
      <c r="G72" s="20" t="str">
        <v>A00424</v>
      </c>
      <c r="H72" s="21">
        <v>8</v>
      </c>
      <c r="I72" s="34" t="str">
        <v>8A00424</v>
      </c>
      <c r="J72" s="35" t="str">
        <v>SELL</v>
      </c>
      <c r="K72" s="21" t="str">
        <v>S</v>
      </c>
      <c r="L72" s="20">
        <v>-5000</v>
      </c>
      <c r="M72" s="20">
        <v>0</v>
      </c>
      <c r="N72" s="36">
        <v>10.416666666666666</v>
      </c>
      <c r="O72" s="34">
        <v>-480</v>
      </c>
      <c r="P72" s="34">
        <v>12210</v>
      </c>
      <c r="Q72" s="17">
        <v>-4800</v>
      </c>
      <c r="R72" s="20">
        <v>-200</v>
      </c>
      <c r="S72" s="36">
        <v>10.244286840031521</v>
      </c>
      <c r="T72" s="20">
        <v>14.224</v>
      </c>
      <c r="U72" s="20">
        <v>82.742316784869843</v>
      </c>
      <c r="V72" s="20">
        <v>4917.2576832151299</v>
      </c>
      <c r="W72" s="2">
        <v>0</v>
      </c>
      <c r="X72" s="2">
        <v>0</v>
      </c>
    </row>
    <row r="73" spans="2:24" hidden="1">
      <c r="B73" s="16">
        <v>2023</v>
      </c>
      <c r="C73" s="17">
        <v>8</v>
      </c>
      <c r="D73" s="17">
        <v>30</v>
      </c>
      <c r="E73" s="18">
        <v>45168</v>
      </c>
      <c r="F73" s="19" t="str">
        <v>SRIJON GHOSH</v>
      </c>
      <c r="G73" s="20" t="str">
        <v>A00424</v>
      </c>
      <c r="H73" s="21">
        <v>9</v>
      </c>
      <c r="I73" s="34" t="str">
        <v>9A00424</v>
      </c>
      <c r="J73" s="35" t="str">
        <v>SELL</v>
      </c>
      <c r="K73" s="21" t="str">
        <v>S</v>
      </c>
      <c r="L73" s="20">
        <v>-5000</v>
      </c>
      <c r="M73" s="20">
        <v>0</v>
      </c>
      <c r="N73" s="36">
        <v>10.416666666666666</v>
      </c>
      <c r="O73" s="34">
        <v>-480</v>
      </c>
      <c r="P73" s="34">
        <v>11730</v>
      </c>
      <c r="Q73" s="17">
        <v>-4800</v>
      </c>
      <c r="R73" s="20">
        <v>-200</v>
      </c>
      <c r="S73" s="36">
        <v>10.244286840031521</v>
      </c>
      <c r="T73" s="20">
        <v>14.224</v>
      </c>
      <c r="U73" s="20">
        <v>82.742316784869843</v>
      </c>
      <c r="V73" s="20">
        <v>4917.2576832151299</v>
      </c>
      <c r="W73" s="2">
        <v>0</v>
      </c>
      <c r="X73" s="2">
        <v>0</v>
      </c>
    </row>
    <row r="74" spans="2:24" hidden="1">
      <c r="B74" s="16">
        <v>2023</v>
      </c>
      <c r="C74" s="17">
        <v>9</v>
      </c>
      <c r="D74" s="17">
        <v>26</v>
      </c>
      <c r="E74" s="18">
        <v>45195</v>
      </c>
      <c r="F74" s="19" t="str">
        <v>SRIJON GHOSH</v>
      </c>
      <c r="G74" s="20" t="str">
        <v>A00424</v>
      </c>
      <c r="H74" s="21">
        <v>10</v>
      </c>
      <c r="I74" s="34" t="str">
        <v>10A00424</v>
      </c>
      <c r="J74" s="35" t="str">
        <v>BUY</v>
      </c>
      <c r="K74" s="21" t="str">
        <v>B</v>
      </c>
      <c r="L74" s="20">
        <v>15000</v>
      </c>
      <c r="M74" s="20">
        <v>0</v>
      </c>
      <c r="N74" s="36">
        <v>10.482180293501049</v>
      </c>
      <c r="O74" s="34">
        <v>1431</v>
      </c>
      <c r="P74" s="34">
        <v>13161</v>
      </c>
      <c r="Q74" s="17">
        <v>14310</v>
      </c>
      <c r="R74" s="20">
        <v>690</v>
      </c>
      <c r="S74" s="36">
        <v>10.270153076025359</v>
      </c>
      <c r="T74" s="20">
        <v>14.224</v>
      </c>
      <c r="U74" s="20">
        <v>0</v>
      </c>
      <c r="V74" s="20">
        <v>0</v>
      </c>
      <c r="W74" s="2">
        <v>0</v>
      </c>
      <c r="X74" s="2">
        <v>0</v>
      </c>
    </row>
    <row r="75" spans="2:24" hidden="1">
      <c r="B75" s="16">
        <v>2023</v>
      </c>
      <c r="C75" s="17">
        <v>9</v>
      </c>
      <c r="D75" s="17">
        <v>26</v>
      </c>
      <c r="E75" s="18">
        <v>45195</v>
      </c>
      <c r="F75" s="19" t="str">
        <v>SRIJON GHOSH</v>
      </c>
      <c r="G75" s="20" t="str">
        <v>A00424</v>
      </c>
      <c r="H75" s="21">
        <v>11</v>
      </c>
      <c r="I75" s="34" t="str">
        <v>11A00424</v>
      </c>
      <c r="J75" s="35" t="str">
        <v>BUY</v>
      </c>
      <c r="K75" s="21" t="str">
        <v>B</v>
      </c>
      <c r="L75" s="20">
        <v>5000</v>
      </c>
      <c r="M75" s="20">
        <v>0</v>
      </c>
      <c r="N75" s="36">
        <v>10.482180293501049</v>
      </c>
      <c r="O75" s="34">
        <v>477</v>
      </c>
      <c r="P75" s="34">
        <v>13638</v>
      </c>
      <c r="Q75" s="17">
        <v>4770</v>
      </c>
      <c r="R75" s="20">
        <v>230</v>
      </c>
      <c r="S75" s="36">
        <v>10.277568898193998</v>
      </c>
      <c r="T75" s="20">
        <v>14.224</v>
      </c>
      <c r="U75" s="20">
        <v>0</v>
      </c>
      <c r="V75" s="20">
        <v>0</v>
      </c>
      <c r="W75" s="2">
        <v>0</v>
      </c>
      <c r="X75" s="2">
        <v>0</v>
      </c>
    </row>
    <row r="76" spans="2:24" hidden="1">
      <c r="B76" s="16">
        <v>2023</v>
      </c>
      <c r="C76" s="17">
        <v>10</v>
      </c>
      <c r="D76" s="17">
        <v>2</v>
      </c>
      <c r="E76" s="18">
        <v>45201</v>
      </c>
      <c r="F76" s="19" t="str">
        <v>SRIJON GHOSH</v>
      </c>
      <c r="G76" s="20" t="str">
        <v>A00424</v>
      </c>
      <c r="H76" s="21">
        <v>12</v>
      </c>
      <c r="I76" s="34" t="str">
        <v>12A00424</v>
      </c>
      <c r="J76" s="35" t="str">
        <v>SELL</v>
      </c>
      <c r="K76" s="21" t="str">
        <v>S</v>
      </c>
      <c r="L76" s="20">
        <v>-40000</v>
      </c>
      <c r="M76" s="20">
        <v>0</v>
      </c>
      <c r="N76" s="36">
        <v>10.498687664041995</v>
      </c>
      <c r="O76" s="34">
        <v>-3810</v>
      </c>
      <c r="P76" s="34">
        <v>9828</v>
      </c>
      <c r="Q76" s="17">
        <v>-38100</v>
      </c>
      <c r="R76" s="20">
        <v>-1900</v>
      </c>
      <c r="S76" s="36">
        <v>10.277568898193998</v>
      </c>
      <c r="T76" s="20">
        <v>14.224</v>
      </c>
      <c r="U76" s="20">
        <v>842.46249788086925</v>
      </c>
      <c r="V76" s="20">
        <v>39157.537502119128</v>
      </c>
      <c r="W76" s="2">
        <v>0</v>
      </c>
      <c r="X76" s="2">
        <v>0</v>
      </c>
    </row>
    <row r="77" spans="2:24" hidden="1">
      <c r="B77" s="16">
        <v>2023</v>
      </c>
      <c r="C77" s="17">
        <v>10</v>
      </c>
      <c r="D77" s="17">
        <v>3</v>
      </c>
      <c r="E77" s="18">
        <v>45202</v>
      </c>
      <c r="F77" s="19" t="str">
        <v>SRIJON GHOSH</v>
      </c>
      <c r="G77" s="20" t="str">
        <v>A00424</v>
      </c>
      <c r="H77" s="21">
        <v>13</v>
      </c>
      <c r="I77" s="34" t="str">
        <v>13A00424</v>
      </c>
      <c r="J77" s="35" t="str">
        <v>BUY</v>
      </c>
      <c r="K77" s="21" t="str">
        <v>B</v>
      </c>
      <c r="L77" s="20">
        <v>15000</v>
      </c>
      <c r="M77" s="20">
        <v>0</v>
      </c>
      <c r="N77" s="36">
        <v>10.48951048951049</v>
      </c>
      <c r="O77" s="34">
        <v>1430</v>
      </c>
      <c r="P77" s="34">
        <v>11258</v>
      </c>
      <c r="Q77" s="17">
        <v>14300</v>
      </c>
      <c r="R77" s="20">
        <v>700</v>
      </c>
      <c r="S77" s="36">
        <v>10.304489885543667</v>
      </c>
      <c r="T77" s="20">
        <v>14.224</v>
      </c>
      <c r="U77" s="20">
        <v>0</v>
      </c>
      <c r="V77" s="20">
        <v>0</v>
      </c>
      <c r="W77" s="2">
        <v>0</v>
      </c>
      <c r="X77" s="2">
        <v>0</v>
      </c>
    </row>
    <row r="78" spans="2:24" hidden="1">
      <c r="B78" s="16">
        <v>2023</v>
      </c>
      <c r="C78" s="17">
        <v>10</v>
      </c>
      <c r="D78" s="17">
        <v>26</v>
      </c>
      <c r="E78" s="18">
        <v>45225</v>
      </c>
      <c r="F78" s="19" t="str">
        <v>SRIJON GHOSH</v>
      </c>
      <c r="G78" s="20" t="str">
        <v>A00424</v>
      </c>
      <c r="H78" s="21">
        <v>14</v>
      </c>
      <c r="I78" s="34" t="str">
        <v>14A00424</v>
      </c>
      <c r="J78" s="35" t="str">
        <v>BUY</v>
      </c>
      <c r="K78" s="21" t="str">
        <v>B</v>
      </c>
      <c r="L78" s="20">
        <v>15000</v>
      </c>
      <c r="M78" s="20">
        <v>0</v>
      </c>
      <c r="N78" s="36">
        <v>10.541110330288124</v>
      </c>
      <c r="O78" s="34">
        <v>1423</v>
      </c>
      <c r="P78" s="34">
        <v>12681</v>
      </c>
      <c r="Q78" s="17">
        <v>14230</v>
      </c>
      <c r="R78" s="20">
        <v>770</v>
      </c>
      <c r="S78" s="36">
        <v>10.331042278325889</v>
      </c>
      <c r="T78" s="20">
        <v>14.224</v>
      </c>
      <c r="U78" s="20">
        <v>0</v>
      </c>
      <c r="V78" s="20">
        <v>0</v>
      </c>
      <c r="W78" s="2">
        <v>0</v>
      </c>
      <c r="X78" s="2">
        <v>0</v>
      </c>
    </row>
    <row r="79" spans="2:24" hidden="1">
      <c r="B79" s="16">
        <v>2023</v>
      </c>
      <c r="C79" s="17">
        <v>10</v>
      </c>
      <c r="D79" s="17">
        <v>26</v>
      </c>
      <c r="E79" s="18">
        <v>45225</v>
      </c>
      <c r="F79" s="19" t="str">
        <v>SRIJON GHOSH</v>
      </c>
      <c r="G79" s="20" t="str">
        <v>A00424</v>
      </c>
      <c r="H79" s="21">
        <v>15</v>
      </c>
      <c r="I79" s="34" t="str">
        <v>15A00424</v>
      </c>
      <c r="J79" s="35" t="str">
        <v>BUY</v>
      </c>
      <c r="K79" s="21" t="str">
        <v>B</v>
      </c>
      <c r="L79" s="20">
        <v>5000</v>
      </c>
      <c r="M79" s="20">
        <v>0</v>
      </c>
      <c r="N79" s="36">
        <v>10.548523206751055</v>
      </c>
      <c r="O79" s="34">
        <v>474</v>
      </c>
      <c r="P79" s="34">
        <v>13155</v>
      </c>
      <c r="Q79" s="17">
        <v>4740</v>
      </c>
      <c r="R79" s="20">
        <v>260</v>
      </c>
      <c r="S79" s="36">
        <v>10.338878535268003</v>
      </c>
      <c r="T79" s="20">
        <v>14.224</v>
      </c>
      <c r="U79" s="20">
        <v>0</v>
      </c>
      <c r="V79" s="20">
        <v>0</v>
      </c>
      <c r="W79" s="2">
        <v>0</v>
      </c>
      <c r="X79" s="2">
        <v>0</v>
      </c>
    </row>
    <row r="80" spans="2:24" hidden="1">
      <c r="B80" s="16">
        <v>2023</v>
      </c>
      <c r="C80" s="17">
        <v>11</v>
      </c>
      <c r="D80" s="17">
        <v>26</v>
      </c>
      <c r="E80" s="18">
        <v>45256</v>
      </c>
      <c r="F80" s="19" t="str">
        <v>SRIJON GHOSH</v>
      </c>
      <c r="G80" s="20" t="str">
        <v>A00424</v>
      </c>
      <c r="H80" s="21">
        <v>16</v>
      </c>
      <c r="I80" s="34" t="str">
        <v>16A00424</v>
      </c>
      <c r="J80" s="35" t="str">
        <v>BUY</v>
      </c>
      <c r="K80" s="21" t="str">
        <v>B</v>
      </c>
      <c r="L80" s="20">
        <v>60000</v>
      </c>
      <c r="M80" s="20">
        <v>0</v>
      </c>
      <c r="N80" s="36">
        <v>10.595090941197245</v>
      </c>
      <c r="O80" s="34">
        <v>5663</v>
      </c>
      <c r="P80" s="34">
        <v>18818</v>
      </c>
      <c r="Q80" s="17">
        <v>56630</v>
      </c>
      <c r="R80" s="20">
        <v>3370</v>
      </c>
      <c r="S80" s="36">
        <v>10.415981886037335</v>
      </c>
      <c r="T80" s="20">
        <v>14.224</v>
      </c>
      <c r="U80" s="20">
        <v>0</v>
      </c>
      <c r="V80" s="20">
        <v>0</v>
      </c>
      <c r="W80" s="2">
        <v>0</v>
      </c>
      <c r="X80" s="2">
        <v>0</v>
      </c>
    </row>
    <row r="81" spans="2:24" hidden="1">
      <c r="B81" s="16">
        <v>2023</v>
      </c>
      <c r="C81" s="17">
        <v>12</v>
      </c>
      <c r="D81" s="17">
        <v>18</v>
      </c>
      <c r="E81" s="18">
        <v>45278</v>
      </c>
      <c r="F81" s="19" t="str">
        <v>SRIJON GHOSH</v>
      </c>
      <c r="G81" s="20" t="str">
        <v>A00424</v>
      </c>
      <c r="H81" s="21">
        <v>17</v>
      </c>
      <c r="I81" s="34" t="str">
        <v>17A00424</v>
      </c>
      <c r="J81" s="35" t="str">
        <v>SELL</v>
      </c>
      <c r="K81" s="21" t="str">
        <v>S</v>
      </c>
      <c r="L81" s="20">
        <v>-10003.48</v>
      </c>
      <c r="M81" s="20">
        <v>0</v>
      </c>
      <c r="N81" s="36">
        <v>10.641999999999999</v>
      </c>
      <c r="O81" s="34">
        <v>-940</v>
      </c>
      <c r="P81" s="34">
        <v>17878</v>
      </c>
      <c r="Q81" s="17">
        <v>-9400</v>
      </c>
      <c r="R81" s="20">
        <v>-603.47999999999956</v>
      </c>
      <c r="S81" s="36">
        <v>10.415981886037335</v>
      </c>
      <c r="T81" s="20">
        <v>14.224</v>
      </c>
      <c r="U81" s="20">
        <v>212.45702712490501</v>
      </c>
      <c r="V81" s="20">
        <v>9791.0229728750946</v>
      </c>
      <c r="W81" s="2">
        <v>0</v>
      </c>
      <c r="X81" s="2">
        <v>0</v>
      </c>
    </row>
    <row r="82" spans="2:24" hidden="1">
      <c r="B82" s="16">
        <v>2023</v>
      </c>
      <c r="C82" s="17">
        <v>12</v>
      </c>
      <c r="D82" s="17">
        <v>26</v>
      </c>
      <c r="E82" s="18">
        <v>45286</v>
      </c>
      <c r="F82" s="19" t="str">
        <v>SRIJON GHOSH</v>
      </c>
      <c r="G82" s="20" t="str">
        <v>A00424</v>
      </c>
      <c r="H82" s="21">
        <v>18</v>
      </c>
      <c r="I82" s="34" t="str">
        <v>18A00424</v>
      </c>
      <c r="J82" s="35" t="str">
        <v>SELL</v>
      </c>
      <c r="K82" s="21" t="str">
        <v>S</v>
      </c>
      <c r="L82" s="20">
        <v>-100000</v>
      </c>
      <c r="M82" s="20">
        <v>0</v>
      </c>
      <c r="N82" s="36">
        <v>10.659844366272253</v>
      </c>
      <c r="O82" s="34">
        <v>-9381</v>
      </c>
      <c r="P82" s="34">
        <v>8497</v>
      </c>
      <c r="Q82" s="17">
        <v>-93810</v>
      </c>
      <c r="R82" s="20">
        <v>-6190</v>
      </c>
      <c r="S82" s="36">
        <v>10.415981886037335</v>
      </c>
      <c r="T82" s="20">
        <v>14.224</v>
      </c>
      <c r="U82" s="20">
        <v>2287.6739270837706</v>
      </c>
      <c r="V82" s="20">
        <v>97712.326072916228</v>
      </c>
      <c r="W82" s="2">
        <v>0</v>
      </c>
      <c r="X82" s="2">
        <v>0</v>
      </c>
    </row>
    <row r="83" spans="2:24" hidden="1">
      <c r="B83" s="16">
        <v>2023</v>
      </c>
      <c r="C83" s="17">
        <v>12</v>
      </c>
      <c r="D83" s="17">
        <v>26</v>
      </c>
      <c r="E83" s="18">
        <v>45286</v>
      </c>
      <c r="F83" s="19" t="str">
        <v>SRIJON GHOSH</v>
      </c>
      <c r="G83" s="20" t="str">
        <v>A00424</v>
      </c>
      <c r="H83" s="21">
        <v>19</v>
      </c>
      <c r="I83" s="34" t="str">
        <v>19A00424</v>
      </c>
      <c r="J83" s="35" t="str">
        <v>BUY</v>
      </c>
      <c r="K83" s="21" t="str">
        <v>B</v>
      </c>
      <c r="L83" s="20">
        <v>15000</v>
      </c>
      <c r="M83" s="20">
        <v>0</v>
      </c>
      <c r="N83" s="36">
        <v>10.660980810234541</v>
      </c>
      <c r="O83" s="34">
        <v>1407</v>
      </c>
      <c r="P83" s="34">
        <v>9904</v>
      </c>
      <c r="Q83" s="17">
        <v>14070</v>
      </c>
      <c r="R83" s="20">
        <v>930</v>
      </c>
      <c r="S83" s="36">
        <v>10.450787367291927</v>
      </c>
      <c r="T83" s="20">
        <v>14.224</v>
      </c>
      <c r="U83" s="20">
        <v>0</v>
      </c>
      <c r="V83" s="20">
        <v>0</v>
      </c>
      <c r="W83" s="2">
        <v>0</v>
      </c>
      <c r="X83" s="2">
        <v>0</v>
      </c>
    </row>
    <row r="84" spans="2:24" hidden="1">
      <c r="B84" s="16">
        <v>2024</v>
      </c>
      <c r="C84" s="17">
        <v>1</v>
      </c>
      <c r="D84" s="17">
        <v>26</v>
      </c>
      <c r="E84" s="18">
        <v>45317</v>
      </c>
      <c r="F84" s="19" t="str">
        <v>SRIJON GHOSH</v>
      </c>
      <c r="G84" s="20" t="str">
        <v>A00424</v>
      </c>
      <c r="H84" s="21">
        <v>20</v>
      </c>
      <c r="I84" s="34" t="str">
        <v>20A00424</v>
      </c>
      <c r="J84" s="35" t="str">
        <v>BUY</v>
      </c>
      <c r="K84" s="21" t="str">
        <v>B</v>
      </c>
      <c r="L84" s="20">
        <v>15000</v>
      </c>
      <c r="M84" s="20">
        <v>0</v>
      </c>
      <c r="N84" s="36">
        <v>10.744985673352435</v>
      </c>
      <c r="O84" s="34">
        <v>1396</v>
      </c>
      <c r="P84" s="34">
        <v>11300</v>
      </c>
      <c r="Q84" s="17">
        <v>13960</v>
      </c>
      <c r="R84" s="20">
        <v>1040</v>
      </c>
      <c r="S84" s="36">
        <v>10.487132573952145</v>
      </c>
      <c r="T84" s="20">
        <v>14.224</v>
      </c>
      <c r="U84" s="20">
        <v>0</v>
      </c>
      <c r="V84" s="20">
        <v>0</v>
      </c>
      <c r="W84" s="2">
        <v>0</v>
      </c>
      <c r="X84" s="2">
        <v>0</v>
      </c>
    </row>
    <row r="85" spans="2:24" hidden="1">
      <c r="B85" s="16">
        <v>2024</v>
      </c>
      <c r="C85" s="17">
        <v>1</v>
      </c>
      <c r="D85" s="17">
        <v>26</v>
      </c>
      <c r="E85" s="18">
        <v>45317</v>
      </c>
      <c r="F85" s="19" t="str">
        <v>SRIJON GHOSH</v>
      </c>
      <c r="G85" s="20" t="str">
        <v>A00424</v>
      </c>
      <c r="H85" s="21">
        <v>21</v>
      </c>
      <c r="I85" s="34" t="str">
        <v>21A00424</v>
      </c>
      <c r="J85" s="35" t="str">
        <v>BUY</v>
      </c>
      <c r="K85" s="21" t="str">
        <v>B</v>
      </c>
      <c r="L85" s="20">
        <v>5000</v>
      </c>
      <c r="M85" s="20">
        <v>0</v>
      </c>
      <c r="N85" s="36">
        <v>10.75268817204301</v>
      </c>
      <c r="O85" s="34">
        <v>465</v>
      </c>
      <c r="P85" s="34">
        <v>11765</v>
      </c>
      <c r="Q85" s="17">
        <v>4650</v>
      </c>
      <c r="R85" s="20">
        <v>350</v>
      </c>
      <c r="S85" s="36">
        <v>10.49762839657112</v>
      </c>
      <c r="T85" s="20">
        <v>14.224</v>
      </c>
      <c r="U85" s="20">
        <v>0</v>
      </c>
      <c r="V85" s="20">
        <v>0</v>
      </c>
      <c r="W85" s="2">
        <v>0</v>
      </c>
      <c r="X85" s="2">
        <v>0</v>
      </c>
    </row>
    <row r="86" spans="2:24" hidden="1">
      <c r="B86" s="16">
        <v>2024</v>
      </c>
      <c r="C86" s="17">
        <v>2</v>
      </c>
      <c r="D86" s="17">
        <v>11</v>
      </c>
      <c r="E86" s="18">
        <v>45333</v>
      </c>
      <c r="F86" s="19" t="str">
        <v>SRIJON GHOSH</v>
      </c>
      <c r="G86" s="20" t="str">
        <v>A00424</v>
      </c>
      <c r="H86" s="21">
        <v>22</v>
      </c>
      <c r="I86" s="34" t="str">
        <v>22A00424</v>
      </c>
      <c r="J86" s="35" t="str">
        <v>SELL</v>
      </c>
      <c r="K86" s="21" t="str">
        <v>S</v>
      </c>
      <c r="L86" s="20">
        <v>-27000</v>
      </c>
      <c r="M86" s="20">
        <v>0</v>
      </c>
      <c r="N86" s="36">
        <v>10.787055533359968</v>
      </c>
      <c r="O86" s="34">
        <v>-2503</v>
      </c>
      <c r="P86" s="34">
        <v>9262</v>
      </c>
      <c r="Q86" s="17">
        <v>-25030</v>
      </c>
      <c r="R86" s="20">
        <v>-1970</v>
      </c>
      <c r="S86" s="36">
        <v>10.49762839657112</v>
      </c>
      <c r="T86" s="20">
        <v>14.224</v>
      </c>
      <c r="U86" s="20">
        <v>724.43612338248795</v>
      </c>
      <c r="V86" s="20">
        <v>26275.563876617514</v>
      </c>
      <c r="W86" s="2">
        <v>0</v>
      </c>
      <c r="X86" s="2">
        <v>0</v>
      </c>
    </row>
    <row r="87" spans="2:24" hidden="1">
      <c r="B87" s="16">
        <v>2024</v>
      </c>
      <c r="C87" s="17">
        <v>2</v>
      </c>
      <c r="D87" s="17">
        <v>26</v>
      </c>
      <c r="E87" s="18">
        <v>45348</v>
      </c>
      <c r="F87" s="19" t="str">
        <v>SRIJON GHOSH</v>
      </c>
      <c r="G87" s="20" t="str">
        <v>A00424</v>
      </c>
      <c r="H87" s="21">
        <v>23</v>
      </c>
      <c r="I87" s="34" t="str">
        <v>23A00424</v>
      </c>
      <c r="J87" s="35" t="str">
        <v>BUY</v>
      </c>
      <c r="K87" s="21" t="str">
        <v>B</v>
      </c>
      <c r="L87" s="20">
        <v>15000</v>
      </c>
      <c r="M87" s="20">
        <v>0</v>
      </c>
      <c r="N87" s="36">
        <v>10.822510822510823</v>
      </c>
      <c r="O87" s="34">
        <v>1386</v>
      </c>
      <c r="P87" s="34">
        <v>10648</v>
      </c>
      <c r="Q87" s="17">
        <v>13860</v>
      </c>
      <c r="R87" s="20">
        <v>1140</v>
      </c>
      <c r="S87" s="36">
        <v>10.539916811517816</v>
      </c>
      <c r="T87" s="20">
        <v>14.224</v>
      </c>
      <c r="U87" s="20">
        <v>0</v>
      </c>
      <c r="V87" s="20">
        <v>0</v>
      </c>
      <c r="W87" s="2">
        <v>0</v>
      </c>
      <c r="X87" s="2">
        <v>0</v>
      </c>
    </row>
    <row r="88" spans="2:24" hidden="1">
      <c r="B88" s="16">
        <v>2024</v>
      </c>
      <c r="C88" s="17">
        <v>2</v>
      </c>
      <c r="D88" s="17">
        <v>26</v>
      </c>
      <c r="E88" s="18">
        <v>45348</v>
      </c>
      <c r="F88" s="19" t="str">
        <v>SRIJON GHOSH</v>
      </c>
      <c r="G88" s="20" t="str">
        <v>A00424</v>
      </c>
      <c r="H88" s="21">
        <v>24</v>
      </c>
      <c r="I88" s="34" t="str">
        <v>24A00424</v>
      </c>
      <c r="J88" s="35" t="str">
        <v>BUY</v>
      </c>
      <c r="K88" s="21" t="str">
        <v>B</v>
      </c>
      <c r="L88" s="20">
        <v>5000</v>
      </c>
      <c r="M88" s="20">
        <v>0</v>
      </c>
      <c r="N88" s="36">
        <v>10.822510822510823</v>
      </c>
      <c r="O88" s="34">
        <v>462</v>
      </c>
      <c r="P88" s="34">
        <v>11110</v>
      </c>
      <c r="Q88" s="17">
        <v>4620</v>
      </c>
      <c r="R88" s="20">
        <v>380</v>
      </c>
      <c r="S88" s="36">
        <v>10.551668245638318</v>
      </c>
      <c r="T88" s="20">
        <v>14.224</v>
      </c>
      <c r="U88" s="20">
        <v>0</v>
      </c>
      <c r="V88" s="20">
        <v>0</v>
      </c>
      <c r="W88" s="2">
        <v>0</v>
      </c>
      <c r="X88" s="2">
        <v>0</v>
      </c>
    </row>
    <row r="89" spans="2:24" hidden="1">
      <c r="B89" s="16">
        <v>2024</v>
      </c>
      <c r="C89" s="17">
        <v>2</v>
      </c>
      <c r="D89" s="17">
        <v>28</v>
      </c>
      <c r="E89" s="18">
        <v>45350</v>
      </c>
      <c r="F89" s="19" t="str">
        <v>SRIJON GHOSH</v>
      </c>
      <c r="G89" s="20" t="str">
        <v>A00424</v>
      </c>
      <c r="H89" s="21">
        <v>25</v>
      </c>
      <c r="I89" s="34" t="str">
        <v>25A00424</v>
      </c>
      <c r="J89" s="35" t="str">
        <v>SELL</v>
      </c>
      <c r="K89" s="21" t="str">
        <v>S</v>
      </c>
      <c r="L89" s="20">
        <v>-15000</v>
      </c>
      <c r="M89" s="20">
        <v>0</v>
      </c>
      <c r="N89" s="36">
        <v>10.822510822510823</v>
      </c>
      <c r="O89" s="34">
        <v>-1386</v>
      </c>
      <c r="P89" s="34">
        <v>9724</v>
      </c>
      <c r="Q89" s="17">
        <v>-13860</v>
      </c>
      <c r="R89" s="20">
        <v>-1140</v>
      </c>
      <c r="S89" s="36">
        <v>10.551668245638318</v>
      </c>
      <c r="T89" s="20">
        <v>14.224</v>
      </c>
      <c r="U89" s="20">
        <v>375.38781154529244</v>
      </c>
      <c r="V89" s="20">
        <v>14624.612188454708</v>
      </c>
      <c r="W89" s="2">
        <v>0</v>
      </c>
      <c r="X89" s="2">
        <v>0</v>
      </c>
    </row>
    <row r="90" spans="2:24" hidden="1">
      <c r="B90" s="16">
        <v>2024</v>
      </c>
      <c r="C90" s="17">
        <v>3</v>
      </c>
      <c r="D90" s="17">
        <v>26</v>
      </c>
      <c r="E90" s="18">
        <v>45377</v>
      </c>
      <c r="F90" s="19" t="str">
        <v>SRIJON GHOSH</v>
      </c>
      <c r="G90" s="20" t="str">
        <v>A00424</v>
      </c>
      <c r="H90" s="21">
        <v>26</v>
      </c>
      <c r="I90" s="34" t="str">
        <v>26A00424</v>
      </c>
      <c r="J90" s="35" t="str">
        <v>BUY</v>
      </c>
      <c r="K90" s="21" t="str">
        <v>B</v>
      </c>
      <c r="L90" s="20">
        <v>15000</v>
      </c>
      <c r="M90" s="20">
        <v>0</v>
      </c>
      <c r="N90" s="36">
        <v>10.885341074020319</v>
      </c>
      <c r="O90" s="34">
        <v>1378</v>
      </c>
      <c r="P90" s="34">
        <v>11102</v>
      </c>
      <c r="Q90" s="17">
        <v>13780</v>
      </c>
      <c r="R90" s="20">
        <v>1220</v>
      </c>
      <c r="S90" s="36">
        <v>10.593084310987839</v>
      </c>
      <c r="T90" s="20">
        <v>14.224</v>
      </c>
      <c r="U90" s="20">
        <v>0</v>
      </c>
      <c r="V90" s="20">
        <v>0</v>
      </c>
      <c r="W90" s="2">
        <v>0</v>
      </c>
      <c r="X90" s="2">
        <v>0</v>
      </c>
    </row>
    <row r="91" spans="2:24" hidden="1">
      <c r="B91" s="16">
        <v>2024</v>
      </c>
      <c r="C91" s="17">
        <v>3</v>
      </c>
      <c r="D91" s="17">
        <v>26</v>
      </c>
      <c r="E91" s="18">
        <v>45377</v>
      </c>
      <c r="F91" s="19" t="str">
        <v>SRIJON GHOSH</v>
      </c>
      <c r="G91" s="20" t="str">
        <v>A00424</v>
      </c>
      <c r="H91" s="21">
        <v>27</v>
      </c>
      <c r="I91" s="34" t="str">
        <v>27A00424</v>
      </c>
      <c r="J91" s="35" t="str">
        <v>BUY</v>
      </c>
      <c r="K91" s="21" t="str">
        <v>B</v>
      </c>
      <c r="L91" s="20">
        <v>5000</v>
      </c>
      <c r="M91" s="20">
        <v>0</v>
      </c>
      <c r="N91" s="36">
        <v>10.893246187363834</v>
      </c>
      <c r="O91" s="34">
        <v>459</v>
      </c>
      <c r="P91" s="34">
        <v>11561</v>
      </c>
      <c r="Q91" s="17">
        <v>4590</v>
      </c>
      <c r="R91" s="20">
        <v>410</v>
      </c>
      <c r="S91" s="36">
        <v>10.60500147224176</v>
      </c>
      <c r="T91" s="20">
        <v>14.224</v>
      </c>
      <c r="U91" s="20">
        <v>0</v>
      </c>
      <c r="V91" s="20">
        <v>0</v>
      </c>
      <c r="W91" s="2">
        <v>0</v>
      </c>
      <c r="X91" s="2">
        <v>0</v>
      </c>
    </row>
    <row r="92" spans="2:24" hidden="1">
      <c r="B92" s="16">
        <v>2024</v>
      </c>
      <c r="C92" s="17">
        <v>4</v>
      </c>
      <c r="D92" s="17">
        <v>26</v>
      </c>
      <c r="E92" s="18">
        <v>45408</v>
      </c>
      <c r="F92" s="19" t="str">
        <v>SRIJON GHOSH</v>
      </c>
      <c r="G92" s="20" t="str">
        <v>A00424</v>
      </c>
      <c r="H92" s="21">
        <v>28</v>
      </c>
      <c r="I92" s="34" t="str">
        <v>28A00424</v>
      </c>
      <c r="J92" s="35" t="str">
        <v>BUY</v>
      </c>
      <c r="K92" s="21" t="str">
        <v>B</v>
      </c>
      <c r="L92" s="20">
        <v>15000</v>
      </c>
      <c r="M92" s="20">
        <v>0</v>
      </c>
      <c r="N92" s="36">
        <v>10.989010989010989</v>
      </c>
      <c r="O92" s="34">
        <v>1365</v>
      </c>
      <c r="P92" s="34">
        <v>12926</v>
      </c>
      <c r="Q92" s="17">
        <v>13650</v>
      </c>
      <c r="R92" s="20">
        <v>1350</v>
      </c>
      <c r="S92" s="36">
        <v>10.645553305012145</v>
      </c>
      <c r="T92" s="20">
        <v>14.224</v>
      </c>
      <c r="U92" s="20">
        <v>0</v>
      </c>
      <c r="V92" s="20">
        <v>0</v>
      </c>
      <c r="W92" s="2">
        <v>0</v>
      </c>
      <c r="X92" s="2">
        <v>0</v>
      </c>
    </row>
    <row r="93" spans="2:24" hidden="1">
      <c r="B93" s="16">
        <v>2024</v>
      </c>
      <c r="C93" s="17">
        <v>4</v>
      </c>
      <c r="D93" s="17">
        <v>26</v>
      </c>
      <c r="E93" s="18">
        <v>45408</v>
      </c>
      <c r="F93" s="19" t="str">
        <v>SRIJON GHOSH</v>
      </c>
      <c r="G93" s="20" t="str">
        <v>A00424</v>
      </c>
      <c r="H93" s="21">
        <v>29</v>
      </c>
      <c r="I93" s="34" t="str">
        <v>29A00424</v>
      </c>
      <c r="J93" s="35" t="str">
        <v>BUY</v>
      </c>
      <c r="K93" s="21" t="str">
        <v>B</v>
      </c>
      <c r="L93" s="20">
        <v>5000</v>
      </c>
      <c r="M93" s="20">
        <v>0</v>
      </c>
      <c r="N93" s="36">
        <v>10.989010989010989</v>
      </c>
      <c r="O93" s="34">
        <v>455</v>
      </c>
      <c r="P93" s="34">
        <v>13381</v>
      </c>
      <c r="Q93" s="17">
        <v>4550</v>
      </c>
      <c r="R93" s="20">
        <v>450</v>
      </c>
      <c r="S93" s="36">
        <v>10.657232046976084</v>
      </c>
      <c r="T93" s="20">
        <v>14.224</v>
      </c>
      <c r="U93" s="20">
        <v>0</v>
      </c>
      <c r="V93" s="20">
        <v>0</v>
      </c>
      <c r="W93" s="2">
        <v>0</v>
      </c>
      <c r="X93" s="2">
        <v>0</v>
      </c>
    </row>
    <row r="94" spans="2:24" hidden="1">
      <c r="B94" s="16">
        <v>2024</v>
      </c>
      <c r="C94" s="17">
        <v>5</v>
      </c>
      <c r="D94" s="17">
        <v>26</v>
      </c>
      <c r="E94" s="18">
        <v>45438</v>
      </c>
      <c r="F94" s="19" t="str">
        <v>SRIJON GHOSH</v>
      </c>
      <c r="G94" s="20" t="str">
        <v>A00424</v>
      </c>
      <c r="H94" s="21">
        <v>30</v>
      </c>
      <c r="I94" s="34" t="str">
        <v>30A00424</v>
      </c>
      <c r="J94" s="35" t="str">
        <v>BUY</v>
      </c>
      <c r="K94" s="21" t="str">
        <v>B</v>
      </c>
      <c r="L94" s="20">
        <v>15000</v>
      </c>
      <c r="M94" s="20">
        <v>0</v>
      </c>
      <c r="N94" s="36">
        <v>11.053795136330139</v>
      </c>
      <c r="O94" s="34">
        <v>1357</v>
      </c>
      <c r="P94" s="34">
        <v>14738</v>
      </c>
      <c r="Q94" s="17">
        <v>13570</v>
      </c>
      <c r="R94" s="20">
        <v>1430</v>
      </c>
      <c r="S94" s="36">
        <v>10.693745557103201</v>
      </c>
      <c r="T94" s="20">
        <v>14.224</v>
      </c>
      <c r="U94" s="20">
        <v>0</v>
      </c>
      <c r="V94" s="20">
        <v>0</v>
      </c>
      <c r="W94" s="2">
        <v>0</v>
      </c>
      <c r="X94" s="2">
        <v>0</v>
      </c>
    </row>
    <row r="95" spans="2:24" hidden="1">
      <c r="B95" s="16">
        <v>2024</v>
      </c>
      <c r="C95" s="17">
        <v>5</v>
      </c>
      <c r="D95" s="17">
        <v>26</v>
      </c>
      <c r="E95" s="18">
        <v>45438</v>
      </c>
      <c r="F95" s="19" t="str">
        <v>SRIJON GHOSH</v>
      </c>
      <c r="G95" s="20" t="str">
        <v>A00424</v>
      </c>
      <c r="H95" s="21">
        <v>31</v>
      </c>
      <c r="I95" s="34" t="str">
        <v>31A00424</v>
      </c>
      <c r="J95" s="35" t="str">
        <v>BUY</v>
      </c>
      <c r="K95" s="21" t="str">
        <v>B</v>
      </c>
      <c r="L95" s="20">
        <v>5000</v>
      </c>
      <c r="M95" s="20">
        <v>0</v>
      </c>
      <c r="N95" s="36">
        <v>11.061946902654867</v>
      </c>
      <c r="O95" s="34">
        <v>452</v>
      </c>
      <c r="P95" s="34">
        <v>15190</v>
      </c>
      <c r="Q95" s="17">
        <v>4520</v>
      </c>
      <c r="R95" s="20">
        <v>480</v>
      </c>
      <c r="S95" s="36">
        <v>10.704701910506055</v>
      </c>
      <c r="T95" s="20">
        <v>14.224</v>
      </c>
      <c r="U95" s="20">
        <v>0</v>
      </c>
      <c r="V95" s="20">
        <v>0</v>
      </c>
      <c r="W95" s="2">
        <v>0</v>
      </c>
      <c r="X95" s="2">
        <v>0</v>
      </c>
    </row>
    <row r="96" spans="2:24" hidden="1">
      <c r="B96" s="16">
        <v>2024</v>
      </c>
      <c r="C96" s="17">
        <v>6</v>
      </c>
      <c r="D96" s="17">
        <v>26</v>
      </c>
      <c r="E96" s="18">
        <v>45469</v>
      </c>
      <c r="F96" s="19" t="str">
        <v>SRIJON GHOSH</v>
      </c>
      <c r="G96" s="20" t="str">
        <v>A00424</v>
      </c>
      <c r="H96" s="21">
        <v>32</v>
      </c>
      <c r="I96" s="34" t="str">
        <v>32A00424</v>
      </c>
      <c r="J96" s="35" t="str">
        <v>BUY</v>
      </c>
      <c r="K96" s="21" t="str">
        <v>B</v>
      </c>
      <c r="L96" s="20">
        <v>15000</v>
      </c>
      <c r="M96" s="20">
        <v>0</v>
      </c>
      <c r="N96" s="36">
        <v>11.152416356877323</v>
      </c>
      <c r="O96" s="34">
        <v>1345</v>
      </c>
      <c r="P96" s="34">
        <v>16535</v>
      </c>
      <c r="Q96" s="17">
        <v>13450</v>
      </c>
      <c r="R96" s="20">
        <v>1550</v>
      </c>
      <c r="S96" s="36">
        <v>10.741120170582823</v>
      </c>
      <c r="T96" s="20">
        <v>14.224</v>
      </c>
      <c r="U96" s="20">
        <v>0</v>
      </c>
      <c r="V96" s="20">
        <v>0</v>
      </c>
      <c r="W96" s="2">
        <v>0</v>
      </c>
      <c r="X96" s="2">
        <v>0</v>
      </c>
    </row>
    <row r="97" spans="2:24" hidden="1">
      <c r="B97" s="16">
        <v>2024</v>
      </c>
      <c r="C97" s="17">
        <v>6</v>
      </c>
      <c r="D97" s="17">
        <v>26</v>
      </c>
      <c r="E97" s="18">
        <v>45469</v>
      </c>
      <c r="F97" s="19" t="str">
        <v>SRIJON GHOSH</v>
      </c>
      <c r="G97" s="20" t="str">
        <v>A00424</v>
      </c>
      <c r="H97" s="21">
        <v>33</v>
      </c>
      <c r="I97" s="34" t="str">
        <v>33A00424</v>
      </c>
      <c r="J97" s="35" t="str">
        <v>BUY</v>
      </c>
      <c r="K97" s="21" t="str">
        <v>B</v>
      </c>
      <c r="L97" s="20">
        <v>5000</v>
      </c>
      <c r="M97" s="20">
        <v>0</v>
      </c>
      <c r="N97" s="36">
        <v>11.160714285714286</v>
      </c>
      <c r="O97" s="34">
        <v>448</v>
      </c>
      <c r="P97" s="34">
        <v>16983</v>
      </c>
      <c r="Q97" s="17">
        <v>4480</v>
      </c>
      <c r="R97" s="20">
        <v>520</v>
      </c>
      <c r="S97" s="36">
        <v>10.752188778224518</v>
      </c>
      <c r="T97" s="20">
        <v>14.224</v>
      </c>
      <c r="U97" s="20">
        <v>0</v>
      </c>
      <c r="V97" s="20">
        <v>0</v>
      </c>
      <c r="W97" s="2">
        <v>0</v>
      </c>
      <c r="X97" s="2">
        <v>0</v>
      </c>
    </row>
    <row r="98" spans="2:24" hidden="1">
      <c r="B98" s="16">
        <v>2024</v>
      </c>
      <c r="C98" s="17">
        <v>6</v>
      </c>
      <c r="D98" s="17">
        <v>9</v>
      </c>
      <c r="E98" s="18">
        <v>45452</v>
      </c>
      <c r="F98" s="19" t="str">
        <v>SRIJON GHOSH</v>
      </c>
      <c r="G98" s="20" t="str">
        <v>A00424</v>
      </c>
      <c r="H98" s="21">
        <v>34</v>
      </c>
      <c r="I98" s="34" t="str">
        <v>34A00424</v>
      </c>
      <c r="J98" s="35" t="str">
        <v>SELL</v>
      </c>
      <c r="K98" s="21" t="str">
        <v>S</v>
      </c>
      <c r="L98" s="20">
        <v>-168684.95500000002</v>
      </c>
      <c r="M98" s="20">
        <v>0</v>
      </c>
      <c r="N98" s="36">
        <v>11.105000329163925</v>
      </c>
      <c r="O98" s="34">
        <v>-15190</v>
      </c>
      <c r="P98" s="34">
        <v>1793</v>
      </c>
      <c r="Q98" s="17">
        <v>-151900</v>
      </c>
      <c r="R98" s="20">
        <v>-16784.955000000016</v>
      </c>
      <c r="S98" s="36">
        <v>10.752188778224518</v>
      </c>
      <c r="T98" s="20">
        <v>14.224</v>
      </c>
      <c r="U98" s="20">
        <v>5359.2074587695915</v>
      </c>
      <c r="V98" s="20">
        <v>163325.74754123043</v>
      </c>
      <c r="W98" s="2">
        <v>0</v>
      </c>
      <c r="X98" s="2">
        <v>0</v>
      </c>
    </row>
    <row r="99" spans="2:24" hidden="1">
      <c r="B99" s="16">
        <v>2024</v>
      </c>
      <c r="C99" s="17">
        <v>8</v>
      </c>
      <c r="D99" s="17">
        <v>8</v>
      </c>
      <c r="E99" s="18">
        <v>45512</v>
      </c>
      <c r="F99" s="19" t="str">
        <v>SRIJON GHOSH</v>
      </c>
      <c r="G99" s="20" t="str">
        <v>A00424</v>
      </c>
      <c r="H99" s="21">
        <v>35</v>
      </c>
      <c r="I99" s="34" t="str">
        <v>35A00424</v>
      </c>
      <c r="J99" s="35" t="str">
        <v>SELL</v>
      </c>
      <c r="K99" s="21" t="str">
        <v>S</v>
      </c>
      <c r="L99" s="20">
        <v>-20239.383999999998</v>
      </c>
      <c r="M99" s="20">
        <v>0</v>
      </c>
      <c r="N99" s="36">
        <v>11.287999999999998</v>
      </c>
      <c r="O99" s="34">
        <v>-1793</v>
      </c>
      <c r="P99" s="34">
        <v>0</v>
      </c>
      <c r="Q99" s="17">
        <v>-17930</v>
      </c>
      <c r="R99" s="20">
        <v>-2309.3839999999982</v>
      </c>
      <c r="S99" s="36">
        <v>0</v>
      </c>
      <c r="T99" s="20">
        <v>14.224</v>
      </c>
      <c r="U99" s="20">
        <v>960.70952064343646</v>
      </c>
      <c r="V99" s="20">
        <v>19278.674479356559</v>
      </c>
      <c r="W99" s="2">
        <v>0</v>
      </c>
      <c r="X99" s="2">
        <v>0</v>
      </c>
    </row>
    <row r="100" spans="2:24" hidden="1">
      <c r="B100" s="16">
        <v>2025</v>
      </c>
      <c r="C100" s="17">
        <v>11</v>
      </c>
      <c r="D100" s="17">
        <v>26</v>
      </c>
      <c r="E100" s="18">
        <v>45987</v>
      </c>
      <c r="F100" s="19" t="str">
        <v>SRIJON GHOSH</v>
      </c>
      <c r="G100" s="20" t="str">
        <v>A00424</v>
      </c>
      <c r="H100" s="21">
        <v>36</v>
      </c>
      <c r="I100" s="34" t="str">
        <v>36A00424</v>
      </c>
      <c r="J100" s="35" t="str">
        <v>BUY</v>
      </c>
      <c r="K100" s="21" t="str">
        <v>B</v>
      </c>
      <c r="L100" s="20">
        <v>10000</v>
      </c>
      <c r="M100" s="20">
        <v>0</v>
      </c>
      <c r="N100" s="36">
        <v>13.774104683195592</v>
      </c>
      <c r="O100" s="34">
        <v>726</v>
      </c>
      <c r="P100" s="34">
        <v>726</v>
      </c>
      <c r="Q100" s="17">
        <v>7260</v>
      </c>
      <c r="R100" s="20">
        <v>2740</v>
      </c>
      <c r="S100" s="36">
        <v>13.774104683195592</v>
      </c>
      <c r="T100" s="20">
        <v>14.224</v>
      </c>
      <c r="U100" s="20">
        <v>0</v>
      </c>
      <c r="V100" s="20">
        <v>0</v>
      </c>
      <c r="W100" s="2">
        <v>0</v>
      </c>
      <c r="X100" s="2">
        <v>0</v>
      </c>
    </row>
    <row r="101" spans="2:24" hidden="1">
      <c r="B101" s="16">
        <v>2025</v>
      </c>
      <c r="C101" s="17">
        <v>12</v>
      </c>
      <c r="D101" s="17">
        <v>10</v>
      </c>
      <c r="E101" s="18">
        <v>46001</v>
      </c>
      <c r="F101" s="19" t="str">
        <v>SRIJON GHOSH</v>
      </c>
      <c r="G101" s="20" t="str">
        <v>A00424</v>
      </c>
      <c r="H101" s="21">
        <v>37</v>
      </c>
      <c r="I101" s="34" t="str">
        <v>37A00424</v>
      </c>
      <c r="J101" s="35" t="str">
        <v>SELL</v>
      </c>
      <c r="K101" s="21" t="str">
        <v>S</v>
      </c>
      <c r="L101" s="20">
        <v>-7000</v>
      </c>
      <c r="M101" s="20">
        <v>0</v>
      </c>
      <c r="N101" s="36">
        <v>13.779527559055119</v>
      </c>
      <c r="O101" s="34">
        <v>-508</v>
      </c>
      <c r="P101" s="34">
        <v>218</v>
      </c>
      <c r="Q101" s="17">
        <v>-5080</v>
      </c>
      <c r="R101" s="20">
        <v>-1920</v>
      </c>
      <c r="S101" s="36">
        <v>13.774104683195592</v>
      </c>
      <c r="T101" s="20">
        <v>14.224</v>
      </c>
      <c r="U101" s="20">
        <v>2.7548209366394616</v>
      </c>
      <c r="V101" s="20">
        <v>6997.2451790633604</v>
      </c>
      <c r="W101" s="2">
        <v>0</v>
      </c>
      <c r="X101" s="2">
        <v>0</v>
      </c>
    </row>
    <row r="102" spans="2:24" hidden="1">
      <c r="B102" s="16">
        <v>2026</v>
      </c>
      <c r="C102" s="17">
        <v>2</v>
      </c>
      <c r="D102" s="17">
        <v>16</v>
      </c>
      <c r="E102" s="18">
        <v>46069</v>
      </c>
      <c r="F102" s="19" t="str">
        <v>SRIJON GHOSH</v>
      </c>
      <c r="G102" s="20" t="str">
        <v>A00424</v>
      </c>
      <c r="H102" s="21">
        <v>38</v>
      </c>
      <c r="I102" s="34" t="str">
        <v>38A00424</v>
      </c>
      <c r="J102" s="35" t="str">
        <v>SELL</v>
      </c>
      <c r="K102" s="21" t="str">
        <v>S</v>
      </c>
      <c r="L102" s="20">
        <v>-3063.34</v>
      </c>
      <c r="M102" s="20">
        <v>0</v>
      </c>
      <c r="N102" s="36">
        <v>14.052018348623854</v>
      </c>
      <c r="O102" s="34">
        <v>-218</v>
      </c>
      <c r="P102" s="34">
        <v>0</v>
      </c>
      <c r="Q102" s="17">
        <v>-2180</v>
      </c>
      <c r="R102" s="20">
        <v>-883.34000000000015</v>
      </c>
      <c r="S102" s="36">
        <v>0</v>
      </c>
      <c r="T102" s="20">
        <v>14.224</v>
      </c>
      <c r="U102" s="20">
        <v>60.585179063361046</v>
      </c>
      <c r="V102" s="20">
        <v>3002.7548209366391</v>
      </c>
      <c r="W102" s="2">
        <v>0</v>
      </c>
      <c r="X102" s="2">
        <v>0</v>
      </c>
    </row>
    <row r="103" spans="2:24" hidden="1">
      <c r="B103" s="16"/>
      <c r="C103" s="17"/>
      <c r="D103" s="17"/>
      <c r="E103" s="18"/>
      <c r="F103" s="19"/>
      <c r="G103" s="20"/>
      <c r="H103" s="21"/>
      <c r="I103" s="34"/>
      <c r="J103" s="35"/>
      <c r="K103" s="21"/>
      <c r="L103" s="20"/>
      <c r="M103" s="20"/>
      <c r="N103" s="36"/>
      <c r="O103" s="34"/>
      <c r="P103" s="34"/>
      <c r="Q103" s="17"/>
      <c r="R103" s="20"/>
      <c r="S103" s="36"/>
      <c r="T103" s="20"/>
      <c r="U103" s="20"/>
      <c r="V103" s="20"/>
    </row>
    <row r="104" spans="2:24" hidden="1">
      <c r="B104" s="16"/>
      <c r="C104" s="17"/>
      <c r="D104" s="17"/>
      <c r="E104" s="18"/>
      <c r="F104" s="19"/>
      <c r="G104" s="20"/>
      <c r="H104" s="21"/>
      <c r="I104" s="34"/>
      <c r="J104" s="35"/>
      <c r="K104" s="21"/>
      <c r="L104" s="20"/>
      <c r="M104" s="20"/>
      <c r="N104" s="36"/>
      <c r="O104" s="34"/>
      <c r="P104" s="34"/>
      <c r="Q104" s="17"/>
      <c r="R104" s="20"/>
      <c r="S104" s="36"/>
      <c r="T104" s="20"/>
      <c r="U104" s="20"/>
      <c r="V104" s="20"/>
    </row>
    <row r="105" spans="2:24" hidden="1">
      <c r="B105" s="16"/>
      <c r="C105" s="17"/>
      <c r="D105" s="17"/>
      <c r="E105" s="18"/>
      <c r="F105" s="19"/>
      <c r="G105" s="20"/>
      <c r="H105" s="21"/>
      <c r="I105" s="34"/>
      <c r="J105" s="35"/>
      <c r="K105" s="21"/>
      <c r="L105" s="20"/>
      <c r="M105" s="20"/>
      <c r="N105" s="36"/>
      <c r="O105" s="34"/>
      <c r="P105" s="34"/>
      <c r="Q105" s="17"/>
      <c r="R105" s="20"/>
      <c r="S105" s="36"/>
      <c r="T105" s="20"/>
      <c r="U105" s="20"/>
      <c r="V105" s="20"/>
    </row>
    <row r="106" spans="2:24" hidden="1">
      <c r="B106" s="16"/>
      <c r="C106" s="17"/>
      <c r="D106" s="17"/>
      <c r="E106" s="18"/>
      <c r="F106" s="19"/>
      <c r="G106" s="20"/>
      <c r="H106" s="21"/>
      <c r="I106" s="34"/>
      <c r="J106" s="35"/>
      <c r="K106" s="21"/>
      <c r="L106" s="20"/>
      <c r="M106" s="20"/>
      <c r="N106" s="36"/>
      <c r="O106" s="34"/>
      <c r="P106" s="34"/>
      <c r="Q106" s="17"/>
      <c r="R106" s="20"/>
      <c r="S106" s="36"/>
      <c r="T106" s="20"/>
      <c r="U106" s="20"/>
      <c r="V106" s="20"/>
    </row>
    <row r="107" spans="2:24" hidden="1">
      <c r="B107" s="16"/>
      <c r="C107" s="17"/>
      <c r="D107" s="17"/>
      <c r="E107" s="18"/>
      <c r="F107" s="19"/>
      <c r="G107" s="20"/>
      <c r="H107" s="21"/>
      <c r="I107" s="34"/>
      <c r="J107" s="35"/>
      <c r="K107" s="21"/>
      <c r="L107" s="20"/>
      <c r="M107" s="20"/>
      <c r="N107" s="36"/>
      <c r="O107" s="34"/>
      <c r="P107" s="34"/>
      <c r="Q107" s="17"/>
      <c r="R107" s="20"/>
      <c r="S107" s="36"/>
      <c r="T107" s="20"/>
      <c r="U107" s="20"/>
      <c r="V107" s="20"/>
    </row>
    <row r="108" spans="2:24" hidden="1">
      <c r="B108" s="16"/>
      <c r="C108" s="17"/>
      <c r="D108" s="17"/>
      <c r="E108" s="18"/>
      <c r="F108" s="19"/>
      <c r="G108" s="20"/>
      <c r="H108" s="21"/>
      <c r="I108" s="34"/>
      <c r="J108" s="35"/>
      <c r="K108" s="21"/>
      <c r="L108" s="20"/>
      <c r="M108" s="20"/>
      <c r="N108" s="36"/>
      <c r="O108" s="34"/>
      <c r="P108" s="34"/>
      <c r="Q108" s="17"/>
      <c r="R108" s="20"/>
      <c r="S108" s="36"/>
      <c r="T108" s="20"/>
      <c r="U108" s="20"/>
      <c r="V108" s="20"/>
    </row>
    <row r="109" spans="2:24" hidden="1">
      <c r="B109" s="16"/>
      <c r="C109" s="17"/>
      <c r="D109" s="17"/>
      <c r="E109" s="18"/>
      <c r="F109" s="19"/>
      <c r="G109" s="20"/>
      <c r="H109" s="21"/>
      <c r="I109" s="34"/>
      <c r="J109" s="35"/>
      <c r="K109" s="21"/>
      <c r="L109" s="20"/>
      <c r="M109" s="20"/>
      <c r="N109" s="36"/>
      <c r="O109" s="34"/>
      <c r="P109" s="34"/>
      <c r="Q109" s="17"/>
      <c r="R109" s="20"/>
      <c r="S109" s="36"/>
      <c r="T109" s="20"/>
      <c r="U109" s="20"/>
      <c r="V109" s="20"/>
    </row>
    <row r="110" spans="2:24" hidden="1">
      <c r="B110" s="16"/>
      <c r="C110" s="17"/>
      <c r="D110" s="17"/>
      <c r="E110" s="18"/>
      <c r="F110" s="19"/>
      <c r="G110" s="20"/>
      <c r="H110" s="21"/>
      <c r="I110" s="34"/>
      <c r="J110" s="35"/>
      <c r="K110" s="21"/>
      <c r="L110" s="20"/>
      <c r="M110" s="20"/>
      <c r="N110" s="36"/>
      <c r="O110" s="34"/>
      <c r="P110" s="34"/>
      <c r="Q110" s="17"/>
      <c r="R110" s="20"/>
      <c r="S110" s="36"/>
      <c r="T110" s="20"/>
      <c r="U110" s="20"/>
      <c r="V110" s="20"/>
    </row>
    <row r="111" spans="2:24" hidden="1">
      <c r="B111" s="16"/>
      <c r="C111" s="17"/>
      <c r="D111" s="17"/>
      <c r="E111" s="18"/>
      <c r="F111" s="19"/>
      <c r="G111" s="20"/>
      <c r="H111" s="21"/>
      <c r="I111" s="34"/>
      <c r="J111" s="35"/>
      <c r="K111" s="21"/>
      <c r="L111" s="20"/>
      <c r="M111" s="20"/>
      <c r="N111" s="36"/>
      <c r="O111" s="34"/>
      <c r="P111" s="34"/>
      <c r="Q111" s="17"/>
      <c r="R111" s="20"/>
      <c r="S111" s="36"/>
      <c r="T111" s="20"/>
      <c r="U111" s="20"/>
      <c r="V111" s="20"/>
    </row>
    <row r="112" spans="2:24" hidden="1">
      <c r="B112" s="16"/>
      <c r="C112" s="17"/>
      <c r="D112" s="17"/>
      <c r="E112" s="18"/>
      <c r="F112" s="19"/>
      <c r="G112" s="20"/>
      <c r="H112" s="21"/>
      <c r="I112" s="34"/>
      <c r="J112" s="35"/>
      <c r="K112" s="21"/>
      <c r="L112" s="20"/>
      <c r="M112" s="20"/>
      <c r="N112" s="36"/>
      <c r="O112" s="34"/>
      <c r="P112" s="34"/>
      <c r="Q112" s="17"/>
      <c r="R112" s="20"/>
      <c r="S112" s="36"/>
      <c r="T112" s="20"/>
      <c r="U112" s="20"/>
      <c r="V112" s="20"/>
    </row>
    <row r="113" spans="2:22" hidden="1">
      <c r="B113" s="16"/>
      <c r="C113" s="17"/>
      <c r="D113" s="17"/>
      <c r="E113" s="18"/>
      <c r="F113" s="19"/>
      <c r="G113" s="20"/>
      <c r="H113" s="21"/>
      <c r="I113" s="34"/>
      <c r="J113" s="35"/>
      <c r="K113" s="21"/>
      <c r="L113" s="20"/>
      <c r="M113" s="20"/>
      <c r="N113" s="36"/>
      <c r="O113" s="34"/>
      <c r="P113" s="34"/>
      <c r="Q113" s="17"/>
      <c r="R113" s="20"/>
      <c r="S113" s="36"/>
      <c r="T113" s="20"/>
      <c r="U113" s="20"/>
      <c r="V113" s="20"/>
    </row>
    <row r="114" spans="2:22" hidden="1">
      <c r="B114" s="16"/>
      <c r="C114" s="17"/>
      <c r="D114" s="17"/>
      <c r="E114" s="18"/>
      <c r="F114" s="19"/>
      <c r="G114" s="20"/>
      <c r="H114" s="21"/>
      <c r="I114" s="34"/>
      <c r="J114" s="35"/>
      <c r="K114" s="21"/>
      <c r="L114" s="20"/>
      <c r="M114" s="20"/>
      <c r="N114" s="36"/>
      <c r="O114" s="34"/>
      <c r="P114" s="34"/>
      <c r="Q114" s="17"/>
      <c r="R114" s="20"/>
      <c r="S114" s="36"/>
      <c r="T114" s="20"/>
      <c r="U114" s="20"/>
      <c r="V114" s="20"/>
    </row>
    <row r="115" spans="2:22" hidden="1">
      <c r="B115" s="16"/>
      <c r="C115" s="17"/>
      <c r="D115" s="17"/>
      <c r="E115" s="18"/>
      <c r="F115" s="19"/>
      <c r="G115" s="20"/>
      <c r="H115" s="21"/>
      <c r="I115" s="34"/>
      <c r="J115" s="35"/>
      <c r="K115" s="21"/>
      <c r="L115" s="20"/>
      <c r="M115" s="20"/>
      <c r="N115" s="36"/>
      <c r="O115" s="34"/>
      <c r="P115" s="34"/>
      <c r="Q115" s="17"/>
      <c r="R115" s="20"/>
      <c r="S115" s="36"/>
      <c r="T115" s="20"/>
      <c r="U115" s="20"/>
      <c r="V115" s="20"/>
    </row>
    <row r="116" spans="2:22" hidden="1">
      <c r="B116" s="16"/>
      <c r="C116" s="17"/>
      <c r="D116" s="17"/>
      <c r="E116" s="18"/>
      <c r="F116" s="19"/>
      <c r="G116" s="20"/>
      <c r="H116" s="21"/>
      <c r="I116" s="34"/>
      <c r="J116" s="35"/>
      <c r="K116" s="21"/>
      <c r="L116" s="20"/>
      <c r="M116" s="20"/>
      <c r="N116" s="36"/>
      <c r="O116" s="34"/>
      <c r="P116" s="34"/>
      <c r="Q116" s="17"/>
      <c r="R116" s="20"/>
      <c r="S116" s="36"/>
      <c r="T116" s="20"/>
      <c r="U116" s="20"/>
      <c r="V116" s="20"/>
    </row>
    <row r="117" spans="2:22" hidden="1">
      <c r="B117" s="16"/>
      <c r="C117" s="17"/>
      <c r="D117" s="17"/>
      <c r="E117" s="18"/>
      <c r="F117" s="19"/>
      <c r="G117" s="20"/>
      <c r="H117" s="21"/>
      <c r="I117" s="34"/>
      <c r="J117" s="35"/>
      <c r="K117" s="21"/>
      <c r="L117" s="20"/>
      <c r="M117" s="20"/>
      <c r="N117" s="36"/>
      <c r="O117" s="34"/>
      <c r="P117" s="34"/>
      <c r="Q117" s="17"/>
      <c r="R117" s="20"/>
      <c r="S117" s="36"/>
      <c r="T117" s="20"/>
      <c r="U117" s="20"/>
      <c r="V117" s="20"/>
    </row>
    <row r="118" spans="2:22" hidden="1">
      <c r="B118" s="16"/>
      <c r="C118" s="17"/>
      <c r="D118" s="17"/>
      <c r="E118" s="18"/>
      <c r="F118" s="19"/>
      <c r="G118" s="20"/>
      <c r="H118" s="21"/>
      <c r="I118" s="34"/>
      <c r="J118" s="35"/>
      <c r="K118" s="21"/>
      <c r="L118" s="20"/>
      <c r="M118" s="20"/>
      <c r="N118" s="36"/>
      <c r="O118" s="34"/>
      <c r="P118" s="34"/>
      <c r="Q118" s="17"/>
      <c r="R118" s="20"/>
      <c r="S118" s="36"/>
      <c r="T118" s="20"/>
      <c r="U118" s="20"/>
      <c r="V118" s="20"/>
    </row>
    <row r="119" spans="2:22" hidden="1">
      <c r="B119" s="16"/>
      <c r="C119" s="17"/>
      <c r="D119" s="17"/>
      <c r="E119" s="18"/>
      <c r="F119" s="19"/>
      <c r="G119" s="20"/>
      <c r="H119" s="21"/>
      <c r="I119" s="34"/>
      <c r="J119" s="35"/>
      <c r="K119" s="21"/>
      <c r="L119" s="20"/>
      <c r="M119" s="20"/>
      <c r="N119" s="36"/>
      <c r="O119" s="34"/>
      <c r="P119" s="34"/>
      <c r="Q119" s="17"/>
      <c r="R119" s="20"/>
      <c r="S119" s="36"/>
      <c r="T119" s="20"/>
      <c r="U119" s="20"/>
      <c r="V119" s="20"/>
    </row>
    <row r="120" spans="2:22" hidden="1">
      <c r="B120" s="16"/>
      <c r="C120" s="17"/>
      <c r="D120" s="17"/>
      <c r="E120" s="18"/>
      <c r="F120" s="19"/>
      <c r="G120" s="20"/>
      <c r="H120" s="21"/>
      <c r="I120" s="34"/>
      <c r="J120" s="35"/>
      <c r="K120" s="21"/>
      <c r="L120" s="20"/>
      <c r="M120" s="20"/>
      <c r="N120" s="36"/>
      <c r="O120" s="34"/>
      <c r="P120" s="34"/>
      <c r="Q120" s="17"/>
      <c r="R120" s="20"/>
      <c r="S120" s="36"/>
      <c r="T120" s="20"/>
      <c r="U120" s="20"/>
      <c r="V120" s="20"/>
    </row>
    <row r="121" spans="2:22" hidden="1">
      <c r="B121" s="16"/>
      <c r="C121" s="17"/>
      <c r="D121" s="17"/>
      <c r="E121" s="18"/>
      <c r="F121" s="19"/>
      <c r="G121" s="20"/>
      <c r="H121" s="21"/>
      <c r="I121" s="34"/>
      <c r="J121" s="35"/>
      <c r="K121" s="21"/>
      <c r="L121" s="20"/>
      <c r="M121" s="20"/>
      <c r="N121" s="36"/>
      <c r="O121" s="34"/>
      <c r="P121" s="34"/>
      <c r="Q121" s="17"/>
      <c r="R121" s="20"/>
      <c r="S121" s="36"/>
      <c r="T121" s="20"/>
      <c r="U121" s="20"/>
      <c r="V121" s="20"/>
    </row>
    <row r="122" spans="2:22" hidden="1">
      <c r="B122" s="16"/>
      <c r="C122" s="17"/>
      <c r="D122" s="17"/>
      <c r="E122" s="18"/>
      <c r="F122" s="19"/>
      <c r="G122" s="20"/>
      <c r="H122" s="21"/>
      <c r="I122" s="34"/>
      <c r="J122" s="35"/>
      <c r="K122" s="21"/>
      <c r="L122" s="20"/>
      <c r="M122" s="20"/>
      <c r="N122" s="36"/>
      <c r="O122" s="34"/>
      <c r="P122" s="34"/>
      <c r="Q122" s="17"/>
      <c r="R122" s="20"/>
      <c r="S122" s="36"/>
      <c r="T122" s="20"/>
      <c r="U122" s="20"/>
      <c r="V122" s="20"/>
    </row>
    <row r="123" spans="2:22" hidden="1">
      <c r="B123" s="16"/>
      <c r="C123" s="17"/>
      <c r="D123" s="17"/>
      <c r="E123" s="18"/>
      <c r="F123" s="19"/>
      <c r="G123" s="20"/>
      <c r="H123" s="21"/>
      <c r="I123" s="34"/>
      <c r="J123" s="35"/>
      <c r="K123" s="21"/>
      <c r="L123" s="20"/>
      <c r="M123" s="20"/>
      <c r="N123" s="36"/>
      <c r="O123" s="34"/>
      <c r="P123" s="34"/>
      <c r="Q123" s="17"/>
      <c r="R123" s="20"/>
      <c r="S123" s="36"/>
      <c r="T123" s="20"/>
      <c r="U123" s="20"/>
      <c r="V123" s="20"/>
    </row>
    <row r="124" spans="2:22" hidden="1">
      <c r="B124" s="16"/>
      <c r="C124" s="17"/>
      <c r="D124" s="17"/>
      <c r="E124" s="18"/>
      <c r="F124" s="19"/>
      <c r="G124" s="20"/>
      <c r="H124" s="21"/>
      <c r="I124" s="34"/>
      <c r="J124" s="35"/>
      <c r="K124" s="21"/>
      <c r="L124" s="20"/>
      <c r="M124" s="20"/>
      <c r="N124" s="36"/>
      <c r="O124" s="34"/>
      <c r="P124" s="34"/>
      <c r="Q124" s="17"/>
      <c r="R124" s="20"/>
      <c r="S124" s="36"/>
      <c r="T124" s="20"/>
      <c r="U124" s="20"/>
      <c r="V124" s="20"/>
    </row>
    <row r="125" spans="2:22" hidden="1">
      <c r="B125" s="16"/>
      <c r="C125" s="17"/>
      <c r="D125" s="17"/>
      <c r="E125" s="18"/>
      <c r="F125" s="19"/>
      <c r="G125" s="20"/>
      <c r="H125" s="21"/>
      <c r="I125" s="34"/>
      <c r="J125" s="35"/>
      <c r="K125" s="21"/>
      <c r="L125" s="20"/>
      <c r="M125" s="20"/>
      <c r="N125" s="36"/>
      <c r="O125" s="34"/>
      <c r="P125" s="34"/>
      <c r="Q125" s="17"/>
      <c r="R125" s="20"/>
      <c r="S125" s="36"/>
      <c r="T125" s="20"/>
      <c r="U125" s="20"/>
      <c r="V125" s="20"/>
    </row>
    <row r="126" spans="2:22" hidden="1">
      <c r="B126" s="16"/>
      <c r="C126" s="17"/>
      <c r="D126" s="17"/>
      <c r="E126" s="18"/>
      <c r="F126" s="19"/>
      <c r="G126" s="20"/>
      <c r="H126" s="21"/>
      <c r="I126" s="34"/>
      <c r="J126" s="35"/>
      <c r="K126" s="21"/>
      <c r="L126" s="20"/>
      <c r="M126" s="20"/>
      <c r="N126" s="36"/>
      <c r="O126" s="34"/>
      <c r="P126" s="34"/>
      <c r="Q126" s="17"/>
      <c r="R126" s="20"/>
      <c r="S126" s="36"/>
      <c r="T126" s="20"/>
      <c r="U126" s="20"/>
      <c r="V126" s="20"/>
    </row>
    <row r="127" spans="2:22" hidden="1">
      <c r="B127" s="16"/>
      <c r="C127" s="17"/>
      <c r="D127" s="17"/>
      <c r="E127" s="18"/>
      <c r="F127" s="19"/>
      <c r="G127" s="20"/>
      <c r="H127" s="21"/>
      <c r="I127" s="34"/>
      <c r="J127" s="35"/>
      <c r="K127" s="21"/>
      <c r="L127" s="20"/>
      <c r="M127" s="20"/>
      <c r="N127" s="36"/>
      <c r="O127" s="34"/>
      <c r="P127" s="34"/>
      <c r="Q127" s="17"/>
      <c r="R127" s="20"/>
      <c r="S127" s="36"/>
      <c r="T127" s="20"/>
      <c r="U127" s="20"/>
      <c r="V127" s="20"/>
    </row>
    <row r="128" spans="2:22" hidden="1">
      <c r="B128" s="16"/>
      <c r="C128" s="17"/>
      <c r="D128" s="17"/>
      <c r="E128" s="18"/>
      <c r="F128" s="19"/>
      <c r="G128" s="20"/>
      <c r="H128" s="21"/>
      <c r="I128" s="34"/>
      <c r="J128" s="35"/>
      <c r="K128" s="21"/>
      <c r="L128" s="20"/>
      <c r="M128" s="20"/>
      <c r="N128" s="36"/>
      <c r="O128" s="34"/>
      <c r="P128" s="34"/>
      <c r="Q128" s="17"/>
      <c r="R128" s="20"/>
      <c r="S128" s="36"/>
      <c r="T128" s="20"/>
      <c r="U128" s="20"/>
      <c r="V128" s="20"/>
    </row>
    <row r="129" spans="2:22" hidden="1">
      <c r="B129" s="16"/>
      <c r="C129" s="17"/>
      <c r="D129" s="17"/>
      <c r="E129" s="18"/>
      <c r="F129" s="19"/>
      <c r="G129" s="20"/>
      <c r="H129" s="21"/>
      <c r="I129" s="34"/>
      <c r="J129" s="35"/>
      <c r="K129" s="21"/>
      <c r="L129" s="20"/>
      <c r="M129" s="20"/>
      <c r="N129" s="36"/>
      <c r="O129" s="34"/>
      <c r="P129" s="34"/>
      <c r="Q129" s="17"/>
      <c r="R129" s="20"/>
      <c r="S129" s="36"/>
      <c r="T129" s="20"/>
      <c r="U129" s="20"/>
      <c r="V129" s="20"/>
    </row>
    <row r="130" spans="2:22" hidden="1">
      <c r="B130" s="16"/>
      <c r="C130" s="17"/>
      <c r="D130" s="17"/>
      <c r="E130" s="18"/>
      <c r="F130" s="19"/>
      <c r="G130" s="20"/>
      <c r="H130" s="21"/>
      <c r="I130" s="34"/>
      <c r="J130" s="35"/>
      <c r="K130" s="21"/>
      <c r="L130" s="20"/>
      <c r="M130" s="20"/>
      <c r="N130" s="36"/>
      <c r="O130" s="34"/>
      <c r="P130" s="34"/>
      <c r="Q130" s="17"/>
      <c r="R130" s="20"/>
      <c r="S130" s="36"/>
      <c r="T130" s="20"/>
      <c r="U130" s="20"/>
      <c r="V130" s="20"/>
    </row>
    <row r="131" spans="2:22" hidden="1">
      <c r="B131" s="16"/>
      <c r="C131" s="17"/>
      <c r="D131" s="17"/>
      <c r="E131" s="18"/>
      <c r="F131" s="19"/>
      <c r="G131" s="20"/>
      <c r="H131" s="21"/>
      <c r="I131" s="34"/>
      <c r="J131" s="35"/>
      <c r="K131" s="21"/>
      <c r="L131" s="20"/>
      <c r="M131" s="20"/>
      <c r="N131" s="36"/>
      <c r="O131" s="34"/>
      <c r="P131" s="34"/>
      <c r="Q131" s="17"/>
      <c r="R131" s="20"/>
      <c r="S131" s="36"/>
      <c r="T131" s="20"/>
      <c r="U131" s="20"/>
      <c r="V131" s="20"/>
    </row>
    <row r="132" spans="2:22" hidden="1">
      <c r="B132" s="16"/>
      <c r="C132" s="17"/>
      <c r="D132" s="17"/>
      <c r="E132" s="18"/>
      <c r="F132" s="19"/>
      <c r="G132" s="20"/>
      <c r="H132" s="21"/>
      <c r="I132" s="34"/>
      <c r="J132" s="35"/>
      <c r="K132" s="21"/>
      <c r="L132" s="20"/>
      <c r="M132" s="20"/>
      <c r="N132" s="36"/>
      <c r="O132" s="34"/>
      <c r="P132" s="34"/>
      <c r="Q132" s="17"/>
      <c r="R132" s="20"/>
      <c r="S132" s="36"/>
      <c r="T132" s="20"/>
      <c r="U132" s="20"/>
      <c r="V132" s="20"/>
    </row>
    <row r="133" spans="2:22" hidden="1">
      <c r="B133" s="16"/>
      <c r="C133" s="17"/>
      <c r="D133" s="17"/>
      <c r="E133" s="18"/>
      <c r="F133" s="19"/>
      <c r="G133" s="20"/>
      <c r="H133" s="21"/>
      <c r="I133" s="34"/>
      <c r="J133" s="35"/>
      <c r="K133" s="21"/>
      <c r="L133" s="20"/>
      <c r="M133" s="20"/>
      <c r="N133" s="36"/>
      <c r="O133" s="34"/>
      <c r="P133" s="34"/>
      <c r="Q133" s="17"/>
      <c r="R133" s="20"/>
      <c r="S133" s="36"/>
      <c r="T133" s="20"/>
      <c r="U133" s="20"/>
      <c r="V133" s="20"/>
    </row>
    <row r="134" spans="2:22" hidden="1">
      <c r="B134" s="16"/>
      <c r="C134" s="17"/>
      <c r="D134" s="17"/>
      <c r="E134" s="18"/>
      <c r="F134" s="19"/>
      <c r="G134" s="20"/>
      <c r="H134" s="21"/>
      <c r="I134" s="34"/>
      <c r="J134" s="35"/>
      <c r="K134" s="21"/>
      <c r="L134" s="20"/>
      <c r="M134" s="20"/>
      <c r="N134" s="36"/>
      <c r="O134" s="34"/>
      <c r="P134" s="34"/>
      <c r="Q134" s="17"/>
      <c r="R134" s="20"/>
      <c r="S134" s="36"/>
      <c r="T134" s="20"/>
      <c r="U134" s="20"/>
      <c r="V134" s="20"/>
    </row>
    <row r="135" spans="2:22" hidden="1">
      <c r="B135" s="16"/>
      <c r="C135" s="17"/>
      <c r="D135" s="17"/>
      <c r="E135" s="18"/>
      <c r="F135" s="19"/>
      <c r="G135" s="20"/>
      <c r="H135" s="21"/>
      <c r="I135" s="34"/>
      <c r="J135" s="35"/>
      <c r="K135" s="21"/>
      <c r="L135" s="20"/>
      <c r="M135" s="20"/>
      <c r="N135" s="36"/>
      <c r="O135" s="34"/>
      <c r="P135" s="34"/>
      <c r="Q135" s="17"/>
      <c r="R135" s="20"/>
      <c r="S135" s="36"/>
      <c r="T135" s="20"/>
      <c r="U135" s="20"/>
      <c r="V135" s="20"/>
    </row>
    <row r="136" spans="2:22" hidden="1">
      <c r="B136" s="16"/>
      <c r="C136" s="17"/>
      <c r="D136" s="17"/>
      <c r="E136" s="18"/>
      <c r="F136" s="19"/>
      <c r="G136" s="20"/>
      <c r="H136" s="21"/>
      <c r="I136" s="34"/>
      <c r="J136" s="35"/>
      <c r="K136" s="21"/>
      <c r="L136" s="20"/>
      <c r="M136" s="20"/>
      <c r="N136" s="36"/>
      <c r="O136" s="34"/>
      <c r="P136" s="34"/>
      <c r="Q136" s="17"/>
      <c r="R136" s="20"/>
      <c r="S136" s="36"/>
      <c r="T136" s="20"/>
      <c r="U136" s="20"/>
      <c r="V136" s="20"/>
    </row>
    <row r="137" spans="2:22" hidden="1">
      <c r="B137" s="16"/>
      <c r="C137" s="17"/>
      <c r="D137" s="17"/>
      <c r="E137" s="18"/>
      <c r="F137" s="19"/>
      <c r="G137" s="20"/>
      <c r="H137" s="21"/>
      <c r="I137" s="34"/>
      <c r="J137" s="35"/>
      <c r="K137" s="21"/>
      <c r="L137" s="20"/>
      <c r="M137" s="20"/>
      <c r="N137" s="36"/>
      <c r="O137" s="34"/>
      <c r="P137" s="34"/>
      <c r="Q137" s="17"/>
      <c r="R137" s="20"/>
      <c r="S137" s="36"/>
      <c r="T137" s="20"/>
      <c r="U137" s="20"/>
      <c r="V137" s="20"/>
    </row>
    <row r="138" spans="2:22" hidden="1">
      <c r="B138" s="16"/>
      <c r="C138" s="17"/>
      <c r="D138" s="17"/>
      <c r="E138" s="18"/>
      <c r="F138" s="19"/>
      <c r="G138" s="20"/>
      <c r="H138" s="21"/>
      <c r="I138" s="34"/>
      <c r="J138" s="35"/>
      <c r="K138" s="21"/>
      <c r="L138" s="20"/>
      <c r="M138" s="20"/>
      <c r="N138" s="36"/>
      <c r="O138" s="34"/>
      <c r="P138" s="34"/>
      <c r="Q138" s="17"/>
      <c r="R138" s="20"/>
      <c r="S138" s="36"/>
      <c r="T138" s="20"/>
      <c r="U138" s="20"/>
      <c r="V138" s="20"/>
    </row>
    <row r="139" spans="2:22" ht="14.45" hidden="1" customHeight="1">
      <c r="J139" s="44"/>
      <c r="N139" s="7"/>
      <c r="O139" s="7"/>
      <c r="R139" s="5"/>
      <c r="S139" s="5"/>
      <c r="T139" s="5"/>
      <c r="U139" s="5"/>
    </row>
    <row r="140" spans="2:22" hidden="1">
      <c r="J140" s="44"/>
      <c r="N140" s="7"/>
      <c r="O140" s="7"/>
      <c r="R140" s="5"/>
      <c r="S140" s="5"/>
      <c r="T140" s="5"/>
      <c r="U140" s="5"/>
    </row>
    <row r="141" spans="2:22" hidden="1">
      <c r="J141" s="44"/>
      <c r="N141" s="7"/>
      <c r="O141" s="7"/>
      <c r="R141" s="5"/>
      <c r="S141" s="5"/>
      <c r="T141" s="5"/>
      <c r="U141" s="5"/>
    </row>
    <row r="142" spans="2:22" hidden="1">
      <c r="J142" s="44"/>
      <c r="N142" s="7"/>
      <c r="O142" s="7"/>
      <c r="R142" s="5"/>
      <c r="S142" s="5"/>
      <c r="T142" s="5"/>
      <c r="U142" s="5"/>
    </row>
    <row r="143" spans="2:22" hidden="1">
      <c r="E143" s="18">
        <f ca="1">TODAY()</f>
        <v>46106</v>
      </c>
      <c r="J143" s="44" t="s">
        <v>1259</v>
      </c>
      <c r="L143" s="20">
        <f>-_xlfn.XLOOKUP(J7,INVESTORS_LIST[INVESTOR CODE],INVESTORS_LIST[TOTAL MARKET VALUE])</f>
        <v>0</v>
      </c>
    </row>
    <row r="144" spans="2:22">
      <c r="J144" s="44"/>
      <c r="U144" s="45"/>
    </row>
    <row r="145" spans="5:26" ht="13.5" thickBot="1">
      <c r="J145" s="44"/>
    </row>
    <row r="146" spans="5:26" ht="15" customHeight="1">
      <c r="E146" s="317" t="s">
        <v>1260</v>
      </c>
      <c r="F146" s="318"/>
      <c r="G146" s="318"/>
      <c r="H146" s="318"/>
      <c r="I146" s="318"/>
      <c r="J146" s="318"/>
      <c r="K146" s="131"/>
      <c r="L146" s="132">
        <f>_xlfn.XLOOKUP($AB$2,INVESTORS_LIST[INVESTOR CODE],INVESTORS_LIST[TOTAL COST VALUE OF CURRENT INVESTMENT])</f>
        <v>0</v>
      </c>
      <c r="V146" s="125"/>
      <c r="Y146" s="41"/>
      <c r="Z146" s="40"/>
    </row>
    <row r="147" spans="5:26" ht="15" customHeight="1">
      <c r="E147" s="315" t="s">
        <v>1269</v>
      </c>
      <c r="F147" s="316"/>
      <c r="G147" s="316"/>
      <c r="H147" s="316"/>
      <c r="I147" s="316"/>
      <c r="J147" s="316"/>
      <c r="K147" s="21"/>
      <c r="L147" s="139">
        <f>_xlfn.XLOOKUP(J7,INVESTORS_LIST[INVESTOR CODE],INVESTORS_LIST[TOTAL CURRENT UNITS])</f>
        <v>0</v>
      </c>
      <c r="V147" s="125"/>
      <c r="Y147" s="41"/>
      <c r="Z147" s="40"/>
    </row>
    <row r="148" spans="5:26" ht="15" customHeight="1">
      <c r="E148" s="319" t="s">
        <v>1261</v>
      </c>
      <c r="F148" s="320"/>
      <c r="G148" s="320"/>
      <c r="H148" s="320"/>
      <c r="I148" s="320"/>
      <c r="J148" s="320"/>
      <c r="K148" s="21"/>
      <c r="L148" s="133">
        <f>LS!T1</f>
        <v>14.224</v>
      </c>
      <c r="V148" s="125"/>
      <c r="Y148" s="41"/>
      <c r="Z148" s="40"/>
    </row>
    <row r="149" spans="5:26">
      <c r="E149" s="134" t="s">
        <v>1505</v>
      </c>
      <c r="F149" s="129"/>
      <c r="G149" s="129"/>
      <c r="H149" s="129"/>
      <c r="I149" s="129"/>
      <c r="J149" s="130">
        <f ca="1">E143</f>
        <v>46106</v>
      </c>
      <c r="K149" s="128"/>
      <c r="L149" s="135">
        <f>-L143</f>
        <v>0</v>
      </c>
      <c r="V149" s="125"/>
      <c r="Y149" s="41"/>
      <c r="Z149" s="40"/>
    </row>
    <row r="150" spans="5:26">
      <c r="E150" s="313" t="s">
        <v>1268</v>
      </c>
      <c r="F150" s="314"/>
      <c r="G150" s="314"/>
      <c r="H150" s="314"/>
      <c r="I150" s="314"/>
      <c r="J150" s="314"/>
      <c r="K150" s="21"/>
      <c r="L150" s="136">
        <f>_xlfn.XLOOKUP(J7,INVESTORS_LIST[INVESTOR CODE],INVESTORS_LIST[TOTAL UNREALIZED GAIN])</f>
        <v>0</v>
      </c>
      <c r="S150" s="126"/>
    </row>
    <row r="151" spans="5:26">
      <c r="E151" s="315" t="s">
        <v>1267</v>
      </c>
      <c r="F151" s="316"/>
      <c r="G151" s="316"/>
      <c r="H151" s="316"/>
      <c r="I151" s="316"/>
      <c r="J151" s="316"/>
      <c r="K151" s="21"/>
      <c r="L151" s="136">
        <f>_xlfn.XLOOKUP(J7,INVESTORS_LIST[INVESTOR CODE],INVESTORS_LIST[TOTAL REALIZED GAIN])</f>
        <v>18393.214000000029</v>
      </c>
    </row>
    <row r="152" spans="5:26" ht="13.5" thickBot="1">
      <c r="E152" s="305" t="s">
        <v>1426</v>
      </c>
      <c r="F152" s="306"/>
      <c r="G152" s="306"/>
      <c r="H152" s="306"/>
      <c r="I152" s="306"/>
      <c r="J152" s="306"/>
      <c r="K152" s="236"/>
      <c r="L152" s="237">
        <f>SUM(L150:L151)</f>
        <v>18393.214000000029</v>
      </c>
    </row>
  </sheetData>
  <mergeCells count="13">
    <mergeCell ref="E152:J152"/>
    <mergeCell ref="B12:V12"/>
    <mergeCell ref="AB2:AC3"/>
    <mergeCell ref="A1:N1"/>
    <mergeCell ref="E2:V2"/>
    <mergeCell ref="E3:V3"/>
    <mergeCell ref="J7:L7"/>
    <mergeCell ref="E150:J150"/>
    <mergeCell ref="E151:J151"/>
    <mergeCell ref="E147:J147"/>
    <mergeCell ref="E146:J146"/>
    <mergeCell ref="E148:J148"/>
    <mergeCell ref="N64:O64"/>
  </mergeCells>
  <pageMargins left="0.25" right="0.25" top="0.75" bottom="0.75" header="0.3" footer="0.3"/>
  <pageSetup scale="5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54CE-FAC8-48EF-991E-7BB1525FF09F}">
  <sheetPr codeName="Sheet6"/>
  <dimension ref="A6:H38"/>
  <sheetViews>
    <sheetView view="pageBreakPreview" topLeftCell="A4" zoomScale="115" zoomScaleNormal="100" zoomScaleSheetLayoutView="115" workbookViewId="0">
      <selection activeCell="F12" sqref="F12"/>
    </sheetView>
  </sheetViews>
  <sheetFormatPr defaultColWidth="9.140625" defaultRowHeight="15"/>
  <cols>
    <col min="1" max="1" width="13.85546875" style="278" bestFit="1" customWidth="1"/>
    <col min="2" max="2" width="6.85546875" style="278" customWidth="1"/>
    <col min="3" max="3" width="12.140625" style="278" customWidth="1"/>
    <col min="4" max="4" width="4.7109375" style="278" customWidth="1"/>
    <col min="5" max="5" width="1.42578125" style="278" customWidth="1"/>
    <col min="6" max="6" width="38.7109375" style="278" bestFit="1" customWidth="1"/>
    <col min="7" max="8" width="9.140625" style="278"/>
    <col min="9" max="9" width="14.140625" style="278" bestFit="1" customWidth="1"/>
    <col min="10" max="13" width="9.28515625" style="278" bestFit="1" customWidth="1"/>
    <col min="14" max="14" width="10.140625" style="278" bestFit="1" customWidth="1"/>
    <col min="15" max="15" width="11.42578125" style="278" bestFit="1" customWidth="1"/>
    <col min="16" max="21" width="9.28515625" style="278" bestFit="1" customWidth="1"/>
    <col min="22" max="16384" width="9.140625" style="278"/>
  </cols>
  <sheetData>
    <row r="6" spans="1:8">
      <c r="A6" s="341">
        <v>45330</v>
      </c>
      <c r="B6" s="341"/>
    </row>
    <row r="8" spans="1:8">
      <c r="A8" s="342" t="s">
        <v>1250</v>
      </c>
      <c r="B8" s="342"/>
      <c r="C8" s="342"/>
      <c r="D8" s="342"/>
      <c r="E8" s="342"/>
      <c r="F8" s="342"/>
      <c r="G8" s="342"/>
      <c r="H8" s="342"/>
    </row>
    <row r="9" spans="1:8" ht="30" customHeight="1">
      <c r="A9" s="343" t="s">
        <v>1553</v>
      </c>
      <c r="B9" s="343"/>
      <c r="C9" s="343"/>
      <c r="D9" s="343"/>
      <c r="E9" s="343"/>
      <c r="F9" s="343"/>
      <c r="G9" s="343"/>
      <c r="H9" s="343"/>
    </row>
    <row r="11" spans="1:8">
      <c r="C11" s="279" t="s">
        <v>1554</v>
      </c>
      <c r="E11" s="278" t="s">
        <v>1559</v>
      </c>
      <c r="F11" s="278" t="s">
        <v>1560</v>
      </c>
    </row>
    <row r="12" spans="1:8">
      <c r="C12" s="279" t="s">
        <v>1555</v>
      </c>
      <c r="E12" s="278" t="s">
        <v>1559</v>
      </c>
      <c r="F12" s="279" t="s">
        <v>1561</v>
      </c>
    </row>
    <row r="13" spans="1:8">
      <c r="C13" s="279" t="s">
        <v>1556</v>
      </c>
      <c r="E13" s="278" t="s">
        <v>1559</v>
      </c>
      <c r="F13" s="279" t="s">
        <v>1561</v>
      </c>
    </row>
    <row r="14" spans="1:8">
      <c r="C14" s="279" t="s">
        <v>1557</v>
      </c>
      <c r="E14" s="278" t="s">
        <v>1559</v>
      </c>
      <c r="F14" s="279" t="s">
        <v>1562</v>
      </c>
    </row>
    <row r="15" spans="1:8">
      <c r="C15" s="279" t="s">
        <v>1558</v>
      </c>
      <c r="E15" s="278" t="s">
        <v>1559</v>
      </c>
      <c r="F15" s="279" t="s">
        <v>1563</v>
      </c>
    </row>
    <row r="17" spans="1:8" ht="25.5">
      <c r="A17" s="334" t="s">
        <v>1564</v>
      </c>
      <c r="B17" s="335"/>
      <c r="C17" s="335"/>
      <c r="D17" s="335"/>
      <c r="E17" s="335"/>
      <c r="F17" s="335"/>
      <c r="G17" s="335"/>
      <c r="H17" s="335"/>
    </row>
    <row r="18" spans="1:8" ht="15" customHeight="1">
      <c r="A18" s="344" t="str" cm="1">
        <f t="array" ref="A18">"This is to certify that "&amp;IF(_xlfn.XLOOKUP(D22,INVESTORS!B2:B726,INVESTORS!C2:C726)="Dear Mr.","Mr. ",(IF(_xlfn.XLOOKUP(D22,INVESTORS!B2:B726,INVESTORS!C2:C726)="Dear Ms.","Ms. ","")))&amp;_xlfn.XLOOKUP(D22,INVESTORS!B2:B726,INVESTORS!A2:A726&amp;" bearing National ID No: "&amp;_xlfn.XLOOKUP(D22,'[4]INVESTORS Main List'!$B$2:$B$724,'[4]INVESTORS Main List'!$T$2:$T$724&amp;" made an investment with EKUSH STABLE RETURN FUND. The following table depicts "&amp;IF(_xlfn.XLOOKUP(D22,INVESTORS!B2:B726,INVESTORS!C2:C726)="Dear Mr.","his",(IF(_xlfn.XLOOKUP(D22,INVESTORS!B2:B726,INVESTORS!C2:C726)="Dear Ms.","her","the"))))&amp;" investment:")</f>
        <v>This is to certify that Mr. SRIJON GHOSH bearing National ID No: 6013118143 made an investment with EKUSH STABLE RETURN FUND. The following table depicts his investment:</v>
      </c>
      <c r="B18" s="344"/>
      <c r="C18" s="344"/>
      <c r="D18" s="344"/>
      <c r="E18" s="344"/>
      <c r="F18" s="344"/>
      <c r="G18" s="344"/>
      <c r="H18" s="344"/>
    </row>
    <row r="19" spans="1:8" ht="14.25" customHeight="1">
      <c r="A19" s="344"/>
      <c r="B19" s="344"/>
      <c r="C19" s="344"/>
      <c r="D19" s="344"/>
      <c r="E19" s="344"/>
      <c r="F19" s="344"/>
      <c r="G19" s="344"/>
      <c r="H19" s="344"/>
    </row>
    <row r="20" spans="1:8">
      <c r="A20" s="344"/>
      <c r="B20" s="344"/>
      <c r="C20" s="344"/>
      <c r="D20" s="344"/>
      <c r="E20" s="344"/>
      <c r="F20" s="344"/>
      <c r="G20" s="344"/>
      <c r="H20" s="344"/>
    </row>
    <row r="21" spans="1:8" ht="14.25" customHeight="1">
      <c r="A21" s="280"/>
      <c r="B21" s="280"/>
      <c r="C21" s="280"/>
      <c r="D21" s="280"/>
      <c r="E21" s="280"/>
      <c r="F21" s="280"/>
      <c r="G21" s="280"/>
      <c r="H21" s="280"/>
    </row>
    <row r="22" spans="1:8" ht="24.95" customHeight="1">
      <c r="A22" s="336" t="s">
        <v>1565</v>
      </c>
      <c r="B22" s="337"/>
      <c r="C22" s="338"/>
      <c r="D22" s="339" t="s">
        <v>894</v>
      </c>
      <c r="E22" s="340"/>
      <c r="F22" s="340"/>
      <c r="G22" s="281"/>
      <c r="H22" s="282"/>
    </row>
    <row r="23" spans="1:8" ht="24.95" customHeight="1">
      <c r="A23" s="329" t="s">
        <v>1566</v>
      </c>
      <c r="B23" s="330"/>
      <c r="C23" s="331"/>
      <c r="D23" s="332" t="s">
        <v>1569</v>
      </c>
      <c r="E23" s="333"/>
      <c r="F23" s="324" cm="1">
        <f t="array" ref="F23">_xlfn.XLOOKUP(1, (LS!F3:F1507=Sheet1!D22) * (LS!D3:D1507=Sheet1!A6), LS!K3:K1507, "No match")</f>
        <v>193.55</v>
      </c>
      <c r="G23" s="324"/>
      <c r="H23" s="325"/>
    </row>
    <row r="24" spans="1:8" ht="24.95" customHeight="1">
      <c r="A24" s="329" t="s">
        <v>1567</v>
      </c>
      <c r="B24" s="330"/>
      <c r="C24" s="331"/>
      <c r="D24" s="332" t="s">
        <v>1569</v>
      </c>
      <c r="E24" s="333"/>
      <c r="F24" s="326" cm="1">
        <f t="array" ref="F24">_xlfn.XLOOKUP(1, (LS!F3:F1507=Sheet1!D22) * (LS!D3:D1507=Sheet1!A6), LS!M3:M1507, "No match")</f>
        <v>10.752777777777778</v>
      </c>
      <c r="G24" s="326"/>
      <c r="H24" s="327"/>
    </row>
    <row r="25" spans="1:8" ht="24.95" customHeight="1">
      <c r="A25" s="329" t="s">
        <v>1568</v>
      </c>
      <c r="B25" s="330"/>
      <c r="C25" s="331"/>
      <c r="D25" s="328" t="str" cm="1">
        <f t="array" ref="D25">_xlfn.XLOOKUP(1, (LS!F3:F1507=Sheet1!D22) * (LS!D3:D1507=Sheet1!A6), LS!N3:N1507, "No match")&amp;" Units"</f>
        <v>18 Units</v>
      </c>
      <c r="E25" s="324"/>
      <c r="F25" s="324"/>
      <c r="G25" s="324"/>
      <c r="H25" s="325"/>
    </row>
    <row r="29" spans="1:8">
      <c r="A29" s="278" t="s">
        <v>1570</v>
      </c>
    </row>
    <row r="37" spans="1:8">
      <c r="A37" s="322" t="s">
        <v>1571</v>
      </c>
      <c r="B37" s="322"/>
      <c r="G37" s="322" t="s">
        <v>1573</v>
      </c>
      <c r="H37" s="322"/>
    </row>
    <row r="38" spans="1:8">
      <c r="A38" s="323" t="s">
        <v>1572</v>
      </c>
      <c r="B38" s="323"/>
      <c r="G38" s="323" t="s">
        <v>1574</v>
      </c>
      <c r="H38" s="323"/>
    </row>
  </sheetData>
  <mergeCells count="19">
    <mergeCell ref="A17:H17"/>
    <mergeCell ref="A22:C22"/>
    <mergeCell ref="D22:F22"/>
    <mergeCell ref="A6:B6"/>
    <mergeCell ref="A8:H8"/>
    <mergeCell ref="A9:H9"/>
    <mergeCell ref="A18:H20"/>
    <mergeCell ref="G37:H37"/>
    <mergeCell ref="G38:H38"/>
    <mergeCell ref="A37:B37"/>
    <mergeCell ref="A38:B38"/>
    <mergeCell ref="F23:H23"/>
    <mergeCell ref="F24:H24"/>
    <mergeCell ref="D25:H25"/>
    <mergeCell ref="A25:C25"/>
    <mergeCell ref="A23:C23"/>
    <mergeCell ref="A24:C24"/>
    <mergeCell ref="D23:E23"/>
    <mergeCell ref="D24:E24"/>
  </mergeCells>
  <pageMargins left="0.7" right="0.7" top="0.75" bottom="0.75" header="0.3" footer="0.3"/>
  <pageSetup paperSize="9"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A7C2B72-01A3-4B10-ABA9-7C2CDBC60EBC}">
  <ds:schemaRefs/>
</ds:datastoreItem>
</file>

<file path=customXml/itemProps2.xml><?xml version="1.0" encoding="utf-8"?>
<ds:datastoreItem xmlns:ds="http://schemas.openxmlformats.org/officeDocument/2006/customXml" ds:itemID="{0C8B9B3C-8C3F-480D-B265-E6BEA97DAE58}">
  <ds:schemaRefs/>
</ds:datastoreItem>
</file>

<file path=customXml/itemProps3.xml><?xml version="1.0" encoding="utf-8"?>
<ds:datastoreItem xmlns:ds="http://schemas.openxmlformats.org/officeDocument/2006/customXml" ds:itemID="{E409B406-A029-4E5D-8CEA-5479923C9B0B}">
  <ds:schemaRefs/>
</ds:datastoreItem>
</file>

<file path=customXml/itemProps4.xml><?xml version="1.0" encoding="utf-8"?>
<ds:datastoreItem xmlns:ds="http://schemas.openxmlformats.org/officeDocument/2006/customXml" ds:itemID="{49B03201-E9FE-4CEA-88CE-2ECD3A6D1A03}">
  <ds:schemaRefs/>
</ds:datastoreItem>
</file>

<file path=customXml/itemProps5.xml><?xml version="1.0" encoding="utf-8"?>
<ds:datastoreItem xmlns:ds="http://schemas.openxmlformats.org/officeDocument/2006/customXml" ds:itemID="{E59FD284-AFBB-4F69-8388-E561B8911F48}">
  <ds:schemaRefs/>
</ds:datastoreItem>
</file>

<file path=customXml/itemProps6.xml><?xml version="1.0" encoding="utf-8"?>
<ds:datastoreItem xmlns:ds="http://schemas.openxmlformats.org/officeDocument/2006/customXml" ds:itemID="{33135DEA-6ADC-4129-9A19-161DCA240B2D}">
  <ds:schemaRefs/>
</ds:datastoreItem>
</file>

<file path=customXml/itemProps7.xml><?xml version="1.0" encoding="utf-8"?>
<ds:datastoreItem xmlns:ds="http://schemas.openxmlformats.org/officeDocument/2006/customXml" ds:itemID="{2C4B4228-5471-4EA8-B200-593154A5F370}">
  <ds:schemaRefs/>
</ds:datastoreItem>
</file>

<file path=customXml/itemProps8.xml><?xml version="1.0" encoding="utf-8"?>
<ds:datastoreItem xmlns:ds="http://schemas.openxmlformats.org/officeDocument/2006/customXml" ds:itemID="{9DCEA003-3BA9-4767-A20E-59BE3D67AFCC}">
  <ds:schemaRefs/>
</ds:datastoreItem>
</file>

<file path=customXml/itemProps9.xml><?xml version="1.0" encoding="utf-8"?>
<ds:datastoreItem xmlns:ds="http://schemas.openxmlformats.org/officeDocument/2006/customXml" ds:itemID="{74669029-3F22-473A-8740-630B4487650B}">
  <ds:schemaRefs/>
</ds:datastoreItem>
</file>

<file path=customXml/itemProps10.xml><?xml version="1.0" encoding="utf-8"?>
<ds:datastoreItem xmlns:ds="http://schemas.openxmlformats.org/officeDocument/2006/customXml" ds:itemID="{F12FFA8C-E5C6-4C0D-BD7B-5F758F940BAA}">
  <ds:schemaRefs/>
</ds:datastoreItem>
</file>

<file path=customXml/itemProps11.xml><?xml version="1.0" encoding="utf-8"?>
<ds:datastoreItem xmlns:ds="http://schemas.openxmlformats.org/officeDocument/2006/customXml" ds:itemID="{9D3487C8-BE2E-4B73-9F90-3EE435AE1ABC}">
  <ds:schemaRefs/>
</ds:datastoreItem>
</file>

<file path=customXml/itemProps12.xml><?xml version="1.0" encoding="utf-8"?>
<ds:datastoreItem xmlns:ds="http://schemas.openxmlformats.org/officeDocument/2006/customXml" ds:itemID="{9950369B-E0A7-48D7-B5AE-F38D105FCE1C}">
  <ds:schemaRefs/>
</ds:datastoreItem>
</file>

<file path=customXml/itemProps13.xml><?xml version="1.0" encoding="utf-8"?>
<ds:datastoreItem xmlns:ds="http://schemas.openxmlformats.org/officeDocument/2006/customXml" ds:itemID="{4060DE69-A775-4BA8-B887-E31FCE681E07}">
  <ds:schemaRefs/>
</ds:datastoreItem>
</file>

<file path=customXml/itemProps14.xml><?xml version="1.0" encoding="utf-8"?>
<ds:datastoreItem xmlns:ds="http://schemas.openxmlformats.org/officeDocument/2006/customXml" ds:itemID="{542D2376-2514-4A46-A65E-018E42C6FE23}">
  <ds:schemaRefs/>
</ds:datastoreItem>
</file>

<file path=customXml/itemProps15.xml><?xml version="1.0" encoding="utf-8"?>
<ds:datastoreItem xmlns:ds="http://schemas.openxmlformats.org/officeDocument/2006/customXml" ds:itemID="{0C67CC21-D27B-4FB3-A293-A020C4271BCC}">
  <ds:schemaRefs/>
</ds:datastoreItem>
</file>

<file path=customXml/itemProps16.xml><?xml version="1.0" encoding="utf-8"?>
<ds:datastoreItem xmlns:ds="http://schemas.openxmlformats.org/officeDocument/2006/customXml" ds:itemID="{E7C09C27-DF0F-4D6B-BC69-400FF7FA75B6}">
  <ds:schemaRefs/>
</ds:datastoreItem>
</file>

<file path=customXml/itemProps17.xml><?xml version="1.0" encoding="utf-8"?>
<ds:datastoreItem xmlns:ds="http://schemas.openxmlformats.org/officeDocument/2006/customXml" ds:itemID="{A5490692-E0CD-40AD-A4BD-A6D40517C02B}">
  <ds:schemaRefs/>
</ds:datastoreItem>
</file>

<file path=customXml/itemProps18.xml><?xml version="1.0" encoding="utf-8"?>
<ds:datastoreItem xmlns:ds="http://schemas.openxmlformats.org/officeDocument/2006/customXml" ds:itemID="{6297F58A-88CD-4684-A03E-2454CE89CC2A}">
  <ds:schemaRefs/>
</ds:datastoreItem>
</file>

<file path=customXml/itemProps19.xml><?xml version="1.0" encoding="utf-8"?>
<ds:datastoreItem xmlns:ds="http://schemas.openxmlformats.org/officeDocument/2006/customXml" ds:itemID="{58D19059-5403-4740-9FDE-5ECDBFD37BC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DASHBOARD</vt:lpstr>
      <vt:lpstr>INVESTORS</vt:lpstr>
      <vt:lpstr>LS</vt:lpstr>
      <vt:lpstr>SIP</vt:lpstr>
      <vt:lpstr>TAX CERTIFICATE</vt:lpstr>
      <vt:lpstr>T. History</vt:lpstr>
      <vt:lpstr>Sheet1</vt:lpstr>
      <vt:lpstr>NAV_MKT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Srijon Ghosh</cp:lastModifiedBy>
  <cp:lastPrinted>2026-03-08T13:01:55Z</cp:lastPrinted>
  <dcterms:created xsi:type="dcterms:W3CDTF">2021-04-07T17:24:00Z</dcterms:created>
  <dcterms:modified xsi:type="dcterms:W3CDTF">2026-03-25T10:42:47Z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6388515CD5AC43DD8E73C01EF6DAAD0A_12</vt:lpwstr>
  </property>
  <property fmtid="{D5CDD505-2E9C-101B-9397-08002B2CF9AE}" pid="3" name="KSOProductBuildVer">
    <vt:lpwstr>1033-12.2.0.17119</vt:lpwstr>
  </property>
</Properties>
</file>